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showInkAnnotation="0" codeName="ThisWorkbook"/>
  <bookViews>
    <workbookView xWindow="0" yWindow="120" windowWidth="16605" windowHeight="6495" tabRatio="866" firstSheet="2" activeTab="10"/>
  </bookViews>
  <sheets>
    <sheet name="Data-prt (2)" sheetId="70" state="hidden" r:id="rId1"/>
    <sheet name="Joineries" sheetId="66" state="hidden" r:id="rId2"/>
    <sheet name="A4 &amp;A3 print" sheetId="69" r:id="rId3"/>
    <sheet name="Detail " sheetId="68" r:id="rId4"/>
    <sheet name="Data-prt" sheetId="56" state="hidden" r:id="rId5"/>
    <sheet name="pile data " sheetId="32" r:id="rId6"/>
    <sheet name="  Coastal  Elec.Data " sheetId="27" r:id="rId7"/>
    <sheet name="lead  charge" sheetId="4" r:id="rId8"/>
    <sheet name="Elec.Data" sheetId="11" r:id="rId9"/>
    <sheet name="Sliding and french window" sheetId="25" state="hidden" r:id="rId10"/>
    <sheet name="A3" sheetId="67" r:id="rId11"/>
    <sheet name="G. Abstract final" sheetId="58" r:id="rId12"/>
    <sheet name="bore" sheetId="59" state="hidden" r:id="rId13"/>
    <sheet name="Sump" sheetId="60" state="hidden" r:id="rId14"/>
    <sheet name="Data" sheetId="1" r:id="rId15"/>
    <sheet name="Sheet3" sheetId="62" r:id="rId16"/>
    <sheet name="genset" sheetId="61" state="hidden" r:id="rId17"/>
    <sheet name="Detailed Estimate " sheetId="64" state="hidden" r:id="rId18"/>
  </sheets>
  <externalReferences>
    <externalReference r:id="rId19"/>
    <externalReference r:id="rId20"/>
    <externalReference r:id="rId21"/>
    <externalReference r:id="rId22"/>
    <externalReference r:id="rId23"/>
    <externalReference r:id="rId24"/>
    <externalReference r:id="rId25"/>
  </externalReferences>
  <definedNames>
    <definedName name="____A65539" localSheetId="10">#REF!</definedName>
    <definedName name="____A65539" localSheetId="2">#REF!</definedName>
    <definedName name="____A65539" localSheetId="0">#REF!</definedName>
    <definedName name="____A65539" localSheetId="17">#REF!</definedName>
    <definedName name="____A65539" localSheetId="11">#REF!</definedName>
    <definedName name="____A65539" localSheetId="16">#REF!</definedName>
    <definedName name="____A65539" localSheetId="13">#REF!</definedName>
    <definedName name="____A65539">#REF!</definedName>
    <definedName name="___A65539" localSheetId="10">#REF!</definedName>
    <definedName name="___A65539" localSheetId="2">#REF!</definedName>
    <definedName name="___A65539" localSheetId="0">#REF!</definedName>
    <definedName name="___A65539" localSheetId="17">#REF!</definedName>
    <definedName name="___A65539" localSheetId="11">#REF!</definedName>
    <definedName name="___A65539" localSheetId="16">#REF!</definedName>
    <definedName name="___A65539" localSheetId="13">#REF!</definedName>
    <definedName name="___A65539">#REF!</definedName>
    <definedName name="__A65539" localSheetId="10">#REF!</definedName>
    <definedName name="__A65539" localSheetId="2">#REF!</definedName>
    <definedName name="__A65539" localSheetId="0">#REF!</definedName>
    <definedName name="__A65539" localSheetId="17">#REF!</definedName>
    <definedName name="__A65539" localSheetId="11">#REF!</definedName>
    <definedName name="__A65539" localSheetId="16">#REF!</definedName>
    <definedName name="__A65539" localSheetId="13">#REF!</definedName>
    <definedName name="__A65539">#REF!</definedName>
    <definedName name="_A65539" localSheetId="10">#REF!</definedName>
    <definedName name="_A65539" localSheetId="2">#REF!</definedName>
    <definedName name="_A65539" localSheetId="0">#REF!</definedName>
    <definedName name="_A65539" localSheetId="17">#REF!</definedName>
    <definedName name="_A65539" localSheetId="11">#REF!</definedName>
    <definedName name="_A65539" localSheetId="16">#REF!</definedName>
    <definedName name="_A65539" localSheetId="13">#REF!</definedName>
    <definedName name="_A65539">#REF!</definedName>
    <definedName name="_Fill" hidden="1">#REF!</definedName>
    <definedName name="_xlnm._FilterDatabase" localSheetId="10" hidden="1">'A3'!$A$3:$Q$1835</definedName>
    <definedName name="_xlnm._FilterDatabase" localSheetId="2" hidden="1">'A4 &amp;A3 print'!$A$3:$Q$1834</definedName>
    <definedName name="_xlnm._FilterDatabase" localSheetId="1" hidden="1">Joineries!$A$1:$K$15</definedName>
    <definedName name="a" localSheetId="17">#REF!</definedName>
    <definedName name="a">#REF!</definedName>
    <definedName name="A1400\" localSheetId="11">'[1]Main work detaile'!$A$885:$IV$888</definedName>
    <definedName name="A1400\">'[2]Main work detaile'!$A$916:$IV$919</definedName>
    <definedName name="a3424\" localSheetId="17">#REF!</definedName>
    <definedName name="a3424\" localSheetId="11">#REF!</definedName>
    <definedName name="a3424\" localSheetId="16">#REF!</definedName>
    <definedName name="a3424\" localSheetId="13">#REF!</definedName>
    <definedName name="a3424\">#REF!</definedName>
    <definedName name="ahfk" localSheetId="17">#REF!</definedName>
    <definedName name="ahfk" localSheetId="11">#REF!</definedName>
    <definedName name="ahfk" localSheetId="16">#REF!</definedName>
    <definedName name="ahfk" localSheetId="13">#REF!</definedName>
    <definedName name="ahfk">#REF!</definedName>
    <definedName name="ahh">#REF!</definedName>
    <definedName name="ass" localSheetId="17">#REF!</definedName>
    <definedName name="ass" localSheetId="11">#REF!</definedName>
    <definedName name="ass" localSheetId="16">#REF!</definedName>
    <definedName name="ass" localSheetId="13">#REF!</definedName>
    <definedName name="ass">#REF!</definedName>
    <definedName name="Beg_Bal" localSheetId="10">#REF!</definedName>
    <definedName name="Beg_Bal" localSheetId="2">#REF!</definedName>
    <definedName name="Beg_Bal" localSheetId="0">#REF!</definedName>
    <definedName name="Beg_Bal" localSheetId="17">#REF!</definedName>
    <definedName name="Beg_Bal" localSheetId="11">#REF!</definedName>
    <definedName name="Beg_Bal" localSheetId="16">#REF!</definedName>
    <definedName name="Beg_Bal" localSheetId="13">#REF!</definedName>
    <definedName name="Beg_Bal">#REF!</definedName>
    <definedName name="c.data" localSheetId="10">#REF!</definedName>
    <definedName name="c.data" localSheetId="2">#REF!</definedName>
    <definedName name="c.data" localSheetId="0">#REF!</definedName>
    <definedName name="c.data" localSheetId="17">#REF!</definedName>
    <definedName name="c.data">#REF!</definedName>
    <definedName name="c641." localSheetId="17">#REF!</definedName>
    <definedName name="c641." localSheetId="11">#REF!</definedName>
    <definedName name="c641." localSheetId="16">#REF!</definedName>
    <definedName name="c641." localSheetId="13">#REF!</definedName>
    <definedName name="c641.">#REF!</definedName>
    <definedName name="dasd" localSheetId="10">#REF!</definedName>
    <definedName name="dasd" localSheetId="2">#REF!</definedName>
    <definedName name="dasd" localSheetId="0">#REF!</definedName>
    <definedName name="dasd">#REF!</definedName>
    <definedName name="Data" localSheetId="10">#REF!</definedName>
    <definedName name="Data" localSheetId="2">#REF!</definedName>
    <definedName name="Data" localSheetId="0">#REF!</definedName>
    <definedName name="Data" localSheetId="17">#REF!</definedName>
    <definedName name="Data" localSheetId="11">#REF!</definedName>
    <definedName name="Data" localSheetId="16">#REF!</definedName>
    <definedName name="Data" localSheetId="13">#REF!</definedName>
    <definedName name="Data">#REF!</definedName>
    <definedName name="dd" localSheetId="11">#REF!</definedName>
    <definedName name="dd" localSheetId="16">#REF!</definedName>
    <definedName name="dd" localSheetId="13">#REF!</definedName>
    <definedName name="dd">#REF!</definedName>
    <definedName name="Details_furnished_by_the__CE__TNPHC_to_DIG" localSheetId="10">#REF!</definedName>
    <definedName name="Details_furnished_by_the__CE__TNPHC_to_DIG" localSheetId="2">#REF!</definedName>
    <definedName name="Details_furnished_by_the__CE__TNPHC_to_DIG" localSheetId="0">#REF!</definedName>
    <definedName name="Details_furnished_by_the__CE__TNPHC_to_DIG">#REF!</definedName>
    <definedName name="detpada">#REF!</definedName>
    <definedName name="df" localSheetId="17">#REF!</definedName>
    <definedName name="df" localSheetId="11">#REF!</definedName>
    <definedName name="df" localSheetId="16">#REF!</definedName>
    <definedName name="df" localSheetId="13">#REF!</definedName>
    <definedName name="df">#REF!</definedName>
    <definedName name="electri" localSheetId="17">#REF!</definedName>
    <definedName name="electri" localSheetId="11">#REF!</definedName>
    <definedName name="electri" localSheetId="16">#REF!</definedName>
    <definedName name="electri" localSheetId="13">#REF!</definedName>
    <definedName name="electri">#REF!</definedName>
    <definedName name="End_Bal" localSheetId="10">#REF!</definedName>
    <definedName name="End_Bal" localSheetId="2">#REF!</definedName>
    <definedName name="End_Bal" localSheetId="0">#REF!</definedName>
    <definedName name="End_Bal" localSheetId="17">#REF!</definedName>
    <definedName name="End_Bal" localSheetId="11">#REF!</definedName>
    <definedName name="End_Bal" localSheetId="16">#REF!</definedName>
    <definedName name="End_Bal" localSheetId="13">#REF!</definedName>
    <definedName name="End_Bal">#REF!</definedName>
    <definedName name="er" localSheetId="17">#REF!</definedName>
    <definedName name="er" localSheetId="11">#REF!</definedName>
    <definedName name="er" localSheetId="16">#REF!</definedName>
    <definedName name="er" localSheetId="13">#REF!</definedName>
    <definedName name="er">#REF!</definedName>
    <definedName name="Extra_Pay" localSheetId="10">#REF!</definedName>
    <definedName name="Extra_Pay" localSheetId="2">#REF!</definedName>
    <definedName name="Extra_Pay" localSheetId="0">#REF!</definedName>
    <definedName name="Extra_Pay" localSheetId="17">#REF!</definedName>
    <definedName name="Extra_Pay" localSheetId="11">#REF!</definedName>
    <definedName name="Extra_Pay" localSheetId="16">#REF!</definedName>
    <definedName name="Extra_Pay" localSheetId="13">#REF!</definedName>
    <definedName name="Extra_Pay">#REF!</definedName>
    <definedName name="fhd" localSheetId="17">#REF!</definedName>
    <definedName name="fhd" localSheetId="11">#REF!</definedName>
    <definedName name="fhd" localSheetId="16">#REF!</definedName>
    <definedName name="fhd" localSheetId="13">#REF!</definedName>
    <definedName name="fhd">#REF!</definedName>
    <definedName name="Full_Print" localSheetId="10">#REF!</definedName>
    <definedName name="Full_Print" localSheetId="2">#REF!</definedName>
    <definedName name="Full_Print" localSheetId="0">#REF!</definedName>
    <definedName name="Full_Print" localSheetId="17">#REF!</definedName>
    <definedName name="Full_Print" localSheetId="11">#REF!</definedName>
    <definedName name="Full_Print" localSheetId="16">#REF!</definedName>
    <definedName name="Full_Print" localSheetId="13">#REF!</definedName>
    <definedName name="Full_Print">#REF!</definedName>
    <definedName name="Header_Row" localSheetId="10">ROW(#REF!)</definedName>
    <definedName name="Header_Row" localSheetId="2">ROW(#REF!)</definedName>
    <definedName name="Header_Row" localSheetId="0">ROW(#REF!)</definedName>
    <definedName name="Header_Row" localSheetId="17">ROW(#REF!)</definedName>
    <definedName name="Header_Row" localSheetId="11">ROW(#REF!)</definedName>
    <definedName name="Header_Row" localSheetId="16">ROW(#REF!)</definedName>
    <definedName name="Header_Row" localSheetId="13">ROW(#REF!)</definedName>
    <definedName name="Header_Row">ROW(#REF!)</definedName>
    <definedName name="hha">#REF!</definedName>
    <definedName name="hia" localSheetId="10">#REF!</definedName>
    <definedName name="hia" localSheetId="2">#REF!</definedName>
    <definedName name="hia" localSheetId="0">#REF!</definedName>
    <definedName name="hia" localSheetId="17">#REF!</definedName>
    <definedName name="hia" localSheetId="11">#REF!</definedName>
    <definedName name="hia" localSheetId="13">#REF!</definedName>
    <definedName name="hia">#REF!</definedName>
    <definedName name="hj">#REF!</definedName>
    <definedName name="i" localSheetId="10">#REF!</definedName>
    <definedName name="i" localSheetId="2">#REF!</definedName>
    <definedName name="i" localSheetId="0">#REF!</definedName>
    <definedName name="i" localSheetId="17">#REF!</definedName>
    <definedName name="i" localSheetId="11">#REF!</definedName>
    <definedName name="i" localSheetId="16">#REF!</definedName>
    <definedName name="i" localSheetId="13">#REF!</definedName>
    <definedName name="i">#REF!</definedName>
    <definedName name="ins" localSheetId="17">#REF!</definedName>
    <definedName name="ins" localSheetId="11">#REF!</definedName>
    <definedName name="ins" localSheetId="16">#REF!</definedName>
    <definedName name="ins" localSheetId="13">#REF!</definedName>
    <definedName name="ins">#REF!</definedName>
    <definedName name="insp" localSheetId="10">#REF!</definedName>
    <definedName name="insp" localSheetId="2">#REF!</definedName>
    <definedName name="insp" localSheetId="0">#REF!</definedName>
    <definedName name="insp">#REF!</definedName>
    <definedName name="Int" localSheetId="10">#REF!</definedName>
    <definedName name="Int" localSheetId="2">#REF!</definedName>
    <definedName name="Int" localSheetId="0">#REF!</definedName>
    <definedName name="Int" localSheetId="17">#REF!</definedName>
    <definedName name="Int" localSheetId="11">#REF!</definedName>
    <definedName name="Int" localSheetId="16">#REF!</definedName>
    <definedName name="Int" localSheetId="13">#REF!</definedName>
    <definedName name="Int">#REF!</definedName>
    <definedName name="Interest_Rate" localSheetId="10">#REF!</definedName>
    <definedName name="Interest_Rate" localSheetId="2">#REF!</definedName>
    <definedName name="Interest_Rate" localSheetId="0">#REF!</definedName>
    <definedName name="Interest_Rate" localSheetId="17">#REF!</definedName>
    <definedName name="Interest_Rate" localSheetId="11">#REF!</definedName>
    <definedName name="Interest_Rate" localSheetId="16">#REF!</definedName>
    <definedName name="Interest_Rate" localSheetId="13">#REF!</definedName>
    <definedName name="Interest_Rate">#REF!</definedName>
    <definedName name="k404." localSheetId="11">#REF!</definedName>
    <definedName name="k404." localSheetId="13">#REF!</definedName>
    <definedName name="k404.">#REF!</definedName>
    <definedName name="kasper" localSheetId="17">#REF!</definedName>
    <definedName name="kasper" localSheetId="11">#REF!</definedName>
    <definedName name="kasper" localSheetId="16">#REF!</definedName>
    <definedName name="kasper" localSheetId="13">#REF!</definedName>
    <definedName name="kasper">#REF!</definedName>
    <definedName name="Last_Row" localSheetId="10">IF('A3'!Values_Entered,'A3'!Header_Row+'A3'!Number_of_Payments,'A3'!Header_Row)</definedName>
    <definedName name="Last_Row" localSheetId="2">IF('A4 &amp;A3 print'!Values_Entered,'A4 &amp;A3 print'!Header_Row+'A4 &amp;A3 print'!Number_of_Payments,'A4 &amp;A3 print'!Header_Row)</definedName>
    <definedName name="Last_Row" localSheetId="0">IF('Data-prt (2)'!Values_Entered,'Data-prt (2)'!Header_Row+'Data-prt (2)'!Number_of_Payments,'Data-prt (2)'!Header_Row)</definedName>
    <definedName name="Last_Row" localSheetId="17">IF('Detailed Estimate '!Values_Entered,'Detailed Estimate '!Header_Row+'Detailed Estimate '!Number_of_Payments,'Detailed Estimate '!Header_Row)</definedName>
    <definedName name="Last_Row" localSheetId="11">IF('A3'!Values_Entered,Header_Row+'A3'!Number_of_Payments,Header_Row)</definedName>
    <definedName name="Last_Row" localSheetId="16">IF('A3'!Values_Entered,Header_Row+'A3'!Number_of_Payments,Header_Row)</definedName>
    <definedName name="Last_Row" localSheetId="1">IF(Joineries!Values_Entered,Header_Row+Joineries!Number_of_Payments,Header_Row)</definedName>
    <definedName name="Last_Row" localSheetId="13">IF('A3'!Values_Entered,Header_Row+'A3'!Number_of_Payments,Header_Row)</definedName>
    <definedName name="Last_Row">IF('A3'!Values_Entered,Header_Row+'A3'!Number_of_Payments,Header_Row)</definedName>
    <definedName name="Loan_Amount" localSheetId="10">#REF!</definedName>
    <definedName name="Loan_Amount" localSheetId="2">#REF!</definedName>
    <definedName name="Loan_Amount" localSheetId="0">#REF!</definedName>
    <definedName name="Loan_Amount" localSheetId="17">#REF!</definedName>
    <definedName name="Loan_Amount" localSheetId="11">#REF!</definedName>
    <definedName name="Loan_Amount" localSheetId="16">#REF!</definedName>
    <definedName name="Loan_Amount" localSheetId="13">#REF!</definedName>
    <definedName name="Loan_Amount">#REF!</definedName>
    <definedName name="Loan_Start" localSheetId="10">#REF!</definedName>
    <definedName name="Loan_Start" localSheetId="2">#REF!</definedName>
    <definedName name="Loan_Start" localSheetId="0">#REF!</definedName>
    <definedName name="Loan_Start" localSheetId="17">#REF!</definedName>
    <definedName name="Loan_Start" localSheetId="11">#REF!</definedName>
    <definedName name="Loan_Start" localSheetId="16">#REF!</definedName>
    <definedName name="Loan_Start" localSheetId="13">#REF!</definedName>
    <definedName name="Loan_Start">#REF!</definedName>
    <definedName name="Loan_Years" localSheetId="10">#REF!</definedName>
    <definedName name="Loan_Years" localSheetId="2">#REF!</definedName>
    <definedName name="Loan_Years" localSheetId="0">#REF!</definedName>
    <definedName name="Loan_Years" localSheetId="17">#REF!</definedName>
    <definedName name="Loan_Years" localSheetId="11">#REF!</definedName>
    <definedName name="Loan_Years" localSheetId="16">#REF!</definedName>
    <definedName name="Loan_Years" localSheetId="13">#REF!</definedName>
    <definedName name="Loan_Years">#REF!</definedName>
    <definedName name="Num_Pmt_Per_Year" localSheetId="10">#REF!</definedName>
    <definedName name="Num_Pmt_Per_Year" localSheetId="2">#REF!</definedName>
    <definedName name="Num_Pmt_Per_Year" localSheetId="0">#REF!</definedName>
    <definedName name="Num_Pmt_Per_Year" localSheetId="17">#REF!</definedName>
    <definedName name="Num_Pmt_Per_Year" localSheetId="11">#REF!</definedName>
    <definedName name="Num_Pmt_Per_Year" localSheetId="16">#REF!</definedName>
    <definedName name="Num_Pmt_Per_Year" localSheetId="13">#REF!</definedName>
    <definedName name="Num_Pmt_Per_Year">#REF!</definedName>
    <definedName name="Number_of_Payments" localSheetId="10">MATCH(0.01,'A3'!End_Bal,-1)+1</definedName>
    <definedName name="Number_of_Payments" localSheetId="2">MATCH(0.01,'A4 &amp;A3 print'!End_Bal,-1)+1</definedName>
    <definedName name="Number_of_Payments" localSheetId="0">MATCH(0.01,'Data-prt (2)'!End_Bal,-1)+1</definedName>
    <definedName name="Number_of_Payments" localSheetId="17">MATCH(0.01,'Detailed Estimate '!End_Bal,-1)+1</definedName>
    <definedName name="Number_of_Payments" localSheetId="11">MATCH(0.01,End_Bal,-1)+1</definedName>
    <definedName name="Number_of_Payments" localSheetId="16">MATCH(0.01,End_Bal,-1)+1</definedName>
    <definedName name="Number_of_Payments" localSheetId="1">MATCH(0.01,End_Bal,-1)+1</definedName>
    <definedName name="Number_of_Payments" localSheetId="13">MATCH(0.01,End_Bal,-1)+1</definedName>
    <definedName name="Number_of_Payments">MATCH(0.01,End_Bal,-1)+1</definedName>
    <definedName name="Pay_Date" localSheetId="10">#REF!</definedName>
    <definedName name="Pay_Date" localSheetId="2">#REF!</definedName>
    <definedName name="Pay_Date" localSheetId="0">#REF!</definedName>
    <definedName name="Pay_Date" localSheetId="17">#REF!</definedName>
    <definedName name="Pay_Date" localSheetId="11">#REF!</definedName>
    <definedName name="Pay_Date" localSheetId="16">#REF!</definedName>
    <definedName name="Pay_Date" localSheetId="13">#REF!</definedName>
    <definedName name="Pay_Date">#REF!</definedName>
    <definedName name="Pay_Num" localSheetId="10">#REF!</definedName>
    <definedName name="Pay_Num" localSheetId="2">#REF!</definedName>
    <definedName name="Pay_Num" localSheetId="0">#REF!</definedName>
    <definedName name="Pay_Num" localSheetId="17">#REF!</definedName>
    <definedName name="Pay_Num" localSheetId="11">#REF!</definedName>
    <definedName name="Pay_Num" localSheetId="16">#REF!</definedName>
    <definedName name="Pay_Num" localSheetId="13">#REF!</definedName>
    <definedName name="Pay_Num">#REF!</definedName>
    <definedName name="payment" localSheetId="10">#REF!</definedName>
    <definedName name="payment" localSheetId="2">#REF!</definedName>
    <definedName name="payment" localSheetId="0">#REF!</definedName>
    <definedName name="payment" localSheetId="17">#REF!</definedName>
    <definedName name="payment" localSheetId="11">#REF!</definedName>
    <definedName name="payment" localSheetId="16">#REF!</definedName>
    <definedName name="payment" localSheetId="13">#REF!</definedName>
    <definedName name="payment">#REF!</definedName>
    <definedName name="Payment_Date" localSheetId="10">DATE(YEAR('A3'!Loan_Start),MONTH('A3'!Loan_Start)+Payment_Number,DAY('A3'!Loan_Start))</definedName>
    <definedName name="Payment_Date" localSheetId="2">DATE(YEAR('A4 &amp;A3 print'!Loan_Start),MONTH('A4 &amp;A3 print'!Loan_Start)+Payment_Number,DAY('A4 &amp;A3 print'!Loan_Start))</definedName>
    <definedName name="Payment_Date" localSheetId="0">DATE(YEAR('Data-prt (2)'!Loan_Start),MONTH('Data-prt (2)'!Loan_Start)+Payment_Number,DAY('Data-prt (2)'!Loan_Start))</definedName>
    <definedName name="Payment_Date" localSheetId="17">DATE(YEAR('Detailed Estimate '!Loan_Start),MONTH('Detailed Estimate '!Loan_Start)+Payment_Number,DAY('Detailed Estimate '!Loan_Start))</definedName>
    <definedName name="Payment_Date" localSheetId="11">DATE(YEAR(Loan_Start),MONTH(Loan_Start)+Payment_Number,DAY(Loan_Start))</definedName>
    <definedName name="Payment_Date" localSheetId="16">DATE(YEAR(Loan_Start),MONTH(Loan_Start)+Payment_Number,DAY(Loan_Start))</definedName>
    <definedName name="Payment_Date" localSheetId="1">DATE(YEAR(Loan_Start),MONTH(Loan_Start)+Payment_Number,DAY(Loan_Start))</definedName>
    <definedName name="Payment_Date" localSheetId="13">DATE(YEAR(Loan_Start),MONTH(Loan_Start)+Payment_Number,DAY(Loan_Start))</definedName>
    <definedName name="Payment_Date">DATE(YEAR(Loan_Start),MONTH(Loan_Start)+Payment_Number,DAY(Loan_Start))</definedName>
    <definedName name="pc" localSheetId="11">#REF!</definedName>
    <definedName name="pc" localSheetId="13">#REF!</definedName>
    <definedName name="pc">#REF!</definedName>
    <definedName name="Princ" localSheetId="10">#REF!</definedName>
    <definedName name="Princ" localSheetId="2">#REF!</definedName>
    <definedName name="Princ" localSheetId="0">#REF!</definedName>
    <definedName name="Princ" localSheetId="17">#REF!</definedName>
    <definedName name="Princ" localSheetId="11">#REF!</definedName>
    <definedName name="Princ" localSheetId="16">#REF!</definedName>
    <definedName name="Princ" localSheetId="13">#REF!</definedName>
    <definedName name="Princ">#REF!</definedName>
    <definedName name="print" localSheetId="10">#REF!</definedName>
    <definedName name="print" localSheetId="2">#REF!</definedName>
    <definedName name="print" localSheetId="0">#REF!</definedName>
    <definedName name="print" localSheetId="17">#REF!</definedName>
    <definedName name="print" localSheetId="11">#REF!</definedName>
    <definedName name="print" localSheetId="13">#REF!</definedName>
    <definedName name="print">#REF!</definedName>
    <definedName name="_xlnm.Print_Area" localSheetId="6">'  Coastal  Elec.Data '!$F$2832:$K$2988</definedName>
    <definedName name="_xlnm.Print_Area" localSheetId="10">'A3'!$A$1:$Q$1466</definedName>
    <definedName name="_xlnm.Print_Area" localSheetId="2">'A4 &amp;A3 print'!$A$1:$Q$1466</definedName>
    <definedName name="_xlnm.Print_Area" localSheetId="12">bore!$A$1:$J$89</definedName>
    <definedName name="_xlnm.Print_Area" localSheetId="14">Data!$T$1:$AE$60</definedName>
    <definedName name="_xlnm.Print_Area" localSheetId="4" xml:space="preserve">    'Data-prt'!$A$1:$F$1784</definedName>
    <definedName name="_xlnm.Print_Area" localSheetId="0">'Data-prt (2)'!$A$1:$F$1818</definedName>
    <definedName name="_xlnm.Print_Area" localSheetId="3">'Detail '!$A$1:$J$3059</definedName>
    <definedName name="_xlnm.Print_Area" localSheetId="17">'Detailed Estimate '!$A$1:$J$2736</definedName>
    <definedName name="_xlnm.Print_Area" localSheetId="8">Elec.Data!$620:$620</definedName>
    <definedName name="_xlnm.Print_Area" localSheetId="11">'G. Abstract final'!$A$1:$F$31</definedName>
    <definedName name="_xlnm.Print_Area" localSheetId="16">genset!$A$1:$H$84</definedName>
    <definedName name="_xlnm.Print_Area" localSheetId="7">'lead  charge'!$A$1:$S$27</definedName>
    <definedName name="_xlnm.Print_Area" localSheetId="5">'pile data '!$A$1:$F$17</definedName>
    <definedName name="_xlnm.Print_Area" localSheetId="15">Sheet3!$A$1:$F$1739</definedName>
    <definedName name="_xlnm.Print_Area" localSheetId="9">'Sliding and french window'!$A$80:$G$127</definedName>
    <definedName name="_xlnm.Print_Area">#REF!</definedName>
    <definedName name="Print_Area_MI" localSheetId="6">'  Coastal  Elec.Data '!$F$1:$K$213</definedName>
    <definedName name="Print_Area_MI" localSheetId="14">Data!$F$1:$K$214</definedName>
    <definedName name="Print_Area_MI" localSheetId="8">Elec.Data!#REF!</definedName>
    <definedName name="PRINT_AREA_MI" localSheetId="11">#REF!</definedName>
    <definedName name="PRINT_AREA_MI" localSheetId="5">#REF!</definedName>
    <definedName name="PRINT_AREA_MI">#REF!</definedName>
    <definedName name="Print_Area_Reset" localSheetId="10">OFFSET('A3'!Full_Print,0,0,'A3'!Last_Row)</definedName>
    <definedName name="Print_Area_Reset" localSheetId="2">OFFSET('A4 &amp;A3 print'!Full_Print,0,0,'A4 &amp;A3 print'!Last_Row)</definedName>
    <definedName name="Print_Area_Reset" localSheetId="0">OFFSET('Data-prt (2)'!Full_Print,0,0,'Data-prt (2)'!Last_Row)</definedName>
    <definedName name="Print_Area_Reset" localSheetId="17">OFFSET('Detailed Estimate '!Full_Print,0,0,'Detailed Estimate '!Last_Row)</definedName>
    <definedName name="Print_Area_Reset" localSheetId="11">OFFSET(Full_Print,0,0,Last_Row)</definedName>
    <definedName name="Print_Area_Reset" localSheetId="16">OFFSET(Full_Print,0,0,Last_Row)</definedName>
    <definedName name="Print_Area_Reset" localSheetId="1">OFFSET(Full_Print,0,0,Joineries!Last_Row)</definedName>
    <definedName name="Print_Area_Reset" localSheetId="13">OFFSET(Full_Print,0,0,Last_Row)</definedName>
    <definedName name="Print_Area_Reset">OFFSET(Full_Print,0,0,Last_Row)</definedName>
    <definedName name="_xlnm.Print_Titles" localSheetId="6">#REF!</definedName>
    <definedName name="_xlnm.Print_Titles" localSheetId="10">'A3'!$2:$3</definedName>
    <definedName name="_xlnm.Print_Titles" localSheetId="2">'A4 &amp;A3 print'!$2:$3</definedName>
    <definedName name="_xlnm.Print_Titles" localSheetId="11">'G. Abstract final'!$4:$4</definedName>
    <definedName name="_xlnm.Print_Titles" localSheetId="5">#REF!</definedName>
    <definedName name="_xlnm.Print_Titles">#REF!</definedName>
    <definedName name="PRINT_TITLES_MI" localSheetId="6">'  Coastal  Elec.Data '!$GJ$7:$IG$7608</definedName>
    <definedName name="PRINT_TITLES_MI" localSheetId="14">Data!$GJ$7:$IG$7593</definedName>
    <definedName name="PRINT_TITLES_MI" localSheetId="8">Elec.Data!$GJ$1:$IG$4787</definedName>
    <definedName name="PRINT_TITLES_MI" localSheetId="11">#REF!</definedName>
    <definedName name="PRINT_TITLES_MI" localSheetId="5">#REF!</definedName>
    <definedName name="PRINT_TITLES_MI">#REF!</definedName>
    <definedName name="ps_app" localSheetId="10">#REF!</definedName>
    <definedName name="ps_app" localSheetId="2">#REF!</definedName>
    <definedName name="ps_app" localSheetId="0">#REF!</definedName>
    <definedName name="ps_app" localSheetId="17">#REF!</definedName>
    <definedName name="ps_app" localSheetId="11">#REF!</definedName>
    <definedName name="ps_app" localSheetId="16">#REF!</definedName>
    <definedName name="ps_app" localSheetId="13">#REF!</definedName>
    <definedName name="ps_app">#REF!</definedName>
    <definedName name="ps_est" localSheetId="10">#REF!</definedName>
    <definedName name="ps_est" localSheetId="2">#REF!</definedName>
    <definedName name="ps_est" localSheetId="0">#REF!</definedName>
    <definedName name="ps_est" localSheetId="17">#REF!</definedName>
    <definedName name="ps_est" localSheetId="11">#REF!</definedName>
    <definedName name="ps_est" localSheetId="16">#REF!</definedName>
    <definedName name="ps_est" localSheetId="13">#REF!</definedName>
    <definedName name="ps_est">#REF!</definedName>
    <definedName name="ps_max" localSheetId="10">#REF!</definedName>
    <definedName name="ps_max" localSheetId="2">#REF!</definedName>
    <definedName name="ps_max" localSheetId="0">#REF!</definedName>
    <definedName name="ps_max" localSheetId="17">#REF!</definedName>
    <definedName name="ps_max" localSheetId="11">#REF!</definedName>
    <definedName name="ps_max" localSheetId="16">#REF!</definedName>
    <definedName name="ps_max" localSheetId="13">#REF!</definedName>
    <definedName name="ps_max">#REF!</definedName>
    <definedName name="ps_paid" localSheetId="10">#REF!</definedName>
    <definedName name="ps_paid" localSheetId="2">#REF!</definedName>
    <definedName name="ps_paid" localSheetId="0">#REF!</definedName>
    <definedName name="ps_paid" localSheetId="17">#REF!</definedName>
    <definedName name="ps_paid" localSheetId="11">#REF!</definedName>
    <definedName name="ps_paid" localSheetId="16">#REF!</definedName>
    <definedName name="ps_paid" localSheetId="13">#REF!</definedName>
    <definedName name="ps_paid">#REF!</definedName>
    <definedName name="ps_quo" localSheetId="10">#REF!</definedName>
    <definedName name="ps_quo" localSheetId="2">#REF!</definedName>
    <definedName name="ps_quo" localSheetId="0">#REF!</definedName>
    <definedName name="ps_quo" localSheetId="17">#REF!</definedName>
    <definedName name="ps_quo" localSheetId="11">#REF!</definedName>
    <definedName name="ps_quo" localSheetId="16">#REF!</definedName>
    <definedName name="ps_quo" localSheetId="13">#REF!</definedName>
    <definedName name="ps_quo">#REF!</definedName>
    <definedName name="ps_rec" localSheetId="10">#REF!</definedName>
    <definedName name="ps_rec" localSheetId="2">#REF!</definedName>
    <definedName name="ps_rec" localSheetId="0">#REF!</definedName>
    <definedName name="ps_rec" localSheetId="17">#REF!</definedName>
    <definedName name="ps_rec" localSheetId="11">#REF!</definedName>
    <definedName name="ps_rec" localSheetId="16">#REF!</definedName>
    <definedName name="ps_rec" localSheetId="13">#REF!</definedName>
    <definedName name="ps_rec">#REF!</definedName>
    <definedName name="QQE" localSheetId="17">#REF!</definedName>
    <definedName name="QQE" localSheetId="11">#REF!</definedName>
    <definedName name="QQE" localSheetId="16">#REF!</definedName>
    <definedName name="QQE" localSheetId="13">#REF!</definedName>
    <definedName name="QQE">#REF!</definedName>
    <definedName name="QWE" localSheetId="17">#REF!</definedName>
    <definedName name="QWE" localSheetId="11">#REF!</definedName>
    <definedName name="QWE" localSheetId="16">#REF!</definedName>
    <definedName name="QWE" localSheetId="13">#REF!</definedName>
    <definedName name="QWE">#REF!</definedName>
    <definedName name="roya" localSheetId="10">#REF!</definedName>
    <definedName name="roya" localSheetId="2">#REF!</definedName>
    <definedName name="roya" localSheetId="0">#REF!</definedName>
    <definedName name="roya" localSheetId="17">#REF!</definedName>
    <definedName name="roya" localSheetId="11">#REF!</definedName>
    <definedName name="roya" localSheetId="16">#REF!</definedName>
    <definedName name="roya" localSheetId="13">#REF!</definedName>
    <definedName name="roya">#REF!</definedName>
    <definedName name="Sched_Pay" localSheetId="10">#REF!</definedName>
    <definedName name="Sched_Pay" localSheetId="2">#REF!</definedName>
    <definedName name="Sched_Pay" localSheetId="0">#REF!</definedName>
    <definedName name="Sched_Pay" localSheetId="17">#REF!</definedName>
    <definedName name="Sched_Pay" localSheetId="11">#REF!</definedName>
    <definedName name="Sched_Pay" localSheetId="16">#REF!</definedName>
    <definedName name="Sched_Pay" localSheetId="13">#REF!</definedName>
    <definedName name="Sched_Pay">#REF!</definedName>
    <definedName name="Scheduled_Extra_Payments" localSheetId="10">#REF!</definedName>
    <definedName name="Scheduled_Extra_Payments" localSheetId="2">#REF!</definedName>
    <definedName name="Scheduled_Extra_Payments" localSheetId="0">#REF!</definedName>
    <definedName name="Scheduled_Extra_Payments" localSheetId="17">#REF!</definedName>
    <definedName name="Scheduled_Extra_Payments" localSheetId="11">#REF!</definedName>
    <definedName name="Scheduled_Extra_Payments" localSheetId="16">#REF!</definedName>
    <definedName name="Scheduled_Extra_Payments" localSheetId="13">#REF!</definedName>
    <definedName name="Scheduled_Extra_Payments">#REF!</definedName>
    <definedName name="Scheduled_Interest_Rate" localSheetId="10">#REF!</definedName>
    <definedName name="Scheduled_Interest_Rate" localSheetId="2">#REF!</definedName>
    <definedName name="Scheduled_Interest_Rate" localSheetId="0">#REF!</definedName>
    <definedName name="Scheduled_Interest_Rate" localSheetId="17">#REF!</definedName>
    <definedName name="Scheduled_Interest_Rate" localSheetId="11">#REF!</definedName>
    <definedName name="Scheduled_Interest_Rate" localSheetId="16">#REF!</definedName>
    <definedName name="Scheduled_Interest_Rate" localSheetId="13">#REF!</definedName>
    <definedName name="Scheduled_Interest_Rate">#REF!</definedName>
    <definedName name="Scheduled_Monthly_Payment" localSheetId="10">#REF!</definedName>
    <definedName name="Scheduled_Monthly_Payment" localSheetId="2">#REF!</definedName>
    <definedName name="Scheduled_Monthly_Payment" localSheetId="0">#REF!</definedName>
    <definedName name="Scheduled_Monthly_Payment" localSheetId="17">#REF!</definedName>
    <definedName name="Scheduled_Monthly_Payment" localSheetId="11">#REF!</definedName>
    <definedName name="Scheduled_Monthly_Payment" localSheetId="16">#REF!</definedName>
    <definedName name="Scheduled_Monthly_Payment" localSheetId="13">#REF!</definedName>
    <definedName name="Scheduled_Monthly_Payment">#REF!</definedName>
    <definedName name="sheet" localSheetId="10">#REF!</definedName>
    <definedName name="sheet" localSheetId="2">#REF!</definedName>
    <definedName name="sheet" localSheetId="0">#REF!</definedName>
    <definedName name="sheet" localSheetId="11">#REF!</definedName>
    <definedName name="sheet" localSheetId="16">#REF!</definedName>
    <definedName name="sheet" localSheetId="13">#REF!</definedName>
    <definedName name="sheet">#REF!</definedName>
    <definedName name="SI" localSheetId="10">#REF!</definedName>
    <definedName name="SI" localSheetId="2">#REF!</definedName>
    <definedName name="SI" localSheetId="0">#REF!</definedName>
    <definedName name="SI">#REF!</definedName>
    <definedName name="sss" localSheetId="10">#REF!</definedName>
    <definedName name="sss" localSheetId="2">#REF!</definedName>
    <definedName name="sss" localSheetId="0">#REF!</definedName>
    <definedName name="sss" localSheetId="11">#REF!</definedName>
    <definedName name="sss" localSheetId="16">#REF!</definedName>
    <definedName name="sss" localSheetId="13">#REF!</definedName>
    <definedName name="sss">#REF!</definedName>
    <definedName name="sump" localSheetId="10">#REF!</definedName>
    <definedName name="sump" localSheetId="2">#REF!</definedName>
    <definedName name="sump" localSheetId="0">#REF!</definedName>
    <definedName name="sump" localSheetId="17">#REF!</definedName>
    <definedName name="sump" localSheetId="11">#REF!</definedName>
    <definedName name="sump" localSheetId="16">#REF!</definedName>
    <definedName name="sump" localSheetId="13">#REF!</definedName>
    <definedName name="sump">#REF!</definedName>
    <definedName name="Total_Interest" localSheetId="10">#REF!</definedName>
    <definedName name="Total_Interest" localSheetId="2">#REF!</definedName>
    <definedName name="Total_Interest" localSheetId="0">#REF!</definedName>
    <definedName name="Total_Interest" localSheetId="17">#REF!</definedName>
    <definedName name="Total_Interest" localSheetId="11">#REF!</definedName>
    <definedName name="Total_Interest" localSheetId="16">#REF!</definedName>
    <definedName name="Total_Interest" localSheetId="13">#REF!</definedName>
    <definedName name="Total_Interest">#REF!</definedName>
    <definedName name="Total_Pay" localSheetId="10">#REF!</definedName>
    <definedName name="Total_Pay" localSheetId="2">#REF!</definedName>
    <definedName name="Total_Pay" localSheetId="0">#REF!</definedName>
    <definedName name="Total_Pay" localSheetId="17">#REF!</definedName>
    <definedName name="Total_Pay" localSheetId="11">#REF!</definedName>
    <definedName name="Total_Pay" localSheetId="16">#REF!</definedName>
    <definedName name="Total_Pay" localSheetId="13">#REF!</definedName>
    <definedName name="Total_Pay">#REF!</definedName>
    <definedName name="Total_Payment" localSheetId="10">Scheduled_Payment+Extra_Payment</definedName>
    <definedName name="Total_Payment" localSheetId="2">Scheduled_Payment+Extra_Payment</definedName>
    <definedName name="Total_Payment" localSheetId="0">Scheduled_Payment+Extra_Payment</definedName>
    <definedName name="Total_Payment" localSheetId="17">Scheduled_Payment+Extra_Payment</definedName>
    <definedName name="Total_Payment" localSheetId="11">Scheduled_Payment+Extra_Payment</definedName>
    <definedName name="Total_Payment" localSheetId="16">Scheduled_Payment+Extra_Payment</definedName>
    <definedName name="Total_Payment" localSheetId="1">Scheduled_Payment+Extra_Payment</definedName>
    <definedName name="Total_Payment" localSheetId="13">Scheduled_Payment+Extra_Payment</definedName>
    <definedName name="Total_Payment">Scheduled_Payment+Extra_Payment</definedName>
    <definedName name="v_app" localSheetId="10">#REF!</definedName>
    <definedName name="v_app" localSheetId="2">#REF!</definedName>
    <definedName name="v_app" localSheetId="0">#REF!</definedName>
    <definedName name="v_app" localSheetId="17">#REF!</definedName>
    <definedName name="v_app" localSheetId="11">#REF!</definedName>
    <definedName name="v_app" localSheetId="16">#REF!</definedName>
    <definedName name="v_app" localSheetId="13">#REF!</definedName>
    <definedName name="v_app">#REF!</definedName>
    <definedName name="v_est" localSheetId="10">#REF!</definedName>
    <definedName name="v_est" localSheetId="2">#REF!</definedName>
    <definedName name="v_est" localSheetId="0">#REF!</definedName>
    <definedName name="v_est" localSheetId="17">#REF!</definedName>
    <definedName name="v_est" localSheetId="11">#REF!</definedName>
    <definedName name="v_est" localSheetId="16">#REF!</definedName>
    <definedName name="v_est" localSheetId="13">#REF!</definedName>
    <definedName name="v_est">#REF!</definedName>
    <definedName name="v_paid" localSheetId="10">#REF!</definedName>
    <definedName name="v_paid" localSheetId="2">#REF!</definedName>
    <definedName name="v_paid" localSheetId="0">#REF!</definedName>
    <definedName name="v_paid" localSheetId="17">#REF!</definedName>
    <definedName name="v_paid" localSheetId="11">#REF!</definedName>
    <definedName name="v_paid" localSheetId="16">#REF!</definedName>
    <definedName name="v_paid" localSheetId="13">#REF!</definedName>
    <definedName name="v_paid">#REF!</definedName>
    <definedName name="v_quo" localSheetId="10">#REF!</definedName>
    <definedName name="v_quo" localSheetId="2">#REF!</definedName>
    <definedName name="v_quo" localSheetId="0">#REF!</definedName>
    <definedName name="v_quo" localSheetId="17">#REF!</definedName>
    <definedName name="v_quo" localSheetId="11">#REF!</definedName>
    <definedName name="v_quo" localSheetId="16">#REF!</definedName>
    <definedName name="v_quo" localSheetId="13">#REF!</definedName>
    <definedName name="v_quo">#REF!</definedName>
    <definedName name="v_rec" localSheetId="10">#REF!</definedName>
    <definedName name="v_rec" localSheetId="2">#REF!</definedName>
    <definedName name="v_rec" localSheetId="0">#REF!</definedName>
    <definedName name="v_rec" localSheetId="17">#REF!</definedName>
    <definedName name="v_rec" localSheetId="11">#REF!</definedName>
    <definedName name="v_rec" localSheetId="16">#REF!</definedName>
    <definedName name="v_rec" localSheetId="13">#REF!</definedName>
    <definedName name="v_rec">#REF!</definedName>
    <definedName name="v_tot" localSheetId="10">#REF!</definedName>
    <definedName name="v_tot" localSheetId="2">#REF!</definedName>
    <definedName name="v_tot" localSheetId="0">#REF!</definedName>
    <definedName name="v_tot" localSheetId="17">#REF!</definedName>
    <definedName name="v_tot" localSheetId="11">#REF!</definedName>
    <definedName name="v_tot" localSheetId="16">#REF!</definedName>
    <definedName name="v_tot" localSheetId="13">#REF!</definedName>
    <definedName name="v_tot">#REF!</definedName>
    <definedName name="Values_Entered" localSheetId="10">IF('A3'!Loan_Amount*'A3'!Interest_Rate*'A3'!Loan_Years*'A3'!Loan_Start&gt;0,1,0)</definedName>
    <definedName name="Values_Entered" localSheetId="2">IF('A4 &amp;A3 print'!Loan_Amount*'A4 &amp;A3 print'!Interest_Rate*'A4 &amp;A3 print'!Loan_Years*'A4 &amp;A3 print'!Loan_Start&gt;0,1,0)</definedName>
    <definedName name="Values_Entered" localSheetId="0">IF('Data-prt (2)'!Loan_Amount*'Data-prt (2)'!Interest_Rate*'Data-prt (2)'!Loan_Years*'Data-prt (2)'!Loan_Start&gt;0,1,0)</definedName>
    <definedName name="Values_Entered" localSheetId="17">IF('Detailed Estimate '!Loan_Amount*'Detailed Estimate '!Interest_Rate*'Detailed Estimate '!Loan_Years*'Detailed Estimate '!Loan_Start&gt;0,1,0)</definedName>
    <definedName name="Values_Entered" localSheetId="11">IF(Loan_Amount*Interest_Rate*Loan_Years*Loan_Start&gt;0,1,0)</definedName>
    <definedName name="Values_Entered" localSheetId="16">IF(Loan_Amount*Interest_Rate*Loan_Years*Loan_Start&gt;0,1,0)</definedName>
    <definedName name="Values_Entered" localSheetId="1">IF(Loan_Amount*Interest_Rate*Loan_Years*Loan_Start&gt;0,1,0)</definedName>
    <definedName name="Values_Entered" localSheetId="13">IF(Loan_Amount*Interest_Rate*Loan_Years*Loan_Start&gt;0,1,0)</definedName>
    <definedName name="Values_Entered">IF(Loan_Amount*Interest_Rate*Loan_Years*Loan_Start&gt;0,1,0)</definedName>
    <definedName name="vignesh" localSheetId="17">#REF!</definedName>
    <definedName name="vignesh" localSheetId="11">#REF!</definedName>
    <definedName name="vignesh" localSheetId="16">#REF!</definedName>
    <definedName name="vignesh" localSheetId="13">#REF!</definedName>
    <definedName name="vignesh">#REF!</definedName>
    <definedName name="w" localSheetId="10">#REF!</definedName>
    <definedName name="w" localSheetId="2">#REF!</definedName>
    <definedName name="w" localSheetId="0">#REF!</definedName>
    <definedName name="w" localSheetId="17">#REF!</definedName>
    <definedName name="w">#REF!</definedName>
    <definedName name="xgjhvfxfhkl" localSheetId="10">#REF!</definedName>
    <definedName name="xgjhvfxfhkl" localSheetId="2">#REF!</definedName>
    <definedName name="xgjhvfxfhkl" localSheetId="0">#REF!</definedName>
    <definedName name="xgjhvfxfhkl" localSheetId="11">#REF!</definedName>
    <definedName name="xgjhvfxfhkl" localSheetId="16">#REF!</definedName>
    <definedName name="xgjhvfxfhkl" localSheetId="13">#REF!</definedName>
    <definedName name="xgjhvfxfhkl">#REF!</definedName>
  </definedNames>
  <calcPr calcId="125725" fullPrecision="0"/>
</workbook>
</file>

<file path=xl/calcChain.xml><?xml version="1.0" encoding="utf-8"?>
<calcChain xmlns="http://schemas.openxmlformats.org/spreadsheetml/2006/main">
  <c r="K1747" i="62"/>
  <c r="J1748"/>
  <c r="H25" i="58"/>
  <c r="I7" i="67" l="1"/>
  <c r="I10"/>
  <c r="I13"/>
  <c r="I16"/>
  <c r="I21"/>
  <c r="I24"/>
  <c r="I27"/>
  <c r="I30"/>
  <c r="I31"/>
  <c r="I32"/>
  <c r="I33"/>
  <c r="I34"/>
  <c r="I35"/>
  <c r="I36"/>
  <c r="I47"/>
  <c r="I48"/>
  <c r="I56"/>
  <c r="I57"/>
  <c r="I59"/>
  <c r="I60"/>
  <c r="I63"/>
  <c r="I69"/>
  <c r="I83"/>
  <c r="I89"/>
  <c r="I114"/>
  <c r="I116"/>
  <c r="I118"/>
  <c r="I135"/>
  <c r="I136"/>
  <c r="I137"/>
  <c r="I159"/>
  <c r="I161"/>
  <c r="I163"/>
  <c r="I171"/>
  <c r="I173"/>
  <c r="I189"/>
  <c r="I195"/>
  <c r="I196"/>
  <c r="I197"/>
  <c r="I198"/>
  <c r="I199"/>
  <c r="I200"/>
  <c r="I201"/>
  <c r="I202"/>
  <c r="I203"/>
  <c r="I204"/>
  <c r="I205"/>
  <c r="I206"/>
  <c r="I207"/>
  <c r="I213"/>
  <c r="I214"/>
  <c r="I215"/>
  <c r="I216"/>
  <c r="I217"/>
  <c r="I218"/>
  <c r="I219"/>
  <c r="I225"/>
  <c r="I226"/>
  <c r="I227"/>
  <c r="I228"/>
  <c r="I229"/>
  <c r="I230"/>
  <c r="I231"/>
  <c r="I234"/>
  <c r="I235"/>
  <c r="I248"/>
  <c r="I255"/>
  <c r="I261"/>
  <c r="I294"/>
  <c r="I298"/>
  <c r="I299"/>
  <c r="I303"/>
  <c r="I305"/>
  <c r="I308"/>
  <c r="I309"/>
  <c r="I313"/>
  <c r="I318"/>
  <c r="I331"/>
  <c r="I332"/>
  <c r="I334"/>
  <c r="I336"/>
  <c r="I343"/>
  <c r="I345"/>
  <c r="I349"/>
  <c r="I354"/>
  <c r="I360"/>
  <c r="I363"/>
  <c r="I367"/>
  <c r="I373"/>
  <c r="I379"/>
  <c r="I380"/>
  <c r="I381"/>
  <c r="I382"/>
  <c r="I383"/>
  <c r="I384"/>
  <c r="I385"/>
  <c r="I396"/>
  <c r="I400"/>
  <c r="I402"/>
  <c r="I403"/>
  <c r="I405"/>
  <c r="I407"/>
  <c r="I410"/>
  <c r="I413"/>
  <c r="I416"/>
  <c r="I420"/>
  <c r="I430"/>
  <c r="I438"/>
  <c r="I439"/>
  <c r="I440"/>
  <c r="I444"/>
  <c r="I447"/>
  <c r="I448"/>
  <c r="I453"/>
  <c r="I455"/>
  <c r="I457"/>
  <c r="I458"/>
  <c r="I462"/>
  <c r="I463"/>
  <c r="I467"/>
  <c r="I471"/>
  <c r="I472"/>
  <c r="I473"/>
  <c r="I477"/>
  <c r="I478"/>
  <c r="I484"/>
  <c r="I492"/>
  <c r="I499"/>
  <c r="I505"/>
  <c r="I508"/>
  <c r="I524"/>
  <c r="I530"/>
  <c r="I537"/>
  <c r="I543"/>
  <c r="I550"/>
  <c r="I556"/>
  <c r="I563"/>
  <c r="I569"/>
  <c r="I577"/>
  <c r="I584"/>
  <c r="I592"/>
  <c r="I605"/>
  <c r="I610"/>
  <c r="I619"/>
  <c r="I627"/>
  <c r="I632"/>
  <c r="I634"/>
  <c r="I637"/>
  <c r="I640"/>
  <c r="I641"/>
  <c r="I644"/>
  <c r="I645"/>
  <c r="I647"/>
  <c r="I652"/>
  <c r="I655"/>
  <c r="I660"/>
  <c r="I661"/>
  <c r="I662"/>
  <c r="I663"/>
  <c r="I665"/>
  <c r="I667"/>
  <c r="I669"/>
  <c r="I675"/>
  <c r="I681"/>
  <c r="I687"/>
  <c r="I695"/>
  <c r="I703"/>
  <c r="I709"/>
  <c r="I712"/>
  <c r="I714"/>
  <c r="I724"/>
  <c r="I725"/>
  <c r="I726"/>
  <c r="I728"/>
  <c r="I729"/>
  <c r="I730"/>
  <c r="I732"/>
  <c r="I736"/>
  <c r="I737"/>
  <c r="I755"/>
  <c r="I760"/>
  <c r="I770"/>
  <c r="I773"/>
  <c r="I781"/>
  <c r="I782"/>
  <c r="I783"/>
  <c r="I784"/>
  <c r="I785"/>
  <c r="I786"/>
  <c r="I787"/>
  <c r="I788"/>
  <c r="I789"/>
  <c r="I790"/>
  <c r="I791"/>
  <c r="I792"/>
  <c r="I793"/>
  <c r="I794"/>
  <c r="I795"/>
  <c r="I796"/>
  <c r="I797"/>
  <c r="I798"/>
  <c r="I799"/>
  <c r="I800"/>
  <c r="I801"/>
  <c r="I802"/>
  <c r="I812"/>
  <c r="I813"/>
  <c r="I814"/>
  <c r="I815"/>
  <c r="I816"/>
  <c r="I817"/>
  <c r="I818"/>
  <c r="I819"/>
  <c r="I820"/>
  <c r="I821"/>
  <c r="I822"/>
  <c r="I823"/>
  <c r="I824"/>
  <c r="I825"/>
  <c r="I826"/>
  <c r="I827"/>
  <c r="I828"/>
  <c r="I829"/>
  <c r="I830"/>
  <c r="I831"/>
  <c r="I832"/>
  <c r="I833"/>
  <c r="I834"/>
  <c r="I837"/>
  <c r="I839"/>
  <c r="I840"/>
  <c r="I852"/>
  <c r="I857"/>
  <c r="I862"/>
  <c r="I868"/>
  <c r="I871"/>
  <c r="I879"/>
  <c r="I880"/>
  <c r="I881"/>
  <c r="I882"/>
  <c r="I892"/>
  <c r="I893"/>
  <c r="I894"/>
  <c r="I895"/>
  <c r="I896"/>
  <c r="I897"/>
  <c r="I898"/>
  <c r="I899"/>
  <c r="I900"/>
  <c r="I902"/>
  <c r="I905"/>
  <c r="I911"/>
  <c r="I912"/>
  <c r="I924"/>
  <c r="I931"/>
  <c r="I933"/>
  <c r="I934"/>
  <c r="I935"/>
  <c r="I936"/>
  <c r="I937"/>
  <c r="I938"/>
  <c r="I939"/>
  <c r="I940"/>
  <c r="I941"/>
  <c r="I942"/>
  <c r="I943"/>
  <c r="I944"/>
  <c r="I945"/>
  <c r="I957"/>
  <c r="I959"/>
  <c r="I960"/>
  <c r="I962"/>
  <c r="I967"/>
  <c r="I968"/>
  <c r="I969"/>
  <c r="I971"/>
  <c r="I973"/>
  <c r="I975"/>
  <c r="I976"/>
  <c r="I977"/>
  <c r="I978"/>
  <c r="I979"/>
  <c r="I980"/>
  <c r="I981"/>
  <c r="I982"/>
  <c r="I983"/>
  <c r="I984"/>
  <c r="I985"/>
  <c r="I986"/>
  <c r="I988"/>
  <c r="I989"/>
  <c r="I990"/>
  <c r="I991"/>
  <c r="I994"/>
  <c r="I996"/>
  <c r="I997"/>
  <c r="I998"/>
  <c r="I999"/>
  <c r="I1000"/>
  <c r="I1001"/>
  <c r="I1002"/>
  <c r="I1003"/>
  <c r="I1004"/>
  <c r="I1005"/>
  <c r="I1006"/>
  <c r="I1008"/>
  <c r="I1010"/>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8"/>
  <c r="I1089"/>
  <c r="I1090"/>
  <c r="I1091"/>
  <c r="I1092"/>
  <c r="I1094"/>
  <c r="I1095"/>
  <c r="I1097"/>
  <c r="I1098"/>
  <c r="I1099"/>
  <c r="I1102"/>
  <c r="I1105"/>
  <c r="I1107"/>
  <c r="I1110"/>
  <c r="I1111"/>
  <c r="I1113"/>
  <c r="I1114"/>
  <c r="I1116"/>
  <c r="I1119"/>
  <c r="I1120"/>
  <c r="I1121"/>
  <c r="I1122"/>
  <c r="I1123"/>
  <c r="I1124"/>
  <c r="I1125"/>
  <c r="I1126"/>
  <c r="I1127"/>
  <c r="I1128"/>
  <c r="I1129"/>
  <c r="I1130"/>
  <c r="I1131"/>
  <c r="I1132"/>
  <c r="I1133"/>
  <c r="I1135"/>
  <c r="I1136"/>
  <c r="I1137"/>
  <c r="I1138"/>
  <c r="I1139"/>
  <c r="I1140"/>
  <c r="I1141"/>
  <c r="I1142"/>
  <c r="I1143"/>
  <c r="I1144"/>
  <c r="I1145"/>
  <c r="I1146"/>
  <c r="I1147"/>
  <c r="I1148"/>
  <c r="I1149"/>
  <c r="I1150"/>
  <c r="I1152"/>
  <c r="I1153"/>
  <c r="I1154"/>
  <c r="I1155"/>
  <c r="I1156"/>
  <c r="I1157"/>
  <c r="I1158"/>
  <c r="I1159"/>
  <c r="I1160"/>
  <c r="I1161"/>
  <c r="I1162"/>
  <c r="I1163"/>
  <c r="I1164"/>
  <c r="I1165"/>
  <c r="I1166"/>
  <c r="I1167"/>
  <c r="I1168"/>
  <c r="I1169"/>
  <c r="I1172"/>
  <c r="I1173"/>
  <c r="I1174"/>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G7"/>
  <c r="G10"/>
  <c r="G13"/>
  <c r="G16"/>
  <c r="G21"/>
  <c r="G24"/>
  <c r="G27"/>
  <c r="G30"/>
  <c r="G31"/>
  <c r="G32"/>
  <c r="G33"/>
  <c r="G34"/>
  <c r="G35"/>
  <c r="G36"/>
  <c r="G47"/>
  <c r="G48"/>
  <c r="G56"/>
  <c r="G57"/>
  <c r="G59"/>
  <c r="G60"/>
  <c r="G63"/>
  <c r="G69"/>
  <c r="G83"/>
  <c r="G89"/>
  <c r="G114"/>
  <c r="G116"/>
  <c r="G118"/>
  <c r="G135"/>
  <c r="G136"/>
  <c r="G137"/>
  <c r="G159"/>
  <c r="G161"/>
  <c r="G163"/>
  <c r="G171"/>
  <c r="G173"/>
  <c r="G189"/>
  <c r="G195"/>
  <c r="G196"/>
  <c r="G197"/>
  <c r="G198"/>
  <c r="G199"/>
  <c r="G200"/>
  <c r="G201"/>
  <c r="G202"/>
  <c r="G203"/>
  <c r="G204"/>
  <c r="G205"/>
  <c r="G206"/>
  <c r="G207"/>
  <c r="G213"/>
  <c r="G214"/>
  <c r="G215"/>
  <c r="G216"/>
  <c r="G217"/>
  <c r="G218"/>
  <c r="G219"/>
  <c r="G225"/>
  <c r="G226"/>
  <c r="G227"/>
  <c r="G228"/>
  <c r="G229"/>
  <c r="G230"/>
  <c r="G231"/>
  <c r="G234"/>
  <c r="G235"/>
  <c r="G248"/>
  <c r="G255"/>
  <c r="G261"/>
  <c r="G294"/>
  <c r="G298"/>
  <c r="G299"/>
  <c r="G303"/>
  <c r="G305"/>
  <c r="G308"/>
  <c r="G309"/>
  <c r="G313"/>
  <c r="G318"/>
  <c r="G331"/>
  <c r="G332"/>
  <c r="G334"/>
  <c r="G336"/>
  <c r="G343"/>
  <c r="G345"/>
  <c r="G349"/>
  <c r="G354"/>
  <c r="G360"/>
  <c r="G363"/>
  <c r="G367"/>
  <c r="G373"/>
  <c r="G379"/>
  <c r="G382"/>
  <c r="G385"/>
  <c r="G396"/>
  <c r="G400"/>
  <c r="G402"/>
  <c r="G403"/>
  <c r="G405"/>
  <c r="G407"/>
  <c r="G410"/>
  <c r="G413"/>
  <c r="G416"/>
  <c r="G420"/>
  <c r="G430"/>
  <c r="G438"/>
  <c r="G439"/>
  <c r="G440"/>
  <c r="G448"/>
  <c r="G455"/>
  <c r="G458"/>
  <c r="G462"/>
  <c r="G463"/>
  <c r="G467"/>
  <c r="G471"/>
  <c r="G472"/>
  <c r="G477"/>
  <c r="G478"/>
  <c r="G484"/>
  <c r="G492"/>
  <c r="G499"/>
  <c r="G505"/>
  <c r="G508"/>
  <c r="G524"/>
  <c r="G530"/>
  <c r="G537"/>
  <c r="G543"/>
  <c r="G550"/>
  <c r="G556"/>
  <c r="G563"/>
  <c r="G569"/>
  <c r="G577"/>
  <c r="G584"/>
  <c r="G592"/>
  <c r="G605"/>
  <c r="G610"/>
  <c r="G619"/>
  <c r="G627"/>
  <c r="G632"/>
  <c r="G634"/>
  <c r="G637"/>
  <c r="G641"/>
  <c r="G644"/>
  <c r="G645"/>
  <c r="G647"/>
  <c r="G652"/>
  <c r="G655"/>
  <c r="G660"/>
  <c r="G661"/>
  <c r="G662"/>
  <c r="G663"/>
  <c r="G665"/>
  <c r="G667"/>
  <c r="G669"/>
  <c r="G675"/>
  <c r="G681"/>
  <c r="G687"/>
  <c r="G709"/>
  <c r="G714"/>
  <c r="G725"/>
  <c r="G730"/>
  <c r="G732"/>
  <c r="G736"/>
  <c r="G755"/>
  <c r="G773"/>
  <c r="G781"/>
  <c r="G782"/>
  <c r="G783"/>
  <c r="G784"/>
  <c r="G785"/>
  <c r="G786"/>
  <c r="G787"/>
  <c r="G788"/>
  <c r="G789"/>
  <c r="G790"/>
  <c r="G791"/>
  <c r="G792"/>
  <c r="G793"/>
  <c r="G794"/>
  <c r="G795"/>
  <c r="G796"/>
  <c r="G797"/>
  <c r="G800"/>
  <c r="G812"/>
  <c r="G813"/>
  <c r="G814"/>
  <c r="G815"/>
  <c r="G816"/>
  <c r="G818"/>
  <c r="G820"/>
  <c r="G821"/>
  <c r="G824"/>
  <c r="G825"/>
  <c r="G826"/>
  <c r="G827"/>
  <c r="G828"/>
  <c r="G829"/>
  <c r="G830"/>
  <c r="G831"/>
  <c r="G832"/>
  <c r="G833"/>
  <c r="G834"/>
  <c r="G837"/>
  <c r="G839"/>
  <c r="G840"/>
  <c r="G852"/>
  <c r="G857"/>
  <c r="G862"/>
  <c r="G868"/>
  <c r="G871"/>
  <c r="G879"/>
  <c r="G880"/>
  <c r="G881"/>
  <c r="G882"/>
  <c r="G892"/>
  <c r="G895"/>
  <c r="G898"/>
  <c r="G905"/>
  <c r="G911"/>
  <c r="G912"/>
  <c r="G924"/>
  <c r="G931"/>
  <c r="G933"/>
  <c r="G934"/>
  <c r="G935"/>
  <c r="G936"/>
  <c r="G937"/>
  <c r="G938"/>
  <c r="G939"/>
  <c r="G940"/>
  <c r="G941"/>
  <c r="G942"/>
  <c r="G943"/>
  <c r="G944"/>
  <c r="G945"/>
  <c r="G957"/>
  <c r="G959"/>
  <c r="G962"/>
  <c r="G971"/>
  <c r="G973"/>
  <c r="G976"/>
  <c r="G979"/>
  <c r="G980"/>
  <c r="G981"/>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8"/>
  <c r="G1089"/>
  <c r="G1090"/>
  <c r="G1091"/>
  <c r="G1092"/>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4"/>
  <c r="G1146"/>
  <c r="G1147"/>
  <c r="G1148"/>
  <c r="G1149"/>
  <c r="G1150"/>
  <c r="G1151"/>
  <c r="G1152"/>
  <c r="G1153"/>
  <c r="G1154"/>
  <c r="G1155"/>
  <c r="G1156"/>
  <c r="G1157"/>
  <c r="G1160"/>
  <c r="G1161"/>
  <c r="G1162"/>
  <c r="G1163"/>
  <c r="G1164"/>
  <c r="G1165"/>
  <c r="G1166"/>
  <c r="G1167"/>
  <c r="G1168"/>
  <c r="G1169"/>
  <c r="G1172"/>
  <c r="G1173"/>
  <c r="G1174"/>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5"/>
  <c r="G1256"/>
  <c r="G1257"/>
  <c r="G1258"/>
  <c r="G1259"/>
  <c r="G1260"/>
  <c r="G1261"/>
  <c r="G1262"/>
  <c r="G1263"/>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P972"/>
  <c r="B972" s="1"/>
  <c r="I2254" i="68" l="1"/>
  <c r="I2255" s="1"/>
  <c r="F630" i="67" s="1"/>
  <c r="L2965" i="27" l="1"/>
  <c r="L2945"/>
  <c r="L2899"/>
  <c r="L2884"/>
  <c r="L2860"/>
  <c r="G1069" i="56"/>
  <c r="G9834" i="70"/>
  <c r="F9834"/>
  <c r="E9834"/>
  <c r="D9834"/>
  <c r="C9834"/>
  <c r="B9834"/>
  <c r="A9834"/>
  <c r="F3"/>
  <c r="E3"/>
  <c r="D3"/>
  <c r="C3"/>
  <c r="B3"/>
  <c r="A3"/>
  <c r="F2"/>
  <c r="E2"/>
  <c r="D2"/>
  <c r="C2"/>
  <c r="B2"/>
  <c r="A2"/>
  <c r="N7" i="69"/>
  <c r="O7" s="1"/>
  <c r="N6"/>
  <c r="N5"/>
  <c r="G24" i="58"/>
  <c r="B4" i="69"/>
  <c r="G1834"/>
  <c r="G1833"/>
  <c r="G1832"/>
  <c r="G1831"/>
  <c r="G1830"/>
  <c r="G1829"/>
  <c r="G1828"/>
  <c r="G1827"/>
  <c r="G1826"/>
  <c r="G1825"/>
  <c r="G1824"/>
  <c r="G1823"/>
  <c r="G1822"/>
  <c r="G1821"/>
  <c r="G1820"/>
  <c r="G1819"/>
  <c r="G1818"/>
  <c r="G1817"/>
  <c r="G1816"/>
  <c r="G1815"/>
  <c r="G1814"/>
  <c r="G1813"/>
  <c r="G1812"/>
  <c r="G1811"/>
  <c r="G1810"/>
  <c r="G1809"/>
  <c r="G1808"/>
  <c r="G1807"/>
  <c r="G1806"/>
  <c r="G1805"/>
  <c r="G1804"/>
  <c r="G1803"/>
  <c r="G1802"/>
  <c r="G1801"/>
  <c r="G1800"/>
  <c r="G1799"/>
  <c r="G1798"/>
  <c r="G1797"/>
  <c r="G1796"/>
  <c r="G1795"/>
  <c r="G1794"/>
  <c r="G1793"/>
  <c r="G1792"/>
  <c r="G1791"/>
  <c r="G1790"/>
  <c r="G1789"/>
  <c r="G1788"/>
  <c r="G1787"/>
  <c r="G1786"/>
  <c r="G1785"/>
  <c r="G1784"/>
  <c r="G1783"/>
  <c r="G1782"/>
  <c r="G1781"/>
  <c r="G1780"/>
  <c r="G1779"/>
  <c r="G1778"/>
  <c r="G1777"/>
  <c r="G1776"/>
  <c r="G1775"/>
  <c r="G1774"/>
  <c r="G1773"/>
  <c r="G1772"/>
  <c r="G1771"/>
  <c r="G1770"/>
  <c r="G1769"/>
  <c r="G1768"/>
  <c r="G1767"/>
  <c r="G1766"/>
  <c r="G1765"/>
  <c r="G1764"/>
  <c r="G1763"/>
  <c r="G1762"/>
  <c r="G1761"/>
  <c r="G1760"/>
  <c r="G1759"/>
  <c r="G1758"/>
  <c r="G1757"/>
  <c r="G1756"/>
  <c r="G1755"/>
  <c r="G1754"/>
  <c r="G1753"/>
  <c r="G1752"/>
  <c r="G1751"/>
  <c r="G1750"/>
  <c r="G1749"/>
  <c r="G1748"/>
  <c r="G1747"/>
  <c r="G1746"/>
  <c r="G1745"/>
  <c r="G1744"/>
  <c r="G1743"/>
  <c r="G1742"/>
  <c r="G1741"/>
  <c r="G1740"/>
  <c r="G1739"/>
  <c r="G1738"/>
  <c r="G1737"/>
  <c r="G1736"/>
  <c r="G1735"/>
  <c r="G1734"/>
  <c r="G1733"/>
  <c r="G1732"/>
  <c r="G1731"/>
  <c r="G1730"/>
  <c r="G1729"/>
  <c r="G1728"/>
  <c r="G1727"/>
  <c r="G1726"/>
  <c r="G1725"/>
  <c r="G1724"/>
  <c r="G1723"/>
  <c r="G1722"/>
  <c r="G1721"/>
  <c r="G1720"/>
  <c r="G1719"/>
  <c r="G1718"/>
  <c r="G1717"/>
  <c r="G1716"/>
  <c r="G1715"/>
  <c r="G1714"/>
  <c r="G1713"/>
  <c r="G1712"/>
  <c r="G1711"/>
  <c r="G1710"/>
  <c r="G1709"/>
  <c r="G1708"/>
  <c r="G1707"/>
  <c r="G1706"/>
  <c r="G1705"/>
  <c r="G1704"/>
  <c r="G1703"/>
  <c r="G1702"/>
  <c r="G1701"/>
  <c r="G1700"/>
  <c r="G1699"/>
  <c r="G1698"/>
  <c r="G1697"/>
  <c r="G1696"/>
  <c r="G1695"/>
  <c r="G1694"/>
  <c r="G1693"/>
  <c r="G1692"/>
  <c r="G1691"/>
  <c r="G1690"/>
  <c r="G1689"/>
  <c r="G1688"/>
  <c r="G1687"/>
  <c r="G1686"/>
  <c r="G1685"/>
  <c r="G1684"/>
  <c r="G1683"/>
  <c r="G1682"/>
  <c r="G1681"/>
  <c r="G1680"/>
  <c r="G1679"/>
  <c r="G1678"/>
  <c r="G1677"/>
  <c r="G1676"/>
  <c r="G1675"/>
  <c r="G1674"/>
  <c r="G1673"/>
  <c r="G1672"/>
  <c r="G1671"/>
  <c r="G1670"/>
  <c r="G1669"/>
  <c r="G1668"/>
  <c r="G1667"/>
  <c r="G1666"/>
  <c r="G1665"/>
  <c r="G1664"/>
  <c r="G1663"/>
  <c r="G1662"/>
  <c r="G1661"/>
  <c r="G1660"/>
  <c r="G1659"/>
  <c r="G1658"/>
  <c r="G1657"/>
  <c r="G1656"/>
  <c r="G1655"/>
  <c r="G1654"/>
  <c r="G1653"/>
  <c r="G1652"/>
  <c r="G1651"/>
  <c r="G1650"/>
  <c r="G1649"/>
  <c r="G1648"/>
  <c r="G1647"/>
  <c r="G1646"/>
  <c r="G1645"/>
  <c r="G1644"/>
  <c r="G1643"/>
  <c r="G1642"/>
  <c r="G1641"/>
  <c r="G1640"/>
  <c r="G1639"/>
  <c r="G1638"/>
  <c r="G1637"/>
  <c r="G1636"/>
  <c r="G1635"/>
  <c r="G1634"/>
  <c r="G1633"/>
  <c r="G1632"/>
  <c r="G1631"/>
  <c r="G1630"/>
  <c r="G1629"/>
  <c r="G1628"/>
  <c r="G1627"/>
  <c r="G1626"/>
  <c r="G1625"/>
  <c r="G1624"/>
  <c r="G1623"/>
  <c r="G1622"/>
  <c r="G1621"/>
  <c r="G1620"/>
  <c r="G1619"/>
  <c r="G1618"/>
  <c r="G1617"/>
  <c r="G1616"/>
  <c r="G1615"/>
  <c r="G1614"/>
  <c r="G1613"/>
  <c r="G1612"/>
  <c r="G1611"/>
  <c r="G1610"/>
  <c r="G1609"/>
  <c r="G1608"/>
  <c r="G1607"/>
  <c r="G1606"/>
  <c r="G1605"/>
  <c r="G1604"/>
  <c r="G1603"/>
  <c r="G1602"/>
  <c r="G1601"/>
  <c r="G1600"/>
  <c r="G1599"/>
  <c r="G1598"/>
  <c r="G1597"/>
  <c r="G1596"/>
  <c r="G1595"/>
  <c r="G1594"/>
  <c r="G1593"/>
  <c r="G1592"/>
  <c r="G1591"/>
  <c r="G1590"/>
  <c r="G1589"/>
  <c r="G1588"/>
  <c r="G1587"/>
  <c r="G1586"/>
  <c r="G1585"/>
  <c r="G1584"/>
  <c r="G1583"/>
  <c r="G1582"/>
  <c r="G1581"/>
  <c r="G1580"/>
  <c r="G1579"/>
  <c r="G1578"/>
  <c r="G1577"/>
  <c r="G1576"/>
  <c r="G1575"/>
  <c r="G1574"/>
  <c r="G1573"/>
  <c r="G1572"/>
  <c r="G1571"/>
  <c r="G1570"/>
  <c r="G1569"/>
  <c r="G1568"/>
  <c r="G1567"/>
  <c r="G1566"/>
  <c r="D1537"/>
  <c r="G1537" s="1"/>
  <c r="D1536"/>
  <c r="G1536" s="1"/>
  <c r="D1535"/>
  <c r="G1535" s="1"/>
  <c r="D1534"/>
  <c r="G1534" s="1"/>
  <c r="D1532"/>
  <c r="G1532" s="1"/>
  <c r="D1531"/>
  <c r="G1531" s="1"/>
  <c r="D1530"/>
  <c r="G1530" s="1"/>
  <c r="D1529"/>
  <c r="G1529" s="1"/>
  <c r="D1528"/>
  <c r="G1528" s="1"/>
  <c r="D1527"/>
  <c r="G1527" s="1"/>
  <c r="D1526"/>
  <c r="G1526" s="1"/>
  <c r="D1525"/>
  <c r="G1525" s="1"/>
  <c r="D1524"/>
  <c r="G1524" s="1"/>
  <c r="D1523"/>
  <c r="G1523" s="1"/>
  <c r="D1499"/>
  <c r="G1499" s="1"/>
  <c r="D1495"/>
  <c r="G1495" s="1"/>
  <c r="D1494"/>
  <c r="G1494" s="1"/>
  <c r="D1493"/>
  <c r="G1493" s="1"/>
  <c r="D1488"/>
  <c r="G1488" s="1"/>
  <c r="D1487"/>
  <c r="G1487" s="1"/>
  <c r="D1486"/>
  <c r="G1486" s="1"/>
  <c r="C1484"/>
  <c r="D1483"/>
  <c r="G1483" s="1"/>
  <c r="D1476"/>
  <c r="G1476" s="1"/>
  <c r="G1475"/>
  <c r="G1474"/>
  <c r="G1473"/>
  <c r="G1472"/>
  <c r="G1468"/>
  <c r="G1467"/>
  <c r="G1466"/>
  <c r="D1465"/>
  <c r="N1464"/>
  <c r="O1464" s="1"/>
  <c r="M1464"/>
  <c r="K1464"/>
  <c r="I1464"/>
  <c r="G1464"/>
  <c r="C1464"/>
  <c r="P1463"/>
  <c r="N1463"/>
  <c r="O1463" s="1"/>
  <c r="M1463"/>
  <c r="K1463"/>
  <c r="I1463"/>
  <c r="G1463"/>
  <c r="C1463"/>
  <c r="P1462"/>
  <c r="N1462"/>
  <c r="O1462" s="1"/>
  <c r="M1462"/>
  <c r="K1462"/>
  <c r="I1462"/>
  <c r="G1462"/>
  <c r="C1462"/>
  <c r="P1461"/>
  <c r="N1461"/>
  <c r="O1461" s="1"/>
  <c r="M1461"/>
  <c r="K1461"/>
  <c r="I1461"/>
  <c r="G1461"/>
  <c r="C1461"/>
  <c r="N1460"/>
  <c r="O1460" s="1"/>
  <c r="M1460"/>
  <c r="K1460"/>
  <c r="I1460"/>
  <c r="G1460"/>
  <c r="C1460"/>
  <c r="P1459"/>
  <c r="N1459"/>
  <c r="O1459" s="1"/>
  <c r="M1459"/>
  <c r="K1459"/>
  <c r="I1459"/>
  <c r="G1459"/>
  <c r="C1459"/>
  <c r="P1458"/>
  <c r="N1458"/>
  <c r="O1458" s="1"/>
  <c r="M1458"/>
  <c r="K1458"/>
  <c r="I1458"/>
  <c r="G1458"/>
  <c r="C1458"/>
  <c r="P1457"/>
  <c r="N1457"/>
  <c r="O1457" s="1"/>
  <c r="M1457"/>
  <c r="K1457"/>
  <c r="I1457"/>
  <c r="G1457"/>
  <c r="C1457"/>
  <c r="N1456"/>
  <c r="O1456" s="1"/>
  <c r="M1456"/>
  <c r="K1456"/>
  <c r="I1456"/>
  <c r="G1456"/>
  <c r="C1456"/>
  <c r="P1455"/>
  <c r="N1455"/>
  <c r="O1455" s="1"/>
  <c r="M1455"/>
  <c r="K1455"/>
  <c r="I1455"/>
  <c r="G1455"/>
  <c r="C1455"/>
  <c r="P1454"/>
  <c r="N1454"/>
  <c r="O1454" s="1"/>
  <c r="M1454"/>
  <c r="K1454"/>
  <c r="I1454"/>
  <c r="G1454"/>
  <c r="C1454"/>
  <c r="N1453"/>
  <c r="O1453" s="1"/>
  <c r="M1453"/>
  <c r="K1453"/>
  <c r="I1453"/>
  <c r="G1453"/>
  <c r="C1453"/>
  <c r="N1452"/>
  <c r="O1452" s="1"/>
  <c r="M1452"/>
  <c r="K1452"/>
  <c r="I1452"/>
  <c r="G1452"/>
  <c r="C1452"/>
  <c r="P1451"/>
  <c r="N1451"/>
  <c r="O1451" s="1"/>
  <c r="M1451"/>
  <c r="K1451"/>
  <c r="I1451"/>
  <c r="G1451"/>
  <c r="C1451"/>
  <c r="N1450"/>
  <c r="P1450" s="1"/>
  <c r="Q1450" s="1"/>
  <c r="M1450"/>
  <c r="K1450"/>
  <c r="I1450"/>
  <c r="G1450"/>
  <c r="N1449"/>
  <c r="P1449" s="1"/>
  <c r="Q1449" s="1"/>
  <c r="M1449"/>
  <c r="K1449"/>
  <c r="I1449"/>
  <c r="G1449"/>
  <c r="N1448"/>
  <c r="P1448"/>
  <c r="Q1448" s="1"/>
  <c r="M1448"/>
  <c r="K1448"/>
  <c r="I1448"/>
  <c r="G1448"/>
  <c r="N1447"/>
  <c r="P1447" s="1"/>
  <c r="Q1447" s="1"/>
  <c r="M1447"/>
  <c r="K1447"/>
  <c r="I1447"/>
  <c r="G1447"/>
  <c r="N1446"/>
  <c r="P1446" s="1"/>
  <c r="Q1446" s="1"/>
  <c r="M1446"/>
  <c r="K1446"/>
  <c r="I1446"/>
  <c r="G1446"/>
  <c r="N1445"/>
  <c r="P1445" s="1"/>
  <c r="Q1445" s="1"/>
  <c r="M1445"/>
  <c r="K1445"/>
  <c r="I1445"/>
  <c r="G1445"/>
  <c r="N1444"/>
  <c r="P1444"/>
  <c r="Q1444" s="1"/>
  <c r="M1444"/>
  <c r="K1444"/>
  <c r="I1444"/>
  <c r="G1444"/>
  <c r="N1443"/>
  <c r="P1443" s="1"/>
  <c r="Q1443" s="1"/>
  <c r="M1443"/>
  <c r="K1443"/>
  <c r="I1443"/>
  <c r="G1443"/>
  <c r="N1442"/>
  <c r="P1442" s="1"/>
  <c r="Q1442" s="1"/>
  <c r="M1442"/>
  <c r="K1442"/>
  <c r="I1442"/>
  <c r="G1442"/>
  <c r="N1441"/>
  <c r="P1441" s="1"/>
  <c r="Q1441" s="1"/>
  <c r="M1441"/>
  <c r="K1441"/>
  <c r="I1441"/>
  <c r="G1441"/>
  <c r="N1440"/>
  <c r="P1440" s="1"/>
  <c r="Q1440" s="1"/>
  <c r="M1440"/>
  <c r="K1440"/>
  <c r="I1440"/>
  <c r="G1440"/>
  <c r="N1439"/>
  <c r="P1439" s="1"/>
  <c r="Q1439" s="1"/>
  <c r="M1439"/>
  <c r="K1439"/>
  <c r="I1439"/>
  <c r="G1439"/>
  <c r="N1438"/>
  <c r="P1438" s="1"/>
  <c r="Q1438" s="1"/>
  <c r="M1438"/>
  <c r="K1438"/>
  <c r="I1438"/>
  <c r="G1438"/>
  <c r="N1437"/>
  <c r="P1437" s="1"/>
  <c r="Q1437" s="1"/>
  <c r="M1437"/>
  <c r="K1437"/>
  <c r="I1437"/>
  <c r="G1437"/>
  <c r="N1436"/>
  <c r="P1436" s="1"/>
  <c r="Q1436" s="1"/>
  <c r="M1436"/>
  <c r="K1436"/>
  <c r="I1436"/>
  <c r="G1436"/>
  <c r="N1435"/>
  <c r="P1435" s="1"/>
  <c r="Q1435" s="1"/>
  <c r="M1435"/>
  <c r="K1435"/>
  <c r="I1435"/>
  <c r="G1435"/>
  <c r="N1434"/>
  <c r="P1434" s="1"/>
  <c r="Q1434" s="1"/>
  <c r="M1434"/>
  <c r="K1434"/>
  <c r="I1434"/>
  <c r="G1434"/>
  <c r="N1433"/>
  <c r="P1433" s="1"/>
  <c r="Q1433" s="1"/>
  <c r="M1433"/>
  <c r="K1433"/>
  <c r="I1433"/>
  <c r="G1433"/>
  <c r="N1432"/>
  <c r="P1432"/>
  <c r="Q1432" s="1"/>
  <c r="M1432"/>
  <c r="K1432"/>
  <c r="I1432"/>
  <c r="G1432"/>
  <c r="N1431"/>
  <c r="P1431" s="1"/>
  <c r="Q1431" s="1"/>
  <c r="M1431"/>
  <c r="K1431"/>
  <c r="I1431"/>
  <c r="G1431"/>
  <c r="N1430"/>
  <c r="P1430" s="1"/>
  <c r="Q1430" s="1"/>
  <c r="M1430"/>
  <c r="K1430"/>
  <c r="I1430"/>
  <c r="G1430"/>
  <c r="N1429"/>
  <c r="P1429" s="1"/>
  <c r="Q1429" s="1"/>
  <c r="M1429"/>
  <c r="K1429"/>
  <c r="I1429"/>
  <c r="G1429"/>
  <c r="N1428"/>
  <c r="P1428" s="1"/>
  <c r="Q1428" s="1"/>
  <c r="M1428"/>
  <c r="K1428"/>
  <c r="I1428"/>
  <c r="G1428"/>
  <c r="N1427"/>
  <c r="P1427" s="1"/>
  <c r="Q1427" s="1"/>
  <c r="M1427"/>
  <c r="K1427"/>
  <c r="I1427"/>
  <c r="G1427"/>
  <c r="N1426"/>
  <c r="P1426" s="1"/>
  <c r="Q1426" s="1"/>
  <c r="M1426"/>
  <c r="K1426"/>
  <c r="I1426"/>
  <c r="G1426"/>
  <c r="N1425"/>
  <c r="P1425" s="1"/>
  <c r="Q1425" s="1"/>
  <c r="M1425"/>
  <c r="K1425"/>
  <c r="I1425"/>
  <c r="G1425"/>
  <c r="N1424"/>
  <c r="P1424"/>
  <c r="Q1424" s="1"/>
  <c r="M1424"/>
  <c r="K1424"/>
  <c r="I1424"/>
  <c r="G1424"/>
  <c r="N1423"/>
  <c r="P1423" s="1"/>
  <c r="Q1423" s="1"/>
  <c r="M1423"/>
  <c r="K1423"/>
  <c r="I1423"/>
  <c r="G1423"/>
  <c r="N1422"/>
  <c r="P1422" s="1"/>
  <c r="Q1422" s="1"/>
  <c r="M1422"/>
  <c r="K1422"/>
  <c r="I1422"/>
  <c r="G1422"/>
  <c r="N1421"/>
  <c r="P1421" s="1"/>
  <c r="Q1421" s="1"/>
  <c r="M1421"/>
  <c r="K1421"/>
  <c r="I1421"/>
  <c r="G1421"/>
  <c r="N1420"/>
  <c r="P1420"/>
  <c r="Q1420" s="1"/>
  <c r="M1420"/>
  <c r="K1420"/>
  <c r="I1420"/>
  <c r="G1420"/>
  <c r="N1419"/>
  <c r="P1419" s="1"/>
  <c r="Q1419" s="1"/>
  <c r="M1419"/>
  <c r="K1419"/>
  <c r="I1419"/>
  <c r="G1419"/>
  <c r="N1418"/>
  <c r="P1418" s="1"/>
  <c r="Q1418" s="1"/>
  <c r="M1418"/>
  <c r="K1418"/>
  <c r="I1418"/>
  <c r="G1418"/>
  <c r="N1417"/>
  <c r="P1417" s="1"/>
  <c r="Q1417" s="1"/>
  <c r="M1417"/>
  <c r="K1417"/>
  <c r="I1417"/>
  <c r="G1417"/>
  <c r="N1416"/>
  <c r="P1416" s="1"/>
  <c r="Q1416" s="1"/>
  <c r="M1416"/>
  <c r="K1416"/>
  <c r="I1416"/>
  <c r="G1416"/>
  <c r="N1415"/>
  <c r="P1415"/>
  <c r="Q1415"/>
  <c r="M1415"/>
  <c r="K1415"/>
  <c r="I1415"/>
  <c r="G1415"/>
  <c r="N1414"/>
  <c r="P1414" s="1"/>
  <c r="Q1414" s="1"/>
  <c r="M1414"/>
  <c r="K1414"/>
  <c r="I1414"/>
  <c r="G1414"/>
  <c r="N1413"/>
  <c r="P1413" s="1"/>
  <c r="Q1413" s="1"/>
  <c r="M1413"/>
  <c r="K1413"/>
  <c r="I1413"/>
  <c r="G1413"/>
  <c r="N1412"/>
  <c r="P1412"/>
  <c r="Q1412" s="1"/>
  <c r="M1412"/>
  <c r="K1412"/>
  <c r="I1412"/>
  <c r="G1412"/>
  <c r="N1411"/>
  <c r="P1411" s="1"/>
  <c r="Q1411" s="1"/>
  <c r="M1411"/>
  <c r="K1411"/>
  <c r="I1411"/>
  <c r="G1411"/>
  <c r="N1410"/>
  <c r="P1410" s="1"/>
  <c r="Q1410" s="1"/>
  <c r="M1410"/>
  <c r="K1410"/>
  <c r="I1410"/>
  <c r="G1410"/>
  <c r="N1409"/>
  <c r="P1409" s="1"/>
  <c r="Q1409" s="1"/>
  <c r="M1409"/>
  <c r="K1409"/>
  <c r="I1409"/>
  <c r="G1409"/>
  <c r="N1408"/>
  <c r="P1408"/>
  <c r="Q1408" s="1"/>
  <c r="M1408"/>
  <c r="K1408"/>
  <c r="I1408"/>
  <c r="G1408"/>
  <c r="N1407"/>
  <c r="P1407" s="1"/>
  <c r="Q1407" s="1"/>
  <c r="M1407"/>
  <c r="K1407"/>
  <c r="I1407"/>
  <c r="G1407"/>
  <c r="N1406"/>
  <c r="P1406" s="1"/>
  <c r="Q1406" s="1"/>
  <c r="M1406"/>
  <c r="K1406"/>
  <c r="I1406"/>
  <c r="G1406"/>
  <c r="N1405"/>
  <c r="P1405" s="1"/>
  <c r="Q1405" s="1"/>
  <c r="M1405"/>
  <c r="K1405"/>
  <c r="I1405"/>
  <c r="G1405"/>
  <c r="N1404"/>
  <c r="P1404"/>
  <c r="Q1404" s="1"/>
  <c r="M1404"/>
  <c r="K1404"/>
  <c r="I1404"/>
  <c r="G1404"/>
  <c r="N1403"/>
  <c r="P1403" s="1"/>
  <c r="Q1403" s="1"/>
  <c r="M1403"/>
  <c r="K1403"/>
  <c r="I1403"/>
  <c r="G1403"/>
  <c r="N1402"/>
  <c r="P1402" s="1"/>
  <c r="Q1402" s="1"/>
  <c r="M1402"/>
  <c r="K1402"/>
  <c r="I1402"/>
  <c r="G1402"/>
  <c r="N1401"/>
  <c r="P1401" s="1"/>
  <c r="Q1401" s="1"/>
  <c r="M1401"/>
  <c r="K1401"/>
  <c r="I1401"/>
  <c r="G1401"/>
  <c r="N1400"/>
  <c r="P1400"/>
  <c r="Q1400" s="1"/>
  <c r="M1400"/>
  <c r="K1400"/>
  <c r="I1400"/>
  <c r="G1400"/>
  <c r="N1399"/>
  <c r="P1399" s="1"/>
  <c r="Q1399" s="1"/>
  <c r="M1399"/>
  <c r="K1399"/>
  <c r="I1399"/>
  <c r="G1399"/>
  <c r="N1398"/>
  <c r="P1398" s="1"/>
  <c r="Q1398" s="1"/>
  <c r="M1398"/>
  <c r="K1398"/>
  <c r="I1398"/>
  <c r="G1398"/>
  <c r="N1397"/>
  <c r="P1397" s="1"/>
  <c r="Q1397" s="1"/>
  <c r="M1397"/>
  <c r="K1397"/>
  <c r="I1397"/>
  <c r="G1397"/>
  <c r="N1396"/>
  <c r="P1396"/>
  <c r="Q1396" s="1"/>
  <c r="M1396"/>
  <c r="K1396"/>
  <c r="I1396"/>
  <c r="G1396"/>
  <c r="N1395"/>
  <c r="P1395" s="1"/>
  <c r="Q1395" s="1"/>
  <c r="M1395"/>
  <c r="K1395"/>
  <c r="I1395"/>
  <c r="G1395"/>
  <c r="N1394"/>
  <c r="P1394" s="1"/>
  <c r="Q1394" s="1"/>
  <c r="M1394"/>
  <c r="K1394"/>
  <c r="I1394"/>
  <c r="G1394"/>
  <c r="N1393"/>
  <c r="P1393" s="1"/>
  <c r="Q1393" s="1"/>
  <c r="M1393"/>
  <c r="K1393"/>
  <c r="I1393"/>
  <c r="G1393"/>
  <c r="N1392"/>
  <c r="P1392"/>
  <c r="Q1392" s="1"/>
  <c r="M1392"/>
  <c r="K1392"/>
  <c r="I1392"/>
  <c r="G1392"/>
  <c r="N1391"/>
  <c r="P1391" s="1"/>
  <c r="Q1391" s="1"/>
  <c r="M1391"/>
  <c r="K1391"/>
  <c r="I1391"/>
  <c r="G1391"/>
  <c r="N1390"/>
  <c r="P1390" s="1"/>
  <c r="Q1390" s="1"/>
  <c r="M1390"/>
  <c r="K1390"/>
  <c r="I1390"/>
  <c r="G1390"/>
  <c r="N1389"/>
  <c r="P1389" s="1"/>
  <c r="Q1389" s="1"/>
  <c r="M1389"/>
  <c r="K1389"/>
  <c r="I1389"/>
  <c r="G1389"/>
  <c r="N1388"/>
  <c r="P1388" s="1"/>
  <c r="Q1388" s="1"/>
  <c r="M1388"/>
  <c r="K1388"/>
  <c r="I1388"/>
  <c r="G1388"/>
  <c r="N1387"/>
  <c r="P1387"/>
  <c r="Q1387" s="1"/>
  <c r="M1387"/>
  <c r="K1387"/>
  <c r="I1387"/>
  <c r="G1387"/>
  <c r="N1386"/>
  <c r="P1386" s="1"/>
  <c r="Q1386" s="1"/>
  <c r="M1386"/>
  <c r="K1386"/>
  <c r="I1386"/>
  <c r="G1386"/>
  <c r="N1385"/>
  <c r="P1385" s="1"/>
  <c r="Q1385" s="1"/>
  <c r="M1385"/>
  <c r="K1385"/>
  <c r="I1385"/>
  <c r="G1385"/>
  <c r="N1384"/>
  <c r="P1384" s="1"/>
  <c r="Q1384" s="1"/>
  <c r="M1384"/>
  <c r="K1384"/>
  <c r="I1384"/>
  <c r="G1384"/>
  <c r="N1383"/>
  <c r="P1383" s="1"/>
  <c r="Q1383" s="1"/>
  <c r="M1383"/>
  <c r="K1383"/>
  <c r="I1383"/>
  <c r="G1383"/>
  <c r="N1382"/>
  <c r="P1382" s="1"/>
  <c r="Q1382" s="1"/>
  <c r="M1382"/>
  <c r="K1382"/>
  <c r="I1382"/>
  <c r="G1382"/>
  <c r="N1381"/>
  <c r="P1381" s="1"/>
  <c r="Q1381" s="1"/>
  <c r="M1381"/>
  <c r="K1381"/>
  <c r="I1381"/>
  <c r="G1381"/>
  <c r="N1380"/>
  <c r="P1380"/>
  <c r="Q1380" s="1"/>
  <c r="M1380"/>
  <c r="K1380"/>
  <c r="I1380"/>
  <c r="G1380"/>
  <c r="N1379"/>
  <c r="P1379" s="1"/>
  <c r="Q1379" s="1"/>
  <c r="M1379"/>
  <c r="K1379"/>
  <c r="I1379"/>
  <c r="G1379"/>
  <c r="N1378"/>
  <c r="P1378" s="1"/>
  <c r="Q1378" s="1"/>
  <c r="M1378"/>
  <c r="K1378"/>
  <c r="I1378"/>
  <c r="G1378"/>
  <c r="N1377"/>
  <c r="P1377" s="1"/>
  <c r="Q1377" s="1"/>
  <c r="M1377"/>
  <c r="K1377"/>
  <c r="I1377"/>
  <c r="G1377"/>
  <c r="N1376"/>
  <c r="P1376"/>
  <c r="Q1376" s="1"/>
  <c r="M1376"/>
  <c r="K1376"/>
  <c r="I1376"/>
  <c r="G1376"/>
  <c r="N1375"/>
  <c r="P1375" s="1"/>
  <c r="Q1375" s="1"/>
  <c r="M1375"/>
  <c r="K1375"/>
  <c r="I1375"/>
  <c r="G1375"/>
  <c r="N1374"/>
  <c r="P1374" s="1"/>
  <c r="Q1374" s="1"/>
  <c r="M1374"/>
  <c r="K1374"/>
  <c r="I1374"/>
  <c r="G1374"/>
  <c r="N1373"/>
  <c r="P1373" s="1"/>
  <c r="Q1373" s="1"/>
  <c r="M1373"/>
  <c r="K1373"/>
  <c r="I1373"/>
  <c r="G1373"/>
  <c r="N1372"/>
  <c r="P1372" s="1"/>
  <c r="Q1372" s="1"/>
  <c r="M1372"/>
  <c r="K1372"/>
  <c r="I1372"/>
  <c r="G1372"/>
  <c r="N1371"/>
  <c r="P1371" s="1"/>
  <c r="Q1371" s="1"/>
  <c r="M1371"/>
  <c r="K1371"/>
  <c r="I1371"/>
  <c r="G1371"/>
  <c r="N1370"/>
  <c r="P1370" s="1"/>
  <c r="Q1370" s="1"/>
  <c r="M1370"/>
  <c r="K1370"/>
  <c r="I1370"/>
  <c r="G1370"/>
  <c r="N1369"/>
  <c r="P1369" s="1"/>
  <c r="Q1369" s="1"/>
  <c r="M1369"/>
  <c r="K1369"/>
  <c r="I1369"/>
  <c r="G1369"/>
  <c r="N1368"/>
  <c r="P1368"/>
  <c r="Q1368" s="1"/>
  <c r="M1368"/>
  <c r="K1368"/>
  <c r="I1368"/>
  <c r="G1368"/>
  <c r="N1367"/>
  <c r="P1367" s="1"/>
  <c r="Q1367" s="1"/>
  <c r="M1367"/>
  <c r="K1367"/>
  <c r="I1367"/>
  <c r="G1367"/>
  <c r="N1366"/>
  <c r="P1366" s="1"/>
  <c r="Q1366" s="1"/>
  <c r="M1366"/>
  <c r="K1366"/>
  <c r="I1366"/>
  <c r="G1366"/>
  <c r="N1365"/>
  <c r="P1365" s="1"/>
  <c r="Q1365" s="1"/>
  <c r="M1365"/>
  <c r="K1365"/>
  <c r="I1365"/>
  <c r="G1365"/>
  <c r="N1364"/>
  <c r="P1364" s="1"/>
  <c r="Q1364" s="1"/>
  <c r="M1364"/>
  <c r="K1364"/>
  <c r="I1364"/>
  <c r="G1364"/>
  <c r="N1363"/>
  <c r="P1363" s="1"/>
  <c r="Q1363" s="1"/>
  <c r="M1363"/>
  <c r="K1363"/>
  <c r="I1363"/>
  <c r="G1363"/>
  <c r="N1362"/>
  <c r="P1362" s="1"/>
  <c r="Q1362" s="1"/>
  <c r="M1362"/>
  <c r="K1362"/>
  <c r="I1362"/>
  <c r="G1362"/>
  <c r="N1361"/>
  <c r="P1361" s="1"/>
  <c r="Q1361" s="1"/>
  <c r="M1361"/>
  <c r="K1361"/>
  <c r="I1361"/>
  <c r="G1361"/>
  <c r="N1360"/>
  <c r="P1360"/>
  <c r="Q1360" s="1"/>
  <c r="M1360"/>
  <c r="K1360"/>
  <c r="I1360"/>
  <c r="G1360"/>
  <c r="N1359"/>
  <c r="P1359" s="1"/>
  <c r="Q1359" s="1"/>
  <c r="M1359"/>
  <c r="K1359"/>
  <c r="I1359"/>
  <c r="G1359"/>
  <c r="N1358"/>
  <c r="P1358" s="1"/>
  <c r="Q1358" s="1"/>
  <c r="M1358"/>
  <c r="K1358"/>
  <c r="I1358"/>
  <c r="G1358"/>
  <c r="N1357"/>
  <c r="P1357" s="1"/>
  <c r="Q1357" s="1"/>
  <c r="M1357"/>
  <c r="K1357"/>
  <c r="I1357"/>
  <c r="G1357"/>
  <c r="N1356"/>
  <c r="P1356"/>
  <c r="Q1356" s="1"/>
  <c r="M1356"/>
  <c r="K1356"/>
  <c r="I1356"/>
  <c r="G1356"/>
  <c r="N1355"/>
  <c r="P1355" s="1"/>
  <c r="Q1355" s="1"/>
  <c r="M1355"/>
  <c r="K1355"/>
  <c r="I1355"/>
  <c r="G1355"/>
  <c r="N1354"/>
  <c r="P1354" s="1"/>
  <c r="Q1354" s="1"/>
  <c r="M1354"/>
  <c r="K1354"/>
  <c r="I1354"/>
  <c r="G1354"/>
  <c r="N1353"/>
  <c r="P1353" s="1"/>
  <c r="Q1353" s="1"/>
  <c r="M1353"/>
  <c r="K1353"/>
  <c r="I1353"/>
  <c r="G1353"/>
  <c r="N1352"/>
  <c r="P1352" s="1"/>
  <c r="Q1352" s="1"/>
  <c r="M1352"/>
  <c r="K1352"/>
  <c r="I1352"/>
  <c r="G1352"/>
  <c r="N1351"/>
  <c r="P1351" s="1"/>
  <c r="Q1351" s="1"/>
  <c r="M1351"/>
  <c r="K1351"/>
  <c r="I1351"/>
  <c r="G1351"/>
  <c r="N1350"/>
  <c r="P1350" s="1"/>
  <c r="Q1350" s="1"/>
  <c r="M1350"/>
  <c r="K1350"/>
  <c r="I1350"/>
  <c r="G1350"/>
  <c r="N1349"/>
  <c r="P1349" s="1"/>
  <c r="Q1349" s="1"/>
  <c r="M1349"/>
  <c r="K1349"/>
  <c r="I1349"/>
  <c r="G1349"/>
  <c r="N1348"/>
  <c r="P1348" s="1"/>
  <c r="Q1348" s="1"/>
  <c r="M1348"/>
  <c r="K1348"/>
  <c r="I1348"/>
  <c r="G1348"/>
  <c r="N1347"/>
  <c r="P1347" s="1"/>
  <c r="Q1347" s="1"/>
  <c r="M1347"/>
  <c r="K1347"/>
  <c r="I1347"/>
  <c r="G1347"/>
  <c r="N1346"/>
  <c r="P1346" s="1"/>
  <c r="Q1346" s="1"/>
  <c r="M1346"/>
  <c r="K1346"/>
  <c r="I1346"/>
  <c r="G1346"/>
  <c r="N1345"/>
  <c r="P1345" s="1"/>
  <c r="Q1345" s="1"/>
  <c r="M1345"/>
  <c r="K1345"/>
  <c r="I1345"/>
  <c r="G1345"/>
  <c r="N1344"/>
  <c r="P1344" s="1"/>
  <c r="Q1344" s="1"/>
  <c r="M1344"/>
  <c r="K1344"/>
  <c r="I1344"/>
  <c r="G1344"/>
  <c r="N1343"/>
  <c r="P1343" s="1"/>
  <c r="Q1343" s="1"/>
  <c r="M1343"/>
  <c r="K1343"/>
  <c r="I1343"/>
  <c r="G1343"/>
  <c r="N1342"/>
  <c r="P1342" s="1"/>
  <c r="Q1342" s="1"/>
  <c r="M1342"/>
  <c r="K1342"/>
  <c r="I1342"/>
  <c r="G1342"/>
  <c r="N1341"/>
  <c r="P1341" s="1"/>
  <c r="Q1341" s="1"/>
  <c r="M1341"/>
  <c r="K1341"/>
  <c r="I1341"/>
  <c r="G1341"/>
  <c r="N1340"/>
  <c r="P1340"/>
  <c r="Q1340" s="1"/>
  <c r="M1340"/>
  <c r="K1340"/>
  <c r="I1340"/>
  <c r="G1340"/>
  <c r="N1339"/>
  <c r="P1339" s="1"/>
  <c r="Q1339" s="1"/>
  <c r="M1339"/>
  <c r="K1339"/>
  <c r="I1339"/>
  <c r="G1339"/>
  <c r="N1338"/>
  <c r="P1338" s="1"/>
  <c r="Q1338" s="1"/>
  <c r="M1338"/>
  <c r="K1338"/>
  <c r="I1338"/>
  <c r="G1338"/>
  <c r="N1337"/>
  <c r="P1337" s="1"/>
  <c r="Q1337" s="1"/>
  <c r="M1337"/>
  <c r="K1337"/>
  <c r="I1337"/>
  <c r="G1337"/>
  <c r="N1336"/>
  <c r="P1336"/>
  <c r="Q1336" s="1"/>
  <c r="M1336"/>
  <c r="K1336"/>
  <c r="I1336"/>
  <c r="G1336"/>
  <c r="N1335"/>
  <c r="P1335" s="1"/>
  <c r="Q1335" s="1"/>
  <c r="M1335"/>
  <c r="K1335"/>
  <c r="I1335"/>
  <c r="G1335"/>
  <c r="N1334"/>
  <c r="P1334" s="1"/>
  <c r="Q1334" s="1"/>
  <c r="M1334"/>
  <c r="K1334"/>
  <c r="I1334"/>
  <c r="G1334"/>
  <c r="N1333"/>
  <c r="P1333" s="1"/>
  <c r="Q1333" s="1"/>
  <c r="M1333"/>
  <c r="K1333"/>
  <c r="I1333"/>
  <c r="G1333"/>
  <c r="N1332"/>
  <c r="P1332"/>
  <c r="Q1332" s="1"/>
  <c r="M1332"/>
  <c r="K1332"/>
  <c r="I1332"/>
  <c r="G1332"/>
  <c r="N1331"/>
  <c r="P1331" s="1"/>
  <c r="Q1331" s="1"/>
  <c r="M1331"/>
  <c r="K1331"/>
  <c r="I1331"/>
  <c r="G1331"/>
  <c r="N1330"/>
  <c r="P1330" s="1"/>
  <c r="Q1330" s="1"/>
  <c r="M1330"/>
  <c r="K1330"/>
  <c r="I1330"/>
  <c r="G1330"/>
  <c r="N1329"/>
  <c r="P1329" s="1"/>
  <c r="Q1329" s="1"/>
  <c r="M1329"/>
  <c r="K1329"/>
  <c r="I1329"/>
  <c r="G1329"/>
  <c r="N1328"/>
  <c r="M1328"/>
  <c r="K1328"/>
  <c r="I1328"/>
  <c r="G1328"/>
  <c r="N1327"/>
  <c r="M1327"/>
  <c r="K1327"/>
  <c r="I1327"/>
  <c r="G1327"/>
  <c r="N1326"/>
  <c r="M1326"/>
  <c r="K1326"/>
  <c r="I1326"/>
  <c r="G1326"/>
  <c r="L1325"/>
  <c r="N1325" s="1"/>
  <c r="K1325"/>
  <c r="I1325"/>
  <c r="G1325"/>
  <c r="O1324"/>
  <c r="N1324"/>
  <c r="P1324" s="1"/>
  <c r="M1324"/>
  <c r="K1324"/>
  <c r="I1324"/>
  <c r="G1324"/>
  <c r="L1323"/>
  <c r="M1323" s="1"/>
  <c r="K1323"/>
  <c r="I1323"/>
  <c r="G1323"/>
  <c r="O1322"/>
  <c r="N1322"/>
  <c r="P1322" s="1"/>
  <c r="M1322"/>
  <c r="K1322"/>
  <c r="I1322"/>
  <c r="G1322"/>
  <c r="L1321"/>
  <c r="K1321"/>
  <c r="I1321"/>
  <c r="G1321"/>
  <c r="N1320"/>
  <c r="O1320" s="1"/>
  <c r="M1320"/>
  <c r="K1320"/>
  <c r="I1320"/>
  <c r="G1320"/>
  <c r="N1319"/>
  <c r="O1319" s="1"/>
  <c r="M1319"/>
  <c r="K1319"/>
  <c r="I1319"/>
  <c r="G1319"/>
  <c r="L1318"/>
  <c r="M1318" s="1"/>
  <c r="K1318"/>
  <c r="I1318"/>
  <c r="G1318"/>
  <c r="N1317"/>
  <c r="M1317"/>
  <c r="K1317"/>
  <c r="I1317"/>
  <c r="G1317"/>
  <c r="N1316"/>
  <c r="M1316"/>
  <c r="K1316"/>
  <c r="I1316"/>
  <c r="G1316"/>
  <c r="N1315"/>
  <c r="M1315"/>
  <c r="K1315"/>
  <c r="I1315"/>
  <c r="G1315"/>
  <c r="N1314"/>
  <c r="M1314"/>
  <c r="K1314"/>
  <c r="I1314"/>
  <c r="G1314"/>
  <c r="N1313"/>
  <c r="M1313"/>
  <c r="K1313"/>
  <c r="I1313"/>
  <c r="G1313"/>
  <c r="N1312"/>
  <c r="M1312"/>
  <c r="K1312"/>
  <c r="I1312"/>
  <c r="G1312"/>
  <c r="L1311"/>
  <c r="N1311" s="1"/>
  <c r="K1311"/>
  <c r="I1311"/>
  <c r="G1311"/>
  <c r="N1310"/>
  <c r="M1310"/>
  <c r="K1310"/>
  <c r="I1310"/>
  <c r="G1310"/>
  <c r="N1309"/>
  <c r="M1309"/>
  <c r="K1309"/>
  <c r="I1309"/>
  <c r="G1309"/>
  <c r="L1308"/>
  <c r="K1308"/>
  <c r="I1308"/>
  <c r="G1308"/>
  <c r="N1307"/>
  <c r="M1307"/>
  <c r="K1307"/>
  <c r="I1307"/>
  <c r="G1307"/>
  <c r="L1306"/>
  <c r="K1306"/>
  <c r="I1306"/>
  <c r="G1306"/>
  <c r="N1305"/>
  <c r="O1305" s="1"/>
  <c r="M1305"/>
  <c r="K1305"/>
  <c r="I1305"/>
  <c r="G1305"/>
  <c r="L1304"/>
  <c r="N1304" s="1"/>
  <c r="K1304"/>
  <c r="I1304"/>
  <c r="G1304"/>
  <c r="N1303"/>
  <c r="M1303"/>
  <c r="K1303"/>
  <c r="I1303"/>
  <c r="G1303"/>
  <c r="L1302"/>
  <c r="N1302" s="1"/>
  <c r="K1302"/>
  <c r="I1302"/>
  <c r="G1302"/>
  <c r="N1301"/>
  <c r="P1301" s="1"/>
  <c r="M1301"/>
  <c r="K1301"/>
  <c r="I1301"/>
  <c r="G1301"/>
  <c r="N1300"/>
  <c r="O1300" s="1"/>
  <c r="P1300"/>
  <c r="M1300"/>
  <c r="K1300"/>
  <c r="I1300"/>
  <c r="G1300"/>
  <c r="L1299"/>
  <c r="M1299" s="1"/>
  <c r="K1299"/>
  <c r="I1299"/>
  <c r="G1299"/>
  <c r="L1298"/>
  <c r="K1298"/>
  <c r="I1298"/>
  <c r="G1298"/>
  <c r="N1297"/>
  <c r="M1297"/>
  <c r="K1297"/>
  <c r="I1297"/>
  <c r="G1297"/>
  <c r="L1296"/>
  <c r="M1296" s="1"/>
  <c r="K1296"/>
  <c r="I1296"/>
  <c r="G1296"/>
  <c r="N1295"/>
  <c r="L1295"/>
  <c r="M1295" s="1"/>
  <c r="K1295"/>
  <c r="I1295"/>
  <c r="G1295"/>
  <c r="N1294"/>
  <c r="O1294" s="1"/>
  <c r="M1294"/>
  <c r="K1294"/>
  <c r="I1294"/>
  <c r="G1294"/>
  <c r="N1293"/>
  <c r="P1293" s="1"/>
  <c r="M1293"/>
  <c r="K1293"/>
  <c r="I1293"/>
  <c r="G1293"/>
  <c r="O1292"/>
  <c r="N1292"/>
  <c r="P1292" s="1"/>
  <c r="M1292"/>
  <c r="K1292"/>
  <c r="I1292"/>
  <c r="G1292"/>
  <c r="N1291"/>
  <c r="P1291" s="1"/>
  <c r="M1291"/>
  <c r="K1291"/>
  <c r="I1291"/>
  <c r="G1291"/>
  <c r="N1290"/>
  <c r="O1290" s="1"/>
  <c r="M1290"/>
  <c r="K1290"/>
  <c r="I1290"/>
  <c r="G1290"/>
  <c r="N1289"/>
  <c r="P1289" s="1"/>
  <c r="M1289"/>
  <c r="K1289"/>
  <c r="I1289"/>
  <c r="G1289"/>
  <c r="O1288"/>
  <c r="N1288"/>
  <c r="P1288" s="1"/>
  <c r="M1288"/>
  <c r="K1288"/>
  <c r="I1288"/>
  <c r="G1288"/>
  <c r="N1287"/>
  <c r="P1287" s="1"/>
  <c r="M1287"/>
  <c r="K1287"/>
  <c r="I1287"/>
  <c r="G1287"/>
  <c r="N1286"/>
  <c r="O1286" s="1"/>
  <c r="P1286"/>
  <c r="M1286"/>
  <c r="K1286"/>
  <c r="I1286"/>
  <c r="G1286"/>
  <c r="O1285"/>
  <c r="N1285"/>
  <c r="P1285" s="1"/>
  <c r="M1285"/>
  <c r="K1285"/>
  <c r="I1285"/>
  <c r="G1285"/>
  <c r="N1284"/>
  <c r="P1284" s="1"/>
  <c r="M1284"/>
  <c r="K1284"/>
  <c r="I1284"/>
  <c r="G1284"/>
  <c r="N1283"/>
  <c r="P1283" s="1"/>
  <c r="M1283"/>
  <c r="K1283"/>
  <c r="I1283"/>
  <c r="G1283"/>
  <c r="N1282"/>
  <c r="O1282" s="1"/>
  <c r="M1282"/>
  <c r="K1282"/>
  <c r="I1282"/>
  <c r="G1282"/>
  <c r="N1281"/>
  <c r="O1281" s="1"/>
  <c r="M1281"/>
  <c r="K1281"/>
  <c r="I1281"/>
  <c r="G1281"/>
  <c r="N1280"/>
  <c r="P1280" s="1"/>
  <c r="M1280"/>
  <c r="K1280"/>
  <c r="I1280"/>
  <c r="G1280"/>
  <c r="N1279"/>
  <c r="P1279" s="1"/>
  <c r="M1279"/>
  <c r="K1279"/>
  <c r="I1279"/>
  <c r="G1279"/>
  <c r="N1278"/>
  <c r="O1278" s="1"/>
  <c r="M1278"/>
  <c r="K1278"/>
  <c r="I1278"/>
  <c r="G1278"/>
  <c r="N1277"/>
  <c r="P1277" s="1"/>
  <c r="M1277"/>
  <c r="K1277"/>
  <c r="I1277"/>
  <c r="G1277"/>
  <c r="O1276"/>
  <c r="N1276"/>
  <c r="P1276" s="1"/>
  <c r="M1276"/>
  <c r="K1276"/>
  <c r="I1276"/>
  <c r="G1276"/>
  <c r="N1275"/>
  <c r="P1275" s="1"/>
  <c r="M1275"/>
  <c r="K1275"/>
  <c r="I1275"/>
  <c r="G1275"/>
  <c r="N1274"/>
  <c r="O1274" s="1"/>
  <c r="M1274"/>
  <c r="K1274"/>
  <c r="I1274"/>
  <c r="G1274"/>
  <c r="N1273"/>
  <c r="O1273" s="1"/>
  <c r="P1273"/>
  <c r="M1273"/>
  <c r="K1273"/>
  <c r="I1273"/>
  <c r="G1273"/>
  <c r="N1272"/>
  <c r="P1272" s="1"/>
  <c r="M1272"/>
  <c r="K1272"/>
  <c r="I1272"/>
  <c r="G1272"/>
  <c r="N1271"/>
  <c r="P1271" s="1"/>
  <c r="M1271"/>
  <c r="K1271"/>
  <c r="I1271"/>
  <c r="G1271"/>
  <c r="N1270"/>
  <c r="O1270" s="1"/>
  <c r="M1270"/>
  <c r="K1270"/>
  <c r="I1270"/>
  <c r="G1270"/>
  <c r="N1269"/>
  <c r="O1269" s="1"/>
  <c r="P1269"/>
  <c r="M1269"/>
  <c r="K1269"/>
  <c r="I1269"/>
  <c r="G1269"/>
  <c r="N1268"/>
  <c r="P1268" s="1"/>
  <c r="M1268"/>
  <c r="K1268"/>
  <c r="I1268"/>
  <c r="G1268"/>
  <c r="N1267"/>
  <c r="P1267" s="1"/>
  <c r="M1267"/>
  <c r="K1267"/>
  <c r="I1267"/>
  <c r="G1267"/>
  <c r="N1266"/>
  <c r="O1266" s="1"/>
  <c r="M1266"/>
  <c r="K1266"/>
  <c r="I1266"/>
  <c r="G1266"/>
  <c r="N1265"/>
  <c r="P1265" s="1"/>
  <c r="M1265"/>
  <c r="K1265"/>
  <c r="I1265"/>
  <c r="G1265"/>
  <c r="N1264"/>
  <c r="O1264" s="1"/>
  <c r="M1264"/>
  <c r="K1264"/>
  <c r="I1264"/>
  <c r="F1264"/>
  <c r="G1264" s="1"/>
  <c r="N1263"/>
  <c r="O1263" s="1"/>
  <c r="M1263"/>
  <c r="K1263"/>
  <c r="I1263"/>
  <c r="N1262"/>
  <c r="P1262" s="1"/>
  <c r="B1262" s="1"/>
  <c r="M1262"/>
  <c r="K1262"/>
  <c r="I1262"/>
  <c r="G1262"/>
  <c r="N1261"/>
  <c r="P1261" s="1"/>
  <c r="B1261" s="1"/>
  <c r="M1261"/>
  <c r="K1261"/>
  <c r="I1261"/>
  <c r="G1261"/>
  <c r="N1260"/>
  <c r="P1260" s="1"/>
  <c r="B1260" s="1"/>
  <c r="M1260"/>
  <c r="K1260"/>
  <c r="I1260"/>
  <c r="G1260"/>
  <c r="N1259"/>
  <c r="M1259"/>
  <c r="K1259"/>
  <c r="I1259"/>
  <c r="G1259"/>
  <c r="N1258"/>
  <c r="M1258"/>
  <c r="K1258"/>
  <c r="I1258"/>
  <c r="G1258"/>
  <c r="N1257"/>
  <c r="M1257"/>
  <c r="K1257"/>
  <c r="I1257"/>
  <c r="G1257"/>
  <c r="N1256"/>
  <c r="M1256"/>
  <c r="K1256"/>
  <c r="I1256"/>
  <c r="G1256"/>
  <c r="N1255"/>
  <c r="M1255"/>
  <c r="K1255"/>
  <c r="I1255"/>
  <c r="G1255"/>
  <c r="N1254"/>
  <c r="O1254" s="1"/>
  <c r="M1254"/>
  <c r="K1254"/>
  <c r="I1254"/>
  <c r="G1254"/>
  <c r="N1253"/>
  <c r="O1253" s="1"/>
  <c r="M1253"/>
  <c r="K1253"/>
  <c r="I1253"/>
  <c r="G1253"/>
  <c r="N1252"/>
  <c r="M1252"/>
  <c r="K1252"/>
  <c r="I1252"/>
  <c r="G1252"/>
  <c r="N1251"/>
  <c r="M1251"/>
  <c r="K1251"/>
  <c r="I1251"/>
  <c r="G1251"/>
  <c r="N1250"/>
  <c r="O1250" s="1"/>
  <c r="M1250"/>
  <c r="K1250"/>
  <c r="I1250"/>
  <c r="G1250"/>
  <c r="N1249"/>
  <c r="O1249" s="1"/>
  <c r="M1249"/>
  <c r="K1249"/>
  <c r="I1249"/>
  <c r="G1249"/>
  <c r="N1248"/>
  <c r="M1248"/>
  <c r="K1248"/>
  <c r="I1248"/>
  <c r="G1248"/>
  <c r="N1247"/>
  <c r="M1247"/>
  <c r="K1247"/>
  <c r="I1247"/>
  <c r="G1247"/>
  <c r="P1246"/>
  <c r="N1246"/>
  <c r="O1246" s="1"/>
  <c r="M1246"/>
  <c r="K1246"/>
  <c r="I1246"/>
  <c r="G1246"/>
  <c r="N1245"/>
  <c r="O1245" s="1"/>
  <c r="M1245"/>
  <c r="K1245"/>
  <c r="I1245"/>
  <c r="G1245"/>
  <c r="N1244"/>
  <c r="M1244"/>
  <c r="K1244"/>
  <c r="I1244"/>
  <c r="G1244"/>
  <c r="N1243"/>
  <c r="M1243"/>
  <c r="K1243"/>
  <c r="I1243"/>
  <c r="G1243"/>
  <c r="N1242"/>
  <c r="O1242" s="1"/>
  <c r="M1242"/>
  <c r="K1242"/>
  <c r="I1242"/>
  <c r="G1242"/>
  <c r="N1241"/>
  <c r="O1241" s="1"/>
  <c r="M1241"/>
  <c r="K1241"/>
  <c r="I1241"/>
  <c r="G1241"/>
  <c r="N1240"/>
  <c r="M1240"/>
  <c r="K1240"/>
  <c r="I1240"/>
  <c r="G1240"/>
  <c r="N1239"/>
  <c r="M1239"/>
  <c r="K1239"/>
  <c r="I1239"/>
  <c r="G1239"/>
  <c r="P1238"/>
  <c r="N1238"/>
  <c r="O1238" s="1"/>
  <c r="M1238"/>
  <c r="K1238"/>
  <c r="I1238"/>
  <c r="G1238"/>
  <c r="N1237"/>
  <c r="O1237" s="1"/>
  <c r="M1237"/>
  <c r="K1237"/>
  <c r="I1237"/>
  <c r="G1237"/>
  <c r="N1236"/>
  <c r="M1236"/>
  <c r="K1236"/>
  <c r="I1236"/>
  <c r="G1236"/>
  <c r="N1235"/>
  <c r="M1235"/>
  <c r="K1235"/>
  <c r="I1235"/>
  <c r="G1235"/>
  <c r="N1234"/>
  <c r="O1234" s="1"/>
  <c r="M1234"/>
  <c r="K1234"/>
  <c r="I1234"/>
  <c r="G1234"/>
  <c r="N1233"/>
  <c r="O1233"/>
  <c r="M1233"/>
  <c r="K1233"/>
  <c r="I1233"/>
  <c r="G1233"/>
  <c r="N1232"/>
  <c r="O1232" s="1"/>
  <c r="M1232"/>
  <c r="K1232"/>
  <c r="I1232"/>
  <c r="G1232"/>
  <c r="N1231"/>
  <c r="M1231"/>
  <c r="K1231"/>
  <c r="I1231"/>
  <c r="G1231"/>
  <c r="N1230"/>
  <c r="O1230" s="1"/>
  <c r="M1230"/>
  <c r="K1230"/>
  <c r="I1230"/>
  <c r="G1230"/>
  <c r="N1229"/>
  <c r="O1229" s="1"/>
  <c r="M1229"/>
  <c r="K1229"/>
  <c r="I1229"/>
  <c r="G1229"/>
  <c r="N1228"/>
  <c r="O1228" s="1"/>
  <c r="M1228"/>
  <c r="K1228"/>
  <c r="I1228"/>
  <c r="G1228"/>
  <c r="N1227"/>
  <c r="M1227"/>
  <c r="K1227"/>
  <c r="I1227"/>
  <c r="G1227"/>
  <c r="L1226"/>
  <c r="M1226" s="1"/>
  <c r="K1226"/>
  <c r="I1226"/>
  <c r="G1226"/>
  <c r="L1225"/>
  <c r="K1225"/>
  <c r="I1225"/>
  <c r="G1225"/>
  <c r="L1224"/>
  <c r="M1224" s="1"/>
  <c r="K1224"/>
  <c r="I1224"/>
  <c r="G1224"/>
  <c r="L1223"/>
  <c r="N1223" s="1"/>
  <c r="P1223" s="1"/>
  <c r="B1223" s="1"/>
  <c r="K1223"/>
  <c r="I1223"/>
  <c r="G1223"/>
  <c r="L1222"/>
  <c r="M1222" s="1"/>
  <c r="K1222"/>
  <c r="I1222"/>
  <c r="G1222"/>
  <c r="P1221"/>
  <c r="N1221"/>
  <c r="O1221" s="1"/>
  <c r="M1221"/>
  <c r="K1221"/>
  <c r="I1221"/>
  <c r="G1221"/>
  <c r="N1220"/>
  <c r="P1220" s="1"/>
  <c r="M1220"/>
  <c r="K1220"/>
  <c r="I1220"/>
  <c r="G1220"/>
  <c r="N1219"/>
  <c r="O1219" s="1"/>
  <c r="M1219"/>
  <c r="K1219"/>
  <c r="I1219"/>
  <c r="G1219"/>
  <c r="N1218"/>
  <c r="O1218" s="1"/>
  <c r="M1218"/>
  <c r="K1218"/>
  <c r="I1218"/>
  <c r="G1218"/>
  <c r="P1217"/>
  <c r="N1217"/>
  <c r="O1217" s="1"/>
  <c r="M1217"/>
  <c r="K1217"/>
  <c r="I1217"/>
  <c r="G1217"/>
  <c r="N1216"/>
  <c r="P1216" s="1"/>
  <c r="M1216"/>
  <c r="K1216"/>
  <c r="I1216"/>
  <c r="G1216"/>
  <c r="N1215"/>
  <c r="O1215" s="1"/>
  <c r="M1215"/>
  <c r="K1215"/>
  <c r="I1215"/>
  <c r="G1215"/>
  <c r="N1214"/>
  <c r="O1214" s="1"/>
  <c r="M1214"/>
  <c r="K1214"/>
  <c r="I1214"/>
  <c r="G1214"/>
  <c r="P1213"/>
  <c r="O1213"/>
  <c r="N1213"/>
  <c r="M1213"/>
  <c r="K1213"/>
  <c r="I1213"/>
  <c r="G1213"/>
  <c r="N1212"/>
  <c r="P1212" s="1"/>
  <c r="M1212"/>
  <c r="K1212"/>
  <c r="I1212"/>
  <c r="G1212"/>
  <c r="N1211"/>
  <c r="O1211" s="1"/>
  <c r="M1211"/>
  <c r="K1211"/>
  <c r="I1211"/>
  <c r="G1211"/>
  <c r="N1210"/>
  <c r="O1210" s="1"/>
  <c r="M1210"/>
  <c r="K1210"/>
  <c r="I1210"/>
  <c r="G1210"/>
  <c r="P1209"/>
  <c r="O1209"/>
  <c r="N1209"/>
  <c r="M1209"/>
  <c r="K1209"/>
  <c r="I1209"/>
  <c r="G1209"/>
  <c r="N1208"/>
  <c r="P1208" s="1"/>
  <c r="M1208"/>
  <c r="K1208"/>
  <c r="I1208"/>
  <c r="G1208"/>
  <c r="N1207"/>
  <c r="O1207" s="1"/>
  <c r="M1207"/>
  <c r="K1207"/>
  <c r="I1207"/>
  <c r="G1207"/>
  <c r="N1206"/>
  <c r="O1206" s="1"/>
  <c r="M1206"/>
  <c r="K1206"/>
  <c r="I1206"/>
  <c r="G1206"/>
  <c r="P1205"/>
  <c r="O1205"/>
  <c r="N1205"/>
  <c r="M1205"/>
  <c r="K1205"/>
  <c r="I1205"/>
  <c r="G1205"/>
  <c r="N1204"/>
  <c r="P1204" s="1"/>
  <c r="M1204"/>
  <c r="K1204"/>
  <c r="I1204"/>
  <c r="G1204"/>
  <c r="N1203"/>
  <c r="O1203" s="1"/>
  <c r="M1203"/>
  <c r="K1203"/>
  <c r="I1203"/>
  <c r="G1203"/>
  <c r="N1202"/>
  <c r="O1202" s="1"/>
  <c r="M1202"/>
  <c r="K1202"/>
  <c r="I1202"/>
  <c r="G1202"/>
  <c r="P1201"/>
  <c r="O1201"/>
  <c r="N1201"/>
  <c r="M1201"/>
  <c r="K1201"/>
  <c r="I1201"/>
  <c r="G1201"/>
  <c r="N1200"/>
  <c r="P1200" s="1"/>
  <c r="M1200"/>
  <c r="K1200"/>
  <c r="I1200"/>
  <c r="G1200"/>
  <c r="N1199"/>
  <c r="O1199" s="1"/>
  <c r="M1199"/>
  <c r="K1199"/>
  <c r="I1199"/>
  <c r="G1199"/>
  <c r="N1198"/>
  <c r="O1198" s="1"/>
  <c r="M1198"/>
  <c r="K1198"/>
  <c r="I1198"/>
  <c r="G1198"/>
  <c r="P1197"/>
  <c r="O1197"/>
  <c r="N1197"/>
  <c r="M1197"/>
  <c r="K1197"/>
  <c r="I1197"/>
  <c r="G1197"/>
  <c r="N1196"/>
  <c r="P1196" s="1"/>
  <c r="M1196"/>
  <c r="K1196"/>
  <c r="I1196"/>
  <c r="G1196"/>
  <c r="N1195"/>
  <c r="O1195" s="1"/>
  <c r="M1195"/>
  <c r="K1195"/>
  <c r="I1195"/>
  <c r="G1195"/>
  <c r="N1194"/>
  <c r="O1194" s="1"/>
  <c r="M1194"/>
  <c r="K1194"/>
  <c r="I1194"/>
  <c r="G1194"/>
  <c r="P1193"/>
  <c r="O1193"/>
  <c r="N1193"/>
  <c r="M1193"/>
  <c r="K1193"/>
  <c r="I1193"/>
  <c r="G1193"/>
  <c r="N1192"/>
  <c r="P1192" s="1"/>
  <c r="M1192"/>
  <c r="K1192"/>
  <c r="I1192"/>
  <c r="G1192"/>
  <c r="N1191"/>
  <c r="O1191" s="1"/>
  <c r="M1191"/>
  <c r="K1191"/>
  <c r="I1191"/>
  <c r="G1191"/>
  <c r="N1190"/>
  <c r="O1190" s="1"/>
  <c r="M1190"/>
  <c r="K1190"/>
  <c r="I1190"/>
  <c r="G1190"/>
  <c r="P1189"/>
  <c r="O1189"/>
  <c r="N1189"/>
  <c r="M1189"/>
  <c r="K1189"/>
  <c r="I1189"/>
  <c r="G1189"/>
  <c r="N1188"/>
  <c r="P1188" s="1"/>
  <c r="M1188"/>
  <c r="K1188"/>
  <c r="I1188"/>
  <c r="G1188"/>
  <c r="N1187"/>
  <c r="O1187" s="1"/>
  <c r="M1187"/>
  <c r="K1187"/>
  <c r="I1187"/>
  <c r="G1187"/>
  <c r="N1186"/>
  <c r="O1186" s="1"/>
  <c r="M1186"/>
  <c r="K1186"/>
  <c r="I1186"/>
  <c r="G1186"/>
  <c r="P1185"/>
  <c r="O1185"/>
  <c r="N1185"/>
  <c r="M1185"/>
  <c r="K1185"/>
  <c r="I1185"/>
  <c r="G1185"/>
  <c r="N1184"/>
  <c r="P1184" s="1"/>
  <c r="M1184"/>
  <c r="K1184"/>
  <c r="I1184"/>
  <c r="G1184"/>
  <c r="N1183"/>
  <c r="O1183" s="1"/>
  <c r="M1183"/>
  <c r="K1183"/>
  <c r="I1183"/>
  <c r="G1183"/>
  <c r="N1182"/>
  <c r="O1182" s="1"/>
  <c r="M1182"/>
  <c r="K1182"/>
  <c r="I1182"/>
  <c r="G1182"/>
  <c r="P1181"/>
  <c r="O1181"/>
  <c r="N1181"/>
  <c r="M1181"/>
  <c r="K1181"/>
  <c r="I1181"/>
  <c r="G1181"/>
  <c r="N1180"/>
  <c r="P1180" s="1"/>
  <c r="M1180"/>
  <c r="K1180"/>
  <c r="I1180"/>
  <c r="G1180"/>
  <c r="N1179"/>
  <c r="O1179" s="1"/>
  <c r="M1179"/>
  <c r="K1179"/>
  <c r="I1179"/>
  <c r="G1179"/>
  <c r="N1178"/>
  <c r="O1178" s="1"/>
  <c r="M1178"/>
  <c r="K1178"/>
  <c r="I1178"/>
  <c r="G1178"/>
  <c r="P1177"/>
  <c r="O1177"/>
  <c r="N1177"/>
  <c r="M1177"/>
  <c r="K1177"/>
  <c r="I1177"/>
  <c r="G1177"/>
  <c r="N1176"/>
  <c r="P1176" s="1"/>
  <c r="M1176"/>
  <c r="K1176"/>
  <c r="I1176"/>
  <c r="G1176"/>
  <c r="N1175"/>
  <c r="O1175" s="1"/>
  <c r="M1175"/>
  <c r="K1175"/>
  <c r="I1175"/>
  <c r="G1175"/>
  <c r="N1174"/>
  <c r="O1174" s="1"/>
  <c r="K1174"/>
  <c r="G1174"/>
  <c r="D1174"/>
  <c r="I1174" s="1"/>
  <c r="M1174"/>
  <c r="N1173"/>
  <c r="O1173" s="1"/>
  <c r="M1173"/>
  <c r="K1173"/>
  <c r="I1173"/>
  <c r="G1173"/>
  <c r="N1172"/>
  <c r="O1172" s="1"/>
  <c r="M1172"/>
  <c r="K1172"/>
  <c r="I1172"/>
  <c r="G1172"/>
  <c r="N1171"/>
  <c r="O1171" s="1"/>
  <c r="M1171"/>
  <c r="K1171"/>
  <c r="I1171"/>
  <c r="G1171"/>
  <c r="N1170"/>
  <c r="P1170" s="1"/>
  <c r="B1170" s="1"/>
  <c r="D1170"/>
  <c r="K1170"/>
  <c r="N1169"/>
  <c r="D1169"/>
  <c r="N1168"/>
  <c r="O1168" s="1"/>
  <c r="P1168"/>
  <c r="M1168"/>
  <c r="K1168"/>
  <c r="I1168"/>
  <c r="G1168"/>
  <c r="O1167"/>
  <c r="N1167"/>
  <c r="P1167" s="1"/>
  <c r="M1167"/>
  <c r="K1167"/>
  <c r="I1167"/>
  <c r="G1167"/>
  <c r="N1166"/>
  <c r="P1166" s="1"/>
  <c r="M1166"/>
  <c r="K1166"/>
  <c r="I1166"/>
  <c r="G1166"/>
  <c r="N1165"/>
  <c r="P1165" s="1"/>
  <c r="M1165"/>
  <c r="K1165"/>
  <c r="I1165"/>
  <c r="G1165"/>
  <c r="N1164"/>
  <c r="O1164" s="1"/>
  <c r="M1164"/>
  <c r="K1164"/>
  <c r="I1164"/>
  <c r="G1164"/>
  <c r="N1163"/>
  <c r="O1163" s="1"/>
  <c r="M1163"/>
  <c r="K1163"/>
  <c r="I1163"/>
  <c r="G1163"/>
  <c r="N1162"/>
  <c r="P1162" s="1"/>
  <c r="M1162"/>
  <c r="K1162"/>
  <c r="I1162"/>
  <c r="G1162"/>
  <c r="N1161"/>
  <c r="P1161" s="1"/>
  <c r="M1161"/>
  <c r="K1161"/>
  <c r="I1161"/>
  <c r="G1161"/>
  <c r="N1160"/>
  <c r="O1160" s="1"/>
  <c r="M1160"/>
  <c r="K1160"/>
  <c r="I1160"/>
  <c r="G1160"/>
  <c r="N1159"/>
  <c r="O1159" s="1"/>
  <c r="M1159"/>
  <c r="K1159"/>
  <c r="I1159"/>
  <c r="G1159"/>
  <c r="N1158"/>
  <c r="O1158" s="1"/>
  <c r="M1158"/>
  <c r="K1158"/>
  <c r="I1158"/>
  <c r="N1157"/>
  <c r="O1157" s="1"/>
  <c r="M1157"/>
  <c r="K1157"/>
  <c r="I1157"/>
  <c r="N1156"/>
  <c r="O1156" s="1"/>
  <c r="P1156"/>
  <c r="B1156" s="1"/>
  <c r="M1156"/>
  <c r="K1156"/>
  <c r="I1156"/>
  <c r="G1156"/>
  <c r="N1155"/>
  <c r="O1155" s="1"/>
  <c r="M1155"/>
  <c r="K1155"/>
  <c r="I1155"/>
  <c r="G1155"/>
  <c r="N1154"/>
  <c r="O1154" s="1"/>
  <c r="P1154"/>
  <c r="B1154" s="1"/>
  <c r="M1154"/>
  <c r="K1154"/>
  <c r="I1154"/>
  <c r="G1154"/>
  <c r="N1153"/>
  <c r="O1153" s="1"/>
  <c r="M1153"/>
  <c r="K1153"/>
  <c r="I1153"/>
  <c r="G1153"/>
  <c r="N1152"/>
  <c r="O1152" s="1"/>
  <c r="P1152"/>
  <c r="B1152" s="1"/>
  <c r="M1152"/>
  <c r="K1152"/>
  <c r="I1152"/>
  <c r="G1152"/>
  <c r="N1151"/>
  <c r="O1151" s="1"/>
  <c r="M1151"/>
  <c r="K1151"/>
  <c r="I1151"/>
  <c r="G1151"/>
  <c r="M1150"/>
  <c r="K1150"/>
  <c r="G1150"/>
  <c r="N1149"/>
  <c r="O1149" s="1"/>
  <c r="M1149"/>
  <c r="K1149"/>
  <c r="I1149"/>
  <c r="G1149"/>
  <c r="N1148"/>
  <c r="O1148"/>
  <c r="M1148"/>
  <c r="K1148"/>
  <c r="I1148"/>
  <c r="G1148"/>
  <c r="N1147"/>
  <c r="O1147" s="1"/>
  <c r="M1147"/>
  <c r="K1147"/>
  <c r="I1147"/>
  <c r="G1147"/>
  <c r="N1146"/>
  <c r="O1146"/>
  <c r="M1146"/>
  <c r="K1146"/>
  <c r="I1146"/>
  <c r="G1146"/>
  <c r="N1145"/>
  <c r="O1145" s="1"/>
  <c r="M1145"/>
  <c r="K1145"/>
  <c r="I1145"/>
  <c r="G1145"/>
  <c r="N1144"/>
  <c r="O1144" s="1"/>
  <c r="M1144"/>
  <c r="K1144"/>
  <c r="I1144"/>
  <c r="N1143"/>
  <c r="M1143"/>
  <c r="K1143"/>
  <c r="I1143"/>
  <c r="G1143"/>
  <c r="N1142"/>
  <c r="M1142"/>
  <c r="K1142"/>
  <c r="I1142"/>
  <c r="N1141"/>
  <c r="O1141" s="1"/>
  <c r="M1141"/>
  <c r="K1141"/>
  <c r="I1141"/>
  <c r="G1141"/>
  <c r="P1140"/>
  <c r="N1140"/>
  <c r="O1140" s="1"/>
  <c r="M1140"/>
  <c r="K1140"/>
  <c r="I1140"/>
  <c r="G1140"/>
  <c r="O1139"/>
  <c r="N1139"/>
  <c r="P1139" s="1"/>
  <c r="M1139"/>
  <c r="K1139"/>
  <c r="I1139"/>
  <c r="G1139"/>
  <c r="N1138"/>
  <c r="O1138" s="1"/>
  <c r="M1138"/>
  <c r="K1138"/>
  <c r="I1138"/>
  <c r="G1138"/>
  <c r="N1137"/>
  <c r="O1137" s="1"/>
  <c r="M1137"/>
  <c r="K1137"/>
  <c r="I1137"/>
  <c r="G1137"/>
  <c r="P1136"/>
  <c r="N1136"/>
  <c r="O1136" s="1"/>
  <c r="M1136"/>
  <c r="K1136"/>
  <c r="I1136"/>
  <c r="G1136"/>
  <c r="N1135"/>
  <c r="P1135" s="1"/>
  <c r="M1135"/>
  <c r="K1135"/>
  <c r="I1135"/>
  <c r="G1135"/>
  <c r="N1134"/>
  <c r="O1134" s="1"/>
  <c r="M1134"/>
  <c r="K1134"/>
  <c r="I1134"/>
  <c r="G1134"/>
  <c r="M1133"/>
  <c r="K1133"/>
  <c r="G1133"/>
  <c r="N1132"/>
  <c r="P1132" s="1"/>
  <c r="B1132" s="1"/>
  <c r="M1132"/>
  <c r="K1132"/>
  <c r="I1132"/>
  <c r="G1132"/>
  <c r="N1131"/>
  <c r="P1131" s="1"/>
  <c r="B1131" s="1"/>
  <c r="M1131"/>
  <c r="K1131"/>
  <c r="I1131"/>
  <c r="G1131"/>
  <c r="N1130"/>
  <c r="P1130" s="1"/>
  <c r="B1130" s="1"/>
  <c r="M1130"/>
  <c r="K1130"/>
  <c r="I1130"/>
  <c r="G1130"/>
  <c r="N1129"/>
  <c r="P1129" s="1"/>
  <c r="B1129" s="1"/>
  <c r="M1129"/>
  <c r="K1129"/>
  <c r="I1129"/>
  <c r="G1129"/>
  <c r="N1128"/>
  <c r="P1128" s="1"/>
  <c r="B1128" s="1"/>
  <c r="M1128"/>
  <c r="K1128"/>
  <c r="I1128"/>
  <c r="G1128"/>
  <c r="N1127"/>
  <c r="P1127" s="1"/>
  <c r="B1127" s="1"/>
  <c r="M1127"/>
  <c r="K1127"/>
  <c r="I1127"/>
  <c r="G1127"/>
  <c r="N1126"/>
  <c r="P1126" s="1"/>
  <c r="B1126" s="1"/>
  <c r="M1126"/>
  <c r="K1126"/>
  <c r="I1126"/>
  <c r="G1126"/>
  <c r="N1125"/>
  <c r="P1125" s="1"/>
  <c r="B1125" s="1"/>
  <c r="M1125"/>
  <c r="K1125"/>
  <c r="I1125"/>
  <c r="G1125"/>
  <c r="N1124"/>
  <c r="P1124" s="1"/>
  <c r="B1124" s="1"/>
  <c r="M1124"/>
  <c r="K1124"/>
  <c r="I1124"/>
  <c r="G1124"/>
  <c r="N1123"/>
  <c r="P1123" s="1"/>
  <c r="B1123" s="1"/>
  <c r="M1123"/>
  <c r="K1123"/>
  <c r="I1123"/>
  <c r="G1123"/>
  <c r="N1122"/>
  <c r="M1122"/>
  <c r="K1122"/>
  <c r="I1122"/>
  <c r="G1122"/>
  <c r="P1121"/>
  <c r="N1121"/>
  <c r="O1121" s="1"/>
  <c r="M1121"/>
  <c r="K1121"/>
  <c r="I1121"/>
  <c r="G1121"/>
  <c r="P1120"/>
  <c r="N1120"/>
  <c r="O1120" s="1"/>
  <c r="M1120"/>
  <c r="K1120"/>
  <c r="I1120"/>
  <c r="G1120"/>
  <c r="N1119"/>
  <c r="O1119" s="1"/>
  <c r="M1119"/>
  <c r="K1119"/>
  <c r="I1119"/>
  <c r="G1119"/>
  <c r="N1118"/>
  <c r="P1118" s="1"/>
  <c r="O1118"/>
  <c r="M1118"/>
  <c r="K1118"/>
  <c r="I1118"/>
  <c r="G1118"/>
  <c r="M1117"/>
  <c r="K1117"/>
  <c r="G1117"/>
  <c r="M1116"/>
  <c r="K1116"/>
  <c r="G1116"/>
  <c r="N1115"/>
  <c r="P1115" s="1"/>
  <c r="M1115"/>
  <c r="K1115"/>
  <c r="I1115"/>
  <c r="G1115"/>
  <c r="M1114"/>
  <c r="K1114"/>
  <c r="G1114"/>
  <c r="N1113"/>
  <c r="O1113" s="1"/>
  <c r="M1113"/>
  <c r="K1113"/>
  <c r="I1113"/>
  <c r="G1113"/>
  <c r="O1112"/>
  <c r="N1112"/>
  <c r="P1112" s="1"/>
  <c r="M1112"/>
  <c r="K1112"/>
  <c r="I1112"/>
  <c r="G1112"/>
  <c r="M1111"/>
  <c r="K1111"/>
  <c r="G1111"/>
  <c r="N1110"/>
  <c r="O1110" s="1"/>
  <c r="P1110"/>
  <c r="B1110" s="1"/>
  <c r="M1110"/>
  <c r="K1110"/>
  <c r="I1110"/>
  <c r="G1110"/>
  <c r="N1109"/>
  <c r="O1109" s="1"/>
  <c r="P1109"/>
  <c r="B1109" s="1"/>
  <c r="M1109"/>
  <c r="K1109"/>
  <c r="I1109"/>
  <c r="G1109"/>
  <c r="M1108"/>
  <c r="K1108"/>
  <c r="H1108"/>
  <c r="N1108" s="1"/>
  <c r="G1108"/>
  <c r="M1107"/>
  <c r="K1107"/>
  <c r="H1107"/>
  <c r="N1107" s="1"/>
  <c r="G1107"/>
  <c r="N1106"/>
  <c r="M1106"/>
  <c r="K1106"/>
  <c r="I1106"/>
  <c r="G1106"/>
  <c r="M1105"/>
  <c r="K1105"/>
  <c r="G1105"/>
  <c r="N1104"/>
  <c r="M1104"/>
  <c r="K1104"/>
  <c r="I1104"/>
  <c r="G1104"/>
  <c r="M1103"/>
  <c r="K1103"/>
  <c r="G1103"/>
  <c r="M1102"/>
  <c r="K1102"/>
  <c r="G1102"/>
  <c r="N1101"/>
  <c r="O1101" s="1"/>
  <c r="M1101"/>
  <c r="K1101"/>
  <c r="I1101"/>
  <c r="G1101"/>
  <c r="M1100"/>
  <c r="K1100"/>
  <c r="G1100"/>
  <c r="M1099"/>
  <c r="K1099"/>
  <c r="H1099"/>
  <c r="N1099" s="1"/>
  <c r="G1099"/>
  <c r="N1098"/>
  <c r="M1098"/>
  <c r="K1098"/>
  <c r="I1098"/>
  <c r="G1098"/>
  <c r="N1097"/>
  <c r="M1097"/>
  <c r="K1097"/>
  <c r="I1097"/>
  <c r="G1097"/>
  <c r="N1096"/>
  <c r="M1096"/>
  <c r="K1096"/>
  <c r="I1096"/>
  <c r="G1096"/>
  <c r="M1095"/>
  <c r="K1095"/>
  <c r="G1095"/>
  <c r="N1094"/>
  <c r="M1094"/>
  <c r="K1094"/>
  <c r="I1094"/>
  <c r="G1094"/>
  <c r="N1093"/>
  <c r="M1093"/>
  <c r="K1093"/>
  <c r="I1093"/>
  <c r="G1093"/>
  <c r="N1092"/>
  <c r="P1092" s="1"/>
  <c r="B1092" s="1"/>
  <c r="D1092"/>
  <c r="K1092" s="1"/>
  <c r="N1091"/>
  <c r="O1091" s="1"/>
  <c r="M1091"/>
  <c r="K1091"/>
  <c r="I1091"/>
  <c r="G1091"/>
  <c r="N1090"/>
  <c r="O1090" s="1"/>
  <c r="M1090"/>
  <c r="K1090"/>
  <c r="I1090"/>
  <c r="G1090"/>
  <c r="N1089"/>
  <c r="O1089" s="1"/>
  <c r="M1089"/>
  <c r="K1089"/>
  <c r="I1089"/>
  <c r="G1089"/>
  <c r="N1088"/>
  <c r="O1088"/>
  <c r="M1088"/>
  <c r="K1088"/>
  <c r="I1088"/>
  <c r="G1088"/>
  <c r="N1087"/>
  <c r="O1087" s="1"/>
  <c r="M1087"/>
  <c r="K1087"/>
  <c r="I1087"/>
  <c r="G1087"/>
  <c r="N1086"/>
  <c r="D1086"/>
  <c r="M1086" s="1"/>
  <c r="N1085"/>
  <c r="M1085"/>
  <c r="K1085"/>
  <c r="I1085"/>
  <c r="G1085"/>
  <c r="N1084"/>
  <c r="M1084"/>
  <c r="K1084"/>
  <c r="I1084"/>
  <c r="G1084"/>
  <c r="N1083"/>
  <c r="M1083"/>
  <c r="K1083"/>
  <c r="I1083"/>
  <c r="G1083"/>
  <c r="N1082"/>
  <c r="M1082"/>
  <c r="K1082"/>
  <c r="I1082"/>
  <c r="G1082"/>
  <c r="N1081"/>
  <c r="M1081"/>
  <c r="K1081"/>
  <c r="I1081"/>
  <c r="G1081"/>
  <c r="N1080"/>
  <c r="M1080"/>
  <c r="K1080"/>
  <c r="I1080"/>
  <c r="G1080"/>
  <c r="N1079"/>
  <c r="M1079"/>
  <c r="K1079"/>
  <c r="I1079"/>
  <c r="G1079"/>
  <c r="N1078"/>
  <c r="M1078"/>
  <c r="K1078"/>
  <c r="I1078"/>
  <c r="G1078"/>
  <c r="N1077"/>
  <c r="M1077"/>
  <c r="K1077"/>
  <c r="I1077"/>
  <c r="G1077"/>
  <c r="N1076"/>
  <c r="M1076"/>
  <c r="K1076"/>
  <c r="I1076"/>
  <c r="G1076"/>
  <c r="N1075"/>
  <c r="M1075"/>
  <c r="K1075"/>
  <c r="I1075"/>
  <c r="G1075"/>
  <c r="N1074"/>
  <c r="M1074"/>
  <c r="K1074"/>
  <c r="I1074"/>
  <c r="G1074"/>
  <c r="N1073"/>
  <c r="M1073"/>
  <c r="K1073"/>
  <c r="I1073"/>
  <c r="G1073"/>
  <c r="N1072"/>
  <c r="M1072"/>
  <c r="K1072"/>
  <c r="I1072"/>
  <c r="G1072"/>
  <c r="N1071"/>
  <c r="M1071"/>
  <c r="K1071"/>
  <c r="I1071"/>
  <c r="G1071"/>
  <c r="N1070"/>
  <c r="M1070"/>
  <c r="K1070"/>
  <c r="I1070"/>
  <c r="G1070"/>
  <c r="N1069"/>
  <c r="M1069"/>
  <c r="K1069"/>
  <c r="I1069"/>
  <c r="G1069"/>
  <c r="N1068"/>
  <c r="M1068"/>
  <c r="K1068"/>
  <c r="I1068"/>
  <c r="G1068"/>
  <c r="N1067"/>
  <c r="O1067" s="1"/>
  <c r="M1067"/>
  <c r="K1067"/>
  <c r="I1067"/>
  <c r="G1067"/>
  <c r="N1066"/>
  <c r="O1066" s="1"/>
  <c r="M1066"/>
  <c r="K1066"/>
  <c r="I1066"/>
  <c r="G1066"/>
  <c r="N1065"/>
  <c r="O1065"/>
  <c r="M1065"/>
  <c r="K1065"/>
  <c r="I1065"/>
  <c r="G1065"/>
  <c r="N1064"/>
  <c r="O1064" s="1"/>
  <c r="M1064"/>
  <c r="K1064"/>
  <c r="I1064"/>
  <c r="G1064"/>
  <c r="N1063"/>
  <c r="O1063" s="1"/>
  <c r="M1063"/>
  <c r="K1063"/>
  <c r="I1063"/>
  <c r="G1063"/>
  <c r="N1062"/>
  <c r="O1062" s="1"/>
  <c r="M1062"/>
  <c r="K1062"/>
  <c r="I1062"/>
  <c r="G1062"/>
  <c r="N1061"/>
  <c r="O1061"/>
  <c r="M1061"/>
  <c r="K1061"/>
  <c r="I1061"/>
  <c r="G1061"/>
  <c r="N1060"/>
  <c r="O1060" s="1"/>
  <c r="M1060"/>
  <c r="K1060"/>
  <c r="I1060"/>
  <c r="G1060"/>
  <c r="N1059"/>
  <c r="O1059" s="1"/>
  <c r="M1059"/>
  <c r="K1059"/>
  <c r="I1059"/>
  <c r="G1059"/>
  <c r="N1058"/>
  <c r="O1058" s="1"/>
  <c r="M1058"/>
  <c r="K1058"/>
  <c r="I1058"/>
  <c r="G1058"/>
  <c r="N1057"/>
  <c r="O1057"/>
  <c r="M1057"/>
  <c r="K1057"/>
  <c r="I1057"/>
  <c r="G1057"/>
  <c r="N1056"/>
  <c r="O1056" s="1"/>
  <c r="M1056"/>
  <c r="K1056"/>
  <c r="I1056"/>
  <c r="G1056"/>
  <c r="N1055"/>
  <c r="O1055" s="1"/>
  <c r="M1055"/>
  <c r="K1055"/>
  <c r="I1055"/>
  <c r="G1055"/>
  <c r="N1054"/>
  <c r="O1054" s="1"/>
  <c r="M1054"/>
  <c r="K1054"/>
  <c r="I1054"/>
  <c r="G1054"/>
  <c r="N1053"/>
  <c r="O1053"/>
  <c r="M1053"/>
  <c r="K1053"/>
  <c r="I1053"/>
  <c r="G1053"/>
  <c r="N1052"/>
  <c r="O1052" s="1"/>
  <c r="M1052"/>
  <c r="K1052"/>
  <c r="I1052"/>
  <c r="G1052"/>
  <c r="N1051"/>
  <c r="O1051" s="1"/>
  <c r="M1051"/>
  <c r="K1051"/>
  <c r="I1051"/>
  <c r="G1051"/>
  <c r="L1050"/>
  <c r="M1050" s="1"/>
  <c r="K1050"/>
  <c r="I1050"/>
  <c r="G1050"/>
  <c r="L1049"/>
  <c r="M1049" s="1"/>
  <c r="K1049"/>
  <c r="I1049"/>
  <c r="G1049"/>
  <c r="N1048"/>
  <c r="P1048" s="1"/>
  <c r="M1048"/>
  <c r="K1048"/>
  <c r="I1048"/>
  <c r="G1048"/>
  <c r="N1047"/>
  <c r="P1047" s="1"/>
  <c r="M1047"/>
  <c r="K1047"/>
  <c r="I1047"/>
  <c r="G1047"/>
  <c r="N1046"/>
  <c r="P1046" s="1"/>
  <c r="M1046"/>
  <c r="K1046"/>
  <c r="I1046"/>
  <c r="G1046"/>
  <c r="N1045"/>
  <c r="P1045" s="1"/>
  <c r="M1045"/>
  <c r="K1045"/>
  <c r="I1045"/>
  <c r="G1045"/>
  <c r="N1044"/>
  <c r="P1044" s="1"/>
  <c r="M1044"/>
  <c r="K1044"/>
  <c r="I1044"/>
  <c r="G1044"/>
  <c r="N1043"/>
  <c r="P1043" s="1"/>
  <c r="M1043"/>
  <c r="K1043"/>
  <c r="I1043"/>
  <c r="G1043"/>
  <c r="N1042"/>
  <c r="P1042" s="1"/>
  <c r="M1042"/>
  <c r="K1042"/>
  <c r="I1042"/>
  <c r="G1042"/>
  <c r="N1041"/>
  <c r="P1041" s="1"/>
  <c r="M1041"/>
  <c r="K1041"/>
  <c r="I1041"/>
  <c r="G1041"/>
  <c r="N1040"/>
  <c r="P1040" s="1"/>
  <c r="M1040"/>
  <c r="K1040"/>
  <c r="I1040"/>
  <c r="G1040"/>
  <c r="N1039"/>
  <c r="P1039" s="1"/>
  <c r="M1039"/>
  <c r="K1039"/>
  <c r="I1039"/>
  <c r="G1039"/>
  <c r="N1038"/>
  <c r="P1038" s="1"/>
  <c r="M1038"/>
  <c r="K1038"/>
  <c r="I1038"/>
  <c r="G1038"/>
  <c r="N1037"/>
  <c r="P1037" s="1"/>
  <c r="M1037"/>
  <c r="K1037"/>
  <c r="I1037"/>
  <c r="G1037"/>
  <c r="N1036"/>
  <c r="P1036" s="1"/>
  <c r="M1036"/>
  <c r="K1036"/>
  <c r="I1036"/>
  <c r="G1036"/>
  <c r="N1035"/>
  <c r="P1035" s="1"/>
  <c r="M1035"/>
  <c r="K1035"/>
  <c r="I1035"/>
  <c r="G1035"/>
  <c r="N1034"/>
  <c r="P1034" s="1"/>
  <c r="M1034"/>
  <c r="K1034"/>
  <c r="I1034"/>
  <c r="G1034"/>
  <c r="N1033"/>
  <c r="P1033" s="1"/>
  <c r="M1033"/>
  <c r="K1033"/>
  <c r="I1033"/>
  <c r="G1033"/>
  <c r="N1032"/>
  <c r="P1032" s="1"/>
  <c r="M1032"/>
  <c r="K1032"/>
  <c r="I1032"/>
  <c r="G1032"/>
  <c r="N1031"/>
  <c r="P1031" s="1"/>
  <c r="M1031"/>
  <c r="K1031"/>
  <c r="I1031"/>
  <c r="G1031"/>
  <c r="N1030"/>
  <c r="P1030" s="1"/>
  <c r="M1030"/>
  <c r="K1030"/>
  <c r="I1030"/>
  <c r="G1030"/>
  <c r="N1029"/>
  <c r="P1029" s="1"/>
  <c r="M1029"/>
  <c r="K1029"/>
  <c r="I1029"/>
  <c r="G1029"/>
  <c r="N1028"/>
  <c r="P1028" s="1"/>
  <c r="M1028"/>
  <c r="K1028"/>
  <c r="I1028"/>
  <c r="G1028"/>
  <c r="N1027"/>
  <c r="P1027" s="1"/>
  <c r="M1027"/>
  <c r="K1027"/>
  <c r="I1027"/>
  <c r="G1027"/>
  <c r="N1026"/>
  <c r="P1026" s="1"/>
  <c r="M1026"/>
  <c r="K1026"/>
  <c r="I1026"/>
  <c r="G1026"/>
  <c r="N1025"/>
  <c r="P1025" s="1"/>
  <c r="M1025"/>
  <c r="K1025"/>
  <c r="I1025"/>
  <c r="G1025"/>
  <c r="N1024"/>
  <c r="P1024" s="1"/>
  <c r="M1024"/>
  <c r="K1024"/>
  <c r="I1024"/>
  <c r="G1024"/>
  <c r="N1023"/>
  <c r="P1023" s="1"/>
  <c r="M1023"/>
  <c r="K1023"/>
  <c r="I1023"/>
  <c r="G1023"/>
  <c r="N1022"/>
  <c r="P1022" s="1"/>
  <c r="M1022"/>
  <c r="K1022"/>
  <c r="I1022"/>
  <c r="G1022"/>
  <c r="N1021"/>
  <c r="P1021" s="1"/>
  <c r="M1021"/>
  <c r="K1021"/>
  <c r="I1021"/>
  <c r="G1021"/>
  <c r="N1020"/>
  <c r="P1020" s="1"/>
  <c r="M1020"/>
  <c r="K1020"/>
  <c r="I1020"/>
  <c r="G1020"/>
  <c r="N1019"/>
  <c r="P1019" s="1"/>
  <c r="M1019"/>
  <c r="K1019"/>
  <c r="I1019"/>
  <c r="G1019"/>
  <c r="N1018"/>
  <c r="P1018" s="1"/>
  <c r="M1018"/>
  <c r="K1018"/>
  <c r="I1018"/>
  <c r="G1018"/>
  <c r="N1017"/>
  <c r="P1017" s="1"/>
  <c r="M1017"/>
  <c r="K1017"/>
  <c r="I1017"/>
  <c r="G1017"/>
  <c r="N1016"/>
  <c r="P1016" s="1"/>
  <c r="M1016"/>
  <c r="K1016"/>
  <c r="I1016"/>
  <c r="G1016"/>
  <c r="N1015"/>
  <c r="P1015" s="1"/>
  <c r="M1015"/>
  <c r="K1015"/>
  <c r="I1015"/>
  <c r="G1015"/>
  <c r="N1014"/>
  <c r="P1014" s="1"/>
  <c r="M1014"/>
  <c r="K1014"/>
  <c r="I1014"/>
  <c r="G1014"/>
  <c r="N1013"/>
  <c r="P1013" s="1"/>
  <c r="M1013"/>
  <c r="K1013"/>
  <c r="I1013"/>
  <c r="G1013"/>
  <c r="N1012"/>
  <c r="P1012" s="1"/>
  <c r="M1012"/>
  <c r="K1012"/>
  <c r="I1012"/>
  <c r="G1012"/>
  <c r="N1011"/>
  <c r="P1011" s="1"/>
  <c r="M1011"/>
  <c r="K1011"/>
  <c r="I1011"/>
  <c r="G1011"/>
  <c r="M1010"/>
  <c r="K1010"/>
  <c r="G1010"/>
  <c r="N1009"/>
  <c r="O1009" s="1"/>
  <c r="M1009"/>
  <c r="K1009"/>
  <c r="I1009"/>
  <c r="G1009"/>
  <c r="M1008"/>
  <c r="K1008"/>
  <c r="G1008"/>
  <c r="N1007"/>
  <c r="M1007"/>
  <c r="K1007"/>
  <c r="I1007"/>
  <c r="G1007"/>
  <c r="M1006"/>
  <c r="K1006"/>
  <c r="G1006"/>
  <c r="N1005"/>
  <c r="M1005"/>
  <c r="K1005"/>
  <c r="I1005"/>
  <c r="G1005"/>
  <c r="N1004"/>
  <c r="M1004"/>
  <c r="K1004"/>
  <c r="I1004"/>
  <c r="G1004"/>
  <c r="N1003"/>
  <c r="M1003"/>
  <c r="K1003"/>
  <c r="I1003"/>
  <c r="G1003"/>
  <c r="N1002"/>
  <c r="M1002"/>
  <c r="K1002"/>
  <c r="I1002"/>
  <c r="G1002"/>
  <c r="N1001"/>
  <c r="M1001"/>
  <c r="K1001"/>
  <c r="I1001"/>
  <c r="G1001"/>
  <c r="N1000"/>
  <c r="M1000"/>
  <c r="K1000"/>
  <c r="I1000"/>
  <c r="G1000"/>
  <c r="N999"/>
  <c r="M999"/>
  <c r="K999"/>
  <c r="I999"/>
  <c r="G999"/>
  <c r="N998"/>
  <c r="M998"/>
  <c r="K998"/>
  <c r="I998"/>
  <c r="G998"/>
  <c r="N997"/>
  <c r="M997"/>
  <c r="K997"/>
  <c r="I997"/>
  <c r="G997"/>
  <c r="N996"/>
  <c r="M996"/>
  <c r="K996"/>
  <c r="I996"/>
  <c r="G996"/>
  <c r="N995"/>
  <c r="M995"/>
  <c r="K995"/>
  <c r="I995"/>
  <c r="G995"/>
  <c r="M994"/>
  <c r="K994"/>
  <c r="H994"/>
  <c r="N994" s="1"/>
  <c r="G994"/>
  <c r="N993"/>
  <c r="P993" s="1"/>
  <c r="B993" s="1"/>
  <c r="O993"/>
  <c r="M993"/>
  <c r="K993"/>
  <c r="I993"/>
  <c r="G993"/>
  <c r="M992"/>
  <c r="K992"/>
  <c r="G992"/>
  <c r="M991"/>
  <c r="K991"/>
  <c r="H991"/>
  <c r="G991"/>
  <c r="N990"/>
  <c r="M990"/>
  <c r="K990"/>
  <c r="I990"/>
  <c r="G990"/>
  <c r="N989"/>
  <c r="P989"/>
  <c r="M989"/>
  <c r="K989"/>
  <c r="I989"/>
  <c r="G989"/>
  <c r="N988"/>
  <c r="P988" s="1"/>
  <c r="M988"/>
  <c r="K988"/>
  <c r="I988"/>
  <c r="G988"/>
  <c r="N987"/>
  <c r="P987" s="1"/>
  <c r="M987"/>
  <c r="K987"/>
  <c r="I987"/>
  <c r="G987"/>
  <c r="N986"/>
  <c r="P986" s="1"/>
  <c r="B986" s="1"/>
  <c r="D986"/>
  <c r="M986" s="1"/>
  <c r="N985"/>
  <c r="M985"/>
  <c r="K985"/>
  <c r="I985"/>
  <c r="N984"/>
  <c r="O984" s="1"/>
  <c r="M984"/>
  <c r="K984"/>
  <c r="I984"/>
  <c r="N983"/>
  <c r="M983"/>
  <c r="K983"/>
  <c r="I983"/>
  <c r="N982"/>
  <c r="O982" s="1"/>
  <c r="M982"/>
  <c r="K982"/>
  <c r="I982"/>
  <c r="N981"/>
  <c r="O981" s="1"/>
  <c r="M981"/>
  <c r="K981"/>
  <c r="I981"/>
  <c r="N980"/>
  <c r="P980" s="1"/>
  <c r="M980"/>
  <c r="K980"/>
  <c r="I980"/>
  <c r="G980"/>
  <c r="N979"/>
  <c r="O979" s="1"/>
  <c r="M979"/>
  <c r="K979"/>
  <c r="I979"/>
  <c r="N978"/>
  <c r="M978"/>
  <c r="K978"/>
  <c r="I978"/>
  <c r="N977"/>
  <c r="M977"/>
  <c r="K977"/>
  <c r="I977"/>
  <c r="N976"/>
  <c r="O976" s="1"/>
  <c r="M976"/>
  <c r="K976"/>
  <c r="I976"/>
  <c r="P975"/>
  <c r="N975"/>
  <c r="O975" s="1"/>
  <c r="M975"/>
  <c r="K975"/>
  <c r="I975"/>
  <c r="G975"/>
  <c r="N974"/>
  <c r="O974" s="1"/>
  <c r="M974"/>
  <c r="K974"/>
  <c r="I974"/>
  <c r="F974"/>
  <c r="G974" s="1"/>
  <c r="N973"/>
  <c r="N972"/>
  <c r="O972" s="1"/>
  <c r="M972"/>
  <c r="K972"/>
  <c r="I972"/>
  <c r="G972"/>
  <c r="N971"/>
  <c r="P971" s="1"/>
  <c r="M971"/>
  <c r="K971"/>
  <c r="I971"/>
  <c r="G971"/>
  <c r="E971"/>
  <c r="N970"/>
  <c r="P970" s="1"/>
  <c r="B970" s="1"/>
  <c r="N969"/>
  <c r="O969" s="1"/>
  <c r="M969"/>
  <c r="K969"/>
  <c r="I969"/>
  <c r="N968"/>
  <c r="M968"/>
  <c r="K968"/>
  <c r="I968"/>
  <c r="N967"/>
  <c r="M967"/>
  <c r="K967"/>
  <c r="I967"/>
  <c r="N966"/>
  <c r="P966" s="1"/>
  <c r="N965"/>
  <c r="P965" s="1"/>
  <c r="N964"/>
  <c r="N963"/>
  <c r="P963" s="1"/>
  <c r="B963" s="1"/>
  <c r="N962"/>
  <c r="O962" s="1"/>
  <c r="M962"/>
  <c r="K962"/>
  <c r="I962"/>
  <c r="G962"/>
  <c r="N961"/>
  <c r="F961"/>
  <c r="M961"/>
  <c r="N960"/>
  <c r="M960"/>
  <c r="K960"/>
  <c r="I960"/>
  <c r="F960"/>
  <c r="G960" s="1"/>
  <c r="N959"/>
  <c r="P959" s="1"/>
  <c r="M959"/>
  <c r="K959"/>
  <c r="I959"/>
  <c r="G959"/>
  <c r="N958"/>
  <c r="P958" s="1"/>
  <c r="B958" s="1"/>
  <c r="D958"/>
  <c r="K958" s="1"/>
  <c r="N957"/>
  <c r="M957"/>
  <c r="K957"/>
  <c r="I957"/>
  <c r="G957"/>
  <c r="N956"/>
  <c r="P956" s="1"/>
  <c r="B956" s="1"/>
  <c r="N955"/>
  <c r="P955" s="1"/>
  <c r="B955" s="1"/>
  <c r="N954"/>
  <c r="N953"/>
  <c r="P953" s="1"/>
  <c r="N952"/>
  <c r="P952" s="1"/>
  <c r="B952" s="1"/>
  <c r="N951"/>
  <c r="P951" s="1"/>
  <c r="B951" s="1"/>
  <c r="N950"/>
  <c r="N949"/>
  <c r="P949" s="1"/>
  <c r="B949" s="1"/>
  <c r="N948"/>
  <c r="P948" s="1"/>
  <c r="N947"/>
  <c r="P947" s="1"/>
  <c r="B947" s="1"/>
  <c r="N946"/>
  <c r="N945"/>
  <c r="P945" s="1"/>
  <c r="M945"/>
  <c r="K945"/>
  <c r="I945"/>
  <c r="G945"/>
  <c r="N944"/>
  <c r="M944"/>
  <c r="K944"/>
  <c r="I944"/>
  <c r="G944"/>
  <c r="N943"/>
  <c r="P943" s="1"/>
  <c r="M943"/>
  <c r="K943"/>
  <c r="I943"/>
  <c r="G943"/>
  <c r="N942"/>
  <c r="P942" s="1"/>
  <c r="M942"/>
  <c r="K942"/>
  <c r="I942"/>
  <c r="G942"/>
  <c r="N941"/>
  <c r="P941" s="1"/>
  <c r="M941"/>
  <c r="K941"/>
  <c r="I941"/>
  <c r="G941"/>
  <c r="N940"/>
  <c r="M940"/>
  <c r="K940"/>
  <c r="I940"/>
  <c r="G940"/>
  <c r="N939"/>
  <c r="P939"/>
  <c r="M939"/>
  <c r="K939"/>
  <c r="I939"/>
  <c r="G939"/>
  <c r="N938"/>
  <c r="P938" s="1"/>
  <c r="M938"/>
  <c r="K938"/>
  <c r="I938"/>
  <c r="G938"/>
  <c r="N937"/>
  <c r="P937" s="1"/>
  <c r="M937"/>
  <c r="K937"/>
  <c r="I937"/>
  <c r="G937"/>
  <c r="N936"/>
  <c r="M936"/>
  <c r="K936"/>
  <c r="I936"/>
  <c r="G936"/>
  <c r="N935"/>
  <c r="P935"/>
  <c r="M935"/>
  <c r="K935"/>
  <c r="I935"/>
  <c r="G935"/>
  <c r="N934"/>
  <c r="O934" s="1"/>
  <c r="M934"/>
  <c r="K934"/>
  <c r="I934"/>
  <c r="G934"/>
  <c r="N933"/>
  <c r="O933" s="1"/>
  <c r="M933"/>
  <c r="K933"/>
  <c r="I933"/>
  <c r="G933"/>
  <c r="N932"/>
  <c r="N931"/>
  <c r="M931"/>
  <c r="K931"/>
  <c r="I931"/>
  <c r="G931"/>
  <c r="N930"/>
  <c r="P930" s="1"/>
  <c r="N929"/>
  <c r="N928"/>
  <c r="P928" s="1"/>
  <c r="B928" s="1"/>
  <c r="N927"/>
  <c r="N926"/>
  <c r="P926" s="1"/>
  <c r="B926" s="1"/>
  <c r="P925"/>
  <c r="B925" s="1"/>
  <c r="N925"/>
  <c r="O924"/>
  <c r="N924"/>
  <c r="P924" s="1"/>
  <c r="B924" s="1"/>
  <c r="M924"/>
  <c r="K924"/>
  <c r="I924"/>
  <c r="G924"/>
  <c r="P923"/>
  <c r="B923" s="1"/>
  <c r="N923"/>
  <c r="N922"/>
  <c r="N921"/>
  <c r="N920"/>
  <c r="N919"/>
  <c r="N918"/>
  <c r="N917"/>
  <c r="N916"/>
  <c r="N915"/>
  <c r="N914"/>
  <c r="N913"/>
  <c r="N912"/>
  <c r="O912" s="1"/>
  <c r="M912"/>
  <c r="K912"/>
  <c r="I912"/>
  <c r="G912"/>
  <c r="N911"/>
  <c r="O911"/>
  <c r="M911"/>
  <c r="K911"/>
  <c r="I911"/>
  <c r="G911"/>
  <c r="N910"/>
  <c r="N909"/>
  <c r="P909" s="1"/>
  <c r="N908"/>
  <c r="P908" s="1"/>
  <c r="B908" s="1"/>
  <c r="N907"/>
  <c r="P907" s="1"/>
  <c r="B907" s="1"/>
  <c r="N906"/>
  <c r="N905"/>
  <c r="M905"/>
  <c r="K905"/>
  <c r="I905"/>
  <c r="G905"/>
  <c r="N904"/>
  <c r="P904" s="1"/>
  <c r="B904" s="1"/>
  <c r="N903"/>
  <c r="N902"/>
  <c r="O902" s="1"/>
  <c r="M902"/>
  <c r="K902"/>
  <c r="I902"/>
  <c r="N901"/>
  <c r="N900"/>
  <c r="O900" s="1"/>
  <c r="M900"/>
  <c r="K900"/>
  <c r="I900"/>
  <c r="N899"/>
  <c r="O899"/>
  <c r="M899"/>
  <c r="K899"/>
  <c r="I899"/>
  <c r="O898"/>
  <c r="N898"/>
  <c r="P898" s="1"/>
  <c r="M898"/>
  <c r="K898"/>
  <c r="I898"/>
  <c r="G898"/>
  <c r="N897"/>
  <c r="O897" s="1"/>
  <c r="M897"/>
  <c r="K897"/>
  <c r="I897"/>
  <c r="N896"/>
  <c r="M896"/>
  <c r="K896"/>
  <c r="I896"/>
  <c r="O895"/>
  <c r="N895"/>
  <c r="P895" s="1"/>
  <c r="B895" s="1"/>
  <c r="M895"/>
  <c r="K895"/>
  <c r="I895"/>
  <c r="G895"/>
  <c r="O894"/>
  <c r="N894"/>
  <c r="M894"/>
  <c r="K894"/>
  <c r="I894"/>
  <c r="N893"/>
  <c r="O893" s="1"/>
  <c r="M893"/>
  <c r="K893"/>
  <c r="I893"/>
  <c r="N892"/>
  <c r="M892"/>
  <c r="K892"/>
  <c r="I892"/>
  <c r="G892"/>
  <c r="N891"/>
  <c r="P891" s="1"/>
  <c r="B891" s="1"/>
  <c r="N890"/>
  <c r="P890" s="1"/>
  <c r="B890" s="1"/>
  <c r="N889"/>
  <c r="N888"/>
  <c r="P888" s="1"/>
  <c r="B888" s="1"/>
  <c r="N887"/>
  <c r="P887" s="1"/>
  <c r="N886"/>
  <c r="P886" s="1"/>
  <c r="B886" s="1"/>
  <c r="N885"/>
  <c r="N884"/>
  <c r="N883"/>
  <c r="N882"/>
  <c r="P882" s="1"/>
  <c r="M882"/>
  <c r="K882"/>
  <c r="I882"/>
  <c r="G882"/>
  <c r="N881"/>
  <c r="P881" s="1"/>
  <c r="M881"/>
  <c r="K881"/>
  <c r="I881"/>
  <c r="G881"/>
  <c r="N880"/>
  <c r="P880" s="1"/>
  <c r="M880"/>
  <c r="K880"/>
  <c r="I880"/>
  <c r="G880"/>
  <c r="N879"/>
  <c r="O879" s="1"/>
  <c r="M879"/>
  <c r="K879"/>
  <c r="I879"/>
  <c r="G879"/>
  <c r="N878"/>
  <c r="P878" s="1"/>
  <c r="N877"/>
  <c r="P877" s="1"/>
  <c r="B877" s="1"/>
  <c r="N876"/>
  <c r="P876" s="1"/>
  <c r="B876" s="1"/>
  <c r="N875"/>
  <c r="D875"/>
  <c r="M875" s="1"/>
  <c r="N874"/>
  <c r="P874" s="1"/>
  <c r="B874" s="1"/>
  <c r="N873"/>
  <c r="P873" s="1"/>
  <c r="D873"/>
  <c r="K873" s="1"/>
  <c r="N872"/>
  <c r="P872" s="1"/>
  <c r="B872" s="1"/>
  <c r="N871"/>
  <c r="O871" s="1"/>
  <c r="M871"/>
  <c r="K871"/>
  <c r="I871"/>
  <c r="G871"/>
  <c r="N870"/>
  <c r="N869"/>
  <c r="P869" s="1"/>
  <c r="B869" s="1"/>
  <c r="N868"/>
  <c r="M868"/>
  <c r="K868"/>
  <c r="I868"/>
  <c r="G868"/>
  <c r="C868"/>
  <c r="P867"/>
  <c r="B867" s="1"/>
  <c r="N867"/>
  <c r="N866"/>
  <c r="N865"/>
  <c r="P865" s="1"/>
  <c r="B865" s="1"/>
  <c r="N864"/>
  <c r="P864" s="1"/>
  <c r="B864" s="1"/>
  <c r="N863"/>
  <c r="N862"/>
  <c r="O862" s="1"/>
  <c r="M862"/>
  <c r="K862"/>
  <c r="I862"/>
  <c r="G862"/>
  <c r="N861"/>
  <c r="N860"/>
  <c r="P860" s="1"/>
  <c r="B860" s="1"/>
  <c r="N859"/>
  <c r="P859"/>
  <c r="B859"/>
  <c r="N858"/>
  <c r="P858" s="1"/>
  <c r="B858" s="1"/>
  <c r="N857"/>
  <c r="O857" s="1"/>
  <c r="M857"/>
  <c r="K857"/>
  <c r="I857"/>
  <c r="G857"/>
  <c r="N856"/>
  <c r="N855"/>
  <c r="P855" s="1"/>
  <c r="B855" s="1"/>
  <c r="N854"/>
  <c r="P854" s="1"/>
  <c r="B854" s="1"/>
  <c r="N853"/>
  <c r="P853" s="1"/>
  <c r="B853" s="1"/>
  <c r="N852"/>
  <c r="O852" s="1"/>
  <c r="M852"/>
  <c r="K852"/>
  <c r="I852"/>
  <c r="G852"/>
  <c r="N851"/>
  <c r="N850"/>
  <c r="P850"/>
  <c r="B850" s="1"/>
  <c r="D850"/>
  <c r="N849"/>
  <c r="P849" s="1"/>
  <c r="B849" s="1"/>
  <c r="N848"/>
  <c r="N847"/>
  <c r="N846"/>
  <c r="P846" s="1"/>
  <c r="B846" s="1"/>
  <c r="N845"/>
  <c r="P845" s="1"/>
  <c r="B845" s="1"/>
  <c r="N844"/>
  <c r="P844" s="1"/>
  <c r="B844" s="1"/>
  <c r="N843"/>
  <c r="N842"/>
  <c r="P842" s="1"/>
  <c r="N841"/>
  <c r="P841" s="1"/>
  <c r="N840"/>
  <c r="P840" s="1"/>
  <c r="M840"/>
  <c r="K840"/>
  <c r="I840"/>
  <c r="G840"/>
  <c r="N839"/>
  <c r="O839" s="1"/>
  <c r="M839"/>
  <c r="K839"/>
  <c r="I839"/>
  <c r="G839"/>
  <c r="N838"/>
  <c r="D838"/>
  <c r="K838" s="1"/>
  <c r="N837"/>
  <c r="O837"/>
  <c r="M837"/>
  <c r="K837"/>
  <c r="I837"/>
  <c r="G837"/>
  <c r="N836"/>
  <c r="D836"/>
  <c r="I836" s="1"/>
  <c r="N835"/>
  <c r="D835"/>
  <c r="O835" s="1"/>
  <c r="N834"/>
  <c r="O834" s="1"/>
  <c r="M834"/>
  <c r="K834"/>
  <c r="I834"/>
  <c r="G834"/>
  <c r="N833"/>
  <c r="O833" s="1"/>
  <c r="M833"/>
  <c r="K833"/>
  <c r="I833"/>
  <c r="G833"/>
  <c r="N832"/>
  <c r="O832" s="1"/>
  <c r="M832"/>
  <c r="K832"/>
  <c r="I832"/>
  <c r="G832"/>
  <c r="N831"/>
  <c r="O831" s="1"/>
  <c r="M831"/>
  <c r="K831"/>
  <c r="I831"/>
  <c r="G831"/>
  <c r="N830"/>
  <c r="O830" s="1"/>
  <c r="M830"/>
  <c r="K830"/>
  <c r="I830"/>
  <c r="G830"/>
  <c r="N829"/>
  <c r="O829" s="1"/>
  <c r="M829"/>
  <c r="K829"/>
  <c r="I829"/>
  <c r="G829"/>
  <c r="N828"/>
  <c r="O828" s="1"/>
  <c r="M828"/>
  <c r="K828"/>
  <c r="I828"/>
  <c r="G828"/>
  <c r="N827"/>
  <c r="O827" s="1"/>
  <c r="M827"/>
  <c r="K827"/>
  <c r="I827"/>
  <c r="G827"/>
  <c r="N826"/>
  <c r="O826" s="1"/>
  <c r="M826"/>
  <c r="K826"/>
  <c r="I826"/>
  <c r="G826"/>
  <c r="N825"/>
  <c r="O825" s="1"/>
  <c r="M825"/>
  <c r="K825"/>
  <c r="I825"/>
  <c r="G825"/>
  <c r="N824"/>
  <c r="O824" s="1"/>
  <c r="M824"/>
  <c r="K824"/>
  <c r="I824"/>
  <c r="G824"/>
  <c r="N823"/>
  <c r="O823" s="1"/>
  <c r="M823"/>
  <c r="K823"/>
  <c r="I823"/>
  <c r="O822"/>
  <c r="N822"/>
  <c r="M822"/>
  <c r="K822"/>
  <c r="I822"/>
  <c r="N821"/>
  <c r="M821"/>
  <c r="K821"/>
  <c r="I821"/>
  <c r="G821"/>
  <c r="N820"/>
  <c r="M820"/>
  <c r="K820"/>
  <c r="I820"/>
  <c r="G820"/>
  <c r="N819"/>
  <c r="M819"/>
  <c r="K819"/>
  <c r="I819"/>
  <c r="N818"/>
  <c r="P818" s="1"/>
  <c r="B818" s="1"/>
  <c r="M818"/>
  <c r="K818"/>
  <c r="I818"/>
  <c r="G818"/>
  <c r="N817"/>
  <c r="O817" s="1"/>
  <c r="M817"/>
  <c r="K817"/>
  <c r="I817"/>
  <c r="N816"/>
  <c r="O816" s="1"/>
  <c r="M816"/>
  <c r="K816"/>
  <c r="I816"/>
  <c r="G816"/>
  <c r="N815"/>
  <c r="O815" s="1"/>
  <c r="M815"/>
  <c r="K815"/>
  <c r="I815"/>
  <c r="G815"/>
  <c r="N814"/>
  <c r="O814" s="1"/>
  <c r="M814"/>
  <c r="K814"/>
  <c r="I814"/>
  <c r="G814"/>
  <c r="N813"/>
  <c r="O813" s="1"/>
  <c r="M813"/>
  <c r="K813"/>
  <c r="I813"/>
  <c r="G813"/>
  <c r="N812"/>
  <c r="O812" s="1"/>
  <c r="M812"/>
  <c r="K812"/>
  <c r="I812"/>
  <c r="G812"/>
  <c r="N811"/>
  <c r="N810"/>
  <c r="P810" s="1"/>
  <c r="B810" s="1"/>
  <c r="D810"/>
  <c r="K810" s="1"/>
  <c r="N809"/>
  <c r="P809" s="1"/>
  <c r="D809"/>
  <c r="M809" s="1"/>
  <c r="N808"/>
  <c r="P808" s="1"/>
  <c r="B808" s="1"/>
  <c r="D808"/>
  <c r="M808" s="1"/>
  <c r="N807"/>
  <c r="N806"/>
  <c r="P806" s="1"/>
  <c r="N805"/>
  <c r="N804"/>
  <c r="P804" s="1"/>
  <c r="B804" s="1"/>
  <c r="D804"/>
  <c r="M804" s="1"/>
  <c r="N803"/>
  <c r="N802"/>
  <c r="O802"/>
  <c r="M802"/>
  <c r="K802"/>
  <c r="I802"/>
  <c r="O801"/>
  <c r="N801"/>
  <c r="M801"/>
  <c r="K801"/>
  <c r="I801"/>
  <c r="P800"/>
  <c r="N800"/>
  <c r="O800"/>
  <c r="M800"/>
  <c r="K800"/>
  <c r="I800"/>
  <c r="G800"/>
  <c r="N799"/>
  <c r="O799" s="1"/>
  <c r="M799"/>
  <c r="K799"/>
  <c r="I799"/>
  <c r="N798"/>
  <c r="M798"/>
  <c r="K798"/>
  <c r="I798"/>
  <c r="N797"/>
  <c r="M797"/>
  <c r="K797"/>
  <c r="I797"/>
  <c r="G797"/>
  <c r="N796"/>
  <c r="M796"/>
  <c r="K796"/>
  <c r="I796"/>
  <c r="G796"/>
  <c r="N795"/>
  <c r="M795"/>
  <c r="K795"/>
  <c r="I795"/>
  <c r="G795"/>
  <c r="N794"/>
  <c r="M794"/>
  <c r="K794"/>
  <c r="I794"/>
  <c r="G794"/>
  <c r="N793"/>
  <c r="M793"/>
  <c r="K793"/>
  <c r="I793"/>
  <c r="G793"/>
  <c r="N792"/>
  <c r="M792"/>
  <c r="K792"/>
  <c r="I792"/>
  <c r="G792"/>
  <c r="N791"/>
  <c r="M791"/>
  <c r="K791"/>
  <c r="I791"/>
  <c r="G791"/>
  <c r="N790"/>
  <c r="P790" s="1"/>
  <c r="M790"/>
  <c r="K790"/>
  <c r="I790"/>
  <c r="G790"/>
  <c r="N789"/>
  <c r="O789" s="1"/>
  <c r="M789"/>
  <c r="K789"/>
  <c r="I789"/>
  <c r="G789"/>
  <c r="N788"/>
  <c r="P788" s="1"/>
  <c r="M788"/>
  <c r="K788"/>
  <c r="I788"/>
  <c r="G788"/>
  <c r="N787"/>
  <c r="M787"/>
  <c r="K787"/>
  <c r="I787"/>
  <c r="G787"/>
  <c r="N786"/>
  <c r="P786" s="1"/>
  <c r="M786"/>
  <c r="K786"/>
  <c r="I786"/>
  <c r="G786"/>
  <c r="N785"/>
  <c r="P785" s="1"/>
  <c r="M785"/>
  <c r="K785"/>
  <c r="I785"/>
  <c r="G785"/>
  <c r="N784"/>
  <c r="P784"/>
  <c r="M784"/>
  <c r="K784"/>
  <c r="I784"/>
  <c r="G784"/>
  <c r="N783"/>
  <c r="M783"/>
  <c r="K783"/>
  <c r="I783"/>
  <c r="G783"/>
  <c r="N782"/>
  <c r="P782" s="1"/>
  <c r="M782"/>
  <c r="K782"/>
  <c r="I782"/>
  <c r="G782"/>
  <c r="N781"/>
  <c r="P781" s="1"/>
  <c r="M781"/>
  <c r="K781"/>
  <c r="I781"/>
  <c r="G781"/>
  <c r="A781"/>
  <c r="N780"/>
  <c r="P780" s="1"/>
  <c r="B780" s="1"/>
  <c r="N779"/>
  <c r="P779"/>
  <c r="B779" s="1"/>
  <c r="N778"/>
  <c r="N777"/>
  <c r="P777" s="1"/>
  <c r="B777" s="1"/>
  <c r="N776"/>
  <c r="N775"/>
  <c r="P775" s="1"/>
  <c r="N774"/>
  <c r="N773"/>
  <c r="M773"/>
  <c r="K773"/>
  <c r="I773"/>
  <c r="G773"/>
  <c r="N772"/>
  <c r="P772" s="1"/>
  <c r="B772" s="1"/>
  <c r="N771"/>
  <c r="N770"/>
  <c r="N769"/>
  <c r="P769" s="1"/>
  <c r="B769" s="1"/>
  <c r="N768"/>
  <c r="P768"/>
  <c r="B768" s="1"/>
  <c r="N767"/>
  <c r="N766"/>
  <c r="P766" s="1"/>
  <c r="B766" s="1"/>
  <c r="N765"/>
  <c r="N764"/>
  <c r="N763"/>
  <c r="N762"/>
  <c r="N761"/>
  <c r="P761" s="1"/>
  <c r="N760"/>
  <c r="M760"/>
  <c r="K760"/>
  <c r="I760"/>
  <c r="N759"/>
  <c r="P759" s="1"/>
  <c r="B759" s="1"/>
  <c r="D759"/>
  <c r="K759" s="1"/>
  <c r="N758"/>
  <c r="P758" s="1"/>
  <c r="C758"/>
  <c r="N757"/>
  <c r="P757" s="1"/>
  <c r="B757" s="1"/>
  <c r="C757"/>
  <c r="N756"/>
  <c r="N755"/>
  <c r="M755"/>
  <c r="K755"/>
  <c r="I755"/>
  <c r="G755"/>
  <c r="N754"/>
  <c r="N753"/>
  <c r="N752"/>
  <c r="P752" s="1"/>
  <c r="B752" s="1"/>
  <c r="C752"/>
  <c r="N751"/>
  <c r="N750"/>
  <c r="N749"/>
  <c r="P749" s="1"/>
  <c r="N748"/>
  <c r="N747"/>
  <c r="N746"/>
  <c r="N745"/>
  <c r="P745" s="1"/>
  <c r="N744"/>
  <c r="N743"/>
  <c r="D743"/>
  <c r="G743" s="1"/>
  <c r="N742"/>
  <c r="P742" s="1"/>
  <c r="D742"/>
  <c r="N741"/>
  <c r="P741" s="1"/>
  <c r="B741" s="1"/>
  <c r="D741"/>
  <c r="N740"/>
  <c r="N739"/>
  <c r="P739" s="1"/>
  <c r="N738"/>
  <c r="N737"/>
  <c r="O737" s="1"/>
  <c r="M737"/>
  <c r="K737"/>
  <c r="I737"/>
  <c r="N736"/>
  <c r="M736"/>
  <c r="K736"/>
  <c r="I736"/>
  <c r="G736"/>
  <c r="N735"/>
  <c r="P735" s="1"/>
  <c r="B735" s="1"/>
  <c r="D735"/>
  <c r="M735" s="1"/>
  <c r="N734"/>
  <c r="P734" s="1"/>
  <c r="B734" s="1"/>
  <c r="D734"/>
  <c r="M734" s="1"/>
  <c r="N733"/>
  <c r="D733"/>
  <c r="M733" s="1"/>
  <c r="N732"/>
  <c r="O732"/>
  <c r="M732"/>
  <c r="K732"/>
  <c r="I732"/>
  <c r="G732"/>
  <c r="N731"/>
  <c r="N730"/>
  <c r="M730"/>
  <c r="K730"/>
  <c r="I730"/>
  <c r="G730"/>
  <c r="N729"/>
  <c r="M729"/>
  <c r="K729"/>
  <c r="I729"/>
  <c r="N728"/>
  <c r="N727"/>
  <c r="N726"/>
  <c r="K726"/>
  <c r="N725"/>
  <c r="O725"/>
  <c r="M725"/>
  <c r="K725"/>
  <c r="I725"/>
  <c r="G725"/>
  <c r="N724"/>
  <c r="O724" s="1"/>
  <c r="M724"/>
  <c r="K724"/>
  <c r="I724"/>
  <c r="N723"/>
  <c r="N722"/>
  <c r="P722" s="1"/>
  <c r="N721"/>
  <c r="N720"/>
  <c r="N719"/>
  <c r="P719"/>
  <c r="B719" s="1"/>
  <c r="N718"/>
  <c r="P718" s="1"/>
  <c r="N717"/>
  <c r="N716"/>
  <c r="N715"/>
  <c r="P715" s="1"/>
  <c r="B715" s="1"/>
  <c r="N714"/>
  <c r="M714"/>
  <c r="K714"/>
  <c r="I714"/>
  <c r="G714"/>
  <c r="N713"/>
  <c r="P713" s="1"/>
  <c r="B713" s="1"/>
  <c r="N712"/>
  <c r="I712"/>
  <c r="N711"/>
  <c r="P711" s="1"/>
  <c r="B711" s="1"/>
  <c r="N710"/>
  <c r="P710"/>
  <c r="N709"/>
  <c r="O709"/>
  <c r="M709"/>
  <c r="K709"/>
  <c r="I709"/>
  <c r="G709"/>
  <c r="N708"/>
  <c r="N707"/>
  <c r="N706"/>
  <c r="P706"/>
  <c r="B706" s="1"/>
  <c r="D706"/>
  <c r="G706" s="1"/>
  <c r="N705"/>
  <c r="P705" s="1"/>
  <c r="B705" s="1"/>
  <c r="J704"/>
  <c r="N704" s="1"/>
  <c r="D704"/>
  <c r="I704" s="1"/>
  <c r="N703"/>
  <c r="O703" s="1"/>
  <c r="M703"/>
  <c r="K703"/>
  <c r="I703"/>
  <c r="N702"/>
  <c r="N701"/>
  <c r="N700"/>
  <c r="P700"/>
  <c r="N698"/>
  <c r="P697"/>
  <c r="B697" s="1"/>
  <c r="N697"/>
  <c r="N696"/>
  <c r="N695"/>
  <c r="N694"/>
  <c r="P694" s="1"/>
  <c r="B694" s="1"/>
  <c r="N693"/>
  <c r="N692"/>
  <c r="P692" s="1"/>
  <c r="P691"/>
  <c r="B691" s="1"/>
  <c r="N691"/>
  <c r="N690"/>
  <c r="N689"/>
  <c r="N688"/>
  <c r="P688" s="1"/>
  <c r="N687"/>
  <c r="O687" s="1"/>
  <c r="P687"/>
  <c r="M687"/>
  <c r="K687"/>
  <c r="I687"/>
  <c r="G687"/>
  <c r="N686"/>
  <c r="P686" s="1"/>
  <c r="B686" s="1"/>
  <c r="N685"/>
  <c r="N684"/>
  <c r="N683"/>
  <c r="P683" s="1"/>
  <c r="B683" s="1"/>
  <c r="N682"/>
  <c r="P682" s="1"/>
  <c r="B682" s="1"/>
  <c r="N681"/>
  <c r="O681" s="1"/>
  <c r="M681"/>
  <c r="K681"/>
  <c r="I681"/>
  <c r="G681"/>
  <c r="N680"/>
  <c r="N679"/>
  <c r="N678"/>
  <c r="N677"/>
  <c r="P677"/>
  <c r="N676"/>
  <c r="N675"/>
  <c r="O675" s="1"/>
  <c r="M675"/>
  <c r="K675"/>
  <c r="I675"/>
  <c r="G675"/>
  <c r="N674"/>
  <c r="N673"/>
  <c r="P673" s="1"/>
  <c r="B673" s="1"/>
  <c r="N672"/>
  <c r="P672" s="1"/>
  <c r="B672" s="1"/>
  <c r="N671"/>
  <c r="N670"/>
  <c r="O669"/>
  <c r="N669"/>
  <c r="P669" s="1"/>
  <c r="M669"/>
  <c r="K669"/>
  <c r="I669"/>
  <c r="G669"/>
  <c r="N668"/>
  <c r="N667"/>
  <c r="O667" s="1"/>
  <c r="M667"/>
  <c r="K667"/>
  <c r="I667"/>
  <c r="G667"/>
  <c r="N666"/>
  <c r="D666"/>
  <c r="K666" s="1"/>
  <c r="N665"/>
  <c r="O665" s="1"/>
  <c r="M665"/>
  <c r="K665"/>
  <c r="I665"/>
  <c r="G665"/>
  <c r="N664"/>
  <c r="N663"/>
  <c r="M663"/>
  <c r="K663"/>
  <c r="I663"/>
  <c r="G663"/>
  <c r="N662"/>
  <c r="M662"/>
  <c r="K662"/>
  <c r="I662"/>
  <c r="G662"/>
  <c r="N661"/>
  <c r="M661"/>
  <c r="K661"/>
  <c r="I661"/>
  <c r="G661"/>
  <c r="N660"/>
  <c r="M660"/>
  <c r="K660"/>
  <c r="I660"/>
  <c r="G660"/>
  <c r="N659"/>
  <c r="P659" s="1"/>
  <c r="B659" s="1"/>
  <c r="D659"/>
  <c r="M659" s="1"/>
  <c r="N658"/>
  <c r="P658" s="1"/>
  <c r="B658" s="1"/>
  <c r="N657"/>
  <c r="N656"/>
  <c r="N655"/>
  <c r="P655" s="1"/>
  <c r="M655"/>
  <c r="K655"/>
  <c r="I655"/>
  <c r="G655"/>
  <c r="N654"/>
  <c r="P654" s="1"/>
  <c r="B654" s="1"/>
  <c r="N653"/>
  <c r="P653" s="1"/>
  <c r="B653" s="1"/>
  <c r="N652"/>
  <c r="O652" s="1"/>
  <c r="M652"/>
  <c r="K652"/>
  <c r="I652"/>
  <c r="G652"/>
  <c r="N651"/>
  <c r="N650"/>
  <c r="N649"/>
  <c r="P648"/>
  <c r="B648" s="1"/>
  <c r="N648"/>
  <c r="N647"/>
  <c r="O647" s="1"/>
  <c r="M647"/>
  <c r="K647"/>
  <c r="I647"/>
  <c r="G647"/>
  <c r="N646"/>
  <c r="N645"/>
  <c r="O645" s="1"/>
  <c r="M645"/>
  <c r="K645"/>
  <c r="I645"/>
  <c r="G645"/>
  <c r="N644"/>
  <c r="O644" s="1"/>
  <c r="M644"/>
  <c r="K644"/>
  <c r="I644"/>
  <c r="G644"/>
  <c r="N643"/>
  <c r="N642"/>
  <c r="P642" s="1"/>
  <c r="N641"/>
  <c r="M641"/>
  <c r="K641"/>
  <c r="I641"/>
  <c r="G641"/>
  <c r="N640"/>
  <c r="O640" s="1"/>
  <c r="M640"/>
  <c r="K640"/>
  <c r="I640"/>
  <c r="N639"/>
  <c r="N638"/>
  <c r="P638" s="1"/>
  <c r="N637"/>
  <c r="M637"/>
  <c r="K637"/>
  <c r="I637"/>
  <c r="G637"/>
  <c r="N636"/>
  <c r="P636" s="1"/>
  <c r="B636" s="1"/>
  <c r="N635"/>
  <c r="N634"/>
  <c r="O634" s="1"/>
  <c r="M634"/>
  <c r="K634"/>
  <c r="I634"/>
  <c r="G634"/>
  <c r="N633"/>
  <c r="O632"/>
  <c r="N632"/>
  <c r="P632" s="1"/>
  <c r="M632"/>
  <c r="K632"/>
  <c r="I632"/>
  <c r="G632"/>
  <c r="N631"/>
  <c r="P631" s="1"/>
  <c r="B631" s="1"/>
  <c r="N630"/>
  <c r="P630" s="1"/>
  <c r="B630" s="1"/>
  <c r="N629"/>
  <c r="N628"/>
  <c r="N627"/>
  <c r="O627" s="1"/>
  <c r="M627"/>
  <c r="K627"/>
  <c r="I627"/>
  <c r="G627"/>
  <c r="N626"/>
  <c r="J625"/>
  <c r="N625" s="1"/>
  <c r="N624"/>
  <c r="P624" s="1"/>
  <c r="B624" s="1"/>
  <c r="N623"/>
  <c r="N622"/>
  <c r="N621"/>
  <c r="N620"/>
  <c r="N619"/>
  <c r="O619" s="1"/>
  <c r="M619"/>
  <c r="K619"/>
  <c r="I619"/>
  <c r="G619"/>
  <c r="N618"/>
  <c r="N617"/>
  <c r="P617" s="1"/>
  <c r="B617" s="1"/>
  <c r="N616"/>
  <c r="P616" s="1"/>
  <c r="B616" s="1"/>
  <c r="N615"/>
  <c r="N614"/>
  <c r="N613"/>
  <c r="P613" s="1"/>
  <c r="N612"/>
  <c r="N611"/>
  <c r="N610"/>
  <c r="O610" s="1"/>
  <c r="M610"/>
  <c r="K610"/>
  <c r="I610"/>
  <c r="G610"/>
  <c r="N609"/>
  <c r="N608"/>
  <c r="P608" s="1"/>
  <c r="B608" s="1"/>
  <c r="N607"/>
  <c r="P607" s="1"/>
  <c r="B607" s="1"/>
  <c r="N606"/>
  <c r="N605"/>
  <c r="O605"/>
  <c r="M605"/>
  <c r="K605"/>
  <c r="I605"/>
  <c r="G605"/>
  <c r="N604"/>
  <c r="N603"/>
  <c r="P603" s="1"/>
  <c r="N602"/>
  <c r="P602" s="1"/>
  <c r="B602" s="1"/>
  <c r="N601"/>
  <c r="N600"/>
  <c r="N599"/>
  <c r="P599" s="1"/>
  <c r="B599" s="1"/>
  <c r="N598"/>
  <c r="P598" s="1"/>
  <c r="B598" s="1"/>
  <c r="N597"/>
  <c r="N596"/>
  <c r="N595"/>
  <c r="P595"/>
  <c r="B595" s="1"/>
  <c r="N594"/>
  <c r="P594" s="1"/>
  <c r="B594" s="1"/>
  <c r="N593"/>
  <c r="N592"/>
  <c r="O592" s="1"/>
  <c r="M592"/>
  <c r="K592"/>
  <c r="I592"/>
  <c r="G592"/>
  <c r="N591"/>
  <c r="D591"/>
  <c r="I591" s="1"/>
  <c r="N590"/>
  <c r="P590" s="1"/>
  <c r="B590" s="1"/>
  <c r="N589"/>
  <c r="P589" s="1"/>
  <c r="B589" s="1"/>
  <c r="N588"/>
  <c r="N587"/>
  <c r="N586"/>
  <c r="P586"/>
  <c r="B586" s="1"/>
  <c r="N585"/>
  <c r="P585" s="1"/>
  <c r="B585" s="1"/>
  <c r="N584"/>
  <c r="O584" s="1"/>
  <c r="M584"/>
  <c r="K584"/>
  <c r="I584"/>
  <c r="G584"/>
  <c r="N583"/>
  <c r="D583"/>
  <c r="O583" s="1"/>
  <c r="N582"/>
  <c r="N581"/>
  <c r="P581" s="1"/>
  <c r="B581" s="1"/>
  <c r="N580"/>
  <c r="P580" s="1"/>
  <c r="B580" s="1"/>
  <c r="N579"/>
  <c r="N578"/>
  <c r="N577"/>
  <c r="O577" s="1"/>
  <c r="M577"/>
  <c r="K577"/>
  <c r="I577"/>
  <c r="G577"/>
  <c r="N576"/>
  <c r="P576" s="1"/>
  <c r="B576" s="1"/>
  <c r="N575"/>
  <c r="P575" s="1"/>
  <c r="D575"/>
  <c r="K575" s="1"/>
  <c r="N574"/>
  <c r="N573"/>
  <c r="N572"/>
  <c r="P572"/>
  <c r="B572" s="1"/>
  <c r="N571"/>
  <c r="P571" s="1"/>
  <c r="B571" s="1"/>
  <c r="N570"/>
  <c r="N569"/>
  <c r="O569" s="1"/>
  <c r="M569"/>
  <c r="K569"/>
  <c r="I569"/>
  <c r="G569"/>
  <c r="N568"/>
  <c r="N567"/>
  <c r="N566"/>
  <c r="P566" s="1"/>
  <c r="B566" s="1"/>
  <c r="N565"/>
  <c r="N564"/>
  <c r="N563"/>
  <c r="M563"/>
  <c r="K563"/>
  <c r="I563"/>
  <c r="G563"/>
  <c r="N562"/>
  <c r="P562" s="1"/>
  <c r="B562" s="1"/>
  <c r="N561"/>
  <c r="P561"/>
  <c r="B561" s="1"/>
  <c r="N560"/>
  <c r="N559"/>
  <c r="N558"/>
  <c r="P558" s="1"/>
  <c r="B558" s="1"/>
  <c r="N557"/>
  <c r="P557" s="1"/>
  <c r="B557" s="1"/>
  <c r="N556"/>
  <c r="O556" s="1"/>
  <c r="M556"/>
  <c r="K556"/>
  <c r="I556"/>
  <c r="G556"/>
  <c r="N555"/>
  <c r="N554"/>
  <c r="N553"/>
  <c r="P553" s="1"/>
  <c r="B553" s="1"/>
  <c r="N552"/>
  <c r="P552" s="1"/>
  <c r="N551"/>
  <c r="N550"/>
  <c r="O550" s="1"/>
  <c r="M550"/>
  <c r="K550"/>
  <c r="I550"/>
  <c r="G550"/>
  <c r="N549"/>
  <c r="N548"/>
  <c r="P548" s="1"/>
  <c r="B548" s="1"/>
  <c r="N547"/>
  <c r="P547" s="1"/>
  <c r="B547" s="1"/>
  <c r="N546"/>
  <c r="N545"/>
  <c r="N544"/>
  <c r="P544" s="1"/>
  <c r="B544" s="1"/>
  <c r="N543"/>
  <c r="O543" s="1"/>
  <c r="M543"/>
  <c r="K543"/>
  <c r="I543"/>
  <c r="G543"/>
  <c r="N542"/>
  <c r="N541"/>
  <c r="N540"/>
  <c r="N539"/>
  <c r="P539" s="1"/>
  <c r="N538"/>
  <c r="N537"/>
  <c r="O537" s="1"/>
  <c r="M537"/>
  <c r="K537"/>
  <c r="I537"/>
  <c r="G537"/>
  <c r="N536"/>
  <c r="N535"/>
  <c r="N534"/>
  <c r="P534" s="1"/>
  <c r="B534" s="1"/>
  <c r="N533"/>
  <c r="N532"/>
  <c r="N531"/>
  <c r="N530"/>
  <c r="M530"/>
  <c r="K530"/>
  <c r="I530"/>
  <c r="G530"/>
  <c r="N529"/>
  <c r="N528"/>
  <c r="N527"/>
  <c r="N526"/>
  <c r="N525"/>
  <c r="P525" s="1"/>
  <c r="B525" s="1"/>
  <c r="N524"/>
  <c r="O524" s="1"/>
  <c r="M524"/>
  <c r="K524"/>
  <c r="I524"/>
  <c r="G524"/>
  <c r="N523"/>
  <c r="P523" s="1"/>
  <c r="B523" s="1"/>
  <c r="N522"/>
  <c r="N521"/>
  <c r="N520"/>
  <c r="P520" s="1"/>
  <c r="N519"/>
  <c r="P519" s="1"/>
  <c r="B519" s="1"/>
  <c r="N518"/>
  <c r="N517"/>
  <c r="N516"/>
  <c r="P516" s="1"/>
  <c r="N515"/>
  <c r="P515" s="1"/>
  <c r="B515" s="1"/>
  <c r="N514"/>
  <c r="N513"/>
  <c r="N512"/>
  <c r="P512" s="1"/>
  <c r="B512" s="1"/>
  <c r="N511"/>
  <c r="N510"/>
  <c r="N509"/>
  <c r="N508"/>
  <c r="M508"/>
  <c r="K508"/>
  <c r="I508"/>
  <c r="G508"/>
  <c r="N507"/>
  <c r="P507" s="1"/>
  <c r="B507" s="1"/>
  <c r="N506"/>
  <c r="P506" s="1"/>
  <c r="N505"/>
  <c r="O505" s="1"/>
  <c r="M505"/>
  <c r="K505"/>
  <c r="I505"/>
  <c r="G505"/>
  <c r="N504"/>
  <c r="N503"/>
  <c r="N502"/>
  <c r="P502" s="1"/>
  <c r="B502" s="1"/>
  <c r="N501"/>
  <c r="P501" s="1"/>
  <c r="B501" s="1"/>
  <c r="N500"/>
  <c r="N499"/>
  <c r="M499"/>
  <c r="K499"/>
  <c r="I499"/>
  <c r="G499"/>
  <c r="N498"/>
  <c r="N497"/>
  <c r="N496"/>
  <c r="N495"/>
  <c r="N494"/>
  <c r="J493"/>
  <c r="N493" s="1"/>
  <c r="N492"/>
  <c r="O492" s="1"/>
  <c r="M492"/>
  <c r="K492"/>
  <c r="I492"/>
  <c r="G492"/>
  <c r="N491"/>
  <c r="P491" s="1"/>
  <c r="N490"/>
  <c r="P490" s="1"/>
  <c r="B490" s="1"/>
  <c r="N489"/>
  <c r="N488"/>
  <c r="P488" s="1"/>
  <c r="B488" s="1"/>
  <c r="N487"/>
  <c r="P487" s="1"/>
  <c r="B487" s="1"/>
  <c r="N486"/>
  <c r="P486" s="1"/>
  <c r="B486" s="1"/>
  <c r="N485"/>
  <c r="N484"/>
  <c r="M484"/>
  <c r="K484"/>
  <c r="I484"/>
  <c r="G484"/>
  <c r="N483"/>
  <c r="P483" s="1"/>
  <c r="B483" s="1"/>
  <c r="N482"/>
  <c r="P482" s="1"/>
  <c r="B482" s="1"/>
  <c r="N481"/>
  <c r="P481" s="1"/>
  <c r="N480"/>
  <c r="N479"/>
  <c r="P479"/>
  <c r="B479" s="1"/>
  <c r="N478"/>
  <c r="M478"/>
  <c r="K478"/>
  <c r="I478"/>
  <c r="G478"/>
  <c r="N477"/>
  <c r="M477"/>
  <c r="K477"/>
  <c r="I477"/>
  <c r="G477"/>
  <c r="N476"/>
  <c r="P476" s="1"/>
  <c r="B476" s="1"/>
  <c r="J475"/>
  <c r="N475" s="1"/>
  <c r="J474"/>
  <c r="N474" s="1"/>
  <c r="N473"/>
  <c r="N472"/>
  <c r="O472" s="1"/>
  <c r="M472"/>
  <c r="K472"/>
  <c r="I472"/>
  <c r="G472"/>
  <c r="N471"/>
  <c r="O471" s="1"/>
  <c r="P471"/>
  <c r="B471" s="1"/>
  <c r="M471"/>
  <c r="K471"/>
  <c r="I471"/>
  <c r="G471"/>
  <c r="P470"/>
  <c r="N470"/>
  <c r="N469"/>
  <c r="N468"/>
  <c r="P468" s="1"/>
  <c r="N467"/>
  <c r="M467"/>
  <c r="K467"/>
  <c r="I467"/>
  <c r="G467"/>
  <c r="N466"/>
  <c r="N465"/>
  <c r="P465" s="1"/>
  <c r="B465" s="1"/>
  <c r="N464"/>
  <c r="N463"/>
  <c r="P463" s="1"/>
  <c r="Q463" s="1"/>
  <c r="M463"/>
  <c r="K463"/>
  <c r="I463"/>
  <c r="G463"/>
  <c r="N462"/>
  <c r="M462"/>
  <c r="K462"/>
  <c r="I462"/>
  <c r="G462"/>
  <c r="N461"/>
  <c r="N459"/>
  <c r="N458"/>
  <c r="M458"/>
  <c r="K458"/>
  <c r="I458"/>
  <c r="N457"/>
  <c r="M457"/>
  <c r="K457"/>
  <c r="I457"/>
  <c r="N456"/>
  <c r="N455"/>
  <c r="O455" s="1"/>
  <c r="M455"/>
  <c r="K455"/>
  <c r="I455"/>
  <c r="G455"/>
  <c r="N454"/>
  <c r="P454" s="1"/>
  <c r="B454" s="1"/>
  <c r="N453"/>
  <c r="N452"/>
  <c r="P452"/>
  <c r="B452" s="1"/>
  <c r="N451"/>
  <c r="N450"/>
  <c r="P450" s="1"/>
  <c r="B450" s="1"/>
  <c r="N449"/>
  <c r="N448"/>
  <c r="P448" s="1"/>
  <c r="B448" s="1"/>
  <c r="M448"/>
  <c r="K448"/>
  <c r="I448"/>
  <c r="G448"/>
  <c r="N447"/>
  <c r="M447"/>
  <c r="K447"/>
  <c r="I447"/>
  <c r="N446"/>
  <c r="N445"/>
  <c r="N444"/>
  <c r="O444" s="1"/>
  <c r="M444"/>
  <c r="K444"/>
  <c r="I444"/>
  <c r="N443"/>
  <c r="P443" s="1"/>
  <c r="B443" s="1"/>
  <c r="N442"/>
  <c r="P442" s="1"/>
  <c r="B442" s="1"/>
  <c r="N441"/>
  <c r="N440"/>
  <c r="P440" s="1"/>
  <c r="M440"/>
  <c r="K440"/>
  <c r="I440"/>
  <c r="G440"/>
  <c r="N439"/>
  <c r="O439" s="1"/>
  <c r="M439"/>
  <c r="K439"/>
  <c r="I439"/>
  <c r="G439"/>
  <c r="N438"/>
  <c r="O438" s="1"/>
  <c r="M438"/>
  <c r="K438"/>
  <c r="I438"/>
  <c r="G438"/>
  <c r="N437"/>
  <c r="N436"/>
  <c r="N435"/>
  <c r="N434"/>
  <c r="D434"/>
  <c r="K434" s="1"/>
  <c r="N433"/>
  <c r="P433" s="1"/>
  <c r="B433" s="1"/>
  <c r="N432"/>
  <c r="P432" s="1"/>
  <c r="B432" s="1"/>
  <c r="D432"/>
  <c r="O432" s="1"/>
  <c r="N431"/>
  <c r="P431" s="1"/>
  <c r="B431" s="1"/>
  <c r="D431"/>
  <c r="K431" s="1"/>
  <c r="N430"/>
  <c r="O430" s="1"/>
  <c r="M430"/>
  <c r="K430"/>
  <c r="I430"/>
  <c r="G430"/>
  <c r="N429"/>
  <c r="N428"/>
  <c r="P428" s="1"/>
  <c r="N427"/>
  <c r="P427" s="1"/>
  <c r="B427" s="1"/>
  <c r="N426"/>
  <c r="P426" s="1"/>
  <c r="B426" s="1"/>
  <c r="N425"/>
  <c r="N424"/>
  <c r="P424" s="1"/>
  <c r="B424" s="1"/>
  <c r="N423"/>
  <c r="P423" s="1"/>
  <c r="N422"/>
  <c r="P422" s="1"/>
  <c r="B422" s="1"/>
  <c r="N421"/>
  <c r="N420"/>
  <c r="P420" s="1"/>
  <c r="M420"/>
  <c r="K420"/>
  <c r="I420"/>
  <c r="G420"/>
  <c r="N419"/>
  <c r="P419" s="1"/>
  <c r="B419" s="1"/>
  <c r="N418"/>
  <c r="P418" s="1"/>
  <c r="B418" s="1"/>
  <c r="N417"/>
  <c r="P417" s="1"/>
  <c r="N416"/>
  <c r="O416" s="1"/>
  <c r="M416"/>
  <c r="K416"/>
  <c r="I416"/>
  <c r="G416"/>
  <c r="N415"/>
  <c r="N414"/>
  <c r="P414" s="1"/>
  <c r="B414" s="1"/>
  <c r="N413"/>
  <c r="M413"/>
  <c r="K413"/>
  <c r="I413"/>
  <c r="G413"/>
  <c r="N412"/>
  <c r="P412" s="1"/>
  <c r="B412" s="1"/>
  <c r="N411"/>
  <c r="P411" s="1"/>
  <c r="B411" s="1"/>
  <c r="N410"/>
  <c r="O410" s="1"/>
  <c r="M410"/>
  <c r="K410"/>
  <c r="I410"/>
  <c r="G410"/>
  <c r="N409"/>
  <c r="N408"/>
  <c r="P408" s="1"/>
  <c r="N407"/>
  <c r="P407" s="1"/>
  <c r="M407"/>
  <c r="K407"/>
  <c r="I407"/>
  <c r="G407"/>
  <c r="N406"/>
  <c r="N405"/>
  <c r="O405" s="1"/>
  <c r="M405"/>
  <c r="K405"/>
  <c r="I405"/>
  <c r="G405"/>
  <c r="N404"/>
  <c r="N403"/>
  <c r="P403" s="1"/>
  <c r="M403"/>
  <c r="K403"/>
  <c r="I403"/>
  <c r="G403"/>
  <c r="N402"/>
  <c r="O402" s="1"/>
  <c r="M402"/>
  <c r="K402"/>
  <c r="I402"/>
  <c r="G402"/>
  <c r="N401"/>
  <c r="N400"/>
  <c r="P400" s="1"/>
  <c r="M400"/>
  <c r="K400"/>
  <c r="I400"/>
  <c r="G400"/>
  <c r="N399"/>
  <c r="P399" s="1"/>
  <c r="B399" s="1"/>
  <c r="N398"/>
  <c r="N397"/>
  <c r="N396"/>
  <c r="O396"/>
  <c r="M396"/>
  <c r="K396"/>
  <c r="I396"/>
  <c r="G396"/>
  <c r="N395"/>
  <c r="N394"/>
  <c r="P394" s="1"/>
  <c r="B394" s="1"/>
  <c r="N393"/>
  <c r="P393"/>
  <c r="B393" s="1"/>
  <c r="N392"/>
  <c r="P392" s="1"/>
  <c r="B392" s="1"/>
  <c r="N391"/>
  <c r="N390"/>
  <c r="P390" s="1"/>
  <c r="B390" s="1"/>
  <c r="N389"/>
  <c r="P389" s="1"/>
  <c r="B389" s="1"/>
  <c r="D389"/>
  <c r="O389" s="1"/>
  <c r="N388"/>
  <c r="P388" s="1"/>
  <c r="B388" s="1"/>
  <c r="D388"/>
  <c r="K388" s="1"/>
  <c r="N387"/>
  <c r="D387"/>
  <c r="I387" s="1"/>
  <c r="D386"/>
  <c r="I386" s="1"/>
  <c r="N385"/>
  <c r="O385" s="1"/>
  <c r="M385"/>
  <c r="K385"/>
  <c r="I385"/>
  <c r="G385"/>
  <c r="N384"/>
  <c r="O384"/>
  <c r="M384"/>
  <c r="K384"/>
  <c r="I384"/>
  <c r="O383"/>
  <c r="N383"/>
  <c r="M383"/>
  <c r="K383"/>
  <c r="I383"/>
  <c r="N382"/>
  <c r="P382" s="1"/>
  <c r="B382" s="1"/>
  <c r="O382"/>
  <c r="N381"/>
  <c r="K381"/>
  <c r="N380"/>
  <c r="N379"/>
  <c r="P379" s="1"/>
  <c r="M379"/>
  <c r="K379"/>
  <c r="I379"/>
  <c r="G379"/>
  <c r="N378"/>
  <c r="P378" s="1"/>
  <c r="B378" s="1"/>
  <c r="N377"/>
  <c r="N376"/>
  <c r="N375"/>
  <c r="N374"/>
  <c r="N373"/>
  <c r="O373" s="1"/>
  <c r="M373"/>
  <c r="K373"/>
  <c r="I373"/>
  <c r="G373"/>
  <c r="N372"/>
  <c r="N371"/>
  <c r="N370"/>
  <c r="F370"/>
  <c r="N369"/>
  <c r="N368"/>
  <c r="N367"/>
  <c r="O367" s="1"/>
  <c r="M367"/>
  <c r="K367"/>
  <c r="I367"/>
  <c r="N366"/>
  <c r="N365"/>
  <c r="P365"/>
  <c r="N364"/>
  <c r="N363"/>
  <c r="O363" s="1"/>
  <c r="P363"/>
  <c r="B363" s="1"/>
  <c r="M363"/>
  <c r="K363"/>
  <c r="I363"/>
  <c r="G363"/>
  <c r="N362"/>
  <c r="P362" s="1"/>
  <c r="B362" s="1"/>
  <c r="N361"/>
  <c r="P361" s="1"/>
  <c r="B361" s="1"/>
  <c r="N360"/>
  <c r="P360" s="1"/>
  <c r="B360" s="1"/>
  <c r="M360"/>
  <c r="K360"/>
  <c r="I360"/>
  <c r="G360"/>
  <c r="N359"/>
  <c r="N358"/>
  <c r="N357"/>
  <c r="N356"/>
  <c r="P356" s="1"/>
  <c r="B356" s="1"/>
  <c r="N355"/>
  <c r="P355" s="1"/>
  <c r="N354"/>
  <c r="P354"/>
  <c r="B354" s="1"/>
  <c r="M354"/>
  <c r="K354"/>
  <c r="I354"/>
  <c r="G354"/>
  <c r="N353"/>
  <c r="N352"/>
  <c r="N351"/>
  <c r="N350"/>
  <c r="N349"/>
  <c r="P349" s="1"/>
  <c r="B349" s="1"/>
  <c r="M349"/>
  <c r="K349"/>
  <c r="I349"/>
  <c r="G349"/>
  <c r="N348"/>
  <c r="N347"/>
  <c r="N346"/>
  <c r="N345"/>
  <c r="O345" s="1"/>
  <c r="M345"/>
  <c r="K345"/>
  <c r="I345"/>
  <c r="G345"/>
  <c r="N344"/>
  <c r="P344" s="1"/>
  <c r="B344" s="1"/>
  <c r="N343"/>
  <c r="P343" s="1"/>
  <c r="B343" s="1"/>
  <c r="M343"/>
  <c r="K343"/>
  <c r="I343"/>
  <c r="G343"/>
  <c r="N342"/>
  <c r="N341"/>
  <c r="N340"/>
  <c r="P340" s="1"/>
  <c r="B340" s="1"/>
  <c r="N339"/>
  <c r="P339" s="1"/>
  <c r="B339" s="1"/>
  <c r="N338"/>
  <c r="N337"/>
  <c r="P337" s="1"/>
  <c r="B337" s="1"/>
  <c r="N336"/>
  <c r="P336"/>
  <c r="M336"/>
  <c r="K336"/>
  <c r="I336"/>
  <c r="G336"/>
  <c r="N335"/>
  <c r="N334"/>
  <c r="O334" s="1"/>
  <c r="M334"/>
  <c r="K334"/>
  <c r="I334"/>
  <c r="G334"/>
  <c r="N333"/>
  <c r="N332"/>
  <c r="O332" s="1"/>
  <c r="M332"/>
  <c r="K332"/>
  <c r="I332"/>
  <c r="G332"/>
  <c r="N331"/>
  <c r="O331" s="1"/>
  <c r="M331"/>
  <c r="K331"/>
  <c r="I331"/>
  <c r="G331"/>
  <c r="N330"/>
  <c r="P330" s="1"/>
  <c r="B330" s="1"/>
  <c r="N329"/>
  <c r="P329" s="1"/>
  <c r="B329" s="1"/>
  <c r="N328"/>
  <c r="N327"/>
  <c r="D327"/>
  <c r="O327" s="1"/>
  <c r="N326"/>
  <c r="P326" s="1"/>
  <c r="B326" s="1"/>
  <c r="N325"/>
  <c r="N324"/>
  <c r="N323"/>
  <c r="P323" s="1"/>
  <c r="N322"/>
  <c r="P322" s="1"/>
  <c r="B322" s="1"/>
  <c r="N321"/>
  <c r="N320"/>
  <c r="P320" s="1"/>
  <c r="B320" s="1"/>
  <c r="N319"/>
  <c r="P319" s="1"/>
  <c r="N318"/>
  <c r="P318" s="1"/>
  <c r="B318" s="1"/>
  <c r="M318"/>
  <c r="K318"/>
  <c r="I318"/>
  <c r="G318"/>
  <c r="N317"/>
  <c r="P317" s="1"/>
  <c r="B317" s="1"/>
  <c r="N316"/>
  <c r="N315"/>
  <c r="P315" s="1"/>
  <c r="B315" s="1"/>
  <c r="N314"/>
  <c r="P314" s="1"/>
  <c r="B314" s="1"/>
  <c r="P313"/>
  <c r="B313" s="1"/>
  <c r="N313"/>
  <c r="O313"/>
  <c r="M313"/>
  <c r="K313"/>
  <c r="I313"/>
  <c r="G313"/>
  <c r="N312"/>
  <c r="D312"/>
  <c r="K312" s="1"/>
  <c r="N311"/>
  <c r="P311" s="1"/>
  <c r="B311" s="1"/>
  <c r="N310"/>
  <c r="P310" s="1"/>
  <c r="B310" s="1"/>
  <c r="N309"/>
  <c r="P309"/>
  <c r="B309" s="1"/>
  <c r="M309"/>
  <c r="K309"/>
  <c r="I309"/>
  <c r="G309"/>
  <c r="N308"/>
  <c r="P308"/>
  <c r="M308"/>
  <c r="K308"/>
  <c r="I308"/>
  <c r="G308"/>
  <c r="N307"/>
  <c r="P307"/>
  <c r="B307" s="1"/>
  <c r="N306"/>
  <c r="N305"/>
  <c r="O305" s="1"/>
  <c r="M305"/>
  <c r="K305"/>
  <c r="I305"/>
  <c r="G305"/>
  <c r="N304"/>
  <c r="N303"/>
  <c r="O303" s="1"/>
  <c r="M303"/>
  <c r="K303"/>
  <c r="I303"/>
  <c r="G303"/>
  <c r="N302"/>
  <c r="P302" s="1"/>
  <c r="B302" s="1"/>
  <c r="N301"/>
  <c r="P301" s="1"/>
  <c r="B301" s="1"/>
  <c r="N300"/>
  <c r="N299"/>
  <c r="N298"/>
  <c r="P298" s="1"/>
  <c r="M298"/>
  <c r="K298"/>
  <c r="I298"/>
  <c r="G298"/>
  <c r="N297"/>
  <c r="P297" s="1"/>
  <c r="B297" s="1"/>
  <c r="D297"/>
  <c r="K297" s="1"/>
  <c r="N296"/>
  <c r="N295"/>
  <c r="N294"/>
  <c r="O294"/>
  <c r="M294"/>
  <c r="K294"/>
  <c r="I294"/>
  <c r="G294"/>
  <c r="N293"/>
  <c r="N292"/>
  <c r="D292"/>
  <c r="N291"/>
  <c r="F291"/>
  <c r="G291" s="1"/>
  <c r="D291"/>
  <c r="K291" s="1"/>
  <c r="N290"/>
  <c r="F290"/>
  <c r="D290"/>
  <c r="O290" s="1"/>
  <c r="N289"/>
  <c r="D289"/>
  <c r="O289" s="1"/>
  <c r="N288"/>
  <c r="D288"/>
  <c r="N287"/>
  <c r="F287"/>
  <c r="D287"/>
  <c r="I287" s="1"/>
  <c r="N286"/>
  <c r="D286"/>
  <c r="N285"/>
  <c r="D285"/>
  <c r="O285" s="1"/>
  <c r="N284"/>
  <c r="F284"/>
  <c r="P284" s="1"/>
  <c r="D284"/>
  <c r="N283"/>
  <c r="F283"/>
  <c r="D283"/>
  <c r="I283" s="1"/>
  <c r="N282"/>
  <c r="D282"/>
  <c r="O282" s="1"/>
  <c r="N281"/>
  <c r="D281"/>
  <c r="I281" s="1"/>
  <c r="N280"/>
  <c r="D280"/>
  <c r="N279"/>
  <c r="F279"/>
  <c r="D279"/>
  <c r="I279" s="1"/>
  <c r="N278"/>
  <c r="D278"/>
  <c r="N277"/>
  <c r="D277"/>
  <c r="K277" s="1"/>
  <c r="N276"/>
  <c r="D276"/>
  <c r="N275"/>
  <c r="D275"/>
  <c r="K275" s="1"/>
  <c r="N274"/>
  <c r="F274"/>
  <c r="D274"/>
  <c r="O274" s="1"/>
  <c r="N273"/>
  <c r="F273"/>
  <c r="D273"/>
  <c r="I273" s="1"/>
  <c r="N272"/>
  <c r="O272" s="1"/>
  <c r="D272"/>
  <c r="N271"/>
  <c r="D271"/>
  <c r="K271" s="1"/>
  <c r="N270"/>
  <c r="O270" s="1"/>
  <c r="D270"/>
  <c r="N269"/>
  <c r="D269"/>
  <c r="K269" s="1"/>
  <c r="N268"/>
  <c r="O268" s="1"/>
  <c r="D268"/>
  <c r="N267"/>
  <c r="N266"/>
  <c r="N265"/>
  <c r="N264"/>
  <c r="N263"/>
  <c r="N262"/>
  <c r="N261"/>
  <c r="O261" s="1"/>
  <c r="M261"/>
  <c r="K261"/>
  <c r="I261"/>
  <c r="G261"/>
  <c r="N260"/>
  <c r="N259"/>
  <c r="N258"/>
  <c r="N257"/>
  <c r="N256"/>
  <c r="N255"/>
  <c r="P255" s="1"/>
  <c r="M255"/>
  <c r="K255"/>
  <c r="I255"/>
  <c r="G255"/>
  <c r="N254"/>
  <c r="P254"/>
  <c r="B254" s="1"/>
  <c r="N253"/>
  <c r="P253" s="1"/>
  <c r="B253" s="1"/>
  <c r="N252"/>
  <c r="N251"/>
  <c r="P251" s="1"/>
  <c r="B251" s="1"/>
  <c r="N250"/>
  <c r="P250"/>
  <c r="B250" s="1"/>
  <c r="N249"/>
  <c r="P249" s="1"/>
  <c r="B249" s="1"/>
  <c r="N248"/>
  <c r="O248" s="1"/>
  <c r="M248"/>
  <c r="K248"/>
  <c r="I248"/>
  <c r="G248"/>
  <c r="N247"/>
  <c r="N246"/>
  <c r="P246" s="1"/>
  <c r="B246" s="1"/>
  <c r="N245"/>
  <c r="P245" s="1"/>
  <c r="B245" s="1"/>
  <c r="N244"/>
  <c r="P244" s="1"/>
  <c r="B244" s="1"/>
  <c r="N243"/>
  <c r="N242"/>
  <c r="P242" s="1"/>
  <c r="B242" s="1"/>
  <c r="N241"/>
  <c r="P241"/>
  <c r="B241" s="1"/>
  <c r="N240"/>
  <c r="P240" s="1"/>
  <c r="N239"/>
  <c r="N238"/>
  <c r="P238"/>
  <c r="B238" s="1"/>
  <c r="N237"/>
  <c r="P237" s="1"/>
  <c r="B237" s="1"/>
  <c r="N236"/>
  <c r="P236" s="1"/>
  <c r="B236" s="1"/>
  <c r="N235"/>
  <c r="O235" s="1"/>
  <c r="M235"/>
  <c r="K235"/>
  <c r="I235"/>
  <c r="G235"/>
  <c r="N234"/>
  <c r="O234" s="1"/>
  <c r="M234"/>
  <c r="K234"/>
  <c r="I234"/>
  <c r="G234"/>
  <c r="N233"/>
  <c r="N232"/>
  <c r="N231"/>
  <c r="O231" s="1"/>
  <c r="M231"/>
  <c r="K231"/>
  <c r="I231"/>
  <c r="G231"/>
  <c r="N230"/>
  <c r="O230" s="1"/>
  <c r="M230"/>
  <c r="K230"/>
  <c r="I230"/>
  <c r="G230"/>
  <c r="N229"/>
  <c r="O229" s="1"/>
  <c r="M229"/>
  <c r="K229"/>
  <c r="I229"/>
  <c r="G229"/>
  <c r="N228"/>
  <c r="O228" s="1"/>
  <c r="M228"/>
  <c r="K228"/>
  <c r="I228"/>
  <c r="G228"/>
  <c r="N227"/>
  <c r="O227" s="1"/>
  <c r="M227"/>
  <c r="K227"/>
  <c r="I227"/>
  <c r="G227"/>
  <c r="N226"/>
  <c r="O226" s="1"/>
  <c r="M226"/>
  <c r="K226"/>
  <c r="I226"/>
  <c r="G226"/>
  <c r="N225"/>
  <c r="O225" s="1"/>
  <c r="M225"/>
  <c r="K225"/>
  <c r="I225"/>
  <c r="G225"/>
  <c r="N224"/>
  <c r="N223"/>
  <c r="P223" s="1"/>
  <c r="B223" s="1"/>
  <c r="N222"/>
  <c r="P222" s="1"/>
  <c r="B222" s="1"/>
  <c r="N221"/>
  <c r="P221"/>
  <c r="B221" s="1"/>
  <c r="N220"/>
  <c r="N219"/>
  <c r="O219" s="1"/>
  <c r="M219"/>
  <c r="K219"/>
  <c r="I219"/>
  <c r="G219"/>
  <c r="N218"/>
  <c r="O218" s="1"/>
  <c r="M218"/>
  <c r="K218"/>
  <c r="I218"/>
  <c r="G218"/>
  <c r="N217"/>
  <c r="O217" s="1"/>
  <c r="M217"/>
  <c r="K217"/>
  <c r="I217"/>
  <c r="G217"/>
  <c r="N216"/>
  <c r="O216" s="1"/>
  <c r="M216"/>
  <c r="K216"/>
  <c r="I216"/>
  <c r="G216"/>
  <c r="N215"/>
  <c r="O215" s="1"/>
  <c r="M215"/>
  <c r="K215"/>
  <c r="I215"/>
  <c r="G215"/>
  <c r="N214"/>
  <c r="O214" s="1"/>
  <c r="M214"/>
  <c r="K214"/>
  <c r="I214"/>
  <c r="G214"/>
  <c r="N213"/>
  <c r="O213" s="1"/>
  <c r="M213"/>
  <c r="K213"/>
  <c r="I213"/>
  <c r="G213"/>
  <c r="N212"/>
  <c r="P212" s="1"/>
  <c r="B212" s="1"/>
  <c r="N211"/>
  <c r="P211" s="1"/>
  <c r="B211" s="1"/>
  <c r="N210"/>
  <c r="P210"/>
  <c r="B210" s="1"/>
  <c r="N209"/>
  <c r="N208"/>
  <c r="P208" s="1"/>
  <c r="B208" s="1"/>
  <c r="N207"/>
  <c r="O207" s="1"/>
  <c r="M207"/>
  <c r="K207"/>
  <c r="I207"/>
  <c r="G207"/>
  <c r="N206"/>
  <c r="O206" s="1"/>
  <c r="M206"/>
  <c r="K206"/>
  <c r="I206"/>
  <c r="G206"/>
  <c r="N205"/>
  <c r="O205" s="1"/>
  <c r="M205"/>
  <c r="K205"/>
  <c r="I205"/>
  <c r="G205"/>
  <c r="N204"/>
  <c r="O204" s="1"/>
  <c r="M204"/>
  <c r="K204"/>
  <c r="I204"/>
  <c r="G204"/>
  <c r="N203"/>
  <c r="O203" s="1"/>
  <c r="M203"/>
  <c r="K203"/>
  <c r="I203"/>
  <c r="G203"/>
  <c r="N202"/>
  <c r="O202" s="1"/>
  <c r="M202"/>
  <c r="K202"/>
  <c r="I202"/>
  <c r="G202"/>
  <c r="N201"/>
  <c r="O201" s="1"/>
  <c r="M201"/>
  <c r="K201"/>
  <c r="I201"/>
  <c r="G201"/>
  <c r="N200"/>
  <c r="O200" s="1"/>
  <c r="M200"/>
  <c r="K200"/>
  <c r="I200"/>
  <c r="G200"/>
  <c r="N199"/>
  <c r="O199" s="1"/>
  <c r="M199"/>
  <c r="K199"/>
  <c r="I199"/>
  <c r="G199"/>
  <c r="N198"/>
  <c r="O198" s="1"/>
  <c r="M198"/>
  <c r="K198"/>
  <c r="I198"/>
  <c r="G198"/>
  <c r="N197"/>
  <c r="O197" s="1"/>
  <c r="M197"/>
  <c r="K197"/>
  <c r="I197"/>
  <c r="G197"/>
  <c r="N196"/>
  <c r="O196" s="1"/>
  <c r="M196"/>
  <c r="K196"/>
  <c r="I196"/>
  <c r="G196"/>
  <c r="N195"/>
  <c r="O195" s="1"/>
  <c r="M195"/>
  <c r="K195"/>
  <c r="I195"/>
  <c r="G195"/>
  <c r="N194"/>
  <c r="P194" s="1"/>
  <c r="B194" s="1"/>
  <c r="N193"/>
  <c r="N192"/>
  <c r="N191"/>
  <c r="N190"/>
  <c r="N189"/>
  <c r="P189" s="1"/>
  <c r="B189" s="1"/>
  <c r="M189"/>
  <c r="K189"/>
  <c r="I189"/>
  <c r="G189"/>
  <c r="N188"/>
  <c r="P188" s="1"/>
  <c r="B188" s="1"/>
  <c r="N187"/>
  <c r="N186"/>
  <c r="P186" s="1"/>
  <c r="B186" s="1"/>
  <c r="N185"/>
  <c r="P185" s="1"/>
  <c r="B185" s="1"/>
  <c r="N184"/>
  <c r="N183"/>
  <c r="P183" s="1"/>
  <c r="B183" s="1"/>
  <c r="N182"/>
  <c r="P182" s="1"/>
  <c r="B182" s="1"/>
  <c r="N181"/>
  <c r="P181" s="1"/>
  <c r="B181" s="1"/>
  <c r="N180"/>
  <c r="N179"/>
  <c r="P179" s="1"/>
  <c r="B179" s="1"/>
  <c r="N178"/>
  <c r="P178" s="1"/>
  <c r="B178" s="1"/>
  <c r="N177"/>
  <c r="P177" s="1"/>
  <c r="B177" s="1"/>
  <c r="N176"/>
  <c r="N175"/>
  <c r="P175" s="1"/>
  <c r="B175" s="1"/>
  <c r="N174"/>
  <c r="P174" s="1"/>
  <c r="B174" s="1"/>
  <c r="N173"/>
  <c r="O173" s="1"/>
  <c r="M173"/>
  <c r="K173"/>
  <c r="I173"/>
  <c r="G173"/>
  <c r="N172"/>
  <c r="P172" s="1"/>
  <c r="B172" s="1"/>
  <c r="N171"/>
  <c r="O171" s="1"/>
  <c r="M171"/>
  <c r="K171"/>
  <c r="I171"/>
  <c r="G171"/>
  <c r="N170"/>
  <c r="D170"/>
  <c r="I170" s="1"/>
  <c r="N169"/>
  <c r="P169" s="1"/>
  <c r="B169" s="1"/>
  <c r="N168"/>
  <c r="P168" s="1"/>
  <c r="B168" s="1"/>
  <c r="N167"/>
  <c r="P167" s="1"/>
  <c r="D167"/>
  <c r="K167" s="1"/>
  <c r="N166"/>
  <c r="D166"/>
  <c r="I166" s="1"/>
  <c r="N165"/>
  <c r="P165"/>
  <c r="B165" s="1"/>
  <c r="D165"/>
  <c r="O165" s="1"/>
  <c r="N164"/>
  <c r="P164" s="1"/>
  <c r="B164" s="1"/>
  <c r="D164"/>
  <c r="I164" s="1"/>
  <c r="N163"/>
  <c r="O163"/>
  <c r="M163"/>
  <c r="K163"/>
  <c r="I163"/>
  <c r="G163"/>
  <c r="N162"/>
  <c r="P162"/>
  <c r="B162" s="1"/>
  <c r="N161"/>
  <c r="O161" s="1"/>
  <c r="M161"/>
  <c r="K161"/>
  <c r="I161"/>
  <c r="G161"/>
  <c r="N160"/>
  <c r="N159"/>
  <c r="P159" s="1"/>
  <c r="B159" s="1"/>
  <c r="M159"/>
  <c r="K159"/>
  <c r="I159"/>
  <c r="G159"/>
  <c r="N158"/>
  <c r="P158"/>
  <c r="B158" s="1"/>
  <c r="D158"/>
  <c r="N157"/>
  <c r="P157" s="1"/>
  <c r="B157" s="1"/>
  <c r="N156"/>
  <c r="P156" s="1"/>
  <c r="B156" s="1"/>
  <c r="N155"/>
  <c r="N154"/>
  <c r="P154" s="1"/>
  <c r="N153"/>
  <c r="P153" s="1"/>
  <c r="B153" s="1"/>
  <c r="N152"/>
  <c r="P152" s="1"/>
  <c r="B152" s="1"/>
  <c r="N151"/>
  <c r="D151"/>
  <c r="I151" s="1"/>
  <c r="N150"/>
  <c r="P150" s="1"/>
  <c r="B150" s="1"/>
  <c r="N149"/>
  <c r="P149" s="1"/>
  <c r="B149" s="1"/>
  <c r="N148"/>
  <c r="P148" s="1"/>
  <c r="B148" s="1"/>
  <c r="N147"/>
  <c r="N146"/>
  <c r="P146" s="1"/>
  <c r="B146" s="1"/>
  <c r="N145"/>
  <c r="P145"/>
  <c r="B145" s="1"/>
  <c r="N144"/>
  <c r="P144" s="1"/>
  <c r="B144" s="1"/>
  <c r="N143"/>
  <c r="N142"/>
  <c r="N141"/>
  <c r="N140"/>
  <c r="N139"/>
  <c r="N138"/>
  <c r="P138" s="1"/>
  <c r="B138" s="1"/>
  <c r="N137"/>
  <c r="O137" s="1"/>
  <c r="M137"/>
  <c r="K137"/>
  <c r="I137"/>
  <c r="G137"/>
  <c r="N136"/>
  <c r="N135"/>
  <c r="N134"/>
  <c r="P134" s="1"/>
  <c r="B134" s="1"/>
  <c r="N133"/>
  <c r="P133" s="1"/>
  <c r="B133" s="1"/>
  <c r="N132"/>
  <c r="N131"/>
  <c r="N130"/>
  <c r="P130" s="1"/>
  <c r="B130" s="1"/>
  <c r="D130"/>
  <c r="I130" s="1"/>
  <c r="N129"/>
  <c r="P129" s="1"/>
  <c r="B129" s="1"/>
  <c r="D129"/>
  <c r="M129" s="1"/>
  <c r="N128"/>
  <c r="D128"/>
  <c r="K128" s="1"/>
  <c r="N127"/>
  <c r="P127" s="1"/>
  <c r="D127"/>
  <c r="G127" s="1"/>
  <c r="N126"/>
  <c r="P126" s="1"/>
  <c r="B126" s="1"/>
  <c r="D126"/>
  <c r="G126" s="1"/>
  <c r="N125"/>
  <c r="P125" s="1"/>
  <c r="D125"/>
  <c r="M125" s="1"/>
  <c r="N124"/>
  <c r="N123"/>
  <c r="P123" s="1"/>
  <c r="B123" s="1"/>
  <c r="N122"/>
  <c r="P122" s="1"/>
  <c r="B122" s="1"/>
  <c r="N121"/>
  <c r="P121" s="1"/>
  <c r="B121" s="1"/>
  <c r="N120"/>
  <c r="N119"/>
  <c r="P119" s="1"/>
  <c r="B119" s="1"/>
  <c r="N118"/>
  <c r="O118"/>
  <c r="M118"/>
  <c r="K118"/>
  <c r="I118"/>
  <c r="G118"/>
  <c r="N117"/>
  <c r="P117" s="1"/>
  <c r="B117" s="1"/>
  <c r="N116"/>
  <c r="O116" s="1"/>
  <c r="P116"/>
  <c r="B116" s="1"/>
  <c r="M116"/>
  <c r="K116"/>
  <c r="I116"/>
  <c r="G116"/>
  <c r="N115"/>
  <c r="P115" s="1"/>
  <c r="B115" s="1"/>
  <c r="N114"/>
  <c r="M114"/>
  <c r="K114"/>
  <c r="I114"/>
  <c r="G114"/>
  <c r="N113"/>
  <c r="D113"/>
  <c r="K113" s="1"/>
  <c r="N112"/>
  <c r="P112" s="1"/>
  <c r="N111"/>
  <c r="P111" s="1"/>
  <c r="B111" s="1"/>
  <c r="N110"/>
  <c r="P110"/>
  <c r="B110" s="1"/>
  <c r="N109"/>
  <c r="N108"/>
  <c r="P108" s="1"/>
  <c r="B108" s="1"/>
  <c r="N107"/>
  <c r="N106"/>
  <c r="P106" s="1"/>
  <c r="D106"/>
  <c r="I106" s="1"/>
  <c r="N105"/>
  <c r="P105" s="1"/>
  <c r="D105"/>
  <c r="K105" s="1"/>
  <c r="N104"/>
  <c r="P104" s="1"/>
  <c r="B104" s="1"/>
  <c r="D104"/>
  <c r="I104" s="1"/>
  <c r="N103"/>
  <c r="N102"/>
  <c r="P102" s="1"/>
  <c r="B102" s="1"/>
  <c r="N101"/>
  <c r="P101" s="1"/>
  <c r="B101" s="1"/>
  <c r="N100"/>
  <c r="P100"/>
  <c r="B100" s="1"/>
  <c r="N99"/>
  <c r="N98"/>
  <c r="P98" s="1"/>
  <c r="B98" s="1"/>
  <c r="N97"/>
  <c r="P97" s="1"/>
  <c r="B97" s="1"/>
  <c r="N96"/>
  <c r="P96"/>
  <c r="B96" s="1"/>
  <c r="N95"/>
  <c r="P95" s="1"/>
  <c r="B95" s="1"/>
  <c r="N94"/>
  <c r="P94" s="1"/>
  <c r="B94" s="1"/>
  <c r="N93"/>
  <c r="N92"/>
  <c r="N91"/>
  <c r="N90"/>
  <c r="N89"/>
  <c r="O89" s="1"/>
  <c r="M89"/>
  <c r="K89"/>
  <c r="I89"/>
  <c r="G89"/>
  <c r="N88"/>
  <c r="N87"/>
  <c r="P87" s="1"/>
  <c r="B87" s="1"/>
  <c r="N86"/>
  <c r="P86" s="1"/>
  <c r="B86" s="1"/>
  <c r="N85"/>
  <c r="P85" s="1"/>
  <c r="B85" s="1"/>
  <c r="N84"/>
  <c r="P84" s="1"/>
  <c r="B84" s="1"/>
  <c r="N83"/>
  <c r="O83" s="1"/>
  <c r="M83"/>
  <c r="K83"/>
  <c r="I83"/>
  <c r="G83"/>
  <c r="N82"/>
  <c r="P82" s="1"/>
  <c r="B82" s="1"/>
  <c r="N81"/>
  <c r="P81" s="1"/>
  <c r="B81" s="1"/>
  <c r="N80"/>
  <c r="P80" s="1"/>
  <c r="B80" s="1"/>
  <c r="N79"/>
  <c r="P79" s="1"/>
  <c r="B79" s="1"/>
  <c r="N78"/>
  <c r="P78" s="1"/>
  <c r="B78" s="1"/>
  <c r="N77"/>
  <c r="P77" s="1"/>
  <c r="N76"/>
  <c r="P76" s="1"/>
  <c r="B76" s="1"/>
  <c r="N75"/>
  <c r="N74"/>
  <c r="P74" s="1"/>
  <c r="B74" s="1"/>
  <c r="N73"/>
  <c r="P73" s="1"/>
  <c r="B73" s="1"/>
  <c r="N72"/>
  <c r="P72" s="1"/>
  <c r="B72" s="1"/>
  <c r="N71"/>
  <c r="P71" s="1"/>
  <c r="B71" s="1"/>
  <c r="N70"/>
  <c r="P70" s="1"/>
  <c r="B70" s="1"/>
  <c r="N69"/>
  <c r="O69"/>
  <c r="M69"/>
  <c r="K69"/>
  <c r="I69"/>
  <c r="G69"/>
  <c r="N68"/>
  <c r="P68" s="1"/>
  <c r="B68" s="1"/>
  <c r="N67"/>
  <c r="P67" s="1"/>
  <c r="N66"/>
  <c r="P66" s="1"/>
  <c r="B66" s="1"/>
  <c r="N65"/>
  <c r="P65" s="1"/>
  <c r="N64"/>
  <c r="P64"/>
  <c r="B64" s="1"/>
  <c r="N63"/>
  <c r="P63" s="1"/>
  <c r="M63"/>
  <c r="K63"/>
  <c r="I63"/>
  <c r="G63"/>
  <c r="N62"/>
  <c r="P62" s="1"/>
  <c r="B62" s="1"/>
  <c r="N61"/>
  <c r="D61"/>
  <c r="N60"/>
  <c r="P60" s="1"/>
  <c r="Q60" s="1"/>
  <c r="M60"/>
  <c r="K60"/>
  <c r="I60"/>
  <c r="G60"/>
  <c r="N59"/>
  <c r="P59" s="1"/>
  <c r="Q59" s="1"/>
  <c r="M59"/>
  <c r="K59"/>
  <c r="I59"/>
  <c r="G59"/>
  <c r="N58"/>
  <c r="N57"/>
  <c r="P57" s="1"/>
  <c r="M57"/>
  <c r="K57"/>
  <c r="I57"/>
  <c r="G57"/>
  <c r="N56"/>
  <c r="P56" s="1"/>
  <c r="B56" s="1"/>
  <c r="M56"/>
  <c r="K56"/>
  <c r="I56"/>
  <c r="G56"/>
  <c r="N55"/>
  <c r="N54"/>
  <c r="P54" s="1"/>
  <c r="B54" s="1"/>
  <c r="N53"/>
  <c r="P53" s="1"/>
  <c r="N52"/>
  <c r="P52" s="1"/>
  <c r="N51"/>
  <c r="P51" s="1"/>
  <c r="N50"/>
  <c r="P50" s="1"/>
  <c r="N49"/>
  <c r="P49" s="1"/>
  <c r="B49" s="1"/>
  <c r="N48"/>
  <c r="P48" s="1"/>
  <c r="B48" s="1"/>
  <c r="M48"/>
  <c r="K48"/>
  <c r="I48"/>
  <c r="G48"/>
  <c r="N47"/>
  <c r="P47" s="1"/>
  <c r="M47"/>
  <c r="K47"/>
  <c r="I47"/>
  <c r="G47"/>
  <c r="N46"/>
  <c r="P46"/>
  <c r="B46" s="1"/>
  <c r="N45"/>
  <c r="J44"/>
  <c r="N43"/>
  <c r="P43" s="1"/>
  <c r="N42"/>
  <c r="P42" s="1"/>
  <c r="B42" s="1"/>
  <c r="N41"/>
  <c r="P41" s="1"/>
  <c r="N40"/>
  <c r="P40"/>
  <c r="N39"/>
  <c r="P39" s="1"/>
  <c r="N38"/>
  <c r="P38"/>
  <c r="B38" s="1"/>
  <c r="N37"/>
  <c r="N36"/>
  <c r="P36" s="1"/>
  <c r="M36"/>
  <c r="K36"/>
  <c r="I36"/>
  <c r="G36"/>
  <c r="N35"/>
  <c r="P35" s="1"/>
  <c r="M35"/>
  <c r="K35"/>
  <c r="I35"/>
  <c r="G35"/>
  <c r="N34"/>
  <c r="P34" s="1"/>
  <c r="M34"/>
  <c r="K34"/>
  <c r="I34"/>
  <c r="G34"/>
  <c r="N33"/>
  <c r="P33" s="1"/>
  <c r="M33"/>
  <c r="K33"/>
  <c r="I33"/>
  <c r="G33"/>
  <c r="N32"/>
  <c r="P32" s="1"/>
  <c r="M32"/>
  <c r="K32"/>
  <c r="I32"/>
  <c r="G32"/>
  <c r="N31"/>
  <c r="P31" s="1"/>
  <c r="M31"/>
  <c r="K31"/>
  <c r="I31"/>
  <c r="G31"/>
  <c r="N30"/>
  <c r="P30" s="1"/>
  <c r="M30"/>
  <c r="K30"/>
  <c r="I30"/>
  <c r="G30"/>
  <c r="N29"/>
  <c r="P29" s="1"/>
  <c r="N28"/>
  <c r="P28" s="1"/>
  <c r="N27"/>
  <c r="P27" s="1"/>
  <c r="M27"/>
  <c r="K27"/>
  <c r="I27"/>
  <c r="G27"/>
  <c r="N26"/>
  <c r="P26" s="1"/>
  <c r="N25"/>
  <c r="P25" s="1"/>
  <c r="N24"/>
  <c r="O24" s="1"/>
  <c r="M24"/>
  <c r="K24"/>
  <c r="I24"/>
  <c r="G24"/>
  <c r="N23"/>
  <c r="P23" s="1"/>
  <c r="N22"/>
  <c r="N21"/>
  <c r="P21" s="1"/>
  <c r="M21"/>
  <c r="K21"/>
  <c r="I21"/>
  <c r="G21"/>
  <c r="N20"/>
  <c r="P20" s="1"/>
  <c r="N19"/>
  <c r="P19" s="1"/>
  <c r="B19" s="1"/>
  <c r="N16"/>
  <c r="P16" s="1"/>
  <c r="B16" s="1"/>
  <c r="M16"/>
  <c r="K16"/>
  <c r="I16"/>
  <c r="G16"/>
  <c r="N15"/>
  <c r="P15"/>
  <c r="N14"/>
  <c r="P14"/>
  <c r="N13"/>
  <c r="P13" s="1"/>
  <c r="M13"/>
  <c r="K13"/>
  <c r="I13"/>
  <c r="G13"/>
  <c r="N12"/>
  <c r="P12" s="1"/>
  <c r="N11"/>
  <c r="P11" s="1"/>
  <c r="N10"/>
  <c r="P10" s="1"/>
  <c r="M10"/>
  <c r="K10"/>
  <c r="I10"/>
  <c r="G10"/>
  <c r="N9"/>
  <c r="P9" s="1"/>
  <c r="N8"/>
  <c r="P8" s="1"/>
  <c r="M7"/>
  <c r="K7"/>
  <c r="I7"/>
  <c r="G7"/>
  <c r="J18"/>
  <c r="J17"/>
  <c r="A1"/>
  <c r="M7" i="67"/>
  <c r="M10"/>
  <c r="M13"/>
  <c r="M16"/>
  <c r="M21"/>
  <c r="M24"/>
  <c r="M27"/>
  <c r="M30"/>
  <c r="M31"/>
  <c r="M32"/>
  <c r="M33"/>
  <c r="M34"/>
  <c r="M35"/>
  <c r="M36"/>
  <c r="M47"/>
  <c r="M48"/>
  <c r="M56"/>
  <c r="M57"/>
  <c r="M59"/>
  <c r="M60"/>
  <c r="M63"/>
  <c r="M69"/>
  <c r="M83"/>
  <c r="M89"/>
  <c r="M114"/>
  <c r="M116"/>
  <c r="M118"/>
  <c r="M137"/>
  <c r="M159"/>
  <c r="M161"/>
  <c r="M163"/>
  <c r="M171"/>
  <c r="M173"/>
  <c r="M189"/>
  <c r="M195"/>
  <c r="M196"/>
  <c r="M197"/>
  <c r="M198"/>
  <c r="M199"/>
  <c r="M200"/>
  <c r="M201"/>
  <c r="M202"/>
  <c r="M203"/>
  <c r="M204"/>
  <c r="M205"/>
  <c r="M206"/>
  <c r="M207"/>
  <c r="M213"/>
  <c r="M214"/>
  <c r="M215"/>
  <c r="M216"/>
  <c r="M217"/>
  <c r="M218"/>
  <c r="M219"/>
  <c r="M225"/>
  <c r="M226"/>
  <c r="M227"/>
  <c r="M228"/>
  <c r="M229"/>
  <c r="M230"/>
  <c r="M231"/>
  <c r="M234"/>
  <c r="M235"/>
  <c r="M248"/>
  <c r="M255"/>
  <c r="M261"/>
  <c r="M294"/>
  <c r="M298"/>
  <c r="M303"/>
  <c r="M305"/>
  <c r="M308"/>
  <c r="M309"/>
  <c r="M313"/>
  <c r="M318"/>
  <c r="M331"/>
  <c r="M332"/>
  <c r="M334"/>
  <c r="M336"/>
  <c r="M343"/>
  <c r="M345"/>
  <c r="M349"/>
  <c r="M354"/>
  <c r="M360"/>
  <c r="M363"/>
  <c r="M367"/>
  <c r="M373"/>
  <c r="M379"/>
  <c r="M380"/>
  <c r="M381"/>
  <c r="M382"/>
  <c r="M383"/>
  <c r="M384"/>
  <c r="M385"/>
  <c r="M396"/>
  <c r="M400"/>
  <c r="M402"/>
  <c r="M403"/>
  <c r="M405"/>
  <c r="M407"/>
  <c r="M410"/>
  <c r="M413"/>
  <c r="M416"/>
  <c r="M420"/>
  <c r="M430"/>
  <c r="M438"/>
  <c r="M439"/>
  <c r="M440"/>
  <c r="M444"/>
  <c r="M447"/>
  <c r="M448"/>
  <c r="M455"/>
  <c r="M457"/>
  <c r="M458"/>
  <c r="M462"/>
  <c r="M463"/>
  <c r="M467"/>
  <c r="M471"/>
  <c r="M472"/>
  <c r="M477"/>
  <c r="M478"/>
  <c r="M484"/>
  <c r="M492"/>
  <c r="M499"/>
  <c r="M505"/>
  <c r="M508"/>
  <c r="M524"/>
  <c r="M530"/>
  <c r="M537"/>
  <c r="M543"/>
  <c r="M550"/>
  <c r="M556"/>
  <c r="M563"/>
  <c r="M569"/>
  <c r="M577"/>
  <c r="M584"/>
  <c r="M592"/>
  <c r="M605"/>
  <c r="M610"/>
  <c r="M619"/>
  <c r="M627"/>
  <c r="M632"/>
  <c r="M634"/>
  <c r="M637"/>
  <c r="M640"/>
  <c r="M641"/>
  <c r="M644"/>
  <c r="M645"/>
  <c r="M647"/>
  <c r="M652"/>
  <c r="M655"/>
  <c r="M660"/>
  <c r="M661"/>
  <c r="M662"/>
  <c r="M663"/>
  <c r="M665"/>
  <c r="M667"/>
  <c r="M669"/>
  <c r="M675"/>
  <c r="M681"/>
  <c r="M687"/>
  <c r="M703"/>
  <c r="M709"/>
  <c r="M714"/>
  <c r="M724"/>
  <c r="M725"/>
  <c r="M728"/>
  <c r="M729"/>
  <c r="M730"/>
  <c r="M732"/>
  <c r="M736"/>
  <c r="M737"/>
  <c r="M755"/>
  <c r="M760"/>
  <c r="M770"/>
  <c r="M773"/>
  <c r="M781"/>
  <c r="M782"/>
  <c r="M783"/>
  <c r="M784"/>
  <c r="M785"/>
  <c r="M786"/>
  <c r="M787"/>
  <c r="M788"/>
  <c r="M789"/>
  <c r="M790"/>
  <c r="M791"/>
  <c r="M792"/>
  <c r="M793"/>
  <c r="M794"/>
  <c r="M795"/>
  <c r="M796"/>
  <c r="M797"/>
  <c r="M798"/>
  <c r="M799"/>
  <c r="M800"/>
  <c r="M801"/>
  <c r="M802"/>
  <c r="M812"/>
  <c r="M813"/>
  <c r="M814"/>
  <c r="M815"/>
  <c r="M816"/>
  <c r="M817"/>
  <c r="M818"/>
  <c r="M819"/>
  <c r="M820"/>
  <c r="M821"/>
  <c r="M822"/>
  <c r="M823"/>
  <c r="M824"/>
  <c r="M825"/>
  <c r="M826"/>
  <c r="M827"/>
  <c r="M828"/>
  <c r="M829"/>
  <c r="M830"/>
  <c r="M831"/>
  <c r="M832"/>
  <c r="M833"/>
  <c r="M834"/>
  <c r="M837"/>
  <c r="M839"/>
  <c r="M840"/>
  <c r="M852"/>
  <c r="M857"/>
  <c r="M862"/>
  <c r="M868"/>
  <c r="M871"/>
  <c r="M879"/>
  <c r="M880"/>
  <c r="M881"/>
  <c r="M882"/>
  <c r="M892"/>
  <c r="M893"/>
  <c r="M894"/>
  <c r="M895"/>
  <c r="M896"/>
  <c r="M897"/>
  <c r="M898"/>
  <c r="M899"/>
  <c r="M900"/>
  <c r="M902"/>
  <c r="M905"/>
  <c r="M911"/>
  <c r="M912"/>
  <c r="M924"/>
  <c r="M931"/>
  <c r="M933"/>
  <c r="M934"/>
  <c r="M935"/>
  <c r="M936"/>
  <c r="M937"/>
  <c r="M938"/>
  <c r="M939"/>
  <c r="M940"/>
  <c r="M941"/>
  <c r="M942"/>
  <c r="M943"/>
  <c r="M944"/>
  <c r="M945"/>
  <c r="M957"/>
  <c r="M959"/>
  <c r="M960"/>
  <c r="M962"/>
  <c r="M967"/>
  <c r="M968"/>
  <c r="M969"/>
  <c r="M971"/>
  <c r="M973"/>
  <c r="M975"/>
  <c r="M976"/>
  <c r="M977"/>
  <c r="M978"/>
  <c r="M979"/>
  <c r="M980"/>
  <c r="M981"/>
  <c r="M982"/>
  <c r="M983"/>
  <c r="M984"/>
  <c r="M985"/>
  <c r="M986"/>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8"/>
  <c r="M1089"/>
  <c r="M1090"/>
  <c r="M1091"/>
  <c r="M1092"/>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2"/>
  <c r="M1173"/>
  <c r="M1174"/>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8"/>
  <c r="M1301"/>
  <c r="M1302"/>
  <c r="M1304"/>
  <c r="M1306"/>
  <c r="M1308"/>
  <c r="M1310"/>
  <c r="M1311"/>
  <c r="M1313"/>
  <c r="M1314"/>
  <c r="M1315"/>
  <c r="M1316"/>
  <c r="M1317"/>
  <c r="M1318"/>
  <c r="M1320"/>
  <c r="M1321"/>
  <c r="M1323"/>
  <c r="M1325"/>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K7"/>
  <c r="R7" s="1"/>
  <c r="K10"/>
  <c r="R10" s="1"/>
  <c r="K13"/>
  <c r="R13" s="1"/>
  <c r="K16"/>
  <c r="R16" s="1"/>
  <c r="K21"/>
  <c r="R21" s="1"/>
  <c r="K24"/>
  <c r="R24" s="1"/>
  <c r="K27"/>
  <c r="R27" s="1"/>
  <c r="K30"/>
  <c r="R30" s="1"/>
  <c r="K31"/>
  <c r="R31" s="1"/>
  <c r="K32"/>
  <c r="R32" s="1"/>
  <c r="K33"/>
  <c r="R33" s="1"/>
  <c r="K34"/>
  <c r="R34" s="1"/>
  <c r="K35"/>
  <c r="R35" s="1"/>
  <c r="K36"/>
  <c r="R36" s="1"/>
  <c r="K47"/>
  <c r="R47" s="1"/>
  <c r="K48"/>
  <c r="R48" s="1"/>
  <c r="K56"/>
  <c r="R56" s="1"/>
  <c r="K57"/>
  <c r="R57" s="1"/>
  <c r="K59"/>
  <c r="R59" s="1"/>
  <c r="K60"/>
  <c r="R60" s="1"/>
  <c r="K63"/>
  <c r="R63" s="1"/>
  <c r="K69"/>
  <c r="R69" s="1"/>
  <c r="K83"/>
  <c r="R83" s="1"/>
  <c r="K89"/>
  <c r="R89" s="1"/>
  <c r="K114"/>
  <c r="R114" s="1"/>
  <c r="K116"/>
  <c r="R116" s="1"/>
  <c r="K118"/>
  <c r="R118" s="1"/>
  <c r="K137"/>
  <c r="R137" s="1"/>
  <c r="K159"/>
  <c r="R159" s="1"/>
  <c r="K161"/>
  <c r="R161" s="1"/>
  <c r="K163"/>
  <c r="R163" s="1"/>
  <c r="K171"/>
  <c r="R171" s="1"/>
  <c r="K173"/>
  <c r="R173" s="1"/>
  <c r="K189"/>
  <c r="R189" s="1"/>
  <c r="K195"/>
  <c r="R195" s="1"/>
  <c r="K196"/>
  <c r="R196" s="1"/>
  <c r="K197"/>
  <c r="R197" s="1"/>
  <c r="K198"/>
  <c r="R198" s="1"/>
  <c r="K199"/>
  <c r="R199" s="1"/>
  <c r="K200"/>
  <c r="R200" s="1"/>
  <c r="K201"/>
  <c r="R201" s="1"/>
  <c r="K202"/>
  <c r="R202" s="1"/>
  <c r="K203"/>
  <c r="R203" s="1"/>
  <c r="K204"/>
  <c r="R204" s="1"/>
  <c r="K205"/>
  <c r="R205" s="1"/>
  <c r="K206"/>
  <c r="R206" s="1"/>
  <c r="K207"/>
  <c r="R207" s="1"/>
  <c r="K213"/>
  <c r="R213" s="1"/>
  <c r="K214"/>
  <c r="R214" s="1"/>
  <c r="K215"/>
  <c r="R215" s="1"/>
  <c r="K216"/>
  <c r="R216" s="1"/>
  <c r="K217"/>
  <c r="R217" s="1"/>
  <c r="K218"/>
  <c r="R218" s="1"/>
  <c r="K219"/>
  <c r="R219" s="1"/>
  <c r="K225"/>
  <c r="R225" s="1"/>
  <c r="K226"/>
  <c r="R226" s="1"/>
  <c r="K227"/>
  <c r="R227" s="1"/>
  <c r="K228"/>
  <c r="R228" s="1"/>
  <c r="K229"/>
  <c r="R229" s="1"/>
  <c r="K230"/>
  <c r="R230" s="1"/>
  <c r="K231"/>
  <c r="R231" s="1"/>
  <c r="K234"/>
  <c r="R234" s="1"/>
  <c r="K235"/>
  <c r="R235" s="1"/>
  <c r="K248"/>
  <c r="R248" s="1"/>
  <c r="K255"/>
  <c r="R255" s="1"/>
  <c r="K261"/>
  <c r="R261" s="1"/>
  <c r="K294"/>
  <c r="R294" s="1"/>
  <c r="K298"/>
  <c r="R298" s="1"/>
  <c r="K303"/>
  <c r="R303" s="1"/>
  <c r="K305"/>
  <c r="R305" s="1"/>
  <c r="K308"/>
  <c r="R308" s="1"/>
  <c r="K309"/>
  <c r="R309" s="1"/>
  <c r="K313"/>
  <c r="R313" s="1"/>
  <c r="K318"/>
  <c r="R318" s="1"/>
  <c r="K331"/>
  <c r="R331" s="1"/>
  <c r="K332"/>
  <c r="R332" s="1"/>
  <c r="K334"/>
  <c r="R334" s="1"/>
  <c r="K336"/>
  <c r="R336" s="1"/>
  <c r="K343"/>
  <c r="R343" s="1"/>
  <c r="K345"/>
  <c r="R345" s="1"/>
  <c r="K349"/>
  <c r="R349" s="1"/>
  <c r="K354"/>
  <c r="R354" s="1"/>
  <c r="K360"/>
  <c r="R360" s="1"/>
  <c r="K363"/>
  <c r="R363" s="1"/>
  <c r="K367"/>
  <c r="R367" s="1"/>
  <c r="K373"/>
  <c r="R373" s="1"/>
  <c r="K379"/>
  <c r="R379" s="1"/>
  <c r="K380"/>
  <c r="K381"/>
  <c r="K382"/>
  <c r="R382" s="1"/>
  <c r="K383"/>
  <c r="K384"/>
  <c r="K385"/>
  <c r="R385" s="1"/>
  <c r="K396"/>
  <c r="R396" s="1"/>
  <c r="K400"/>
  <c r="R400" s="1"/>
  <c r="K402"/>
  <c r="R402" s="1"/>
  <c r="K403"/>
  <c r="R403" s="1"/>
  <c r="K405"/>
  <c r="R405" s="1"/>
  <c r="K407"/>
  <c r="R407" s="1"/>
  <c r="K410"/>
  <c r="R410" s="1"/>
  <c r="K413"/>
  <c r="R413" s="1"/>
  <c r="K416"/>
  <c r="R416" s="1"/>
  <c r="K420"/>
  <c r="R420" s="1"/>
  <c r="K430"/>
  <c r="R430" s="1"/>
  <c r="K438"/>
  <c r="R438" s="1"/>
  <c r="K439"/>
  <c r="R439" s="1"/>
  <c r="K440"/>
  <c r="R440" s="1"/>
  <c r="K444"/>
  <c r="K447"/>
  <c r="K448"/>
  <c r="R448" s="1"/>
  <c r="K455"/>
  <c r="R455" s="1"/>
  <c r="K457"/>
  <c r="K458"/>
  <c r="R458" s="1"/>
  <c r="K462"/>
  <c r="R462" s="1"/>
  <c r="K463"/>
  <c r="R463" s="1"/>
  <c r="K467"/>
  <c r="R467" s="1"/>
  <c r="K471"/>
  <c r="R471" s="1"/>
  <c r="K472"/>
  <c r="R472" s="1"/>
  <c r="K477"/>
  <c r="R477" s="1"/>
  <c r="K478"/>
  <c r="R478" s="1"/>
  <c r="K484"/>
  <c r="R484" s="1"/>
  <c r="K492"/>
  <c r="R492" s="1"/>
  <c r="K499"/>
  <c r="R499" s="1"/>
  <c r="K505"/>
  <c r="R505" s="1"/>
  <c r="K508"/>
  <c r="R508" s="1"/>
  <c r="K524"/>
  <c r="R524" s="1"/>
  <c r="K530"/>
  <c r="R530" s="1"/>
  <c r="K537"/>
  <c r="R537" s="1"/>
  <c r="K543"/>
  <c r="R543" s="1"/>
  <c r="K550"/>
  <c r="R550" s="1"/>
  <c r="K556"/>
  <c r="R556" s="1"/>
  <c r="K563"/>
  <c r="R563" s="1"/>
  <c r="K569"/>
  <c r="R569" s="1"/>
  <c r="K577"/>
  <c r="R577" s="1"/>
  <c r="K584"/>
  <c r="R584" s="1"/>
  <c r="K592"/>
  <c r="R592" s="1"/>
  <c r="K605"/>
  <c r="R605" s="1"/>
  <c r="K610"/>
  <c r="R610" s="1"/>
  <c r="K619"/>
  <c r="R619" s="1"/>
  <c r="K627"/>
  <c r="R627" s="1"/>
  <c r="K632"/>
  <c r="R632" s="1"/>
  <c r="K634"/>
  <c r="R634" s="1"/>
  <c r="K637"/>
  <c r="R637" s="1"/>
  <c r="K640"/>
  <c r="K641"/>
  <c r="R641" s="1"/>
  <c r="K644"/>
  <c r="R644" s="1"/>
  <c r="K645"/>
  <c r="R645" s="1"/>
  <c r="K647"/>
  <c r="R647" s="1"/>
  <c r="K652"/>
  <c r="R652" s="1"/>
  <c r="K655"/>
  <c r="R655" s="1"/>
  <c r="K660"/>
  <c r="R660" s="1"/>
  <c r="K661"/>
  <c r="R661" s="1"/>
  <c r="K662"/>
  <c r="R662" s="1"/>
  <c r="K663"/>
  <c r="R663" s="1"/>
  <c r="K665"/>
  <c r="R665" s="1"/>
  <c r="K667"/>
  <c r="R667" s="1"/>
  <c r="K669"/>
  <c r="R669" s="1"/>
  <c r="K675"/>
  <c r="R675" s="1"/>
  <c r="K681"/>
  <c r="R681" s="1"/>
  <c r="K687"/>
  <c r="R687" s="1"/>
  <c r="K703"/>
  <c r="K709"/>
  <c r="R709" s="1"/>
  <c r="K714"/>
  <c r="R714" s="1"/>
  <c r="K724"/>
  <c r="K725"/>
  <c r="R725" s="1"/>
  <c r="K728"/>
  <c r="K729"/>
  <c r="K730"/>
  <c r="R730" s="1"/>
  <c r="K732"/>
  <c r="R732" s="1"/>
  <c r="K736"/>
  <c r="R736" s="1"/>
  <c r="K737"/>
  <c r="K755"/>
  <c r="R755" s="1"/>
  <c r="K760"/>
  <c r="K770"/>
  <c r="K773"/>
  <c r="R773" s="1"/>
  <c r="K781"/>
  <c r="R781" s="1"/>
  <c r="K782"/>
  <c r="R782" s="1"/>
  <c r="K783"/>
  <c r="R783" s="1"/>
  <c r="K784"/>
  <c r="R784" s="1"/>
  <c r="K785"/>
  <c r="R785" s="1"/>
  <c r="K786"/>
  <c r="R786" s="1"/>
  <c r="K787"/>
  <c r="R787" s="1"/>
  <c r="K788"/>
  <c r="R788" s="1"/>
  <c r="K789"/>
  <c r="R789" s="1"/>
  <c r="K790"/>
  <c r="R790" s="1"/>
  <c r="K791"/>
  <c r="R791" s="1"/>
  <c r="K792"/>
  <c r="R792" s="1"/>
  <c r="K793"/>
  <c r="R793" s="1"/>
  <c r="K794"/>
  <c r="R794" s="1"/>
  <c r="K795"/>
  <c r="R795" s="1"/>
  <c r="K796"/>
  <c r="R796" s="1"/>
  <c r="K797"/>
  <c r="R797" s="1"/>
  <c r="K798"/>
  <c r="K799"/>
  <c r="K800"/>
  <c r="R800" s="1"/>
  <c r="K801"/>
  <c r="K802"/>
  <c r="K812"/>
  <c r="R812" s="1"/>
  <c r="K813"/>
  <c r="R813" s="1"/>
  <c r="K814"/>
  <c r="R814" s="1"/>
  <c r="K815"/>
  <c r="R815" s="1"/>
  <c r="K816"/>
  <c r="R816" s="1"/>
  <c r="K817"/>
  <c r="K818"/>
  <c r="R818" s="1"/>
  <c r="K819"/>
  <c r="K820"/>
  <c r="R820" s="1"/>
  <c r="K821"/>
  <c r="R821" s="1"/>
  <c r="K822"/>
  <c r="K823"/>
  <c r="K824"/>
  <c r="R824" s="1"/>
  <c r="K825"/>
  <c r="R825" s="1"/>
  <c r="K826"/>
  <c r="R826" s="1"/>
  <c r="K827"/>
  <c r="R827" s="1"/>
  <c r="K828"/>
  <c r="R828" s="1"/>
  <c r="K829"/>
  <c r="R829" s="1"/>
  <c r="K830"/>
  <c r="R830" s="1"/>
  <c r="K831"/>
  <c r="R831" s="1"/>
  <c r="K832"/>
  <c r="R832" s="1"/>
  <c r="K833"/>
  <c r="R833" s="1"/>
  <c r="K834"/>
  <c r="R834" s="1"/>
  <c r="K837"/>
  <c r="R837" s="1"/>
  <c r="K839"/>
  <c r="R839" s="1"/>
  <c r="K840"/>
  <c r="R840" s="1"/>
  <c r="K852"/>
  <c r="R852" s="1"/>
  <c r="K857"/>
  <c r="R857" s="1"/>
  <c r="K862"/>
  <c r="R862" s="1"/>
  <c r="K868"/>
  <c r="R868" s="1"/>
  <c r="K871"/>
  <c r="R871" s="1"/>
  <c r="K879"/>
  <c r="R879" s="1"/>
  <c r="K880"/>
  <c r="R880" s="1"/>
  <c r="K881"/>
  <c r="R881" s="1"/>
  <c r="K882"/>
  <c r="R882" s="1"/>
  <c r="K892"/>
  <c r="R892" s="1"/>
  <c r="K893"/>
  <c r="K894"/>
  <c r="K895"/>
  <c r="R895" s="1"/>
  <c r="K896"/>
  <c r="K897"/>
  <c r="K898"/>
  <c r="R898" s="1"/>
  <c r="K899"/>
  <c r="K900"/>
  <c r="K902"/>
  <c r="K905"/>
  <c r="R905" s="1"/>
  <c r="K911"/>
  <c r="R911" s="1"/>
  <c r="K912"/>
  <c r="R912" s="1"/>
  <c r="K924"/>
  <c r="R924" s="1"/>
  <c r="K931"/>
  <c r="R931" s="1"/>
  <c r="K933"/>
  <c r="R933" s="1"/>
  <c r="K934"/>
  <c r="R934" s="1"/>
  <c r="K935"/>
  <c r="R935" s="1"/>
  <c r="K936"/>
  <c r="R936" s="1"/>
  <c r="K937"/>
  <c r="R937" s="1"/>
  <c r="K938"/>
  <c r="R938" s="1"/>
  <c r="K939"/>
  <c r="R939" s="1"/>
  <c r="K940"/>
  <c r="R940" s="1"/>
  <c r="K941"/>
  <c r="R941" s="1"/>
  <c r="K942"/>
  <c r="R942" s="1"/>
  <c r="K943"/>
  <c r="R943" s="1"/>
  <c r="K944"/>
  <c r="R944" s="1"/>
  <c r="K945"/>
  <c r="R945" s="1"/>
  <c r="K957"/>
  <c r="R957" s="1"/>
  <c r="K959"/>
  <c r="R959" s="1"/>
  <c r="K960"/>
  <c r="K962"/>
  <c r="R962" s="1"/>
  <c r="K967"/>
  <c r="K968"/>
  <c r="K969"/>
  <c r="K971"/>
  <c r="R971" s="1"/>
  <c r="K973"/>
  <c r="R973" s="1"/>
  <c r="K975"/>
  <c r="K976"/>
  <c r="R976" s="1"/>
  <c r="K977"/>
  <c r="K978"/>
  <c r="K979"/>
  <c r="R979" s="1"/>
  <c r="K980"/>
  <c r="R980" s="1"/>
  <c r="K981"/>
  <c r="R981" s="1"/>
  <c r="K982"/>
  <c r="K983"/>
  <c r="K984"/>
  <c r="K985"/>
  <c r="K986"/>
  <c r="K988"/>
  <c r="R988" s="1"/>
  <c r="K989"/>
  <c r="R989" s="1"/>
  <c r="K990"/>
  <c r="R990" s="1"/>
  <c r="K991"/>
  <c r="R991" s="1"/>
  <c r="K992"/>
  <c r="K993"/>
  <c r="K994"/>
  <c r="R994" s="1"/>
  <c r="K995"/>
  <c r="K996"/>
  <c r="R996" s="1"/>
  <c r="K997"/>
  <c r="R997" s="1"/>
  <c r="K998"/>
  <c r="R998" s="1"/>
  <c r="K999"/>
  <c r="R999" s="1"/>
  <c r="K1000"/>
  <c r="R1000" s="1"/>
  <c r="K1001"/>
  <c r="R1001" s="1"/>
  <c r="K1002"/>
  <c r="R1002" s="1"/>
  <c r="K1003"/>
  <c r="R1003" s="1"/>
  <c r="K1004"/>
  <c r="R1004" s="1"/>
  <c r="K1005"/>
  <c r="R1005" s="1"/>
  <c r="K1006"/>
  <c r="R1006" s="1"/>
  <c r="K1007"/>
  <c r="K1008"/>
  <c r="R1008" s="1"/>
  <c r="K1009"/>
  <c r="K1010"/>
  <c r="R1010" s="1"/>
  <c r="K1011"/>
  <c r="K1012"/>
  <c r="R1012" s="1"/>
  <c r="K1013"/>
  <c r="R1013" s="1"/>
  <c r="K1014"/>
  <c r="R1014" s="1"/>
  <c r="K1015"/>
  <c r="R1015" s="1"/>
  <c r="K1016"/>
  <c r="R1016" s="1"/>
  <c r="K1017"/>
  <c r="R1017" s="1"/>
  <c r="K1018"/>
  <c r="R1018" s="1"/>
  <c r="K1019"/>
  <c r="R1019" s="1"/>
  <c r="K1020"/>
  <c r="R1020" s="1"/>
  <c r="K1021"/>
  <c r="R1021" s="1"/>
  <c r="K1022"/>
  <c r="R1022" s="1"/>
  <c r="K1023"/>
  <c r="R1023" s="1"/>
  <c r="K1024"/>
  <c r="R1024" s="1"/>
  <c r="K1025"/>
  <c r="R1025" s="1"/>
  <c r="K1026"/>
  <c r="R1026" s="1"/>
  <c r="K1027"/>
  <c r="R1027" s="1"/>
  <c r="K1028"/>
  <c r="R1028" s="1"/>
  <c r="K1029"/>
  <c r="R1029" s="1"/>
  <c r="K1030"/>
  <c r="R1030" s="1"/>
  <c r="K1031"/>
  <c r="R1031" s="1"/>
  <c r="K1032"/>
  <c r="R1032" s="1"/>
  <c r="K1033"/>
  <c r="R1033" s="1"/>
  <c r="K1034"/>
  <c r="R1034" s="1"/>
  <c r="K1035"/>
  <c r="R1035" s="1"/>
  <c r="K1036"/>
  <c r="R1036" s="1"/>
  <c r="K1037"/>
  <c r="R1037" s="1"/>
  <c r="K1038"/>
  <c r="R1038" s="1"/>
  <c r="K1039"/>
  <c r="R1039" s="1"/>
  <c r="K1040"/>
  <c r="R1040" s="1"/>
  <c r="K1041"/>
  <c r="R1041" s="1"/>
  <c r="K1042"/>
  <c r="R1042" s="1"/>
  <c r="K1043"/>
  <c r="R1043" s="1"/>
  <c r="K1044"/>
  <c r="R1044" s="1"/>
  <c r="K1045"/>
  <c r="R1045" s="1"/>
  <c r="K1046"/>
  <c r="R1046" s="1"/>
  <c r="K1047"/>
  <c r="R1047" s="1"/>
  <c r="K1048"/>
  <c r="R1048" s="1"/>
  <c r="K1049"/>
  <c r="R1049" s="1"/>
  <c r="K1050"/>
  <c r="K1051"/>
  <c r="K1052"/>
  <c r="R1052" s="1"/>
  <c r="K1053"/>
  <c r="R1053" s="1"/>
  <c r="K1054"/>
  <c r="R1054" s="1"/>
  <c r="K1055"/>
  <c r="R1055" s="1"/>
  <c r="K1056"/>
  <c r="R1056" s="1"/>
  <c r="K1057"/>
  <c r="R1057" s="1"/>
  <c r="K1058"/>
  <c r="R1058" s="1"/>
  <c r="K1059"/>
  <c r="R1059" s="1"/>
  <c r="K1060"/>
  <c r="R1060" s="1"/>
  <c r="K1061"/>
  <c r="R1061" s="1"/>
  <c r="K1062"/>
  <c r="R1062" s="1"/>
  <c r="K1063"/>
  <c r="R1063" s="1"/>
  <c r="K1064"/>
  <c r="R1064" s="1"/>
  <c r="K1065"/>
  <c r="R1065" s="1"/>
  <c r="K1066"/>
  <c r="R1066" s="1"/>
  <c r="K1067"/>
  <c r="R1067" s="1"/>
  <c r="K1068"/>
  <c r="R1068" s="1"/>
  <c r="K1069"/>
  <c r="R1069" s="1"/>
  <c r="K1070"/>
  <c r="R1070" s="1"/>
  <c r="K1071"/>
  <c r="R1071" s="1"/>
  <c r="K1072"/>
  <c r="R1072" s="1"/>
  <c r="K1073"/>
  <c r="R1073" s="1"/>
  <c r="K1074"/>
  <c r="R1074" s="1"/>
  <c r="K1075"/>
  <c r="R1075" s="1"/>
  <c r="K1076"/>
  <c r="R1076" s="1"/>
  <c r="K1077"/>
  <c r="R1077" s="1"/>
  <c r="K1078"/>
  <c r="R1078" s="1"/>
  <c r="K1079"/>
  <c r="R1079" s="1"/>
  <c r="K1080"/>
  <c r="R1080" s="1"/>
  <c r="K1081"/>
  <c r="R1081" s="1"/>
  <c r="K1082"/>
  <c r="R1082" s="1"/>
  <c r="K1083"/>
  <c r="R1083" s="1"/>
  <c r="K1084"/>
  <c r="R1084" s="1"/>
  <c r="K1085"/>
  <c r="R1085" s="1"/>
  <c r="K1086"/>
  <c r="R1086" s="1"/>
  <c r="K1088"/>
  <c r="R1088" s="1"/>
  <c r="K1089"/>
  <c r="R1089" s="1"/>
  <c r="K1090"/>
  <c r="R1090" s="1"/>
  <c r="K1091"/>
  <c r="R1091" s="1"/>
  <c r="K1092"/>
  <c r="R1092" s="1"/>
  <c r="K1094"/>
  <c r="R1094" s="1"/>
  <c r="K1095"/>
  <c r="R1095" s="1"/>
  <c r="K1096"/>
  <c r="K1097"/>
  <c r="R1097" s="1"/>
  <c r="K1098"/>
  <c r="R1098" s="1"/>
  <c r="K1099"/>
  <c r="R1099" s="1"/>
  <c r="K1100"/>
  <c r="K1101"/>
  <c r="K1102"/>
  <c r="R1102" s="1"/>
  <c r="K1103"/>
  <c r="K1104"/>
  <c r="K1105"/>
  <c r="R1105" s="1"/>
  <c r="K1106"/>
  <c r="K1107"/>
  <c r="R1107" s="1"/>
  <c r="K1108"/>
  <c r="K1109"/>
  <c r="K1110"/>
  <c r="R1110" s="1"/>
  <c r="K1111"/>
  <c r="R1111" s="1"/>
  <c r="K1112"/>
  <c r="K1113"/>
  <c r="R1113" s="1"/>
  <c r="K1114"/>
  <c r="R1114" s="1"/>
  <c r="K1115"/>
  <c r="K1116"/>
  <c r="R1116" s="1"/>
  <c r="K1117"/>
  <c r="K1118"/>
  <c r="K1119"/>
  <c r="R1119" s="1"/>
  <c r="K1120"/>
  <c r="R1120" s="1"/>
  <c r="K1121"/>
  <c r="R1121" s="1"/>
  <c r="K1122"/>
  <c r="R1122" s="1"/>
  <c r="K1123"/>
  <c r="R1123" s="1"/>
  <c r="K1124"/>
  <c r="R1124" s="1"/>
  <c r="K1125"/>
  <c r="R1125" s="1"/>
  <c r="K1126"/>
  <c r="R1126" s="1"/>
  <c r="K1127"/>
  <c r="R1127" s="1"/>
  <c r="K1128"/>
  <c r="R1128" s="1"/>
  <c r="K1129"/>
  <c r="R1129" s="1"/>
  <c r="K1130"/>
  <c r="R1130" s="1"/>
  <c r="K1131"/>
  <c r="R1131" s="1"/>
  <c r="K1132"/>
  <c r="R1132" s="1"/>
  <c r="K1133"/>
  <c r="R1133" s="1"/>
  <c r="K1134"/>
  <c r="K1135"/>
  <c r="R1135" s="1"/>
  <c r="K1136"/>
  <c r="R1136" s="1"/>
  <c r="K1137"/>
  <c r="R1137" s="1"/>
  <c r="K1138"/>
  <c r="R1138" s="1"/>
  <c r="K1139"/>
  <c r="R1139" s="1"/>
  <c r="K1140"/>
  <c r="R1140" s="1"/>
  <c r="K1141"/>
  <c r="R1141" s="1"/>
  <c r="K1142"/>
  <c r="R1142" s="1"/>
  <c r="K1143"/>
  <c r="K1144"/>
  <c r="R1144" s="1"/>
  <c r="K1145"/>
  <c r="K1146"/>
  <c r="R1146" s="1"/>
  <c r="K1147"/>
  <c r="R1147" s="1"/>
  <c r="K1148"/>
  <c r="R1148" s="1"/>
  <c r="K1149"/>
  <c r="R1149" s="1"/>
  <c r="K1150"/>
  <c r="R1150" s="1"/>
  <c r="K1151"/>
  <c r="K1152"/>
  <c r="R1152" s="1"/>
  <c r="K1153"/>
  <c r="R1153" s="1"/>
  <c r="K1154"/>
  <c r="R1154" s="1"/>
  <c r="K1155"/>
  <c r="R1155" s="1"/>
  <c r="K1156"/>
  <c r="R1156" s="1"/>
  <c r="K1157"/>
  <c r="R1157" s="1"/>
  <c r="K1158"/>
  <c r="K1159"/>
  <c r="K1160"/>
  <c r="R1160" s="1"/>
  <c r="K1161"/>
  <c r="R1161" s="1"/>
  <c r="K1162"/>
  <c r="R1162" s="1"/>
  <c r="K1163"/>
  <c r="R1163" s="1"/>
  <c r="K1164"/>
  <c r="R1164" s="1"/>
  <c r="K1165"/>
  <c r="R1165" s="1"/>
  <c r="K1166"/>
  <c r="R1166" s="1"/>
  <c r="K1167"/>
  <c r="R1167" s="1"/>
  <c r="K1168"/>
  <c r="R1168" s="1"/>
  <c r="K1169"/>
  <c r="R1169" s="1"/>
  <c r="K1172"/>
  <c r="R1172" s="1"/>
  <c r="K1173"/>
  <c r="R1173" s="1"/>
  <c r="K1174"/>
  <c r="R1174" s="1"/>
  <c r="K1176"/>
  <c r="R1176" s="1"/>
  <c r="K1177"/>
  <c r="R1177" s="1"/>
  <c r="K1178"/>
  <c r="R1178" s="1"/>
  <c r="K1179"/>
  <c r="R1179" s="1"/>
  <c r="K1180"/>
  <c r="R1180" s="1"/>
  <c r="K1181"/>
  <c r="R1181" s="1"/>
  <c r="K1182"/>
  <c r="R1182" s="1"/>
  <c r="K1183"/>
  <c r="R1183" s="1"/>
  <c r="K1184"/>
  <c r="R1184" s="1"/>
  <c r="K1185"/>
  <c r="R1185" s="1"/>
  <c r="K1186"/>
  <c r="R1186" s="1"/>
  <c r="K1187"/>
  <c r="R1187" s="1"/>
  <c r="K1188"/>
  <c r="R1188" s="1"/>
  <c r="K1189"/>
  <c r="R1189" s="1"/>
  <c r="K1190"/>
  <c r="R1190" s="1"/>
  <c r="K1191"/>
  <c r="R1191" s="1"/>
  <c r="K1192"/>
  <c r="R1192" s="1"/>
  <c r="K1193"/>
  <c r="R1193" s="1"/>
  <c r="K1194"/>
  <c r="R1194" s="1"/>
  <c r="K1195"/>
  <c r="R1195" s="1"/>
  <c r="K1196"/>
  <c r="R1196" s="1"/>
  <c r="K1197"/>
  <c r="R1197" s="1"/>
  <c r="K1198"/>
  <c r="R1198" s="1"/>
  <c r="K1199"/>
  <c r="R1199" s="1"/>
  <c r="K1200"/>
  <c r="R1200" s="1"/>
  <c r="K1201"/>
  <c r="R1201" s="1"/>
  <c r="K1202"/>
  <c r="R1202" s="1"/>
  <c r="K1203"/>
  <c r="R1203" s="1"/>
  <c r="K1204"/>
  <c r="R1204" s="1"/>
  <c r="K1205"/>
  <c r="R1205" s="1"/>
  <c r="K1206"/>
  <c r="R1206" s="1"/>
  <c r="K1207"/>
  <c r="R1207" s="1"/>
  <c r="K1208"/>
  <c r="R1208" s="1"/>
  <c r="K1209"/>
  <c r="R1209" s="1"/>
  <c r="K1210"/>
  <c r="R1210" s="1"/>
  <c r="K1211"/>
  <c r="R1211" s="1"/>
  <c r="K1212"/>
  <c r="R1212" s="1"/>
  <c r="K1213"/>
  <c r="R1213" s="1"/>
  <c r="K1214"/>
  <c r="R1214" s="1"/>
  <c r="K1215"/>
  <c r="R1215" s="1"/>
  <c r="K1216"/>
  <c r="R1216" s="1"/>
  <c r="K1217"/>
  <c r="R1217" s="1"/>
  <c r="K1218"/>
  <c r="R1218" s="1"/>
  <c r="K1219"/>
  <c r="R1219" s="1"/>
  <c r="K1220"/>
  <c r="R1220" s="1"/>
  <c r="K1221"/>
  <c r="R1221" s="1"/>
  <c r="K1222"/>
  <c r="R1222" s="1"/>
  <c r="K1223"/>
  <c r="K1224"/>
  <c r="K1225"/>
  <c r="K1226"/>
  <c r="K1227"/>
  <c r="K1228"/>
  <c r="R1228" s="1"/>
  <c r="K1229"/>
  <c r="R1229" s="1"/>
  <c r="K1230"/>
  <c r="R1230" s="1"/>
  <c r="K1231"/>
  <c r="R1231" s="1"/>
  <c r="K1232"/>
  <c r="R1232" s="1"/>
  <c r="K1233"/>
  <c r="R1233" s="1"/>
  <c r="K1234"/>
  <c r="R1234" s="1"/>
  <c r="K1235"/>
  <c r="R1235" s="1"/>
  <c r="K1236"/>
  <c r="R1236" s="1"/>
  <c r="K1237"/>
  <c r="R1237" s="1"/>
  <c r="K1238"/>
  <c r="R1238" s="1"/>
  <c r="K1239"/>
  <c r="R1239" s="1"/>
  <c r="K1240"/>
  <c r="R1240" s="1"/>
  <c r="K1241"/>
  <c r="R1241" s="1"/>
  <c r="K1242"/>
  <c r="R1242" s="1"/>
  <c r="K1243"/>
  <c r="R1243" s="1"/>
  <c r="K1244"/>
  <c r="R1244" s="1"/>
  <c r="K1245"/>
  <c r="R1245" s="1"/>
  <c r="K1246"/>
  <c r="R1246" s="1"/>
  <c r="K1247"/>
  <c r="R1247" s="1"/>
  <c r="K1248"/>
  <c r="R1248" s="1"/>
  <c r="K1249"/>
  <c r="R1249" s="1"/>
  <c r="K1250"/>
  <c r="R1250" s="1"/>
  <c r="K1251"/>
  <c r="R1251" s="1"/>
  <c r="K1252"/>
  <c r="R1252" s="1"/>
  <c r="K1253"/>
  <c r="R1253" s="1"/>
  <c r="K1254"/>
  <c r="R1254" s="1"/>
  <c r="K1255"/>
  <c r="R1255" s="1"/>
  <c r="K1256"/>
  <c r="R1256" s="1"/>
  <c r="K1257"/>
  <c r="R1257" s="1"/>
  <c r="K1258"/>
  <c r="R1258" s="1"/>
  <c r="K1259"/>
  <c r="R1259" s="1"/>
  <c r="K1260"/>
  <c r="R1260" s="1"/>
  <c r="K1261"/>
  <c r="R1261" s="1"/>
  <c r="K1262"/>
  <c r="R1262" s="1"/>
  <c r="K1263"/>
  <c r="R1263" s="1"/>
  <c r="K1264"/>
  <c r="K1265"/>
  <c r="K1266"/>
  <c r="R1266" s="1"/>
  <c r="K1267"/>
  <c r="R1267" s="1"/>
  <c r="K1268"/>
  <c r="R1268" s="1"/>
  <c r="K1269"/>
  <c r="R1269" s="1"/>
  <c r="K1270"/>
  <c r="R1270" s="1"/>
  <c r="K1271"/>
  <c r="R1271" s="1"/>
  <c r="K1272"/>
  <c r="R1272" s="1"/>
  <c r="K1273"/>
  <c r="R1273" s="1"/>
  <c r="K1274"/>
  <c r="R1274" s="1"/>
  <c r="K1275"/>
  <c r="R1275" s="1"/>
  <c r="K1276"/>
  <c r="R1276" s="1"/>
  <c r="K1277"/>
  <c r="R1277" s="1"/>
  <c r="K1278"/>
  <c r="R1278" s="1"/>
  <c r="K1279"/>
  <c r="R1279" s="1"/>
  <c r="K1280"/>
  <c r="R1280" s="1"/>
  <c r="K1281"/>
  <c r="R1281" s="1"/>
  <c r="K1282"/>
  <c r="R1282" s="1"/>
  <c r="K1283"/>
  <c r="R1283" s="1"/>
  <c r="K1284"/>
  <c r="R1284" s="1"/>
  <c r="K1285"/>
  <c r="R1285" s="1"/>
  <c r="K1286"/>
  <c r="R1286" s="1"/>
  <c r="K1287"/>
  <c r="R1287" s="1"/>
  <c r="K1288"/>
  <c r="R1288" s="1"/>
  <c r="K1289"/>
  <c r="R1289" s="1"/>
  <c r="K1290"/>
  <c r="R1290" s="1"/>
  <c r="K1291"/>
  <c r="R1291" s="1"/>
  <c r="K1292"/>
  <c r="R1292" s="1"/>
  <c r="K1293"/>
  <c r="R1293" s="1"/>
  <c r="K1294"/>
  <c r="R1294" s="1"/>
  <c r="K1295"/>
  <c r="R1295" s="1"/>
  <c r="K1296"/>
  <c r="K1297"/>
  <c r="K1298"/>
  <c r="R1298" s="1"/>
  <c r="K1299"/>
  <c r="K1300"/>
  <c r="K1301"/>
  <c r="R1301" s="1"/>
  <c r="K1302"/>
  <c r="R1302" s="1"/>
  <c r="K1303"/>
  <c r="K1304"/>
  <c r="R1304" s="1"/>
  <c r="K1305"/>
  <c r="K1306"/>
  <c r="R1306" s="1"/>
  <c r="K1307"/>
  <c r="K1308"/>
  <c r="R1308" s="1"/>
  <c r="K1309"/>
  <c r="K1310"/>
  <c r="R1310" s="1"/>
  <c r="K1311"/>
  <c r="R1311" s="1"/>
  <c r="K1312"/>
  <c r="K1313"/>
  <c r="R1313" s="1"/>
  <c r="K1314"/>
  <c r="R1314" s="1"/>
  <c r="K1315"/>
  <c r="R1315" s="1"/>
  <c r="K1316"/>
  <c r="R1316" s="1"/>
  <c r="K1317"/>
  <c r="R1317" s="1"/>
  <c r="K1318"/>
  <c r="R1318" s="1"/>
  <c r="K1319"/>
  <c r="K1320"/>
  <c r="R1320" s="1"/>
  <c r="K1321"/>
  <c r="R1321" s="1"/>
  <c r="K1322"/>
  <c r="K1323"/>
  <c r="R1323" s="1"/>
  <c r="K1324"/>
  <c r="K1325"/>
  <c r="R1325" s="1"/>
  <c r="K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1426"/>
  <c r="I1427"/>
  <c r="I1428"/>
  <c r="I1429"/>
  <c r="I1430"/>
  <c r="I1431"/>
  <c r="I1432"/>
  <c r="I1433"/>
  <c r="I1434"/>
  <c r="I1435"/>
  <c r="I1436"/>
  <c r="I1437"/>
  <c r="I1438"/>
  <c r="I1439"/>
  <c r="I1440"/>
  <c r="I1441"/>
  <c r="I1442"/>
  <c r="I1443"/>
  <c r="I1444"/>
  <c r="I1445"/>
  <c r="I1446"/>
  <c r="I1447"/>
  <c r="I1448"/>
  <c r="I1449"/>
  <c r="I1450"/>
  <c r="I1451"/>
  <c r="I1452"/>
  <c r="I1453"/>
  <c r="I1454"/>
  <c r="I1455"/>
  <c r="I1456"/>
  <c r="I1457"/>
  <c r="I1458"/>
  <c r="I1459"/>
  <c r="I1460"/>
  <c r="I1461"/>
  <c r="I1462"/>
  <c r="I1463"/>
  <c r="I1464"/>
  <c r="I1465"/>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1426"/>
  <c r="G1427"/>
  <c r="G1428"/>
  <c r="G1429"/>
  <c r="G1430"/>
  <c r="G1431"/>
  <c r="G1432"/>
  <c r="G1433"/>
  <c r="G1434"/>
  <c r="G1435"/>
  <c r="G1436"/>
  <c r="G1437"/>
  <c r="G1438"/>
  <c r="G1439"/>
  <c r="G1440"/>
  <c r="G1441"/>
  <c r="G1442"/>
  <c r="G1443"/>
  <c r="G1444"/>
  <c r="G1445"/>
  <c r="G1446"/>
  <c r="G1447"/>
  <c r="G1448"/>
  <c r="G1449"/>
  <c r="G1450"/>
  <c r="G1451"/>
  <c r="G1452"/>
  <c r="G1453"/>
  <c r="G1454"/>
  <c r="G1455"/>
  <c r="G1456"/>
  <c r="G1457"/>
  <c r="G1458"/>
  <c r="G1459"/>
  <c r="G1460"/>
  <c r="G1461"/>
  <c r="G1462"/>
  <c r="G1463"/>
  <c r="G1464"/>
  <c r="G1465"/>
  <c r="I3050" i="68"/>
  <c r="I3049"/>
  <c r="I3048"/>
  <c r="I3040"/>
  <c r="I3039"/>
  <c r="I3038"/>
  <c r="I3036"/>
  <c r="I3035"/>
  <c r="I3034"/>
  <c r="I3033"/>
  <c r="I3020"/>
  <c r="I3019"/>
  <c r="I3018"/>
  <c r="I3017"/>
  <c r="I3016"/>
  <c r="I3015"/>
  <c r="I3014"/>
  <c r="I3013"/>
  <c r="I3012"/>
  <c r="I3011"/>
  <c r="I3010"/>
  <c r="I3009"/>
  <c r="I3008"/>
  <c r="I3007"/>
  <c r="I3006"/>
  <c r="I3005"/>
  <c r="I3004"/>
  <c r="I3003"/>
  <c r="I3002"/>
  <c r="I3001"/>
  <c r="I3000"/>
  <c r="I2999"/>
  <c r="I2998"/>
  <c r="I2997"/>
  <c r="I2996"/>
  <c r="I2995"/>
  <c r="I2994"/>
  <c r="I2993"/>
  <c r="I2992"/>
  <c r="I2991"/>
  <c r="I2990"/>
  <c r="I2989"/>
  <c r="I2988"/>
  <c r="I2987"/>
  <c r="I2986"/>
  <c r="I2985"/>
  <c r="I2984"/>
  <c r="I2983"/>
  <c r="I2982"/>
  <c r="I2981"/>
  <c r="I2980"/>
  <c r="I2978"/>
  <c r="I2977"/>
  <c r="I2976"/>
  <c r="I2925"/>
  <c r="F453" i="69" s="1"/>
  <c r="I2913" i="68"/>
  <c r="I2912"/>
  <c r="I2911"/>
  <c r="I2910"/>
  <c r="I2909"/>
  <c r="I2908"/>
  <c r="I2907"/>
  <c r="I2906"/>
  <c r="I2905"/>
  <c r="I2904"/>
  <c r="I2903"/>
  <c r="I2902"/>
  <c r="I2901"/>
  <c r="I2900"/>
  <c r="I2898"/>
  <c r="I2897"/>
  <c r="I2896"/>
  <c r="I2895"/>
  <c r="I2894"/>
  <c r="I2893"/>
  <c r="I2892"/>
  <c r="I2891"/>
  <c r="I2890"/>
  <c r="I2889"/>
  <c r="I2888"/>
  <c r="I2887"/>
  <c r="I2886"/>
  <c r="I2885"/>
  <c r="I2884"/>
  <c r="I2882"/>
  <c r="I2881"/>
  <c r="I2880"/>
  <c r="I2879"/>
  <c r="I2878"/>
  <c r="I2877"/>
  <c r="I2876"/>
  <c r="I2875"/>
  <c r="I2874"/>
  <c r="I2873"/>
  <c r="I2872"/>
  <c r="I2871"/>
  <c r="I2870"/>
  <c r="I2869"/>
  <c r="I2868"/>
  <c r="I2867"/>
  <c r="I2866"/>
  <c r="I2865"/>
  <c r="I2864"/>
  <c r="I2863"/>
  <c r="I2861"/>
  <c r="I2860"/>
  <c r="I2859"/>
  <c r="I2858"/>
  <c r="I2857"/>
  <c r="I2856"/>
  <c r="I2851"/>
  <c r="I2850"/>
  <c r="I2849"/>
  <c r="I2848"/>
  <c r="I2847"/>
  <c r="I2846"/>
  <c r="I2845"/>
  <c r="I2844"/>
  <c r="I2843"/>
  <c r="I2842"/>
  <c r="I2841"/>
  <c r="I2840"/>
  <c r="I2839"/>
  <c r="I2838"/>
  <c r="I2836"/>
  <c r="I2835"/>
  <c r="I2834"/>
  <c r="I2833"/>
  <c r="I2832"/>
  <c r="I2831"/>
  <c r="I2830"/>
  <c r="I2829"/>
  <c r="I2828"/>
  <c r="I2827"/>
  <c r="I2826"/>
  <c r="I2825"/>
  <c r="I2824"/>
  <c r="I2823"/>
  <c r="I2822"/>
  <c r="I2820"/>
  <c r="I2819"/>
  <c r="I2818"/>
  <c r="I2817"/>
  <c r="I2816"/>
  <c r="I2815"/>
  <c r="I2814"/>
  <c r="I2813"/>
  <c r="I2812"/>
  <c r="I2811"/>
  <c r="I2810"/>
  <c r="I2809"/>
  <c r="I2808"/>
  <c r="I2807"/>
  <c r="I2806"/>
  <c r="I2805"/>
  <c r="I2804"/>
  <c r="I2803"/>
  <c r="I2802"/>
  <c r="I2801"/>
  <c r="I2799"/>
  <c r="I2798"/>
  <c r="I2797"/>
  <c r="I2796"/>
  <c r="I2795"/>
  <c r="I2794"/>
  <c r="I2782"/>
  <c r="I2781"/>
  <c r="I2753"/>
  <c r="I2751"/>
  <c r="I2750"/>
  <c r="I2749"/>
  <c r="I2748"/>
  <c r="I2740"/>
  <c r="I2738"/>
  <c r="I2736"/>
  <c r="I2735"/>
  <c r="I2733"/>
  <c r="I2731"/>
  <c r="I2729"/>
  <c r="I2727"/>
  <c r="I2726"/>
  <c r="I2724"/>
  <c r="I2722"/>
  <c r="I2721"/>
  <c r="I2719"/>
  <c r="I2718"/>
  <c r="I2710"/>
  <c r="I2709"/>
  <c r="I2708"/>
  <c r="I2707"/>
  <c r="I2706"/>
  <c r="I2682"/>
  <c r="I2681"/>
  <c r="I2680"/>
  <c r="I2679"/>
  <c r="I2678"/>
  <c r="I2672"/>
  <c r="I2670"/>
  <c r="I2668"/>
  <c r="I2666"/>
  <c r="I2664"/>
  <c r="I2662"/>
  <c r="I2660"/>
  <c r="I2658"/>
  <c r="I2656"/>
  <c r="I2654"/>
  <c r="I2652"/>
  <c r="I2650"/>
  <c r="I2649"/>
  <c r="I2647"/>
  <c r="I2645"/>
  <c r="I2643"/>
  <c r="I2641"/>
  <c r="I2639"/>
  <c r="I2637"/>
  <c r="I2635"/>
  <c r="I2633"/>
  <c r="I2631"/>
  <c r="I2629"/>
  <c r="I2628"/>
  <c r="I2626"/>
  <c r="I2624"/>
  <c r="I2622"/>
  <c r="I2620"/>
  <c r="I2618"/>
  <c r="I2616"/>
  <c r="I2614"/>
  <c r="I2612"/>
  <c r="I2610"/>
  <c r="I2608"/>
  <c r="I2606"/>
  <c r="I2604"/>
  <c r="I2603"/>
  <c r="I2601"/>
  <c r="I2599"/>
  <c r="I2597"/>
  <c r="I2595"/>
  <c r="I2594"/>
  <c r="I2592"/>
  <c r="I2590"/>
  <c r="I2588"/>
  <c r="I2586"/>
  <c r="I2584"/>
  <c r="I2548"/>
  <c r="I2547"/>
  <c r="I2546"/>
  <c r="I2545"/>
  <c r="I2544"/>
  <c r="I2539"/>
  <c r="I2538"/>
  <c r="I2537"/>
  <c r="I2536"/>
  <c r="I2535"/>
  <c r="I2534"/>
  <c r="I2533"/>
  <c r="I2532"/>
  <c r="I2531"/>
  <c r="I2530"/>
  <c r="I2529"/>
  <c r="I2528"/>
  <c r="I2527"/>
  <c r="I2526"/>
  <c r="I2525"/>
  <c r="I2524"/>
  <c r="I2523"/>
  <c r="I2522"/>
  <c r="I2521"/>
  <c r="I2520"/>
  <c r="I2519"/>
  <c r="I2518"/>
  <c r="I2517"/>
  <c r="I2516"/>
  <c r="I2515"/>
  <c r="I2514"/>
  <c r="I2513"/>
  <c r="I2512"/>
  <c r="I2511"/>
  <c r="I2510"/>
  <c r="I2509"/>
  <c r="I2508"/>
  <c r="I2507"/>
  <c r="I2506"/>
  <c r="I2505"/>
  <c r="I2504"/>
  <c r="I2503"/>
  <c r="I2502"/>
  <c r="I2501"/>
  <c r="I2500"/>
  <c r="I2499"/>
  <c r="I2498"/>
  <c r="I2497"/>
  <c r="I2496"/>
  <c r="I2494"/>
  <c r="I2493"/>
  <c r="I2492"/>
  <c r="I2491"/>
  <c r="I2490"/>
  <c r="I2468"/>
  <c r="I2467"/>
  <c r="I2464"/>
  <c r="I2458"/>
  <c r="I2457"/>
  <c r="I2456"/>
  <c r="I2455"/>
  <c r="I2454"/>
  <c r="I2450"/>
  <c r="I2449"/>
  <c r="I2448"/>
  <c r="I2447"/>
  <c r="I2446"/>
  <c r="I2435"/>
  <c r="I2426"/>
  <c r="I2425"/>
  <c r="I2424"/>
  <c r="I2423"/>
  <c r="I2422"/>
  <c r="I2421"/>
  <c r="I2420"/>
  <c r="I2419"/>
  <c r="I2418"/>
  <c r="I2417"/>
  <c r="I2416"/>
  <c r="I2415"/>
  <c r="I2414"/>
  <c r="I2413"/>
  <c r="I2412"/>
  <c r="I2411"/>
  <c r="I2410"/>
  <c r="I2409"/>
  <c r="I2408"/>
  <c r="I2407"/>
  <c r="I2406"/>
  <c r="I2405"/>
  <c r="I2404"/>
  <c r="I2403"/>
  <c r="I2402"/>
  <c r="I2401"/>
  <c r="I2400"/>
  <c r="I2399"/>
  <c r="I2398"/>
  <c r="I2397"/>
  <c r="I2396"/>
  <c r="I2395"/>
  <c r="I2394"/>
  <c r="I2393"/>
  <c r="I2392"/>
  <c r="I2391"/>
  <c r="I2390"/>
  <c r="I2389"/>
  <c r="I2388"/>
  <c r="I2382"/>
  <c r="I2381"/>
  <c r="I2380"/>
  <c r="I2379"/>
  <c r="I2378"/>
  <c r="I2377"/>
  <c r="I2376"/>
  <c r="I2375"/>
  <c r="I2374"/>
  <c r="I2373"/>
  <c r="I2372"/>
  <c r="I2371"/>
  <c r="I2370"/>
  <c r="I2369"/>
  <c r="I2368"/>
  <c r="I2367"/>
  <c r="I2366"/>
  <c r="I2365"/>
  <c r="I2364"/>
  <c r="I2363"/>
  <c r="I2362"/>
  <c r="I2361"/>
  <c r="I2360"/>
  <c r="I2359"/>
  <c r="I2358"/>
  <c r="I2357"/>
  <c r="I2356"/>
  <c r="I2355"/>
  <c r="I2354"/>
  <c r="I2353"/>
  <c r="I2352"/>
  <c r="I2351"/>
  <c r="I2350"/>
  <c r="I2349"/>
  <c r="I2348"/>
  <c r="I2347"/>
  <c r="I2346"/>
  <c r="I2345"/>
  <c r="I2344"/>
  <c r="I2343"/>
  <c r="I2342"/>
  <c r="I2341"/>
  <c r="I2340"/>
  <c r="I2339"/>
  <c r="I2338"/>
  <c r="I2337"/>
  <c r="I2336"/>
  <c r="I2335"/>
  <c r="I2334"/>
  <c r="I2333"/>
  <c r="I2332"/>
  <c r="I2331"/>
  <c r="I2330"/>
  <c r="I2329"/>
  <c r="I2328"/>
  <c r="I2327"/>
  <c r="I2326"/>
  <c r="I2325"/>
  <c r="I2324"/>
  <c r="I2323"/>
  <c r="I2322"/>
  <c r="I2321"/>
  <c r="I2320"/>
  <c r="I2319"/>
  <c r="I2318"/>
  <c r="I2317"/>
  <c r="I2316"/>
  <c r="I2315"/>
  <c r="I2314"/>
  <c r="I2313"/>
  <c r="I2312"/>
  <c r="I2311"/>
  <c r="I2310"/>
  <c r="I2309"/>
  <c r="I2308"/>
  <c r="I2307"/>
  <c r="I2306"/>
  <c r="I2305"/>
  <c r="I2304"/>
  <c r="I2303"/>
  <c r="I2302"/>
  <c r="I2301"/>
  <c r="I2300"/>
  <c r="I2299"/>
  <c r="I2298"/>
  <c r="I2297"/>
  <c r="I2286"/>
  <c r="I2285"/>
  <c r="I2284"/>
  <c r="I2283"/>
  <c r="I2282"/>
  <c r="I2281"/>
  <c r="I2280"/>
  <c r="I2279"/>
  <c r="I2278"/>
  <c r="I2277"/>
  <c r="I2275"/>
  <c r="I2274"/>
  <c r="I2273"/>
  <c r="I2272"/>
  <c r="I2271"/>
  <c r="I2270"/>
  <c r="I2269"/>
  <c r="I2268"/>
  <c r="I2267"/>
  <c r="I2265"/>
  <c r="I2264"/>
  <c r="I2263"/>
  <c r="I2262"/>
  <c r="I2261"/>
  <c r="I2259"/>
  <c r="I2234"/>
  <c r="I2233"/>
  <c r="I2232"/>
  <c r="I2231"/>
  <c r="I2230"/>
  <c r="I2229"/>
  <c r="I2228"/>
  <c r="I2227"/>
  <c r="I2226"/>
  <c r="I2225"/>
  <c r="I2224"/>
  <c r="I2223"/>
  <c r="I2222"/>
  <c r="I2221"/>
  <c r="I2220"/>
  <c r="I2219"/>
  <c r="I2218"/>
  <c r="I2216"/>
  <c r="I2215"/>
  <c r="I2214"/>
  <c r="I2213"/>
  <c r="I2212"/>
  <c r="I2211"/>
  <c r="I2210"/>
  <c r="I2209"/>
  <c r="I2208"/>
  <c r="I2207"/>
  <c r="I2206"/>
  <c r="I2205"/>
  <c r="I2204"/>
  <c r="I2203"/>
  <c r="I2202"/>
  <c r="I2201"/>
  <c r="I2200"/>
  <c r="I2198"/>
  <c r="I2197"/>
  <c r="I2196"/>
  <c r="I2195"/>
  <c r="I2194"/>
  <c r="I2193"/>
  <c r="I2192"/>
  <c r="I2191"/>
  <c r="I2189"/>
  <c r="I2188"/>
  <c r="I2187"/>
  <c r="I2186"/>
  <c r="I2185"/>
  <c r="I2184"/>
  <c r="I2183"/>
  <c r="I2178"/>
  <c r="I2176"/>
  <c r="I2175"/>
  <c r="I2173"/>
  <c r="I2172"/>
  <c r="I2170"/>
  <c r="I2169"/>
  <c r="I2168"/>
  <c r="I2166"/>
  <c r="I2165"/>
  <c r="I2164"/>
  <c r="I2163"/>
  <c r="I2161"/>
  <c r="I2160"/>
  <c r="I2159"/>
  <c r="I2158"/>
  <c r="I2156"/>
  <c r="I2155"/>
  <c r="I2154"/>
  <c r="I2153"/>
  <c r="I2152"/>
  <c r="I2151"/>
  <c r="I2150"/>
  <c r="I2149"/>
  <c r="I2148"/>
  <c r="I2147"/>
  <c r="I2146"/>
  <c r="I2145"/>
  <c r="I2144"/>
  <c r="I2143"/>
  <c r="I2141"/>
  <c r="I2140"/>
  <c r="I2139"/>
  <c r="I2138"/>
  <c r="I2137"/>
  <c r="I2136"/>
  <c r="I2135"/>
  <c r="I2134"/>
  <c r="I2133"/>
  <c r="I2132"/>
  <c r="I2131"/>
  <c r="I2130"/>
  <c r="I2129"/>
  <c r="I2128"/>
  <c r="I2127"/>
  <c r="I2126"/>
  <c r="I2125"/>
  <c r="I2124"/>
  <c r="I2123"/>
  <c r="I2121"/>
  <c r="I2120"/>
  <c r="I2119"/>
  <c r="I2118"/>
  <c r="I2117"/>
  <c r="I2116"/>
  <c r="I2115"/>
  <c r="I2114"/>
  <c r="I2113"/>
  <c r="I2112"/>
  <c r="I2110"/>
  <c r="I2109"/>
  <c r="I2108"/>
  <c r="I2107"/>
  <c r="I2106"/>
  <c r="I2105"/>
  <c r="I2104"/>
  <c r="I2103"/>
  <c r="I2102"/>
  <c r="I2101"/>
  <c r="I2100"/>
  <c r="I2099"/>
  <c r="I2098"/>
  <c r="I2097"/>
  <c r="I2096"/>
  <c r="I2095"/>
  <c r="I2094"/>
  <c r="I2093"/>
  <c r="I2092"/>
  <c r="I2090"/>
  <c r="I2087"/>
  <c r="I2086"/>
  <c r="I2085"/>
  <c r="I2084"/>
  <c r="I2083"/>
  <c r="I2082"/>
  <c r="I2081"/>
  <c r="I2080"/>
  <c r="I2079"/>
  <c r="I2078"/>
  <c r="I2077"/>
  <c r="I2076"/>
  <c r="I2075"/>
  <c r="I2074"/>
  <c r="I2073"/>
  <c r="I2072"/>
  <c r="I2071"/>
  <c r="I2070"/>
  <c r="I2069"/>
  <c r="I2068"/>
  <c r="I2066"/>
  <c r="I2065"/>
  <c r="I2064"/>
  <c r="I2063"/>
  <c r="I2060"/>
  <c r="I2057"/>
  <c r="I2055"/>
  <c r="I2054"/>
  <c r="I2053"/>
  <c r="I2052"/>
  <c r="I2051"/>
  <c r="I2050"/>
  <c r="I2049"/>
  <c r="I2048"/>
  <c r="I2047"/>
  <c r="I2046"/>
  <c r="I2045"/>
  <c r="I2044"/>
  <c r="I2043"/>
  <c r="I2042"/>
  <c r="I2041"/>
  <c r="I2040"/>
  <c r="I2039"/>
  <c r="I2038"/>
  <c r="I2037"/>
  <c r="I2036"/>
  <c r="I2035"/>
  <c r="I2033"/>
  <c r="I2032"/>
  <c r="I2031"/>
  <c r="I2030"/>
  <c r="I2027"/>
  <c r="I2024"/>
  <c r="I2021"/>
  <c r="I2020"/>
  <c r="I2019"/>
  <c r="I2018"/>
  <c r="I2017"/>
  <c r="I2015"/>
  <c r="I2014"/>
  <c r="I2013"/>
  <c r="I2012"/>
  <c r="I2011"/>
  <c r="I2010"/>
  <c r="I2009"/>
  <c r="I2007"/>
  <c r="I2006"/>
  <c r="I2004"/>
  <c r="I2003"/>
  <c r="I2002"/>
  <c r="I2001"/>
  <c r="I1998"/>
  <c r="I1995"/>
  <c r="I1994"/>
  <c r="I1993"/>
  <c r="I1992"/>
  <c r="I1991"/>
  <c r="I1990"/>
  <c r="I1989"/>
  <c r="I1988"/>
  <c r="I1987"/>
  <c r="I1985"/>
  <c r="I1984"/>
  <c r="I1983"/>
  <c r="I1981"/>
  <c r="I1980"/>
  <c r="I1979"/>
  <c r="I1978"/>
  <c r="I1976"/>
  <c r="I1975"/>
  <c r="I1974"/>
  <c r="I1973"/>
  <c r="I1970"/>
  <c r="I1967"/>
  <c r="I1966"/>
  <c r="I1965"/>
  <c r="I1964"/>
  <c r="I1963"/>
  <c r="I1962"/>
  <c r="I1961"/>
  <c r="I1960"/>
  <c r="I1959"/>
  <c r="I1958"/>
  <c r="I1957"/>
  <c r="I1956"/>
  <c r="I1955"/>
  <c r="I1954"/>
  <c r="I1953"/>
  <c r="I1952"/>
  <c r="I1950"/>
  <c r="I1949"/>
  <c r="I1948"/>
  <c r="I1947"/>
  <c r="I1946"/>
  <c r="I1944"/>
  <c r="I1943"/>
  <c r="I1942"/>
  <c r="I1941"/>
  <c r="I1938"/>
  <c r="I1929"/>
  <c r="I1928"/>
  <c r="I1918"/>
  <c r="I1917"/>
  <c r="I1915"/>
  <c r="I1914"/>
  <c r="I1913"/>
  <c r="I1912"/>
  <c r="I1909"/>
  <c r="I1870"/>
  <c r="I1869"/>
  <c r="I1868"/>
  <c r="I1867"/>
  <c r="I1866"/>
  <c r="I1865"/>
  <c r="I1864"/>
  <c r="I1863"/>
  <c r="I1862"/>
  <c r="I1861"/>
  <c r="I1860"/>
  <c r="I1859"/>
  <c r="I1857"/>
  <c r="I1856"/>
  <c r="I1855"/>
  <c r="I1854"/>
  <c r="I1853"/>
  <c r="I1852"/>
  <c r="I1851"/>
  <c r="I1850"/>
  <c r="I1849"/>
  <c r="I1848"/>
  <c r="I1847"/>
  <c r="I1846"/>
  <c r="I1845"/>
  <c r="I1843"/>
  <c r="I1842"/>
  <c r="I1841"/>
  <c r="I1840"/>
  <c r="I1839"/>
  <c r="I1838"/>
  <c r="I1837"/>
  <c r="I1836"/>
  <c r="I1835"/>
  <c r="I1834"/>
  <c r="I1833"/>
  <c r="I1832"/>
  <c r="I1831"/>
  <c r="I1830"/>
  <c r="I1829"/>
  <c r="I1828"/>
  <c r="I1827"/>
  <c r="I1825"/>
  <c r="I1824"/>
  <c r="I1823"/>
  <c r="I1822"/>
  <c r="I1821"/>
  <c r="I1814"/>
  <c r="I1813"/>
  <c r="I1812"/>
  <c r="I1811"/>
  <c r="I1810"/>
  <c r="I1809"/>
  <c r="I1808"/>
  <c r="I1807"/>
  <c r="I1806"/>
  <c r="I1805"/>
  <c r="I1804"/>
  <c r="I1803"/>
  <c r="I1801"/>
  <c r="I1800"/>
  <c r="I1799"/>
  <c r="I1798"/>
  <c r="I1797"/>
  <c r="I1796"/>
  <c r="I1795"/>
  <c r="I1794"/>
  <c r="I1793"/>
  <c r="I1792"/>
  <c r="I1791"/>
  <c r="I1790"/>
  <c r="I1789"/>
  <c r="I1787"/>
  <c r="I1786"/>
  <c r="I1785"/>
  <c r="I1784"/>
  <c r="I1783"/>
  <c r="I1782"/>
  <c r="I1781"/>
  <c r="I1780"/>
  <c r="I1779"/>
  <c r="I1778"/>
  <c r="I1777"/>
  <c r="I1776"/>
  <c r="I1775"/>
  <c r="I1774"/>
  <c r="I1773"/>
  <c r="I1772"/>
  <c r="I1771"/>
  <c r="I1769"/>
  <c r="I1768"/>
  <c r="I1767"/>
  <c r="I1766"/>
  <c r="I1765"/>
  <c r="I1760"/>
  <c r="I1759"/>
  <c r="I1758"/>
  <c r="I1757"/>
  <c r="I1756"/>
  <c r="I1755"/>
  <c r="I1754"/>
  <c r="I1753"/>
  <c r="I1752"/>
  <c r="I1751"/>
  <c r="I1750"/>
  <c r="I1749"/>
  <c r="I1747"/>
  <c r="I1746"/>
  <c r="I1745"/>
  <c r="I1744"/>
  <c r="I1743"/>
  <c r="I1742"/>
  <c r="I1741"/>
  <c r="I1740"/>
  <c r="I1739"/>
  <c r="I1738"/>
  <c r="I1737"/>
  <c r="I1736"/>
  <c r="I1735"/>
  <c r="I1733"/>
  <c r="I1732"/>
  <c r="I1731"/>
  <c r="I1730"/>
  <c r="I1729"/>
  <c r="I1728"/>
  <c r="I1727"/>
  <c r="I1726"/>
  <c r="I1725"/>
  <c r="I1724"/>
  <c r="I1723"/>
  <c r="I1722"/>
  <c r="I1721"/>
  <c r="I1720"/>
  <c r="I1719"/>
  <c r="I1718"/>
  <c r="I1717"/>
  <c r="I1715"/>
  <c r="I1714"/>
  <c r="I1713"/>
  <c r="I1712"/>
  <c r="I1711"/>
  <c r="I1706"/>
  <c r="I1705"/>
  <c r="I1704"/>
  <c r="I1703"/>
  <c r="I1702"/>
  <c r="I1701"/>
  <c r="I1700"/>
  <c r="I1699"/>
  <c r="I1698"/>
  <c r="I1697"/>
  <c r="I1696"/>
  <c r="I1695"/>
  <c r="I1694"/>
  <c r="I1693"/>
  <c r="I1692"/>
  <c r="I1691"/>
  <c r="I1690"/>
  <c r="I1689"/>
  <c r="I1688"/>
  <c r="I1687"/>
  <c r="I1686"/>
  <c r="I1685"/>
  <c r="I1684"/>
  <c r="I1683"/>
  <c r="I1682"/>
  <c r="I1681"/>
  <c r="I1680"/>
  <c r="I1679"/>
  <c r="I1678"/>
  <c r="I1677"/>
  <c r="I1676"/>
  <c r="I1675"/>
  <c r="I1674"/>
  <c r="I1673"/>
  <c r="I1672"/>
  <c r="I1671"/>
  <c r="I1670"/>
  <c r="I1669"/>
  <c r="I1668"/>
  <c r="I1667"/>
  <c r="I1666"/>
  <c r="I1665"/>
  <c r="I1664"/>
  <c r="I1663"/>
  <c r="I1662"/>
  <c r="I1661"/>
  <c r="I1660"/>
  <c r="I1659"/>
  <c r="I1658"/>
  <c r="I1657"/>
  <c r="I1656"/>
  <c r="I1655"/>
  <c r="I1654"/>
  <c r="I1649"/>
  <c r="I1648"/>
  <c r="I1647"/>
  <c r="I1646"/>
  <c r="I1645"/>
  <c r="I1644"/>
  <c r="I1643"/>
  <c r="I1642"/>
  <c r="I1641"/>
  <c r="I1640"/>
  <c r="I1639"/>
  <c r="I1638"/>
  <c r="I1637"/>
  <c r="I1636"/>
  <c r="I1634"/>
  <c r="I1633"/>
  <c r="I1632"/>
  <c r="I1631"/>
  <c r="I1630"/>
  <c r="I1629"/>
  <c r="I1628"/>
  <c r="I1627"/>
  <c r="I1626"/>
  <c r="I1625"/>
  <c r="I1624"/>
  <c r="I1623"/>
  <c r="I1622"/>
  <c r="I1621"/>
  <c r="I1620"/>
  <c r="I1618"/>
  <c r="I1617"/>
  <c r="I1616"/>
  <c r="I1615"/>
  <c r="I1614"/>
  <c r="I1613"/>
  <c r="I1612"/>
  <c r="I1611"/>
  <c r="I1610"/>
  <c r="I1609"/>
  <c r="I1608"/>
  <c r="I1607"/>
  <c r="I1606"/>
  <c r="I1605"/>
  <c r="I1604"/>
  <c r="I1603"/>
  <c r="I1602"/>
  <c r="I1601"/>
  <c r="I1600"/>
  <c r="I1599"/>
  <c r="I1597"/>
  <c r="I1596"/>
  <c r="I1595"/>
  <c r="I1594"/>
  <c r="I1593"/>
  <c r="I1592"/>
  <c r="I1587"/>
  <c r="I1586"/>
  <c r="I1585"/>
  <c r="I1584"/>
  <c r="I1583"/>
  <c r="I1582"/>
  <c r="I1581"/>
  <c r="I1580"/>
  <c r="I1579"/>
  <c r="I1578"/>
  <c r="I1577"/>
  <c r="I1576"/>
  <c r="I1575"/>
  <c r="I1574"/>
  <c r="I1572"/>
  <c r="I1571"/>
  <c r="I1570"/>
  <c r="I1569"/>
  <c r="I1568"/>
  <c r="I1567"/>
  <c r="I1566"/>
  <c r="I1565"/>
  <c r="I1564"/>
  <c r="I1563"/>
  <c r="I1562"/>
  <c r="I1561"/>
  <c r="I1560"/>
  <c r="I1559"/>
  <c r="I1558"/>
  <c r="I1556"/>
  <c r="I1555"/>
  <c r="I1554"/>
  <c r="I1553"/>
  <c r="I1552"/>
  <c r="I1551"/>
  <c r="I1550"/>
  <c r="I1549"/>
  <c r="I1548"/>
  <c r="I1547"/>
  <c r="I1546"/>
  <c r="I1545"/>
  <c r="I1544"/>
  <c r="I1543"/>
  <c r="I1542"/>
  <c r="I1541"/>
  <c r="I1540"/>
  <c r="I1539"/>
  <c r="I1538"/>
  <c r="I1537"/>
  <c r="I1535"/>
  <c r="I1534"/>
  <c r="I1533"/>
  <c r="I1532"/>
  <c r="I1531"/>
  <c r="I1530"/>
  <c r="I1523"/>
  <c r="I1522"/>
  <c r="I1521"/>
  <c r="I1520"/>
  <c r="I1519"/>
  <c r="I1518"/>
  <c r="I1517"/>
  <c r="I1516"/>
  <c r="I1515"/>
  <c r="I1514"/>
  <c r="I1513"/>
  <c r="I1512"/>
  <c r="I1511"/>
  <c r="I1510"/>
  <c r="I1509"/>
  <c r="I1508"/>
  <c r="I1507"/>
  <c r="I1506"/>
  <c r="I1505"/>
  <c r="I1504"/>
  <c r="I1503"/>
  <c r="I1502"/>
  <c r="I1501"/>
  <c r="I1500"/>
  <c r="I1499"/>
  <c r="I1498"/>
  <c r="I1497"/>
  <c r="I1496"/>
  <c r="I1495"/>
  <c r="I1494"/>
  <c r="I1493"/>
  <c r="I1492"/>
  <c r="I1491"/>
  <c r="I1490"/>
  <c r="I1489"/>
  <c r="I1488"/>
  <c r="I1487"/>
  <c r="I1486"/>
  <c r="I1485"/>
  <c r="I1484"/>
  <c r="I1483"/>
  <c r="I1482"/>
  <c r="I1481"/>
  <c r="I1480"/>
  <c r="I1479"/>
  <c r="I1478"/>
  <c r="I1477"/>
  <c r="I1476"/>
  <c r="I1475"/>
  <c r="I1474"/>
  <c r="I1473"/>
  <c r="I1472"/>
  <c r="I1471"/>
  <c r="I1470"/>
  <c r="I1469"/>
  <c r="I1468"/>
  <c r="I1467"/>
  <c r="I1466"/>
  <c r="I1458"/>
  <c r="I1457"/>
  <c r="I1456"/>
  <c r="I1455"/>
  <c r="I1454"/>
  <c r="I1453"/>
  <c r="I1452"/>
  <c r="I1451"/>
  <c r="I1450"/>
  <c r="I1449"/>
  <c r="I1448"/>
  <c r="I1447"/>
  <c r="I1446"/>
  <c r="I1445"/>
  <c r="I1444"/>
  <c r="I1443"/>
  <c r="I1442"/>
  <c r="I1441"/>
  <c r="I1440"/>
  <c r="I1439"/>
  <c r="I1438"/>
  <c r="I1437"/>
  <c r="I1436"/>
  <c r="I1435"/>
  <c r="I1434"/>
  <c r="I1433"/>
  <c r="I1432"/>
  <c r="I1431"/>
  <c r="I1430"/>
  <c r="I1429"/>
  <c r="I1428"/>
  <c r="I1427"/>
  <c r="I1426"/>
  <c r="I1425"/>
  <c r="I1424"/>
  <c r="I1423"/>
  <c r="I1422"/>
  <c r="I1421"/>
  <c r="I1420"/>
  <c r="I1419"/>
  <c r="I1418"/>
  <c r="I1417"/>
  <c r="I1416"/>
  <c r="I1415"/>
  <c r="I1414"/>
  <c r="I1413"/>
  <c r="I1412"/>
  <c r="I1411"/>
  <c r="I1410"/>
  <c r="I1409"/>
  <c r="I1408"/>
  <c r="I1407"/>
  <c r="I1406"/>
  <c r="I1405"/>
  <c r="I1404"/>
  <c r="I1403"/>
  <c r="I1402"/>
  <c r="I1401"/>
  <c r="I1396"/>
  <c r="I1395"/>
  <c r="I1394"/>
  <c r="I1393"/>
  <c r="I1392"/>
  <c r="I1391"/>
  <c r="I1390"/>
  <c r="I1389"/>
  <c r="I1388"/>
  <c r="I1387"/>
  <c r="I1386"/>
  <c r="I1385"/>
  <c r="I1384"/>
  <c r="I1383"/>
  <c r="I1382"/>
  <c r="I1381"/>
  <c r="I1380"/>
  <c r="I1379"/>
  <c r="I1378"/>
  <c r="I1377"/>
  <c r="I1376"/>
  <c r="I1375"/>
  <c r="I1374"/>
  <c r="I1373"/>
  <c r="I1372"/>
  <c r="I1371"/>
  <c r="I1370"/>
  <c r="I1369"/>
  <c r="I1368"/>
  <c r="I1367"/>
  <c r="I1366"/>
  <c r="I1365"/>
  <c r="I1364"/>
  <c r="I1363"/>
  <c r="I1362"/>
  <c r="I1361"/>
  <c r="I1360"/>
  <c r="I1359"/>
  <c r="I1358"/>
  <c r="I1357"/>
  <c r="I1356"/>
  <c r="I1355"/>
  <c r="I1354"/>
  <c r="I1353"/>
  <c r="I1352"/>
  <c r="I1351"/>
  <c r="I1350"/>
  <c r="I1349"/>
  <c r="I1348"/>
  <c r="I1347"/>
  <c r="I1346"/>
  <c r="I1345"/>
  <c r="I1344"/>
  <c r="I1343"/>
  <c r="I1342"/>
  <c r="I1341"/>
  <c r="I1340"/>
  <c r="I1339"/>
  <c r="I1333"/>
  <c r="I1332"/>
  <c r="I1331"/>
  <c r="I1330"/>
  <c r="I1326"/>
  <c r="I1321"/>
  <c r="I1316"/>
  <c r="I1308"/>
  <c r="I1294"/>
  <c r="I1293"/>
  <c r="I1292"/>
  <c r="I1290"/>
  <c r="I1285"/>
  <c r="I1242"/>
  <c r="I1241"/>
  <c r="I1240"/>
  <c r="I1239"/>
  <c r="I1238"/>
  <c r="I1237"/>
  <c r="I1232"/>
  <c r="I1231"/>
  <c r="I1230"/>
  <c r="I1229"/>
  <c r="I1228"/>
  <c r="I1227"/>
  <c r="I1221"/>
  <c r="I1220"/>
  <c r="I1219"/>
  <c r="I1218"/>
  <c r="I1217"/>
  <c r="I1216"/>
  <c r="I1206"/>
  <c r="I1205"/>
  <c r="I1204"/>
  <c r="I1203"/>
  <c r="I1202"/>
  <c r="I1201"/>
  <c r="I1191"/>
  <c r="I1173"/>
  <c r="I1172"/>
  <c r="I1171"/>
  <c r="I1170"/>
  <c r="I1169"/>
  <c r="I1168"/>
  <c r="I1167"/>
  <c r="I1165"/>
  <c r="I1164"/>
  <c r="I1162"/>
  <c r="I1161"/>
  <c r="I1160"/>
  <c r="I1159"/>
  <c r="I1158"/>
  <c r="I1157"/>
  <c r="I1156"/>
  <c r="I1155"/>
  <c r="I1154"/>
  <c r="I1152"/>
  <c r="I1151"/>
  <c r="I1150"/>
  <c r="I1149"/>
  <c r="I1148"/>
  <c r="I1145"/>
  <c r="I1142"/>
  <c r="I1141"/>
  <c r="I1140"/>
  <c r="I1139"/>
  <c r="I1138"/>
  <c r="I1137"/>
  <c r="I1136"/>
  <c r="I1135"/>
  <c r="I1134"/>
  <c r="I1133"/>
  <c r="I1132"/>
  <c r="I1131"/>
  <c r="I1130"/>
  <c r="I1129"/>
  <c r="I1128"/>
  <c r="I1127"/>
  <c r="I1126"/>
  <c r="I1125"/>
  <c r="I1124"/>
  <c r="I1123"/>
  <c r="I1122"/>
  <c r="I1121"/>
  <c r="I1120"/>
  <c r="I1119"/>
  <c r="I1118"/>
  <c r="I1117"/>
  <c r="I1116"/>
  <c r="I1115"/>
  <c r="I1114"/>
  <c r="I1113"/>
  <c r="I1112"/>
  <c r="I1111"/>
  <c r="I1110"/>
  <c r="I1109"/>
  <c r="I1108"/>
  <c r="I1107"/>
  <c r="I1106"/>
  <c r="I1105"/>
  <c r="I1104"/>
  <c r="I1103"/>
  <c r="I1102"/>
  <c r="I1101"/>
  <c r="I1100"/>
  <c r="I1098"/>
  <c r="I1097"/>
  <c r="I1096"/>
  <c r="I1095"/>
  <c r="I1094"/>
  <c r="I1093"/>
  <c r="I1092"/>
  <c r="I1091"/>
  <c r="I1090"/>
  <c r="I1089"/>
  <c r="I1088"/>
  <c r="I1087"/>
  <c r="I1085"/>
  <c r="I1083"/>
  <c r="I1082"/>
  <c r="I1081"/>
  <c r="I1079"/>
  <c r="I1078"/>
  <c r="I1077"/>
  <c r="I1076"/>
  <c r="I1075"/>
  <c r="I1074"/>
  <c r="I1071"/>
  <c r="I1070"/>
  <c r="I1069"/>
  <c r="I1068"/>
  <c r="I1067"/>
  <c r="I1056"/>
  <c r="I1055"/>
  <c r="I1054"/>
  <c r="I1053"/>
  <c r="I1052"/>
  <c r="I1051"/>
  <c r="I1050"/>
  <c r="I1049"/>
  <c r="I1047"/>
  <c r="I1046"/>
  <c r="I1045"/>
  <c r="I1044"/>
  <c r="I1041"/>
  <c r="I1026"/>
  <c r="I1025"/>
  <c r="I1024"/>
  <c r="I1023"/>
  <c r="I1022"/>
  <c r="I1021"/>
  <c r="I1020"/>
  <c r="I1019"/>
  <c r="I1018"/>
  <c r="I1017"/>
  <c r="I1016"/>
  <c r="I1015"/>
  <c r="I1013"/>
  <c r="I1012"/>
  <c r="I1000"/>
  <c r="I985"/>
  <c r="I978"/>
  <c r="I974"/>
  <c r="I965"/>
  <c r="I964"/>
  <c r="I952"/>
  <c r="I951"/>
  <c r="I950"/>
  <c r="I948"/>
  <c r="I947"/>
  <c r="I946"/>
  <c r="I944"/>
  <c r="I943"/>
  <c r="I942"/>
  <c r="I932"/>
  <c r="I928"/>
  <c r="I927"/>
  <c r="I922"/>
  <c r="I921"/>
  <c r="I920"/>
  <c r="I919"/>
  <c r="I918"/>
  <c r="I917"/>
  <c r="I916"/>
  <c r="I911"/>
  <c r="I910"/>
  <c r="I909"/>
  <c r="I908"/>
  <c r="I907"/>
  <c r="I906"/>
  <c r="I1236"/>
  <c r="I1243" s="1"/>
  <c r="I1244" s="1"/>
  <c r="I1245" s="1"/>
  <c r="I3057"/>
  <c r="I3056"/>
  <c r="I3055"/>
  <c r="I3054"/>
  <c r="I3053"/>
  <c r="I3047"/>
  <c r="D335" i="67"/>
  <c r="I335" s="1"/>
  <c r="N7"/>
  <c r="N8"/>
  <c r="P8" s="1"/>
  <c r="B8" s="1"/>
  <c r="N9"/>
  <c r="P9" s="1"/>
  <c r="B9" s="1"/>
  <c r="N10"/>
  <c r="N11"/>
  <c r="P11" s="1"/>
  <c r="B11" s="1"/>
  <c r="N12"/>
  <c r="P12" s="1"/>
  <c r="B12" s="1"/>
  <c r="N13"/>
  <c r="N14"/>
  <c r="P14" s="1"/>
  <c r="B14" s="1"/>
  <c r="N15"/>
  <c r="P15" s="1"/>
  <c r="B15" s="1"/>
  <c r="N16"/>
  <c r="N19"/>
  <c r="P19" s="1"/>
  <c r="B19" s="1"/>
  <c r="N20"/>
  <c r="P20" s="1"/>
  <c r="B20" s="1"/>
  <c r="N21"/>
  <c r="N22"/>
  <c r="P22" s="1"/>
  <c r="B22" s="1"/>
  <c r="N23"/>
  <c r="P23" s="1"/>
  <c r="B23" s="1"/>
  <c r="N24"/>
  <c r="N25"/>
  <c r="P25" s="1"/>
  <c r="B25" s="1"/>
  <c r="N26"/>
  <c r="P26" s="1"/>
  <c r="B26" s="1"/>
  <c r="N27"/>
  <c r="N28"/>
  <c r="P28" s="1"/>
  <c r="B28" s="1"/>
  <c r="N29"/>
  <c r="P29" s="1"/>
  <c r="B29" s="1"/>
  <c r="N30"/>
  <c r="P30" s="1"/>
  <c r="B30" s="1"/>
  <c r="N31"/>
  <c r="N32"/>
  <c r="N33"/>
  <c r="N34"/>
  <c r="N35"/>
  <c r="N36"/>
  <c r="P36" s="1"/>
  <c r="B36" s="1"/>
  <c r="N37"/>
  <c r="P37" s="1"/>
  <c r="B37" s="1"/>
  <c r="N38"/>
  <c r="P38" s="1"/>
  <c r="B38" s="1"/>
  <c r="N39"/>
  <c r="P39" s="1"/>
  <c r="B39" s="1"/>
  <c r="N40"/>
  <c r="P40" s="1"/>
  <c r="B40" s="1"/>
  <c r="N41"/>
  <c r="P41" s="1"/>
  <c r="B41" s="1"/>
  <c r="N42"/>
  <c r="P42" s="1"/>
  <c r="B42" s="1"/>
  <c r="N43"/>
  <c r="P43" s="1"/>
  <c r="B43" s="1"/>
  <c r="N45"/>
  <c r="N46"/>
  <c r="P46" s="1"/>
  <c r="B46" s="1"/>
  <c r="N47"/>
  <c r="N48"/>
  <c r="N49"/>
  <c r="P49" s="1"/>
  <c r="B49" s="1"/>
  <c r="N50"/>
  <c r="P50" s="1"/>
  <c r="B50" s="1"/>
  <c r="N51"/>
  <c r="P51" s="1"/>
  <c r="B51" s="1"/>
  <c r="N52"/>
  <c r="P52" s="1"/>
  <c r="B52" s="1"/>
  <c r="N53"/>
  <c r="P53" s="1"/>
  <c r="B53" s="1"/>
  <c r="N54"/>
  <c r="P54" s="1"/>
  <c r="B54" s="1"/>
  <c r="N55"/>
  <c r="N56"/>
  <c r="N57"/>
  <c r="N58"/>
  <c r="P58" s="1"/>
  <c r="B58" s="1"/>
  <c r="N59"/>
  <c r="P59" s="1"/>
  <c r="B59" s="1"/>
  <c r="N60"/>
  <c r="P60" s="1"/>
  <c r="B60" s="1"/>
  <c r="N61"/>
  <c r="N62"/>
  <c r="P62" s="1"/>
  <c r="B62" s="1"/>
  <c r="N63"/>
  <c r="N64"/>
  <c r="P64" s="1"/>
  <c r="B64" s="1"/>
  <c r="N65"/>
  <c r="P65" s="1"/>
  <c r="B65" s="1"/>
  <c r="N66"/>
  <c r="P66" s="1"/>
  <c r="B66" s="1"/>
  <c r="N67"/>
  <c r="P67" s="1"/>
  <c r="B67" s="1"/>
  <c r="N68"/>
  <c r="P68" s="1"/>
  <c r="B68" s="1"/>
  <c r="N69"/>
  <c r="O69"/>
  <c r="N70"/>
  <c r="P70" s="1"/>
  <c r="B70" s="1"/>
  <c r="N71"/>
  <c r="P71" s="1"/>
  <c r="B71" s="1"/>
  <c r="N72"/>
  <c r="P72" s="1"/>
  <c r="B72" s="1"/>
  <c r="N73"/>
  <c r="P73" s="1"/>
  <c r="B73" s="1"/>
  <c r="N74"/>
  <c r="P74" s="1"/>
  <c r="B74" s="1"/>
  <c r="N75"/>
  <c r="P75" s="1"/>
  <c r="B75" s="1"/>
  <c r="N76"/>
  <c r="P76" s="1"/>
  <c r="B76" s="1"/>
  <c r="N77"/>
  <c r="P77" s="1"/>
  <c r="B77" s="1"/>
  <c r="N78"/>
  <c r="P78" s="1"/>
  <c r="B78" s="1"/>
  <c r="N79"/>
  <c r="P79" s="1"/>
  <c r="B79" s="1"/>
  <c r="N80"/>
  <c r="P80" s="1"/>
  <c r="B80" s="1"/>
  <c r="N81"/>
  <c r="P81" s="1"/>
  <c r="B81" s="1"/>
  <c r="N82"/>
  <c r="P82" s="1"/>
  <c r="B82" s="1"/>
  <c r="N83"/>
  <c r="P83" s="1"/>
  <c r="B83" s="1"/>
  <c r="N84"/>
  <c r="P84" s="1"/>
  <c r="B84" s="1"/>
  <c r="N85"/>
  <c r="P85" s="1"/>
  <c r="B85" s="1"/>
  <c r="N86"/>
  <c r="P86" s="1"/>
  <c r="B86" s="1"/>
  <c r="N87"/>
  <c r="P87" s="1"/>
  <c r="B87" s="1"/>
  <c r="N88"/>
  <c r="P88" s="1"/>
  <c r="B88" s="1"/>
  <c r="N89"/>
  <c r="P89" s="1"/>
  <c r="B89" s="1"/>
  <c r="N90"/>
  <c r="N91"/>
  <c r="N92"/>
  <c r="N93"/>
  <c r="N94"/>
  <c r="P94" s="1"/>
  <c r="B94" s="1"/>
  <c r="N95"/>
  <c r="N96"/>
  <c r="P96" s="1"/>
  <c r="B96" s="1"/>
  <c r="N97"/>
  <c r="P97" s="1"/>
  <c r="B97" s="1"/>
  <c r="N98"/>
  <c r="P98" s="1"/>
  <c r="B98" s="1"/>
  <c r="N99"/>
  <c r="P99" s="1"/>
  <c r="B99" s="1"/>
  <c r="N100"/>
  <c r="P100" s="1"/>
  <c r="B100" s="1"/>
  <c r="N101"/>
  <c r="P101" s="1"/>
  <c r="B101" s="1"/>
  <c r="N102"/>
  <c r="P102" s="1"/>
  <c r="B102" s="1"/>
  <c r="N103"/>
  <c r="P103" s="1"/>
  <c r="B103" s="1"/>
  <c r="N104"/>
  <c r="P104" s="1"/>
  <c r="B104" s="1"/>
  <c r="N105"/>
  <c r="P105" s="1"/>
  <c r="B105" s="1"/>
  <c r="N106"/>
  <c r="P106" s="1"/>
  <c r="B106" s="1"/>
  <c r="N107"/>
  <c r="P107" s="1"/>
  <c r="B107" s="1"/>
  <c r="N108"/>
  <c r="P108" s="1"/>
  <c r="B108" s="1"/>
  <c r="N109"/>
  <c r="P109" s="1"/>
  <c r="B109" s="1"/>
  <c r="N110"/>
  <c r="P110" s="1"/>
  <c r="B110" s="1"/>
  <c r="N111"/>
  <c r="P111" s="1"/>
  <c r="B111" s="1"/>
  <c r="N112"/>
  <c r="P112" s="1"/>
  <c r="B112" s="1"/>
  <c r="N113"/>
  <c r="P113" s="1"/>
  <c r="B113" s="1"/>
  <c r="N114"/>
  <c r="N115"/>
  <c r="P115" s="1"/>
  <c r="B115" s="1"/>
  <c r="N116"/>
  <c r="P116" s="1"/>
  <c r="B116" s="1"/>
  <c r="N117"/>
  <c r="P117" s="1"/>
  <c r="B117" s="1"/>
  <c r="N118"/>
  <c r="N119"/>
  <c r="P119" s="1"/>
  <c r="B119" s="1"/>
  <c r="N120"/>
  <c r="P120" s="1"/>
  <c r="B120" s="1"/>
  <c r="N121"/>
  <c r="P121" s="1"/>
  <c r="B121" s="1"/>
  <c r="N122"/>
  <c r="P122" s="1"/>
  <c r="B122" s="1"/>
  <c r="N123"/>
  <c r="P123" s="1"/>
  <c r="B123" s="1"/>
  <c r="N124"/>
  <c r="P124" s="1"/>
  <c r="B124" s="1"/>
  <c r="N125"/>
  <c r="P125" s="1"/>
  <c r="B125" s="1"/>
  <c r="N126"/>
  <c r="P126" s="1"/>
  <c r="B126" s="1"/>
  <c r="N127"/>
  <c r="P127" s="1"/>
  <c r="B127" s="1"/>
  <c r="N128"/>
  <c r="P128" s="1"/>
  <c r="B128" s="1"/>
  <c r="N129"/>
  <c r="P129" s="1"/>
  <c r="B129" s="1"/>
  <c r="N130"/>
  <c r="P130" s="1"/>
  <c r="B130" s="1"/>
  <c r="N131"/>
  <c r="P131" s="1"/>
  <c r="B131" s="1"/>
  <c r="N132"/>
  <c r="P132" s="1"/>
  <c r="B132" s="1"/>
  <c r="N133"/>
  <c r="P133" s="1"/>
  <c r="B133" s="1"/>
  <c r="N134"/>
  <c r="P134" s="1"/>
  <c r="B134" s="1"/>
  <c r="N135"/>
  <c r="N136"/>
  <c r="N137"/>
  <c r="N138"/>
  <c r="P138" s="1"/>
  <c r="B138" s="1"/>
  <c r="N139"/>
  <c r="N140"/>
  <c r="N141"/>
  <c r="N142"/>
  <c r="N143"/>
  <c r="N144"/>
  <c r="P144" s="1"/>
  <c r="B144" s="1"/>
  <c r="N145"/>
  <c r="P145" s="1"/>
  <c r="B145" s="1"/>
  <c r="N146"/>
  <c r="P146" s="1"/>
  <c r="B146" s="1"/>
  <c r="N147"/>
  <c r="P147" s="1"/>
  <c r="B147" s="1"/>
  <c r="N148"/>
  <c r="P148" s="1"/>
  <c r="B148" s="1"/>
  <c r="N149"/>
  <c r="P149" s="1"/>
  <c r="B149" s="1"/>
  <c r="N150"/>
  <c r="P150" s="1"/>
  <c r="B150" s="1"/>
  <c r="N151"/>
  <c r="P151" s="1"/>
  <c r="B151" s="1"/>
  <c r="N152"/>
  <c r="P152" s="1"/>
  <c r="B152" s="1"/>
  <c r="N153"/>
  <c r="P153" s="1"/>
  <c r="B153" s="1"/>
  <c r="N154"/>
  <c r="P154" s="1"/>
  <c r="B154" s="1"/>
  <c r="N155"/>
  <c r="P155" s="1"/>
  <c r="B155" s="1"/>
  <c r="N156"/>
  <c r="P156" s="1"/>
  <c r="B156" s="1"/>
  <c r="N157"/>
  <c r="P157" s="1"/>
  <c r="B157" s="1"/>
  <c r="N158"/>
  <c r="P158" s="1"/>
  <c r="B158" s="1"/>
  <c r="N159"/>
  <c r="N160"/>
  <c r="P160" s="1"/>
  <c r="B160" s="1"/>
  <c r="N161"/>
  <c r="N162"/>
  <c r="P162" s="1"/>
  <c r="B162" s="1"/>
  <c r="N163"/>
  <c r="N164"/>
  <c r="P164" s="1"/>
  <c r="B164" s="1"/>
  <c r="N165"/>
  <c r="P165" s="1"/>
  <c r="B165" s="1"/>
  <c r="N166"/>
  <c r="P166" s="1"/>
  <c r="B166" s="1"/>
  <c r="N167"/>
  <c r="P167" s="1"/>
  <c r="B167" s="1"/>
  <c r="N168"/>
  <c r="P168" s="1"/>
  <c r="B168" s="1"/>
  <c r="N169"/>
  <c r="P169" s="1"/>
  <c r="B169" s="1"/>
  <c r="N170"/>
  <c r="P170" s="1"/>
  <c r="B170" s="1"/>
  <c r="N171"/>
  <c r="N172"/>
  <c r="P172" s="1"/>
  <c r="B172" s="1"/>
  <c r="N173"/>
  <c r="N174"/>
  <c r="P174" s="1"/>
  <c r="B174" s="1"/>
  <c r="N175"/>
  <c r="P175" s="1"/>
  <c r="B175" s="1"/>
  <c r="N176"/>
  <c r="P176" s="1"/>
  <c r="B176" s="1"/>
  <c r="N177"/>
  <c r="P177" s="1"/>
  <c r="B177" s="1"/>
  <c r="N178"/>
  <c r="P178" s="1"/>
  <c r="B178" s="1"/>
  <c r="N179"/>
  <c r="P179" s="1"/>
  <c r="B179" s="1"/>
  <c r="N180"/>
  <c r="P180" s="1"/>
  <c r="B180" s="1"/>
  <c r="N181"/>
  <c r="P181" s="1"/>
  <c r="B181" s="1"/>
  <c r="N182"/>
  <c r="P182" s="1"/>
  <c r="B182" s="1"/>
  <c r="N183"/>
  <c r="P183" s="1"/>
  <c r="B183" s="1"/>
  <c r="N184"/>
  <c r="P184" s="1"/>
  <c r="B184" s="1"/>
  <c r="N185"/>
  <c r="P185" s="1"/>
  <c r="B185" s="1"/>
  <c r="N186"/>
  <c r="P186" s="1"/>
  <c r="B186" s="1"/>
  <c r="N187"/>
  <c r="P187" s="1"/>
  <c r="B187" s="1"/>
  <c r="N188"/>
  <c r="P188" s="1"/>
  <c r="B188" s="1"/>
  <c r="N189"/>
  <c r="N190"/>
  <c r="N191"/>
  <c r="N192"/>
  <c r="N193"/>
  <c r="N194"/>
  <c r="P194" s="1"/>
  <c r="B194" s="1"/>
  <c r="N195"/>
  <c r="N196"/>
  <c r="N197"/>
  <c r="N198"/>
  <c r="N199"/>
  <c r="N200"/>
  <c r="N201"/>
  <c r="N202"/>
  <c r="N203"/>
  <c r="N204"/>
  <c r="N205"/>
  <c r="N206"/>
  <c r="N207"/>
  <c r="N208"/>
  <c r="P208" s="1"/>
  <c r="B208" s="1"/>
  <c r="N209"/>
  <c r="P209" s="1"/>
  <c r="B209" s="1"/>
  <c r="N210"/>
  <c r="P210" s="1"/>
  <c r="B210" s="1"/>
  <c r="N211"/>
  <c r="P211" s="1"/>
  <c r="B211" s="1"/>
  <c r="N212"/>
  <c r="P212" s="1"/>
  <c r="B212" s="1"/>
  <c r="N213"/>
  <c r="N214"/>
  <c r="N215"/>
  <c r="N216"/>
  <c r="N217"/>
  <c r="N218"/>
  <c r="N219"/>
  <c r="N220"/>
  <c r="P220" s="1"/>
  <c r="B220" s="1"/>
  <c r="N221"/>
  <c r="P221" s="1"/>
  <c r="B221" s="1"/>
  <c r="N222"/>
  <c r="P222" s="1"/>
  <c r="B222" s="1"/>
  <c r="N223"/>
  <c r="P223" s="1"/>
  <c r="B223" s="1"/>
  <c r="N224"/>
  <c r="P224" s="1"/>
  <c r="B224" s="1"/>
  <c r="N225"/>
  <c r="N226"/>
  <c r="N227"/>
  <c r="N228"/>
  <c r="N229"/>
  <c r="N230"/>
  <c r="N231"/>
  <c r="N232"/>
  <c r="P232" s="1"/>
  <c r="B232" s="1"/>
  <c r="N233"/>
  <c r="N234"/>
  <c r="N235"/>
  <c r="N236"/>
  <c r="P236" s="1"/>
  <c r="B236" s="1"/>
  <c r="N237"/>
  <c r="P237" s="1"/>
  <c r="B237" s="1"/>
  <c r="N238"/>
  <c r="P238" s="1"/>
  <c r="B238" s="1"/>
  <c r="N239"/>
  <c r="P239" s="1"/>
  <c r="B239" s="1"/>
  <c r="N240"/>
  <c r="P240" s="1"/>
  <c r="B240" s="1"/>
  <c r="N241"/>
  <c r="P241" s="1"/>
  <c r="B241" s="1"/>
  <c r="N242"/>
  <c r="P242" s="1"/>
  <c r="B242" s="1"/>
  <c r="N243"/>
  <c r="P243" s="1"/>
  <c r="B243" s="1"/>
  <c r="N244"/>
  <c r="P244" s="1"/>
  <c r="B244" s="1"/>
  <c r="N245"/>
  <c r="P245" s="1"/>
  <c r="B245" s="1"/>
  <c r="N246"/>
  <c r="P246" s="1"/>
  <c r="B246" s="1"/>
  <c r="N247"/>
  <c r="P247" s="1"/>
  <c r="B247" s="1"/>
  <c r="N248"/>
  <c r="N249"/>
  <c r="P249" s="1"/>
  <c r="B249" s="1"/>
  <c r="N250"/>
  <c r="P250" s="1"/>
  <c r="B250" s="1"/>
  <c r="N251"/>
  <c r="P251" s="1"/>
  <c r="B251" s="1"/>
  <c r="N252"/>
  <c r="P252" s="1"/>
  <c r="B252" s="1"/>
  <c r="N253"/>
  <c r="P253" s="1"/>
  <c r="B253" s="1"/>
  <c r="N254"/>
  <c r="P254" s="1"/>
  <c r="B254" s="1"/>
  <c r="N255"/>
  <c r="O255"/>
  <c r="N256"/>
  <c r="N257"/>
  <c r="N258"/>
  <c r="N259"/>
  <c r="N260"/>
  <c r="N261"/>
  <c r="P261" s="1"/>
  <c r="B261" s="1"/>
  <c r="N262"/>
  <c r="N263"/>
  <c r="N264"/>
  <c r="N265"/>
  <c r="N266"/>
  <c r="P266" s="1"/>
  <c r="B266" s="1"/>
  <c r="N267"/>
  <c r="P267" s="1"/>
  <c r="B267" s="1"/>
  <c r="N268"/>
  <c r="P268" s="1"/>
  <c r="B268" s="1"/>
  <c r="N269"/>
  <c r="P269" s="1"/>
  <c r="B269" s="1"/>
  <c r="N270"/>
  <c r="P270" s="1"/>
  <c r="B270" s="1"/>
  <c r="N271"/>
  <c r="P271" s="1"/>
  <c r="B271" s="1"/>
  <c r="N272"/>
  <c r="P272" s="1"/>
  <c r="B272" s="1"/>
  <c r="N273"/>
  <c r="N274"/>
  <c r="N275"/>
  <c r="P275" s="1"/>
  <c r="B275" s="1"/>
  <c r="N276"/>
  <c r="P276" s="1"/>
  <c r="B276" s="1"/>
  <c r="N277"/>
  <c r="P277" s="1"/>
  <c r="B277" s="1"/>
  <c r="N278"/>
  <c r="P278" s="1"/>
  <c r="B278" s="1"/>
  <c r="N279"/>
  <c r="P279" s="1"/>
  <c r="B279" s="1"/>
  <c r="N280"/>
  <c r="P280" s="1"/>
  <c r="B280" s="1"/>
  <c r="N281"/>
  <c r="P281" s="1"/>
  <c r="B281" s="1"/>
  <c r="N282"/>
  <c r="P282" s="1"/>
  <c r="B282" s="1"/>
  <c r="N283"/>
  <c r="P283" s="1"/>
  <c r="B283" s="1"/>
  <c r="N284"/>
  <c r="P284" s="1"/>
  <c r="B284" s="1"/>
  <c r="N285"/>
  <c r="P285" s="1"/>
  <c r="B285" s="1"/>
  <c r="N286"/>
  <c r="P286" s="1"/>
  <c r="B286" s="1"/>
  <c r="N287"/>
  <c r="P287" s="1"/>
  <c r="B287" s="1"/>
  <c r="N288"/>
  <c r="P288" s="1"/>
  <c r="B288" s="1"/>
  <c r="N289"/>
  <c r="P289" s="1"/>
  <c r="B289" s="1"/>
  <c r="N290"/>
  <c r="N291"/>
  <c r="N292"/>
  <c r="P292" s="1"/>
  <c r="B292" s="1"/>
  <c r="N293"/>
  <c r="P293" s="1"/>
  <c r="B293" s="1"/>
  <c r="N294"/>
  <c r="P294" s="1"/>
  <c r="B294" s="1"/>
  <c r="N295"/>
  <c r="N296"/>
  <c r="N297"/>
  <c r="P297" s="1"/>
  <c r="B297" s="1"/>
  <c r="N298"/>
  <c r="P298" s="1"/>
  <c r="B298" s="1"/>
  <c r="N299"/>
  <c r="N300"/>
  <c r="P300" s="1"/>
  <c r="B300" s="1"/>
  <c r="N301"/>
  <c r="P301" s="1"/>
  <c r="B301" s="1"/>
  <c r="N302"/>
  <c r="P302" s="1"/>
  <c r="B302" s="1"/>
  <c r="N303"/>
  <c r="N304"/>
  <c r="P304" s="1"/>
  <c r="B304" s="1"/>
  <c r="N305"/>
  <c r="P305" s="1"/>
  <c r="B305" s="1"/>
  <c r="N306"/>
  <c r="P306" s="1"/>
  <c r="B306" s="1"/>
  <c r="N307"/>
  <c r="P307" s="1"/>
  <c r="B307" s="1"/>
  <c r="N308"/>
  <c r="P308" s="1"/>
  <c r="B308" s="1"/>
  <c r="N309"/>
  <c r="P309" s="1"/>
  <c r="B309" s="1"/>
  <c r="N310"/>
  <c r="P310" s="1"/>
  <c r="B310" s="1"/>
  <c r="N311"/>
  <c r="P311" s="1"/>
  <c r="B311" s="1"/>
  <c r="N312"/>
  <c r="N313"/>
  <c r="P313" s="1"/>
  <c r="B313" s="1"/>
  <c r="N314"/>
  <c r="P314" s="1"/>
  <c r="B314" s="1"/>
  <c r="N315"/>
  <c r="P315" s="1"/>
  <c r="B315" s="1"/>
  <c r="N316"/>
  <c r="P316" s="1"/>
  <c r="B316" s="1"/>
  <c r="N317"/>
  <c r="P317" s="1"/>
  <c r="B317" s="1"/>
  <c r="N318"/>
  <c r="P318" s="1"/>
  <c r="B318" s="1"/>
  <c r="N319"/>
  <c r="P319" s="1"/>
  <c r="B319" s="1"/>
  <c r="N320"/>
  <c r="P320" s="1"/>
  <c r="B320" s="1"/>
  <c r="N321"/>
  <c r="P321" s="1"/>
  <c r="B321" s="1"/>
  <c r="N322"/>
  <c r="P322" s="1"/>
  <c r="B322" s="1"/>
  <c r="N323"/>
  <c r="P323" s="1"/>
  <c r="B323" s="1"/>
  <c r="N324"/>
  <c r="P324" s="1"/>
  <c r="B324" s="1"/>
  <c r="N325"/>
  <c r="P325" s="1"/>
  <c r="B325" s="1"/>
  <c r="N326"/>
  <c r="P326" s="1"/>
  <c r="B326" s="1"/>
  <c r="N327"/>
  <c r="N328"/>
  <c r="N329"/>
  <c r="P329" s="1"/>
  <c r="B329" s="1"/>
  <c r="N330"/>
  <c r="P330" s="1"/>
  <c r="B330" s="1"/>
  <c r="N331"/>
  <c r="N332"/>
  <c r="N333"/>
  <c r="P333" s="1"/>
  <c r="B333" s="1"/>
  <c r="N334"/>
  <c r="O334" s="1"/>
  <c r="N335"/>
  <c r="O335" s="1"/>
  <c r="N336"/>
  <c r="N337"/>
  <c r="P337" s="1"/>
  <c r="B337" s="1"/>
  <c r="N338"/>
  <c r="P338" s="1"/>
  <c r="B338" s="1"/>
  <c r="N339"/>
  <c r="P339" s="1"/>
  <c r="B339" s="1"/>
  <c r="N340"/>
  <c r="P340" s="1"/>
  <c r="B340" s="1"/>
  <c r="N341"/>
  <c r="N342"/>
  <c r="N343"/>
  <c r="N344"/>
  <c r="P344" s="1"/>
  <c r="B344" s="1"/>
  <c r="N345"/>
  <c r="N346"/>
  <c r="N347"/>
  <c r="N348"/>
  <c r="N349"/>
  <c r="P349" s="1"/>
  <c r="B349" s="1"/>
  <c r="N350"/>
  <c r="N351"/>
  <c r="N352"/>
  <c r="N353"/>
  <c r="N354"/>
  <c r="P354" s="1"/>
  <c r="B354" s="1"/>
  <c r="N355"/>
  <c r="P355" s="1"/>
  <c r="B355" s="1"/>
  <c r="N356"/>
  <c r="P356" s="1"/>
  <c r="B356" s="1"/>
  <c r="N357"/>
  <c r="N358"/>
  <c r="N359"/>
  <c r="N360"/>
  <c r="P360" s="1"/>
  <c r="B360" s="1"/>
  <c r="N361"/>
  <c r="P361" s="1"/>
  <c r="B361" s="1"/>
  <c r="N362"/>
  <c r="P362" s="1"/>
  <c r="B362" s="1"/>
  <c r="N363"/>
  <c r="P363" s="1"/>
  <c r="B363" s="1"/>
  <c r="N364"/>
  <c r="P364" s="1"/>
  <c r="B364" s="1"/>
  <c r="N365"/>
  <c r="P365" s="1"/>
  <c r="B365" s="1"/>
  <c r="N366"/>
  <c r="P366" s="1"/>
  <c r="B366" s="1"/>
  <c r="N367"/>
  <c r="O367"/>
  <c r="N368"/>
  <c r="P368" s="1"/>
  <c r="B368" s="1"/>
  <c r="N369"/>
  <c r="N370"/>
  <c r="N371"/>
  <c r="N372"/>
  <c r="N373"/>
  <c r="N374"/>
  <c r="N375"/>
  <c r="N376"/>
  <c r="N377"/>
  <c r="N378"/>
  <c r="P378" s="1"/>
  <c r="B378" s="1"/>
  <c r="N379"/>
  <c r="N380"/>
  <c r="N381"/>
  <c r="N382"/>
  <c r="N383"/>
  <c r="O383" s="1"/>
  <c r="N384"/>
  <c r="O384" s="1"/>
  <c r="N385"/>
  <c r="N387"/>
  <c r="P387" s="1"/>
  <c r="B387" s="1"/>
  <c r="N388"/>
  <c r="P388" s="1"/>
  <c r="B388" s="1"/>
  <c r="N389"/>
  <c r="P389" s="1"/>
  <c r="B389" s="1"/>
  <c r="N390"/>
  <c r="P390" s="1"/>
  <c r="B390" s="1"/>
  <c r="N391"/>
  <c r="P391" s="1"/>
  <c r="B391" s="1"/>
  <c r="N392"/>
  <c r="P392" s="1"/>
  <c r="B392" s="1"/>
  <c r="N393"/>
  <c r="P393" s="1"/>
  <c r="B393" s="1"/>
  <c r="N394"/>
  <c r="P394" s="1"/>
  <c r="B394" s="1"/>
  <c r="N395"/>
  <c r="P395" s="1"/>
  <c r="B395" s="1"/>
  <c r="N396"/>
  <c r="P396" s="1"/>
  <c r="B396" s="1"/>
  <c r="N397"/>
  <c r="N398"/>
  <c r="N399"/>
  <c r="P399" s="1"/>
  <c r="B399" s="1"/>
  <c r="N400"/>
  <c r="P400" s="1"/>
  <c r="B400" s="1"/>
  <c r="N401"/>
  <c r="N402"/>
  <c r="N403"/>
  <c r="N404"/>
  <c r="P404" s="1"/>
  <c r="B404" s="1"/>
  <c r="N405"/>
  <c r="N406"/>
  <c r="N407"/>
  <c r="P407" s="1"/>
  <c r="B407" s="1"/>
  <c r="N408"/>
  <c r="P408" s="1"/>
  <c r="B408" s="1"/>
  <c r="N409"/>
  <c r="P409" s="1"/>
  <c r="B409" s="1"/>
  <c r="N410"/>
  <c r="N411"/>
  <c r="P411" s="1"/>
  <c r="B411" s="1"/>
  <c r="N412"/>
  <c r="P412" s="1"/>
  <c r="B412" s="1"/>
  <c r="N413"/>
  <c r="P413" s="1"/>
  <c r="B413" s="1"/>
  <c r="N414"/>
  <c r="P414" s="1"/>
  <c r="B414" s="1"/>
  <c r="N415"/>
  <c r="P415" s="1"/>
  <c r="B415" s="1"/>
  <c r="N416"/>
  <c r="N417"/>
  <c r="P417" s="1"/>
  <c r="B417" s="1"/>
  <c r="N418"/>
  <c r="P418" s="1"/>
  <c r="B418" s="1"/>
  <c r="N419"/>
  <c r="P419" s="1"/>
  <c r="B419" s="1"/>
  <c r="N420"/>
  <c r="P420" s="1"/>
  <c r="B420" s="1"/>
  <c r="N421"/>
  <c r="P421" s="1"/>
  <c r="B421" s="1"/>
  <c r="N422"/>
  <c r="P422" s="1"/>
  <c r="B422" s="1"/>
  <c r="N423"/>
  <c r="P423" s="1"/>
  <c r="B423" s="1"/>
  <c r="N424"/>
  <c r="P424" s="1"/>
  <c r="B424" s="1"/>
  <c r="N425"/>
  <c r="P425" s="1"/>
  <c r="B425" s="1"/>
  <c r="N426"/>
  <c r="P426" s="1"/>
  <c r="B426" s="1"/>
  <c r="N427"/>
  <c r="P427" s="1"/>
  <c r="B427" s="1"/>
  <c r="N428"/>
  <c r="P428" s="1"/>
  <c r="B428" s="1"/>
  <c r="N429"/>
  <c r="P429" s="1"/>
  <c r="B429" s="1"/>
  <c r="N430"/>
  <c r="P430" s="1"/>
  <c r="B430" s="1"/>
  <c r="N431"/>
  <c r="P431" s="1"/>
  <c r="B431" s="1"/>
  <c r="N432"/>
  <c r="P432" s="1"/>
  <c r="B432" s="1"/>
  <c r="N433"/>
  <c r="P433" s="1"/>
  <c r="B433" s="1"/>
  <c r="N434"/>
  <c r="N435"/>
  <c r="N436"/>
  <c r="N437"/>
  <c r="N438"/>
  <c r="N439"/>
  <c r="N440"/>
  <c r="N441"/>
  <c r="N442"/>
  <c r="P442" s="1"/>
  <c r="B442" s="1"/>
  <c r="N443"/>
  <c r="P443" s="1"/>
  <c r="B443" s="1"/>
  <c r="N444"/>
  <c r="N445"/>
  <c r="N446"/>
  <c r="N447"/>
  <c r="N448"/>
  <c r="P448" s="1"/>
  <c r="B448" s="1"/>
  <c r="N449"/>
  <c r="P449" s="1"/>
  <c r="B449" s="1"/>
  <c r="N450"/>
  <c r="P450" s="1"/>
  <c r="B450" s="1"/>
  <c r="N451"/>
  <c r="N452"/>
  <c r="P452" s="1"/>
  <c r="B452" s="1"/>
  <c r="N453"/>
  <c r="N454"/>
  <c r="P454" s="1"/>
  <c r="B454" s="1"/>
  <c r="N455"/>
  <c r="P455" s="1"/>
  <c r="B455" s="1"/>
  <c r="N456"/>
  <c r="P456" s="1"/>
  <c r="B456" s="1"/>
  <c r="N457"/>
  <c r="N458"/>
  <c r="P458" s="1"/>
  <c r="B458" s="1"/>
  <c r="N459"/>
  <c r="N461"/>
  <c r="N462"/>
  <c r="P462" s="1"/>
  <c r="B462" s="1"/>
  <c r="N463"/>
  <c r="P463" s="1"/>
  <c r="B463" s="1"/>
  <c r="N464"/>
  <c r="P464" s="1"/>
  <c r="B464" s="1"/>
  <c r="N465"/>
  <c r="P465" s="1"/>
  <c r="B465" s="1"/>
  <c r="N466"/>
  <c r="P466" s="1"/>
  <c r="B466" s="1"/>
  <c r="N467"/>
  <c r="P467" s="1"/>
  <c r="B467" s="1"/>
  <c r="N468"/>
  <c r="P468" s="1"/>
  <c r="B468" s="1"/>
  <c r="N469"/>
  <c r="P469" s="1"/>
  <c r="B469" s="1"/>
  <c r="N470"/>
  <c r="P470" s="1"/>
  <c r="B470" s="1"/>
  <c r="N471"/>
  <c r="P471" s="1"/>
  <c r="B471" s="1"/>
  <c r="N472"/>
  <c r="P472" s="1"/>
  <c r="B472" s="1"/>
  <c r="N473"/>
  <c r="N476"/>
  <c r="P476" s="1"/>
  <c r="B476" s="1"/>
  <c r="N477"/>
  <c r="P477" s="1"/>
  <c r="B477" s="1"/>
  <c r="N478"/>
  <c r="P478" s="1"/>
  <c r="B478" s="1"/>
  <c r="N479"/>
  <c r="P479" s="1"/>
  <c r="B479" s="1"/>
  <c r="N480"/>
  <c r="P480" s="1"/>
  <c r="B480" s="1"/>
  <c r="N481"/>
  <c r="P481" s="1"/>
  <c r="B481" s="1"/>
  <c r="N482"/>
  <c r="P482" s="1"/>
  <c r="B482" s="1"/>
  <c r="N483"/>
  <c r="P483" s="1"/>
  <c r="B483" s="1"/>
  <c r="N484"/>
  <c r="N485"/>
  <c r="P485" s="1"/>
  <c r="B485" s="1"/>
  <c r="N486"/>
  <c r="P486" s="1"/>
  <c r="B486" s="1"/>
  <c r="N487"/>
  <c r="P487" s="1"/>
  <c r="B487" s="1"/>
  <c r="N488"/>
  <c r="P488" s="1"/>
  <c r="B488" s="1"/>
  <c r="N489"/>
  <c r="P489" s="1"/>
  <c r="B489" s="1"/>
  <c r="N490"/>
  <c r="P490" s="1"/>
  <c r="B490" s="1"/>
  <c r="N491"/>
  <c r="P491" s="1"/>
  <c r="B491" s="1"/>
  <c r="N492"/>
  <c r="P492" s="1"/>
  <c r="B492" s="1"/>
  <c r="N494"/>
  <c r="N495"/>
  <c r="N496"/>
  <c r="N497"/>
  <c r="N498"/>
  <c r="N499"/>
  <c r="N500"/>
  <c r="P500" s="1"/>
  <c r="B500" s="1"/>
  <c r="N501"/>
  <c r="P501" s="1"/>
  <c r="B501" s="1"/>
  <c r="N502"/>
  <c r="P502" s="1"/>
  <c r="B502" s="1"/>
  <c r="N503"/>
  <c r="P503" s="1"/>
  <c r="B503" s="1"/>
  <c r="N504"/>
  <c r="P504" s="1"/>
  <c r="B504" s="1"/>
  <c r="N505"/>
  <c r="P505" s="1"/>
  <c r="B505" s="1"/>
  <c r="N506"/>
  <c r="P506" s="1"/>
  <c r="B506" s="1"/>
  <c r="N507"/>
  <c r="P507" s="1"/>
  <c r="B507" s="1"/>
  <c r="N508"/>
  <c r="N509"/>
  <c r="P509" s="1"/>
  <c r="B509" s="1"/>
  <c r="N510"/>
  <c r="P510" s="1"/>
  <c r="B510" s="1"/>
  <c r="N511"/>
  <c r="P511" s="1"/>
  <c r="B511" s="1"/>
  <c r="N512"/>
  <c r="P512" s="1"/>
  <c r="B512" s="1"/>
  <c r="N513"/>
  <c r="P513" s="1"/>
  <c r="B513" s="1"/>
  <c r="N514"/>
  <c r="P514" s="1"/>
  <c r="B514" s="1"/>
  <c r="N515"/>
  <c r="P515" s="1"/>
  <c r="B515" s="1"/>
  <c r="N516"/>
  <c r="P516" s="1"/>
  <c r="B516" s="1"/>
  <c r="N517"/>
  <c r="P517" s="1"/>
  <c r="B517" s="1"/>
  <c r="N518"/>
  <c r="P518" s="1"/>
  <c r="B518" s="1"/>
  <c r="N519"/>
  <c r="P519" s="1"/>
  <c r="B519" s="1"/>
  <c r="N520"/>
  <c r="P520" s="1"/>
  <c r="B520" s="1"/>
  <c r="N521"/>
  <c r="P521" s="1"/>
  <c r="B521" s="1"/>
  <c r="N522"/>
  <c r="P522" s="1"/>
  <c r="B522" s="1"/>
  <c r="N523"/>
  <c r="P523" s="1"/>
  <c r="B523" s="1"/>
  <c r="N524"/>
  <c r="P524" s="1"/>
  <c r="B524" s="1"/>
  <c r="N525"/>
  <c r="P525" s="1"/>
  <c r="B525" s="1"/>
  <c r="N526"/>
  <c r="P526" s="1"/>
  <c r="B526" s="1"/>
  <c r="N527"/>
  <c r="P527" s="1"/>
  <c r="B527" s="1"/>
  <c r="N528"/>
  <c r="P528" s="1"/>
  <c r="B528" s="1"/>
  <c r="N529"/>
  <c r="P529" s="1"/>
  <c r="B529" s="1"/>
  <c r="N530"/>
  <c r="P530" s="1"/>
  <c r="B530" s="1"/>
  <c r="N531"/>
  <c r="P531" s="1"/>
  <c r="B531" s="1"/>
  <c r="N532"/>
  <c r="P532" s="1"/>
  <c r="B532" s="1"/>
  <c r="N533"/>
  <c r="P533" s="1"/>
  <c r="B533" s="1"/>
  <c r="N534"/>
  <c r="P534" s="1"/>
  <c r="B534" s="1"/>
  <c r="N535"/>
  <c r="P535" s="1"/>
  <c r="B535" s="1"/>
  <c r="N536"/>
  <c r="P536" s="1"/>
  <c r="B536" s="1"/>
  <c r="N537"/>
  <c r="P537" s="1"/>
  <c r="B537" s="1"/>
  <c r="N538"/>
  <c r="P538" s="1"/>
  <c r="B538" s="1"/>
  <c r="N539"/>
  <c r="P539" s="1"/>
  <c r="B539" s="1"/>
  <c r="N540"/>
  <c r="P540" s="1"/>
  <c r="B540" s="1"/>
  <c r="N541"/>
  <c r="P541" s="1"/>
  <c r="B541" s="1"/>
  <c r="N542"/>
  <c r="P542" s="1"/>
  <c r="B542" s="1"/>
  <c r="N543"/>
  <c r="N544"/>
  <c r="P544" s="1"/>
  <c r="B544" s="1"/>
  <c r="N545"/>
  <c r="P545" s="1"/>
  <c r="B545" s="1"/>
  <c r="N546"/>
  <c r="P546" s="1"/>
  <c r="B546" s="1"/>
  <c r="N547"/>
  <c r="P547" s="1"/>
  <c r="B547" s="1"/>
  <c r="N548"/>
  <c r="P548" s="1"/>
  <c r="B548" s="1"/>
  <c r="N549"/>
  <c r="P549" s="1"/>
  <c r="B549" s="1"/>
  <c r="N550"/>
  <c r="P550" s="1"/>
  <c r="B550" s="1"/>
  <c r="N551"/>
  <c r="P551" s="1"/>
  <c r="B551" s="1"/>
  <c r="N552"/>
  <c r="P552" s="1"/>
  <c r="B552" s="1"/>
  <c r="N553"/>
  <c r="P553" s="1"/>
  <c r="B553" s="1"/>
  <c r="N554"/>
  <c r="P554" s="1"/>
  <c r="B554" s="1"/>
  <c r="N555"/>
  <c r="P555" s="1"/>
  <c r="B555" s="1"/>
  <c r="N556"/>
  <c r="N557"/>
  <c r="P557" s="1"/>
  <c r="B557" s="1"/>
  <c r="N558"/>
  <c r="P558" s="1"/>
  <c r="B558" s="1"/>
  <c r="N559"/>
  <c r="P559" s="1"/>
  <c r="B559" s="1"/>
  <c r="N560"/>
  <c r="P560" s="1"/>
  <c r="B560" s="1"/>
  <c r="N561"/>
  <c r="P561" s="1"/>
  <c r="B561" s="1"/>
  <c r="N562"/>
  <c r="P562" s="1"/>
  <c r="B562" s="1"/>
  <c r="N563"/>
  <c r="N564"/>
  <c r="P564" s="1"/>
  <c r="B564" s="1"/>
  <c r="N565"/>
  <c r="P565" s="1"/>
  <c r="B565" s="1"/>
  <c r="N566"/>
  <c r="P566" s="1"/>
  <c r="B566" s="1"/>
  <c r="N567"/>
  <c r="P567" s="1"/>
  <c r="B567" s="1"/>
  <c r="N568"/>
  <c r="P568" s="1"/>
  <c r="B568" s="1"/>
  <c r="N569"/>
  <c r="O569" s="1"/>
  <c r="N570"/>
  <c r="P570" s="1"/>
  <c r="B570" s="1"/>
  <c r="N571"/>
  <c r="P571" s="1"/>
  <c r="B571" s="1"/>
  <c r="N572"/>
  <c r="P572" s="1"/>
  <c r="B572" s="1"/>
  <c r="N573"/>
  <c r="P573" s="1"/>
  <c r="B573" s="1"/>
  <c r="N574"/>
  <c r="P574" s="1"/>
  <c r="B574" s="1"/>
  <c r="N575"/>
  <c r="P575" s="1"/>
  <c r="B575" s="1"/>
  <c r="N576"/>
  <c r="P576" s="1"/>
  <c r="B576" s="1"/>
  <c r="N577"/>
  <c r="P577" s="1"/>
  <c r="B577" s="1"/>
  <c r="N578"/>
  <c r="P578" s="1"/>
  <c r="B578" s="1"/>
  <c r="N579"/>
  <c r="P579" s="1"/>
  <c r="B579" s="1"/>
  <c r="N580"/>
  <c r="P580" s="1"/>
  <c r="B580" s="1"/>
  <c r="N581"/>
  <c r="P581" s="1"/>
  <c r="B581" s="1"/>
  <c r="N582"/>
  <c r="P582" s="1"/>
  <c r="B582" s="1"/>
  <c r="N583"/>
  <c r="P583" s="1"/>
  <c r="B583" s="1"/>
  <c r="N584"/>
  <c r="P584" s="1"/>
  <c r="B584" s="1"/>
  <c r="N585"/>
  <c r="P585" s="1"/>
  <c r="B585" s="1"/>
  <c r="N586"/>
  <c r="P586" s="1"/>
  <c r="B586" s="1"/>
  <c r="N587"/>
  <c r="P587" s="1"/>
  <c r="B587" s="1"/>
  <c r="N588"/>
  <c r="P588" s="1"/>
  <c r="B588" s="1"/>
  <c r="N589"/>
  <c r="P589" s="1"/>
  <c r="B589" s="1"/>
  <c r="N590"/>
  <c r="P590" s="1"/>
  <c r="B590" s="1"/>
  <c r="N591"/>
  <c r="P591" s="1"/>
  <c r="B591" s="1"/>
  <c r="N592"/>
  <c r="O592" s="1"/>
  <c r="N593"/>
  <c r="P593" s="1"/>
  <c r="B593" s="1"/>
  <c r="N594"/>
  <c r="P594" s="1"/>
  <c r="B594" s="1"/>
  <c r="N595"/>
  <c r="P595" s="1"/>
  <c r="B595" s="1"/>
  <c r="N596"/>
  <c r="P596" s="1"/>
  <c r="B596" s="1"/>
  <c r="N597"/>
  <c r="P597" s="1"/>
  <c r="B597" s="1"/>
  <c r="N598"/>
  <c r="P598" s="1"/>
  <c r="B598" s="1"/>
  <c r="N599"/>
  <c r="P599" s="1"/>
  <c r="B599" s="1"/>
  <c r="N600"/>
  <c r="P600" s="1"/>
  <c r="B600" s="1"/>
  <c r="N601"/>
  <c r="P601" s="1"/>
  <c r="B601" s="1"/>
  <c r="N602"/>
  <c r="P602" s="1"/>
  <c r="B602" s="1"/>
  <c r="N603"/>
  <c r="P603" s="1"/>
  <c r="B603" s="1"/>
  <c r="N604"/>
  <c r="P604" s="1"/>
  <c r="B604" s="1"/>
  <c r="N605"/>
  <c r="P605" s="1"/>
  <c r="B605" s="1"/>
  <c r="N606"/>
  <c r="P606" s="1"/>
  <c r="B606" s="1"/>
  <c r="N607"/>
  <c r="P607" s="1"/>
  <c r="B607" s="1"/>
  <c r="N608"/>
  <c r="P608" s="1"/>
  <c r="B608" s="1"/>
  <c r="N609"/>
  <c r="P609" s="1"/>
  <c r="B609" s="1"/>
  <c r="N610"/>
  <c r="P610" s="1"/>
  <c r="B610" s="1"/>
  <c r="N611"/>
  <c r="P611" s="1"/>
  <c r="B611" s="1"/>
  <c r="N612"/>
  <c r="P612" s="1"/>
  <c r="B612" s="1"/>
  <c r="N613"/>
  <c r="P613" s="1"/>
  <c r="B613" s="1"/>
  <c r="N614"/>
  <c r="P614" s="1"/>
  <c r="B614" s="1"/>
  <c r="N615"/>
  <c r="P615" s="1"/>
  <c r="B615" s="1"/>
  <c r="N616"/>
  <c r="P616" s="1"/>
  <c r="B616" s="1"/>
  <c r="N617"/>
  <c r="P617" s="1"/>
  <c r="B617" s="1"/>
  <c r="N618"/>
  <c r="N619"/>
  <c r="N620"/>
  <c r="N621"/>
  <c r="N622"/>
  <c r="N623"/>
  <c r="P623" s="1"/>
  <c r="B623" s="1"/>
  <c r="N624"/>
  <c r="P624" s="1"/>
  <c r="B624" s="1"/>
  <c r="N626"/>
  <c r="P626" s="1"/>
  <c r="B626" s="1"/>
  <c r="N627"/>
  <c r="N628"/>
  <c r="N629"/>
  <c r="P629" s="1"/>
  <c r="B629" s="1"/>
  <c r="N630"/>
  <c r="P630" s="1"/>
  <c r="B630" s="1"/>
  <c r="N631"/>
  <c r="P631" s="1"/>
  <c r="B631" s="1"/>
  <c r="N632"/>
  <c r="P632" s="1"/>
  <c r="B632" s="1"/>
  <c r="N633"/>
  <c r="P633" s="1"/>
  <c r="B633" s="1"/>
  <c r="N634"/>
  <c r="P634" s="1"/>
  <c r="B634" s="1"/>
  <c r="N635"/>
  <c r="P635" s="1"/>
  <c r="B635" s="1"/>
  <c r="N636"/>
  <c r="P636" s="1"/>
  <c r="B636" s="1"/>
  <c r="N637"/>
  <c r="N638"/>
  <c r="P638" s="1"/>
  <c r="B638" s="1"/>
  <c r="N639"/>
  <c r="N640"/>
  <c r="N641"/>
  <c r="N642"/>
  <c r="P642" s="1"/>
  <c r="B642" s="1"/>
  <c r="N643"/>
  <c r="P643" s="1"/>
  <c r="B643" s="1"/>
  <c r="N644"/>
  <c r="P644" s="1"/>
  <c r="B644" s="1"/>
  <c r="N645"/>
  <c r="P645" s="1"/>
  <c r="B645" s="1"/>
  <c r="N646"/>
  <c r="P646" s="1"/>
  <c r="B646" s="1"/>
  <c r="N647"/>
  <c r="P647" s="1"/>
  <c r="B647" s="1"/>
  <c r="N648"/>
  <c r="P648" s="1"/>
  <c r="B648" s="1"/>
  <c r="N649"/>
  <c r="P649" s="1"/>
  <c r="B649" s="1"/>
  <c r="N650"/>
  <c r="P650" s="1"/>
  <c r="B650" s="1"/>
  <c r="N651"/>
  <c r="P651" s="1"/>
  <c r="B651" s="1"/>
  <c r="N652"/>
  <c r="P652" s="1"/>
  <c r="B652" s="1"/>
  <c r="N653"/>
  <c r="P653" s="1"/>
  <c r="B653" s="1"/>
  <c r="N654"/>
  <c r="P654" s="1"/>
  <c r="B654" s="1"/>
  <c r="N655"/>
  <c r="P655" s="1"/>
  <c r="B655" s="1"/>
  <c r="N656"/>
  <c r="P656" s="1"/>
  <c r="B656" s="1"/>
  <c r="N657"/>
  <c r="P657" s="1"/>
  <c r="B657" s="1"/>
  <c r="N658"/>
  <c r="P658" s="1"/>
  <c r="B658" s="1"/>
  <c r="N659"/>
  <c r="P659" s="1"/>
  <c r="B659" s="1"/>
  <c r="N660"/>
  <c r="N661"/>
  <c r="N662"/>
  <c r="N663"/>
  <c r="N664"/>
  <c r="P664" s="1"/>
  <c r="B664" s="1"/>
  <c r="N665"/>
  <c r="P665" s="1"/>
  <c r="B665" s="1"/>
  <c r="N666"/>
  <c r="N667"/>
  <c r="P667" s="1"/>
  <c r="B667" s="1"/>
  <c r="N668"/>
  <c r="P668" s="1"/>
  <c r="B668" s="1"/>
  <c r="N669"/>
  <c r="N670"/>
  <c r="P670" s="1"/>
  <c r="B670" s="1"/>
  <c r="N671"/>
  <c r="P671" s="1"/>
  <c r="B671" s="1"/>
  <c r="N672"/>
  <c r="P672" s="1"/>
  <c r="B672" s="1"/>
  <c r="N673"/>
  <c r="P673" s="1"/>
  <c r="B673" s="1"/>
  <c r="N674"/>
  <c r="P674" s="1"/>
  <c r="B674" s="1"/>
  <c r="N675"/>
  <c r="N676"/>
  <c r="P676" s="1"/>
  <c r="B676" s="1"/>
  <c r="N677"/>
  <c r="P677" s="1"/>
  <c r="B677" s="1"/>
  <c r="N678"/>
  <c r="P678" s="1"/>
  <c r="B678" s="1"/>
  <c r="N679"/>
  <c r="P679" s="1"/>
  <c r="B679" s="1"/>
  <c r="N680"/>
  <c r="P680" s="1"/>
  <c r="B680" s="1"/>
  <c r="N681"/>
  <c r="P681" s="1"/>
  <c r="B681" s="1"/>
  <c r="N682"/>
  <c r="P682" s="1"/>
  <c r="B682" s="1"/>
  <c r="N683"/>
  <c r="P683" s="1"/>
  <c r="B683" s="1"/>
  <c r="N684"/>
  <c r="P684" s="1"/>
  <c r="B684" s="1"/>
  <c r="N685"/>
  <c r="P685" s="1"/>
  <c r="B685" s="1"/>
  <c r="N686"/>
  <c r="P686" s="1"/>
  <c r="B686" s="1"/>
  <c r="N687"/>
  <c r="P687" s="1"/>
  <c r="B687" s="1"/>
  <c r="N688"/>
  <c r="P688" s="1"/>
  <c r="B688" s="1"/>
  <c r="N689"/>
  <c r="P689" s="1"/>
  <c r="B689" s="1"/>
  <c r="N690"/>
  <c r="P690" s="1"/>
  <c r="B690" s="1"/>
  <c r="N691"/>
  <c r="P691" s="1"/>
  <c r="B691" s="1"/>
  <c r="N692"/>
  <c r="P692" s="1"/>
  <c r="B692" s="1"/>
  <c r="N693"/>
  <c r="N694"/>
  <c r="P694" s="1"/>
  <c r="B694" s="1"/>
  <c r="N695"/>
  <c r="N696"/>
  <c r="P696" s="1"/>
  <c r="B696" s="1"/>
  <c r="N697"/>
  <c r="P697" s="1"/>
  <c r="B697" s="1"/>
  <c r="N698"/>
  <c r="N700"/>
  <c r="P700" s="1"/>
  <c r="B700" s="1"/>
  <c r="N701"/>
  <c r="P701" s="1"/>
  <c r="B701" s="1"/>
  <c r="N702"/>
  <c r="P702" s="1"/>
  <c r="B702" s="1"/>
  <c r="N703"/>
  <c r="N705"/>
  <c r="P705" s="1"/>
  <c r="B705" s="1"/>
  <c r="N706"/>
  <c r="P706" s="1"/>
  <c r="B706" s="1"/>
  <c r="N707"/>
  <c r="P707" s="1"/>
  <c r="B707" s="1"/>
  <c r="N708"/>
  <c r="P708" s="1"/>
  <c r="B708" s="1"/>
  <c r="N709"/>
  <c r="N710"/>
  <c r="P710" s="1"/>
  <c r="B710" s="1"/>
  <c r="N711"/>
  <c r="P711" s="1"/>
  <c r="B711" s="1"/>
  <c r="N712"/>
  <c r="N713"/>
  <c r="P713" s="1"/>
  <c r="B713" s="1"/>
  <c r="N714"/>
  <c r="N715"/>
  <c r="P715" s="1"/>
  <c r="B715" s="1"/>
  <c r="N716"/>
  <c r="P716" s="1"/>
  <c r="B716" s="1"/>
  <c r="N717"/>
  <c r="P717" s="1"/>
  <c r="B717" s="1"/>
  <c r="N718"/>
  <c r="P718" s="1"/>
  <c r="B718" s="1"/>
  <c r="N719"/>
  <c r="P719" s="1"/>
  <c r="B719" s="1"/>
  <c r="N720"/>
  <c r="P720" s="1"/>
  <c r="B720" s="1"/>
  <c r="N721"/>
  <c r="P721" s="1"/>
  <c r="B721" s="1"/>
  <c r="N722"/>
  <c r="P722" s="1"/>
  <c r="B722" s="1"/>
  <c r="N723"/>
  <c r="P723" s="1"/>
  <c r="B723" s="1"/>
  <c r="N724"/>
  <c r="N725"/>
  <c r="P725" s="1"/>
  <c r="B725" s="1"/>
  <c r="N726"/>
  <c r="N727"/>
  <c r="P727" s="1"/>
  <c r="B727" s="1"/>
  <c r="N728"/>
  <c r="N729"/>
  <c r="N730"/>
  <c r="P730" s="1"/>
  <c r="B730" s="1"/>
  <c r="N731"/>
  <c r="P731" s="1"/>
  <c r="B731" s="1"/>
  <c r="N732"/>
  <c r="P732" s="1"/>
  <c r="B732" s="1"/>
  <c r="N733"/>
  <c r="P733" s="1"/>
  <c r="B733" s="1"/>
  <c r="N734"/>
  <c r="P734" s="1"/>
  <c r="B734" s="1"/>
  <c r="N735"/>
  <c r="P735" s="1"/>
  <c r="B735" s="1"/>
  <c r="N736"/>
  <c r="N737"/>
  <c r="N738"/>
  <c r="N739"/>
  <c r="P739" s="1"/>
  <c r="B739" s="1"/>
  <c r="N740"/>
  <c r="N741"/>
  <c r="P741" s="1"/>
  <c r="B741" s="1"/>
  <c r="N742"/>
  <c r="P742" s="1"/>
  <c r="B742" s="1"/>
  <c r="N743"/>
  <c r="P743" s="1"/>
  <c r="B743" s="1"/>
  <c r="N744"/>
  <c r="P744" s="1"/>
  <c r="B744" s="1"/>
  <c r="N745"/>
  <c r="P745" s="1"/>
  <c r="B745" s="1"/>
  <c r="N746"/>
  <c r="P746" s="1"/>
  <c r="B746" s="1"/>
  <c r="N747"/>
  <c r="N748"/>
  <c r="P748" s="1"/>
  <c r="B748" s="1"/>
  <c r="N749"/>
  <c r="P749" s="1"/>
  <c r="B749" s="1"/>
  <c r="N750"/>
  <c r="P750" s="1"/>
  <c r="B750" s="1"/>
  <c r="N751"/>
  <c r="P751" s="1"/>
  <c r="B751" s="1"/>
  <c r="N752"/>
  <c r="P752" s="1"/>
  <c r="B752" s="1"/>
  <c r="N753"/>
  <c r="P753" s="1"/>
  <c r="B753" s="1"/>
  <c r="N754"/>
  <c r="N755"/>
  <c r="P755" s="1"/>
  <c r="B755" s="1"/>
  <c r="N756"/>
  <c r="N757"/>
  <c r="P757" s="1"/>
  <c r="B757" s="1"/>
  <c r="N758"/>
  <c r="P758" s="1"/>
  <c r="B758" s="1"/>
  <c r="N759"/>
  <c r="P759" s="1"/>
  <c r="B759" s="1"/>
  <c r="N760"/>
  <c r="N761"/>
  <c r="P761" s="1"/>
  <c r="B761" s="1"/>
  <c r="N762"/>
  <c r="N763"/>
  <c r="N764"/>
  <c r="P764" s="1"/>
  <c r="B764" s="1"/>
  <c r="N765"/>
  <c r="P765" s="1"/>
  <c r="B765" s="1"/>
  <c r="N766"/>
  <c r="P766" s="1"/>
  <c r="B766" s="1"/>
  <c r="N767"/>
  <c r="P767" s="1"/>
  <c r="B767" s="1"/>
  <c r="N768"/>
  <c r="P768" s="1"/>
  <c r="B768" s="1"/>
  <c r="N769"/>
  <c r="P769" s="1"/>
  <c r="B769" s="1"/>
  <c r="N770"/>
  <c r="N771"/>
  <c r="N772"/>
  <c r="P772" s="1"/>
  <c r="B772" s="1"/>
  <c r="N773"/>
  <c r="N774"/>
  <c r="P774" s="1"/>
  <c r="B774" s="1"/>
  <c r="N775"/>
  <c r="P775" s="1"/>
  <c r="B775" s="1"/>
  <c r="N776"/>
  <c r="P776" s="1"/>
  <c r="B776" s="1"/>
  <c r="N777"/>
  <c r="P777" s="1"/>
  <c r="B777" s="1"/>
  <c r="N778"/>
  <c r="P778" s="1"/>
  <c r="B778" s="1"/>
  <c r="N779"/>
  <c r="P779" s="1"/>
  <c r="B779" s="1"/>
  <c r="N780"/>
  <c r="P780" s="1"/>
  <c r="B780" s="1"/>
  <c r="N781"/>
  <c r="P781" s="1"/>
  <c r="B781" s="1"/>
  <c r="N782"/>
  <c r="P782" s="1"/>
  <c r="B782" s="1"/>
  <c r="N783"/>
  <c r="P783" s="1"/>
  <c r="B783" s="1"/>
  <c r="N784"/>
  <c r="P784" s="1"/>
  <c r="B784" s="1"/>
  <c r="N785"/>
  <c r="P785" s="1"/>
  <c r="B785" s="1"/>
  <c r="N786"/>
  <c r="P786" s="1"/>
  <c r="B786" s="1"/>
  <c r="N787"/>
  <c r="P787" s="1"/>
  <c r="B787" s="1"/>
  <c r="N788"/>
  <c r="P788" s="1"/>
  <c r="B788" s="1"/>
  <c r="N789"/>
  <c r="P789" s="1"/>
  <c r="B789" s="1"/>
  <c r="N790"/>
  <c r="P790" s="1"/>
  <c r="B790" s="1"/>
  <c r="N791"/>
  <c r="P791" s="1"/>
  <c r="B791" s="1"/>
  <c r="N792"/>
  <c r="P792" s="1"/>
  <c r="B792" s="1"/>
  <c r="N793"/>
  <c r="P793" s="1"/>
  <c r="B793" s="1"/>
  <c r="N794"/>
  <c r="P794" s="1"/>
  <c r="B794" s="1"/>
  <c r="N795"/>
  <c r="P795" s="1"/>
  <c r="B795" s="1"/>
  <c r="N796"/>
  <c r="P796" s="1"/>
  <c r="B796" s="1"/>
  <c r="N797"/>
  <c r="P797" s="1"/>
  <c r="B797" s="1"/>
  <c r="N798"/>
  <c r="N799"/>
  <c r="N800"/>
  <c r="P800" s="1"/>
  <c r="B800" s="1"/>
  <c r="N801"/>
  <c r="N802"/>
  <c r="N803"/>
  <c r="P803" s="1"/>
  <c r="B803" s="1"/>
  <c r="N804"/>
  <c r="P804" s="1"/>
  <c r="B804" s="1"/>
  <c r="N805"/>
  <c r="P805" s="1"/>
  <c r="B805" s="1"/>
  <c r="N806"/>
  <c r="P806" s="1"/>
  <c r="B806" s="1"/>
  <c r="N807"/>
  <c r="P807" s="1"/>
  <c r="B807" s="1"/>
  <c r="N808"/>
  <c r="P808" s="1"/>
  <c r="B808" s="1"/>
  <c r="N809"/>
  <c r="P809" s="1"/>
  <c r="B809" s="1"/>
  <c r="N810"/>
  <c r="P810" s="1"/>
  <c r="B810" s="1"/>
  <c r="N811"/>
  <c r="P811" s="1"/>
  <c r="B811" s="1"/>
  <c r="N812"/>
  <c r="P812" s="1"/>
  <c r="B812" s="1"/>
  <c r="N813"/>
  <c r="P813" s="1"/>
  <c r="B813" s="1"/>
  <c r="N814"/>
  <c r="P814" s="1"/>
  <c r="B814" s="1"/>
  <c r="N815"/>
  <c r="P815" s="1"/>
  <c r="B815" s="1"/>
  <c r="N816"/>
  <c r="P816" s="1"/>
  <c r="B816" s="1"/>
  <c r="N817"/>
  <c r="N818"/>
  <c r="P818" s="1"/>
  <c r="B818" s="1"/>
  <c r="N819"/>
  <c r="N820"/>
  <c r="P820" s="1"/>
  <c r="B820" s="1"/>
  <c r="N821"/>
  <c r="P821" s="1"/>
  <c r="B821" s="1"/>
  <c r="N822"/>
  <c r="N823"/>
  <c r="N824"/>
  <c r="P824" s="1"/>
  <c r="B824" s="1"/>
  <c r="N825"/>
  <c r="P825" s="1"/>
  <c r="B825" s="1"/>
  <c r="N826"/>
  <c r="P826" s="1"/>
  <c r="B826" s="1"/>
  <c r="N827"/>
  <c r="P827" s="1"/>
  <c r="B827" s="1"/>
  <c r="N828"/>
  <c r="P828" s="1"/>
  <c r="B828" s="1"/>
  <c r="N829"/>
  <c r="P829" s="1"/>
  <c r="B829" s="1"/>
  <c r="N830"/>
  <c r="P830" s="1"/>
  <c r="B830" s="1"/>
  <c r="N831"/>
  <c r="P831" s="1"/>
  <c r="B831" s="1"/>
  <c r="N832"/>
  <c r="P832" s="1"/>
  <c r="B832" s="1"/>
  <c r="N833"/>
  <c r="P833" s="1"/>
  <c r="B833" s="1"/>
  <c r="N834"/>
  <c r="P834" s="1"/>
  <c r="B834" s="1"/>
  <c r="N835"/>
  <c r="N836"/>
  <c r="N837"/>
  <c r="P837" s="1"/>
  <c r="B837" s="1"/>
  <c r="N838"/>
  <c r="P838" s="1"/>
  <c r="B838" s="1"/>
  <c r="N839"/>
  <c r="N840"/>
  <c r="N841"/>
  <c r="P841" s="1"/>
  <c r="B841" s="1"/>
  <c r="N842"/>
  <c r="P842" s="1"/>
  <c r="B842" s="1"/>
  <c r="N843"/>
  <c r="P843" s="1"/>
  <c r="B843" s="1"/>
  <c r="N844"/>
  <c r="P844" s="1"/>
  <c r="B844" s="1"/>
  <c r="N845"/>
  <c r="P845" s="1"/>
  <c r="B845" s="1"/>
  <c r="N846"/>
  <c r="P846" s="1"/>
  <c r="B846" s="1"/>
  <c r="N847"/>
  <c r="P847" s="1"/>
  <c r="B847" s="1"/>
  <c r="N848"/>
  <c r="P848" s="1"/>
  <c r="B848" s="1"/>
  <c r="N849"/>
  <c r="P849" s="1"/>
  <c r="B849" s="1"/>
  <c r="N850"/>
  <c r="P850" s="1"/>
  <c r="B850" s="1"/>
  <c r="N851"/>
  <c r="P851" s="1"/>
  <c r="B851" s="1"/>
  <c r="N852"/>
  <c r="P852" s="1"/>
  <c r="B852" s="1"/>
  <c r="N853"/>
  <c r="P853" s="1"/>
  <c r="B853" s="1"/>
  <c r="N854"/>
  <c r="P854" s="1"/>
  <c r="B854" s="1"/>
  <c r="N855"/>
  <c r="P855" s="1"/>
  <c r="B855" s="1"/>
  <c r="N856"/>
  <c r="P856" s="1"/>
  <c r="B856" s="1"/>
  <c r="N857"/>
  <c r="P857" s="1"/>
  <c r="B857" s="1"/>
  <c r="N858"/>
  <c r="P858" s="1"/>
  <c r="B858" s="1"/>
  <c r="N859"/>
  <c r="P859" s="1"/>
  <c r="B859" s="1"/>
  <c r="N860"/>
  <c r="P860" s="1"/>
  <c r="B860" s="1"/>
  <c r="N861"/>
  <c r="P861" s="1"/>
  <c r="B861" s="1"/>
  <c r="N862"/>
  <c r="P862" s="1"/>
  <c r="B862" s="1"/>
  <c r="N863"/>
  <c r="P863" s="1"/>
  <c r="B863" s="1"/>
  <c r="N864"/>
  <c r="P864" s="1"/>
  <c r="B864" s="1"/>
  <c r="N865"/>
  <c r="P865" s="1"/>
  <c r="B865" s="1"/>
  <c r="N866"/>
  <c r="P866" s="1"/>
  <c r="B866" s="1"/>
  <c r="N867"/>
  <c r="P867" s="1"/>
  <c r="B867" s="1"/>
  <c r="N868"/>
  <c r="P868" s="1"/>
  <c r="B868" s="1"/>
  <c r="N869"/>
  <c r="P869" s="1"/>
  <c r="B869" s="1"/>
  <c r="N870"/>
  <c r="P870" s="1"/>
  <c r="B870" s="1"/>
  <c r="N871"/>
  <c r="N872"/>
  <c r="P872" s="1"/>
  <c r="B872" s="1"/>
  <c r="N873"/>
  <c r="P873" s="1"/>
  <c r="B873" s="1"/>
  <c r="N874"/>
  <c r="P874" s="1"/>
  <c r="B874" s="1"/>
  <c r="N875"/>
  <c r="P875" s="1"/>
  <c r="B875" s="1"/>
  <c r="N876"/>
  <c r="P876" s="1"/>
  <c r="B876" s="1"/>
  <c r="N877"/>
  <c r="P877" s="1"/>
  <c r="B877" s="1"/>
  <c r="N878"/>
  <c r="P878" s="1"/>
  <c r="B878" s="1"/>
  <c r="N879"/>
  <c r="N880"/>
  <c r="N881"/>
  <c r="N882"/>
  <c r="N883"/>
  <c r="N884"/>
  <c r="N885"/>
  <c r="P885" s="1"/>
  <c r="B885" s="1"/>
  <c r="N886"/>
  <c r="P886" s="1"/>
  <c r="B886" s="1"/>
  <c r="N887"/>
  <c r="P887" s="1"/>
  <c r="B887" s="1"/>
  <c r="N888"/>
  <c r="P888" s="1"/>
  <c r="B888" s="1"/>
  <c r="N889"/>
  <c r="N890"/>
  <c r="P890" s="1"/>
  <c r="B890" s="1"/>
  <c r="N891"/>
  <c r="P891" s="1"/>
  <c r="B891" s="1"/>
  <c r="N892"/>
  <c r="P892" s="1"/>
  <c r="B892" s="1"/>
  <c r="N893"/>
  <c r="N894"/>
  <c r="N895"/>
  <c r="P895" s="1"/>
  <c r="B895" s="1"/>
  <c r="N896"/>
  <c r="N897"/>
  <c r="N898"/>
  <c r="P898" s="1"/>
  <c r="B898" s="1"/>
  <c r="N899"/>
  <c r="N900"/>
  <c r="N901"/>
  <c r="N902"/>
  <c r="O902" s="1"/>
  <c r="N903"/>
  <c r="N904"/>
  <c r="P904" s="1"/>
  <c r="B904" s="1"/>
  <c r="N905"/>
  <c r="N906"/>
  <c r="P906" s="1"/>
  <c r="B906" s="1"/>
  <c r="N907"/>
  <c r="P907" s="1"/>
  <c r="B907" s="1"/>
  <c r="N908"/>
  <c r="P908" s="1"/>
  <c r="B908" s="1"/>
  <c r="N909"/>
  <c r="P909" s="1"/>
  <c r="B909" s="1"/>
  <c r="N910"/>
  <c r="P910" s="1"/>
  <c r="B910" s="1"/>
  <c r="N911"/>
  <c r="P911" s="1"/>
  <c r="B911" s="1"/>
  <c r="N912"/>
  <c r="P912" s="1"/>
  <c r="B912" s="1"/>
  <c r="N913"/>
  <c r="N914"/>
  <c r="N915"/>
  <c r="N916"/>
  <c r="N917"/>
  <c r="N918"/>
  <c r="N919"/>
  <c r="N920"/>
  <c r="N922"/>
  <c r="N923"/>
  <c r="P923" s="1"/>
  <c r="B923" s="1"/>
  <c r="N924"/>
  <c r="P924" s="1"/>
  <c r="B924" s="1"/>
  <c r="N925"/>
  <c r="P925" s="1"/>
  <c r="B925" s="1"/>
  <c r="N926"/>
  <c r="P926" s="1"/>
  <c r="B926" s="1"/>
  <c r="N927"/>
  <c r="P927" s="1"/>
  <c r="B927" s="1"/>
  <c r="N928"/>
  <c r="P928" s="1"/>
  <c r="B928" s="1"/>
  <c r="N929"/>
  <c r="P929" s="1"/>
  <c r="B929" s="1"/>
  <c r="N930"/>
  <c r="P930" s="1"/>
  <c r="B930" s="1"/>
  <c r="N931"/>
  <c r="P931" s="1"/>
  <c r="B931" s="1"/>
  <c r="N932"/>
  <c r="P932" s="1"/>
  <c r="B932" s="1"/>
  <c r="N933"/>
  <c r="P933" s="1"/>
  <c r="B933" s="1"/>
  <c r="N934"/>
  <c r="P934" s="1"/>
  <c r="B934" s="1"/>
  <c r="N935"/>
  <c r="P935" s="1"/>
  <c r="B935" s="1"/>
  <c r="N936"/>
  <c r="P936" s="1"/>
  <c r="B936" s="1"/>
  <c r="N937"/>
  <c r="P937" s="1"/>
  <c r="B937" s="1"/>
  <c r="N938"/>
  <c r="P938" s="1"/>
  <c r="B938" s="1"/>
  <c r="N939"/>
  <c r="P939" s="1"/>
  <c r="B939" s="1"/>
  <c r="N940"/>
  <c r="P940" s="1"/>
  <c r="B940" s="1"/>
  <c r="N941"/>
  <c r="P941" s="1"/>
  <c r="B941" s="1"/>
  <c r="N942"/>
  <c r="P942" s="1"/>
  <c r="B942" s="1"/>
  <c r="N943"/>
  <c r="P943" s="1"/>
  <c r="B943" s="1"/>
  <c r="N944"/>
  <c r="P944" s="1"/>
  <c r="B944" s="1"/>
  <c r="N945"/>
  <c r="P945" s="1"/>
  <c r="B945" s="1"/>
  <c r="N946"/>
  <c r="P946" s="1"/>
  <c r="B946" s="1"/>
  <c r="N947"/>
  <c r="P947" s="1"/>
  <c r="B947" s="1"/>
  <c r="N948"/>
  <c r="P948" s="1"/>
  <c r="B948" s="1"/>
  <c r="N949"/>
  <c r="P949" s="1"/>
  <c r="B949" s="1"/>
  <c r="N950"/>
  <c r="P950" s="1"/>
  <c r="B950" s="1"/>
  <c r="N951"/>
  <c r="P951" s="1"/>
  <c r="B951" s="1"/>
  <c r="N952"/>
  <c r="P952" s="1"/>
  <c r="B952" s="1"/>
  <c r="N953"/>
  <c r="P953" s="1"/>
  <c r="B953" s="1"/>
  <c r="N954"/>
  <c r="P954" s="1"/>
  <c r="B954" s="1"/>
  <c r="N955"/>
  <c r="P955" s="1"/>
  <c r="B955" s="1"/>
  <c r="N956"/>
  <c r="P956" s="1"/>
  <c r="B956" s="1"/>
  <c r="N957"/>
  <c r="N958"/>
  <c r="P958" s="1"/>
  <c r="B958" s="1"/>
  <c r="N959"/>
  <c r="P959" s="1"/>
  <c r="B959" s="1"/>
  <c r="N960"/>
  <c r="N961"/>
  <c r="N962"/>
  <c r="N963"/>
  <c r="P963" s="1"/>
  <c r="B963" s="1"/>
  <c r="N964"/>
  <c r="P964" s="1"/>
  <c r="B964" s="1"/>
  <c r="N965"/>
  <c r="P965" s="1"/>
  <c r="B965" s="1"/>
  <c r="N966"/>
  <c r="P966" s="1"/>
  <c r="B966" s="1"/>
  <c r="N967"/>
  <c r="O967" s="1"/>
  <c r="N968"/>
  <c r="O968" s="1"/>
  <c r="N969"/>
  <c r="O969" s="1"/>
  <c r="N970"/>
  <c r="P970" s="1"/>
  <c r="B970" s="1"/>
  <c r="N971"/>
  <c r="P971" s="1"/>
  <c r="B971" s="1"/>
  <c r="N973"/>
  <c r="P973" s="1"/>
  <c r="B973" s="1"/>
  <c r="N974"/>
  <c r="P974" s="1"/>
  <c r="B974" s="1"/>
  <c r="N975"/>
  <c r="N976"/>
  <c r="P976" s="1"/>
  <c r="B976" s="1"/>
  <c r="N977"/>
  <c r="N978"/>
  <c r="N979"/>
  <c r="P979" s="1"/>
  <c r="B979" s="1"/>
  <c r="N980"/>
  <c r="P980" s="1"/>
  <c r="B980" s="1"/>
  <c r="N981"/>
  <c r="P981" s="1"/>
  <c r="B981" s="1"/>
  <c r="N982"/>
  <c r="N983"/>
  <c r="N984"/>
  <c r="N985"/>
  <c r="N986"/>
  <c r="N987"/>
  <c r="P987" s="1"/>
  <c r="B987" s="1"/>
  <c r="N988"/>
  <c r="N989"/>
  <c r="N990"/>
  <c r="N991"/>
  <c r="N994"/>
  <c r="N996"/>
  <c r="N997"/>
  <c r="N998"/>
  <c r="N999"/>
  <c r="N1000"/>
  <c r="N1001"/>
  <c r="N1002"/>
  <c r="N1003"/>
  <c r="N1004"/>
  <c r="N1005"/>
  <c r="N1006"/>
  <c r="N1008"/>
  <c r="N1010"/>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2"/>
  <c r="N1053"/>
  <c r="O1053" s="1"/>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P1087" s="1"/>
  <c r="B1087" s="1"/>
  <c r="N1088"/>
  <c r="P1088" s="1"/>
  <c r="B1088" s="1"/>
  <c r="N1089"/>
  <c r="P1089" s="1"/>
  <c r="B1089" s="1"/>
  <c r="N1090"/>
  <c r="P1090" s="1"/>
  <c r="B1090" s="1"/>
  <c r="N1091"/>
  <c r="P1091" s="1"/>
  <c r="B1091" s="1"/>
  <c r="N1092"/>
  <c r="P1092" s="1"/>
  <c r="B1092" s="1"/>
  <c r="N1093"/>
  <c r="P1093" s="1"/>
  <c r="B1093" s="1"/>
  <c r="N1094"/>
  <c r="N1095"/>
  <c r="N1097"/>
  <c r="N1098"/>
  <c r="N1099"/>
  <c r="N1102"/>
  <c r="N1105"/>
  <c r="N1107"/>
  <c r="N1110"/>
  <c r="N1111"/>
  <c r="N1113"/>
  <c r="N1114"/>
  <c r="N1116"/>
  <c r="N1119"/>
  <c r="N1120"/>
  <c r="N1121"/>
  <c r="N1122"/>
  <c r="N1123"/>
  <c r="N1124"/>
  <c r="N1125"/>
  <c r="N1126"/>
  <c r="N1127"/>
  <c r="N1128"/>
  <c r="N1129"/>
  <c r="N1130"/>
  <c r="N1131"/>
  <c r="N1132"/>
  <c r="N1133"/>
  <c r="O1133" s="1"/>
  <c r="N1135"/>
  <c r="N1136"/>
  <c r="N1137"/>
  <c r="N1138"/>
  <c r="N1139"/>
  <c r="N1140"/>
  <c r="N1141"/>
  <c r="N1142"/>
  <c r="N1143"/>
  <c r="O1143" s="1"/>
  <c r="N1144"/>
  <c r="N1145"/>
  <c r="O1145" s="1"/>
  <c r="N1146"/>
  <c r="N1147"/>
  <c r="N1148"/>
  <c r="N1149"/>
  <c r="N1150"/>
  <c r="N1152"/>
  <c r="N1153"/>
  <c r="N1154"/>
  <c r="N1155"/>
  <c r="N1156"/>
  <c r="N1157"/>
  <c r="N1158"/>
  <c r="O1158" s="1"/>
  <c r="N1159"/>
  <c r="O1159" s="1"/>
  <c r="N1160"/>
  <c r="N1161"/>
  <c r="N1162"/>
  <c r="N1163"/>
  <c r="N1164"/>
  <c r="N1165"/>
  <c r="N1166"/>
  <c r="N1167"/>
  <c r="N1168"/>
  <c r="N1169"/>
  <c r="N1170"/>
  <c r="P1170" s="1"/>
  <c r="B1170" s="1"/>
  <c r="N1171"/>
  <c r="P1171" s="1"/>
  <c r="B1171" s="1"/>
  <c r="N1172"/>
  <c r="N1173"/>
  <c r="N1174"/>
  <c r="N1175"/>
  <c r="P1175" s="1"/>
  <c r="B1175" s="1"/>
  <c r="N1176"/>
  <c r="P1176" s="1"/>
  <c r="B1176" s="1"/>
  <c r="N1177"/>
  <c r="P1177" s="1"/>
  <c r="B1177" s="1"/>
  <c r="N1178"/>
  <c r="P1178" s="1"/>
  <c r="B1178" s="1"/>
  <c r="N1179"/>
  <c r="P1179" s="1"/>
  <c r="B1179" s="1"/>
  <c r="N1180"/>
  <c r="P1180" s="1"/>
  <c r="B1180" s="1"/>
  <c r="N1181"/>
  <c r="P1181" s="1"/>
  <c r="B1181" s="1"/>
  <c r="N1182"/>
  <c r="P1182" s="1"/>
  <c r="B1182" s="1"/>
  <c r="N1183"/>
  <c r="P1183" s="1"/>
  <c r="B1183" s="1"/>
  <c r="N1184"/>
  <c r="P1184" s="1"/>
  <c r="B1184" s="1"/>
  <c r="N1185"/>
  <c r="P1185" s="1"/>
  <c r="B1185" s="1"/>
  <c r="N1186"/>
  <c r="P1186" s="1"/>
  <c r="B1186" s="1"/>
  <c r="N1187"/>
  <c r="P1187" s="1"/>
  <c r="B1187" s="1"/>
  <c r="N1188"/>
  <c r="P1188" s="1"/>
  <c r="B1188" s="1"/>
  <c r="N1189"/>
  <c r="P1189" s="1"/>
  <c r="B1189" s="1"/>
  <c r="N1190"/>
  <c r="P1190" s="1"/>
  <c r="B1190" s="1"/>
  <c r="N1191"/>
  <c r="P1191" s="1"/>
  <c r="B1191" s="1"/>
  <c r="N1192"/>
  <c r="P1192" s="1"/>
  <c r="B1192" s="1"/>
  <c r="N1193"/>
  <c r="P1193" s="1"/>
  <c r="B1193" s="1"/>
  <c r="N1194"/>
  <c r="P1194" s="1"/>
  <c r="B1194" s="1"/>
  <c r="N1195"/>
  <c r="P1195" s="1"/>
  <c r="B1195" s="1"/>
  <c r="N1196"/>
  <c r="P1196" s="1"/>
  <c r="B1196" s="1"/>
  <c r="N1197"/>
  <c r="P1197" s="1"/>
  <c r="B1197" s="1"/>
  <c r="N1198"/>
  <c r="P1198" s="1"/>
  <c r="B1198" s="1"/>
  <c r="N1199"/>
  <c r="P1199" s="1"/>
  <c r="B1199" s="1"/>
  <c r="N1200"/>
  <c r="P1200" s="1"/>
  <c r="B1200" s="1"/>
  <c r="N1201"/>
  <c r="P1201" s="1"/>
  <c r="B1201" s="1"/>
  <c r="N1202"/>
  <c r="P1202" s="1"/>
  <c r="B1202" s="1"/>
  <c r="N1203"/>
  <c r="P1203" s="1"/>
  <c r="B1203" s="1"/>
  <c r="N1204"/>
  <c r="P1204" s="1"/>
  <c r="B1204" s="1"/>
  <c r="N1205"/>
  <c r="P1205" s="1"/>
  <c r="B1205" s="1"/>
  <c r="N1206"/>
  <c r="P1206" s="1"/>
  <c r="B1206" s="1"/>
  <c r="N1207"/>
  <c r="P1207" s="1"/>
  <c r="B1207" s="1"/>
  <c r="N1208"/>
  <c r="P1208" s="1"/>
  <c r="B1208" s="1"/>
  <c r="N1209"/>
  <c r="P1209" s="1"/>
  <c r="B1209" s="1"/>
  <c r="N1210"/>
  <c r="P1210" s="1"/>
  <c r="B1210" s="1"/>
  <c r="N1211"/>
  <c r="P1211" s="1"/>
  <c r="B1211" s="1"/>
  <c r="N1212"/>
  <c r="P1212" s="1"/>
  <c r="B1212" s="1"/>
  <c r="N1213"/>
  <c r="P1213" s="1"/>
  <c r="B1213" s="1"/>
  <c r="N1214"/>
  <c r="P1214" s="1"/>
  <c r="B1214" s="1"/>
  <c r="N1215"/>
  <c r="P1215" s="1"/>
  <c r="B1215" s="1"/>
  <c r="N1216"/>
  <c r="P1216" s="1"/>
  <c r="B1216" s="1"/>
  <c r="N1217"/>
  <c r="P1217" s="1"/>
  <c r="B1217" s="1"/>
  <c r="N1218"/>
  <c r="P1218" s="1"/>
  <c r="B1218" s="1"/>
  <c r="N1219"/>
  <c r="P1219" s="1"/>
  <c r="B1219" s="1"/>
  <c r="N1220"/>
  <c r="P1220" s="1"/>
  <c r="B1220" s="1"/>
  <c r="N1221"/>
  <c r="P1221" s="1"/>
  <c r="B1221" s="1"/>
  <c r="N1222"/>
  <c r="P1222" s="1"/>
  <c r="B1222" s="1"/>
  <c r="N1228"/>
  <c r="P1228" s="1"/>
  <c r="B1228" s="1"/>
  <c r="N1229"/>
  <c r="P1229" s="1"/>
  <c r="B1229" s="1"/>
  <c r="N1230"/>
  <c r="P1230" s="1"/>
  <c r="B1230" s="1"/>
  <c r="N1231"/>
  <c r="P1231" s="1"/>
  <c r="B1231" s="1"/>
  <c r="N1232"/>
  <c r="P1232" s="1"/>
  <c r="B1232" s="1"/>
  <c r="N1233"/>
  <c r="P1233" s="1"/>
  <c r="B1233" s="1"/>
  <c r="N1234"/>
  <c r="P1234" s="1"/>
  <c r="B1234" s="1"/>
  <c r="N1235"/>
  <c r="P1235" s="1"/>
  <c r="B1235" s="1"/>
  <c r="N1236"/>
  <c r="P1236" s="1"/>
  <c r="B1236" s="1"/>
  <c r="N1237"/>
  <c r="P1237" s="1"/>
  <c r="B1237" s="1"/>
  <c r="N1238"/>
  <c r="P1238" s="1"/>
  <c r="B1238" s="1"/>
  <c r="N1239"/>
  <c r="P1239" s="1"/>
  <c r="B1239" s="1"/>
  <c r="N1240"/>
  <c r="P1240" s="1"/>
  <c r="B1240" s="1"/>
  <c r="N1241"/>
  <c r="P1241" s="1"/>
  <c r="B1241" s="1"/>
  <c r="N1242"/>
  <c r="P1242" s="1"/>
  <c r="B1242" s="1"/>
  <c r="N1243"/>
  <c r="P1243" s="1"/>
  <c r="B1243" s="1"/>
  <c r="N1244"/>
  <c r="P1244" s="1"/>
  <c r="B1244" s="1"/>
  <c r="N1245"/>
  <c r="P1245" s="1"/>
  <c r="B1245" s="1"/>
  <c r="N1246"/>
  <c r="P1246" s="1"/>
  <c r="B1246" s="1"/>
  <c r="N1247"/>
  <c r="P1247" s="1"/>
  <c r="B1247" s="1"/>
  <c r="N1248"/>
  <c r="P1248" s="1"/>
  <c r="B1248" s="1"/>
  <c r="N1249"/>
  <c r="P1249" s="1"/>
  <c r="B1249" s="1"/>
  <c r="N1250"/>
  <c r="P1250" s="1"/>
  <c r="B1250" s="1"/>
  <c r="N1251"/>
  <c r="P1251" s="1"/>
  <c r="B1251" s="1"/>
  <c r="N1252"/>
  <c r="P1252" s="1"/>
  <c r="B1252" s="1"/>
  <c r="N1253"/>
  <c r="P1253" s="1"/>
  <c r="B1253" s="1"/>
  <c r="N1254"/>
  <c r="P1254" s="1"/>
  <c r="B1254" s="1"/>
  <c r="N1255"/>
  <c r="P1255" s="1"/>
  <c r="B1255" s="1"/>
  <c r="N1256"/>
  <c r="P1256" s="1"/>
  <c r="B1256" s="1"/>
  <c r="N1257"/>
  <c r="P1257" s="1"/>
  <c r="B1257" s="1"/>
  <c r="N1258"/>
  <c r="P1258" s="1"/>
  <c r="B1258" s="1"/>
  <c r="N1259"/>
  <c r="P1259" s="1"/>
  <c r="B1259" s="1"/>
  <c r="N1260"/>
  <c r="P1260" s="1"/>
  <c r="B1260" s="1"/>
  <c r="N1261"/>
  <c r="P1261" s="1"/>
  <c r="B1261" s="1"/>
  <c r="N1262"/>
  <c r="P1262" s="1"/>
  <c r="B1262" s="1"/>
  <c r="N1263"/>
  <c r="P1263" s="1"/>
  <c r="B1263" s="1"/>
  <c r="N1264"/>
  <c r="N1265"/>
  <c r="N1266"/>
  <c r="P1266" s="1"/>
  <c r="B1266" s="1"/>
  <c r="N1267"/>
  <c r="P1267" s="1"/>
  <c r="B1267" s="1"/>
  <c r="N1268"/>
  <c r="P1268" s="1"/>
  <c r="B1268" s="1"/>
  <c r="N1269"/>
  <c r="P1269" s="1"/>
  <c r="B1269" s="1"/>
  <c r="N1270"/>
  <c r="P1270" s="1"/>
  <c r="B1270" s="1"/>
  <c r="N1271"/>
  <c r="P1271" s="1"/>
  <c r="B1271" s="1"/>
  <c r="N1272"/>
  <c r="P1272" s="1"/>
  <c r="B1272" s="1"/>
  <c r="N1273"/>
  <c r="P1273" s="1"/>
  <c r="B1273" s="1"/>
  <c r="N1274"/>
  <c r="P1274" s="1"/>
  <c r="B1274" s="1"/>
  <c r="N1275"/>
  <c r="P1275" s="1"/>
  <c r="B1275" s="1"/>
  <c r="N1276"/>
  <c r="P1276" s="1"/>
  <c r="B1276" s="1"/>
  <c r="N1277"/>
  <c r="P1277" s="1"/>
  <c r="B1277" s="1"/>
  <c r="N1278"/>
  <c r="P1278" s="1"/>
  <c r="B1278" s="1"/>
  <c r="N1279"/>
  <c r="P1279" s="1"/>
  <c r="B1279" s="1"/>
  <c r="N1280"/>
  <c r="P1280" s="1"/>
  <c r="B1280" s="1"/>
  <c r="N1281"/>
  <c r="P1281" s="1"/>
  <c r="B1281" s="1"/>
  <c r="N1282"/>
  <c r="P1282" s="1"/>
  <c r="B1282" s="1"/>
  <c r="N1283"/>
  <c r="P1283" s="1"/>
  <c r="B1283" s="1"/>
  <c r="N1284"/>
  <c r="P1284" s="1"/>
  <c r="B1284" s="1"/>
  <c r="N1285"/>
  <c r="P1285" s="1"/>
  <c r="B1285" s="1"/>
  <c r="N1286"/>
  <c r="P1286" s="1"/>
  <c r="B1286" s="1"/>
  <c r="N1287"/>
  <c r="P1287" s="1"/>
  <c r="B1287" s="1"/>
  <c r="N1288"/>
  <c r="P1288" s="1"/>
  <c r="B1288" s="1"/>
  <c r="N1289"/>
  <c r="P1289" s="1"/>
  <c r="B1289" s="1"/>
  <c r="N1290"/>
  <c r="P1290" s="1"/>
  <c r="B1290" s="1"/>
  <c r="N1291"/>
  <c r="P1291" s="1"/>
  <c r="B1291" s="1"/>
  <c r="N1292"/>
  <c r="P1292" s="1"/>
  <c r="B1292" s="1"/>
  <c r="N1293"/>
  <c r="P1293" s="1"/>
  <c r="B1293" s="1"/>
  <c r="N1294"/>
  <c r="P1294" s="1"/>
  <c r="B1294" s="1"/>
  <c r="N1295"/>
  <c r="P1295" s="1"/>
  <c r="B1295" s="1"/>
  <c r="N1298"/>
  <c r="P1298" s="1"/>
  <c r="B1298" s="1"/>
  <c r="N1301"/>
  <c r="P1301" s="1"/>
  <c r="B1301" s="1"/>
  <c r="N1302"/>
  <c r="P1302" s="1"/>
  <c r="B1302" s="1"/>
  <c r="N1304"/>
  <c r="P1304" s="1"/>
  <c r="B1304" s="1"/>
  <c r="N1306"/>
  <c r="P1306" s="1"/>
  <c r="B1306" s="1"/>
  <c r="N1308"/>
  <c r="P1308" s="1"/>
  <c r="B1308" s="1"/>
  <c r="N1310"/>
  <c r="P1310" s="1"/>
  <c r="B1310" s="1"/>
  <c r="N1311"/>
  <c r="P1311" s="1"/>
  <c r="B1311" s="1"/>
  <c r="N1313"/>
  <c r="P1313" s="1"/>
  <c r="B1313" s="1"/>
  <c r="N1314"/>
  <c r="P1314" s="1"/>
  <c r="B1314" s="1"/>
  <c r="N1315"/>
  <c r="P1315" s="1"/>
  <c r="B1315" s="1"/>
  <c r="N1316"/>
  <c r="P1316" s="1"/>
  <c r="B1316" s="1"/>
  <c r="N1317"/>
  <c r="P1317" s="1"/>
  <c r="B1317" s="1"/>
  <c r="N1318"/>
  <c r="P1318" s="1"/>
  <c r="B1318" s="1"/>
  <c r="N1320"/>
  <c r="P1320" s="1"/>
  <c r="B1320" s="1"/>
  <c r="N1321"/>
  <c r="P1321" s="1"/>
  <c r="B1321" s="1"/>
  <c r="N1323"/>
  <c r="P1323" s="1"/>
  <c r="B1323" s="1"/>
  <c r="N1325"/>
  <c r="P1325" s="1"/>
  <c r="B1325" s="1"/>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1426"/>
  <c r="K1427"/>
  <c r="K1428"/>
  <c r="K1429"/>
  <c r="K1430"/>
  <c r="K1431"/>
  <c r="K1432"/>
  <c r="K1433"/>
  <c r="K1434"/>
  <c r="K1435"/>
  <c r="K1436"/>
  <c r="K1437"/>
  <c r="K1438"/>
  <c r="K1439"/>
  <c r="K1440"/>
  <c r="K1441"/>
  <c r="K1442"/>
  <c r="K1443"/>
  <c r="K1444"/>
  <c r="K1445"/>
  <c r="K1446"/>
  <c r="K1447"/>
  <c r="K1448"/>
  <c r="K1449"/>
  <c r="K1450"/>
  <c r="K1451"/>
  <c r="K1452"/>
  <c r="K1453"/>
  <c r="K1454"/>
  <c r="K1455"/>
  <c r="K1456"/>
  <c r="K1457"/>
  <c r="K1458"/>
  <c r="K1459"/>
  <c r="K1460"/>
  <c r="K1461"/>
  <c r="K1462"/>
  <c r="K1463"/>
  <c r="K1464"/>
  <c r="K1465"/>
  <c r="I3026" i="68"/>
  <c r="I3028"/>
  <c r="I3030"/>
  <c r="I2942"/>
  <c r="F823" i="69" s="1"/>
  <c r="G823" s="1"/>
  <c r="I2939" i="68"/>
  <c r="F822" i="69" s="1"/>
  <c r="G822" s="1"/>
  <c r="F975" i="67"/>
  <c r="G975" s="1"/>
  <c r="R975" s="1"/>
  <c r="F961"/>
  <c r="F2752" i="68"/>
  <c r="I2752" s="1"/>
  <c r="I2705"/>
  <c r="F960" i="67"/>
  <c r="G960" s="1"/>
  <c r="R960" s="1"/>
  <c r="F370"/>
  <c r="F273"/>
  <c r="F274"/>
  <c r="F290"/>
  <c r="F291"/>
  <c r="D268"/>
  <c r="D269"/>
  <c r="D270"/>
  <c r="D271"/>
  <c r="D272"/>
  <c r="D273"/>
  <c r="D274"/>
  <c r="I274" s="1"/>
  <c r="D275"/>
  <c r="D276"/>
  <c r="D277"/>
  <c r="D278"/>
  <c r="D279"/>
  <c r="D280"/>
  <c r="D281"/>
  <c r="D282"/>
  <c r="D283"/>
  <c r="D284"/>
  <c r="D285"/>
  <c r="D286"/>
  <c r="D287"/>
  <c r="D288"/>
  <c r="D289"/>
  <c r="D290"/>
  <c r="I290" s="1"/>
  <c r="D291"/>
  <c r="D292"/>
  <c r="D151"/>
  <c r="D158"/>
  <c r="D164"/>
  <c r="D165"/>
  <c r="D166"/>
  <c r="D167"/>
  <c r="D170"/>
  <c r="D104"/>
  <c r="D105"/>
  <c r="D106"/>
  <c r="D113"/>
  <c r="D125"/>
  <c r="D126"/>
  <c r="D127"/>
  <c r="D128"/>
  <c r="D129"/>
  <c r="D130"/>
  <c r="F2746" i="68"/>
  <c r="I2696"/>
  <c r="I2697" s="1"/>
  <c r="C2481"/>
  <c r="I2258"/>
  <c r="F2247"/>
  <c r="L2232"/>
  <c r="L2231"/>
  <c r="L2229"/>
  <c r="L2223"/>
  <c r="L2222"/>
  <c r="L2220"/>
  <c r="L2214"/>
  <c r="L2213"/>
  <c r="L2211"/>
  <c r="L2205"/>
  <c r="L2204"/>
  <c r="L2202"/>
  <c r="L2196"/>
  <c r="L2195"/>
  <c r="L2193"/>
  <c r="L2187"/>
  <c r="L2186"/>
  <c r="L2184"/>
  <c r="I2182"/>
  <c r="F2067"/>
  <c r="I2067" s="1"/>
  <c r="F2062"/>
  <c r="I2062" s="1"/>
  <c r="F2061"/>
  <c r="I2061" s="1"/>
  <c r="F2059"/>
  <c r="I2059" s="1"/>
  <c r="F2058"/>
  <c r="I2058" s="1"/>
  <c r="F2034"/>
  <c r="I2034" s="1"/>
  <c r="F2029"/>
  <c r="I2029" s="1"/>
  <c r="F2028"/>
  <c r="I2028" s="1"/>
  <c r="F2026"/>
  <c r="I2026" s="1"/>
  <c r="F2025"/>
  <c r="I2025" s="1"/>
  <c r="F2005"/>
  <c r="I2005" s="1"/>
  <c r="F2000"/>
  <c r="I2000" s="1"/>
  <c r="F1999"/>
  <c r="I1999" s="1"/>
  <c r="F1997"/>
  <c r="I1997" s="1"/>
  <c r="F1996"/>
  <c r="I1996" s="1"/>
  <c r="F1977"/>
  <c r="I1977" s="1"/>
  <c r="F1972"/>
  <c r="I1972" s="1"/>
  <c r="F1971"/>
  <c r="I1971" s="1"/>
  <c r="F1969"/>
  <c r="I1969" s="1"/>
  <c r="F1968"/>
  <c r="I1968" s="1"/>
  <c r="F1945"/>
  <c r="I1945" s="1"/>
  <c r="F1940"/>
  <c r="I1940" s="1"/>
  <c r="F1939"/>
  <c r="I1939" s="1"/>
  <c r="F1951"/>
  <c r="I1951" s="1"/>
  <c r="F1937"/>
  <c r="I1937" s="1"/>
  <c r="F1936"/>
  <c r="I1936" s="1"/>
  <c r="I1935"/>
  <c r="F2111"/>
  <c r="I2111" s="1"/>
  <c r="F2091"/>
  <c r="I2091" s="1"/>
  <c r="F2142"/>
  <c r="I2142" s="1"/>
  <c r="F2122"/>
  <c r="I2122" s="1"/>
  <c r="I2022"/>
  <c r="F2016"/>
  <c r="I2016" s="1"/>
  <c r="F1986"/>
  <c r="I1986" s="1"/>
  <c r="F1982"/>
  <c r="I1982" s="1"/>
  <c r="F1921"/>
  <c r="I1921" s="1"/>
  <c r="F1922"/>
  <c r="I1922" s="1"/>
  <c r="F1923"/>
  <c r="I1923" s="1"/>
  <c r="F1924"/>
  <c r="I1924" s="1"/>
  <c r="F1925"/>
  <c r="I1925" s="1"/>
  <c r="F1926"/>
  <c r="I1926" s="1"/>
  <c r="F1927"/>
  <c r="I1927" s="1"/>
  <c r="F1920"/>
  <c r="I1920" s="1"/>
  <c r="F1900"/>
  <c r="I1900" s="1"/>
  <c r="F1901"/>
  <c r="I1901" s="1"/>
  <c r="F1902"/>
  <c r="I1902" s="1"/>
  <c r="F1903"/>
  <c r="I1903" s="1"/>
  <c r="F1904"/>
  <c r="I1904" s="1"/>
  <c r="F1905"/>
  <c r="I1905" s="1"/>
  <c r="F1906"/>
  <c r="I1906" s="1"/>
  <c r="F1907"/>
  <c r="I1907" s="1"/>
  <c r="F1899"/>
  <c r="I1899" s="1"/>
  <c r="L1925"/>
  <c r="L1924"/>
  <c r="F1916"/>
  <c r="I1916" s="1"/>
  <c r="F1911"/>
  <c r="I1911" s="1"/>
  <c r="F1910"/>
  <c r="I1910" s="1"/>
  <c r="E1322"/>
  <c r="I1322" s="1"/>
  <c r="E1320"/>
  <c r="I1320" s="1"/>
  <c r="E1319"/>
  <c r="I1319" s="1"/>
  <c r="C1315"/>
  <c r="I1315" s="1"/>
  <c r="C1314"/>
  <c r="I1314" s="1"/>
  <c r="C1313"/>
  <c r="I1313" s="1"/>
  <c r="C1312"/>
  <c r="I1312" s="1"/>
  <c r="C1311"/>
  <c r="I1311" s="1"/>
  <c r="C1307"/>
  <c r="I1307" s="1"/>
  <c r="C1306"/>
  <c r="I1306" s="1"/>
  <c r="C1305"/>
  <c r="I1305" s="1"/>
  <c r="C1304"/>
  <c r="I1304" s="1"/>
  <c r="C1303"/>
  <c r="I1303" s="1"/>
  <c r="F25" i="66"/>
  <c r="G25"/>
  <c r="H25"/>
  <c r="I25"/>
  <c r="J25"/>
  <c r="E25"/>
  <c r="I1215" i="68"/>
  <c r="K10" i="66"/>
  <c r="E2701" i="68" s="1"/>
  <c r="I2701" s="1"/>
  <c r="I1200"/>
  <c r="I1207" s="1"/>
  <c r="I1208" s="1"/>
  <c r="F1178"/>
  <c r="F1184" s="1"/>
  <c r="F1166"/>
  <c r="I1166" s="1"/>
  <c r="F1146"/>
  <c r="I1146" s="1"/>
  <c r="F1099"/>
  <c r="I1099" s="1"/>
  <c r="F1084"/>
  <c r="I1084" s="1"/>
  <c r="F1080"/>
  <c r="I1080" s="1"/>
  <c r="I1061"/>
  <c r="I1062" s="1"/>
  <c r="I1063" s="1"/>
  <c r="F1048"/>
  <c r="I1048" s="1"/>
  <c r="F1043"/>
  <c r="I1043"/>
  <c r="F1042"/>
  <c r="I1042" s="1"/>
  <c r="F1040"/>
  <c r="F1028"/>
  <c r="I1028" s="1"/>
  <c r="F1029"/>
  <c r="I1029" s="1"/>
  <c r="F1030"/>
  <c r="I1030" s="1"/>
  <c r="F1031"/>
  <c r="I1031" s="1"/>
  <c r="F1032"/>
  <c r="I1032" s="1"/>
  <c r="F1033"/>
  <c r="I1033" s="1"/>
  <c r="F1034"/>
  <c r="I1034" s="1"/>
  <c r="F1035"/>
  <c r="I1035" s="1"/>
  <c r="F1036"/>
  <c r="I1036" s="1"/>
  <c r="F1027"/>
  <c r="I1027" s="1"/>
  <c r="K5" i="66"/>
  <c r="K6"/>
  <c r="K7"/>
  <c r="K8"/>
  <c r="K9"/>
  <c r="E2700" i="68" s="1"/>
  <c r="I2700" s="1"/>
  <c r="K11" i="66"/>
  <c r="K12"/>
  <c r="K13"/>
  <c r="K14"/>
  <c r="K15"/>
  <c r="K4"/>
  <c r="C894" i="68" s="1"/>
  <c r="I894" s="1"/>
  <c r="F292" i="69" s="1"/>
  <c r="G292" s="1"/>
  <c r="F1014" i="68"/>
  <c r="I1014" s="1"/>
  <c r="F1011"/>
  <c r="I1011" s="1"/>
  <c r="F1010"/>
  <c r="I1010" s="1"/>
  <c r="F1009"/>
  <c r="I1009" s="1"/>
  <c r="F1008"/>
  <c r="I1008" s="1"/>
  <c r="F1007"/>
  <c r="I1007" s="1"/>
  <c r="F1006"/>
  <c r="I1006" s="1"/>
  <c r="F1005"/>
  <c r="I1005" s="1"/>
  <c r="F1004"/>
  <c r="I1004" s="1"/>
  <c r="F1003"/>
  <c r="I1003" s="1"/>
  <c r="F1002"/>
  <c r="I1002" s="1"/>
  <c r="F1001"/>
  <c r="I1001" s="1"/>
  <c r="F999"/>
  <c r="I999" s="1"/>
  <c r="F998"/>
  <c r="I998" s="1"/>
  <c r="F997"/>
  <c r="I997" s="1"/>
  <c r="F996"/>
  <c r="I996" s="1"/>
  <c r="F995"/>
  <c r="I995" s="1"/>
  <c r="F994"/>
  <c r="I994" s="1"/>
  <c r="F993"/>
  <c r="I993" s="1"/>
  <c r="F992"/>
  <c r="I992" s="1"/>
  <c r="F991"/>
  <c r="I991" s="1"/>
  <c r="F990"/>
  <c r="I990" s="1"/>
  <c r="F989"/>
  <c r="I989" s="1"/>
  <c r="F988"/>
  <c r="I988" s="1"/>
  <c r="F987"/>
  <c r="I987" s="1"/>
  <c r="F986"/>
  <c r="I986" s="1"/>
  <c r="F984"/>
  <c r="I984" s="1"/>
  <c r="F983"/>
  <c r="I983" s="1"/>
  <c r="F982"/>
  <c r="I982" s="1"/>
  <c r="F973"/>
  <c r="I973" s="1"/>
  <c r="F972"/>
  <c r="I972" s="1"/>
  <c r="F981"/>
  <c r="I981" s="1"/>
  <c r="F980"/>
  <c r="I980" s="1"/>
  <c r="F979"/>
  <c r="I979" s="1"/>
  <c r="F977"/>
  <c r="I977" s="1"/>
  <c r="F976"/>
  <c r="I976" s="1"/>
  <c r="F975"/>
  <c r="I975" s="1"/>
  <c r="F971"/>
  <c r="I971" s="1"/>
  <c r="F970"/>
  <c r="I970" s="1"/>
  <c r="F969"/>
  <c r="I969" s="1"/>
  <c r="F968"/>
  <c r="I968" s="1"/>
  <c r="F967"/>
  <c r="I967" s="1"/>
  <c r="F966"/>
  <c r="I966" s="1"/>
  <c r="F963"/>
  <c r="I963" s="1"/>
  <c r="F962"/>
  <c r="I962" s="1"/>
  <c r="F961"/>
  <c r="I961" s="1"/>
  <c r="F960"/>
  <c r="I960" s="1"/>
  <c r="F959"/>
  <c r="I959" s="1"/>
  <c r="F953"/>
  <c r="I953" s="1"/>
  <c r="F949"/>
  <c r="I949" s="1"/>
  <c r="F945"/>
  <c r="I945" s="1"/>
  <c r="I905"/>
  <c r="I912" s="1"/>
  <c r="E882"/>
  <c r="B882"/>
  <c r="F881"/>
  <c r="I871"/>
  <c r="F270" i="69" s="1"/>
  <c r="I870" i="68"/>
  <c r="F269" i="69" s="1"/>
  <c r="I869" i="68"/>
  <c r="F268" i="69" s="1"/>
  <c r="I868" i="68"/>
  <c r="F267" i="69" s="1"/>
  <c r="P267" s="1"/>
  <c r="B267" s="1"/>
  <c r="I867" i="68"/>
  <c r="F266" i="69" s="1"/>
  <c r="P266" s="1"/>
  <c r="B266" s="1"/>
  <c r="I864" i="68"/>
  <c r="I863"/>
  <c r="I862"/>
  <c r="I861"/>
  <c r="I860"/>
  <c r="I856"/>
  <c r="I855"/>
  <c r="I854"/>
  <c r="I853"/>
  <c r="I852"/>
  <c r="I851"/>
  <c r="I850"/>
  <c r="I849"/>
  <c r="I848"/>
  <c r="I844"/>
  <c r="I843"/>
  <c r="I842"/>
  <c r="I841"/>
  <c r="I840"/>
  <c r="I836"/>
  <c r="I835"/>
  <c r="I830"/>
  <c r="I829"/>
  <c r="I828"/>
  <c r="I827"/>
  <c r="I826"/>
  <c r="I823"/>
  <c r="I822"/>
  <c r="I821"/>
  <c r="I820"/>
  <c r="I819"/>
  <c r="I815"/>
  <c r="I814"/>
  <c r="I813"/>
  <c r="I812"/>
  <c r="I811"/>
  <c r="I810"/>
  <c r="I809"/>
  <c r="I808"/>
  <c r="I807"/>
  <c r="I803"/>
  <c r="I802"/>
  <c r="I801"/>
  <c r="I800"/>
  <c r="I799"/>
  <c r="I795"/>
  <c r="I794"/>
  <c r="I741"/>
  <c r="I736"/>
  <c r="I733"/>
  <c r="I723"/>
  <c r="I722"/>
  <c r="F721"/>
  <c r="I721" s="1"/>
  <c r="F720"/>
  <c r="I720" s="1"/>
  <c r="I719"/>
  <c r="H710"/>
  <c r="F710"/>
  <c r="I715"/>
  <c r="I714"/>
  <c r="F713"/>
  <c r="I713" s="1"/>
  <c r="F712"/>
  <c r="I712" s="1"/>
  <c r="I711"/>
  <c r="H709"/>
  <c r="F709"/>
  <c r="H708"/>
  <c r="F708"/>
  <c r="I700"/>
  <c r="I703"/>
  <c r="I704"/>
  <c r="F702"/>
  <c r="I702" s="1"/>
  <c r="F701"/>
  <c r="I701" s="1"/>
  <c r="F699"/>
  <c r="I699" s="1"/>
  <c r="F698"/>
  <c r="F693"/>
  <c r="I693"/>
  <c r="F692"/>
  <c r="I692" s="1"/>
  <c r="F691"/>
  <c r="I682"/>
  <c r="L681"/>
  <c r="I681"/>
  <c r="I680"/>
  <c r="H676"/>
  <c r="H677"/>
  <c r="I677" s="1"/>
  <c r="H675"/>
  <c r="I633"/>
  <c r="I632"/>
  <c r="I631"/>
  <c r="I664"/>
  <c r="I663"/>
  <c r="L662"/>
  <c r="I662"/>
  <c r="L661"/>
  <c r="I661"/>
  <c r="I660"/>
  <c r="L659"/>
  <c r="I659"/>
  <c r="I658"/>
  <c r="I657"/>
  <c r="F622"/>
  <c r="I622" s="1"/>
  <c r="L671"/>
  <c r="I671"/>
  <c r="L670"/>
  <c r="I670"/>
  <c r="I669"/>
  <c r="L668"/>
  <c r="I668"/>
  <c r="I667"/>
  <c r="I666"/>
  <c r="I648"/>
  <c r="I608"/>
  <c r="I600"/>
  <c r="I597"/>
  <c r="I598"/>
  <c r="I646"/>
  <c r="I645"/>
  <c r="I644"/>
  <c r="I643"/>
  <c r="I642"/>
  <c r="I641"/>
  <c r="I640"/>
  <c r="I639"/>
  <c r="I638"/>
  <c r="I596"/>
  <c r="I595"/>
  <c r="I594"/>
  <c r="I593"/>
  <c r="I592"/>
  <c r="I591"/>
  <c r="I590"/>
  <c r="I589"/>
  <c r="I588"/>
  <c r="I655"/>
  <c r="I654"/>
  <c r="I653"/>
  <c r="I652"/>
  <c r="I651"/>
  <c r="I650"/>
  <c r="I649"/>
  <c r="I647"/>
  <c r="F637"/>
  <c r="I637"/>
  <c r="F636"/>
  <c r="I636" s="1"/>
  <c r="F635"/>
  <c r="I635"/>
  <c r="I634"/>
  <c r="F623"/>
  <c r="I623" s="1"/>
  <c r="I628"/>
  <c r="I627"/>
  <c r="I626"/>
  <c r="I625"/>
  <c r="I624"/>
  <c r="I580"/>
  <c r="I609"/>
  <c r="I607"/>
  <c r="I606"/>
  <c r="I605"/>
  <c r="I604"/>
  <c r="I603"/>
  <c r="I602"/>
  <c r="I601"/>
  <c r="I599"/>
  <c r="F587"/>
  <c r="I587" s="1"/>
  <c r="F586"/>
  <c r="I586" s="1"/>
  <c r="F585"/>
  <c r="I585" s="1"/>
  <c r="F584"/>
  <c r="I584" s="1"/>
  <c r="F583"/>
  <c r="I583" s="1"/>
  <c r="I582"/>
  <c r="I618"/>
  <c r="I617"/>
  <c r="L616"/>
  <c r="I616"/>
  <c r="L615"/>
  <c r="I615"/>
  <c r="I614"/>
  <c r="L613"/>
  <c r="I613"/>
  <c r="I612"/>
  <c r="I611"/>
  <c r="F579"/>
  <c r="I579" s="1"/>
  <c r="I578"/>
  <c r="I577"/>
  <c r="I576"/>
  <c r="I575"/>
  <c r="I574"/>
  <c r="I573"/>
  <c r="I572"/>
  <c r="I571"/>
  <c r="I567"/>
  <c r="I566"/>
  <c r="L565"/>
  <c r="I565"/>
  <c r="L564"/>
  <c r="I564"/>
  <c r="I563"/>
  <c r="L562"/>
  <c r="I562"/>
  <c r="I561"/>
  <c r="I560"/>
  <c r="I524"/>
  <c r="I523"/>
  <c r="L522"/>
  <c r="I522"/>
  <c r="L521"/>
  <c r="I521"/>
  <c r="I520"/>
  <c r="L519"/>
  <c r="I519"/>
  <c r="I518"/>
  <c r="I517"/>
  <c r="I480"/>
  <c r="I479"/>
  <c r="L478"/>
  <c r="I478"/>
  <c r="L477"/>
  <c r="I477"/>
  <c r="I476"/>
  <c r="L475"/>
  <c r="I475"/>
  <c r="I474"/>
  <c r="I473"/>
  <c r="I558"/>
  <c r="I557"/>
  <c r="I556"/>
  <c r="I555"/>
  <c r="I554"/>
  <c r="I553"/>
  <c r="I552"/>
  <c r="I551"/>
  <c r="I550"/>
  <c r="I549"/>
  <c r="I548"/>
  <c r="I547"/>
  <c r="I546"/>
  <c r="I545"/>
  <c r="I544"/>
  <c r="I543"/>
  <c r="I542"/>
  <c r="I541"/>
  <c r="F540"/>
  <c r="I540" s="1"/>
  <c r="F539"/>
  <c r="I539" s="1"/>
  <c r="F538"/>
  <c r="I538" s="1"/>
  <c r="I537"/>
  <c r="F536"/>
  <c r="I515"/>
  <c r="I514"/>
  <c r="I513"/>
  <c r="I512"/>
  <c r="I511"/>
  <c r="I510"/>
  <c r="F508"/>
  <c r="I508" s="1"/>
  <c r="F507"/>
  <c r="I507" s="1"/>
  <c r="I506"/>
  <c r="F505"/>
  <c r="I505" s="1"/>
  <c r="F504"/>
  <c r="I504"/>
  <c r="I503"/>
  <c r="I497"/>
  <c r="I498"/>
  <c r="I499"/>
  <c r="I500"/>
  <c r="I501"/>
  <c r="I502"/>
  <c r="I496"/>
  <c r="I494"/>
  <c r="F489"/>
  <c r="I489" s="1"/>
  <c r="F490"/>
  <c r="I490" s="1"/>
  <c r="L139"/>
  <c r="I485"/>
  <c r="I486"/>
  <c r="F487"/>
  <c r="I487" s="1"/>
  <c r="I493"/>
  <c r="I492"/>
  <c r="I491"/>
  <c r="I488"/>
  <c r="I484"/>
  <c r="I456"/>
  <c r="I455"/>
  <c r="I454"/>
  <c r="I453"/>
  <c r="I452"/>
  <c r="I451"/>
  <c r="I450"/>
  <c r="I449"/>
  <c r="I448"/>
  <c r="I447"/>
  <c r="I471"/>
  <c r="I470"/>
  <c r="F469"/>
  <c r="I469" s="1"/>
  <c r="I467"/>
  <c r="I466"/>
  <c r="F465"/>
  <c r="I465" s="1"/>
  <c r="I464"/>
  <c r="I463"/>
  <c r="F462"/>
  <c r="I462" s="1"/>
  <c r="I461"/>
  <c r="I460"/>
  <c r="I459"/>
  <c r="F458"/>
  <c r="I458" s="1"/>
  <c r="I445"/>
  <c r="F440"/>
  <c r="I440" s="1"/>
  <c r="I434"/>
  <c r="I433"/>
  <c r="L432"/>
  <c r="I432"/>
  <c r="L431"/>
  <c r="I431"/>
  <c r="I430"/>
  <c r="I429"/>
  <c r="I428"/>
  <c r="I427"/>
  <c r="K425"/>
  <c r="I425"/>
  <c r="F424"/>
  <c r="I424" s="1"/>
  <c r="I423"/>
  <c r="I422"/>
  <c r="I421"/>
  <c r="I420"/>
  <c r="F419"/>
  <c r="I419" s="1"/>
  <c r="F418"/>
  <c r="I418" s="1"/>
  <c r="I417"/>
  <c r="I399"/>
  <c r="I398"/>
  <c r="L397"/>
  <c r="I397"/>
  <c r="L396"/>
  <c r="I396"/>
  <c r="I395"/>
  <c r="I394"/>
  <c r="I393"/>
  <c r="I392"/>
  <c r="I359"/>
  <c r="F358"/>
  <c r="I358" s="1"/>
  <c r="I357"/>
  <c r="I356"/>
  <c r="I355"/>
  <c r="I354"/>
  <c r="F353"/>
  <c r="I353" s="1"/>
  <c r="F352"/>
  <c r="I352"/>
  <c r="I351"/>
  <c r="I378"/>
  <c r="I379"/>
  <c r="I380"/>
  <c r="I381"/>
  <c r="F376"/>
  <c r="I376" s="1"/>
  <c r="F375"/>
  <c r="I375" s="1"/>
  <c r="F374"/>
  <c r="I374" s="1"/>
  <c r="F372"/>
  <c r="I372" s="1"/>
  <c r="I388"/>
  <c r="I387"/>
  <c r="I386"/>
  <c r="I385"/>
  <c r="I384"/>
  <c r="I383"/>
  <c r="I382"/>
  <c r="I377"/>
  <c r="I373"/>
  <c r="F371"/>
  <c r="I371"/>
  <c r="F370"/>
  <c r="I370" s="1"/>
  <c r="I369"/>
  <c r="I368"/>
  <c r="I367"/>
  <c r="I366"/>
  <c r="I365"/>
  <c r="F364"/>
  <c r="I364" s="1"/>
  <c r="I363"/>
  <c r="F362"/>
  <c r="I362" s="1"/>
  <c r="G361"/>
  <c r="I361" s="1"/>
  <c r="I349"/>
  <c r="I348"/>
  <c r="L347"/>
  <c r="I347"/>
  <c r="L346"/>
  <c r="I346"/>
  <c r="I345"/>
  <c r="I344"/>
  <c r="I343"/>
  <c r="I342"/>
  <c r="F257"/>
  <c r="I257" s="1"/>
  <c r="I327"/>
  <c r="F325"/>
  <c r="I325" s="1"/>
  <c r="F324"/>
  <c r="I324" s="1"/>
  <c r="F323"/>
  <c r="I323" s="1"/>
  <c r="F322"/>
  <c r="I322" s="1"/>
  <c r="F321"/>
  <c r="I321" s="1"/>
  <c r="F319"/>
  <c r="I319" s="1"/>
  <c r="F317"/>
  <c r="I317" s="1"/>
  <c r="F316"/>
  <c r="I316" s="1"/>
  <c r="F315"/>
  <c r="I315" s="1"/>
  <c r="I338"/>
  <c r="I337"/>
  <c r="I336"/>
  <c r="I335"/>
  <c r="I334"/>
  <c r="I333"/>
  <c r="I332"/>
  <c r="I331"/>
  <c r="I330"/>
  <c r="I329"/>
  <c r="I328"/>
  <c r="I326"/>
  <c r="I320"/>
  <c r="F318"/>
  <c r="I318" s="1"/>
  <c r="I314"/>
  <c r="I313"/>
  <c r="I312"/>
  <c r="I311"/>
  <c r="I310"/>
  <c r="F309"/>
  <c r="I309" s="1"/>
  <c r="I308"/>
  <c r="F307"/>
  <c r="I307"/>
  <c r="G306"/>
  <c r="I306" s="1"/>
  <c r="I305"/>
  <c r="I304"/>
  <c r="F303"/>
  <c r="I303" s="1"/>
  <c r="I302"/>
  <c r="I301"/>
  <c r="I300"/>
  <c r="I299"/>
  <c r="F298"/>
  <c r="I298" s="1"/>
  <c r="F297"/>
  <c r="I297" s="1"/>
  <c r="I296"/>
  <c r="I294"/>
  <c r="I293"/>
  <c r="L292"/>
  <c r="I292"/>
  <c r="L291"/>
  <c r="I291"/>
  <c r="I290"/>
  <c r="I289"/>
  <c r="I288"/>
  <c r="I287"/>
  <c r="I270"/>
  <c r="I271"/>
  <c r="I272"/>
  <c r="I273"/>
  <c r="I274"/>
  <c r="I275"/>
  <c r="I276"/>
  <c r="I277"/>
  <c r="I278"/>
  <c r="I279"/>
  <c r="I280"/>
  <c r="I281"/>
  <c r="I282"/>
  <c r="I262"/>
  <c r="I266"/>
  <c r="F269"/>
  <c r="I269" s="1"/>
  <c r="F268"/>
  <c r="I268"/>
  <c r="F267"/>
  <c r="I267" s="1"/>
  <c r="F265"/>
  <c r="I265" s="1"/>
  <c r="F264"/>
  <c r="I264" s="1"/>
  <c r="F263"/>
  <c r="I263" s="1"/>
  <c r="I254"/>
  <c r="I261"/>
  <c r="I260"/>
  <c r="I259"/>
  <c r="I258"/>
  <c r="I256"/>
  <c r="F255"/>
  <c r="I255" s="1"/>
  <c r="I252"/>
  <c r="F251"/>
  <c r="I251" s="1"/>
  <c r="I250"/>
  <c r="I249"/>
  <c r="I248"/>
  <c r="I247"/>
  <c r="F246"/>
  <c r="I246" s="1"/>
  <c r="F245"/>
  <c r="I245" s="1"/>
  <c r="I244"/>
  <c r="I242"/>
  <c r="I241"/>
  <c r="L240"/>
  <c r="I240"/>
  <c r="L239"/>
  <c r="I239"/>
  <c r="I238"/>
  <c r="I237"/>
  <c r="I236"/>
  <c r="I235"/>
  <c r="I231"/>
  <c r="I228"/>
  <c r="I230"/>
  <c r="I224"/>
  <c r="I225"/>
  <c r="I226"/>
  <c r="I227"/>
  <c r="I223"/>
  <c r="I210"/>
  <c r="I212"/>
  <c r="I213"/>
  <c r="I214"/>
  <c r="I215"/>
  <c r="I216"/>
  <c r="I219"/>
  <c r="F221"/>
  <c r="I221" s="1"/>
  <c r="F220"/>
  <c r="I220" s="1"/>
  <c r="F218"/>
  <c r="I218" s="1"/>
  <c r="F217"/>
  <c r="I217" s="1"/>
  <c r="F211"/>
  <c r="I211" s="1"/>
  <c r="F209"/>
  <c r="I209" s="1"/>
  <c r="I206"/>
  <c r="F205"/>
  <c r="I205"/>
  <c r="I204"/>
  <c r="I203"/>
  <c r="I202"/>
  <c r="I201"/>
  <c r="F200"/>
  <c r="I200" s="1"/>
  <c r="F199"/>
  <c r="I199"/>
  <c r="I198"/>
  <c r="I196"/>
  <c r="I195"/>
  <c r="L194"/>
  <c r="I194"/>
  <c r="L193"/>
  <c r="I193"/>
  <c r="I192"/>
  <c r="I191"/>
  <c r="I190"/>
  <c r="I189"/>
  <c r="I185"/>
  <c r="I184"/>
  <c r="F183"/>
  <c r="I183" s="1"/>
  <c r="I181"/>
  <c r="I180"/>
  <c r="F179"/>
  <c r="I179" s="1"/>
  <c r="F175"/>
  <c r="F172"/>
  <c r="F168"/>
  <c r="K19" i="66"/>
  <c r="K20"/>
  <c r="E2951" i="68" s="1"/>
  <c r="I2951" s="1"/>
  <c r="I2952" s="1"/>
  <c r="K21" i="66"/>
  <c r="K22"/>
  <c r="K23"/>
  <c r="K24"/>
  <c r="K18"/>
  <c r="F902" i="69" s="1"/>
  <c r="G902" s="1"/>
  <c r="K3" i="66"/>
  <c r="C1258" i="68" s="1"/>
  <c r="I1258" s="1"/>
  <c r="K2" i="66"/>
  <c r="D2575" i="68" s="1"/>
  <c r="I2575" s="1"/>
  <c r="I2576" s="1"/>
  <c r="F166"/>
  <c r="I158"/>
  <c r="I138"/>
  <c r="I140"/>
  <c r="I141"/>
  <c r="I143"/>
  <c r="I144"/>
  <c r="I137"/>
  <c r="I155"/>
  <c r="F154"/>
  <c r="I154"/>
  <c r="I153"/>
  <c r="I152"/>
  <c r="I151"/>
  <c r="I150"/>
  <c r="F149"/>
  <c r="I149" s="1"/>
  <c r="F148"/>
  <c r="I148" s="1"/>
  <c r="I147"/>
  <c r="L142"/>
  <c r="I142"/>
  <c r="L141"/>
  <c r="I139"/>
  <c r="I127"/>
  <c r="I128"/>
  <c r="I129"/>
  <c r="I130"/>
  <c r="I131"/>
  <c r="I132"/>
  <c r="I133"/>
  <c r="I126"/>
  <c r="L131"/>
  <c r="L130"/>
  <c r="I97"/>
  <c r="I113"/>
  <c r="I111"/>
  <c r="I124"/>
  <c r="I123"/>
  <c r="F122"/>
  <c r="I122" s="1"/>
  <c r="I121"/>
  <c r="I120"/>
  <c r="I119"/>
  <c r="I118"/>
  <c r="F117"/>
  <c r="I117" s="1"/>
  <c r="F116"/>
  <c r="I116" s="1"/>
  <c r="I115"/>
  <c r="I112"/>
  <c r="I110"/>
  <c r="I109"/>
  <c r="I108"/>
  <c r="I107"/>
  <c r="I106"/>
  <c r="I105"/>
  <c r="F70"/>
  <c r="I70"/>
  <c r="I91"/>
  <c r="I90"/>
  <c r="I89"/>
  <c r="G88"/>
  <c r="F88"/>
  <c r="F87"/>
  <c r="I87" s="1"/>
  <c r="K86"/>
  <c r="I86"/>
  <c r="F85"/>
  <c r="I85" s="1"/>
  <c r="I84"/>
  <c r="I83"/>
  <c r="I82"/>
  <c r="I81"/>
  <c r="F80"/>
  <c r="I80" s="1"/>
  <c r="F79"/>
  <c r="I79" s="1"/>
  <c r="I78"/>
  <c r="G76"/>
  <c r="F76"/>
  <c r="G75"/>
  <c r="I75"/>
  <c r="I74"/>
  <c r="I73"/>
  <c r="I72"/>
  <c r="I71"/>
  <c r="I63"/>
  <c r="G62"/>
  <c r="F62"/>
  <c r="F61"/>
  <c r="I61" s="1"/>
  <c r="K60"/>
  <c r="I60"/>
  <c r="F59"/>
  <c r="I59" s="1"/>
  <c r="I58"/>
  <c r="I57"/>
  <c r="I56"/>
  <c r="I55"/>
  <c r="F54"/>
  <c r="I54" s="1"/>
  <c r="F53"/>
  <c r="I53" s="1"/>
  <c r="I52"/>
  <c r="G47"/>
  <c r="F47"/>
  <c r="G46"/>
  <c r="I46" s="1"/>
  <c r="I45"/>
  <c r="I44"/>
  <c r="I43"/>
  <c r="I42"/>
  <c r="F41"/>
  <c r="I41"/>
  <c r="G37"/>
  <c r="F37"/>
  <c r="G36"/>
  <c r="I36"/>
  <c r="I35"/>
  <c r="I34"/>
  <c r="I33"/>
  <c r="I32"/>
  <c r="F31"/>
  <c r="I31" s="1"/>
  <c r="G26"/>
  <c r="F26"/>
  <c r="F25"/>
  <c r="I25" s="1"/>
  <c r="F18"/>
  <c r="I18" s="1"/>
  <c r="F17"/>
  <c r="I9"/>
  <c r="I10"/>
  <c r="I11"/>
  <c r="I12"/>
  <c r="G14"/>
  <c r="F14"/>
  <c r="G13"/>
  <c r="I13" s="1"/>
  <c r="F8"/>
  <c r="F3037"/>
  <c r="I3037" s="1"/>
  <c r="F3032"/>
  <c r="I3032" s="1"/>
  <c r="I3041" s="1"/>
  <c r="I3042" s="1"/>
  <c r="I3023"/>
  <c r="F986" i="67" s="1"/>
  <c r="I2975" i="68"/>
  <c r="I2973"/>
  <c r="I2971"/>
  <c r="I2972" s="1"/>
  <c r="I2970"/>
  <c r="I2968"/>
  <c r="I2969" s="1"/>
  <c r="I2965"/>
  <c r="F981" i="69" s="1"/>
  <c r="I2961" i="68"/>
  <c r="I2960"/>
  <c r="I2958"/>
  <c r="F1145" i="67" s="1"/>
  <c r="G1145" s="1"/>
  <c r="R1145" s="1"/>
  <c r="I2956" i="68"/>
  <c r="F819" i="67" s="1"/>
  <c r="G819" s="1"/>
  <c r="R819" s="1"/>
  <c r="F819" i="69"/>
  <c r="G819" s="1"/>
  <c r="I2954" i="68"/>
  <c r="F817" i="69" s="1"/>
  <c r="P817" s="1"/>
  <c r="I2948" i="68"/>
  <c r="I2949" s="1"/>
  <c r="F1157" i="69" s="1"/>
  <c r="G1157" s="1"/>
  <c r="I2945" i="68"/>
  <c r="I2936"/>
  <c r="F1263" i="69" s="1"/>
  <c r="I2934" i="68"/>
  <c r="F1265" i="67"/>
  <c r="G1265" s="1"/>
  <c r="R1265" s="1"/>
  <c r="I2922" i="68"/>
  <c r="I2921"/>
  <c r="I2920"/>
  <c r="I2917"/>
  <c r="I2916"/>
  <c r="I2855"/>
  <c r="I2793"/>
  <c r="I2788"/>
  <c r="I2787"/>
  <c r="I2786"/>
  <c r="I2780"/>
  <c r="I2767"/>
  <c r="F900" i="69" s="1"/>
  <c r="I2766" i="68"/>
  <c r="F899" i="69" s="1"/>
  <c r="G899" s="1"/>
  <c r="I2764" i="68"/>
  <c r="F897" i="67" s="1"/>
  <c r="I2763" i="68"/>
  <c r="F896" i="69" s="1"/>
  <c r="G896" s="1"/>
  <c r="I2761" i="68"/>
  <c r="F894" i="69" s="1"/>
  <c r="P894" s="1"/>
  <c r="I2758" i="68"/>
  <c r="F893" i="69" s="1"/>
  <c r="G893" s="1"/>
  <c r="F2747" i="68"/>
  <c r="I2747" s="1"/>
  <c r="I2746"/>
  <c r="F2741"/>
  <c r="I2741" s="1"/>
  <c r="F2739"/>
  <c r="I2739" s="1"/>
  <c r="F2737"/>
  <c r="I2737" s="1"/>
  <c r="F2734"/>
  <c r="I2734" s="1"/>
  <c r="F2732"/>
  <c r="I2732" s="1"/>
  <c r="F2730"/>
  <c r="I2730"/>
  <c r="F2728"/>
  <c r="I2728" s="1"/>
  <c r="F2725"/>
  <c r="I2725"/>
  <c r="F2723"/>
  <c r="I2723" s="1"/>
  <c r="F2720"/>
  <c r="I2720" s="1"/>
  <c r="F2717"/>
  <c r="I2717" s="1"/>
  <c r="I2716"/>
  <c r="I2694"/>
  <c r="F367" i="69" s="1"/>
  <c r="G367" s="1"/>
  <c r="I2692" i="68"/>
  <c r="F802" i="67" s="1"/>
  <c r="G802" s="1"/>
  <c r="R802" s="1"/>
  <c r="I2690" i="68"/>
  <c r="F801" i="67" s="1"/>
  <c r="G801" s="1"/>
  <c r="R801" s="1"/>
  <c r="I2688" i="68"/>
  <c r="F798" i="69" s="1"/>
  <c r="G798" s="1"/>
  <c r="I2686" i="68"/>
  <c r="F799" i="69"/>
  <c r="I2677" i="68"/>
  <c r="F2673"/>
  <c r="I2673" s="1"/>
  <c r="F2671"/>
  <c r="I2671" s="1"/>
  <c r="F2669"/>
  <c r="I2669" s="1"/>
  <c r="F2667"/>
  <c r="I2667" s="1"/>
  <c r="F2665"/>
  <c r="I2665" s="1"/>
  <c r="F2663"/>
  <c r="I2663" s="1"/>
  <c r="F2661"/>
  <c r="I2661" s="1"/>
  <c r="F2659"/>
  <c r="I2659" s="1"/>
  <c r="F2657"/>
  <c r="I2657" s="1"/>
  <c r="F2655"/>
  <c r="I2655" s="1"/>
  <c r="F2653"/>
  <c r="I2653" s="1"/>
  <c r="F2651"/>
  <c r="I2651" s="1"/>
  <c r="F2648"/>
  <c r="I2648" s="1"/>
  <c r="F2646"/>
  <c r="I2646" s="1"/>
  <c r="F2644"/>
  <c r="I2644" s="1"/>
  <c r="F2642"/>
  <c r="I2642" s="1"/>
  <c r="F2640"/>
  <c r="I2640" s="1"/>
  <c r="F2638"/>
  <c r="I2638" s="1"/>
  <c r="F2636"/>
  <c r="I2636" s="1"/>
  <c r="F2634"/>
  <c r="I2634" s="1"/>
  <c r="F2632"/>
  <c r="I2632" s="1"/>
  <c r="F2630"/>
  <c r="I2630" s="1"/>
  <c r="F2627"/>
  <c r="I2627" s="1"/>
  <c r="F2625"/>
  <c r="I2625" s="1"/>
  <c r="F2623"/>
  <c r="I2623" s="1"/>
  <c r="F2621"/>
  <c r="I2621" s="1"/>
  <c r="F2619"/>
  <c r="I2619" s="1"/>
  <c r="F2617"/>
  <c r="I2617" s="1"/>
  <c r="F2615"/>
  <c r="I2615" s="1"/>
  <c r="F2613"/>
  <c r="I2613" s="1"/>
  <c r="F2611"/>
  <c r="I2611" s="1"/>
  <c r="F2609"/>
  <c r="I2609" s="1"/>
  <c r="F2607"/>
  <c r="I2607" s="1"/>
  <c r="F2605"/>
  <c r="I2605" s="1"/>
  <c r="F2602"/>
  <c r="I2602" s="1"/>
  <c r="F2600"/>
  <c r="I2600" s="1"/>
  <c r="F2598"/>
  <c r="I2598" s="1"/>
  <c r="F2596"/>
  <c r="I2596" s="1"/>
  <c r="F2593"/>
  <c r="I2593" s="1"/>
  <c r="F2591"/>
  <c r="I2591" s="1"/>
  <c r="F2589"/>
  <c r="I2589" s="1"/>
  <c r="F2587"/>
  <c r="I2587" s="1"/>
  <c r="F2585"/>
  <c r="I2585" s="1"/>
  <c r="F2583"/>
  <c r="I2583" s="1"/>
  <c r="I2582"/>
  <c r="I2569"/>
  <c r="F458" i="69" s="1"/>
  <c r="I2561" i="68"/>
  <c r="I2562" s="1"/>
  <c r="I2558"/>
  <c r="I2559" s="1"/>
  <c r="I2555"/>
  <c r="I2556" s="1"/>
  <c r="F729" i="69" s="1"/>
  <c r="G729" s="1"/>
  <c r="I2552" i="68"/>
  <c r="I2553" s="1"/>
  <c r="I2543"/>
  <c r="I2489"/>
  <c r="I2485"/>
  <c r="F712" i="67" s="1"/>
  <c r="G712" s="1"/>
  <c r="I2481" i="68"/>
  <c r="I2482" s="1"/>
  <c r="I2483" s="1"/>
  <c r="I2474"/>
  <c r="I2473"/>
  <c r="I2472"/>
  <c r="F2466"/>
  <c r="I2466" s="1"/>
  <c r="F2465"/>
  <c r="I2465" s="1"/>
  <c r="F2463"/>
  <c r="I2463" s="1"/>
  <c r="I2462"/>
  <c r="I2453"/>
  <c r="I2445"/>
  <c r="I2443"/>
  <c r="F978" i="67" s="1"/>
  <c r="G978" s="1"/>
  <c r="R978" s="1"/>
  <c r="I2440" i="68"/>
  <c r="I2441" s="1"/>
  <c r="I2434"/>
  <c r="I2387"/>
  <c r="I2296"/>
  <c r="I2292"/>
  <c r="I2293" s="1"/>
  <c r="F666" i="69" s="1"/>
  <c r="P666" s="1"/>
  <c r="B666" s="1"/>
  <c r="I2290" i="68"/>
  <c r="F640" i="67" s="1"/>
  <c r="G640" s="1"/>
  <c r="R640" s="1"/>
  <c r="I2247" i="68"/>
  <c r="I2248" s="1"/>
  <c r="I2249" s="1"/>
  <c r="F2243"/>
  <c r="I2243" s="1"/>
  <c r="F2242"/>
  <c r="I2242"/>
  <c r="F2241"/>
  <c r="I2241" s="1"/>
  <c r="F2236"/>
  <c r="I2236" s="1"/>
  <c r="F2235"/>
  <c r="I2235" s="1"/>
  <c r="I2217"/>
  <c r="I2199"/>
  <c r="I2190"/>
  <c r="F2177"/>
  <c r="I2177" s="1"/>
  <c r="F2174"/>
  <c r="I2174" s="1"/>
  <c r="F2171"/>
  <c r="I2171" s="1"/>
  <c r="G2167"/>
  <c r="I2167" s="1"/>
  <c r="F2162"/>
  <c r="I2162" s="1"/>
  <c r="F2157"/>
  <c r="I2157" s="1"/>
  <c r="I1890"/>
  <c r="I1891" s="1"/>
  <c r="F459" i="69" s="1"/>
  <c r="I1886" i="68"/>
  <c r="I1887" s="1"/>
  <c r="I1888" s="1"/>
  <c r="F457" i="67" s="1"/>
  <c r="I1884" i="68"/>
  <c r="F451" i="69"/>
  <c r="I1881" i="68"/>
  <c r="I1879"/>
  <c r="F447" i="69" s="1"/>
  <c r="G447" s="1"/>
  <c r="I1876" i="68"/>
  <c r="I1877" s="1"/>
  <c r="I1873"/>
  <c r="I1874" s="1"/>
  <c r="F445" i="69" s="1"/>
  <c r="I1820" i="68"/>
  <c r="I1817"/>
  <c r="F441" i="67" s="1"/>
  <c r="I1764" i="68"/>
  <c r="I1710"/>
  <c r="I1653"/>
  <c r="I1591"/>
  <c r="I1529"/>
  <c r="I1526"/>
  <c r="F917" i="69" s="1"/>
  <c r="I1465" i="68"/>
  <c r="I1461"/>
  <c r="I1462" s="1"/>
  <c r="I1400"/>
  <c r="I1338"/>
  <c r="I1329"/>
  <c r="I1325"/>
  <c r="I1301"/>
  <c r="F386" i="69" s="1"/>
  <c r="I1298" i="68"/>
  <c r="I1299" s="1"/>
  <c r="F1291"/>
  <c r="I1291" s="1"/>
  <c r="I1295" s="1"/>
  <c r="I1296" s="1"/>
  <c r="I1289"/>
  <c r="F1284"/>
  <c r="I1284" s="1"/>
  <c r="I1283"/>
  <c r="I1279"/>
  <c r="I1280" s="1"/>
  <c r="I1276"/>
  <c r="I1277"/>
  <c r="I1274"/>
  <c r="F375" i="67" s="1"/>
  <c r="I1266" i="68"/>
  <c r="I1267" s="1"/>
  <c r="F371" i="69" s="1"/>
  <c r="I1262" i="68"/>
  <c r="I1254"/>
  <c r="I1253"/>
  <c r="I1252"/>
  <c r="I1251"/>
  <c r="I1250"/>
  <c r="I1249"/>
  <c r="I1248"/>
  <c r="I1226"/>
  <c r="F1193"/>
  <c r="I1193" s="1"/>
  <c r="F1192"/>
  <c r="I1192" s="1"/>
  <c r="L1191"/>
  <c r="L1185"/>
  <c r="I1185"/>
  <c r="L1180"/>
  <c r="I1179"/>
  <c r="I1178"/>
  <c r="L1177"/>
  <c r="L1179" s="1"/>
  <c r="I1072"/>
  <c r="I1066"/>
  <c r="I1040"/>
  <c r="I941"/>
  <c r="I940"/>
  <c r="I936"/>
  <c r="I937" s="1"/>
  <c r="F931"/>
  <c r="I931" s="1"/>
  <c r="K930"/>
  <c r="F930"/>
  <c r="I930" s="1"/>
  <c r="F929"/>
  <c r="I929" s="1"/>
  <c r="L924"/>
  <c r="I915"/>
  <c r="I902"/>
  <c r="I903" s="1"/>
  <c r="F327" i="69" s="1"/>
  <c r="G327" s="1"/>
  <c r="I788" i="68"/>
  <c r="I787"/>
  <c r="I786"/>
  <c r="I785"/>
  <c r="I784"/>
  <c r="I783"/>
  <c r="I782"/>
  <c r="I778"/>
  <c r="I777"/>
  <c r="I776"/>
  <c r="I775"/>
  <c r="I774"/>
  <c r="I773"/>
  <c r="I772"/>
  <c r="I771"/>
  <c r="I770"/>
  <c r="F769"/>
  <c r="I769" s="1"/>
  <c r="I768"/>
  <c r="I764"/>
  <c r="I763"/>
  <c r="I762"/>
  <c r="I761"/>
  <c r="I760"/>
  <c r="I757"/>
  <c r="I756"/>
  <c r="I755"/>
  <c r="I754"/>
  <c r="I753"/>
  <c r="I749"/>
  <c r="I748"/>
  <c r="I747"/>
  <c r="I746"/>
  <c r="I745"/>
  <c r="I744"/>
  <c r="I743"/>
  <c r="I742"/>
  <c r="I737"/>
  <c r="I735"/>
  <c r="I734"/>
  <c r="I729"/>
  <c r="I728"/>
  <c r="M726"/>
  <c r="I698"/>
  <c r="I694"/>
  <c r="I691"/>
  <c r="I687"/>
  <c r="I679"/>
  <c r="I678"/>
  <c r="I676"/>
  <c r="I675"/>
  <c r="I536"/>
  <c r="I535"/>
  <c r="I534"/>
  <c r="I533"/>
  <c r="I532"/>
  <c r="I531"/>
  <c r="I530"/>
  <c r="I529"/>
  <c r="I528"/>
  <c r="I444"/>
  <c r="I443"/>
  <c r="I442"/>
  <c r="I441"/>
  <c r="I439"/>
  <c r="M437"/>
  <c r="L437"/>
  <c r="L438" s="1"/>
  <c r="I412"/>
  <c r="F411"/>
  <c r="I411" s="1"/>
  <c r="I410"/>
  <c r="I409"/>
  <c r="F408"/>
  <c r="I408" s="1"/>
  <c r="I407"/>
  <c r="I406"/>
  <c r="F405"/>
  <c r="I405" s="1"/>
  <c r="I404"/>
  <c r="I403"/>
  <c r="I402"/>
  <c r="G401"/>
  <c r="I401" s="1"/>
  <c r="I400"/>
  <c r="I360"/>
  <c r="I207"/>
  <c r="I177"/>
  <c r="I176"/>
  <c r="I175"/>
  <c r="I174"/>
  <c r="I173"/>
  <c r="I172"/>
  <c r="I171"/>
  <c r="I170"/>
  <c r="I169"/>
  <c r="I168"/>
  <c r="I167"/>
  <c r="I166"/>
  <c r="I165"/>
  <c r="I164"/>
  <c r="I163"/>
  <c r="I162"/>
  <c r="I161"/>
  <c r="I160"/>
  <c r="F159"/>
  <c r="I159" s="1"/>
  <c r="I157"/>
  <c r="F156"/>
  <c r="I145"/>
  <c r="I101"/>
  <c r="I102" s="1"/>
  <c r="I96"/>
  <c r="I95"/>
  <c r="K67"/>
  <c r="I66"/>
  <c r="I65"/>
  <c r="I64"/>
  <c r="I27"/>
  <c r="K24"/>
  <c r="I24"/>
  <c r="F23"/>
  <c r="I23" s="1"/>
  <c r="I22"/>
  <c r="I21"/>
  <c r="I20"/>
  <c r="I19"/>
  <c r="I17"/>
  <c r="I16"/>
  <c r="I8"/>
  <c r="A3" i="58"/>
  <c r="G1467" i="67"/>
  <c r="G1468"/>
  <c r="G1469"/>
  <c r="G1473"/>
  <c r="G1474"/>
  <c r="G1475"/>
  <c r="G147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7"/>
  <c r="G1638"/>
  <c r="G1639"/>
  <c r="G1640"/>
  <c r="G1641"/>
  <c r="G1642"/>
  <c r="N1327"/>
  <c r="N1328"/>
  <c r="N1329"/>
  <c r="P1329" s="1"/>
  <c r="N1330"/>
  <c r="N1331"/>
  <c r="N1332"/>
  <c r="N1333"/>
  <c r="P1333" s="1"/>
  <c r="N1334"/>
  <c r="N1335"/>
  <c r="N1336"/>
  <c r="N1337"/>
  <c r="P1337" s="1"/>
  <c r="N1338"/>
  <c r="N1339"/>
  <c r="N1340"/>
  <c r="N1341"/>
  <c r="P1341" s="1"/>
  <c r="N1342"/>
  <c r="N1343"/>
  <c r="N1344"/>
  <c r="N1345"/>
  <c r="P1345" s="1"/>
  <c r="N1346"/>
  <c r="P1346" s="1"/>
  <c r="N1347"/>
  <c r="N1348"/>
  <c r="P1348" s="1"/>
  <c r="N1349"/>
  <c r="N1350"/>
  <c r="P1350" s="1"/>
  <c r="N1351"/>
  <c r="N1352"/>
  <c r="P1352" s="1"/>
  <c r="N1353"/>
  <c r="N1354"/>
  <c r="P1354" s="1"/>
  <c r="N1355"/>
  <c r="N1356"/>
  <c r="P1356" s="1"/>
  <c r="N1357"/>
  <c r="N1358"/>
  <c r="P1358" s="1"/>
  <c r="N1359"/>
  <c r="N1360"/>
  <c r="P1360" s="1"/>
  <c r="N1361"/>
  <c r="N1362"/>
  <c r="P1362" s="1"/>
  <c r="N1363"/>
  <c r="N1364"/>
  <c r="P1364" s="1"/>
  <c r="N1365"/>
  <c r="N1366"/>
  <c r="P1366" s="1"/>
  <c r="N1367"/>
  <c r="N1368"/>
  <c r="P1368" s="1"/>
  <c r="N1369"/>
  <c r="N1370"/>
  <c r="P1370" s="1"/>
  <c r="N1371"/>
  <c r="N1372"/>
  <c r="P1372" s="1"/>
  <c r="N1373"/>
  <c r="N1374"/>
  <c r="P1374" s="1"/>
  <c r="N1375"/>
  <c r="N1376"/>
  <c r="P1376" s="1"/>
  <c r="N1377"/>
  <c r="N1378"/>
  <c r="N1379"/>
  <c r="P1379" s="1"/>
  <c r="N1380"/>
  <c r="N1381"/>
  <c r="P1381" s="1"/>
  <c r="N1382"/>
  <c r="N1383"/>
  <c r="N1384"/>
  <c r="N1385"/>
  <c r="P1385" s="1"/>
  <c r="N1386"/>
  <c r="N1387"/>
  <c r="P1387" s="1"/>
  <c r="N1388"/>
  <c r="N1389"/>
  <c r="P1389" s="1"/>
  <c r="N1390"/>
  <c r="N1391"/>
  <c r="N1392"/>
  <c r="N1393"/>
  <c r="P1393" s="1"/>
  <c r="N1394"/>
  <c r="N1395"/>
  <c r="P1395" s="1"/>
  <c r="N1396"/>
  <c r="N1397"/>
  <c r="P1397" s="1"/>
  <c r="N1398"/>
  <c r="N1399"/>
  <c r="N1400"/>
  <c r="N1401"/>
  <c r="P1401" s="1"/>
  <c r="N1402"/>
  <c r="N1403"/>
  <c r="P1403" s="1"/>
  <c r="N1404"/>
  <c r="P1404" s="1"/>
  <c r="N1405"/>
  <c r="N1406"/>
  <c r="P1406" s="1"/>
  <c r="N1407"/>
  <c r="N1408"/>
  <c r="P1408" s="1"/>
  <c r="N1409"/>
  <c r="N1410"/>
  <c r="P1410" s="1"/>
  <c r="N1411"/>
  <c r="P1411" s="1"/>
  <c r="N1412"/>
  <c r="P1412" s="1"/>
  <c r="N1413"/>
  <c r="N1414"/>
  <c r="P1414" s="1"/>
  <c r="N1415"/>
  <c r="N1416"/>
  <c r="P1416" s="1"/>
  <c r="N1417"/>
  <c r="N1418"/>
  <c r="N1419"/>
  <c r="P1419" s="1"/>
  <c r="N1420"/>
  <c r="P1420" s="1"/>
  <c r="N1421"/>
  <c r="N1422"/>
  <c r="P1422" s="1"/>
  <c r="N1423"/>
  <c r="N1424"/>
  <c r="P1424" s="1"/>
  <c r="N1425"/>
  <c r="N1426"/>
  <c r="P1426" s="1"/>
  <c r="N1427"/>
  <c r="P1427" s="1"/>
  <c r="N1428"/>
  <c r="P1428" s="1"/>
  <c r="N1429"/>
  <c r="N1430"/>
  <c r="P1430" s="1"/>
  <c r="N1431"/>
  <c r="N1432"/>
  <c r="P1432" s="1"/>
  <c r="N1433"/>
  <c r="N1434"/>
  <c r="N1435"/>
  <c r="P1435" s="1"/>
  <c r="N1436"/>
  <c r="P1436" s="1"/>
  <c r="N1437"/>
  <c r="N1438"/>
  <c r="P1438" s="1"/>
  <c r="N1439"/>
  <c r="N1440"/>
  <c r="P1440" s="1"/>
  <c r="N1441"/>
  <c r="N1442"/>
  <c r="P1442" s="1"/>
  <c r="N1443"/>
  <c r="P1443" s="1"/>
  <c r="N1444"/>
  <c r="P1444" s="1"/>
  <c r="N1445"/>
  <c r="N1446"/>
  <c r="P1446" s="1"/>
  <c r="N1447"/>
  <c r="N1448"/>
  <c r="P1448" s="1"/>
  <c r="N1449"/>
  <c r="N1450"/>
  <c r="N1451"/>
  <c r="N1452"/>
  <c r="N1453"/>
  <c r="N1454"/>
  <c r="N1455"/>
  <c r="N1456"/>
  <c r="N1457"/>
  <c r="N1458"/>
  <c r="N1459"/>
  <c r="N1460"/>
  <c r="N1461"/>
  <c r="N1462"/>
  <c r="N1463"/>
  <c r="N1464"/>
  <c r="N1465"/>
  <c r="B2117" i="64"/>
  <c r="I2128"/>
  <c r="I2132"/>
  <c r="I2136"/>
  <c r="I2137"/>
  <c r="I2138"/>
  <c r="I2139"/>
  <c r="I2140"/>
  <c r="F2135"/>
  <c r="I2135" s="1"/>
  <c r="F2134"/>
  <c r="I2134"/>
  <c r="F2133"/>
  <c r="I2133" s="1"/>
  <c r="F2131"/>
  <c r="I2131"/>
  <c r="F2130"/>
  <c r="I2130" s="1"/>
  <c r="F2129"/>
  <c r="I2129"/>
  <c r="F2127"/>
  <c r="I2127" s="1"/>
  <c r="F2126"/>
  <c r="I2126"/>
  <c r="F2125"/>
  <c r="I2125" s="1"/>
  <c r="I2618"/>
  <c r="I2617"/>
  <c r="I2616"/>
  <c r="I2615"/>
  <c r="I2614"/>
  <c r="I69"/>
  <c r="I72" i="59"/>
  <c r="C1465" i="67"/>
  <c r="C1464"/>
  <c r="C1463"/>
  <c r="C1462"/>
  <c r="C1461"/>
  <c r="C1460"/>
  <c r="C1459"/>
  <c r="C1458"/>
  <c r="C1457"/>
  <c r="C1456"/>
  <c r="C1455"/>
  <c r="C1454"/>
  <c r="C1453"/>
  <c r="C1452"/>
  <c r="I2444" i="64"/>
  <c r="I2443"/>
  <c r="B2430"/>
  <c r="I2408"/>
  <c r="I2022"/>
  <c r="I2023" s="1"/>
  <c r="I2024" s="1"/>
  <c r="B1984"/>
  <c r="E2429"/>
  <c r="E2431"/>
  <c r="I2431" s="1"/>
  <c r="G1835" i="67"/>
  <c r="G1834"/>
  <c r="G1833"/>
  <c r="G1832"/>
  <c r="G1831"/>
  <c r="G1830"/>
  <c r="G1829"/>
  <c r="G1828"/>
  <c r="G1827"/>
  <c r="G1826"/>
  <c r="G1825"/>
  <c r="G1824"/>
  <c r="G1823"/>
  <c r="G1822"/>
  <c r="G1821"/>
  <c r="G1820"/>
  <c r="G1819"/>
  <c r="G1818"/>
  <c r="G1817"/>
  <c r="G1816"/>
  <c r="G1815"/>
  <c r="G1814"/>
  <c r="G1813"/>
  <c r="G1812"/>
  <c r="G1811"/>
  <c r="G1810"/>
  <c r="G1809"/>
  <c r="G1808"/>
  <c r="G1807"/>
  <c r="G1806"/>
  <c r="G1805"/>
  <c r="G1804"/>
  <c r="G1803"/>
  <c r="G1802"/>
  <c r="G1801"/>
  <c r="G1800"/>
  <c r="G1799"/>
  <c r="G1798"/>
  <c r="G1797"/>
  <c r="G1796"/>
  <c r="G1795"/>
  <c r="G1794"/>
  <c r="G1793"/>
  <c r="G1792"/>
  <c r="G1791"/>
  <c r="G1790"/>
  <c r="G1789"/>
  <c r="G1788"/>
  <c r="G1787"/>
  <c r="G1786"/>
  <c r="G1785"/>
  <c r="G1784"/>
  <c r="G1783"/>
  <c r="G1782"/>
  <c r="G1781"/>
  <c r="G1780"/>
  <c r="G1779"/>
  <c r="G1778"/>
  <c r="G1777"/>
  <c r="G1776"/>
  <c r="G1775"/>
  <c r="G1774"/>
  <c r="G1773"/>
  <c r="G1772"/>
  <c r="G1771"/>
  <c r="G1770"/>
  <c r="G1769"/>
  <c r="G1768"/>
  <c r="G1767"/>
  <c r="G1766"/>
  <c r="G1765"/>
  <c r="G1764"/>
  <c r="G1763"/>
  <c r="G1762"/>
  <c r="G1761"/>
  <c r="G1760"/>
  <c r="G1759"/>
  <c r="G1758"/>
  <c r="G1757"/>
  <c r="G1756"/>
  <c r="G1755"/>
  <c r="G1754"/>
  <c r="G1753"/>
  <c r="G1752"/>
  <c r="G1751"/>
  <c r="G1750"/>
  <c r="G1749"/>
  <c r="G1748"/>
  <c r="G1747"/>
  <c r="G1746"/>
  <c r="G1745"/>
  <c r="G1744"/>
  <c r="G1743"/>
  <c r="G1742"/>
  <c r="G1741"/>
  <c r="G1740"/>
  <c r="G1739"/>
  <c r="G1738"/>
  <c r="G1737"/>
  <c r="G1736"/>
  <c r="G1735"/>
  <c r="G1734"/>
  <c r="G1733"/>
  <c r="G1732"/>
  <c r="G1731"/>
  <c r="G1730"/>
  <c r="G1729"/>
  <c r="G1728"/>
  <c r="G1727"/>
  <c r="G1726"/>
  <c r="G1725"/>
  <c r="G1724"/>
  <c r="G1723"/>
  <c r="G1722"/>
  <c r="G1721"/>
  <c r="G1720"/>
  <c r="G1719"/>
  <c r="G1718"/>
  <c r="G1717"/>
  <c r="G1716"/>
  <c r="G1715"/>
  <c r="G1714"/>
  <c r="G1713"/>
  <c r="G1712"/>
  <c r="G1711"/>
  <c r="G1710"/>
  <c r="G1709"/>
  <c r="G1708"/>
  <c r="G1707"/>
  <c r="G1706"/>
  <c r="G1705"/>
  <c r="G1704"/>
  <c r="G1703"/>
  <c r="G1702"/>
  <c r="G1701"/>
  <c r="G1700"/>
  <c r="G1699"/>
  <c r="G1698"/>
  <c r="G1697"/>
  <c r="G1696"/>
  <c r="G1695"/>
  <c r="G1694"/>
  <c r="G1693"/>
  <c r="G1692"/>
  <c r="G1691"/>
  <c r="G1690"/>
  <c r="G1689"/>
  <c r="G1688"/>
  <c r="G1687"/>
  <c r="G1686"/>
  <c r="G1685"/>
  <c r="G1684"/>
  <c r="G1683"/>
  <c r="G1682"/>
  <c r="G1681"/>
  <c r="G1680"/>
  <c r="G1679"/>
  <c r="G1678"/>
  <c r="G1677"/>
  <c r="G1676"/>
  <c r="G1675"/>
  <c r="G1674"/>
  <c r="G1673"/>
  <c r="G1672"/>
  <c r="G1671"/>
  <c r="G1670"/>
  <c r="G1669"/>
  <c r="G1668"/>
  <c r="G1667"/>
  <c r="G1666"/>
  <c r="G1665"/>
  <c r="G1664"/>
  <c r="G1663"/>
  <c r="G1662"/>
  <c r="G1661"/>
  <c r="G1660"/>
  <c r="G1659"/>
  <c r="G1658"/>
  <c r="G1657"/>
  <c r="G1656"/>
  <c r="G1655"/>
  <c r="G1654"/>
  <c r="G1653"/>
  <c r="G1652"/>
  <c r="G1651"/>
  <c r="G1650"/>
  <c r="G1649"/>
  <c r="G1648"/>
  <c r="G1647"/>
  <c r="G1646"/>
  <c r="G1645"/>
  <c r="G1644"/>
  <c r="G1643"/>
  <c r="D1538"/>
  <c r="G1538" s="1"/>
  <c r="D1537"/>
  <c r="G1537" s="1"/>
  <c r="D1536"/>
  <c r="G1536" s="1"/>
  <c r="D1535"/>
  <c r="G1535" s="1"/>
  <c r="D1533"/>
  <c r="G1533" s="1"/>
  <c r="D1532"/>
  <c r="G1532" s="1"/>
  <c r="D1531"/>
  <c r="G1531" s="1"/>
  <c r="D1530"/>
  <c r="G1530" s="1"/>
  <c r="D1529"/>
  <c r="G1529" s="1"/>
  <c r="D1528"/>
  <c r="G1528" s="1"/>
  <c r="D1527"/>
  <c r="G1527" s="1"/>
  <c r="D1526"/>
  <c r="G1526" s="1"/>
  <c r="D1525"/>
  <c r="G1525" s="1"/>
  <c r="D1524"/>
  <c r="G1524" s="1"/>
  <c r="D1500"/>
  <c r="G1500" s="1"/>
  <c r="D1496"/>
  <c r="G1496" s="1"/>
  <c r="D1495"/>
  <c r="G1495" s="1"/>
  <c r="D1494"/>
  <c r="G1494" s="1"/>
  <c r="D1489"/>
  <c r="G1489" s="1"/>
  <c r="D1488"/>
  <c r="G1488" s="1"/>
  <c r="D1487"/>
  <c r="G1487" s="1"/>
  <c r="C1485"/>
  <c r="D1484"/>
  <c r="G1484" s="1"/>
  <c r="D1477"/>
  <c r="G1477" s="1"/>
  <c r="D1466"/>
  <c r="L1326"/>
  <c r="M1326" s="1"/>
  <c r="L1324"/>
  <c r="N1324" s="1"/>
  <c r="L1322"/>
  <c r="N1322" s="1"/>
  <c r="L1319"/>
  <c r="M1319" s="1"/>
  <c r="L1312"/>
  <c r="M1312" s="1"/>
  <c r="L1309"/>
  <c r="N1309" s="1"/>
  <c r="L1307"/>
  <c r="N1307" s="1"/>
  <c r="L1305"/>
  <c r="N1305" s="1"/>
  <c r="P1305" s="1"/>
  <c r="B1305" s="1"/>
  <c r="L1303"/>
  <c r="M1303" s="1"/>
  <c r="L1300"/>
  <c r="N1300" s="1"/>
  <c r="L1299"/>
  <c r="N1299" s="1"/>
  <c r="L1297"/>
  <c r="N1297" s="1"/>
  <c r="P1297" s="1"/>
  <c r="B1297" s="1"/>
  <c r="L1296"/>
  <c r="M1296" s="1"/>
  <c r="L1227"/>
  <c r="N1227" s="1"/>
  <c r="L1226"/>
  <c r="N1226" s="1"/>
  <c r="L1225"/>
  <c r="N1225" s="1"/>
  <c r="P1225" s="1"/>
  <c r="B1225" s="1"/>
  <c r="L1224"/>
  <c r="M1224" s="1"/>
  <c r="L1223"/>
  <c r="N1223" s="1"/>
  <c r="D1175"/>
  <c r="D1171"/>
  <c r="D1170"/>
  <c r="H1109"/>
  <c r="I1109" s="1"/>
  <c r="R1109" s="1"/>
  <c r="H1108"/>
  <c r="I1108" s="1"/>
  <c r="R1108" s="1"/>
  <c r="H1100"/>
  <c r="I1100" s="1"/>
  <c r="R1100" s="1"/>
  <c r="D1093"/>
  <c r="D1087"/>
  <c r="L1051"/>
  <c r="N1051" s="1"/>
  <c r="P1051" s="1"/>
  <c r="B1051" s="1"/>
  <c r="L1050"/>
  <c r="M1050" s="1"/>
  <c r="H995"/>
  <c r="I995" s="1"/>
  <c r="R995" s="1"/>
  <c r="H992"/>
  <c r="I992" s="1"/>
  <c r="R992" s="1"/>
  <c r="D987"/>
  <c r="E971"/>
  <c r="D958"/>
  <c r="D875"/>
  <c r="D873"/>
  <c r="C868"/>
  <c r="D850"/>
  <c r="D838"/>
  <c r="D836"/>
  <c r="I836" s="1"/>
  <c r="D835"/>
  <c r="I835" s="1"/>
  <c r="D810"/>
  <c r="D809"/>
  <c r="D808"/>
  <c r="D804"/>
  <c r="A781"/>
  <c r="D759"/>
  <c r="C758"/>
  <c r="C757"/>
  <c r="C752"/>
  <c r="D743"/>
  <c r="D742"/>
  <c r="D741"/>
  <c r="D735"/>
  <c r="D734"/>
  <c r="D733"/>
  <c r="D706"/>
  <c r="J704"/>
  <c r="N704" s="1"/>
  <c r="D704"/>
  <c r="I704" s="1"/>
  <c r="D666"/>
  <c r="I666" s="1"/>
  <c r="D659"/>
  <c r="J625"/>
  <c r="D591"/>
  <c r="D583"/>
  <c r="D575"/>
  <c r="J493"/>
  <c r="J475"/>
  <c r="D434"/>
  <c r="I434" s="1"/>
  <c r="D432"/>
  <c r="D431"/>
  <c r="D389"/>
  <c r="D388"/>
  <c r="D387"/>
  <c r="D386"/>
  <c r="I386" s="1"/>
  <c r="D327"/>
  <c r="I327" s="1"/>
  <c r="D312"/>
  <c r="I312" s="1"/>
  <c r="D297"/>
  <c r="D61"/>
  <c r="J44"/>
  <c r="N44" s="1"/>
  <c r="J18"/>
  <c r="J17"/>
  <c r="I2424" i="64"/>
  <c r="I2417"/>
  <c r="I869"/>
  <c r="I868"/>
  <c r="I867"/>
  <c r="I866"/>
  <c r="I865"/>
  <c r="I864"/>
  <c r="I863"/>
  <c r="I862"/>
  <c r="I861"/>
  <c r="I860"/>
  <c r="I859"/>
  <c r="I858"/>
  <c r="I849"/>
  <c r="I847"/>
  <c r="I846"/>
  <c r="I845"/>
  <c r="I844"/>
  <c r="I843"/>
  <c r="F672"/>
  <c r="I672"/>
  <c r="F673"/>
  <c r="I673" s="1"/>
  <c r="F674"/>
  <c r="I674"/>
  <c r="F675"/>
  <c r="I675" s="1"/>
  <c r="F676"/>
  <c r="I676"/>
  <c r="F677"/>
  <c r="I677" s="1"/>
  <c r="F678"/>
  <c r="I678"/>
  <c r="F679"/>
  <c r="I679" s="1"/>
  <c r="F680"/>
  <c r="I680"/>
  <c r="F681"/>
  <c r="I681" s="1"/>
  <c r="F682"/>
  <c r="I682"/>
  <c r="F671"/>
  <c r="I671" s="1"/>
  <c r="I669"/>
  <c r="I668"/>
  <c r="I667"/>
  <c r="I666"/>
  <c r="I665"/>
  <c r="I664"/>
  <c r="I663"/>
  <c r="I662"/>
  <c r="I661"/>
  <c r="I660"/>
  <c r="I659"/>
  <c r="I658"/>
  <c r="F625"/>
  <c r="I625"/>
  <c r="F626"/>
  <c r="I626" s="1"/>
  <c r="F627"/>
  <c r="I627"/>
  <c r="F628"/>
  <c r="I628" s="1"/>
  <c r="F629"/>
  <c r="I629"/>
  <c r="F624"/>
  <c r="I624" s="1"/>
  <c r="I622"/>
  <c r="I621"/>
  <c r="I620"/>
  <c r="I619"/>
  <c r="I618"/>
  <c r="I617"/>
  <c r="F592"/>
  <c r="I592" s="1"/>
  <c r="F593"/>
  <c r="I593"/>
  <c r="F594"/>
  <c r="I594" s="1"/>
  <c r="F595"/>
  <c r="I595"/>
  <c r="F596"/>
  <c r="I596" s="1"/>
  <c r="F597"/>
  <c r="I597"/>
  <c r="F591"/>
  <c r="I591" s="1"/>
  <c r="I589"/>
  <c r="I588"/>
  <c r="I587"/>
  <c r="I586"/>
  <c r="I585"/>
  <c r="I584"/>
  <c r="I583"/>
  <c r="F551"/>
  <c r="I551" s="1"/>
  <c r="F552"/>
  <c r="I552" s="1"/>
  <c r="F553"/>
  <c r="I553" s="1"/>
  <c r="F554"/>
  <c r="I554" s="1"/>
  <c r="F555"/>
  <c r="I555" s="1"/>
  <c r="F556"/>
  <c r="I556" s="1"/>
  <c r="F557"/>
  <c r="I557" s="1"/>
  <c r="F550"/>
  <c r="I550" s="1"/>
  <c r="I548"/>
  <c r="I547"/>
  <c r="I546"/>
  <c r="I545"/>
  <c r="I544"/>
  <c r="I543"/>
  <c r="I542"/>
  <c r="I541"/>
  <c r="I232"/>
  <c r="I238"/>
  <c r="I242"/>
  <c r="I241"/>
  <c r="I240"/>
  <c r="I239"/>
  <c r="I237"/>
  <c r="I229"/>
  <c r="I228"/>
  <c r="I227"/>
  <c r="I226"/>
  <c r="I225"/>
  <c r="I224"/>
  <c r="I236"/>
  <c r="I235"/>
  <c r="I234"/>
  <c r="I233"/>
  <c r="I231"/>
  <c r="I223"/>
  <c r="I222"/>
  <c r="I221"/>
  <c r="I220"/>
  <c r="I219"/>
  <c r="I218"/>
  <c r="I201"/>
  <c r="I200"/>
  <c r="I199"/>
  <c r="I198"/>
  <c r="F197"/>
  <c r="I197" s="1"/>
  <c r="I196"/>
  <c r="I194"/>
  <c r="I193"/>
  <c r="I192"/>
  <c r="I191"/>
  <c r="I190"/>
  <c r="I189"/>
  <c r="I173"/>
  <c r="I172"/>
  <c r="I171"/>
  <c r="I170"/>
  <c r="I169"/>
  <c r="F168"/>
  <c r="I168" s="1"/>
  <c r="I167"/>
  <c r="I165"/>
  <c r="I164"/>
  <c r="I163"/>
  <c r="I162"/>
  <c r="I161"/>
  <c r="I160"/>
  <c r="I159"/>
  <c r="F137"/>
  <c r="I137" s="1"/>
  <c r="I143"/>
  <c r="I142"/>
  <c r="I141"/>
  <c r="I140"/>
  <c r="I139"/>
  <c r="I138"/>
  <c r="I136"/>
  <c r="I131"/>
  <c r="I130"/>
  <c r="I129"/>
  <c r="I128"/>
  <c r="I127"/>
  <c r="F1650"/>
  <c r="I1650" s="1"/>
  <c r="F1649"/>
  <c r="I1649" s="1"/>
  <c r="F1648"/>
  <c r="I1648" s="1"/>
  <c r="F1647"/>
  <c r="I1647" s="1"/>
  <c r="F1646"/>
  <c r="I1646" s="1"/>
  <c r="F1968"/>
  <c r="I1968" s="1"/>
  <c r="F1967"/>
  <c r="I1967" s="1"/>
  <c r="F1966"/>
  <c r="I1966" s="1"/>
  <c r="F1965"/>
  <c r="I1965" s="1"/>
  <c r="F1964"/>
  <c r="I1964" s="1"/>
  <c r="F1962"/>
  <c r="I1962" s="1"/>
  <c r="F1961"/>
  <c r="I1961" s="1"/>
  <c r="F1960"/>
  <c r="I1960" s="1"/>
  <c r="F1959"/>
  <c r="I1959" s="1"/>
  <c r="F1958"/>
  <c r="I1958" s="1"/>
  <c r="F1957"/>
  <c r="I1957" s="1"/>
  <c r="F1956"/>
  <c r="I1956" s="1"/>
  <c r="F1955"/>
  <c r="I1955" s="1"/>
  <c r="F1953"/>
  <c r="I1953" s="1"/>
  <c r="F1952"/>
  <c r="I1952" s="1"/>
  <c r="F1951"/>
  <c r="I1951" s="1"/>
  <c r="F1950"/>
  <c r="I1950" s="1"/>
  <c r="F1949"/>
  <c r="I1949" s="1"/>
  <c r="F1948"/>
  <c r="I1948" s="1"/>
  <c r="F1947"/>
  <c r="I1947" s="1"/>
  <c r="F1946"/>
  <c r="I1946" s="1"/>
  <c r="F1944"/>
  <c r="I1944" s="1"/>
  <c r="F1943"/>
  <c r="I1943" s="1"/>
  <c r="F1942"/>
  <c r="I1942" s="1"/>
  <c r="F1941"/>
  <c r="I1941" s="1"/>
  <c r="F1940"/>
  <c r="I1940" s="1"/>
  <c r="F1939"/>
  <c r="I1939" s="1"/>
  <c r="F1938"/>
  <c r="I1938" s="1"/>
  <c r="F1937"/>
  <c r="I1937" s="1"/>
  <c r="F1935"/>
  <c r="I1935" s="1"/>
  <c r="F1934"/>
  <c r="I1934" s="1"/>
  <c r="F1933"/>
  <c r="I1933" s="1"/>
  <c r="F1932"/>
  <c r="I1932" s="1"/>
  <c r="F1931"/>
  <c r="I1931" s="1"/>
  <c r="F1930"/>
  <c r="I1930" s="1"/>
  <c r="F1929"/>
  <c r="I1929" s="1"/>
  <c r="F1928"/>
  <c r="I1928" s="1"/>
  <c r="F1704"/>
  <c r="I1704" s="1"/>
  <c r="F1705"/>
  <c r="I1705" s="1"/>
  <c r="F1703"/>
  <c r="I1703" s="1"/>
  <c r="F1702"/>
  <c r="I1702" s="1"/>
  <c r="F1701"/>
  <c r="I1701" s="1"/>
  <c r="F1699"/>
  <c r="I1699" s="1"/>
  <c r="F1700"/>
  <c r="I1700" s="1"/>
  <c r="F1698"/>
  <c r="I1698" s="1"/>
  <c r="F1686"/>
  <c r="F1685"/>
  <c r="F1684"/>
  <c r="F1683"/>
  <c r="I1683"/>
  <c r="F1682"/>
  <c r="I1682" s="1"/>
  <c r="F1681"/>
  <c r="I1681"/>
  <c r="K1696"/>
  <c r="I1696"/>
  <c r="I1695"/>
  <c r="F1694"/>
  <c r="I1694" s="1"/>
  <c r="I1693"/>
  <c r="I1691"/>
  <c r="I1690"/>
  <c r="I1689"/>
  <c r="F1688"/>
  <c r="I1688" s="1"/>
  <c r="K1686"/>
  <c r="I1609"/>
  <c r="I1608"/>
  <c r="I1607"/>
  <c r="I1606"/>
  <c r="I1605"/>
  <c r="I1604"/>
  <c r="I1603"/>
  <c r="I1602"/>
  <c r="I1562"/>
  <c r="I1561"/>
  <c r="I1560"/>
  <c r="I1559"/>
  <c r="I1558"/>
  <c r="I1557"/>
  <c r="I1556"/>
  <c r="I1555"/>
  <c r="I1521"/>
  <c r="I1520"/>
  <c r="I1519"/>
  <c r="I1518"/>
  <c r="I1517"/>
  <c r="I1516"/>
  <c r="I1515"/>
  <c r="I1514"/>
  <c r="I1483"/>
  <c r="I1482"/>
  <c r="I1481"/>
  <c r="I1480"/>
  <c r="I1479"/>
  <c r="I1478"/>
  <c r="I1477"/>
  <c r="I1476"/>
  <c r="H1466"/>
  <c r="I1466"/>
  <c r="H1467"/>
  <c r="I1467" s="1"/>
  <c r="H1468"/>
  <c r="I1468"/>
  <c r="H1469"/>
  <c r="I1469" s="1"/>
  <c r="H1470"/>
  <c r="I1470"/>
  <c r="H1471"/>
  <c r="I1471" s="1"/>
  <c r="H1472"/>
  <c r="I1472"/>
  <c r="H1465"/>
  <c r="I1465" s="1"/>
  <c r="G1453"/>
  <c r="G1452"/>
  <c r="G1451"/>
  <c r="G1450"/>
  <c r="G1449"/>
  <c r="F1453"/>
  <c r="F1452"/>
  <c r="F1451"/>
  <c r="F1450"/>
  <c r="F1449"/>
  <c r="K1464"/>
  <c r="I1464"/>
  <c r="I1463"/>
  <c r="F1462"/>
  <c r="I1462" s="1"/>
  <c r="I1461"/>
  <c r="I1459"/>
  <c r="I1458"/>
  <c r="I1457"/>
  <c r="F1456"/>
  <c r="I1456" s="1"/>
  <c r="K1454"/>
  <c r="G1454"/>
  <c r="F1454"/>
  <c r="G75"/>
  <c r="F75"/>
  <c r="G74"/>
  <c r="F74"/>
  <c r="G73"/>
  <c r="F73"/>
  <c r="G72"/>
  <c r="F72"/>
  <c r="G71"/>
  <c r="F71"/>
  <c r="G51"/>
  <c r="F51"/>
  <c r="G50"/>
  <c r="F50"/>
  <c r="G49"/>
  <c r="F49"/>
  <c r="G48"/>
  <c r="F48"/>
  <c r="G47"/>
  <c r="F47"/>
  <c r="G42"/>
  <c r="F42"/>
  <c r="G41"/>
  <c r="F41"/>
  <c r="G40"/>
  <c r="F40"/>
  <c r="G39"/>
  <c r="F39"/>
  <c r="G38"/>
  <c r="F38"/>
  <c r="G33"/>
  <c r="F33"/>
  <c r="G32"/>
  <c r="F32"/>
  <c r="G31"/>
  <c r="F31"/>
  <c r="G30"/>
  <c r="F30"/>
  <c r="G29"/>
  <c r="F29"/>
  <c r="G11"/>
  <c r="G10"/>
  <c r="G9"/>
  <c r="G8"/>
  <c r="G7"/>
  <c r="F11"/>
  <c r="F10"/>
  <c r="F9"/>
  <c r="F8"/>
  <c r="F7"/>
  <c r="I116"/>
  <c r="I115"/>
  <c r="I114"/>
  <c r="I113"/>
  <c r="I112"/>
  <c r="I111"/>
  <c r="F107"/>
  <c r="K106"/>
  <c r="I106"/>
  <c r="I105"/>
  <c r="F104"/>
  <c r="I104" s="1"/>
  <c r="I103"/>
  <c r="I102"/>
  <c r="I101"/>
  <c r="I100"/>
  <c r="F99"/>
  <c r="I99"/>
  <c r="I89"/>
  <c r="G88"/>
  <c r="F88"/>
  <c r="K87"/>
  <c r="F87"/>
  <c r="I87" s="1"/>
  <c r="K86"/>
  <c r="I86"/>
  <c r="I85"/>
  <c r="F84"/>
  <c r="I84" s="1"/>
  <c r="I83"/>
  <c r="I81"/>
  <c r="I80"/>
  <c r="I79"/>
  <c r="F78"/>
  <c r="I78" s="1"/>
  <c r="K76"/>
  <c r="G76"/>
  <c r="F76"/>
  <c r="I65"/>
  <c r="G64"/>
  <c r="F64"/>
  <c r="K63"/>
  <c r="F63"/>
  <c r="I63"/>
  <c r="K62"/>
  <c r="I62"/>
  <c r="I61"/>
  <c r="F60"/>
  <c r="I60" s="1"/>
  <c r="I59"/>
  <c r="I57"/>
  <c r="I56"/>
  <c r="I55"/>
  <c r="F54"/>
  <c r="I54" s="1"/>
  <c r="K52"/>
  <c r="G52"/>
  <c r="F52"/>
  <c r="G24"/>
  <c r="F24"/>
  <c r="I24" s="1"/>
  <c r="K43"/>
  <c r="G43"/>
  <c r="F43"/>
  <c r="F23"/>
  <c r="I23" s="1"/>
  <c r="F20"/>
  <c r="I20"/>
  <c r="F14"/>
  <c r="I14" s="1"/>
  <c r="K34"/>
  <c r="G34"/>
  <c r="F34"/>
  <c r="K12"/>
  <c r="G12"/>
  <c r="F12"/>
  <c r="I2735"/>
  <c r="I2736" s="1"/>
  <c r="I2732"/>
  <c r="I2733"/>
  <c r="I2729"/>
  <c r="I2730" s="1"/>
  <c r="I2726"/>
  <c r="I2727"/>
  <c r="I2723"/>
  <c r="I2724" s="1"/>
  <c r="I2720"/>
  <c r="I2721"/>
  <c r="I2717"/>
  <c r="I2714"/>
  <c r="I2713"/>
  <c r="I2712"/>
  <c r="I2711"/>
  <c r="I2710"/>
  <c r="I2709"/>
  <c r="I2708"/>
  <c r="I2707"/>
  <c r="I2706"/>
  <c r="I2705"/>
  <c r="I2704"/>
  <c r="I2703"/>
  <c r="I2702"/>
  <c r="I2701"/>
  <c r="I2700"/>
  <c r="I2699"/>
  <c r="I2698"/>
  <c r="I2697"/>
  <c r="I2696"/>
  <c r="I2695"/>
  <c r="I2694"/>
  <c r="I2693"/>
  <c r="I2692"/>
  <c r="I2691"/>
  <c r="I2690"/>
  <c r="I2689"/>
  <c r="I2688"/>
  <c r="I2687"/>
  <c r="I2686"/>
  <c r="I2685"/>
  <c r="I2684"/>
  <c r="I2683"/>
  <c r="I2682"/>
  <c r="I2681"/>
  <c r="I2680"/>
  <c r="I2679"/>
  <c r="I2678"/>
  <c r="I2676"/>
  <c r="I2674"/>
  <c r="I2675" s="1"/>
  <c r="I2673"/>
  <c r="I2671"/>
  <c r="I2672"/>
  <c r="I2668"/>
  <c r="I2665"/>
  <c r="I2664"/>
  <c r="I2663"/>
  <c r="I2662"/>
  <c r="I2661"/>
  <c r="I2660"/>
  <c r="I2659"/>
  <c r="I2658"/>
  <c r="I2657"/>
  <c r="I2656"/>
  <c r="I2655"/>
  <c r="I2654"/>
  <c r="I2653"/>
  <c r="I2652"/>
  <c r="I2651"/>
  <c r="I2650"/>
  <c r="I2649"/>
  <c r="I2648"/>
  <c r="I2647"/>
  <c r="I2646"/>
  <c r="I2645"/>
  <c r="I2644"/>
  <c r="I2643"/>
  <c r="I2642"/>
  <c r="I2641"/>
  <c r="I2640"/>
  <c r="I2639"/>
  <c r="I2638"/>
  <c r="I2637"/>
  <c r="I2636"/>
  <c r="I2635"/>
  <c r="I2634"/>
  <c r="I2633"/>
  <c r="I2632"/>
  <c r="I2631"/>
  <c r="I2630"/>
  <c r="I2629"/>
  <c r="I2626"/>
  <c r="I2623"/>
  <c r="I2622"/>
  <c r="I2621"/>
  <c r="I2612"/>
  <c r="I2610"/>
  <c r="I2607"/>
  <c r="I2608"/>
  <c r="I2604"/>
  <c r="I2605"/>
  <c r="I2601"/>
  <c r="I2598"/>
  <c r="I2595"/>
  <c r="I2596"/>
  <c r="I2591"/>
  <c r="I2588"/>
  <c r="I2586"/>
  <c r="I2585"/>
  <c r="I2584"/>
  <c r="I2581"/>
  <c r="I2580"/>
  <c r="I2579"/>
  <c r="I2578"/>
  <c r="I2577"/>
  <c r="I2576"/>
  <c r="I2575"/>
  <c r="I2574"/>
  <c r="I2573"/>
  <c r="I2572"/>
  <c r="I2571"/>
  <c r="I2570"/>
  <c r="I2569"/>
  <c r="I2568"/>
  <c r="I2567"/>
  <c r="I2566"/>
  <c r="I2565"/>
  <c r="I2564"/>
  <c r="I2563"/>
  <c r="I2562"/>
  <c r="I2561"/>
  <c r="I2560"/>
  <c r="I2559"/>
  <c r="I2558"/>
  <c r="I2557"/>
  <c r="I2556"/>
  <c r="I2555"/>
  <c r="I2554"/>
  <c r="I2553"/>
  <c r="I2552"/>
  <c r="I2551"/>
  <c r="I2550"/>
  <c r="I2549"/>
  <c r="I2548"/>
  <c r="I2547"/>
  <c r="I2546"/>
  <c r="I2545"/>
  <c r="I2541"/>
  <c r="I2540"/>
  <c r="I2539"/>
  <c r="I2538"/>
  <c r="I2537"/>
  <c r="I2536"/>
  <c r="I2535"/>
  <c r="I2534"/>
  <c r="I2533"/>
  <c r="I2532"/>
  <c r="I2531"/>
  <c r="I2530"/>
  <c r="I2529"/>
  <c r="I2528"/>
  <c r="I2527"/>
  <c r="I2526"/>
  <c r="I2525"/>
  <c r="I2524"/>
  <c r="I2523"/>
  <c r="I2522"/>
  <c r="I2521"/>
  <c r="I2520"/>
  <c r="I2519"/>
  <c r="I2518"/>
  <c r="I2517"/>
  <c r="I2516"/>
  <c r="I2515"/>
  <c r="I2514"/>
  <c r="I2513"/>
  <c r="I2512"/>
  <c r="I2511"/>
  <c r="I2510"/>
  <c r="I2509"/>
  <c r="I2508"/>
  <c r="I2507"/>
  <c r="I2506"/>
  <c r="I2505"/>
  <c r="I2500"/>
  <c r="I2499"/>
  <c r="I2498"/>
  <c r="I2497"/>
  <c r="I2496"/>
  <c r="I2495"/>
  <c r="I2494"/>
  <c r="I2493"/>
  <c r="I2492"/>
  <c r="I2491"/>
  <c r="I2490"/>
  <c r="I2489"/>
  <c r="I2488"/>
  <c r="I2487"/>
  <c r="I2483"/>
  <c r="I2482"/>
  <c r="F2481"/>
  <c r="I2481" s="1"/>
  <c r="I2469"/>
  <c r="I2468"/>
  <c r="I2466"/>
  <c r="I2465"/>
  <c r="I2463"/>
  <c r="I2460"/>
  <c r="F2455"/>
  <c r="I2455" s="1"/>
  <c r="I2454"/>
  <c r="F2453"/>
  <c r="I2453"/>
  <c r="I2452"/>
  <c r="F2451"/>
  <c r="I2451" s="1"/>
  <c r="I2450"/>
  <c r="F2449"/>
  <c r="I2449" s="1"/>
  <c r="I2448"/>
  <c r="F2439"/>
  <c r="I2439" s="1"/>
  <c r="I2438"/>
  <c r="F2437"/>
  <c r="I2437"/>
  <c r="I2436"/>
  <c r="F2435"/>
  <c r="I2435" s="1"/>
  <c r="F2434"/>
  <c r="I2434" s="1"/>
  <c r="I2433"/>
  <c r="I2429"/>
  <c r="I2423"/>
  <c r="I2422"/>
  <c r="I2421"/>
  <c r="I2416"/>
  <c r="I2415"/>
  <c r="I2413"/>
  <c r="I2411"/>
  <c r="I2406"/>
  <c r="I2401"/>
  <c r="H2400"/>
  <c r="I2400"/>
  <c r="F2396"/>
  <c r="I2396"/>
  <c r="I2395"/>
  <c r="F2394"/>
  <c r="I2394" s="1"/>
  <c r="I2393"/>
  <c r="F2392"/>
  <c r="I2392" s="1"/>
  <c r="I2391"/>
  <c r="F2390"/>
  <c r="I2390" s="1"/>
  <c r="I2389"/>
  <c r="F2388"/>
  <c r="I2388"/>
  <c r="I2387"/>
  <c r="F2386"/>
  <c r="I2386" s="1"/>
  <c r="I2385"/>
  <c r="F2384"/>
  <c r="I2384"/>
  <c r="I2383"/>
  <c r="F2382"/>
  <c r="I2382" s="1"/>
  <c r="I2381"/>
  <c r="F2380"/>
  <c r="I2380"/>
  <c r="I2379"/>
  <c r="F2378"/>
  <c r="I2378" s="1"/>
  <c r="I2377"/>
  <c r="F2376"/>
  <c r="I2376" s="1"/>
  <c r="I2375"/>
  <c r="I2374"/>
  <c r="F2373"/>
  <c r="I2373" s="1"/>
  <c r="I2372"/>
  <c r="F2371"/>
  <c r="I2371" s="1"/>
  <c r="I2370"/>
  <c r="F2369"/>
  <c r="I2369"/>
  <c r="I2368"/>
  <c r="F2367"/>
  <c r="I2367" s="1"/>
  <c r="I2366"/>
  <c r="F2365"/>
  <c r="I2365"/>
  <c r="I2364"/>
  <c r="F2363"/>
  <c r="I2363" s="1"/>
  <c r="I2362"/>
  <c r="I2361"/>
  <c r="F2360"/>
  <c r="I2360" s="1"/>
  <c r="I2359"/>
  <c r="F2358"/>
  <c r="I2358"/>
  <c r="I2357"/>
  <c r="F2356"/>
  <c r="I2356" s="1"/>
  <c r="I2355"/>
  <c r="F2354"/>
  <c r="I2354" s="1"/>
  <c r="I2353"/>
  <c r="F2352"/>
  <c r="I2352" s="1"/>
  <c r="I2351"/>
  <c r="I2350"/>
  <c r="F2349"/>
  <c r="I2349" s="1"/>
  <c r="I2348"/>
  <c r="F2347"/>
  <c r="I2347" s="1"/>
  <c r="I2397" s="1"/>
  <c r="I2398" s="1"/>
  <c r="F1479" i="69" s="1"/>
  <c r="I2346" i="64"/>
  <c r="F2345"/>
  <c r="I2345" s="1"/>
  <c r="I2344"/>
  <c r="F2343"/>
  <c r="I2343" s="1"/>
  <c r="I2342"/>
  <c r="F2341"/>
  <c r="I2341" s="1"/>
  <c r="I2340"/>
  <c r="F2339"/>
  <c r="I2339"/>
  <c r="I2338"/>
  <c r="I2333"/>
  <c r="I2327"/>
  <c r="I2323"/>
  <c r="I2322"/>
  <c r="I2321"/>
  <c r="I2320"/>
  <c r="I2319"/>
  <c r="I2318"/>
  <c r="I2317"/>
  <c r="I2316"/>
  <c r="I2315"/>
  <c r="I2314"/>
  <c r="I2313"/>
  <c r="I2312"/>
  <c r="I2311"/>
  <c r="I2310"/>
  <c r="I2309"/>
  <c r="I2308"/>
  <c r="I2307"/>
  <c r="I2303"/>
  <c r="I2304"/>
  <c r="I2300"/>
  <c r="I2301"/>
  <c r="I2297"/>
  <c r="I2294"/>
  <c r="I2293"/>
  <c r="I2292"/>
  <c r="I2291"/>
  <c r="I2290"/>
  <c r="I2289"/>
  <c r="I2288"/>
  <c r="I2287"/>
  <c r="I2286"/>
  <c r="I2285"/>
  <c r="I2284"/>
  <c r="I2283"/>
  <c r="I2282"/>
  <c r="I2281"/>
  <c r="I2280"/>
  <c r="I2279"/>
  <c r="I2278"/>
  <c r="I2277"/>
  <c r="I2276"/>
  <c r="I2275"/>
  <c r="I2274"/>
  <c r="I2273"/>
  <c r="I2272"/>
  <c r="I2271"/>
  <c r="I2270"/>
  <c r="I2269"/>
  <c r="I2268"/>
  <c r="I2267"/>
  <c r="I2266"/>
  <c r="I2265"/>
  <c r="I2264"/>
  <c r="I2263"/>
  <c r="I2262"/>
  <c r="I2261"/>
  <c r="I2257"/>
  <c r="I2256"/>
  <c r="I2255"/>
  <c r="I2254"/>
  <c r="I2253"/>
  <c r="I2252"/>
  <c r="I2251"/>
  <c r="I2250"/>
  <c r="I2249"/>
  <c r="I2245"/>
  <c r="I2244"/>
  <c r="I2243"/>
  <c r="I2242"/>
  <c r="I2241"/>
  <c r="I2240"/>
  <c r="I2239"/>
  <c r="I2238"/>
  <c r="I2237"/>
  <c r="I2236"/>
  <c r="I2235"/>
  <c r="I2234"/>
  <c r="I2233"/>
  <c r="I2232"/>
  <c r="I2231"/>
  <c r="I2230"/>
  <c r="I2229"/>
  <c r="I2228"/>
  <c r="I2227"/>
  <c r="I2226"/>
  <c r="I2225"/>
  <c r="I2224"/>
  <c r="I2223"/>
  <c r="I2222"/>
  <c r="I2221"/>
  <c r="I2220"/>
  <c r="I2219"/>
  <c r="I2218"/>
  <c r="I2217"/>
  <c r="I2216"/>
  <c r="I2215"/>
  <c r="I2214"/>
  <c r="I2213"/>
  <c r="I2212"/>
  <c r="I2208"/>
  <c r="I2204"/>
  <c r="I2203"/>
  <c r="F2202"/>
  <c r="I2202" s="1"/>
  <c r="I2201"/>
  <c r="I2200"/>
  <c r="I2199"/>
  <c r="I2198"/>
  <c r="I2197"/>
  <c r="I2192"/>
  <c r="I2191"/>
  <c r="F2190"/>
  <c r="I2190" s="1"/>
  <c r="I2189"/>
  <c r="I2188"/>
  <c r="I2187"/>
  <c r="I2186"/>
  <c r="I2185"/>
  <c r="I2180"/>
  <c r="I2177"/>
  <c r="I2175"/>
  <c r="I2173"/>
  <c r="I2171"/>
  <c r="I2167"/>
  <c r="I2166"/>
  <c r="I2165"/>
  <c r="I2161"/>
  <c r="I2160"/>
  <c r="I2159"/>
  <c r="I2158"/>
  <c r="I2157"/>
  <c r="I2156"/>
  <c r="I2155"/>
  <c r="I2154"/>
  <c r="I2153"/>
  <c r="I2152"/>
  <c r="I2151"/>
  <c r="I2150"/>
  <c r="I2149"/>
  <c r="I2148"/>
  <c r="I2147"/>
  <c r="I2146"/>
  <c r="I2145"/>
  <c r="I2116"/>
  <c r="I2114"/>
  <c r="I2112"/>
  <c r="I2106"/>
  <c r="I2105"/>
  <c r="I2104"/>
  <c r="I2103"/>
  <c r="I2102"/>
  <c r="I2101"/>
  <c r="I2100"/>
  <c r="I2099"/>
  <c r="I2098"/>
  <c r="I2097"/>
  <c r="I2096"/>
  <c r="I2095"/>
  <c r="I2094"/>
  <c r="I2093"/>
  <c r="I2092"/>
  <c r="I2091"/>
  <c r="I2090"/>
  <c r="I2086"/>
  <c r="I2085"/>
  <c r="I2084"/>
  <c r="I2083"/>
  <c r="I2082"/>
  <c r="F2081"/>
  <c r="I2081" s="1"/>
  <c r="F2080"/>
  <c r="I2080" s="1"/>
  <c r="F2079"/>
  <c r="I2079" s="1"/>
  <c r="F2078"/>
  <c r="I2078" s="1"/>
  <c r="I2077"/>
  <c r="I2076"/>
  <c r="I2075"/>
  <c r="I2074"/>
  <c r="F2073"/>
  <c r="I2073" s="1"/>
  <c r="I2072"/>
  <c r="I2071"/>
  <c r="F2070"/>
  <c r="I2070" s="1"/>
  <c r="I2069"/>
  <c r="I2068"/>
  <c r="F2067"/>
  <c r="I2067" s="1"/>
  <c r="I2066"/>
  <c r="I2065"/>
  <c r="I2064"/>
  <c r="F2063"/>
  <c r="I2063"/>
  <c r="I2062"/>
  <c r="F2061"/>
  <c r="I2061" s="1"/>
  <c r="I2060"/>
  <c r="F2059"/>
  <c r="I2059" s="1"/>
  <c r="I2058"/>
  <c r="F2057"/>
  <c r="I2057" s="1"/>
  <c r="I2056"/>
  <c r="F2055"/>
  <c r="I2055"/>
  <c r="I2054"/>
  <c r="F2053"/>
  <c r="I2053" s="1"/>
  <c r="I2052"/>
  <c r="I2051"/>
  <c r="F2050"/>
  <c r="I2050" s="1"/>
  <c r="I2049"/>
  <c r="F2048"/>
  <c r="I2048"/>
  <c r="I2047"/>
  <c r="F2046"/>
  <c r="I2046" s="1"/>
  <c r="I2045"/>
  <c r="F2044"/>
  <c r="I2044"/>
  <c r="I2043"/>
  <c r="F2042"/>
  <c r="I2042" s="1"/>
  <c r="F2040"/>
  <c r="I2040" s="1"/>
  <c r="F2039"/>
  <c r="I2039" s="1"/>
  <c r="I2038"/>
  <c r="F2037"/>
  <c r="I2037"/>
  <c r="I2036"/>
  <c r="F2035"/>
  <c r="I2035" s="1"/>
  <c r="I2034"/>
  <c r="F2033"/>
  <c r="I2033"/>
  <c r="F2032"/>
  <c r="I2032" s="1"/>
  <c r="I2030"/>
  <c r="I2029"/>
  <c r="F2028"/>
  <c r="I2028" s="1"/>
  <c r="F2027"/>
  <c r="I2027"/>
  <c r="I2019"/>
  <c r="I2020" s="1"/>
  <c r="I2017"/>
  <c r="I2013"/>
  <c r="I2012"/>
  <c r="I2011"/>
  <c r="I2010"/>
  <c r="I2009"/>
  <c r="I2008"/>
  <c r="I2007"/>
  <c r="I2006"/>
  <c r="I2004"/>
  <c r="I2003"/>
  <c r="I2002"/>
  <c r="I2001"/>
  <c r="I1999"/>
  <c r="I1998"/>
  <c r="I1997"/>
  <c r="I1996"/>
  <c r="I1994"/>
  <c r="I1993"/>
  <c r="I1992"/>
  <c r="I1991"/>
  <c r="I1990"/>
  <c r="I1989"/>
  <c r="I1977"/>
  <c r="F1976"/>
  <c r="I1976"/>
  <c r="F1973"/>
  <c r="I1973" s="1"/>
  <c r="I1974" s="1"/>
  <c r="I1923"/>
  <c r="F1922"/>
  <c r="I1922"/>
  <c r="F1921"/>
  <c r="I1921"/>
  <c r="F1920"/>
  <c r="I1920"/>
  <c r="I1918"/>
  <c r="I1917"/>
  <c r="F1916"/>
  <c r="I1916"/>
  <c r="I1915"/>
  <c r="I1914"/>
  <c r="F1913"/>
  <c r="I1913"/>
  <c r="H1911"/>
  <c r="I1911"/>
  <c r="H1910"/>
  <c r="I1910"/>
  <c r="F1909"/>
  <c r="I1909"/>
  <c r="I1908"/>
  <c r="I1906"/>
  <c r="I1905"/>
  <c r="I1904"/>
  <c r="I1903"/>
  <c r="I1902"/>
  <c r="I1901"/>
  <c r="I1900"/>
  <c r="I1899"/>
  <c r="I1898"/>
  <c r="I1897"/>
  <c r="I1896"/>
  <c r="I1895"/>
  <c r="F1892"/>
  <c r="F1893" s="1"/>
  <c r="I1893" s="1"/>
  <c r="I1891"/>
  <c r="I1890"/>
  <c r="I1889"/>
  <c r="I1888"/>
  <c r="I1887"/>
  <c r="I1886"/>
  <c r="I1885"/>
  <c r="I1884"/>
  <c r="I1883"/>
  <c r="I1882"/>
  <c r="I1881"/>
  <c r="I1880"/>
  <c r="I1878"/>
  <c r="I1877"/>
  <c r="I1876"/>
  <c r="I1875"/>
  <c r="I1874"/>
  <c r="I1873"/>
  <c r="H1872"/>
  <c r="I1872"/>
  <c r="H1871"/>
  <c r="F1871"/>
  <c r="I1870"/>
  <c r="H1869"/>
  <c r="I1869" s="1"/>
  <c r="F1868"/>
  <c r="I1868" s="1"/>
  <c r="H1867"/>
  <c r="F1867"/>
  <c r="F1866"/>
  <c r="I1866" s="1"/>
  <c r="H1865"/>
  <c r="F1865"/>
  <c r="I1864"/>
  <c r="H1863"/>
  <c r="I1863" s="1"/>
  <c r="I1862"/>
  <c r="H1861"/>
  <c r="I1861" s="1"/>
  <c r="G1860"/>
  <c r="I1860" s="1"/>
  <c r="G1859"/>
  <c r="I1859" s="1"/>
  <c r="G1858"/>
  <c r="I1858" s="1"/>
  <c r="I1857"/>
  <c r="I1856"/>
  <c r="I1854"/>
  <c r="I1853"/>
  <c r="I1852"/>
  <c r="I1851"/>
  <c r="I1850"/>
  <c r="I1849"/>
  <c r="I1848"/>
  <c r="I1847"/>
  <c r="I1846"/>
  <c r="I1845"/>
  <c r="I1844"/>
  <c r="I1843"/>
  <c r="I1841"/>
  <c r="F1840"/>
  <c r="I1840"/>
  <c r="I1839"/>
  <c r="I1838"/>
  <c r="F1837"/>
  <c r="I1837"/>
  <c r="F1836"/>
  <c r="I1836" s="1"/>
  <c r="F1835"/>
  <c r="I1835"/>
  <c r="I1834"/>
  <c r="I1833"/>
  <c r="I1832"/>
  <c r="I1831"/>
  <c r="I1830"/>
  <c r="I1829"/>
  <c r="I1828"/>
  <c r="I1827"/>
  <c r="I1826"/>
  <c r="I1824"/>
  <c r="I1823"/>
  <c r="I1822"/>
  <c r="I1821"/>
  <c r="I1820"/>
  <c r="I1819"/>
  <c r="I1818"/>
  <c r="I1817"/>
  <c r="H1816"/>
  <c r="I1816" s="1"/>
  <c r="H1815"/>
  <c r="F1815"/>
  <c r="I1814"/>
  <c r="H1813"/>
  <c r="I1813"/>
  <c r="F1812"/>
  <c r="I1812" s="1"/>
  <c r="H1811"/>
  <c r="F1811"/>
  <c r="F1810"/>
  <c r="I1810"/>
  <c r="H1809"/>
  <c r="F1809"/>
  <c r="I1808"/>
  <c r="H1807"/>
  <c r="I1807" s="1"/>
  <c r="I1806"/>
  <c r="H1805"/>
  <c r="I1805"/>
  <c r="G1804"/>
  <c r="I1804" s="1"/>
  <c r="G1803"/>
  <c r="I1803"/>
  <c r="G1802"/>
  <c r="I1802" s="1"/>
  <c r="I1801"/>
  <c r="I1800"/>
  <c r="F1798"/>
  <c r="I1798" s="1"/>
  <c r="I1797"/>
  <c r="I1796"/>
  <c r="F1795"/>
  <c r="I1795" s="1"/>
  <c r="I1794"/>
  <c r="I1793"/>
  <c r="I1792"/>
  <c r="F1790"/>
  <c r="I1790" s="1"/>
  <c r="F1789"/>
  <c r="I1789" s="1"/>
  <c r="I1788"/>
  <c r="I1787"/>
  <c r="I1786"/>
  <c r="I1785"/>
  <c r="I1784"/>
  <c r="I1783"/>
  <c r="I1782"/>
  <c r="I1781"/>
  <c r="I1780"/>
  <c r="I1779"/>
  <c r="I1777"/>
  <c r="I1776"/>
  <c r="I1775"/>
  <c r="I1774"/>
  <c r="I1773"/>
  <c r="I1772"/>
  <c r="I1771"/>
  <c r="I1770"/>
  <c r="H1769"/>
  <c r="I1769" s="1"/>
  <c r="F1768"/>
  <c r="I1768" s="1"/>
  <c r="H1767"/>
  <c r="F1767"/>
  <c r="I1766"/>
  <c r="H1765"/>
  <c r="I1765"/>
  <c r="I1764"/>
  <c r="H1763"/>
  <c r="F1763"/>
  <c r="I1762"/>
  <c r="H1761"/>
  <c r="F1761"/>
  <c r="I1760"/>
  <c r="H1759"/>
  <c r="I1759" s="1"/>
  <c r="I1758"/>
  <c r="H1757"/>
  <c r="I1757"/>
  <c r="G1756"/>
  <c r="I1756"/>
  <c r="G1755"/>
  <c r="I1755"/>
  <c r="G1754"/>
  <c r="I1754"/>
  <c r="I1753"/>
  <c r="I1752"/>
  <c r="I1749"/>
  <c r="I1748"/>
  <c r="I1747"/>
  <c r="I1746"/>
  <c r="F1745"/>
  <c r="I1745"/>
  <c r="I1744"/>
  <c r="I1743"/>
  <c r="I1742"/>
  <c r="I1741"/>
  <c r="I1740"/>
  <c r="I1739"/>
  <c r="I1738"/>
  <c r="I1737"/>
  <c r="F1736"/>
  <c r="I1736"/>
  <c r="F1735"/>
  <c r="I1735"/>
  <c r="F1734"/>
  <c r="I1734"/>
  <c r="I1733"/>
  <c r="I1731"/>
  <c r="I1730"/>
  <c r="I1729"/>
  <c r="I1728"/>
  <c r="I1727"/>
  <c r="I1726"/>
  <c r="H1725"/>
  <c r="I1725" s="1"/>
  <c r="H1724"/>
  <c r="F1724"/>
  <c r="H1723"/>
  <c r="I1723" s="1"/>
  <c r="H1722"/>
  <c r="F1722"/>
  <c r="H1721"/>
  <c r="F1721"/>
  <c r="H1720"/>
  <c r="I1720" s="1"/>
  <c r="H1719"/>
  <c r="I1719" s="1"/>
  <c r="G1718"/>
  <c r="I1718" s="1"/>
  <c r="G1717"/>
  <c r="I1717" s="1"/>
  <c r="G1716"/>
  <c r="I1716" s="1"/>
  <c r="I1715"/>
  <c r="I1714"/>
  <c r="I1709"/>
  <c r="I1708"/>
  <c r="I1707"/>
  <c r="I1706"/>
  <c r="I1675"/>
  <c r="I1674"/>
  <c r="I1673"/>
  <c r="I1672"/>
  <c r="I1671"/>
  <c r="I1670"/>
  <c r="I1669"/>
  <c r="I1668"/>
  <c r="I1667"/>
  <c r="I1663"/>
  <c r="F1662"/>
  <c r="I1662" s="1"/>
  <c r="I1660"/>
  <c r="F1659"/>
  <c r="I1659"/>
  <c r="I1658"/>
  <c r="I1657"/>
  <c r="F1656"/>
  <c r="I1656"/>
  <c r="H1654"/>
  <c r="I1654"/>
  <c r="H1653"/>
  <c r="I1653"/>
  <c r="F1652"/>
  <c r="I1652"/>
  <c r="I1651"/>
  <c r="I1642"/>
  <c r="I1641"/>
  <c r="I1640"/>
  <c r="I1639"/>
  <c r="I1638"/>
  <c r="I1637"/>
  <c r="I1636"/>
  <c r="I1635"/>
  <c r="F1633"/>
  <c r="I1633" s="1"/>
  <c r="I1632"/>
  <c r="I1631"/>
  <c r="I1630"/>
  <c r="I1629"/>
  <c r="I1628"/>
  <c r="I1627"/>
  <c r="I1625"/>
  <c r="I1624"/>
  <c r="I1623"/>
  <c r="I1622"/>
  <c r="H1621"/>
  <c r="I1621" s="1"/>
  <c r="H1620"/>
  <c r="F1620"/>
  <c r="H1619"/>
  <c r="I1619" s="1"/>
  <c r="H1618"/>
  <c r="F1618"/>
  <c r="H1617"/>
  <c r="F1617"/>
  <c r="H1616"/>
  <c r="I1616" s="1"/>
  <c r="H1615"/>
  <c r="I1615" s="1"/>
  <c r="G1614"/>
  <c r="I1614" s="1"/>
  <c r="G1613"/>
  <c r="I1613" s="1"/>
  <c r="G1612"/>
  <c r="I1612" s="1"/>
  <c r="I1611"/>
  <c r="I1610"/>
  <c r="I1598"/>
  <c r="I1597"/>
  <c r="I1596"/>
  <c r="I1595"/>
  <c r="I1594"/>
  <c r="I1593"/>
  <c r="I1592"/>
  <c r="I1591"/>
  <c r="I1590"/>
  <c r="I1589"/>
  <c r="F1587"/>
  <c r="I1587" s="1"/>
  <c r="I1586"/>
  <c r="F1585"/>
  <c r="I1585" s="1"/>
  <c r="I1584"/>
  <c r="I1583"/>
  <c r="I1582"/>
  <c r="I1581"/>
  <c r="I1580"/>
  <c r="I1578"/>
  <c r="I1577"/>
  <c r="I1576"/>
  <c r="I1575"/>
  <c r="H1574"/>
  <c r="I1574" s="1"/>
  <c r="H1573"/>
  <c r="F1573"/>
  <c r="H1572"/>
  <c r="I1572" s="1"/>
  <c r="H1571"/>
  <c r="F1571"/>
  <c r="H1570"/>
  <c r="F1570"/>
  <c r="H1569"/>
  <c r="I1569" s="1"/>
  <c r="H1568"/>
  <c r="I1568" s="1"/>
  <c r="G1567"/>
  <c r="I1567" s="1"/>
  <c r="G1566"/>
  <c r="I1566" s="1"/>
  <c r="G1565"/>
  <c r="I1565" s="1"/>
  <c r="I1564"/>
  <c r="I1563"/>
  <c r="I1551"/>
  <c r="I1550"/>
  <c r="I1549"/>
  <c r="I1548"/>
  <c r="I1547"/>
  <c r="I1546"/>
  <c r="F1544"/>
  <c r="I1544" s="1"/>
  <c r="I1543"/>
  <c r="I1542"/>
  <c r="I1541"/>
  <c r="I1540"/>
  <c r="I1539"/>
  <c r="I1537"/>
  <c r="I1536"/>
  <c r="I1535"/>
  <c r="I1534"/>
  <c r="H1533"/>
  <c r="I1533"/>
  <c r="H1532"/>
  <c r="F1532"/>
  <c r="H1531"/>
  <c r="I1531"/>
  <c r="H1530"/>
  <c r="F1530"/>
  <c r="H1529"/>
  <c r="F1529"/>
  <c r="H1528"/>
  <c r="I1528" s="1"/>
  <c r="H1527"/>
  <c r="I1527"/>
  <c r="G1526"/>
  <c r="I1526" s="1"/>
  <c r="G1525"/>
  <c r="I1525"/>
  <c r="G1524"/>
  <c r="I1524" s="1"/>
  <c r="I1523"/>
  <c r="I1522"/>
  <c r="I1510"/>
  <c r="I1509"/>
  <c r="F1507"/>
  <c r="I1507"/>
  <c r="I1506"/>
  <c r="I1505"/>
  <c r="I1504"/>
  <c r="I1503"/>
  <c r="F1502"/>
  <c r="I1502" s="1"/>
  <c r="I1501"/>
  <c r="I1499"/>
  <c r="I1498"/>
  <c r="I1497"/>
  <c r="I1496"/>
  <c r="H1495"/>
  <c r="I1495" s="1"/>
  <c r="H1494"/>
  <c r="F1494"/>
  <c r="H1493"/>
  <c r="F1493"/>
  <c r="H1492"/>
  <c r="F1492"/>
  <c r="H1491"/>
  <c r="I1491" s="1"/>
  <c r="H1490"/>
  <c r="I1490" s="1"/>
  <c r="G1489"/>
  <c r="I1489" s="1"/>
  <c r="G1488"/>
  <c r="I1488" s="1"/>
  <c r="G1487"/>
  <c r="I1487" s="1"/>
  <c r="I1486"/>
  <c r="I1485"/>
  <c r="I1484"/>
  <c r="I1438"/>
  <c r="I1439"/>
  <c r="I1434"/>
  <c r="I1433"/>
  <c r="I1431"/>
  <c r="I1428"/>
  <c r="I1426"/>
  <c r="I1423"/>
  <c r="I1422"/>
  <c r="I1421"/>
  <c r="I1420"/>
  <c r="I1419"/>
  <c r="I1418"/>
  <c r="I1415"/>
  <c r="I1414"/>
  <c r="I1413"/>
  <c r="I1412"/>
  <c r="I1411"/>
  <c r="I1410"/>
  <c r="I1406"/>
  <c r="I1405"/>
  <c r="I1404"/>
  <c r="I1403"/>
  <c r="I1402"/>
  <c r="I1401"/>
  <c r="I1400"/>
  <c r="I1399"/>
  <c r="I1398"/>
  <c r="I1397"/>
  <c r="I1396"/>
  <c r="I1395"/>
  <c r="I1394"/>
  <c r="I1393"/>
  <c r="I1392"/>
  <c r="I1391"/>
  <c r="I1390"/>
  <c r="I1389"/>
  <c r="I1388"/>
  <c r="I1387"/>
  <c r="I1386"/>
  <c r="I1385"/>
  <c r="I1384"/>
  <c r="I1383"/>
  <c r="I1382"/>
  <c r="I1381"/>
  <c r="I1380"/>
  <c r="I1379"/>
  <c r="I1378"/>
  <c r="I1377"/>
  <c r="I1376"/>
  <c r="I1375"/>
  <c r="I1374"/>
  <c r="I1373"/>
  <c r="I1372"/>
  <c r="I1371"/>
  <c r="I1370"/>
  <c r="I1366"/>
  <c r="I1363"/>
  <c r="I1362"/>
  <c r="I1361"/>
  <c r="I1360"/>
  <c r="I1359"/>
  <c r="I1358"/>
  <c r="I1357"/>
  <c r="I1356"/>
  <c r="I1355"/>
  <c r="I1354"/>
  <c r="I1353"/>
  <c r="I1352"/>
  <c r="I1351"/>
  <c r="I1350"/>
  <c r="I1349"/>
  <c r="I1348"/>
  <c r="I1347"/>
  <c r="I1346"/>
  <c r="I1345"/>
  <c r="I1344"/>
  <c r="I1343"/>
  <c r="I1342"/>
  <c r="I1341"/>
  <c r="I1340"/>
  <c r="I1339"/>
  <c r="I1338"/>
  <c r="I1337"/>
  <c r="I1336"/>
  <c r="I1335"/>
  <c r="I1334"/>
  <c r="I1333"/>
  <c r="I1332"/>
  <c r="I1331"/>
  <c r="I1330"/>
  <c r="I1327"/>
  <c r="I1324"/>
  <c r="I1323"/>
  <c r="I1322"/>
  <c r="I1321"/>
  <c r="I1320"/>
  <c r="I1319"/>
  <c r="I1318"/>
  <c r="I1317"/>
  <c r="I1316"/>
  <c r="I1315"/>
  <c r="I1314"/>
  <c r="I1313"/>
  <c r="I1312"/>
  <c r="I1311"/>
  <c r="I1310"/>
  <c r="I1309"/>
  <c r="I1308"/>
  <c r="I1307"/>
  <c r="I1306"/>
  <c r="I1305"/>
  <c r="I1304"/>
  <c r="I1303"/>
  <c r="I1302"/>
  <c r="I1301"/>
  <c r="I1300"/>
  <c r="I1299"/>
  <c r="I1298"/>
  <c r="I1297"/>
  <c r="I1296"/>
  <c r="I1295"/>
  <c r="I1294"/>
  <c r="I1293"/>
  <c r="I1292"/>
  <c r="I1291"/>
  <c r="I1287"/>
  <c r="I1286"/>
  <c r="I1285"/>
  <c r="I1284"/>
  <c r="I1283"/>
  <c r="I1282"/>
  <c r="I1281"/>
  <c r="I1280"/>
  <c r="I1279"/>
  <c r="I1278"/>
  <c r="I1277"/>
  <c r="I1276"/>
  <c r="I1275"/>
  <c r="I1274"/>
  <c r="I1273"/>
  <c r="I1272"/>
  <c r="I1271"/>
  <c r="I1270"/>
  <c r="I1269"/>
  <c r="I1268"/>
  <c r="I1267"/>
  <c r="I1266"/>
  <c r="I1265"/>
  <c r="I1264"/>
  <c r="I1263"/>
  <c r="I1262"/>
  <c r="I1261"/>
  <c r="I1260"/>
  <c r="I1256"/>
  <c r="I1255"/>
  <c r="I1254"/>
  <c r="I1253"/>
  <c r="I1252"/>
  <c r="I1251"/>
  <c r="I1250"/>
  <c r="I1249"/>
  <c r="I1248"/>
  <c r="I1247"/>
  <c r="I1246"/>
  <c r="I1245"/>
  <c r="I1244"/>
  <c r="I1243"/>
  <c r="I1242"/>
  <c r="I1241"/>
  <c r="I1240"/>
  <c r="I1239"/>
  <c r="I1238"/>
  <c r="I1237"/>
  <c r="I1236"/>
  <c r="I1235"/>
  <c r="I1234"/>
  <c r="I1233"/>
  <c r="I1232"/>
  <c r="I1231"/>
  <c r="I1230"/>
  <c r="I1229"/>
  <c r="I1228"/>
  <c r="I1227"/>
  <c r="I1226"/>
  <c r="I1225"/>
  <c r="I1224"/>
  <c r="I1223"/>
  <c r="I1222"/>
  <c r="I1221"/>
  <c r="I1220"/>
  <c r="I1216"/>
  <c r="I1215"/>
  <c r="I1214"/>
  <c r="I1213"/>
  <c r="I1212"/>
  <c r="I1211"/>
  <c r="I1210"/>
  <c r="I1209"/>
  <c r="I1208"/>
  <c r="I1207"/>
  <c r="I1206"/>
  <c r="I1205"/>
  <c r="I1204"/>
  <c r="I1203"/>
  <c r="I1202"/>
  <c r="I1201"/>
  <c r="I1200"/>
  <c r="I1199"/>
  <c r="I1198"/>
  <c r="I1197"/>
  <c r="I1196"/>
  <c r="I1195"/>
  <c r="I1194"/>
  <c r="I1193"/>
  <c r="I1192"/>
  <c r="I1191"/>
  <c r="I1190"/>
  <c r="I1189"/>
  <c r="I1188"/>
  <c r="I1187"/>
  <c r="I1186"/>
  <c r="I1185"/>
  <c r="I1184"/>
  <c r="I1183"/>
  <c r="I1182"/>
  <c r="I1181"/>
  <c r="I1180"/>
  <c r="I1177"/>
  <c r="I1174"/>
  <c r="I1173"/>
  <c r="I1172"/>
  <c r="I1171"/>
  <c r="I1170"/>
  <c r="I1169"/>
  <c r="I1168"/>
  <c r="I1167"/>
  <c r="I1166"/>
  <c r="I1165"/>
  <c r="I1164"/>
  <c r="I1163"/>
  <c r="I1162"/>
  <c r="I1161"/>
  <c r="I1160"/>
  <c r="I1159"/>
  <c r="I1158"/>
  <c r="I1157"/>
  <c r="I1156"/>
  <c r="I1155"/>
  <c r="I1154"/>
  <c r="I1153"/>
  <c r="I1152"/>
  <c r="I1151"/>
  <c r="I1150"/>
  <c r="I1149"/>
  <c r="I1148"/>
  <c r="I1147"/>
  <c r="I1146"/>
  <c r="I1145"/>
  <c r="I1144"/>
  <c r="I1143"/>
  <c r="I1142"/>
  <c r="I1141"/>
  <c r="I1140"/>
  <c r="J1137"/>
  <c r="I1136"/>
  <c r="I1135"/>
  <c r="I1134"/>
  <c r="I1133"/>
  <c r="I1132"/>
  <c r="I1129"/>
  <c r="I1128"/>
  <c r="I1127"/>
  <c r="I1126"/>
  <c r="I1125"/>
  <c r="I1124"/>
  <c r="I1123"/>
  <c r="I1122"/>
  <c r="I1121"/>
  <c r="I1120"/>
  <c r="I1119"/>
  <c r="I1118"/>
  <c r="I1117"/>
  <c r="I1116"/>
  <c r="I1115"/>
  <c r="I1114"/>
  <c r="I1113"/>
  <c r="I1112"/>
  <c r="I1111"/>
  <c r="I1110"/>
  <c r="I1109"/>
  <c r="I1108"/>
  <c r="I1107"/>
  <c r="I1106"/>
  <c r="I1105"/>
  <c r="I1104"/>
  <c r="I1103"/>
  <c r="I1102"/>
  <c r="I1101"/>
  <c r="I1100"/>
  <c r="I1099"/>
  <c r="I1098"/>
  <c r="I1097"/>
  <c r="I1096"/>
  <c r="I1095"/>
  <c r="I1094"/>
  <c r="I1093"/>
  <c r="I1089"/>
  <c r="I1088"/>
  <c r="I1087"/>
  <c r="I1086"/>
  <c r="I1085"/>
  <c r="I1084"/>
  <c r="I1083"/>
  <c r="I1082"/>
  <c r="I1081"/>
  <c r="I1080"/>
  <c r="I1079"/>
  <c r="I1078"/>
  <c r="I1077"/>
  <c r="I1076"/>
  <c r="I1075"/>
  <c r="I1074"/>
  <c r="I1073"/>
  <c r="I1072"/>
  <c r="I1071"/>
  <c r="I1070"/>
  <c r="I1069"/>
  <c r="I1068"/>
  <c r="I1067"/>
  <c r="I1066"/>
  <c r="I1065"/>
  <c r="I1064"/>
  <c r="I1063"/>
  <c r="I1062"/>
  <c r="I1061"/>
  <c r="I1060"/>
  <c r="I1059"/>
  <c r="I1058"/>
  <c r="I1057"/>
  <c r="I1056"/>
  <c r="I1055"/>
  <c r="I1054"/>
  <c r="I1053"/>
  <c r="I1048"/>
  <c r="I1047"/>
  <c r="I1046"/>
  <c r="I1045"/>
  <c r="I1044"/>
  <c r="I1043"/>
  <c r="I1042"/>
  <c r="I1041"/>
  <c r="I1040"/>
  <c r="I1039"/>
  <c r="I1038"/>
  <c r="I1037"/>
  <c r="I1036"/>
  <c r="I1032"/>
  <c r="I1031"/>
  <c r="I1027"/>
  <c r="I1028" s="1"/>
  <c r="I1024"/>
  <c r="I1025" s="1"/>
  <c r="I1021"/>
  <c r="I1022" s="1"/>
  <c r="I1017"/>
  <c r="I1016"/>
  <c r="I1015"/>
  <c r="I1014"/>
  <c r="I1013"/>
  <c r="I1012"/>
  <c r="I1011"/>
  <c r="I1010"/>
  <c r="I1009"/>
  <c r="I1008"/>
  <c r="I1007"/>
  <c r="I1006"/>
  <c r="I1005"/>
  <c r="I1000"/>
  <c r="I999"/>
  <c r="I998"/>
  <c r="I997"/>
  <c r="I996"/>
  <c r="I995"/>
  <c r="I994"/>
  <c r="I993"/>
  <c r="I992"/>
  <c r="I991"/>
  <c r="I990"/>
  <c r="I989"/>
  <c r="I988"/>
  <c r="I985"/>
  <c r="I982"/>
  <c r="I983"/>
  <c r="G978"/>
  <c r="I978"/>
  <c r="G977"/>
  <c r="I977"/>
  <c r="G976"/>
  <c r="I976"/>
  <c r="G975"/>
  <c r="I975"/>
  <c r="I971"/>
  <c r="I970"/>
  <c r="I969"/>
  <c r="I968"/>
  <c r="I967"/>
  <c r="I966"/>
  <c r="F965"/>
  <c r="I965"/>
  <c r="I972" s="1"/>
  <c r="I973" s="1"/>
  <c r="I961"/>
  <c r="I962"/>
  <c r="I958"/>
  <c r="I959"/>
  <c r="I956"/>
  <c r="I951"/>
  <c r="I950"/>
  <c r="I949"/>
  <c r="I945"/>
  <c r="I944"/>
  <c r="I943"/>
  <c r="I942"/>
  <c r="I941"/>
  <c r="I940"/>
  <c r="I939"/>
  <c r="I938"/>
  <c r="I937"/>
  <c r="I936"/>
  <c r="I935"/>
  <c r="I934"/>
  <c r="I933"/>
  <c r="I932"/>
  <c r="I931"/>
  <c r="I930"/>
  <c r="I929"/>
  <c r="I923"/>
  <c r="I922"/>
  <c r="I921"/>
  <c r="I920"/>
  <c r="I919"/>
  <c r="I918"/>
  <c r="I917"/>
  <c r="I916"/>
  <c r="I915"/>
  <c r="I914"/>
  <c r="I913"/>
  <c r="I912"/>
  <c r="I911"/>
  <c r="I910"/>
  <c r="I909"/>
  <c r="I908"/>
  <c r="I907"/>
  <c r="I906"/>
  <c r="I905"/>
  <c r="I904"/>
  <c r="I903"/>
  <c r="I902"/>
  <c r="I901"/>
  <c r="I897"/>
  <c r="I898"/>
  <c r="G893"/>
  <c r="I893"/>
  <c r="G892"/>
  <c r="I892"/>
  <c r="G891"/>
  <c r="G890"/>
  <c r="G889"/>
  <c r="F889"/>
  <c r="G887"/>
  <c r="I887"/>
  <c r="G886"/>
  <c r="I886"/>
  <c r="G885"/>
  <c r="F885"/>
  <c r="G884"/>
  <c r="F884"/>
  <c r="G883"/>
  <c r="F883"/>
  <c r="G882"/>
  <c r="I882"/>
  <c r="G881"/>
  <c r="F881"/>
  <c r="I880"/>
  <c r="G879"/>
  <c r="I879" s="1"/>
  <c r="G878"/>
  <c r="I878" s="1"/>
  <c r="G877"/>
  <c r="I877" s="1"/>
  <c r="G876"/>
  <c r="I876" s="1"/>
  <c r="I874"/>
  <c r="I873"/>
  <c r="G872"/>
  <c r="I872" s="1"/>
  <c r="G871"/>
  <c r="F871"/>
  <c r="I870"/>
  <c r="I854"/>
  <c r="I853"/>
  <c r="I848"/>
  <c r="I842"/>
  <c r="I841"/>
  <c r="I840"/>
  <c r="I839"/>
  <c r="I838"/>
  <c r="F828"/>
  <c r="I828" s="1"/>
  <c r="F827"/>
  <c r="I827"/>
  <c r="F826"/>
  <c r="I826" s="1"/>
  <c r="F822"/>
  <c r="I822"/>
  <c r="F821"/>
  <c r="I821" s="1"/>
  <c r="F820"/>
  <c r="I820"/>
  <c r="F815"/>
  <c r="I815" s="1"/>
  <c r="F814"/>
  <c r="I814"/>
  <c r="F813"/>
  <c r="I813" s="1"/>
  <c r="I808"/>
  <c r="I807"/>
  <c r="I806"/>
  <c r="I805"/>
  <c r="I804"/>
  <c r="I803"/>
  <c r="I802"/>
  <c r="I801"/>
  <c r="I800"/>
  <c r="I799"/>
  <c r="I798"/>
  <c r="I797"/>
  <c r="I796"/>
  <c r="I795"/>
  <c r="I794"/>
  <c r="I793"/>
  <c r="I792"/>
  <c r="I791"/>
  <c r="I790"/>
  <c r="I789"/>
  <c r="I788"/>
  <c r="I787"/>
  <c r="I786"/>
  <c r="I785"/>
  <c r="I784"/>
  <c r="I783"/>
  <c r="I782"/>
  <c r="I781"/>
  <c r="I780"/>
  <c r="I779"/>
  <c r="I778"/>
  <c r="I777"/>
  <c r="I776"/>
  <c r="I775"/>
  <c r="I774"/>
  <c r="I773"/>
  <c r="I771"/>
  <c r="I770"/>
  <c r="I769"/>
  <c r="I768"/>
  <c r="I767"/>
  <c r="I766"/>
  <c r="I765"/>
  <c r="I764"/>
  <c r="I763"/>
  <c r="I762"/>
  <c r="I761"/>
  <c r="I760"/>
  <c r="I759"/>
  <c r="I758"/>
  <c r="I757"/>
  <c r="I756"/>
  <c r="L755"/>
  <c r="I755"/>
  <c r="L754"/>
  <c r="I754"/>
  <c r="I753"/>
  <c r="I752"/>
  <c r="I751"/>
  <c r="I750"/>
  <c r="I749"/>
  <c r="I748"/>
  <c r="I747"/>
  <c r="I746"/>
  <c r="I745"/>
  <c r="I744"/>
  <c r="I743"/>
  <c r="I742"/>
  <c r="I741"/>
  <c r="I740"/>
  <c r="I739"/>
  <c r="I738"/>
  <c r="I736"/>
  <c r="I735"/>
  <c r="I734"/>
  <c r="I733"/>
  <c r="I732"/>
  <c r="I731"/>
  <c r="I730"/>
  <c r="I729"/>
  <c r="I728"/>
  <c r="I727"/>
  <c r="I726"/>
  <c r="I725"/>
  <c r="I724"/>
  <c r="I720"/>
  <c r="I719"/>
  <c r="I718"/>
  <c r="I717"/>
  <c r="I708"/>
  <c r="F707"/>
  <c r="I707" s="1"/>
  <c r="F706"/>
  <c r="I706"/>
  <c r="F705"/>
  <c r="I705" s="1"/>
  <c r="F704"/>
  <c r="I704"/>
  <c r="F703"/>
  <c r="I703" s="1"/>
  <c r="I702"/>
  <c r="I701"/>
  <c r="I700"/>
  <c r="I699"/>
  <c r="I698"/>
  <c r="I697"/>
  <c r="I696"/>
  <c r="H695"/>
  <c r="I695" s="1"/>
  <c r="I693"/>
  <c r="F690"/>
  <c r="I690" s="1"/>
  <c r="I709" s="1"/>
  <c r="I710" s="1"/>
  <c r="I2331" s="1"/>
  <c r="F689"/>
  <c r="F692"/>
  <c r="I692" s="1"/>
  <c r="I688"/>
  <c r="F687"/>
  <c r="I687" s="1"/>
  <c r="H686"/>
  <c r="F686"/>
  <c r="F691" s="1"/>
  <c r="I691" s="1"/>
  <c r="I656"/>
  <c r="F655"/>
  <c r="I655" s="1"/>
  <c r="I654"/>
  <c r="F653"/>
  <c r="I653"/>
  <c r="I652"/>
  <c r="F651"/>
  <c r="I651" s="1"/>
  <c r="F650"/>
  <c r="I650" s="1"/>
  <c r="F649"/>
  <c r="I649" s="1"/>
  <c r="F648"/>
  <c r="I648" s="1"/>
  <c r="F647"/>
  <c r="I647" s="1"/>
  <c r="F646"/>
  <c r="I646" s="1"/>
  <c r="F645"/>
  <c r="I645" s="1"/>
  <c r="F644"/>
  <c r="I644" s="1"/>
  <c r="F643"/>
  <c r="I643" s="1"/>
  <c r="F642"/>
  <c r="I642" s="1"/>
  <c r="F641"/>
  <c r="I641" s="1"/>
  <c r="F640"/>
  <c r="I640" s="1"/>
  <c r="F639"/>
  <c r="I639" s="1"/>
  <c r="F638"/>
  <c r="I638" s="1"/>
  <c r="F637"/>
  <c r="I637" s="1"/>
  <c r="F636"/>
  <c r="I636" s="1"/>
  <c r="F635"/>
  <c r="I635" s="1"/>
  <c r="F634"/>
  <c r="I634" s="1"/>
  <c r="F633"/>
  <c r="I633" s="1"/>
  <c r="F632"/>
  <c r="I632" s="1"/>
  <c r="F631"/>
  <c r="I631" s="1"/>
  <c r="I630"/>
  <c r="I615"/>
  <c r="I614"/>
  <c r="I613"/>
  <c r="I612"/>
  <c r="F610"/>
  <c r="I610" s="1"/>
  <c r="F609"/>
  <c r="I609"/>
  <c r="F608"/>
  <c r="I608" s="1"/>
  <c r="F607"/>
  <c r="I607"/>
  <c r="F606"/>
  <c r="I606" s="1"/>
  <c r="F605"/>
  <c r="I605"/>
  <c r="F604"/>
  <c r="I604" s="1"/>
  <c r="F603"/>
  <c r="I603"/>
  <c r="F602"/>
  <c r="I602" s="1"/>
  <c r="F601"/>
  <c r="I601"/>
  <c r="F600"/>
  <c r="I600" s="1"/>
  <c r="F599"/>
  <c r="I599"/>
  <c r="I598"/>
  <c r="I581"/>
  <c r="I580"/>
  <c r="I579"/>
  <c r="I578"/>
  <c r="I577"/>
  <c r="I576"/>
  <c r="I575"/>
  <c r="I574"/>
  <c r="F572"/>
  <c r="I572" s="1"/>
  <c r="F571"/>
  <c r="I571" s="1"/>
  <c r="F570"/>
  <c r="I570" s="1"/>
  <c r="F569"/>
  <c r="I569" s="1"/>
  <c r="F568"/>
  <c r="I568" s="1"/>
  <c r="F567"/>
  <c r="I567" s="1"/>
  <c r="F566"/>
  <c r="I566" s="1"/>
  <c r="F565"/>
  <c r="I565" s="1"/>
  <c r="F564"/>
  <c r="I564" s="1"/>
  <c r="F563"/>
  <c r="I563" s="1"/>
  <c r="F562"/>
  <c r="I562" s="1"/>
  <c r="F561"/>
  <c r="I561" s="1"/>
  <c r="F560"/>
  <c r="I560" s="1"/>
  <c r="I559"/>
  <c r="I538"/>
  <c r="I537"/>
  <c r="I536"/>
  <c r="I535"/>
  <c r="I534"/>
  <c r="I533"/>
  <c r="I532"/>
  <c r="I531"/>
  <c r="I530"/>
  <c r="I529"/>
  <c r="I528"/>
  <c r="H526"/>
  <c r="F526"/>
  <c r="H525"/>
  <c r="F525"/>
  <c r="F524"/>
  <c r="I524" s="1"/>
  <c r="H523"/>
  <c r="F523"/>
  <c r="H522"/>
  <c r="F522"/>
  <c r="H521"/>
  <c r="F521"/>
  <c r="F520"/>
  <c r="I520" s="1"/>
  <c r="H519"/>
  <c r="F519"/>
  <c r="H518"/>
  <c r="F518"/>
  <c r="H517"/>
  <c r="F517"/>
  <c r="H516"/>
  <c r="F516"/>
  <c r="H515"/>
  <c r="F515"/>
  <c r="H514"/>
  <c r="F514"/>
  <c r="H513"/>
  <c r="I513" s="1"/>
  <c r="I512"/>
  <c r="F511"/>
  <c r="I511" s="1"/>
  <c r="I510"/>
  <c r="I509"/>
  <c r="I508"/>
  <c r="I507"/>
  <c r="I502"/>
  <c r="I501"/>
  <c r="I500"/>
  <c r="K499"/>
  <c r="I499"/>
  <c r="I498"/>
  <c r="I497"/>
  <c r="I496"/>
  <c r="I493"/>
  <c r="I494"/>
  <c r="I489"/>
  <c r="F488"/>
  <c r="I488" s="1"/>
  <c r="F487"/>
  <c r="I487" s="1"/>
  <c r="F486"/>
  <c r="I486" s="1"/>
  <c r="F485"/>
  <c r="I485" s="1"/>
  <c r="F484"/>
  <c r="I484" s="1"/>
  <c r="I483"/>
  <c r="I482"/>
  <c r="I481"/>
  <c r="K480"/>
  <c r="I480"/>
  <c r="F479"/>
  <c r="I479" s="1"/>
  <c r="F478"/>
  <c r="I478"/>
  <c r="F477"/>
  <c r="I477" s="1"/>
  <c r="I476"/>
  <c r="I475"/>
  <c r="I474"/>
  <c r="I473"/>
  <c r="L471"/>
  <c r="I469"/>
  <c r="I468"/>
  <c r="I467"/>
  <c r="I466"/>
  <c r="I465"/>
  <c r="I464"/>
  <c r="I463"/>
  <c r="I462"/>
  <c r="I458"/>
  <c r="I457"/>
  <c r="I456"/>
  <c r="I455"/>
  <c r="I454"/>
  <c r="I453"/>
  <c r="I452"/>
  <c r="I451"/>
  <c r="I450"/>
  <c r="I447"/>
  <c r="I446"/>
  <c r="I443"/>
  <c r="I442"/>
  <c r="I439"/>
  <c r="I440" s="1"/>
  <c r="I435"/>
  <c r="I436"/>
  <c r="I431"/>
  <c r="I432" s="1"/>
  <c r="I433" s="1"/>
  <c r="I427"/>
  <c r="I428" s="1"/>
  <c r="I429" s="1"/>
  <c r="I422"/>
  <c r="I421"/>
  <c r="I420"/>
  <c r="I419"/>
  <c r="I418"/>
  <c r="I417"/>
  <c r="I416"/>
  <c r="I415"/>
  <c r="I411"/>
  <c r="I410"/>
  <c r="I409"/>
  <c r="I408"/>
  <c r="I404"/>
  <c r="I403"/>
  <c r="I402"/>
  <c r="I401"/>
  <c r="I397"/>
  <c r="I396"/>
  <c r="I395"/>
  <c r="I394"/>
  <c r="I393"/>
  <c r="I392"/>
  <c r="I387"/>
  <c r="I386"/>
  <c r="I385"/>
  <c r="I384"/>
  <c r="I383"/>
  <c r="I382"/>
  <c r="I381"/>
  <c r="I380"/>
  <c r="I376"/>
  <c r="I375"/>
  <c r="I374"/>
  <c r="I373"/>
  <c r="I369"/>
  <c r="I368"/>
  <c r="I367"/>
  <c r="I366"/>
  <c r="I362"/>
  <c r="I361"/>
  <c r="I360"/>
  <c r="I359"/>
  <c r="I358"/>
  <c r="I357"/>
  <c r="I351"/>
  <c r="I350"/>
  <c r="I349"/>
  <c r="I348"/>
  <c r="I347"/>
  <c r="I346"/>
  <c r="I345"/>
  <c r="I344"/>
  <c r="I343"/>
  <c r="I339"/>
  <c r="I338"/>
  <c r="I337"/>
  <c r="I336"/>
  <c r="I335"/>
  <c r="I334"/>
  <c r="I333"/>
  <c r="I332"/>
  <c r="I331"/>
  <c r="I330"/>
  <c r="I329"/>
  <c r="I325"/>
  <c r="I324"/>
  <c r="I323"/>
  <c r="I322"/>
  <c r="I321"/>
  <c r="I320"/>
  <c r="I319"/>
  <c r="I318"/>
  <c r="I314"/>
  <c r="I313"/>
  <c r="I312"/>
  <c r="I311"/>
  <c r="I307"/>
  <c r="I306"/>
  <c r="I305"/>
  <c r="I304"/>
  <c r="I300"/>
  <c r="I299"/>
  <c r="I298"/>
  <c r="I297"/>
  <c r="I296"/>
  <c r="I295"/>
  <c r="M293"/>
  <c r="I290"/>
  <c r="I289"/>
  <c r="F288"/>
  <c r="I288" s="1"/>
  <c r="F287"/>
  <c r="I287" s="1"/>
  <c r="I286"/>
  <c r="F285"/>
  <c r="I285"/>
  <c r="F284"/>
  <c r="I284" s="1"/>
  <c r="F283"/>
  <c r="I283"/>
  <c r="I279"/>
  <c r="I278"/>
  <c r="I277"/>
  <c r="I276"/>
  <c r="I275"/>
  <c r="I274"/>
  <c r="F273"/>
  <c r="I273"/>
  <c r="F272"/>
  <c r="I272" s="1"/>
  <c r="I268"/>
  <c r="I267"/>
  <c r="I266"/>
  <c r="I265"/>
  <c r="I264"/>
  <c r="I263"/>
  <c r="I262"/>
  <c r="I261"/>
  <c r="F260"/>
  <c r="I260"/>
  <c r="I256"/>
  <c r="I255"/>
  <c r="F254"/>
  <c r="I254"/>
  <c r="F253"/>
  <c r="I253" s="1"/>
  <c r="I248"/>
  <c r="I247"/>
  <c r="F246"/>
  <c r="I246" s="1"/>
  <c r="I245"/>
  <c r="F244"/>
  <c r="I244" s="1"/>
  <c r="I216"/>
  <c r="F215"/>
  <c r="I215"/>
  <c r="F214"/>
  <c r="I214" s="1"/>
  <c r="I213"/>
  <c r="I212"/>
  <c r="H211"/>
  <c r="I211" s="1"/>
  <c r="H210"/>
  <c r="I210"/>
  <c r="H209"/>
  <c r="F209"/>
  <c r="H208"/>
  <c r="F208"/>
  <c r="H207"/>
  <c r="I207" s="1"/>
  <c r="H206"/>
  <c r="I206"/>
  <c r="H205"/>
  <c r="F205"/>
  <c r="I187"/>
  <c r="H186"/>
  <c r="I186" s="1"/>
  <c r="H185"/>
  <c r="I185" s="1"/>
  <c r="H184"/>
  <c r="I184" s="1"/>
  <c r="I183"/>
  <c r="H182"/>
  <c r="I182"/>
  <c r="H181"/>
  <c r="I181" s="1"/>
  <c r="H180"/>
  <c r="I180"/>
  <c r="H179"/>
  <c r="F179"/>
  <c r="H178"/>
  <c r="I178"/>
  <c r="H177"/>
  <c r="I177" s="1"/>
  <c r="I156"/>
  <c r="I155"/>
  <c r="H154"/>
  <c r="I154" s="1"/>
  <c r="H153"/>
  <c r="I153" s="1"/>
  <c r="I174" s="1"/>
  <c r="H152"/>
  <c r="I152" s="1"/>
  <c r="H151"/>
  <c r="I151"/>
  <c r="H150"/>
  <c r="I150" s="1"/>
  <c r="H149"/>
  <c r="I149"/>
  <c r="H148"/>
  <c r="F148"/>
  <c r="H147"/>
  <c r="I147"/>
  <c r="I134"/>
  <c r="I133"/>
  <c r="I132"/>
  <c r="H125"/>
  <c r="I125" s="1"/>
  <c r="H124"/>
  <c r="I124" s="1"/>
  <c r="H123"/>
  <c r="I123" s="1"/>
  <c r="H122"/>
  <c r="I122" s="1"/>
  <c r="H121"/>
  <c r="I121" s="1"/>
  <c r="M119"/>
  <c r="L119"/>
  <c r="L120"/>
  <c r="I110"/>
  <c r="I109"/>
  <c r="K108"/>
  <c r="I108"/>
  <c r="I107"/>
  <c r="I96"/>
  <c r="I97" s="1"/>
  <c r="I93"/>
  <c r="I94" s="1"/>
  <c r="I25"/>
  <c r="K23"/>
  <c r="K26"/>
  <c r="K22"/>
  <c r="I21"/>
  <c r="I19"/>
  <c r="I17"/>
  <c r="I16"/>
  <c r="I15"/>
  <c r="R7" i="32"/>
  <c r="L9" s="1"/>
  <c r="L10" s="1"/>
  <c r="Q10" s="1"/>
  <c r="A9"/>
  <c r="A10" s="1"/>
  <c r="F10" s="1"/>
  <c r="E10"/>
  <c r="E174" s="1"/>
  <c r="E255" s="1"/>
  <c r="F11"/>
  <c r="Q11"/>
  <c r="F15"/>
  <c r="Q15"/>
  <c r="R22"/>
  <c r="A24"/>
  <c r="A25" s="1"/>
  <c r="A26" s="1"/>
  <c r="L24"/>
  <c r="P24"/>
  <c r="I25"/>
  <c r="P25"/>
  <c r="I26"/>
  <c r="I27"/>
  <c r="G32"/>
  <c r="R32"/>
  <c r="P33"/>
  <c r="R33" s="1"/>
  <c r="A45"/>
  <c r="A73"/>
  <c r="A74"/>
  <c r="F74" s="1"/>
  <c r="F75"/>
  <c r="F79"/>
  <c r="G86"/>
  <c r="A88" s="1"/>
  <c r="A89" s="1"/>
  <c r="A90" s="1"/>
  <c r="E96"/>
  <c r="G96" s="1"/>
  <c r="G131"/>
  <c r="A133" s="1"/>
  <c r="A134" s="1"/>
  <c r="F134" s="1"/>
  <c r="F135"/>
  <c r="F139"/>
  <c r="G146"/>
  <c r="A148" s="1"/>
  <c r="E156"/>
  <c r="G156" s="1"/>
  <c r="G171"/>
  <c r="A173" s="1"/>
  <c r="A174" s="1"/>
  <c r="F174" s="1"/>
  <c r="C173"/>
  <c r="C174"/>
  <c r="C212"/>
  <c r="F175"/>
  <c r="F179"/>
  <c r="G186"/>
  <c r="A188" s="1"/>
  <c r="D196"/>
  <c r="F196" s="1"/>
  <c r="G209"/>
  <c r="A211" s="1"/>
  <c r="A212" s="1"/>
  <c r="F212" s="1"/>
  <c r="E213"/>
  <c r="F213" s="1"/>
  <c r="F217"/>
  <c r="G224"/>
  <c r="A226" s="1"/>
  <c r="A227" s="1"/>
  <c r="A228" s="1"/>
  <c r="G252"/>
  <c r="A254" s="1"/>
  <c r="A255" s="1"/>
  <c r="F255" s="1"/>
  <c r="C256"/>
  <c r="E256"/>
  <c r="F256"/>
  <c r="F260"/>
  <c r="G267"/>
  <c r="A269" s="1"/>
  <c r="H3" i="27"/>
  <c r="J3"/>
  <c r="O3"/>
  <c r="Q3"/>
  <c r="U3"/>
  <c r="W3"/>
  <c r="AG6"/>
  <c r="AK8"/>
  <c r="X9"/>
  <c r="X10" s="1"/>
  <c r="Z9"/>
  <c r="AC9" s="1"/>
  <c r="C68" s="1"/>
  <c r="I294" s="1"/>
  <c r="K294" s="1"/>
  <c r="K303" s="1"/>
  <c r="K305" s="1"/>
  <c r="AK9"/>
  <c r="C10"/>
  <c r="W10"/>
  <c r="Z10"/>
  <c r="AC10" s="1"/>
  <c r="C69" s="1"/>
  <c r="I295" s="1"/>
  <c r="K295" s="1"/>
  <c r="AK10"/>
  <c r="A11"/>
  <c r="C11"/>
  <c r="P11"/>
  <c r="R11" s="1"/>
  <c r="X11"/>
  <c r="X12" s="1"/>
  <c r="X13" s="1"/>
  <c r="X14" s="1"/>
  <c r="X15" s="1"/>
  <c r="AK11"/>
  <c r="A12"/>
  <c r="C12"/>
  <c r="W12"/>
  <c r="W36" s="1"/>
  <c r="AK12"/>
  <c r="A13"/>
  <c r="C13"/>
  <c r="W13"/>
  <c r="W37" s="1"/>
  <c r="AK13"/>
  <c r="A14"/>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4"/>
  <c r="D14"/>
  <c r="W14"/>
  <c r="AK14"/>
  <c r="C15"/>
  <c r="W15"/>
  <c r="AK15"/>
  <c r="C16"/>
  <c r="I689" s="1"/>
  <c r="K689" s="1"/>
  <c r="D16"/>
  <c r="X16"/>
  <c r="X17" s="1"/>
  <c r="Z16"/>
  <c r="AC16" s="1"/>
  <c r="AK16"/>
  <c r="C17"/>
  <c r="D17"/>
  <c r="AK17"/>
  <c r="C18"/>
  <c r="P24" s="1"/>
  <c r="R24" s="1"/>
  <c r="X18"/>
  <c r="X29" s="1"/>
  <c r="Z18"/>
  <c r="AC18" s="1"/>
  <c r="C80" s="1"/>
  <c r="AK18"/>
  <c r="W19"/>
  <c r="X19"/>
  <c r="X20" s="1"/>
  <c r="Z19"/>
  <c r="Z20" s="1"/>
  <c r="AC20" s="1"/>
  <c r="AK19"/>
  <c r="W20"/>
  <c r="AK20"/>
  <c r="X21"/>
  <c r="AC21"/>
  <c r="C83" s="1"/>
  <c r="I1285" s="1"/>
  <c r="K1285" s="1"/>
  <c r="AK21"/>
  <c r="AC22"/>
  <c r="C84" s="1"/>
  <c r="AK22"/>
  <c r="X23"/>
  <c r="Z23"/>
  <c r="AC23" s="1"/>
  <c r="C85" s="1"/>
  <c r="AK23"/>
  <c r="AC24"/>
  <c r="C86" s="1"/>
  <c r="AK24"/>
  <c r="C25"/>
  <c r="K507" s="1"/>
  <c r="AC25"/>
  <c r="C87" s="1"/>
  <c r="I2166" s="1"/>
  <c r="K2166" s="1"/>
  <c r="AK25"/>
  <c r="C26"/>
  <c r="I175" s="1"/>
  <c r="K175" s="1"/>
  <c r="AC26"/>
  <c r="C88" s="1"/>
  <c r="AK26"/>
  <c r="C27"/>
  <c r="I140" s="1"/>
  <c r="K140" s="1"/>
  <c r="AC27"/>
  <c r="C89" s="1"/>
  <c r="AK27"/>
  <c r="AC28"/>
  <c r="C90" s="1"/>
  <c r="AK28"/>
  <c r="C29"/>
  <c r="W29"/>
  <c r="AK29"/>
  <c r="C30"/>
  <c r="D30"/>
  <c r="I1087" s="1"/>
  <c r="K1087" s="1"/>
  <c r="P212"/>
  <c r="R212" s="1"/>
  <c r="AC30"/>
  <c r="C136" s="1"/>
  <c r="I1168" s="1"/>
  <c r="K1168" s="1"/>
  <c r="AK30"/>
  <c r="C31"/>
  <c r="P691" s="1"/>
  <c r="R691" s="1"/>
  <c r="D31"/>
  <c r="I1046" s="1"/>
  <c r="K1046" s="1"/>
  <c r="AK31"/>
  <c r="D32"/>
  <c r="AC32"/>
  <c r="C138" s="1"/>
  <c r="AK32"/>
  <c r="D33"/>
  <c r="AC33"/>
  <c r="AK33"/>
  <c r="W34"/>
  <c r="Y34"/>
  <c r="AK34"/>
  <c r="W35"/>
  <c r="AK35"/>
  <c r="AK36"/>
  <c r="AC38"/>
  <c r="C140" s="1"/>
  <c r="D40"/>
  <c r="C41"/>
  <c r="P52"/>
  <c r="R52" s="1"/>
  <c r="P54"/>
  <c r="R54" s="1"/>
  <c r="C61"/>
  <c r="P600" s="1"/>
  <c r="R600" s="1"/>
  <c r="D61"/>
  <c r="I123"/>
  <c r="K123" s="1"/>
  <c r="K126" s="1"/>
  <c r="K128" s="1"/>
  <c r="K129" s="1"/>
  <c r="C66"/>
  <c r="C67"/>
  <c r="P67"/>
  <c r="R67"/>
  <c r="P68"/>
  <c r="R68"/>
  <c r="P82"/>
  <c r="R82" s="1"/>
  <c r="I94"/>
  <c r="K94"/>
  <c r="I95"/>
  <c r="K95"/>
  <c r="C141"/>
  <c r="I152"/>
  <c r="K152" s="1"/>
  <c r="I154"/>
  <c r="K154" s="1"/>
  <c r="K156"/>
  <c r="I184"/>
  <c r="K184" s="1"/>
  <c r="K185"/>
  <c r="P191"/>
  <c r="R191" s="1"/>
  <c r="P192"/>
  <c r="R192"/>
  <c r="P193"/>
  <c r="R193" s="1"/>
  <c r="I196"/>
  <c r="K196" s="1"/>
  <c r="I197"/>
  <c r="K197" s="1"/>
  <c r="I198"/>
  <c r="K198" s="1"/>
  <c r="I211"/>
  <c r="K211" s="1"/>
  <c r="P211"/>
  <c r="R211"/>
  <c r="I212"/>
  <c r="K212" s="1"/>
  <c r="I213"/>
  <c r="K213"/>
  <c r="P213"/>
  <c r="R213" s="1"/>
  <c r="P214"/>
  <c r="R214" s="1"/>
  <c r="P215"/>
  <c r="R215" s="1"/>
  <c r="P216"/>
  <c r="R216" s="1"/>
  <c r="P217"/>
  <c r="R217" s="1"/>
  <c r="P218"/>
  <c r="R218"/>
  <c r="I226"/>
  <c r="K226" s="1"/>
  <c r="I227"/>
  <c r="K227"/>
  <c r="I228"/>
  <c r="K228" s="1"/>
  <c r="I240"/>
  <c r="K240" s="1"/>
  <c r="K244"/>
  <c r="K255"/>
  <c r="K256"/>
  <c r="P267"/>
  <c r="R267" s="1"/>
  <c r="P284"/>
  <c r="R284"/>
  <c r="P285"/>
  <c r="R285"/>
  <c r="P296"/>
  <c r="R296" s="1"/>
  <c r="P297"/>
  <c r="R297" s="1"/>
  <c r="I298"/>
  <c r="K298"/>
  <c r="P298"/>
  <c r="R298" s="1"/>
  <c r="I300"/>
  <c r="K300"/>
  <c r="P308"/>
  <c r="R308"/>
  <c r="H310"/>
  <c r="I312"/>
  <c r="K312" s="1"/>
  <c r="H332"/>
  <c r="F334"/>
  <c r="H334"/>
  <c r="F335"/>
  <c r="I336"/>
  <c r="K336" s="1"/>
  <c r="P336"/>
  <c r="R336" s="1"/>
  <c r="P348"/>
  <c r="R348" s="1"/>
  <c r="H352"/>
  <c r="F354"/>
  <c r="H354"/>
  <c r="F355"/>
  <c r="P362"/>
  <c r="R362" s="1"/>
  <c r="P364"/>
  <c r="R364" s="1"/>
  <c r="P366"/>
  <c r="R366" s="1"/>
  <c r="H376"/>
  <c r="P376"/>
  <c r="R376"/>
  <c r="P377"/>
  <c r="R377" s="1"/>
  <c r="F378"/>
  <c r="H378"/>
  <c r="P378"/>
  <c r="R378" s="1"/>
  <c r="I380"/>
  <c r="K380" s="1"/>
  <c r="I381"/>
  <c r="K381" s="1"/>
  <c r="I382"/>
  <c r="K382"/>
  <c r="I383"/>
  <c r="K383" s="1"/>
  <c r="P390"/>
  <c r="R390"/>
  <c r="P391"/>
  <c r="R391" s="1"/>
  <c r="P392"/>
  <c r="R392" s="1"/>
  <c r="I394"/>
  <c r="K394" s="1"/>
  <c r="H407"/>
  <c r="F409"/>
  <c r="H409"/>
  <c r="I426"/>
  <c r="K426" s="1"/>
  <c r="P431"/>
  <c r="R431" s="1"/>
  <c r="P432"/>
  <c r="R432" s="1"/>
  <c r="P438"/>
  <c r="R438" s="1"/>
  <c r="P439"/>
  <c r="R439" s="1"/>
  <c r="P440"/>
  <c r="R440" s="1"/>
  <c r="I445"/>
  <c r="K445" s="1"/>
  <c r="P451"/>
  <c r="R451" s="1"/>
  <c r="P456"/>
  <c r="R456" s="1"/>
  <c r="P457"/>
  <c r="R457" s="1"/>
  <c r="P458"/>
  <c r="R458" s="1"/>
  <c r="I459"/>
  <c r="K459" s="1"/>
  <c r="P468"/>
  <c r="R468" s="1"/>
  <c r="P469"/>
  <c r="R469" s="1"/>
  <c r="P474"/>
  <c r="R474" s="1"/>
  <c r="P475"/>
  <c r="R475" s="1"/>
  <c r="P476"/>
  <c r="R476" s="1"/>
  <c r="I484"/>
  <c r="K484" s="1"/>
  <c r="P491"/>
  <c r="R491" s="1"/>
  <c r="P493"/>
  <c r="R493" s="1"/>
  <c r="P494"/>
  <c r="R494" s="1"/>
  <c r="P495"/>
  <c r="R495" s="1"/>
  <c r="P496"/>
  <c r="R496" s="1"/>
  <c r="R499"/>
  <c r="P509"/>
  <c r="R509" s="1"/>
  <c r="P511"/>
  <c r="R511"/>
  <c r="P512"/>
  <c r="R512" s="1"/>
  <c r="P514"/>
  <c r="R514"/>
  <c r="R517"/>
  <c r="I519"/>
  <c r="K519" s="1"/>
  <c r="I520"/>
  <c r="K520" s="1"/>
  <c r="J527"/>
  <c r="J528"/>
  <c r="J529"/>
  <c r="P529"/>
  <c r="R529"/>
  <c r="J530"/>
  <c r="J531"/>
  <c r="P531"/>
  <c r="R531"/>
  <c r="P532"/>
  <c r="R532"/>
  <c r="P533"/>
  <c r="R533"/>
  <c r="I535"/>
  <c r="K535"/>
  <c r="R537"/>
  <c r="J543"/>
  <c r="J544"/>
  <c r="J545"/>
  <c r="J546"/>
  <c r="J547"/>
  <c r="P555"/>
  <c r="R555"/>
  <c r="I559"/>
  <c r="K559"/>
  <c r="P560"/>
  <c r="R560"/>
  <c r="P561"/>
  <c r="R561"/>
  <c r="P562"/>
  <c r="R562"/>
  <c r="J568"/>
  <c r="J569"/>
  <c r="J570"/>
  <c r="J571"/>
  <c r="J572"/>
  <c r="I575"/>
  <c r="K575" s="1"/>
  <c r="I576"/>
  <c r="K576" s="1"/>
  <c r="I577"/>
  <c r="K577" s="1"/>
  <c r="J583"/>
  <c r="J584"/>
  <c r="J585"/>
  <c r="J586"/>
  <c r="J587"/>
  <c r="I590"/>
  <c r="K590" s="1"/>
  <c r="C593"/>
  <c r="I593"/>
  <c r="K593" s="1"/>
  <c r="P607"/>
  <c r="R607" s="1"/>
  <c r="P620"/>
  <c r="R620" s="1"/>
  <c r="I622"/>
  <c r="K622" s="1"/>
  <c r="I623"/>
  <c r="K623" s="1"/>
  <c r="P636"/>
  <c r="R636" s="1"/>
  <c r="P637"/>
  <c r="R637" s="1"/>
  <c r="P638"/>
  <c r="R638" s="1"/>
  <c r="I643"/>
  <c r="K643" s="1"/>
  <c r="I644"/>
  <c r="K644" s="1"/>
  <c r="K645"/>
  <c r="P648"/>
  <c r="R648"/>
  <c r="R652" s="1"/>
  <c r="P658"/>
  <c r="R658" s="1"/>
  <c r="R662" s="1"/>
  <c r="I662"/>
  <c r="K662"/>
  <c r="I663"/>
  <c r="K663" s="1"/>
  <c r="K664"/>
  <c r="P668"/>
  <c r="R668" s="1"/>
  <c r="R672" s="1"/>
  <c r="P679"/>
  <c r="R679" s="1"/>
  <c r="R683" s="1"/>
  <c r="I680"/>
  <c r="K680" s="1"/>
  <c r="I681"/>
  <c r="K681" s="1"/>
  <c r="I683"/>
  <c r="K683" s="1"/>
  <c r="I690"/>
  <c r="K690" s="1"/>
  <c r="P690"/>
  <c r="R690" s="1"/>
  <c r="P692"/>
  <c r="R692" s="1"/>
  <c r="P693"/>
  <c r="R693" s="1"/>
  <c r="P694"/>
  <c r="R694" s="1"/>
  <c r="P695"/>
  <c r="R695" s="1"/>
  <c r="P705"/>
  <c r="R705" s="1"/>
  <c r="I706"/>
  <c r="K706" s="1"/>
  <c r="P707"/>
  <c r="R707" s="1"/>
  <c r="I708"/>
  <c r="K708" s="1"/>
  <c r="P708"/>
  <c r="R708" s="1"/>
  <c r="P709"/>
  <c r="R709" s="1"/>
  <c r="P710"/>
  <c r="R710" s="1"/>
  <c r="P721"/>
  <c r="R721" s="1"/>
  <c r="I722"/>
  <c r="K722" s="1"/>
  <c r="I743" s="1"/>
  <c r="K743" s="1"/>
  <c r="I723"/>
  <c r="K723" s="1"/>
  <c r="P723"/>
  <c r="R723" s="1"/>
  <c r="K724"/>
  <c r="P724"/>
  <c r="R724" s="1"/>
  <c r="P725"/>
  <c r="R725"/>
  <c r="P726"/>
  <c r="R726" s="1"/>
  <c r="I727"/>
  <c r="K727" s="1"/>
  <c r="K728"/>
  <c r="K729"/>
  <c r="R740"/>
  <c r="R745"/>
  <c r="I746"/>
  <c r="K746" s="1"/>
  <c r="I749"/>
  <c r="K749" s="1"/>
  <c r="K750"/>
  <c r="K751"/>
  <c r="K752"/>
  <c r="R753"/>
  <c r="A754"/>
  <c r="P762"/>
  <c r="R762" s="1"/>
  <c r="R769" s="1"/>
  <c r="R771" s="1"/>
  <c r="I774"/>
  <c r="K774" s="1"/>
  <c r="I775"/>
  <c r="K775"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K835"/>
  <c r="K836"/>
  <c r="K837"/>
  <c r="P837"/>
  <c r="R837"/>
  <c r="K838"/>
  <c r="R838"/>
  <c r="R839"/>
  <c r="I840"/>
  <c r="K840" s="1"/>
  <c r="R840"/>
  <c r="K841"/>
  <c r="R841"/>
  <c r="R843"/>
  <c r="R844"/>
  <c r="R847"/>
  <c r="K853"/>
  <c r="K854"/>
  <c r="H855"/>
  <c r="K855"/>
  <c r="P855"/>
  <c r="R855" s="1"/>
  <c r="K856"/>
  <c r="I857"/>
  <c r="K857"/>
  <c r="H859"/>
  <c r="K859"/>
  <c r="R869"/>
  <c r="R875" s="1"/>
  <c r="R870"/>
  <c r="R871"/>
  <c r="I880"/>
  <c r="K880" s="1"/>
  <c r="I887"/>
  <c r="K887" s="1"/>
  <c r="I914"/>
  <c r="K914"/>
  <c r="I915"/>
  <c r="K915" s="1"/>
  <c r="I916"/>
  <c r="K916"/>
  <c r="I917"/>
  <c r="K917" s="1"/>
  <c r="I918"/>
  <c r="K918" s="1"/>
  <c r="I919"/>
  <c r="K919" s="1"/>
  <c r="I920"/>
  <c r="K920" s="1"/>
  <c r="I950"/>
  <c r="K950"/>
  <c r="I951"/>
  <c r="K951" s="1"/>
  <c r="I952"/>
  <c r="K952"/>
  <c r="I953"/>
  <c r="K953" s="1"/>
  <c r="I954"/>
  <c r="K954" s="1"/>
  <c r="I955"/>
  <c r="K955" s="1"/>
  <c r="I978"/>
  <c r="K978" s="1"/>
  <c r="I979"/>
  <c r="K979" s="1"/>
  <c r="I980"/>
  <c r="K980"/>
  <c r="I981"/>
  <c r="K981" s="1"/>
  <c r="I982"/>
  <c r="K982"/>
  <c r="I983"/>
  <c r="K983" s="1"/>
  <c r="I984"/>
  <c r="K984" s="1"/>
  <c r="I1013"/>
  <c r="K1013" s="1"/>
  <c r="I1014"/>
  <c r="K1014" s="1"/>
  <c r="I1015"/>
  <c r="K1015" s="1"/>
  <c r="I1016"/>
  <c r="K1016"/>
  <c r="I1017"/>
  <c r="K1017" s="1"/>
  <c r="I1018"/>
  <c r="K1018"/>
  <c r="I1019"/>
  <c r="K1019" s="1"/>
  <c r="I1020"/>
  <c r="K1020" s="1"/>
  <c r="I1030"/>
  <c r="K1030" s="1"/>
  <c r="I1031"/>
  <c r="K1031" s="1"/>
  <c r="I1032"/>
  <c r="K1032" s="1"/>
  <c r="I1033"/>
  <c r="K1033"/>
  <c r="I1034"/>
  <c r="K1034" s="1"/>
  <c r="I1035"/>
  <c r="K1035"/>
  <c r="I1045"/>
  <c r="K1045" s="1"/>
  <c r="I1047"/>
  <c r="K1047" s="1"/>
  <c r="I1048"/>
  <c r="K1048" s="1"/>
  <c r="I1049"/>
  <c r="K1049" s="1"/>
  <c r="I1050"/>
  <c r="K1050"/>
  <c r="I1060"/>
  <c r="K1060" s="1"/>
  <c r="I1061"/>
  <c r="K1061"/>
  <c r="I1062"/>
  <c r="K1062" s="1"/>
  <c r="I1063"/>
  <c r="K1063" s="1"/>
  <c r="I1064"/>
  <c r="K1064" s="1"/>
  <c r="I1085"/>
  <c r="K1085" s="1"/>
  <c r="K1086"/>
  <c r="K1088"/>
  <c r="I1089"/>
  <c r="K1089" s="1"/>
  <c r="K1090"/>
  <c r="K1091"/>
  <c r="I1101"/>
  <c r="K1101" s="1"/>
  <c r="I1102"/>
  <c r="K1102"/>
  <c r="I1103"/>
  <c r="K1103" s="1"/>
  <c r="I1114"/>
  <c r="K1114"/>
  <c r="I1115"/>
  <c r="K1115"/>
  <c r="I1116"/>
  <c r="K1116"/>
  <c r="I1131"/>
  <c r="K1131"/>
  <c r="K1132"/>
  <c r="K1133"/>
  <c r="I1134"/>
  <c r="K1134"/>
  <c r="I1146"/>
  <c r="K1146"/>
  <c r="I1156"/>
  <c r="K1156"/>
  <c r="I1158"/>
  <c r="K1158" s="1"/>
  <c r="I1173"/>
  <c r="K1173" s="1"/>
  <c r="I1175"/>
  <c r="K1175"/>
  <c r="I1177"/>
  <c r="K1177"/>
  <c r="I1179"/>
  <c r="K1179" s="1"/>
  <c r="I1181"/>
  <c r="K1181"/>
  <c r="I1182"/>
  <c r="K1182" s="1"/>
  <c r="I1183"/>
  <c r="K1183"/>
  <c r="I1184"/>
  <c r="K1184" s="1"/>
  <c r="I1198"/>
  <c r="K1198" s="1"/>
  <c r="I1202"/>
  <c r="K1202"/>
  <c r="I1204"/>
  <c r="K1204"/>
  <c r="I1206"/>
  <c r="K1206" s="1"/>
  <c r="I1207"/>
  <c r="K1207"/>
  <c r="I1208"/>
  <c r="K1208" s="1"/>
  <c r="I1219"/>
  <c r="K1219" s="1"/>
  <c r="I1220"/>
  <c r="K1220"/>
  <c r="I1222"/>
  <c r="K1222" s="1"/>
  <c r="I1236"/>
  <c r="K1236"/>
  <c r="I1238"/>
  <c r="K1238"/>
  <c r="I1255"/>
  <c r="K1255" s="1"/>
  <c r="I1257"/>
  <c r="K1257" s="1"/>
  <c r="I1269"/>
  <c r="K1269"/>
  <c r="I1270"/>
  <c r="K1270" s="1"/>
  <c r="I1288"/>
  <c r="K1288"/>
  <c r="I1290"/>
  <c r="K1290"/>
  <c r="I1291"/>
  <c r="K1291" s="1"/>
  <c r="I1292"/>
  <c r="K1292"/>
  <c r="I1307"/>
  <c r="K1307" s="1"/>
  <c r="I1310"/>
  <c r="K1310"/>
  <c r="I1311"/>
  <c r="K1311" s="1"/>
  <c r="I1312"/>
  <c r="K1312"/>
  <c r="I1313"/>
  <c r="K1313" s="1"/>
  <c r="I1314"/>
  <c r="K1314"/>
  <c r="I1325"/>
  <c r="K1325" s="1"/>
  <c r="I1326"/>
  <c r="K1326"/>
  <c r="I1327"/>
  <c r="K1327" s="1"/>
  <c r="I1338"/>
  <c r="K1338"/>
  <c r="I1339"/>
  <c r="K1339" s="1"/>
  <c r="I1340"/>
  <c r="K1340"/>
  <c r="I1350"/>
  <c r="K1350" s="1"/>
  <c r="I1351"/>
  <c r="K1351"/>
  <c r="I1352"/>
  <c r="K1352" s="1"/>
  <c r="I1365"/>
  <c r="K1365"/>
  <c r="I1366"/>
  <c r="K1366" s="1"/>
  <c r="I1367"/>
  <c r="K1367"/>
  <c r="I1368"/>
  <c r="K1368" s="1"/>
  <c r="I1385"/>
  <c r="K1385"/>
  <c r="I1386"/>
  <c r="K1386" s="1"/>
  <c r="I1397"/>
  <c r="K1397"/>
  <c r="I1398"/>
  <c r="K1398" s="1"/>
  <c r="I1410"/>
  <c r="K1410"/>
  <c r="I1411"/>
  <c r="K1411" s="1"/>
  <c r="I1422"/>
  <c r="K1422"/>
  <c r="I1423"/>
  <c r="K1423" s="1"/>
  <c r="I1424"/>
  <c r="K1424"/>
  <c r="I1436"/>
  <c r="K1436" s="1"/>
  <c r="I1437"/>
  <c r="K1437"/>
  <c r="I1438"/>
  <c r="K1438" s="1"/>
  <c r="I1439"/>
  <c r="K1439"/>
  <c r="K1448"/>
  <c r="I1449"/>
  <c r="K1449" s="1"/>
  <c r="I1450"/>
  <c r="K1450" s="1"/>
  <c r="I1451"/>
  <c r="K1451" s="1"/>
  <c r="I1463"/>
  <c r="K1463" s="1"/>
  <c r="I1464"/>
  <c r="K1464" s="1"/>
  <c r="I1465"/>
  <c r="K1465" s="1"/>
  <c r="I1466"/>
  <c r="K1466" s="1"/>
  <c r="I1478"/>
  <c r="K1478" s="1"/>
  <c r="K1482" s="1"/>
  <c r="K1484" s="1"/>
  <c r="I1479"/>
  <c r="K1479" s="1"/>
  <c r="I1490"/>
  <c r="K1490" s="1"/>
  <c r="I1492"/>
  <c r="K1492" s="1"/>
  <c r="K1493"/>
  <c r="I1494"/>
  <c r="K1494"/>
  <c r="I1495"/>
  <c r="K1495"/>
  <c r="I1505"/>
  <c r="K1505"/>
  <c r="I1506"/>
  <c r="K1506"/>
  <c r="O1506"/>
  <c r="I1507"/>
  <c r="K1507" s="1"/>
  <c r="O1507"/>
  <c r="I1508"/>
  <c r="K1508" s="1"/>
  <c r="K1509"/>
  <c r="I1518"/>
  <c r="K1518" s="1"/>
  <c r="I1519"/>
  <c r="K1519" s="1"/>
  <c r="I1520"/>
  <c r="K1520" s="1"/>
  <c r="I1521"/>
  <c r="K1521" s="1"/>
  <c r="K1522"/>
  <c r="I1533"/>
  <c r="K1533" s="1"/>
  <c r="I1534"/>
  <c r="K1534"/>
  <c r="I1545"/>
  <c r="K1545" s="1"/>
  <c r="I1546"/>
  <c r="K1546"/>
  <c r="I1557"/>
  <c r="K1557" s="1"/>
  <c r="I1558"/>
  <c r="K1558"/>
  <c r="I1559"/>
  <c r="K1559" s="1"/>
  <c r="I1560"/>
  <c r="K1560"/>
  <c r="I1561"/>
  <c r="K1561" s="1"/>
  <c r="I1562"/>
  <c r="K1562"/>
  <c r="I1576"/>
  <c r="K1576" s="1"/>
  <c r="I1577"/>
  <c r="K1577"/>
  <c r="I1578"/>
  <c r="K1578" s="1"/>
  <c r="I1579"/>
  <c r="K1579"/>
  <c r="K1597"/>
  <c r="K1601" s="1"/>
  <c r="K1598"/>
  <c r="K1609"/>
  <c r="K1613" s="1"/>
  <c r="K1618"/>
  <c r="K1621" s="1"/>
  <c r="K1625"/>
  <c r="K1628" s="1"/>
  <c r="I1638"/>
  <c r="K1638" s="1"/>
  <c r="I1639"/>
  <c r="K1639" s="1"/>
  <c r="I1640"/>
  <c r="K1640" s="1"/>
  <c r="K1652"/>
  <c r="K1653"/>
  <c r="K1654"/>
  <c r="I1681"/>
  <c r="K1681"/>
  <c r="K1682"/>
  <c r="K1685"/>
  <c r="K1686"/>
  <c r="K1687"/>
  <c r="I1688"/>
  <c r="K1688"/>
  <c r="K1699"/>
  <c r="K1700"/>
  <c r="K1701"/>
  <c r="I1702"/>
  <c r="K1702" s="1"/>
  <c r="I1703"/>
  <c r="K1703" s="1"/>
  <c r="I1711"/>
  <c r="K1711" s="1"/>
  <c r="K1713"/>
  <c r="K1714"/>
  <c r="I1715"/>
  <c r="K1715" s="1"/>
  <c r="K1716"/>
  <c r="K1717"/>
  <c r="K1724"/>
  <c r="K1727"/>
  <c r="I1735"/>
  <c r="K1735" s="1"/>
  <c r="I1737"/>
  <c r="K1737" s="1"/>
  <c r="I1738"/>
  <c r="K1738" s="1"/>
  <c r="I1739"/>
  <c r="K1739" s="1"/>
  <c r="I1740"/>
  <c r="K1740" s="1"/>
  <c r="I1741"/>
  <c r="K1741" s="1"/>
  <c r="I1742"/>
  <c r="K1742" s="1"/>
  <c r="I1753"/>
  <c r="K1753" s="1"/>
  <c r="I1755"/>
  <c r="K1755" s="1"/>
  <c r="I1756"/>
  <c r="K1756" s="1"/>
  <c r="I1757"/>
  <c r="K1757" s="1"/>
  <c r="I1758"/>
  <c r="K1758" s="1"/>
  <c r="I1759"/>
  <c r="K1759" s="1"/>
  <c r="I1760"/>
  <c r="K1760" s="1"/>
  <c r="I1771"/>
  <c r="K1771" s="1"/>
  <c r="I1773"/>
  <c r="K1773" s="1"/>
  <c r="I1774"/>
  <c r="K1774" s="1"/>
  <c r="I1775"/>
  <c r="K1775" s="1"/>
  <c r="I1776"/>
  <c r="K1776" s="1"/>
  <c r="I1777"/>
  <c r="K1777" s="1"/>
  <c r="I1778"/>
  <c r="K1778" s="1"/>
  <c r="I1801"/>
  <c r="K1801" s="1"/>
  <c r="I1809"/>
  <c r="I1810" s="1"/>
  <c r="K1810" s="1"/>
  <c r="I1817"/>
  <c r="I1818"/>
  <c r="K1818" s="1"/>
  <c r="I1829"/>
  <c r="K1829" s="1"/>
  <c r="I1832"/>
  <c r="K1832" s="1"/>
  <c r="I1833"/>
  <c r="K1833" s="1"/>
  <c r="I1834"/>
  <c r="K1834" s="1"/>
  <c r="I1835"/>
  <c r="K1835" s="1"/>
  <c r="I1844"/>
  <c r="I1845" s="1"/>
  <c r="K1845" s="1"/>
  <c r="I1858"/>
  <c r="K1858" s="1"/>
  <c r="I1865"/>
  <c r="K1865" s="1"/>
  <c r="I1866"/>
  <c r="K1866" s="1"/>
  <c r="I1867"/>
  <c r="K1867" s="1"/>
  <c r="I1890"/>
  <c r="K1890" s="1"/>
  <c r="I1891"/>
  <c r="K1891" s="1"/>
  <c r="I1892"/>
  <c r="K1892" s="1"/>
  <c r="I1894"/>
  <c r="K1894" s="1"/>
  <c r="I1895"/>
  <c r="K1895" s="1"/>
  <c r="I1896"/>
  <c r="K1896" s="1"/>
  <c r="I1908"/>
  <c r="K1908" s="1"/>
  <c r="I1915"/>
  <c r="K1915" s="1"/>
  <c r="I1916"/>
  <c r="K1916" s="1"/>
  <c r="I1917"/>
  <c r="K1917" s="1"/>
  <c r="I1928"/>
  <c r="K1928" s="1"/>
  <c r="I1930"/>
  <c r="K1930" s="1"/>
  <c r="I1931"/>
  <c r="K1931" s="1"/>
  <c r="I1932"/>
  <c r="K1932" s="1"/>
  <c r="I1934"/>
  <c r="K1934" s="1"/>
  <c r="I1935"/>
  <c r="K1935" s="1"/>
  <c r="I1947"/>
  <c r="K1947" s="1"/>
  <c r="I1949"/>
  <c r="K1949" s="1"/>
  <c r="I1950"/>
  <c r="K1950" s="1"/>
  <c r="I1951"/>
  <c r="K1951" s="1"/>
  <c r="I1953"/>
  <c r="K1953" s="1"/>
  <c r="I1954"/>
  <c r="K1954" s="1"/>
  <c r="I1972"/>
  <c r="K1972" s="1"/>
  <c r="I1973"/>
  <c r="K1973" s="1"/>
  <c r="I1974"/>
  <c r="K1974" s="1"/>
  <c r="I1975"/>
  <c r="K1975" s="1"/>
  <c r="I1976"/>
  <c r="K1976" s="1"/>
  <c r="I1977"/>
  <c r="K1977" s="1"/>
  <c r="I1978"/>
  <c r="K1978" s="1"/>
  <c r="I1996"/>
  <c r="K1996" s="1"/>
  <c r="I1997"/>
  <c r="K1997" s="1"/>
  <c r="I1998"/>
  <c r="K1998" s="1"/>
  <c r="I1999"/>
  <c r="K1999" s="1"/>
  <c r="I2000"/>
  <c r="K2000" s="1"/>
  <c r="I2001"/>
  <c r="K2001" s="1"/>
  <c r="I2002"/>
  <c r="K2002" s="1"/>
  <c r="K2016"/>
  <c r="K2017"/>
  <c r="K2018"/>
  <c r="I2027"/>
  <c r="K2027" s="1"/>
  <c r="I2029"/>
  <c r="K2029" s="1"/>
  <c r="I2030"/>
  <c r="K2030" s="1"/>
  <c r="I2031"/>
  <c r="K2031" s="1"/>
  <c r="I2039"/>
  <c r="K2039" s="1"/>
  <c r="K2042" s="1"/>
  <c r="I2047"/>
  <c r="K2047"/>
  <c r="I2048"/>
  <c r="K2048"/>
  <c r="I2049"/>
  <c r="K2049"/>
  <c r="I2050"/>
  <c r="K2050"/>
  <c r="I2052"/>
  <c r="K2052"/>
  <c r="I2053"/>
  <c r="K2053"/>
  <c r="I2054"/>
  <c r="K2054"/>
  <c r="I2055"/>
  <c r="K2055"/>
  <c r="I2056"/>
  <c r="K2056"/>
  <c r="I2067"/>
  <c r="K2067" s="1"/>
  <c r="I2068"/>
  <c r="K2068"/>
  <c r="I2069"/>
  <c r="K2069" s="1"/>
  <c r="I2070"/>
  <c r="K2070"/>
  <c r="I2072"/>
  <c r="K2072" s="1"/>
  <c r="I2073"/>
  <c r="K2073"/>
  <c r="I2074"/>
  <c r="K2074" s="1"/>
  <c r="I2075"/>
  <c r="K2075"/>
  <c r="I2076"/>
  <c r="K2076" s="1"/>
  <c r="I2086"/>
  <c r="K2086"/>
  <c r="I2087"/>
  <c r="K2087" s="1"/>
  <c r="K2090" s="1"/>
  <c r="K2092" s="1"/>
  <c r="I2088"/>
  <c r="K2088"/>
  <c r="H2097"/>
  <c r="I2099"/>
  <c r="K2099" s="1"/>
  <c r="I2100"/>
  <c r="K2100" s="1"/>
  <c r="I2101"/>
  <c r="K2101" s="1"/>
  <c r="I2112"/>
  <c r="K2112" s="1"/>
  <c r="K2116" s="1"/>
  <c r="I2125"/>
  <c r="K2125"/>
  <c r="K2129" s="1"/>
  <c r="I2135"/>
  <c r="K2135" s="1"/>
  <c r="K2139" s="1"/>
  <c r="I2144"/>
  <c r="K2144" s="1"/>
  <c r="K2148" s="1"/>
  <c r="I2167"/>
  <c r="K2167" s="1"/>
  <c r="I2168"/>
  <c r="K2168" s="1"/>
  <c r="I2169"/>
  <c r="K2169" s="1"/>
  <c r="I2170"/>
  <c r="K2170" s="1"/>
  <c r="K2171"/>
  <c r="I2172"/>
  <c r="K2172" s="1"/>
  <c r="K2218"/>
  <c r="I2219"/>
  <c r="K2219" s="1"/>
  <c r="I2220"/>
  <c r="K2220" s="1"/>
  <c r="I2221"/>
  <c r="K2221" s="1"/>
  <c r="I2222"/>
  <c r="K2222" s="1"/>
  <c r="K2232"/>
  <c r="K2233"/>
  <c r="K2234"/>
  <c r="K2235"/>
  <c r="I2236"/>
  <c r="K2236" s="1"/>
  <c r="I2237"/>
  <c r="K2237" s="1"/>
  <c r="K2263"/>
  <c r="I2264"/>
  <c r="K2264"/>
  <c r="K2265"/>
  <c r="K2266"/>
  <c r="K2267"/>
  <c r="K2268"/>
  <c r="I2307"/>
  <c r="K2307" s="1"/>
  <c r="I2308"/>
  <c r="K2308"/>
  <c r="K2309"/>
  <c r="K2310"/>
  <c r="K2321"/>
  <c r="K2322"/>
  <c r="K2323"/>
  <c r="K2324"/>
  <c r="K2325"/>
  <c r="K2326"/>
  <c r="I2327"/>
  <c r="K2327" s="1"/>
  <c r="K2332" s="1"/>
  <c r="K2336" s="1"/>
  <c r="I2328"/>
  <c r="K2328"/>
  <c r="I2361"/>
  <c r="K2361" s="1"/>
  <c r="K2364" s="1"/>
  <c r="I2365" s="1"/>
  <c r="I2367" s="1"/>
  <c r="K2367" s="1"/>
  <c r="I2362"/>
  <c r="K2362"/>
  <c r="K2363"/>
  <c r="I2368"/>
  <c r="K2368" s="1"/>
  <c r="I2369"/>
  <c r="I2425" s="1"/>
  <c r="K2370"/>
  <c r="I2371"/>
  <c r="I2388"/>
  <c r="K2388" s="1"/>
  <c r="I2372"/>
  <c r="K2372" s="1"/>
  <c r="I2373"/>
  <c r="K2373" s="1"/>
  <c r="K2375"/>
  <c r="I2408"/>
  <c r="K2408"/>
  <c r="I2410"/>
  <c r="K2410" s="1"/>
  <c r="K2414" s="1"/>
  <c r="K2416" s="1"/>
  <c r="I2422" s="1"/>
  <c r="K2422" s="1"/>
  <c r="K2433" s="1"/>
  <c r="K2435" s="1"/>
  <c r="I2424"/>
  <c r="K2424"/>
  <c r="K2426"/>
  <c r="I2427"/>
  <c r="K2427" s="1"/>
  <c r="I2428"/>
  <c r="K2428" s="1"/>
  <c r="I2429"/>
  <c r="K2429" s="1"/>
  <c r="K2430"/>
  <c r="K2431"/>
  <c r="I2441"/>
  <c r="K2441" s="1"/>
  <c r="I2442"/>
  <c r="K2442" s="1"/>
  <c r="I2466"/>
  <c r="K2466" s="1"/>
  <c r="I2467"/>
  <c r="K2467" s="1"/>
  <c r="K2469"/>
  <c r="K2470"/>
  <c r="K2490"/>
  <c r="K2493" s="1"/>
  <c r="K2497"/>
  <c r="K2498"/>
  <c r="K2505"/>
  <c r="K2506"/>
  <c r="K2507"/>
  <c r="I2524"/>
  <c r="K2524"/>
  <c r="I2525"/>
  <c r="K2525" s="1"/>
  <c r="I2526"/>
  <c r="K2526"/>
  <c r="I2527"/>
  <c r="K2527" s="1"/>
  <c r="I2528"/>
  <c r="K2528"/>
  <c r="I2529"/>
  <c r="K2529" s="1"/>
  <c r="I2531"/>
  <c r="K2531" s="1"/>
  <c r="K2557"/>
  <c r="K2604"/>
  <c r="I2605"/>
  <c r="K2605" s="1"/>
  <c r="I2606"/>
  <c r="K2606"/>
  <c r="I2607"/>
  <c r="K2607" s="1"/>
  <c r="I2624"/>
  <c r="K2624"/>
  <c r="I2625"/>
  <c r="K2625" s="1"/>
  <c r="K2626"/>
  <c r="K2633"/>
  <c r="K2634"/>
  <c r="K2635"/>
  <c r="K2636"/>
  <c r="K2637"/>
  <c r="K2638"/>
  <c r="K2639"/>
  <c r="K2640"/>
  <c r="I2665"/>
  <c r="K2665" s="1"/>
  <c r="I2666"/>
  <c r="K2666" s="1"/>
  <c r="I2667"/>
  <c r="K2667" s="1"/>
  <c r="I2668"/>
  <c r="K2668" s="1"/>
  <c r="I2669"/>
  <c r="K2669" s="1"/>
  <c r="I2670"/>
  <c r="K2670" s="1"/>
  <c r="K2680"/>
  <c r="I2694"/>
  <c r="K2694"/>
  <c r="K2700"/>
  <c r="K2701"/>
  <c r="K2707"/>
  <c r="K2708"/>
  <c r="K2715"/>
  <c r="K2716"/>
  <c r="K2723"/>
  <c r="K2724"/>
  <c r="K2725"/>
  <c r="K2727" s="1"/>
  <c r="K2728" s="1"/>
  <c r="K2717" s="1"/>
  <c r="K2732"/>
  <c r="K2733"/>
  <c r="K2734"/>
  <c r="K2735"/>
  <c r="K2743"/>
  <c r="K2744"/>
  <c r="K2752"/>
  <c r="K2753"/>
  <c r="K2754"/>
  <c r="K2755"/>
  <c r="K2756"/>
  <c r="K2757"/>
  <c r="K2783"/>
  <c r="K2784"/>
  <c r="K2785"/>
  <c r="K2786"/>
  <c r="K2787"/>
  <c r="K2788"/>
  <c r="I2789"/>
  <c r="K2789"/>
  <c r="I2790"/>
  <c r="K2790"/>
  <c r="K2798"/>
  <c r="K2799"/>
  <c r="K2807"/>
  <c r="K2808"/>
  <c r="K2810" s="1"/>
  <c r="K2811" s="1"/>
  <c r="K2802" s="1"/>
  <c r="K2804" s="1"/>
  <c r="K2815"/>
  <c r="K2816"/>
  <c r="K2817"/>
  <c r="K2818"/>
  <c r="K2825"/>
  <c r="K2826"/>
  <c r="K2827"/>
  <c r="I2843"/>
  <c r="K2843" s="1"/>
  <c r="I2844"/>
  <c r="K2844" s="1"/>
  <c r="I2845"/>
  <c r="K2845" s="1"/>
  <c r="K2847"/>
  <c r="R2848"/>
  <c r="I2849"/>
  <c r="K2849" s="1"/>
  <c r="I2851"/>
  <c r="K2851" s="1"/>
  <c r="K2880" s="1"/>
  <c r="K2891" s="1"/>
  <c r="I2854"/>
  <c r="K2854" s="1"/>
  <c r="R2855"/>
  <c r="R2856"/>
  <c r="R2860"/>
  <c r="T2863"/>
  <c r="I2866"/>
  <c r="K2866" s="1"/>
  <c r="I2867"/>
  <c r="K2867" s="1"/>
  <c r="I2868"/>
  <c r="K2868" s="1"/>
  <c r="I2869"/>
  <c r="K2869" s="1"/>
  <c r="I2870"/>
  <c r="I2871"/>
  <c r="K2871" s="1"/>
  <c r="P2881"/>
  <c r="R2881" s="1"/>
  <c r="P2888"/>
  <c r="R2888" s="1"/>
  <c r="R2889"/>
  <c r="K2895"/>
  <c r="S2896"/>
  <c r="H2905"/>
  <c r="H2909"/>
  <c r="H2910"/>
  <c r="H2936" s="1"/>
  <c r="I2910"/>
  <c r="K2910" s="1"/>
  <c r="H2911"/>
  <c r="K2912"/>
  <c r="I2913"/>
  <c r="I3036" s="1"/>
  <c r="K3036" s="1"/>
  <c r="L2921"/>
  <c r="I2923"/>
  <c r="K2925" s="1"/>
  <c r="I2931"/>
  <c r="I2941" s="1"/>
  <c r="I2935"/>
  <c r="K2935" s="1"/>
  <c r="M2935"/>
  <c r="H2937"/>
  <c r="L2957"/>
  <c r="M2957" s="1"/>
  <c r="N2957" s="1"/>
  <c r="I2984"/>
  <c r="K2984" s="1"/>
  <c r="I2999"/>
  <c r="K2999" s="1"/>
  <c r="I3002"/>
  <c r="K3002" s="1"/>
  <c r="K3019" s="1"/>
  <c r="L3011"/>
  <c r="K3020"/>
  <c r="M3023"/>
  <c r="I3035"/>
  <c r="K3035"/>
  <c r="L3044"/>
  <c r="I3053"/>
  <c r="K3053" s="1"/>
  <c r="L3063"/>
  <c r="R3071"/>
  <c r="K3078"/>
  <c r="L3080"/>
  <c r="K3088"/>
  <c r="K3090"/>
  <c r="L3092"/>
  <c r="K3098"/>
  <c r="I3101"/>
  <c r="P3074" s="1"/>
  <c r="R3074" s="1"/>
  <c r="L3105"/>
  <c r="I3112"/>
  <c r="K3112" s="1"/>
  <c r="P3112"/>
  <c r="R3112" s="1"/>
  <c r="K3113"/>
  <c r="P3113"/>
  <c r="P3127"/>
  <c r="R3127" s="1"/>
  <c r="I3115"/>
  <c r="S3118"/>
  <c r="L3119"/>
  <c r="R3126"/>
  <c r="K3132"/>
  <c r="I3140"/>
  <c r="K3140" s="1"/>
  <c r="K3150"/>
  <c r="K3151"/>
  <c r="K3169"/>
  <c r="I3170"/>
  <c r="K3180"/>
  <c r="K3182"/>
  <c r="K3191"/>
  <c r="K3192"/>
  <c r="K3206"/>
  <c r="I3207"/>
  <c r="K3207" s="1"/>
  <c r="K3217"/>
  <c r="K3219"/>
  <c r="J3222"/>
  <c r="M3222"/>
  <c r="N3222"/>
  <c r="I3222" s="1"/>
  <c r="K3230"/>
  <c r="I3231"/>
  <c r="K3231" s="1"/>
  <c r="K3232"/>
  <c r="K3240"/>
  <c r="K3241"/>
  <c r="I3249"/>
  <c r="K3249" s="1"/>
  <c r="K3257"/>
  <c r="I3258"/>
  <c r="K3258" s="1"/>
  <c r="I3259"/>
  <c r="K3259" s="1"/>
  <c r="K3289"/>
  <c r="K3290"/>
  <c r="I3306"/>
  <c r="K3306" s="1"/>
  <c r="I3307"/>
  <c r="K3307" s="1"/>
  <c r="I3308"/>
  <c r="K3308" s="1"/>
  <c r="I3309"/>
  <c r="K3309" s="1"/>
  <c r="I3310"/>
  <c r="I3311"/>
  <c r="I3313"/>
  <c r="K3313" s="1"/>
  <c r="I3314"/>
  <c r="K3314" s="1"/>
  <c r="I3315"/>
  <c r="K3315" s="1"/>
  <c r="I3316"/>
  <c r="K3316" s="1"/>
  <c r="K3331"/>
  <c r="K3345"/>
  <c r="I3351"/>
  <c r="I3405" s="1"/>
  <c r="I3353"/>
  <c r="I3407" s="1"/>
  <c r="H3354"/>
  <c r="I3354"/>
  <c r="K3354" s="1"/>
  <c r="J3368"/>
  <c r="K3376"/>
  <c r="H3384"/>
  <c r="I3384"/>
  <c r="K3384" s="1"/>
  <c r="I3389"/>
  <c r="K3389" s="1"/>
  <c r="I3464" s="1"/>
  <c r="K3464" s="1"/>
  <c r="L3399"/>
  <c r="M3399" s="1"/>
  <c r="N3399" s="1"/>
  <c r="O3399" s="1"/>
  <c r="L3418"/>
  <c r="K3436"/>
  <c r="K3438"/>
  <c r="I3454"/>
  <c r="K3454" s="1"/>
  <c r="H3455"/>
  <c r="I3455"/>
  <c r="K3455" s="1"/>
  <c r="H3464"/>
  <c r="H3465"/>
  <c r="I3478"/>
  <c r="I3665" s="1"/>
  <c r="K3665" s="1"/>
  <c r="K3480"/>
  <c r="P3494"/>
  <c r="R3494" s="1"/>
  <c r="K3495"/>
  <c r="P3495"/>
  <c r="R3495"/>
  <c r="I3496"/>
  <c r="P3496" s="1"/>
  <c r="R3496" s="1"/>
  <c r="I3497"/>
  <c r="P3497" s="1"/>
  <c r="R3497" s="1"/>
  <c r="R3501"/>
  <c r="I3503"/>
  <c r="K3503" s="1"/>
  <c r="I3505"/>
  <c r="K3505" s="1"/>
  <c r="I3506"/>
  <c r="K3506" s="1"/>
  <c r="K3513"/>
  <c r="K3515" s="1"/>
  <c r="K3514"/>
  <c r="K3521"/>
  <c r="K3523"/>
  <c r="I3533"/>
  <c r="K3533" s="1"/>
  <c r="H3545"/>
  <c r="I3545"/>
  <c r="K3545" s="1"/>
  <c r="K3547" s="1"/>
  <c r="H3553"/>
  <c r="I3553"/>
  <c r="K3553"/>
  <c r="K3556" s="1"/>
  <c r="K3561"/>
  <c r="O3561"/>
  <c r="K3562"/>
  <c r="I3563"/>
  <c r="K3563" s="1"/>
  <c r="H3578"/>
  <c r="I3578"/>
  <c r="K3578" s="1"/>
  <c r="H3579"/>
  <c r="I3579"/>
  <c r="K3579" s="1"/>
  <c r="H3580"/>
  <c r="I3580"/>
  <c r="K3580" s="1"/>
  <c r="I3605"/>
  <c r="J3605"/>
  <c r="K3605"/>
  <c r="L3605"/>
  <c r="H3612"/>
  <c r="I3612"/>
  <c r="K3612" s="1"/>
  <c r="K3613"/>
  <c r="R3613"/>
  <c r="P3614"/>
  <c r="R3614" s="1"/>
  <c r="I3616"/>
  <c r="K3616" s="1"/>
  <c r="K3618"/>
  <c r="R3623"/>
  <c r="I3624"/>
  <c r="K3624" s="1"/>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I3719"/>
  <c r="K3719" s="1"/>
  <c r="K3720"/>
  <c r="I3721"/>
  <c r="K3721" s="1"/>
  <c r="I3722"/>
  <c r="K3722" s="1"/>
  <c r="L3724"/>
  <c r="I3725"/>
  <c r="K3725" s="1"/>
  <c r="K3739"/>
  <c r="J3742" s="1"/>
  <c r="K3742" s="1"/>
  <c r="K3760" s="1"/>
  <c r="K3740"/>
  <c r="K3757"/>
  <c r="I3758"/>
  <c r="K3758" s="1"/>
  <c r="K3759"/>
  <c r="H3765"/>
  <c r="I3765"/>
  <c r="K3765" s="1"/>
  <c r="I3766"/>
  <c r="K3766" s="1"/>
  <c r="H3770"/>
  <c r="I3770"/>
  <c r="K3770"/>
  <c r="R3770"/>
  <c r="I3771"/>
  <c r="K3771" s="1"/>
  <c r="R3771"/>
  <c r="H3777"/>
  <c r="I3777"/>
  <c r="K3777" s="1"/>
  <c r="R3777"/>
  <c r="H3778"/>
  <c r="O3778"/>
  <c r="P3778"/>
  <c r="R3778" s="1"/>
  <c r="K3798"/>
  <c r="K3800"/>
  <c r="K3804"/>
  <c r="K3805"/>
  <c r="I3806"/>
  <c r="K3806" s="1"/>
  <c r="K3807"/>
  <c r="K3873" s="1"/>
  <c r="K3808"/>
  <c r="K3811"/>
  <c r="K3813"/>
  <c r="I3826"/>
  <c r="K3826" s="1"/>
  <c r="I3827"/>
  <c r="K3827" s="1"/>
  <c r="K3838"/>
  <c r="K3852"/>
  <c r="N3852"/>
  <c r="K3853"/>
  <c r="K3854"/>
  <c r="N3856"/>
  <c r="K3875"/>
  <c r="K3876"/>
  <c r="I3889"/>
  <c r="K3889" s="1"/>
  <c r="K3890"/>
  <c r="I3893"/>
  <c r="K3893"/>
  <c r="M3893"/>
  <c r="K3894"/>
  <c r="H3911"/>
  <c r="L3918"/>
  <c r="I3921"/>
  <c r="K3921" s="1"/>
  <c r="I3922"/>
  <c r="K3922" s="1"/>
  <c r="I3923"/>
  <c r="K3923" s="1"/>
  <c r="I3935"/>
  <c r="K3935"/>
  <c r="I3949"/>
  <c r="K3949" s="1"/>
  <c r="C3" i="4"/>
  <c r="C4"/>
  <c r="C5" s="1"/>
  <c r="C6" s="1"/>
  <c r="E3"/>
  <c r="E4" s="1"/>
  <c r="H3"/>
  <c r="H4" s="1"/>
  <c r="K3"/>
  <c r="K4" s="1"/>
  <c r="K5" s="1"/>
  <c r="K6" s="1"/>
  <c r="N3"/>
  <c r="N4" s="1"/>
  <c r="N5" s="1"/>
  <c r="N6" s="1"/>
  <c r="Q3"/>
  <c r="Q4"/>
  <c r="Q5" s="1"/>
  <c r="P10"/>
  <c r="Q10" s="1"/>
  <c r="Z19" i="1" s="1"/>
  <c r="H11" i="4"/>
  <c r="K11"/>
  <c r="K12"/>
  <c r="N12"/>
  <c r="Q12"/>
  <c r="T12"/>
  <c r="E14"/>
  <c r="U14"/>
  <c r="V14"/>
  <c r="E15"/>
  <c r="E16"/>
  <c r="U16"/>
  <c r="E17"/>
  <c r="U17"/>
  <c r="E18"/>
  <c r="H18"/>
  <c r="U18"/>
  <c r="E19"/>
  <c r="H19"/>
  <c r="U19"/>
  <c r="E20"/>
  <c r="E21"/>
  <c r="H25"/>
  <c r="K12" i="11"/>
  <c r="K13"/>
  <c r="K14"/>
  <c r="I15"/>
  <c r="I2846" i="27" s="1"/>
  <c r="K15" i="11"/>
  <c r="K16"/>
  <c r="P16"/>
  <c r="R16" s="1"/>
  <c r="R17"/>
  <c r="K18"/>
  <c r="P18"/>
  <c r="P51" s="1"/>
  <c r="R51" s="1"/>
  <c r="I19"/>
  <c r="I2850" i="27" s="1"/>
  <c r="K20" i="11"/>
  <c r="K49" s="1"/>
  <c r="K60" s="1"/>
  <c r="P20"/>
  <c r="R20" s="1"/>
  <c r="I21"/>
  <c r="I2852" i="27" s="1"/>
  <c r="K21" i="11"/>
  <c r="K61" s="1"/>
  <c r="P22"/>
  <c r="P55" s="1"/>
  <c r="R55" s="1"/>
  <c r="I23"/>
  <c r="K23" s="1"/>
  <c r="O23"/>
  <c r="O56" s="1"/>
  <c r="Q23"/>
  <c r="I24"/>
  <c r="K24" s="1"/>
  <c r="P24"/>
  <c r="R24"/>
  <c r="I25"/>
  <c r="K25" s="1"/>
  <c r="R25"/>
  <c r="L28"/>
  <c r="S32"/>
  <c r="T32" s="1"/>
  <c r="K35"/>
  <c r="K36"/>
  <c r="K37"/>
  <c r="K38"/>
  <c r="P39"/>
  <c r="R39" s="1"/>
  <c r="K40"/>
  <c r="P40"/>
  <c r="R40"/>
  <c r="H41"/>
  <c r="I41"/>
  <c r="I2872" i="27" s="1"/>
  <c r="K2872" s="1"/>
  <c r="P41" i="11"/>
  <c r="R41"/>
  <c r="P42"/>
  <c r="R42" s="1"/>
  <c r="R44" s="1"/>
  <c r="K50"/>
  <c r="K2881" i="27"/>
  <c r="P50" i="11"/>
  <c r="R50" s="1"/>
  <c r="L52"/>
  <c r="O53"/>
  <c r="O57"/>
  <c r="P57"/>
  <c r="R57" s="1"/>
  <c r="R58"/>
  <c r="K63"/>
  <c r="K2894" i="27" s="1"/>
  <c r="K64" i="11"/>
  <c r="K65"/>
  <c r="K2896" i="27"/>
  <c r="S65" i="11"/>
  <c r="S66"/>
  <c r="L67"/>
  <c r="H74"/>
  <c r="I74"/>
  <c r="K74" s="1"/>
  <c r="H75"/>
  <c r="I75"/>
  <c r="I101" s="1"/>
  <c r="I219" s="1"/>
  <c r="H76"/>
  <c r="I76"/>
  <c r="K76" s="1"/>
  <c r="H77"/>
  <c r="I77"/>
  <c r="I103" s="1"/>
  <c r="K77"/>
  <c r="H78"/>
  <c r="H79"/>
  <c r="I79"/>
  <c r="I105" s="1"/>
  <c r="K105" s="1"/>
  <c r="H80"/>
  <c r="K81"/>
  <c r="H82"/>
  <c r="H84" s="1"/>
  <c r="I82"/>
  <c r="K82" s="1"/>
  <c r="H86"/>
  <c r="I86"/>
  <c r="K86" s="1"/>
  <c r="L89"/>
  <c r="I92"/>
  <c r="K94" s="1"/>
  <c r="I100"/>
  <c r="I120" s="1"/>
  <c r="I218"/>
  <c r="I1063" s="1"/>
  <c r="I1073" s="1"/>
  <c r="K1073" s="1"/>
  <c r="I104"/>
  <c r="I222" s="1"/>
  <c r="M104"/>
  <c r="L113"/>
  <c r="I125"/>
  <c r="K125"/>
  <c r="I126"/>
  <c r="I1088" s="1"/>
  <c r="K1088" s="1"/>
  <c r="L126"/>
  <c r="M126"/>
  <c r="N126" s="1"/>
  <c r="L133"/>
  <c r="H143"/>
  <c r="K153"/>
  <c r="I164"/>
  <c r="K164"/>
  <c r="I165"/>
  <c r="K165" s="1"/>
  <c r="I166"/>
  <c r="K166"/>
  <c r="I167"/>
  <c r="K167" s="1"/>
  <c r="I168"/>
  <c r="K168"/>
  <c r="I169"/>
  <c r="K169" s="1"/>
  <c r="I171"/>
  <c r="K171"/>
  <c r="K188" s="1"/>
  <c r="I174"/>
  <c r="K174" s="1"/>
  <c r="I175"/>
  <c r="K175" s="1"/>
  <c r="I176"/>
  <c r="K176" s="1"/>
  <c r="L180"/>
  <c r="K189"/>
  <c r="L191"/>
  <c r="I204"/>
  <c r="K204" s="1"/>
  <c r="L211"/>
  <c r="L212"/>
  <c r="K215"/>
  <c r="L231"/>
  <c r="R240"/>
  <c r="AG240"/>
  <c r="AG241"/>
  <c r="R243"/>
  <c r="AG243"/>
  <c r="AH246"/>
  <c r="S247"/>
  <c r="L249"/>
  <c r="S249"/>
  <c r="K257"/>
  <c r="L261"/>
  <c r="K267"/>
  <c r="I270"/>
  <c r="K270"/>
  <c r="L274"/>
  <c r="I281"/>
  <c r="K281" s="1"/>
  <c r="P281"/>
  <c r="R281" s="1"/>
  <c r="K282"/>
  <c r="P282"/>
  <c r="R282" s="1"/>
  <c r="I284"/>
  <c r="K284"/>
  <c r="P284"/>
  <c r="R284" s="1"/>
  <c r="R286"/>
  <c r="S287"/>
  <c r="L288"/>
  <c r="S288"/>
  <c r="T288"/>
  <c r="L291"/>
  <c r="R295"/>
  <c r="P298"/>
  <c r="R298" s="1"/>
  <c r="K301"/>
  <c r="L302" s="1"/>
  <c r="K302"/>
  <c r="S302"/>
  <c r="I308"/>
  <c r="K308" s="1"/>
  <c r="I309"/>
  <c r="K309" s="1"/>
  <c r="K319"/>
  <c r="K320"/>
  <c r="M323"/>
  <c r="I327"/>
  <c r="K327"/>
  <c r="K338"/>
  <c r="I339"/>
  <c r="K339" s="1"/>
  <c r="K349"/>
  <c r="K360"/>
  <c r="K361"/>
  <c r="I367"/>
  <c r="K367" s="1"/>
  <c r="K375"/>
  <c r="I376"/>
  <c r="K376" s="1"/>
  <c r="K386"/>
  <c r="J391"/>
  <c r="N391"/>
  <c r="I391" s="1"/>
  <c r="K399"/>
  <c r="I400"/>
  <c r="K400"/>
  <c r="R408"/>
  <c r="K409"/>
  <c r="K410"/>
  <c r="R410"/>
  <c r="L413"/>
  <c r="I416"/>
  <c r="K416" s="1"/>
  <c r="K419" s="1"/>
  <c r="K420" s="1"/>
  <c r="K412" s="1"/>
  <c r="I417"/>
  <c r="K417"/>
  <c r="I418"/>
  <c r="K418" s="1"/>
  <c r="K426"/>
  <c r="I427"/>
  <c r="K427" s="1"/>
  <c r="I428"/>
  <c r="I435"/>
  <c r="K435"/>
  <c r="K458"/>
  <c r="K459"/>
  <c r="L461"/>
  <c r="L463"/>
  <c r="K475"/>
  <c r="K476"/>
  <c r="K477"/>
  <c r="K478"/>
  <c r="K481"/>
  <c r="I482"/>
  <c r="L482"/>
  <c r="K483"/>
  <c r="N483"/>
  <c r="K484"/>
  <c r="K485"/>
  <c r="K514"/>
  <c r="I520"/>
  <c r="K520"/>
  <c r="I521"/>
  <c r="K521"/>
  <c r="I522"/>
  <c r="K522"/>
  <c r="I523"/>
  <c r="K523" s="1"/>
  <c r="J537"/>
  <c r="I545"/>
  <c r="K545"/>
  <c r="K553"/>
  <c r="K558"/>
  <c r="K565"/>
  <c r="L568"/>
  <c r="M568" s="1"/>
  <c r="N568" s="1"/>
  <c r="O568" s="1"/>
  <c r="I574"/>
  <c r="K574" s="1"/>
  <c r="H584"/>
  <c r="I584"/>
  <c r="K584"/>
  <c r="L584"/>
  <c r="M584"/>
  <c r="N584"/>
  <c r="O584"/>
  <c r="L587"/>
  <c r="M587"/>
  <c r="N587" s="1"/>
  <c r="O587" s="1"/>
  <c r="K605"/>
  <c r="K607"/>
  <c r="I623"/>
  <c r="K623" s="1"/>
  <c r="K624"/>
  <c r="I633"/>
  <c r="K633"/>
  <c r="I634"/>
  <c r="K634"/>
  <c r="K636"/>
  <c r="I645"/>
  <c r="K645" s="1"/>
  <c r="I647"/>
  <c r="K664"/>
  <c r="P664"/>
  <c r="R664" s="1"/>
  <c r="I665"/>
  <c r="K665" s="1"/>
  <c r="I666"/>
  <c r="I704" s="1"/>
  <c r="K704" s="1"/>
  <c r="L669"/>
  <c r="S670"/>
  <c r="I672"/>
  <c r="P672" s="1"/>
  <c r="R672" s="1"/>
  <c r="I673"/>
  <c r="P673"/>
  <c r="R673" s="1"/>
  <c r="I674"/>
  <c r="I793" s="1"/>
  <c r="I675"/>
  <c r="P675" s="1"/>
  <c r="R675" s="1"/>
  <c r="K682"/>
  <c r="K684"/>
  <c r="D456" i="69" s="1"/>
  <c r="K690" i="11"/>
  <c r="K693" s="1"/>
  <c r="L693" s="1"/>
  <c r="I702"/>
  <c r="K702"/>
  <c r="L708"/>
  <c r="K714"/>
  <c r="K716" s="1"/>
  <c r="H722"/>
  <c r="I722"/>
  <c r="K722"/>
  <c r="K725" s="1"/>
  <c r="D454" i="69" s="1"/>
  <c r="G454" s="1"/>
  <c r="M725" i="11"/>
  <c r="I730"/>
  <c r="K730"/>
  <c r="L730"/>
  <c r="M730"/>
  <c r="N730"/>
  <c r="N732" s="1"/>
  <c r="I731"/>
  <c r="K731" s="1"/>
  <c r="L731"/>
  <c r="N731"/>
  <c r="I732"/>
  <c r="K732" s="1"/>
  <c r="K734"/>
  <c r="L734" s="1"/>
  <c r="M736"/>
  <c r="K747"/>
  <c r="K748"/>
  <c r="K749"/>
  <c r="L753"/>
  <c r="I758"/>
  <c r="K758" s="1"/>
  <c r="I774"/>
  <c r="J774"/>
  <c r="K774"/>
  <c r="L774"/>
  <c r="K781"/>
  <c r="K782"/>
  <c r="P782"/>
  <c r="R782" s="1"/>
  <c r="I783"/>
  <c r="K783" s="1"/>
  <c r="P783"/>
  <c r="R783" s="1"/>
  <c r="I785"/>
  <c r="K803"/>
  <c r="K804"/>
  <c r="R804"/>
  <c r="Y804"/>
  <c r="R811"/>
  <c r="K812"/>
  <c r="P812"/>
  <c r="R812"/>
  <c r="I813"/>
  <c r="Y814"/>
  <c r="R830"/>
  <c r="I831"/>
  <c r="R831"/>
  <c r="R832"/>
  <c r="R833"/>
  <c r="R834"/>
  <c r="I835"/>
  <c r="K835"/>
  <c r="I836"/>
  <c r="R837"/>
  <c r="K839"/>
  <c r="K840"/>
  <c r="K841"/>
  <c r="D844"/>
  <c r="R845"/>
  <c r="R846"/>
  <c r="R847"/>
  <c r="R848"/>
  <c r="R849"/>
  <c r="R850"/>
  <c r="I851"/>
  <c r="I862" s="1"/>
  <c r="K862" s="1"/>
  <c r="K851"/>
  <c r="I852"/>
  <c r="K852" s="1"/>
  <c r="I854"/>
  <c r="K854" s="1"/>
  <c r="L858"/>
  <c r="M858"/>
  <c r="R862"/>
  <c r="I863"/>
  <c r="K863" s="1"/>
  <c r="R863"/>
  <c r="R864"/>
  <c r="R865"/>
  <c r="R866"/>
  <c r="K868"/>
  <c r="K871" s="1"/>
  <c r="D1540" i="69" s="1"/>
  <c r="G1540" s="1"/>
  <c r="I869" i="11"/>
  <c r="I3699" i="27"/>
  <c r="K3699" s="1"/>
  <c r="K869" i="11"/>
  <c r="K877"/>
  <c r="I878"/>
  <c r="I3708" i="27" s="1"/>
  <c r="K3708" s="1"/>
  <c r="K878" i="11"/>
  <c r="K879"/>
  <c r="K887"/>
  <c r="H888"/>
  <c r="H3718" i="27"/>
  <c r="I888" i="11"/>
  <c r="K890"/>
  <c r="K891"/>
  <c r="I894"/>
  <c r="K894" s="1"/>
  <c r="K908"/>
  <c r="K909"/>
  <c r="K926"/>
  <c r="I927"/>
  <c r="K927" s="1"/>
  <c r="H928"/>
  <c r="K928"/>
  <c r="K934"/>
  <c r="K935"/>
  <c r="K939"/>
  <c r="K940"/>
  <c r="K946"/>
  <c r="K947"/>
  <c r="K955"/>
  <c r="K956"/>
  <c r="I973"/>
  <c r="K973"/>
  <c r="I974"/>
  <c r="K974"/>
  <c r="I975"/>
  <c r="K975"/>
  <c r="I977"/>
  <c r="K977"/>
  <c r="K978"/>
  <c r="K1028"/>
  <c r="I979"/>
  <c r="K979"/>
  <c r="I980"/>
  <c r="K980"/>
  <c r="I981"/>
  <c r="K981"/>
  <c r="K1015" s="1"/>
  <c r="K1027" s="1"/>
  <c r="I982"/>
  <c r="K982"/>
  <c r="K983"/>
  <c r="K985"/>
  <c r="K1051" s="1"/>
  <c r="K986"/>
  <c r="I987"/>
  <c r="K987" s="1"/>
  <c r="K1052" s="1"/>
  <c r="L993"/>
  <c r="I1002"/>
  <c r="K1002" s="1"/>
  <c r="I1003"/>
  <c r="K1003" s="1"/>
  <c r="I1004"/>
  <c r="K1004" s="1"/>
  <c r="I1005"/>
  <c r="K1005" s="1"/>
  <c r="H1016"/>
  <c r="K1016"/>
  <c r="L1019"/>
  <c r="K1031"/>
  <c r="K1032"/>
  <c r="L1035"/>
  <c r="K1053"/>
  <c r="K1054"/>
  <c r="L1057"/>
  <c r="K1068"/>
  <c r="I1071"/>
  <c r="K1071" s="1"/>
  <c r="I1072"/>
  <c r="K1072"/>
  <c r="L1077"/>
  <c r="I1087"/>
  <c r="K1087" s="1"/>
  <c r="L1096"/>
  <c r="I1098"/>
  <c r="K1098"/>
  <c r="I1099"/>
  <c r="K1099"/>
  <c r="I1100"/>
  <c r="K1100"/>
  <c r="I1101"/>
  <c r="K1101"/>
  <c r="K1111"/>
  <c r="I1112"/>
  <c r="I3933" i="27" s="1"/>
  <c r="K3933" s="1"/>
  <c r="L1119" i="11"/>
  <c r="L1120"/>
  <c r="I1127"/>
  <c r="K1127"/>
  <c r="K1152"/>
  <c r="L1157"/>
  <c r="K1173"/>
  <c r="K1188"/>
  <c r="J1199"/>
  <c r="K1208"/>
  <c r="I1217"/>
  <c r="K1217"/>
  <c r="K1232"/>
  <c r="F1233"/>
  <c r="K1233" s="1"/>
  <c r="K1239"/>
  <c r="K1241"/>
  <c r="K1242"/>
  <c r="I1243"/>
  <c r="K1243" s="1"/>
  <c r="K1257" s="1"/>
  <c r="K1244"/>
  <c r="I1247"/>
  <c r="K1247" s="1"/>
  <c r="K1248"/>
  <c r="K1249"/>
  <c r="K1250"/>
  <c r="K1251"/>
  <c r="K1252"/>
  <c r="K1253"/>
  <c r="K1254"/>
  <c r="K1255"/>
  <c r="D5" i="25"/>
  <c r="F5" s="1"/>
  <c r="D6"/>
  <c r="F6" s="1"/>
  <c r="D7"/>
  <c r="F7" s="1"/>
  <c r="F8"/>
  <c r="F9"/>
  <c r="F10"/>
  <c r="F11"/>
  <c r="F12"/>
  <c r="F13"/>
  <c r="F14"/>
  <c r="F15"/>
  <c r="D25"/>
  <c r="F25" s="1"/>
  <c r="F27"/>
  <c r="D28"/>
  <c r="J36"/>
  <c r="J37"/>
  <c r="J38"/>
  <c r="J39"/>
  <c r="D40"/>
  <c r="F40" s="1"/>
  <c r="I40"/>
  <c r="J40"/>
  <c r="J41"/>
  <c r="I42"/>
  <c r="J42"/>
  <c r="F61"/>
  <c r="F62"/>
  <c r="F63"/>
  <c r="F64"/>
  <c r="F88"/>
  <c r="D89"/>
  <c r="D111"/>
  <c r="F90"/>
  <c r="F91"/>
  <c r="F92"/>
  <c r="F110"/>
  <c r="C112"/>
  <c r="F112"/>
  <c r="F113"/>
  <c r="F114"/>
  <c r="D136"/>
  <c r="D159"/>
  <c r="F159" s="1"/>
  <c r="C138"/>
  <c r="C161" s="1"/>
  <c r="D138"/>
  <c r="D161" s="1"/>
  <c r="F161" s="1"/>
  <c r="D139"/>
  <c r="D162" s="1"/>
  <c r="F162" s="1"/>
  <c r="F139"/>
  <c r="F140"/>
  <c r="F163"/>
  <c r="E187"/>
  <c r="E190" s="1"/>
  <c r="E188"/>
  <c r="D194"/>
  <c r="D195"/>
  <c r="D196"/>
  <c r="D198"/>
  <c r="G198"/>
  <c r="D199"/>
  <c r="A199" s="1"/>
  <c r="D200"/>
  <c r="A200"/>
  <c r="G200" s="1"/>
  <c r="G201"/>
  <c r="D203"/>
  <c r="D204"/>
  <c r="G206"/>
  <c r="D207"/>
  <c r="A207" s="1"/>
  <c r="G208"/>
  <c r="G211"/>
  <c r="G212"/>
  <c r="G213"/>
  <c r="G214"/>
  <c r="F250"/>
  <c r="F252"/>
  <c r="F253"/>
  <c r="F254"/>
  <c r="F255"/>
  <c r="F257"/>
  <c r="F258"/>
  <c r="F259"/>
  <c r="F260"/>
  <c r="F261"/>
  <c r="D267"/>
  <c r="F267" s="1"/>
  <c r="D268"/>
  <c r="F268"/>
  <c r="D269"/>
  <c r="F269" s="1"/>
  <c r="F280"/>
  <c r="F281"/>
  <c r="F282"/>
  <c r="F283"/>
  <c r="F284"/>
  <c r="F285"/>
  <c r="D286"/>
  <c r="F286" s="1"/>
  <c r="F287"/>
  <c r="F288"/>
  <c r="D289"/>
  <c r="F289" s="1"/>
  <c r="F290"/>
  <c r="F291"/>
  <c r="D302"/>
  <c r="F302" s="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6" s="1"/>
  <c r="G461"/>
  <c r="G463"/>
  <c r="G465"/>
  <c r="G471"/>
  <c r="G473" s="1"/>
  <c r="A484" s="1"/>
  <c r="G484" s="1"/>
  <c r="G472"/>
  <c r="G475"/>
  <c r="G476"/>
  <c r="G479"/>
  <c r="G485"/>
  <c r="G486"/>
  <c r="G487"/>
  <c r="G494"/>
  <c r="G498" s="1"/>
  <c r="E488" s="1"/>
  <c r="G495"/>
  <c r="G496"/>
  <c r="G503"/>
  <c r="G504"/>
  <c r="G506"/>
  <c r="A515" s="1"/>
  <c r="G515" s="1"/>
  <c r="G508"/>
  <c r="A516" s="1"/>
  <c r="G516" s="1"/>
  <c r="G510"/>
  <c r="A517" s="1"/>
  <c r="E531"/>
  <c r="E532"/>
  <c r="E534" s="1"/>
  <c r="A546" s="1"/>
  <c r="E537"/>
  <c r="A547" s="1"/>
  <c r="E540"/>
  <c r="A548" s="1"/>
  <c r="F540"/>
  <c r="E542"/>
  <c r="E543"/>
  <c r="A549" s="1"/>
  <c r="D548"/>
  <c r="D554"/>
  <c r="D591" s="1"/>
  <c r="F591" s="1"/>
  <c r="G558"/>
  <c r="E567"/>
  <c r="E568"/>
  <c r="E573"/>
  <c r="A584" s="1"/>
  <c r="E576"/>
  <c r="A585" s="1"/>
  <c r="F576"/>
  <c r="E578"/>
  <c r="E579" s="1"/>
  <c r="A586" s="1"/>
  <c r="E602"/>
  <c r="E605" s="1"/>
  <c r="A618" s="1"/>
  <c r="E603"/>
  <c r="E608"/>
  <c r="A619" s="1"/>
  <c r="E611"/>
  <c r="A620" s="1"/>
  <c r="F611"/>
  <c r="E613"/>
  <c r="E614"/>
  <c r="A621" s="1"/>
  <c r="E638"/>
  <c r="E641" s="1"/>
  <c r="A654" s="1"/>
  <c r="E639"/>
  <c r="E644"/>
  <c r="A655" s="1"/>
  <c r="E647"/>
  <c r="A656"/>
  <c r="F647"/>
  <c r="E649"/>
  <c r="E650" s="1"/>
  <c r="A657" s="1"/>
  <c r="E674"/>
  <c r="E675"/>
  <c r="E680"/>
  <c r="A691" s="1"/>
  <c r="E683"/>
  <c r="A692"/>
  <c r="F683"/>
  <c r="E685"/>
  <c r="E686" s="1"/>
  <c r="A693" s="1"/>
  <c r="C9" i="58"/>
  <c r="C10"/>
  <c r="A19"/>
  <c r="I6" i="59"/>
  <c r="I7"/>
  <c r="I10"/>
  <c r="H14"/>
  <c r="I14" s="1"/>
  <c r="I19"/>
  <c r="I20" s="1"/>
  <c r="H1102" i="69" s="1"/>
  <c r="I23" i="59"/>
  <c r="I24"/>
  <c r="H1103" i="69" s="1"/>
  <c r="I27" i="59"/>
  <c r="I31"/>
  <c r="I32"/>
  <c r="H1105" i="69" s="1"/>
  <c r="I35" i="59"/>
  <c r="I39"/>
  <c r="I45"/>
  <c r="I46" s="1"/>
  <c r="H1116" i="69" s="1"/>
  <c r="N1116" s="1"/>
  <c r="I48" i="59"/>
  <c r="I49" s="1"/>
  <c r="H1117" i="69" s="1"/>
  <c r="I52" i="59"/>
  <c r="I53"/>
  <c r="H1010" i="69" s="1"/>
  <c r="N1010" s="1"/>
  <c r="I55" i="59"/>
  <c r="I56" s="1"/>
  <c r="I59"/>
  <c r="I60" s="1"/>
  <c r="H1008" i="69" s="1"/>
  <c r="N1008" s="1"/>
  <c r="I63" i="59"/>
  <c r="I64" s="1"/>
  <c r="H1006" i="69" s="1"/>
  <c r="I67" i="59"/>
  <c r="I68" s="1"/>
  <c r="I71"/>
  <c r="I73"/>
  <c r="I75"/>
  <c r="I76" s="1"/>
  <c r="H1150" i="69" s="1"/>
  <c r="I79" i="59"/>
  <c r="H992" i="69" s="1"/>
  <c r="N992" s="1"/>
  <c r="H993" i="67"/>
  <c r="I993" s="1"/>
  <c r="R993" s="1"/>
  <c r="I84" i="59"/>
  <c r="H1112" i="67" s="1"/>
  <c r="I1112" s="1"/>
  <c r="R1112" s="1"/>
  <c r="I87" i="59"/>
  <c r="H1115" i="67" s="1"/>
  <c r="I1115" s="1"/>
  <c r="R1115" s="1"/>
  <c r="I5" i="60"/>
  <c r="I7"/>
  <c r="I9"/>
  <c r="I11"/>
  <c r="I14"/>
  <c r="I19" s="1"/>
  <c r="I15"/>
  <c r="I16"/>
  <c r="F17"/>
  <c r="I17"/>
  <c r="I18"/>
  <c r="I23"/>
  <c r="I24"/>
  <c r="I25"/>
  <c r="I26"/>
  <c r="I27"/>
  <c r="I28"/>
  <c r="I29"/>
  <c r="I33"/>
  <c r="I34"/>
  <c r="I35"/>
  <c r="I40"/>
  <c r="I42"/>
  <c r="I43"/>
  <c r="I44" s="1"/>
  <c r="H3" i="1"/>
  <c r="J3"/>
  <c r="O3"/>
  <c r="Q3"/>
  <c r="W3"/>
  <c r="X9"/>
  <c r="AG9"/>
  <c r="AH9"/>
  <c r="AE9"/>
  <c r="AI9"/>
  <c r="AJ9"/>
  <c r="AK9"/>
  <c r="AL9"/>
  <c r="W10"/>
  <c r="X10"/>
  <c r="AG10"/>
  <c r="AH10"/>
  <c r="AE10" s="1"/>
  <c r="C11" s="1"/>
  <c r="AI10"/>
  <c r="AJ10"/>
  <c r="AK10"/>
  <c r="AL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P11"/>
  <c r="R11" s="1"/>
  <c r="X11"/>
  <c r="X12" s="1"/>
  <c r="Y11"/>
  <c r="AG11"/>
  <c r="AH11"/>
  <c r="AE11"/>
  <c r="V1336" s="1"/>
  <c r="AI11"/>
  <c r="AJ11"/>
  <c r="AK11"/>
  <c r="AL11"/>
  <c r="AG12"/>
  <c r="AH12"/>
  <c r="AE12"/>
  <c r="AI12"/>
  <c r="AJ12"/>
  <c r="AK12"/>
  <c r="AL12"/>
  <c r="C13"/>
  <c r="P69" s="1"/>
  <c r="R69" s="1"/>
  <c r="AG13"/>
  <c r="AH13"/>
  <c r="AE13" s="1"/>
  <c r="C14" s="1"/>
  <c r="AI13"/>
  <c r="AJ13"/>
  <c r="AK13"/>
  <c r="AL13"/>
  <c r="AG14"/>
  <c r="AH14"/>
  <c r="AE14" s="1"/>
  <c r="AI14"/>
  <c r="AJ14"/>
  <c r="AK14"/>
  <c r="AL14"/>
  <c r="AG15"/>
  <c r="AH15"/>
  <c r="AE15" s="1"/>
  <c r="C15" s="1"/>
  <c r="AI15"/>
  <c r="AJ15"/>
  <c r="AK15"/>
  <c r="AL15"/>
  <c r="X16"/>
  <c r="X17" s="1"/>
  <c r="AG16"/>
  <c r="AH16"/>
  <c r="AE16" s="1"/>
  <c r="AI16"/>
  <c r="AJ16"/>
  <c r="AK16"/>
  <c r="AL16"/>
  <c r="Y17"/>
  <c r="AG17"/>
  <c r="AH17"/>
  <c r="AE17" s="1"/>
  <c r="AI17"/>
  <c r="AJ17"/>
  <c r="AK17"/>
  <c r="AL17"/>
  <c r="X18"/>
  <c r="AG18"/>
  <c r="AH18"/>
  <c r="AE18" s="1"/>
  <c r="AI18"/>
  <c r="AJ18"/>
  <c r="AK18"/>
  <c r="AL18"/>
  <c r="W19"/>
  <c r="X19"/>
  <c r="X20" s="1"/>
  <c r="AG19"/>
  <c r="AH19"/>
  <c r="AE19" s="1"/>
  <c r="C16" s="1"/>
  <c r="AI19"/>
  <c r="AJ19"/>
  <c r="AK19"/>
  <c r="AL19"/>
  <c r="W20"/>
  <c r="AG20"/>
  <c r="AH20"/>
  <c r="AE20" s="1"/>
  <c r="P1549" s="1"/>
  <c r="R1549" s="1"/>
  <c r="AI20"/>
  <c r="AJ20"/>
  <c r="AK20"/>
  <c r="AL20"/>
  <c r="X21"/>
  <c r="Z21"/>
  <c r="AC21" s="1"/>
  <c r="C83" s="1"/>
  <c r="AG21"/>
  <c r="AH21"/>
  <c r="AE21"/>
  <c r="I2697" s="1"/>
  <c r="K2697" s="1"/>
  <c r="AI21"/>
  <c r="AJ21"/>
  <c r="AK21"/>
  <c r="AL21"/>
  <c r="AC22"/>
  <c r="C84" s="1"/>
  <c r="AG22"/>
  <c r="AH22"/>
  <c r="AE22"/>
  <c r="C41" s="1"/>
  <c r="AI22"/>
  <c r="AJ22"/>
  <c r="AK22"/>
  <c r="AL22"/>
  <c r="X23"/>
  <c r="AG23"/>
  <c r="AH23"/>
  <c r="AE23" s="1"/>
  <c r="C29" s="1"/>
  <c r="I1234" s="1"/>
  <c r="K1234" s="1"/>
  <c r="AI23"/>
  <c r="AJ23"/>
  <c r="AK23"/>
  <c r="AL23"/>
  <c r="AG24"/>
  <c r="AH24"/>
  <c r="AE24" s="1"/>
  <c r="C18" s="1"/>
  <c r="AI24"/>
  <c r="AJ24"/>
  <c r="AK24"/>
  <c r="AL24"/>
  <c r="X25"/>
  <c r="X24"/>
  <c r="Z25"/>
  <c r="AC25" s="1"/>
  <c r="C87" s="1"/>
  <c r="Z24"/>
  <c r="AC24" s="1"/>
  <c r="C86" s="1"/>
  <c r="AG25"/>
  <c r="AH25"/>
  <c r="AE25"/>
  <c r="C25" s="1"/>
  <c r="AI25"/>
  <c r="AJ25"/>
  <c r="AK25"/>
  <c r="AL25"/>
  <c r="Z26"/>
  <c r="AC26" s="1"/>
  <c r="AG26"/>
  <c r="AH26"/>
  <c r="AE26" s="1"/>
  <c r="I3510" s="1"/>
  <c r="K3510" s="1"/>
  <c r="AI26"/>
  <c r="AJ26"/>
  <c r="AK26"/>
  <c r="AL26"/>
  <c r="E27"/>
  <c r="C28" s="1"/>
  <c r="I1233" s="1"/>
  <c r="K1233" s="1"/>
  <c r="AG27"/>
  <c r="AH27"/>
  <c r="AE27"/>
  <c r="AI27"/>
  <c r="AJ27"/>
  <c r="AK27"/>
  <c r="AL27"/>
  <c r="AG28"/>
  <c r="AH28"/>
  <c r="AE28" s="1"/>
  <c r="AI28"/>
  <c r="AJ28"/>
  <c r="AK28"/>
  <c r="AL28"/>
  <c r="E29"/>
  <c r="W29"/>
  <c r="X29"/>
  <c r="X34" s="1"/>
  <c r="AG29"/>
  <c r="AH29"/>
  <c r="AE29" s="1"/>
  <c r="C61" s="1"/>
  <c r="AI29"/>
  <c r="AJ29"/>
  <c r="AK29"/>
  <c r="AL29"/>
  <c r="AC30"/>
  <c r="C137" s="1"/>
  <c r="I1218" s="1"/>
  <c r="K1218" s="1"/>
  <c r="AG30"/>
  <c r="AH30"/>
  <c r="AE30" s="1"/>
  <c r="AI30"/>
  <c r="AJ30"/>
  <c r="AK30"/>
  <c r="AL30"/>
  <c r="X31"/>
  <c r="Z31"/>
  <c r="AC31" s="1"/>
  <c r="AG31"/>
  <c r="AH31"/>
  <c r="AE31" s="1"/>
  <c r="D30" s="1"/>
  <c r="AI31"/>
  <c r="AJ31"/>
  <c r="AK31"/>
  <c r="AL31"/>
  <c r="X32"/>
  <c r="X33" s="1"/>
  <c r="AG32"/>
  <c r="AH32"/>
  <c r="AE32" s="1"/>
  <c r="AI32"/>
  <c r="AJ32"/>
  <c r="AK32"/>
  <c r="AL32"/>
  <c r="AG33"/>
  <c r="AH33"/>
  <c r="AE33"/>
  <c r="AI33"/>
  <c r="AJ33"/>
  <c r="AK33"/>
  <c r="AL33"/>
  <c r="C34"/>
  <c r="D34" s="1"/>
  <c r="W34"/>
  <c r="W41"/>
  <c r="W42" s="1"/>
  <c r="Y34"/>
  <c r="AG34"/>
  <c r="AH34"/>
  <c r="AE34" s="1"/>
  <c r="AI34"/>
  <c r="AJ34"/>
  <c r="AK34"/>
  <c r="AL34"/>
  <c r="W35"/>
  <c r="AG35"/>
  <c r="AH35"/>
  <c r="AE35" s="1"/>
  <c r="D33" s="1"/>
  <c r="I2249" s="1"/>
  <c r="K2249" s="1"/>
  <c r="AI35"/>
  <c r="AJ35"/>
  <c r="AK35"/>
  <c r="AL35"/>
  <c r="W36"/>
  <c r="Y36"/>
  <c r="AG36"/>
  <c r="AH36"/>
  <c r="AE36" s="1"/>
  <c r="D61" s="1"/>
  <c r="AI36"/>
  <c r="AJ36"/>
  <c r="AK36"/>
  <c r="AL36"/>
  <c r="W37"/>
  <c r="Y37"/>
  <c r="AG37"/>
  <c r="AH37"/>
  <c r="AE37" s="1"/>
  <c r="AI37"/>
  <c r="AJ37"/>
  <c r="AK37"/>
  <c r="AL37"/>
  <c r="X38"/>
  <c r="AG38"/>
  <c r="AH38"/>
  <c r="AE38" s="1"/>
  <c r="AI38"/>
  <c r="AJ38"/>
  <c r="AK38"/>
  <c r="AL38"/>
  <c r="X39"/>
  <c r="Z39"/>
  <c r="AC39" s="1"/>
  <c r="P125" s="1"/>
  <c r="R125" s="1"/>
  <c r="AG39"/>
  <c r="AH39"/>
  <c r="AE39" s="1"/>
  <c r="AI39"/>
  <c r="AJ39"/>
  <c r="AK39"/>
  <c r="AL39"/>
  <c r="AG40"/>
  <c r="AH40"/>
  <c r="AE40" s="1"/>
  <c r="AI40"/>
  <c r="AJ40"/>
  <c r="AK40"/>
  <c r="AL40"/>
  <c r="X41"/>
  <c r="X42" s="1"/>
  <c r="AG41"/>
  <c r="AH41"/>
  <c r="AE41"/>
  <c r="C19" s="1"/>
  <c r="AI41"/>
  <c r="AJ41"/>
  <c r="AK41"/>
  <c r="AL41"/>
  <c r="AG42"/>
  <c r="AH42"/>
  <c r="AE42"/>
  <c r="C20" s="1"/>
  <c r="AI42"/>
  <c r="AJ42"/>
  <c r="AK42"/>
  <c r="AL42"/>
  <c r="W43"/>
  <c r="W44" s="1"/>
  <c r="X43"/>
  <c r="AF43"/>
  <c r="AI43" s="1"/>
  <c r="AG43"/>
  <c r="Y44"/>
  <c r="AG44"/>
  <c r="AH44"/>
  <c r="AE44" s="1"/>
  <c r="C22" s="1"/>
  <c r="AI44"/>
  <c r="AJ44"/>
  <c r="AK44"/>
  <c r="AL44"/>
  <c r="X45"/>
  <c r="AG45"/>
  <c r="AH45"/>
  <c r="AE45" s="1"/>
  <c r="C23" s="1"/>
  <c r="AI45"/>
  <c r="AJ45"/>
  <c r="AK45"/>
  <c r="AL45"/>
  <c r="X46"/>
  <c r="X47" s="1"/>
  <c r="AF46"/>
  <c r="AG46" s="1"/>
  <c r="AK46"/>
  <c r="Y47"/>
  <c r="AG47"/>
  <c r="AH47"/>
  <c r="AE47" s="1"/>
  <c r="AI47"/>
  <c r="AJ47"/>
  <c r="AK47"/>
  <c r="AL47"/>
  <c r="AG48"/>
  <c r="AH48"/>
  <c r="AE48"/>
  <c r="AI48"/>
  <c r="AJ48"/>
  <c r="AK48"/>
  <c r="AL48"/>
  <c r="AG49"/>
  <c r="AH49"/>
  <c r="AE49" s="1"/>
  <c r="C460" s="1"/>
  <c r="I3172" s="1"/>
  <c r="AI49"/>
  <c r="AJ49"/>
  <c r="AK49"/>
  <c r="AL49"/>
  <c r="AG50"/>
  <c r="AH50"/>
  <c r="AE50"/>
  <c r="C461" s="1"/>
  <c r="AI50"/>
  <c r="AJ50"/>
  <c r="AK50"/>
  <c r="AL50"/>
  <c r="AG51"/>
  <c r="AH51"/>
  <c r="AE51"/>
  <c r="AI51"/>
  <c r="AJ51"/>
  <c r="AK51"/>
  <c r="AL51"/>
  <c r="AG52"/>
  <c r="AH52"/>
  <c r="AE52" s="1"/>
  <c r="AI52"/>
  <c r="AJ52"/>
  <c r="AK52"/>
  <c r="AL52"/>
  <c r="AG53"/>
  <c r="AH53"/>
  <c r="AE53"/>
  <c r="AI53"/>
  <c r="AJ53"/>
  <c r="AK53"/>
  <c r="AL53"/>
  <c r="P54"/>
  <c r="R54" s="1"/>
  <c r="AG54"/>
  <c r="AH54"/>
  <c r="AE54" s="1"/>
  <c r="I3198" s="1"/>
  <c r="AI54"/>
  <c r="AJ54"/>
  <c r="AK54"/>
  <c r="AL54"/>
  <c r="AG55"/>
  <c r="AH55"/>
  <c r="AE55" s="1"/>
  <c r="I3212" s="1"/>
  <c r="AI55"/>
  <c r="AJ55"/>
  <c r="AK55"/>
  <c r="AL55"/>
  <c r="AG56"/>
  <c r="AH56"/>
  <c r="AE56" s="1"/>
  <c r="I3256" s="1"/>
  <c r="K3256" s="1"/>
  <c r="AI56"/>
  <c r="AJ56"/>
  <c r="AK56"/>
  <c r="AL56"/>
  <c r="C57"/>
  <c r="AG57"/>
  <c r="AH57"/>
  <c r="AE57" s="1"/>
  <c r="I3601" s="1"/>
  <c r="K3601" s="1"/>
  <c r="AI57"/>
  <c r="AJ57"/>
  <c r="AK57"/>
  <c r="AL57"/>
  <c r="AG58"/>
  <c r="AH58"/>
  <c r="AE58" s="1"/>
  <c r="P3227" s="1"/>
  <c r="AI58"/>
  <c r="AJ58"/>
  <c r="AK58"/>
  <c r="AL58"/>
  <c r="AG59"/>
  <c r="AH59"/>
  <c r="AE59"/>
  <c r="C36" s="1"/>
  <c r="AI59"/>
  <c r="AJ59"/>
  <c r="AK59"/>
  <c r="AL59"/>
  <c r="AG60"/>
  <c r="AH60"/>
  <c r="AE60"/>
  <c r="C37" s="1"/>
  <c r="I1785" s="1"/>
  <c r="K1785" s="1"/>
  <c r="AI60"/>
  <c r="AJ60"/>
  <c r="AK60"/>
  <c r="AL60"/>
  <c r="AG61"/>
  <c r="AH61"/>
  <c r="AE61"/>
  <c r="AI61"/>
  <c r="AJ61"/>
  <c r="AK61"/>
  <c r="AL61"/>
  <c r="AG62"/>
  <c r="AH62"/>
  <c r="AE62" s="1"/>
  <c r="E24" i="32" s="1"/>
  <c r="AI62" i="1"/>
  <c r="AJ62"/>
  <c r="AK62"/>
  <c r="AL62"/>
  <c r="AG63"/>
  <c r="AH63"/>
  <c r="AE63" s="1"/>
  <c r="E25" i="32" s="1"/>
  <c r="AI63" i="1"/>
  <c r="AJ63"/>
  <c r="AK63"/>
  <c r="AL63"/>
  <c r="AP63"/>
  <c r="AG64"/>
  <c r="AH64"/>
  <c r="AE64"/>
  <c r="E26" i="32" s="1"/>
  <c r="AI64" i="1"/>
  <c r="AJ64"/>
  <c r="AK64"/>
  <c r="AL64"/>
  <c r="P84"/>
  <c r="R84" s="1"/>
  <c r="AP85"/>
  <c r="AP105"/>
  <c r="AN87"/>
  <c r="AP87"/>
  <c r="AN88"/>
  <c r="AP107"/>
  <c r="AU113"/>
  <c r="AV113" s="1"/>
  <c r="AU114"/>
  <c r="AV114" s="1"/>
  <c r="AU116"/>
  <c r="AV116" s="1"/>
  <c r="AU118"/>
  <c r="AV118" s="1"/>
  <c r="AP130"/>
  <c r="AN132"/>
  <c r="AP132"/>
  <c r="AU138"/>
  <c r="AV138" s="1"/>
  <c r="AU139"/>
  <c r="AV139" s="1"/>
  <c r="AU141"/>
  <c r="AV141" s="1"/>
  <c r="C143"/>
  <c r="I1574" s="1"/>
  <c r="K1574" s="1"/>
  <c r="AU143"/>
  <c r="AV143"/>
  <c r="AU144"/>
  <c r="AV144"/>
  <c r="AU145"/>
  <c r="AV145"/>
  <c r="AU146"/>
  <c r="AV146"/>
  <c r="AU149"/>
  <c r="AV149"/>
  <c r="AU150"/>
  <c r="AV150"/>
  <c r="AU152"/>
  <c r="AV152"/>
  <c r="I153"/>
  <c r="K153"/>
  <c r="AU154"/>
  <c r="AV154"/>
  <c r="I155"/>
  <c r="K155"/>
  <c r="I157"/>
  <c r="K157"/>
  <c r="AU160"/>
  <c r="AV160"/>
  <c r="AP161"/>
  <c r="AU161"/>
  <c r="AV161" s="1"/>
  <c r="AU162"/>
  <c r="AV162" s="1"/>
  <c r="AN163"/>
  <c r="AP163"/>
  <c r="AN164"/>
  <c r="AU169"/>
  <c r="AV169"/>
  <c r="AU170"/>
  <c r="AV170"/>
  <c r="AU172"/>
  <c r="AV172"/>
  <c r="AU174"/>
  <c r="AV174"/>
  <c r="AU175"/>
  <c r="AV175"/>
  <c r="AU176"/>
  <c r="AV176"/>
  <c r="AU177"/>
  <c r="AV177"/>
  <c r="AU178"/>
  <c r="AV178"/>
  <c r="AU181"/>
  <c r="AV181"/>
  <c r="AU182"/>
  <c r="AV182"/>
  <c r="AU184"/>
  <c r="AV184" s="1"/>
  <c r="I185"/>
  <c r="K185"/>
  <c r="I186"/>
  <c r="K186" s="1"/>
  <c r="AU186"/>
  <c r="AV186"/>
  <c r="AU192"/>
  <c r="AV192" s="1"/>
  <c r="AU193"/>
  <c r="AV193"/>
  <c r="AU194"/>
  <c r="AV194" s="1"/>
  <c r="AU195"/>
  <c r="AV195"/>
  <c r="AU196"/>
  <c r="AV196" s="1"/>
  <c r="AU197"/>
  <c r="AV197"/>
  <c r="AU198"/>
  <c r="AV198" s="1"/>
  <c r="AU199"/>
  <c r="AV199" s="1"/>
  <c r="AU200"/>
  <c r="AV200"/>
  <c r="AU201"/>
  <c r="AV201" s="1"/>
  <c r="AU202"/>
  <c r="AV202"/>
  <c r="AU203"/>
  <c r="AV203" s="1"/>
  <c r="AU204"/>
  <c r="AV204"/>
  <c r="AU205"/>
  <c r="AV205" s="1"/>
  <c r="AU206"/>
  <c r="AV206"/>
  <c r="AU207"/>
  <c r="AV207" s="1"/>
  <c r="AU208"/>
  <c r="AV208"/>
  <c r="AU209"/>
  <c r="AV209" s="1"/>
  <c r="AU210"/>
  <c r="AV210"/>
  <c r="AU211"/>
  <c r="AV211" s="1"/>
  <c r="P212"/>
  <c r="R212"/>
  <c r="AU212"/>
  <c r="AV212" s="1"/>
  <c r="AU213"/>
  <c r="AV213"/>
  <c r="P214"/>
  <c r="R214"/>
  <c r="AU214"/>
  <c r="AV214" s="1"/>
  <c r="P215"/>
  <c r="R215"/>
  <c r="AU215"/>
  <c r="AV215" s="1"/>
  <c r="P216"/>
  <c r="R216"/>
  <c r="AU216"/>
  <c r="AV216" s="1"/>
  <c r="P217"/>
  <c r="R217"/>
  <c r="AU217"/>
  <c r="AV217" s="1"/>
  <c r="P218"/>
  <c r="R218"/>
  <c r="P219"/>
  <c r="R219" s="1"/>
  <c r="I229"/>
  <c r="P235" s="1"/>
  <c r="R235" s="1"/>
  <c r="K229"/>
  <c r="I241"/>
  <c r="K241" s="1"/>
  <c r="K245"/>
  <c r="I256"/>
  <c r="K256" s="1"/>
  <c r="K257"/>
  <c r="P287"/>
  <c r="R287" s="1"/>
  <c r="I301"/>
  <c r="K301" s="1"/>
  <c r="H311"/>
  <c r="AD311"/>
  <c r="AD424" s="1"/>
  <c r="P322"/>
  <c r="R322" s="1"/>
  <c r="H333"/>
  <c r="H353"/>
  <c r="AD333"/>
  <c r="AD362" s="1"/>
  <c r="F335"/>
  <c r="H335"/>
  <c r="AB335"/>
  <c r="AD335"/>
  <c r="F336"/>
  <c r="AB336"/>
  <c r="P339"/>
  <c r="R339" s="1"/>
  <c r="X341"/>
  <c r="P351"/>
  <c r="R351" s="1"/>
  <c r="H355"/>
  <c r="AD364"/>
  <c r="P366"/>
  <c r="R366" s="1"/>
  <c r="P367"/>
  <c r="R367"/>
  <c r="H377"/>
  <c r="F379"/>
  <c r="H379"/>
  <c r="P379"/>
  <c r="R379" s="1"/>
  <c r="I384"/>
  <c r="V384" s="1"/>
  <c r="AD386"/>
  <c r="AB388"/>
  <c r="AD388"/>
  <c r="AS388"/>
  <c r="H408"/>
  <c r="F410"/>
  <c r="H410"/>
  <c r="F411"/>
  <c r="X416"/>
  <c r="AD422"/>
  <c r="AB424"/>
  <c r="AB428"/>
  <c r="AB429"/>
  <c r="AB430"/>
  <c r="AB431"/>
  <c r="AB432"/>
  <c r="P433"/>
  <c r="R433"/>
  <c r="P439"/>
  <c r="R439" s="1"/>
  <c r="P440"/>
  <c r="R440"/>
  <c r="P441"/>
  <c r="R441" s="1"/>
  <c r="I449"/>
  <c r="K449"/>
  <c r="P452"/>
  <c r="R452" s="1"/>
  <c r="AJ452"/>
  <c r="P457"/>
  <c r="R457" s="1"/>
  <c r="P458"/>
  <c r="R458" s="1"/>
  <c r="P459"/>
  <c r="R459" s="1"/>
  <c r="AE464"/>
  <c r="AE465"/>
  <c r="AE466"/>
  <c r="AE467"/>
  <c r="AE468"/>
  <c r="AE469"/>
  <c r="P470"/>
  <c r="R470" s="1"/>
  <c r="AE470"/>
  <c r="AE471"/>
  <c r="AE479"/>
  <c r="AB480"/>
  <c r="AE480"/>
  <c r="AE481"/>
  <c r="P482"/>
  <c r="R482" s="1"/>
  <c r="AE482"/>
  <c r="P483"/>
  <c r="R483"/>
  <c r="AE483"/>
  <c r="P484"/>
  <c r="R484" s="1"/>
  <c r="AE484"/>
  <c r="AE485"/>
  <c r="AE486"/>
  <c r="AE487"/>
  <c r="AE488"/>
  <c r="AE489"/>
  <c r="AE490"/>
  <c r="I491"/>
  <c r="K491" s="1"/>
  <c r="AE491"/>
  <c r="I492"/>
  <c r="K492" s="1"/>
  <c r="AE492"/>
  <c r="AE493"/>
  <c r="AE494"/>
  <c r="AE495"/>
  <c r="AE496"/>
  <c r="AE497"/>
  <c r="AE498"/>
  <c r="P499"/>
  <c r="R499" s="1"/>
  <c r="AE499"/>
  <c r="AE500"/>
  <c r="P501"/>
  <c r="R501" s="1"/>
  <c r="AE501"/>
  <c r="P502"/>
  <c r="R502" s="1"/>
  <c r="AE502"/>
  <c r="AE503"/>
  <c r="AE504"/>
  <c r="AE505"/>
  <c r="P506"/>
  <c r="R506" s="1"/>
  <c r="AE506"/>
  <c r="R507"/>
  <c r="AE507"/>
  <c r="I508"/>
  <c r="K508" s="1"/>
  <c r="AE508"/>
  <c r="AE509"/>
  <c r="AE510"/>
  <c r="AE511"/>
  <c r="AE512"/>
  <c r="AE513"/>
  <c r="AE514"/>
  <c r="AE515"/>
  <c r="AE516"/>
  <c r="P517"/>
  <c r="R517" s="1"/>
  <c r="AE517"/>
  <c r="AE518"/>
  <c r="P519"/>
  <c r="R519" s="1"/>
  <c r="AE519"/>
  <c r="P520"/>
  <c r="R520" s="1"/>
  <c r="AE520"/>
  <c r="AE521"/>
  <c r="AE522"/>
  <c r="AE523"/>
  <c r="P524"/>
  <c r="R524"/>
  <c r="AE524"/>
  <c r="R525"/>
  <c r="AE525"/>
  <c r="AE526"/>
  <c r="AE527"/>
  <c r="AE528"/>
  <c r="AE529"/>
  <c r="AE530"/>
  <c r="AB531"/>
  <c r="AI531" s="1"/>
  <c r="AI555" s="1"/>
  <c r="AE531"/>
  <c r="AE532"/>
  <c r="AE533"/>
  <c r="AE534"/>
  <c r="AE535"/>
  <c r="AE536"/>
  <c r="P537"/>
  <c r="R537"/>
  <c r="AE537"/>
  <c r="AE538"/>
  <c r="P539"/>
  <c r="R539" s="1"/>
  <c r="AE539"/>
  <c r="P548"/>
  <c r="R548" s="1"/>
  <c r="W548"/>
  <c r="AC548" s="1"/>
  <c r="AJ548" s="1"/>
  <c r="AE548"/>
  <c r="W549"/>
  <c r="AC549" s="1"/>
  <c r="AE549"/>
  <c r="AE550"/>
  <c r="AE551"/>
  <c r="P552"/>
  <c r="R552"/>
  <c r="AE552"/>
  <c r="E553"/>
  <c r="R553"/>
  <c r="AE553"/>
  <c r="AE554"/>
  <c r="V555"/>
  <c r="AE555"/>
  <c r="AE556"/>
  <c r="AE557"/>
  <c r="AE558"/>
  <c r="M559"/>
  <c r="AE559"/>
  <c r="M560"/>
  <c r="AE560"/>
  <c r="M561"/>
  <c r="AE561"/>
  <c r="M562"/>
  <c r="AE562"/>
  <c r="AE563"/>
  <c r="AE564"/>
  <c r="AC566"/>
  <c r="AJ566" s="1"/>
  <c r="AB572"/>
  <c r="AC572"/>
  <c r="AE572"/>
  <c r="AE573"/>
  <c r="AE574"/>
  <c r="AE575"/>
  <c r="AE576"/>
  <c r="AE577"/>
  <c r="P578"/>
  <c r="R578"/>
  <c r="AE578"/>
  <c r="AE579"/>
  <c r="AE580"/>
  <c r="AE581"/>
  <c r="I582"/>
  <c r="K582" s="1"/>
  <c r="AE582"/>
  <c r="R583"/>
  <c r="AE583"/>
  <c r="R584"/>
  <c r="AE584"/>
  <c r="P585"/>
  <c r="R585" s="1"/>
  <c r="V585"/>
  <c r="AE585"/>
  <c r="AE586"/>
  <c r="AE587"/>
  <c r="AE588"/>
  <c r="AE589"/>
  <c r="AE590"/>
  <c r="AE591"/>
  <c r="C592"/>
  <c r="AE592"/>
  <c r="AE593"/>
  <c r="AE594"/>
  <c r="AE595"/>
  <c r="AE596"/>
  <c r="AE597"/>
  <c r="AE598"/>
  <c r="AE599"/>
  <c r="AE600"/>
  <c r="C601"/>
  <c r="AE601"/>
  <c r="C602"/>
  <c r="E602"/>
  <c r="AE602"/>
  <c r="AE603"/>
  <c r="I604"/>
  <c r="V582" s="1"/>
  <c r="X582" s="1"/>
  <c r="AE604"/>
  <c r="AE605"/>
  <c r="AE606"/>
  <c r="AE607"/>
  <c r="C608"/>
  <c r="AE608"/>
  <c r="AE609"/>
  <c r="AE610"/>
  <c r="AE611"/>
  <c r="AE612"/>
  <c r="AE613"/>
  <c r="AE614"/>
  <c r="C615"/>
  <c r="AE615"/>
  <c r="AE616"/>
  <c r="AE617"/>
  <c r="AE618"/>
  <c r="I619"/>
  <c r="K619" s="1"/>
  <c r="AE619"/>
  <c r="AE620"/>
  <c r="AE621"/>
  <c r="AE622"/>
  <c r="AE623"/>
  <c r="AE624"/>
  <c r="AE625"/>
  <c r="AE626"/>
  <c r="AE627"/>
  <c r="AE628"/>
  <c r="P629"/>
  <c r="R629" s="1"/>
  <c r="AE629"/>
  <c r="AE630"/>
  <c r="AE631"/>
  <c r="AE632"/>
  <c r="AE633"/>
  <c r="AE634"/>
  <c r="AE635"/>
  <c r="AE636"/>
  <c r="AE637"/>
  <c r="P642"/>
  <c r="R642"/>
  <c r="V647"/>
  <c r="AD647" s="1"/>
  <c r="AF647" s="1"/>
  <c r="V648"/>
  <c r="AD648"/>
  <c r="AF648" s="1"/>
  <c r="C658"/>
  <c r="P658"/>
  <c r="R658" s="1"/>
  <c r="P659"/>
  <c r="R659"/>
  <c r="P660"/>
  <c r="R660" s="1"/>
  <c r="AE673"/>
  <c r="AE674"/>
  <c r="AE675"/>
  <c r="AE676"/>
  <c r="AE677"/>
  <c r="P678"/>
  <c r="R678" s="1"/>
  <c r="R682" s="1"/>
  <c r="AE678"/>
  <c r="AE679"/>
  <c r="I680"/>
  <c r="K680"/>
  <c r="AE680"/>
  <c r="I681"/>
  <c r="K681" s="1"/>
  <c r="AE681"/>
  <c r="K682"/>
  <c r="AE682"/>
  <c r="AA683"/>
  <c r="AE683"/>
  <c r="AC684"/>
  <c r="AE684"/>
  <c r="AC685"/>
  <c r="AE685"/>
  <c r="AE686"/>
  <c r="AE687"/>
  <c r="P688"/>
  <c r="R688"/>
  <c r="R692" s="1"/>
  <c r="AE688"/>
  <c r="AE689"/>
  <c r="AF689"/>
  <c r="AE690"/>
  <c r="AE691"/>
  <c r="AF691"/>
  <c r="AE692"/>
  <c r="AE693"/>
  <c r="AE694"/>
  <c r="AE695"/>
  <c r="AE696"/>
  <c r="AE697"/>
  <c r="P698"/>
  <c r="R698" s="1"/>
  <c r="R702" s="1"/>
  <c r="AE698"/>
  <c r="I699"/>
  <c r="K699" s="1"/>
  <c r="AE699"/>
  <c r="I700"/>
  <c r="K700" s="1"/>
  <c r="AE700"/>
  <c r="K701"/>
  <c r="AE701"/>
  <c r="AE702"/>
  <c r="AE703"/>
  <c r="AE704"/>
  <c r="AE705"/>
  <c r="AE706"/>
  <c r="AE707"/>
  <c r="AE708"/>
  <c r="P709"/>
  <c r="R709" s="1"/>
  <c r="R713" s="1"/>
  <c r="S709"/>
  <c r="V709"/>
  <c r="D45" i="32" s="1"/>
  <c r="AE709" i="1"/>
  <c r="W710"/>
  <c r="AE710"/>
  <c r="AE711"/>
  <c r="V712"/>
  <c r="D48" i="32" s="1"/>
  <c r="AE712" i="1"/>
  <c r="V713"/>
  <c r="D49" i="32"/>
  <c r="D112" s="1"/>
  <c r="AE713" i="1"/>
  <c r="V714"/>
  <c r="D50" i="32" s="1"/>
  <c r="D113" s="1"/>
  <c r="AE714" i="1"/>
  <c r="AE715"/>
  <c r="V716"/>
  <c r="D52" i="32" s="1"/>
  <c r="D115" s="1"/>
  <c r="AE716" i="1"/>
  <c r="I717"/>
  <c r="K717" s="1"/>
  <c r="V717"/>
  <c r="D53" i="32" s="1"/>
  <c r="D116" s="1"/>
  <c r="AE717" i="1"/>
  <c r="I718"/>
  <c r="K718" s="1"/>
  <c r="AE718"/>
  <c r="AE719"/>
  <c r="I720"/>
  <c r="K720" s="1"/>
  <c r="P720"/>
  <c r="R720" s="1"/>
  <c r="AE720"/>
  <c r="AE721"/>
  <c r="P722"/>
  <c r="R722" s="1"/>
  <c r="AE722"/>
  <c r="P723"/>
  <c r="R723" s="1"/>
  <c r="AE723"/>
  <c r="P724"/>
  <c r="R724" s="1"/>
  <c r="AE724"/>
  <c r="P725"/>
  <c r="R725"/>
  <c r="AE725"/>
  <c r="AE726"/>
  <c r="AE727"/>
  <c r="AE728"/>
  <c r="AE729"/>
  <c r="AE730"/>
  <c r="AE731"/>
  <c r="AE732"/>
  <c r="AE733"/>
  <c r="AE734"/>
  <c r="P735"/>
  <c r="R735"/>
  <c r="AE735"/>
  <c r="AE736"/>
  <c r="P737"/>
  <c r="R737"/>
  <c r="V737"/>
  <c r="AE737"/>
  <c r="P738"/>
  <c r="R738"/>
  <c r="V738"/>
  <c r="AE738"/>
  <c r="P739"/>
  <c r="R739"/>
  <c r="AE739"/>
  <c r="P740"/>
  <c r="R740" s="1"/>
  <c r="AE740"/>
  <c r="AE741"/>
  <c r="AE742"/>
  <c r="I743"/>
  <c r="K743" s="1"/>
  <c r="AE743"/>
  <c r="AE744"/>
  <c r="I745"/>
  <c r="K745" s="1"/>
  <c r="AE745"/>
  <c r="AE746"/>
  <c r="AE747"/>
  <c r="AE748"/>
  <c r="AE749"/>
  <c r="AE750"/>
  <c r="P751"/>
  <c r="R751" s="1"/>
  <c r="AE751"/>
  <c r="AE752"/>
  <c r="P753"/>
  <c r="R753" s="1"/>
  <c r="AE753"/>
  <c r="P754"/>
  <c r="R754" s="1"/>
  <c r="AE754"/>
  <c r="P755"/>
  <c r="R755"/>
  <c r="AE755"/>
  <c r="P756"/>
  <c r="R756" s="1"/>
  <c r="AE756"/>
  <c r="AE757"/>
  <c r="AE758"/>
  <c r="I759"/>
  <c r="K759" s="1"/>
  <c r="I780" s="1"/>
  <c r="K780" s="1"/>
  <c r="AE759"/>
  <c r="I760"/>
  <c r="K760" s="1"/>
  <c r="AE760"/>
  <c r="K761"/>
  <c r="AE761"/>
  <c r="AE762"/>
  <c r="AE763"/>
  <c r="AE764"/>
  <c r="K765"/>
  <c r="AE765"/>
  <c r="K766"/>
  <c r="AE766"/>
  <c r="AE767"/>
  <c r="AE768"/>
  <c r="AE769"/>
  <c r="R770"/>
  <c r="AE770"/>
  <c r="AE771"/>
  <c r="AE772"/>
  <c r="AE773"/>
  <c r="AE774"/>
  <c r="R775"/>
  <c r="AE775"/>
  <c r="AE776"/>
  <c r="AE777"/>
  <c r="AE778"/>
  <c r="AE779"/>
  <c r="AE780"/>
  <c r="AE781"/>
  <c r="AE782"/>
  <c r="I783"/>
  <c r="K783" s="1"/>
  <c r="R783"/>
  <c r="AE783"/>
  <c r="A784"/>
  <c r="AE784"/>
  <c r="AE785"/>
  <c r="AE786"/>
  <c r="I787"/>
  <c r="K787" s="1"/>
  <c r="AE787"/>
  <c r="K788"/>
  <c r="AE788"/>
  <c r="K789"/>
  <c r="AE789"/>
  <c r="AE790"/>
  <c r="AE791"/>
  <c r="P792"/>
  <c r="R792"/>
  <c r="AE792"/>
  <c r="AE793"/>
  <c r="AE794"/>
  <c r="AE795"/>
  <c r="AE796"/>
  <c r="AE797"/>
  <c r="AE798"/>
  <c r="AE799"/>
  <c r="AE800"/>
  <c r="AE801"/>
  <c r="AE802"/>
  <c r="AE803"/>
  <c r="W804"/>
  <c r="AE804"/>
  <c r="AE805"/>
  <c r="AE806"/>
  <c r="AE807"/>
  <c r="AE808"/>
  <c r="AE809"/>
  <c r="AE810"/>
  <c r="AE811"/>
  <c r="I812"/>
  <c r="AE812"/>
  <c r="AE813"/>
  <c r="AE814"/>
  <c r="AE815"/>
  <c r="AE816"/>
  <c r="AE817"/>
  <c r="AE818"/>
  <c r="W819"/>
  <c r="AE819"/>
  <c r="AE820"/>
  <c r="AE821"/>
  <c r="AE822"/>
  <c r="V823"/>
  <c r="AE823"/>
  <c r="V824"/>
  <c r="AE824"/>
  <c r="V825"/>
  <c r="AE825"/>
  <c r="AE826"/>
  <c r="AE827"/>
  <c r="AE837"/>
  <c r="AE838"/>
  <c r="AE839"/>
  <c r="AE840"/>
  <c r="AE841"/>
  <c r="AE842"/>
  <c r="AE843"/>
  <c r="AE844"/>
  <c r="AE845"/>
  <c r="AE846"/>
  <c r="AE847"/>
  <c r="AE848"/>
  <c r="AE849"/>
  <c r="AE850"/>
  <c r="AE851"/>
  <c r="AE852"/>
  <c r="AE853"/>
  <c r="P854"/>
  <c r="R854" s="1"/>
  <c r="AE854"/>
  <c r="P855"/>
  <c r="R855" s="1"/>
  <c r="AE855"/>
  <c r="P856"/>
  <c r="R856"/>
  <c r="AE856"/>
  <c r="P857"/>
  <c r="R857" s="1"/>
  <c r="AE857"/>
  <c r="AE858"/>
  <c r="AE859"/>
  <c r="P860"/>
  <c r="R860" s="1"/>
  <c r="AE860"/>
  <c r="K861"/>
  <c r="V861"/>
  <c r="X861" s="1"/>
  <c r="AE861"/>
  <c r="K862"/>
  <c r="P862"/>
  <c r="V862"/>
  <c r="X862" s="1"/>
  <c r="AE862"/>
  <c r="K863"/>
  <c r="V863"/>
  <c r="X863" s="1"/>
  <c r="AE863"/>
  <c r="K864"/>
  <c r="V864"/>
  <c r="X864" s="1"/>
  <c r="AE864"/>
  <c r="AE865"/>
  <c r="AE866"/>
  <c r="K867"/>
  <c r="V867"/>
  <c r="X867" s="1"/>
  <c r="AE867"/>
  <c r="I868"/>
  <c r="I3929"/>
  <c r="AE868"/>
  <c r="AE869"/>
  <c r="AE870"/>
  <c r="AE871"/>
  <c r="AE872"/>
  <c r="AE873"/>
  <c r="AE874"/>
  <c r="AE875"/>
  <c r="AE876"/>
  <c r="AE877"/>
  <c r="AE878"/>
  <c r="I879"/>
  <c r="AE879"/>
  <c r="I880"/>
  <c r="V880" s="1"/>
  <c r="AE880"/>
  <c r="I881"/>
  <c r="V881" s="1"/>
  <c r="K881"/>
  <c r="AE881"/>
  <c r="I882"/>
  <c r="V882" s="1"/>
  <c r="AE882"/>
  <c r="AE883"/>
  <c r="AE884"/>
  <c r="K885"/>
  <c r="V885"/>
  <c r="X885" s="1"/>
  <c r="AE885"/>
  <c r="I886"/>
  <c r="K886"/>
  <c r="AE886"/>
  <c r="AE887"/>
  <c r="AE888"/>
  <c r="AE889"/>
  <c r="AE890"/>
  <c r="AE891"/>
  <c r="AE892"/>
  <c r="AE893"/>
  <c r="AE894"/>
  <c r="AE895"/>
  <c r="AE896"/>
  <c r="H897"/>
  <c r="I897"/>
  <c r="K897"/>
  <c r="AE897"/>
  <c r="I898"/>
  <c r="K898" s="1"/>
  <c r="AE898"/>
  <c r="AE899"/>
  <c r="AE900"/>
  <c r="H901"/>
  <c r="K901"/>
  <c r="AE901"/>
  <c r="I902"/>
  <c r="K902" s="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I955"/>
  <c r="AE955"/>
  <c r="I956"/>
  <c r="K956" s="1"/>
  <c r="AE956"/>
  <c r="I957"/>
  <c r="K957" s="1"/>
  <c r="P950"/>
  <c r="R950" s="1"/>
  <c r="AE957"/>
  <c r="I958"/>
  <c r="P951" s="1"/>
  <c r="R951" s="1"/>
  <c r="AE958"/>
  <c r="I959"/>
  <c r="AE959"/>
  <c r="I960"/>
  <c r="K960" s="1"/>
  <c r="AE960"/>
  <c r="K961"/>
  <c r="AE961"/>
  <c r="AE962"/>
  <c r="AE963"/>
  <c r="AE964"/>
  <c r="AE965"/>
  <c r="AE966"/>
  <c r="AE967"/>
  <c r="AE968"/>
  <c r="AE969"/>
  <c r="AE970"/>
  <c r="AE971"/>
  <c r="AE972"/>
  <c r="AE973"/>
  <c r="AE974"/>
  <c r="AE975"/>
  <c r="AE976"/>
  <c r="AE977"/>
  <c r="AE978"/>
  <c r="AE979"/>
  <c r="AE980"/>
  <c r="AE981"/>
  <c r="AE982"/>
  <c r="AE983"/>
  <c r="AE984"/>
  <c r="AE985"/>
  <c r="AE986"/>
  <c r="AE987"/>
  <c r="AE988"/>
  <c r="AE989"/>
  <c r="I990"/>
  <c r="P2825" s="1"/>
  <c r="AE990"/>
  <c r="I991"/>
  <c r="P2826" s="1"/>
  <c r="K991"/>
  <c r="AE991"/>
  <c r="I992"/>
  <c r="P2827" s="1"/>
  <c r="AE992"/>
  <c r="I993"/>
  <c r="P2828" s="1"/>
  <c r="K993"/>
  <c r="AE993"/>
  <c r="I994"/>
  <c r="P2829" s="1"/>
  <c r="AE994"/>
  <c r="I995"/>
  <c r="P2830" s="1"/>
  <c r="K995"/>
  <c r="AE995"/>
  <c r="I996"/>
  <c r="P2831" s="1"/>
  <c r="AE996"/>
  <c r="AE997"/>
  <c r="AE998"/>
  <c r="AE999"/>
  <c r="AE1000"/>
  <c r="AE1001"/>
  <c r="AE1002"/>
  <c r="AE1003"/>
  <c r="AE1004"/>
  <c r="AE1006"/>
  <c r="AE1007"/>
  <c r="AE1008"/>
  <c r="AE1009"/>
  <c r="AE1010"/>
  <c r="AE1011"/>
  <c r="AE1012"/>
  <c r="AE1013"/>
  <c r="AE1014"/>
  <c r="AE1015"/>
  <c r="AE1016"/>
  <c r="AE1017"/>
  <c r="AE1018"/>
  <c r="AE1019"/>
  <c r="I1020"/>
  <c r="K1020" s="1"/>
  <c r="AE1020"/>
  <c r="I1021"/>
  <c r="AE1021"/>
  <c r="I1022"/>
  <c r="K1022"/>
  <c r="AE1022"/>
  <c r="I1023"/>
  <c r="K1023" s="1"/>
  <c r="AE1023"/>
  <c r="I1024"/>
  <c r="K1024"/>
  <c r="AE1024"/>
  <c r="I1025"/>
  <c r="K1025" s="1"/>
  <c r="AE1025"/>
  <c r="AE1026"/>
  <c r="AE1027"/>
  <c r="AE1028"/>
  <c r="AE1029"/>
  <c r="AE1030"/>
  <c r="AE1031"/>
  <c r="K1032"/>
  <c r="AE1032"/>
  <c r="AE1033"/>
  <c r="AE1034"/>
  <c r="AE1036"/>
  <c r="AE1037"/>
  <c r="AE1038"/>
  <c r="AE1039"/>
  <c r="AE1040"/>
  <c r="AE1041"/>
  <c r="I1055"/>
  <c r="AE1064" s="1"/>
  <c r="AG1064" s="1"/>
  <c r="I1057"/>
  <c r="P991"/>
  <c r="R991" s="1"/>
  <c r="I1058"/>
  <c r="P992" s="1"/>
  <c r="R992" s="1"/>
  <c r="I1059"/>
  <c r="I1060"/>
  <c r="P994" s="1"/>
  <c r="R994" s="1"/>
  <c r="I1061"/>
  <c r="P995" s="1"/>
  <c r="R995" s="1"/>
  <c r="I1062"/>
  <c r="AE1071" s="1"/>
  <c r="AG1071" s="1"/>
  <c r="K1072"/>
  <c r="I1074"/>
  <c r="K1074" s="1"/>
  <c r="I1075"/>
  <c r="K1075" s="1"/>
  <c r="I1077"/>
  <c r="K1077" s="1"/>
  <c r="H1087"/>
  <c r="H1103" s="1"/>
  <c r="I1087"/>
  <c r="K1087" s="1"/>
  <c r="I1089"/>
  <c r="K1089" s="1"/>
  <c r="I1090"/>
  <c r="K1090" s="1"/>
  <c r="I1092"/>
  <c r="K1092" s="1"/>
  <c r="R1092"/>
  <c r="P1096"/>
  <c r="P1117"/>
  <c r="R1117" s="1"/>
  <c r="P1098"/>
  <c r="I1103"/>
  <c r="K1103" s="1"/>
  <c r="I1105"/>
  <c r="K1105" s="1"/>
  <c r="I1106"/>
  <c r="K1106" s="1"/>
  <c r="I1107"/>
  <c r="K1107" s="1"/>
  <c r="K1130"/>
  <c r="I1132"/>
  <c r="K1132" s="1"/>
  <c r="I1133"/>
  <c r="K1133" s="1"/>
  <c r="K1134"/>
  <c r="K1135"/>
  <c r="Q1142"/>
  <c r="I1145"/>
  <c r="K1145" s="1"/>
  <c r="I1146"/>
  <c r="K1146" s="1"/>
  <c r="P1147"/>
  <c r="R1147" s="1"/>
  <c r="P1149"/>
  <c r="P1150"/>
  <c r="P1151"/>
  <c r="X1153"/>
  <c r="I1159"/>
  <c r="K1159" s="1"/>
  <c r="I1160"/>
  <c r="K1160" s="1"/>
  <c r="K1176"/>
  <c r="Q1176"/>
  <c r="K1177"/>
  <c r="K1178"/>
  <c r="P1178"/>
  <c r="R1178" s="1"/>
  <c r="AD1188"/>
  <c r="AE1188"/>
  <c r="AK1188"/>
  <c r="AE1189"/>
  <c r="AE1190"/>
  <c r="I1191"/>
  <c r="K1191"/>
  <c r="D326" i="69" s="1"/>
  <c r="K326" s="1"/>
  <c r="AE1191" i="1"/>
  <c r="I1193"/>
  <c r="K1193" s="1"/>
  <c r="D357" i="69" s="1"/>
  <c r="K357" s="1"/>
  <c r="AE1202" i="1"/>
  <c r="I1203"/>
  <c r="K1203"/>
  <c r="AE1203"/>
  <c r="AE1209"/>
  <c r="AE1210"/>
  <c r="AE1211"/>
  <c r="AC1212"/>
  <c r="AE1212"/>
  <c r="AD1213"/>
  <c r="AE1213"/>
  <c r="AE1214"/>
  <c r="R1215"/>
  <c r="T1215"/>
  <c r="AB1215"/>
  <c r="AE1215"/>
  <c r="AE1216"/>
  <c r="AE1217"/>
  <c r="AE1218"/>
  <c r="AE1219"/>
  <c r="AE1220"/>
  <c r="AB1221"/>
  <c r="AD1221" s="1"/>
  <c r="AE1221"/>
  <c r="P1222"/>
  <c r="R1222"/>
  <c r="T1222" s="1"/>
  <c r="AE1222"/>
  <c r="AE1223"/>
  <c r="AE1224"/>
  <c r="I1225"/>
  <c r="K1225" s="1"/>
  <c r="AE1225"/>
  <c r="S1226"/>
  <c r="AB1226"/>
  <c r="AE1226"/>
  <c r="AE1227"/>
  <c r="AE1228"/>
  <c r="I1229"/>
  <c r="K1229"/>
  <c r="AE1229"/>
  <c r="AE1230"/>
  <c r="I1231"/>
  <c r="K1231"/>
  <c r="AE1231"/>
  <c r="I1232"/>
  <c r="K1232" s="1"/>
  <c r="AE1232"/>
  <c r="AE1233"/>
  <c r="R1234"/>
  <c r="AE1234"/>
  <c r="I1235"/>
  <c r="K1235" s="1"/>
  <c r="AE1235"/>
  <c r="AE1236"/>
  <c r="X1237"/>
  <c r="AE1237"/>
  <c r="AE1238"/>
  <c r="AE1239"/>
  <c r="AE1240"/>
  <c r="AD1241"/>
  <c r="AE1241"/>
  <c r="AE1242"/>
  <c r="AE1243"/>
  <c r="AE1244"/>
  <c r="AE1245"/>
  <c r="AE1246"/>
  <c r="AE1247"/>
  <c r="I1248"/>
  <c r="K1248"/>
  <c r="G1067" i="56" s="1"/>
  <c r="AE1248" i="1"/>
  <c r="AD1249"/>
  <c r="AE1249"/>
  <c r="AE1250"/>
  <c r="AE1251"/>
  <c r="AE1252"/>
  <c r="AB1253"/>
  <c r="AB1225"/>
  <c r="AE1253"/>
  <c r="I1254"/>
  <c r="K1254" s="1"/>
  <c r="G1073" i="56" s="1"/>
  <c r="AE1254" i="1"/>
  <c r="AE1255"/>
  <c r="K1256"/>
  <c r="G1075" i="56" s="1"/>
  <c r="AE1256" i="1"/>
  <c r="R1257"/>
  <c r="AE1258"/>
  <c r="I1259"/>
  <c r="K1259" s="1"/>
  <c r="G1078" i="56" s="1"/>
  <c r="AE1259" i="1"/>
  <c r="AE1260"/>
  <c r="AE1261"/>
  <c r="AB1262"/>
  <c r="AD1262" s="1"/>
  <c r="AC1262"/>
  <c r="AE1262"/>
  <c r="AB1263"/>
  <c r="AD1263" s="1"/>
  <c r="AC1263"/>
  <c r="AE1263"/>
  <c r="P1264"/>
  <c r="V1244" s="1"/>
  <c r="X1244" s="1"/>
  <c r="AC1264"/>
  <c r="AE1264"/>
  <c r="AC1265"/>
  <c r="AE1265"/>
  <c r="AC1266"/>
  <c r="AE1266"/>
  <c r="AD1267"/>
  <c r="AE1267"/>
  <c r="AE1268"/>
  <c r="I1269"/>
  <c r="K1269" s="1"/>
  <c r="M1269"/>
  <c r="AE1269"/>
  <c r="I1270"/>
  <c r="K1270" s="1"/>
  <c r="AE1270"/>
  <c r="AE1271"/>
  <c r="AE1272"/>
  <c r="AE1273"/>
  <c r="AE1274"/>
  <c r="AE1275"/>
  <c r="AE1276"/>
  <c r="X1277"/>
  <c r="AE1277"/>
  <c r="AE1278"/>
  <c r="V1279"/>
  <c r="AE1279"/>
  <c r="AE1280"/>
  <c r="AE1281"/>
  <c r="AE1282"/>
  <c r="K1283"/>
  <c r="AE1283"/>
  <c r="AE1284"/>
  <c r="V1285"/>
  <c r="X1285" s="1"/>
  <c r="AE1285"/>
  <c r="AE1286"/>
  <c r="AE1287"/>
  <c r="V1288"/>
  <c r="X1288" s="1"/>
  <c r="AE1288"/>
  <c r="AE1289"/>
  <c r="AE1290"/>
  <c r="AE1291"/>
  <c r="AE1292"/>
  <c r="AE1293"/>
  <c r="AE1294"/>
  <c r="AE1295"/>
  <c r="AE1296"/>
  <c r="AE1297"/>
  <c r="X1298"/>
  <c r="AE1298"/>
  <c r="AE1299"/>
  <c r="R1300"/>
  <c r="AE1300"/>
  <c r="AE1301"/>
  <c r="AE1302"/>
  <c r="AE1303"/>
  <c r="X1304"/>
  <c r="AE1304"/>
  <c r="V1305"/>
  <c r="V1325" s="1"/>
  <c r="AE1305"/>
  <c r="AE1306"/>
  <c r="I1307"/>
  <c r="K1307" s="1"/>
  <c r="AE1307"/>
  <c r="AE1308"/>
  <c r="AE1309"/>
  <c r="AE1310"/>
  <c r="AE1311"/>
  <c r="AE1312"/>
  <c r="AE1313"/>
  <c r="AE1314"/>
  <c r="AE1315"/>
  <c r="AE1316"/>
  <c r="AE1317"/>
  <c r="V1318"/>
  <c r="X1318" s="1"/>
  <c r="AE1318"/>
  <c r="R1319"/>
  <c r="AE1319"/>
  <c r="P1320"/>
  <c r="P1301" s="1"/>
  <c r="R1301" s="1"/>
  <c r="AE1320"/>
  <c r="AE1321"/>
  <c r="AE1322"/>
  <c r="AE1323"/>
  <c r="V1324"/>
  <c r="X1324"/>
  <c r="AE1324"/>
  <c r="I1325"/>
  <c r="K1325" s="1"/>
  <c r="AE1325"/>
  <c r="AE1326"/>
  <c r="AE1327"/>
  <c r="AE1328"/>
  <c r="AE1329"/>
  <c r="AE1330"/>
  <c r="X1331"/>
  <c r="AE1331"/>
  <c r="R1332"/>
  <c r="AE1332"/>
  <c r="AE1333"/>
  <c r="V1334"/>
  <c r="X1334" s="1"/>
  <c r="AE1334"/>
  <c r="AE1335"/>
  <c r="AE1336"/>
  <c r="V1337"/>
  <c r="AB1335" s="1"/>
  <c r="AC1335" s="1"/>
  <c r="AE1337"/>
  <c r="X1338"/>
  <c r="AE1338"/>
  <c r="I1339"/>
  <c r="K1339" s="1"/>
  <c r="V1339"/>
  <c r="X1339" s="1"/>
  <c r="AE1339"/>
  <c r="X1340"/>
  <c r="AE1340"/>
  <c r="AE1341"/>
  <c r="X1342"/>
  <c r="AE1342"/>
  <c r="AE1343"/>
  <c r="AE1344"/>
  <c r="AE1345"/>
  <c r="AE1346"/>
  <c r="Y1347"/>
  <c r="AE1347"/>
  <c r="AE1348"/>
  <c r="AE1349"/>
  <c r="AE1350"/>
  <c r="AE1351"/>
  <c r="V1352"/>
  <c r="D23" i="25" s="1"/>
  <c r="AE1352" i="1"/>
  <c r="R1353"/>
  <c r="AE1353"/>
  <c r="AE1354"/>
  <c r="R1355"/>
  <c r="R1357" s="1"/>
  <c r="R1358" s="1"/>
  <c r="AE1355"/>
  <c r="I1356"/>
  <c r="K1356" s="1"/>
  <c r="V1356"/>
  <c r="AB1354" s="1"/>
  <c r="AE1356"/>
  <c r="V1357"/>
  <c r="D24" i="25"/>
  <c r="AE1357" i="1"/>
  <c r="V1358"/>
  <c r="AB1356" s="1"/>
  <c r="AE1358"/>
  <c r="AE1359"/>
  <c r="I1360"/>
  <c r="K1360" s="1"/>
  <c r="V1360"/>
  <c r="AB1358" s="1"/>
  <c r="AE1360"/>
  <c r="V1361"/>
  <c r="X1361" s="1"/>
  <c r="AE1361"/>
  <c r="V1362"/>
  <c r="AB1360"/>
  <c r="AE1362"/>
  <c r="AE1363"/>
  <c r="AE1364"/>
  <c r="AE1365"/>
  <c r="AE1366"/>
  <c r="AE1367"/>
  <c r="AE1368"/>
  <c r="AE1369"/>
  <c r="AE1370"/>
  <c r="AE1371"/>
  <c r="P1372"/>
  <c r="R1372"/>
  <c r="AE1372"/>
  <c r="AE1373"/>
  <c r="AE1374"/>
  <c r="P1375"/>
  <c r="R1375" s="1"/>
  <c r="AE1375"/>
  <c r="AE1376"/>
  <c r="P1377"/>
  <c r="R1377" s="1"/>
  <c r="AE1377"/>
  <c r="I1378"/>
  <c r="K1378" s="1"/>
  <c r="P1378"/>
  <c r="R1378" s="1"/>
  <c r="AE1378"/>
  <c r="AE1379"/>
  <c r="AE1380"/>
  <c r="AE1381"/>
  <c r="I1382"/>
  <c r="K1382" s="1"/>
  <c r="AE1382"/>
  <c r="AE1383"/>
  <c r="AE1384"/>
  <c r="AE1385"/>
  <c r="AE1386"/>
  <c r="AE1387"/>
  <c r="AE1388"/>
  <c r="AE1389"/>
  <c r="AE1390"/>
  <c r="R1391"/>
  <c r="AE1391"/>
  <c r="P1392"/>
  <c r="V1353" s="1"/>
  <c r="AE1392"/>
  <c r="P1393"/>
  <c r="V1354" s="1"/>
  <c r="AE1393"/>
  <c r="P1394"/>
  <c r="R1394" s="1"/>
  <c r="V1355"/>
  <c r="AE1394"/>
  <c r="I1395"/>
  <c r="K1395"/>
  <c r="R1395"/>
  <c r="AE1395"/>
  <c r="R1396"/>
  <c r="AE1396"/>
  <c r="R1397"/>
  <c r="AE1397"/>
  <c r="AE1398"/>
  <c r="R1399"/>
  <c r="AE1399"/>
  <c r="R1400"/>
  <c r="AE1400"/>
  <c r="R1401"/>
  <c r="AE1401"/>
  <c r="S1402"/>
  <c r="AE1402"/>
  <c r="S1403"/>
  <c r="AE1403"/>
  <c r="L1404"/>
  <c r="S1404"/>
  <c r="AE1404"/>
  <c r="S1405"/>
  <c r="AE1405"/>
  <c r="S1406"/>
  <c r="AE1406"/>
  <c r="AE1407"/>
  <c r="I1408"/>
  <c r="K1408" s="1"/>
  <c r="P1408"/>
  <c r="R1408" s="1"/>
  <c r="AE1408"/>
  <c r="P1409"/>
  <c r="V1370"/>
  <c r="AE1409"/>
  <c r="AE1410"/>
  <c r="AE1411"/>
  <c r="P1412"/>
  <c r="R1412" s="1"/>
  <c r="AE1412"/>
  <c r="P1413"/>
  <c r="P1430" s="1"/>
  <c r="R1430" s="1"/>
  <c r="AE1413"/>
  <c r="P1414"/>
  <c r="P1431" s="1"/>
  <c r="AE1414"/>
  <c r="AE1415"/>
  <c r="P1416"/>
  <c r="R1416" s="1"/>
  <c r="AE1416"/>
  <c r="P1417"/>
  <c r="R1417"/>
  <c r="Y1417"/>
  <c r="AE1417"/>
  <c r="P1418"/>
  <c r="P1435"/>
  <c r="AE1418"/>
  <c r="L1419"/>
  <c r="Y1419"/>
  <c r="AE1419"/>
  <c r="AE1420"/>
  <c r="I1421"/>
  <c r="K1421" s="1"/>
  <c r="AE1421"/>
  <c r="AE1422"/>
  <c r="AE1423"/>
  <c r="AE1424"/>
  <c r="P1425"/>
  <c r="R1425" s="1"/>
  <c r="AE1425"/>
  <c r="P1426"/>
  <c r="R1426"/>
  <c r="AE1426"/>
  <c r="X1427"/>
  <c r="AE1427"/>
  <c r="X1428"/>
  <c r="AE1428"/>
  <c r="P1429"/>
  <c r="V1423" s="1"/>
  <c r="X1423" s="1"/>
  <c r="X1429"/>
  <c r="AE1429"/>
  <c r="S1430"/>
  <c r="AE1430"/>
  <c r="AE1431"/>
  <c r="AE1432"/>
  <c r="U1433"/>
  <c r="AE1433"/>
  <c r="P1434"/>
  <c r="R1434"/>
  <c r="AE1434"/>
  <c r="AE1435"/>
  <c r="I1436"/>
  <c r="K1436"/>
  <c r="AE1436"/>
  <c r="I1437"/>
  <c r="K1437" s="1"/>
  <c r="AE1437"/>
  <c r="AE1438"/>
  <c r="AE1439"/>
  <c r="AE1440"/>
  <c r="P1441"/>
  <c r="P1458" s="1"/>
  <c r="AE1441"/>
  <c r="P1442"/>
  <c r="R1442"/>
  <c r="AE1442"/>
  <c r="AE1443"/>
  <c r="AE1444"/>
  <c r="AE1445"/>
  <c r="AE1446"/>
  <c r="AE1447"/>
  <c r="AE1448"/>
  <c r="AE1449"/>
  <c r="P1450"/>
  <c r="R1450" s="1"/>
  <c r="AE1450"/>
  <c r="AE1451"/>
  <c r="M1452"/>
  <c r="AE1452"/>
  <c r="AE1453"/>
  <c r="S1454"/>
  <c r="AE1454"/>
  <c r="AE1455"/>
  <c r="AE1456"/>
  <c r="AE1457"/>
  <c r="AE1458"/>
  <c r="AE1459"/>
  <c r="AE1460"/>
  <c r="AE1461"/>
  <c r="AE1462"/>
  <c r="AE1463"/>
  <c r="AE1464"/>
  <c r="AE1465"/>
  <c r="AE1466"/>
  <c r="AE1467"/>
  <c r="AE1468"/>
  <c r="AE1469"/>
  <c r="AE1470"/>
  <c r="AE1471"/>
  <c r="AE1472"/>
  <c r="AE1473"/>
  <c r="AE1474"/>
  <c r="AE1475"/>
  <c r="AE1476"/>
  <c r="AE1477"/>
  <c r="AE1478"/>
  <c r="AE1479"/>
  <c r="AE1480"/>
  <c r="AE1481"/>
  <c r="S1482"/>
  <c r="T1482" s="1"/>
  <c r="U1482"/>
  <c r="AE1482"/>
  <c r="AE1483"/>
  <c r="AE1484"/>
  <c r="AE1485"/>
  <c r="AE1486"/>
  <c r="AE1487"/>
  <c r="AE1488"/>
  <c r="AE1489"/>
  <c r="AE1490"/>
  <c r="AE1491"/>
  <c r="AE1492"/>
  <c r="I1493"/>
  <c r="K1493" s="1"/>
  <c r="AE1493"/>
  <c r="O1494"/>
  <c r="AE1494"/>
  <c r="O1495"/>
  <c r="AE1495"/>
  <c r="O1496"/>
  <c r="AE1496"/>
  <c r="AE1497"/>
  <c r="AE1498"/>
  <c r="AE1499"/>
  <c r="M1500"/>
  <c r="AE1500"/>
  <c r="AE1501"/>
  <c r="AE1502"/>
  <c r="AE1503"/>
  <c r="AE1504"/>
  <c r="I1505"/>
  <c r="K1505" s="1"/>
  <c r="AE1505"/>
  <c r="AE1506"/>
  <c r="AE1507"/>
  <c r="I1508"/>
  <c r="K1508" s="1"/>
  <c r="AE1508"/>
  <c r="AE1509"/>
  <c r="AE1510"/>
  <c r="AE1511"/>
  <c r="AE1512"/>
  <c r="AE1513"/>
  <c r="AE1514"/>
  <c r="AE1515"/>
  <c r="AE1516"/>
  <c r="I1517"/>
  <c r="K1517"/>
  <c r="AE1517"/>
  <c r="AE1518"/>
  <c r="AE1519"/>
  <c r="I1520"/>
  <c r="K1520" s="1"/>
  <c r="AE1520"/>
  <c r="R1521"/>
  <c r="AE1521"/>
  <c r="AE1522"/>
  <c r="AE1523"/>
  <c r="P1524"/>
  <c r="R1524" s="1"/>
  <c r="AE1524"/>
  <c r="AE1525"/>
  <c r="AE1526"/>
  <c r="AE1527"/>
  <c r="AE1528"/>
  <c r="AE1529"/>
  <c r="AE1530"/>
  <c r="AE1531"/>
  <c r="I1532"/>
  <c r="K1532" s="1"/>
  <c r="AE1532"/>
  <c r="AE1533"/>
  <c r="I1534"/>
  <c r="K1534" s="1"/>
  <c r="AE1534"/>
  <c r="AE1535"/>
  <c r="AE1536"/>
  <c r="AE1537"/>
  <c r="AE1538"/>
  <c r="AE1539"/>
  <c r="AE1540"/>
  <c r="AE1541"/>
  <c r="AE1542"/>
  <c r="AE1543"/>
  <c r="AE1544"/>
  <c r="AE1545"/>
  <c r="AE1546"/>
  <c r="I1547"/>
  <c r="K1547" s="1"/>
  <c r="AE1547"/>
  <c r="P1548"/>
  <c r="R1548" s="1"/>
  <c r="AE1548"/>
  <c r="AE1549"/>
  <c r="AE1550"/>
  <c r="AE1551"/>
  <c r="AE1552"/>
  <c r="AE1553"/>
  <c r="AE1554"/>
  <c r="AE1555"/>
  <c r="AE1556"/>
  <c r="AE1557"/>
  <c r="AE1558"/>
  <c r="I1559"/>
  <c r="K1559" s="1"/>
  <c r="AE1559"/>
  <c r="AE1560"/>
  <c r="AE1561"/>
  <c r="K1562"/>
  <c r="AE1562"/>
  <c r="I1563"/>
  <c r="K1563" s="1"/>
  <c r="AE1563"/>
  <c r="AE1564"/>
  <c r="AE1565"/>
  <c r="AE1566"/>
  <c r="AE1567"/>
  <c r="AE1568"/>
  <c r="AE1569"/>
  <c r="AE1570"/>
  <c r="AE1571"/>
  <c r="AE1572"/>
  <c r="AE1573"/>
  <c r="AE1574"/>
  <c r="AE1575"/>
  <c r="AE1576"/>
  <c r="AE1577"/>
  <c r="K1578"/>
  <c r="AE1578"/>
  <c r="AE1579"/>
  <c r="AE1580"/>
  <c r="AE1581"/>
  <c r="AE1582"/>
  <c r="AE1583"/>
  <c r="AE1584"/>
  <c r="AE1585"/>
  <c r="AE1586"/>
  <c r="AE1587"/>
  <c r="AE1588"/>
  <c r="AE1589"/>
  <c r="AE1590"/>
  <c r="K1591"/>
  <c r="AE1591"/>
  <c r="AE1592"/>
  <c r="AE1593"/>
  <c r="AE1594"/>
  <c r="AE1595"/>
  <c r="AE1596"/>
  <c r="AE1597"/>
  <c r="AE1598"/>
  <c r="AE1599"/>
  <c r="AE1600"/>
  <c r="AE1601"/>
  <c r="AE1602"/>
  <c r="P1603"/>
  <c r="R1603" s="1"/>
  <c r="AE1603"/>
  <c r="AE1604"/>
  <c r="AE1605"/>
  <c r="AE1606"/>
  <c r="AE1607"/>
  <c r="AE1608"/>
  <c r="AE1609"/>
  <c r="AE1610"/>
  <c r="AE1611"/>
  <c r="AE1612"/>
  <c r="AE1613"/>
  <c r="AE1614"/>
  <c r="O1615"/>
  <c r="AE1615"/>
  <c r="AE1616"/>
  <c r="AE1617"/>
  <c r="AE1618"/>
  <c r="AE1619"/>
  <c r="AE1620"/>
  <c r="AE1621"/>
  <c r="AE1622"/>
  <c r="AE1623"/>
  <c r="AE1624"/>
  <c r="AE1625"/>
  <c r="I1626"/>
  <c r="P1628" s="1"/>
  <c r="R1628" s="1"/>
  <c r="AE1626"/>
  <c r="I1627"/>
  <c r="K1627" s="1"/>
  <c r="AE1627"/>
  <c r="I1628"/>
  <c r="K1628"/>
  <c r="Q1628"/>
  <c r="AE1628"/>
  <c r="I1629"/>
  <c r="K1629" s="1"/>
  <c r="Q1629"/>
  <c r="R1629"/>
  <c r="AE1629"/>
  <c r="I1630"/>
  <c r="Q1630"/>
  <c r="AE1630"/>
  <c r="Q1631"/>
  <c r="R1631"/>
  <c r="AE1631"/>
  <c r="Q1632"/>
  <c r="AE1632"/>
  <c r="AE1633"/>
  <c r="P1634"/>
  <c r="AE1634"/>
  <c r="R1635"/>
  <c r="AE1635"/>
  <c r="AE1636"/>
  <c r="AE1637"/>
  <c r="AE1638"/>
  <c r="AE1639"/>
  <c r="S1640"/>
  <c r="AE1640"/>
  <c r="AE1641"/>
  <c r="AE1642"/>
  <c r="AE1643"/>
  <c r="AE1644"/>
  <c r="AE1645"/>
  <c r="AE1646"/>
  <c r="AE1647"/>
  <c r="I1648"/>
  <c r="K1648"/>
  <c r="AE1648"/>
  <c r="AE1649"/>
  <c r="AE1650"/>
  <c r="AE1651"/>
  <c r="AE1652"/>
  <c r="AE1653"/>
  <c r="AE1654"/>
  <c r="AE1655"/>
  <c r="AE1656"/>
  <c r="AE1657"/>
  <c r="AE1658"/>
  <c r="AE1659"/>
  <c r="AE1660"/>
  <c r="AE1661"/>
  <c r="AE1662"/>
  <c r="AE1663"/>
  <c r="AE1664"/>
  <c r="AE1665"/>
  <c r="K1666"/>
  <c r="K1670" s="1"/>
  <c r="D369" i="69" s="1"/>
  <c r="O369" s="1"/>
  <c r="AE1666" i="1"/>
  <c r="K1667"/>
  <c r="AE1667"/>
  <c r="AE1668"/>
  <c r="AE1669"/>
  <c r="AE1670"/>
  <c r="AE1671"/>
  <c r="AE1672"/>
  <c r="AE1673"/>
  <c r="AE1674"/>
  <c r="AE1675"/>
  <c r="AE1676"/>
  <c r="AE1677"/>
  <c r="K1678"/>
  <c r="AE1678"/>
  <c r="AE1679"/>
  <c r="K1680"/>
  <c r="K1682" s="1"/>
  <c r="D370" i="69" s="1"/>
  <c r="AE1680" i="1"/>
  <c r="AE1681"/>
  <c r="AE1682"/>
  <c r="AE1683"/>
  <c r="AE1684"/>
  <c r="AE1685"/>
  <c r="AE1686"/>
  <c r="K1687"/>
  <c r="AE1687"/>
  <c r="AE1688"/>
  <c r="AE1689"/>
  <c r="K1690"/>
  <c r="D371" i="69" s="1"/>
  <c r="O371" s="1"/>
  <c r="AE1690" i="1"/>
  <c r="AE1691"/>
  <c r="AE1692"/>
  <c r="AE1693"/>
  <c r="K1694"/>
  <c r="K1695" s="1"/>
  <c r="K1697" s="1"/>
  <c r="D372" i="69" s="1"/>
  <c r="AE1694" i="1"/>
  <c r="AE1695"/>
  <c r="I1709"/>
  <c r="K1709" s="1"/>
  <c r="K1721"/>
  <c r="K1722"/>
  <c r="K1723"/>
  <c r="K1751"/>
  <c r="K1754"/>
  <c r="K1755"/>
  <c r="K1756"/>
  <c r="K1768"/>
  <c r="I1769"/>
  <c r="K1769" s="1"/>
  <c r="I1770"/>
  <c r="K1770" s="1"/>
  <c r="I1782"/>
  <c r="K1782" s="1"/>
  <c r="I1783"/>
  <c r="K1783" s="1"/>
  <c r="I1784"/>
  <c r="K1784" s="1"/>
  <c r="K1786"/>
  <c r="K1793"/>
  <c r="K1796"/>
  <c r="D378" i="67" s="1"/>
  <c r="K1797" i="1"/>
  <c r="D891" i="69" s="1"/>
  <c r="K891" s="1"/>
  <c r="L1797" i="1"/>
  <c r="M1797"/>
  <c r="I1804"/>
  <c r="K1804" s="1"/>
  <c r="I1806"/>
  <c r="K1806" s="1"/>
  <c r="I1807"/>
  <c r="K1807" s="1"/>
  <c r="I1811"/>
  <c r="K1811" s="1"/>
  <c r="K1812"/>
  <c r="I1822"/>
  <c r="K1822" s="1"/>
  <c r="I1824"/>
  <c r="K1824" s="1"/>
  <c r="I1825"/>
  <c r="K1825" s="1"/>
  <c r="I1829"/>
  <c r="K1829" s="1"/>
  <c r="K1830"/>
  <c r="I1840"/>
  <c r="P1856" s="1"/>
  <c r="R1856" s="1"/>
  <c r="I1842"/>
  <c r="K1842" s="1"/>
  <c r="I1843"/>
  <c r="K1843" s="1"/>
  <c r="I1847"/>
  <c r="K1848"/>
  <c r="P1857"/>
  <c r="P1888" s="1"/>
  <c r="P1858"/>
  <c r="R1858"/>
  <c r="P1859"/>
  <c r="R1859"/>
  <c r="P1864"/>
  <c r="P1895"/>
  <c r="P1865"/>
  <c r="P1896"/>
  <c r="P1866"/>
  <c r="I1870"/>
  <c r="K1870" s="1"/>
  <c r="R1877"/>
  <c r="I1878"/>
  <c r="K1878"/>
  <c r="P1878"/>
  <c r="R1878"/>
  <c r="I1879"/>
  <c r="K1879"/>
  <c r="K1886"/>
  <c r="I1887"/>
  <c r="K1887" s="1"/>
  <c r="R1887"/>
  <c r="P1889"/>
  <c r="R1889" s="1"/>
  <c r="P1890"/>
  <c r="R1890" s="1"/>
  <c r="I1895"/>
  <c r="I1896" s="1"/>
  <c r="K1896" s="1"/>
  <c r="P1897"/>
  <c r="I1907"/>
  <c r="K1907" s="1"/>
  <c r="I1908"/>
  <c r="K1908" s="1"/>
  <c r="R1908"/>
  <c r="I1909"/>
  <c r="K1909" s="1"/>
  <c r="P1909"/>
  <c r="R1909" s="1"/>
  <c r="I1913"/>
  <c r="K1913" s="1"/>
  <c r="I1922"/>
  <c r="K1922" s="1"/>
  <c r="K1925"/>
  <c r="K1936"/>
  <c r="K1939"/>
  <c r="K1941"/>
  <c r="N1943"/>
  <c r="N1945" s="1"/>
  <c r="N1944"/>
  <c r="I1968"/>
  <c r="I1973"/>
  <c r="P1975"/>
  <c r="I1986"/>
  <c r="P1986" s="1"/>
  <c r="R1986" s="1"/>
  <c r="P1988"/>
  <c r="P1990"/>
  <c r="P1996"/>
  <c r="I2005"/>
  <c r="I2009"/>
  <c r="K2009" s="1"/>
  <c r="P2014"/>
  <c r="I2024"/>
  <c r="K2024"/>
  <c r="I2028"/>
  <c r="K2028"/>
  <c r="P2032"/>
  <c r="P2047"/>
  <c r="I2049"/>
  <c r="K2049"/>
  <c r="P2049"/>
  <c r="P2051"/>
  <c r="M2074" s="1"/>
  <c r="K2050"/>
  <c r="P2050"/>
  <c r="I2051"/>
  <c r="K2051" s="1"/>
  <c r="I2052"/>
  <c r="K2052" s="1"/>
  <c r="I2054"/>
  <c r="K2054" s="1"/>
  <c r="P2054"/>
  <c r="P2055"/>
  <c r="P2056"/>
  <c r="P2058"/>
  <c r="P2059"/>
  <c r="P2063"/>
  <c r="P2064"/>
  <c r="P2067"/>
  <c r="P2069"/>
  <c r="M2079" s="1"/>
  <c r="P2070"/>
  <c r="P2071"/>
  <c r="M2081" s="1"/>
  <c r="P2072"/>
  <c r="M2082" s="1"/>
  <c r="I2073"/>
  <c r="K2073" s="1"/>
  <c r="I2074"/>
  <c r="K2074" s="1"/>
  <c r="I2075"/>
  <c r="K2075" s="1"/>
  <c r="I2076"/>
  <c r="K2076" s="1"/>
  <c r="I2078"/>
  <c r="K2078" s="1"/>
  <c r="M2078"/>
  <c r="P2079"/>
  <c r="M2080"/>
  <c r="I2093"/>
  <c r="K2093" s="1"/>
  <c r="I2094"/>
  <c r="K2094" s="1"/>
  <c r="K2095"/>
  <c r="K2096"/>
  <c r="I2104"/>
  <c r="K2104" s="1"/>
  <c r="P2106"/>
  <c r="R2106" s="1"/>
  <c r="P2107"/>
  <c r="R2107" s="1"/>
  <c r="I2108"/>
  <c r="K2108" s="1"/>
  <c r="I2116"/>
  <c r="K2116" s="1"/>
  <c r="K2119" s="1"/>
  <c r="I2124"/>
  <c r="K2124"/>
  <c r="I2129"/>
  <c r="K2129"/>
  <c r="I2133"/>
  <c r="K2133"/>
  <c r="I2144"/>
  <c r="K2144"/>
  <c r="I2149"/>
  <c r="P2156"/>
  <c r="R2156" s="1"/>
  <c r="K2149"/>
  <c r="R2151"/>
  <c r="I2153"/>
  <c r="K2153" s="1"/>
  <c r="I2163"/>
  <c r="K2163" s="1"/>
  <c r="H2174"/>
  <c r="I2176"/>
  <c r="K2176"/>
  <c r="I2189"/>
  <c r="K2189" s="1"/>
  <c r="K2193" s="1"/>
  <c r="J2197"/>
  <c r="K2197" s="1"/>
  <c r="K2200" s="1"/>
  <c r="I2202"/>
  <c r="K2202"/>
  <c r="K2206" s="1"/>
  <c r="I2212"/>
  <c r="K2212" s="1"/>
  <c r="K2216" s="1"/>
  <c r="I2221"/>
  <c r="K2221" s="1"/>
  <c r="K2225" s="1"/>
  <c r="I2244"/>
  <c r="K2244" s="1"/>
  <c r="I2245"/>
  <c r="K2245" s="1"/>
  <c r="I2246"/>
  <c r="K2246" s="1"/>
  <c r="I2247"/>
  <c r="K2247" s="1"/>
  <c r="K2248"/>
  <c r="M2255"/>
  <c r="L2259"/>
  <c r="L2260"/>
  <c r="L2270"/>
  <c r="K2295"/>
  <c r="R2295"/>
  <c r="I2297"/>
  <c r="K2297" s="1"/>
  <c r="I2298"/>
  <c r="K2298" s="1"/>
  <c r="H2299"/>
  <c r="O2299" s="1"/>
  <c r="I2299"/>
  <c r="K2299" s="1"/>
  <c r="L2307"/>
  <c r="L2308" s="1"/>
  <c r="I2309"/>
  <c r="K2309" s="1"/>
  <c r="K2310"/>
  <c r="K2311"/>
  <c r="K2312"/>
  <c r="E2313"/>
  <c r="K2327"/>
  <c r="I2334"/>
  <c r="K2334" s="1"/>
  <c r="R2334"/>
  <c r="P2335"/>
  <c r="R2335"/>
  <c r="R2345"/>
  <c r="D2347"/>
  <c r="I2347"/>
  <c r="K2347"/>
  <c r="P2359"/>
  <c r="R2359" s="1"/>
  <c r="P2360"/>
  <c r="R2360"/>
  <c r="K2364"/>
  <c r="K2365"/>
  <c r="K2366"/>
  <c r="P2371"/>
  <c r="R2371" s="1"/>
  <c r="P2372"/>
  <c r="R2372" s="1"/>
  <c r="I2385"/>
  <c r="K2385" s="1"/>
  <c r="K2387"/>
  <c r="K2388"/>
  <c r="R2391"/>
  <c r="E2392"/>
  <c r="R2392"/>
  <c r="E2393"/>
  <c r="R2393"/>
  <c r="R2394"/>
  <c r="R2395"/>
  <c r="R2396"/>
  <c r="K2397"/>
  <c r="R2397"/>
  <c r="R2398"/>
  <c r="R2399"/>
  <c r="R2400"/>
  <c r="R2401"/>
  <c r="R2402"/>
  <c r="R2403"/>
  <c r="R2404"/>
  <c r="R2405"/>
  <c r="R2406"/>
  <c r="R2407"/>
  <c r="I2408"/>
  <c r="K2408" s="1"/>
  <c r="R2408"/>
  <c r="P2409"/>
  <c r="R2409"/>
  <c r="P2410"/>
  <c r="R2410" s="1"/>
  <c r="P2411"/>
  <c r="R2411"/>
  <c r="K2422"/>
  <c r="I2426"/>
  <c r="K2426" s="1"/>
  <c r="I2427"/>
  <c r="K2427" s="1"/>
  <c r="I2429"/>
  <c r="K2429" s="1"/>
  <c r="R2429"/>
  <c r="R2437"/>
  <c r="I2442"/>
  <c r="K2442" s="1"/>
  <c r="I2462"/>
  <c r="I2466"/>
  <c r="K2466" s="1"/>
  <c r="I2467"/>
  <c r="I2486"/>
  <c r="K2486" s="1"/>
  <c r="I2468"/>
  <c r="K2468" s="1"/>
  <c r="I2469"/>
  <c r="K2469" s="1"/>
  <c r="H2472"/>
  <c r="I2479"/>
  <c r="I2481" s="1"/>
  <c r="F2485" s="1"/>
  <c r="I2485"/>
  <c r="H2487"/>
  <c r="I2503"/>
  <c r="P2504"/>
  <c r="P2505"/>
  <c r="P2506"/>
  <c r="P2507"/>
  <c r="I2509"/>
  <c r="K2509" s="1"/>
  <c r="K2510"/>
  <c r="R2510"/>
  <c r="K2514"/>
  <c r="P2517"/>
  <c r="R2517"/>
  <c r="N2522"/>
  <c r="I2534"/>
  <c r="K2540"/>
  <c r="K2543"/>
  <c r="I2569"/>
  <c r="P2569"/>
  <c r="H2574"/>
  <c r="K2575"/>
  <c r="P2576"/>
  <c r="R2576" s="1"/>
  <c r="O2580"/>
  <c r="V2589"/>
  <c r="S2604" s="1"/>
  <c r="V2591"/>
  <c r="V2593" s="1"/>
  <c r="S2602" s="1"/>
  <c r="V2592"/>
  <c r="V2596"/>
  <c r="V2598" s="1"/>
  <c r="S2603" s="1"/>
  <c r="X2603" s="1"/>
  <c r="V2597"/>
  <c r="S2601"/>
  <c r="Z2601"/>
  <c r="V2603"/>
  <c r="AE2617" s="1"/>
  <c r="AE2603"/>
  <c r="AB2618" s="1"/>
  <c r="I2604"/>
  <c r="AE2605"/>
  <c r="AE2606"/>
  <c r="AE2607" s="1"/>
  <c r="AB2616" s="1"/>
  <c r="Z2607"/>
  <c r="I2609"/>
  <c r="K2609" s="1"/>
  <c r="X2609"/>
  <c r="K2610"/>
  <c r="AE2610"/>
  <c r="AE2611"/>
  <c r="AB2615"/>
  <c r="AE2623"/>
  <c r="AG2623" s="1"/>
  <c r="I2625"/>
  <c r="I2629"/>
  <c r="I2630" s="1"/>
  <c r="K2629"/>
  <c r="P2632"/>
  <c r="M2641" s="1"/>
  <c r="K2635"/>
  <c r="I2637"/>
  <c r="P2644" s="1"/>
  <c r="R2644" s="1"/>
  <c r="P2637"/>
  <c r="M2642" s="1"/>
  <c r="R2642" s="1"/>
  <c r="AE2637"/>
  <c r="AB2652" s="1"/>
  <c r="I2638"/>
  <c r="P2645" s="1"/>
  <c r="E209" i="25" s="1"/>
  <c r="G209" s="1"/>
  <c r="I2639" i="1"/>
  <c r="K2639" s="1"/>
  <c r="AE2639"/>
  <c r="I2640"/>
  <c r="K2640" s="1"/>
  <c r="M2640"/>
  <c r="AE2640"/>
  <c r="I2641"/>
  <c r="K2641"/>
  <c r="I2642"/>
  <c r="V2610" s="1"/>
  <c r="K2642"/>
  <c r="P2642"/>
  <c r="AE2644"/>
  <c r="AE2645"/>
  <c r="P2649"/>
  <c r="R2649" s="1"/>
  <c r="AB2649"/>
  <c r="AG2653"/>
  <c r="AG2654"/>
  <c r="AG2655"/>
  <c r="AG2656"/>
  <c r="AG2657"/>
  <c r="AE2659"/>
  <c r="AG2659" s="1"/>
  <c r="K2665"/>
  <c r="I2667"/>
  <c r="K2667"/>
  <c r="I2668"/>
  <c r="K2668" s="1"/>
  <c r="P2675"/>
  <c r="I2669"/>
  <c r="K2669" s="1"/>
  <c r="I2670"/>
  <c r="K2670" s="1"/>
  <c r="P2676"/>
  <c r="I2680"/>
  <c r="K2680"/>
  <c r="I2681"/>
  <c r="I2682"/>
  <c r="K2682" s="1"/>
  <c r="K2685"/>
  <c r="I2687"/>
  <c r="K2687"/>
  <c r="L2688"/>
  <c r="I2699"/>
  <c r="K2699" s="1"/>
  <c r="I2711"/>
  <c r="K2711" s="1"/>
  <c r="I2714"/>
  <c r="K2714" s="1"/>
  <c r="I2717"/>
  <c r="K2717" s="1"/>
  <c r="I2733"/>
  <c r="K2733" s="1"/>
  <c r="I2735"/>
  <c r="K2735"/>
  <c r="I2736"/>
  <c r="K2736" s="1"/>
  <c r="I2740"/>
  <c r="K2740"/>
  <c r="E2755"/>
  <c r="E2756" s="1"/>
  <c r="E2757"/>
  <c r="E2759"/>
  <c r="I2763"/>
  <c r="K2763" s="1"/>
  <c r="K2773"/>
  <c r="K2774"/>
  <c r="Y2777"/>
  <c r="L2778"/>
  <c r="F2815" s="1"/>
  <c r="S2783" s="1"/>
  <c r="S2781"/>
  <c r="V2783"/>
  <c r="V2784"/>
  <c r="X2784" s="1"/>
  <c r="S2785"/>
  <c r="S2786"/>
  <c r="V2786"/>
  <c r="X2786" s="1"/>
  <c r="S2787"/>
  <c r="V2787"/>
  <c r="X2787"/>
  <c r="S2788"/>
  <c r="X2788" s="1"/>
  <c r="V2788"/>
  <c r="AE2788"/>
  <c r="AG2788" s="1"/>
  <c r="S2789"/>
  <c r="X2789" s="1"/>
  <c r="V2789"/>
  <c r="I2790"/>
  <c r="K2790"/>
  <c r="L2756" s="1"/>
  <c r="S2790"/>
  <c r="X2790" s="1"/>
  <c r="V2790"/>
  <c r="AE2790"/>
  <c r="AG2790"/>
  <c r="S2791"/>
  <c r="V2791"/>
  <c r="AE2791"/>
  <c r="AG2791" s="1"/>
  <c r="K2792"/>
  <c r="S2792"/>
  <c r="AE2792"/>
  <c r="AG2792" s="1"/>
  <c r="AE2793"/>
  <c r="AG2793" s="1"/>
  <c r="AE2794"/>
  <c r="AG2794" s="1"/>
  <c r="AE2795"/>
  <c r="AG2795" s="1"/>
  <c r="F2814"/>
  <c r="S2782" s="1"/>
  <c r="K2818"/>
  <c r="K2819"/>
  <c r="K2820"/>
  <c r="K2821"/>
  <c r="M2821"/>
  <c r="K2822"/>
  <c r="M2822"/>
  <c r="K2823"/>
  <c r="R2825"/>
  <c r="R2826"/>
  <c r="R2827"/>
  <c r="R2828"/>
  <c r="R2829"/>
  <c r="R2830"/>
  <c r="J2831"/>
  <c r="K2834"/>
  <c r="I2836"/>
  <c r="K2836" s="1"/>
  <c r="I2837"/>
  <c r="K2837" s="1"/>
  <c r="I2838"/>
  <c r="K2838" s="1"/>
  <c r="I2839"/>
  <c r="K2839" s="1"/>
  <c r="I2840"/>
  <c r="K2840" s="1"/>
  <c r="I2841"/>
  <c r="K2841" s="1"/>
  <c r="I2854"/>
  <c r="M2854"/>
  <c r="M2855"/>
  <c r="K2866"/>
  <c r="I2868"/>
  <c r="K2868" s="1"/>
  <c r="I2869"/>
  <c r="K2869" s="1"/>
  <c r="I2870"/>
  <c r="K2870" s="1"/>
  <c r="I2871"/>
  <c r="K2871" s="1"/>
  <c r="K2883"/>
  <c r="I2884"/>
  <c r="K2884" s="1"/>
  <c r="P2923"/>
  <c r="P2924"/>
  <c r="P2925"/>
  <c r="I2963"/>
  <c r="I2964"/>
  <c r="I2967"/>
  <c r="I2970"/>
  <c r="P2977" s="1"/>
  <c r="R2977" s="1"/>
  <c r="I2993"/>
  <c r="K2993"/>
  <c r="K2995"/>
  <c r="K3009"/>
  <c r="K3012"/>
  <c r="K3014"/>
  <c r="D740" i="69" s="1"/>
  <c r="I740" s="1"/>
  <c r="K3017" i="1"/>
  <c r="K3041" s="1"/>
  <c r="I3055"/>
  <c r="P3062"/>
  <c r="R3062" s="1"/>
  <c r="F3056"/>
  <c r="K3055" s="1"/>
  <c r="F3075"/>
  <c r="K3082"/>
  <c r="V3101"/>
  <c r="V3102"/>
  <c r="I3103"/>
  <c r="V3104"/>
  <c r="K3105"/>
  <c r="I3106"/>
  <c r="P2080" s="1"/>
  <c r="R2080" s="1"/>
  <c r="AF3106"/>
  <c r="AH3106" s="1"/>
  <c r="V3107"/>
  <c r="AH3107"/>
  <c r="AQ3107"/>
  <c r="AS3107" s="1"/>
  <c r="V3108"/>
  <c r="AQ3108"/>
  <c r="AS3108" s="1"/>
  <c r="AU3108"/>
  <c r="I3110"/>
  <c r="K3110" s="1"/>
  <c r="V3115"/>
  <c r="X3115"/>
  <c r="X3117"/>
  <c r="V3118"/>
  <c r="X3118" s="1"/>
  <c r="K3119"/>
  <c r="R3119"/>
  <c r="X3119"/>
  <c r="K3120"/>
  <c r="R3120"/>
  <c r="V3122"/>
  <c r="X3122" s="1"/>
  <c r="V3134"/>
  <c r="X3134"/>
  <c r="V3136"/>
  <c r="X3136" s="1"/>
  <c r="P3140"/>
  <c r="M3156"/>
  <c r="P3141"/>
  <c r="M3153" s="1"/>
  <c r="P3143"/>
  <c r="P3146"/>
  <c r="P3147"/>
  <c r="P3148" s="1"/>
  <c r="M3155" s="1"/>
  <c r="F3148"/>
  <c r="I3148"/>
  <c r="U3148"/>
  <c r="U3150"/>
  <c r="U3149"/>
  <c r="I3150"/>
  <c r="K3150" s="1"/>
  <c r="I3151"/>
  <c r="K3151" s="1"/>
  <c r="U3151"/>
  <c r="I3152"/>
  <c r="K3152" s="1"/>
  <c r="U3152"/>
  <c r="I3153"/>
  <c r="K3153" s="1"/>
  <c r="U3153"/>
  <c r="I3154"/>
  <c r="K3154" s="1"/>
  <c r="M3154"/>
  <c r="I3155"/>
  <c r="K3155" s="1"/>
  <c r="K3156"/>
  <c r="P3157"/>
  <c r="R3157" s="1"/>
  <c r="P3159"/>
  <c r="R3159" s="1"/>
  <c r="P3161"/>
  <c r="R3161" s="1"/>
  <c r="V3161"/>
  <c r="D550" i="25" s="1"/>
  <c r="I3168" i="1"/>
  <c r="K3168" s="1"/>
  <c r="I3171"/>
  <c r="K3171" s="1"/>
  <c r="I3181"/>
  <c r="K3181" s="1"/>
  <c r="I3184"/>
  <c r="K3184" s="1"/>
  <c r="R3190"/>
  <c r="R3191"/>
  <c r="P3193"/>
  <c r="R3193" s="1"/>
  <c r="L3194"/>
  <c r="R3195"/>
  <c r="I3196"/>
  <c r="K3196" s="1"/>
  <c r="R3196"/>
  <c r="R3197"/>
  <c r="R3198"/>
  <c r="S3198"/>
  <c r="T3198"/>
  <c r="P3199"/>
  <c r="R3199" s="1"/>
  <c r="L3210"/>
  <c r="P3223"/>
  <c r="R3223"/>
  <c r="R3224"/>
  <c r="R3225"/>
  <c r="R3226"/>
  <c r="P3228"/>
  <c r="P3295" s="1"/>
  <c r="R3295" s="1"/>
  <c r="P3229"/>
  <c r="R3229"/>
  <c r="P3230"/>
  <c r="R3230"/>
  <c r="P3231"/>
  <c r="R3231"/>
  <c r="P3232"/>
  <c r="R3232"/>
  <c r="P3233"/>
  <c r="R3233"/>
  <c r="L3236"/>
  <c r="V3249"/>
  <c r="X3249" s="1"/>
  <c r="V3252"/>
  <c r="X3252" s="1"/>
  <c r="I3253"/>
  <c r="K3253" s="1"/>
  <c r="V3253"/>
  <c r="X3253" s="1"/>
  <c r="V3254"/>
  <c r="X3254" s="1"/>
  <c r="V3255"/>
  <c r="X3255" s="1"/>
  <c r="V3256"/>
  <c r="X3256" s="1"/>
  <c r="V3257"/>
  <c r="X3257" s="1"/>
  <c r="R3260"/>
  <c r="K3262"/>
  <c r="P3263"/>
  <c r="R3263" s="1"/>
  <c r="P3264"/>
  <c r="R3264" s="1"/>
  <c r="P3265"/>
  <c r="R3265" s="1"/>
  <c r="I3266"/>
  <c r="K3266" s="1"/>
  <c r="L3232" s="1"/>
  <c r="P3266"/>
  <c r="R3266"/>
  <c r="P3267"/>
  <c r="R3267"/>
  <c r="K3281"/>
  <c r="K3284"/>
  <c r="K3285"/>
  <c r="K3286"/>
  <c r="K3287"/>
  <c r="K3288"/>
  <c r="K3289"/>
  <c r="I3290"/>
  <c r="V3258" s="1"/>
  <c r="X3258" s="1"/>
  <c r="P3293"/>
  <c r="R3293"/>
  <c r="P3296"/>
  <c r="R3296"/>
  <c r="P3298"/>
  <c r="R3298"/>
  <c r="P3299"/>
  <c r="R3299"/>
  <c r="I3301"/>
  <c r="K3301"/>
  <c r="I3302"/>
  <c r="K3302"/>
  <c r="I3303"/>
  <c r="K3303"/>
  <c r="I3304"/>
  <c r="K3304"/>
  <c r="I3307"/>
  <c r="K3307"/>
  <c r="I3308"/>
  <c r="K3308"/>
  <c r="I3309"/>
  <c r="I3310"/>
  <c r="K3320"/>
  <c r="P3326"/>
  <c r="R3326" s="1"/>
  <c r="P3327"/>
  <c r="R3327" s="1"/>
  <c r="I3328"/>
  <c r="I3430" s="1"/>
  <c r="K3430" s="1"/>
  <c r="P3330"/>
  <c r="R3330"/>
  <c r="P3332"/>
  <c r="R3332"/>
  <c r="P3333"/>
  <c r="R3333"/>
  <c r="K3340"/>
  <c r="I3341"/>
  <c r="K3341" s="1"/>
  <c r="I3342"/>
  <c r="K3342" s="1"/>
  <c r="I3343"/>
  <c r="K3343" s="1"/>
  <c r="I3366"/>
  <c r="I3353" s="1"/>
  <c r="K3353" s="1"/>
  <c r="I3389"/>
  <c r="I3408"/>
  <c r="F3423" s="1"/>
  <c r="I3409"/>
  <c r="F3420" s="1"/>
  <c r="I3410"/>
  <c r="I3412" s="1"/>
  <c r="F3421" s="1"/>
  <c r="I3411"/>
  <c r="I3415"/>
  <c r="I3416"/>
  <c r="I3417"/>
  <c r="F3422" s="1"/>
  <c r="K3422" s="1"/>
  <c r="I3422"/>
  <c r="K3424"/>
  <c r="K3425"/>
  <c r="K3426"/>
  <c r="K3427"/>
  <c r="K3428"/>
  <c r="P3437"/>
  <c r="R3437"/>
  <c r="R3438"/>
  <c r="P3439"/>
  <c r="R3439" s="1"/>
  <c r="P3440"/>
  <c r="R3440" s="1"/>
  <c r="K3454"/>
  <c r="I3458"/>
  <c r="K3458"/>
  <c r="I3460"/>
  <c r="K3460"/>
  <c r="P3460"/>
  <c r="R3460"/>
  <c r="I3462"/>
  <c r="K3462"/>
  <c r="P3462"/>
  <c r="R3462"/>
  <c r="P3464"/>
  <c r="R3464"/>
  <c r="I3466"/>
  <c r="J3477"/>
  <c r="J3478"/>
  <c r="J3479"/>
  <c r="K3481"/>
  <c r="I3484"/>
  <c r="K3484" s="1"/>
  <c r="I3485"/>
  <c r="K3485" s="1"/>
  <c r="I3486"/>
  <c r="K3486" s="1"/>
  <c r="I3487"/>
  <c r="K3487" s="1"/>
  <c r="I3488"/>
  <c r="K3488" s="1"/>
  <c r="I3489"/>
  <c r="K3489" s="1"/>
  <c r="M3507"/>
  <c r="I3508"/>
  <c r="K3508"/>
  <c r="P3514"/>
  <c r="R3514"/>
  <c r="P3515"/>
  <c r="P3507"/>
  <c r="P3516"/>
  <c r="R3516" s="1"/>
  <c r="V3517"/>
  <c r="S3518" s="1"/>
  <c r="I3521"/>
  <c r="F3522"/>
  <c r="K3522" s="1"/>
  <c r="F3523"/>
  <c r="P3525"/>
  <c r="I3526"/>
  <c r="K3526" s="1"/>
  <c r="M3526"/>
  <c r="M3527" s="1"/>
  <c r="P3526"/>
  <c r="R3526" s="1"/>
  <c r="I3527"/>
  <c r="K3527" s="1"/>
  <c r="I3529"/>
  <c r="K3529" s="1"/>
  <c r="P3533"/>
  <c r="R3533" s="1"/>
  <c r="I3537"/>
  <c r="F3539" s="1"/>
  <c r="K3539" s="1"/>
  <c r="V3537"/>
  <c r="S3538"/>
  <c r="AE3537"/>
  <c r="AB3539" s="1"/>
  <c r="F3538"/>
  <c r="K3538" s="1"/>
  <c r="I3538"/>
  <c r="AB3538"/>
  <c r="AE3538"/>
  <c r="AG3538" s="1"/>
  <c r="P3541"/>
  <c r="M3542" s="1"/>
  <c r="M3543"/>
  <c r="M3544"/>
  <c r="M3545"/>
  <c r="M3546"/>
  <c r="M3547"/>
  <c r="M3548"/>
  <c r="M3549"/>
  <c r="M3550"/>
  <c r="V3553"/>
  <c r="S3554" s="1"/>
  <c r="AE3553"/>
  <c r="AB3554" s="1"/>
  <c r="K3557"/>
  <c r="I3560"/>
  <c r="K3560" s="1"/>
  <c r="R3560"/>
  <c r="K3562"/>
  <c r="R3565"/>
  <c r="V3569"/>
  <c r="S3571" s="1"/>
  <c r="I3573"/>
  <c r="K3573" s="1"/>
  <c r="I3574"/>
  <c r="K3574" s="1"/>
  <c r="V3584"/>
  <c r="S3585" s="1"/>
  <c r="S3586" s="1"/>
  <c r="X3594"/>
  <c r="Y3596"/>
  <c r="V3601"/>
  <c r="S3602"/>
  <c r="S3603" s="1"/>
  <c r="I3602"/>
  <c r="K3602" s="1"/>
  <c r="K3603"/>
  <c r="I3604"/>
  <c r="K3604"/>
  <c r="K3605"/>
  <c r="K3606"/>
  <c r="K3607"/>
  <c r="X3611"/>
  <c r="W3616"/>
  <c r="S3617" s="1"/>
  <c r="S3618" s="1"/>
  <c r="J3617"/>
  <c r="H3624"/>
  <c r="I3624"/>
  <c r="K3624" s="1"/>
  <c r="K3626"/>
  <c r="I3627"/>
  <c r="K3627"/>
  <c r="I3628"/>
  <c r="K3628" s="1"/>
  <c r="X3638"/>
  <c r="I3639"/>
  <c r="K3639" s="1"/>
  <c r="X3639"/>
  <c r="X3640"/>
  <c r="X3641"/>
  <c r="X3642"/>
  <c r="X3643"/>
  <c r="X3644"/>
  <c r="V3653"/>
  <c r="V3683" s="1"/>
  <c r="AE3653"/>
  <c r="AG3653" s="1"/>
  <c r="AE3654"/>
  <c r="AG3654" s="1"/>
  <c r="X3655"/>
  <c r="AE3655"/>
  <c r="AG3655"/>
  <c r="X3656"/>
  <c r="AG3656"/>
  <c r="X3657"/>
  <c r="AG3657"/>
  <c r="X3658"/>
  <c r="AG3658"/>
  <c r="AE3659"/>
  <c r="AG3659"/>
  <c r="X3660"/>
  <c r="X3661"/>
  <c r="K3662"/>
  <c r="X3662"/>
  <c r="X3663"/>
  <c r="K3664"/>
  <c r="X3664"/>
  <c r="AE3667"/>
  <c r="K3670"/>
  <c r="K3671"/>
  <c r="V3671"/>
  <c r="AE3665" s="1"/>
  <c r="AG3665" s="1"/>
  <c r="F3681"/>
  <c r="H3681"/>
  <c r="H3682"/>
  <c r="F3683"/>
  <c r="K3683" s="1"/>
  <c r="V3684"/>
  <c r="X3684" s="1"/>
  <c r="F3685"/>
  <c r="K3685" s="1"/>
  <c r="H3685"/>
  <c r="V3685"/>
  <c r="X3685"/>
  <c r="H3686"/>
  <c r="V3686"/>
  <c r="X3686" s="1"/>
  <c r="H3687"/>
  <c r="V3687"/>
  <c r="X3687" s="1"/>
  <c r="H3688"/>
  <c r="V3688"/>
  <c r="X3688" s="1"/>
  <c r="H3689"/>
  <c r="V3690"/>
  <c r="X3690"/>
  <c r="F3691"/>
  <c r="K3691"/>
  <c r="H3691"/>
  <c r="I3691"/>
  <c r="V3691"/>
  <c r="X3691"/>
  <c r="F3692"/>
  <c r="H3692"/>
  <c r="I3692"/>
  <c r="K3692" s="1"/>
  <c r="V3692"/>
  <c r="X3692" s="1"/>
  <c r="H3693"/>
  <c r="V3693"/>
  <c r="X3693" s="1"/>
  <c r="V3694"/>
  <c r="X3694" s="1"/>
  <c r="K3703"/>
  <c r="X3703"/>
  <c r="X3704"/>
  <c r="I3705"/>
  <c r="K3705"/>
  <c r="X3705"/>
  <c r="I3706"/>
  <c r="K3706" s="1"/>
  <c r="X3706"/>
  <c r="N3709"/>
  <c r="J3713"/>
  <c r="K3713"/>
  <c r="R3713"/>
  <c r="J3714"/>
  <c r="K3714"/>
  <c r="R3714"/>
  <c r="J3715"/>
  <c r="K3715"/>
  <c r="R3715"/>
  <c r="J3716"/>
  <c r="K3716"/>
  <c r="R3716"/>
  <c r="V3716"/>
  <c r="J3717"/>
  <c r="V3717"/>
  <c r="X3717" s="1"/>
  <c r="R3718"/>
  <c r="V3718"/>
  <c r="X3718"/>
  <c r="V3719"/>
  <c r="X3719"/>
  <c r="V3720"/>
  <c r="X3720"/>
  <c r="P3722"/>
  <c r="R3722"/>
  <c r="I3723"/>
  <c r="K3723"/>
  <c r="I3724"/>
  <c r="P3724" s="1"/>
  <c r="R3724" s="1"/>
  <c r="K3724"/>
  <c r="K3734"/>
  <c r="I3735"/>
  <c r="K3735" s="1"/>
  <c r="K3736"/>
  <c r="I3748"/>
  <c r="K3748" s="1"/>
  <c r="I3749"/>
  <c r="K3749"/>
  <c r="I3750"/>
  <c r="K3750" s="1"/>
  <c r="I3761"/>
  <c r="K3761"/>
  <c r="K3762" s="1"/>
  <c r="K3763"/>
  <c r="K3764" s="1"/>
  <c r="K3765"/>
  <c r="K3766"/>
  <c r="I3768"/>
  <c r="K3768" s="1"/>
  <c r="I3769"/>
  <c r="K3769" s="1"/>
  <c r="K3781"/>
  <c r="K3782"/>
  <c r="K3783"/>
  <c r="K3784"/>
  <c r="K3785"/>
  <c r="K3786"/>
  <c r="K3787"/>
  <c r="K3788"/>
  <c r="K3789"/>
  <c r="I3795"/>
  <c r="K3805"/>
  <c r="K3821"/>
  <c r="I3825"/>
  <c r="K3825" s="1"/>
  <c r="I3827"/>
  <c r="K3827" s="1"/>
  <c r="I3829"/>
  <c r="K3829" s="1"/>
  <c r="I3840"/>
  <c r="H3842"/>
  <c r="H3848" s="1"/>
  <c r="J3848" s="1"/>
  <c r="H3843"/>
  <c r="H3844"/>
  <c r="H3845"/>
  <c r="H3854"/>
  <c r="J3854" s="1"/>
  <c r="H3855"/>
  <c r="I3861"/>
  <c r="H3863"/>
  <c r="H3864"/>
  <c r="H3865"/>
  <c r="H3866"/>
  <c r="H3885"/>
  <c r="G3896"/>
  <c r="E3897"/>
  <c r="G3897" s="1"/>
  <c r="G3899" s="1"/>
  <c r="G3900" s="1"/>
  <c r="K3922"/>
  <c r="K3923"/>
  <c r="K3924"/>
  <c r="K3925"/>
  <c r="K3928"/>
  <c r="I3940"/>
  <c r="I3956" s="1"/>
  <c r="I3941"/>
  <c r="K3941" s="1"/>
  <c r="I3942"/>
  <c r="K3942" s="1"/>
  <c r="I3943"/>
  <c r="K3943" s="1"/>
  <c r="K3946"/>
  <c r="K3948"/>
  <c r="H3958"/>
  <c r="H3962"/>
  <c r="I3962"/>
  <c r="K3962"/>
  <c r="I3964"/>
  <c r="I3981" s="1"/>
  <c r="I3979"/>
  <c r="K3979" s="1"/>
  <c r="K3993"/>
  <c r="I3995"/>
  <c r="P1540" s="1"/>
  <c r="R1540" s="1"/>
  <c r="I4009"/>
  <c r="K4009" s="1"/>
  <c r="K4011"/>
  <c r="I4026"/>
  <c r="K4026" s="1"/>
  <c r="I4038"/>
  <c r="K4038" s="1"/>
  <c r="J4049"/>
  <c r="J4050"/>
  <c r="J4055"/>
  <c r="F4065" s="1"/>
  <c r="J4058"/>
  <c r="F4066" s="1"/>
  <c r="K4058"/>
  <c r="J4060"/>
  <c r="J4061" s="1"/>
  <c r="F4067" s="1"/>
  <c r="K4067" s="1"/>
  <c r="I4066"/>
  <c r="I4067"/>
  <c r="I4069"/>
  <c r="K4069" s="1"/>
  <c r="I4072"/>
  <c r="K4072" s="1"/>
  <c r="L4076"/>
  <c r="A2" i="56"/>
  <c r="B2"/>
  <c r="C2"/>
  <c r="D2"/>
  <c r="E2"/>
  <c r="F2"/>
  <c r="A3"/>
  <c r="B3"/>
  <c r="C3"/>
  <c r="D3"/>
  <c r="E3"/>
  <c r="F3"/>
  <c r="A9834"/>
  <c r="B9834"/>
  <c r="C9834"/>
  <c r="D9834"/>
  <c r="E9834"/>
  <c r="F9834"/>
  <c r="G9834"/>
  <c r="I12" i="64"/>
  <c r="I179"/>
  <c r="I398"/>
  <c r="I399" s="1"/>
  <c r="I1130"/>
  <c r="I1407"/>
  <c r="I1408" s="1"/>
  <c r="I1435"/>
  <c r="I1436" s="1"/>
  <c r="I1530"/>
  <c r="I1573"/>
  <c r="I1761"/>
  <c r="I1811"/>
  <c r="I1867"/>
  <c r="I1892"/>
  <c r="I22"/>
  <c r="I352"/>
  <c r="I353" s="1"/>
  <c r="I448"/>
  <c r="I515"/>
  <c r="I517"/>
  <c r="I519"/>
  <c r="I521"/>
  <c r="I522"/>
  <c r="I523"/>
  <c r="I855"/>
  <c r="I856" s="1"/>
  <c r="I881"/>
  <c r="I884"/>
  <c r="I885"/>
  <c r="I1033"/>
  <c r="I1364"/>
  <c r="I1618"/>
  <c r="I1721"/>
  <c r="I1724"/>
  <c r="I1763"/>
  <c r="I1767"/>
  <c r="I1815"/>
  <c r="I1871"/>
  <c r="I2014"/>
  <c r="I2015" s="1"/>
  <c r="I2295"/>
  <c r="I2501"/>
  <c r="I2666"/>
  <c r="I1865"/>
  <c r="I850"/>
  <c r="I851" s="1"/>
  <c r="I10"/>
  <c r="I503"/>
  <c r="I504"/>
  <c r="I1722"/>
  <c r="I9"/>
  <c r="I29"/>
  <c r="I7"/>
  <c r="I50"/>
  <c r="I1684"/>
  <c r="I1686"/>
  <c r="I1685"/>
  <c r="I208"/>
  <c r="I444"/>
  <c r="I514"/>
  <c r="I516"/>
  <c r="I518"/>
  <c r="I721"/>
  <c r="I722" s="1"/>
  <c r="I809"/>
  <c r="I810" s="1"/>
  <c r="I871"/>
  <c r="I883"/>
  <c r="I889"/>
  <c r="I1001"/>
  <c r="I1002"/>
  <c r="I2168"/>
  <c r="I2178"/>
  <c r="I2246"/>
  <c r="I2258"/>
  <c r="I2324"/>
  <c r="I2425"/>
  <c r="I2426" s="1"/>
  <c r="I2542"/>
  <c r="I2587"/>
  <c r="I2624"/>
  <c r="I2715"/>
  <c r="I1049"/>
  <c r="I1090"/>
  <c r="I1137"/>
  <c r="I1217"/>
  <c r="I1257"/>
  <c r="I1288"/>
  <c r="I1325"/>
  <c r="I1416"/>
  <c r="I1424"/>
  <c r="I1529"/>
  <c r="I1617"/>
  <c r="I326"/>
  <c r="I327" s="1"/>
  <c r="I363"/>
  <c r="I364" s="1"/>
  <c r="I388"/>
  <c r="I389" s="1"/>
  <c r="I423"/>
  <c r="I424" s="1"/>
  <c r="I459"/>
  <c r="I460" s="1"/>
  <c r="F890"/>
  <c r="I39"/>
  <c r="I72"/>
  <c r="I689"/>
  <c r="I686"/>
  <c r="I8"/>
  <c r="I41"/>
  <c r="I209"/>
  <c r="I370"/>
  <c r="I371" s="1"/>
  <c r="I377"/>
  <c r="I378" s="1"/>
  <c r="I301"/>
  <c r="I302" s="1"/>
  <c r="I405"/>
  <c r="I406" s="1"/>
  <c r="I412"/>
  <c r="I413" s="1"/>
  <c r="I11"/>
  <c r="I32"/>
  <c r="I48"/>
  <c r="I75"/>
  <c r="I1451"/>
  <c r="I1453"/>
  <c r="I1452"/>
  <c r="I30"/>
  <c r="I40"/>
  <c r="I1450"/>
  <c r="I33"/>
  <c r="I49"/>
  <c r="I74"/>
  <c r="I31"/>
  <c r="I51"/>
  <c r="I1449"/>
  <c r="I1454"/>
  <c r="I526"/>
  <c r="I42"/>
  <c r="I73"/>
  <c r="I205"/>
  <c r="I71"/>
  <c r="I308"/>
  <c r="I309" s="1"/>
  <c r="I315"/>
  <c r="I316" s="1"/>
  <c r="I76"/>
  <c r="I88"/>
  <c r="I1493"/>
  <c r="I1532"/>
  <c r="I52"/>
  <c r="I924"/>
  <c r="I925" s="1"/>
  <c r="I952"/>
  <c r="I64"/>
  <c r="I34"/>
  <c r="I38"/>
  <c r="I47"/>
  <c r="I470"/>
  <c r="I471"/>
  <c r="I1492"/>
  <c r="I1494"/>
  <c r="I1571"/>
  <c r="I1620"/>
  <c r="I1809"/>
  <c r="I2582"/>
  <c r="I43"/>
  <c r="I148"/>
  <c r="I525"/>
  <c r="I1175"/>
  <c r="I2107"/>
  <c r="I2108"/>
  <c r="I2162"/>
  <c r="I2163"/>
  <c r="L774"/>
  <c r="I946"/>
  <c r="I947" s="1"/>
  <c r="I1570"/>
  <c r="I1676"/>
  <c r="I1677" s="1"/>
  <c r="I2683" i="1"/>
  <c r="I3959"/>
  <c r="I3745"/>
  <c r="S3539"/>
  <c r="P3530"/>
  <c r="R3530" s="1"/>
  <c r="P3466"/>
  <c r="P3447"/>
  <c r="P3399"/>
  <c r="P3331"/>
  <c r="K3290"/>
  <c r="I3241"/>
  <c r="I989" i="11"/>
  <c r="K989" s="1"/>
  <c r="P3162" i="1"/>
  <c r="V3159"/>
  <c r="X3159" s="1"/>
  <c r="I3108"/>
  <c r="K3108" s="1"/>
  <c r="I2764"/>
  <c r="I2720"/>
  <c r="K2720"/>
  <c r="P2677"/>
  <c r="V2607"/>
  <c r="AE2621" s="1"/>
  <c r="AG2621" s="1"/>
  <c r="P2646"/>
  <c r="E210" i="25"/>
  <c r="G210" s="1"/>
  <c r="V2605" i="1"/>
  <c r="K2637"/>
  <c r="AB1352"/>
  <c r="AD1352" s="1"/>
  <c r="X1354"/>
  <c r="I4024"/>
  <c r="I4037" s="1"/>
  <c r="K4037" s="1"/>
  <c r="I3957"/>
  <c r="K3957" s="1"/>
  <c r="I3808"/>
  <c r="K3808" s="1"/>
  <c r="P3531"/>
  <c r="R3531" s="1"/>
  <c r="I3465"/>
  <c r="I3463"/>
  <c r="P3469"/>
  <c r="R3469" s="1"/>
  <c r="P3365"/>
  <c r="R3365" s="1"/>
  <c r="I3324"/>
  <c r="I3393" s="1"/>
  <c r="P3300"/>
  <c r="P3297"/>
  <c r="P3366" s="1"/>
  <c r="R3366" s="1"/>
  <c r="P3234"/>
  <c r="X3161"/>
  <c r="P3158"/>
  <c r="P3194" s="1"/>
  <c r="R3194" s="1"/>
  <c r="AQ3106"/>
  <c r="AS3106" s="1"/>
  <c r="P2077"/>
  <c r="K3103"/>
  <c r="V2606"/>
  <c r="K2638"/>
  <c r="I2508"/>
  <c r="P2515" s="1"/>
  <c r="R2515" s="1"/>
  <c r="V1419"/>
  <c r="X1419" s="1"/>
  <c r="P1489"/>
  <c r="R1458"/>
  <c r="P1475"/>
  <c r="I38" i="25"/>
  <c r="P1538" i="1"/>
  <c r="X3671"/>
  <c r="I3545"/>
  <c r="AE3545" s="1"/>
  <c r="P3334"/>
  <c r="I3255"/>
  <c r="K3255" s="1"/>
  <c r="K2681"/>
  <c r="I2696"/>
  <c r="K2696"/>
  <c r="K3106"/>
  <c r="AD1360"/>
  <c r="AB1377"/>
  <c r="AD1377"/>
  <c r="I2538"/>
  <c r="I2573"/>
  <c r="I2487"/>
  <c r="K2467"/>
  <c r="I2314"/>
  <c r="P2299"/>
  <c r="R2299" s="1"/>
  <c r="K1895"/>
  <c r="P1630"/>
  <c r="R1630" s="1"/>
  <c r="P1467"/>
  <c r="R1467" s="1"/>
  <c r="P1446"/>
  <c r="R1446"/>
  <c r="R1441"/>
  <c r="R1429"/>
  <c r="R1418"/>
  <c r="R1414"/>
  <c r="R1393"/>
  <c r="V1379"/>
  <c r="V1375"/>
  <c r="X1375"/>
  <c r="V1369"/>
  <c r="X1360"/>
  <c r="X1358"/>
  <c r="X1357"/>
  <c r="X1356"/>
  <c r="P1305"/>
  <c r="R1305" s="1"/>
  <c r="R1264"/>
  <c r="P1241"/>
  <c r="P1097"/>
  <c r="R1097" s="1"/>
  <c r="P1051"/>
  <c r="P1069"/>
  <c r="R1069"/>
  <c r="K1058"/>
  <c r="AE1067"/>
  <c r="AG1067" s="1"/>
  <c r="K1021"/>
  <c r="P1095"/>
  <c r="K996"/>
  <c r="I1026"/>
  <c r="P948"/>
  <c r="K955"/>
  <c r="V886"/>
  <c r="X886" s="1"/>
  <c r="K812"/>
  <c r="V806"/>
  <c r="V821"/>
  <c r="X821" s="1"/>
  <c r="P2028"/>
  <c r="R2028" s="1"/>
  <c r="V1378"/>
  <c r="V1374"/>
  <c r="V1391" s="1"/>
  <c r="F24" i="25"/>
  <c r="D37"/>
  <c r="F37" s="1"/>
  <c r="AB1350" i="1"/>
  <c r="AD1350" s="1"/>
  <c r="P952"/>
  <c r="K959"/>
  <c r="P949"/>
  <c r="K879"/>
  <c r="V879"/>
  <c r="X879" s="1"/>
  <c r="I2539"/>
  <c r="I2574" s="1"/>
  <c r="I2537"/>
  <c r="P2516"/>
  <c r="P1615"/>
  <c r="X1362"/>
  <c r="AB1355"/>
  <c r="AB1372" s="1"/>
  <c r="X1352"/>
  <c r="R1320"/>
  <c r="I895"/>
  <c r="K868"/>
  <c r="V868"/>
  <c r="X868" s="1"/>
  <c r="P861"/>
  <c r="R861" s="1"/>
  <c r="R1098"/>
  <c r="P1119"/>
  <c r="K1059"/>
  <c r="P1070"/>
  <c r="P993"/>
  <c r="R993" s="1"/>
  <c r="P1052"/>
  <c r="AE1068"/>
  <c r="AG1068" s="1"/>
  <c r="AE1070"/>
  <c r="AG1070" s="1"/>
  <c r="P1054"/>
  <c r="R1054" s="1"/>
  <c r="P1050"/>
  <c r="P1048"/>
  <c r="R1048"/>
  <c r="V682"/>
  <c r="V768"/>
  <c r="X768" s="1"/>
  <c r="K604"/>
  <c r="V83"/>
  <c r="X83" s="1"/>
  <c r="C27"/>
  <c r="D49" i="25"/>
  <c r="D72" s="1"/>
  <c r="C12" i="1"/>
  <c r="X712"/>
  <c r="X709"/>
  <c r="P52"/>
  <c r="P67"/>
  <c r="R67"/>
  <c r="D11"/>
  <c r="C10"/>
  <c r="AL43"/>
  <c r="AH43"/>
  <c r="AE43"/>
  <c r="C21" s="1"/>
  <c r="AF450" s="1"/>
  <c r="AF451" s="1"/>
  <c r="AF452" s="1"/>
  <c r="AF453" s="1"/>
  <c r="X36"/>
  <c r="X37" s="1"/>
  <c r="X35"/>
  <c r="X14"/>
  <c r="AK43"/>
  <c r="X15"/>
  <c r="X13"/>
  <c r="E517" i="25"/>
  <c r="G488"/>
  <c r="F111"/>
  <c r="D137"/>
  <c r="D160" s="1"/>
  <c r="F160" s="1"/>
  <c r="K1007" i="11"/>
  <c r="K1009" s="1"/>
  <c r="K990" s="1"/>
  <c r="J911"/>
  <c r="K911" s="1"/>
  <c r="R838"/>
  <c r="R851"/>
  <c r="I814"/>
  <c r="P794"/>
  <c r="R794" s="1"/>
  <c r="I739"/>
  <c r="K739" s="1"/>
  <c r="K672"/>
  <c r="Q6" i="4"/>
  <c r="Q13"/>
  <c r="Z43" i="1" s="1"/>
  <c r="AC43" s="1"/>
  <c r="P150" s="1"/>
  <c r="R150" s="1"/>
  <c r="K3222" i="27"/>
  <c r="I3218" s="1"/>
  <c r="K3218" s="1"/>
  <c r="I3335"/>
  <c r="F138" i="25"/>
  <c r="I1113" i="11"/>
  <c r="I976"/>
  <c r="K836"/>
  <c r="I3666" i="27"/>
  <c r="K3666" s="1"/>
  <c r="I794" i="11"/>
  <c r="P795" s="1"/>
  <c r="I792"/>
  <c r="K792" s="1"/>
  <c r="I757"/>
  <c r="K757" s="1"/>
  <c r="I703"/>
  <c r="P665"/>
  <c r="K310"/>
  <c r="I242"/>
  <c r="K242" s="1"/>
  <c r="N10" i="4"/>
  <c r="Z41" i="1" s="1"/>
  <c r="I3718" i="27"/>
  <c r="K3718" s="1"/>
  <c r="K3727" s="1"/>
  <c r="M3727" s="1"/>
  <c r="K888" i="11"/>
  <c r="K831"/>
  <c r="I838"/>
  <c r="I3643" i="27"/>
  <c r="K3643" s="1"/>
  <c r="K813" i="11"/>
  <c r="I741"/>
  <c r="K675"/>
  <c r="K673"/>
  <c r="I740"/>
  <c r="K740" s="1"/>
  <c r="K647"/>
  <c r="I834"/>
  <c r="I3664" i="27"/>
  <c r="K3664" s="1"/>
  <c r="I3312"/>
  <c r="K3312" s="1"/>
  <c r="K482" i="11"/>
  <c r="K428"/>
  <c r="I443"/>
  <c r="L928"/>
  <c r="K785"/>
  <c r="I816"/>
  <c r="P786"/>
  <c r="R786" s="1"/>
  <c r="I759"/>
  <c r="K759" s="1"/>
  <c r="K218"/>
  <c r="I241"/>
  <c r="I121"/>
  <c r="I1083" s="1"/>
  <c r="K1083" s="1"/>
  <c r="K101"/>
  <c r="P663"/>
  <c r="AH247"/>
  <c r="I170"/>
  <c r="K126"/>
  <c r="I110"/>
  <c r="K110" s="1"/>
  <c r="K104"/>
  <c r="K100"/>
  <c r="K79"/>
  <c r="K75"/>
  <c r="P21"/>
  <c r="P54" s="1"/>
  <c r="R54" s="1"/>
  <c r="K19"/>
  <c r="I3625" i="27"/>
  <c r="I3732" s="1"/>
  <c r="I3622"/>
  <c r="K3622" s="1"/>
  <c r="P3617"/>
  <c r="R3617" s="1"/>
  <c r="I3589"/>
  <c r="K3589" s="1"/>
  <c r="I3535"/>
  <c r="K3535" s="1"/>
  <c r="K3497"/>
  <c r="K3496"/>
  <c r="K3115"/>
  <c r="P3115"/>
  <c r="K2850"/>
  <c r="K2893" s="1"/>
  <c r="K3851" s="1"/>
  <c r="I2911"/>
  <c r="K2911" s="1"/>
  <c r="I3001"/>
  <c r="K3001" s="1"/>
  <c r="I202" i="11"/>
  <c r="I200"/>
  <c r="I198"/>
  <c r="I155"/>
  <c r="K155" s="1"/>
  <c r="I143"/>
  <c r="K143" s="1"/>
  <c r="I128"/>
  <c r="K128" s="1"/>
  <c r="I80"/>
  <c r="P49"/>
  <c r="K41"/>
  <c r="K2852" i="27"/>
  <c r="K2892" s="1"/>
  <c r="K3850" s="1"/>
  <c r="P2852"/>
  <c r="P2885" s="1"/>
  <c r="R2885" s="1"/>
  <c r="I3003"/>
  <c r="K3003" s="1"/>
  <c r="I2909"/>
  <c r="I2937" s="1"/>
  <c r="I3802"/>
  <c r="K3802" s="1"/>
  <c r="I3731"/>
  <c r="K3731" s="1"/>
  <c r="I3647"/>
  <c r="K3647" s="1"/>
  <c r="I3590"/>
  <c r="K3590" s="1"/>
  <c r="I3534"/>
  <c r="K3534" s="1"/>
  <c r="K3353"/>
  <c r="K2720"/>
  <c r="P23" i="11"/>
  <c r="P2854" i="27" s="1"/>
  <c r="E13" i="4"/>
  <c r="Z38" i="1" s="1"/>
  <c r="AC38" s="1"/>
  <c r="I244" s="1"/>
  <c r="K244" s="1"/>
  <c r="K3170" i="27"/>
  <c r="I3181"/>
  <c r="K3181" s="1"/>
  <c r="K2792"/>
  <c r="K2794"/>
  <c r="I2951"/>
  <c r="I2961" s="1"/>
  <c r="P2871"/>
  <c r="R2871" s="1"/>
  <c r="K2509"/>
  <c r="K2510"/>
  <c r="I2499" s="1"/>
  <c r="K2499" s="1"/>
  <c r="K2502" s="1"/>
  <c r="I2387"/>
  <c r="K2387" s="1"/>
  <c r="K2369"/>
  <c r="K1498"/>
  <c r="I2997"/>
  <c r="K2997" s="1"/>
  <c r="I2995"/>
  <c r="K2995" s="1"/>
  <c r="K2931"/>
  <c r="I2907"/>
  <c r="I2933" s="1"/>
  <c r="I2905"/>
  <c r="P2873"/>
  <c r="R2873" s="1"/>
  <c r="K2225"/>
  <c r="K2227"/>
  <c r="K1957"/>
  <c r="K2425"/>
  <c r="I2440"/>
  <c r="K2440"/>
  <c r="K2444" s="1"/>
  <c r="K2446" s="1"/>
  <c r="K2241"/>
  <c r="K2057"/>
  <c r="K1809"/>
  <c r="K686"/>
  <c r="I688" s="1"/>
  <c r="K688" s="1"/>
  <c r="K693" s="1"/>
  <c r="K695" s="1"/>
  <c r="K764" s="1"/>
  <c r="K667"/>
  <c r="K669" s="1"/>
  <c r="K670" s="1"/>
  <c r="K671" s="1"/>
  <c r="K672" s="1"/>
  <c r="K673" s="1"/>
  <c r="A206"/>
  <c r="A207"/>
  <c r="A264"/>
  <c r="A265"/>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I82"/>
  <c r="K82" s="1"/>
  <c r="I81"/>
  <c r="K81" s="1"/>
  <c r="I110"/>
  <c r="K110" s="1"/>
  <c r="C137"/>
  <c r="I1544" s="1"/>
  <c r="K1544" s="1"/>
  <c r="K1549" s="1"/>
  <c r="K1551" s="1"/>
  <c r="C139"/>
  <c r="A270" i="32"/>
  <c r="A271" s="1"/>
  <c r="C211"/>
  <c r="C254"/>
  <c r="A149"/>
  <c r="A150" s="1"/>
  <c r="I53" i="27"/>
  <c r="K53" s="1"/>
  <c r="I35"/>
  <c r="K35" s="1"/>
  <c r="A189" i="32"/>
  <c r="A190" s="1"/>
  <c r="D234"/>
  <c r="F234" s="1"/>
  <c r="I890" i="64"/>
  <c r="F891"/>
  <c r="I891" s="1"/>
  <c r="I35"/>
  <c r="I36" s="1"/>
  <c r="I44"/>
  <c r="I45" s="1"/>
  <c r="R49" i="11"/>
  <c r="I228"/>
  <c r="I268"/>
  <c r="P241" s="1"/>
  <c r="R241" s="1"/>
  <c r="P3549" i="1"/>
  <c r="R3549"/>
  <c r="P2082"/>
  <c r="R2082"/>
  <c r="R3447"/>
  <c r="K3745"/>
  <c r="I2972" i="27"/>
  <c r="K2972" s="1"/>
  <c r="K443" i="11"/>
  <c r="F137" i="25"/>
  <c r="D303"/>
  <c r="F303" s="1"/>
  <c r="K2539" i="1"/>
  <c r="V902"/>
  <c r="X902" s="1"/>
  <c r="K2508"/>
  <c r="P3400"/>
  <c r="R3400"/>
  <c r="R3297"/>
  <c r="R3466"/>
  <c r="R663" i="11"/>
  <c r="K741"/>
  <c r="I853"/>
  <c r="I3683" i="27" s="1"/>
  <c r="K3683" s="1"/>
  <c r="P793" i="11"/>
  <c r="R793" s="1"/>
  <c r="Z712" i="1"/>
  <c r="R1051"/>
  <c r="R1538"/>
  <c r="P3471"/>
  <c r="K3465"/>
  <c r="I3832"/>
  <c r="K3832"/>
  <c r="AB1369"/>
  <c r="Z2605"/>
  <c r="X2607"/>
  <c r="K3241"/>
  <c r="L3207" s="1"/>
  <c r="K170" i="11"/>
  <c r="I855"/>
  <c r="K855" s="1"/>
  <c r="K703"/>
  <c r="R840"/>
  <c r="R1052" i="1"/>
  <c r="AD1355"/>
  <c r="I3992"/>
  <c r="K3992" s="1"/>
  <c r="R952"/>
  <c r="Z2603"/>
  <c r="X2605"/>
  <c r="AE2619"/>
  <c r="AG2619"/>
  <c r="R23" i="11"/>
  <c r="I1090"/>
  <c r="K1090" s="1"/>
  <c r="K198"/>
  <c r="I3034" i="27"/>
  <c r="K3034" s="1"/>
  <c r="K62" i="11"/>
  <c r="K1029" s="1"/>
  <c r="K42"/>
  <c r="K111" s="1"/>
  <c r="K229" s="1"/>
  <c r="K245" s="1"/>
  <c r="K271" s="1"/>
  <c r="R244" s="1"/>
  <c r="AG244" s="1"/>
  <c r="K311"/>
  <c r="K976"/>
  <c r="P819"/>
  <c r="R819" s="1"/>
  <c r="R52" i="1"/>
  <c r="X682"/>
  <c r="V736"/>
  <c r="X736" s="1"/>
  <c r="K895"/>
  <c r="R1615"/>
  <c r="X1374"/>
  <c r="R1095"/>
  <c r="P1116"/>
  <c r="R1116" s="1"/>
  <c r="X1369"/>
  <c r="V1386"/>
  <c r="X1386" s="1"/>
  <c r="P1498"/>
  <c r="R1498" s="1"/>
  <c r="K2314"/>
  <c r="K2538"/>
  <c r="R3334"/>
  <c r="R3158"/>
  <c r="R3234"/>
  <c r="P3268"/>
  <c r="R3268" s="1"/>
  <c r="P3369"/>
  <c r="R3369" s="1"/>
  <c r="R3300"/>
  <c r="P3403"/>
  <c r="I3530" s="1"/>
  <c r="K3530" s="1"/>
  <c r="I3974"/>
  <c r="K3974" s="1"/>
  <c r="K4024"/>
  <c r="K2764"/>
  <c r="R3399"/>
  <c r="K2683"/>
  <c r="I3030" i="27"/>
  <c r="K3030" s="1"/>
  <c r="K2907"/>
  <c r="K202" i="11"/>
  <c r="P3129" i="27"/>
  <c r="R3129" s="1"/>
  <c r="R3115"/>
  <c r="K816" i="11"/>
  <c r="K1074"/>
  <c r="P68" i="1"/>
  <c r="R68" s="1"/>
  <c r="P286"/>
  <c r="R286" s="1"/>
  <c r="P298"/>
  <c r="R298"/>
  <c r="P309"/>
  <c r="R309" s="1"/>
  <c r="I315"/>
  <c r="K315" s="1"/>
  <c r="P338"/>
  <c r="P364"/>
  <c r="P392"/>
  <c r="R392" s="1"/>
  <c r="I606"/>
  <c r="K606"/>
  <c r="I622"/>
  <c r="V711"/>
  <c r="D47" i="32" s="1"/>
  <c r="P53" i="1"/>
  <c r="I274"/>
  <c r="I359"/>
  <c r="K359" s="1"/>
  <c r="I383"/>
  <c r="V383" s="1"/>
  <c r="X383" s="1"/>
  <c r="I490"/>
  <c r="P505"/>
  <c r="R505" s="1"/>
  <c r="I507"/>
  <c r="I2901" s="1"/>
  <c r="K2901" s="1"/>
  <c r="V646"/>
  <c r="X646"/>
  <c r="I763"/>
  <c r="I785"/>
  <c r="K785" s="1"/>
  <c r="I811"/>
  <c r="I884"/>
  <c r="V884" s="1"/>
  <c r="P891"/>
  <c r="P83"/>
  <c r="R83" s="1"/>
  <c r="I198"/>
  <c r="P166" s="1"/>
  <c r="I300"/>
  <c r="P321"/>
  <c r="I339"/>
  <c r="V339" s="1"/>
  <c r="P378"/>
  <c r="R378" s="1"/>
  <c r="I448"/>
  <c r="K448"/>
  <c r="V530"/>
  <c r="V554"/>
  <c r="X554" s="1"/>
  <c r="I552"/>
  <c r="K552" s="1"/>
  <c r="I727"/>
  <c r="K727" s="1"/>
  <c r="I213"/>
  <c r="I228"/>
  <c r="K228"/>
  <c r="P350"/>
  <c r="R350" s="1"/>
  <c r="I414"/>
  <c r="K414" s="1"/>
  <c r="V479"/>
  <c r="AB479" s="1"/>
  <c r="P523"/>
  <c r="I528"/>
  <c r="K528" s="1"/>
  <c r="P551"/>
  <c r="I584"/>
  <c r="V584" s="1"/>
  <c r="I652"/>
  <c r="I866"/>
  <c r="P859" s="1"/>
  <c r="R859" s="1"/>
  <c r="I900"/>
  <c r="K900"/>
  <c r="I1202"/>
  <c r="I1228"/>
  <c r="K1228" s="1"/>
  <c r="I1258"/>
  <c r="V1287" s="1"/>
  <c r="I1273"/>
  <c r="K1273" s="1"/>
  <c r="I1324"/>
  <c r="K1324" s="1"/>
  <c r="I1338"/>
  <c r="K1338" s="1"/>
  <c r="P1360"/>
  <c r="R1360" s="1"/>
  <c r="I1647"/>
  <c r="I3642"/>
  <c r="K3642" s="1"/>
  <c r="I1995"/>
  <c r="P1995" s="1"/>
  <c r="I2031"/>
  <c r="K2031" s="1"/>
  <c r="I2152"/>
  <c r="P2159" s="1"/>
  <c r="R2159" s="1"/>
  <c r="I2335"/>
  <c r="K2335" s="1"/>
  <c r="I2399"/>
  <c r="I2411" s="1"/>
  <c r="K2411" s="1"/>
  <c r="I1149"/>
  <c r="I1162"/>
  <c r="K1162" s="1"/>
  <c r="I1224"/>
  <c r="K1224"/>
  <c r="I1253"/>
  <c r="I1394"/>
  <c r="K1394" s="1"/>
  <c r="I1467"/>
  <c r="I1492"/>
  <c r="K1492" s="1"/>
  <c r="I1507"/>
  <c r="I1810"/>
  <c r="K1810" s="1"/>
  <c r="I1912"/>
  <c r="I1974"/>
  <c r="P1974" s="1"/>
  <c r="R1974" s="1"/>
  <c r="I2079"/>
  <c r="I2165"/>
  <c r="P2337"/>
  <c r="I2428"/>
  <c r="K2428" s="1"/>
  <c r="I2791"/>
  <c r="K2791" s="1"/>
  <c r="L2757" s="1"/>
  <c r="L2759" s="1"/>
  <c r="K2793" s="1"/>
  <c r="I1381"/>
  <c r="K1381"/>
  <c r="I1420"/>
  <c r="I1480"/>
  <c r="K1480" s="1"/>
  <c r="P1523"/>
  <c r="I1708"/>
  <c r="K1708" s="1"/>
  <c r="I1828"/>
  <c r="K1828" s="1"/>
  <c r="I1944"/>
  <c r="I3565" s="1"/>
  <c r="K3565" s="1"/>
  <c r="I2107"/>
  <c r="K2107" s="1"/>
  <c r="I2178"/>
  <c r="I2322"/>
  <c r="I2349"/>
  <c r="K2349"/>
  <c r="P1146"/>
  <c r="I1306"/>
  <c r="P1335" s="1"/>
  <c r="R1335" s="1"/>
  <c r="I1359"/>
  <c r="K1359" s="1"/>
  <c r="I1407"/>
  <c r="I1435"/>
  <c r="I1455"/>
  <c r="K1455" s="1"/>
  <c r="I1519"/>
  <c r="I1846"/>
  <c r="P1862" s="1"/>
  <c r="I2012"/>
  <c r="K2012" s="1"/>
  <c r="I2055"/>
  <c r="K2055"/>
  <c r="I2132"/>
  <c r="I2369"/>
  <c r="P2375" s="1"/>
  <c r="R2375" s="1"/>
  <c r="I2686"/>
  <c r="J3045"/>
  <c r="K3045" s="1"/>
  <c r="I2713"/>
  <c r="I2994"/>
  <c r="K2994" s="1"/>
  <c r="K2996" s="1"/>
  <c r="I2739"/>
  <c r="I3459"/>
  <c r="P3465" s="1"/>
  <c r="V111"/>
  <c r="X111" s="1"/>
  <c r="K2537"/>
  <c r="K2542" s="1"/>
  <c r="K2545" s="1"/>
  <c r="I2572"/>
  <c r="K2572" s="1"/>
  <c r="I3482"/>
  <c r="V895"/>
  <c r="I1063"/>
  <c r="P997" s="1"/>
  <c r="R997" s="1"/>
  <c r="K1026"/>
  <c r="X1379"/>
  <c r="V1396"/>
  <c r="K2487"/>
  <c r="K80" i="11"/>
  <c r="I203"/>
  <c r="K203"/>
  <c r="I901"/>
  <c r="K901" s="1"/>
  <c r="I3368" i="27"/>
  <c r="K3368" s="1"/>
  <c r="I3363" s="1"/>
  <c r="K3363" s="1"/>
  <c r="K3335"/>
  <c r="I3330"/>
  <c r="K3330" s="1"/>
  <c r="F49" i="25"/>
  <c r="R1119" i="1"/>
  <c r="V1436"/>
  <c r="P1482"/>
  <c r="R1482" s="1"/>
  <c r="R1475"/>
  <c r="I3028" i="27"/>
  <c r="K3028" s="1"/>
  <c r="K2905"/>
  <c r="K2909"/>
  <c r="I3032"/>
  <c r="K3032" s="1"/>
  <c r="K200" i="11"/>
  <c r="K3625" i="27"/>
  <c r="I244" i="11"/>
  <c r="I1115" s="1"/>
  <c r="K1115" s="1"/>
  <c r="K241"/>
  <c r="I1109"/>
  <c r="I1128" s="1"/>
  <c r="I1141" s="1"/>
  <c r="I1153" s="1"/>
  <c r="K1153" s="1"/>
  <c r="K838"/>
  <c r="R665"/>
  <c r="I3934" i="27"/>
  <c r="K3934" s="1"/>
  <c r="K1113" i="11"/>
  <c r="K814"/>
  <c r="R852"/>
  <c r="R853" s="1"/>
  <c r="R855" s="1"/>
  <c r="P81" i="1"/>
  <c r="R81" s="1"/>
  <c r="P297"/>
  <c r="R297" s="1"/>
  <c r="I313"/>
  <c r="P320"/>
  <c r="P337"/>
  <c r="R337" s="1"/>
  <c r="I381"/>
  <c r="K381" s="1"/>
  <c r="I395"/>
  <c r="V395" s="1"/>
  <c r="V427" s="1"/>
  <c r="I460"/>
  <c r="K460"/>
  <c r="P504"/>
  <c r="P522"/>
  <c r="R522" s="1"/>
  <c r="I527"/>
  <c r="P181"/>
  <c r="R181" s="1"/>
  <c r="P349"/>
  <c r="I357"/>
  <c r="V357" s="1"/>
  <c r="X357" s="1"/>
  <c r="I446"/>
  <c r="K446" s="1"/>
  <c r="I551"/>
  <c r="K551" s="1"/>
  <c r="I583"/>
  <c r="V583" s="1"/>
  <c r="X583" s="1"/>
  <c r="I605"/>
  <c r="K605"/>
  <c r="I621"/>
  <c r="I651"/>
  <c r="I298"/>
  <c r="P308"/>
  <c r="R308" s="1"/>
  <c r="I337"/>
  <c r="P363"/>
  <c r="R363" s="1"/>
  <c r="I427"/>
  <c r="K427" s="1"/>
  <c r="I488"/>
  <c r="K488" s="1"/>
  <c r="P550"/>
  <c r="I865"/>
  <c r="V865" s="1"/>
  <c r="X865" s="1"/>
  <c r="P268"/>
  <c r="P365"/>
  <c r="I412"/>
  <c r="K412" s="1"/>
  <c r="V478"/>
  <c r="AB478"/>
  <c r="AD478" s="1"/>
  <c r="V529"/>
  <c r="I883"/>
  <c r="V883" s="1"/>
  <c r="V899" s="1"/>
  <c r="X899" s="1"/>
  <c r="I1393"/>
  <c r="K1393" s="1"/>
  <c r="I1434"/>
  <c r="K1434"/>
  <c r="I1466"/>
  <c r="I1827"/>
  <c r="K1827" s="1"/>
  <c r="I2026"/>
  <c r="K2026" s="1"/>
  <c r="I899"/>
  <c r="I1201"/>
  <c r="K1201" s="1"/>
  <c r="I1222"/>
  <c r="P1217" s="1"/>
  <c r="I1272"/>
  <c r="I1286" s="1"/>
  <c r="I1305"/>
  <c r="P1334"/>
  <c r="I1646"/>
  <c r="I1845"/>
  <c r="K1845" s="1"/>
  <c r="I1945"/>
  <c r="I2007"/>
  <c r="K2007"/>
  <c r="I1454"/>
  <c r="I1479"/>
  <c r="K1479" s="1"/>
  <c r="I1251"/>
  <c r="I1323"/>
  <c r="K1323" s="1"/>
  <c r="I1357"/>
  <c r="K1357" s="1"/>
  <c r="I1379"/>
  <c r="K1379" s="1"/>
  <c r="I1406"/>
  <c r="I1419"/>
  <c r="K1419" s="1"/>
  <c r="I1809"/>
  <c r="K1809" s="1"/>
  <c r="I1911"/>
  <c r="I2130"/>
  <c r="I2150"/>
  <c r="I2384"/>
  <c r="I2398" s="1"/>
  <c r="K2398" s="1"/>
  <c r="I2698"/>
  <c r="K2698" s="1"/>
  <c r="I2738"/>
  <c r="K2738" s="1"/>
  <c r="I3457"/>
  <c r="P3463"/>
  <c r="R3463" s="1"/>
  <c r="Z709"/>
  <c r="P25"/>
  <c r="R25" s="1"/>
  <c r="I141"/>
  <c r="K141" s="1"/>
  <c r="R1050"/>
  <c r="R1070"/>
  <c r="R2516"/>
  <c r="R949"/>
  <c r="AB1367"/>
  <c r="AD1367" s="1"/>
  <c r="I3987"/>
  <c r="I4018" s="1"/>
  <c r="V1395"/>
  <c r="X1378"/>
  <c r="X806"/>
  <c r="R948"/>
  <c r="R1241"/>
  <c r="V1392"/>
  <c r="V1408" s="1"/>
  <c r="P1463"/>
  <c r="V1450"/>
  <c r="AB1448" s="1"/>
  <c r="R1489"/>
  <c r="P1535"/>
  <c r="R1535" s="1"/>
  <c r="X2606"/>
  <c r="Z2604"/>
  <c r="AE2620"/>
  <c r="AG2620" s="1"/>
  <c r="K3324"/>
  <c r="K3463"/>
  <c r="R3162"/>
  <c r="R3331"/>
  <c r="K3959"/>
  <c r="I3976"/>
  <c r="K2130"/>
  <c r="K1406"/>
  <c r="K1251"/>
  <c r="G1070" i="56" s="1"/>
  <c r="V1280" i="1"/>
  <c r="AB1265"/>
  <c r="AD1265" s="1"/>
  <c r="K1272"/>
  <c r="K1286"/>
  <c r="P2026"/>
  <c r="R2026" s="1"/>
  <c r="R550"/>
  <c r="V337"/>
  <c r="AE337"/>
  <c r="AG337" s="1"/>
  <c r="K337"/>
  <c r="K621"/>
  <c r="K527"/>
  <c r="K395"/>
  <c r="X395"/>
  <c r="K313"/>
  <c r="V313"/>
  <c r="K244" i="11"/>
  <c r="V1443" i="1"/>
  <c r="X1396"/>
  <c r="V1412"/>
  <c r="X1412" s="1"/>
  <c r="I1078"/>
  <c r="K3459"/>
  <c r="K2178"/>
  <c r="K2165"/>
  <c r="K1149"/>
  <c r="P2031"/>
  <c r="R2031" s="1"/>
  <c r="K652"/>
  <c r="P234"/>
  <c r="AB530"/>
  <c r="X530"/>
  <c r="R891"/>
  <c r="K763"/>
  <c r="K490"/>
  <c r="K3976"/>
  <c r="K1911"/>
  <c r="P1861"/>
  <c r="K1222"/>
  <c r="K883"/>
  <c r="R365"/>
  <c r="K357"/>
  <c r="V381"/>
  <c r="AB1434"/>
  <c r="X1436"/>
  <c r="K3482"/>
  <c r="K2739"/>
  <c r="K2686"/>
  <c r="K1435"/>
  <c r="R1146"/>
  <c r="P1177"/>
  <c r="R1177" s="1"/>
  <c r="R1523"/>
  <c r="K2079"/>
  <c r="K1507"/>
  <c r="I3170"/>
  <c r="K1253"/>
  <c r="G1072" i="56" s="1"/>
  <c r="V1282" i="1"/>
  <c r="X1282" s="1"/>
  <c r="K2399"/>
  <c r="K1995"/>
  <c r="K1202"/>
  <c r="K584"/>
  <c r="X479"/>
  <c r="K213"/>
  <c r="K300"/>
  <c r="K884"/>
  <c r="AD646"/>
  <c r="X711"/>
  <c r="Z711" s="1"/>
  <c r="R364"/>
  <c r="V1459"/>
  <c r="K87" i="11"/>
  <c r="I4008" i="1"/>
  <c r="I37" i="25" s="1"/>
  <c r="R3471" i="1"/>
  <c r="M2581"/>
  <c r="O2581" s="1"/>
  <c r="O2583" s="1"/>
  <c r="O2584" s="1"/>
  <c r="K228" i="11"/>
  <c r="X1450" i="1"/>
  <c r="X1392"/>
  <c r="AB1384"/>
  <c r="K2384"/>
  <c r="K1454"/>
  <c r="K1646"/>
  <c r="I3641"/>
  <c r="K3641" s="1"/>
  <c r="K1466"/>
  <c r="X529"/>
  <c r="R268"/>
  <c r="K298"/>
  <c r="K583"/>
  <c r="R349"/>
  <c r="R504"/>
  <c r="K1109" i="11"/>
  <c r="X895" i="1"/>
  <c r="I2607"/>
  <c r="K1846"/>
  <c r="K1407"/>
  <c r="I3578"/>
  <c r="P3568"/>
  <c r="R3568" s="1"/>
  <c r="P2435"/>
  <c r="R2435" s="1"/>
  <c r="K1974"/>
  <c r="P1219"/>
  <c r="P1224" s="1"/>
  <c r="P1266"/>
  <c r="V1246" s="1"/>
  <c r="K1647"/>
  <c r="I1287"/>
  <c r="K1287" s="1"/>
  <c r="AB1266"/>
  <c r="AD1266" s="1"/>
  <c r="R551"/>
  <c r="K198"/>
  <c r="P198"/>
  <c r="K811"/>
  <c r="V805"/>
  <c r="X805" s="1"/>
  <c r="K507"/>
  <c r="V359"/>
  <c r="K622"/>
  <c r="R338"/>
  <c r="K2701"/>
  <c r="K2702" s="1"/>
  <c r="K2703" s="1"/>
  <c r="X1395"/>
  <c r="V1411"/>
  <c r="AB1409" s="1"/>
  <c r="K3457"/>
  <c r="P2008"/>
  <c r="R2008"/>
  <c r="K1305"/>
  <c r="K899"/>
  <c r="X478"/>
  <c r="K651"/>
  <c r="R320"/>
  <c r="K2713"/>
  <c r="I2719"/>
  <c r="K2132"/>
  <c r="K1519"/>
  <c r="K2322"/>
  <c r="K1420"/>
  <c r="R2337"/>
  <c r="K1912"/>
  <c r="K1467"/>
  <c r="K2152"/>
  <c r="K1258"/>
  <c r="G1077" i="56" s="1"/>
  <c r="X1287" i="1"/>
  <c r="V866"/>
  <c r="X866" s="1"/>
  <c r="K339"/>
  <c r="K274"/>
  <c r="K1093" i="11"/>
  <c r="K303"/>
  <c r="AB1386" i="1"/>
  <c r="AD1386" s="1"/>
  <c r="AD1369"/>
  <c r="P818" i="11"/>
  <c r="R818" s="1"/>
  <c r="K304"/>
  <c r="K2269" i="1" s="1"/>
  <c r="K2719"/>
  <c r="K587"/>
  <c r="K589" s="1"/>
  <c r="I590" s="1"/>
  <c r="AD1384"/>
  <c r="AD1448"/>
  <c r="AF646"/>
  <c r="AD479"/>
  <c r="AD1434"/>
  <c r="AB554"/>
  <c r="AD554" s="1"/>
  <c r="X313"/>
  <c r="V820"/>
  <c r="X820" s="1"/>
  <c r="R166"/>
  <c r="X337"/>
  <c r="V1300"/>
  <c r="I2410"/>
  <c r="K2410" s="1"/>
  <c r="R1995"/>
  <c r="AF454"/>
  <c r="AF455" s="1"/>
  <c r="AF456" s="1"/>
  <c r="AF457" s="1"/>
  <c r="AF458" s="1"/>
  <c r="AF459" s="1"/>
  <c r="AF460" s="1"/>
  <c r="AF461" s="1"/>
  <c r="AF462" s="1"/>
  <c r="AF463" s="1"/>
  <c r="R234"/>
  <c r="AB1410"/>
  <c r="R1219"/>
  <c r="T1219" s="1"/>
  <c r="P1261"/>
  <c r="K1128" i="11"/>
  <c r="X584" i="1"/>
  <c r="K3170"/>
  <c r="I3183"/>
  <c r="R3465"/>
  <c r="X427"/>
  <c r="X1280"/>
  <c r="K1141" i="11"/>
  <c r="I1174"/>
  <c r="I1189" s="1"/>
  <c r="K1189" s="1"/>
  <c r="P1238" i="1"/>
  <c r="R1238" s="1"/>
  <c r="R1224"/>
  <c r="T1224" s="1"/>
  <c r="L304" i="11"/>
  <c r="K1174"/>
  <c r="I2418" i="64"/>
  <c r="I2419"/>
  <c r="I2141"/>
  <c r="I2142"/>
  <c r="I2445"/>
  <c r="I2446"/>
  <c r="I2619"/>
  <c r="H1151" i="67"/>
  <c r="I1151" s="1"/>
  <c r="R1151" s="1"/>
  <c r="H1011"/>
  <c r="I1011" s="1"/>
  <c r="R1011" s="1"/>
  <c r="H1117"/>
  <c r="I1117" s="1"/>
  <c r="R1117" s="1"/>
  <c r="H1007"/>
  <c r="I1007" s="1"/>
  <c r="R1007" s="1"/>
  <c r="H1009"/>
  <c r="I1009" s="1"/>
  <c r="R1009" s="1"/>
  <c r="H1118"/>
  <c r="I1118" s="1"/>
  <c r="R1118" s="1"/>
  <c r="H1106"/>
  <c r="I1106" s="1"/>
  <c r="R1106" s="1"/>
  <c r="H1104"/>
  <c r="I1104" s="1"/>
  <c r="R1104" s="1"/>
  <c r="H1103"/>
  <c r="I1103" s="1"/>
  <c r="R1103" s="1"/>
  <c r="I2193" i="64"/>
  <c r="I2194" s="1"/>
  <c r="I280"/>
  <c r="I281"/>
  <c r="I823"/>
  <c r="I824"/>
  <c r="I269"/>
  <c r="I270"/>
  <c r="I2484"/>
  <c r="I2485"/>
  <c r="I175"/>
  <c r="I979"/>
  <c r="I980"/>
  <c r="I1978"/>
  <c r="I1979"/>
  <c r="I2402"/>
  <c r="I2403"/>
  <c r="I117"/>
  <c r="I118"/>
  <c r="I829"/>
  <c r="I830"/>
  <c r="I257"/>
  <c r="I258"/>
  <c r="I816"/>
  <c r="I817"/>
  <c r="I1643"/>
  <c r="I1644"/>
  <c r="F2476" s="1"/>
  <c r="I2476" s="1"/>
  <c r="I340"/>
  <c r="I341"/>
  <c r="I1599"/>
  <c r="I1600"/>
  <c r="F2475" s="1"/>
  <c r="I2475" s="1"/>
  <c r="I2456"/>
  <c r="I2457"/>
  <c r="I26"/>
  <c r="I27"/>
  <c r="I683"/>
  <c r="I684"/>
  <c r="I2110" s="1"/>
  <c r="I1552"/>
  <c r="I1553" s="1"/>
  <c r="F2474" s="1"/>
  <c r="I2474" s="1"/>
  <c r="I2440"/>
  <c r="I2441" s="1"/>
  <c r="I1018"/>
  <c r="I2205"/>
  <c r="I2206"/>
  <c r="I66"/>
  <c r="I67" s="1"/>
  <c r="I1473"/>
  <c r="I1474" s="1"/>
  <c r="F2472" s="1"/>
  <c r="I2472" s="1"/>
  <c r="I2478" s="1"/>
  <c r="I2479" s="1"/>
  <c r="I1444" s="1"/>
  <c r="I1710"/>
  <c r="I1711" s="1"/>
  <c r="I144"/>
  <c r="I145" s="1"/>
  <c r="I1924"/>
  <c r="I1925" s="1"/>
  <c r="I2087"/>
  <c r="I2088" s="1"/>
  <c r="I1664"/>
  <c r="I1665" s="1"/>
  <c r="F2477" s="1"/>
  <c r="I2477" s="1"/>
  <c r="I202"/>
  <c r="I203" s="1"/>
  <c r="I291"/>
  <c r="I292" s="1"/>
  <c r="I894"/>
  <c r="I895" s="1"/>
  <c r="I1511"/>
  <c r="I1512" s="1"/>
  <c r="F2473" s="1"/>
  <c r="I2473" s="1"/>
  <c r="I90"/>
  <c r="I91" s="1"/>
  <c r="I1969"/>
  <c r="I1970" s="1"/>
  <c r="I490"/>
  <c r="I491" s="1"/>
  <c r="F1441"/>
  <c r="I1441" s="1"/>
  <c r="I1442" s="1"/>
  <c r="I836"/>
  <c r="A22" i="58"/>
  <c r="A23" s="1"/>
  <c r="I714" i="64"/>
  <c r="I715" s="1"/>
  <c r="I3464" i="1"/>
  <c r="P3470" s="1"/>
  <c r="R3470" s="1"/>
  <c r="R523"/>
  <c r="R321"/>
  <c r="R53"/>
  <c r="AB1394"/>
  <c r="AD1394" s="1"/>
  <c r="R2852" i="27"/>
  <c r="V3545" i="1"/>
  <c r="K3545"/>
  <c r="I1110" i="11"/>
  <c r="K1110" s="1"/>
  <c r="J3855" i="1"/>
  <c r="H3876"/>
  <c r="K3795"/>
  <c r="I3809"/>
  <c r="K2098"/>
  <c r="I2684"/>
  <c r="K2684" s="1"/>
  <c r="K2689" s="1"/>
  <c r="K2690" s="1"/>
  <c r="D1557" i="67"/>
  <c r="G1557" s="1"/>
  <c r="K3212" i="1"/>
  <c r="D1556" i="67"/>
  <c r="G1556" s="1"/>
  <c r="K3198" i="1"/>
  <c r="S1158"/>
  <c r="J687"/>
  <c r="J688" s="1"/>
  <c r="J689" s="1"/>
  <c r="J690" s="1"/>
  <c r="AF412"/>
  <c r="AR401" s="1"/>
  <c r="AR402" s="1"/>
  <c r="AR403" s="1"/>
  <c r="AR404" s="1"/>
  <c r="AR405" s="1"/>
  <c r="AR406" s="1"/>
  <c r="J707"/>
  <c r="J708" s="1"/>
  <c r="J709" s="1"/>
  <c r="J710" s="1"/>
  <c r="I2131"/>
  <c r="I2164"/>
  <c r="K2164"/>
  <c r="I2151"/>
  <c r="I2177"/>
  <c r="I2666"/>
  <c r="P213"/>
  <c r="R213" s="1"/>
  <c r="I3149"/>
  <c r="P3156" s="1"/>
  <c r="R3156" s="1"/>
  <c r="P450"/>
  <c r="R450"/>
  <c r="P640"/>
  <c r="I1750"/>
  <c r="K1750" s="1"/>
  <c r="I2145"/>
  <c r="K2145" s="1"/>
  <c r="P576"/>
  <c r="I1780"/>
  <c r="K1780" s="1"/>
  <c r="I2662"/>
  <c r="K2662" s="1"/>
  <c r="C88"/>
  <c r="I726"/>
  <c r="K726" s="1"/>
  <c r="I762"/>
  <c r="K762" s="1"/>
  <c r="P794"/>
  <c r="I2348"/>
  <c r="K2348" s="1"/>
  <c r="K2351" s="1"/>
  <c r="K2352" s="1"/>
  <c r="K4066"/>
  <c r="H3869"/>
  <c r="E3873" s="1"/>
  <c r="AE2624"/>
  <c r="AG2624" s="1"/>
  <c r="I2835"/>
  <c r="I2971" s="1"/>
  <c r="I3539"/>
  <c r="P1306"/>
  <c r="J536"/>
  <c r="J537"/>
  <c r="J538" s="1"/>
  <c r="J613"/>
  <c r="J660"/>
  <c r="J661" s="1"/>
  <c r="T1182"/>
  <c r="J560"/>
  <c r="W562" s="1"/>
  <c r="AC562" s="1"/>
  <c r="AJ562" s="1"/>
  <c r="J593"/>
  <c r="J595"/>
  <c r="J597"/>
  <c r="J599"/>
  <c r="J629"/>
  <c r="W402"/>
  <c r="J686"/>
  <c r="W434"/>
  <c r="I1575"/>
  <c r="K1575" s="1"/>
  <c r="I1603"/>
  <c r="P1604" s="1"/>
  <c r="R1604" s="1"/>
  <c r="I1772"/>
  <c r="K1772"/>
  <c r="C30"/>
  <c r="I1129" s="1"/>
  <c r="K1129" s="1"/>
  <c r="I2664"/>
  <c r="I3102" s="1"/>
  <c r="C26"/>
  <c r="P451" s="1"/>
  <c r="R451" s="1"/>
  <c r="K515"/>
  <c r="K283"/>
  <c r="I74"/>
  <c r="I156"/>
  <c r="K156" s="1"/>
  <c r="I1826"/>
  <c r="I2737"/>
  <c r="K2737"/>
  <c r="P521"/>
  <c r="I1808"/>
  <c r="K1808" s="1"/>
  <c r="D17"/>
  <c r="I1943"/>
  <c r="K1943"/>
  <c r="I2027"/>
  <c r="P2027"/>
  <c r="I2106"/>
  <c r="K2106"/>
  <c r="I3121"/>
  <c r="K3121"/>
  <c r="K3123" s="1"/>
  <c r="I1972"/>
  <c r="P1972"/>
  <c r="R1972" s="1"/>
  <c r="I2011"/>
  <c r="P2012" s="1"/>
  <c r="R2012" s="1"/>
  <c r="I2077"/>
  <c r="I1506"/>
  <c r="K1506"/>
  <c r="K1511" s="1"/>
  <c r="K1513" s="1"/>
  <c r="I1533"/>
  <c r="K1533" s="1"/>
  <c r="I2712"/>
  <c r="I2775"/>
  <c r="K2775" s="1"/>
  <c r="K2778" s="1"/>
  <c r="I1161"/>
  <c r="I1548"/>
  <c r="K1548"/>
  <c r="K1551" s="1"/>
  <c r="K1553" s="1"/>
  <c r="I3806"/>
  <c r="K3806" s="1"/>
  <c r="I3608"/>
  <c r="K3608" s="1"/>
  <c r="I3584"/>
  <c r="K3584" s="1"/>
  <c r="I3583"/>
  <c r="S3555"/>
  <c r="AE3554"/>
  <c r="V3617" s="1"/>
  <c r="X3617" s="1"/>
  <c r="I3525"/>
  <c r="P3529" s="1"/>
  <c r="R3529" s="1"/>
  <c r="R3515"/>
  <c r="P3446"/>
  <c r="P3445"/>
  <c r="R3445"/>
  <c r="P3444"/>
  <c r="R3444" s="1"/>
  <c r="P3443"/>
  <c r="P3402"/>
  <c r="P3398"/>
  <c r="R3398" s="1"/>
  <c r="P3364"/>
  <c r="R3364" s="1"/>
  <c r="I3327"/>
  <c r="I3326"/>
  <c r="K3326" s="1"/>
  <c r="P3325"/>
  <c r="I3325"/>
  <c r="I3394" s="1"/>
  <c r="I3323"/>
  <c r="P3155"/>
  <c r="V3139"/>
  <c r="V3164" s="1"/>
  <c r="V3132"/>
  <c r="V3157" s="1"/>
  <c r="X3157" s="1"/>
  <c r="I3074"/>
  <c r="K3074" s="1"/>
  <c r="I2977"/>
  <c r="I2976"/>
  <c r="P2983" s="1"/>
  <c r="R2983" s="1"/>
  <c r="I2975"/>
  <c r="I2974"/>
  <c r="I2973"/>
  <c r="P2980" s="1"/>
  <c r="R2980" s="1"/>
  <c r="I2972"/>
  <c r="K2972"/>
  <c r="P2863"/>
  <c r="P2862"/>
  <c r="R2862" s="1"/>
  <c r="P2861"/>
  <c r="P2860"/>
  <c r="R2860" s="1"/>
  <c r="P2859"/>
  <c r="P2858"/>
  <c r="R2858" s="1"/>
  <c r="AE2651"/>
  <c r="P2648"/>
  <c r="R2648" s="1"/>
  <c r="P2647"/>
  <c r="P2436"/>
  <c r="R2436" s="1"/>
  <c r="P2434"/>
  <c r="P2433"/>
  <c r="P1459"/>
  <c r="P1490"/>
  <c r="P1410"/>
  <c r="R1409"/>
  <c r="X1337"/>
  <c r="V1283"/>
  <c r="X1283" s="1"/>
  <c r="P1094"/>
  <c r="P1398" s="1"/>
  <c r="P1071"/>
  <c r="AE1069"/>
  <c r="AG1069"/>
  <c r="P1068"/>
  <c r="R1068" s="1"/>
  <c r="AE1066"/>
  <c r="AG1066" s="1"/>
  <c r="P1053"/>
  <c r="R1053" s="1"/>
  <c r="K1057"/>
  <c r="K958"/>
  <c r="V901"/>
  <c r="X901"/>
  <c r="I896"/>
  <c r="K880"/>
  <c r="X648"/>
  <c r="X647"/>
  <c r="I94"/>
  <c r="AJ43"/>
  <c r="Z27"/>
  <c r="Z28" s="1"/>
  <c r="AC28" s="1"/>
  <c r="X26"/>
  <c r="X27" s="1"/>
  <c r="X28" s="1"/>
  <c r="K1102" i="11"/>
  <c r="D454" i="67"/>
  <c r="L725" i="11"/>
  <c r="K222"/>
  <c r="I1067"/>
  <c r="K219"/>
  <c r="I1064"/>
  <c r="K1064" s="1"/>
  <c r="K2628" i="27"/>
  <c r="K2629" s="1"/>
  <c r="I2614" s="1"/>
  <c r="K2614" s="1"/>
  <c r="K1765"/>
  <c r="K1767" s="1"/>
  <c r="I1811" s="1"/>
  <c r="K1811" s="1"/>
  <c r="K1813" s="1"/>
  <c r="K1469"/>
  <c r="K1471" s="1"/>
  <c r="D1541" i="67"/>
  <c r="G1541" s="1"/>
  <c r="L871" i="11"/>
  <c r="D456" i="67"/>
  <c r="M684" i="11"/>
  <c r="K391"/>
  <c r="I387" s="1"/>
  <c r="K387" s="1"/>
  <c r="I504"/>
  <c r="H5" i="4"/>
  <c r="H6"/>
  <c r="H10"/>
  <c r="Z18" i="1"/>
  <c r="AC18" s="1"/>
  <c r="C80" s="1"/>
  <c r="K1870" i="27"/>
  <c r="K1783"/>
  <c r="K1785"/>
  <c r="I1819" s="1"/>
  <c r="K1819" s="1"/>
  <c r="K1747"/>
  <c r="K1749" s="1"/>
  <c r="I1803" s="1"/>
  <c r="K1803" s="1"/>
  <c r="K1455"/>
  <c r="K1457" s="1"/>
  <c r="F136" i="25"/>
  <c r="D38"/>
  <c r="K1063" i="11"/>
  <c r="I576"/>
  <c r="I575"/>
  <c r="K575" s="1"/>
  <c r="I448"/>
  <c r="P296"/>
  <c r="I223"/>
  <c r="I102"/>
  <c r="I122" s="1"/>
  <c r="I84"/>
  <c r="K84" s="1"/>
  <c r="I2856" i="27"/>
  <c r="Q11" i="4"/>
  <c r="Z23" i="1" s="1"/>
  <c r="AC23" s="1"/>
  <c r="K3351" i="27"/>
  <c r="I3274"/>
  <c r="K3274" s="1"/>
  <c r="I3159"/>
  <c r="K3159" s="1"/>
  <c r="R3113"/>
  <c r="K3101"/>
  <c r="I2936"/>
  <c r="K2913"/>
  <c r="P2847"/>
  <c r="P2880" s="1"/>
  <c r="R2880" s="1"/>
  <c r="K2745"/>
  <c r="K2748"/>
  <c r="K2736"/>
  <c r="K2739" s="1"/>
  <c r="I1831"/>
  <c r="K1831"/>
  <c r="I1830"/>
  <c r="K1830" s="1"/>
  <c r="K1837" s="1"/>
  <c r="K1839" s="1"/>
  <c r="I1846" s="1"/>
  <c r="K1846" s="1"/>
  <c r="K1817"/>
  <c r="I1802"/>
  <c r="K1802"/>
  <c r="I18"/>
  <c r="K18"/>
  <c r="I27"/>
  <c r="K27"/>
  <c r="I63"/>
  <c r="K63"/>
  <c r="I9"/>
  <c r="K9"/>
  <c r="I270"/>
  <c r="K270"/>
  <c r="I496"/>
  <c r="K496"/>
  <c r="P430"/>
  <c r="R430"/>
  <c r="R443" s="1"/>
  <c r="R445" s="1"/>
  <c r="P449"/>
  <c r="R449"/>
  <c r="P467"/>
  <c r="R467"/>
  <c r="R479" s="1"/>
  <c r="R481" s="1"/>
  <c r="P553"/>
  <c r="R553"/>
  <c r="I44"/>
  <c r="K44"/>
  <c r="D1534" i="67"/>
  <c r="G1534" s="1"/>
  <c r="D1498"/>
  <c r="G1498" s="1"/>
  <c r="P25" i="27"/>
  <c r="R25"/>
  <c r="Z29"/>
  <c r="AC29" s="1"/>
  <c r="C91" s="1"/>
  <c r="I11"/>
  <c r="K11" s="1"/>
  <c r="I20"/>
  <c r="K20" s="1"/>
  <c r="I29"/>
  <c r="K29" s="1"/>
  <c r="I65"/>
  <c r="K65" s="1"/>
  <c r="I725"/>
  <c r="K725" s="1"/>
  <c r="I747"/>
  <c r="K747" s="1"/>
  <c r="P764"/>
  <c r="R764" s="1"/>
  <c r="I274"/>
  <c r="K274" s="1"/>
  <c r="I315"/>
  <c r="K315" s="1"/>
  <c r="P321"/>
  <c r="R321" s="1"/>
  <c r="P338"/>
  <c r="R338" s="1"/>
  <c r="I339"/>
  <c r="K339" s="1"/>
  <c r="P350"/>
  <c r="R350" s="1"/>
  <c r="I359"/>
  <c r="K359" s="1"/>
  <c r="P365"/>
  <c r="R365" s="1"/>
  <c r="I414"/>
  <c r="K414" s="1"/>
  <c r="I448"/>
  <c r="K448" s="1"/>
  <c r="I483"/>
  <c r="K483" s="1"/>
  <c r="P498"/>
  <c r="R498" s="1"/>
  <c r="P516"/>
  <c r="R516" s="1"/>
  <c r="P536"/>
  <c r="R536" s="1"/>
  <c r="I824"/>
  <c r="K824" s="1"/>
  <c r="I843"/>
  <c r="K843" s="1"/>
  <c r="P83"/>
  <c r="R83" s="1"/>
  <c r="I273"/>
  <c r="K273" s="1"/>
  <c r="I314"/>
  <c r="K314" s="1"/>
  <c r="P320"/>
  <c r="R320" s="1"/>
  <c r="P337"/>
  <c r="R337" s="1"/>
  <c r="I338"/>
  <c r="K338" s="1"/>
  <c r="P349"/>
  <c r="R349" s="1"/>
  <c r="I358"/>
  <c r="K358" s="1"/>
  <c r="P363"/>
  <c r="R363" s="1"/>
  <c r="I413"/>
  <c r="K413" s="1"/>
  <c r="I447"/>
  <c r="K447" s="1"/>
  <c r="I482"/>
  <c r="K482" s="1"/>
  <c r="P497"/>
  <c r="R497" s="1"/>
  <c r="R503" s="1"/>
  <c r="R505" s="1"/>
  <c r="I499"/>
  <c r="K499" s="1"/>
  <c r="P515"/>
  <c r="R515" s="1"/>
  <c r="P535"/>
  <c r="R535" s="1"/>
  <c r="I536"/>
  <c r="K536" s="1"/>
  <c r="I561"/>
  <c r="K561" s="1"/>
  <c r="I726"/>
  <c r="K726" s="1"/>
  <c r="I748"/>
  <c r="K748" s="1"/>
  <c r="I272"/>
  <c r="K272" s="1"/>
  <c r="I313"/>
  <c r="K313" s="1"/>
  <c r="I337"/>
  <c r="K337" s="1"/>
  <c r="I357"/>
  <c r="K357" s="1"/>
  <c r="I412"/>
  <c r="K412" s="1"/>
  <c r="I446"/>
  <c r="K446" s="1"/>
  <c r="I481"/>
  <c r="K481" s="1"/>
  <c r="I498"/>
  <c r="K498" s="1"/>
  <c r="L25" i="32"/>
  <c r="Q24"/>
  <c r="E1982" i="64"/>
  <c r="I1982" s="1"/>
  <c r="I1983" s="1"/>
  <c r="E1985"/>
  <c r="I1985" s="1"/>
  <c r="I1986" s="1"/>
  <c r="R2847" i="27"/>
  <c r="K2936"/>
  <c r="I3054"/>
  <c r="K3054" s="1"/>
  <c r="I3199"/>
  <c r="K3199" s="1"/>
  <c r="I3810"/>
  <c r="K3810" s="1"/>
  <c r="I220" i="11"/>
  <c r="K220" s="1"/>
  <c r="Z29" i="1"/>
  <c r="K1067" i="11"/>
  <c r="K896" i="1"/>
  <c r="R1071"/>
  <c r="P1427"/>
  <c r="R2434"/>
  <c r="R2647"/>
  <c r="R2859"/>
  <c r="R2861"/>
  <c r="R2863"/>
  <c r="K2975"/>
  <c r="K2977"/>
  <c r="I3062"/>
  <c r="I3081" s="1"/>
  <c r="K3081" s="1"/>
  <c r="P2984"/>
  <c r="K3323"/>
  <c r="I3392"/>
  <c r="R3325"/>
  <c r="P3362"/>
  <c r="K3327"/>
  <c r="I3396"/>
  <c r="R3402"/>
  <c r="R3446"/>
  <c r="I3541"/>
  <c r="P3545" s="1"/>
  <c r="R3545" s="1"/>
  <c r="I1615"/>
  <c r="K1615" s="1"/>
  <c r="D1555" i="67"/>
  <c r="G1555" s="1"/>
  <c r="I3271" i="1"/>
  <c r="K3271" s="1"/>
  <c r="I3185"/>
  <c r="V3539"/>
  <c r="P3543"/>
  <c r="R3543" s="1"/>
  <c r="AE3539"/>
  <c r="R3518"/>
  <c r="R3519" s="1"/>
  <c r="I3506" s="1"/>
  <c r="K3506" s="1"/>
  <c r="P210"/>
  <c r="R210" s="1"/>
  <c r="K2131"/>
  <c r="K2134" s="1"/>
  <c r="K3464"/>
  <c r="I3831"/>
  <c r="K3831" s="1"/>
  <c r="I207" i="11"/>
  <c r="K207" s="1"/>
  <c r="R296"/>
  <c r="K576"/>
  <c r="I595"/>
  <c r="K595" s="1"/>
  <c r="F38" i="25"/>
  <c r="D60"/>
  <c r="F60" s="1"/>
  <c r="R46" i="11"/>
  <c r="P61" s="1"/>
  <c r="R61" s="1"/>
  <c r="I1116"/>
  <c r="K1116" s="1"/>
  <c r="K94" i="1"/>
  <c r="V1420"/>
  <c r="R1459"/>
  <c r="I3057"/>
  <c r="K3057" s="1"/>
  <c r="P2979"/>
  <c r="R2979"/>
  <c r="I3059"/>
  <c r="X3139"/>
  <c r="K3325"/>
  <c r="R3443"/>
  <c r="AG3554"/>
  <c r="K3583"/>
  <c r="I3629"/>
  <c r="K3629" s="1"/>
  <c r="K1161"/>
  <c r="K1165" s="1"/>
  <c r="K1167" s="1"/>
  <c r="K2712"/>
  <c r="I3169"/>
  <c r="I3182"/>
  <c r="K3182" s="1"/>
  <c r="K2077"/>
  <c r="K1972"/>
  <c r="P3121"/>
  <c r="K2027"/>
  <c r="I3564"/>
  <c r="R521"/>
  <c r="K1826"/>
  <c r="K74"/>
  <c r="P577"/>
  <c r="R577" s="1"/>
  <c r="I920"/>
  <c r="I1588"/>
  <c r="K1588" s="1"/>
  <c r="J630"/>
  <c r="V591"/>
  <c r="R1306"/>
  <c r="R794"/>
  <c r="I3100"/>
  <c r="K3100" s="1"/>
  <c r="P2669"/>
  <c r="R576"/>
  <c r="R640"/>
  <c r="P2673"/>
  <c r="K2177"/>
  <c r="K2180" s="1"/>
  <c r="K2182" s="1"/>
  <c r="K2184" s="1"/>
  <c r="D412" i="69" s="1"/>
  <c r="O412" s="1"/>
  <c r="AF413" i="1"/>
  <c r="AF414"/>
  <c r="AF415" s="1"/>
  <c r="AF416" s="1"/>
  <c r="AF417" s="1"/>
  <c r="AF418" s="1"/>
  <c r="AF419" s="1"/>
  <c r="AF420" s="1"/>
  <c r="AF421" s="1"/>
  <c r="AF422" s="1"/>
  <c r="D399" i="67"/>
  <c r="K3809" i="1"/>
  <c r="H3892"/>
  <c r="J3892" s="1"/>
  <c r="V3525"/>
  <c r="X3525" s="1"/>
  <c r="X3545"/>
  <c r="V3561"/>
  <c r="J662"/>
  <c r="J663" s="1"/>
  <c r="K920"/>
  <c r="R529"/>
  <c r="R3121"/>
  <c r="R3123" s="1"/>
  <c r="K3169"/>
  <c r="K2715"/>
  <c r="K2716" s="1"/>
  <c r="P3066"/>
  <c r="K3059"/>
  <c r="I3078"/>
  <c r="K3078" s="1"/>
  <c r="R1490"/>
  <c r="V1451"/>
  <c r="AB1449" s="1"/>
  <c r="AD1449" s="1"/>
  <c r="X1420"/>
  <c r="P28" i="11"/>
  <c r="R28" s="1"/>
  <c r="I616"/>
  <c r="I656" s="1"/>
  <c r="K656" s="1"/>
  <c r="AE3555" i="1"/>
  <c r="AG3539"/>
  <c r="K3541"/>
  <c r="R3362"/>
  <c r="P3396"/>
  <c r="R2984"/>
  <c r="Z34"/>
  <c r="AC34" s="1"/>
  <c r="C77" s="1"/>
  <c r="I444" s="1"/>
  <c r="K444" s="1"/>
  <c r="AC29"/>
  <c r="C91" s="1"/>
  <c r="I3891" i="27"/>
  <c r="K3891" s="1"/>
  <c r="X3561" i="1"/>
  <c r="V3577"/>
  <c r="V3592" s="1"/>
  <c r="R798"/>
  <c r="R800" s="1"/>
  <c r="J631"/>
  <c r="K3564"/>
  <c r="P3567"/>
  <c r="R2027"/>
  <c r="K2085"/>
  <c r="K2087" s="1"/>
  <c r="I3076"/>
  <c r="P3064"/>
  <c r="R3064" s="1"/>
  <c r="V3519"/>
  <c r="X3539"/>
  <c r="I3368"/>
  <c r="I3355" s="1"/>
  <c r="K3355" s="1"/>
  <c r="K3185"/>
  <c r="I3429"/>
  <c r="R1427"/>
  <c r="P1443"/>
  <c r="P1460" s="1"/>
  <c r="X3577"/>
  <c r="R3396"/>
  <c r="X1451"/>
  <c r="I3197"/>
  <c r="I3242" s="1"/>
  <c r="R531"/>
  <c r="K3429"/>
  <c r="K3368"/>
  <c r="K3076"/>
  <c r="R3567"/>
  <c r="J632"/>
  <c r="K616" i="11"/>
  <c r="R3066" i="1"/>
  <c r="I156" i="68"/>
  <c r="I758"/>
  <c r="I759"/>
  <c r="I765"/>
  <c r="I766" s="1"/>
  <c r="F232" i="69" s="1"/>
  <c r="P232" s="1"/>
  <c r="B232" s="1"/>
  <c r="I1397" i="68"/>
  <c r="F913" i="69" s="1"/>
  <c r="P913" s="1"/>
  <c r="B913" s="1"/>
  <c r="I1524" i="68"/>
  <c r="F916" i="69" s="1"/>
  <c r="P916" s="1"/>
  <c r="B916" s="1"/>
  <c r="I2427" i="68"/>
  <c r="I2428" s="1"/>
  <c r="I2436"/>
  <c r="I2437" s="1"/>
  <c r="I2540"/>
  <c r="F723" i="69" s="1"/>
  <c r="P723" s="1"/>
  <c r="I2550" i="68"/>
  <c r="F724" i="69" s="1"/>
  <c r="I2783" i="68"/>
  <c r="I2784" s="1"/>
  <c r="F922" i="67" s="1"/>
  <c r="I2852" i="68"/>
  <c r="F967" i="69" s="1"/>
  <c r="I2914" i="68"/>
  <c r="F968" i="69" s="1"/>
  <c r="I2918" i="68"/>
  <c r="F969" i="69" s="1"/>
  <c r="P969" s="1"/>
  <c r="I3021" i="68"/>
  <c r="F985" i="67" s="1"/>
  <c r="G985" s="1"/>
  <c r="R985" s="1"/>
  <c r="I2383" i="68"/>
  <c r="I2384" s="1"/>
  <c r="F693" i="69" s="1"/>
  <c r="P693" s="1"/>
  <c r="B693" s="1"/>
  <c r="X34" i="27"/>
  <c r="AC41" i="1"/>
  <c r="V379" s="1"/>
  <c r="Z42"/>
  <c r="AC42" s="1"/>
  <c r="Z45"/>
  <c r="AC45" s="1"/>
  <c r="C35"/>
  <c r="C141"/>
  <c r="P140"/>
  <c r="R140" s="1"/>
  <c r="I3004"/>
  <c r="K3004" s="1"/>
  <c r="Z20"/>
  <c r="AC20" s="1"/>
  <c r="AC19"/>
  <c r="I688" i="68"/>
  <c r="I689" s="1"/>
  <c r="F139" i="67" s="1"/>
  <c r="I1459" i="68"/>
  <c r="F914" i="69" s="1"/>
  <c r="P914" s="1"/>
  <c r="B914" s="1"/>
  <c r="I208" i="68"/>
  <c r="I1334"/>
  <c r="F406" i="69" s="1"/>
  <c r="I1588" i="68"/>
  <c r="F918" i="69" s="1"/>
  <c r="P918" s="1"/>
  <c r="B918" s="1"/>
  <c r="F918" i="67"/>
  <c r="I1815" i="68"/>
  <c r="F437" i="67" s="1"/>
  <c r="I2962" i="68"/>
  <c r="I2963" s="1"/>
  <c r="I2683"/>
  <c r="I2684" s="1"/>
  <c r="F771" i="69" s="1"/>
  <c r="I37" i="68"/>
  <c r="I88"/>
  <c r="I76"/>
  <c r="I62"/>
  <c r="I1233"/>
  <c r="I1234" s="1"/>
  <c r="F397" i="69" s="1"/>
  <c r="I1255" i="68"/>
  <c r="I1256" s="1"/>
  <c r="I2475"/>
  <c r="F704" i="69"/>
  <c r="F704" i="67"/>
  <c r="G704" s="1"/>
  <c r="I1761" i="68"/>
  <c r="F434" i="69" s="1"/>
  <c r="I1650" i="68"/>
  <c r="F919" i="67" s="1"/>
  <c r="I1707" i="68"/>
  <c r="F920" i="67" s="1"/>
  <c r="I2459" i="68"/>
  <c r="I14"/>
  <c r="I1180"/>
  <c r="I1181"/>
  <c r="F350" i="69" s="1"/>
  <c r="P350" s="1"/>
  <c r="B350" s="1"/>
  <c r="I1327" i="68"/>
  <c r="F401" i="69" s="1"/>
  <c r="I2451" i="68"/>
  <c r="I47"/>
  <c r="I913"/>
  <c r="I938"/>
  <c r="F341" i="69" s="1"/>
  <c r="P341" s="1"/>
  <c r="B341" s="1"/>
  <c r="I804" i="68"/>
  <c r="I805" s="1"/>
  <c r="I824"/>
  <c r="I825" s="1"/>
  <c r="I845"/>
  <c r="I846" s="1"/>
  <c r="I865"/>
  <c r="I866" s="1"/>
  <c r="I872"/>
  <c r="F271" i="69"/>
  <c r="G271" s="1"/>
  <c r="I857" i="68"/>
  <c r="I858" s="1"/>
  <c r="F264" i="69" s="1"/>
  <c r="I837" i="68"/>
  <c r="I838"/>
  <c r="I831"/>
  <c r="I832" s="1"/>
  <c r="I816"/>
  <c r="I817" s="1"/>
  <c r="F258" i="69" s="1"/>
  <c r="P258" s="1"/>
  <c r="B258" s="1"/>
  <c r="I796" i="68"/>
  <c r="I797" s="1"/>
  <c r="I750"/>
  <c r="I751" s="1"/>
  <c r="F192" i="69" s="1"/>
  <c r="P192" s="1"/>
  <c r="B192" s="1"/>
  <c r="I738" i="68"/>
  <c r="I739" s="1"/>
  <c r="I708"/>
  <c r="I709"/>
  <c r="I710"/>
  <c r="I705"/>
  <c r="I706" s="1"/>
  <c r="I672"/>
  <c r="I673" s="1"/>
  <c r="F135" i="69" s="1"/>
  <c r="P135" s="1"/>
  <c r="B135" s="1"/>
  <c r="I568" i="68"/>
  <c r="I569" s="1"/>
  <c r="I695"/>
  <c r="I696" s="1"/>
  <c r="I730"/>
  <c r="I731" s="1"/>
  <c r="I2287"/>
  <c r="I2288" s="1"/>
  <c r="I26"/>
  <c r="I1222"/>
  <c r="I1223" s="1"/>
  <c r="F359" i="69" s="1"/>
  <c r="I1174" i="68"/>
  <c r="I1175" s="1"/>
  <c r="F1190"/>
  <c r="I1190" s="1"/>
  <c r="I1194" s="1"/>
  <c r="I1195" s="1"/>
  <c r="I1184"/>
  <c r="I1186" s="1"/>
  <c r="I1187" s="1"/>
  <c r="I683"/>
  <c r="I684" s="1"/>
  <c r="F95" i="67" s="1"/>
  <c r="I789" i="68"/>
  <c r="I790" s="1"/>
  <c r="I923"/>
  <c r="I924" s="1"/>
  <c r="I1057"/>
  <c r="I2573" s="1"/>
  <c r="I954"/>
  <c r="I955"/>
  <c r="F342" i="69" s="1"/>
  <c r="P342" s="1"/>
  <c r="B342" s="1"/>
  <c r="I1286" i="68"/>
  <c r="I1287" s="1"/>
  <c r="F380" i="69" s="1"/>
  <c r="I2711" i="68"/>
  <c r="I2712" s="1"/>
  <c r="F836" i="67" s="1"/>
  <c r="I2923" i="68"/>
  <c r="F453" i="67"/>
  <c r="I2469" i="68"/>
  <c r="I2470" s="1"/>
  <c r="I1871"/>
  <c r="F726" i="69" s="1"/>
  <c r="G726" s="1"/>
  <c r="I873" i="68"/>
  <c r="F347" i="69"/>
  <c r="P347" s="1"/>
  <c r="B347" s="1"/>
  <c r="D753" i="67"/>
  <c r="I2674" i="68"/>
  <c r="I2675" s="1"/>
  <c r="I92"/>
  <c r="I93" s="1"/>
  <c r="A1" i="67"/>
  <c r="I3051" i="68"/>
  <c r="I3052" s="1"/>
  <c r="I3058"/>
  <c r="F436" i="69" s="1"/>
  <c r="K61"/>
  <c r="M61"/>
  <c r="O61"/>
  <c r="I61"/>
  <c r="G113"/>
  <c r="K126"/>
  <c r="I127"/>
  <c r="G128"/>
  <c r="Q129"/>
  <c r="O130"/>
  <c r="G151"/>
  <c r="Q158"/>
  <c r="O164"/>
  <c r="G166"/>
  <c r="G170"/>
  <c r="M271"/>
  <c r="M275"/>
  <c r="M279"/>
  <c r="M283"/>
  <c r="M287"/>
  <c r="M291"/>
  <c r="O297"/>
  <c r="P327"/>
  <c r="Q327" s="1"/>
  <c r="M357"/>
  <c r="M370"/>
  <c r="O380"/>
  <c r="Q382"/>
  <c r="G387"/>
  <c r="Q388"/>
  <c r="Q389"/>
  <c r="Q431"/>
  <c r="Q432"/>
  <c r="P447"/>
  <c r="B447" s="1"/>
  <c r="P451"/>
  <c r="B451" s="1"/>
  <c r="I456"/>
  <c r="K130"/>
  <c r="K164"/>
  <c r="O166"/>
  <c r="O170"/>
  <c r="P274"/>
  <c r="B274" s="1"/>
  <c r="P290"/>
  <c r="B290" s="1"/>
  <c r="M381"/>
  <c r="O105"/>
  <c r="Q126"/>
  <c r="O127"/>
  <c r="G130"/>
  <c r="K151"/>
  <c r="G164"/>
  <c r="K166"/>
  <c r="K170"/>
  <c r="M269"/>
  <c r="M273"/>
  <c r="M277"/>
  <c r="M281"/>
  <c r="M285"/>
  <c r="M289"/>
  <c r="M312"/>
  <c r="O326"/>
  <c r="M372"/>
  <c r="I380"/>
  <c r="K382"/>
  <c r="O387"/>
  <c r="K389"/>
  <c r="K432"/>
  <c r="P453"/>
  <c r="B453" s="1"/>
  <c r="O456"/>
  <c r="Q130"/>
  <c r="Q164"/>
  <c r="I659"/>
  <c r="Q659"/>
  <c r="O666"/>
  <c r="K706"/>
  <c r="O712"/>
  <c r="I726"/>
  <c r="I735"/>
  <c r="Q735"/>
  <c r="O740"/>
  <c r="Q741"/>
  <c r="G809"/>
  <c r="O809"/>
  <c r="I810"/>
  <c r="Q850"/>
  <c r="O873"/>
  <c r="G875"/>
  <c r="I891"/>
  <c r="Q958"/>
  <c r="P974"/>
  <c r="I986"/>
  <c r="N1226"/>
  <c r="O1226" s="1"/>
  <c r="M1302"/>
  <c r="M1311"/>
  <c r="O591"/>
  <c r="G659"/>
  <c r="O659"/>
  <c r="G666"/>
  <c r="M704"/>
  <c r="I706"/>
  <c r="Q706"/>
  <c r="M712"/>
  <c r="K734"/>
  <c r="G735"/>
  <c r="O735"/>
  <c r="M740"/>
  <c r="O741"/>
  <c r="K742"/>
  <c r="Q759"/>
  <c r="G810"/>
  <c r="P822"/>
  <c r="I850"/>
  <c r="G891"/>
  <c r="P917"/>
  <c r="B917" s="1"/>
  <c r="I958"/>
  <c r="G986"/>
  <c r="O986"/>
  <c r="I994"/>
  <c r="N1050"/>
  <c r="O1086"/>
  <c r="Q1092"/>
  <c r="I1099"/>
  <c r="N1224"/>
  <c r="P1224" s="1"/>
  <c r="M1304"/>
  <c r="K704"/>
  <c r="O726"/>
  <c r="O810"/>
  <c r="O836"/>
  <c r="O891"/>
  <c r="Q986"/>
  <c r="K659"/>
  <c r="Q666"/>
  <c r="Q734"/>
  <c r="K735"/>
  <c r="O742"/>
  <c r="Q810"/>
  <c r="M836"/>
  <c r="O850"/>
  <c r="Q891"/>
  <c r="K986"/>
  <c r="M1223"/>
  <c r="K106"/>
  <c r="G106"/>
  <c r="O114"/>
  <c r="P114"/>
  <c r="Q114" s="1"/>
  <c r="K125"/>
  <c r="G125"/>
  <c r="O125"/>
  <c r="I125"/>
  <c r="O128"/>
  <c r="P128"/>
  <c r="Q128" s="1"/>
  <c r="O151"/>
  <c r="P151"/>
  <c r="Q151" s="1"/>
  <c r="O10"/>
  <c r="O16"/>
  <c r="O21"/>
  <c r="O27"/>
  <c r="N44"/>
  <c r="O47"/>
  <c r="O48"/>
  <c r="O56"/>
  <c r="O57"/>
  <c r="O63"/>
  <c r="P89"/>
  <c r="Q89" s="1"/>
  <c r="O106"/>
  <c r="G104"/>
  <c r="K104"/>
  <c r="O113"/>
  <c r="P113"/>
  <c r="B113" s="1"/>
  <c r="P124"/>
  <c r="B124" s="1"/>
  <c r="P132"/>
  <c r="B132" s="1"/>
  <c r="O104"/>
  <c r="P109"/>
  <c r="B109"/>
  <c r="P120"/>
  <c r="B120" s="1"/>
  <c r="P143"/>
  <c r="B143"/>
  <c r="P88"/>
  <c r="B88" s="1"/>
  <c r="P99"/>
  <c r="B99"/>
  <c r="P103"/>
  <c r="B103" s="1"/>
  <c r="M106"/>
  <c r="P107"/>
  <c r="B107" s="1"/>
  <c r="K129"/>
  <c r="G129"/>
  <c r="O129"/>
  <c r="I129"/>
  <c r="P147"/>
  <c r="B147" s="1"/>
  <c r="M104"/>
  <c r="Q104"/>
  <c r="P464"/>
  <c r="B464" s="1"/>
  <c r="P480"/>
  <c r="B480" s="1"/>
  <c r="P489"/>
  <c r="B489" s="1"/>
  <c r="P503"/>
  <c r="B503" s="1"/>
  <c r="M127"/>
  <c r="P155"/>
  <c r="B155" s="1"/>
  <c r="M158"/>
  <c r="P160"/>
  <c r="B160"/>
  <c r="P161"/>
  <c r="B161" s="1"/>
  <c r="M165"/>
  <c r="Q165"/>
  <c r="P166"/>
  <c r="B166" s="1"/>
  <c r="I167"/>
  <c r="O167"/>
  <c r="P170"/>
  <c r="Q170" s="1"/>
  <c r="P171"/>
  <c r="B171" s="1"/>
  <c r="P176"/>
  <c r="B176"/>
  <c r="P180"/>
  <c r="B180" s="1"/>
  <c r="P184"/>
  <c r="B184"/>
  <c r="P209"/>
  <c r="B209" s="1"/>
  <c r="P220"/>
  <c r="B220"/>
  <c r="P224"/>
  <c r="B224" s="1"/>
  <c r="P225"/>
  <c r="B225"/>
  <c r="P226"/>
  <c r="B226" s="1"/>
  <c r="P227"/>
  <c r="B227"/>
  <c r="P228"/>
  <c r="B228" s="1"/>
  <c r="P229"/>
  <c r="B229"/>
  <c r="P230"/>
  <c r="B230" s="1"/>
  <c r="P231"/>
  <c r="B231"/>
  <c r="P234"/>
  <c r="Q234" s="1"/>
  <c r="P235"/>
  <c r="B235" s="1"/>
  <c r="Q235"/>
  <c r="P239"/>
  <c r="B239" s="1"/>
  <c r="P243"/>
  <c r="B243"/>
  <c r="P247"/>
  <c r="B247" s="1"/>
  <c r="P248"/>
  <c r="B248"/>
  <c r="P252"/>
  <c r="B252" s="1"/>
  <c r="P261"/>
  <c r="B261"/>
  <c r="P273"/>
  <c r="Q273" s="1"/>
  <c r="P279"/>
  <c r="B279" s="1"/>
  <c r="P283"/>
  <c r="B283" s="1"/>
  <c r="P287"/>
  <c r="P291"/>
  <c r="Q291" s="1"/>
  <c r="P294"/>
  <c r="Q294" s="1"/>
  <c r="I297"/>
  <c r="P300"/>
  <c r="B300" s="1"/>
  <c r="P306"/>
  <c r="B306" s="1"/>
  <c r="O308"/>
  <c r="O309"/>
  <c r="I312"/>
  <c r="P316"/>
  <c r="B316" s="1"/>
  <c r="P321"/>
  <c r="B321" s="1"/>
  <c r="P325"/>
  <c r="B325" s="1"/>
  <c r="I326"/>
  <c r="M327"/>
  <c r="P333"/>
  <c r="B333" s="1"/>
  <c r="P334"/>
  <c r="B334" s="1"/>
  <c r="P338"/>
  <c r="B338" s="1"/>
  <c r="O349"/>
  <c r="O354"/>
  <c r="I357"/>
  <c r="O357"/>
  <c r="O360"/>
  <c r="P364"/>
  <c r="B364"/>
  <c r="P368"/>
  <c r="B368" s="1"/>
  <c r="P370"/>
  <c r="B370" s="1"/>
  <c r="P373"/>
  <c r="Q373" s="1"/>
  <c r="O379"/>
  <c r="M380"/>
  <c r="I381"/>
  <c r="O381"/>
  <c r="G382"/>
  <c r="P385"/>
  <c r="Q385" s="1"/>
  <c r="B385"/>
  <c r="M386"/>
  <c r="K387"/>
  <c r="P387"/>
  <c r="Q387" s="1"/>
  <c r="I388"/>
  <c r="O388"/>
  <c r="G389"/>
  <c r="P391"/>
  <c r="B391" s="1"/>
  <c r="P395"/>
  <c r="B395" s="1"/>
  <c r="P396"/>
  <c r="B396" s="1"/>
  <c r="O400"/>
  <c r="P404"/>
  <c r="B404" s="1"/>
  <c r="P405"/>
  <c r="B405" s="1"/>
  <c r="P409"/>
  <c r="B409" s="1"/>
  <c r="P410"/>
  <c r="Q410" s="1"/>
  <c r="P415"/>
  <c r="B415"/>
  <c r="P416"/>
  <c r="B416" s="1"/>
  <c r="Q416"/>
  <c r="P421"/>
  <c r="B421" s="1"/>
  <c r="P425"/>
  <c r="B425" s="1"/>
  <c r="P429"/>
  <c r="B429" s="1"/>
  <c r="P430"/>
  <c r="B430" s="1"/>
  <c r="Q430"/>
  <c r="I431"/>
  <c r="O431"/>
  <c r="G432"/>
  <c r="I434"/>
  <c r="O434"/>
  <c r="O447"/>
  <c r="O448"/>
  <c r="K454"/>
  <c r="P456"/>
  <c r="B456" s="1"/>
  <c r="Q456"/>
  <c r="O463"/>
  <c r="I113"/>
  <c r="M126"/>
  <c r="K127"/>
  <c r="I128"/>
  <c r="M130"/>
  <c r="K158"/>
  <c r="M164"/>
  <c r="K165"/>
  <c r="G167"/>
  <c r="M268"/>
  <c r="M270"/>
  <c r="M272"/>
  <c r="M274"/>
  <c r="M276"/>
  <c r="M278"/>
  <c r="M280"/>
  <c r="M282"/>
  <c r="M284"/>
  <c r="M286"/>
  <c r="M288"/>
  <c r="M290"/>
  <c r="M292"/>
  <c r="G297"/>
  <c r="G326"/>
  <c r="M369"/>
  <c r="M371"/>
  <c r="K380"/>
  <c r="M382"/>
  <c r="G388"/>
  <c r="M389"/>
  <c r="G431"/>
  <c r="M432"/>
  <c r="I454"/>
  <c r="O454"/>
  <c r="O457"/>
  <c r="P469"/>
  <c r="B469" s="1"/>
  <c r="O499"/>
  <c r="P499"/>
  <c r="Q499" s="1"/>
  <c r="M167"/>
  <c r="K268"/>
  <c r="K270"/>
  <c r="K272"/>
  <c r="K274"/>
  <c r="K276"/>
  <c r="K278"/>
  <c r="K280"/>
  <c r="K282"/>
  <c r="K284"/>
  <c r="K286"/>
  <c r="K288"/>
  <c r="K290"/>
  <c r="K292"/>
  <c r="M297"/>
  <c r="Q297"/>
  <c r="M326"/>
  <c r="Q326"/>
  <c r="K369"/>
  <c r="K371"/>
  <c r="M388"/>
  <c r="M431"/>
  <c r="O458"/>
  <c r="P485"/>
  <c r="B485" s="1"/>
  <c r="I268"/>
  <c r="I270"/>
  <c r="I272"/>
  <c r="I274"/>
  <c r="I276"/>
  <c r="I278"/>
  <c r="I280"/>
  <c r="I282"/>
  <c r="I284"/>
  <c r="I286"/>
  <c r="I288"/>
  <c r="I290"/>
  <c r="I292"/>
  <c r="I369"/>
  <c r="I371"/>
  <c r="I382"/>
  <c r="I389"/>
  <c r="I432"/>
  <c r="M454"/>
  <c r="Q454"/>
  <c r="P767"/>
  <c r="B767" s="1"/>
  <c r="P778"/>
  <c r="B778" s="1"/>
  <c r="P803"/>
  <c r="B803" s="1"/>
  <c r="P807"/>
  <c r="B807" s="1"/>
  <c r="P500"/>
  <c r="B500" s="1"/>
  <c r="P504"/>
  <c r="B504" s="1"/>
  <c r="P505"/>
  <c r="Q505" s="1"/>
  <c r="P510"/>
  <c r="B510"/>
  <c r="P514"/>
  <c r="B514" s="1"/>
  <c r="P518"/>
  <c r="B518"/>
  <c r="P522"/>
  <c r="B522" s="1"/>
  <c r="P527"/>
  <c r="B527"/>
  <c r="P532"/>
  <c r="B532" s="1"/>
  <c r="P536"/>
  <c r="B536"/>
  <c r="P537"/>
  <c r="Q537" s="1"/>
  <c r="P541"/>
  <c r="B541" s="1"/>
  <c r="P546"/>
  <c r="B546" s="1"/>
  <c r="P551"/>
  <c r="B551" s="1"/>
  <c r="P555"/>
  <c r="B555" s="1"/>
  <c r="P556"/>
  <c r="B556" s="1"/>
  <c r="P560"/>
  <c r="B560" s="1"/>
  <c r="P565"/>
  <c r="B565" s="1"/>
  <c r="P570"/>
  <c r="B570" s="1"/>
  <c r="P574"/>
  <c r="B574" s="1"/>
  <c r="I575"/>
  <c r="P579"/>
  <c r="B579" s="1"/>
  <c r="K583"/>
  <c r="P583"/>
  <c r="B583" s="1"/>
  <c r="P584"/>
  <c r="Q584" s="1"/>
  <c r="B584"/>
  <c r="P588"/>
  <c r="B588" s="1"/>
  <c r="M591"/>
  <c r="P593"/>
  <c r="B593"/>
  <c r="P597"/>
  <c r="B597" s="1"/>
  <c r="P601"/>
  <c r="B601"/>
  <c r="P606"/>
  <c r="B606" s="1"/>
  <c r="P611"/>
  <c r="B611"/>
  <c r="P615"/>
  <c r="B615" s="1"/>
  <c r="P619"/>
  <c r="Q619" s="1"/>
  <c r="B619"/>
  <c r="P629"/>
  <c r="B629" s="1"/>
  <c r="P635"/>
  <c r="B635" s="1"/>
  <c r="P646"/>
  <c r="B646" s="1"/>
  <c r="P647"/>
  <c r="B647" s="1"/>
  <c r="Q647"/>
  <c r="P651"/>
  <c r="B651" s="1"/>
  <c r="P652"/>
  <c r="Q652" s="1"/>
  <c r="B652"/>
  <c r="P657"/>
  <c r="B657" s="1"/>
  <c r="I666"/>
  <c r="P671"/>
  <c r="B671" s="1"/>
  <c r="P676"/>
  <c r="B676"/>
  <c r="P680"/>
  <c r="B680" s="1"/>
  <c r="P681"/>
  <c r="Q681" s="1"/>
  <c r="B681"/>
  <c r="P685"/>
  <c r="B685" s="1"/>
  <c r="P690"/>
  <c r="B690" s="1"/>
  <c r="P696"/>
  <c r="B696"/>
  <c r="P702"/>
  <c r="B702" s="1"/>
  <c r="P708"/>
  <c r="B708" s="1"/>
  <c r="P709"/>
  <c r="B709" s="1"/>
  <c r="K712"/>
  <c r="P717"/>
  <c r="B717" s="1"/>
  <c r="P721"/>
  <c r="B721" s="1"/>
  <c r="P725"/>
  <c r="B725"/>
  <c r="K733"/>
  <c r="P733"/>
  <c r="B733" s="1"/>
  <c r="I734"/>
  <c r="O734"/>
  <c r="K740"/>
  <c r="I741"/>
  <c r="G742"/>
  <c r="M743"/>
  <c r="P744"/>
  <c r="B744" s="1"/>
  <c r="P751"/>
  <c r="B751"/>
  <c r="O759"/>
  <c r="P764"/>
  <c r="B764" s="1"/>
  <c r="P799"/>
  <c r="G799"/>
  <c r="P509"/>
  <c r="B509" s="1"/>
  <c r="P513"/>
  <c r="B513" s="1"/>
  <c r="P517"/>
  <c r="B517" s="1"/>
  <c r="P521"/>
  <c r="B521" s="1"/>
  <c r="P526"/>
  <c r="B526" s="1"/>
  <c r="P531"/>
  <c r="B531" s="1"/>
  <c r="P535"/>
  <c r="B535" s="1"/>
  <c r="P540"/>
  <c r="B540" s="1"/>
  <c r="P545"/>
  <c r="B545" s="1"/>
  <c r="P549"/>
  <c r="B549" s="1"/>
  <c r="P550"/>
  <c r="Q550" s="1"/>
  <c r="P554"/>
  <c r="B554" s="1"/>
  <c r="P559"/>
  <c r="B559"/>
  <c r="P564"/>
  <c r="B564" s="1"/>
  <c r="P568"/>
  <c r="B568"/>
  <c r="P569"/>
  <c r="Q569" s="1"/>
  <c r="P573"/>
  <c r="B573" s="1"/>
  <c r="G575"/>
  <c r="P578"/>
  <c r="B578" s="1"/>
  <c r="P582"/>
  <c r="B582"/>
  <c r="I583"/>
  <c r="P587"/>
  <c r="B587" s="1"/>
  <c r="P591"/>
  <c r="Q591" s="1"/>
  <c r="P592"/>
  <c r="Q592" s="1"/>
  <c r="B592"/>
  <c r="P596"/>
  <c r="B596" s="1"/>
  <c r="P600"/>
  <c r="B600" s="1"/>
  <c r="P604"/>
  <c r="B604" s="1"/>
  <c r="P605"/>
  <c r="B605" s="1"/>
  <c r="P609"/>
  <c r="B609" s="1"/>
  <c r="P610"/>
  <c r="Q610" s="1"/>
  <c r="P614"/>
  <c r="B614" s="1"/>
  <c r="P625"/>
  <c r="B625" s="1"/>
  <c r="P633"/>
  <c r="B633" s="1"/>
  <c r="P634"/>
  <c r="Q634" s="1"/>
  <c r="B634"/>
  <c r="P643"/>
  <c r="B643" s="1"/>
  <c r="P644"/>
  <c r="Q644" s="1"/>
  <c r="P645"/>
  <c r="Q645" s="1"/>
  <c r="B645"/>
  <c r="P650"/>
  <c r="B650" s="1"/>
  <c r="P656"/>
  <c r="B656" s="1"/>
  <c r="P664"/>
  <c r="B664" s="1"/>
  <c r="P665"/>
  <c r="Q665" s="1"/>
  <c r="P670"/>
  <c r="B670" s="1"/>
  <c r="P674"/>
  <c r="B674"/>
  <c r="P675"/>
  <c r="Q675" s="1"/>
  <c r="P679"/>
  <c r="B679" s="1"/>
  <c r="P684"/>
  <c r="B684" s="1"/>
  <c r="P689"/>
  <c r="B689" s="1"/>
  <c r="P701"/>
  <c r="B701" s="1"/>
  <c r="P707"/>
  <c r="B707" s="1"/>
  <c r="P716"/>
  <c r="B716" s="1"/>
  <c r="P720"/>
  <c r="B720" s="1"/>
  <c r="M726"/>
  <c r="P727"/>
  <c r="B727" s="1"/>
  <c r="P731"/>
  <c r="B731" s="1"/>
  <c r="P732"/>
  <c r="B732" s="1"/>
  <c r="I733"/>
  <c r="G734"/>
  <c r="G741"/>
  <c r="P743"/>
  <c r="Q743"/>
  <c r="P750"/>
  <c r="B750" s="1"/>
  <c r="P753"/>
  <c r="B753"/>
  <c r="M759"/>
  <c r="O808"/>
  <c r="O798"/>
  <c r="P798"/>
  <c r="Q798" s="1"/>
  <c r="G583"/>
  <c r="M666"/>
  <c r="G733"/>
  <c r="O782"/>
  <c r="O784"/>
  <c r="O786"/>
  <c r="O788"/>
  <c r="O790"/>
  <c r="P774"/>
  <c r="B774" s="1"/>
  <c r="K804"/>
  <c r="G804"/>
  <c r="O804"/>
  <c r="I804"/>
  <c r="K808"/>
  <c r="G808"/>
  <c r="I808"/>
  <c r="Q804"/>
  <c r="Q808"/>
  <c r="O960"/>
  <c r="P960"/>
  <c r="B960" s="1"/>
  <c r="O983"/>
  <c r="O1008"/>
  <c r="P1008"/>
  <c r="Q1008" s="1"/>
  <c r="O1107"/>
  <c r="P1107"/>
  <c r="B1107" s="1"/>
  <c r="P1108"/>
  <c r="B1108" s="1"/>
  <c r="O1108"/>
  <c r="M810"/>
  <c r="P811"/>
  <c r="B811" s="1"/>
  <c r="P812"/>
  <c r="B812" s="1"/>
  <c r="Q812"/>
  <c r="P813"/>
  <c r="Q813" s="1"/>
  <c r="P814"/>
  <c r="P815"/>
  <c r="Q815" s="1"/>
  <c r="P816"/>
  <c r="B816" s="1"/>
  <c r="Q816"/>
  <c r="P823"/>
  <c r="P824"/>
  <c r="B824" s="1"/>
  <c r="P825"/>
  <c r="Q825" s="1"/>
  <c r="B825"/>
  <c r="P826"/>
  <c r="P827"/>
  <c r="Q827" s="1"/>
  <c r="B827"/>
  <c r="P828"/>
  <c r="B828" s="1"/>
  <c r="P829"/>
  <c r="Q829" s="1"/>
  <c r="B829"/>
  <c r="P830"/>
  <c r="P831"/>
  <c r="Q831" s="1"/>
  <c r="P832"/>
  <c r="B832" s="1"/>
  <c r="Q832"/>
  <c r="P833"/>
  <c r="Q833" s="1"/>
  <c r="P834"/>
  <c r="K836"/>
  <c r="P837"/>
  <c r="I838"/>
  <c r="P843"/>
  <c r="B843"/>
  <c r="P847"/>
  <c r="B847" s="1"/>
  <c r="M850"/>
  <c r="P851"/>
  <c r="B851" s="1"/>
  <c r="P852"/>
  <c r="B852"/>
  <c r="P856"/>
  <c r="B856" s="1"/>
  <c r="P857"/>
  <c r="Q857" s="1"/>
  <c r="B857"/>
  <c r="P861"/>
  <c r="B861" s="1"/>
  <c r="P862"/>
  <c r="B862" s="1"/>
  <c r="P866"/>
  <c r="B866" s="1"/>
  <c r="P870"/>
  <c r="B870" s="1"/>
  <c r="P871"/>
  <c r="B871" s="1"/>
  <c r="G873"/>
  <c r="K875"/>
  <c r="P875"/>
  <c r="B875" s="1"/>
  <c r="P885"/>
  <c r="B885"/>
  <c r="M891"/>
  <c r="P893"/>
  <c r="P899"/>
  <c r="B899" s="1"/>
  <c r="P902"/>
  <c r="B902" s="1"/>
  <c r="P906"/>
  <c r="B906" s="1"/>
  <c r="P910"/>
  <c r="B910"/>
  <c r="P911"/>
  <c r="Q911" s="1"/>
  <c r="P912"/>
  <c r="B912" s="1"/>
  <c r="Q912"/>
  <c r="P927"/>
  <c r="B927" s="1"/>
  <c r="P932"/>
  <c r="B932" s="1"/>
  <c r="P933"/>
  <c r="B933" s="1"/>
  <c r="Q933"/>
  <c r="P934"/>
  <c r="Q934" s="1"/>
  <c r="O958"/>
  <c r="I961"/>
  <c r="O971"/>
  <c r="P946"/>
  <c r="B946"/>
  <c r="P954"/>
  <c r="B954" s="1"/>
  <c r="O968"/>
  <c r="O1116"/>
  <c r="P1116"/>
  <c r="B1116" s="1"/>
  <c r="G817"/>
  <c r="M835"/>
  <c r="G838"/>
  <c r="I875"/>
  <c r="G894"/>
  <c r="O935"/>
  <c r="O937"/>
  <c r="O939"/>
  <c r="O941"/>
  <c r="O943"/>
  <c r="O945"/>
  <c r="G961"/>
  <c r="O961"/>
  <c r="O977"/>
  <c r="O987"/>
  <c r="O989"/>
  <c r="P973"/>
  <c r="B973"/>
  <c r="O1007"/>
  <c r="P1007"/>
  <c r="B1007" s="1"/>
  <c r="O1099"/>
  <c r="P1099"/>
  <c r="Q1099" s="1"/>
  <c r="K835"/>
  <c r="M838"/>
  <c r="P950"/>
  <c r="B950" s="1"/>
  <c r="P964"/>
  <c r="B964" s="1"/>
  <c r="O978"/>
  <c r="I835"/>
  <c r="K961"/>
  <c r="N1298"/>
  <c r="P1298" s="1"/>
  <c r="B1298" s="1"/>
  <c r="M1298"/>
  <c r="P1312"/>
  <c r="B1312"/>
  <c r="O1312"/>
  <c r="P1316"/>
  <c r="O1316"/>
  <c r="P1327"/>
  <c r="Q1327" s="1"/>
  <c r="O1327"/>
  <c r="M958"/>
  <c r="I992"/>
  <c r="P1009"/>
  <c r="Q1009" s="1"/>
  <c r="I1010"/>
  <c r="N1049"/>
  <c r="P1049" s="1"/>
  <c r="Q1049" s="1"/>
  <c r="K1086"/>
  <c r="P1086"/>
  <c r="B1086"/>
  <c r="P1087"/>
  <c r="Q1087" s="1"/>
  <c r="P1088"/>
  <c r="B1088"/>
  <c r="P1089"/>
  <c r="B1089" s="1"/>
  <c r="P1090"/>
  <c r="B1090"/>
  <c r="P1091"/>
  <c r="Q1091" s="1"/>
  <c r="I1092"/>
  <c r="O1092"/>
  <c r="P1101"/>
  <c r="Q1101" s="1"/>
  <c r="P1145"/>
  <c r="B1145" s="1"/>
  <c r="P1146"/>
  <c r="B1146" s="1"/>
  <c r="P1147"/>
  <c r="B1147" s="1"/>
  <c r="P1148"/>
  <c r="B1148" s="1"/>
  <c r="P1149"/>
  <c r="B1149" s="1"/>
  <c r="K1169"/>
  <c r="P1169"/>
  <c r="Q1169" s="1"/>
  <c r="I1170"/>
  <c r="O1170"/>
  <c r="P1228"/>
  <c r="P1232"/>
  <c r="Q1232" s="1"/>
  <c r="P1295"/>
  <c r="Q1295" s="1"/>
  <c r="O1295"/>
  <c r="N1306"/>
  <c r="M1306"/>
  <c r="P1311"/>
  <c r="B1311" s="1"/>
  <c r="O1311"/>
  <c r="P1315"/>
  <c r="O1315"/>
  <c r="N1321"/>
  <c r="M1321"/>
  <c r="P1326"/>
  <c r="Q1326" s="1"/>
  <c r="O1326"/>
  <c r="I1008"/>
  <c r="P1051"/>
  <c r="Q1051" s="1"/>
  <c r="P1052"/>
  <c r="P1053"/>
  <c r="Q1053" s="1"/>
  <c r="P1054"/>
  <c r="B1054" s="1"/>
  <c r="Q1054"/>
  <c r="P1055"/>
  <c r="Q1055" s="1"/>
  <c r="P1056"/>
  <c r="P1057"/>
  <c r="Q1057" s="1"/>
  <c r="P1058"/>
  <c r="B1058" s="1"/>
  <c r="Q1058"/>
  <c r="P1059"/>
  <c r="Q1059" s="1"/>
  <c r="P1060"/>
  <c r="P1061"/>
  <c r="Q1061" s="1"/>
  <c r="P1062"/>
  <c r="B1062" s="1"/>
  <c r="Q1062"/>
  <c r="P1063"/>
  <c r="Q1063" s="1"/>
  <c r="P1064"/>
  <c r="P1065"/>
  <c r="Q1065" s="1"/>
  <c r="P1066"/>
  <c r="B1066" s="1"/>
  <c r="Q1066"/>
  <c r="P1067"/>
  <c r="Q1067" s="1"/>
  <c r="I1086"/>
  <c r="G1092"/>
  <c r="I1107"/>
  <c r="I1116"/>
  <c r="I1169"/>
  <c r="G1170"/>
  <c r="P1229"/>
  <c r="B1229" s="1"/>
  <c r="P1233"/>
  <c r="P1303"/>
  <c r="B1303" s="1"/>
  <c r="O1303"/>
  <c r="O1304"/>
  <c r="P1304"/>
  <c r="B1304" s="1"/>
  <c r="P1314"/>
  <c r="B1314" s="1"/>
  <c r="O1314"/>
  <c r="P1325"/>
  <c r="Q1325" s="1"/>
  <c r="O1325"/>
  <c r="M1092"/>
  <c r="M1170"/>
  <c r="Q1170"/>
  <c r="P1302"/>
  <c r="O1302"/>
  <c r="P1313"/>
  <c r="O1313"/>
  <c r="P1317"/>
  <c r="Q1317" s="1"/>
  <c r="B1317"/>
  <c r="O1317"/>
  <c r="P1328"/>
  <c r="Q1328" s="1"/>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29" i="67"/>
  <c r="O125"/>
  <c r="O113"/>
  <c r="O105"/>
  <c r="O130"/>
  <c r="O126"/>
  <c r="O118"/>
  <c r="O114"/>
  <c r="O106"/>
  <c r="O591"/>
  <c r="O583"/>
  <c r="O575"/>
  <c r="O563"/>
  <c r="O543"/>
  <c r="O499"/>
  <c r="N625"/>
  <c r="P625" s="1"/>
  <c r="B625" s="1"/>
  <c r="N493"/>
  <c r="N474"/>
  <c r="N699"/>
  <c r="N475"/>
  <c r="I895" i="68"/>
  <c r="P1226" i="69"/>
  <c r="Q1226" s="1"/>
  <c r="B1224"/>
  <c r="Q1224"/>
  <c r="O1224"/>
  <c r="B1049"/>
  <c r="O1298"/>
  <c r="Q1298"/>
  <c r="Z17" i="27"/>
  <c r="AC17" s="1"/>
  <c r="P978" i="69"/>
  <c r="G978"/>
  <c r="F977"/>
  <c r="G979"/>
  <c r="P979"/>
  <c r="Q725"/>
  <c r="B739"/>
  <c r="Q742"/>
  <c r="B742"/>
  <c r="B745"/>
  <c r="P746"/>
  <c r="B743"/>
  <c r="M158" i="67"/>
  <c r="G158" i="69"/>
  <c r="O158" i="67"/>
  <c r="I158" i="69"/>
  <c r="M113"/>
  <c r="K113" i="67"/>
  <c r="P7" i="69"/>
  <c r="Q7"/>
  <c r="B15"/>
  <c r="B50"/>
  <c r="B53"/>
  <c r="B67"/>
  <c r="Q47"/>
  <c r="B47"/>
  <c r="B39"/>
  <c r="B14"/>
  <c r="B41"/>
  <c r="B43"/>
  <c r="B52"/>
  <c r="B57"/>
  <c r="Q57"/>
  <c r="B65"/>
  <c r="P22"/>
  <c r="Q48"/>
  <c r="Q56"/>
  <c r="P58"/>
  <c r="B58" s="1"/>
  <c r="P69"/>
  <c r="B69" s="1"/>
  <c r="B59"/>
  <c r="B60"/>
  <c r="B40"/>
  <c r="B9"/>
  <c r="B11"/>
  <c r="Q13"/>
  <c r="B13"/>
  <c r="B23"/>
  <c r="B8"/>
  <c r="Q10"/>
  <c r="B10"/>
  <c r="B12"/>
  <c r="O13"/>
  <c r="Q16"/>
  <c r="O30"/>
  <c r="O31"/>
  <c r="O32"/>
  <c r="O33"/>
  <c r="O34"/>
  <c r="O35"/>
  <c r="O36"/>
  <c r="O47" i="67"/>
  <c r="O48"/>
  <c r="O35"/>
  <c r="O31"/>
  <c r="O27"/>
  <c r="O7"/>
  <c r="O32"/>
  <c r="O24"/>
  <c r="O16"/>
  <c r="O33"/>
  <c r="O21"/>
  <c r="O13"/>
  <c r="B746" i="69"/>
  <c r="Q69"/>
  <c r="B22"/>
  <c r="F380" i="67"/>
  <c r="F262" i="69"/>
  <c r="F262" i="67"/>
  <c r="F139" i="69"/>
  <c r="AE311" i="1"/>
  <c r="AG311" s="1"/>
  <c r="F193" i="69"/>
  <c r="F193" i="67"/>
  <c r="F436"/>
  <c r="F836" i="69"/>
  <c r="F397" i="67"/>
  <c r="F771"/>
  <c r="AQ63" i="1"/>
  <c r="AS63" s="1"/>
  <c r="AQ132"/>
  <c r="AS132" s="1"/>
  <c r="AQ163"/>
  <c r="AS163" s="1"/>
  <c r="F922" i="69"/>
  <c r="D412" i="67"/>
  <c r="B7" i="69"/>
  <c r="Q1314"/>
  <c r="Q1303"/>
  <c r="Q1229"/>
  <c r="Q1149"/>
  <c r="Q1147"/>
  <c r="Q1145"/>
  <c r="Q1090"/>
  <c r="Q1088"/>
  <c r="Q1086"/>
  <c r="Q1312"/>
  <c r="Q902"/>
  <c r="Q899"/>
  <c r="Q875"/>
  <c r="Q871"/>
  <c r="Q862"/>
  <c r="Q852"/>
  <c r="Q1108"/>
  <c r="Q1107"/>
  <c r="Q605"/>
  <c r="Q709"/>
  <c r="Q556"/>
  <c r="Q405"/>
  <c r="Q396"/>
  <c r="Q334"/>
  <c r="Q261"/>
  <c r="Q248"/>
  <c r="Q231"/>
  <c r="Q230"/>
  <c r="Q229"/>
  <c r="Q228"/>
  <c r="Q227"/>
  <c r="Q226"/>
  <c r="Q225"/>
  <c r="Q166"/>
  <c r="Q161"/>
  <c r="Q113"/>
  <c r="Q290"/>
  <c r="Q274"/>
  <c r="F347" i="67"/>
  <c r="M753"/>
  <c r="K753"/>
  <c r="F293" i="69"/>
  <c r="F272"/>
  <c r="G272" s="1"/>
  <c r="F342" i="67"/>
  <c r="F359"/>
  <c r="F192"/>
  <c r="F258"/>
  <c r="F264"/>
  <c r="F341"/>
  <c r="F350"/>
  <c r="F914"/>
  <c r="F693"/>
  <c r="F969"/>
  <c r="F968"/>
  <c r="F967"/>
  <c r="F724"/>
  <c r="F916"/>
  <c r="F913"/>
  <c r="V1359" i="1"/>
  <c r="P2074"/>
  <c r="R2074" s="1"/>
  <c r="K399" i="67"/>
  <c r="I3007" i="27"/>
  <c r="K3007" s="1"/>
  <c r="K2856"/>
  <c r="P2846"/>
  <c r="M456" i="67"/>
  <c r="K2974" i="1"/>
  <c r="P2981"/>
  <c r="R2981" s="1"/>
  <c r="I927"/>
  <c r="K927" s="1"/>
  <c r="I2865"/>
  <c r="K2865"/>
  <c r="K2666"/>
  <c r="I3104"/>
  <c r="F1480" i="67"/>
  <c r="X1411" i="1"/>
  <c r="R1266"/>
  <c r="P1243"/>
  <c r="R1243" s="1"/>
  <c r="P820" i="11"/>
  <c r="R820" s="1"/>
  <c r="R795"/>
  <c r="AD1372" i="1"/>
  <c r="AB1389"/>
  <c r="AD1389" s="1"/>
  <c r="I2608"/>
  <c r="K2573"/>
  <c r="P2574"/>
  <c r="R2574" s="1"/>
  <c r="K3346"/>
  <c r="K3348" s="1"/>
  <c r="D587" i="25"/>
  <c r="F550"/>
  <c r="R2361" i="1"/>
  <c r="R2363" s="1"/>
  <c r="R2365" s="1"/>
  <c r="P2354" s="1"/>
  <c r="R2354" s="1"/>
  <c r="S2321"/>
  <c r="K2167"/>
  <c r="K2169" s="1"/>
  <c r="D406" i="69"/>
  <c r="D406" i="67"/>
  <c r="I406" s="1"/>
  <c r="P1451" i="1"/>
  <c r="R1435"/>
  <c r="X1370"/>
  <c r="V1387"/>
  <c r="X1355"/>
  <c r="AB1353"/>
  <c r="AD1358"/>
  <c r="AB1375"/>
  <c r="AD1356"/>
  <c r="AB1373"/>
  <c r="AB1371"/>
  <c r="I3991"/>
  <c r="AD1354"/>
  <c r="F23" i="25"/>
  <c r="D36"/>
  <c r="K723" i="1"/>
  <c r="I725" s="1"/>
  <c r="K725" s="1"/>
  <c r="K730" s="1"/>
  <c r="K732" s="1"/>
  <c r="K801" s="1"/>
  <c r="F45" i="32"/>
  <c r="H45" s="1"/>
  <c r="D108"/>
  <c r="F108" s="1"/>
  <c r="E89"/>
  <c r="E189"/>
  <c r="F25"/>
  <c r="P3328" i="1"/>
  <c r="P3441"/>
  <c r="R3441" s="1"/>
  <c r="R3227"/>
  <c r="D1555" i="69"/>
  <c r="G1555"/>
  <c r="I3243" i="1"/>
  <c r="K3243" s="1"/>
  <c r="I2867"/>
  <c r="I3523"/>
  <c r="J592"/>
  <c r="J615"/>
  <c r="V593" s="1"/>
  <c r="T1158"/>
  <c r="AC1198"/>
  <c r="AC1199"/>
  <c r="AC1200" s="1"/>
  <c r="AC1201" s="1"/>
  <c r="AC1202" s="1"/>
  <c r="J591"/>
  <c r="J594"/>
  <c r="J596"/>
  <c r="J598"/>
  <c r="J614"/>
  <c r="V592" s="1"/>
  <c r="AJ1198"/>
  <c r="AF448"/>
  <c r="AF411"/>
  <c r="AR400" s="1"/>
  <c r="J706"/>
  <c r="M94"/>
  <c r="V81"/>
  <c r="D32"/>
  <c r="I1104" s="1"/>
  <c r="K1104"/>
  <c r="I3625"/>
  <c r="K3625" s="1"/>
  <c r="V3116"/>
  <c r="E207" i="25"/>
  <c r="G207" s="1"/>
  <c r="D31" i="1"/>
  <c r="I1131"/>
  <c r="K1131"/>
  <c r="P3294"/>
  <c r="I1056"/>
  <c r="I82"/>
  <c r="I110"/>
  <c r="K110" s="1"/>
  <c r="K136"/>
  <c r="K133"/>
  <c r="I81"/>
  <c r="K81" s="1"/>
  <c r="P468"/>
  <c r="R468" s="1"/>
  <c r="P652"/>
  <c r="R652" s="1"/>
  <c r="I2125"/>
  <c r="K2125" s="1"/>
  <c r="P431"/>
  <c r="P622"/>
  <c r="R622"/>
  <c r="I1969"/>
  <c r="I3005"/>
  <c r="K3005" s="1"/>
  <c r="P151"/>
  <c r="R151" s="1"/>
  <c r="V715"/>
  <c r="I819"/>
  <c r="K819" s="1"/>
  <c r="I607"/>
  <c r="K607"/>
  <c r="K610" s="1"/>
  <c r="I1910"/>
  <c r="K1910" s="1"/>
  <c r="K1915" s="1"/>
  <c r="K1917" s="1"/>
  <c r="I1924" s="1"/>
  <c r="K1924" s="1"/>
  <c r="P503"/>
  <c r="R503" s="1"/>
  <c r="R511" s="1"/>
  <c r="R513" s="1"/>
  <c r="P549"/>
  <c r="R549" s="1"/>
  <c r="R557" s="1"/>
  <c r="R559" s="1"/>
  <c r="I1844"/>
  <c r="P376"/>
  <c r="R376" s="1"/>
  <c r="P390"/>
  <c r="R390" s="1"/>
  <c r="I1490"/>
  <c r="K1490" s="1"/>
  <c r="I3796"/>
  <c r="K3796" s="1"/>
  <c r="D16"/>
  <c r="D50" i="25"/>
  <c r="V3672" i="1"/>
  <c r="I1993"/>
  <c r="I2030"/>
  <c r="J3044"/>
  <c r="K3044"/>
  <c r="K3046" s="1"/>
  <c r="I1631"/>
  <c r="I2008"/>
  <c r="I2053"/>
  <c r="K2053" s="1"/>
  <c r="K2061"/>
  <c r="K2063" s="1"/>
  <c r="I2409"/>
  <c r="K2409" s="1"/>
  <c r="K2415" s="1"/>
  <c r="I1518"/>
  <c r="K1518"/>
  <c r="K1524" s="1"/>
  <c r="K1526" s="1"/>
  <c r="I1535"/>
  <c r="K1535" s="1"/>
  <c r="K1538" s="1"/>
  <c r="K1540" s="1"/>
  <c r="I2718"/>
  <c r="K2718" s="1"/>
  <c r="K2723" s="1"/>
  <c r="K2725" s="1"/>
  <c r="I1147"/>
  <c r="K1147"/>
  <c r="K1152" s="1"/>
  <c r="K1154"/>
  <c r="P1522"/>
  <c r="R1522" s="1"/>
  <c r="R1527" s="1"/>
  <c r="R1529" s="1"/>
  <c r="A266"/>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X1336"/>
  <c r="AB1334"/>
  <c r="AC1334"/>
  <c r="J921" i="67"/>
  <c r="J699" i="69"/>
  <c r="F46" i="60"/>
  <c r="I46"/>
  <c r="D711" i="69"/>
  <c r="D398"/>
  <c r="L26" i="32"/>
  <c r="Q26" s="1"/>
  <c r="Q25"/>
  <c r="I83" i="1"/>
  <c r="P432"/>
  <c r="I482"/>
  <c r="K482" s="1"/>
  <c r="I1757"/>
  <c r="K1757" s="1"/>
  <c r="I2146"/>
  <c r="I176"/>
  <c r="K176" s="1"/>
  <c r="I1970"/>
  <c r="D713" i="69"/>
  <c r="D399"/>
  <c r="G399" s="1"/>
  <c r="D713" i="67"/>
  <c r="I2118" i="64"/>
  <c r="I711"/>
  <c r="I832"/>
  <c r="N1103" i="67"/>
  <c r="N1106"/>
  <c r="N1007"/>
  <c r="N1011"/>
  <c r="D739" i="69"/>
  <c r="D739" i="67"/>
  <c r="D869" i="69"/>
  <c r="D869" i="67"/>
  <c r="K2548" i="1"/>
  <c r="AB1191"/>
  <c r="V1302"/>
  <c r="I2336"/>
  <c r="K2336" s="1"/>
  <c r="K2337" s="1"/>
  <c r="K2338" s="1"/>
  <c r="I2342" s="1"/>
  <c r="P2887" i="27"/>
  <c r="R2887" s="1"/>
  <c r="R2854"/>
  <c r="I3748"/>
  <c r="K3748" s="1"/>
  <c r="K3732"/>
  <c r="V1407" i="1"/>
  <c r="X1391"/>
  <c r="K2485"/>
  <c r="K2490" s="1"/>
  <c r="K2492" s="1"/>
  <c r="D419" i="69"/>
  <c r="O419" s="1"/>
  <c r="D419" i="67"/>
  <c r="O419" s="1"/>
  <c r="D418" i="69"/>
  <c r="D418" i="67"/>
  <c r="D417" i="69"/>
  <c r="D417" i="67"/>
  <c r="O417" s="1"/>
  <c r="D415" i="69"/>
  <c r="D415" i="67"/>
  <c r="D414" i="69"/>
  <c r="O414" s="1"/>
  <c r="D414" i="67"/>
  <c r="O414" s="1"/>
  <c r="R2109" i="1"/>
  <c r="P1447"/>
  <c r="R1431"/>
  <c r="AB1351"/>
  <c r="X1353"/>
  <c r="R1363"/>
  <c r="R1365" s="1"/>
  <c r="X880"/>
  <c r="V896"/>
  <c r="X896" s="1"/>
  <c r="K3929"/>
  <c r="I3947"/>
  <c r="F48" i="32"/>
  <c r="H48" s="1"/>
  <c r="D111"/>
  <c r="F111" s="1"/>
  <c r="E33"/>
  <c r="D197" s="1"/>
  <c r="E190"/>
  <c r="E90"/>
  <c r="F26"/>
  <c r="F24"/>
  <c r="E188"/>
  <c r="E88"/>
  <c r="D1556" i="69"/>
  <c r="G1556" s="1"/>
  <c r="I3227" i="1"/>
  <c r="K3227" s="1"/>
  <c r="D1554" i="69"/>
  <c r="G1554" s="1"/>
  <c r="K3172" i="1"/>
  <c r="K3174" s="1"/>
  <c r="K3175" s="1"/>
  <c r="J590"/>
  <c r="K590" s="1"/>
  <c r="AC1197"/>
  <c r="J559"/>
  <c r="W561" s="1"/>
  <c r="AC561" s="1"/>
  <c r="AJ561" s="1"/>
  <c r="J659"/>
  <c r="W486" s="1"/>
  <c r="AC486" s="1"/>
  <c r="S1182"/>
  <c r="W435"/>
  <c r="W436" s="1"/>
  <c r="W437" s="1"/>
  <c r="W438" s="1"/>
  <c r="W403"/>
  <c r="AF449"/>
  <c r="I124"/>
  <c r="K124" s="1"/>
  <c r="K127" s="1"/>
  <c r="K129" s="1"/>
  <c r="I95"/>
  <c r="K95"/>
  <c r="C31"/>
  <c r="I2636"/>
  <c r="P734"/>
  <c r="R734" s="1"/>
  <c r="I2242"/>
  <c r="K2242" s="1"/>
  <c r="P943"/>
  <c r="V2781"/>
  <c r="V2782" s="1"/>
  <c r="X2782" s="1"/>
  <c r="I11"/>
  <c r="K11"/>
  <c r="I20"/>
  <c r="K20" s="1"/>
  <c r="I37"/>
  <c r="K37"/>
  <c r="I65"/>
  <c r="K65" s="1"/>
  <c r="I29"/>
  <c r="K29"/>
  <c r="P24"/>
  <c r="R24" s="1"/>
  <c r="I55"/>
  <c r="K55"/>
  <c r="I46"/>
  <c r="K46" s="1"/>
  <c r="I2368"/>
  <c r="I784"/>
  <c r="K784" s="1"/>
  <c r="P890"/>
  <c r="R890" s="1"/>
  <c r="R893" s="1"/>
  <c r="R895" s="1"/>
  <c r="G468" i="25"/>
  <c r="A483" s="1"/>
  <c r="G483" s="1"/>
  <c r="G490" s="1"/>
  <c r="G491" s="1"/>
  <c r="G467"/>
  <c r="M454" i="67"/>
  <c r="K1306" i="1"/>
  <c r="K1063"/>
  <c r="AE1072"/>
  <c r="AG1072" s="1"/>
  <c r="I4006"/>
  <c r="K4006"/>
  <c r="N1104" i="67"/>
  <c r="N1118"/>
  <c r="N1009"/>
  <c r="N1117"/>
  <c r="N1151"/>
  <c r="X381" i="1"/>
  <c r="I4023"/>
  <c r="I3926"/>
  <c r="I3824"/>
  <c r="K3824" s="1"/>
  <c r="V681"/>
  <c r="I3826"/>
  <c r="K3826"/>
  <c r="I258" i="11"/>
  <c r="K258" s="1"/>
  <c r="I3830" i="1"/>
  <c r="K3830"/>
  <c r="K834" i="11"/>
  <c r="I3686" i="27"/>
  <c r="K3686" s="1"/>
  <c r="R2646" i="1"/>
  <c r="K121" i="11"/>
  <c r="P56"/>
  <c r="R56" s="1"/>
  <c r="R21"/>
  <c r="I1923" i="1"/>
  <c r="K1923" s="1"/>
  <c r="P2024"/>
  <c r="R2024" s="1"/>
  <c r="P2160"/>
  <c r="R2160"/>
  <c r="I2507"/>
  <c r="R2645"/>
  <c r="V3120"/>
  <c r="I3269"/>
  <c r="K3269" s="1"/>
  <c r="L3235" s="1"/>
  <c r="K3366"/>
  <c r="P3542"/>
  <c r="R3542" s="1"/>
  <c r="P3367"/>
  <c r="R3367" s="1"/>
  <c r="H3875"/>
  <c r="K3995"/>
  <c r="P3401"/>
  <c r="R3401"/>
  <c r="V3538"/>
  <c r="I3543"/>
  <c r="V3554"/>
  <c r="P3723"/>
  <c r="R3723" s="1"/>
  <c r="R3725" s="1"/>
  <c r="P3717" s="1"/>
  <c r="R3717" s="1"/>
  <c r="I4068"/>
  <c r="K4068" s="1"/>
  <c r="I3643"/>
  <c r="K3643"/>
  <c r="I3524"/>
  <c r="P3368"/>
  <c r="R3368" s="1"/>
  <c r="I3367"/>
  <c r="I3210"/>
  <c r="V3135"/>
  <c r="D740" i="67"/>
  <c r="I740" s="1"/>
  <c r="I2902" i="1"/>
  <c r="K2902" s="1"/>
  <c r="P2674"/>
  <c r="I2328"/>
  <c r="K2328" s="1"/>
  <c r="D372" i="67"/>
  <c r="I372" s="1"/>
  <c r="D370"/>
  <c r="I370" s="1"/>
  <c r="D369"/>
  <c r="I1614" i="1"/>
  <c r="K1614"/>
  <c r="I1587"/>
  <c r="P1411"/>
  <c r="R1392"/>
  <c r="P1380"/>
  <c r="R1380" s="1"/>
  <c r="I1380"/>
  <c r="K1380" s="1"/>
  <c r="P1376"/>
  <c r="R1376" s="1"/>
  <c r="V1335"/>
  <c r="P1302"/>
  <c r="I1257"/>
  <c r="I1252"/>
  <c r="D357" i="67"/>
  <c r="I357" s="1"/>
  <c r="D326"/>
  <c r="P1145" i="1"/>
  <c r="P1099"/>
  <c r="R1096"/>
  <c r="I1076"/>
  <c r="P1073"/>
  <c r="R1073" s="1"/>
  <c r="P1072"/>
  <c r="R1072" s="1"/>
  <c r="K1062"/>
  <c r="K1061"/>
  <c r="K1060"/>
  <c r="I810"/>
  <c r="V710"/>
  <c r="V679"/>
  <c r="I506"/>
  <c r="I413"/>
  <c r="K413" s="1"/>
  <c r="P391"/>
  <c r="R391" s="1"/>
  <c r="I382"/>
  <c r="P377"/>
  <c r="R377" s="1"/>
  <c r="R382" s="1"/>
  <c r="R384" s="1"/>
  <c r="I358"/>
  <c r="K358" s="1"/>
  <c r="I338"/>
  <c r="I314"/>
  <c r="I299"/>
  <c r="K299" s="1"/>
  <c r="P285"/>
  <c r="R285" s="1"/>
  <c r="I273"/>
  <c r="K273" s="1"/>
  <c r="I227"/>
  <c r="I212"/>
  <c r="K212"/>
  <c r="I197"/>
  <c r="J386" i="69"/>
  <c r="J386" i="67"/>
  <c r="I1103" i="69"/>
  <c r="N1103"/>
  <c r="P1103" s="1"/>
  <c r="H1100"/>
  <c r="H1101" i="67"/>
  <c r="I1101" s="1"/>
  <c r="R1101" s="1"/>
  <c r="D626" i="25"/>
  <c r="D662" s="1"/>
  <c r="F662" s="1"/>
  <c r="G402"/>
  <c r="E392" s="1"/>
  <c r="G392" s="1"/>
  <c r="G394" s="1"/>
  <c r="G395" s="1"/>
  <c r="D205"/>
  <c r="A203" s="1"/>
  <c r="G203" s="1"/>
  <c r="D197"/>
  <c r="A194" s="1"/>
  <c r="G194" s="1"/>
  <c r="F89"/>
  <c r="D41"/>
  <c r="F41" s="1"/>
  <c r="F28"/>
  <c r="D1497" i="69"/>
  <c r="D758" s="1"/>
  <c r="D1533"/>
  <c r="M716" i="11"/>
  <c r="K3767" i="27"/>
  <c r="K2201" s="1"/>
  <c r="I3059"/>
  <c r="K3059" s="1"/>
  <c r="K2941"/>
  <c r="K2103"/>
  <c r="K2105" s="1"/>
  <c r="K2107" s="1"/>
  <c r="K1984"/>
  <c r="K1986" s="1"/>
  <c r="K1938"/>
  <c r="K1442"/>
  <c r="K1444" s="1"/>
  <c r="K1138"/>
  <c r="K1140" s="1"/>
  <c r="I1504"/>
  <c r="K1504" s="1"/>
  <c r="K1511" s="1"/>
  <c r="K1513" s="1"/>
  <c r="I1532"/>
  <c r="K1532" s="1"/>
  <c r="K1537" s="1"/>
  <c r="K1539" s="1"/>
  <c r="I413" i="68"/>
  <c r="I414" s="1"/>
  <c r="F446" i="69"/>
  <c r="P446" s="1"/>
  <c r="B446" s="1"/>
  <c r="F446" i="67"/>
  <c r="F626" i="69"/>
  <c r="F901"/>
  <c r="P901" s="1"/>
  <c r="F901" i="67"/>
  <c r="F983" i="69"/>
  <c r="F984" i="67"/>
  <c r="I67" i="68"/>
  <c r="I68" s="1"/>
  <c r="I1323"/>
  <c r="M378" i="67"/>
  <c r="K378"/>
  <c r="I372" i="69"/>
  <c r="K372"/>
  <c r="I370"/>
  <c r="G370"/>
  <c r="K370"/>
  <c r="N1115" i="67"/>
  <c r="N1112"/>
  <c r="N993"/>
  <c r="N1150" i="69"/>
  <c r="I1150"/>
  <c r="N1006"/>
  <c r="I1006"/>
  <c r="P1010"/>
  <c r="O1010"/>
  <c r="I1117"/>
  <c r="N1117"/>
  <c r="I1105"/>
  <c r="N1105"/>
  <c r="O1105" s="1"/>
  <c r="I1102"/>
  <c r="N1102"/>
  <c r="H1095"/>
  <c r="H1096" i="67"/>
  <c r="F272" i="25"/>
  <c r="D256" s="1"/>
  <c r="F256" s="1"/>
  <c r="F264" s="1"/>
  <c r="F265" s="1"/>
  <c r="G456" i="69"/>
  <c r="M456"/>
  <c r="K456"/>
  <c r="K2077" i="27"/>
  <c r="K2008"/>
  <c r="K2010" s="1"/>
  <c r="K1566"/>
  <c r="K1569" s="1"/>
  <c r="F376" i="69"/>
  <c r="F376" i="67"/>
  <c r="F1158" i="69"/>
  <c r="F1159" i="67"/>
  <c r="F747" i="69"/>
  <c r="P747" s="1"/>
  <c r="B747" s="1"/>
  <c r="F747" i="67"/>
  <c r="N18"/>
  <c r="P18" s="1"/>
  <c r="B18" s="1"/>
  <c r="M297"/>
  <c r="K297"/>
  <c r="M327"/>
  <c r="K327"/>
  <c r="M387"/>
  <c r="K387"/>
  <c r="M389"/>
  <c r="K389"/>
  <c r="M432"/>
  <c r="K432"/>
  <c r="M583"/>
  <c r="K583"/>
  <c r="M666"/>
  <c r="K666"/>
  <c r="M706"/>
  <c r="K706"/>
  <c r="M734"/>
  <c r="K734"/>
  <c r="M741"/>
  <c r="K741"/>
  <c r="M743"/>
  <c r="K743"/>
  <c r="M759"/>
  <c r="K759"/>
  <c r="M804"/>
  <c r="K804"/>
  <c r="M809"/>
  <c r="K809"/>
  <c r="M835"/>
  <c r="K835"/>
  <c r="M838"/>
  <c r="K838"/>
  <c r="M875"/>
  <c r="K875"/>
  <c r="M1087"/>
  <c r="K1087"/>
  <c r="M1171"/>
  <c r="K1171"/>
  <c r="G371" i="69"/>
  <c r="B894"/>
  <c r="Q894"/>
  <c r="G1263"/>
  <c r="P1263"/>
  <c r="Q1263" s="1"/>
  <c r="P981"/>
  <c r="G981"/>
  <c r="C890" i="68"/>
  <c r="C877" s="1"/>
  <c r="C882" s="1"/>
  <c r="C897"/>
  <c r="C898"/>
  <c r="I898" s="1"/>
  <c r="E1210"/>
  <c r="I1210" s="1"/>
  <c r="C1259"/>
  <c r="I1259" s="1"/>
  <c r="I1260" s="1"/>
  <c r="C2252"/>
  <c r="I2252" s="1"/>
  <c r="I2253" s="1"/>
  <c r="E2477"/>
  <c r="I2477" s="1"/>
  <c r="I2478" s="1"/>
  <c r="I2479" s="1"/>
  <c r="E2564"/>
  <c r="I2564" s="1"/>
  <c r="I2565" s="1"/>
  <c r="M129" i="67"/>
  <c r="K129"/>
  <c r="M127"/>
  <c r="K127"/>
  <c r="M125"/>
  <c r="K125"/>
  <c r="M106"/>
  <c r="K106"/>
  <c r="M104"/>
  <c r="K104"/>
  <c r="M166"/>
  <c r="K166"/>
  <c r="M164"/>
  <c r="K164"/>
  <c r="M151"/>
  <c r="K151"/>
  <c r="M292"/>
  <c r="K292"/>
  <c r="M290"/>
  <c r="K290"/>
  <c r="M288"/>
  <c r="K288"/>
  <c r="M286"/>
  <c r="K286"/>
  <c r="M284"/>
  <c r="K284"/>
  <c r="M282"/>
  <c r="K282"/>
  <c r="M280"/>
  <c r="K280"/>
  <c r="M278"/>
  <c r="K278"/>
  <c r="M276"/>
  <c r="K276"/>
  <c r="M274"/>
  <c r="K274"/>
  <c r="M272"/>
  <c r="K272"/>
  <c r="M270"/>
  <c r="K270"/>
  <c r="M268"/>
  <c r="K268"/>
  <c r="O1175"/>
  <c r="O1171"/>
  <c r="N1109"/>
  <c r="O1093"/>
  <c r="O1087"/>
  <c r="N995"/>
  <c r="O987"/>
  <c r="O958"/>
  <c r="O850"/>
  <c r="O838"/>
  <c r="O836"/>
  <c r="O810"/>
  <c r="O808"/>
  <c r="O804"/>
  <c r="O742"/>
  <c r="O740"/>
  <c r="O734"/>
  <c r="O706"/>
  <c r="O666"/>
  <c r="O434"/>
  <c r="O432"/>
  <c r="O412"/>
  <c r="O406"/>
  <c r="O388"/>
  <c r="O357"/>
  <c r="O327"/>
  <c r="O297"/>
  <c r="O292"/>
  <c r="O290"/>
  <c r="O288"/>
  <c r="O286"/>
  <c r="O284"/>
  <c r="O282"/>
  <c r="O280"/>
  <c r="O278"/>
  <c r="O276"/>
  <c r="O274"/>
  <c r="O272"/>
  <c r="O270"/>
  <c r="O268"/>
  <c r="O167"/>
  <c r="O165"/>
  <c r="O151"/>
  <c r="O127"/>
  <c r="O104"/>
  <c r="M335"/>
  <c r="K335"/>
  <c r="M712"/>
  <c r="K712"/>
  <c r="K1112" i="11"/>
  <c r="I833"/>
  <c r="K833" s="1"/>
  <c r="I350"/>
  <c r="K350" s="1"/>
  <c r="I328"/>
  <c r="I197"/>
  <c r="K197" s="1"/>
  <c r="I123"/>
  <c r="I3803" i="27"/>
  <c r="K3803" s="1"/>
  <c r="K3837" s="1"/>
  <c r="K3849" s="1"/>
  <c r="I3801"/>
  <c r="K3801" s="1"/>
  <c r="I3797"/>
  <c r="K3797" s="1"/>
  <c r="I3796"/>
  <c r="K3796" s="1"/>
  <c r="I3795"/>
  <c r="K3795" s="1"/>
  <c r="I3049"/>
  <c r="I3072" s="1"/>
  <c r="I3005"/>
  <c r="K3005" s="1"/>
  <c r="I2939"/>
  <c r="I2915"/>
  <c r="I3038" s="1"/>
  <c r="K3038" s="1"/>
  <c r="I2914"/>
  <c r="K2914" s="1"/>
  <c r="I2564"/>
  <c r="I2563"/>
  <c r="I2562"/>
  <c r="I2593" s="1"/>
  <c r="K2593" s="1"/>
  <c r="I2561"/>
  <c r="K2561" s="1"/>
  <c r="I2560"/>
  <c r="I2559"/>
  <c r="I2558"/>
  <c r="I2589" s="1"/>
  <c r="K2589" s="1"/>
  <c r="I2389"/>
  <c r="K2389" s="1"/>
  <c r="K2391" s="1"/>
  <c r="K2371"/>
  <c r="K2376" s="1"/>
  <c r="I772"/>
  <c r="K772" s="1"/>
  <c r="P722"/>
  <c r="R722" s="1"/>
  <c r="P706"/>
  <c r="R706" s="1"/>
  <c r="P630"/>
  <c r="R630" s="1"/>
  <c r="P618"/>
  <c r="R618" s="1"/>
  <c r="D277" i="32"/>
  <c r="F277" s="1"/>
  <c r="C255"/>
  <c r="N17" i="67"/>
  <c r="P17" s="1"/>
  <c r="B17" s="1"/>
  <c r="M61"/>
  <c r="K61"/>
  <c r="M312"/>
  <c r="K312"/>
  <c r="M386"/>
  <c r="M388"/>
  <c r="K388"/>
  <c r="M431"/>
  <c r="K431"/>
  <c r="M434"/>
  <c r="K434"/>
  <c r="M575"/>
  <c r="K575"/>
  <c r="M591"/>
  <c r="K591"/>
  <c r="M659"/>
  <c r="K659"/>
  <c r="M704"/>
  <c r="K704"/>
  <c r="M733"/>
  <c r="K733"/>
  <c r="M735"/>
  <c r="K735"/>
  <c r="M742"/>
  <c r="K742"/>
  <c r="M808"/>
  <c r="K808"/>
  <c r="M810"/>
  <c r="K810"/>
  <c r="M836"/>
  <c r="K836"/>
  <c r="M850"/>
  <c r="K850"/>
  <c r="M873"/>
  <c r="K873"/>
  <c r="M958"/>
  <c r="K958"/>
  <c r="M987"/>
  <c r="K987"/>
  <c r="M1093"/>
  <c r="K1093"/>
  <c r="M1170"/>
  <c r="K1170"/>
  <c r="M1175"/>
  <c r="K1175"/>
  <c r="F327"/>
  <c r="F371"/>
  <c r="F386"/>
  <c r="G386" s="1"/>
  <c r="F917"/>
  <c r="F445"/>
  <c r="F447"/>
  <c r="F451"/>
  <c r="F459"/>
  <c r="F666"/>
  <c r="G666" s="1"/>
  <c r="R666" s="1"/>
  <c r="F729"/>
  <c r="G729" s="1"/>
  <c r="R729" s="1"/>
  <c r="F799"/>
  <c r="F798"/>
  <c r="F893"/>
  <c r="F894"/>
  <c r="G894" s="1"/>
  <c r="R894" s="1"/>
  <c r="F896"/>
  <c r="F899"/>
  <c r="F900"/>
  <c r="G900" s="1"/>
  <c r="R900" s="1"/>
  <c r="F1264"/>
  <c r="G1264" s="1"/>
  <c r="R1264" s="1"/>
  <c r="F1158"/>
  <c r="F817"/>
  <c r="G817" s="1"/>
  <c r="R817" s="1"/>
  <c r="F982"/>
  <c r="G982" s="1"/>
  <c r="R982" s="1"/>
  <c r="C876" i="68"/>
  <c r="M130" i="67"/>
  <c r="K130"/>
  <c r="M128"/>
  <c r="K128"/>
  <c r="M126"/>
  <c r="K126"/>
  <c r="M105"/>
  <c r="K105"/>
  <c r="M170"/>
  <c r="K170"/>
  <c r="M167"/>
  <c r="K167"/>
  <c r="M165"/>
  <c r="K165"/>
  <c r="M291"/>
  <c r="K291"/>
  <c r="M289"/>
  <c r="K289"/>
  <c r="M287"/>
  <c r="K287"/>
  <c r="M285"/>
  <c r="K285"/>
  <c r="M283"/>
  <c r="K283"/>
  <c r="M281"/>
  <c r="K281"/>
  <c r="M279"/>
  <c r="K279"/>
  <c r="M277"/>
  <c r="K277"/>
  <c r="M275"/>
  <c r="K275"/>
  <c r="M273"/>
  <c r="K273"/>
  <c r="M271"/>
  <c r="K271"/>
  <c r="M269"/>
  <c r="K269"/>
  <c r="F823"/>
  <c r="O1170"/>
  <c r="N1108"/>
  <c r="N1100"/>
  <c r="N992"/>
  <c r="O875"/>
  <c r="O873"/>
  <c r="O869"/>
  <c r="O835"/>
  <c r="O809"/>
  <c r="O759"/>
  <c r="O753"/>
  <c r="O743"/>
  <c r="O741"/>
  <c r="O735"/>
  <c r="O733"/>
  <c r="O659"/>
  <c r="O456"/>
  <c r="O431"/>
  <c r="O399"/>
  <c r="O389"/>
  <c r="O387"/>
  <c r="O378"/>
  <c r="O372"/>
  <c r="O312"/>
  <c r="O170"/>
  <c r="O166"/>
  <c r="O164"/>
  <c r="M695"/>
  <c r="K695"/>
  <c r="M726"/>
  <c r="K726"/>
  <c r="F902"/>
  <c r="G902" s="1"/>
  <c r="R902" s="1"/>
  <c r="Q63" i="69"/>
  <c r="B63"/>
  <c r="B105"/>
  <c r="Q105"/>
  <c r="B112"/>
  <c r="B127"/>
  <c r="Q127"/>
  <c r="B240"/>
  <c r="B255"/>
  <c r="Q255"/>
  <c r="P262"/>
  <c r="B262" s="1"/>
  <c r="P264"/>
  <c r="B264" s="1"/>
  <c r="P292"/>
  <c r="B298"/>
  <c r="Q298"/>
  <c r="B319"/>
  <c r="B355"/>
  <c r="O370"/>
  <c r="O372"/>
  <c r="B379"/>
  <c r="Q379"/>
  <c r="P445"/>
  <c r="B445" s="1"/>
  <c r="B481"/>
  <c r="B603"/>
  <c r="B613"/>
  <c r="B51"/>
  <c r="B77"/>
  <c r="B106"/>
  <c r="Q106"/>
  <c r="B125"/>
  <c r="Q125"/>
  <c r="B154"/>
  <c r="B167"/>
  <c r="Q167"/>
  <c r="P193"/>
  <c r="P272"/>
  <c r="B272" s="1"/>
  <c r="B308"/>
  <c r="Q308"/>
  <c r="B323"/>
  <c r="B336"/>
  <c r="Q336"/>
  <c r="B365"/>
  <c r="P371"/>
  <c r="Q371" s="1"/>
  <c r="P401"/>
  <c r="N17"/>
  <c r="N18"/>
  <c r="P18" s="1"/>
  <c r="B18" s="1"/>
  <c r="P75"/>
  <c r="B75" s="1"/>
  <c r="P83"/>
  <c r="I105"/>
  <c r="P118"/>
  <c r="P131"/>
  <c r="B131" s="1"/>
  <c r="P137"/>
  <c r="Q137" s="1"/>
  <c r="P195"/>
  <c r="P196"/>
  <c r="Q196" s="1"/>
  <c r="P197"/>
  <c r="P198"/>
  <c r="Q198" s="1"/>
  <c r="P199"/>
  <c r="P200"/>
  <c r="Q200" s="1"/>
  <c r="P201"/>
  <c r="P202"/>
  <c r="Q202" s="1"/>
  <c r="P203"/>
  <c r="P204"/>
  <c r="Q204" s="1"/>
  <c r="P205"/>
  <c r="P206"/>
  <c r="Q206" s="1"/>
  <c r="P207"/>
  <c r="O312"/>
  <c r="P366"/>
  <c r="B403"/>
  <c r="Q403"/>
  <c r="B408"/>
  <c r="B423"/>
  <c r="B428"/>
  <c r="P459"/>
  <c r="Q471"/>
  <c r="P477"/>
  <c r="Q477" s="1"/>
  <c r="O477"/>
  <c r="P478"/>
  <c r="O478"/>
  <c r="B491"/>
  <c r="B506"/>
  <c r="B516"/>
  <c r="B520"/>
  <c r="P529"/>
  <c r="P530"/>
  <c r="O530"/>
  <c r="P538"/>
  <c r="B539"/>
  <c r="P542"/>
  <c r="B552"/>
  <c r="B575"/>
  <c r="Q575"/>
  <c r="B632"/>
  <c r="Q632"/>
  <c r="B638"/>
  <c r="P641"/>
  <c r="O641"/>
  <c r="P649"/>
  <c r="B655"/>
  <c r="Q655"/>
  <c r="P661"/>
  <c r="O661"/>
  <c r="P663"/>
  <c r="Q663" s="1"/>
  <c r="O663"/>
  <c r="B669"/>
  <c r="Q669"/>
  <c r="B677"/>
  <c r="P678"/>
  <c r="B692"/>
  <c r="O729"/>
  <c r="P729"/>
  <c r="K741"/>
  <c r="M741"/>
  <c r="B749"/>
  <c r="P755"/>
  <c r="O755"/>
  <c r="B761"/>
  <c r="O773"/>
  <c r="P773"/>
  <c r="B775"/>
  <c r="B781"/>
  <c r="Q781"/>
  <c r="B784"/>
  <c r="Q784"/>
  <c r="B786"/>
  <c r="Q786"/>
  <c r="O792"/>
  <c r="P792"/>
  <c r="O794"/>
  <c r="P794"/>
  <c r="B794" s="1"/>
  <c r="O796"/>
  <c r="P796"/>
  <c r="B800"/>
  <c r="Q800"/>
  <c r="P805"/>
  <c r="B805" s="1"/>
  <c r="B806"/>
  <c r="P820"/>
  <c r="O820"/>
  <c r="B878"/>
  <c r="B880"/>
  <c r="Q880"/>
  <c r="B882"/>
  <c r="Q882"/>
  <c r="O892"/>
  <c r="P892"/>
  <c r="Q892" s="1"/>
  <c r="O896"/>
  <c r="P896"/>
  <c r="B898"/>
  <c r="Q898"/>
  <c r="O905"/>
  <c r="P905"/>
  <c r="O936"/>
  <c r="P936"/>
  <c r="Q936" s="1"/>
  <c r="O944"/>
  <c r="P944"/>
  <c r="B948"/>
  <c r="P957"/>
  <c r="B957" s="1"/>
  <c r="O957"/>
  <c r="P995"/>
  <c r="O995"/>
  <c r="P997"/>
  <c r="B997" s="1"/>
  <c r="O997"/>
  <c r="P999"/>
  <c r="O999"/>
  <c r="P1001"/>
  <c r="B1001" s="1"/>
  <c r="O1001"/>
  <c r="P1003"/>
  <c r="O1003"/>
  <c r="P1005"/>
  <c r="B1005" s="1"/>
  <c r="O1005"/>
  <c r="B1014"/>
  <c r="Q1014"/>
  <c r="B1018"/>
  <c r="Q1018"/>
  <c r="B1022"/>
  <c r="Q1022"/>
  <c r="B1026"/>
  <c r="Q1026"/>
  <c r="B1030"/>
  <c r="Q1030"/>
  <c r="B1034"/>
  <c r="Q1034"/>
  <c r="B1038"/>
  <c r="Q1038"/>
  <c r="B1042"/>
  <c r="Q1042"/>
  <c r="B1046"/>
  <c r="Q1046"/>
  <c r="O1069"/>
  <c r="P1069"/>
  <c r="O1071"/>
  <c r="P1071"/>
  <c r="B1071" s="1"/>
  <c r="O1073"/>
  <c r="P1073"/>
  <c r="O1075"/>
  <c r="P1075"/>
  <c r="B1075" s="1"/>
  <c r="O1077"/>
  <c r="P1077"/>
  <c r="O1079"/>
  <c r="P1079"/>
  <c r="B1079" s="1"/>
  <c r="O1081"/>
  <c r="P1081"/>
  <c r="O1083"/>
  <c r="P1083"/>
  <c r="B1083" s="1"/>
  <c r="O1085"/>
  <c r="P1085"/>
  <c r="P1093"/>
  <c r="O1093"/>
  <c r="P1097"/>
  <c r="B1097" s="1"/>
  <c r="O1097"/>
  <c r="B1115"/>
  <c r="Q1115"/>
  <c r="B1118"/>
  <c r="Q1118"/>
  <c r="B1120"/>
  <c r="Q1120"/>
  <c r="B1121"/>
  <c r="Q1121"/>
  <c r="Q1130"/>
  <c r="B1136"/>
  <c r="Q1136"/>
  <c r="B1140"/>
  <c r="Q1140"/>
  <c r="M105"/>
  <c r="G105"/>
  <c r="Q116"/>
  <c r="O126"/>
  <c r="M128"/>
  <c r="M151"/>
  <c r="O158"/>
  <c r="Q159"/>
  <c r="P163"/>
  <c r="P173"/>
  <c r="B173" s="1"/>
  <c r="Q189"/>
  <c r="P213"/>
  <c r="P214"/>
  <c r="P215"/>
  <c r="B215" s="1"/>
  <c r="P216"/>
  <c r="B216" s="1"/>
  <c r="P217"/>
  <c r="P218"/>
  <c r="P219"/>
  <c r="B219" s="1"/>
  <c r="O298"/>
  <c r="P304"/>
  <c r="P305"/>
  <c r="B305" s="1"/>
  <c r="Q309"/>
  <c r="Q313"/>
  <c r="Q318"/>
  <c r="P324"/>
  <c r="B324" s="1"/>
  <c r="P331"/>
  <c r="Q331" s="1"/>
  <c r="P332"/>
  <c r="O336"/>
  <c r="Q343"/>
  <c r="Q349"/>
  <c r="Q354"/>
  <c r="Q360"/>
  <c r="Q363"/>
  <c r="P367"/>
  <c r="Q367" s="1"/>
  <c r="B400"/>
  <c r="Q400"/>
  <c r="B407"/>
  <c r="Q407"/>
  <c r="P413"/>
  <c r="O413"/>
  <c r="B417"/>
  <c r="Q417"/>
  <c r="B420"/>
  <c r="Q420"/>
  <c r="P436"/>
  <c r="B436" s="1"/>
  <c r="B440"/>
  <c r="Q440"/>
  <c r="Q448"/>
  <c r="P449"/>
  <c r="O462"/>
  <c r="P462"/>
  <c r="Q462" s="1"/>
  <c r="P466"/>
  <c r="B466" s="1"/>
  <c r="P467"/>
  <c r="Q467" s="1"/>
  <c r="O467"/>
  <c r="B468"/>
  <c r="B470"/>
  <c r="O484"/>
  <c r="P484"/>
  <c r="Q484" s="1"/>
  <c r="P508"/>
  <c r="Q508" s="1"/>
  <c r="O508"/>
  <c r="P511"/>
  <c r="P528"/>
  <c r="P533"/>
  <c r="B533" s="1"/>
  <c r="P563"/>
  <c r="O563"/>
  <c r="P567"/>
  <c r="B567" s="1"/>
  <c r="P612"/>
  <c r="P626"/>
  <c r="P637"/>
  <c r="B637" s="1"/>
  <c r="O637"/>
  <c r="B642"/>
  <c r="P660"/>
  <c r="O660"/>
  <c r="P662"/>
  <c r="B662" s="1"/>
  <c r="O662"/>
  <c r="P668"/>
  <c r="B687"/>
  <c r="Q687"/>
  <c r="B688"/>
  <c r="B700"/>
  <c r="B710"/>
  <c r="B718"/>
  <c r="B722"/>
  <c r="P726"/>
  <c r="Q726" s="1"/>
  <c r="P748"/>
  <c r="B748" s="1"/>
  <c r="B758"/>
  <c r="P776"/>
  <c r="O783"/>
  <c r="P783"/>
  <c r="B783" s="1"/>
  <c r="O791"/>
  <c r="P791"/>
  <c r="O793"/>
  <c r="P793"/>
  <c r="B793" s="1"/>
  <c r="O795"/>
  <c r="P795"/>
  <c r="O797"/>
  <c r="P797"/>
  <c r="B797" s="1"/>
  <c r="B809"/>
  <c r="Q809"/>
  <c r="P819"/>
  <c r="Q819" s="1"/>
  <c r="O819"/>
  <c r="P821"/>
  <c r="O821"/>
  <c r="B841"/>
  <c r="B842"/>
  <c r="G850"/>
  <c r="K850"/>
  <c r="P868"/>
  <c r="Q868" s="1"/>
  <c r="O868"/>
  <c r="Q895"/>
  <c r="B909"/>
  <c r="Q924"/>
  <c r="P929"/>
  <c r="B930"/>
  <c r="B937"/>
  <c r="Q937"/>
  <c r="B939"/>
  <c r="Q939"/>
  <c r="B942"/>
  <c r="Q942"/>
  <c r="B945"/>
  <c r="Q945"/>
  <c r="B959"/>
  <c r="Q959"/>
  <c r="B965"/>
  <c r="B966"/>
  <c r="B987"/>
  <c r="Q987"/>
  <c r="B989"/>
  <c r="Q989"/>
  <c r="P996"/>
  <c r="B996" s="1"/>
  <c r="O996"/>
  <c r="P998"/>
  <c r="O998"/>
  <c r="P1000"/>
  <c r="Q1000" s="1"/>
  <c r="O1000"/>
  <c r="P1002"/>
  <c r="O1002"/>
  <c r="P1004"/>
  <c r="B1004" s="1"/>
  <c r="O1004"/>
  <c r="B1012"/>
  <c r="Q1012"/>
  <c r="B1016"/>
  <c r="Q1016"/>
  <c r="B1020"/>
  <c r="Q1020"/>
  <c r="B1024"/>
  <c r="Q1024"/>
  <c r="B1028"/>
  <c r="Q1028"/>
  <c r="B1032"/>
  <c r="Q1032"/>
  <c r="B1036"/>
  <c r="Q1036"/>
  <c r="B1040"/>
  <c r="Q1040"/>
  <c r="B1044"/>
  <c r="Q1044"/>
  <c r="B1048"/>
  <c r="Q1048"/>
  <c r="O1068"/>
  <c r="P1068"/>
  <c r="O1070"/>
  <c r="P1070"/>
  <c r="O1072"/>
  <c r="P1072"/>
  <c r="O1074"/>
  <c r="P1074"/>
  <c r="O1076"/>
  <c r="P1076"/>
  <c r="O1078"/>
  <c r="P1078"/>
  <c r="O1080"/>
  <c r="P1080"/>
  <c r="O1082"/>
  <c r="P1082"/>
  <c r="O1084"/>
  <c r="P1084"/>
  <c r="O1094"/>
  <c r="P1094"/>
  <c r="P1096"/>
  <c r="O1096"/>
  <c r="P1098"/>
  <c r="Q1098" s="1"/>
  <c r="O1098"/>
  <c r="P1104"/>
  <c r="O1104"/>
  <c r="Q1109"/>
  <c r="Q1126"/>
  <c r="P730"/>
  <c r="Q730" s="1"/>
  <c r="O730"/>
  <c r="P736"/>
  <c r="O736"/>
  <c r="I742"/>
  <c r="M742"/>
  <c r="G759"/>
  <c r="I759"/>
  <c r="O760"/>
  <c r="B782"/>
  <c r="Q782"/>
  <c r="B785"/>
  <c r="Q785"/>
  <c r="O787"/>
  <c r="P787"/>
  <c r="B790"/>
  <c r="Q790"/>
  <c r="Q818"/>
  <c r="P838"/>
  <c r="O838"/>
  <c r="B840"/>
  <c r="Q840"/>
  <c r="P848"/>
  <c r="P863"/>
  <c r="I873"/>
  <c r="M873"/>
  <c r="B881"/>
  <c r="Q881"/>
  <c r="B887"/>
  <c r="O931"/>
  <c r="P931"/>
  <c r="Q931" s="1"/>
  <c r="B935"/>
  <c r="Q935"/>
  <c r="B938"/>
  <c r="Q938"/>
  <c r="O940"/>
  <c r="P940"/>
  <c r="B943"/>
  <c r="Q943"/>
  <c r="B953"/>
  <c r="O967"/>
  <c r="B975"/>
  <c r="Q975"/>
  <c r="O985"/>
  <c r="B988"/>
  <c r="Q988"/>
  <c r="O990"/>
  <c r="P990"/>
  <c r="N991"/>
  <c r="I991"/>
  <c r="O1106"/>
  <c r="P1106"/>
  <c r="Q1110"/>
  <c r="B1112"/>
  <c r="Q1112"/>
  <c r="P1122"/>
  <c r="O1122"/>
  <c r="Q1124"/>
  <c r="Q1128"/>
  <c r="Q1132"/>
  <c r="Q1152"/>
  <c r="Q1154"/>
  <c r="Q1156"/>
  <c r="B1161"/>
  <c r="Q1161"/>
  <c r="B1165"/>
  <c r="Q1165"/>
  <c r="B1167"/>
  <c r="Q1167"/>
  <c r="G1169"/>
  <c r="M1169"/>
  <c r="B1176"/>
  <c r="Q1176"/>
  <c r="B1180"/>
  <c r="Q1180"/>
  <c r="B1184"/>
  <c r="Q1184"/>
  <c r="B1188"/>
  <c r="Q1188"/>
  <c r="B1192"/>
  <c r="Q1192"/>
  <c r="B1196"/>
  <c r="Q1196"/>
  <c r="B1200"/>
  <c r="Q1200"/>
  <c r="B1204"/>
  <c r="Q1204"/>
  <c r="B1208"/>
  <c r="Q1208"/>
  <c r="B1212"/>
  <c r="Q1212"/>
  <c r="B1216"/>
  <c r="Q1216"/>
  <c r="B1220"/>
  <c r="Q1220"/>
  <c r="O1223"/>
  <c r="B1238"/>
  <c r="Q1238"/>
  <c r="B1246"/>
  <c r="Q1246"/>
  <c r="Q1261"/>
  <c r="P1264"/>
  <c r="Q1264" s="1"/>
  <c r="B1268"/>
  <c r="Q1268"/>
  <c r="B1272"/>
  <c r="Q1272"/>
  <c r="B1276"/>
  <c r="Q1276"/>
  <c r="B1280"/>
  <c r="Q1280"/>
  <c r="B1284"/>
  <c r="Q1284"/>
  <c r="B1286"/>
  <c r="Q1286"/>
  <c r="B1288"/>
  <c r="Q1288"/>
  <c r="B1292"/>
  <c r="Q1292"/>
  <c r="B1300"/>
  <c r="Q1300"/>
  <c r="P1307"/>
  <c r="O1307"/>
  <c r="O1309"/>
  <c r="P1309"/>
  <c r="Q1309" s="1"/>
  <c r="O1310"/>
  <c r="P1310"/>
  <c r="Q1310" s="1"/>
  <c r="B1324"/>
  <c r="Q1324"/>
  <c r="Q1123"/>
  <c r="Q1125"/>
  <c r="Q1127"/>
  <c r="Q1129"/>
  <c r="Q1131"/>
  <c r="B1135"/>
  <c r="Q1135"/>
  <c r="B1139"/>
  <c r="Q1139"/>
  <c r="O1142"/>
  <c r="O1143"/>
  <c r="P1143"/>
  <c r="P1157"/>
  <c r="B1162"/>
  <c r="Q1162"/>
  <c r="B1166"/>
  <c r="Q1166"/>
  <c r="B1168"/>
  <c r="Q1168"/>
  <c r="O1169"/>
  <c r="P1171"/>
  <c r="Q1171" s="1"/>
  <c r="P1172"/>
  <c r="P1173"/>
  <c r="Q1173" s="1"/>
  <c r="B1177"/>
  <c r="Q1177"/>
  <c r="B1181"/>
  <c r="Q1181"/>
  <c r="B1185"/>
  <c r="Q1185"/>
  <c r="B1189"/>
  <c r="Q1189"/>
  <c r="B1193"/>
  <c r="Q1193"/>
  <c r="B1197"/>
  <c r="Q1197"/>
  <c r="B1201"/>
  <c r="Q1201"/>
  <c r="B1205"/>
  <c r="Q1205"/>
  <c r="B1209"/>
  <c r="Q1209"/>
  <c r="B1213"/>
  <c r="Q1213"/>
  <c r="B1217"/>
  <c r="Q1217"/>
  <c r="B1221"/>
  <c r="Q1221"/>
  <c r="Q1223"/>
  <c r="N1225"/>
  <c r="O1225" s="1"/>
  <c r="M1225"/>
  <c r="P1227"/>
  <c r="Q1227" s="1"/>
  <c r="O1227"/>
  <c r="P1231"/>
  <c r="O1231"/>
  <c r="P1235"/>
  <c r="Q1235" s="1"/>
  <c r="O1235"/>
  <c r="P1236"/>
  <c r="O1236"/>
  <c r="P1239"/>
  <c r="Q1239" s="1"/>
  <c r="O1239"/>
  <c r="P1240"/>
  <c r="Q1240" s="1"/>
  <c r="O1240"/>
  <c r="P1243"/>
  <c r="Q1243" s="1"/>
  <c r="O1243"/>
  <c r="P1244"/>
  <c r="Q1244" s="1"/>
  <c r="O1244"/>
  <c r="P1247"/>
  <c r="Q1247" s="1"/>
  <c r="O1247"/>
  <c r="P1248"/>
  <c r="Q1248" s="1"/>
  <c r="O1248"/>
  <c r="P1251"/>
  <c r="Q1251" s="1"/>
  <c r="O1251"/>
  <c r="P1252"/>
  <c r="Q1252" s="1"/>
  <c r="O1252"/>
  <c r="P1255"/>
  <c r="Q1255" s="1"/>
  <c r="O1255"/>
  <c r="P1256"/>
  <c r="Q1256" s="1"/>
  <c r="O1256"/>
  <c r="P1257"/>
  <c r="Q1257" s="1"/>
  <c r="O1257"/>
  <c r="P1258"/>
  <c r="Q1258" s="1"/>
  <c r="O1258"/>
  <c r="P1259"/>
  <c r="Q1259" s="1"/>
  <c r="O1259"/>
  <c r="Q1260"/>
  <c r="Q1262"/>
  <c r="B1265"/>
  <c r="Q1265"/>
  <c r="B1267"/>
  <c r="Q1267"/>
  <c r="B1269"/>
  <c r="Q1269"/>
  <c r="B1271"/>
  <c r="Q1271"/>
  <c r="B1273"/>
  <c r="Q1273"/>
  <c r="B1275"/>
  <c r="Q1275"/>
  <c r="B1277"/>
  <c r="Q1277"/>
  <c r="B1279"/>
  <c r="Q1279"/>
  <c r="B1283"/>
  <c r="Q1283"/>
  <c r="B1285"/>
  <c r="Q1285"/>
  <c r="B1287"/>
  <c r="Q1287"/>
  <c r="B1289"/>
  <c r="Q1289"/>
  <c r="B1291"/>
  <c r="Q1291"/>
  <c r="B1293"/>
  <c r="Q1293"/>
  <c r="P1297"/>
  <c r="O1297"/>
  <c r="B1301"/>
  <c r="Q1301"/>
  <c r="N1308"/>
  <c r="O1308" s="1"/>
  <c r="M1308"/>
  <c r="B1322"/>
  <c r="Q1322"/>
  <c r="B1258"/>
  <c r="B1256"/>
  <c r="B1252"/>
  <c r="B1248"/>
  <c r="B1244"/>
  <c r="B1240"/>
  <c r="P1225"/>
  <c r="B1225" s="1"/>
  <c r="B1171"/>
  <c r="B1310"/>
  <c r="B940"/>
  <c r="Q940"/>
  <c r="B838"/>
  <c r="Q838"/>
  <c r="B736"/>
  <c r="Q736"/>
  <c r="B1104"/>
  <c r="Q1104"/>
  <c r="B1096"/>
  <c r="Q1096"/>
  <c r="B1002"/>
  <c r="Q1002"/>
  <c r="B998"/>
  <c r="Q998"/>
  <c r="B795"/>
  <c r="Q795"/>
  <c r="Q783"/>
  <c r="B776"/>
  <c r="Q662"/>
  <c r="B660"/>
  <c r="Q660"/>
  <c r="B612"/>
  <c r="B484"/>
  <c r="B467"/>
  <c r="B413"/>
  <c r="Q413"/>
  <c r="Q305"/>
  <c r="B218"/>
  <c r="Q218"/>
  <c r="Q216"/>
  <c r="B214"/>
  <c r="Q214"/>
  <c r="Q1097"/>
  <c r="B1093"/>
  <c r="Q1093"/>
  <c r="Q1005"/>
  <c r="B1003"/>
  <c r="Q1003"/>
  <c r="Q1001"/>
  <c r="B999"/>
  <c r="Q999"/>
  <c r="Q997"/>
  <c r="B995"/>
  <c r="Q995"/>
  <c r="Q957"/>
  <c r="B755"/>
  <c r="Q755"/>
  <c r="B678"/>
  <c r="B661"/>
  <c r="Q661"/>
  <c r="B542"/>
  <c r="B538"/>
  <c r="B478"/>
  <c r="Q478"/>
  <c r="B459"/>
  <c r="B206"/>
  <c r="B198"/>
  <c r="P17"/>
  <c r="B17" s="1"/>
  <c r="Q272"/>
  <c r="B193"/>
  <c r="B292"/>
  <c r="Q292"/>
  <c r="O1100" i="67"/>
  <c r="I2591" i="27"/>
  <c r="K2591" s="1"/>
  <c r="K2560"/>
  <c r="I2595"/>
  <c r="K2595" s="1"/>
  <c r="K2564"/>
  <c r="I368" i="11"/>
  <c r="K368" s="1"/>
  <c r="K369" s="1"/>
  <c r="K370" s="1"/>
  <c r="K328"/>
  <c r="K329" s="1"/>
  <c r="K330" s="1"/>
  <c r="O995" i="67"/>
  <c r="P376" i="69"/>
  <c r="I1095"/>
  <c r="N1095"/>
  <c r="B1010"/>
  <c r="Q1010"/>
  <c r="P1006"/>
  <c r="O1006"/>
  <c r="G983"/>
  <c r="P983"/>
  <c r="N1101" i="67"/>
  <c r="O1101" s="1"/>
  <c r="K386"/>
  <c r="N386"/>
  <c r="P197" i="1"/>
  <c r="P165"/>
  <c r="R165" s="1"/>
  <c r="K197"/>
  <c r="K227"/>
  <c r="P233"/>
  <c r="R233" s="1"/>
  <c r="K314"/>
  <c r="V314"/>
  <c r="K382"/>
  <c r="V382"/>
  <c r="X679"/>
  <c r="V765"/>
  <c r="X765"/>
  <c r="V733"/>
  <c r="X733" s="1"/>
  <c r="V804"/>
  <c r="K810"/>
  <c r="K1076"/>
  <c r="I1091"/>
  <c r="K1091" s="1"/>
  <c r="R1099"/>
  <c r="P1120"/>
  <c r="R1120" s="1"/>
  <c r="M326" i="67"/>
  <c r="K1252" i="1"/>
  <c r="G1071" i="56" s="1"/>
  <c r="V1281" i="1"/>
  <c r="X1281" s="1"/>
  <c r="R1302"/>
  <c r="P1321"/>
  <c r="R1321" s="1"/>
  <c r="R1324" s="1"/>
  <c r="R1326" s="1"/>
  <c r="V1372"/>
  <c r="X1372" s="1"/>
  <c r="P1428"/>
  <c r="R1411"/>
  <c r="M740" i="67"/>
  <c r="K740"/>
  <c r="K3210" i="1"/>
  <c r="I3225"/>
  <c r="K3225" s="1"/>
  <c r="L3191" s="1"/>
  <c r="K3543"/>
  <c r="P3547"/>
  <c r="R3547" s="1"/>
  <c r="V3543"/>
  <c r="AE3543"/>
  <c r="X3120"/>
  <c r="V3137"/>
  <c r="X3137" s="1"/>
  <c r="I4070"/>
  <c r="K4070" s="1"/>
  <c r="P2514"/>
  <c r="K2507"/>
  <c r="K2512" s="1"/>
  <c r="K2515" s="1"/>
  <c r="V767"/>
  <c r="X767" s="1"/>
  <c r="X681"/>
  <c r="V735"/>
  <c r="X735" s="1"/>
  <c r="I3944"/>
  <c r="K3944" s="1"/>
  <c r="K3926"/>
  <c r="P2374"/>
  <c r="R2374" s="1"/>
  <c r="K2368"/>
  <c r="P944"/>
  <c r="R944" s="1"/>
  <c r="R943"/>
  <c r="P736"/>
  <c r="R736" s="1"/>
  <c r="I954"/>
  <c r="I1019"/>
  <c r="P721"/>
  <c r="R721" s="1"/>
  <c r="P752"/>
  <c r="R752"/>
  <c r="I989"/>
  <c r="K989" s="1"/>
  <c r="W405"/>
  <c r="W406" s="1"/>
  <c r="W404"/>
  <c r="F188" i="32"/>
  <c r="E271"/>
  <c r="F271" s="1"/>
  <c r="AB1368" i="1"/>
  <c r="AD1368" s="1"/>
  <c r="AD1351"/>
  <c r="P1464"/>
  <c r="R1464" s="1"/>
  <c r="R1447"/>
  <c r="M414" i="67"/>
  <c r="K414"/>
  <c r="M417"/>
  <c r="K417"/>
  <c r="K418"/>
  <c r="M419"/>
  <c r="K419"/>
  <c r="AD1191" i="1"/>
  <c r="AI1191"/>
  <c r="AK1191" s="1"/>
  <c r="M869" i="67"/>
  <c r="K869"/>
  <c r="M739" i="69"/>
  <c r="I739"/>
  <c r="O739"/>
  <c r="K739"/>
  <c r="Q739"/>
  <c r="G739"/>
  <c r="O1007" i="67"/>
  <c r="O1106"/>
  <c r="P1970" i="1"/>
  <c r="R1970" s="1"/>
  <c r="K1970"/>
  <c r="K2146"/>
  <c r="P2153"/>
  <c r="R2153" s="1"/>
  <c r="K83"/>
  <c r="K86" s="1"/>
  <c r="K88" s="1"/>
  <c r="I96"/>
  <c r="I111"/>
  <c r="K111" s="1"/>
  <c r="K114" s="1"/>
  <c r="K116" s="1"/>
  <c r="K711" i="69"/>
  <c r="M711"/>
  <c r="I711"/>
  <c r="O711"/>
  <c r="Q711"/>
  <c r="G711"/>
  <c r="J460"/>
  <c r="J460" i="67"/>
  <c r="N460" s="1"/>
  <c r="N921"/>
  <c r="D1506" i="69"/>
  <c r="G1506" s="1"/>
  <c r="D1507" i="67"/>
  <c r="G1507" s="1"/>
  <c r="K2008" i="1"/>
  <c r="P2009"/>
  <c r="R2009" s="1"/>
  <c r="D745" i="69"/>
  <c r="D745" i="67"/>
  <c r="P1993" i="1"/>
  <c r="R1993" s="1"/>
  <c r="K1993"/>
  <c r="D73" i="25"/>
  <c r="F50"/>
  <c r="K1844" i="1"/>
  <c r="P1860"/>
  <c r="P1891" s="1"/>
  <c r="I612"/>
  <c r="K612"/>
  <c r="D688" i="69" s="1"/>
  <c r="V685" i="1"/>
  <c r="D51" i="32"/>
  <c r="D114" s="1"/>
  <c r="F114" s="1"/>
  <c r="X715" i="1"/>
  <c r="D22" i="69"/>
  <c r="M22" s="1"/>
  <c r="D22" i="67"/>
  <c r="K134" i="1"/>
  <c r="P990"/>
  <c r="R990"/>
  <c r="K1056"/>
  <c r="P1049"/>
  <c r="R1049" s="1"/>
  <c r="P1067"/>
  <c r="R1067" s="1"/>
  <c r="AE1065"/>
  <c r="AG1065" s="1"/>
  <c r="M101"/>
  <c r="M95"/>
  <c r="M116"/>
  <c r="M133" s="1"/>
  <c r="K3523"/>
  <c r="P3527"/>
  <c r="R3328"/>
  <c r="P3363"/>
  <c r="R3363" s="1"/>
  <c r="E227" i="32"/>
  <c r="F227" s="1"/>
  <c r="E270"/>
  <c r="F270" s="1"/>
  <c r="F189"/>
  <c r="K3991" i="1"/>
  <c r="I4007"/>
  <c r="AB1390"/>
  <c r="AD1390" s="1"/>
  <c r="AD1373"/>
  <c r="AB1392"/>
  <c r="AD1392" s="1"/>
  <c r="AD1375"/>
  <c r="AD1353"/>
  <c r="AB1370"/>
  <c r="AB1387" s="1"/>
  <c r="AD1387" s="1"/>
  <c r="V1403"/>
  <c r="X1403" s="1"/>
  <c r="X1387"/>
  <c r="O406" i="69"/>
  <c r="M406"/>
  <c r="K406"/>
  <c r="I406"/>
  <c r="D622" i="25"/>
  <c r="D658" s="1"/>
  <c r="F587"/>
  <c r="H3853" i="1"/>
  <c r="H3874" s="1"/>
  <c r="J3874" s="1"/>
  <c r="K2608"/>
  <c r="K3104"/>
  <c r="P2078"/>
  <c r="R2078" s="1"/>
  <c r="P2858" i="27"/>
  <c r="R2858" s="1"/>
  <c r="R2846"/>
  <c r="P2879"/>
  <c r="R2879" s="1"/>
  <c r="P293" i="69"/>
  <c r="B293" s="1"/>
  <c r="M412" i="67"/>
  <c r="K412"/>
  <c r="AU132" i="1"/>
  <c r="AV132" s="1"/>
  <c r="P771" i="69"/>
  <c r="B771" s="1"/>
  <c r="P397"/>
  <c r="B397" s="1"/>
  <c r="P139"/>
  <c r="G380"/>
  <c r="P380"/>
  <c r="B380" s="1"/>
  <c r="B1297"/>
  <c r="Q1297"/>
  <c r="B1251"/>
  <c r="B1236"/>
  <c r="Q1236"/>
  <c r="B1231"/>
  <c r="Q1231"/>
  <c r="B1157"/>
  <c r="Q1157"/>
  <c r="B1143"/>
  <c r="Q1143"/>
  <c r="B1309"/>
  <c r="B1122"/>
  <c r="Q1122"/>
  <c r="B1106"/>
  <c r="Q1106"/>
  <c r="B990"/>
  <c r="Q990"/>
  <c r="B863"/>
  <c r="B848"/>
  <c r="B787"/>
  <c r="Q787"/>
  <c r="B730"/>
  <c r="B929"/>
  <c r="B791"/>
  <c r="Q791"/>
  <c r="B626"/>
  <c r="B1172"/>
  <c r="Q1172"/>
  <c r="B1307"/>
  <c r="Q1307"/>
  <c r="O991"/>
  <c r="P991"/>
  <c r="B1094"/>
  <c r="Q1094"/>
  <c r="B1084"/>
  <c r="Q1084"/>
  <c r="B1082"/>
  <c r="Q1082"/>
  <c r="B1080"/>
  <c r="Q1080"/>
  <c r="B1078"/>
  <c r="Q1078"/>
  <c r="B1076"/>
  <c r="Q1076"/>
  <c r="B1074"/>
  <c r="Q1074"/>
  <c r="B1072"/>
  <c r="Q1072"/>
  <c r="B1070"/>
  <c r="Q1070"/>
  <c r="B1068"/>
  <c r="Q1068"/>
  <c r="B868"/>
  <c r="B821"/>
  <c r="Q821"/>
  <c r="B819"/>
  <c r="B668"/>
  <c r="Q637"/>
  <c r="B563"/>
  <c r="Q563"/>
  <c r="B528"/>
  <c r="B511"/>
  <c r="B462"/>
  <c r="B449"/>
  <c r="B332"/>
  <c r="Q332"/>
  <c r="B304"/>
  <c r="B217"/>
  <c r="Q217"/>
  <c r="B213"/>
  <c r="Q213"/>
  <c r="B163"/>
  <c r="Q163"/>
  <c r="B1085"/>
  <c r="Q1085"/>
  <c r="Q1083"/>
  <c r="B1081"/>
  <c r="Q1081"/>
  <c r="Q1079"/>
  <c r="B1077"/>
  <c r="Q1077"/>
  <c r="Q1075"/>
  <c r="B1073"/>
  <c r="Q1073"/>
  <c r="Q1071"/>
  <c r="B1069"/>
  <c r="Q1069"/>
  <c r="B944"/>
  <c r="Q944"/>
  <c r="B936"/>
  <c r="B905"/>
  <c r="Q905"/>
  <c r="B896"/>
  <c r="Q896"/>
  <c r="B820"/>
  <c r="Q820"/>
  <c r="B796"/>
  <c r="Q796"/>
  <c r="Q794"/>
  <c r="B792"/>
  <c r="Q792"/>
  <c r="B773"/>
  <c r="Q773"/>
  <c r="B729"/>
  <c r="Q729"/>
  <c r="B649"/>
  <c r="B641"/>
  <c r="Q641"/>
  <c r="B530"/>
  <c r="Q530"/>
  <c r="B529"/>
  <c r="B366"/>
  <c r="B207"/>
  <c r="Q207"/>
  <c r="B205"/>
  <c r="Q205"/>
  <c r="B203"/>
  <c r="Q203"/>
  <c r="B201"/>
  <c r="Q201"/>
  <c r="B199"/>
  <c r="Q199"/>
  <c r="B197"/>
  <c r="Q197"/>
  <c r="B195"/>
  <c r="Q195"/>
  <c r="B118"/>
  <c r="Q118"/>
  <c r="B83"/>
  <c r="Q83"/>
  <c r="B401"/>
  <c r="C887" i="68"/>
  <c r="I887" s="1"/>
  <c r="C881"/>
  <c r="I881" s="1"/>
  <c r="I876"/>
  <c r="I2590" i="27"/>
  <c r="K2590" s="1"/>
  <c r="K2559"/>
  <c r="I2592"/>
  <c r="K2592" s="1"/>
  <c r="I2594"/>
  <c r="K2594"/>
  <c r="K2563"/>
  <c r="I3037"/>
  <c r="K3037" s="1"/>
  <c r="I3057"/>
  <c r="I3892" s="1"/>
  <c r="K3892" s="1"/>
  <c r="K2939"/>
  <c r="I3885"/>
  <c r="K3885" s="1"/>
  <c r="K3049"/>
  <c r="K123" i="11"/>
  <c r="I1085"/>
  <c r="K1085" s="1"/>
  <c r="O1109" i="67"/>
  <c r="I890" i="68"/>
  <c r="I891" s="1"/>
  <c r="B981" i="69"/>
  <c r="Q981"/>
  <c r="G1158"/>
  <c r="P1158"/>
  <c r="Q1158" s="1"/>
  <c r="P1102"/>
  <c r="Q1102" s="1"/>
  <c r="O1102"/>
  <c r="P1117"/>
  <c r="O1117"/>
  <c r="O1112" i="67"/>
  <c r="F903" i="69"/>
  <c r="F903" i="67"/>
  <c r="G1533" i="69"/>
  <c r="D753"/>
  <c r="K753" s="1"/>
  <c r="N1100"/>
  <c r="O1100" s="1"/>
  <c r="I1100"/>
  <c r="N386"/>
  <c r="K386"/>
  <c r="K338" i="1"/>
  <c r="V338"/>
  <c r="AE338" s="1"/>
  <c r="AG338" s="1"/>
  <c r="K506"/>
  <c r="I2900"/>
  <c r="K2900" s="1"/>
  <c r="D46" i="32"/>
  <c r="F46" s="1"/>
  <c r="H46" s="1"/>
  <c r="X710" i="1"/>
  <c r="Z710" s="1"/>
  <c r="V680"/>
  <c r="R1145"/>
  <c r="P1176"/>
  <c r="R1176" s="1"/>
  <c r="M357" i="67"/>
  <c r="K357"/>
  <c r="K1257" i="1"/>
  <c r="G1076" i="56" s="1"/>
  <c r="V1286" i="1"/>
  <c r="X1286"/>
  <c r="AB1333"/>
  <c r="AC1333" s="1"/>
  <c r="X1335"/>
  <c r="K1587"/>
  <c r="I1602"/>
  <c r="K1602" s="1"/>
  <c r="M369" i="67"/>
  <c r="K369"/>
  <c r="M372"/>
  <c r="K372"/>
  <c r="X3135" i="1"/>
  <c r="V3160"/>
  <c r="X3160" s="1"/>
  <c r="K3367"/>
  <c r="K3370" s="1"/>
  <c r="K3371" s="1"/>
  <c r="I3354"/>
  <c r="K3354" s="1"/>
  <c r="K3524"/>
  <c r="P3528"/>
  <c r="R3528" s="1"/>
  <c r="I3540"/>
  <c r="X3554"/>
  <c r="V3570"/>
  <c r="X3538"/>
  <c r="V3518"/>
  <c r="X3518"/>
  <c r="J3875"/>
  <c r="H3891"/>
  <c r="J3891" s="1"/>
  <c r="K4023"/>
  <c r="I4034"/>
  <c r="K4034"/>
  <c r="O1151" i="67"/>
  <c r="O1117"/>
  <c r="O1118"/>
  <c r="O1104"/>
  <c r="I3423" i="1"/>
  <c r="K3423" s="1"/>
  <c r="V2604"/>
  <c r="X2604" s="1"/>
  <c r="K2636"/>
  <c r="P2643"/>
  <c r="R2643" s="1"/>
  <c r="F88" i="32"/>
  <c r="E148"/>
  <c r="F148" s="1"/>
  <c r="F90"/>
  <c r="E97"/>
  <c r="G97" s="1"/>
  <c r="G99" s="1"/>
  <c r="E150"/>
  <c r="F150" s="1"/>
  <c r="G33"/>
  <c r="G35" s="1"/>
  <c r="K3947" i="1"/>
  <c r="I3963"/>
  <c r="K414" i="69"/>
  <c r="M414"/>
  <c r="G414"/>
  <c r="Q414"/>
  <c r="I414"/>
  <c r="I415"/>
  <c r="M415"/>
  <c r="K415"/>
  <c r="Q415"/>
  <c r="G415"/>
  <c r="O415"/>
  <c r="K417"/>
  <c r="O417"/>
  <c r="G417"/>
  <c r="I417"/>
  <c r="M417"/>
  <c r="O418"/>
  <c r="Q418"/>
  <c r="K418"/>
  <c r="G418"/>
  <c r="M418"/>
  <c r="I418"/>
  <c r="K419"/>
  <c r="M419"/>
  <c r="G419"/>
  <c r="I419"/>
  <c r="Q419"/>
  <c r="X1407" i="1"/>
  <c r="AB1405"/>
  <c r="AD1405" s="1"/>
  <c r="X1302"/>
  <c r="V1322"/>
  <c r="X1322"/>
  <c r="I869" i="69"/>
  <c r="G869"/>
  <c r="K869"/>
  <c r="M869"/>
  <c r="O869"/>
  <c r="Q869"/>
  <c r="M713" i="67"/>
  <c r="K713"/>
  <c r="K713" i="69"/>
  <c r="M713"/>
  <c r="O713"/>
  <c r="Q713"/>
  <c r="I713"/>
  <c r="G713"/>
  <c r="I3661" i="1"/>
  <c r="R432"/>
  <c r="I398" i="69"/>
  <c r="K398"/>
  <c r="O398"/>
  <c r="M398"/>
  <c r="N699"/>
  <c r="P699" s="1"/>
  <c r="B699" s="1"/>
  <c r="D710"/>
  <c r="I710" s="1"/>
  <c r="D397"/>
  <c r="I397" s="1"/>
  <c r="D710" i="67"/>
  <c r="D397"/>
  <c r="K1631" i="1"/>
  <c r="P1633"/>
  <c r="R1633" s="1"/>
  <c r="P2030"/>
  <c r="R2030"/>
  <c r="K2030"/>
  <c r="K2034" s="1"/>
  <c r="D395" i="69" s="1"/>
  <c r="Q395" s="1"/>
  <c r="AE3666" i="1"/>
  <c r="AG3666" s="1"/>
  <c r="X3672"/>
  <c r="I1179"/>
  <c r="K1179" s="1"/>
  <c r="K1183" s="1"/>
  <c r="K1185" s="1"/>
  <c r="I1771"/>
  <c r="K1771"/>
  <c r="P1969"/>
  <c r="R1969" s="1"/>
  <c r="K1969"/>
  <c r="I3660"/>
  <c r="I3681" s="1"/>
  <c r="K3681" s="1"/>
  <c r="R431"/>
  <c r="K82"/>
  <c r="L82"/>
  <c r="R3294"/>
  <c r="P3397"/>
  <c r="R3397" s="1"/>
  <c r="I1088"/>
  <c r="K1088" s="1"/>
  <c r="I3483"/>
  <c r="K3483" s="1"/>
  <c r="I1073"/>
  <c r="K1073"/>
  <c r="I4065"/>
  <c r="K4065" s="1"/>
  <c r="V3133"/>
  <c r="X3116"/>
  <c r="V82"/>
  <c r="X82" s="1"/>
  <c r="X86" s="1"/>
  <c r="X88" s="1"/>
  <c r="X81"/>
  <c r="V110"/>
  <c r="X110" s="1"/>
  <c r="X114" s="1"/>
  <c r="X116" s="1"/>
  <c r="X118" s="1"/>
  <c r="D603" i="69" s="1"/>
  <c r="K603" s="1"/>
  <c r="X133" i="1"/>
  <c r="D604" i="67" s="1"/>
  <c r="O604" s="1"/>
  <c r="X136" i="1"/>
  <c r="I3056"/>
  <c r="K2867"/>
  <c r="E149" i="32"/>
  <c r="F149" s="1"/>
  <c r="F89"/>
  <c r="D59" i="25"/>
  <c r="D84" s="1"/>
  <c r="F36"/>
  <c r="AD1371" i="1"/>
  <c r="AB1388"/>
  <c r="AD1388"/>
  <c r="R1451"/>
  <c r="P1468"/>
  <c r="R1468" s="1"/>
  <c r="M406" i="67"/>
  <c r="K406"/>
  <c r="D411" i="69"/>
  <c r="G411" s="1"/>
  <c r="D411" i="67"/>
  <c r="D756" i="69"/>
  <c r="O756" s="1"/>
  <c r="D756" i="67"/>
  <c r="K756" s="1"/>
  <c r="X1359" i="1"/>
  <c r="AB1357"/>
  <c r="AB1374" s="1"/>
  <c r="I3994"/>
  <c r="I4010" s="1"/>
  <c r="Q412" i="69"/>
  <c r="K412"/>
  <c r="I412"/>
  <c r="G412"/>
  <c r="M412"/>
  <c r="P922"/>
  <c r="B922" s="1"/>
  <c r="AU163" i="1"/>
  <c r="AV163" s="1"/>
  <c r="P836" i="69"/>
  <c r="Q836" s="1"/>
  <c r="G836"/>
  <c r="M411" i="67"/>
  <c r="O411"/>
  <c r="X134" i="1"/>
  <c r="M710" i="67"/>
  <c r="K710"/>
  <c r="O710"/>
  <c r="K710" i="69"/>
  <c r="K3661" i="1"/>
  <c r="I3682"/>
  <c r="K3682" s="1"/>
  <c r="AB1422"/>
  <c r="AD1422" s="1"/>
  <c r="Z2602"/>
  <c r="D549" i="25"/>
  <c r="F549" s="1"/>
  <c r="P903" i="69"/>
  <c r="B1117"/>
  <c r="Q1117"/>
  <c r="I3895" i="27"/>
  <c r="K3895" s="1"/>
  <c r="B139" i="69"/>
  <c r="Q397"/>
  <c r="AD1370" i="1"/>
  <c r="I36" i="25"/>
  <c r="K4007" i="1"/>
  <c r="I4022"/>
  <c r="I4035" s="1"/>
  <c r="K4035" s="1"/>
  <c r="V3555"/>
  <c r="X3555" s="1"/>
  <c r="R3527"/>
  <c r="D14" i="67"/>
  <c r="M22"/>
  <c r="K22"/>
  <c r="O22"/>
  <c r="F51" i="32"/>
  <c r="K613" i="1"/>
  <c r="D689" i="67" s="1"/>
  <c r="R1891" i="1"/>
  <c r="R1860"/>
  <c r="D101" i="25"/>
  <c r="F73"/>
  <c r="K745" i="69"/>
  <c r="M745"/>
  <c r="I745"/>
  <c r="Q745"/>
  <c r="O745"/>
  <c r="G745"/>
  <c r="N460"/>
  <c r="M96" i="1"/>
  <c r="M97"/>
  <c r="K96"/>
  <c r="K99" s="1"/>
  <c r="K101" s="1"/>
  <c r="K104" s="1"/>
  <c r="V1425"/>
  <c r="X1425" s="1"/>
  <c r="K954"/>
  <c r="I2817"/>
  <c r="P947"/>
  <c r="R947" s="1"/>
  <c r="P3192"/>
  <c r="I3960"/>
  <c r="K3960" s="1"/>
  <c r="AE3559"/>
  <c r="AG3559" s="1"/>
  <c r="AG3543"/>
  <c r="V1389"/>
  <c r="V1405" s="1"/>
  <c r="X804"/>
  <c r="V819"/>
  <c r="X819"/>
  <c r="X382"/>
  <c r="AE391"/>
  <c r="V413"/>
  <c r="X413"/>
  <c r="X314"/>
  <c r="AQ66"/>
  <c r="AE314"/>
  <c r="AG314"/>
  <c r="V197"/>
  <c r="X197" s="1"/>
  <c r="R197"/>
  <c r="B983" i="69"/>
  <c r="Q983"/>
  <c r="P1095"/>
  <c r="B1095" s="1"/>
  <c r="O1095"/>
  <c r="B376"/>
  <c r="K341" i="11"/>
  <c r="K342" s="1"/>
  <c r="K3994" i="1"/>
  <c r="M756" i="69"/>
  <c r="M411"/>
  <c r="P1499" i="1"/>
  <c r="V1460" s="1"/>
  <c r="F59" i="25"/>
  <c r="I3075" i="1"/>
  <c r="K3075"/>
  <c r="K3056"/>
  <c r="P3063"/>
  <c r="R3063" s="1"/>
  <c r="V3158"/>
  <c r="X3158" s="1"/>
  <c r="X3133"/>
  <c r="K3660"/>
  <c r="K3675" s="1"/>
  <c r="K3677" s="1"/>
  <c r="M397" i="69"/>
  <c r="K397"/>
  <c r="I3980" i="1"/>
  <c r="K3980" s="1"/>
  <c r="K3963"/>
  <c r="V3585"/>
  <c r="V3602" s="1"/>
  <c r="X3602" s="1"/>
  <c r="K3540"/>
  <c r="P3544"/>
  <c r="R3544" s="1"/>
  <c r="AE3540"/>
  <c r="AE3556" s="1"/>
  <c r="V3540"/>
  <c r="V3556" s="1"/>
  <c r="X680"/>
  <c r="V734"/>
  <c r="X734"/>
  <c r="V766"/>
  <c r="X766" s="1"/>
  <c r="D109" i="32"/>
  <c r="F109" s="1"/>
  <c r="O386" i="69"/>
  <c r="F275"/>
  <c r="I878" i="68"/>
  <c r="B991" i="69"/>
  <c r="Q991"/>
  <c r="G397"/>
  <c r="R2831" i="1"/>
  <c r="P2864"/>
  <c r="P3163" s="1"/>
  <c r="P2650"/>
  <c r="R2650" s="1"/>
  <c r="V2792"/>
  <c r="J3853"/>
  <c r="AB1401"/>
  <c r="AD1401" s="1"/>
  <c r="D23" i="69"/>
  <c r="D23" i="67"/>
  <c r="V739" i="1"/>
  <c r="X739"/>
  <c r="X685"/>
  <c r="P1093"/>
  <c r="P1114" s="1"/>
  <c r="V3637" s="1"/>
  <c r="K1019"/>
  <c r="V3523"/>
  <c r="X3523" s="1"/>
  <c r="X3543"/>
  <c r="V3559"/>
  <c r="V3575" s="1"/>
  <c r="X3575" s="1"/>
  <c r="L3176"/>
  <c r="R1428"/>
  <c r="P1444"/>
  <c r="P1461" s="1"/>
  <c r="V1422" s="1"/>
  <c r="X1422" s="1"/>
  <c r="S1326"/>
  <c r="O386" i="67"/>
  <c r="B901" i="69"/>
  <c r="B1006"/>
  <c r="Q1006"/>
  <c r="X3559" i="1"/>
  <c r="R3163"/>
  <c r="F277" i="69"/>
  <c r="G277" s="1"/>
  <c r="F276"/>
  <c r="G276" s="1"/>
  <c r="X3540" i="1"/>
  <c r="V3520"/>
  <c r="X3520" s="1"/>
  <c r="I3977"/>
  <c r="K3977" s="1"/>
  <c r="P3261"/>
  <c r="R3192"/>
  <c r="K36" i="25"/>
  <c r="B903" i="69"/>
  <c r="R1093" i="1"/>
  <c r="O23" i="69"/>
  <c r="G23"/>
  <c r="I23"/>
  <c r="K23"/>
  <c r="M23"/>
  <c r="Q23"/>
  <c r="AB1418" i="1"/>
  <c r="AD1418" s="1"/>
  <c r="H3890"/>
  <c r="J3890" s="1"/>
  <c r="F281" i="69"/>
  <c r="P281" s="1"/>
  <c r="Q281" s="1"/>
  <c r="X3585" i="1"/>
  <c r="R1499"/>
  <c r="M342" i="11"/>
  <c r="Q1095" i="69"/>
  <c r="F101" i="25"/>
  <c r="D122"/>
  <c r="D149" s="1"/>
  <c r="D171" s="1"/>
  <c r="F171" s="1"/>
  <c r="M299" i="67"/>
  <c r="K299"/>
  <c r="R299" s="1"/>
  <c r="O299"/>
  <c r="R1114" i="1"/>
  <c r="X3637"/>
  <c r="I3321"/>
  <c r="K3321"/>
  <c r="R3261"/>
  <c r="P276" i="69"/>
  <c r="Q276" s="1"/>
  <c r="P277"/>
  <c r="Q277" s="1"/>
  <c r="V3590" i="1"/>
  <c r="X3590" s="1"/>
  <c r="R1461"/>
  <c r="K299" i="69"/>
  <c r="I299"/>
  <c r="O299"/>
  <c r="M299"/>
  <c r="K473"/>
  <c r="I473"/>
  <c r="O473"/>
  <c r="M473"/>
  <c r="V3607" i="1"/>
  <c r="X3607" s="1"/>
  <c r="M473" i="67"/>
  <c r="K473"/>
  <c r="O473"/>
  <c r="I453" i="69"/>
  <c r="Q453"/>
  <c r="M453"/>
  <c r="O453"/>
  <c r="K453"/>
  <c r="G453"/>
  <c r="M453" i="67"/>
  <c r="K453"/>
  <c r="O453"/>
  <c r="K728" i="69"/>
  <c r="O728"/>
  <c r="I728"/>
  <c r="M728"/>
  <c r="B21"/>
  <c r="Q21"/>
  <c r="B25"/>
  <c r="B27"/>
  <c r="Q27"/>
  <c r="B29"/>
  <c r="Q31"/>
  <c r="B31"/>
  <c r="Q33"/>
  <c r="B33"/>
  <c r="Q35"/>
  <c r="B35"/>
  <c r="B20"/>
  <c r="B26"/>
  <c r="B28"/>
  <c r="Q30"/>
  <c r="B30"/>
  <c r="Q32"/>
  <c r="B32"/>
  <c r="Q34"/>
  <c r="B34"/>
  <c r="Q36"/>
  <c r="B36"/>
  <c r="Z34" i="27"/>
  <c r="AC34" s="1"/>
  <c r="C77" s="1"/>
  <c r="I443" s="1"/>
  <c r="K443" s="1"/>
  <c r="K451" s="1"/>
  <c r="K453" s="1"/>
  <c r="I458" s="1"/>
  <c r="K458" s="1"/>
  <c r="K462" s="1"/>
  <c r="K464" s="1"/>
  <c r="K466" s="1"/>
  <c r="AC19"/>
  <c r="Z11"/>
  <c r="Z12" s="1"/>
  <c r="M170" i="69"/>
  <c r="C81" i="27"/>
  <c r="P619" s="1"/>
  <c r="R619" s="1"/>
  <c r="R623" s="1"/>
  <c r="Z13" l="1"/>
  <c r="AC12"/>
  <c r="C71" s="1"/>
  <c r="Z36"/>
  <c r="AC36" s="1"/>
  <c r="I242" s="1"/>
  <c r="K242" s="1"/>
  <c r="O689" i="67"/>
  <c r="K689"/>
  <c r="M689"/>
  <c r="I39" i="25"/>
  <c r="K4010" i="1"/>
  <c r="P1539"/>
  <c r="R1539" s="1"/>
  <c r="I4025"/>
  <c r="R1148"/>
  <c r="P1179" s="1"/>
  <c r="R1179" s="1"/>
  <c r="V807"/>
  <c r="F191" i="69"/>
  <c r="P191" s="1"/>
  <c r="B191" s="1"/>
  <c r="F191" i="67"/>
  <c r="F260" i="69"/>
  <c r="P260" s="1"/>
  <c r="B260" s="1"/>
  <c r="F260" i="67"/>
  <c r="AG3556" i="1"/>
  <c r="V3619"/>
  <c r="X3619" s="1"/>
  <c r="D25" i="67"/>
  <c r="D25" i="69"/>
  <c r="G25" s="1"/>
  <c r="K105" i="1"/>
  <c r="K688" i="69"/>
  <c r="M688"/>
  <c r="I688"/>
  <c r="Q688"/>
  <c r="I3109" i="1"/>
  <c r="I3547"/>
  <c r="D358" i="67"/>
  <c r="D358" i="69"/>
  <c r="F435"/>
  <c r="P435" s="1"/>
  <c r="B435" s="1"/>
  <c r="F435" i="67"/>
  <c r="V3572" i="1"/>
  <c r="X3556"/>
  <c r="K3072" i="27"/>
  <c r="I3075"/>
  <c r="K3075" s="1"/>
  <c r="I3931"/>
  <c r="I3950" s="1"/>
  <c r="K3950" s="1"/>
  <c r="D391" i="67"/>
  <c r="D391" i="69"/>
  <c r="F754" i="67"/>
  <c r="F754" i="69"/>
  <c r="P754" s="1"/>
  <c r="B754" s="1"/>
  <c r="F265" i="67"/>
  <c r="F265" i="69"/>
  <c r="P265" s="1"/>
  <c r="B265" s="1"/>
  <c r="V1421" i="1"/>
  <c r="X1421" s="1"/>
  <c r="R1460"/>
  <c r="P1491"/>
  <c r="D1507" i="69"/>
  <c r="G1507" s="1"/>
  <c r="I2671" i="1"/>
  <c r="P2678" s="1"/>
  <c r="I2872"/>
  <c r="K2872" s="1"/>
  <c r="AB1403"/>
  <c r="X1405"/>
  <c r="AC1203"/>
  <c r="AJ1202"/>
  <c r="X3592"/>
  <c r="V3609"/>
  <c r="X3609" s="1"/>
  <c r="K4018"/>
  <c r="I4033"/>
  <c r="K4033" s="1"/>
  <c r="I4019"/>
  <c r="K3695"/>
  <c r="K3697" s="1"/>
  <c r="I507" i="11"/>
  <c r="K507" s="1"/>
  <c r="K448"/>
  <c r="I466"/>
  <c r="K466" s="1"/>
  <c r="I537"/>
  <c r="K504"/>
  <c r="I499" s="1"/>
  <c r="K499" s="1"/>
  <c r="AB1426" i="1"/>
  <c r="AD1426" s="1"/>
  <c r="AD1409"/>
  <c r="K3578"/>
  <c r="I3587"/>
  <c r="K3587" s="1"/>
  <c r="AB1190"/>
  <c r="R1334"/>
  <c r="C66"/>
  <c r="P2373"/>
  <c r="R2373" s="1"/>
  <c r="I2367"/>
  <c r="K2367" s="1"/>
  <c r="H1133" i="69"/>
  <c r="H1134" i="67"/>
  <c r="I3799" i="27"/>
  <c r="K3799" s="1"/>
  <c r="P2850"/>
  <c r="P2883" s="1"/>
  <c r="R2883" s="1"/>
  <c r="I2998"/>
  <c r="K2998" s="1"/>
  <c r="I2908"/>
  <c r="K2846"/>
  <c r="R2379" i="1"/>
  <c r="R2381" s="1"/>
  <c r="AC11" i="27"/>
  <c r="C70" s="1"/>
  <c r="D395" i="67"/>
  <c r="P1492" i="1"/>
  <c r="K4022"/>
  <c r="O395" i="69"/>
  <c r="AG3540" i="1"/>
  <c r="V3571"/>
  <c r="D689" i="69"/>
  <c r="X1389" i="1"/>
  <c r="R1444"/>
  <c r="V3162"/>
  <c r="Q22" i="69"/>
  <c r="P1100"/>
  <c r="Q1100" s="1"/>
  <c r="O397"/>
  <c r="K756"/>
  <c r="P1495" i="1"/>
  <c r="I613"/>
  <c r="Q380" i="69"/>
  <c r="X338" i="1"/>
  <c r="AE2652"/>
  <c r="AG2652" s="1"/>
  <c r="O710" i="69"/>
  <c r="D604"/>
  <c r="M756" i="67"/>
  <c r="R444" i="1"/>
  <c r="R446" s="1"/>
  <c r="K3357"/>
  <c r="K3358" s="1"/>
  <c r="I2938" i="27"/>
  <c r="B892" i="69"/>
  <c r="Q215"/>
  <c r="Q1004"/>
  <c r="B931"/>
  <c r="B1227"/>
  <c r="V358" i="1"/>
  <c r="F626" i="25"/>
  <c r="B137" i="69"/>
  <c r="B202"/>
  <c r="B331"/>
  <c r="Q793"/>
  <c r="Q797"/>
  <c r="F28" i="32"/>
  <c r="K3799" i="1"/>
  <c r="I3789" s="1"/>
  <c r="Q1089" i="69"/>
  <c r="B1067"/>
  <c r="B1065"/>
  <c r="B1063"/>
  <c r="B1061"/>
  <c r="B1059"/>
  <c r="B1057"/>
  <c r="B1055"/>
  <c r="B1053"/>
  <c r="B1169"/>
  <c r="B1101"/>
  <c r="B1091"/>
  <c r="B1087"/>
  <c r="B1009"/>
  <c r="B911"/>
  <c r="Q828"/>
  <c r="B815"/>
  <c r="B813"/>
  <c r="B569"/>
  <c r="Q583"/>
  <c r="B537"/>
  <c r="B234"/>
  <c r="Q171"/>
  <c r="B89"/>
  <c r="B151"/>
  <c r="F401" i="67"/>
  <c r="F437" i="69"/>
  <c r="P437" s="1"/>
  <c r="B437" s="1"/>
  <c r="F406" i="67"/>
  <c r="R1443" i="1"/>
  <c r="K749"/>
  <c r="K751" s="1"/>
  <c r="I757" s="1"/>
  <c r="K757" s="1"/>
  <c r="F292" i="25"/>
  <c r="F293" s="1"/>
  <c r="I249" i="64"/>
  <c r="I250" s="1"/>
  <c r="H3852" i="1"/>
  <c r="H3873" s="1"/>
  <c r="K2607"/>
  <c r="K2612" s="1"/>
  <c r="K2615" s="1"/>
  <c r="M2615" s="1"/>
  <c r="I3973"/>
  <c r="K3973" s="1"/>
  <c r="K3956"/>
  <c r="I3283"/>
  <c r="E199" i="25"/>
  <c r="G199" s="1"/>
  <c r="G218" s="1"/>
  <c r="P1547" i="1"/>
  <c r="R1547" s="1"/>
  <c r="C17"/>
  <c r="I3704"/>
  <c r="K3704" s="1"/>
  <c r="K3708" s="1"/>
  <c r="K3709" s="1"/>
  <c r="I3767"/>
  <c r="K3767" s="1"/>
  <c r="I3794"/>
  <c r="K3794" s="1"/>
  <c r="D48" i="25"/>
  <c r="P1402" i="1"/>
  <c r="AF3105"/>
  <c r="V3670"/>
  <c r="I3722"/>
  <c r="K3722" s="1"/>
  <c r="K3725" s="1"/>
  <c r="I3717" s="1"/>
  <c r="K3717" s="1"/>
  <c r="K3718" s="1"/>
  <c r="K3719" s="1"/>
  <c r="K413" i="11"/>
  <c r="K957" s="1"/>
  <c r="K959" s="1"/>
  <c r="L959" s="1"/>
  <c r="K941"/>
  <c r="R412"/>
  <c r="R413" s="1"/>
  <c r="F149" i="25"/>
  <c r="I614" i="1"/>
  <c r="O22" i="69"/>
  <c r="Z35" i="27"/>
  <c r="AC35" s="1"/>
  <c r="I253" s="1"/>
  <c r="K253" s="1"/>
  <c r="K258" s="1"/>
  <c r="K260" s="1"/>
  <c r="V3622" i="1"/>
  <c r="X3622" s="1"/>
  <c r="I756" i="69"/>
  <c r="D688" i="67"/>
  <c r="F288" i="69"/>
  <c r="P288" s="1"/>
  <c r="Q288" s="1"/>
  <c r="AE2618" i="1"/>
  <c r="AG2618" s="1"/>
  <c r="G710" i="69"/>
  <c r="R2037" i="1"/>
  <c r="Q219" i="69"/>
  <c r="Q996"/>
  <c r="B1257"/>
  <c r="B1235"/>
  <c r="B1051"/>
  <c r="B1232"/>
  <c r="B934"/>
  <c r="B833"/>
  <c r="B831"/>
  <c r="Q824"/>
  <c r="Q732"/>
  <c r="B675"/>
  <c r="Q733"/>
  <c r="B170"/>
  <c r="B128"/>
  <c r="W487" i="1"/>
  <c r="AC487" s="1"/>
  <c r="P1115"/>
  <c r="R1115" s="1"/>
  <c r="K1805" i="27"/>
  <c r="I2443" i="1"/>
  <c r="K2443" s="1"/>
  <c r="K2609" i="27"/>
  <c r="K223" i="11"/>
  <c r="I1069"/>
  <c r="K1069" s="1"/>
  <c r="V1371" i="1"/>
  <c r="X1371" s="1"/>
  <c r="R1410"/>
  <c r="AE339"/>
  <c r="AG339" s="1"/>
  <c r="X339"/>
  <c r="K1258" i="11"/>
  <c r="K1259"/>
  <c r="K1263" s="1"/>
  <c r="K1265" s="1"/>
  <c r="K103"/>
  <c r="I221"/>
  <c r="K1927" i="1"/>
  <c r="O1049" i="69"/>
  <c r="I3211" i="1"/>
  <c r="K3211" s="1"/>
  <c r="L3177" s="1"/>
  <c r="L3180" s="1"/>
  <c r="L3182" s="1"/>
  <c r="K3149"/>
  <c r="I3747"/>
  <c r="R2433"/>
  <c r="P2982"/>
  <c r="R2982" s="1"/>
  <c r="I3060"/>
  <c r="K2151"/>
  <c r="P2158"/>
  <c r="R2158" s="1"/>
  <c r="K131" i="11"/>
  <c r="K210"/>
  <c r="AE390" i="1"/>
  <c r="V412"/>
  <c r="X412" s="1"/>
  <c r="AD530"/>
  <c r="AI530"/>
  <c r="AI554" s="1"/>
  <c r="AK554" s="1"/>
  <c r="V1424"/>
  <c r="X1424" s="1"/>
  <c r="R1463"/>
  <c r="P1494"/>
  <c r="I3988"/>
  <c r="K3987"/>
  <c r="I3566"/>
  <c r="K1945"/>
  <c r="P1893"/>
  <c r="R1893" s="1"/>
  <c r="R1862"/>
  <c r="AE3561"/>
  <c r="AG3545"/>
  <c r="K3492"/>
  <c r="R3301"/>
  <c r="Z2608"/>
  <c r="AE2658"/>
  <c r="AG2658" s="1"/>
  <c r="X2610"/>
  <c r="J628"/>
  <c r="J535"/>
  <c r="W537" s="1"/>
  <c r="AC537" s="1"/>
  <c r="AJ537" s="1"/>
  <c r="J612"/>
  <c r="V590" s="1"/>
  <c r="AJ1197"/>
  <c r="I141" i="11"/>
  <c r="K141" s="1"/>
  <c r="I1082"/>
  <c r="K1082" s="1"/>
  <c r="K120"/>
  <c r="I130"/>
  <c r="E5" i="4"/>
  <c r="E10"/>
  <c r="Z11" i="1" s="1"/>
  <c r="E11" i="4"/>
  <c r="Q173" i="69"/>
  <c r="B508"/>
  <c r="B1243"/>
  <c r="Q28" i="32"/>
  <c r="R1552" i="1"/>
  <c r="P1541" s="1"/>
  <c r="R1541" s="1"/>
  <c r="P69" i="27"/>
  <c r="R69" s="1"/>
  <c r="P84"/>
  <c r="R84" s="1"/>
  <c r="P286"/>
  <c r="R286" s="1"/>
  <c r="P309"/>
  <c r="R309" s="1"/>
  <c r="I500"/>
  <c r="K500" s="1"/>
  <c r="P856"/>
  <c r="R856" s="1"/>
  <c r="R858" s="1"/>
  <c r="R860" s="1"/>
  <c r="I860"/>
  <c r="K860" s="1"/>
  <c r="I1185"/>
  <c r="K1185" s="1"/>
  <c r="I1209"/>
  <c r="K1209" s="1"/>
  <c r="I1239"/>
  <c r="K1239" s="1"/>
  <c r="I1271"/>
  <c r="K1271" s="1"/>
  <c r="P53"/>
  <c r="R53" s="1"/>
  <c r="I299"/>
  <c r="K299" s="1"/>
  <c r="I858"/>
  <c r="K858" s="1"/>
  <c r="I1104"/>
  <c r="K1104" s="1"/>
  <c r="K1107" s="1"/>
  <c r="K1109" s="1"/>
  <c r="I1117"/>
  <c r="K1117" s="1"/>
  <c r="K1120" s="1"/>
  <c r="K1122" s="1"/>
  <c r="I1157"/>
  <c r="K1157" s="1"/>
  <c r="I1174"/>
  <c r="K1174" s="1"/>
  <c r="I1178"/>
  <c r="K1178" s="1"/>
  <c r="I1203"/>
  <c r="K1203" s="1"/>
  <c r="I1223"/>
  <c r="K1223" s="1"/>
  <c r="I1256"/>
  <c r="K1256" s="1"/>
  <c r="R3155" i="1"/>
  <c r="R3403"/>
  <c r="K866"/>
  <c r="K2369"/>
  <c r="K2372" s="1"/>
  <c r="K2374" s="1"/>
  <c r="I1517" i="27"/>
  <c r="K1517" s="1"/>
  <c r="K1524" s="1"/>
  <c r="K1526" s="1"/>
  <c r="K383" i="1"/>
  <c r="P3335"/>
  <c r="I3958"/>
  <c r="I3975" s="1"/>
  <c r="K3975" s="1"/>
  <c r="K3940"/>
  <c r="S3570"/>
  <c r="X3570" s="1"/>
  <c r="S3519"/>
  <c r="X3519" s="1"/>
  <c r="K3148"/>
  <c r="X2791"/>
  <c r="AE2612"/>
  <c r="AB2617" s="1"/>
  <c r="AG2617" s="1"/>
  <c r="R2414"/>
  <c r="R2416" s="1"/>
  <c r="P2297"/>
  <c r="R2297" s="1"/>
  <c r="P2010"/>
  <c r="R2010" s="1"/>
  <c r="K1986"/>
  <c r="K1840"/>
  <c r="D891" i="67"/>
  <c r="V1377" i="1"/>
  <c r="AB1359"/>
  <c r="P1066"/>
  <c r="R1066" s="1"/>
  <c r="P989"/>
  <c r="R989" s="1"/>
  <c r="M563"/>
  <c r="AB555"/>
  <c r="P393"/>
  <c r="R393" s="1"/>
  <c r="R396" s="1"/>
  <c r="R398" s="1"/>
  <c r="I360"/>
  <c r="I214"/>
  <c r="K214" s="1"/>
  <c r="AI46"/>
  <c r="I30" i="60"/>
  <c r="E570" i="25"/>
  <c r="A583" s="1"/>
  <c r="G419"/>
  <c r="G420" s="1"/>
  <c r="G421" s="1"/>
  <c r="A432" s="1"/>
  <c r="G432" s="1"/>
  <c r="G357"/>
  <c r="E347" s="1"/>
  <c r="G347" s="1"/>
  <c r="G349" s="1"/>
  <c r="G350" s="1"/>
  <c r="K1030" i="11"/>
  <c r="K936"/>
  <c r="K3038" i="1" s="1"/>
  <c r="D723" i="67" s="1"/>
  <c r="I756" i="11"/>
  <c r="K756" s="1"/>
  <c r="O730"/>
  <c r="I436"/>
  <c r="I434"/>
  <c r="I172"/>
  <c r="K172" s="1"/>
  <c r="I2957" i="27"/>
  <c r="P15" i="11"/>
  <c r="P2851" i="27"/>
  <c r="I3825"/>
  <c r="K3825" s="1"/>
  <c r="R3627"/>
  <c r="R3628" s="1"/>
  <c r="I3587"/>
  <c r="K3587" s="1"/>
  <c r="I3504"/>
  <c r="K3478"/>
  <c r="I3247"/>
  <c r="I3158"/>
  <c r="K3158" s="1"/>
  <c r="I3000"/>
  <c r="I2917"/>
  <c r="I2262"/>
  <c r="I783"/>
  <c r="K783" s="1"/>
  <c r="I167"/>
  <c r="I74"/>
  <c r="K74" s="1"/>
  <c r="P513"/>
  <c r="R513" s="1"/>
  <c r="R521" s="1"/>
  <c r="R523" s="1"/>
  <c r="I578"/>
  <c r="K578" s="1"/>
  <c r="K581" s="1"/>
  <c r="K583" s="1"/>
  <c r="P81"/>
  <c r="R81" s="1"/>
  <c r="P180"/>
  <c r="R180" s="1"/>
  <c r="I297"/>
  <c r="K297" s="1"/>
  <c r="P307"/>
  <c r="R307" s="1"/>
  <c r="P319"/>
  <c r="R319" s="1"/>
  <c r="I356"/>
  <c r="K356" s="1"/>
  <c r="I411"/>
  <c r="K411" s="1"/>
  <c r="I480"/>
  <c r="K480" s="1"/>
  <c r="P534"/>
  <c r="R534" s="1"/>
  <c r="R541" s="1"/>
  <c r="R543" s="1"/>
  <c r="I560"/>
  <c r="K560" s="1"/>
  <c r="K564" s="1"/>
  <c r="K567" s="1"/>
  <c r="I568" s="1"/>
  <c r="K568" s="1"/>
  <c r="I569" s="1"/>
  <c r="K569" s="1"/>
  <c r="I570" s="1"/>
  <c r="K570" s="1"/>
  <c r="I571" s="1"/>
  <c r="K571" s="1"/>
  <c r="I572" s="1"/>
  <c r="K572" s="1"/>
  <c r="I592"/>
  <c r="K592" s="1"/>
  <c r="I839"/>
  <c r="K839" s="1"/>
  <c r="I1172"/>
  <c r="K1172" s="1"/>
  <c r="I1201"/>
  <c r="K1201" s="1"/>
  <c r="I1237"/>
  <c r="K1237" s="1"/>
  <c r="I1289"/>
  <c r="K1289" s="1"/>
  <c r="Q1047" i="69"/>
  <c r="B1047"/>
  <c r="K1821" i="27"/>
  <c r="K577" i="11"/>
  <c r="K578" s="1"/>
  <c r="K567" s="1"/>
  <c r="L567" s="1"/>
  <c r="M567" s="1"/>
  <c r="N567" s="1"/>
  <c r="O567" s="1"/>
  <c r="K3585" i="1"/>
  <c r="K3586" s="1"/>
  <c r="K3589" s="1"/>
  <c r="K3590" s="1"/>
  <c r="J3592" s="1"/>
  <c r="J3593" s="1"/>
  <c r="J3594" s="1"/>
  <c r="J3595" s="1"/>
  <c r="P1304"/>
  <c r="R1304" s="1"/>
  <c r="I3927"/>
  <c r="P2573"/>
  <c r="R2573" s="1"/>
  <c r="K26" i="11"/>
  <c r="K177" s="1"/>
  <c r="V1402" i="1"/>
  <c r="G517" i="25"/>
  <c r="K2471" i="1"/>
  <c r="K2473" s="1"/>
  <c r="K3791"/>
  <c r="K3792" s="1"/>
  <c r="K3737"/>
  <c r="K3738" s="1"/>
  <c r="K3575"/>
  <c r="K3576" s="1"/>
  <c r="I3577" s="1"/>
  <c r="K3577" s="1"/>
  <c r="P3563"/>
  <c r="R3563" s="1"/>
  <c r="R3507"/>
  <c r="R3509" s="1"/>
  <c r="R3510" s="1"/>
  <c r="P3262"/>
  <c r="P3160"/>
  <c r="V3109"/>
  <c r="K2970"/>
  <c r="AE2646"/>
  <c r="AB2651" s="1"/>
  <c r="AG2651" s="1"/>
  <c r="AE2641"/>
  <c r="AB2650" s="1"/>
  <c r="P2510"/>
  <c r="M2514" s="1"/>
  <c r="R2514" s="1"/>
  <c r="R2519" s="1"/>
  <c r="R2521" s="1"/>
  <c r="R2079"/>
  <c r="D371" i="67"/>
  <c r="P1445" i="1"/>
  <c r="R1445" s="1"/>
  <c r="K1055"/>
  <c r="K704"/>
  <c r="I706" s="1"/>
  <c r="K706" s="1"/>
  <c r="I707" s="1"/>
  <c r="K707" s="1"/>
  <c r="I708" s="1"/>
  <c r="K708" s="1"/>
  <c r="I709" s="1"/>
  <c r="K709" s="1"/>
  <c r="I710" s="1"/>
  <c r="K710" s="1"/>
  <c r="AD572"/>
  <c r="I415"/>
  <c r="K415" s="1"/>
  <c r="I340"/>
  <c r="I316"/>
  <c r="P310"/>
  <c r="R310" s="1"/>
  <c r="P299"/>
  <c r="R299" s="1"/>
  <c r="I275"/>
  <c r="K275" s="1"/>
  <c r="AH46"/>
  <c r="AE46" s="1"/>
  <c r="C24" s="1"/>
  <c r="I36" i="60"/>
  <c r="H1111" i="69"/>
  <c r="G477" i="25"/>
  <c r="D305"/>
  <c r="F305" s="1"/>
  <c r="K881" i="11"/>
  <c r="R869"/>
  <c r="R870" s="1"/>
  <c r="R872" s="1"/>
  <c r="S410"/>
  <c r="I78"/>
  <c r="I106" s="1"/>
  <c r="P53"/>
  <c r="R53" s="1"/>
  <c r="P19"/>
  <c r="I3685" i="27"/>
  <c r="K3685" s="1"/>
  <c r="K3524"/>
  <c r="L3524" s="1"/>
  <c r="K2829"/>
  <c r="K2830" s="1"/>
  <c r="I2819" s="1"/>
  <c r="K2819" s="1"/>
  <c r="K2822" s="1"/>
  <c r="K2710"/>
  <c r="K2711" s="1"/>
  <c r="K2703" s="1"/>
  <c r="K2705" s="1"/>
  <c r="I2530"/>
  <c r="K2530" s="1"/>
  <c r="I949"/>
  <c r="K949" s="1"/>
  <c r="P554"/>
  <c r="R554" s="1"/>
  <c r="R566" s="1"/>
  <c r="R568" s="1"/>
  <c r="I55"/>
  <c r="K55" s="1"/>
  <c r="I37"/>
  <c r="K37" s="1"/>
  <c r="R35" i="32"/>
  <c r="I72" i="27"/>
  <c r="K72" s="1"/>
  <c r="I1176"/>
  <c r="K1176" s="1"/>
  <c r="I1205"/>
  <c r="K1205" s="1"/>
  <c r="I83"/>
  <c r="P450"/>
  <c r="R450" s="1"/>
  <c r="R461" s="1"/>
  <c r="R463" s="1"/>
  <c r="I474"/>
  <c r="K474" s="1"/>
  <c r="I3402"/>
  <c r="H292" i="11"/>
  <c r="P2013" i="1"/>
  <c r="R2013" s="1"/>
  <c r="AE366"/>
  <c r="AG366" s="1"/>
  <c r="J4052"/>
  <c r="F4064" s="1"/>
  <c r="E2760"/>
  <c r="P2298"/>
  <c r="R2298" s="1"/>
  <c r="P2065"/>
  <c r="M2077" s="1"/>
  <c r="R2077" s="1"/>
  <c r="I1871"/>
  <c r="K1871" s="1"/>
  <c r="D378" i="69"/>
  <c r="K1626" i="1"/>
  <c r="P1433"/>
  <c r="AE1194"/>
  <c r="AF684"/>
  <c r="AF686" s="1"/>
  <c r="I199"/>
  <c r="AJ46"/>
  <c r="X44"/>
  <c r="E677" i="25"/>
  <c r="A690" s="1"/>
  <c r="G505"/>
  <c r="G447"/>
  <c r="E437" s="1"/>
  <c r="G437" s="1"/>
  <c r="G329"/>
  <c r="I988" i="11"/>
  <c r="K988" s="1"/>
  <c r="M910"/>
  <c r="U20" i="4"/>
  <c r="I3494" i="27"/>
  <c r="I3465"/>
  <c r="K3465" s="1"/>
  <c r="I2996"/>
  <c r="K2643"/>
  <c r="K2645" s="1"/>
  <c r="K2021"/>
  <c r="K282"/>
  <c r="I155"/>
  <c r="K155" s="1"/>
  <c r="I46"/>
  <c r="K46" s="1"/>
  <c r="Q1045" i="69"/>
  <c r="B1045"/>
  <c r="K2886" i="1"/>
  <c r="K2888" s="1"/>
  <c r="K684"/>
  <c r="I686" s="1"/>
  <c r="K686" s="1"/>
  <c r="I687" s="1"/>
  <c r="K687" s="1"/>
  <c r="I688" s="1"/>
  <c r="K688" s="1"/>
  <c r="I689" s="1"/>
  <c r="K689" s="1"/>
  <c r="I690" s="1"/>
  <c r="K690" s="1"/>
  <c r="G374" i="25"/>
  <c r="N1319" i="67"/>
  <c r="P1319" s="1"/>
  <c r="B1319" s="1"/>
  <c r="I98" i="68"/>
  <c r="I99" s="1"/>
  <c r="F45" i="67" s="1"/>
  <c r="I779" i="68"/>
  <c r="I780" s="1"/>
  <c r="I481"/>
  <c r="I482" s="1"/>
  <c r="I525"/>
  <c r="I526" s="1"/>
  <c r="O269" i="69"/>
  <c r="O278"/>
  <c r="P439"/>
  <c r="P472"/>
  <c r="O781"/>
  <c r="O1046"/>
  <c r="O1048"/>
  <c r="P1159"/>
  <c r="P1163"/>
  <c r="P1266"/>
  <c r="O1268"/>
  <c r="P1270"/>
  <c r="O1272"/>
  <c r="P1274"/>
  <c r="P1281"/>
  <c r="O1289"/>
  <c r="P1294"/>
  <c r="P1453"/>
  <c r="I933" i="68"/>
  <c r="I934" s="1"/>
  <c r="I2237"/>
  <c r="I2238" s="1"/>
  <c r="I134"/>
  <c r="I135" s="1"/>
  <c r="I339"/>
  <c r="I340" s="1"/>
  <c r="F497" i="67" s="1"/>
  <c r="I619" i="68"/>
  <c r="I620" s="1"/>
  <c r="I724"/>
  <c r="I725" s="1"/>
  <c r="P95" i="67"/>
  <c r="B95" s="1"/>
  <c r="O286" i="69"/>
  <c r="P303"/>
  <c r="O403"/>
  <c r="O420"/>
  <c r="P577"/>
  <c r="P667"/>
  <c r="O882"/>
  <c r="O938"/>
  <c r="P972"/>
  <c r="O980"/>
  <c r="O988"/>
  <c r="O1011"/>
  <c r="O1013"/>
  <c r="O1015"/>
  <c r="O1017"/>
  <c r="O1019"/>
  <c r="O1021"/>
  <c r="O1023"/>
  <c r="O1025"/>
  <c r="O1027"/>
  <c r="O1029"/>
  <c r="O1031"/>
  <c r="O1033"/>
  <c r="O1035"/>
  <c r="O1037"/>
  <c r="O1039"/>
  <c r="O1041"/>
  <c r="O1043"/>
  <c r="O1045"/>
  <c r="O1047"/>
  <c r="O1124"/>
  <c r="O1126"/>
  <c r="O1128"/>
  <c r="O1130"/>
  <c r="O1132"/>
  <c r="P1151"/>
  <c r="P1153"/>
  <c r="P1155"/>
  <c r="P1160"/>
  <c r="O1162"/>
  <c r="P1164"/>
  <c r="O1166"/>
  <c r="P1174"/>
  <c r="P1178"/>
  <c r="P1182"/>
  <c r="P1186"/>
  <c r="P1190"/>
  <c r="P1194"/>
  <c r="P1198"/>
  <c r="P1202"/>
  <c r="P1206"/>
  <c r="P1210"/>
  <c r="P1214"/>
  <c r="P1218"/>
  <c r="P1230"/>
  <c r="P1242"/>
  <c r="O1265"/>
  <c r="P1278"/>
  <c r="O1280"/>
  <c r="P1282"/>
  <c r="O1284"/>
  <c r="O1293"/>
  <c r="P1319"/>
  <c r="I435" i="68"/>
  <c r="I436" s="1"/>
  <c r="I2754"/>
  <c r="I2755" s="1"/>
  <c r="P24" i="69"/>
  <c r="O284"/>
  <c r="P345"/>
  <c r="P524"/>
  <c r="Q524" s="1"/>
  <c r="P627"/>
  <c r="Q627" s="1"/>
  <c r="O785"/>
  <c r="P789"/>
  <c r="K809"/>
  <c r="O840"/>
  <c r="P1137"/>
  <c r="P1141"/>
  <c r="O1176"/>
  <c r="O1180"/>
  <c r="O1184"/>
  <c r="O1188"/>
  <c r="O1192"/>
  <c r="O1196"/>
  <c r="O1200"/>
  <c r="O1204"/>
  <c r="O1208"/>
  <c r="O1212"/>
  <c r="O1216"/>
  <c r="O1220"/>
  <c r="P1254"/>
  <c r="O1277"/>
  <c r="C1269" i="68"/>
  <c r="I1269" s="1"/>
  <c r="I1270" s="1"/>
  <c r="O255" i="69"/>
  <c r="O818"/>
  <c r="P839"/>
  <c r="P879"/>
  <c r="O881"/>
  <c r="O959"/>
  <c r="O1012"/>
  <c r="O1014"/>
  <c r="O1016"/>
  <c r="O1018"/>
  <c r="O1020"/>
  <c r="O1022"/>
  <c r="O1024"/>
  <c r="O1026"/>
  <c r="O1028"/>
  <c r="O1030"/>
  <c r="O1032"/>
  <c r="O1034"/>
  <c r="O1036"/>
  <c r="O1038"/>
  <c r="O1040"/>
  <c r="O1042"/>
  <c r="O1044"/>
  <c r="P1113"/>
  <c r="O1123"/>
  <c r="O1125"/>
  <c r="O1127"/>
  <c r="O1129"/>
  <c r="O1131"/>
  <c r="O1135"/>
  <c r="P1234"/>
  <c r="P1250"/>
  <c r="P1290"/>
  <c r="P1305"/>
  <c r="P1320"/>
  <c r="P1452"/>
  <c r="P1456"/>
  <c r="P1460"/>
  <c r="P1464"/>
  <c r="I395" i="67"/>
  <c r="G395"/>
  <c r="O756"/>
  <c r="I756"/>
  <c r="K411"/>
  <c r="I411"/>
  <c r="G411"/>
  <c r="P903"/>
  <c r="B903" s="1"/>
  <c r="I22"/>
  <c r="G22"/>
  <c r="P447"/>
  <c r="B447" s="1"/>
  <c r="G447"/>
  <c r="R447" s="1"/>
  <c r="P371"/>
  <c r="B371" s="1"/>
  <c r="G371"/>
  <c r="P747"/>
  <c r="B747" s="1"/>
  <c r="P376"/>
  <c r="B376" s="1"/>
  <c r="P901"/>
  <c r="B901" s="1"/>
  <c r="P913"/>
  <c r="B913" s="1"/>
  <c r="P968"/>
  <c r="B968" s="1"/>
  <c r="G968"/>
  <c r="R968" s="1"/>
  <c r="P350"/>
  <c r="B350" s="1"/>
  <c r="P258"/>
  <c r="B258" s="1"/>
  <c r="P342"/>
  <c r="B342" s="1"/>
  <c r="P771"/>
  <c r="B771" s="1"/>
  <c r="P754"/>
  <c r="B754" s="1"/>
  <c r="P193"/>
  <c r="B193" s="1"/>
  <c r="P699"/>
  <c r="B699" s="1"/>
  <c r="G753"/>
  <c r="I753"/>
  <c r="P437"/>
  <c r="B437" s="1"/>
  <c r="P922"/>
  <c r="B922" s="1"/>
  <c r="P45"/>
  <c r="B45" s="1"/>
  <c r="I723"/>
  <c r="G723"/>
  <c r="I378"/>
  <c r="G378"/>
  <c r="I389"/>
  <c r="G389"/>
  <c r="G591"/>
  <c r="I591"/>
  <c r="I734"/>
  <c r="G734"/>
  <c r="I743"/>
  <c r="G743"/>
  <c r="I759"/>
  <c r="G759"/>
  <c r="I809"/>
  <c r="G809"/>
  <c r="I838"/>
  <c r="G838"/>
  <c r="G875"/>
  <c r="I875"/>
  <c r="G1087"/>
  <c r="I1087"/>
  <c r="Q1401"/>
  <c r="B1401"/>
  <c r="Q1397"/>
  <c r="B1397"/>
  <c r="Q1393"/>
  <c r="B1393"/>
  <c r="Q1389"/>
  <c r="B1389"/>
  <c r="Q1385"/>
  <c r="B1385"/>
  <c r="Q1381"/>
  <c r="B1381"/>
  <c r="Q1345"/>
  <c r="B1345"/>
  <c r="Q1341"/>
  <c r="B1341"/>
  <c r="Q1337"/>
  <c r="B1337"/>
  <c r="Q1333"/>
  <c r="B1333"/>
  <c r="Q1329"/>
  <c r="B1329"/>
  <c r="P375"/>
  <c r="B375" s="1"/>
  <c r="I129"/>
  <c r="G129"/>
  <c r="I125"/>
  <c r="G125"/>
  <c r="I104"/>
  <c r="G104"/>
  <c r="I165"/>
  <c r="G165"/>
  <c r="I292"/>
  <c r="G292"/>
  <c r="I288"/>
  <c r="G288"/>
  <c r="I284"/>
  <c r="G284"/>
  <c r="I280"/>
  <c r="G280"/>
  <c r="I276"/>
  <c r="G276"/>
  <c r="I272"/>
  <c r="G272"/>
  <c r="I268"/>
  <c r="G268"/>
  <c r="P273"/>
  <c r="B273" s="1"/>
  <c r="G273"/>
  <c r="P1167"/>
  <c r="B1167" s="1"/>
  <c r="P1163"/>
  <c r="B1163" s="1"/>
  <c r="P1156"/>
  <c r="B1156" s="1"/>
  <c r="P1152"/>
  <c r="B1152" s="1"/>
  <c r="P1147"/>
  <c r="B1147" s="1"/>
  <c r="P1144"/>
  <c r="B1144" s="1"/>
  <c r="P1140"/>
  <c r="B1140" s="1"/>
  <c r="P1136"/>
  <c r="B1136" s="1"/>
  <c r="P1132"/>
  <c r="B1132" s="1"/>
  <c r="P1128"/>
  <c r="B1128" s="1"/>
  <c r="P1124"/>
  <c r="B1124" s="1"/>
  <c r="P1120"/>
  <c r="B1120" s="1"/>
  <c r="P1113"/>
  <c r="B1113" s="1"/>
  <c r="P1105"/>
  <c r="B1105" s="1"/>
  <c r="P1097"/>
  <c r="B1097" s="1"/>
  <c r="P1085"/>
  <c r="B1085" s="1"/>
  <c r="P1081"/>
  <c r="B1081" s="1"/>
  <c r="P1077"/>
  <c r="B1077" s="1"/>
  <c r="P1073"/>
  <c r="B1073" s="1"/>
  <c r="P1069"/>
  <c r="B1069" s="1"/>
  <c r="P1065"/>
  <c r="B1065" s="1"/>
  <c r="P1061"/>
  <c r="B1061" s="1"/>
  <c r="P1057"/>
  <c r="B1057" s="1"/>
  <c r="P1048"/>
  <c r="B1048" s="1"/>
  <c r="P1044"/>
  <c r="B1044" s="1"/>
  <c r="P1040"/>
  <c r="B1040" s="1"/>
  <c r="P1036"/>
  <c r="B1036" s="1"/>
  <c r="P1032"/>
  <c r="B1032" s="1"/>
  <c r="P1028"/>
  <c r="B1028" s="1"/>
  <c r="P1024"/>
  <c r="B1024" s="1"/>
  <c r="P1020"/>
  <c r="B1020" s="1"/>
  <c r="P1016"/>
  <c r="B1016" s="1"/>
  <c r="P1012"/>
  <c r="B1012" s="1"/>
  <c r="P1006"/>
  <c r="B1006" s="1"/>
  <c r="P1002"/>
  <c r="B1002" s="1"/>
  <c r="P998"/>
  <c r="B998" s="1"/>
  <c r="P991"/>
  <c r="B991" s="1"/>
  <c r="P882"/>
  <c r="B882" s="1"/>
  <c r="P714"/>
  <c r="B714" s="1"/>
  <c r="P660"/>
  <c r="B660" s="1"/>
  <c r="P619"/>
  <c r="B619" s="1"/>
  <c r="P592"/>
  <c r="B592" s="1"/>
  <c r="P569"/>
  <c r="B569" s="1"/>
  <c r="P484"/>
  <c r="B484" s="1"/>
  <c r="P405"/>
  <c r="B405" s="1"/>
  <c r="P373"/>
  <c r="B373" s="1"/>
  <c r="P331"/>
  <c r="B331" s="1"/>
  <c r="P303"/>
  <c r="B303" s="1"/>
  <c r="P299"/>
  <c r="B299" s="1"/>
  <c r="P248"/>
  <c r="B248" s="1"/>
  <c r="P228"/>
  <c r="B228" s="1"/>
  <c r="P216"/>
  <c r="B216" s="1"/>
  <c r="P204"/>
  <c r="B204" s="1"/>
  <c r="P200"/>
  <c r="B200" s="1"/>
  <c r="P196"/>
  <c r="B196" s="1"/>
  <c r="P136"/>
  <c r="B136" s="1"/>
  <c r="P69"/>
  <c r="B69" s="1"/>
  <c r="P57"/>
  <c r="B57" s="1"/>
  <c r="P32"/>
  <c r="B32" s="1"/>
  <c r="P24"/>
  <c r="B24" s="1"/>
  <c r="P10"/>
  <c r="B10" s="1"/>
  <c r="R704"/>
  <c r="R1462"/>
  <c r="R1458"/>
  <c r="R1454"/>
  <c r="R1450"/>
  <c r="R1446"/>
  <c r="R1442"/>
  <c r="R1438"/>
  <c r="R1434"/>
  <c r="R1430"/>
  <c r="R1426"/>
  <c r="R1422"/>
  <c r="R1418"/>
  <c r="R1414"/>
  <c r="R1410"/>
  <c r="R1406"/>
  <c r="R1402"/>
  <c r="R1398"/>
  <c r="R1394"/>
  <c r="R1390"/>
  <c r="R1386"/>
  <c r="R1382"/>
  <c r="R1378"/>
  <c r="R1374"/>
  <c r="R1370"/>
  <c r="R1366"/>
  <c r="R1362"/>
  <c r="R1358"/>
  <c r="R1354"/>
  <c r="R1350"/>
  <c r="R1346"/>
  <c r="R1342"/>
  <c r="R1338"/>
  <c r="R1334"/>
  <c r="R1330"/>
  <c r="I710"/>
  <c r="G710"/>
  <c r="P1158"/>
  <c r="B1158" s="1"/>
  <c r="G1158"/>
  <c r="R1158" s="1"/>
  <c r="P896"/>
  <c r="B896" s="1"/>
  <c r="G896"/>
  <c r="R896" s="1"/>
  <c r="P799"/>
  <c r="B799" s="1"/>
  <c r="G799"/>
  <c r="R799" s="1"/>
  <c r="P451"/>
  <c r="B451" s="1"/>
  <c r="P446"/>
  <c r="B446" s="1"/>
  <c r="O369"/>
  <c r="I369"/>
  <c r="O415"/>
  <c r="I415"/>
  <c r="G415"/>
  <c r="O418"/>
  <c r="I418"/>
  <c r="G418"/>
  <c r="G869"/>
  <c r="I869"/>
  <c r="P967"/>
  <c r="B967" s="1"/>
  <c r="G967"/>
  <c r="R967" s="1"/>
  <c r="P914"/>
  <c r="B914" s="1"/>
  <c r="P260"/>
  <c r="B260" s="1"/>
  <c r="P359"/>
  <c r="B359" s="1"/>
  <c r="P436"/>
  <c r="B436" s="1"/>
  <c r="P380"/>
  <c r="B380" s="1"/>
  <c r="G380"/>
  <c r="R380" s="1"/>
  <c r="P836"/>
  <c r="B836" s="1"/>
  <c r="G836"/>
  <c r="R836" s="1"/>
  <c r="P401"/>
  <c r="B401" s="1"/>
  <c r="P406"/>
  <c r="B406" s="1"/>
  <c r="G406"/>
  <c r="R406" s="1"/>
  <c r="P139"/>
  <c r="B139" s="1"/>
  <c r="I399"/>
  <c r="G399"/>
  <c r="I388"/>
  <c r="G388"/>
  <c r="R388" s="1"/>
  <c r="I583"/>
  <c r="G583"/>
  <c r="R583" s="1"/>
  <c r="I733"/>
  <c r="G733"/>
  <c r="R733" s="1"/>
  <c r="I742"/>
  <c r="G742"/>
  <c r="R742" s="1"/>
  <c r="I808"/>
  <c r="G808"/>
  <c r="R808" s="1"/>
  <c r="G873"/>
  <c r="I873"/>
  <c r="G987"/>
  <c r="I987"/>
  <c r="G1175"/>
  <c r="I1175"/>
  <c r="Q1446"/>
  <c r="B1446"/>
  <c r="Q1442"/>
  <c r="B1442"/>
  <c r="Q1438"/>
  <c r="B1438"/>
  <c r="Q1430"/>
  <c r="B1430"/>
  <c r="Q1426"/>
  <c r="B1426"/>
  <c r="Q1422"/>
  <c r="B1422"/>
  <c r="Q1414"/>
  <c r="B1414"/>
  <c r="Q1410"/>
  <c r="B1410"/>
  <c r="Q1406"/>
  <c r="B1406"/>
  <c r="Q1374"/>
  <c r="B1374"/>
  <c r="Q1370"/>
  <c r="B1370"/>
  <c r="Q1366"/>
  <c r="B1366"/>
  <c r="Q1362"/>
  <c r="B1362"/>
  <c r="Q1358"/>
  <c r="B1358"/>
  <c r="Q1354"/>
  <c r="B1354"/>
  <c r="Q1350"/>
  <c r="B1350"/>
  <c r="Q1346"/>
  <c r="B1346"/>
  <c r="I130"/>
  <c r="G130"/>
  <c r="R130" s="1"/>
  <c r="I126"/>
  <c r="G126"/>
  <c r="R126" s="1"/>
  <c r="I105"/>
  <c r="G105"/>
  <c r="R105" s="1"/>
  <c r="I166"/>
  <c r="G166"/>
  <c r="R166" s="1"/>
  <c r="I151"/>
  <c r="G151"/>
  <c r="R151" s="1"/>
  <c r="O289"/>
  <c r="I289"/>
  <c r="G289"/>
  <c r="O285"/>
  <c r="I285"/>
  <c r="G285"/>
  <c r="R285" s="1"/>
  <c r="O281"/>
  <c r="I281"/>
  <c r="G281"/>
  <c r="O277"/>
  <c r="I277"/>
  <c r="G277"/>
  <c r="R277" s="1"/>
  <c r="O273"/>
  <c r="I273"/>
  <c r="O269"/>
  <c r="I269"/>
  <c r="G269"/>
  <c r="P274"/>
  <c r="B274" s="1"/>
  <c r="G274"/>
  <c r="R274" s="1"/>
  <c r="Q1172"/>
  <c r="S1172" s="1"/>
  <c r="P1172"/>
  <c r="B1172" s="1"/>
  <c r="Q1168"/>
  <c r="P1168"/>
  <c r="B1168" s="1"/>
  <c r="Q1164"/>
  <c r="P1164"/>
  <c r="B1164" s="1"/>
  <c r="Q1160"/>
  <c r="P1160"/>
  <c r="B1160" s="1"/>
  <c r="Q1157"/>
  <c r="P1157"/>
  <c r="B1157" s="1"/>
  <c r="Q1153"/>
  <c r="P1153"/>
  <c r="B1153" s="1"/>
  <c r="Q1148"/>
  <c r="P1148"/>
  <c r="B1148" s="1"/>
  <c r="Q1141"/>
  <c r="P1141"/>
  <c r="B1141" s="1"/>
  <c r="Q1137"/>
  <c r="P1137"/>
  <c r="B1137" s="1"/>
  <c r="Q1133"/>
  <c r="P1133"/>
  <c r="B1133" s="1"/>
  <c r="Q1129"/>
  <c r="P1129"/>
  <c r="B1129" s="1"/>
  <c r="P1125"/>
  <c r="B1125" s="1"/>
  <c r="P1121"/>
  <c r="B1121" s="1"/>
  <c r="P1114"/>
  <c r="B1114" s="1"/>
  <c r="P1107"/>
  <c r="B1107" s="1"/>
  <c r="P1098"/>
  <c r="B1098" s="1"/>
  <c r="P1094"/>
  <c r="B1094" s="1"/>
  <c r="P1086"/>
  <c r="B1086" s="1"/>
  <c r="P1082"/>
  <c r="B1082" s="1"/>
  <c r="P1078"/>
  <c r="B1078" s="1"/>
  <c r="P1074"/>
  <c r="B1074" s="1"/>
  <c r="P1070"/>
  <c r="B1070" s="1"/>
  <c r="P1066"/>
  <c r="B1066" s="1"/>
  <c r="P1062"/>
  <c r="B1062" s="1"/>
  <c r="P1058"/>
  <c r="B1058" s="1"/>
  <c r="P1054"/>
  <c r="B1054" s="1"/>
  <c r="P1049"/>
  <c r="B1049" s="1"/>
  <c r="P1045"/>
  <c r="B1045" s="1"/>
  <c r="P1041"/>
  <c r="B1041" s="1"/>
  <c r="P1037"/>
  <c r="B1037" s="1"/>
  <c r="P1033"/>
  <c r="B1033" s="1"/>
  <c r="P1029"/>
  <c r="B1029" s="1"/>
  <c r="P1025"/>
  <c r="B1025" s="1"/>
  <c r="P1021"/>
  <c r="B1021" s="1"/>
  <c r="P1017"/>
  <c r="B1017" s="1"/>
  <c r="P1013"/>
  <c r="B1013" s="1"/>
  <c r="P1008"/>
  <c r="B1008" s="1"/>
  <c r="P1003"/>
  <c r="B1003" s="1"/>
  <c r="P999"/>
  <c r="B999" s="1"/>
  <c r="P994"/>
  <c r="B994" s="1"/>
  <c r="P988"/>
  <c r="B988" s="1"/>
  <c r="P879"/>
  <c r="B879" s="1"/>
  <c r="P871"/>
  <c r="B871" s="1"/>
  <c r="P839"/>
  <c r="B839" s="1"/>
  <c r="P669"/>
  <c r="B669" s="1"/>
  <c r="P661"/>
  <c r="B661" s="1"/>
  <c r="P641"/>
  <c r="B641" s="1"/>
  <c r="P637"/>
  <c r="B637" s="1"/>
  <c r="P438"/>
  <c r="B438" s="1"/>
  <c r="P410"/>
  <c r="B410" s="1"/>
  <c r="P402"/>
  <c r="B402" s="1"/>
  <c r="P385"/>
  <c r="B385" s="1"/>
  <c r="P382"/>
  <c r="B382" s="1"/>
  <c r="P367"/>
  <c r="B367" s="1"/>
  <c r="P343"/>
  <c r="B343" s="1"/>
  <c r="P332"/>
  <c r="B332" s="1"/>
  <c r="P229"/>
  <c r="B229" s="1"/>
  <c r="P225"/>
  <c r="B225" s="1"/>
  <c r="P217"/>
  <c r="B217" s="1"/>
  <c r="P213"/>
  <c r="B213" s="1"/>
  <c r="P205"/>
  <c r="B205" s="1"/>
  <c r="P201"/>
  <c r="B201" s="1"/>
  <c r="P197"/>
  <c r="B197" s="1"/>
  <c r="P189"/>
  <c r="B189" s="1"/>
  <c r="P173"/>
  <c r="B173" s="1"/>
  <c r="P161"/>
  <c r="B161" s="1"/>
  <c r="P137"/>
  <c r="B137" s="1"/>
  <c r="P33"/>
  <c r="B33" s="1"/>
  <c r="P21"/>
  <c r="B21" s="1"/>
  <c r="P7"/>
  <c r="B7" s="1"/>
  <c r="R386"/>
  <c r="O1144"/>
  <c r="R1463"/>
  <c r="R1459"/>
  <c r="R1455"/>
  <c r="R1451"/>
  <c r="R1447"/>
  <c r="R1443"/>
  <c r="R1439"/>
  <c r="R1435"/>
  <c r="R1431"/>
  <c r="R1427"/>
  <c r="R1423"/>
  <c r="R1419"/>
  <c r="R1415"/>
  <c r="R1411"/>
  <c r="R1407"/>
  <c r="R1403"/>
  <c r="R1399"/>
  <c r="R1395"/>
  <c r="R1391"/>
  <c r="R1387"/>
  <c r="R1383"/>
  <c r="R1379"/>
  <c r="R1375"/>
  <c r="R1371"/>
  <c r="R1367"/>
  <c r="R1363"/>
  <c r="R1359"/>
  <c r="R1355"/>
  <c r="R1351"/>
  <c r="R1347"/>
  <c r="R1343"/>
  <c r="R1339"/>
  <c r="R1335"/>
  <c r="R1331"/>
  <c r="R1327"/>
  <c r="R1326"/>
  <c r="G689"/>
  <c r="I689"/>
  <c r="I688"/>
  <c r="G688"/>
  <c r="I604"/>
  <c r="G604"/>
  <c r="M397"/>
  <c r="I397"/>
  <c r="I391"/>
  <c r="G391"/>
  <c r="P899"/>
  <c r="B899" s="1"/>
  <c r="G899"/>
  <c r="R899" s="1"/>
  <c r="P798"/>
  <c r="B798" s="1"/>
  <c r="G798"/>
  <c r="R798" s="1"/>
  <c r="P459"/>
  <c r="B459" s="1"/>
  <c r="P917"/>
  <c r="B917" s="1"/>
  <c r="P1159"/>
  <c r="B1159" s="1"/>
  <c r="G1159"/>
  <c r="R1159" s="1"/>
  <c r="N1096"/>
  <c r="P1096" s="1"/>
  <c r="B1096" s="1"/>
  <c r="I1096"/>
  <c r="R1096" s="1"/>
  <c r="P984"/>
  <c r="B984" s="1"/>
  <c r="G984"/>
  <c r="R984" s="1"/>
  <c r="I326"/>
  <c r="G326"/>
  <c r="P724"/>
  <c r="B724" s="1"/>
  <c r="G724"/>
  <c r="R724" s="1"/>
  <c r="P693"/>
  <c r="B693" s="1"/>
  <c r="P264"/>
  <c r="B264" s="1"/>
  <c r="P191"/>
  <c r="B191" s="1"/>
  <c r="P435"/>
  <c r="B435" s="1"/>
  <c r="I412"/>
  <c r="G412"/>
  <c r="P265"/>
  <c r="B265" s="1"/>
  <c r="P919"/>
  <c r="B919" s="1"/>
  <c r="I454"/>
  <c r="G454"/>
  <c r="I297"/>
  <c r="G297"/>
  <c r="I387"/>
  <c r="G387"/>
  <c r="I432"/>
  <c r="G432"/>
  <c r="I575"/>
  <c r="G575"/>
  <c r="I659"/>
  <c r="G659"/>
  <c r="I706"/>
  <c r="G706"/>
  <c r="G741"/>
  <c r="I741"/>
  <c r="I804"/>
  <c r="G804"/>
  <c r="G1171"/>
  <c r="I1171"/>
  <c r="Q1443"/>
  <c r="B1443"/>
  <c r="Q1435"/>
  <c r="B1435"/>
  <c r="Q1427"/>
  <c r="B1427"/>
  <c r="Q1419"/>
  <c r="B1419"/>
  <c r="Q1411"/>
  <c r="B1411"/>
  <c r="Q1403"/>
  <c r="B1403"/>
  <c r="Q1395"/>
  <c r="B1395"/>
  <c r="Q1387"/>
  <c r="B1387"/>
  <c r="Q1379"/>
  <c r="B1379"/>
  <c r="P441"/>
  <c r="B441" s="1"/>
  <c r="P457"/>
  <c r="B457" s="1"/>
  <c r="G457"/>
  <c r="R457" s="1"/>
  <c r="P986"/>
  <c r="B986" s="1"/>
  <c r="G986"/>
  <c r="R986" s="1"/>
  <c r="I127"/>
  <c r="G127"/>
  <c r="I106"/>
  <c r="G106"/>
  <c r="I167"/>
  <c r="G167"/>
  <c r="K158"/>
  <c r="I158"/>
  <c r="G158"/>
  <c r="I286"/>
  <c r="G286"/>
  <c r="I282"/>
  <c r="G282"/>
  <c r="I278"/>
  <c r="G278"/>
  <c r="I270"/>
  <c r="G270"/>
  <c r="P290"/>
  <c r="B290" s="1"/>
  <c r="G290"/>
  <c r="R290" s="1"/>
  <c r="P1173"/>
  <c r="B1173" s="1"/>
  <c r="P1169"/>
  <c r="B1169" s="1"/>
  <c r="P1165"/>
  <c r="B1165" s="1"/>
  <c r="P1161"/>
  <c r="B1161" s="1"/>
  <c r="P1154"/>
  <c r="B1154" s="1"/>
  <c r="P1149"/>
  <c r="B1149" s="1"/>
  <c r="P1142"/>
  <c r="B1142" s="1"/>
  <c r="P1138"/>
  <c r="B1138" s="1"/>
  <c r="P1130"/>
  <c r="B1130" s="1"/>
  <c r="P1126"/>
  <c r="B1126" s="1"/>
  <c r="P1122"/>
  <c r="B1122" s="1"/>
  <c r="P1116"/>
  <c r="B1116" s="1"/>
  <c r="P1110"/>
  <c r="B1110" s="1"/>
  <c r="P1099"/>
  <c r="B1099" s="1"/>
  <c r="P1095"/>
  <c r="B1095" s="1"/>
  <c r="P1083"/>
  <c r="B1083" s="1"/>
  <c r="P1079"/>
  <c r="B1079" s="1"/>
  <c r="P1075"/>
  <c r="B1075" s="1"/>
  <c r="P1071"/>
  <c r="B1071" s="1"/>
  <c r="P1067"/>
  <c r="B1067" s="1"/>
  <c r="P1063"/>
  <c r="B1063" s="1"/>
  <c r="P1059"/>
  <c r="B1059" s="1"/>
  <c r="P1055"/>
  <c r="B1055" s="1"/>
  <c r="P1052"/>
  <c r="B1052" s="1"/>
  <c r="P1046"/>
  <c r="B1046" s="1"/>
  <c r="P1042"/>
  <c r="B1042" s="1"/>
  <c r="P1038"/>
  <c r="B1038" s="1"/>
  <c r="P1034"/>
  <c r="B1034" s="1"/>
  <c r="P1030"/>
  <c r="B1030" s="1"/>
  <c r="P1026"/>
  <c r="B1026" s="1"/>
  <c r="P1022"/>
  <c r="B1022" s="1"/>
  <c r="P1018"/>
  <c r="B1018" s="1"/>
  <c r="P1014"/>
  <c r="B1014" s="1"/>
  <c r="P1010"/>
  <c r="B1010" s="1"/>
  <c r="P1004"/>
  <c r="B1004" s="1"/>
  <c r="P1000"/>
  <c r="B1000" s="1"/>
  <c r="P996"/>
  <c r="B996" s="1"/>
  <c r="P989"/>
  <c r="B989" s="1"/>
  <c r="P957"/>
  <c r="B957" s="1"/>
  <c r="P880"/>
  <c r="B880" s="1"/>
  <c r="P840"/>
  <c r="B840" s="1"/>
  <c r="P736"/>
  <c r="B736" s="1"/>
  <c r="P662"/>
  <c r="B662" s="1"/>
  <c r="P563"/>
  <c r="B563" s="1"/>
  <c r="P543"/>
  <c r="B543" s="1"/>
  <c r="P499"/>
  <c r="B499" s="1"/>
  <c r="P439"/>
  <c r="B439" s="1"/>
  <c r="P403"/>
  <c r="B403" s="1"/>
  <c r="P379"/>
  <c r="B379" s="1"/>
  <c r="P336"/>
  <c r="B336" s="1"/>
  <c r="P234"/>
  <c r="B234" s="1"/>
  <c r="P230"/>
  <c r="B230" s="1"/>
  <c r="P226"/>
  <c r="B226" s="1"/>
  <c r="P218"/>
  <c r="B218" s="1"/>
  <c r="P214"/>
  <c r="B214" s="1"/>
  <c r="P206"/>
  <c r="B206" s="1"/>
  <c r="P202"/>
  <c r="B202" s="1"/>
  <c r="P198"/>
  <c r="B198" s="1"/>
  <c r="P118"/>
  <c r="B118" s="1"/>
  <c r="P114"/>
  <c r="B114" s="1"/>
  <c r="P63"/>
  <c r="B63" s="1"/>
  <c r="P47"/>
  <c r="B47" s="1"/>
  <c r="P34"/>
  <c r="B34" s="1"/>
  <c r="P16"/>
  <c r="B16" s="1"/>
  <c r="R712"/>
  <c r="R1464"/>
  <c r="R1460"/>
  <c r="R1456"/>
  <c r="R1452"/>
  <c r="R1448"/>
  <c r="R1444"/>
  <c r="R1440"/>
  <c r="R1436"/>
  <c r="R1432"/>
  <c r="R1428"/>
  <c r="R1424"/>
  <c r="R1420"/>
  <c r="R1416"/>
  <c r="R1412"/>
  <c r="R1408"/>
  <c r="R1404"/>
  <c r="R1400"/>
  <c r="R1396"/>
  <c r="R1392"/>
  <c r="R1388"/>
  <c r="R1384"/>
  <c r="R1380"/>
  <c r="R1376"/>
  <c r="R1372"/>
  <c r="R1368"/>
  <c r="R1364"/>
  <c r="R1360"/>
  <c r="R1356"/>
  <c r="R1352"/>
  <c r="R1348"/>
  <c r="R1344"/>
  <c r="R1340"/>
  <c r="R1336"/>
  <c r="R1332"/>
  <c r="R1328"/>
  <c r="R1319"/>
  <c r="R1303"/>
  <c r="S1168"/>
  <c r="S1164"/>
  <c r="S1160"/>
  <c r="S1148"/>
  <c r="R1050"/>
  <c r="I25"/>
  <c r="G25"/>
  <c r="I23"/>
  <c r="G23"/>
  <c r="I14"/>
  <c r="G14"/>
  <c r="K745"/>
  <c r="G745"/>
  <c r="I745"/>
  <c r="P823"/>
  <c r="B823" s="1"/>
  <c r="G823"/>
  <c r="R823" s="1"/>
  <c r="P893"/>
  <c r="B893" s="1"/>
  <c r="G893"/>
  <c r="R893" s="1"/>
  <c r="P327"/>
  <c r="B327" s="1"/>
  <c r="G327"/>
  <c r="R327" s="1"/>
  <c r="I414"/>
  <c r="G414"/>
  <c r="I417"/>
  <c r="G417"/>
  <c r="I419"/>
  <c r="G419"/>
  <c r="O739"/>
  <c r="I739"/>
  <c r="G739"/>
  <c r="I713"/>
  <c r="G713"/>
  <c r="P916"/>
  <c r="B916" s="1"/>
  <c r="P969"/>
  <c r="B969" s="1"/>
  <c r="G969"/>
  <c r="R969" s="1"/>
  <c r="P341"/>
  <c r="B341" s="1"/>
  <c r="P192"/>
  <c r="B192" s="1"/>
  <c r="P347"/>
  <c r="B347" s="1"/>
  <c r="P397"/>
  <c r="B397" s="1"/>
  <c r="G397"/>
  <c r="P262"/>
  <c r="B262" s="1"/>
  <c r="P453"/>
  <c r="B453" s="1"/>
  <c r="G453"/>
  <c r="R453" s="1"/>
  <c r="P920"/>
  <c r="B920" s="1"/>
  <c r="P918"/>
  <c r="B918" s="1"/>
  <c r="I456"/>
  <c r="G456"/>
  <c r="G891"/>
  <c r="I891"/>
  <c r="O61"/>
  <c r="I61"/>
  <c r="I431"/>
  <c r="G431"/>
  <c r="R431" s="1"/>
  <c r="G735"/>
  <c r="I735"/>
  <c r="I810"/>
  <c r="G810"/>
  <c r="R810" s="1"/>
  <c r="I850"/>
  <c r="G850"/>
  <c r="R850" s="1"/>
  <c r="I958"/>
  <c r="G958"/>
  <c r="R958" s="1"/>
  <c r="Q1093"/>
  <c r="G1093"/>
  <c r="I1093"/>
  <c r="I1170"/>
  <c r="G1170"/>
  <c r="Q1448"/>
  <c r="B1448"/>
  <c r="Q1444"/>
  <c r="B1444"/>
  <c r="Q1440"/>
  <c r="B1440"/>
  <c r="Q1436"/>
  <c r="B1436"/>
  <c r="Q1432"/>
  <c r="B1432"/>
  <c r="Q1428"/>
  <c r="B1428"/>
  <c r="Q1424"/>
  <c r="B1424"/>
  <c r="Q1420"/>
  <c r="B1420"/>
  <c r="Q1416"/>
  <c r="B1416"/>
  <c r="Q1412"/>
  <c r="B1412"/>
  <c r="Q1408"/>
  <c r="B1408"/>
  <c r="Q1404"/>
  <c r="B1404"/>
  <c r="Q1376"/>
  <c r="B1376"/>
  <c r="Q1372"/>
  <c r="B1372"/>
  <c r="Q1368"/>
  <c r="B1368"/>
  <c r="Q1364"/>
  <c r="B1364"/>
  <c r="Q1360"/>
  <c r="B1360"/>
  <c r="Q1356"/>
  <c r="B1356"/>
  <c r="Q1352"/>
  <c r="B1352"/>
  <c r="Q1348"/>
  <c r="B1348"/>
  <c r="P897"/>
  <c r="B897" s="1"/>
  <c r="G897"/>
  <c r="R897" s="1"/>
  <c r="P497"/>
  <c r="B497" s="1"/>
  <c r="O128"/>
  <c r="I128"/>
  <c r="G128"/>
  <c r="M113"/>
  <c r="I113"/>
  <c r="G113"/>
  <c r="I170"/>
  <c r="G170"/>
  <c r="I164"/>
  <c r="G164"/>
  <c r="O291"/>
  <c r="I291"/>
  <c r="I287"/>
  <c r="G287"/>
  <c r="O283"/>
  <c r="I283"/>
  <c r="G283"/>
  <c r="O279"/>
  <c r="I279"/>
  <c r="G279"/>
  <c r="O275"/>
  <c r="I275"/>
  <c r="G275"/>
  <c r="O271"/>
  <c r="I271"/>
  <c r="G271"/>
  <c r="P291"/>
  <c r="B291" s="1"/>
  <c r="G291"/>
  <c r="R291" s="1"/>
  <c r="P370"/>
  <c r="B370" s="1"/>
  <c r="G370"/>
  <c r="P961"/>
  <c r="B961" s="1"/>
  <c r="Q1174"/>
  <c r="S1174" s="1"/>
  <c r="P1174"/>
  <c r="B1174" s="1"/>
  <c r="P1166"/>
  <c r="B1166" s="1"/>
  <c r="Q1162"/>
  <c r="S1162" s="1"/>
  <c r="P1162"/>
  <c r="B1162" s="1"/>
  <c r="P1155"/>
  <c r="B1155" s="1"/>
  <c r="Q1150"/>
  <c r="S1150" s="1"/>
  <c r="P1150"/>
  <c r="B1150" s="1"/>
  <c r="P1146"/>
  <c r="B1146" s="1"/>
  <c r="Q1139"/>
  <c r="S1139" s="1"/>
  <c r="P1139"/>
  <c r="B1139" s="1"/>
  <c r="P1135"/>
  <c r="B1135" s="1"/>
  <c r="Q1131"/>
  <c r="S1131" s="1"/>
  <c r="P1131"/>
  <c r="B1131" s="1"/>
  <c r="P1127"/>
  <c r="B1127" s="1"/>
  <c r="Q1123"/>
  <c r="S1123" s="1"/>
  <c r="P1123"/>
  <c r="B1123" s="1"/>
  <c r="P1119"/>
  <c r="B1119" s="1"/>
  <c r="Q1111"/>
  <c r="S1111" s="1"/>
  <c r="P1111"/>
  <c r="B1111" s="1"/>
  <c r="P1102"/>
  <c r="B1102" s="1"/>
  <c r="Q1084"/>
  <c r="S1084" s="1"/>
  <c r="P1084"/>
  <c r="B1084" s="1"/>
  <c r="P1080"/>
  <c r="B1080" s="1"/>
  <c r="Q1076"/>
  <c r="S1076" s="1"/>
  <c r="P1076"/>
  <c r="B1076" s="1"/>
  <c r="P1072"/>
  <c r="B1072" s="1"/>
  <c r="Q1068"/>
  <c r="S1068" s="1"/>
  <c r="P1068"/>
  <c r="B1068" s="1"/>
  <c r="P1064"/>
  <c r="B1064" s="1"/>
  <c r="Q1060"/>
  <c r="S1060" s="1"/>
  <c r="P1060"/>
  <c r="B1060" s="1"/>
  <c r="P1056"/>
  <c r="B1056" s="1"/>
  <c r="Q1053"/>
  <c r="S1053" s="1"/>
  <c r="P1053"/>
  <c r="B1053" s="1"/>
  <c r="P1047"/>
  <c r="B1047" s="1"/>
  <c r="Q1043"/>
  <c r="S1043" s="1"/>
  <c r="P1043"/>
  <c r="B1043" s="1"/>
  <c r="P1039"/>
  <c r="B1039" s="1"/>
  <c r="Q1035"/>
  <c r="P1035"/>
  <c r="B1035" s="1"/>
  <c r="P1031"/>
  <c r="B1031" s="1"/>
  <c r="Q1027"/>
  <c r="S1027" s="1"/>
  <c r="P1027"/>
  <c r="B1027" s="1"/>
  <c r="P1023"/>
  <c r="B1023" s="1"/>
  <c r="Q1019"/>
  <c r="P1019"/>
  <c r="B1019" s="1"/>
  <c r="P1015"/>
  <c r="B1015" s="1"/>
  <c r="Q1005"/>
  <c r="S1005" s="1"/>
  <c r="P1005"/>
  <c r="B1005" s="1"/>
  <c r="P1001"/>
  <c r="B1001" s="1"/>
  <c r="Q997"/>
  <c r="S997" s="1"/>
  <c r="P997"/>
  <c r="B997" s="1"/>
  <c r="P990"/>
  <c r="B990" s="1"/>
  <c r="Q962"/>
  <c r="S962" s="1"/>
  <c r="P962"/>
  <c r="B962" s="1"/>
  <c r="P905"/>
  <c r="B905" s="1"/>
  <c r="Q881"/>
  <c r="S881" s="1"/>
  <c r="P881"/>
  <c r="B881" s="1"/>
  <c r="P773"/>
  <c r="B773" s="1"/>
  <c r="Q709"/>
  <c r="S709" s="1"/>
  <c r="P709"/>
  <c r="B709" s="1"/>
  <c r="P675"/>
  <c r="B675" s="1"/>
  <c r="Q663"/>
  <c r="S663" s="1"/>
  <c r="P663"/>
  <c r="B663" s="1"/>
  <c r="P627"/>
  <c r="B627" s="1"/>
  <c r="Q556"/>
  <c r="S556" s="1"/>
  <c r="P556"/>
  <c r="B556" s="1"/>
  <c r="P508"/>
  <c r="B508" s="1"/>
  <c r="Q440"/>
  <c r="S440" s="1"/>
  <c r="P440"/>
  <c r="B440" s="1"/>
  <c r="P416"/>
  <c r="B416" s="1"/>
  <c r="Q345"/>
  <c r="S345" s="1"/>
  <c r="P345"/>
  <c r="B345" s="1"/>
  <c r="P334"/>
  <c r="B334" s="1"/>
  <c r="Q255"/>
  <c r="S255" s="1"/>
  <c r="P255"/>
  <c r="B255" s="1"/>
  <c r="P235"/>
  <c r="B235" s="1"/>
  <c r="Q231"/>
  <c r="S231" s="1"/>
  <c r="P231"/>
  <c r="B231" s="1"/>
  <c r="P227"/>
  <c r="B227" s="1"/>
  <c r="Q219"/>
  <c r="P219"/>
  <c r="B219" s="1"/>
  <c r="P215"/>
  <c r="B215" s="1"/>
  <c r="Q207"/>
  <c r="P207"/>
  <c r="B207" s="1"/>
  <c r="P203"/>
  <c r="B203" s="1"/>
  <c r="Q199"/>
  <c r="P199"/>
  <c r="B199" s="1"/>
  <c r="P195"/>
  <c r="B195" s="1"/>
  <c r="Q171"/>
  <c r="P171"/>
  <c r="B171" s="1"/>
  <c r="P163"/>
  <c r="B163" s="1"/>
  <c r="Q159"/>
  <c r="P159"/>
  <c r="B159" s="1"/>
  <c r="P135"/>
  <c r="B135" s="1"/>
  <c r="Q56"/>
  <c r="P56"/>
  <c r="B56" s="1"/>
  <c r="P48"/>
  <c r="B48" s="1"/>
  <c r="Q35"/>
  <c r="P35"/>
  <c r="B35" s="1"/>
  <c r="P31"/>
  <c r="B31" s="1"/>
  <c r="Q27"/>
  <c r="P27"/>
  <c r="B27" s="1"/>
  <c r="P13"/>
  <c r="B13" s="1"/>
  <c r="O1095"/>
  <c r="O1010"/>
  <c r="R1465"/>
  <c r="R1461"/>
  <c r="R1457"/>
  <c r="R1453"/>
  <c r="R1449"/>
  <c r="R1445"/>
  <c r="R1441"/>
  <c r="R1437"/>
  <c r="R1433"/>
  <c r="R1429"/>
  <c r="R1425"/>
  <c r="R1421"/>
  <c r="R1417"/>
  <c r="R1413"/>
  <c r="R1409"/>
  <c r="R1405"/>
  <c r="R1401"/>
  <c r="S1401" s="1"/>
  <c r="R1397"/>
  <c r="S1397" s="1"/>
  <c r="R1393"/>
  <c r="S1393" s="1"/>
  <c r="R1389"/>
  <c r="S1389" s="1"/>
  <c r="R1385"/>
  <c r="S1385" s="1"/>
  <c r="R1381"/>
  <c r="S1381" s="1"/>
  <c r="R1377"/>
  <c r="R1373"/>
  <c r="R1369"/>
  <c r="R1365"/>
  <c r="R1361"/>
  <c r="R1357"/>
  <c r="R1353"/>
  <c r="R1349"/>
  <c r="R1345"/>
  <c r="S1345" s="1"/>
  <c r="R1341"/>
  <c r="S1341" s="1"/>
  <c r="R1337"/>
  <c r="S1337" s="1"/>
  <c r="R1333"/>
  <c r="S1333" s="1"/>
  <c r="R1329"/>
  <c r="S1329" s="1"/>
  <c r="R1312"/>
  <c r="R1296"/>
  <c r="R1224"/>
  <c r="S1157"/>
  <c r="S1153"/>
  <c r="S1141"/>
  <c r="S1137"/>
  <c r="S1133"/>
  <c r="S1129"/>
  <c r="S1035"/>
  <c r="S1019"/>
  <c r="K2937" i="27"/>
  <c r="I3055"/>
  <c r="K3055" s="1"/>
  <c r="D694" i="25"/>
  <c r="F694" s="1"/>
  <c r="F658"/>
  <c r="P902" i="67"/>
  <c r="B902" s="1"/>
  <c r="P1100"/>
  <c r="B1100" s="1"/>
  <c r="P1264"/>
  <c r="B1264" s="1"/>
  <c r="P894"/>
  <c r="B894" s="1"/>
  <c r="P729"/>
  <c r="B729" s="1"/>
  <c r="P993"/>
  <c r="B993" s="1"/>
  <c r="P1115"/>
  <c r="B1115" s="1"/>
  <c r="P1223"/>
  <c r="B1223" s="1"/>
  <c r="P1227"/>
  <c r="B1227" s="1"/>
  <c r="P1300"/>
  <c r="B1300" s="1"/>
  <c r="P1309"/>
  <c r="B1309" s="1"/>
  <c r="Q1322"/>
  <c r="P1322"/>
  <c r="B1322" s="1"/>
  <c r="P801"/>
  <c r="B801" s="1"/>
  <c r="P1265"/>
  <c r="B1265" s="1"/>
  <c r="Q25" i="69"/>
  <c r="M25"/>
  <c r="D698" i="25"/>
  <c r="F698" s="1"/>
  <c r="I22" i="69"/>
  <c r="F622" i="25"/>
  <c r="Q1225" i="69"/>
  <c r="M399"/>
  <c r="O276"/>
  <c r="O733"/>
  <c r="P386" i="67"/>
  <c r="B386" s="1"/>
  <c r="Q992"/>
  <c r="S992" s="1"/>
  <c r="P992"/>
  <c r="B992" s="1"/>
  <c r="P1151"/>
  <c r="B1151" s="1"/>
  <c r="P1009"/>
  <c r="B1009" s="1"/>
  <c r="P1104"/>
  <c r="B1104" s="1"/>
  <c r="P1011"/>
  <c r="B1011" s="1"/>
  <c r="P1103"/>
  <c r="B1103" s="1"/>
  <c r="P1226"/>
  <c r="B1226" s="1"/>
  <c r="P1299"/>
  <c r="B1299" s="1"/>
  <c r="P1307"/>
  <c r="B1307" s="1"/>
  <c r="P978"/>
  <c r="B978" s="1"/>
  <c r="P960"/>
  <c r="B960" s="1"/>
  <c r="P975"/>
  <c r="B975" s="1"/>
  <c r="I165" i="69"/>
  <c r="G283"/>
  <c r="I285"/>
  <c r="G290"/>
  <c r="P817" i="67"/>
  <c r="B817" s="1"/>
  <c r="P995"/>
  <c r="B995" s="1"/>
  <c r="P1112"/>
  <c r="B1112" s="1"/>
  <c r="P985"/>
  <c r="B985" s="1"/>
  <c r="P712"/>
  <c r="B712" s="1"/>
  <c r="P819"/>
  <c r="B819" s="1"/>
  <c r="B276" i="69"/>
  <c r="B1100"/>
  <c r="O745" i="67"/>
  <c r="M745"/>
  <c r="K22" i="69"/>
  <c r="G22"/>
  <c r="B1102"/>
  <c r="F92" i="32"/>
  <c r="O992" i="67"/>
  <c r="K370"/>
  <c r="M706" i="69"/>
  <c r="O706"/>
  <c r="P1101" i="67"/>
  <c r="B1101" s="1"/>
  <c r="P1108"/>
  <c r="B1108" s="1"/>
  <c r="P982"/>
  <c r="B982" s="1"/>
  <c r="P900"/>
  <c r="B900" s="1"/>
  <c r="P666"/>
  <c r="B666" s="1"/>
  <c r="P445"/>
  <c r="B445" s="1"/>
  <c r="P1109"/>
  <c r="B1109" s="1"/>
  <c r="P1117"/>
  <c r="B1117" s="1"/>
  <c r="P1118"/>
  <c r="B1118" s="1"/>
  <c r="P1007"/>
  <c r="B1007" s="1"/>
  <c r="P1106"/>
  <c r="B1106" s="1"/>
  <c r="P1324"/>
  <c r="B1324" s="1"/>
  <c r="P640"/>
  <c r="B640" s="1"/>
  <c r="P802"/>
  <c r="B802" s="1"/>
  <c r="P1145"/>
  <c r="B1145" s="1"/>
  <c r="E157" i="32"/>
  <c r="G157" s="1"/>
  <c r="G159" s="1"/>
  <c r="O1103" i="67"/>
  <c r="G1497" i="69"/>
  <c r="B1263"/>
  <c r="I3198" i="27"/>
  <c r="K3198" s="1"/>
  <c r="P704" i="67"/>
  <c r="B704" s="1"/>
  <c r="K285" i="69"/>
  <c r="M583"/>
  <c r="O189" i="67"/>
  <c r="O1105"/>
  <c r="O1094"/>
  <c r="O989"/>
  <c r="O556"/>
  <c r="O881"/>
  <c r="M1225"/>
  <c r="R1225" s="1"/>
  <c r="N1296"/>
  <c r="P1296" s="1"/>
  <c r="B1296" s="1"/>
  <c r="F289" i="69"/>
  <c r="F299"/>
  <c r="Q1096" i="67"/>
  <c r="O1096"/>
  <c r="I3051" i="27"/>
  <c r="K2933"/>
  <c r="I2953"/>
  <c r="I3426"/>
  <c r="K3426" s="1"/>
  <c r="K3407"/>
  <c r="F84" i="25"/>
  <c r="D85"/>
  <c r="M758" i="69"/>
  <c r="G758"/>
  <c r="K758"/>
  <c r="Q758"/>
  <c r="O758"/>
  <c r="I758"/>
  <c r="B1103"/>
  <c r="Q1103"/>
  <c r="D468" i="67"/>
  <c r="D468" i="69"/>
  <c r="D235" i="32"/>
  <c r="F235" s="1"/>
  <c r="F237" s="1"/>
  <c r="F197"/>
  <c r="F199" s="1"/>
  <c r="D278"/>
  <c r="F278" s="1"/>
  <c r="D469" i="67"/>
  <c r="D469" i="69"/>
  <c r="O994"/>
  <c r="P994"/>
  <c r="G165"/>
  <c r="G273"/>
  <c r="G274"/>
  <c r="K591"/>
  <c r="N1222"/>
  <c r="M1325"/>
  <c r="K3057" i="27"/>
  <c r="K397" i="67"/>
  <c r="B836" i="69"/>
  <c r="K358"/>
  <c r="O391"/>
  <c r="O1115" i="67"/>
  <c r="P1105" i="69"/>
  <c r="O399"/>
  <c r="K399"/>
  <c r="O1011" i="67"/>
  <c r="I3571" i="27"/>
  <c r="K3571" s="1"/>
  <c r="O271" i="69"/>
  <c r="O275"/>
  <c r="O277"/>
  <c r="G287"/>
  <c r="N1318"/>
  <c r="M25" i="67"/>
  <c r="O25" i="69"/>
  <c r="K604" i="67"/>
  <c r="G688" i="69"/>
  <c r="O358"/>
  <c r="M391"/>
  <c r="B1158"/>
  <c r="Q710"/>
  <c r="M710"/>
  <c r="M739" i="67"/>
  <c r="X2781" i="1"/>
  <c r="I399" i="69"/>
  <c r="M415" i="67"/>
  <c r="O1103" i="69"/>
  <c r="B367"/>
  <c r="Q399"/>
  <c r="Q1311"/>
  <c r="Q1116"/>
  <c r="B1008"/>
  <c r="M1305" i="67"/>
  <c r="R1305" s="1"/>
  <c r="N1312"/>
  <c r="P1312" s="1"/>
  <c r="B1312" s="1"/>
  <c r="O280" i="69"/>
  <c r="I743"/>
  <c r="O875"/>
  <c r="I1108"/>
  <c r="N1296"/>
  <c r="G281"/>
  <c r="M604" i="67"/>
  <c r="B281" i="69"/>
  <c r="B277"/>
  <c r="B288"/>
  <c r="F122" i="25"/>
  <c r="O688" i="69"/>
  <c r="O753"/>
  <c r="K391"/>
  <c r="K739" i="67"/>
  <c r="O1009"/>
  <c r="O993"/>
  <c r="O1108"/>
  <c r="M418"/>
  <c r="K415"/>
  <c r="M370"/>
  <c r="O370"/>
  <c r="B1099" i="69"/>
  <c r="B294"/>
  <c r="I3033" i="27"/>
  <c r="K3033" s="1"/>
  <c r="P2853"/>
  <c r="M1051" i="67"/>
  <c r="R1051" s="1"/>
  <c r="K287" i="69"/>
  <c r="F335"/>
  <c r="P335" s="1"/>
  <c r="B335" s="1"/>
  <c r="F335" i="67"/>
  <c r="G335" s="1"/>
  <c r="R335" s="1"/>
  <c r="F639"/>
  <c r="F639" i="69"/>
  <c r="P639" s="1"/>
  <c r="B639" s="1"/>
  <c r="F256"/>
  <c r="P256" s="1"/>
  <c r="B256" s="1"/>
  <c r="F256" i="67"/>
  <c r="P406" i="69"/>
  <c r="G406"/>
  <c r="B969"/>
  <c r="Q969"/>
  <c r="F61" i="67"/>
  <c r="G61" s="1"/>
  <c r="R61" s="1"/>
  <c r="F61" i="69"/>
  <c r="F383" i="67"/>
  <c r="G383" s="1"/>
  <c r="R383" s="1"/>
  <c r="F383" i="69"/>
  <c r="F738" i="67"/>
  <c r="F738" i="69"/>
  <c r="P738" s="1"/>
  <c r="B738" s="1"/>
  <c r="P900"/>
  <c r="G900"/>
  <c r="I2244" i="68"/>
  <c r="I2245" s="1"/>
  <c r="F623" i="69" s="1"/>
  <c r="I2742" i="68"/>
  <c r="I2743" s="1"/>
  <c r="I1037"/>
  <c r="I1038" s="1"/>
  <c r="I2578" s="1"/>
  <c r="F351" i="67"/>
  <c r="F351" i="69"/>
  <c r="P351" s="1"/>
  <c r="B351" s="1"/>
  <c r="F695" i="67"/>
  <c r="G695" s="1"/>
  <c r="R695" s="1"/>
  <c r="F695" i="69"/>
  <c r="P695" s="1"/>
  <c r="B695" s="1"/>
  <c r="F377" i="67"/>
  <c r="F377" i="69"/>
  <c r="P377" s="1"/>
  <c r="B377" s="1"/>
  <c r="F737"/>
  <c r="F737" i="67"/>
  <c r="G737" s="1"/>
  <c r="R737" s="1"/>
  <c r="G270" i="69"/>
  <c r="P270"/>
  <c r="F357" i="67"/>
  <c r="G357" s="1"/>
  <c r="R357" s="1"/>
  <c r="F357" i="69"/>
  <c r="I1930" i="68"/>
  <c r="I1931" s="1"/>
  <c r="I2179"/>
  <c r="I2180" s="1"/>
  <c r="F621" i="69" s="1"/>
  <c r="F2776" i="68"/>
  <c r="I2776" s="1"/>
  <c r="F136" i="69"/>
  <c r="P136" s="1"/>
  <c r="B136" s="1"/>
  <c r="F140" i="67"/>
  <c r="F140" i="69"/>
  <c r="P140" s="1"/>
  <c r="B140" s="1"/>
  <c r="F1142"/>
  <c r="F1143" i="67"/>
  <c r="G1143" s="1"/>
  <c r="R1143" s="1"/>
  <c r="G967" i="69"/>
  <c r="P967"/>
  <c r="F374"/>
  <c r="P374" s="1"/>
  <c r="B374" s="1"/>
  <c r="F374" i="67"/>
  <c r="F915"/>
  <c r="F915" i="69"/>
  <c r="P915" s="1"/>
  <c r="B915" s="1"/>
  <c r="F977" i="67"/>
  <c r="F976" i="69"/>
  <c r="G269"/>
  <c r="P269"/>
  <c r="B269" s="1"/>
  <c r="F474" i="67"/>
  <c r="F474" i="69"/>
  <c r="P474" s="1"/>
  <c r="B474" s="1"/>
  <c r="F770"/>
  <c r="P770" s="1"/>
  <c r="B770" s="1"/>
  <c r="F770" i="67"/>
  <c r="G770" s="1"/>
  <c r="R770" s="1"/>
  <c r="F233"/>
  <c r="F233" i="69"/>
  <c r="P233" s="1"/>
  <c r="B233" s="1"/>
  <c r="F348"/>
  <c r="P348" s="1"/>
  <c r="B348" s="1"/>
  <c r="I1198" i="68"/>
  <c r="F348" i="67"/>
  <c r="F190"/>
  <c r="F190" i="69"/>
  <c r="P190" s="1"/>
  <c r="B190" s="1"/>
  <c r="F141" i="67"/>
  <c r="F141" i="69"/>
  <c r="P141" s="1"/>
  <c r="B141" s="1"/>
  <c r="F259"/>
  <c r="P259" s="1"/>
  <c r="B259" s="1"/>
  <c r="F259" i="67"/>
  <c r="G386" i="69"/>
  <c r="P386"/>
  <c r="F622"/>
  <c r="F622" i="67"/>
  <c r="F728" i="69"/>
  <c r="F728" i="67"/>
  <c r="G728" s="1"/>
  <c r="R728" s="1"/>
  <c r="G458" i="69"/>
  <c r="P458"/>
  <c r="B458" s="1"/>
  <c r="F982"/>
  <c r="F983" i="67"/>
  <c r="G983" s="1"/>
  <c r="R983" s="1"/>
  <c r="F493" i="69"/>
  <c r="P493" s="1"/>
  <c r="B493" s="1"/>
  <c r="F493" i="67"/>
  <c r="F2770" i="68"/>
  <c r="I2770" s="1"/>
  <c r="F93" i="69"/>
  <c r="P93" s="1"/>
  <c r="B93" s="1"/>
  <c r="F93" i="67"/>
  <c r="F143"/>
  <c r="F187" i="69"/>
  <c r="P187" s="1"/>
  <c r="B187" s="1"/>
  <c r="G268"/>
  <c r="P268"/>
  <c r="F889"/>
  <c r="P889" s="1"/>
  <c r="B889" s="1"/>
  <c r="F889" i="67"/>
  <c r="I284" i="68"/>
  <c r="I285" s="1"/>
  <c r="F496" i="69" s="1"/>
  <c r="P496" s="1"/>
  <c r="B496" s="1"/>
  <c r="I389" i="68"/>
  <c r="I390" s="1"/>
  <c r="I48"/>
  <c r="I49" s="1"/>
  <c r="F473" i="69" s="1"/>
  <c r="F45"/>
  <c r="P45" s="1"/>
  <c r="B45" s="1"/>
  <c r="F375"/>
  <c r="P375" s="1"/>
  <c r="B375" s="1"/>
  <c r="F712"/>
  <c r="F726" i="67"/>
  <c r="G726" s="1"/>
  <c r="R726" s="1"/>
  <c r="I716" i="68"/>
  <c r="I717" s="1"/>
  <c r="F434" i="67"/>
  <c r="G434" s="1"/>
  <c r="R434" s="1"/>
  <c r="F984" i="69"/>
  <c r="I186" i="68"/>
  <c r="I187" s="1"/>
  <c r="F640" i="69"/>
  <c r="F897"/>
  <c r="I2789" i="68"/>
  <c r="F985" i="69"/>
  <c r="F822" i="67"/>
  <c r="G822" s="1"/>
  <c r="R822" s="1"/>
  <c r="I28" i="68"/>
  <c r="I29" s="1"/>
  <c r="F919" i="69"/>
  <c r="P919" s="1"/>
  <c r="B919" s="1"/>
  <c r="I38" i="68"/>
  <c r="I39" s="1"/>
  <c r="I232"/>
  <c r="I233" s="1"/>
  <c r="F495" i="69" s="1"/>
  <c r="P495" s="1"/>
  <c r="B495" s="1"/>
  <c r="F475" i="67"/>
  <c r="F475" i="69"/>
  <c r="P475" s="1"/>
  <c r="B475" s="1"/>
  <c r="F328"/>
  <c r="P328" s="1"/>
  <c r="B328" s="1"/>
  <c r="F328" i="67"/>
  <c r="I469" i="69"/>
  <c r="Q469"/>
  <c r="K469"/>
  <c r="P275"/>
  <c r="G275"/>
  <c r="I3089" i="27"/>
  <c r="K3089" s="1"/>
  <c r="I3937"/>
  <c r="K3937" s="1"/>
  <c r="K395" i="67"/>
  <c r="M395"/>
  <c r="O395"/>
  <c r="X89" i="1"/>
  <c r="D602" i="69"/>
  <c r="X90" i="1"/>
  <c r="X91" s="1"/>
  <c r="D602" i="67"/>
  <c r="D904"/>
  <c r="D904" i="69"/>
  <c r="D1566" i="67"/>
  <c r="G1566" s="1"/>
  <c r="D1565" i="69"/>
  <c r="G1565" s="1"/>
  <c r="K363" i="11"/>
  <c r="K364" s="1"/>
  <c r="K389"/>
  <c r="K390" s="1"/>
  <c r="K378"/>
  <c r="K379" s="1"/>
  <c r="I2392" i="27"/>
  <c r="I2393" s="1"/>
  <c r="J2378" s="1"/>
  <c r="I2381"/>
  <c r="F621" i="67"/>
  <c r="D1470"/>
  <c r="D1469" i="69"/>
  <c r="K25" i="67"/>
  <c r="O25"/>
  <c r="D1518"/>
  <c r="G1518" s="1"/>
  <c r="D1517" i="69"/>
  <c r="G1517" s="1"/>
  <c r="K2273" i="1"/>
  <c r="AQ90"/>
  <c r="AS66"/>
  <c r="AE427"/>
  <c r="AG427" s="1"/>
  <c r="AG391"/>
  <c r="V2785"/>
  <c r="X2785" s="1"/>
  <c r="AE2789"/>
  <c r="AG2789" s="1"/>
  <c r="P2824"/>
  <c r="K2817"/>
  <c r="AB1391"/>
  <c r="AD1391" s="1"/>
  <c r="AD1374"/>
  <c r="D603" i="67"/>
  <c r="X119" i="1"/>
  <c r="M395" i="69"/>
  <c r="K395"/>
  <c r="G395"/>
  <c r="I395"/>
  <c r="D1565" i="67"/>
  <c r="G1565" s="1"/>
  <c r="D1564" i="69"/>
  <c r="G1564" s="1"/>
  <c r="D5"/>
  <c r="D5" i="67"/>
  <c r="P595" i="1"/>
  <c r="R595" s="1"/>
  <c r="P608"/>
  <c r="R608" s="1"/>
  <c r="K90"/>
  <c r="K89"/>
  <c r="D754" i="69"/>
  <c r="D754" i="67"/>
  <c r="I754" s="1"/>
  <c r="K352" i="11"/>
  <c r="K353" s="1"/>
  <c r="K322"/>
  <c r="K323" s="1"/>
  <c r="L323" s="1"/>
  <c r="I2377" i="27"/>
  <c r="I2380"/>
  <c r="I2382" s="1"/>
  <c r="I2383" s="1"/>
  <c r="I2355" s="1"/>
  <c r="K2355" s="1"/>
  <c r="D1559" i="67"/>
  <c r="G1559" s="1"/>
  <c r="D1558" i="69"/>
  <c r="G1558" s="1"/>
  <c r="D697" i="67"/>
  <c r="D356"/>
  <c r="D356" i="69"/>
  <c r="D697"/>
  <c r="K25"/>
  <c r="I25"/>
  <c r="K689"/>
  <c r="O689"/>
  <c r="G689"/>
  <c r="K23" i="67"/>
  <c r="M23"/>
  <c r="O23"/>
  <c r="AE2796" i="1"/>
  <c r="AG2796" s="1"/>
  <c r="X2792"/>
  <c r="M603" i="69"/>
  <c r="Q603"/>
  <c r="I603"/>
  <c r="G603"/>
  <c r="O603"/>
  <c r="K14" i="67"/>
  <c r="M14"/>
  <c r="O14"/>
  <c r="D311" i="69"/>
  <c r="D668"/>
  <c r="D668" i="67"/>
  <c r="D311"/>
  <c r="I888" i="68"/>
  <c r="F286" i="69" s="1"/>
  <c r="F285"/>
  <c r="D1471" i="67"/>
  <c r="D1470" i="69"/>
  <c r="I816" i="27"/>
  <c r="K816" s="1"/>
  <c r="I834"/>
  <c r="K834" s="1"/>
  <c r="I851"/>
  <c r="K851" s="1"/>
  <c r="I1092"/>
  <c r="K1092" s="1"/>
  <c r="I2269"/>
  <c r="D775" i="67"/>
  <c r="D775" i="69"/>
  <c r="K130" i="1"/>
  <c r="D28" i="69"/>
  <c r="D28" i="67"/>
  <c r="D256" i="69"/>
  <c r="D676"/>
  <c r="I591" i="1"/>
  <c r="K591" s="1"/>
  <c r="D676" i="67"/>
  <c r="D256"/>
  <c r="I256" s="1"/>
  <c r="P2447" i="1"/>
  <c r="R2447" s="1"/>
  <c r="K2342"/>
  <c r="L2691"/>
  <c r="D696" i="67"/>
  <c r="D696" i="69"/>
  <c r="X1460" i="1"/>
  <c r="AB1458"/>
  <c r="AD1458" s="1"/>
  <c r="K102"/>
  <c r="D11" i="67"/>
  <c r="D11" i="69"/>
  <c r="K469" i="67"/>
  <c r="D14" i="69"/>
  <c r="K118" i="1"/>
  <c r="L116"/>
  <c r="F618" i="69"/>
  <c r="P618" s="1"/>
  <c r="B618" s="1"/>
  <c r="F618" i="67"/>
  <c r="D776"/>
  <c r="D776" i="69"/>
  <c r="D233" i="67"/>
  <c r="I233" s="1"/>
  <c r="D233" i="69"/>
  <c r="B978"/>
  <c r="Q978"/>
  <c r="Q1315"/>
  <c r="B1315"/>
  <c r="Q1228"/>
  <c r="B1228"/>
  <c r="Q837"/>
  <c r="B837"/>
  <c r="Q826"/>
  <c r="B826"/>
  <c r="F496" i="67"/>
  <c r="F2773" i="68"/>
  <c r="I2773" s="1"/>
  <c r="F91" i="69"/>
  <c r="P91" s="1"/>
  <c r="B91" s="1"/>
  <c r="F91" i="67"/>
  <c r="F352"/>
  <c r="F352" i="69"/>
  <c r="P352" s="1"/>
  <c r="B352" s="1"/>
  <c r="P359"/>
  <c r="F763"/>
  <c r="P763" s="1"/>
  <c r="B763" s="1"/>
  <c r="F763" i="67"/>
  <c r="AQ107" i="1"/>
  <c r="AS107" s="1"/>
  <c r="AU107" s="1"/>
  <c r="AV107" s="1"/>
  <c r="AQ87"/>
  <c r="AS87" s="1"/>
  <c r="T3123"/>
  <c r="R3124"/>
  <c r="D761" i="69"/>
  <c r="D761" i="67"/>
  <c r="K2451" i="27"/>
  <c r="K2448"/>
  <c r="P3259" i="1"/>
  <c r="R3259" s="1"/>
  <c r="I2815"/>
  <c r="I3282"/>
  <c r="K3282" s="1"/>
  <c r="C90"/>
  <c r="K3102"/>
  <c r="P2076"/>
  <c r="K2971"/>
  <c r="P2978"/>
  <c r="R2978" s="1"/>
  <c r="R2986" s="1"/>
  <c r="R2988" s="1"/>
  <c r="O604" i="69"/>
  <c r="G604"/>
  <c r="G288"/>
  <c r="K3931" i="27"/>
  <c r="R2864" i="1"/>
  <c r="M753" i="69"/>
  <c r="I753"/>
  <c r="Q411"/>
  <c r="K411"/>
  <c r="AB1385" i="1"/>
  <c r="AD1385" s="1"/>
  <c r="AD1357"/>
  <c r="B1000" i="69"/>
  <c r="B1098"/>
  <c r="K2562" i="27"/>
  <c r="K2558"/>
  <c r="B371" i="69"/>
  <c r="B477"/>
  <c r="B663"/>
  <c r="R743" i="1"/>
  <c r="R745" s="1"/>
  <c r="Q1302" i="69"/>
  <c r="B1302"/>
  <c r="B1233"/>
  <c r="Q1233"/>
  <c r="F44" i="67"/>
  <c r="F44" i="69"/>
  <c r="P44" s="1"/>
  <c r="B44" s="1"/>
  <c r="F381" i="67"/>
  <c r="G381" s="1"/>
  <c r="R381" s="1"/>
  <c r="F381" i="69"/>
  <c r="F497"/>
  <c r="P497" s="1"/>
  <c r="B497" s="1"/>
  <c r="F2774" i="68"/>
  <c r="I2774" s="1"/>
  <c r="I1058"/>
  <c r="I1059" s="1"/>
  <c r="F3044"/>
  <c r="I3044" s="1"/>
  <c r="F2430"/>
  <c r="F263" i="69"/>
  <c r="F263" i="67"/>
  <c r="F495"/>
  <c r="F2772" i="68"/>
  <c r="I2772" s="1"/>
  <c r="I225" i="1"/>
  <c r="K225" s="1"/>
  <c r="C82"/>
  <c r="I1321" s="1"/>
  <c r="K1321" s="1"/>
  <c r="G724" i="69"/>
  <c r="P724"/>
  <c r="K3242" i="1"/>
  <c r="I3267"/>
  <c r="K3267" s="1"/>
  <c r="J664"/>
  <c r="W488"/>
  <c r="AC488" s="1"/>
  <c r="K122" i="11"/>
  <c r="I1084"/>
  <c r="K1084" s="1"/>
  <c r="X3164" i="1"/>
  <c r="D553" i="25"/>
  <c r="W538" i="1"/>
  <c r="AC538" s="1"/>
  <c r="AJ538" s="1"/>
  <c r="J539"/>
  <c r="X1246"/>
  <c r="AB1251"/>
  <c r="Q604" i="69"/>
  <c r="K604"/>
  <c r="D586" i="25"/>
  <c r="Q753" i="69"/>
  <c r="G753"/>
  <c r="O397" i="67"/>
  <c r="I411" i="69"/>
  <c r="O411"/>
  <c r="F280" i="32"/>
  <c r="B726" i="69"/>
  <c r="B1173"/>
  <c r="B1239"/>
  <c r="B1247"/>
  <c r="B1255"/>
  <c r="B1259"/>
  <c r="P1308"/>
  <c r="B196"/>
  <c r="B200"/>
  <c r="B204"/>
  <c r="B1264"/>
  <c r="Q1064"/>
  <c r="B1064"/>
  <c r="Q1060"/>
  <c r="B1060"/>
  <c r="Q1056"/>
  <c r="B1056"/>
  <c r="Q1052"/>
  <c r="B1052"/>
  <c r="Q1316"/>
  <c r="B1316"/>
  <c r="Q834"/>
  <c r="B834"/>
  <c r="Q814"/>
  <c r="B814"/>
  <c r="P622"/>
  <c r="F703"/>
  <c r="F703" i="67"/>
  <c r="G703" s="1"/>
  <c r="R703" s="1"/>
  <c r="F55"/>
  <c r="F55" i="69"/>
  <c r="P55" s="1"/>
  <c r="B55" s="1"/>
  <c r="F257" i="67"/>
  <c r="F257" i="69"/>
  <c r="F473" i="67"/>
  <c r="G473" s="1"/>
  <c r="R473" s="1"/>
  <c r="F37" i="69"/>
  <c r="P37" s="1"/>
  <c r="B37" s="1"/>
  <c r="G434"/>
  <c r="P434"/>
  <c r="F398" i="67"/>
  <c r="F398" i="69"/>
  <c r="D398" i="67"/>
  <c r="I398" s="1"/>
  <c r="D711"/>
  <c r="D698" i="69"/>
  <c r="D698" i="67"/>
  <c r="I698" s="1"/>
  <c r="D359" i="69"/>
  <c r="G359" s="1"/>
  <c r="I3490" i="1"/>
  <c r="K3490" s="1"/>
  <c r="D359" i="67"/>
  <c r="I359" s="1"/>
  <c r="K2353" i="1"/>
  <c r="L2318"/>
  <c r="K2915" i="27"/>
  <c r="R462" i="1"/>
  <c r="R464" s="1"/>
  <c r="Q979" i="69"/>
  <c r="B979"/>
  <c r="G977"/>
  <c r="P977"/>
  <c r="Q977" s="1"/>
  <c r="B1313"/>
  <c r="Q1313"/>
  <c r="Q994"/>
  <c r="B994"/>
  <c r="Q830"/>
  <c r="B830"/>
  <c r="F760"/>
  <c r="F760" i="67"/>
  <c r="G760" s="1"/>
  <c r="R760" s="1"/>
  <c r="F90" i="69"/>
  <c r="P90" s="1"/>
  <c r="B90" s="1"/>
  <c r="F90" i="67"/>
  <c r="F92"/>
  <c r="F92" i="69"/>
  <c r="P92" s="1"/>
  <c r="B92" s="1"/>
  <c r="P1415" i="1"/>
  <c r="R1398"/>
  <c r="D26" i="25"/>
  <c r="D747" i="69"/>
  <c r="D747" i="67"/>
  <c r="I747" s="1"/>
  <c r="D355" i="69"/>
  <c r="D355" i="67"/>
  <c r="D746" i="69"/>
  <c r="D746" i="67"/>
  <c r="V1241" i="1"/>
  <c r="R1261"/>
  <c r="AD1410"/>
  <c r="AB1427"/>
  <c r="AD1427" s="1"/>
  <c r="AE368"/>
  <c r="AG368" s="1"/>
  <c r="X359"/>
  <c r="AB1457"/>
  <c r="AD1457" s="1"/>
  <c r="X1459"/>
  <c r="Q1148" i="69"/>
  <c r="B665"/>
  <c r="B644"/>
  <c r="B610"/>
  <c r="B591"/>
  <c r="B550"/>
  <c r="B505"/>
  <c r="B499"/>
  <c r="B410"/>
  <c r="B387"/>
  <c r="B373"/>
  <c r="P271"/>
  <c r="B114"/>
  <c r="F920"/>
  <c r="P920" s="1"/>
  <c r="B920" s="1"/>
  <c r="F457"/>
  <c r="P79" i="1"/>
  <c r="R79" s="1"/>
  <c r="K3006"/>
  <c r="K2671"/>
  <c r="K3197"/>
  <c r="K3200" s="1"/>
  <c r="K3202" s="1"/>
  <c r="P3069"/>
  <c r="R3069" s="1"/>
  <c r="V1388"/>
  <c r="AE3541"/>
  <c r="P1616"/>
  <c r="R1616" s="1"/>
  <c r="I2126"/>
  <c r="K2126" s="1"/>
  <c r="K1603"/>
  <c r="K2664"/>
  <c r="I3058"/>
  <c r="I594" i="11"/>
  <c r="K594" s="1"/>
  <c r="K102"/>
  <c r="I3447" i="27"/>
  <c r="R1094" i="1"/>
  <c r="I3061"/>
  <c r="I3395"/>
  <c r="K2011"/>
  <c r="J561"/>
  <c r="K2835"/>
  <c r="K2843" s="1"/>
  <c r="K2845" s="1"/>
  <c r="P2152"/>
  <c r="R2152" s="1"/>
  <c r="X883"/>
  <c r="P3534"/>
  <c r="R3534" s="1"/>
  <c r="P858"/>
  <c r="R858" s="1"/>
  <c r="R154"/>
  <c r="K3183"/>
  <c r="K3187" s="1"/>
  <c r="K3188" s="1"/>
  <c r="I3268"/>
  <c r="K3268" s="1"/>
  <c r="L3234" s="1"/>
  <c r="I3254"/>
  <c r="K3254" s="1"/>
  <c r="K943" i="11"/>
  <c r="K948"/>
  <c r="K950" s="1"/>
  <c r="L950" s="1"/>
  <c r="X1300" i="1"/>
  <c r="V1320"/>
  <c r="X1320" s="1"/>
  <c r="K3402" i="27"/>
  <c r="I3397" s="1"/>
  <c r="K3397" s="1"/>
  <c r="L3397" s="1"/>
  <c r="M3397" s="1"/>
  <c r="N3397" s="1"/>
  <c r="O3397" s="1"/>
  <c r="I3421"/>
  <c r="V414" i="1"/>
  <c r="X414" s="1"/>
  <c r="AE392"/>
  <c r="K1078"/>
  <c r="I1093"/>
  <c r="P1074"/>
  <c r="X1443"/>
  <c r="V1467"/>
  <c r="X1467" s="1"/>
  <c r="AQ65"/>
  <c r="AE313"/>
  <c r="AG313" s="1"/>
  <c r="AB1406"/>
  <c r="X1408"/>
  <c r="P1259"/>
  <c r="R1217"/>
  <c r="T1217" s="1"/>
  <c r="V553"/>
  <c r="X553" s="1"/>
  <c r="AB529"/>
  <c r="V900"/>
  <c r="X900" s="1"/>
  <c r="X884"/>
  <c r="I3226"/>
  <c r="K3226" s="1"/>
  <c r="I1065" i="11"/>
  <c r="K1065" s="1"/>
  <c r="K3062" i="1"/>
  <c r="V3541"/>
  <c r="R588"/>
  <c r="R590" s="1"/>
  <c r="I168"/>
  <c r="K168" s="1"/>
  <c r="P141"/>
  <c r="K2976"/>
  <c r="P2671"/>
  <c r="K3525"/>
  <c r="X3132"/>
  <c r="K2973"/>
  <c r="AC27"/>
  <c r="D758" i="67"/>
  <c r="P1382" i="1"/>
  <c r="R1382" s="1"/>
  <c r="AK530"/>
  <c r="I3546"/>
  <c r="K742" i="11"/>
  <c r="K733" s="1"/>
  <c r="V198" i="1"/>
  <c r="X198" s="1"/>
  <c r="R198"/>
  <c r="I3989"/>
  <c r="K3988"/>
  <c r="Q458" i="69"/>
  <c r="Q1007"/>
  <c r="Q1146"/>
  <c r="Q1304"/>
  <c r="B1295"/>
  <c r="V335" i="1"/>
  <c r="X335" s="1"/>
  <c r="I3491"/>
  <c r="K3491" s="1"/>
  <c r="I1136"/>
  <c r="D1508" i="67"/>
  <c r="G1508" s="1"/>
  <c r="P469" i="1"/>
  <c r="R469" s="1"/>
  <c r="R487" s="1"/>
  <c r="R489" s="1"/>
  <c r="K4008"/>
  <c r="K2403"/>
  <c r="X587"/>
  <c r="X589" s="1"/>
  <c r="X590" s="1"/>
  <c r="K2745"/>
  <c r="K2747" s="1"/>
  <c r="I2765" s="1"/>
  <c r="K2765" s="1"/>
  <c r="K2767" s="1"/>
  <c r="D429" i="69"/>
  <c r="D429" i="67"/>
  <c r="R1861" i="1"/>
  <c r="P1892"/>
  <c r="R1892" s="1"/>
  <c r="K2150"/>
  <c r="K2154" s="1"/>
  <c r="P2157"/>
  <c r="R2157" s="1"/>
  <c r="K865"/>
  <c r="I3305"/>
  <c r="K3305" s="1"/>
  <c r="F47" i="32"/>
  <c r="H47" s="1"/>
  <c r="D110"/>
  <c r="F110" s="1"/>
  <c r="I584" i="27"/>
  <c r="K584"/>
  <c r="K2961"/>
  <c r="I3914"/>
  <c r="K3914" s="1"/>
  <c r="K2574" i="1"/>
  <c r="K2577" s="1"/>
  <c r="K2580" s="1"/>
  <c r="P2575"/>
  <c r="R2575" s="1"/>
  <c r="R2578" s="1"/>
  <c r="R2580" s="1"/>
  <c r="V3701"/>
  <c r="X3683"/>
  <c r="K3580"/>
  <c r="K3581" s="1"/>
  <c r="K3591" s="1"/>
  <c r="I3592" s="1"/>
  <c r="K3592" s="1"/>
  <c r="I3593" s="1"/>
  <c r="K3593" s="1"/>
  <c r="I3594" s="1"/>
  <c r="K3594" s="1"/>
  <c r="I3595" s="1"/>
  <c r="K3595" s="1"/>
  <c r="X384"/>
  <c r="AE393"/>
  <c r="V415"/>
  <c r="X415" s="1"/>
  <c r="I2243"/>
  <c r="K2243" s="1"/>
  <c r="K2252" s="1"/>
  <c r="P945"/>
  <c r="R945" s="1"/>
  <c r="K793" i="11"/>
  <c r="I900"/>
  <c r="K900" s="1"/>
  <c r="K144"/>
  <c r="I917"/>
  <c r="K917" s="1"/>
  <c r="K268"/>
  <c r="K794"/>
  <c r="K1944" i="1"/>
  <c r="K1948" s="1"/>
  <c r="V315"/>
  <c r="I3031" i="27"/>
  <c r="K3031" s="1"/>
  <c r="I142" i="11"/>
  <c r="K142" s="1"/>
  <c r="P1118" i="1"/>
  <c r="R1118" s="1"/>
  <c r="I899" i="11"/>
  <c r="I583" i="27"/>
  <c r="I3904"/>
  <c r="K3904" s="1"/>
  <c r="K2951"/>
  <c r="R2850"/>
  <c r="V1303" i="1"/>
  <c r="AE3652"/>
  <c r="AG3652" s="1"/>
  <c r="K3958"/>
  <c r="E3852"/>
  <c r="J3852" s="1"/>
  <c r="J3857" s="1"/>
  <c r="J3859" s="1"/>
  <c r="X3653"/>
  <c r="AB3555"/>
  <c r="AG3555" s="1"/>
  <c r="D547" i="25"/>
  <c r="V2608" i="1"/>
  <c r="K647" i="27"/>
  <c r="K649" s="1"/>
  <c r="K650" s="1"/>
  <c r="K651" s="1"/>
  <c r="K652" s="1"/>
  <c r="K653" s="1"/>
  <c r="P1968" i="1"/>
  <c r="R1968" s="1"/>
  <c r="K1968"/>
  <c r="K1847"/>
  <c r="P1863"/>
  <c r="I1353"/>
  <c r="K1353" s="1"/>
  <c r="I1375"/>
  <c r="K1375" s="1"/>
  <c r="P1303"/>
  <c r="R1303" s="1"/>
  <c r="R1309" s="1"/>
  <c r="R1311" s="1"/>
  <c r="D14"/>
  <c r="I1358"/>
  <c r="K1358" s="1"/>
  <c r="P82"/>
  <c r="R82" s="1"/>
  <c r="I447"/>
  <c r="K447" s="1"/>
  <c r="I489"/>
  <c r="K489" s="1"/>
  <c r="V645"/>
  <c r="I1491"/>
  <c r="K1491" s="1"/>
  <c r="K1496" s="1"/>
  <c r="K1498" s="1"/>
  <c r="I1707"/>
  <c r="K1707" s="1"/>
  <c r="I1337"/>
  <c r="K1337" s="1"/>
  <c r="I1223"/>
  <c r="I1227"/>
  <c r="K1227" s="1"/>
  <c r="I1994"/>
  <c r="P3442"/>
  <c r="R3442" s="1"/>
  <c r="R3228"/>
  <c r="K1852"/>
  <c r="K1854" s="1"/>
  <c r="I1888" s="1"/>
  <c r="K1834"/>
  <c r="K1836" s="1"/>
  <c r="I1880" s="1"/>
  <c r="K1880" s="1"/>
  <c r="K1816"/>
  <c r="K1818" s="1"/>
  <c r="I1872" s="1"/>
  <c r="K1872" s="1"/>
  <c r="K712" i="27"/>
  <c r="K714" s="1"/>
  <c r="I720" s="1"/>
  <c r="K720" s="1"/>
  <c r="K2005" i="1"/>
  <c r="K2015" s="1"/>
  <c r="P2006"/>
  <c r="R2006" s="1"/>
  <c r="R2018" s="1"/>
  <c r="P1632"/>
  <c r="R1632" s="1"/>
  <c r="R1637" s="1"/>
  <c r="K1630"/>
  <c r="K1635" s="1"/>
  <c r="K1638" s="1"/>
  <c r="V898"/>
  <c r="X898" s="1"/>
  <c r="X882"/>
  <c r="I3306"/>
  <c r="K3306" s="1"/>
  <c r="K853" i="11"/>
  <c r="I291"/>
  <c r="K285" s="1"/>
  <c r="R285" s="1"/>
  <c r="R299" s="1"/>
  <c r="I3759" i="1"/>
  <c r="K3759" s="1"/>
  <c r="I3542"/>
  <c r="P3329"/>
  <c r="R3329" s="1"/>
  <c r="I3107"/>
  <c r="X2783"/>
  <c r="X2793" s="1"/>
  <c r="X2795" s="1"/>
  <c r="I2313"/>
  <c r="K2313" s="1"/>
  <c r="K2318" s="1"/>
  <c r="P2060"/>
  <c r="P2061" s="1"/>
  <c r="K1882"/>
  <c r="K1874"/>
  <c r="P1973"/>
  <c r="R1973" s="1"/>
  <c r="K1973"/>
  <c r="X881"/>
  <c r="V897"/>
  <c r="X897" s="1"/>
  <c r="G519" i="25"/>
  <c r="G520" s="1"/>
  <c r="O1225" i="67"/>
  <c r="Q1225"/>
  <c r="P1462" i="1"/>
  <c r="R1413"/>
  <c r="V1373"/>
  <c r="P996"/>
  <c r="R996" s="1"/>
  <c r="K994"/>
  <c r="K990"/>
  <c r="AE828"/>
  <c r="K384"/>
  <c r="K857" i="11"/>
  <c r="I791"/>
  <c r="K760"/>
  <c r="K761" s="1"/>
  <c r="K751" s="1"/>
  <c r="K752" s="1"/>
  <c r="K735"/>
  <c r="K674"/>
  <c r="K676" s="1"/>
  <c r="K666"/>
  <c r="I663"/>
  <c r="I209"/>
  <c r="K209" s="1"/>
  <c r="I199"/>
  <c r="K199" s="1"/>
  <c r="I83"/>
  <c r="K78"/>
  <c r="R22"/>
  <c r="R18"/>
  <c r="I3352" i="27"/>
  <c r="I243"/>
  <c r="K243" s="1"/>
  <c r="K132"/>
  <c r="K133" s="1"/>
  <c r="C35"/>
  <c r="P674" i="11"/>
  <c r="R674" s="1"/>
  <c r="R676" s="1"/>
  <c r="R667" s="1"/>
  <c r="P666"/>
  <c r="R666" s="1"/>
  <c r="O1051" i="67"/>
  <c r="Q1051"/>
  <c r="P1220" i="1"/>
  <c r="K992"/>
  <c r="P953"/>
  <c r="K882"/>
  <c r="AL46"/>
  <c r="H1114" i="69"/>
  <c r="F548" i="25"/>
  <c r="D304"/>
  <c r="F304" s="1"/>
  <c r="I593" i="11"/>
  <c r="K524"/>
  <c r="K525" s="1"/>
  <c r="I205"/>
  <c r="K205" s="1"/>
  <c r="I201"/>
  <c r="K201" s="1"/>
  <c r="I108"/>
  <c r="I2855" i="27"/>
  <c r="I3920"/>
  <c r="K3920" s="1"/>
  <c r="I3824"/>
  <c r="K3824" s="1"/>
  <c r="K3829" s="1"/>
  <c r="I3248"/>
  <c r="K3160"/>
  <c r="K3161" s="1"/>
  <c r="I3139"/>
  <c r="K3139" s="1"/>
  <c r="K3141" s="1"/>
  <c r="K3142" s="1"/>
  <c r="K3134" s="1"/>
  <c r="K3135" s="1"/>
  <c r="I2956"/>
  <c r="I2906"/>
  <c r="K1844"/>
  <c r="K1849" s="1"/>
  <c r="O1297" i="67"/>
  <c r="Q1297"/>
  <c r="I3778" i="27"/>
  <c r="K3778" s="1"/>
  <c r="O1296" i="67"/>
  <c r="Q1296"/>
  <c r="O1319"/>
  <c r="Q1319"/>
  <c r="O1323"/>
  <c r="Q1323"/>
  <c r="S1323" s="1"/>
  <c r="O1317"/>
  <c r="Q1317"/>
  <c r="S1317" s="1"/>
  <c r="O1298"/>
  <c r="Q1298"/>
  <c r="S1298" s="1"/>
  <c r="O1264"/>
  <c r="Q1264"/>
  <c r="S1264" s="1"/>
  <c r="O984"/>
  <c r="Q984"/>
  <c r="O980"/>
  <c r="Q980"/>
  <c r="S980" s="1"/>
  <c r="O976"/>
  <c r="Q976"/>
  <c r="S976" s="1"/>
  <c r="O971"/>
  <c r="Q971"/>
  <c r="S971" s="1"/>
  <c r="O899"/>
  <c r="Q899"/>
  <c r="O895"/>
  <c r="Q895"/>
  <c r="S895" s="1"/>
  <c r="O822"/>
  <c r="O802"/>
  <c r="Q802"/>
  <c r="S802" s="1"/>
  <c r="O798"/>
  <c r="Q798"/>
  <c r="O770"/>
  <c r="O728"/>
  <c r="O724"/>
  <c r="Q724"/>
  <c r="O712"/>
  <c r="Q712"/>
  <c r="O703"/>
  <c r="Q655"/>
  <c r="S655" s="1"/>
  <c r="O655"/>
  <c r="Q647"/>
  <c r="S647" s="1"/>
  <c r="O647"/>
  <c r="Q610"/>
  <c r="S610" s="1"/>
  <c r="O610"/>
  <c r="O492"/>
  <c r="Q492"/>
  <c r="S492" s="1"/>
  <c r="O462"/>
  <c r="Q462"/>
  <c r="S462" s="1"/>
  <c r="O457"/>
  <c r="Q457"/>
  <c r="O261"/>
  <c r="Q261"/>
  <c r="S261" s="1"/>
  <c r="Q704"/>
  <c r="Q1175"/>
  <c r="Q1171"/>
  <c r="Q1087"/>
  <c r="Q958"/>
  <c r="Q891"/>
  <c r="Q873"/>
  <c r="Q869"/>
  <c r="Q838"/>
  <c r="Q810"/>
  <c r="Q758"/>
  <c r="Q754"/>
  <c r="Q746"/>
  <c r="Q742"/>
  <c r="Q602"/>
  <c r="Q591"/>
  <c r="Q583"/>
  <c r="Q575"/>
  <c r="Q453"/>
  <c r="Q429"/>
  <c r="Q417"/>
  <c r="Q397"/>
  <c r="Q389"/>
  <c r="Q297"/>
  <c r="Q289"/>
  <c r="Q285"/>
  <c r="Q281"/>
  <c r="Q277"/>
  <c r="Q273"/>
  <c r="Q269"/>
  <c r="O1325"/>
  <c r="Q1325"/>
  <c r="S1325" s="1"/>
  <c r="O1318"/>
  <c r="Q1318"/>
  <c r="S1318" s="1"/>
  <c r="O985"/>
  <c r="Q985"/>
  <c r="S985" s="1"/>
  <c r="O981"/>
  <c r="Q981"/>
  <c r="S981" s="1"/>
  <c r="O977"/>
  <c r="O900"/>
  <c r="Q900"/>
  <c r="S900" s="1"/>
  <c r="O896"/>
  <c r="Q896"/>
  <c r="O892"/>
  <c r="Q892"/>
  <c r="S892" s="1"/>
  <c r="O823"/>
  <c r="Q823"/>
  <c r="O819"/>
  <c r="Q819"/>
  <c r="S819" s="1"/>
  <c r="O799"/>
  <c r="Q799"/>
  <c r="O729"/>
  <c r="Q729"/>
  <c r="S729" s="1"/>
  <c r="Q652"/>
  <c r="S652" s="1"/>
  <c r="O652"/>
  <c r="Q640"/>
  <c r="S640" s="1"/>
  <c r="O640"/>
  <c r="M1297"/>
  <c r="R1297" s="1"/>
  <c r="S1297" s="1"/>
  <c r="N1303"/>
  <c r="P1303" s="1"/>
  <c r="B1303" s="1"/>
  <c r="O1422"/>
  <c r="O1419"/>
  <c r="O1406"/>
  <c r="O1403"/>
  <c r="F441" i="69"/>
  <c r="F801"/>
  <c r="F802"/>
  <c r="F1144"/>
  <c r="E1211" i="68"/>
  <c r="I1211" s="1"/>
  <c r="I1212" s="1"/>
  <c r="I1213" s="1"/>
  <c r="Q1158" i="67"/>
  <c r="O1149"/>
  <c r="O1116"/>
  <c r="O991"/>
  <c r="Q969"/>
  <c r="Q967"/>
  <c r="Q850"/>
  <c r="Q775"/>
  <c r="Q759"/>
  <c r="Q747"/>
  <c r="Q743"/>
  <c r="Q739"/>
  <c r="O736"/>
  <c r="Q733"/>
  <c r="Q713"/>
  <c r="O695"/>
  <c r="Q688"/>
  <c r="Q676"/>
  <c r="Q668"/>
  <c r="O1312"/>
  <c r="Q1312"/>
  <c r="O1302"/>
  <c r="Q1302"/>
  <c r="S1302" s="1"/>
  <c r="O1294"/>
  <c r="Q1294"/>
  <c r="S1294" s="1"/>
  <c r="O986"/>
  <c r="Q986"/>
  <c r="O982"/>
  <c r="Q982"/>
  <c r="S982" s="1"/>
  <c r="O978"/>
  <c r="Q978"/>
  <c r="S978" s="1"/>
  <c r="O960"/>
  <c r="Q960"/>
  <c r="S960" s="1"/>
  <c r="O912"/>
  <c r="Q912"/>
  <c r="S912" s="1"/>
  <c r="O897"/>
  <c r="Q897"/>
  <c r="O893"/>
  <c r="Q893"/>
  <c r="O760"/>
  <c r="O726"/>
  <c r="Q380"/>
  <c r="O380"/>
  <c r="C899" i="68"/>
  <c r="I899" s="1"/>
  <c r="I1317"/>
  <c r="Q904" i="67"/>
  <c r="Q875"/>
  <c r="Q836"/>
  <c r="Q808"/>
  <c r="Q804"/>
  <c r="Q776"/>
  <c r="Q734"/>
  <c r="Q710"/>
  <c r="Q706"/>
  <c r="Q696"/>
  <c r="Q689"/>
  <c r="O1305"/>
  <c r="Q1305"/>
  <c r="O1321"/>
  <c r="Q1321"/>
  <c r="S1321" s="1"/>
  <c r="O1316"/>
  <c r="Q1316"/>
  <c r="S1316" s="1"/>
  <c r="O1311"/>
  <c r="Q1311"/>
  <c r="S1311" s="1"/>
  <c r="O1295"/>
  <c r="Q1295"/>
  <c r="S1295" s="1"/>
  <c r="O1263"/>
  <c r="Q1263"/>
  <c r="S1263" s="1"/>
  <c r="O1222"/>
  <c r="Q1222"/>
  <c r="S1222" s="1"/>
  <c r="O983"/>
  <c r="O979"/>
  <c r="Q979"/>
  <c r="S979" s="1"/>
  <c r="O975"/>
  <c r="Q975"/>
  <c r="S975" s="1"/>
  <c r="O898"/>
  <c r="Q898"/>
  <c r="S898" s="1"/>
  <c r="O894"/>
  <c r="Q894"/>
  <c r="S894" s="1"/>
  <c r="O817"/>
  <c r="Q817"/>
  <c r="S817" s="1"/>
  <c r="O801"/>
  <c r="Q801"/>
  <c r="S801" s="1"/>
  <c r="N1050"/>
  <c r="P1050" s="1"/>
  <c r="B1050" s="1"/>
  <c r="N1224"/>
  <c r="P1224" s="1"/>
  <c r="B1224" s="1"/>
  <c r="N1326"/>
  <c r="P1326" s="1"/>
  <c r="B1326" s="1"/>
  <c r="O1438"/>
  <c r="O1435"/>
  <c r="O1414"/>
  <c r="O1411"/>
  <c r="Q1170"/>
  <c r="Q1159"/>
  <c r="Q1145"/>
  <c r="S1145" s="1"/>
  <c r="O1119"/>
  <c r="O1114"/>
  <c r="O1110"/>
  <c r="O1049"/>
  <c r="Q987"/>
  <c r="Q968"/>
  <c r="O957"/>
  <c r="Q902"/>
  <c r="S902" s="1"/>
  <c r="O879"/>
  <c r="O840"/>
  <c r="Q809"/>
  <c r="Q761"/>
  <c r="Q753"/>
  <c r="Q745"/>
  <c r="Q741"/>
  <c r="O737"/>
  <c r="Q735"/>
  <c r="Q723"/>
  <c r="Q711"/>
  <c r="Q697"/>
  <c r="Q666"/>
  <c r="S666" s="1"/>
  <c r="O298"/>
  <c r="Q298"/>
  <c r="S298" s="1"/>
  <c r="O294"/>
  <c r="Q294"/>
  <c r="S294" s="1"/>
  <c r="O714" i="69"/>
  <c r="P714"/>
  <c r="Q788"/>
  <c r="B788"/>
  <c r="Q941"/>
  <c r="B941"/>
  <c r="Q603" i="67"/>
  <c r="Q454"/>
  <c r="Q418"/>
  <c r="Q414"/>
  <c r="Q406"/>
  <c r="Q378"/>
  <c r="Q370"/>
  <c r="Q359"/>
  <c r="Q355"/>
  <c r="Q326"/>
  <c r="Q290"/>
  <c r="Q286"/>
  <c r="Q282"/>
  <c r="Q278"/>
  <c r="Q274"/>
  <c r="Q270"/>
  <c r="O219"/>
  <c r="O217"/>
  <c r="O215"/>
  <c r="O213"/>
  <c r="Q167"/>
  <c r="Q151"/>
  <c r="Q128"/>
  <c r="Q104"/>
  <c r="Q25"/>
  <c r="Q11"/>
  <c r="O343" i="69"/>
  <c r="O407"/>
  <c r="O440"/>
  <c r="P455"/>
  <c r="B463"/>
  <c r="P543"/>
  <c r="O447" i="67"/>
  <c r="Q447"/>
  <c r="O89"/>
  <c r="Q89"/>
  <c r="Q971" i="69"/>
  <c r="B971"/>
  <c r="Q604" i="67"/>
  <c r="Q468"/>
  <c r="Q431"/>
  <c r="Q419"/>
  <c r="Q415"/>
  <c r="Q411"/>
  <c r="Q399"/>
  <c r="Q395"/>
  <c r="Q391"/>
  <c r="Q387"/>
  <c r="Q371"/>
  <c r="Q356"/>
  <c r="Q327"/>
  <c r="Q311"/>
  <c r="Q291"/>
  <c r="Q287"/>
  <c r="Q283"/>
  <c r="Q279"/>
  <c r="Q275"/>
  <c r="Q271"/>
  <c r="Q164"/>
  <c r="Q129"/>
  <c r="Q125"/>
  <c r="Q113"/>
  <c r="Q105"/>
  <c r="Q22"/>
  <c r="O59" i="69"/>
  <c r="O60"/>
  <c r="O159"/>
  <c r="O189"/>
  <c r="K289"/>
  <c r="O291"/>
  <c r="O292"/>
  <c r="O318"/>
  <c r="P402"/>
  <c r="P438"/>
  <c r="P492"/>
  <c r="O444" i="67"/>
  <c r="O420"/>
  <c r="Q420"/>
  <c r="S420" s="1"/>
  <c r="O396"/>
  <c r="Q396"/>
  <c r="S396" s="1"/>
  <c r="O349"/>
  <c r="Q349"/>
  <c r="S349" s="1"/>
  <c r="Q873" i="69"/>
  <c r="B873"/>
  <c r="Q1011"/>
  <c r="B1011"/>
  <c r="Q1013"/>
  <c r="B1013"/>
  <c r="Q1015"/>
  <c r="B1015"/>
  <c r="Q1017"/>
  <c r="B1017"/>
  <c r="Q1019"/>
  <c r="B1019"/>
  <c r="Q1021"/>
  <c r="B1021"/>
  <c r="Q1023"/>
  <c r="B1023"/>
  <c r="Q1025"/>
  <c r="B1025"/>
  <c r="Q1027"/>
  <c r="B1027"/>
  <c r="Q1029"/>
  <c r="B1029"/>
  <c r="Q1031"/>
  <c r="B1031"/>
  <c r="Q1033"/>
  <c r="B1033"/>
  <c r="Q1035"/>
  <c r="B1035"/>
  <c r="Q1037"/>
  <c r="B1037"/>
  <c r="Q1039"/>
  <c r="B1039"/>
  <c r="Q1041"/>
  <c r="B1041"/>
  <c r="Q1043"/>
  <c r="B1043"/>
  <c r="Q659" i="67"/>
  <c r="O627"/>
  <c r="O619"/>
  <c r="Q469"/>
  <c r="Q456"/>
  <c r="Q432"/>
  <c r="Q412"/>
  <c r="Q388"/>
  <c r="O381"/>
  <c r="O379"/>
  <c r="O345"/>
  <c r="Q292"/>
  <c r="Q288"/>
  <c r="Q284"/>
  <c r="Q280"/>
  <c r="Q276"/>
  <c r="Q272"/>
  <c r="Q268"/>
  <c r="O218"/>
  <c r="O216"/>
  <c r="O214"/>
  <c r="Q165"/>
  <c r="O137"/>
  <c r="Q130"/>
  <c r="Q126"/>
  <c r="Q106"/>
  <c r="O34"/>
  <c r="Q23"/>
  <c r="B524" i="69"/>
  <c r="B627"/>
  <c r="O655"/>
  <c r="Q980"/>
  <c r="B980"/>
  <c r="Q170" i="67"/>
  <c r="Q166"/>
  <c r="Q158"/>
  <c r="Q127"/>
  <c r="Q28"/>
  <c r="Q14"/>
  <c r="G279" i="69"/>
  <c r="O287"/>
  <c r="O288"/>
  <c r="I289"/>
  <c r="I291"/>
  <c r="O704"/>
  <c r="I809"/>
  <c r="P961"/>
  <c r="P962"/>
  <c r="Q993"/>
  <c r="P1134"/>
  <c r="P1138"/>
  <c r="P1175"/>
  <c r="P1179"/>
  <c r="P1183"/>
  <c r="P1187"/>
  <c r="P1191"/>
  <c r="P1195"/>
  <c r="P1199"/>
  <c r="P1203"/>
  <c r="P1207"/>
  <c r="P1211"/>
  <c r="P1215"/>
  <c r="P1219"/>
  <c r="O743"/>
  <c r="O880"/>
  <c r="O942"/>
  <c r="O1115"/>
  <c r="P1119"/>
  <c r="O1161"/>
  <c r="O1165"/>
  <c r="P1237"/>
  <c r="P1241"/>
  <c r="P1245"/>
  <c r="P1249"/>
  <c r="P1253"/>
  <c r="O1260"/>
  <c r="O1261"/>
  <c r="O1262"/>
  <c r="O1267"/>
  <c r="O1271"/>
  <c r="O1275"/>
  <c r="O1279"/>
  <c r="O1283"/>
  <c r="O1287"/>
  <c r="O1291"/>
  <c r="O1301"/>
  <c r="O1465" i="67"/>
  <c r="P1465"/>
  <c r="O1461"/>
  <c r="P1461"/>
  <c r="O1457"/>
  <c r="P1457"/>
  <c r="O1453"/>
  <c r="P1453"/>
  <c r="O1449"/>
  <c r="P1449"/>
  <c r="O1439"/>
  <c r="P1439"/>
  <c r="O1433"/>
  <c r="P1433"/>
  <c r="O1423"/>
  <c r="P1423"/>
  <c r="O1417"/>
  <c r="P1417"/>
  <c r="O1407"/>
  <c r="P1407"/>
  <c r="O1377"/>
  <c r="P1377"/>
  <c r="O1462"/>
  <c r="P1462"/>
  <c r="O1458"/>
  <c r="P1458"/>
  <c r="O1454"/>
  <c r="P1454"/>
  <c r="O1450"/>
  <c r="P1450"/>
  <c r="O1437"/>
  <c r="P1437"/>
  <c r="O1434"/>
  <c r="P1434"/>
  <c r="O1421"/>
  <c r="P1421"/>
  <c r="O1418"/>
  <c r="P1418"/>
  <c r="O1405"/>
  <c r="P1405"/>
  <c r="O1402"/>
  <c r="P1402"/>
  <c r="O1398"/>
  <c r="P1398"/>
  <c r="O1394"/>
  <c r="P1394"/>
  <c r="O1390"/>
  <c r="P1390"/>
  <c r="O1386"/>
  <c r="P1386"/>
  <c r="O1382"/>
  <c r="P1382"/>
  <c r="O1378"/>
  <c r="P1378"/>
  <c r="O1446"/>
  <c r="O1443"/>
  <c r="O1430"/>
  <c r="O1427"/>
  <c r="O1463"/>
  <c r="P1463"/>
  <c r="O1459"/>
  <c r="P1459"/>
  <c r="O1455"/>
  <c r="P1455"/>
  <c r="O1451"/>
  <c r="P1451"/>
  <c r="O1447"/>
  <c r="P1447"/>
  <c r="O1441"/>
  <c r="P1441"/>
  <c r="O1431"/>
  <c r="P1431"/>
  <c r="O1425"/>
  <c r="P1425"/>
  <c r="O1415"/>
  <c r="P1415"/>
  <c r="O1409"/>
  <c r="P1409"/>
  <c r="O1399"/>
  <c r="P1399"/>
  <c r="O1391"/>
  <c r="P1391"/>
  <c r="O1383"/>
  <c r="P1383"/>
  <c r="O1464"/>
  <c r="P1464"/>
  <c r="O1460"/>
  <c r="P1460"/>
  <c r="O1456"/>
  <c r="P1456"/>
  <c r="O1452"/>
  <c r="P1452"/>
  <c r="O1445"/>
  <c r="P1445"/>
  <c r="O1429"/>
  <c r="P1429"/>
  <c r="O1413"/>
  <c r="P1413"/>
  <c r="O1400"/>
  <c r="P1400"/>
  <c r="O1396"/>
  <c r="P1396"/>
  <c r="O1392"/>
  <c r="P1392"/>
  <c r="O1388"/>
  <c r="P1388"/>
  <c r="O1384"/>
  <c r="P1384"/>
  <c r="O1380"/>
  <c r="P1380"/>
  <c r="O1373"/>
  <c r="P1373"/>
  <c r="O1369"/>
  <c r="P1369"/>
  <c r="O1365"/>
  <c r="P1365"/>
  <c r="O1361"/>
  <c r="P1361"/>
  <c r="O1357"/>
  <c r="P1357"/>
  <c r="O1353"/>
  <c r="P1353"/>
  <c r="O1349"/>
  <c r="P1349"/>
  <c r="O1342"/>
  <c r="P1342"/>
  <c r="O1338"/>
  <c r="P1338"/>
  <c r="O1334"/>
  <c r="P1334"/>
  <c r="O1330"/>
  <c r="P1330"/>
  <c r="O1375"/>
  <c r="P1375"/>
  <c r="O1371"/>
  <c r="P1371"/>
  <c r="O1367"/>
  <c r="P1367"/>
  <c r="O1363"/>
  <c r="P1363"/>
  <c r="O1359"/>
  <c r="P1359"/>
  <c r="O1355"/>
  <c r="P1355"/>
  <c r="O1351"/>
  <c r="P1351"/>
  <c r="O1347"/>
  <c r="P1347"/>
  <c r="O1343"/>
  <c r="P1343"/>
  <c r="O1339"/>
  <c r="P1339"/>
  <c r="O1335"/>
  <c r="P1335"/>
  <c r="O1331"/>
  <c r="P1331"/>
  <c r="O1327"/>
  <c r="P1327"/>
  <c r="O1344"/>
  <c r="P1344"/>
  <c r="O1340"/>
  <c r="P1340"/>
  <c r="O1336"/>
  <c r="P1336"/>
  <c r="O1332"/>
  <c r="P1332"/>
  <c r="O1328"/>
  <c r="P1328"/>
  <c r="O1320"/>
  <c r="Q1320"/>
  <c r="S1320" s="1"/>
  <c r="O1315"/>
  <c r="Q1315"/>
  <c r="S1315" s="1"/>
  <c r="O1314"/>
  <c r="Q1314"/>
  <c r="S1314" s="1"/>
  <c r="O1313"/>
  <c r="Q1313"/>
  <c r="S1313" s="1"/>
  <c r="O1310"/>
  <c r="Q1310"/>
  <c r="S1310" s="1"/>
  <c r="O1308"/>
  <c r="Q1308"/>
  <c r="S1308" s="1"/>
  <c r="O1306"/>
  <c r="Q1306"/>
  <c r="S1306" s="1"/>
  <c r="O1304"/>
  <c r="Q1304"/>
  <c r="S1304" s="1"/>
  <c r="O1301"/>
  <c r="Q1301"/>
  <c r="S1301" s="1"/>
  <c r="O1290"/>
  <c r="Q1290"/>
  <c r="S1290" s="1"/>
  <c r="O1286"/>
  <c r="Q1286"/>
  <c r="S1286" s="1"/>
  <c r="O1282"/>
  <c r="Q1282"/>
  <c r="S1282" s="1"/>
  <c r="O1278"/>
  <c r="Q1278"/>
  <c r="S1278" s="1"/>
  <c r="O1274"/>
  <c r="Q1274"/>
  <c r="S1274" s="1"/>
  <c r="O1270"/>
  <c r="Q1270"/>
  <c r="S1270" s="1"/>
  <c r="O1266"/>
  <c r="Q1266"/>
  <c r="S1266" s="1"/>
  <c r="O1291"/>
  <c r="Q1291"/>
  <c r="S1291" s="1"/>
  <c r="O1287"/>
  <c r="Q1287"/>
  <c r="S1287" s="1"/>
  <c r="O1283"/>
  <c r="Q1283"/>
  <c r="S1283" s="1"/>
  <c r="O1279"/>
  <c r="Q1279"/>
  <c r="S1279" s="1"/>
  <c r="O1275"/>
  <c r="Q1275"/>
  <c r="S1275" s="1"/>
  <c r="O1271"/>
  <c r="Q1271"/>
  <c r="S1271" s="1"/>
  <c r="O1267"/>
  <c r="Q1267"/>
  <c r="S1267" s="1"/>
  <c r="O1292"/>
  <c r="Q1292"/>
  <c r="S1292" s="1"/>
  <c r="O1288"/>
  <c r="Q1288"/>
  <c r="S1288" s="1"/>
  <c r="O1284"/>
  <c r="Q1284"/>
  <c r="S1284" s="1"/>
  <c r="O1280"/>
  <c r="Q1280"/>
  <c r="S1280" s="1"/>
  <c r="O1276"/>
  <c r="Q1276"/>
  <c r="S1276" s="1"/>
  <c r="O1272"/>
  <c r="Q1272"/>
  <c r="S1272" s="1"/>
  <c r="O1268"/>
  <c r="Q1268"/>
  <c r="S1268" s="1"/>
  <c r="O1293"/>
  <c r="Q1293"/>
  <c r="S1293" s="1"/>
  <c r="O1289"/>
  <c r="Q1289"/>
  <c r="S1289" s="1"/>
  <c r="O1285"/>
  <c r="Q1285"/>
  <c r="S1285" s="1"/>
  <c r="O1281"/>
  <c r="Q1281"/>
  <c r="S1281" s="1"/>
  <c r="O1277"/>
  <c r="Q1277"/>
  <c r="S1277" s="1"/>
  <c r="O1273"/>
  <c r="Q1273"/>
  <c r="S1273" s="1"/>
  <c r="O1269"/>
  <c r="Q1269"/>
  <c r="S1269" s="1"/>
  <c r="O1265"/>
  <c r="Q1265"/>
  <c r="S1265" s="1"/>
  <c r="O1262"/>
  <c r="Q1262"/>
  <c r="S1262" s="1"/>
  <c r="O1258"/>
  <c r="Q1258"/>
  <c r="S1258" s="1"/>
  <c r="O1254"/>
  <c r="Q1254"/>
  <c r="S1254" s="1"/>
  <c r="O1250"/>
  <c r="Q1250"/>
  <c r="S1250" s="1"/>
  <c r="O1246"/>
  <c r="Q1246"/>
  <c r="S1246" s="1"/>
  <c r="O1242"/>
  <c r="Q1242"/>
  <c r="S1242" s="1"/>
  <c r="O1238"/>
  <c r="Q1238"/>
  <c r="S1238" s="1"/>
  <c r="O1234"/>
  <c r="Q1234"/>
  <c r="S1234" s="1"/>
  <c r="O1230"/>
  <c r="Q1230"/>
  <c r="S1230" s="1"/>
  <c r="O1259"/>
  <c r="Q1259"/>
  <c r="S1259" s="1"/>
  <c r="O1255"/>
  <c r="Q1255"/>
  <c r="S1255" s="1"/>
  <c r="O1251"/>
  <c r="Q1251"/>
  <c r="S1251" s="1"/>
  <c r="O1247"/>
  <c r="Q1247"/>
  <c r="S1247" s="1"/>
  <c r="O1243"/>
  <c r="Q1243"/>
  <c r="S1243" s="1"/>
  <c r="O1239"/>
  <c r="Q1239"/>
  <c r="S1239" s="1"/>
  <c r="O1235"/>
  <c r="Q1235"/>
  <c r="S1235" s="1"/>
  <c r="O1231"/>
  <c r="Q1231"/>
  <c r="S1231" s="1"/>
  <c r="O1260"/>
  <c r="Q1260"/>
  <c r="S1260" s="1"/>
  <c r="O1256"/>
  <c r="Q1256"/>
  <c r="S1256" s="1"/>
  <c r="O1252"/>
  <c r="Q1252"/>
  <c r="S1252" s="1"/>
  <c r="O1248"/>
  <c r="Q1248"/>
  <c r="S1248" s="1"/>
  <c r="O1244"/>
  <c r="Q1244"/>
  <c r="S1244" s="1"/>
  <c r="O1240"/>
  <c r="Q1240"/>
  <c r="S1240" s="1"/>
  <c r="O1236"/>
  <c r="Q1236"/>
  <c r="S1236" s="1"/>
  <c r="O1232"/>
  <c r="Q1232"/>
  <c r="S1232" s="1"/>
  <c r="O1228"/>
  <c r="Q1228"/>
  <c r="S1228" s="1"/>
  <c r="O1261"/>
  <c r="Q1261"/>
  <c r="S1261" s="1"/>
  <c r="O1257"/>
  <c r="Q1257"/>
  <c r="S1257" s="1"/>
  <c r="O1253"/>
  <c r="Q1253"/>
  <c r="S1253" s="1"/>
  <c r="O1249"/>
  <c r="Q1249"/>
  <c r="S1249" s="1"/>
  <c r="O1245"/>
  <c r="Q1245"/>
  <c r="S1245" s="1"/>
  <c r="O1241"/>
  <c r="Q1241"/>
  <c r="S1241" s="1"/>
  <c r="O1237"/>
  <c r="Q1237"/>
  <c r="S1237" s="1"/>
  <c r="O1233"/>
  <c r="Q1233"/>
  <c r="S1233" s="1"/>
  <c r="O1229"/>
  <c r="Q1229"/>
  <c r="S1229" s="1"/>
  <c r="O1220"/>
  <c r="Q1220"/>
  <c r="S1220" s="1"/>
  <c r="O1216"/>
  <c r="Q1216"/>
  <c r="S1216" s="1"/>
  <c r="O1212"/>
  <c r="Q1212"/>
  <c r="S1212" s="1"/>
  <c r="O1208"/>
  <c r="Q1208"/>
  <c r="S1208" s="1"/>
  <c r="O1204"/>
  <c r="Q1204"/>
  <c r="S1204" s="1"/>
  <c r="O1200"/>
  <c r="Q1200"/>
  <c r="S1200" s="1"/>
  <c r="O1196"/>
  <c r="Q1196"/>
  <c r="S1196" s="1"/>
  <c r="O1192"/>
  <c r="Q1192"/>
  <c r="S1192" s="1"/>
  <c r="O1188"/>
  <c r="Q1188"/>
  <c r="S1188" s="1"/>
  <c r="O1184"/>
  <c r="Q1184"/>
  <c r="S1184" s="1"/>
  <c r="O1180"/>
  <c r="Q1180"/>
  <c r="S1180" s="1"/>
  <c r="O1176"/>
  <c r="Q1176"/>
  <c r="S1176" s="1"/>
  <c r="O1173"/>
  <c r="O1168"/>
  <c r="O1166"/>
  <c r="O1164"/>
  <c r="O1162"/>
  <c r="O1160"/>
  <c r="O1221"/>
  <c r="Q1221"/>
  <c r="S1221" s="1"/>
  <c r="O1217"/>
  <c r="Q1217"/>
  <c r="S1217" s="1"/>
  <c r="O1213"/>
  <c r="Q1213"/>
  <c r="S1213" s="1"/>
  <c r="O1209"/>
  <c r="Q1209"/>
  <c r="S1209" s="1"/>
  <c r="O1205"/>
  <c r="Q1205"/>
  <c r="S1205" s="1"/>
  <c r="O1201"/>
  <c r="Q1201"/>
  <c r="S1201" s="1"/>
  <c r="O1197"/>
  <c r="Q1197"/>
  <c r="S1197" s="1"/>
  <c r="O1193"/>
  <c r="Q1193"/>
  <c r="S1193" s="1"/>
  <c r="O1189"/>
  <c r="Q1189"/>
  <c r="S1189" s="1"/>
  <c r="O1185"/>
  <c r="Q1185"/>
  <c r="S1185" s="1"/>
  <c r="O1181"/>
  <c r="Q1181"/>
  <c r="S1181" s="1"/>
  <c r="O1177"/>
  <c r="Q1177"/>
  <c r="S1177" s="1"/>
  <c r="O1218"/>
  <c r="Q1218"/>
  <c r="S1218" s="1"/>
  <c r="O1214"/>
  <c r="Q1214"/>
  <c r="S1214" s="1"/>
  <c r="O1210"/>
  <c r="Q1210"/>
  <c r="S1210" s="1"/>
  <c r="O1206"/>
  <c r="Q1206"/>
  <c r="S1206" s="1"/>
  <c r="O1202"/>
  <c r="Q1202"/>
  <c r="S1202" s="1"/>
  <c r="O1198"/>
  <c r="Q1198"/>
  <c r="S1198" s="1"/>
  <c r="O1194"/>
  <c r="Q1194"/>
  <c r="S1194" s="1"/>
  <c r="O1190"/>
  <c r="Q1190"/>
  <c r="S1190" s="1"/>
  <c r="O1186"/>
  <c r="Q1186"/>
  <c r="S1186" s="1"/>
  <c r="O1182"/>
  <c r="Q1182"/>
  <c r="S1182" s="1"/>
  <c r="O1178"/>
  <c r="Q1178"/>
  <c r="S1178" s="1"/>
  <c r="O1174"/>
  <c r="O1172"/>
  <c r="O1169"/>
  <c r="O1167"/>
  <c r="O1165"/>
  <c r="O1163"/>
  <c r="O1161"/>
  <c r="O1219"/>
  <c r="Q1219"/>
  <c r="S1219" s="1"/>
  <c r="O1215"/>
  <c r="Q1215"/>
  <c r="S1215" s="1"/>
  <c r="O1211"/>
  <c r="Q1211"/>
  <c r="S1211" s="1"/>
  <c r="O1207"/>
  <c r="Q1207"/>
  <c r="S1207" s="1"/>
  <c r="O1203"/>
  <c r="Q1203"/>
  <c r="S1203" s="1"/>
  <c r="O1199"/>
  <c r="Q1199"/>
  <c r="S1199" s="1"/>
  <c r="O1195"/>
  <c r="Q1195"/>
  <c r="S1195" s="1"/>
  <c r="O1191"/>
  <c r="Q1191"/>
  <c r="S1191" s="1"/>
  <c r="O1187"/>
  <c r="Q1187"/>
  <c r="S1187" s="1"/>
  <c r="O1183"/>
  <c r="Q1183"/>
  <c r="S1183" s="1"/>
  <c r="O1179"/>
  <c r="Q1179"/>
  <c r="S1179" s="1"/>
  <c r="O1156"/>
  <c r="O1154"/>
  <c r="O1157"/>
  <c r="O1155"/>
  <c r="O1153"/>
  <c r="O1152"/>
  <c r="O1150"/>
  <c r="O1148"/>
  <c r="O1147"/>
  <c r="O1146"/>
  <c r="O1141"/>
  <c r="O1139"/>
  <c r="O1137"/>
  <c r="O1142"/>
  <c r="O1140"/>
  <c r="O1138"/>
  <c r="O1136"/>
  <c r="O1135"/>
  <c r="O1132"/>
  <c r="O1131"/>
  <c r="O1130"/>
  <c r="O1129"/>
  <c r="O1128"/>
  <c r="O1127"/>
  <c r="O1126"/>
  <c r="O1125"/>
  <c r="O1124"/>
  <c r="O1123"/>
  <c r="O1122"/>
  <c r="O1121"/>
  <c r="O1120"/>
  <c r="O1113"/>
  <c r="O1111"/>
  <c r="O1107"/>
  <c r="O1102"/>
  <c r="O1098"/>
  <c r="O1099"/>
  <c r="O1097"/>
  <c r="O1091"/>
  <c r="Q1091"/>
  <c r="S1091" s="1"/>
  <c r="O1092"/>
  <c r="Q1092"/>
  <c r="S1092" s="1"/>
  <c r="O1088"/>
  <c r="Q1088"/>
  <c r="S1088" s="1"/>
  <c r="O1085"/>
  <c r="O1083"/>
  <c r="O1081"/>
  <c r="O1079"/>
  <c r="O1077"/>
  <c r="O1075"/>
  <c r="O1073"/>
  <c r="O1071"/>
  <c r="O1069"/>
  <c r="O1067"/>
  <c r="O1065"/>
  <c r="O1063"/>
  <c r="O1061"/>
  <c r="O1059"/>
  <c r="O1057"/>
  <c r="O1055"/>
  <c r="O1089"/>
  <c r="Q1089"/>
  <c r="S1089" s="1"/>
  <c r="O1090"/>
  <c r="Q1090"/>
  <c r="S1090" s="1"/>
  <c r="O1086"/>
  <c r="O1084"/>
  <c r="O1082"/>
  <c r="O1080"/>
  <c r="O1078"/>
  <c r="O1076"/>
  <c r="O1074"/>
  <c r="O1072"/>
  <c r="O1070"/>
  <c r="O1068"/>
  <c r="O1066"/>
  <c r="O1064"/>
  <c r="O1062"/>
  <c r="O1060"/>
  <c r="O1058"/>
  <c r="O1056"/>
  <c r="O1054"/>
  <c r="O1052"/>
  <c r="O1048"/>
  <c r="O1046"/>
  <c r="O1044"/>
  <c r="O1042"/>
  <c r="O1040"/>
  <c r="O1038"/>
  <c r="O1036"/>
  <c r="O1034"/>
  <c r="O1032"/>
  <c r="O1030"/>
  <c r="O1028"/>
  <c r="O1026"/>
  <c r="O1024"/>
  <c r="O1022"/>
  <c r="O1020"/>
  <c r="O1047"/>
  <c r="O1045"/>
  <c r="O1043"/>
  <c r="O1041"/>
  <c r="O1039"/>
  <c r="O1037"/>
  <c r="O1035"/>
  <c r="O1033"/>
  <c r="O1031"/>
  <c r="O1029"/>
  <c r="O1027"/>
  <c r="O1025"/>
  <c r="O1023"/>
  <c r="O1021"/>
  <c r="O1019"/>
  <c r="O1018"/>
  <c r="O1016"/>
  <c r="O1014"/>
  <c r="O1012"/>
  <c r="O1017"/>
  <c r="O1015"/>
  <c r="O1013"/>
  <c r="O1008"/>
  <c r="O1005"/>
  <c r="O1003"/>
  <c r="O1001"/>
  <c r="O999"/>
  <c r="O997"/>
  <c r="O1006"/>
  <c r="O1004"/>
  <c r="O1002"/>
  <c r="O1000"/>
  <c r="O998"/>
  <c r="O996"/>
  <c r="O994"/>
  <c r="O990"/>
  <c r="O988"/>
  <c r="P704" i="27"/>
  <c r="R704" s="1"/>
  <c r="R713" s="1"/>
  <c r="R715" s="1"/>
  <c r="I2165"/>
  <c r="K2165" s="1"/>
  <c r="K2175" s="1"/>
  <c r="K2178" s="1"/>
  <c r="K2211" s="1"/>
  <c r="P689"/>
  <c r="R689" s="1"/>
  <c r="R698" s="1"/>
  <c r="R700" s="1"/>
  <c r="P720"/>
  <c r="R720" s="1"/>
  <c r="R729" s="1"/>
  <c r="R731" s="1"/>
  <c r="P50"/>
  <c r="R50" s="1"/>
  <c r="R57" s="1"/>
  <c r="R60" s="1"/>
  <c r="O973" i="67"/>
  <c r="Q973"/>
  <c r="S973" s="1"/>
  <c r="O962"/>
  <c r="O945"/>
  <c r="Q945"/>
  <c r="S945" s="1"/>
  <c r="O941"/>
  <c r="Q941"/>
  <c r="S941" s="1"/>
  <c r="O937"/>
  <c r="Q937"/>
  <c r="S937" s="1"/>
  <c r="O933"/>
  <c r="Q933"/>
  <c r="S933" s="1"/>
  <c r="O942"/>
  <c r="Q942"/>
  <c r="S942" s="1"/>
  <c r="O938"/>
  <c r="Q938"/>
  <c r="S938" s="1"/>
  <c r="O934"/>
  <c r="Q934"/>
  <c r="S934" s="1"/>
  <c r="O943"/>
  <c r="Q943"/>
  <c r="S943" s="1"/>
  <c r="O939"/>
  <c r="Q939"/>
  <c r="S939" s="1"/>
  <c r="O935"/>
  <c r="Q935"/>
  <c r="S935" s="1"/>
  <c r="O931"/>
  <c r="Q931"/>
  <c r="S931" s="1"/>
  <c r="O959"/>
  <c r="Q959"/>
  <c r="S959" s="1"/>
  <c r="O944"/>
  <c r="Q944"/>
  <c r="S944" s="1"/>
  <c r="O940"/>
  <c r="Q940"/>
  <c r="S940" s="1"/>
  <c r="O936"/>
  <c r="Q936"/>
  <c r="S936" s="1"/>
  <c r="O924"/>
  <c r="Q924"/>
  <c r="S924" s="1"/>
  <c r="O911"/>
  <c r="Q911"/>
  <c r="S911" s="1"/>
  <c r="O905"/>
  <c r="O882"/>
  <c r="O880"/>
  <c r="O868"/>
  <c r="Q868"/>
  <c r="S868" s="1"/>
  <c r="O852"/>
  <c r="Q852"/>
  <c r="S852" s="1"/>
  <c r="O871"/>
  <c r="O857"/>
  <c r="Q857"/>
  <c r="S857" s="1"/>
  <c r="O862"/>
  <c r="Q862"/>
  <c r="S862" s="1"/>
  <c r="O839"/>
  <c r="O837"/>
  <c r="Q837"/>
  <c r="S837" s="1"/>
  <c r="O832"/>
  <c r="Q832"/>
  <c r="S832" s="1"/>
  <c r="O828"/>
  <c r="Q828"/>
  <c r="S828" s="1"/>
  <c r="O824"/>
  <c r="Q824"/>
  <c r="S824" s="1"/>
  <c r="O833"/>
  <c r="Q833"/>
  <c r="S833" s="1"/>
  <c r="O829"/>
  <c r="Q829"/>
  <c r="S829" s="1"/>
  <c r="O825"/>
  <c r="Q825"/>
  <c r="S825" s="1"/>
  <c r="O834"/>
  <c r="Q834"/>
  <c r="S834" s="1"/>
  <c r="O830"/>
  <c r="Q830"/>
  <c r="S830" s="1"/>
  <c r="O826"/>
  <c r="Q826"/>
  <c r="S826" s="1"/>
  <c r="O831"/>
  <c r="Q831"/>
  <c r="S831" s="1"/>
  <c r="O827"/>
  <c r="Q827"/>
  <c r="S827" s="1"/>
  <c r="O820"/>
  <c r="Q820"/>
  <c r="S820" s="1"/>
  <c r="O821"/>
  <c r="Q821"/>
  <c r="S821" s="1"/>
  <c r="O818"/>
  <c r="Q818"/>
  <c r="S818" s="1"/>
  <c r="O816"/>
  <c r="Q816"/>
  <c r="S816" s="1"/>
  <c r="O812"/>
  <c r="Q812"/>
  <c r="S812" s="1"/>
  <c r="O813"/>
  <c r="Q813"/>
  <c r="S813" s="1"/>
  <c r="O814"/>
  <c r="Q814"/>
  <c r="S814" s="1"/>
  <c r="O815"/>
  <c r="Q815"/>
  <c r="S815" s="1"/>
  <c r="O800"/>
  <c r="Q800"/>
  <c r="S800" s="1"/>
  <c r="O795"/>
  <c r="Q795"/>
  <c r="S795" s="1"/>
  <c r="O791"/>
  <c r="Q791"/>
  <c r="S791" s="1"/>
  <c r="O787"/>
  <c r="Q787"/>
  <c r="S787" s="1"/>
  <c r="O783"/>
  <c r="Q783"/>
  <c r="S783" s="1"/>
  <c r="O796"/>
  <c r="Q796"/>
  <c r="S796" s="1"/>
  <c r="O792"/>
  <c r="Q792"/>
  <c r="S792" s="1"/>
  <c r="O788"/>
  <c r="Q788"/>
  <c r="S788" s="1"/>
  <c r="O784"/>
  <c r="Q784"/>
  <c r="S784" s="1"/>
  <c r="O797"/>
  <c r="Q797"/>
  <c r="S797" s="1"/>
  <c r="O793"/>
  <c r="Q793"/>
  <c r="S793" s="1"/>
  <c r="O789"/>
  <c r="Q789"/>
  <c r="S789" s="1"/>
  <c r="O785"/>
  <c r="Q785"/>
  <c r="S785" s="1"/>
  <c r="O781"/>
  <c r="Q781"/>
  <c r="S781" s="1"/>
  <c r="O773"/>
  <c r="O794"/>
  <c r="Q794"/>
  <c r="S794" s="1"/>
  <c r="O790"/>
  <c r="Q790"/>
  <c r="S790" s="1"/>
  <c r="O786"/>
  <c r="Q786"/>
  <c r="S786" s="1"/>
  <c r="O782"/>
  <c r="Q782"/>
  <c r="S782" s="1"/>
  <c r="O755"/>
  <c r="Q755"/>
  <c r="S755" s="1"/>
  <c r="O730"/>
  <c r="Q730"/>
  <c r="S730" s="1"/>
  <c r="O732"/>
  <c r="Q732"/>
  <c r="S732" s="1"/>
  <c r="O725"/>
  <c r="Q725"/>
  <c r="S725" s="1"/>
  <c r="O714"/>
  <c r="O709"/>
  <c r="O687"/>
  <c r="Q687"/>
  <c r="S687" s="1"/>
  <c r="O675"/>
  <c r="O669"/>
  <c r="O681"/>
  <c r="Q681"/>
  <c r="S681" s="1"/>
  <c r="O667"/>
  <c r="Q667"/>
  <c r="S667" s="1"/>
  <c r="O665"/>
  <c r="Q665"/>
  <c r="S665" s="1"/>
  <c r="O644"/>
  <c r="Q644"/>
  <c r="S644" s="1"/>
  <c r="O662"/>
  <c r="O660"/>
  <c r="O645"/>
  <c r="Q645"/>
  <c r="S645" s="1"/>
  <c r="O641"/>
  <c r="O663"/>
  <c r="O661"/>
  <c r="O634"/>
  <c r="Q634"/>
  <c r="S634" s="1"/>
  <c r="O637"/>
  <c r="O632"/>
  <c r="Q632"/>
  <c r="S632" s="1"/>
  <c r="O537"/>
  <c r="Q537"/>
  <c r="S537" s="1"/>
  <c r="O584"/>
  <c r="Q584"/>
  <c r="S584" s="1"/>
  <c r="O550"/>
  <c r="Q550"/>
  <c r="S550" s="1"/>
  <c r="O530"/>
  <c r="Q530"/>
  <c r="S530" s="1"/>
  <c r="O577"/>
  <c r="Q577"/>
  <c r="S577" s="1"/>
  <c r="O605"/>
  <c r="Q605"/>
  <c r="S605" s="1"/>
  <c r="O524"/>
  <c r="Q524"/>
  <c r="S524" s="1"/>
  <c r="O505"/>
  <c r="Q505"/>
  <c r="S505" s="1"/>
  <c r="O508"/>
  <c r="O484"/>
  <c r="O478"/>
  <c r="Q478"/>
  <c r="S478" s="1"/>
  <c r="O477"/>
  <c r="Q477"/>
  <c r="S477" s="1"/>
  <c r="O471"/>
  <c r="Q471"/>
  <c r="S471" s="1"/>
  <c r="O472"/>
  <c r="Q472"/>
  <c r="S472" s="1"/>
  <c r="O467"/>
  <c r="Q467"/>
  <c r="S467" s="1"/>
  <c r="O463"/>
  <c r="Q463"/>
  <c r="S463" s="1"/>
  <c r="O458"/>
  <c r="Q458"/>
  <c r="S458" s="1"/>
  <c r="O455"/>
  <c r="Q455"/>
  <c r="S455" s="1"/>
  <c r="O448"/>
  <c r="Q448"/>
  <c r="S448" s="1"/>
  <c r="O440"/>
  <c r="O438"/>
  <c r="O439"/>
  <c r="O430"/>
  <c r="Q430"/>
  <c r="S430" s="1"/>
  <c r="O416"/>
  <c r="O413"/>
  <c r="Q413"/>
  <c r="S413" s="1"/>
  <c r="O410"/>
  <c r="O407"/>
  <c r="Q407"/>
  <c r="S407" s="1"/>
  <c r="O405"/>
  <c r="O402"/>
  <c r="O403"/>
  <c r="O400"/>
  <c r="Q400"/>
  <c r="S400" s="1"/>
  <c r="O385"/>
  <c r="O382"/>
  <c r="O373"/>
  <c r="O363"/>
  <c r="Q363"/>
  <c r="S363" s="1"/>
  <c r="O360"/>
  <c r="Q360"/>
  <c r="S360" s="1"/>
  <c r="O354"/>
  <c r="Q354"/>
  <c r="S354" s="1"/>
  <c r="O343"/>
  <c r="O336"/>
  <c r="O332"/>
  <c r="O331"/>
  <c r="O318"/>
  <c r="Q318"/>
  <c r="S318" s="1"/>
  <c r="O313"/>
  <c r="Q313"/>
  <c r="S313" s="1"/>
  <c r="O309"/>
  <c r="Q309"/>
  <c r="S309" s="1"/>
  <c r="O305"/>
  <c r="Q305"/>
  <c r="S305" s="1"/>
  <c r="O303"/>
  <c r="O308"/>
  <c r="Q308"/>
  <c r="S308" s="1"/>
  <c r="O248"/>
  <c r="O234"/>
  <c r="O235"/>
  <c r="O231"/>
  <c r="O229"/>
  <c r="O227"/>
  <c r="O225"/>
  <c r="O206"/>
  <c r="O204"/>
  <c r="O202"/>
  <c r="O200"/>
  <c r="O198"/>
  <c r="O196"/>
  <c r="O230"/>
  <c r="O228"/>
  <c r="O226"/>
  <c r="O207"/>
  <c r="O205"/>
  <c r="O203"/>
  <c r="O201"/>
  <c r="O199"/>
  <c r="O197"/>
  <c r="O195"/>
  <c r="O173"/>
  <c r="O163"/>
  <c r="O171"/>
  <c r="O161"/>
  <c r="O159"/>
  <c r="O116"/>
  <c r="Q116"/>
  <c r="O83"/>
  <c r="Q83"/>
  <c r="O63"/>
  <c r="O59"/>
  <c r="Q59"/>
  <c r="O60"/>
  <c r="Q60"/>
  <c r="O56"/>
  <c r="O57"/>
  <c r="O36"/>
  <c r="Q36"/>
  <c r="O30"/>
  <c r="Q30"/>
  <c r="O10"/>
  <c r="O1227"/>
  <c r="O1322"/>
  <c r="O1226"/>
  <c r="O1300"/>
  <c r="O1299"/>
  <c r="O1309"/>
  <c r="O1223"/>
  <c r="O1307"/>
  <c r="O1324"/>
  <c r="M1226"/>
  <c r="R1226" s="1"/>
  <c r="M1299"/>
  <c r="R1299" s="1"/>
  <c r="M1307"/>
  <c r="R1307" s="1"/>
  <c r="M1322"/>
  <c r="R1322" s="1"/>
  <c r="S1322" s="1"/>
  <c r="M1223"/>
  <c r="R1223" s="1"/>
  <c r="M1227"/>
  <c r="R1227" s="1"/>
  <c r="M1300"/>
  <c r="R1300" s="1"/>
  <c r="M1309"/>
  <c r="R1309" s="1"/>
  <c r="M1324"/>
  <c r="R1324" s="1"/>
  <c r="O704"/>
  <c r="O1442"/>
  <c r="O1426"/>
  <c r="O1410"/>
  <c r="O1401"/>
  <c r="O1395"/>
  <c r="O1393"/>
  <c r="O1387"/>
  <c r="O1385"/>
  <c r="O1379"/>
  <c r="O1376"/>
  <c r="O1374"/>
  <c r="O1368"/>
  <c r="O1366"/>
  <c r="O1360"/>
  <c r="O1358"/>
  <c r="O1352"/>
  <c r="O1350"/>
  <c r="O1397"/>
  <c r="O1389"/>
  <c r="O1381"/>
  <c r="O1372"/>
  <c r="O1370"/>
  <c r="O1364"/>
  <c r="O1362"/>
  <c r="O1356"/>
  <c r="O1354"/>
  <c r="O1348"/>
  <c r="O1346"/>
  <c r="O1448"/>
  <c r="O1444"/>
  <c r="O1440"/>
  <c r="O1436"/>
  <c r="O1432"/>
  <c r="O1428"/>
  <c r="O1424"/>
  <c r="O1420"/>
  <c r="O1416"/>
  <c r="O1412"/>
  <c r="O1408"/>
  <c r="O1404"/>
  <c r="O1345"/>
  <c r="O1341"/>
  <c r="O1337"/>
  <c r="O1333"/>
  <c r="O1329"/>
  <c r="F740" i="69"/>
  <c r="F740" i="67"/>
  <c r="G740" s="1"/>
  <c r="R740" s="1"/>
  <c r="Q817" i="69"/>
  <c r="B817"/>
  <c r="F765"/>
  <c r="Q279"/>
  <c r="Q447"/>
  <c r="I1309" i="68"/>
  <c r="F883" i="67" s="1"/>
  <c r="G284" i="69"/>
  <c r="Q370"/>
  <c r="F280"/>
  <c r="I883" i="68"/>
  <c r="I884" s="1"/>
  <c r="F296" i="67" s="1"/>
  <c r="F369" i="69"/>
  <c r="F369" i="67"/>
  <c r="G369" s="1"/>
  <c r="R369" s="1"/>
  <c r="Q284" i="69"/>
  <c r="B284"/>
  <c r="B961"/>
  <c r="Q961"/>
  <c r="Q960"/>
  <c r="G969"/>
  <c r="B291"/>
  <c r="B273"/>
  <c r="B977"/>
  <c r="Q283"/>
  <c r="Q269"/>
  <c r="B327"/>
  <c r="B798"/>
  <c r="I2702" i="68"/>
  <c r="I2703" s="1"/>
  <c r="I879"/>
  <c r="D1552" i="67"/>
  <c r="G1552" s="1"/>
  <c r="D1551" i="69"/>
  <c r="G1551" s="1"/>
  <c r="P413" i="1"/>
  <c r="R413" s="1"/>
  <c r="F384" i="67"/>
  <c r="G384" s="1"/>
  <c r="R384" s="1"/>
  <c r="F384" i="69"/>
  <c r="F152" i="32"/>
  <c r="O326" i="67"/>
  <c r="K326"/>
  <c r="E226" i="32"/>
  <c r="F226" s="1"/>
  <c r="E269"/>
  <c r="F269" s="1"/>
  <c r="F273" s="1"/>
  <c r="F190"/>
  <c r="F192" s="1"/>
  <c r="E228"/>
  <c r="F228" s="1"/>
  <c r="B893" i="69"/>
  <c r="Q893"/>
  <c r="I154" i="1"/>
  <c r="K154" s="1"/>
  <c r="I1752"/>
  <c r="K1752" s="1"/>
  <c r="I184"/>
  <c r="K184" s="1"/>
  <c r="K189" s="1"/>
  <c r="K746" i="67"/>
  <c r="O746"/>
  <c r="M746"/>
  <c r="K429" i="69"/>
  <c r="Q429"/>
  <c r="M429"/>
  <c r="G429"/>
  <c r="D474" i="67"/>
  <c r="I474" s="1"/>
  <c r="D474" i="69"/>
  <c r="F628" i="67"/>
  <c r="F628" i="69"/>
  <c r="K900" i="68"/>
  <c r="I897"/>
  <c r="I900" s="1"/>
  <c r="O713" i="67"/>
  <c r="Q823" i="69"/>
  <c r="B823"/>
  <c r="Q287"/>
  <c r="B287"/>
  <c r="Q271"/>
  <c r="B271"/>
  <c r="Q974"/>
  <c r="B974"/>
  <c r="AE388" i="1"/>
  <c r="AE335"/>
  <c r="AG335" s="1"/>
  <c r="AE364"/>
  <c r="AG364" s="1"/>
  <c r="K698" i="67"/>
  <c r="K761"/>
  <c r="O761"/>
  <c r="M761"/>
  <c r="K547" i="11"/>
  <c r="K548" s="1"/>
  <c r="K516"/>
  <c r="K517" s="1"/>
  <c r="I355" i="1"/>
  <c r="K355" s="1"/>
  <c r="I311"/>
  <c r="K311" s="1"/>
  <c r="I410"/>
  <c r="K410" s="1"/>
  <c r="I335"/>
  <c r="K335" s="1"/>
  <c r="I379"/>
  <c r="K379" s="1"/>
  <c r="P1321" i="69"/>
  <c r="O1321"/>
  <c r="O1306"/>
  <c r="P1306"/>
  <c r="B723"/>
  <c r="C85" i="1"/>
  <c r="I1322"/>
  <c r="K1322" s="1"/>
  <c r="K1328" s="1"/>
  <c r="K1330" s="1"/>
  <c r="K3447" i="27"/>
  <c r="I3487"/>
  <c r="K3487" s="1"/>
  <c r="O454" i="67"/>
  <c r="K454"/>
  <c r="P383" i="69"/>
  <c r="G383"/>
  <c r="O1150"/>
  <c r="P1150"/>
  <c r="P704"/>
  <c r="G704"/>
  <c r="M355"/>
  <c r="Q355"/>
  <c r="G355"/>
  <c r="O355"/>
  <c r="I3387" i="1"/>
  <c r="I3477" s="1"/>
  <c r="K3477" s="1"/>
  <c r="I1127"/>
  <c r="K1127" s="1"/>
  <c r="I1053"/>
  <c r="I1015"/>
  <c r="K1015" s="1"/>
  <c r="I921"/>
  <c r="K921" s="1"/>
  <c r="K923" s="1"/>
  <c r="I985"/>
  <c r="K985" s="1"/>
  <c r="I950"/>
  <c r="K950" s="1"/>
  <c r="P1050" i="69"/>
  <c r="O1050"/>
  <c r="Q434"/>
  <c r="B434"/>
  <c r="C81" i="1"/>
  <c r="C165"/>
  <c r="I359" i="69"/>
  <c r="M359"/>
  <c r="M399" i="67"/>
  <c r="K456"/>
  <c r="Q799" i="69"/>
  <c r="B799"/>
  <c r="Q724"/>
  <c r="B724"/>
  <c r="M398" i="67"/>
  <c r="K746" i="69"/>
  <c r="Q746"/>
  <c r="K747"/>
  <c r="I747"/>
  <c r="B622"/>
  <c r="Q822"/>
  <c r="B822"/>
  <c r="X379" i="1"/>
  <c r="V410"/>
  <c r="X410" s="1"/>
  <c r="G968" i="69"/>
  <c r="P968"/>
  <c r="O992"/>
  <c r="P992"/>
  <c r="M753" i="11"/>
  <c r="K753"/>
  <c r="B1226" i="69"/>
  <c r="B1325"/>
  <c r="V3250" i="1"/>
  <c r="X3250" s="1"/>
  <c r="P719"/>
  <c r="R719" s="1"/>
  <c r="R728" s="1"/>
  <c r="R730" s="1"/>
  <c r="P750"/>
  <c r="R750" s="1"/>
  <c r="R759" s="1"/>
  <c r="R761" s="1"/>
  <c r="P1046"/>
  <c r="K3200" i="27"/>
  <c r="K3201" s="1"/>
  <c r="K3896"/>
  <c r="K3831"/>
  <c r="L3135"/>
  <c r="K2192"/>
  <c r="V311" i="1"/>
  <c r="X311" s="1"/>
  <c r="V355"/>
  <c r="X355" s="1"/>
  <c r="K3924" i="27"/>
  <c r="I3938" s="1"/>
  <c r="K3938" s="1"/>
  <c r="D100" i="25"/>
  <c r="F72"/>
  <c r="C67" i="1"/>
  <c r="I2296"/>
  <c r="I3461"/>
  <c r="P1379"/>
  <c r="R1379" s="1"/>
  <c r="I3146"/>
  <c r="I2813"/>
  <c r="I3318"/>
  <c r="K3318" s="1"/>
  <c r="P3188"/>
  <c r="I2633"/>
  <c r="I3424" i="27"/>
  <c r="K3405"/>
  <c r="K3319"/>
  <c r="K2873"/>
  <c r="D723" i="69"/>
  <c r="Q723" s="1"/>
  <c r="F554" i="25"/>
  <c r="I3572" i="27"/>
  <c r="K3572" s="1"/>
  <c r="I3570"/>
  <c r="K3570" s="1"/>
  <c r="P3506"/>
  <c r="R3506" s="1"/>
  <c r="P3505"/>
  <c r="R3505" s="1"/>
  <c r="P3504"/>
  <c r="R3504" s="1"/>
  <c r="P3503"/>
  <c r="R3503" s="1"/>
  <c r="P2849"/>
  <c r="O283" i="69"/>
  <c r="N1299"/>
  <c r="I3267" i="27"/>
  <c r="P2872"/>
  <c r="R2872" s="1"/>
  <c r="P2870"/>
  <c r="R2870" s="1"/>
  <c r="I2760"/>
  <c r="K2760" s="1"/>
  <c r="I2759"/>
  <c r="K2759" s="1"/>
  <c r="I2758"/>
  <c r="K2758" s="1"/>
  <c r="O287" i="67"/>
  <c r="I126" i="69"/>
  <c r="M166"/>
  <c r="I269"/>
  <c r="I271"/>
  <c r="I275"/>
  <c r="I277"/>
  <c r="K281"/>
  <c r="K283"/>
  <c r="I327"/>
  <c r="M387"/>
  <c r="M434"/>
  <c r="M575"/>
  <c r="G591"/>
  <c r="G958"/>
  <c r="G1086"/>
  <c r="N1323"/>
  <c r="Z32" i="1"/>
  <c r="D585" i="25"/>
  <c r="O273" i="69"/>
  <c r="O279"/>
  <c r="O281"/>
  <c r="O575"/>
  <c r="K273"/>
  <c r="K279"/>
  <c r="K327"/>
  <c r="K743"/>
  <c r="I974" i="27"/>
  <c r="K974" s="1"/>
  <c r="I910"/>
  <c r="I1011"/>
  <c r="I881"/>
  <c r="K881" s="1"/>
  <c r="K883" s="1"/>
  <c r="I1083"/>
  <c r="I2260" s="1"/>
  <c r="I2662" s="1"/>
  <c r="K2662" s="1"/>
  <c r="I945"/>
  <c r="K945" s="1"/>
  <c r="P209"/>
  <c r="R209" s="1"/>
  <c r="I1235"/>
  <c r="K1235" s="1"/>
  <c r="K1242" s="1"/>
  <c r="K1244" s="1"/>
  <c r="I1575"/>
  <c r="K1575" s="1"/>
  <c r="K1582" s="1"/>
  <c r="K1584" s="1"/>
  <c r="I495"/>
  <c r="K495" s="1"/>
  <c r="K503" s="1"/>
  <c r="K505" s="1"/>
  <c r="C82"/>
  <c r="I1253" s="1"/>
  <c r="K1253" s="1"/>
  <c r="K1260" s="1"/>
  <c r="K1262" s="1"/>
  <c r="I1909" s="1"/>
  <c r="K1909" s="1"/>
  <c r="K1920" s="1"/>
  <c r="I224"/>
  <c r="K224" s="1"/>
  <c r="K231" s="1"/>
  <c r="K233" s="1"/>
  <c r="C165"/>
  <c r="I310"/>
  <c r="K310" s="1"/>
  <c r="K318" s="1"/>
  <c r="K320" s="1"/>
  <c r="I378"/>
  <c r="K378" s="1"/>
  <c r="K386" s="1"/>
  <c r="K388" s="1"/>
  <c r="I393" s="1"/>
  <c r="K393" s="1"/>
  <c r="K397" s="1"/>
  <c r="K399" s="1"/>
  <c r="K401" s="1"/>
  <c r="K402" s="1"/>
  <c r="K403" s="1"/>
  <c r="K404" s="1"/>
  <c r="K405" s="1"/>
  <c r="I354"/>
  <c r="K354" s="1"/>
  <c r="K362" s="1"/>
  <c r="K364" s="1"/>
  <c r="K366" s="1"/>
  <c r="I409"/>
  <c r="K409" s="1"/>
  <c r="K417" s="1"/>
  <c r="K419" s="1"/>
  <c r="I334"/>
  <c r="K334" s="1"/>
  <c r="K342" s="1"/>
  <c r="K344" s="1"/>
  <c r="K346" s="1"/>
  <c r="K347" s="1"/>
  <c r="K348" s="1"/>
  <c r="K349" s="1"/>
  <c r="K350" s="1"/>
  <c r="F16" i="25"/>
  <c r="F18" s="1"/>
  <c r="K2260" i="27"/>
  <c r="I1913"/>
  <c r="K1913" s="1"/>
  <c r="P588"/>
  <c r="R588" s="1"/>
  <c r="P574"/>
  <c r="R574" s="1"/>
  <c r="I1893"/>
  <c r="K1893" s="1"/>
  <c r="K1899" s="1"/>
  <c r="P601"/>
  <c r="R601" s="1"/>
  <c r="R612" s="1"/>
  <c r="I2028"/>
  <c r="K2028" s="1"/>
  <c r="K2034" s="1"/>
  <c r="P144"/>
  <c r="R144" s="1"/>
  <c r="R196" s="1"/>
  <c r="R198" s="1"/>
  <c r="R201" s="1"/>
  <c r="R202" s="1"/>
  <c r="R203" s="1"/>
  <c r="R204" s="1"/>
  <c r="P79"/>
  <c r="R79" s="1"/>
  <c r="R87" s="1"/>
  <c r="R89" s="1"/>
  <c r="I946"/>
  <c r="K946" s="1"/>
  <c r="I975"/>
  <c r="K975" s="1"/>
  <c r="I1084"/>
  <c r="I1029"/>
  <c r="K1029" s="1"/>
  <c r="K1037" s="1"/>
  <c r="K1039" s="1"/>
  <c r="I1012"/>
  <c r="P210"/>
  <c r="R210" s="1"/>
  <c r="I888"/>
  <c r="K888" s="1"/>
  <c r="K890" s="1"/>
  <c r="I1044"/>
  <c r="K1044" s="1"/>
  <c r="K1052" s="1"/>
  <c r="K1054" s="1"/>
  <c r="I1059"/>
  <c r="K1059" s="1"/>
  <c r="K1066" s="1"/>
  <c r="K1068" s="1"/>
  <c r="I911"/>
  <c r="P635"/>
  <c r="R635" s="1"/>
  <c r="K467"/>
  <c r="K468" s="1"/>
  <c r="K469" s="1"/>
  <c r="K470" s="1"/>
  <c r="P23"/>
  <c r="R23" s="1"/>
  <c r="I1254"/>
  <c r="K1254" s="1"/>
  <c r="P9"/>
  <c r="R9" s="1"/>
  <c r="R14" s="1"/>
  <c r="C79"/>
  <c r="I2617"/>
  <c r="K2617" s="1"/>
  <c r="I254"/>
  <c r="K254" s="1"/>
  <c r="K858" i="11"/>
  <c r="K861" s="1"/>
  <c r="K864" s="1"/>
  <c r="M857"/>
  <c r="L859"/>
  <c r="I976" i="27"/>
  <c r="K976" s="1"/>
  <c r="I947"/>
  <c r="K947" s="1"/>
  <c r="I912"/>
  <c r="I1421"/>
  <c r="K1421" s="1"/>
  <c r="K1427" s="1"/>
  <c r="K1429" s="1"/>
  <c r="P389"/>
  <c r="R389" s="1"/>
  <c r="R395" s="1"/>
  <c r="R397" s="1"/>
  <c r="P375"/>
  <c r="R375" s="1"/>
  <c r="R381" s="1"/>
  <c r="R383" s="1"/>
  <c r="P412" s="1"/>
  <c r="R412" s="1"/>
  <c r="I2683"/>
  <c r="K2683" s="1"/>
  <c r="C78"/>
  <c r="K1083"/>
  <c r="D874" i="69" l="1"/>
  <c r="D874" i="67"/>
  <c r="P403" i="1"/>
  <c r="R403" s="1"/>
  <c r="P402"/>
  <c r="R402" s="1"/>
  <c r="D1554" i="67"/>
  <c r="G1554" s="1"/>
  <c r="D1553" i="69"/>
  <c r="G1553" s="1"/>
  <c r="Q1250"/>
  <c r="B1250"/>
  <c r="B1113"/>
  <c r="Q1113"/>
  <c r="Q879"/>
  <c r="B879"/>
  <c r="F372"/>
  <c r="F372" i="67"/>
  <c r="Q1137" i="69"/>
  <c r="B1137"/>
  <c r="B1319"/>
  <c r="Q1319"/>
  <c r="Q1230"/>
  <c r="B1230"/>
  <c r="B1206"/>
  <c r="Q1206"/>
  <c r="B1190"/>
  <c r="Q1190"/>
  <c r="B1174"/>
  <c r="Q1174"/>
  <c r="Q1160"/>
  <c r="B1160"/>
  <c r="Q1270"/>
  <c r="B1270"/>
  <c r="B1159"/>
  <c r="Q1159"/>
  <c r="B472"/>
  <c r="Q472"/>
  <c r="AF690" i="1"/>
  <c r="AF688"/>
  <c r="AF687"/>
  <c r="K378" i="69"/>
  <c r="I378"/>
  <c r="G378"/>
  <c r="Q378"/>
  <c r="O378"/>
  <c r="M378"/>
  <c r="M881" i="11"/>
  <c r="K2285" i="1"/>
  <c r="I371" i="67"/>
  <c r="K371"/>
  <c r="R371" s="1"/>
  <c r="S371" s="1"/>
  <c r="M371"/>
  <c r="O371"/>
  <c r="R3262" i="1"/>
  <c r="I3322"/>
  <c r="D974" i="67"/>
  <c r="D461"/>
  <c r="D461" i="69"/>
  <c r="D973"/>
  <c r="X1402" i="1"/>
  <c r="AB1400"/>
  <c r="K2262" i="27"/>
  <c r="I2664"/>
  <c r="K2664" s="1"/>
  <c r="I3265"/>
  <c r="K3247"/>
  <c r="R3618"/>
  <c r="R3620" s="1"/>
  <c r="P3636" s="1"/>
  <c r="R3636" s="1"/>
  <c r="R3638" s="1"/>
  <c r="P3618"/>
  <c r="I2974"/>
  <c r="K2974" s="1"/>
  <c r="I3910"/>
  <c r="K3910" s="1"/>
  <c r="K2957"/>
  <c r="D774" i="67"/>
  <c r="D774" i="69"/>
  <c r="AB1376" i="1"/>
  <c r="AD1359"/>
  <c r="Z46"/>
  <c r="Z16"/>
  <c r="V1455"/>
  <c r="P1537"/>
  <c r="R1537" s="1"/>
  <c r="R1494"/>
  <c r="AE3664"/>
  <c r="AG3664" s="1"/>
  <c r="AG3669" s="1"/>
  <c r="X3670"/>
  <c r="X3675" s="1"/>
  <c r="AE367"/>
  <c r="AG367" s="1"/>
  <c r="X358"/>
  <c r="I2955" i="27"/>
  <c r="K2938"/>
  <c r="I3056"/>
  <c r="K3056" s="1"/>
  <c r="X3162" i="1"/>
  <c r="D551" i="25"/>
  <c r="X3571" i="1"/>
  <c r="V3586"/>
  <c r="R1492"/>
  <c r="V1453"/>
  <c r="AC1204"/>
  <c r="AJ1203"/>
  <c r="I358" i="67"/>
  <c r="K358"/>
  <c r="M358"/>
  <c r="O358"/>
  <c r="Z37" i="27"/>
  <c r="AC37" s="1"/>
  <c r="I241" s="1"/>
  <c r="K241" s="1"/>
  <c r="K246" s="1"/>
  <c r="K248" s="1"/>
  <c r="Z14"/>
  <c r="AC13"/>
  <c r="C72" s="1"/>
  <c r="R669" i="11"/>
  <c r="Q1140" i="67"/>
  <c r="S1140" s="1"/>
  <c r="R22"/>
  <c r="Q1290" i="69"/>
  <c r="B1290"/>
  <c r="Q1141"/>
  <c r="B1141"/>
  <c r="Q789"/>
  <c r="B789"/>
  <c r="B345"/>
  <c r="Q345"/>
  <c r="Q1282"/>
  <c r="B1282"/>
  <c r="Q1242"/>
  <c r="B1242"/>
  <c r="B1210"/>
  <c r="Q1210"/>
  <c r="B1194"/>
  <c r="Q1194"/>
  <c r="B1178"/>
  <c r="Q1178"/>
  <c r="B1151"/>
  <c r="Q1151"/>
  <c r="Q1294"/>
  <c r="B1294"/>
  <c r="B1163"/>
  <c r="Q1163"/>
  <c r="K2996" i="27"/>
  <c r="I3682"/>
  <c r="P199" i="1"/>
  <c r="P167"/>
  <c r="R167" s="1"/>
  <c r="K199"/>
  <c r="D109" i="69"/>
  <c r="D109" i="67"/>
  <c r="R19" i="11"/>
  <c r="P52"/>
  <c r="R52" s="1"/>
  <c r="I1111" i="69"/>
  <c r="N1111"/>
  <c r="V3121" i="1"/>
  <c r="R3160"/>
  <c r="K3927"/>
  <c r="I3945"/>
  <c r="P48" i="11"/>
  <c r="R48" s="1"/>
  <c r="P27"/>
  <c r="R27" s="1"/>
  <c r="R15"/>
  <c r="I449"/>
  <c r="K436"/>
  <c r="D765" i="69"/>
  <c r="D765" i="67"/>
  <c r="R3335" i="1"/>
  <c r="P3370"/>
  <c r="I1092" i="11"/>
  <c r="K1092" s="1"/>
  <c r="K130"/>
  <c r="I3079" i="1"/>
  <c r="K3079" s="1"/>
  <c r="K3060"/>
  <c r="P3067"/>
  <c r="R3067" s="1"/>
  <c r="I1066" i="11"/>
  <c r="K1066" s="1"/>
  <c r="K221"/>
  <c r="F48" i="25"/>
  <c r="F52" s="1"/>
  <c r="D42" s="1"/>
  <c r="D71"/>
  <c r="P2336" i="1"/>
  <c r="R2336" s="1"/>
  <c r="R2338" s="1"/>
  <c r="R2339" s="1"/>
  <c r="I2321"/>
  <c r="K2321" s="1"/>
  <c r="K2323" s="1"/>
  <c r="K2324" s="1"/>
  <c r="I2329" s="1"/>
  <c r="K2329" s="1"/>
  <c r="K2330" s="1"/>
  <c r="K2331" s="1"/>
  <c r="V1456"/>
  <c r="R1495"/>
  <c r="I689" i="69"/>
  <c r="M689"/>
  <c r="Q689"/>
  <c r="AI1190" i="1"/>
  <c r="AK1190" s="1"/>
  <c r="AD1190"/>
  <c r="X3572"/>
  <c r="V3587"/>
  <c r="M358" i="69"/>
  <c r="I358"/>
  <c r="D26" i="67"/>
  <c r="D26" i="69"/>
  <c r="I4036" i="1"/>
  <c r="K4036" s="1"/>
  <c r="K4025"/>
  <c r="K986" i="27"/>
  <c r="K988" s="1"/>
  <c r="Q1299" i="67"/>
  <c r="Q1100"/>
  <c r="S1100" s="1"/>
  <c r="Q13"/>
  <c r="Q31"/>
  <c r="Q48"/>
  <c r="Q135"/>
  <c r="Q163"/>
  <c r="Q195"/>
  <c r="Q203"/>
  <c r="Q215"/>
  <c r="Q227"/>
  <c r="S227" s="1"/>
  <c r="Q235"/>
  <c r="Q334"/>
  <c r="S334" s="1"/>
  <c r="Q416"/>
  <c r="S416" s="1"/>
  <c r="Q508"/>
  <c r="S508" s="1"/>
  <c r="Q627"/>
  <c r="S627" s="1"/>
  <c r="Q675"/>
  <c r="S675" s="1"/>
  <c r="Q773"/>
  <c r="S773" s="1"/>
  <c r="Q905"/>
  <c r="S905" s="1"/>
  <c r="Q990"/>
  <c r="S990" s="1"/>
  <c r="Q1001"/>
  <c r="S1001" s="1"/>
  <c r="Q1015"/>
  <c r="S1015" s="1"/>
  <c r="Q1023"/>
  <c r="S1023" s="1"/>
  <c r="Q1031"/>
  <c r="S1031" s="1"/>
  <c r="Q1039"/>
  <c r="S1039" s="1"/>
  <c r="Q1047"/>
  <c r="S1047" s="1"/>
  <c r="Q1056"/>
  <c r="S1056" s="1"/>
  <c r="Q1064"/>
  <c r="S1064" s="1"/>
  <c r="Q1072"/>
  <c r="S1072" s="1"/>
  <c r="Q1080"/>
  <c r="S1080" s="1"/>
  <c r="Q1102"/>
  <c r="S1102" s="1"/>
  <c r="Q1119"/>
  <c r="S1119" s="1"/>
  <c r="Q1127"/>
  <c r="S1127" s="1"/>
  <c r="Q1135"/>
  <c r="S1135" s="1"/>
  <c r="Q1146"/>
  <c r="S1146" s="1"/>
  <c r="Q1155"/>
  <c r="S1155" s="1"/>
  <c r="Q1166"/>
  <c r="S1166" s="1"/>
  <c r="R1093"/>
  <c r="S1093" s="1"/>
  <c r="R411"/>
  <c r="Q1305" i="69"/>
  <c r="B1305"/>
  <c r="Q1254"/>
  <c r="B1254"/>
  <c r="B1214"/>
  <c r="Q1214"/>
  <c r="B1198"/>
  <c r="Q1198"/>
  <c r="B1182"/>
  <c r="Q1182"/>
  <c r="Q1164"/>
  <c r="B1164"/>
  <c r="B1153"/>
  <c r="Q1153"/>
  <c r="Q972"/>
  <c r="B972"/>
  <c r="Q577"/>
  <c r="B577"/>
  <c r="Q1274"/>
  <c r="B1274"/>
  <c r="Q1266"/>
  <c r="B1266"/>
  <c r="R1433" i="1"/>
  <c r="P1449"/>
  <c r="V340"/>
  <c r="K340"/>
  <c r="D872" i="69"/>
  <c r="D872" i="67"/>
  <c r="K167" i="27"/>
  <c r="C164"/>
  <c r="K3000"/>
  <c r="I3700"/>
  <c r="K3504"/>
  <c r="K3507" s="1"/>
  <c r="I3588"/>
  <c r="K3588" s="1"/>
  <c r="K3591" s="1"/>
  <c r="K3592" s="1"/>
  <c r="K3582" s="1"/>
  <c r="K3583" s="1"/>
  <c r="K3584" s="1"/>
  <c r="I3623"/>
  <c r="P2884"/>
  <c r="R2884" s="1"/>
  <c r="R2851"/>
  <c r="I447" i="11"/>
  <c r="K434"/>
  <c r="K723" i="67"/>
  <c r="M723"/>
  <c r="O723"/>
  <c r="K360" i="1"/>
  <c r="V360"/>
  <c r="K891" i="67"/>
  <c r="M891"/>
  <c r="O891"/>
  <c r="E6" i="4"/>
  <c r="E12"/>
  <c r="Z9" i="1" s="1"/>
  <c r="AG390"/>
  <c r="AQ390"/>
  <c r="AS390" s="1"/>
  <c r="AE404"/>
  <c r="AG404" s="1"/>
  <c r="AE426"/>
  <c r="I3644"/>
  <c r="K3747"/>
  <c r="P1419"/>
  <c r="V1363"/>
  <c r="R1402"/>
  <c r="K3283"/>
  <c r="V3251"/>
  <c r="X3251" s="1"/>
  <c r="H3889"/>
  <c r="J3889" s="1"/>
  <c r="J3894" s="1"/>
  <c r="J3896" s="1"/>
  <c r="J3873"/>
  <c r="J3878" s="1"/>
  <c r="J3880" s="1"/>
  <c r="N1133" i="69"/>
  <c r="I1133"/>
  <c r="K4019" i="1"/>
  <c r="I4020"/>
  <c r="AD1403"/>
  <c r="AB1420"/>
  <c r="AD1420" s="1"/>
  <c r="V1452"/>
  <c r="R1491"/>
  <c r="K391" i="67"/>
  <c r="O391"/>
  <c r="M391"/>
  <c r="K3109" i="1"/>
  <c r="P2083"/>
  <c r="R2083" s="1"/>
  <c r="R1404"/>
  <c r="Q1118" i="67"/>
  <c r="S1118" s="1"/>
  <c r="R1171"/>
  <c r="R741"/>
  <c r="Q1121"/>
  <c r="S1121" s="1"/>
  <c r="R838"/>
  <c r="R759"/>
  <c r="B1320" i="69"/>
  <c r="Q1320"/>
  <c r="Q1234"/>
  <c r="B1234"/>
  <c r="Q839"/>
  <c r="B839"/>
  <c r="Q24"/>
  <c r="B24"/>
  <c r="Q1278"/>
  <c r="B1278"/>
  <c r="B1218"/>
  <c r="Q1218"/>
  <c r="B1202"/>
  <c r="Q1202"/>
  <c r="B1186"/>
  <c r="Q1186"/>
  <c r="B1155"/>
  <c r="Q1155"/>
  <c r="Q667"/>
  <c r="B667"/>
  <c r="B303"/>
  <c r="Q303"/>
  <c r="Q1281"/>
  <c r="B1281"/>
  <c r="B439"/>
  <c r="Q439"/>
  <c r="G375" i="25"/>
  <c r="G376" s="1"/>
  <c r="K3494" i="27"/>
  <c r="I3532"/>
  <c r="K3532" s="1"/>
  <c r="G330" i="25"/>
  <c r="G331" s="1"/>
  <c r="K83" i="27"/>
  <c r="K86" s="1"/>
  <c r="K88" s="1"/>
  <c r="I111"/>
  <c r="K111" s="1"/>
  <c r="K114" s="1"/>
  <c r="K116" s="1"/>
  <c r="K118" s="1"/>
  <c r="K119" s="1"/>
  <c r="I96"/>
  <c r="K96" s="1"/>
  <c r="K99" s="1"/>
  <c r="K101" s="1"/>
  <c r="K106" i="11"/>
  <c r="I224"/>
  <c r="K224" s="1"/>
  <c r="J616" i="1"/>
  <c r="V594" s="1"/>
  <c r="AJ1199"/>
  <c r="K614"/>
  <c r="V316"/>
  <c r="K316"/>
  <c r="D952" i="67"/>
  <c r="D952" i="69"/>
  <c r="I3040" i="27"/>
  <c r="K3040" s="1"/>
  <c r="K2917"/>
  <c r="V1394" i="1"/>
  <c r="X1377"/>
  <c r="Z12"/>
  <c r="Z44"/>
  <c r="AC44" s="1"/>
  <c r="AB1331" s="1"/>
  <c r="AC1331" s="1"/>
  <c r="AC11"/>
  <c r="Z35"/>
  <c r="AC35" s="1"/>
  <c r="I254" s="1"/>
  <c r="K254" s="1"/>
  <c r="Z37"/>
  <c r="AC37" s="1"/>
  <c r="I242" s="1"/>
  <c r="K242" s="1"/>
  <c r="Z36"/>
  <c r="AC36" s="1"/>
  <c r="I243" s="1"/>
  <c r="K243" s="1"/>
  <c r="AG3561"/>
  <c r="V3624"/>
  <c r="X3624" s="1"/>
  <c r="K3566"/>
  <c r="K3569" s="1"/>
  <c r="P3569"/>
  <c r="R3569" s="1"/>
  <c r="R3572" s="1"/>
  <c r="O688" i="67"/>
  <c r="M688"/>
  <c r="K688"/>
  <c r="R688" s="1"/>
  <c r="S688" s="1"/>
  <c r="AH3105" i="1"/>
  <c r="AH3109" s="1"/>
  <c r="AQ3105"/>
  <c r="AS3105" s="1"/>
  <c r="AS3109" s="1"/>
  <c r="I777"/>
  <c r="K777" s="1"/>
  <c r="I604" i="69"/>
  <c r="M604"/>
  <c r="I2934" i="27"/>
  <c r="K2908"/>
  <c r="I1134" i="67"/>
  <c r="R1134" s="1"/>
  <c r="N1134"/>
  <c r="I786" i="1"/>
  <c r="K786" s="1"/>
  <c r="I764"/>
  <c r="K764" s="1"/>
  <c r="K768" s="1"/>
  <c r="K770" s="1"/>
  <c r="I2356" s="1"/>
  <c r="I571" i="11"/>
  <c r="K537"/>
  <c r="I532" s="1"/>
  <c r="K532" s="1"/>
  <c r="I391" i="69"/>
  <c r="G391"/>
  <c r="Q391"/>
  <c r="V3547" i="1"/>
  <c r="AE3547"/>
  <c r="AE3563" s="1"/>
  <c r="P3551"/>
  <c r="R3551" s="1"/>
  <c r="V822"/>
  <c r="X822" s="1"/>
  <c r="X807"/>
  <c r="R220" i="27"/>
  <c r="R223" s="1"/>
  <c r="S1299" i="67"/>
  <c r="G439" i="25"/>
  <c r="G440" s="1"/>
  <c r="K3214" i="1"/>
  <c r="K3216" s="1"/>
  <c r="R875" i="67"/>
  <c r="R591"/>
  <c r="S1305"/>
  <c r="Q1101"/>
  <c r="S1101" s="1"/>
  <c r="Q1223"/>
  <c r="S1223" s="1"/>
  <c r="R283"/>
  <c r="R713"/>
  <c r="R270"/>
  <c r="R282"/>
  <c r="Q21"/>
  <c r="Q137"/>
  <c r="Q173"/>
  <c r="Q197"/>
  <c r="Q205"/>
  <c r="S205" s="1"/>
  <c r="Q217"/>
  <c r="S217" s="1"/>
  <c r="Q229"/>
  <c r="S229" s="1"/>
  <c r="Q343"/>
  <c r="S343" s="1"/>
  <c r="Q382"/>
  <c r="S382" s="1"/>
  <c r="Q402"/>
  <c r="S402" s="1"/>
  <c r="Q438"/>
  <c r="S438" s="1"/>
  <c r="Q641"/>
  <c r="S641" s="1"/>
  <c r="Q669"/>
  <c r="S669" s="1"/>
  <c r="Q871"/>
  <c r="S871" s="1"/>
  <c r="Q988"/>
  <c r="S988" s="1"/>
  <c r="Q999"/>
  <c r="S999" s="1"/>
  <c r="Q1008"/>
  <c r="S1008" s="1"/>
  <c r="Q1017"/>
  <c r="S1017" s="1"/>
  <c r="Q1025"/>
  <c r="S1025" s="1"/>
  <c r="Q1033"/>
  <c r="S1033" s="1"/>
  <c r="Q1041"/>
  <c r="S1041" s="1"/>
  <c r="Q1049"/>
  <c r="S1049" s="1"/>
  <c r="Q1058"/>
  <c r="S1058" s="1"/>
  <c r="Q1066"/>
  <c r="S1066" s="1"/>
  <c r="Q1074"/>
  <c r="S1074" s="1"/>
  <c r="Q1082"/>
  <c r="S1082" s="1"/>
  <c r="Q1094"/>
  <c r="S1094" s="1"/>
  <c r="Q1107"/>
  <c r="S1107" s="1"/>
  <c r="Q1152"/>
  <c r="S1152" s="1"/>
  <c r="Q1163"/>
  <c r="S1163" s="1"/>
  <c r="S1051"/>
  <c r="S1225"/>
  <c r="Q1011"/>
  <c r="S1011" s="1"/>
  <c r="R275"/>
  <c r="R128"/>
  <c r="R278"/>
  <c r="R286"/>
  <c r="Q7"/>
  <c r="Q33"/>
  <c r="Q161"/>
  <c r="Q189"/>
  <c r="Q201"/>
  <c r="S201" s="1"/>
  <c r="Q213"/>
  <c r="S213" s="1"/>
  <c r="Q225"/>
  <c r="S225" s="1"/>
  <c r="Q332"/>
  <c r="S332" s="1"/>
  <c r="Q367"/>
  <c r="S367" s="1"/>
  <c r="Q385"/>
  <c r="S385" s="1"/>
  <c r="Q410"/>
  <c r="S410" s="1"/>
  <c r="Q637"/>
  <c r="S637" s="1"/>
  <c r="Q661"/>
  <c r="S661" s="1"/>
  <c r="Q839"/>
  <c r="S839" s="1"/>
  <c r="Q879"/>
  <c r="S879" s="1"/>
  <c r="Q994"/>
  <c r="S994" s="1"/>
  <c r="Q1003"/>
  <c r="S1003" s="1"/>
  <c r="Q1013"/>
  <c r="S1013" s="1"/>
  <c r="Q1021"/>
  <c r="S1021" s="1"/>
  <c r="Q1029"/>
  <c r="S1029" s="1"/>
  <c r="Q1037"/>
  <c r="S1037" s="1"/>
  <c r="Q1045"/>
  <c r="S1045" s="1"/>
  <c r="Q1054"/>
  <c r="S1054" s="1"/>
  <c r="Q1062"/>
  <c r="S1062" s="1"/>
  <c r="Q1070"/>
  <c r="S1070" s="1"/>
  <c r="Q1078"/>
  <c r="S1078" s="1"/>
  <c r="Q1086"/>
  <c r="S1086" s="1"/>
  <c r="Q1098"/>
  <c r="S1098" s="1"/>
  <c r="Q1114"/>
  <c r="S1114" s="1"/>
  <c r="Q1125"/>
  <c r="S1125" s="1"/>
  <c r="Q1147"/>
  <c r="S1147" s="1"/>
  <c r="Q1156"/>
  <c r="S1156" s="1"/>
  <c r="Q1167"/>
  <c r="S1167" s="1"/>
  <c r="P628"/>
  <c r="B628" s="1"/>
  <c r="S116"/>
  <c r="S126"/>
  <c r="S89"/>
  <c r="I758"/>
  <c r="G758"/>
  <c r="P495"/>
  <c r="B495" s="1"/>
  <c r="P763"/>
  <c r="B763" s="1"/>
  <c r="P352"/>
  <c r="B352" s="1"/>
  <c r="P496"/>
  <c r="B496" s="1"/>
  <c r="P618"/>
  <c r="B618" s="1"/>
  <c r="I676"/>
  <c r="G676"/>
  <c r="I28"/>
  <c r="G28"/>
  <c r="I775"/>
  <c r="G775"/>
  <c r="I311"/>
  <c r="G311"/>
  <c r="I356"/>
  <c r="G356"/>
  <c r="G904"/>
  <c r="I904"/>
  <c r="P328"/>
  <c r="B328" s="1"/>
  <c r="P889"/>
  <c r="B889" s="1"/>
  <c r="P141"/>
  <c r="B141" s="1"/>
  <c r="P738"/>
  <c r="B738" s="1"/>
  <c r="P639"/>
  <c r="B639" s="1"/>
  <c r="Q1109"/>
  <c r="S1109" s="1"/>
  <c r="Q1103"/>
  <c r="S1103" s="1"/>
  <c r="Q1300"/>
  <c r="S1300" s="1"/>
  <c r="R370"/>
  <c r="S370" s="1"/>
  <c r="R271"/>
  <c r="S271" s="1"/>
  <c r="R287"/>
  <c r="S287" s="1"/>
  <c r="R164"/>
  <c r="R113"/>
  <c r="S897"/>
  <c r="R891"/>
  <c r="S891" s="1"/>
  <c r="R419"/>
  <c r="S419" s="1"/>
  <c r="R414"/>
  <c r="S414" s="1"/>
  <c r="S893"/>
  <c r="S1360"/>
  <c r="S1376"/>
  <c r="S1408"/>
  <c r="S1424"/>
  <c r="S1440"/>
  <c r="Q16"/>
  <c r="Q47"/>
  <c r="Q114"/>
  <c r="Q198"/>
  <c r="Q206"/>
  <c r="Q218"/>
  <c r="Q230"/>
  <c r="Q336"/>
  <c r="S336" s="1"/>
  <c r="Q403"/>
  <c r="S403" s="1"/>
  <c r="Q499"/>
  <c r="S499" s="1"/>
  <c r="Q563"/>
  <c r="S563" s="1"/>
  <c r="Q736"/>
  <c r="S736" s="1"/>
  <c r="Q880"/>
  <c r="S880" s="1"/>
  <c r="Q989"/>
  <c r="S989" s="1"/>
  <c r="Q1000"/>
  <c r="S1000" s="1"/>
  <c r="Q1010"/>
  <c r="S1010" s="1"/>
  <c r="Q1018"/>
  <c r="S1018" s="1"/>
  <c r="Q1026"/>
  <c r="S1026" s="1"/>
  <c r="Q1034"/>
  <c r="S1034" s="1"/>
  <c r="Q1042"/>
  <c r="S1042" s="1"/>
  <c r="Q1052"/>
  <c r="S1052" s="1"/>
  <c r="Q1059"/>
  <c r="S1059" s="1"/>
  <c r="Q1067"/>
  <c r="S1067" s="1"/>
  <c r="Q1075"/>
  <c r="S1075" s="1"/>
  <c r="Q1083"/>
  <c r="S1083" s="1"/>
  <c r="Q1099"/>
  <c r="S1099" s="1"/>
  <c r="Q1116"/>
  <c r="S1116" s="1"/>
  <c r="Q1126"/>
  <c r="S1126" s="1"/>
  <c r="Q1138"/>
  <c r="S1138" s="1"/>
  <c r="Q1149"/>
  <c r="S1149" s="1"/>
  <c r="Q1161"/>
  <c r="S1161" s="1"/>
  <c r="Q1169"/>
  <c r="S1169" s="1"/>
  <c r="R167"/>
  <c r="S167" s="1"/>
  <c r="R127"/>
  <c r="S457"/>
  <c r="R804"/>
  <c r="S804" s="1"/>
  <c r="R706"/>
  <c r="S706" s="1"/>
  <c r="R575"/>
  <c r="S575" s="1"/>
  <c r="R387"/>
  <c r="S387" s="1"/>
  <c r="S724"/>
  <c r="S984"/>
  <c r="S1159"/>
  <c r="S899"/>
  <c r="S203"/>
  <c r="S235"/>
  <c r="R269"/>
  <c r="S269" s="1"/>
  <c r="R281"/>
  <c r="S281" s="1"/>
  <c r="R987"/>
  <c r="S987" s="1"/>
  <c r="R869"/>
  <c r="S869" s="1"/>
  <c r="R418"/>
  <c r="S418" s="1"/>
  <c r="S896"/>
  <c r="S1350"/>
  <c r="S1366"/>
  <c r="S1414"/>
  <c r="S1430"/>
  <c r="S1446"/>
  <c r="S704"/>
  <c r="Q24"/>
  <c r="Q57"/>
  <c r="Q136"/>
  <c r="Q200"/>
  <c r="Q216"/>
  <c r="Q248"/>
  <c r="Q303"/>
  <c r="S303" s="1"/>
  <c r="Q373"/>
  <c r="S373" s="1"/>
  <c r="Q484"/>
  <c r="S484" s="1"/>
  <c r="Q592"/>
  <c r="S592" s="1"/>
  <c r="Q660"/>
  <c r="S660" s="1"/>
  <c r="Q882"/>
  <c r="S882" s="1"/>
  <c r="Q998"/>
  <c r="S998" s="1"/>
  <c r="Q1006"/>
  <c r="S1006" s="1"/>
  <c r="Q1016"/>
  <c r="S1016" s="1"/>
  <c r="Q1024"/>
  <c r="S1024" s="1"/>
  <c r="Q1032"/>
  <c r="S1032" s="1"/>
  <c r="Q1040"/>
  <c r="S1040" s="1"/>
  <c r="Q1048"/>
  <c r="S1048" s="1"/>
  <c r="Q1061"/>
  <c r="S1061" s="1"/>
  <c r="Q1069"/>
  <c r="S1069" s="1"/>
  <c r="Q1077"/>
  <c r="S1077" s="1"/>
  <c r="Q1085"/>
  <c r="S1085" s="1"/>
  <c r="Q1105"/>
  <c r="S1105" s="1"/>
  <c r="Q1120"/>
  <c r="S1120" s="1"/>
  <c r="Q1128"/>
  <c r="S1128" s="1"/>
  <c r="Q1136"/>
  <c r="S1136" s="1"/>
  <c r="Q1144"/>
  <c r="S1144" s="1"/>
  <c r="R1087"/>
  <c r="S1087" s="1"/>
  <c r="R753"/>
  <c r="S753" s="1"/>
  <c r="R395"/>
  <c r="S395" s="1"/>
  <c r="S30"/>
  <c r="S59"/>
  <c r="Q1332"/>
  <c r="B1332"/>
  <c r="Q1340"/>
  <c r="B1340"/>
  <c r="Q1327"/>
  <c r="S1327" s="1"/>
  <c r="B1327"/>
  <c r="Q1335"/>
  <c r="B1335"/>
  <c r="Q1343"/>
  <c r="S1343" s="1"/>
  <c r="B1343"/>
  <c r="Q1351"/>
  <c r="B1351"/>
  <c r="Q1359"/>
  <c r="S1359" s="1"/>
  <c r="B1359"/>
  <c r="Q1367"/>
  <c r="B1367"/>
  <c r="Q1375"/>
  <c r="S1375" s="1"/>
  <c r="B1375"/>
  <c r="Q1334"/>
  <c r="S1334" s="1"/>
  <c r="B1334"/>
  <c r="Q1342"/>
  <c r="B1342"/>
  <c r="Q1353"/>
  <c r="S1353" s="1"/>
  <c r="B1353"/>
  <c r="Q1361"/>
  <c r="B1361"/>
  <c r="Q1369"/>
  <c r="B1369"/>
  <c r="Q1380"/>
  <c r="B1380"/>
  <c r="Q1388"/>
  <c r="B1388"/>
  <c r="Q1396"/>
  <c r="B1396"/>
  <c r="Q1413"/>
  <c r="B1413"/>
  <c r="Q1445"/>
  <c r="B1445"/>
  <c r="Q1456"/>
  <c r="S1456" s="1"/>
  <c r="B1456"/>
  <c r="Q1464"/>
  <c r="B1464"/>
  <c r="Q1391"/>
  <c r="S1391" s="1"/>
  <c r="B1391"/>
  <c r="Q1409"/>
  <c r="B1409"/>
  <c r="Q1425"/>
  <c r="B1425"/>
  <c r="Q1441"/>
  <c r="B1441"/>
  <c r="Q1451"/>
  <c r="B1451"/>
  <c r="Q1459"/>
  <c r="B1459"/>
  <c r="Q1378"/>
  <c r="S1378" s="1"/>
  <c r="B1378"/>
  <c r="Q1386"/>
  <c r="B1386"/>
  <c r="Q1394"/>
  <c r="B1394"/>
  <c r="Q1402"/>
  <c r="B1402"/>
  <c r="Q1418"/>
  <c r="B1418"/>
  <c r="Q1434"/>
  <c r="B1434"/>
  <c r="Q1450"/>
  <c r="B1450"/>
  <c r="Q1458"/>
  <c r="B1458"/>
  <c r="Q1377"/>
  <c r="B1377"/>
  <c r="Q1417"/>
  <c r="S1417" s="1"/>
  <c r="B1417"/>
  <c r="Q1433"/>
  <c r="B1433"/>
  <c r="Q1449"/>
  <c r="S1449" s="1"/>
  <c r="B1449"/>
  <c r="Q1457"/>
  <c r="B1457"/>
  <c r="Q1465"/>
  <c r="B1465"/>
  <c r="S105"/>
  <c r="S151"/>
  <c r="I355"/>
  <c r="G355"/>
  <c r="P257"/>
  <c r="B257" s="1"/>
  <c r="P44"/>
  <c r="B44" s="1"/>
  <c r="I11"/>
  <c r="G11"/>
  <c r="I696"/>
  <c r="G696"/>
  <c r="I603"/>
  <c r="G603"/>
  <c r="P621"/>
  <c r="I602"/>
  <c r="G602"/>
  <c r="P475"/>
  <c r="B475" s="1"/>
  <c r="P348"/>
  <c r="B348" s="1"/>
  <c r="P233"/>
  <c r="G233"/>
  <c r="P474"/>
  <c r="B474" s="1"/>
  <c r="G474"/>
  <c r="P977"/>
  <c r="G977"/>
  <c r="R977" s="1"/>
  <c r="I468"/>
  <c r="G468"/>
  <c r="S13"/>
  <c r="S31"/>
  <c r="S48"/>
  <c r="S163"/>
  <c r="S195"/>
  <c r="S7"/>
  <c r="S33"/>
  <c r="S161"/>
  <c r="S189"/>
  <c r="S1369"/>
  <c r="S1433"/>
  <c r="S1465"/>
  <c r="S275"/>
  <c r="S958"/>
  <c r="S810"/>
  <c r="S431"/>
  <c r="S453"/>
  <c r="R397"/>
  <c r="S397" s="1"/>
  <c r="S969"/>
  <c r="R739"/>
  <c r="S739" s="1"/>
  <c r="R25"/>
  <c r="S25" s="1"/>
  <c r="S1340"/>
  <c r="S1356"/>
  <c r="S1372"/>
  <c r="S1388"/>
  <c r="S1404"/>
  <c r="S1420"/>
  <c r="S1436"/>
  <c r="S290"/>
  <c r="S278"/>
  <c r="S286"/>
  <c r="S1171"/>
  <c r="S741"/>
  <c r="R604"/>
  <c r="S604" s="1"/>
  <c r="S199"/>
  <c r="S1387"/>
  <c r="S1403"/>
  <c r="S1419"/>
  <c r="S1435"/>
  <c r="S1451"/>
  <c r="S285"/>
  <c r="S808"/>
  <c r="S733"/>
  <c r="S388"/>
  <c r="R399"/>
  <c r="S399" s="1"/>
  <c r="S406"/>
  <c r="S836"/>
  <c r="S967"/>
  <c r="R415"/>
  <c r="S415" s="1"/>
  <c r="S219"/>
  <c r="S1346"/>
  <c r="S1362"/>
  <c r="S1394"/>
  <c r="S1410"/>
  <c r="S1426"/>
  <c r="S1442"/>
  <c r="S1458"/>
  <c r="R273"/>
  <c r="S273" s="1"/>
  <c r="R272"/>
  <c r="S272" s="1"/>
  <c r="R280"/>
  <c r="S280" s="1"/>
  <c r="R288"/>
  <c r="S288" s="1"/>
  <c r="R165"/>
  <c r="S165" s="1"/>
  <c r="R125"/>
  <c r="S125" s="1"/>
  <c r="S838"/>
  <c r="S759"/>
  <c r="R734"/>
  <c r="S734" s="1"/>
  <c r="R389"/>
  <c r="S389" s="1"/>
  <c r="R723"/>
  <c r="S723" s="1"/>
  <c r="S968"/>
  <c r="S411"/>
  <c r="S83"/>
  <c r="S127"/>
  <c r="S128"/>
  <c r="I429"/>
  <c r="G429"/>
  <c r="P90"/>
  <c r="B90" s="1"/>
  <c r="I761"/>
  <c r="G761"/>
  <c r="P93"/>
  <c r="B93" s="1"/>
  <c r="P190"/>
  <c r="B190" s="1"/>
  <c r="P374"/>
  <c r="B374" s="1"/>
  <c r="I469"/>
  <c r="G469"/>
  <c r="Q1106"/>
  <c r="S1106" s="1"/>
  <c r="Q995"/>
  <c r="S995" s="1"/>
  <c r="Q1009"/>
  <c r="S1009" s="1"/>
  <c r="Q993"/>
  <c r="S993" s="1"/>
  <c r="S1413"/>
  <c r="S1445"/>
  <c r="S291"/>
  <c r="R279"/>
  <c r="S279" s="1"/>
  <c r="R170"/>
  <c r="S170" s="1"/>
  <c r="R1170"/>
  <c r="S1170" s="1"/>
  <c r="R735"/>
  <c r="S735" s="1"/>
  <c r="R417"/>
  <c r="S417" s="1"/>
  <c r="S327"/>
  <c r="S823"/>
  <c r="R14"/>
  <c r="S14" s="1"/>
  <c r="S1319"/>
  <c r="S1352"/>
  <c r="S1368"/>
  <c r="S1416"/>
  <c r="S1432"/>
  <c r="S1448"/>
  <c r="S1464"/>
  <c r="S712"/>
  <c r="Q34"/>
  <c r="Q63"/>
  <c r="Q118"/>
  <c r="Q202"/>
  <c r="Q214"/>
  <c r="Q226"/>
  <c r="Q234"/>
  <c r="Q379"/>
  <c r="S379" s="1"/>
  <c r="Q439"/>
  <c r="S439" s="1"/>
  <c r="Q543"/>
  <c r="S543" s="1"/>
  <c r="Q662"/>
  <c r="S662" s="1"/>
  <c r="Q840"/>
  <c r="S840" s="1"/>
  <c r="Q957"/>
  <c r="S957" s="1"/>
  <c r="Q996"/>
  <c r="S996" s="1"/>
  <c r="Q1004"/>
  <c r="S1004" s="1"/>
  <c r="Q1014"/>
  <c r="S1014" s="1"/>
  <c r="Q1022"/>
  <c r="S1022" s="1"/>
  <c r="Q1030"/>
  <c r="S1030" s="1"/>
  <c r="Q1038"/>
  <c r="S1038" s="1"/>
  <c r="Q1046"/>
  <c r="S1046" s="1"/>
  <c r="Q1055"/>
  <c r="S1055" s="1"/>
  <c r="Q1063"/>
  <c r="S1063" s="1"/>
  <c r="Q1071"/>
  <c r="S1071" s="1"/>
  <c r="Q1079"/>
  <c r="S1079" s="1"/>
  <c r="Q1095"/>
  <c r="S1095" s="1"/>
  <c r="Q1110"/>
  <c r="S1110" s="1"/>
  <c r="Q1122"/>
  <c r="S1122" s="1"/>
  <c r="Q1130"/>
  <c r="S1130" s="1"/>
  <c r="Q1142"/>
  <c r="S1142" s="1"/>
  <c r="Q1154"/>
  <c r="S1154" s="1"/>
  <c r="Q1165"/>
  <c r="S1165" s="1"/>
  <c r="Q1173"/>
  <c r="S1173" s="1"/>
  <c r="R106"/>
  <c r="S106" s="1"/>
  <c r="S986"/>
  <c r="R659"/>
  <c r="S659" s="1"/>
  <c r="R432"/>
  <c r="S432" s="1"/>
  <c r="R297"/>
  <c r="S297" s="1"/>
  <c r="R454"/>
  <c r="S454" s="1"/>
  <c r="R412"/>
  <c r="S412" s="1"/>
  <c r="R326"/>
  <c r="S326" s="1"/>
  <c r="S1096"/>
  <c r="S798"/>
  <c r="R391"/>
  <c r="S391" s="1"/>
  <c r="R689"/>
  <c r="S689" s="1"/>
  <c r="S1335"/>
  <c r="S1351"/>
  <c r="S1367"/>
  <c r="S274"/>
  <c r="R289"/>
  <c r="S289" s="1"/>
  <c r="R1175"/>
  <c r="S1175" s="1"/>
  <c r="R873"/>
  <c r="S873" s="1"/>
  <c r="S799"/>
  <c r="S1158"/>
  <c r="R710"/>
  <c r="S710" s="1"/>
  <c r="S215"/>
  <c r="S1342"/>
  <c r="S1358"/>
  <c r="S1374"/>
  <c r="S1406"/>
  <c r="S1422"/>
  <c r="S1438"/>
  <c r="Q10"/>
  <c r="Q32"/>
  <c r="Q69"/>
  <c r="Q196"/>
  <c r="Q204"/>
  <c r="Q228"/>
  <c r="Q299"/>
  <c r="S299" s="1"/>
  <c r="Q331"/>
  <c r="S331" s="1"/>
  <c r="Q405"/>
  <c r="S405" s="1"/>
  <c r="Q569"/>
  <c r="S569" s="1"/>
  <c r="Q619"/>
  <c r="S619" s="1"/>
  <c r="Q714"/>
  <c r="S714" s="1"/>
  <c r="Q991"/>
  <c r="S991" s="1"/>
  <c r="Q1002"/>
  <c r="S1002" s="1"/>
  <c r="Q1012"/>
  <c r="S1012" s="1"/>
  <c r="Q1020"/>
  <c r="S1020" s="1"/>
  <c r="Q1028"/>
  <c r="S1028" s="1"/>
  <c r="Q1036"/>
  <c r="S1036" s="1"/>
  <c r="Q1044"/>
  <c r="S1044" s="1"/>
  <c r="Q1057"/>
  <c r="S1057" s="1"/>
  <c r="Q1065"/>
  <c r="S1065" s="1"/>
  <c r="Q1073"/>
  <c r="S1073" s="1"/>
  <c r="Q1081"/>
  <c r="S1081" s="1"/>
  <c r="Q1097"/>
  <c r="S1097" s="1"/>
  <c r="Q1113"/>
  <c r="S1113" s="1"/>
  <c r="Q1124"/>
  <c r="S1124" s="1"/>
  <c r="Q1132"/>
  <c r="S1132" s="1"/>
  <c r="S875"/>
  <c r="S591"/>
  <c r="P296"/>
  <c r="B296" s="1"/>
  <c r="P883"/>
  <c r="B883" s="1"/>
  <c r="S36"/>
  <c r="S60"/>
  <c r="Q1328"/>
  <c r="S1328" s="1"/>
  <c r="B1328"/>
  <c r="Q1336"/>
  <c r="S1336" s="1"/>
  <c r="B1336"/>
  <c r="Q1344"/>
  <c r="S1344" s="1"/>
  <c r="B1344"/>
  <c r="Q1331"/>
  <c r="B1331"/>
  <c r="Q1339"/>
  <c r="S1339" s="1"/>
  <c r="B1339"/>
  <c r="Q1347"/>
  <c r="B1347"/>
  <c r="Q1355"/>
  <c r="S1355" s="1"/>
  <c r="B1355"/>
  <c r="Q1363"/>
  <c r="B1363"/>
  <c r="Q1371"/>
  <c r="S1371" s="1"/>
  <c r="B1371"/>
  <c r="Q1330"/>
  <c r="S1330" s="1"/>
  <c r="B1330"/>
  <c r="Q1338"/>
  <c r="S1338" s="1"/>
  <c r="B1338"/>
  <c r="Q1349"/>
  <c r="S1349" s="1"/>
  <c r="B1349"/>
  <c r="Q1357"/>
  <c r="S1357" s="1"/>
  <c r="B1357"/>
  <c r="Q1365"/>
  <c r="S1365" s="1"/>
  <c r="B1365"/>
  <c r="Q1373"/>
  <c r="S1373" s="1"/>
  <c r="B1373"/>
  <c r="Q1384"/>
  <c r="S1384" s="1"/>
  <c r="B1384"/>
  <c r="Q1392"/>
  <c r="S1392" s="1"/>
  <c r="B1392"/>
  <c r="Q1400"/>
  <c r="S1400" s="1"/>
  <c r="B1400"/>
  <c r="Q1429"/>
  <c r="S1429" s="1"/>
  <c r="B1429"/>
  <c r="Q1452"/>
  <c r="S1452" s="1"/>
  <c r="B1452"/>
  <c r="Q1460"/>
  <c r="B1460"/>
  <c r="Q1383"/>
  <c r="S1383" s="1"/>
  <c r="B1383"/>
  <c r="Q1399"/>
  <c r="S1399" s="1"/>
  <c r="B1399"/>
  <c r="Q1415"/>
  <c r="S1415" s="1"/>
  <c r="B1415"/>
  <c r="Q1431"/>
  <c r="S1431" s="1"/>
  <c r="B1431"/>
  <c r="Q1447"/>
  <c r="S1447" s="1"/>
  <c r="B1447"/>
  <c r="Q1455"/>
  <c r="S1455" s="1"/>
  <c r="B1455"/>
  <c r="Q1463"/>
  <c r="S1463" s="1"/>
  <c r="B1463"/>
  <c r="Q1382"/>
  <c r="S1382" s="1"/>
  <c r="B1382"/>
  <c r="Q1390"/>
  <c r="S1390" s="1"/>
  <c r="B1390"/>
  <c r="Q1398"/>
  <c r="S1398" s="1"/>
  <c r="B1398"/>
  <c r="Q1405"/>
  <c r="S1405" s="1"/>
  <c r="B1405"/>
  <c r="Q1421"/>
  <c r="S1421" s="1"/>
  <c r="B1421"/>
  <c r="Q1437"/>
  <c r="S1437" s="1"/>
  <c r="B1437"/>
  <c r="Q1454"/>
  <c r="S1454" s="1"/>
  <c r="B1454"/>
  <c r="Q1462"/>
  <c r="S1462" s="1"/>
  <c r="B1462"/>
  <c r="Q1407"/>
  <c r="S1407" s="1"/>
  <c r="B1407"/>
  <c r="Q1423"/>
  <c r="S1423" s="1"/>
  <c r="B1423"/>
  <c r="Q1439"/>
  <c r="S1439" s="1"/>
  <c r="B1439"/>
  <c r="Q1453"/>
  <c r="S1453" s="1"/>
  <c r="B1453"/>
  <c r="Q1461"/>
  <c r="S1461" s="1"/>
  <c r="B1461"/>
  <c r="S166"/>
  <c r="S130"/>
  <c r="S22"/>
  <c r="S113"/>
  <c r="S164"/>
  <c r="I746"/>
  <c r="G746"/>
  <c r="P92"/>
  <c r="B92" s="1"/>
  <c r="I711"/>
  <c r="G711"/>
  <c r="P398"/>
  <c r="G398"/>
  <c r="P55"/>
  <c r="B55" s="1"/>
  <c r="P263"/>
  <c r="B263" s="1"/>
  <c r="P91"/>
  <c r="B91" s="1"/>
  <c r="I776"/>
  <c r="G776"/>
  <c r="I668"/>
  <c r="G668"/>
  <c r="G697"/>
  <c r="I697"/>
  <c r="P143"/>
  <c r="B143" s="1"/>
  <c r="P493"/>
  <c r="B493" s="1"/>
  <c r="P259"/>
  <c r="B259" s="1"/>
  <c r="P915"/>
  <c r="B915" s="1"/>
  <c r="P140"/>
  <c r="B140" s="1"/>
  <c r="P377"/>
  <c r="B377" s="1"/>
  <c r="P351"/>
  <c r="B351" s="1"/>
  <c r="P256"/>
  <c r="G256"/>
  <c r="S27"/>
  <c r="S35"/>
  <c r="S56"/>
  <c r="S159"/>
  <c r="S171"/>
  <c r="S21"/>
  <c r="S137"/>
  <c r="S173"/>
  <c r="S197"/>
  <c r="S1296"/>
  <c r="S1312"/>
  <c r="S1361"/>
  <c r="S1377"/>
  <c r="S1409"/>
  <c r="S1425"/>
  <c r="S1441"/>
  <c r="S1457"/>
  <c r="S283"/>
  <c r="S850"/>
  <c r="R456"/>
  <c r="S456" s="1"/>
  <c r="S713"/>
  <c r="R745"/>
  <c r="S745" s="1"/>
  <c r="R23"/>
  <c r="S23" s="1"/>
  <c r="S1332"/>
  <c r="S1348"/>
  <c r="S1364"/>
  <c r="S1380"/>
  <c r="S1396"/>
  <c r="S1412"/>
  <c r="S1428"/>
  <c r="S1444"/>
  <c r="S1460"/>
  <c r="S270"/>
  <c r="S282"/>
  <c r="R158"/>
  <c r="S158" s="1"/>
  <c r="S207"/>
  <c r="S1331"/>
  <c r="S1347"/>
  <c r="S1363"/>
  <c r="S1379"/>
  <c r="S1395"/>
  <c r="S1411"/>
  <c r="S1427"/>
  <c r="S1443"/>
  <c r="S1459"/>
  <c r="S277"/>
  <c r="S742"/>
  <c r="S583"/>
  <c r="S380"/>
  <c r="G359"/>
  <c r="S1354"/>
  <c r="S1370"/>
  <c r="S1386"/>
  <c r="S1402"/>
  <c r="S1418"/>
  <c r="S1434"/>
  <c r="S1450"/>
  <c r="R268"/>
  <c r="S268" s="1"/>
  <c r="R276"/>
  <c r="S276" s="1"/>
  <c r="R284"/>
  <c r="S284" s="1"/>
  <c r="R292"/>
  <c r="S292" s="1"/>
  <c r="R104"/>
  <c r="S104" s="1"/>
  <c r="R129"/>
  <c r="S129" s="1"/>
  <c r="R809"/>
  <c r="S809" s="1"/>
  <c r="R743"/>
  <c r="S743" s="1"/>
  <c r="R378"/>
  <c r="S378" s="1"/>
  <c r="G754"/>
  <c r="G747"/>
  <c r="S447"/>
  <c r="P703"/>
  <c r="P822"/>
  <c r="P770"/>
  <c r="P61"/>
  <c r="Q1324"/>
  <c r="S1324" s="1"/>
  <c r="Q1007"/>
  <c r="S1007" s="1"/>
  <c r="Q1117"/>
  <c r="S1117" s="1"/>
  <c r="Q1108"/>
  <c r="S1108" s="1"/>
  <c r="Q1112"/>
  <c r="S1112" s="1"/>
  <c r="Q1309"/>
  <c r="S1309" s="1"/>
  <c r="Q1227"/>
  <c r="S1227" s="1"/>
  <c r="Q1115"/>
  <c r="S1115" s="1"/>
  <c r="P473"/>
  <c r="P381"/>
  <c r="P434"/>
  <c r="P983"/>
  <c r="P728"/>
  <c r="P357"/>
  <c r="P695"/>
  <c r="P384"/>
  <c r="B384" s="1"/>
  <c r="P369"/>
  <c r="B369" s="1"/>
  <c r="P740"/>
  <c r="B740" s="1"/>
  <c r="P760"/>
  <c r="P1143"/>
  <c r="P737"/>
  <c r="P383"/>
  <c r="P726"/>
  <c r="P622"/>
  <c r="P335"/>
  <c r="Q1307"/>
  <c r="S1307" s="1"/>
  <c r="Q1226"/>
  <c r="S1226" s="1"/>
  <c r="Q1104"/>
  <c r="S1104" s="1"/>
  <c r="Q1151"/>
  <c r="S1151" s="1"/>
  <c r="Q386"/>
  <c r="S386" s="1"/>
  <c r="R2853" i="27"/>
  <c r="P2886"/>
  <c r="R2886" s="1"/>
  <c r="P1222" i="69"/>
  <c r="O1222"/>
  <c r="O469" i="67"/>
  <c r="M469"/>
  <c r="O468" i="69"/>
  <c r="Q468"/>
  <c r="I468"/>
  <c r="G468"/>
  <c r="M468"/>
  <c r="K468"/>
  <c r="F85" i="25"/>
  <c r="D86"/>
  <c r="K2953" i="27"/>
  <c r="I3906"/>
  <c r="K3906" s="1"/>
  <c r="K3573"/>
  <c r="K3564" s="1"/>
  <c r="K3566" s="1"/>
  <c r="K3567" s="1"/>
  <c r="G469" i="69"/>
  <c r="O469"/>
  <c r="M469"/>
  <c r="P1296"/>
  <c r="O1296"/>
  <c r="P1318"/>
  <c r="O1318"/>
  <c r="Q1105"/>
  <c r="B1105"/>
  <c r="I3887" i="27"/>
  <c r="K3887" s="1"/>
  <c r="K3051"/>
  <c r="G289" i="69"/>
  <c r="P289"/>
  <c r="F282"/>
  <c r="O468" i="67"/>
  <c r="M468"/>
  <c r="K468"/>
  <c r="G299" i="69"/>
  <c r="P299"/>
  <c r="F5" i="67"/>
  <c r="P5" s="1"/>
  <c r="B5" s="1"/>
  <c r="F5" i="69"/>
  <c r="P5" s="1"/>
  <c r="B5" s="1"/>
  <c r="F444"/>
  <c r="F444" i="67"/>
  <c r="G984" i="69"/>
  <c r="P984"/>
  <c r="G712"/>
  <c r="P712"/>
  <c r="F498" i="67"/>
  <c r="F2775" i="68"/>
  <c r="I2775" s="1"/>
  <c r="F498" i="69"/>
  <c r="P498" s="1"/>
  <c r="B498" s="1"/>
  <c r="Q268"/>
  <c r="B268"/>
  <c r="P976"/>
  <c r="G976"/>
  <c r="G357"/>
  <c r="P357"/>
  <c r="Q900"/>
  <c r="B900"/>
  <c r="G985"/>
  <c r="P985"/>
  <c r="F494"/>
  <c r="P494" s="1"/>
  <c r="B494" s="1"/>
  <c r="F494" i="67"/>
  <c r="F2771" i="68"/>
  <c r="I2771" s="1"/>
  <c r="P473" i="69"/>
  <c r="G473"/>
  <c r="F620"/>
  <c r="P620" s="1"/>
  <c r="B620" s="1"/>
  <c r="F620" i="67"/>
  <c r="F6" i="69"/>
  <c r="P6" s="1"/>
  <c r="B6" s="1"/>
  <c r="F6" i="67"/>
  <c r="G640" i="69"/>
  <c r="P640"/>
  <c r="F142" i="67"/>
  <c r="F142" i="69"/>
  <c r="P142" s="1"/>
  <c r="B142" s="1"/>
  <c r="G982"/>
  <c r="P982"/>
  <c r="P728"/>
  <c r="G728"/>
  <c r="F353"/>
  <c r="P353" s="1"/>
  <c r="B353" s="1"/>
  <c r="F353" i="67"/>
  <c r="B967" i="69"/>
  <c r="Q967"/>
  <c r="B270"/>
  <c r="Q270"/>
  <c r="P623"/>
  <c r="B406"/>
  <c r="Q406"/>
  <c r="P897"/>
  <c r="G897"/>
  <c r="B386"/>
  <c r="Q386"/>
  <c r="G1142"/>
  <c r="P1142"/>
  <c r="G737"/>
  <c r="P737"/>
  <c r="F762" i="67"/>
  <c r="F762" i="69"/>
  <c r="P762" s="1"/>
  <c r="B762" s="1"/>
  <c r="G61"/>
  <c r="P61"/>
  <c r="R670" i="11"/>
  <c r="T670"/>
  <c r="R2061" i="1"/>
  <c r="M2075"/>
  <c r="M2076" s="1"/>
  <c r="R2076" s="1"/>
  <c r="D1471" i="69"/>
  <c r="D1472" i="67"/>
  <c r="D1557" i="69"/>
  <c r="G1557" s="1"/>
  <c r="D1558" i="67"/>
  <c r="G1558" s="1"/>
  <c r="F358"/>
  <c r="G358" s="1"/>
  <c r="R358" s="1"/>
  <c r="F358" i="69"/>
  <c r="D923" i="67"/>
  <c r="D923" i="69"/>
  <c r="D927" i="67"/>
  <c r="D927" i="69"/>
  <c r="D353" i="67"/>
  <c r="I353" s="1"/>
  <c r="D353" i="69"/>
  <c r="M2256" i="1"/>
  <c r="L2221"/>
  <c r="K2255"/>
  <c r="K2288" s="1"/>
  <c r="D870" i="69"/>
  <c r="D870" i="67"/>
  <c r="K2583" i="1"/>
  <c r="Q1241" i="69"/>
  <c r="B1241"/>
  <c r="Q1119"/>
  <c r="B1119"/>
  <c r="Q1207"/>
  <c r="B1207"/>
  <c r="Q1191"/>
  <c r="B1191"/>
  <c r="Q1175"/>
  <c r="B1175"/>
  <c r="Q962"/>
  <c r="B962"/>
  <c r="Q492"/>
  <c r="B492"/>
  <c r="G801"/>
  <c r="P801"/>
  <c r="K3183" i="27"/>
  <c r="K3184" s="1"/>
  <c r="L3184" s="1"/>
  <c r="K3172"/>
  <c r="K3173" s="1"/>
  <c r="L3173" s="1"/>
  <c r="K3153"/>
  <c r="K3154" s="1"/>
  <c r="I3006"/>
  <c r="K3006" s="1"/>
  <c r="I3809"/>
  <c r="K3809" s="1"/>
  <c r="K3874" s="1"/>
  <c r="K2855"/>
  <c r="N1114" i="69"/>
  <c r="I1114"/>
  <c r="M737" i="11"/>
  <c r="K736"/>
  <c r="L735"/>
  <c r="K3542" i="1"/>
  <c r="V3542"/>
  <c r="AE3542"/>
  <c r="P3546"/>
  <c r="R3546" s="1"/>
  <c r="D394" i="69"/>
  <c r="D394" i="67"/>
  <c r="I1897" i="1"/>
  <c r="K1897" s="1"/>
  <c r="K1899" s="1"/>
  <c r="K1888"/>
  <c r="K1890" s="1"/>
  <c r="P1994"/>
  <c r="R1994" s="1"/>
  <c r="K1994"/>
  <c r="I429" i="69"/>
  <c r="O429"/>
  <c r="D390" i="67"/>
  <c r="D390" i="69"/>
  <c r="K3546" i="1"/>
  <c r="AE3546"/>
  <c r="V3546"/>
  <c r="P3550"/>
  <c r="R3550" s="1"/>
  <c r="I3319"/>
  <c r="K3319" s="1"/>
  <c r="I3147"/>
  <c r="I2663"/>
  <c r="I2814"/>
  <c r="I2634"/>
  <c r="C89"/>
  <c r="P3189"/>
  <c r="P1100"/>
  <c r="R1074"/>
  <c r="AB1246"/>
  <c r="X1241"/>
  <c r="K355" i="67"/>
  <c r="M355"/>
  <c r="O355"/>
  <c r="F26" i="25"/>
  <c r="D39"/>
  <c r="F39" s="1"/>
  <c r="K711" i="67"/>
  <c r="M711"/>
  <c r="O711"/>
  <c r="P398" i="69"/>
  <c r="G398"/>
  <c r="Q1308"/>
  <c r="B1308"/>
  <c r="L3208" i="1"/>
  <c r="L3211" s="1"/>
  <c r="K3245"/>
  <c r="K3247" s="1"/>
  <c r="F2432" i="68"/>
  <c r="I2432" s="1"/>
  <c r="I2430"/>
  <c r="M761" i="69"/>
  <c r="K761"/>
  <c r="O761"/>
  <c r="G761"/>
  <c r="I761"/>
  <c r="Q761"/>
  <c r="M233" i="67"/>
  <c r="O233"/>
  <c r="K233"/>
  <c r="M776"/>
  <c r="O776"/>
  <c r="K776"/>
  <c r="D12"/>
  <c r="D12" i="69"/>
  <c r="O696"/>
  <c r="Q696"/>
  <c r="M696"/>
  <c r="I696"/>
  <c r="K696"/>
  <c r="G696"/>
  <c r="O676"/>
  <c r="G676"/>
  <c r="Q676"/>
  <c r="K676"/>
  <c r="I676"/>
  <c r="M676"/>
  <c r="D29" i="67"/>
  <c r="D29" i="69"/>
  <c r="P285"/>
  <c r="G285"/>
  <c r="M668"/>
  <c r="Q668"/>
  <c r="G668"/>
  <c r="O668"/>
  <c r="K668"/>
  <c r="I668"/>
  <c r="M356"/>
  <c r="G356"/>
  <c r="O356"/>
  <c r="I356"/>
  <c r="K356"/>
  <c r="Q356"/>
  <c r="D1518"/>
  <c r="G1518" s="1"/>
  <c r="M353" i="11"/>
  <c r="L353"/>
  <c r="D1519" i="67"/>
  <c r="G1519" s="1"/>
  <c r="P2344" i="1"/>
  <c r="R2344" s="1"/>
  <c r="D8" i="69"/>
  <c r="D8" i="67"/>
  <c r="I1767" i="1"/>
  <c r="K1767" s="1"/>
  <c r="K1775" s="1"/>
  <c r="K91"/>
  <c r="Q5" i="69"/>
  <c r="O5"/>
  <c r="K5"/>
  <c r="I5"/>
  <c r="M5"/>
  <c r="G5"/>
  <c r="K603" i="67"/>
  <c r="M603"/>
  <c r="O603"/>
  <c r="P2857" i="1"/>
  <c r="R2857" s="1"/>
  <c r="R2824"/>
  <c r="D155" i="69"/>
  <c r="D155" i="67"/>
  <c r="G1470"/>
  <c r="D876"/>
  <c r="K602" i="69"/>
  <c r="G602"/>
  <c r="Q602"/>
  <c r="I602"/>
  <c r="M602"/>
  <c r="O602"/>
  <c r="L1601" i="1"/>
  <c r="L1602" s="1"/>
  <c r="K146" i="11"/>
  <c r="Q1245" i="69"/>
  <c r="B1245"/>
  <c r="Q1211"/>
  <c r="B1211"/>
  <c r="Q1195"/>
  <c r="B1195"/>
  <c r="Q1179"/>
  <c r="B1179"/>
  <c r="B543"/>
  <c r="Q543"/>
  <c r="O1050" i="67"/>
  <c r="Q1050"/>
  <c r="S1050" s="1"/>
  <c r="F884"/>
  <c r="F884" i="69"/>
  <c r="G802"/>
  <c r="P802"/>
  <c r="P1055" i="1"/>
  <c r="R1055" s="1"/>
  <c r="R953"/>
  <c r="I153" i="27"/>
  <c r="K153" s="1"/>
  <c r="I183"/>
  <c r="K183" s="1"/>
  <c r="K188" s="1"/>
  <c r="I1683"/>
  <c r="K1683" s="1"/>
  <c r="K705" i="11"/>
  <c r="K667"/>
  <c r="P1493" i="1"/>
  <c r="R1462"/>
  <c r="P1476"/>
  <c r="D903" i="69"/>
  <c r="D903" i="67"/>
  <c r="I1590" i="1"/>
  <c r="K1590" s="1"/>
  <c r="I1564"/>
  <c r="K1564" s="1"/>
  <c r="I1577"/>
  <c r="K1577" s="1"/>
  <c r="R1863"/>
  <c r="R1868" s="1"/>
  <c r="R1870" s="1"/>
  <c r="P1879" s="1"/>
  <c r="R1879" s="1"/>
  <c r="R1881" s="1"/>
  <c r="P1894"/>
  <c r="R1894" s="1"/>
  <c r="R1899" s="1"/>
  <c r="R1901" s="1"/>
  <c r="P1910" s="1"/>
  <c r="R1910" s="1"/>
  <c r="R1912" s="1"/>
  <c r="F547" i="25"/>
  <c r="D584"/>
  <c r="I585" i="27"/>
  <c r="K585"/>
  <c r="K429" i="67"/>
  <c r="M429"/>
  <c r="O429"/>
  <c r="D682"/>
  <c r="D682" i="69"/>
  <c r="X591" i="1"/>
  <c r="D262" i="67"/>
  <c r="D262" i="69"/>
  <c r="K3989" i="1"/>
  <c r="I3990"/>
  <c r="K3990" s="1"/>
  <c r="K758" i="67"/>
  <c r="M758"/>
  <c r="O758"/>
  <c r="AD1406" i="1"/>
  <c r="AB1423"/>
  <c r="AD1423" s="1"/>
  <c r="AE428"/>
  <c r="AG428" s="1"/>
  <c r="AQ392"/>
  <c r="AS392" s="1"/>
  <c r="AG392"/>
  <c r="W563"/>
  <c r="AC563" s="1"/>
  <c r="AJ563" s="1"/>
  <c r="J562"/>
  <c r="V1404"/>
  <c r="X1388"/>
  <c r="I746" i="69"/>
  <c r="M746"/>
  <c r="O746"/>
  <c r="G746"/>
  <c r="O747"/>
  <c r="M747"/>
  <c r="G747"/>
  <c r="Q747"/>
  <c r="O359" i="67"/>
  <c r="K359"/>
  <c r="M359"/>
  <c r="K698" i="69"/>
  <c r="I698"/>
  <c r="O698"/>
  <c r="M698"/>
  <c r="G703"/>
  <c r="P703"/>
  <c r="W539" i="1"/>
  <c r="AC539" s="1"/>
  <c r="AJ539" s="1"/>
  <c r="J540"/>
  <c r="L3233"/>
  <c r="L3239" s="1"/>
  <c r="L3241" s="1"/>
  <c r="K3273"/>
  <c r="K3275" s="1"/>
  <c r="P263" i="69"/>
  <c r="P2822" i="1"/>
  <c r="I3479"/>
  <c r="K3479" s="1"/>
  <c r="K2815"/>
  <c r="B359" i="69"/>
  <c r="Q359"/>
  <c r="Q233"/>
  <c r="M233"/>
  <c r="I233"/>
  <c r="G233"/>
  <c r="K233"/>
  <c r="O233"/>
  <c r="M776"/>
  <c r="G776"/>
  <c r="O776"/>
  <c r="Q776"/>
  <c r="I776"/>
  <c r="K776"/>
  <c r="O14"/>
  <c r="Q14"/>
  <c r="M14"/>
  <c r="G14"/>
  <c r="I14"/>
  <c r="K14"/>
  <c r="O11" i="67"/>
  <c r="K11"/>
  <c r="M11"/>
  <c r="D677"/>
  <c r="D257" i="69"/>
  <c r="D257" i="67"/>
  <c r="I257" s="1"/>
  <c r="D677" i="69"/>
  <c r="I592" i="1"/>
  <c r="K592" s="1"/>
  <c r="G28" i="69"/>
  <c r="O28"/>
  <c r="I28"/>
  <c r="K28"/>
  <c r="Q28"/>
  <c r="M28"/>
  <c r="K2269" i="27"/>
  <c r="I2671"/>
  <c r="K2671" s="1"/>
  <c r="M668" i="67"/>
  <c r="O668"/>
  <c r="K668"/>
  <c r="K697" i="69"/>
  <c r="O697"/>
  <c r="M697"/>
  <c r="Q697"/>
  <c r="G697"/>
  <c r="I697"/>
  <c r="D6" i="67"/>
  <c r="I6" s="1"/>
  <c r="L89" i="1"/>
  <c r="M89" s="1"/>
  <c r="D6" i="69"/>
  <c r="O5" i="67"/>
  <c r="Q5"/>
  <c r="M5"/>
  <c r="G5"/>
  <c r="I5"/>
  <c r="D134"/>
  <c r="D134" i="69"/>
  <c r="D433"/>
  <c r="D433" i="67"/>
  <c r="D876" i="69"/>
  <c r="G1469"/>
  <c r="D1519"/>
  <c r="G1519" s="1"/>
  <c r="L364" i="11"/>
  <c r="M364"/>
  <c r="D1520" i="67"/>
  <c r="G1520" s="1"/>
  <c r="M904"/>
  <c r="O904"/>
  <c r="K904"/>
  <c r="B275" i="69"/>
  <c r="Q275"/>
  <c r="R405" i="1"/>
  <c r="R407" s="1"/>
  <c r="P414" s="1"/>
  <c r="R414" s="1"/>
  <c r="Q474" i="67"/>
  <c r="Q1249" i="69"/>
  <c r="B1249"/>
  <c r="Q1215"/>
  <c r="B1215"/>
  <c r="Q1199"/>
  <c r="B1199"/>
  <c r="Q1183"/>
  <c r="B1183"/>
  <c r="Q1134"/>
  <c r="B1134"/>
  <c r="Q402"/>
  <c r="B402"/>
  <c r="B714"/>
  <c r="Q714"/>
  <c r="O1224" i="67"/>
  <c r="Q1224"/>
  <c r="S1224" s="1"/>
  <c r="G1144" i="69"/>
  <c r="P1144"/>
  <c r="O1303" i="67"/>
  <c r="Q1303"/>
  <c r="S1303" s="1"/>
  <c r="K2956" i="27"/>
  <c r="I2986"/>
  <c r="K2986" s="1"/>
  <c r="I2959"/>
  <c r="I3909"/>
  <c r="K3909" s="1"/>
  <c r="K3352"/>
  <c r="K3355" s="1"/>
  <c r="K3356" s="1"/>
  <c r="I3406"/>
  <c r="K83" i="11"/>
  <c r="I206"/>
  <c r="K206" s="1"/>
  <c r="I107"/>
  <c r="K791"/>
  <c r="K795" s="1"/>
  <c r="K796" s="1"/>
  <c r="P792"/>
  <c r="D926" i="69"/>
  <c r="D926" i="67"/>
  <c r="P2081" i="1"/>
  <c r="R2081" s="1"/>
  <c r="K3107"/>
  <c r="T1640"/>
  <c r="R1640"/>
  <c r="K1223"/>
  <c r="P1218"/>
  <c r="AD645"/>
  <c r="AF645" s="1"/>
  <c r="X645"/>
  <c r="X2608"/>
  <c r="Z2606" s="1"/>
  <c r="AE2622"/>
  <c r="AG2622" s="1"/>
  <c r="K899" i="11"/>
  <c r="K902" s="1"/>
  <c r="K895" s="1"/>
  <c r="K896" s="1"/>
  <c r="I916"/>
  <c r="K916" s="1"/>
  <c r="K918" s="1"/>
  <c r="K919" s="1"/>
  <c r="K912" s="1"/>
  <c r="AQ67" i="1"/>
  <c r="AE315"/>
  <c r="AG315" s="1"/>
  <c r="X315"/>
  <c r="X3701"/>
  <c r="V3715"/>
  <c r="R141"/>
  <c r="R144" s="1"/>
  <c r="P126"/>
  <c r="R126" s="1"/>
  <c r="R129" s="1"/>
  <c r="AB553"/>
  <c r="AD553" s="1"/>
  <c r="AD529"/>
  <c r="AI529"/>
  <c r="D1543" i="67"/>
  <c r="G1543" s="1"/>
  <c r="L943" i="11"/>
  <c r="D1542" i="69"/>
  <c r="G1542" s="1"/>
  <c r="D642" i="67"/>
  <c r="D1501"/>
  <c r="G1501" s="1"/>
  <c r="D642" i="69"/>
  <c r="D1500"/>
  <c r="G1500" s="1"/>
  <c r="K3061" i="1"/>
  <c r="P3068"/>
  <c r="R3068" s="1"/>
  <c r="I3080"/>
  <c r="K3080" s="1"/>
  <c r="AE3557"/>
  <c r="AG3541"/>
  <c r="D111" i="67"/>
  <c r="D111" i="69"/>
  <c r="M747" i="67"/>
  <c r="K747"/>
  <c r="O747"/>
  <c r="V1376" i="1"/>
  <c r="P1432"/>
  <c r="R1415"/>
  <c r="G760" i="69"/>
  <c r="P760"/>
  <c r="D851" i="67"/>
  <c r="D851" i="69"/>
  <c r="M698" i="67"/>
  <c r="O698"/>
  <c r="P257" i="69"/>
  <c r="G257"/>
  <c r="D621" i="25"/>
  <c r="F586"/>
  <c r="W489" i="1"/>
  <c r="AC489" s="1"/>
  <c r="J665"/>
  <c r="F346" i="67"/>
  <c r="F346" i="69"/>
  <c r="P346" s="1"/>
  <c r="B346" s="1"/>
  <c r="K2453" i="27"/>
  <c r="K2455"/>
  <c r="D17" i="67"/>
  <c r="D17" i="69"/>
  <c r="K119" i="1"/>
  <c r="K11" i="69"/>
  <c r="G11"/>
  <c r="Q11"/>
  <c r="O11"/>
  <c r="I11"/>
  <c r="M11"/>
  <c r="K676" i="67"/>
  <c r="M676"/>
  <c r="O676"/>
  <c r="K28"/>
  <c r="O28"/>
  <c r="M28"/>
  <c r="M775"/>
  <c r="O775"/>
  <c r="K775"/>
  <c r="G1471"/>
  <c r="D877"/>
  <c r="K311"/>
  <c r="M311"/>
  <c r="O311"/>
  <c r="O697"/>
  <c r="K697"/>
  <c r="M697"/>
  <c r="I2378" i="27"/>
  <c r="K2378" s="1"/>
  <c r="I2354" s="1"/>
  <c r="K2354" s="1"/>
  <c r="K2356" s="1"/>
  <c r="K2357" s="1"/>
  <c r="I2396"/>
  <c r="I2395"/>
  <c r="M754" i="69"/>
  <c r="I754"/>
  <c r="K754"/>
  <c r="G754"/>
  <c r="O754"/>
  <c r="Q754"/>
  <c r="AQ110" i="1"/>
  <c r="AS90"/>
  <c r="D1522" i="69"/>
  <c r="G1522" s="1"/>
  <c r="M390" i="11"/>
  <c r="L390"/>
  <c r="K2276" i="1"/>
  <c r="K398" i="11"/>
  <c r="K402" s="1"/>
  <c r="D1523" i="67"/>
  <c r="G1523" s="1"/>
  <c r="Q904" i="69"/>
  <c r="K904"/>
  <c r="M904"/>
  <c r="G904"/>
  <c r="O904"/>
  <c r="I904"/>
  <c r="K602" i="67"/>
  <c r="O602"/>
  <c r="M602"/>
  <c r="R955" i="1"/>
  <c r="R957" s="1"/>
  <c r="K2979"/>
  <c r="K2981" s="1"/>
  <c r="Q1253" i="69"/>
  <c r="B1253"/>
  <c r="Q1237"/>
  <c r="B1237"/>
  <c r="Q1219"/>
  <c r="B1219"/>
  <c r="Q1203"/>
  <c r="B1203"/>
  <c r="Q1187"/>
  <c r="B1187"/>
  <c r="Q1138"/>
  <c r="B1138"/>
  <c r="Q438"/>
  <c r="B438"/>
  <c r="B455"/>
  <c r="Q455"/>
  <c r="O1326" i="67"/>
  <c r="Q1326"/>
  <c r="S1326" s="1"/>
  <c r="P441" i="69"/>
  <c r="K2906" i="27"/>
  <c r="I2932"/>
  <c r="I3029"/>
  <c r="K3029" s="1"/>
  <c r="K3248"/>
  <c r="K3250" s="1"/>
  <c r="K3251" s="1"/>
  <c r="K3243" s="1"/>
  <c r="K3244" s="1"/>
  <c r="I3266"/>
  <c r="K108" i="11"/>
  <c r="I226"/>
  <c r="I615"/>
  <c r="K593"/>
  <c r="K596" s="1"/>
  <c r="K597" s="1"/>
  <c r="K586" s="1"/>
  <c r="P1225" i="1"/>
  <c r="P1262"/>
  <c r="R1220"/>
  <c r="T1220" s="1"/>
  <c r="K663" i="11"/>
  <c r="K669" s="1"/>
  <c r="I701"/>
  <c r="V1390" i="1"/>
  <c r="X1373"/>
  <c r="K3760"/>
  <c r="K3772" s="1"/>
  <c r="K3774" s="1"/>
  <c r="D366" i="69"/>
  <c r="D701"/>
  <c r="D366" i="67"/>
  <c r="D701"/>
  <c r="I740" i="27"/>
  <c r="K740" s="1"/>
  <c r="K755" s="1"/>
  <c r="K757" s="1"/>
  <c r="K731"/>
  <c r="K733" s="1"/>
  <c r="V1323" i="1"/>
  <c r="X1323" s="1"/>
  <c r="X1303"/>
  <c r="AG393"/>
  <c r="AE429"/>
  <c r="AG429" s="1"/>
  <c r="AQ393"/>
  <c r="AS393" s="1"/>
  <c r="I3531"/>
  <c r="P3535" s="1"/>
  <c r="R3535" s="1"/>
  <c r="K1136"/>
  <c r="V3521"/>
  <c r="X3521" s="1"/>
  <c r="V3557"/>
  <c r="X3541"/>
  <c r="L3192"/>
  <c r="L3195" s="1"/>
  <c r="L3197" s="1"/>
  <c r="K3229"/>
  <c r="K3231" s="1"/>
  <c r="P1236"/>
  <c r="R1236" s="1"/>
  <c r="V1239"/>
  <c r="R1259"/>
  <c r="AS65"/>
  <c r="AQ89"/>
  <c r="K1093"/>
  <c r="I1108"/>
  <c r="K1108" s="1"/>
  <c r="K3421" i="27"/>
  <c r="I3416" s="1"/>
  <c r="K3416" s="1"/>
  <c r="L3416" s="1"/>
  <c r="I3443"/>
  <c r="I3077" i="1"/>
  <c r="K3077" s="1"/>
  <c r="K3083" s="1"/>
  <c r="K3085" s="1"/>
  <c r="P3065"/>
  <c r="R3065" s="1"/>
  <c r="R3071" s="1"/>
  <c r="R3073" s="1"/>
  <c r="K3058"/>
  <c r="K3064" s="1"/>
  <c r="K3066" s="1"/>
  <c r="D1559" i="69"/>
  <c r="G1559" s="1"/>
  <c r="D1560" i="67"/>
  <c r="G1560" s="1"/>
  <c r="G457" i="69"/>
  <c r="P457"/>
  <c r="I355"/>
  <c r="K355"/>
  <c r="D315" i="67"/>
  <c r="D315" i="69"/>
  <c r="K359"/>
  <c r="O359"/>
  <c r="K398" i="67"/>
  <c r="O398"/>
  <c r="AB1223" i="1"/>
  <c r="AD1223" s="1"/>
  <c r="AD1251"/>
  <c r="D590" i="25"/>
  <c r="F553"/>
  <c r="F461" i="67"/>
  <c r="F461" i="69"/>
  <c r="P381"/>
  <c r="G381"/>
  <c r="D1502" i="67"/>
  <c r="G1502" s="1"/>
  <c r="D1501" i="69"/>
  <c r="G1501" s="1"/>
  <c r="I952" i="1"/>
  <c r="K952" s="1"/>
  <c r="I987"/>
  <c r="K987" s="1"/>
  <c r="I1017"/>
  <c r="I2311" i="27"/>
  <c r="K2311" s="1"/>
  <c r="I2468"/>
  <c r="K2468" s="1"/>
  <c r="D15" i="67"/>
  <c r="D15" i="69"/>
  <c r="K696" i="67"/>
  <c r="M696"/>
  <c r="O696"/>
  <c r="M256"/>
  <c r="O256"/>
  <c r="K256"/>
  <c r="M256" i="69"/>
  <c r="K256"/>
  <c r="G256"/>
  <c r="O256"/>
  <c r="Q256"/>
  <c r="I256"/>
  <c r="G775"/>
  <c r="O775"/>
  <c r="M775"/>
  <c r="Q775"/>
  <c r="I775"/>
  <c r="K775"/>
  <c r="D877"/>
  <c r="G1470"/>
  <c r="G286"/>
  <c r="P286"/>
  <c r="K311"/>
  <c r="I311"/>
  <c r="M311"/>
  <c r="G311"/>
  <c r="Q311"/>
  <c r="O311"/>
  <c r="K356" i="67"/>
  <c r="M356"/>
  <c r="O356"/>
  <c r="O754"/>
  <c r="K754"/>
  <c r="M754"/>
  <c r="P621" i="69"/>
  <c r="D1520"/>
  <c r="G1520" s="1"/>
  <c r="D748" i="67"/>
  <c r="D1521"/>
  <c r="G1521" s="1"/>
  <c r="L379" i="11"/>
  <c r="M379"/>
  <c r="D748" i="69"/>
  <c r="R2875" i="27"/>
  <c r="R2877" s="1"/>
  <c r="P2892" s="1"/>
  <c r="R2892" s="1"/>
  <c r="F230" i="32"/>
  <c r="Q262" i="67"/>
  <c r="Q903"/>
  <c r="Q257"/>
  <c r="C166" i="1"/>
  <c r="P740" i="69"/>
  <c r="G740"/>
  <c r="F296"/>
  <c r="F883"/>
  <c r="P883" s="1"/>
  <c r="P358"/>
  <c r="G358"/>
  <c r="G765"/>
  <c r="P765"/>
  <c r="P280"/>
  <c r="G280"/>
  <c r="F835"/>
  <c r="F835" i="67"/>
  <c r="G835" s="1"/>
  <c r="R835" s="1"/>
  <c r="P369" i="69"/>
  <c r="G369"/>
  <c r="F295"/>
  <c r="P295" s="1"/>
  <c r="F295" i="67"/>
  <c r="F278" i="69"/>
  <c r="D620" i="25"/>
  <c r="F585"/>
  <c r="K2857" i="27"/>
  <c r="K3008" s="1"/>
  <c r="I3122"/>
  <c r="K3116" s="1"/>
  <c r="R3116" s="1"/>
  <c r="R3130" s="1"/>
  <c r="H3123"/>
  <c r="K2942"/>
  <c r="K3060" s="1"/>
  <c r="K3076" s="1"/>
  <c r="K3102" s="1"/>
  <c r="R3075" s="1"/>
  <c r="K2975"/>
  <c r="K2918"/>
  <c r="K3461" i="1"/>
  <c r="P3467"/>
  <c r="R3467" s="1"/>
  <c r="I3828"/>
  <c r="K3828" s="1"/>
  <c r="F100" i="25"/>
  <c r="D121"/>
  <c r="K3194" i="27"/>
  <c r="K3195" s="1"/>
  <c r="L3195" s="1"/>
  <c r="K3209"/>
  <c r="K3210" s="1"/>
  <c r="L3210" s="1"/>
  <c r="K3220"/>
  <c r="K3221" s="1"/>
  <c r="Q1150" i="69"/>
  <c r="B1150"/>
  <c r="D342"/>
  <c r="I1987" i="1"/>
  <c r="D342" i="67"/>
  <c r="Q1321" i="69"/>
  <c r="B1321"/>
  <c r="AE424" i="1"/>
  <c r="AG424" s="1"/>
  <c r="AG388"/>
  <c r="M474" i="67"/>
  <c r="O474"/>
  <c r="K474"/>
  <c r="D41" i="69"/>
  <c r="D41" i="67"/>
  <c r="P384" i="69"/>
  <c r="G384"/>
  <c r="R3507" i="27"/>
  <c r="R3498" s="1"/>
  <c r="R416" i="1"/>
  <c r="R418" s="1"/>
  <c r="P1299" i="69"/>
  <c r="O1299"/>
  <c r="R2849" i="27"/>
  <c r="P2882"/>
  <c r="R2882" s="1"/>
  <c r="G723" i="69"/>
  <c r="O723"/>
  <c r="I723"/>
  <c r="M723"/>
  <c r="K723"/>
  <c r="P3291" i="1"/>
  <c r="P3221"/>
  <c r="P3257"/>
  <c r="R3257" s="1"/>
  <c r="R3188"/>
  <c r="D295" i="67"/>
  <c r="I295" s="1"/>
  <c r="D295" i="69"/>
  <c r="Q383"/>
  <c r="B383"/>
  <c r="P628"/>
  <c r="K474"/>
  <c r="M474"/>
  <c r="O474"/>
  <c r="I474"/>
  <c r="G474"/>
  <c r="Q474"/>
  <c r="D470"/>
  <c r="D470" i="67"/>
  <c r="D452" i="69"/>
  <c r="D452" i="67"/>
  <c r="P282" i="69"/>
  <c r="G282"/>
  <c r="O1323"/>
  <c r="P1323"/>
  <c r="I3280" i="27"/>
  <c r="K3267"/>
  <c r="P2640" i="1"/>
  <c r="R2640" s="1"/>
  <c r="I3420"/>
  <c r="K3420" s="1"/>
  <c r="V2601"/>
  <c r="K2633"/>
  <c r="P3153"/>
  <c r="R3153" s="1"/>
  <c r="K3146"/>
  <c r="I27"/>
  <c r="K27" s="1"/>
  <c r="I63"/>
  <c r="K63" s="1"/>
  <c r="I44"/>
  <c r="K44" s="1"/>
  <c r="I2127"/>
  <c r="K2127" s="1"/>
  <c r="I72"/>
  <c r="K72" s="1"/>
  <c r="I1255"/>
  <c r="I2425"/>
  <c r="I53"/>
  <c r="K53" s="1"/>
  <c r="I271"/>
  <c r="K271" s="1"/>
  <c r="I1284"/>
  <c r="K1284" s="1"/>
  <c r="I1561"/>
  <c r="K1561" s="1"/>
  <c r="K1567" s="1"/>
  <c r="I1589"/>
  <c r="K1589" s="1"/>
  <c r="I22" i="11"/>
  <c r="I18" i="1"/>
  <c r="K18" s="1"/>
  <c r="I1304"/>
  <c r="K1304" s="1"/>
  <c r="I1645"/>
  <c r="I808"/>
  <c r="I1226"/>
  <c r="I504"/>
  <c r="I1576"/>
  <c r="K1576" s="1"/>
  <c r="I35"/>
  <c r="K35" s="1"/>
  <c r="I2147"/>
  <c r="I9"/>
  <c r="K3915" i="27"/>
  <c r="K3812"/>
  <c r="K3814" s="1"/>
  <c r="R1046" i="1"/>
  <c r="P1047"/>
  <c r="R1047" s="1"/>
  <c r="P641"/>
  <c r="R641" s="1"/>
  <c r="R645" s="1"/>
  <c r="P50"/>
  <c r="R50" s="1"/>
  <c r="Q1050" i="69"/>
  <c r="B1050"/>
  <c r="K635" i="11"/>
  <c r="K637" s="1"/>
  <c r="D972" i="67" s="1"/>
  <c r="L548" i="11"/>
  <c r="D107" i="67"/>
  <c r="D107" i="69"/>
  <c r="P296"/>
  <c r="AC32" i="1"/>
  <c r="C139" s="1"/>
  <c r="Z33"/>
  <c r="AC33" s="1"/>
  <c r="K2761" i="27"/>
  <c r="K2764" s="1"/>
  <c r="L3319"/>
  <c r="K2209"/>
  <c r="I3446"/>
  <c r="K3424"/>
  <c r="AE2786" i="1"/>
  <c r="AG2786" s="1"/>
  <c r="I2863"/>
  <c r="K2863" s="1"/>
  <c r="K2813"/>
  <c r="P2820"/>
  <c r="K2296"/>
  <c r="K2302" s="1"/>
  <c r="K2304" s="1"/>
  <c r="P2296"/>
  <c r="R2296" s="1"/>
  <c r="R2302" s="1"/>
  <c r="R2304" s="1"/>
  <c r="K3536" i="27"/>
  <c r="K3538" s="1"/>
  <c r="K3539" s="1"/>
  <c r="K3498"/>
  <c r="K3500" s="1"/>
  <c r="Q992" i="69"/>
  <c r="B992"/>
  <c r="B968"/>
  <c r="Q968"/>
  <c r="D39" i="67"/>
  <c r="D39" i="69"/>
  <c r="P1089" i="1"/>
  <c r="AE1062"/>
  <c r="AG1062" s="1"/>
  <c r="P1064"/>
  <c r="R1064" s="1"/>
  <c r="K1053"/>
  <c r="P987"/>
  <c r="R987" s="1"/>
  <c r="Q704" i="69"/>
  <c r="B704"/>
  <c r="P23" i="1"/>
  <c r="P9"/>
  <c r="R9" s="1"/>
  <c r="Q1306" i="69"/>
  <c r="B1306"/>
  <c r="K625" i="11"/>
  <c r="K627" s="1"/>
  <c r="K2290" i="1" s="1"/>
  <c r="L517" i="11"/>
  <c r="F312" i="69"/>
  <c r="F312" i="67"/>
  <c r="G312" s="1"/>
  <c r="R312" s="1"/>
  <c r="K957" i="27"/>
  <c r="K959" s="1"/>
  <c r="K910"/>
  <c r="I2554"/>
  <c r="I2522"/>
  <c r="K2522" s="1"/>
  <c r="K1011"/>
  <c r="D1539" i="69"/>
  <c r="G1539" s="1"/>
  <c r="D1540" i="67"/>
  <c r="G1540" s="1"/>
  <c r="K1012" i="27"/>
  <c r="I2523"/>
  <c r="K2523" s="1"/>
  <c r="K2533" s="1"/>
  <c r="K2535" s="1"/>
  <c r="K367"/>
  <c r="K368" s="1"/>
  <c r="K369" s="1"/>
  <c r="K370" s="1"/>
  <c r="P402"/>
  <c r="R402" s="1"/>
  <c r="P401"/>
  <c r="R401" s="1"/>
  <c r="K912"/>
  <c r="I2556"/>
  <c r="P605"/>
  <c r="R605" s="1"/>
  <c r="I151"/>
  <c r="K151" s="1"/>
  <c r="K160" s="1"/>
  <c r="I139"/>
  <c r="K139" s="1"/>
  <c r="K143" s="1"/>
  <c r="I2555"/>
  <c r="K911"/>
  <c r="P266"/>
  <c r="R266" s="1"/>
  <c r="R270" s="1"/>
  <c r="R272" s="1"/>
  <c r="R274" s="1"/>
  <c r="R275" s="1"/>
  <c r="R276" s="1"/>
  <c r="R277" s="1"/>
  <c r="I425"/>
  <c r="K425" s="1"/>
  <c r="K429" s="1"/>
  <c r="K431" s="1"/>
  <c r="K433" s="1"/>
  <c r="K434" s="1"/>
  <c r="K435" s="1"/>
  <c r="K436" s="1"/>
  <c r="K437" s="1"/>
  <c r="I497"/>
  <c r="K497" s="1"/>
  <c r="I54"/>
  <c r="K54" s="1"/>
  <c r="K58" s="1"/>
  <c r="I19"/>
  <c r="K19" s="1"/>
  <c r="K23" s="1"/>
  <c r="I773"/>
  <c r="K773" s="1"/>
  <c r="I2071"/>
  <c r="K2071" s="1"/>
  <c r="K2079" s="1"/>
  <c r="K2081" s="1"/>
  <c r="I271"/>
  <c r="K271" s="1"/>
  <c r="P22"/>
  <c r="R22" s="1"/>
  <c r="R28" s="1"/>
  <c r="R30" s="1"/>
  <c r="I2051"/>
  <c r="K2051" s="1"/>
  <c r="K2059" s="1"/>
  <c r="K2061" s="1"/>
  <c r="I10"/>
  <c r="K10" s="1"/>
  <c r="I1684"/>
  <c r="K1684" s="1"/>
  <c r="K1691" s="1"/>
  <c r="K1693" s="1"/>
  <c r="I73"/>
  <c r="K73" s="1"/>
  <c r="K77" s="1"/>
  <c r="P10"/>
  <c r="R10" s="1"/>
  <c r="I28"/>
  <c r="K28" s="1"/>
  <c r="K32" s="1"/>
  <c r="I64"/>
  <c r="K64" s="1"/>
  <c r="K68" s="1"/>
  <c r="I36"/>
  <c r="K36" s="1"/>
  <c r="K40" s="1"/>
  <c r="I45"/>
  <c r="K45" s="1"/>
  <c r="K49" s="1"/>
  <c r="K1084"/>
  <c r="K1095" s="1"/>
  <c r="K1097" s="1"/>
  <c r="I2261"/>
  <c r="P602"/>
  <c r="R602" s="1"/>
  <c r="K322"/>
  <c r="K323" s="1"/>
  <c r="K324" s="1"/>
  <c r="K325" s="1"/>
  <c r="K326" s="1"/>
  <c r="K509"/>
  <c r="K511" s="1"/>
  <c r="K512" s="1"/>
  <c r="K513" s="1"/>
  <c r="K514" s="1"/>
  <c r="I518"/>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P589"/>
  <c r="R589" s="1"/>
  <c r="P632"/>
  <c r="R632" s="1"/>
  <c r="P575"/>
  <c r="R575" s="1"/>
  <c r="R136"/>
  <c r="R137" s="1"/>
  <c r="R138" s="1"/>
  <c r="R139" s="1"/>
  <c r="R140" s="1"/>
  <c r="D621" i="69" l="1"/>
  <c r="I2360" i="1"/>
  <c r="I2358"/>
  <c r="D621" i="67"/>
  <c r="I2354" i="1"/>
  <c r="D705" i="67"/>
  <c r="D705" i="69"/>
  <c r="D1561"/>
  <c r="G1561" s="1"/>
  <c r="D1562" i="67"/>
  <c r="G1562" s="1"/>
  <c r="AC12" i="1"/>
  <c r="Z13"/>
  <c r="AQ68"/>
  <c r="AE316"/>
  <c r="AG316" s="1"/>
  <c r="X316"/>
  <c r="P573" i="27"/>
  <c r="R573" s="1"/>
  <c r="R581" s="1"/>
  <c r="I2613"/>
  <c r="K90"/>
  <c r="K89"/>
  <c r="P586"/>
  <c r="R586" s="1"/>
  <c r="R595" s="1"/>
  <c r="O1133" i="69"/>
  <c r="P1133"/>
  <c r="I3684" i="27"/>
  <c r="K3684" s="1"/>
  <c r="I3730"/>
  <c r="K3623"/>
  <c r="K3626" s="1"/>
  <c r="K3627" s="1"/>
  <c r="G872" i="69"/>
  <c r="Q872"/>
  <c r="M872"/>
  <c r="O872"/>
  <c r="I872"/>
  <c r="K872"/>
  <c r="K765" i="67"/>
  <c r="O765"/>
  <c r="I765"/>
  <c r="M765"/>
  <c r="Q765"/>
  <c r="G765"/>
  <c r="K109" i="69"/>
  <c r="Q109"/>
  <c r="M109"/>
  <c r="G109"/>
  <c r="I109"/>
  <c r="O109"/>
  <c r="K3682" i="27"/>
  <c r="K3688" s="1"/>
  <c r="I3693"/>
  <c r="K3693" s="1"/>
  <c r="AJ1204" i="1"/>
  <c r="AC1205"/>
  <c r="V3707"/>
  <c r="V3659"/>
  <c r="AB1453"/>
  <c r="AD1453" s="1"/>
  <c r="X1455"/>
  <c r="AD1376"/>
  <c r="AB1393"/>
  <c r="AD1393" s="1"/>
  <c r="AB1417"/>
  <c r="AD1417" s="1"/>
  <c r="AD1400"/>
  <c r="I461" i="67"/>
  <c r="M461"/>
  <c r="O461"/>
  <c r="K461"/>
  <c r="D445" i="69"/>
  <c r="D445" i="67"/>
  <c r="P372" i="69"/>
  <c r="G372"/>
  <c r="Q874"/>
  <c r="O874"/>
  <c r="I874"/>
  <c r="G874"/>
  <c r="K874"/>
  <c r="M874"/>
  <c r="K922" i="27"/>
  <c r="K924" s="1"/>
  <c r="P2859"/>
  <c r="R2859" s="1"/>
  <c r="I2777" i="68"/>
  <c r="I2778" s="1"/>
  <c r="K247" i="1"/>
  <c r="K249" s="1"/>
  <c r="K437" i="11"/>
  <c r="K438" s="1"/>
  <c r="K430" s="1"/>
  <c r="K431" s="1"/>
  <c r="L431" s="1"/>
  <c r="I590"/>
  <c r="K571"/>
  <c r="I566" s="1"/>
  <c r="AH3113" i="1"/>
  <c r="AH3114" s="1"/>
  <c r="AH3115" s="1"/>
  <c r="AG3113"/>
  <c r="AG3114" s="1"/>
  <c r="AG3115" s="1"/>
  <c r="AF3113"/>
  <c r="AF3114" s="1"/>
  <c r="AF3115" s="1"/>
  <c r="R1419"/>
  <c r="R1421" s="1"/>
  <c r="V1380"/>
  <c r="P1436"/>
  <c r="AE369"/>
  <c r="AG369" s="1"/>
  <c r="X360"/>
  <c r="K3700" i="27"/>
  <c r="K3702" s="1"/>
  <c r="I3709"/>
  <c r="K3709" s="1"/>
  <c r="K3712" s="1"/>
  <c r="K872" i="67"/>
  <c r="M872"/>
  <c r="O872"/>
  <c r="I872"/>
  <c r="Q872"/>
  <c r="G872"/>
  <c r="R872" s="1"/>
  <c r="R1449" i="1"/>
  <c r="P1466"/>
  <c r="M26" i="67"/>
  <c r="O26"/>
  <c r="K26"/>
  <c r="I26"/>
  <c r="Q26"/>
  <c r="G26"/>
  <c r="K449" i="11"/>
  <c r="K450" s="1"/>
  <c r="K451" s="1"/>
  <c r="K444" s="1"/>
  <c r="K446" s="1"/>
  <c r="I467"/>
  <c r="I3961" i="1"/>
  <c r="K3945"/>
  <c r="P1111" i="69"/>
  <c r="O1111"/>
  <c r="K109" i="67"/>
  <c r="M109"/>
  <c r="O109"/>
  <c r="Q109"/>
  <c r="G109"/>
  <c r="I109"/>
  <c r="V199" i="1"/>
  <c r="X199" s="1"/>
  <c r="R199"/>
  <c r="V3603"/>
  <c r="X3586"/>
  <c r="D110" i="69"/>
  <c r="D110" i="67"/>
  <c r="M461" i="69"/>
  <c r="O461"/>
  <c r="I461"/>
  <c r="K461"/>
  <c r="G372" i="67"/>
  <c r="R372" s="1"/>
  <c r="P372"/>
  <c r="K874"/>
  <c r="M874"/>
  <c r="G874"/>
  <c r="O874"/>
  <c r="I874"/>
  <c r="Q874"/>
  <c r="V3563" i="1"/>
  <c r="V3579" s="1"/>
  <c r="V3527"/>
  <c r="P1134" i="67"/>
  <c r="O1134"/>
  <c r="AR3114" i="1"/>
  <c r="AR3115" s="1"/>
  <c r="AR3116" s="1"/>
  <c r="AQ3114"/>
  <c r="AQ3115" s="1"/>
  <c r="AQ3116" s="1"/>
  <c r="C70"/>
  <c r="V642"/>
  <c r="X1394"/>
  <c r="V1410"/>
  <c r="K952" i="67"/>
  <c r="O952"/>
  <c r="M952"/>
  <c r="I952"/>
  <c r="G952"/>
  <c r="R952" s="1"/>
  <c r="Q952"/>
  <c r="K102" i="27"/>
  <c r="K104"/>
  <c r="K105" s="1"/>
  <c r="AB1450" i="1"/>
  <c r="AD1450" s="1"/>
  <c r="X1452"/>
  <c r="AB1361"/>
  <c r="X1363"/>
  <c r="X1365" s="1"/>
  <c r="AG426"/>
  <c r="AE441"/>
  <c r="AG441" s="1"/>
  <c r="AC9"/>
  <c r="C68" s="1"/>
  <c r="I295" s="1"/>
  <c r="K295" s="1"/>
  <c r="Z10"/>
  <c r="AC10" s="1"/>
  <c r="C69" s="1"/>
  <c r="I296" s="1"/>
  <c r="K296" s="1"/>
  <c r="AE340"/>
  <c r="AG340" s="1"/>
  <c r="X340"/>
  <c r="G26" i="69"/>
  <c r="O26"/>
  <c r="K26"/>
  <c r="Q26"/>
  <c r="M26"/>
  <c r="I26"/>
  <c r="X3587" i="1"/>
  <c r="V3604"/>
  <c r="X3604" s="1"/>
  <c r="X1456"/>
  <c r="AB1454"/>
  <c r="AD1454" s="1"/>
  <c r="F42" i="25"/>
  <c r="F45" s="1"/>
  <c r="F46" s="1"/>
  <c r="D29"/>
  <c r="F29" s="1"/>
  <c r="F31" s="1"/>
  <c r="F32" s="1"/>
  <c r="P3404" i="1"/>
  <c r="R3370"/>
  <c r="X3121"/>
  <c r="I4071"/>
  <c r="K4071" s="1"/>
  <c r="V3138"/>
  <c r="AC46"/>
  <c r="Z47"/>
  <c r="AC47" s="1"/>
  <c r="M774" i="67"/>
  <c r="O774"/>
  <c r="K774"/>
  <c r="G774"/>
  <c r="I774"/>
  <c r="Q774"/>
  <c r="K973" i="69"/>
  <c r="Q973"/>
  <c r="M973"/>
  <c r="O973"/>
  <c r="G973"/>
  <c r="I973"/>
  <c r="I3391" i="1"/>
  <c r="K3322"/>
  <c r="K3329" s="1"/>
  <c r="K3331" s="1"/>
  <c r="R5" i="67"/>
  <c r="D777" i="69"/>
  <c r="D777" i="67"/>
  <c r="I3052" i="27"/>
  <c r="I2954"/>
  <c r="K2934"/>
  <c r="Q952" i="69"/>
  <c r="G952"/>
  <c r="M952"/>
  <c r="O952"/>
  <c r="K952"/>
  <c r="I952"/>
  <c r="D690" i="67"/>
  <c r="D690" i="69"/>
  <c r="K615" i="1"/>
  <c r="I615"/>
  <c r="K4020"/>
  <c r="I4021"/>
  <c r="K4021" s="1"/>
  <c r="K3644"/>
  <c r="P3468"/>
  <c r="R3468" s="1"/>
  <c r="D133" i="67"/>
  <c r="D133" i="69"/>
  <c r="K447" i="11"/>
  <c r="I491"/>
  <c r="K491" s="1"/>
  <c r="I506"/>
  <c r="K506" s="1"/>
  <c r="K508" s="1"/>
  <c r="K509" s="1"/>
  <c r="F71" i="25"/>
  <c r="F76" s="1"/>
  <c r="D65" s="1"/>
  <c r="D99"/>
  <c r="O765" i="69"/>
  <c r="I765"/>
  <c r="K765"/>
  <c r="M765"/>
  <c r="Z15" i="27"/>
  <c r="AC15" s="1"/>
  <c r="AC14"/>
  <c r="AB1451" i="1"/>
  <c r="AD1451" s="1"/>
  <c r="X1453"/>
  <c r="F551" i="25"/>
  <c r="D588"/>
  <c r="I2985" i="27"/>
  <c r="K2985" s="1"/>
  <c r="K2988" s="1"/>
  <c r="I3908"/>
  <c r="I2958"/>
  <c r="K2958" s="1"/>
  <c r="K2955"/>
  <c r="Z17" i="1"/>
  <c r="AC17" s="1"/>
  <c r="AC16"/>
  <c r="O774" i="69"/>
  <c r="M774"/>
  <c r="K774"/>
  <c r="I774"/>
  <c r="G774"/>
  <c r="Q774"/>
  <c r="I3278" i="27"/>
  <c r="K3265"/>
  <c r="O974" i="67"/>
  <c r="K974"/>
  <c r="M974"/>
  <c r="G974"/>
  <c r="I974"/>
  <c r="Q974"/>
  <c r="K792" i="1"/>
  <c r="K794" s="1"/>
  <c r="R746" i="67"/>
  <c r="S746" s="1"/>
  <c r="G972"/>
  <c r="I972"/>
  <c r="Q41"/>
  <c r="I41"/>
  <c r="G41"/>
  <c r="P295"/>
  <c r="B295" s="1"/>
  <c r="G295"/>
  <c r="I748"/>
  <c r="G748"/>
  <c r="P461"/>
  <c r="B461" s="1"/>
  <c r="G461"/>
  <c r="R461" s="1"/>
  <c r="I315"/>
  <c r="G315"/>
  <c r="G701"/>
  <c r="I701"/>
  <c r="I111"/>
  <c r="G111"/>
  <c r="I926"/>
  <c r="G926"/>
  <c r="P884"/>
  <c r="B884" s="1"/>
  <c r="I29"/>
  <c r="G29"/>
  <c r="I870"/>
  <c r="G870"/>
  <c r="G927"/>
  <c r="I927"/>
  <c r="G923"/>
  <c r="I923"/>
  <c r="P6"/>
  <c r="B6" s="1"/>
  <c r="G6"/>
  <c r="B398"/>
  <c r="Q398"/>
  <c r="S228"/>
  <c r="S32"/>
  <c r="S226"/>
  <c r="S63"/>
  <c r="S200"/>
  <c r="S206"/>
  <c r="S16"/>
  <c r="R359"/>
  <c r="S359" s="1"/>
  <c r="R469"/>
  <c r="S469" s="1"/>
  <c r="R761"/>
  <c r="S761" s="1"/>
  <c r="R429"/>
  <c r="S429" s="1"/>
  <c r="R233"/>
  <c r="R602"/>
  <c r="S602" s="1"/>
  <c r="R603"/>
  <c r="S603" s="1"/>
  <c r="R11"/>
  <c r="S11" s="1"/>
  <c r="G257"/>
  <c r="R311"/>
  <c r="S311" s="1"/>
  <c r="R28"/>
  <c r="S28" s="1"/>
  <c r="Q470"/>
  <c r="I470"/>
  <c r="G470"/>
  <c r="Q342"/>
  <c r="I342"/>
  <c r="G342"/>
  <c r="I15"/>
  <c r="G15"/>
  <c r="I17"/>
  <c r="G17"/>
  <c r="P346"/>
  <c r="B346" s="1"/>
  <c r="I642"/>
  <c r="G642"/>
  <c r="I262"/>
  <c r="G262"/>
  <c r="I155"/>
  <c r="G155"/>
  <c r="P494"/>
  <c r="B494" s="1"/>
  <c r="S69"/>
  <c r="S234"/>
  <c r="S118"/>
  <c r="B621"/>
  <c r="Q621"/>
  <c r="S216"/>
  <c r="S24"/>
  <c r="S218"/>
  <c r="S47"/>
  <c r="R747"/>
  <c r="S747" s="1"/>
  <c r="R776"/>
  <c r="S776" s="1"/>
  <c r="R398"/>
  <c r="Q39"/>
  <c r="I39"/>
  <c r="G39"/>
  <c r="Q107"/>
  <c r="I107"/>
  <c r="G107"/>
  <c r="G877"/>
  <c r="I877"/>
  <c r="G851"/>
  <c r="I851"/>
  <c r="I433"/>
  <c r="G433"/>
  <c r="I682"/>
  <c r="G682"/>
  <c r="I8"/>
  <c r="G8"/>
  <c r="I12"/>
  <c r="G12"/>
  <c r="I390"/>
  <c r="G390"/>
  <c r="I394"/>
  <c r="G394"/>
  <c r="P353"/>
  <c r="G353"/>
  <c r="P620"/>
  <c r="B620" s="1"/>
  <c r="P444"/>
  <c r="B444" s="1"/>
  <c r="G444"/>
  <c r="R444" s="1"/>
  <c r="B256"/>
  <c r="Q256"/>
  <c r="S196"/>
  <c r="S202"/>
  <c r="S248"/>
  <c r="S57"/>
  <c r="S230"/>
  <c r="S114"/>
  <c r="R697"/>
  <c r="S697" s="1"/>
  <c r="R468"/>
  <c r="S468" s="1"/>
  <c r="R474"/>
  <c r="S474" s="1"/>
  <c r="R696"/>
  <c r="S696" s="1"/>
  <c r="R355"/>
  <c r="S355" s="1"/>
  <c r="R356"/>
  <c r="S356" s="1"/>
  <c r="R775"/>
  <c r="S775" s="1"/>
  <c r="R676"/>
  <c r="S676" s="1"/>
  <c r="R758"/>
  <c r="S758" s="1"/>
  <c r="Q452"/>
  <c r="I452"/>
  <c r="G452"/>
  <c r="I366"/>
  <c r="G366"/>
  <c r="I134"/>
  <c r="G134"/>
  <c r="S5"/>
  <c r="G677"/>
  <c r="I677"/>
  <c r="I903"/>
  <c r="G903"/>
  <c r="G876"/>
  <c r="I876"/>
  <c r="P762"/>
  <c r="B762" s="1"/>
  <c r="P142"/>
  <c r="B142" s="1"/>
  <c r="P498"/>
  <c r="B498" s="1"/>
  <c r="S204"/>
  <c r="S10"/>
  <c r="S214"/>
  <c r="S34"/>
  <c r="B977"/>
  <c r="Q977"/>
  <c r="S977" s="1"/>
  <c r="B233"/>
  <c r="Q233"/>
  <c r="S198"/>
  <c r="R754"/>
  <c r="S754" s="1"/>
  <c r="R256"/>
  <c r="R668"/>
  <c r="S668" s="1"/>
  <c r="R711"/>
  <c r="S711" s="1"/>
  <c r="R904"/>
  <c r="S904" s="1"/>
  <c r="Q740"/>
  <c r="S740" s="1"/>
  <c r="Q384"/>
  <c r="S384" s="1"/>
  <c r="B622"/>
  <c r="B383"/>
  <c r="Q383"/>
  <c r="S383" s="1"/>
  <c r="B1143"/>
  <c r="Q1143"/>
  <c r="S1143" s="1"/>
  <c r="B357"/>
  <c r="Q357"/>
  <c r="S357" s="1"/>
  <c r="B983"/>
  <c r="Q983"/>
  <c r="S983" s="1"/>
  <c r="B381"/>
  <c r="Q381"/>
  <c r="S381" s="1"/>
  <c r="B770"/>
  <c r="Q770"/>
  <c r="S770" s="1"/>
  <c r="B703"/>
  <c r="Q703"/>
  <c r="S703" s="1"/>
  <c r="P312"/>
  <c r="B312" s="1"/>
  <c r="P835"/>
  <c r="B835" s="1"/>
  <c r="Q369"/>
  <c r="S369" s="1"/>
  <c r="P358"/>
  <c r="B358" s="1"/>
  <c r="B335"/>
  <c r="Q335"/>
  <c r="S335" s="1"/>
  <c r="B726"/>
  <c r="Q726"/>
  <c r="S726" s="1"/>
  <c r="B737"/>
  <c r="Q737"/>
  <c r="S737" s="1"/>
  <c r="B760"/>
  <c r="Q760"/>
  <c r="S760" s="1"/>
  <c r="B695"/>
  <c r="Q695"/>
  <c r="S695" s="1"/>
  <c r="B728"/>
  <c r="Q728"/>
  <c r="S728" s="1"/>
  <c r="B434"/>
  <c r="Q434"/>
  <c r="S434" s="1"/>
  <c r="B473"/>
  <c r="Q473"/>
  <c r="S473" s="1"/>
  <c r="B61"/>
  <c r="Q61"/>
  <c r="B822"/>
  <c r="Q822"/>
  <c r="S822" s="1"/>
  <c r="Q299" i="69"/>
  <c r="B299"/>
  <c r="B289"/>
  <c r="Q289"/>
  <c r="R1057" i="1"/>
  <c r="R1059" s="1"/>
  <c r="B1318" i="69"/>
  <c r="Q1318"/>
  <c r="D87" i="25"/>
  <c r="F86"/>
  <c r="B1222" i="69"/>
  <c r="Q1222"/>
  <c r="B1296"/>
  <c r="Q1296"/>
  <c r="Q897"/>
  <c r="B897"/>
  <c r="B728"/>
  <c r="Q728"/>
  <c r="B473"/>
  <c r="Q473"/>
  <c r="Q985"/>
  <c r="B985"/>
  <c r="B357"/>
  <c r="Q357"/>
  <c r="Q1142"/>
  <c r="B1142"/>
  <c r="B623"/>
  <c r="B976"/>
  <c r="Q976"/>
  <c r="Q984"/>
  <c r="B984"/>
  <c r="G444"/>
  <c r="P444"/>
  <c r="B61"/>
  <c r="Q61"/>
  <c r="B737"/>
  <c r="Q737"/>
  <c r="Q982"/>
  <c r="B982"/>
  <c r="B640"/>
  <c r="Q640"/>
  <c r="B712"/>
  <c r="Q712"/>
  <c r="Q444" i="67"/>
  <c r="D744"/>
  <c r="D744" i="69"/>
  <c r="D40"/>
  <c r="D40" i="67"/>
  <c r="K15" i="69"/>
  <c r="I15"/>
  <c r="O15"/>
  <c r="G15"/>
  <c r="M15"/>
  <c r="Q15"/>
  <c r="Q381"/>
  <c r="B381"/>
  <c r="D625" i="25"/>
  <c r="F590"/>
  <c r="D1503" i="69"/>
  <c r="G1503" s="1"/>
  <c r="D1504" i="67"/>
  <c r="G1504" s="1"/>
  <c r="D1563"/>
  <c r="G1563" s="1"/>
  <c r="D1562" i="69"/>
  <c r="G1562" s="1"/>
  <c r="D157" i="67"/>
  <c r="D157" i="69"/>
  <c r="O701"/>
  <c r="G701"/>
  <c r="I701"/>
  <c r="M701"/>
  <c r="Q701"/>
  <c r="K701"/>
  <c r="I655" i="11"/>
  <c r="K655" s="1"/>
  <c r="K657" s="1"/>
  <c r="K658" s="1"/>
  <c r="K648" s="1"/>
  <c r="K615"/>
  <c r="K617" s="1"/>
  <c r="K618" s="1"/>
  <c r="K608" s="1"/>
  <c r="K3772" i="27"/>
  <c r="R3772"/>
  <c r="D1521" i="69"/>
  <c r="G1521" s="1"/>
  <c r="K403" i="11"/>
  <c r="K2275" i="1"/>
  <c r="L402" i="11"/>
  <c r="D1522" i="67"/>
  <c r="G1522" s="1"/>
  <c r="D18" i="69"/>
  <c r="D18" i="67"/>
  <c r="K120" i="1"/>
  <c r="B257" i="69"/>
  <c r="Q257"/>
  <c r="P1223" i="1"/>
  <c r="P1260"/>
  <c r="R1218"/>
  <c r="T1218" s="1"/>
  <c r="P817" i="11"/>
  <c r="R817" s="1"/>
  <c r="R821" s="1"/>
  <c r="R822" s="1"/>
  <c r="P813" s="1"/>
  <c r="R813" s="1"/>
  <c r="R815" s="1"/>
  <c r="R792"/>
  <c r="R796" s="1"/>
  <c r="R797" s="1"/>
  <c r="K2959" i="27"/>
  <c r="I3912"/>
  <c r="K3912" s="1"/>
  <c r="K433" i="67"/>
  <c r="O433"/>
  <c r="M433"/>
  <c r="Q433"/>
  <c r="I257" i="69"/>
  <c r="K257"/>
  <c r="M257"/>
  <c r="O257"/>
  <c r="W540" i="1"/>
  <c r="AC540" s="1"/>
  <c r="AJ540" s="1"/>
  <c r="J541"/>
  <c r="O682" i="69"/>
  <c r="Q682"/>
  <c r="M682"/>
  <c r="I682"/>
  <c r="K682"/>
  <c r="G682"/>
  <c r="R1476" i="1"/>
  <c r="P1483"/>
  <c r="V1437"/>
  <c r="P884" i="69"/>
  <c r="K155" i="67"/>
  <c r="O155"/>
  <c r="M155"/>
  <c r="Q155"/>
  <c r="D376"/>
  <c r="D376" i="69"/>
  <c r="G12"/>
  <c r="O12"/>
  <c r="I12"/>
  <c r="Q12"/>
  <c r="K12"/>
  <c r="M12"/>
  <c r="F698"/>
  <c r="F698" i="67"/>
  <c r="V2602" i="1"/>
  <c r="I3421"/>
  <c r="K3421" s="1"/>
  <c r="P2641"/>
  <c r="R2641" s="1"/>
  <c r="K2634"/>
  <c r="G394" i="69"/>
  <c r="M394"/>
  <c r="O394"/>
  <c r="K394"/>
  <c r="I394"/>
  <c r="Q394"/>
  <c r="Q801"/>
  <c r="B801"/>
  <c r="K353" i="67"/>
  <c r="M353"/>
  <c r="O353"/>
  <c r="K923"/>
  <c r="M923"/>
  <c r="O923"/>
  <c r="Q923"/>
  <c r="G1472"/>
  <c r="D878"/>
  <c r="Q972"/>
  <c r="Q457" i="69"/>
  <c r="B457"/>
  <c r="K3443" i="27"/>
  <c r="I3437" s="1"/>
  <c r="K3437" s="1"/>
  <c r="I3483"/>
  <c r="AS89" i="1"/>
  <c r="AQ109"/>
  <c r="V3573"/>
  <c r="X3557"/>
  <c r="O366" i="67"/>
  <c r="K366"/>
  <c r="M366"/>
  <c r="Q366"/>
  <c r="L670" i="11"/>
  <c r="K670"/>
  <c r="L586"/>
  <c r="I3279" i="27"/>
  <c r="K3266"/>
  <c r="K3268" s="1"/>
  <c r="K3269" s="1"/>
  <c r="K3261" s="1"/>
  <c r="K3262" s="1"/>
  <c r="K877" i="67"/>
  <c r="O877"/>
  <c r="M877"/>
  <c r="Q877"/>
  <c r="J666" i="1"/>
  <c r="J667" s="1"/>
  <c r="J668" s="1"/>
  <c r="J669" s="1"/>
  <c r="J670" s="1"/>
  <c r="W490"/>
  <c r="AC490" s="1"/>
  <c r="AC491" s="1"/>
  <c r="AC492" s="1"/>
  <c r="AC493" s="1"/>
  <c r="AC494" s="1"/>
  <c r="AC495" s="1"/>
  <c r="AC496" s="1"/>
  <c r="AC497" s="1"/>
  <c r="Q760" i="69"/>
  <c r="B760"/>
  <c r="V1393" i="1"/>
  <c r="X1376"/>
  <c r="Q642" i="69"/>
  <c r="G642"/>
  <c r="I642"/>
  <c r="M642"/>
  <c r="K642"/>
  <c r="O642"/>
  <c r="D476" i="67"/>
  <c r="D476" i="69"/>
  <c r="D1542" i="67"/>
  <c r="G1542" s="1"/>
  <c r="M896" i="11"/>
  <c r="D1541" i="69"/>
  <c r="G1541" s="1"/>
  <c r="Q926"/>
  <c r="I926"/>
  <c r="G926"/>
  <c r="M926"/>
  <c r="O926"/>
  <c r="K926"/>
  <c r="M876"/>
  <c r="I876"/>
  <c r="O876"/>
  <c r="Q876"/>
  <c r="G876"/>
  <c r="K876"/>
  <c r="K134" i="67"/>
  <c r="M134"/>
  <c r="O134"/>
  <c r="Q134"/>
  <c r="O6"/>
  <c r="M6"/>
  <c r="Q6"/>
  <c r="M257"/>
  <c r="O257"/>
  <c r="K257"/>
  <c r="D1563" i="69"/>
  <c r="G1563" s="1"/>
  <c r="D1564" i="67"/>
  <c r="G1564" s="1"/>
  <c r="J563" i="1"/>
  <c r="W564"/>
  <c r="AC564" s="1"/>
  <c r="AJ564" s="1"/>
  <c r="D156" i="67"/>
  <c r="D156" i="69"/>
  <c r="D683" i="67"/>
  <c r="D684"/>
  <c r="D263"/>
  <c r="D683" i="69"/>
  <c r="D684"/>
  <c r="X592" i="1"/>
  <c r="D263" i="69"/>
  <c r="Q263" s="1"/>
  <c r="F584" i="25"/>
  <c r="D619"/>
  <c r="I903" i="69"/>
  <c r="M903"/>
  <c r="K903"/>
  <c r="O903"/>
  <c r="Q903"/>
  <c r="G903"/>
  <c r="D9"/>
  <c r="D9" i="67"/>
  <c r="K29"/>
  <c r="M29"/>
  <c r="O29"/>
  <c r="Q29"/>
  <c r="AB1218" i="1"/>
  <c r="AD1218" s="1"/>
  <c r="AD1246"/>
  <c r="I1086"/>
  <c r="K1086" s="1"/>
  <c r="K1095" s="1"/>
  <c r="K1097" s="1"/>
  <c r="I1016"/>
  <c r="K1016" s="1"/>
  <c r="I928"/>
  <c r="K928" s="1"/>
  <c r="K930" s="1"/>
  <c r="I1071"/>
  <c r="K1071" s="1"/>
  <c r="K1079" s="1"/>
  <c r="K1081" s="1"/>
  <c r="I1054"/>
  <c r="I3388"/>
  <c r="I3478" s="1"/>
  <c r="K3478" s="1"/>
  <c r="K3494" s="1"/>
  <c r="P211"/>
  <c r="R211" s="1"/>
  <c r="R221" s="1"/>
  <c r="R224" s="1"/>
  <c r="I1128"/>
  <c r="K1128" s="1"/>
  <c r="K1139" s="1"/>
  <c r="K1141" s="1"/>
  <c r="I986"/>
  <c r="K986" s="1"/>
  <c r="K998" s="1"/>
  <c r="K1000" s="1"/>
  <c r="I1102"/>
  <c r="I951"/>
  <c r="K3147"/>
  <c r="P3154"/>
  <c r="AG3546"/>
  <c r="AE3562"/>
  <c r="O394" i="67"/>
  <c r="K394"/>
  <c r="M394"/>
  <c r="Q394"/>
  <c r="X3542" i="1"/>
  <c r="V3522"/>
  <c r="X3522" s="1"/>
  <c r="V3558"/>
  <c r="I870" i="69"/>
  <c r="O870"/>
  <c r="M870"/>
  <c r="Q870"/>
  <c r="K870"/>
  <c r="G870"/>
  <c r="K353"/>
  <c r="M353"/>
  <c r="I353"/>
  <c r="O353"/>
  <c r="G353"/>
  <c r="Q353"/>
  <c r="K927" i="67"/>
  <c r="M927"/>
  <c r="O927"/>
  <c r="Q927"/>
  <c r="M923" i="69"/>
  <c r="G923"/>
  <c r="I923"/>
  <c r="Q923"/>
  <c r="O923"/>
  <c r="K923"/>
  <c r="R2652" i="1"/>
  <c r="R2654" s="1"/>
  <c r="Q295" i="67"/>
  <c r="G748" i="69"/>
  <c r="K748"/>
  <c r="O748"/>
  <c r="Q748"/>
  <c r="I748"/>
  <c r="M748"/>
  <c r="M748" i="67"/>
  <c r="O748"/>
  <c r="K748"/>
  <c r="Q748"/>
  <c r="B286" i="69"/>
  <c r="Q286"/>
  <c r="K1017" i="1"/>
  <c r="P1091"/>
  <c r="Q461" i="67"/>
  <c r="K315"/>
  <c r="M315"/>
  <c r="O315"/>
  <c r="Q315"/>
  <c r="D1503"/>
  <c r="G1503" s="1"/>
  <c r="D1502" i="69"/>
  <c r="G1502" s="1"/>
  <c r="AB1244" i="1"/>
  <c r="X1239"/>
  <c r="O701" i="67"/>
  <c r="K701"/>
  <c r="M701"/>
  <c r="Q701"/>
  <c r="K701" i="11"/>
  <c r="K707" s="1"/>
  <c r="I1140"/>
  <c r="K1140" s="1"/>
  <c r="P1267" i="1"/>
  <c r="R1225"/>
  <c r="T1225" s="1"/>
  <c r="K2932" i="27"/>
  <c r="I3050"/>
  <c r="I2952"/>
  <c r="D643" i="67"/>
  <c r="D643" i="69"/>
  <c r="AQ135" i="1"/>
  <c r="AS110"/>
  <c r="O17" i="67"/>
  <c r="M17"/>
  <c r="K17"/>
  <c r="Q17"/>
  <c r="F621" i="25"/>
  <c r="D657"/>
  <c r="K851" i="67"/>
  <c r="M851"/>
  <c r="O851"/>
  <c r="Q851"/>
  <c r="P1448" i="1"/>
  <c r="R1432"/>
  <c r="K111" i="67"/>
  <c r="M111"/>
  <c r="O111"/>
  <c r="Q111"/>
  <c r="V3620" i="1"/>
  <c r="X3620" s="1"/>
  <c r="AG3557"/>
  <c r="K913" i="11"/>
  <c r="K930"/>
  <c r="K931" s="1"/>
  <c r="D922" i="67"/>
  <c r="D922" i="69"/>
  <c r="K926" i="67"/>
  <c r="M926"/>
  <c r="Q926"/>
  <c r="O926"/>
  <c r="I124" i="11"/>
  <c r="I225"/>
  <c r="K225" s="1"/>
  <c r="K107"/>
  <c r="K3378" i="27"/>
  <c r="K3379" s="1"/>
  <c r="K3347"/>
  <c r="K3348" s="1"/>
  <c r="M134" i="69"/>
  <c r="I134"/>
  <c r="O134"/>
  <c r="G134"/>
  <c r="Q134"/>
  <c r="K134"/>
  <c r="G677"/>
  <c r="O677"/>
  <c r="K677"/>
  <c r="Q677"/>
  <c r="I677"/>
  <c r="M677"/>
  <c r="B263"/>
  <c r="Q703"/>
  <c r="B703"/>
  <c r="AB1402" i="1"/>
  <c r="X1404"/>
  <c r="O262" i="67"/>
  <c r="K262"/>
  <c r="M262"/>
  <c r="K903"/>
  <c r="M903"/>
  <c r="O903"/>
  <c r="R1493" i="1"/>
  <c r="V1454"/>
  <c r="P1536"/>
  <c r="R1536" s="1"/>
  <c r="R1543" s="1"/>
  <c r="R1545" s="1"/>
  <c r="B802" i="69"/>
  <c r="Q802"/>
  <c r="K2266" i="1"/>
  <c r="D950" i="67"/>
  <c r="D720" i="69"/>
  <c r="D950"/>
  <c r="D720" i="67"/>
  <c r="L146" i="11"/>
  <c r="M876" i="67"/>
  <c r="O876"/>
  <c r="K876"/>
  <c r="Q876"/>
  <c r="K8" i="69"/>
  <c r="Q8"/>
  <c r="I8"/>
  <c r="G8"/>
  <c r="M8"/>
  <c r="O8"/>
  <c r="K29"/>
  <c r="O29"/>
  <c r="I29"/>
  <c r="M29"/>
  <c r="G29"/>
  <c r="Q29"/>
  <c r="D1561" i="67"/>
  <c r="G1561" s="1"/>
  <c r="D1560" i="69"/>
  <c r="G1560" s="1"/>
  <c r="P3222" i="1"/>
  <c r="R3189"/>
  <c r="R3201" s="1"/>
  <c r="R3203" s="1"/>
  <c r="P3292"/>
  <c r="P3258"/>
  <c r="R3258" s="1"/>
  <c r="R3270" s="1"/>
  <c r="R3272" s="1"/>
  <c r="K2663"/>
  <c r="K2674" s="1"/>
  <c r="K2676" s="1"/>
  <c r="P2670"/>
  <c r="I3101"/>
  <c r="V3526"/>
  <c r="X3526" s="1"/>
  <c r="V3562"/>
  <c r="X3546"/>
  <c r="O390" i="67"/>
  <c r="K390"/>
  <c r="M390"/>
  <c r="Q390"/>
  <c r="AE3558" i="1"/>
  <c r="AG3542"/>
  <c r="M870" i="67"/>
  <c r="O870"/>
  <c r="K870"/>
  <c r="Q870"/>
  <c r="I927" i="69"/>
  <c r="Q927"/>
  <c r="G927"/>
  <c r="K927"/>
  <c r="O927"/>
  <c r="M927"/>
  <c r="K3157" i="1"/>
  <c r="K3159" s="1"/>
  <c r="K3432"/>
  <c r="K3434" s="1"/>
  <c r="Q621" i="69"/>
  <c r="B621"/>
  <c r="M877"/>
  <c r="I877"/>
  <c r="Q877"/>
  <c r="O877"/>
  <c r="G877"/>
  <c r="K877"/>
  <c r="K15" i="67"/>
  <c r="O15"/>
  <c r="M15"/>
  <c r="Q15"/>
  <c r="P461" i="69"/>
  <c r="G461"/>
  <c r="G315"/>
  <c r="Q315"/>
  <c r="M315"/>
  <c r="O315"/>
  <c r="I315"/>
  <c r="K315"/>
  <c r="D1505" i="67"/>
  <c r="G1505" s="1"/>
  <c r="D1504" i="69"/>
  <c r="G1504" s="1"/>
  <c r="G366"/>
  <c r="I366"/>
  <c r="M366"/>
  <c r="Q366"/>
  <c r="O366"/>
  <c r="K366"/>
  <c r="X1390" i="1"/>
  <c r="V1406"/>
  <c r="P1239"/>
  <c r="R1239" s="1"/>
  <c r="R1262"/>
  <c r="V1242"/>
  <c r="I1070" i="11"/>
  <c r="K1070" s="1"/>
  <c r="K1076" s="1"/>
  <c r="K226"/>
  <c r="B441" i="69"/>
  <c r="D436" i="67"/>
  <c r="D436" i="69"/>
  <c r="M17"/>
  <c r="Q17"/>
  <c r="K17"/>
  <c r="O17"/>
  <c r="I17"/>
  <c r="G17"/>
  <c r="M851"/>
  <c r="O851"/>
  <c r="G851"/>
  <c r="I851"/>
  <c r="K851"/>
  <c r="Q851"/>
  <c r="O111"/>
  <c r="G111"/>
  <c r="K111"/>
  <c r="M111"/>
  <c r="Q111"/>
  <c r="I111"/>
  <c r="M642" i="67"/>
  <c r="O642"/>
  <c r="Q642"/>
  <c r="K642"/>
  <c r="AI553" i="1"/>
  <c r="AK553" s="1"/>
  <c r="AK529"/>
  <c r="P3712"/>
  <c r="R3712" s="1"/>
  <c r="R3719" s="1"/>
  <c r="R3720" s="1"/>
  <c r="X3715"/>
  <c r="AS67"/>
  <c r="AQ91"/>
  <c r="K786" i="11"/>
  <c r="K843"/>
  <c r="K817"/>
  <c r="I3425" i="27"/>
  <c r="K3425" s="1"/>
  <c r="K3427" s="1"/>
  <c r="K3428" s="1"/>
  <c r="K3417" s="1"/>
  <c r="K3406"/>
  <c r="K3408" s="1"/>
  <c r="K3409" s="1"/>
  <c r="K3398" s="1"/>
  <c r="B1144" i="69"/>
  <c r="Q1144"/>
  <c r="G433"/>
  <c r="M433"/>
  <c r="I433"/>
  <c r="Q433"/>
  <c r="O433"/>
  <c r="K433"/>
  <c r="K6"/>
  <c r="Q6"/>
  <c r="O6"/>
  <c r="I6"/>
  <c r="M6"/>
  <c r="G6"/>
  <c r="D678" i="67"/>
  <c r="D258" i="69"/>
  <c r="D258" i="67"/>
  <c r="D678" i="69"/>
  <c r="I593" i="1"/>
  <c r="K593" s="1"/>
  <c r="O677" i="67"/>
  <c r="K677"/>
  <c r="M677"/>
  <c r="Q677"/>
  <c r="R2822" i="1"/>
  <c r="P2855"/>
  <c r="R2855" s="1"/>
  <c r="O262" i="69"/>
  <c r="Q262"/>
  <c r="I262"/>
  <c r="K262"/>
  <c r="M262"/>
  <c r="G262"/>
  <c r="M682" i="67"/>
  <c r="O682"/>
  <c r="K682"/>
  <c r="Q682"/>
  <c r="I586" i="27"/>
  <c r="K586"/>
  <c r="G155" i="69"/>
  <c r="K155"/>
  <c r="I155"/>
  <c r="Q155"/>
  <c r="O155"/>
  <c r="M155"/>
  <c r="O8" i="67"/>
  <c r="M8"/>
  <c r="K8"/>
  <c r="Q8"/>
  <c r="Q285" i="69"/>
  <c r="B285"/>
  <c r="K12" i="67"/>
  <c r="M12"/>
  <c r="O12"/>
  <c r="Q12"/>
  <c r="F756"/>
  <c r="F756" i="69"/>
  <c r="B398"/>
  <c r="Q398"/>
  <c r="R1100" i="1"/>
  <c r="P1121"/>
  <c r="P2821"/>
  <c r="I2864"/>
  <c r="K2864" s="1"/>
  <c r="K2875" s="1"/>
  <c r="K2877" s="1"/>
  <c r="I3600"/>
  <c r="AE2787"/>
  <c r="AG2787" s="1"/>
  <c r="AG2797" s="1"/>
  <c r="AG2799" s="1"/>
  <c r="K2814"/>
  <c r="O390" i="69"/>
  <c r="G390"/>
  <c r="K390"/>
  <c r="Q390"/>
  <c r="I390"/>
  <c r="M390"/>
  <c r="D925"/>
  <c r="D925" i="67"/>
  <c r="O1114" i="69"/>
  <c r="P1114"/>
  <c r="L3154" i="27"/>
  <c r="K2196"/>
  <c r="D878" i="69"/>
  <c r="G1471"/>
  <c r="R404" i="27"/>
  <c r="R406" s="1"/>
  <c r="P413" s="1"/>
  <c r="R413" s="1"/>
  <c r="R415" s="1"/>
  <c r="R417" s="1"/>
  <c r="K371"/>
  <c r="B740" i="69"/>
  <c r="Q740"/>
  <c r="Q765"/>
  <c r="B765"/>
  <c r="Q358"/>
  <c r="B358"/>
  <c r="B883"/>
  <c r="Q369"/>
  <c r="B369"/>
  <c r="G835"/>
  <c r="P835"/>
  <c r="Q280"/>
  <c r="B280"/>
  <c r="P278"/>
  <c r="G278"/>
  <c r="W593" i="1"/>
  <c r="R23"/>
  <c r="W591"/>
  <c r="W594"/>
  <c r="W592"/>
  <c r="I39" i="69"/>
  <c r="Q39"/>
  <c r="O39"/>
  <c r="M39"/>
  <c r="K39"/>
  <c r="G39"/>
  <c r="C140" i="1"/>
  <c r="C138"/>
  <c r="D752" i="67"/>
  <c r="D1498" i="69"/>
  <c r="G1498" s="1"/>
  <c r="D1499" i="67"/>
  <c r="G1499" s="1"/>
  <c r="D752" i="69"/>
  <c r="L637" i="11"/>
  <c r="I3746" i="1"/>
  <c r="K3746" s="1"/>
  <c r="K3752" s="1"/>
  <c r="K3753" s="1"/>
  <c r="K9"/>
  <c r="I2898"/>
  <c r="K2898" s="1"/>
  <c r="K504"/>
  <c r="D460" i="67"/>
  <c r="I460" s="1"/>
  <c r="D460" i="69"/>
  <c r="P2432" i="1"/>
  <c r="R2432" s="1"/>
  <c r="K2425"/>
  <c r="D1484" i="69"/>
  <c r="G1484" s="1"/>
  <c r="D658"/>
  <c r="D658" i="67"/>
  <c r="D1485"/>
  <c r="G1485" s="1"/>
  <c r="K452"/>
  <c r="M452"/>
  <c r="O452"/>
  <c r="V3247" i="1"/>
  <c r="X3247" s="1"/>
  <c r="R3291"/>
  <c r="P3394"/>
  <c r="R3394" s="1"/>
  <c r="P3360"/>
  <c r="R3360" s="1"/>
  <c r="R1089"/>
  <c r="P1111"/>
  <c r="K3446" i="27"/>
  <c r="K3448" s="1"/>
  <c r="K3449" s="1"/>
  <c r="K3439" s="1"/>
  <c r="K3441" s="1"/>
  <c r="K2210" s="1"/>
  <c r="I3486"/>
  <c r="K3486" s="1"/>
  <c r="K3488" s="1"/>
  <c r="K3489" s="1"/>
  <c r="K3479" s="1"/>
  <c r="I3640" i="1"/>
  <c r="K3640" s="1"/>
  <c r="K3647" s="1"/>
  <c r="K3648" s="1"/>
  <c r="K1645"/>
  <c r="D1492" i="67"/>
  <c r="G1492" s="1"/>
  <c r="D653" i="69"/>
  <c r="D653" i="67"/>
  <c r="D1491" i="69"/>
  <c r="G1491" s="1"/>
  <c r="Q1323"/>
  <c r="B1323"/>
  <c r="M470"/>
  <c r="O470"/>
  <c r="K470"/>
  <c r="I470"/>
  <c r="G470"/>
  <c r="Q470"/>
  <c r="B628"/>
  <c r="O295" i="67"/>
  <c r="M295"/>
  <c r="K295"/>
  <c r="P3323" i="1"/>
  <c r="R3323" s="1"/>
  <c r="P3435"/>
  <c r="R3435" s="1"/>
  <c r="R3221"/>
  <c r="I342" i="69"/>
  <c r="Q342"/>
  <c r="O342"/>
  <c r="G342"/>
  <c r="K342"/>
  <c r="M342"/>
  <c r="K3229" i="27"/>
  <c r="K3233" s="1"/>
  <c r="K2198" s="1"/>
  <c r="L3221"/>
  <c r="K2199"/>
  <c r="G312" i="69"/>
  <c r="P312"/>
  <c r="L3502" i="27"/>
  <c r="K3501"/>
  <c r="R2820" i="1"/>
  <c r="P2853"/>
  <c r="R2853" s="1"/>
  <c r="K107" i="67"/>
  <c r="M107"/>
  <c r="O107"/>
  <c r="K3836" i="27"/>
  <c r="K3815"/>
  <c r="L3815" s="1"/>
  <c r="K3872"/>
  <c r="K3878" s="1"/>
  <c r="K3879" s="1"/>
  <c r="V643" i="1"/>
  <c r="P1144"/>
  <c r="V803"/>
  <c r="K808"/>
  <c r="P26" i="11"/>
  <c r="I85"/>
  <c r="I173"/>
  <c r="K173" s="1"/>
  <c r="K179" s="1"/>
  <c r="I2853" i="27"/>
  <c r="K22" i="11"/>
  <c r="K28" s="1"/>
  <c r="Z2599" i="1"/>
  <c r="AE2649"/>
  <c r="AG2649" s="1"/>
  <c r="AE2615"/>
  <c r="AG2615" s="1"/>
  <c r="X2601"/>
  <c r="K3280" i="27"/>
  <c r="I3298"/>
  <c r="O470" i="67"/>
  <c r="K470"/>
  <c r="M470"/>
  <c r="O295" i="69"/>
  <c r="M295"/>
  <c r="K295"/>
  <c r="I295"/>
  <c r="G295"/>
  <c r="Q295"/>
  <c r="Q384"/>
  <c r="B384"/>
  <c r="M41"/>
  <c r="O41"/>
  <c r="G41"/>
  <c r="Q41"/>
  <c r="I41"/>
  <c r="K41"/>
  <c r="D152" i="67"/>
  <c r="D152" i="69"/>
  <c r="K1987" i="1"/>
  <c r="P1987"/>
  <c r="R1987" s="1"/>
  <c r="F121" i="25"/>
  <c r="D148"/>
  <c r="D656"/>
  <c r="F620"/>
  <c r="K39" i="67"/>
  <c r="M39"/>
  <c r="O39"/>
  <c r="D446"/>
  <c r="D446" i="69"/>
  <c r="I1573" i="1"/>
  <c r="K1573" s="1"/>
  <c r="K1580" s="1"/>
  <c r="K1582" s="1"/>
  <c r="I1601"/>
  <c r="D300" i="69"/>
  <c r="D651"/>
  <c r="D651" i="67"/>
  <c r="D300"/>
  <c r="I107" i="69"/>
  <c r="O107"/>
  <c r="G107"/>
  <c r="M107"/>
  <c r="Q107"/>
  <c r="K107"/>
  <c r="P2154" i="1"/>
  <c r="R2154" s="1"/>
  <c r="K2147"/>
  <c r="P1221"/>
  <c r="K1226"/>
  <c r="V1284"/>
  <c r="X1284" s="1"/>
  <c r="K1255"/>
  <c r="G1074" i="56" s="1"/>
  <c r="B282" i="69"/>
  <c r="Q282"/>
  <c r="I452"/>
  <c r="G452"/>
  <c r="K452"/>
  <c r="O452"/>
  <c r="M452"/>
  <c r="Q452"/>
  <c r="Q1299"/>
  <c r="B1299"/>
  <c r="O41" i="67"/>
  <c r="K41"/>
  <c r="M41"/>
  <c r="D131"/>
  <c r="D131" i="69"/>
  <c r="M342" i="67"/>
  <c r="K342"/>
  <c r="O342"/>
  <c r="K2962" i="27"/>
  <c r="K3041"/>
  <c r="I2585"/>
  <c r="K2585" s="1"/>
  <c r="K2554"/>
  <c r="K1022"/>
  <c r="K1024" s="1"/>
  <c r="I1268"/>
  <c r="K1268" s="1"/>
  <c r="K1274" s="1"/>
  <c r="K1276" s="1"/>
  <c r="I1349"/>
  <c r="K1349" s="1"/>
  <c r="K1355" s="1"/>
  <c r="K1357" s="1"/>
  <c r="P295"/>
  <c r="R295" s="1"/>
  <c r="R301" s="1"/>
  <c r="R303" s="1"/>
  <c r="P347"/>
  <c r="R347" s="1"/>
  <c r="R353" s="1"/>
  <c r="R355" s="1"/>
  <c r="I1637"/>
  <c r="K1637" s="1"/>
  <c r="I1308"/>
  <c r="K1308" s="1"/>
  <c r="K1317" s="1"/>
  <c r="K1319" s="1"/>
  <c r="I1286"/>
  <c r="K1286" s="1"/>
  <c r="K1295" s="1"/>
  <c r="K1297" s="1"/>
  <c r="I1364"/>
  <c r="K1364" s="1"/>
  <c r="K1371" s="1"/>
  <c r="K1373" s="1"/>
  <c r="I1911" s="1"/>
  <c r="K1911" s="1"/>
  <c r="I1199"/>
  <c r="K1199" s="1"/>
  <c r="K1212" s="1"/>
  <c r="K1214" s="1"/>
  <c r="I591"/>
  <c r="K591" s="1"/>
  <c r="K596" s="1"/>
  <c r="K598" s="1"/>
  <c r="K599" s="1"/>
  <c r="K600" s="1"/>
  <c r="K601" s="1"/>
  <c r="K602" s="1"/>
  <c r="K603" s="1"/>
  <c r="I1170"/>
  <c r="K1170" s="1"/>
  <c r="K1188" s="1"/>
  <c r="K1191" s="1"/>
  <c r="P283" s="1"/>
  <c r="R283" s="1"/>
  <c r="R288" s="1"/>
  <c r="R290" s="1"/>
  <c r="N14"/>
  <c r="K14"/>
  <c r="K2261"/>
  <c r="K2272" s="1"/>
  <c r="K2274" s="1"/>
  <c r="I2663"/>
  <c r="K2663" s="1"/>
  <c r="K2674" s="1"/>
  <c r="K2676" s="1"/>
  <c r="P179"/>
  <c r="R179" s="1"/>
  <c r="I335"/>
  <c r="K335" s="1"/>
  <c r="I2586"/>
  <c r="K2586" s="1"/>
  <c r="K2555"/>
  <c r="I1337"/>
  <c r="K1337" s="1"/>
  <c r="K1343" s="1"/>
  <c r="K1345" s="1"/>
  <c r="I479"/>
  <c r="K479" s="1"/>
  <c r="K487" s="1"/>
  <c r="K489" s="1"/>
  <c r="I355"/>
  <c r="K355" s="1"/>
  <c r="I1155"/>
  <c r="K1155" s="1"/>
  <c r="K1161" s="1"/>
  <c r="K1163" s="1"/>
  <c r="I379"/>
  <c r="K379" s="1"/>
  <c r="I444"/>
  <c r="K444" s="1"/>
  <c r="P361"/>
  <c r="R361" s="1"/>
  <c r="R369" s="1"/>
  <c r="R371" s="1"/>
  <c r="I410"/>
  <c r="K410" s="1"/>
  <c r="I225"/>
  <c r="K225" s="1"/>
  <c r="P51"/>
  <c r="R51" s="1"/>
  <c r="I1221"/>
  <c r="K1221" s="1"/>
  <c r="K1226" s="1"/>
  <c r="K1228" s="1"/>
  <c r="P66"/>
  <c r="R66" s="1"/>
  <c r="P306"/>
  <c r="R306" s="1"/>
  <c r="R312" s="1"/>
  <c r="R314" s="1"/>
  <c r="I210"/>
  <c r="K210" s="1"/>
  <c r="P318"/>
  <c r="R318" s="1"/>
  <c r="R324" s="1"/>
  <c r="R326" s="1"/>
  <c r="P335"/>
  <c r="R335" s="1"/>
  <c r="R341" s="1"/>
  <c r="R343" s="1"/>
  <c r="I296"/>
  <c r="K296" s="1"/>
  <c r="I1409"/>
  <c r="K1409" s="1"/>
  <c r="K1414" s="1"/>
  <c r="K1416" s="1"/>
  <c r="I1396"/>
  <c r="K1396" s="1"/>
  <c r="K1401" s="1"/>
  <c r="K1403" s="1"/>
  <c r="I1384"/>
  <c r="K1384" s="1"/>
  <c r="K1389" s="1"/>
  <c r="K1391" s="1"/>
  <c r="P80"/>
  <c r="R80" s="1"/>
  <c r="I311"/>
  <c r="K311" s="1"/>
  <c r="P603" s="1"/>
  <c r="R603" s="1"/>
  <c r="I195"/>
  <c r="K195" s="1"/>
  <c r="I1324"/>
  <c r="K1324" s="1"/>
  <c r="K1330" s="1"/>
  <c r="K1332" s="1"/>
  <c r="P606" s="1"/>
  <c r="R606" s="1"/>
  <c r="I2587"/>
  <c r="K2587" s="1"/>
  <c r="K2556"/>
  <c r="D317" i="67" l="1"/>
  <c r="D317" i="69"/>
  <c r="K2191" i="27"/>
  <c r="L2988"/>
  <c r="D920" i="69"/>
  <c r="D920" i="67"/>
  <c r="I3297" i="27"/>
  <c r="K3278"/>
  <c r="I3337"/>
  <c r="K3337" s="1"/>
  <c r="I255" i="1"/>
  <c r="K255" s="1"/>
  <c r="K259" s="1"/>
  <c r="K261" s="1"/>
  <c r="C79"/>
  <c r="D93" i="25"/>
  <c r="F93" s="1"/>
  <c r="F65"/>
  <c r="F68" s="1"/>
  <c r="F69" s="1"/>
  <c r="K133" i="69"/>
  <c r="I133"/>
  <c r="Q133"/>
  <c r="G133"/>
  <c r="M133"/>
  <c r="O133"/>
  <c r="Q690"/>
  <c r="I690"/>
  <c r="M690"/>
  <c r="O690"/>
  <c r="K690"/>
  <c r="G690"/>
  <c r="G777"/>
  <c r="Q777"/>
  <c r="M777"/>
  <c r="O777"/>
  <c r="I777"/>
  <c r="K777"/>
  <c r="V3163" i="1"/>
  <c r="X3138"/>
  <c r="P3448"/>
  <c r="R3404"/>
  <c r="I3996"/>
  <c r="AB1378"/>
  <c r="AD1361"/>
  <c r="AD1363" s="1"/>
  <c r="D884" i="67"/>
  <c r="D884" i="69"/>
  <c r="Q110" i="67"/>
  <c r="O110"/>
  <c r="M110"/>
  <c r="G110"/>
  <c r="I110"/>
  <c r="K110"/>
  <c r="K467" i="11"/>
  <c r="K468" s="1"/>
  <c r="K460" s="1"/>
  <c r="K462" s="1"/>
  <c r="I492"/>
  <c r="K492" s="1"/>
  <c r="K493" s="1"/>
  <c r="K487" s="1"/>
  <c r="K488" s="1"/>
  <c r="P1497" i="1"/>
  <c r="R1466"/>
  <c r="M3712" i="27"/>
  <c r="K2208"/>
  <c r="P1452" i="1"/>
  <c r="R1436"/>
  <c r="R1438" s="1"/>
  <c r="I445" i="67"/>
  <c r="O445"/>
  <c r="K445"/>
  <c r="M445"/>
  <c r="G445"/>
  <c r="Q445"/>
  <c r="AE3660" i="1"/>
  <c r="AG3660" s="1"/>
  <c r="AG3661" s="1"/>
  <c r="AG3662" s="1"/>
  <c r="X3659"/>
  <c r="X3667" s="1"/>
  <c r="X3668" s="1"/>
  <c r="V3689"/>
  <c r="X3689" s="1"/>
  <c r="X3695" s="1"/>
  <c r="X3696" s="1"/>
  <c r="K3617" i="27"/>
  <c r="K3648"/>
  <c r="K3674"/>
  <c r="I2691"/>
  <c r="K2691" s="1"/>
  <c r="K2613"/>
  <c r="AQ92" i="1"/>
  <c r="AS68"/>
  <c r="D620" i="69"/>
  <c r="D620" i="67"/>
  <c r="I2386" i="1"/>
  <c r="K2386" s="1"/>
  <c r="K621" i="69"/>
  <c r="O621"/>
  <c r="M621"/>
  <c r="I621"/>
  <c r="D625"/>
  <c r="D626"/>
  <c r="G621"/>
  <c r="K1651" i="1"/>
  <c r="K1653" s="1"/>
  <c r="S256" i="67"/>
  <c r="S774"/>
  <c r="R765"/>
  <c r="S765" s="1"/>
  <c r="I3504" i="1"/>
  <c r="K3504" s="1"/>
  <c r="C78"/>
  <c r="I36"/>
  <c r="I3911" i="27"/>
  <c r="K3911" s="1"/>
  <c r="K3908"/>
  <c r="F99" i="25"/>
  <c r="F103" s="1"/>
  <c r="D120"/>
  <c r="D691" i="69"/>
  <c r="K616" i="1"/>
  <c r="D691" i="67"/>
  <c r="I616" i="1"/>
  <c r="M777" i="67"/>
  <c r="O777"/>
  <c r="K777"/>
  <c r="I777"/>
  <c r="G777"/>
  <c r="Q777"/>
  <c r="D316"/>
  <c r="D316" i="69"/>
  <c r="AB1408" i="1"/>
  <c r="X1410"/>
  <c r="D883" i="69"/>
  <c r="D883" i="67"/>
  <c r="X3603" i="1"/>
  <c r="V3618"/>
  <c r="X3618" s="1"/>
  <c r="I3978"/>
  <c r="K3978" s="1"/>
  <c r="K3961"/>
  <c r="D112" i="67"/>
  <c r="D112" i="69"/>
  <c r="D929"/>
  <c r="D929" i="67"/>
  <c r="I612" i="11"/>
  <c r="K590"/>
  <c r="I585" s="1"/>
  <c r="K585" s="1"/>
  <c r="B372" i="69"/>
  <c r="Q372"/>
  <c r="B1133"/>
  <c r="Q1133"/>
  <c r="K91" i="27"/>
  <c r="I1698"/>
  <c r="K1698" s="1"/>
  <c r="K1706" s="1"/>
  <c r="D623" i="69"/>
  <c r="D623" i="67"/>
  <c r="S398"/>
  <c r="R974"/>
  <c r="S974" s="1"/>
  <c r="R874"/>
  <c r="S874" s="1"/>
  <c r="R109"/>
  <c r="S109" s="1"/>
  <c r="S26"/>
  <c r="S872"/>
  <c r="I2681" i="27"/>
  <c r="K2681" s="1"/>
  <c r="K2685" s="1"/>
  <c r="K2687" s="1"/>
  <c r="I2615"/>
  <c r="K2615" s="1"/>
  <c r="C74"/>
  <c r="I194" s="1"/>
  <c r="K194" s="1"/>
  <c r="K201" s="1"/>
  <c r="K203" s="1"/>
  <c r="I1712" s="1"/>
  <c r="K1712" s="1"/>
  <c r="K1721" s="1"/>
  <c r="I166"/>
  <c r="K166" s="1"/>
  <c r="K170" s="1"/>
  <c r="I2692"/>
  <c r="K2692" s="1"/>
  <c r="K3052"/>
  <c r="I3888"/>
  <c r="K3888" s="1"/>
  <c r="D154" i="69"/>
  <c r="D154" i="67"/>
  <c r="I1644" i="1"/>
  <c r="K1644" s="1"/>
  <c r="I1303"/>
  <c r="K1303" s="1"/>
  <c r="K1310" s="1"/>
  <c r="K1312" s="1"/>
  <c r="I503"/>
  <c r="B1134" i="67"/>
  <c r="Q1134"/>
  <c r="S1134" s="1"/>
  <c r="B372"/>
  <c r="Q372"/>
  <c r="S372" s="1"/>
  <c r="I3396" i="27"/>
  <c r="K566" i="11"/>
  <c r="I1893" i="68"/>
  <c r="F921" i="67"/>
  <c r="P921" s="1"/>
  <c r="B921" s="1"/>
  <c r="F921" i="69"/>
  <c r="P921" s="1"/>
  <c r="B921" s="1"/>
  <c r="AJ1205" i="1"/>
  <c r="AC1206"/>
  <c r="V801"/>
  <c r="C71"/>
  <c r="P1142" s="1"/>
  <c r="M705" i="67"/>
  <c r="O705"/>
  <c r="K705"/>
  <c r="I705"/>
  <c r="G705"/>
  <c r="R705" s="1"/>
  <c r="S705" s="1"/>
  <c r="Q705"/>
  <c r="I2938" i="1"/>
  <c r="K2938" s="1"/>
  <c r="D622" i="67"/>
  <c r="I2929" i="1"/>
  <c r="D622" i="69"/>
  <c r="R774" i="67"/>
  <c r="S952"/>
  <c r="R26"/>
  <c r="F588" i="25"/>
  <c r="D623"/>
  <c r="C73" i="27"/>
  <c r="I2682"/>
  <c r="K2682" s="1"/>
  <c r="I174"/>
  <c r="K174" s="1"/>
  <c r="K178" s="1"/>
  <c r="K501" i="11"/>
  <c r="K502" s="1"/>
  <c r="L502" s="1"/>
  <c r="K534"/>
  <c r="K535" s="1"/>
  <c r="L535" s="1"/>
  <c r="O133" i="67"/>
  <c r="M133"/>
  <c r="G133"/>
  <c r="K133"/>
  <c r="Q133"/>
  <c r="I133"/>
  <c r="I690"/>
  <c r="Q690"/>
  <c r="M690"/>
  <c r="K690"/>
  <c r="G690"/>
  <c r="O690"/>
  <c r="K2954" i="27"/>
  <c r="I3907"/>
  <c r="K3907" s="1"/>
  <c r="D169" i="69"/>
  <c r="D169" i="67"/>
  <c r="AD642" i="1"/>
  <c r="AF642" s="1"/>
  <c r="X642"/>
  <c r="O110" i="69"/>
  <c r="Q110"/>
  <c r="G110"/>
  <c r="M110"/>
  <c r="K110"/>
  <c r="I110"/>
  <c r="B1111"/>
  <c r="Q1111"/>
  <c r="L446" i="11"/>
  <c r="K2277" i="1"/>
  <c r="V1397"/>
  <c r="X1380"/>
  <c r="X1382" s="1"/>
  <c r="D930" i="69"/>
  <c r="D930" i="67"/>
  <c r="D49" i="69"/>
  <c r="D49" i="67"/>
  <c r="K445" i="69"/>
  <c r="I445"/>
  <c r="M445"/>
  <c r="O445"/>
  <c r="Q445"/>
  <c r="G445"/>
  <c r="V3721" i="1"/>
  <c r="X3721" s="1"/>
  <c r="X3723" s="1"/>
  <c r="X3724" s="1"/>
  <c r="X3707"/>
  <c r="X3709" s="1"/>
  <c r="X3710" s="1"/>
  <c r="L3690" i="27"/>
  <c r="K3689"/>
  <c r="K3692" s="1"/>
  <c r="K3695" s="1"/>
  <c r="I3747"/>
  <c r="K3747" s="1"/>
  <c r="K3749" s="1"/>
  <c r="K3750" s="1"/>
  <c r="K3743" s="1"/>
  <c r="K3730"/>
  <c r="K3733" s="1"/>
  <c r="K3726" s="1"/>
  <c r="AC13" i="1"/>
  <c r="C72" s="1"/>
  <c r="Z14"/>
  <c r="M705" i="69"/>
  <c r="K705"/>
  <c r="Q705"/>
  <c r="G705"/>
  <c r="I705"/>
  <c r="O705"/>
  <c r="I621" i="67"/>
  <c r="D625"/>
  <c r="D626"/>
  <c r="K621"/>
  <c r="O621"/>
  <c r="G621"/>
  <c r="R621" s="1"/>
  <c r="S621" s="1"/>
  <c r="M621"/>
  <c r="Q446"/>
  <c r="I446"/>
  <c r="G446"/>
  <c r="I950"/>
  <c r="G950"/>
  <c r="I922"/>
  <c r="G922"/>
  <c r="I643"/>
  <c r="G643"/>
  <c r="I9"/>
  <c r="G9"/>
  <c r="I683"/>
  <c r="G683"/>
  <c r="I878"/>
  <c r="G878"/>
  <c r="I376"/>
  <c r="G376"/>
  <c r="I317"/>
  <c r="G317"/>
  <c r="S61"/>
  <c r="R876"/>
  <c r="S876" s="1"/>
  <c r="R677"/>
  <c r="S677" s="1"/>
  <c r="R390"/>
  <c r="S390" s="1"/>
  <c r="R851"/>
  <c r="S851" s="1"/>
  <c r="R155"/>
  <c r="S155" s="1"/>
  <c r="R642"/>
  <c r="S642" s="1"/>
  <c r="R17"/>
  <c r="R15"/>
  <c r="R870"/>
  <c r="S870" s="1"/>
  <c r="R29"/>
  <c r="S29" s="1"/>
  <c r="R926"/>
  <c r="S926" s="1"/>
  <c r="R315"/>
  <c r="S315" s="1"/>
  <c r="S461"/>
  <c r="R748"/>
  <c r="S748" s="1"/>
  <c r="R41"/>
  <c r="R972"/>
  <c r="S972" s="1"/>
  <c r="Q131"/>
  <c r="I131"/>
  <c r="G131"/>
  <c r="Q651"/>
  <c r="G651"/>
  <c r="I651"/>
  <c r="I678"/>
  <c r="G678"/>
  <c r="I436"/>
  <c r="G436"/>
  <c r="S15"/>
  <c r="I684"/>
  <c r="G684"/>
  <c r="P698"/>
  <c r="B698" s="1"/>
  <c r="G698"/>
  <c r="R698" s="1"/>
  <c r="I18"/>
  <c r="G18"/>
  <c r="B353"/>
  <c r="Q353"/>
  <c r="R134"/>
  <c r="S134" s="1"/>
  <c r="R8"/>
  <c r="S8" s="1"/>
  <c r="R257"/>
  <c r="S257" s="1"/>
  <c r="S233"/>
  <c r="R927"/>
  <c r="S927" s="1"/>
  <c r="R701"/>
  <c r="S701" s="1"/>
  <c r="Q620"/>
  <c r="Q300"/>
  <c r="I300"/>
  <c r="G300"/>
  <c r="Q152"/>
  <c r="I152"/>
  <c r="G152"/>
  <c r="P756"/>
  <c r="B756" s="1"/>
  <c r="G756"/>
  <c r="R756" s="1"/>
  <c r="I263"/>
  <c r="G263"/>
  <c r="I156"/>
  <c r="G156"/>
  <c r="I40"/>
  <c r="G40"/>
  <c r="S41"/>
  <c r="Q312"/>
  <c r="S312" s="1"/>
  <c r="R452"/>
  <c r="S452" s="1"/>
  <c r="S444"/>
  <c r="R353"/>
  <c r="R394"/>
  <c r="S394" s="1"/>
  <c r="R877"/>
  <c r="S877" s="1"/>
  <c r="R107"/>
  <c r="S107" s="1"/>
  <c r="R262"/>
  <c r="S262" s="1"/>
  <c r="R342"/>
  <c r="S342" s="1"/>
  <c r="R6"/>
  <c r="S6" s="1"/>
  <c r="R111"/>
  <c r="R295"/>
  <c r="S295" s="1"/>
  <c r="Q653"/>
  <c r="G653"/>
  <c r="I653"/>
  <c r="Q658"/>
  <c r="I658"/>
  <c r="G658"/>
  <c r="Q752"/>
  <c r="I752"/>
  <c r="G752"/>
  <c r="G925"/>
  <c r="I925"/>
  <c r="I258"/>
  <c r="G258"/>
  <c r="I920"/>
  <c r="G920"/>
  <c r="I720"/>
  <c r="G720"/>
  <c r="S111"/>
  <c r="S17"/>
  <c r="I476"/>
  <c r="G476"/>
  <c r="I157"/>
  <c r="G157"/>
  <c r="I744"/>
  <c r="G744"/>
  <c r="R903"/>
  <c r="S903" s="1"/>
  <c r="R366"/>
  <c r="S366" s="1"/>
  <c r="R12"/>
  <c r="S12" s="1"/>
  <c r="R682"/>
  <c r="S682" s="1"/>
  <c r="R433"/>
  <c r="S433" s="1"/>
  <c r="R39"/>
  <c r="S39" s="1"/>
  <c r="R470"/>
  <c r="S470" s="1"/>
  <c r="R923"/>
  <c r="S923" s="1"/>
  <c r="Q358"/>
  <c r="S358" s="1"/>
  <c r="Q835"/>
  <c r="S835" s="1"/>
  <c r="D638" i="69"/>
  <c r="D1506" i="67"/>
  <c r="G1506" s="1"/>
  <c r="D1505" i="69"/>
  <c r="G1505" s="1"/>
  <c r="D638" i="67"/>
  <c r="D109" i="25"/>
  <c r="F87"/>
  <c r="F96" s="1"/>
  <c r="F97" s="1"/>
  <c r="B444" i="69"/>
  <c r="Q444"/>
  <c r="L3417" i="27"/>
  <c r="D656" i="69"/>
  <c r="D656" i="67"/>
  <c r="D657"/>
  <c r="D657" i="69"/>
  <c r="Q756" i="67"/>
  <c r="D259"/>
  <c r="D679" i="69"/>
  <c r="I594" i="1"/>
  <c r="K594" s="1"/>
  <c r="D679" i="67"/>
  <c r="D259" i="69"/>
  <c r="K678" i="67"/>
  <c r="O678"/>
  <c r="M678"/>
  <c r="Q678"/>
  <c r="AS91" i="1"/>
  <c r="AQ111"/>
  <c r="X1242"/>
  <c r="AB1247"/>
  <c r="M950" i="69"/>
  <c r="I950"/>
  <c r="G950"/>
  <c r="Q950"/>
  <c r="O950"/>
  <c r="K950"/>
  <c r="AD1402" i="1"/>
  <c r="AB1419"/>
  <c r="AD1419" s="1"/>
  <c r="K3456" i="27"/>
  <c r="K3458" s="1"/>
  <c r="K2213" s="1"/>
  <c r="L3348"/>
  <c r="I1086" i="11"/>
  <c r="K1086" s="1"/>
  <c r="I127"/>
  <c r="K124"/>
  <c r="I154"/>
  <c r="K154" s="1"/>
  <c r="O922" i="67"/>
  <c r="K922"/>
  <c r="M922"/>
  <c r="Q922"/>
  <c r="P1465" i="1"/>
  <c r="R1448"/>
  <c r="AQ166"/>
  <c r="AS166" s="1"/>
  <c r="AS135"/>
  <c r="I3886" i="27"/>
  <c r="K3886" s="1"/>
  <c r="K3898" s="1"/>
  <c r="K3899" s="1"/>
  <c r="I3073"/>
  <c r="K3050"/>
  <c r="I3280" i="1"/>
  <c r="K1102"/>
  <c r="K1110" s="1"/>
  <c r="K1112" s="1"/>
  <c r="M9" i="67"/>
  <c r="O9"/>
  <c r="K9"/>
  <c r="Q9"/>
  <c r="F619" i="25"/>
  <c r="D655"/>
  <c r="O684" i="69"/>
  <c r="I684"/>
  <c r="K684"/>
  <c r="M684"/>
  <c r="G684"/>
  <c r="Q684"/>
  <c r="K683" i="67"/>
  <c r="O683"/>
  <c r="M683"/>
  <c r="Q683"/>
  <c r="W565" i="1"/>
  <c r="AC565" s="1"/>
  <c r="AJ565" s="1"/>
  <c r="J564"/>
  <c r="J565" s="1"/>
  <c r="J566" s="1"/>
  <c r="J567" s="1"/>
  <c r="J568" s="1"/>
  <c r="J569" s="1"/>
  <c r="J570" s="1"/>
  <c r="J571" s="1"/>
  <c r="I3338" i="27"/>
  <c r="K3338" s="1"/>
  <c r="K3339" s="1"/>
  <c r="K3340" s="1"/>
  <c r="K3279"/>
  <c r="K3281" s="1"/>
  <c r="K3282" s="1"/>
  <c r="K3275" s="1"/>
  <c r="K3277" s="1"/>
  <c r="X3573" i="1"/>
  <c r="V3588"/>
  <c r="AB1435"/>
  <c r="AD1435" s="1"/>
  <c r="X1437"/>
  <c r="P1237"/>
  <c r="R1237" s="1"/>
  <c r="V1240"/>
  <c r="R1260"/>
  <c r="V1301"/>
  <c r="K157" i="67"/>
  <c r="O157"/>
  <c r="M157"/>
  <c r="Q157"/>
  <c r="K744"/>
  <c r="O744"/>
  <c r="M744"/>
  <c r="Q744"/>
  <c r="K317" i="69"/>
  <c r="M317"/>
  <c r="G317"/>
  <c r="I317"/>
  <c r="O317"/>
  <c r="Q317"/>
  <c r="K1028" i="1"/>
  <c r="K1030" s="1"/>
  <c r="Q1114" i="69"/>
  <c r="B1114"/>
  <c r="K3600" i="1"/>
  <c r="K3610" s="1"/>
  <c r="K3612" s="1"/>
  <c r="I3623"/>
  <c r="K3623" s="1"/>
  <c r="K3631" s="1"/>
  <c r="K3633" s="1"/>
  <c r="P756" i="69"/>
  <c r="G756"/>
  <c r="I587" i="27"/>
  <c r="K587"/>
  <c r="M258" i="69"/>
  <c r="K258"/>
  <c r="I258"/>
  <c r="Q258"/>
  <c r="G258"/>
  <c r="O258"/>
  <c r="L3398" i="27"/>
  <c r="D780" i="67"/>
  <c r="D780" i="69"/>
  <c r="O436" i="67"/>
  <c r="M436"/>
  <c r="K436"/>
  <c r="Q436"/>
  <c r="L1078" i="11"/>
  <c r="M1077"/>
  <c r="K1077"/>
  <c r="X1406" i="1"/>
  <c r="AB1404"/>
  <c r="V3621"/>
  <c r="X3621" s="1"/>
  <c r="AG3558"/>
  <c r="X3562"/>
  <c r="V3578"/>
  <c r="R3222"/>
  <c r="P3324"/>
  <c r="R3324" s="1"/>
  <c r="R3337" s="1"/>
  <c r="R3339" s="1"/>
  <c r="P3436"/>
  <c r="R3436" s="1"/>
  <c r="M720" i="67"/>
  <c r="O720"/>
  <c r="K720"/>
  <c r="Q720"/>
  <c r="D426"/>
  <c r="D426" i="69"/>
  <c r="X1454" i="1"/>
  <c r="X1463" s="1"/>
  <c r="AB1452"/>
  <c r="AD1452" s="1"/>
  <c r="O922" i="69"/>
  <c r="Q922"/>
  <c r="K922"/>
  <c r="M922"/>
  <c r="I922"/>
  <c r="G922"/>
  <c r="D693" i="25"/>
  <c r="F693" s="1"/>
  <c r="F657"/>
  <c r="AU110" i="1"/>
  <c r="AV110" s="1"/>
  <c r="K2952" i="27"/>
  <c r="I3905"/>
  <c r="K3905" s="1"/>
  <c r="I2973"/>
  <c r="K2973" s="1"/>
  <c r="K2977" s="1"/>
  <c r="P1244" i="1"/>
  <c r="R1244" s="1"/>
  <c r="V1247"/>
  <c r="R1267"/>
  <c r="P1383"/>
  <c r="R1383" s="1"/>
  <c r="AG3562"/>
  <c r="V3625"/>
  <c r="D546" i="25"/>
  <c r="K951" i="1"/>
  <c r="K962" s="1"/>
  <c r="K964" s="1"/>
  <c r="D296" i="69"/>
  <c r="D296" i="67"/>
  <c r="D685"/>
  <c r="D264"/>
  <c r="D264" i="69"/>
  <c r="D685"/>
  <c r="X593" i="1"/>
  <c r="K684" i="67"/>
  <c r="M684"/>
  <c r="O684"/>
  <c r="Q684"/>
  <c r="D757"/>
  <c r="D757" i="69"/>
  <c r="I3628" i="27"/>
  <c r="K3483"/>
  <c r="I3477" s="1"/>
  <c r="K3477" s="1"/>
  <c r="K878" i="67"/>
  <c r="M878"/>
  <c r="O878"/>
  <c r="Q878"/>
  <c r="AE2650" i="1"/>
  <c r="AG2650" s="1"/>
  <c r="Z2600"/>
  <c r="Z2610" s="1"/>
  <c r="Z2611" s="1"/>
  <c r="AE2616"/>
  <c r="AG2616" s="1"/>
  <c r="X2602"/>
  <c r="P698" i="69"/>
  <c r="G698"/>
  <c r="M376" i="67"/>
  <c r="O376"/>
  <c r="K376"/>
  <c r="Q376"/>
  <c r="Q884" i="69"/>
  <c r="B884"/>
  <c r="W541" i="1"/>
  <c r="AC541" s="1"/>
  <c r="AJ541" s="1"/>
  <c r="J542"/>
  <c r="K18" i="69"/>
  <c r="M18"/>
  <c r="Q18"/>
  <c r="G18"/>
  <c r="O18"/>
  <c r="I18"/>
  <c r="I157"/>
  <c r="K157"/>
  <c r="Q157"/>
  <c r="M157"/>
  <c r="O157"/>
  <c r="G157"/>
  <c r="G744"/>
  <c r="O744"/>
  <c r="Q744"/>
  <c r="M744"/>
  <c r="K744"/>
  <c r="I744"/>
  <c r="M317" i="67"/>
  <c r="O317"/>
  <c r="K317"/>
  <c r="Q317"/>
  <c r="K878" i="69"/>
  <c r="Q878"/>
  <c r="I878"/>
  <c r="M878"/>
  <c r="G878"/>
  <c r="O878"/>
  <c r="Q925"/>
  <c r="G925"/>
  <c r="K925"/>
  <c r="M925"/>
  <c r="I925"/>
  <c r="O925"/>
  <c r="I2824" i="1"/>
  <c r="R1121"/>
  <c r="M258" i="67"/>
  <c r="K258"/>
  <c r="O258"/>
  <c r="Q258"/>
  <c r="K920"/>
  <c r="M920"/>
  <c r="Q920"/>
  <c r="O920"/>
  <c r="K436" i="69"/>
  <c r="G436"/>
  <c r="O436"/>
  <c r="Q436"/>
  <c r="I436"/>
  <c r="M436"/>
  <c r="Q461"/>
  <c r="B461"/>
  <c r="M950" i="67"/>
  <c r="K950"/>
  <c r="O950"/>
  <c r="Q950"/>
  <c r="D811"/>
  <c r="S1545" i="1"/>
  <c r="D811" i="69"/>
  <c r="L913" i="11"/>
  <c r="K2280" i="1"/>
  <c r="M913" i="11"/>
  <c r="M643" i="67"/>
  <c r="O643"/>
  <c r="K643"/>
  <c r="Q643"/>
  <c r="X3558" i="1"/>
  <c r="V3574"/>
  <c r="D304" i="69"/>
  <c r="D633"/>
  <c r="D304" i="67"/>
  <c r="D633"/>
  <c r="I263" i="69"/>
  <c r="O263"/>
  <c r="K263"/>
  <c r="M263"/>
  <c r="G263"/>
  <c r="K263" i="67"/>
  <c r="M263"/>
  <c r="O263"/>
  <c r="Q263"/>
  <c r="K156"/>
  <c r="O156"/>
  <c r="M156"/>
  <c r="Q156"/>
  <c r="O476"/>
  <c r="K476"/>
  <c r="M476"/>
  <c r="Q476"/>
  <c r="V1409" i="1"/>
  <c r="X1393"/>
  <c r="M586" i="11"/>
  <c r="Q698" i="67"/>
  <c r="M376" i="69"/>
  <c r="Q376"/>
  <c r="I376"/>
  <c r="K376"/>
  <c r="O376"/>
  <c r="G376"/>
  <c r="S815" i="11"/>
  <c r="D961" i="67"/>
  <c r="M18"/>
  <c r="O18"/>
  <c r="K18"/>
  <c r="Q18"/>
  <c r="D435"/>
  <c r="D435" i="69"/>
  <c r="K3779" i="27"/>
  <c r="K3781" s="1"/>
  <c r="K3774"/>
  <c r="D661" i="25"/>
  <c r="F625"/>
  <c r="Q40" i="69"/>
  <c r="O40"/>
  <c r="M40"/>
  <c r="I40"/>
  <c r="G40"/>
  <c r="K40"/>
  <c r="AG2627" i="1"/>
  <c r="AG2629" s="1"/>
  <c r="R3236"/>
  <c r="R3238" s="1"/>
  <c r="O925" i="67"/>
  <c r="K925"/>
  <c r="M925"/>
  <c r="Q925"/>
  <c r="P2854" i="1"/>
  <c r="R2854" s="1"/>
  <c r="R2821"/>
  <c r="R2832" s="1"/>
  <c r="R2834" s="1"/>
  <c r="M678" i="69"/>
  <c r="K678"/>
  <c r="O678"/>
  <c r="Q678"/>
  <c r="I678"/>
  <c r="G678"/>
  <c r="G920"/>
  <c r="M920"/>
  <c r="Q920"/>
  <c r="O920"/>
  <c r="I920"/>
  <c r="K920"/>
  <c r="P2075" i="1"/>
  <c r="R2075" s="1"/>
  <c r="R2085" s="1"/>
  <c r="R2087" s="1"/>
  <c r="K3101"/>
  <c r="K3112" s="1"/>
  <c r="K3114" s="1"/>
  <c r="R3292"/>
  <c r="R3303" s="1"/>
  <c r="R3305" s="1"/>
  <c r="P3361"/>
  <c r="R3361" s="1"/>
  <c r="R3372" s="1"/>
  <c r="R3374" s="1"/>
  <c r="P3395"/>
  <c r="R3395" s="1"/>
  <c r="R3406" s="1"/>
  <c r="R3408" s="1"/>
  <c r="Q720" i="69"/>
  <c r="G720"/>
  <c r="K720"/>
  <c r="M720"/>
  <c r="I720"/>
  <c r="O720"/>
  <c r="K3466" i="27"/>
  <c r="K3468" s="1"/>
  <c r="L3379"/>
  <c r="L931" i="11"/>
  <c r="K2291" i="1"/>
  <c r="I3018" s="1"/>
  <c r="K3018" s="1"/>
  <c r="O643" i="69"/>
  <c r="K643"/>
  <c r="M643"/>
  <c r="I643"/>
  <c r="Q643"/>
  <c r="G643"/>
  <c r="L709" i="11"/>
  <c r="K708"/>
  <c r="AB1216" i="1"/>
  <c r="AD1216" s="1"/>
  <c r="AD1244"/>
  <c r="P1113"/>
  <c r="R1091"/>
  <c r="R3154"/>
  <c r="R3164" s="1"/>
  <c r="R3166" s="1"/>
  <c r="V3114"/>
  <c r="P1065"/>
  <c r="R1065" s="1"/>
  <c r="R1075" s="1"/>
  <c r="R1077" s="1"/>
  <c r="K1054"/>
  <c r="K1064" s="1"/>
  <c r="K1066" s="1"/>
  <c r="P988"/>
  <c r="R988" s="1"/>
  <c r="R998" s="1"/>
  <c r="R1000" s="1"/>
  <c r="P1090"/>
  <c r="AE1063"/>
  <c r="AG1063" s="1"/>
  <c r="AG1073" s="1"/>
  <c r="AG1075" s="1"/>
  <c r="D635" i="67"/>
  <c r="D635" i="69"/>
  <c r="D306"/>
  <c r="D306" i="67"/>
  <c r="G9" i="69"/>
  <c r="M9"/>
  <c r="Q9"/>
  <c r="I9"/>
  <c r="O9"/>
  <c r="K9"/>
  <c r="O683"/>
  <c r="I683"/>
  <c r="M683"/>
  <c r="G683"/>
  <c r="Q683"/>
  <c r="K683"/>
  <c r="M156"/>
  <c r="G156"/>
  <c r="I156"/>
  <c r="O156"/>
  <c r="K156"/>
  <c r="Q156"/>
  <c r="M476"/>
  <c r="I476"/>
  <c r="G476"/>
  <c r="Q476"/>
  <c r="K476"/>
  <c r="O476"/>
  <c r="AS109" i="1"/>
  <c r="AQ134"/>
  <c r="R1483"/>
  <c r="V1444"/>
  <c r="P787" i="11"/>
  <c r="R787"/>
  <c r="R789" s="1"/>
  <c r="P805" s="1"/>
  <c r="R1223" i="1"/>
  <c r="T1223" s="1"/>
  <c r="P1265"/>
  <c r="K121"/>
  <c r="D19" i="69"/>
  <c r="D19" i="67"/>
  <c r="R3774" i="27"/>
  <c r="R3779"/>
  <c r="R3781" s="1"/>
  <c r="Q40" i="67"/>
  <c r="K40"/>
  <c r="O40"/>
  <c r="M40"/>
  <c r="R2865" i="1"/>
  <c r="R2867" s="1"/>
  <c r="D648" i="69" s="1"/>
  <c r="B835"/>
  <c r="Q835"/>
  <c r="Q278"/>
  <c r="B278"/>
  <c r="K131" i="67"/>
  <c r="M131"/>
  <c r="O131"/>
  <c r="M657" i="69"/>
  <c r="I657"/>
  <c r="O657"/>
  <c r="G657"/>
  <c r="K657"/>
  <c r="Q657"/>
  <c r="R1221" i="1"/>
  <c r="T1221" s="1"/>
  <c r="P1263"/>
  <c r="M300" i="69"/>
  <c r="Q300"/>
  <c r="O300"/>
  <c r="K300"/>
  <c r="G300"/>
  <c r="I300"/>
  <c r="O446" i="67"/>
  <c r="K446"/>
  <c r="M446"/>
  <c r="D170" i="25"/>
  <c r="F170" s="1"/>
  <c r="F148"/>
  <c r="D654" i="67"/>
  <c r="D654" i="69"/>
  <c r="K29" i="11"/>
  <c r="L29"/>
  <c r="K48"/>
  <c r="R26"/>
  <c r="R30" s="1"/>
  <c r="P59"/>
  <c r="R59" s="1"/>
  <c r="R64" s="1"/>
  <c r="V708" i="1"/>
  <c r="X643"/>
  <c r="AD643"/>
  <c r="AF643" s="1"/>
  <c r="B312" i="69"/>
  <c r="Q312"/>
  <c r="O653"/>
  <c r="Q653"/>
  <c r="I653"/>
  <c r="M653"/>
  <c r="K653"/>
  <c r="G653"/>
  <c r="D928"/>
  <c r="D928" i="67"/>
  <c r="Q658" i="69"/>
  <c r="I658"/>
  <c r="M658"/>
  <c r="K658"/>
  <c r="O658"/>
  <c r="G658"/>
  <c r="K752"/>
  <c r="M752"/>
  <c r="G752"/>
  <c r="I752"/>
  <c r="O752"/>
  <c r="Q752"/>
  <c r="I1586" i="1"/>
  <c r="K1586" s="1"/>
  <c r="K1593" s="1"/>
  <c r="K1595" s="1"/>
  <c r="I1613"/>
  <c r="M131" i="69"/>
  <c r="G131"/>
  <c r="Q131"/>
  <c r="I131"/>
  <c r="O131"/>
  <c r="K131"/>
  <c r="K657" i="67"/>
  <c r="O657"/>
  <c r="M657"/>
  <c r="K651" i="69"/>
  <c r="O651"/>
  <c r="G651"/>
  <c r="M651"/>
  <c r="I651"/>
  <c r="Q651"/>
  <c r="Q446"/>
  <c r="I446"/>
  <c r="M446"/>
  <c r="G446"/>
  <c r="O446"/>
  <c r="K446"/>
  <c r="D692" i="25"/>
  <c r="F692" s="1"/>
  <c r="F656"/>
  <c r="K85" i="11"/>
  <c r="K89" s="1"/>
  <c r="I109"/>
  <c r="I208"/>
  <c r="K208" s="1"/>
  <c r="K212" s="1"/>
  <c r="P1175" i="1"/>
  <c r="R1175" s="1"/>
  <c r="R1144"/>
  <c r="K3840" i="27"/>
  <c r="K3841" s="1"/>
  <c r="K3848"/>
  <c r="K3856" s="1"/>
  <c r="K3857" s="1"/>
  <c r="M653" i="67"/>
  <c r="O653"/>
  <c r="K653"/>
  <c r="D368"/>
  <c r="D368" i="69"/>
  <c r="K658" i="67"/>
  <c r="O658"/>
  <c r="M658"/>
  <c r="O752"/>
  <c r="K752"/>
  <c r="M752"/>
  <c r="I638" i="69"/>
  <c r="G638"/>
  <c r="M638"/>
  <c r="K638"/>
  <c r="O638"/>
  <c r="Q638"/>
  <c r="K656" i="67"/>
  <c r="O656"/>
  <c r="M656"/>
  <c r="K651"/>
  <c r="M651"/>
  <c r="O651"/>
  <c r="D361"/>
  <c r="I2928" i="1"/>
  <c r="D361" i="69"/>
  <c r="D699" i="67"/>
  <c r="D699" i="69"/>
  <c r="I2937" i="1"/>
  <c r="K2937" s="1"/>
  <c r="K152" i="67"/>
  <c r="M152"/>
  <c r="O152"/>
  <c r="K180" i="11"/>
  <c r="M180"/>
  <c r="L181"/>
  <c r="L182" s="1"/>
  <c r="K187"/>
  <c r="K191" s="1"/>
  <c r="V818" i="1"/>
  <c r="X818" s="1"/>
  <c r="X803"/>
  <c r="R1111"/>
  <c r="V3634"/>
  <c r="X3634" s="1"/>
  <c r="K460" i="67"/>
  <c r="O460"/>
  <c r="M460"/>
  <c r="K638"/>
  <c r="M638"/>
  <c r="O638"/>
  <c r="G656" i="69"/>
  <c r="Q656"/>
  <c r="O656"/>
  <c r="K656"/>
  <c r="M656"/>
  <c r="I656"/>
  <c r="M300" i="67"/>
  <c r="K300"/>
  <c r="O300"/>
  <c r="P1602" i="1"/>
  <c r="R1602" s="1"/>
  <c r="R1607" s="1"/>
  <c r="R1609" s="1"/>
  <c r="K1601"/>
  <c r="K1606" s="1"/>
  <c r="K1608" s="1"/>
  <c r="M152" i="69"/>
  <c r="I152"/>
  <c r="G152"/>
  <c r="O152"/>
  <c r="K152"/>
  <c r="Q152"/>
  <c r="K3298" i="27"/>
  <c r="I3323"/>
  <c r="K3323" s="1"/>
  <c r="K2853"/>
  <c r="K2859" s="1"/>
  <c r="I2916"/>
  <c r="P2857"/>
  <c r="I3004"/>
  <c r="K3004" s="1"/>
  <c r="K3010" s="1"/>
  <c r="I460" i="69"/>
  <c r="O460"/>
  <c r="M460"/>
  <c r="K460"/>
  <c r="P590" i="27"/>
  <c r="R590" s="1"/>
  <c r="P633"/>
  <c r="R633" s="1"/>
  <c r="P576"/>
  <c r="R576" s="1"/>
  <c r="K2566"/>
  <c r="K2568" s="1"/>
  <c r="I1309"/>
  <c r="K1309" s="1"/>
  <c r="I1287"/>
  <c r="K1287" s="1"/>
  <c r="K2597"/>
  <c r="K2599" s="1"/>
  <c r="D649" i="67" l="1"/>
  <c r="D649" i="69"/>
  <c r="D302"/>
  <c r="D302" i="67"/>
  <c r="D320" i="69"/>
  <c r="D320" i="67"/>
  <c r="D323" i="69"/>
  <c r="D323" i="67"/>
  <c r="G49"/>
  <c r="O49"/>
  <c r="I49"/>
  <c r="Q49"/>
  <c r="M49"/>
  <c r="K49"/>
  <c r="R1142" i="1"/>
  <c r="P1173"/>
  <c r="R1173" s="1"/>
  <c r="K3396" i="27"/>
  <c r="K3400" s="1"/>
  <c r="I3415"/>
  <c r="K3415" s="1"/>
  <c r="K3419" s="1"/>
  <c r="I3476"/>
  <c r="K3476" s="1"/>
  <c r="K3481" s="1"/>
  <c r="L3481" s="1"/>
  <c r="G154" i="67"/>
  <c r="O154"/>
  <c r="Q154"/>
  <c r="I154"/>
  <c r="M154"/>
  <c r="K154"/>
  <c r="M929"/>
  <c r="O929"/>
  <c r="K929"/>
  <c r="G929"/>
  <c r="R929" s="1"/>
  <c r="Q929"/>
  <c r="I929"/>
  <c r="I883"/>
  <c r="Q883"/>
  <c r="G883"/>
  <c r="M883"/>
  <c r="K883"/>
  <c r="O883"/>
  <c r="I316" i="69"/>
  <c r="G316"/>
  <c r="M316"/>
  <c r="O316"/>
  <c r="K316"/>
  <c r="Q316"/>
  <c r="F120" i="25"/>
  <c r="F125" s="1"/>
  <c r="D115" s="1"/>
  <c r="F115" s="1"/>
  <c r="D147"/>
  <c r="K36" i="1"/>
  <c r="K40" s="1"/>
  <c r="I45"/>
  <c r="K45" s="1"/>
  <c r="K49" s="1"/>
  <c r="I140"/>
  <c r="I19"/>
  <c r="K19" s="1"/>
  <c r="K23" s="1"/>
  <c r="G626" i="69"/>
  <c r="O626"/>
  <c r="K626"/>
  <c r="M626"/>
  <c r="I626"/>
  <c r="Q626"/>
  <c r="I620"/>
  <c r="G620"/>
  <c r="M620"/>
  <c r="O620"/>
  <c r="K620"/>
  <c r="Q620"/>
  <c r="D954"/>
  <c r="D954" i="67"/>
  <c r="K463" i="11"/>
  <c r="L462"/>
  <c r="L464"/>
  <c r="M463"/>
  <c r="I884" i="67"/>
  <c r="O884"/>
  <c r="M884"/>
  <c r="Q884"/>
  <c r="K884"/>
  <c r="G884"/>
  <c r="R884" s="1"/>
  <c r="S884" s="1"/>
  <c r="P22" i="1"/>
  <c r="P627"/>
  <c r="R627" s="1"/>
  <c r="I152"/>
  <c r="K152" s="1"/>
  <c r="K161" s="1"/>
  <c r="I3322" i="27"/>
  <c r="K3322" s="1"/>
  <c r="K3297"/>
  <c r="D648" i="67"/>
  <c r="S353"/>
  <c r="K2696" i="27"/>
  <c r="R445" i="67"/>
  <c r="G930" i="69"/>
  <c r="O930"/>
  <c r="M930"/>
  <c r="Q930"/>
  <c r="I930"/>
  <c r="K930"/>
  <c r="G169"/>
  <c r="Q169"/>
  <c r="I169"/>
  <c r="M169"/>
  <c r="K169"/>
  <c r="O169"/>
  <c r="F623" i="25"/>
  <c r="D659"/>
  <c r="I622" i="67"/>
  <c r="M622"/>
  <c r="D624"/>
  <c r="O622"/>
  <c r="K622"/>
  <c r="G622"/>
  <c r="Q622"/>
  <c r="L566" i="11"/>
  <c r="K569"/>
  <c r="M623" i="69"/>
  <c r="O623"/>
  <c r="K623"/>
  <c r="I623"/>
  <c r="G623"/>
  <c r="Q623"/>
  <c r="K612" i="11"/>
  <c r="I606" s="1"/>
  <c r="K606" s="1"/>
  <c r="K610" s="1"/>
  <c r="I652"/>
  <c r="K112" i="67"/>
  <c r="M112"/>
  <c r="Q112"/>
  <c r="G112"/>
  <c r="O112"/>
  <c r="I112"/>
  <c r="AB1425" i="1"/>
  <c r="AD1425" s="1"/>
  <c r="AD1408"/>
  <c r="I691" i="69"/>
  <c r="K691"/>
  <c r="G691"/>
  <c r="O691"/>
  <c r="Q691"/>
  <c r="M691"/>
  <c r="K620" i="67"/>
  <c r="G620"/>
  <c r="O620"/>
  <c r="I620"/>
  <c r="M620"/>
  <c r="L488" i="11"/>
  <c r="K2286" i="1"/>
  <c r="O884" i="69"/>
  <c r="K884"/>
  <c r="I884"/>
  <c r="M884"/>
  <c r="G884"/>
  <c r="K3996" i="1"/>
  <c r="K3998" s="1"/>
  <c r="K3999" s="1"/>
  <c r="I4012"/>
  <c r="D552" i="25"/>
  <c r="X3163" i="1"/>
  <c r="R690" i="67"/>
  <c r="S690" s="1"/>
  <c r="R133"/>
  <c r="S133" s="1"/>
  <c r="V706" i="1"/>
  <c r="R777" i="67"/>
  <c r="S777" s="1"/>
  <c r="K2620" i="27"/>
  <c r="S445" i="67"/>
  <c r="R110"/>
  <c r="S110" s="1"/>
  <c r="G625"/>
  <c r="K625"/>
  <c r="I625"/>
  <c r="M625"/>
  <c r="Q625"/>
  <c r="O625"/>
  <c r="AC14" i="1"/>
  <c r="Z15"/>
  <c r="Q930" i="67"/>
  <c r="K930"/>
  <c r="G930"/>
  <c r="I930"/>
  <c r="M930"/>
  <c r="O930"/>
  <c r="D437" i="69"/>
  <c r="D437" i="67"/>
  <c r="K169"/>
  <c r="O169"/>
  <c r="G169"/>
  <c r="I169"/>
  <c r="Q169"/>
  <c r="M169"/>
  <c r="I771" i="27"/>
  <c r="K771" s="1"/>
  <c r="K779" s="1"/>
  <c r="K781" s="1"/>
  <c r="I209"/>
  <c r="K209" s="1"/>
  <c r="K216" s="1"/>
  <c r="K218" s="1"/>
  <c r="P65"/>
  <c r="R65" s="1"/>
  <c r="R72" s="1"/>
  <c r="R74" s="1"/>
  <c r="P631" s="1"/>
  <c r="R631" s="1"/>
  <c r="R642" s="1"/>
  <c r="I1636"/>
  <c r="K1636" s="1"/>
  <c r="K1642" s="1"/>
  <c r="K1644" s="1"/>
  <c r="P604"/>
  <c r="R604" s="1"/>
  <c r="I269"/>
  <c r="K269" s="1"/>
  <c r="K277" s="1"/>
  <c r="K279" s="1"/>
  <c r="K2929" i="1"/>
  <c r="I2948"/>
  <c r="AJ1206"/>
  <c r="AC1207"/>
  <c r="AC1208" s="1"/>
  <c r="F460" i="69"/>
  <c r="F460" i="67"/>
  <c r="D341"/>
  <c r="D341" i="69"/>
  <c r="Q623" i="67"/>
  <c r="K623"/>
  <c r="G623"/>
  <c r="M623"/>
  <c r="I623"/>
  <c r="O623"/>
  <c r="L585" i="11"/>
  <c r="K588"/>
  <c r="G112" i="69"/>
  <c r="I112"/>
  <c r="Q112"/>
  <c r="M112"/>
  <c r="O112"/>
  <c r="K112"/>
  <c r="D692" i="67"/>
  <c r="D692" i="69"/>
  <c r="AS92" i="1"/>
  <c r="AQ112"/>
  <c r="R1452"/>
  <c r="R1454" s="1"/>
  <c r="R1455" s="1"/>
  <c r="P1469"/>
  <c r="R1497"/>
  <c r="V1458"/>
  <c r="AD1378"/>
  <c r="AD1380" s="1"/>
  <c r="AB1395"/>
  <c r="AD1395" s="1"/>
  <c r="AD1397" s="1"/>
  <c r="K3299" i="27"/>
  <c r="K3291" s="1"/>
  <c r="K3293" s="1"/>
  <c r="K3294" s="1"/>
  <c r="K2204" s="1"/>
  <c r="Q626" i="67"/>
  <c r="K626"/>
  <c r="O626"/>
  <c r="G626"/>
  <c r="R626" s="1"/>
  <c r="S626" s="1"/>
  <c r="M626"/>
  <c r="I626"/>
  <c r="K3744" i="27"/>
  <c r="K3761"/>
  <c r="K3762" s="1"/>
  <c r="K49" i="69"/>
  <c r="I49"/>
  <c r="O49"/>
  <c r="Q49"/>
  <c r="M49"/>
  <c r="G49"/>
  <c r="V1413" i="1"/>
  <c r="X1397"/>
  <c r="X1399" s="1"/>
  <c r="Q622" i="69"/>
  <c r="I622"/>
  <c r="D624"/>
  <c r="K622"/>
  <c r="G622"/>
  <c r="M622"/>
  <c r="O622"/>
  <c r="X801" i="1"/>
  <c r="V816"/>
  <c r="X816" s="1"/>
  <c r="V771"/>
  <c r="X771" s="1"/>
  <c r="K503"/>
  <c r="I2897"/>
  <c r="K2897" s="1"/>
  <c r="I154" i="69"/>
  <c r="Q154"/>
  <c r="O154"/>
  <c r="K154"/>
  <c r="M154"/>
  <c r="G154"/>
  <c r="Q929"/>
  <c r="I929"/>
  <c r="G929"/>
  <c r="K929"/>
  <c r="M929"/>
  <c r="O929"/>
  <c r="G883"/>
  <c r="O883"/>
  <c r="Q883"/>
  <c r="K883"/>
  <c r="M883"/>
  <c r="I883"/>
  <c r="Q316" i="67"/>
  <c r="I316"/>
  <c r="K316"/>
  <c r="M316"/>
  <c r="G316"/>
  <c r="O316"/>
  <c r="O691"/>
  <c r="G691"/>
  <c r="I691"/>
  <c r="Q691"/>
  <c r="K691"/>
  <c r="M691"/>
  <c r="I505" i="1"/>
  <c r="I54"/>
  <c r="K54" s="1"/>
  <c r="K58" s="1"/>
  <c r="I272"/>
  <c r="K272" s="1"/>
  <c r="I809"/>
  <c r="I10"/>
  <c r="K10" s="1"/>
  <c r="P1143"/>
  <c r="P10"/>
  <c r="R10" s="1"/>
  <c r="R14" s="1"/>
  <c r="I73"/>
  <c r="K73" s="1"/>
  <c r="K77" s="1"/>
  <c r="I2128"/>
  <c r="K2128" s="1"/>
  <c r="K2136" s="1"/>
  <c r="K2138" s="1"/>
  <c r="I28"/>
  <c r="K28" s="1"/>
  <c r="K32" s="1"/>
  <c r="I64"/>
  <c r="K64" s="1"/>
  <c r="K68" s="1"/>
  <c r="I1753"/>
  <c r="K1753" s="1"/>
  <c r="K1760" s="1"/>
  <c r="K1762" s="1"/>
  <c r="I2148"/>
  <c r="G625" i="69"/>
  <c r="M625"/>
  <c r="I625"/>
  <c r="K625"/>
  <c r="O625"/>
  <c r="Q625"/>
  <c r="D953"/>
  <c r="D953" i="67"/>
  <c r="D321"/>
  <c r="D321" i="69"/>
  <c r="I3528" i="1"/>
  <c r="R3448"/>
  <c r="R3450" s="1"/>
  <c r="R3452" s="1"/>
  <c r="D50" i="67"/>
  <c r="D50" i="69"/>
  <c r="K3324" i="27"/>
  <c r="K3318" s="1"/>
  <c r="Q302" i="67"/>
  <c r="I302"/>
  <c r="G302"/>
  <c r="I19"/>
  <c r="G19"/>
  <c r="I635"/>
  <c r="G635"/>
  <c r="I296"/>
  <c r="G296"/>
  <c r="I426"/>
  <c r="G426"/>
  <c r="I679"/>
  <c r="G679"/>
  <c r="I320"/>
  <c r="G320"/>
  <c r="R157"/>
  <c r="R720"/>
  <c r="S720" s="1"/>
  <c r="R258"/>
  <c r="S258" s="1"/>
  <c r="R653"/>
  <c r="S653" s="1"/>
  <c r="R40"/>
  <c r="S40" s="1"/>
  <c r="R263"/>
  <c r="S263" s="1"/>
  <c r="R152"/>
  <c r="Q699"/>
  <c r="I699"/>
  <c r="G699"/>
  <c r="Q368"/>
  <c r="I368"/>
  <c r="G368"/>
  <c r="Q648"/>
  <c r="I648"/>
  <c r="G648"/>
  <c r="I961"/>
  <c r="G961"/>
  <c r="G685"/>
  <c r="I685"/>
  <c r="S157"/>
  <c r="I259"/>
  <c r="G259"/>
  <c r="Q656"/>
  <c r="I656"/>
  <c r="G656"/>
  <c r="Q638"/>
  <c r="I638"/>
  <c r="G638"/>
  <c r="R300"/>
  <c r="S300" s="1"/>
  <c r="R18"/>
  <c r="S18" s="1"/>
  <c r="R678"/>
  <c r="S678" s="1"/>
  <c r="R651"/>
  <c r="S651" s="1"/>
  <c r="R317"/>
  <c r="S317" s="1"/>
  <c r="R878"/>
  <c r="S878" s="1"/>
  <c r="R683"/>
  <c r="S683" s="1"/>
  <c r="R922"/>
  <c r="S922" s="1"/>
  <c r="Q361"/>
  <c r="I361"/>
  <c r="G361"/>
  <c r="Q928"/>
  <c r="G928"/>
  <c r="I928"/>
  <c r="Q654"/>
  <c r="I654"/>
  <c r="G654"/>
  <c r="I435"/>
  <c r="G435"/>
  <c r="I304"/>
  <c r="G304"/>
  <c r="G757"/>
  <c r="I757"/>
  <c r="I264"/>
  <c r="G264"/>
  <c r="I323"/>
  <c r="G323"/>
  <c r="Q657"/>
  <c r="G657"/>
  <c r="I657"/>
  <c r="S152"/>
  <c r="R744"/>
  <c r="S744" s="1"/>
  <c r="R476"/>
  <c r="S476" s="1"/>
  <c r="R920"/>
  <c r="S920" s="1"/>
  <c r="R752"/>
  <c r="S752" s="1"/>
  <c r="R156"/>
  <c r="S156" s="1"/>
  <c r="S756"/>
  <c r="R446"/>
  <c r="S446" s="1"/>
  <c r="Q649"/>
  <c r="I649"/>
  <c r="G649"/>
  <c r="I306"/>
  <c r="G306"/>
  <c r="G633"/>
  <c r="I633"/>
  <c r="G811"/>
  <c r="I811"/>
  <c r="I780"/>
  <c r="G780"/>
  <c r="R925"/>
  <c r="S925" s="1"/>
  <c r="R658"/>
  <c r="S658" s="1"/>
  <c r="S698"/>
  <c r="R684"/>
  <c r="S684" s="1"/>
  <c r="R436"/>
  <c r="S436" s="1"/>
  <c r="R131"/>
  <c r="S131" s="1"/>
  <c r="R376"/>
  <c r="S376" s="1"/>
  <c r="R9"/>
  <c r="S9" s="1"/>
  <c r="R643"/>
  <c r="S643" s="1"/>
  <c r="R950"/>
  <c r="S950" s="1"/>
  <c r="D1493"/>
  <c r="G1493" s="1"/>
  <c r="D1492" i="69"/>
  <c r="G1492" s="1"/>
  <c r="F109" i="25"/>
  <c r="F118" s="1"/>
  <c r="H118" s="1"/>
  <c r="D132"/>
  <c r="D1489" i="69"/>
  <c r="G1489" s="1"/>
  <c r="D1490" i="67"/>
  <c r="G1490" s="1"/>
  <c r="K2200" i="27"/>
  <c r="L3277"/>
  <c r="O19" i="69"/>
  <c r="M19"/>
  <c r="K19"/>
  <c r="I19"/>
  <c r="G19"/>
  <c r="Q19"/>
  <c r="Q306" i="67"/>
  <c r="K306"/>
  <c r="M306"/>
  <c r="O306"/>
  <c r="R1113" i="1"/>
  <c r="V3636"/>
  <c r="X3636" s="1"/>
  <c r="D697" i="25"/>
  <c r="F697" s="1"/>
  <c r="F661"/>
  <c r="O435" i="67"/>
  <c r="K435"/>
  <c r="M435"/>
  <c r="Q435"/>
  <c r="N586" i="11"/>
  <c r="K633" i="69"/>
  <c r="O633"/>
  <c r="Q633"/>
  <c r="G633"/>
  <c r="M633"/>
  <c r="I633"/>
  <c r="M811" i="67"/>
  <c r="O811"/>
  <c r="K811"/>
  <c r="Q811"/>
  <c r="I2643" i="1"/>
  <c r="K2824"/>
  <c r="K2825" s="1"/>
  <c r="K2827" s="1"/>
  <c r="J543"/>
  <c r="W542"/>
  <c r="AC542" s="1"/>
  <c r="AJ542" s="1"/>
  <c r="I757" i="69"/>
  <c r="O757"/>
  <c r="M757"/>
  <c r="Q757"/>
  <c r="K757"/>
  <c r="G757"/>
  <c r="D265" i="67"/>
  <c r="D265" i="69"/>
  <c r="D686"/>
  <c r="X594" i="1"/>
  <c r="D686" i="67"/>
  <c r="M685"/>
  <c r="O685"/>
  <c r="K685"/>
  <c r="Q685"/>
  <c r="D583" i="25"/>
  <c r="F546"/>
  <c r="O426" i="69"/>
  <c r="M426"/>
  <c r="Q426"/>
  <c r="G426"/>
  <c r="I426"/>
  <c r="K426"/>
  <c r="K3365" i="27"/>
  <c r="K3366" s="1"/>
  <c r="K3332"/>
  <c r="K3333" s="1"/>
  <c r="L3333" s="1"/>
  <c r="V3248" i="1"/>
  <c r="X3248" s="1"/>
  <c r="X3259" s="1"/>
  <c r="X3261" s="1"/>
  <c r="K3280"/>
  <c r="K3291" s="1"/>
  <c r="K3293" s="1"/>
  <c r="AU135"/>
  <c r="AV135" s="1"/>
  <c r="I1089" i="11"/>
  <c r="K1089" s="1"/>
  <c r="K127"/>
  <c r="AB1219" i="1"/>
  <c r="AD1219" s="1"/>
  <c r="AD1247"/>
  <c r="D260" i="69"/>
  <c r="D680" i="67"/>
  <c r="I595" i="1"/>
  <c r="K595" s="1"/>
  <c r="I596" s="1"/>
  <c r="K596" s="1"/>
  <c r="I597" s="1"/>
  <c r="K597" s="1"/>
  <c r="I598" s="1"/>
  <c r="K598" s="1"/>
  <c r="I599" s="1"/>
  <c r="K599" s="1"/>
  <c r="K602"/>
  <c r="D260" i="67"/>
  <c r="D680" i="69"/>
  <c r="K19" i="67"/>
  <c r="M19"/>
  <c r="O19"/>
  <c r="Q19"/>
  <c r="R805" i="11"/>
  <c r="R807" s="1"/>
  <c r="W805"/>
  <c r="Q635" i="67"/>
  <c r="M635"/>
  <c r="O635"/>
  <c r="K635"/>
  <c r="D310" i="69"/>
  <c r="D310" i="67"/>
  <c r="D727" i="69"/>
  <c r="D727" i="67"/>
  <c r="D731" i="69"/>
  <c r="D731" i="67"/>
  <c r="K435" i="69"/>
  <c r="M435"/>
  <c r="G435"/>
  <c r="Q435"/>
  <c r="I435"/>
  <c r="O435"/>
  <c r="K961" i="67"/>
  <c r="M961"/>
  <c r="O961"/>
  <c r="Q961"/>
  <c r="K304"/>
  <c r="O304"/>
  <c r="M304"/>
  <c r="Q304"/>
  <c r="Q698" i="69"/>
  <c r="B698"/>
  <c r="K3628" i="27"/>
  <c r="I3615" s="1"/>
  <c r="I3677"/>
  <c r="K3677" s="1"/>
  <c r="K264" i="67"/>
  <c r="M264"/>
  <c r="O264"/>
  <c r="Q264"/>
  <c r="D650" i="69"/>
  <c r="D650" i="67"/>
  <c r="D918" i="69"/>
  <c r="D918" i="67"/>
  <c r="K2189" i="27"/>
  <c r="L2977"/>
  <c r="M323" i="67"/>
  <c r="O323"/>
  <c r="K323"/>
  <c r="Q323"/>
  <c r="X3578" i="1"/>
  <c r="V3593"/>
  <c r="D1547" i="69"/>
  <c r="G1547" s="1"/>
  <c r="D1548" i="67"/>
  <c r="G1548" s="1"/>
  <c r="K780"/>
  <c r="M780"/>
  <c r="O780"/>
  <c r="Q780"/>
  <c r="B756" i="69"/>
  <c r="Q756"/>
  <c r="X1301" i="1"/>
  <c r="V1321"/>
  <c r="X1321" s="1"/>
  <c r="D691" i="25"/>
  <c r="F691" s="1"/>
  <c r="F655"/>
  <c r="D636" i="67"/>
  <c r="D307"/>
  <c r="D636" i="69"/>
  <c r="D307"/>
  <c r="P1496" i="1"/>
  <c r="V1426"/>
  <c r="X1426" s="1"/>
  <c r="R1465"/>
  <c r="M679" i="67"/>
  <c r="O679"/>
  <c r="K679"/>
  <c r="Q679"/>
  <c r="AU109" i="1"/>
  <c r="AV109" s="1"/>
  <c r="K635" i="69"/>
  <c r="Q635"/>
  <c r="I635"/>
  <c r="O635"/>
  <c r="M635"/>
  <c r="G635"/>
  <c r="D664" i="67"/>
  <c r="D664" i="69"/>
  <c r="D639" i="67"/>
  <c r="D639" i="69"/>
  <c r="AB1407" i="1"/>
  <c r="X1409"/>
  <c r="K633" i="67"/>
  <c r="M633"/>
  <c r="O633"/>
  <c r="Q633"/>
  <c r="V3589" i="1"/>
  <c r="X3574"/>
  <c r="D459" i="69"/>
  <c r="D459" i="67"/>
  <c r="M811" i="69"/>
  <c r="I811"/>
  <c r="K811"/>
  <c r="G811"/>
  <c r="O811"/>
  <c r="Q811"/>
  <c r="I264"/>
  <c r="G264"/>
  <c r="M264"/>
  <c r="O264"/>
  <c r="Q264"/>
  <c r="K264"/>
  <c r="K296"/>
  <c r="O296"/>
  <c r="I296"/>
  <c r="M296"/>
  <c r="G296"/>
  <c r="Q296"/>
  <c r="I323"/>
  <c r="G323"/>
  <c r="K323"/>
  <c r="O323"/>
  <c r="M323"/>
  <c r="Q323"/>
  <c r="I780"/>
  <c r="G780"/>
  <c r="M780"/>
  <c r="O780"/>
  <c r="Q780"/>
  <c r="K780"/>
  <c r="I3099" i="27"/>
  <c r="I3932"/>
  <c r="K3932" s="1"/>
  <c r="K3073"/>
  <c r="K157" i="11"/>
  <c r="L156"/>
  <c r="AQ136" i="1"/>
  <c r="AS111"/>
  <c r="I259" i="69"/>
  <c r="M259"/>
  <c r="G259"/>
  <c r="Q259"/>
  <c r="K259"/>
  <c r="O259"/>
  <c r="K259" i="67"/>
  <c r="O259"/>
  <c r="M259"/>
  <c r="Q259"/>
  <c r="K320"/>
  <c r="O320"/>
  <c r="M320"/>
  <c r="Q320"/>
  <c r="D20"/>
  <c r="D20" i="69"/>
  <c r="R1265" i="1"/>
  <c r="P1381"/>
  <c r="R1381" s="1"/>
  <c r="P1242"/>
  <c r="R1242" s="1"/>
  <c r="V1245"/>
  <c r="X1444"/>
  <c r="V1468"/>
  <c r="X1468" s="1"/>
  <c r="AQ165"/>
  <c r="AQ148"/>
  <c r="AS148" s="1"/>
  <c r="AS134"/>
  <c r="O306" i="69"/>
  <c r="M306"/>
  <c r="Q306"/>
  <c r="K306"/>
  <c r="I306"/>
  <c r="G306"/>
  <c r="R1090" i="1"/>
  <c r="R1101" s="1"/>
  <c r="R1103" s="1"/>
  <c r="P1112"/>
  <c r="V3131"/>
  <c r="X3114"/>
  <c r="X3124" s="1"/>
  <c r="X3126" s="1"/>
  <c r="I4064"/>
  <c r="K4064" s="1"/>
  <c r="K4074" s="1"/>
  <c r="K4076" s="1"/>
  <c r="K304" i="69"/>
  <c r="M304"/>
  <c r="Q304"/>
  <c r="G304"/>
  <c r="O304"/>
  <c r="I304"/>
  <c r="O757" i="67"/>
  <c r="M757"/>
  <c r="K757"/>
  <c r="Q757"/>
  <c r="K685" i="69"/>
  <c r="M685"/>
  <c r="I685"/>
  <c r="O685"/>
  <c r="G685"/>
  <c r="Q685"/>
  <c r="M296" i="67"/>
  <c r="O296"/>
  <c r="K296"/>
  <c r="Q296"/>
  <c r="X3626" i="1"/>
  <c r="X3625"/>
  <c r="AB1252"/>
  <c r="X1247"/>
  <c r="K426" i="67"/>
  <c r="O426"/>
  <c r="M426"/>
  <c r="Q426"/>
  <c r="AD1404" i="1"/>
  <c r="AB1421"/>
  <c r="AD1421" s="1"/>
  <c r="M3398" i="27"/>
  <c r="D301" i="69"/>
  <c r="D301" i="67"/>
  <c r="AB1245" i="1"/>
  <c r="X1240"/>
  <c r="X3588"/>
  <c r="V3605"/>
  <c r="X3605" s="1"/>
  <c r="AU166"/>
  <c r="AV166"/>
  <c r="G679" i="69"/>
  <c r="M679"/>
  <c r="I679"/>
  <c r="Q679"/>
  <c r="K679"/>
  <c r="O679"/>
  <c r="G320"/>
  <c r="K320"/>
  <c r="I320"/>
  <c r="Q320"/>
  <c r="M320"/>
  <c r="O320"/>
  <c r="M302"/>
  <c r="O302"/>
  <c r="I302"/>
  <c r="Q302"/>
  <c r="K302"/>
  <c r="G302"/>
  <c r="K3018" i="27"/>
  <c r="K3022" s="1"/>
  <c r="L3012"/>
  <c r="K3011"/>
  <c r="L3018"/>
  <c r="C878" i="1"/>
  <c r="D921" i="69"/>
  <c r="D921" i="67"/>
  <c r="K192" i="11"/>
  <c r="L192"/>
  <c r="K699" i="67"/>
  <c r="M699"/>
  <c r="O699"/>
  <c r="O368" i="69"/>
  <c r="I368"/>
  <c r="M368"/>
  <c r="Q368"/>
  <c r="K368"/>
  <c r="G368"/>
  <c r="L213" i="11"/>
  <c r="K213"/>
  <c r="D362" i="67"/>
  <c r="D362" i="69"/>
  <c r="K928" i="67"/>
  <c r="M928"/>
  <c r="O928"/>
  <c r="Q648" i="69"/>
  <c r="M648"/>
  <c r="I648"/>
  <c r="K648"/>
  <c r="G648"/>
  <c r="O648"/>
  <c r="R32" i="11"/>
  <c r="S33"/>
  <c r="G654" i="69"/>
  <c r="Q654"/>
  <c r="K654"/>
  <c r="M654"/>
  <c r="O654"/>
  <c r="I654"/>
  <c r="P1240" i="1"/>
  <c r="R1240" s="1"/>
  <c r="V1243"/>
  <c r="R1263"/>
  <c r="K649" i="69"/>
  <c r="O649"/>
  <c r="I649"/>
  <c r="M649"/>
  <c r="G649"/>
  <c r="Q649"/>
  <c r="L2861" i="27"/>
  <c r="K2879"/>
  <c r="L2862"/>
  <c r="K2860"/>
  <c r="I878" i="1"/>
  <c r="D700" i="67"/>
  <c r="I3921" i="1"/>
  <c r="D364" i="69"/>
  <c r="D364" i="67"/>
  <c r="D700" i="69"/>
  <c r="P2094" i="1"/>
  <c r="D1510" i="69"/>
  <c r="G1510" s="1"/>
  <c r="D1511" i="67"/>
  <c r="G1511" s="1"/>
  <c r="O699" i="69"/>
  <c r="M699"/>
  <c r="Q699"/>
  <c r="K699"/>
  <c r="G699"/>
  <c r="I699"/>
  <c r="K361" i="67"/>
  <c r="M361"/>
  <c r="O361"/>
  <c r="P1614" i="1"/>
  <c r="R1614" s="1"/>
  <c r="R1619" s="1"/>
  <c r="R1621" s="1"/>
  <c r="K1613"/>
  <c r="K1618" s="1"/>
  <c r="K1620" s="1"/>
  <c r="T65" i="11"/>
  <c r="T64" s="1"/>
  <c r="S67"/>
  <c r="R65"/>
  <c r="K2261" i="1"/>
  <c r="D715" i="67"/>
  <c r="D715" i="69"/>
  <c r="K649" i="67"/>
  <c r="M649"/>
  <c r="O649"/>
  <c r="I3039" i="27"/>
  <c r="K3039" s="1"/>
  <c r="K3043" s="1"/>
  <c r="K2916"/>
  <c r="K2920" s="1"/>
  <c r="I2940"/>
  <c r="K2928" i="1"/>
  <c r="I2947"/>
  <c r="K90" i="11"/>
  <c r="M89"/>
  <c r="L90"/>
  <c r="L91" s="1"/>
  <c r="X708" i="1"/>
  <c r="Z708" s="1"/>
  <c r="D44" i="32"/>
  <c r="V678" i="1"/>
  <c r="K302" i="67"/>
  <c r="O302"/>
  <c r="M302"/>
  <c r="R2857" i="27"/>
  <c r="R2862" s="1"/>
  <c r="P2890"/>
  <c r="R2890" s="1"/>
  <c r="R2895" s="1"/>
  <c r="K361" i="69"/>
  <c r="O361"/>
  <c r="M361"/>
  <c r="I361"/>
  <c r="G361"/>
  <c r="Q361"/>
  <c r="K368" i="67"/>
  <c r="M368"/>
  <c r="O368"/>
  <c r="I129" i="11"/>
  <c r="K109"/>
  <c r="K113" s="1"/>
  <c r="I227"/>
  <c r="M928" i="69"/>
  <c r="G928"/>
  <c r="O928"/>
  <c r="Q928"/>
  <c r="K928"/>
  <c r="I928"/>
  <c r="M648" i="67"/>
  <c r="O648"/>
  <c r="K648"/>
  <c r="K59" i="11"/>
  <c r="K67" s="1"/>
  <c r="K52"/>
  <c r="M654" i="67"/>
  <c r="O654"/>
  <c r="K654"/>
  <c r="D314" i="69" l="1"/>
  <c r="D314" i="67"/>
  <c r="D803"/>
  <c r="D803" i="69"/>
  <c r="D1491" i="67"/>
  <c r="G1491" s="1"/>
  <c r="D1490" i="69"/>
  <c r="G1490" s="1"/>
  <c r="I3544" i="1"/>
  <c r="P3532"/>
  <c r="R3532" s="1"/>
  <c r="R3536" s="1"/>
  <c r="R3537" s="1"/>
  <c r="K3528"/>
  <c r="K3532" s="1"/>
  <c r="K3533" s="1"/>
  <c r="Q953" i="69"/>
  <c r="I953"/>
  <c r="M953"/>
  <c r="G953"/>
  <c r="O953"/>
  <c r="K953"/>
  <c r="D375"/>
  <c r="D375" i="67"/>
  <c r="P51" i="1"/>
  <c r="R51" s="1"/>
  <c r="R57" s="1"/>
  <c r="R60" s="1"/>
  <c r="I226"/>
  <c r="K226" s="1"/>
  <c r="K232" s="1"/>
  <c r="K234" s="1"/>
  <c r="V644"/>
  <c r="K809"/>
  <c r="V802"/>
  <c r="D322" i="69"/>
  <c r="D322" i="67"/>
  <c r="P1500" i="1"/>
  <c r="V1430"/>
  <c r="X1430" s="1"/>
  <c r="P1477"/>
  <c r="R1469"/>
  <c r="K692" i="69"/>
  <c r="G692"/>
  <c r="M692"/>
  <c r="O692"/>
  <c r="Q692"/>
  <c r="I692"/>
  <c r="L589" i="11"/>
  <c r="D450" i="69"/>
  <c r="D750" i="67"/>
  <c r="D750" i="69"/>
  <c r="D450" i="67"/>
  <c r="I341" i="69"/>
  <c r="K341"/>
  <c r="O341"/>
  <c r="M341"/>
  <c r="Q341"/>
  <c r="G341"/>
  <c r="P634" i="27"/>
  <c r="R634" s="1"/>
  <c r="I608"/>
  <c r="K608" s="1"/>
  <c r="K612" s="1"/>
  <c r="K614" s="1"/>
  <c r="K284"/>
  <c r="K286" s="1"/>
  <c r="K287" s="1"/>
  <c r="K288" s="1"/>
  <c r="K289" s="1"/>
  <c r="K290" s="1"/>
  <c r="I437" i="67"/>
  <c r="O437"/>
  <c r="Q437"/>
  <c r="K437"/>
  <c r="M437"/>
  <c r="G437"/>
  <c r="I3502" i="1"/>
  <c r="K3502" s="1"/>
  <c r="AC15"/>
  <c r="I3500"/>
  <c r="K3500" s="1"/>
  <c r="D42" i="32"/>
  <c r="X706" i="1"/>
  <c r="Z706" s="1"/>
  <c r="V676"/>
  <c r="F552" i="25"/>
  <c r="D589"/>
  <c r="G954" i="67"/>
  <c r="Q954"/>
  <c r="I954"/>
  <c r="M954"/>
  <c r="K954"/>
  <c r="O954"/>
  <c r="I1453" i="1"/>
  <c r="K1453" s="1"/>
  <c r="K1458" s="1"/>
  <c r="K1460" s="1"/>
  <c r="I297"/>
  <c r="K297" s="1"/>
  <c r="K304" s="1"/>
  <c r="K306" s="1"/>
  <c r="V312"/>
  <c r="X312" s="1"/>
  <c r="X319" s="1"/>
  <c r="X321" s="1"/>
  <c r="I3252"/>
  <c r="K3252" s="1"/>
  <c r="K3258" s="1"/>
  <c r="K3260" s="1"/>
  <c r="AQ64"/>
  <c r="AS64" s="1"/>
  <c r="AS71" s="1"/>
  <c r="AS73" s="1"/>
  <c r="I1478"/>
  <c r="K1478" s="1"/>
  <c r="K1483" s="1"/>
  <c r="K1485" s="1"/>
  <c r="I312"/>
  <c r="K312" s="1"/>
  <c r="K319" s="1"/>
  <c r="K321" s="1"/>
  <c r="P80"/>
  <c r="R80" s="1"/>
  <c r="R87" s="1"/>
  <c r="R89" s="1"/>
  <c r="P654" s="1"/>
  <c r="R654" s="1"/>
  <c r="I1392"/>
  <c r="K1392" s="1"/>
  <c r="K1398" s="1"/>
  <c r="K1400" s="1"/>
  <c r="I196"/>
  <c r="K196" s="1"/>
  <c r="I1465"/>
  <c r="K1465" s="1"/>
  <c r="K1470" s="1"/>
  <c r="K1472" s="1"/>
  <c r="AE312"/>
  <c r="AG312" s="1"/>
  <c r="AG319" s="1"/>
  <c r="AG321" s="1"/>
  <c r="P336"/>
  <c r="R336" s="1"/>
  <c r="R342" s="1"/>
  <c r="R344" s="1"/>
  <c r="R1471"/>
  <c r="R657" i="67"/>
  <c r="S657" s="1"/>
  <c r="R691"/>
  <c r="S691" s="1"/>
  <c r="R622"/>
  <c r="S622" s="1"/>
  <c r="O953"/>
  <c r="I953"/>
  <c r="M953"/>
  <c r="G953"/>
  <c r="R953" s="1"/>
  <c r="S953" s="1"/>
  <c r="Q953"/>
  <c r="K953"/>
  <c r="P2155" i="1"/>
  <c r="R2155" s="1"/>
  <c r="R2163" s="1"/>
  <c r="R2165" s="1"/>
  <c r="K2148"/>
  <c r="K2156" s="1"/>
  <c r="K2158" s="1"/>
  <c r="D408" i="69"/>
  <c r="D408" i="67"/>
  <c r="N14" i="1"/>
  <c r="K14"/>
  <c r="I2899"/>
  <c r="K2899" s="1"/>
  <c r="K505"/>
  <c r="M624" i="69"/>
  <c r="I624"/>
  <c r="G624"/>
  <c r="K624"/>
  <c r="Q624"/>
  <c r="O624"/>
  <c r="X1413" i="1"/>
  <c r="AB1411"/>
  <c r="M3744" i="27"/>
  <c r="K2203"/>
  <c r="P460" i="69"/>
  <c r="G460"/>
  <c r="O624" i="67"/>
  <c r="M624"/>
  <c r="K624"/>
  <c r="G624"/>
  <c r="I624"/>
  <c r="Q624"/>
  <c r="D38"/>
  <c r="D38" i="69"/>
  <c r="K2281" i="1"/>
  <c r="D441" i="69"/>
  <c r="D441" i="67"/>
  <c r="K140" i="1"/>
  <c r="K144" s="1"/>
  <c r="P2348"/>
  <c r="R2348" s="1"/>
  <c r="R316" i="67"/>
  <c r="S316" s="1"/>
  <c r="K511" i="1"/>
  <c r="K513" s="1"/>
  <c r="R625" i="67"/>
  <c r="S625" s="1"/>
  <c r="R154"/>
  <c r="S154" s="1"/>
  <c r="G50"/>
  <c r="O50"/>
  <c r="I50"/>
  <c r="M50"/>
  <c r="Q50"/>
  <c r="K50"/>
  <c r="Q321"/>
  <c r="G321"/>
  <c r="M321"/>
  <c r="I321"/>
  <c r="O321"/>
  <c r="K321"/>
  <c r="P348" i="1"/>
  <c r="R348" s="1"/>
  <c r="R354" s="1"/>
  <c r="R356" s="1"/>
  <c r="I1433"/>
  <c r="K1433" s="1"/>
  <c r="I1418"/>
  <c r="K1418" s="1"/>
  <c r="K1424" s="1"/>
  <c r="K1426" s="1"/>
  <c r="I2424"/>
  <c r="P1333"/>
  <c r="P296"/>
  <c r="R296" s="1"/>
  <c r="R302" s="1"/>
  <c r="R304" s="1"/>
  <c r="I1354"/>
  <c r="K1354" s="1"/>
  <c r="I1376"/>
  <c r="K1376" s="1"/>
  <c r="I620"/>
  <c r="K620" s="1"/>
  <c r="K625" s="1"/>
  <c r="K627" s="1"/>
  <c r="I628" s="1"/>
  <c r="K628" s="1"/>
  <c r="I1706"/>
  <c r="K1706" s="1"/>
  <c r="I1249"/>
  <c r="I3455"/>
  <c r="P196"/>
  <c r="I1220"/>
  <c r="I1336"/>
  <c r="K1336" s="1"/>
  <c r="K1342" s="1"/>
  <c r="K1344" s="1"/>
  <c r="P1174"/>
  <c r="R1174" s="1"/>
  <c r="R1143"/>
  <c r="P180"/>
  <c r="R180" s="1"/>
  <c r="I336"/>
  <c r="AQ88"/>
  <c r="AS88" s="1"/>
  <c r="AS95" s="1"/>
  <c r="AS97" s="1"/>
  <c r="AS99" s="1"/>
  <c r="X1458"/>
  <c r="AB1456"/>
  <c r="AD1456" s="1"/>
  <c r="AS112"/>
  <c r="AQ137"/>
  <c r="P460" i="67"/>
  <c r="G460"/>
  <c r="R460" s="1"/>
  <c r="K2948" i="1"/>
  <c r="I2957"/>
  <c r="K2957" s="1"/>
  <c r="I2306" i="27"/>
  <c r="K2306" s="1"/>
  <c r="K2313" s="1"/>
  <c r="K2316" s="1"/>
  <c r="I1651"/>
  <c r="K1651" s="1"/>
  <c r="K1656" s="1"/>
  <c r="K1658" s="1"/>
  <c r="I1662"/>
  <c r="K1662" s="1"/>
  <c r="K1665" s="1"/>
  <c r="K1667" s="1"/>
  <c r="I1672" s="1"/>
  <c r="K1672" s="1"/>
  <c r="K1675" s="1"/>
  <c r="K1677" s="1"/>
  <c r="I2465"/>
  <c r="K2465" s="1"/>
  <c r="K2472" s="1"/>
  <c r="K2474" s="1"/>
  <c r="K2287" i="1"/>
  <c r="L610" i="11"/>
  <c r="L569"/>
  <c r="L3396" i="27"/>
  <c r="M566" i="11"/>
  <c r="F659" i="25"/>
  <c r="D695"/>
  <c r="F695" s="1"/>
  <c r="I1271" i="1"/>
  <c r="P66"/>
  <c r="R66" s="1"/>
  <c r="I3807"/>
  <c r="K3807" s="1"/>
  <c r="K3812" s="1"/>
  <c r="K3814" s="1"/>
  <c r="P307"/>
  <c r="R307" s="1"/>
  <c r="R313" s="1"/>
  <c r="R315" s="1"/>
  <c r="I211"/>
  <c r="K211" s="1"/>
  <c r="P319"/>
  <c r="R319" s="1"/>
  <c r="R325" s="1"/>
  <c r="R327" s="1"/>
  <c r="AB1332"/>
  <c r="AC1332" s="1"/>
  <c r="AC1336" s="1"/>
  <c r="AC1337" s="1"/>
  <c r="V1341" s="1"/>
  <c r="F147" i="25"/>
  <c r="F152" s="1"/>
  <c r="D141" s="1"/>
  <c r="D169"/>
  <c r="F169" s="1"/>
  <c r="F174" s="1"/>
  <c r="F176" s="1"/>
  <c r="X1415" i="1"/>
  <c r="K2905"/>
  <c r="K2907" s="1"/>
  <c r="K2911" s="1"/>
  <c r="R49" i="67"/>
  <c r="S49" s="1"/>
  <c r="I50" i="69"/>
  <c r="O50"/>
  <c r="G50"/>
  <c r="M50"/>
  <c r="K50"/>
  <c r="Q50"/>
  <c r="O321"/>
  <c r="I321"/>
  <c r="Q321"/>
  <c r="K321"/>
  <c r="M321"/>
  <c r="G321"/>
  <c r="D319" i="67"/>
  <c r="D319" i="69"/>
  <c r="M692" i="67"/>
  <c r="O692"/>
  <c r="K692"/>
  <c r="I692"/>
  <c r="Q692"/>
  <c r="G692"/>
  <c r="M585" i="11"/>
  <c r="L588"/>
  <c r="G341" i="67"/>
  <c r="O341"/>
  <c r="I341"/>
  <c r="M341"/>
  <c r="Q341"/>
  <c r="K341"/>
  <c r="I850" i="27"/>
  <c r="K850" s="1"/>
  <c r="K863" s="1"/>
  <c r="I833"/>
  <c r="K833" s="1"/>
  <c r="K846" s="1"/>
  <c r="I815"/>
  <c r="K815" s="1"/>
  <c r="K827" s="1"/>
  <c r="K785"/>
  <c r="K788" s="1"/>
  <c r="K789" s="1"/>
  <c r="K790" s="1"/>
  <c r="K791" s="1"/>
  <c r="K792" s="1"/>
  <c r="O437" i="69"/>
  <c r="Q437"/>
  <c r="K437"/>
  <c r="I437"/>
  <c r="G437"/>
  <c r="M437"/>
  <c r="V800" i="1"/>
  <c r="I175"/>
  <c r="K175" s="1"/>
  <c r="K179" s="1"/>
  <c r="V705"/>
  <c r="C73"/>
  <c r="I4027"/>
  <c r="I41" i="25"/>
  <c r="K4012" i="1"/>
  <c r="K4014" s="1"/>
  <c r="K4015" s="1"/>
  <c r="I797" i="11"/>
  <c r="K652"/>
  <c r="I646" s="1"/>
  <c r="K646" s="1"/>
  <c r="K650" s="1"/>
  <c r="D751" i="67"/>
  <c r="D449"/>
  <c r="D751" i="69"/>
  <c r="L571" i="11"/>
  <c r="D449" i="69"/>
  <c r="R22" i="1"/>
  <c r="R28" s="1"/>
  <c r="R30" s="1"/>
  <c r="W590"/>
  <c r="O954" i="69"/>
  <c r="M954"/>
  <c r="G954"/>
  <c r="K954"/>
  <c r="Q954"/>
  <c r="I954"/>
  <c r="AQ133" i="1"/>
  <c r="AQ108"/>
  <c r="AS108" s="1"/>
  <c r="AU108" s="1"/>
  <c r="AV108" s="1"/>
  <c r="P232"/>
  <c r="R232" s="1"/>
  <c r="I1200"/>
  <c r="K1200" s="1"/>
  <c r="K1211" s="1"/>
  <c r="K1213" s="1"/>
  <c r="I487"/>
  <c r="K487" s="1"/>
  <c r="K495" s="1"/>
  <c r="K497" s="1"/>
  <c r="I1405"/>
  <c r="K1405" s="1"/>
  <c r="K1412" s="1"/>
  <c r="K1414" s="1"/>
  <c r="I380"/>
  <c r="I411"/>
  <c r="K411" s="1"/>
  <c r="K418" s="1"/>
  <c r="K420" s="1"/>
  <c r="I356"/>
  <c r="P164"/>
  <c r="R164" s="1"/>
  <c r="P362"/>
  <c r="R362" s="1"/>
  <c r="R370" s="1"/>
  <c r="R372" s="1"/>
  <c r="I445"/>
  <c r="K445" s="1"/>
  <c r="K452" s="1"/>
  <c r="K454" s="1"/>
  <c r="I459" s="1"/>
  <c r="K459" s="1"/>
  <c r="K463" s="1"/>
  <c r="K465" s="1"/>
  <c r="K467" s="1"/>
  <c r="X1432"/>
  <c r="F556" i="25"/>
  <c r="F558" s="1"/>
  <c r="R656" i="67"/>
  <c r="R623"/>
  <c r="S623" s="1"/>
  <c r="R169"/>
  <c r="S169" s="1"/>
  <c r="R930"/>
  <c r="S930" s="1"/>
  <c r="R620"/>
  <c r="S620" s="1"/>
  <c r="R112"/>
  <c r="S112" s="1"/>
  <c r="R883"/>
  <c r="S883" s="1"/>
  <c r="S929"/>
  <c r="R323"/>
  <c r="S323" s="1"/>
  <c r="R435"/>
  <c r="S435" s="1"/>
  <c r="R306"/>
  <c r="Q362"/>
  <c r="I362"/>
  <c r="G362"/>
  <c r="I639"/>
  <c r="G639"/>
  <c r="I307"/>
  <c r="G307"/>
  <c r="I918"/>
  <c r="G918"/>
  <c r="I727"/>
  <c r="G727"/>
  <c r="S306"/>
  <c r="R649"/>
  <c r="S649" s="1"/>
  <c r="R259"/>
  <c r="S259" s="1"/>
  <c r="R961"/>
  <c r="S961" s="1"/>
  <c r="Q921"/>
  <c r="I921"/>
  <c r="G921"/>
  <c r="I301"/>
  <c r="G301"/>
  <c r="I459"/>
  <c r="G459"/>
  <c r="R633"/>
  <c r="S633" s="1"/>
  <c r="R361"/>
  <c r="S361" s="1"/>
  <c r="R699"/>
  <c r="S699" s="1"/>
  <c r="R320"/>
  <c r="S320" s="1"/>
  <c r="R426"/>
  <c r="S426" s="1"/>
  <c r="R19"/>
  <c r="S19" s="1"/>
  <c r="R302"/>
  <c r="S302" s="1"/>
  <c r="Q715"/>
  <c r="I715"/>
  <c r="G715"/>
  <c r="Q364"/>
  <c r="I364"/>
  <c r="G364"/>
  <c r="I314"/>
  <c r="G314"/>
  <c r="I20"/>
  <c r="G20"/>
  <c r="G803"/>
  <c r="I803"/>
  <c r="I664"/>
  <c r="G664"/>
  <c r="I650"/>
  <c r="G650"/>
  <c r="I731"/>
  <c r="G731"/>
  <c r="I310"/>
  <c r="G310"/>
  <c r="I260"/>
  <c r="G260"/>
  <c r="I686"/>
  <c r="G686"/>
  <c r="I265"/>
  <c r="G265"/>
  <c r="R780"/>
  <c r="S780" s="1"/>
  <c r="R264"/>
  <c r="S264" s="1"/>
  <c r="R304"/>
  <c r="S304" s="1"/>
  <c r="R654"/>
  <c r="S654" s="1"/>
  <c r="R928"/>
  <c r="S928" s="1"/>
  <c r="R638"/>
  <c r="S638" s="1"/>
  <c r="Q700"/>
  <c r="I700"/>
  <c r="G700"/>
  <c r="I636"/>
  <c r="G636"/>
  <c r="I680"/>
  <c r="G680"/>
  <c r="R811"/>
  <c r="S811" s="1"/>
  <c r="R757"/>
  <c r="S757" s="1"/>
  <c r="S656"/>
  <c r="R685"/>
  <c r="S685" s="1"/>
  <c r="R648"/>
  <c r="S648" s="1"/>
  <c r="R368"/>
  <c r="S368" s="1"/>
  <c r="R679"/>
  <c r="S679" s="1"/>
  <c r="R296"/>
  <c r="S296" s="1"/>
  <c r="R635"/>
  <c r="S635" s="1"/>
  <c r="D298" i="25"/>
  <c r="F298" s="1"/>
  <c r="F132"/>
  <c r="D133"/>
  <c r="Q301" i="67"/>
  <c r="M301"/>
  <c r="K301"/>
  <c r="O301"/>
  <c r="K314" i="69"/>
  <c r="I314"/>
  <c r="Q314"/>
  <c r="O314"/>
  <c r="M314"/>
  <c r="G314"/>
  <c r="V3156" i="1"/>
  <c r="X3156" s="1"/>
  <c r="X3166" s="1"/>
  <c r="X3168" s="1"/>
  <c r="X3131"/>
  <c r="X3141" s="1"/>
  <c r="X3143" s="1"/>
  <c r="AU148"/>
  <c r="AV148" s="1"/>
  <c r="AB1250"/>
  <c r="X1245"/>
  <c r="G20" i="69"/>
  <c r="K20"/>
  <c r="I20"/>
  <c r="O20"/>
  <c r="M20"/>
  <c r="Q20"/>
  <c r="M459"/>
  <c r="O459"/>
  <c r="Q459"/>
  <c r="K459"/>
  <c r="G459"/>
  <c r="I459"/>
  <c r="X3589" i="1"/>
  <c r="V3606"/>
  <c r="X3606" s="1"/>
  <c r="AB1424"/>
  <c r="AD1424" s="1"/>
  <c r="AD1407"/>
  <c r="Q664" i="67"/>
  <c r="M664"/>
  <c r="K664"/>
  <c r="O664"/>
  <c r="Q307"/>
  <c r="M307"/>
  <c r="K307"/>
  <c r="O307"/>
  <c r="X3593" i="1"/>
  <c r="V3610"/>
  <c r="X3610" s="1"/>
  <c r="Q650" i="67"/>
  <c r="M650"/>
  <c r="K650"/>
  <c r="O650"/>
  <c r="I3673" i="27"/>
  <c r="K3673" s="1"/>
  <c r="I3663"/>
  <c r="K3663" s="1"/>
  <c r="K727" i="67"/>
  <c r="O727"/>
  <c r="M727"/>
  <c r="Q727"/>
  <c r="W815" i="11"/>
  <c r="Y815" s="1"/>
  <c r="Y817" s="1"/>
  <c r="Y805"/>
  <c r="Y807" s="1"/>
  <c r="K260" i="67"/>
  <c r="M260"/>
  <c r="O260"/>
  <c r="Q260"/>
  <c r="I260" i="69"/>
  <c r="Q260"/>
  <c r="G260"/>
  <c r="M260"/>
  <c r="K260"/>
  <c r="O260"/>
  <c r="F583" i="25"/>
  <c r="D618"/>
  <c r="D293" i="67"/>
  <c r="D293" i="69"/>
  <c r="X595" i="1"/>
  <c r="D266" i="67"/>
  <c r="D266" i="69"/>
  <c r="AB1217" i="1"/>
  <c r="AD1217" s="1"/>
  <c r="AD1245"/>
  <c r="N3398" i="27"/>
  <c r="AU134" i="1"/>
  <c r="AV134" s="1"/>
  <c r="AQ167"/>
  <c r="AS167" s="1"/>
  <c r="AS136"/>
  <c r="G803" i="69"/>
  <c r="I803"/>
  <c r="K803"/>
  <c r="M803"/>
  <c r="Q803"/>
  <c r="O803"/>
  <c r="K459" i="67"/>
  <c r="M459"/>
  <c r="O459"/>
  <c r="Q459"/>
  <c r="M664" i="69"/>
  <c r="I664"/>
  <c r="K664"/>
  <c r="Q664"/>
  <c r="O664"/>
  <c r="G664"/>
  <c r="O636"/>
  <c r="I636"/>
  <c r="K636"/>
  <c r="M636"/>
  <c r="Q636"/>
  <c r="G636"/>
  <c r="O918"/>
  <c r="G918"/>
  <c r="M918"/>
  <c r="I918"/>
  <c r="K918"/>
  <c r="Q918"/>
  <c r="G731"/>
  <c r="I731"/>
  <c r="M731"/>
  <c r="O731"/>
  <c r="K731"/>
  <c r="Q731"/>
  <c r="Q310"/>
  <c r="K310"/>
  <c r="M310"/>
  <c r="I310"/>
  <c r="O310"/>
  <c r="G310"/>
  <c r="K680"/>
  <c r="G680"/>
  <c r="M680"/>
  <c r="I680"/>
  <c r="O680"/>
  <c r="Q680"/>
  <c r="K680" i="67"/>
  <c r="M680"/>
  <c r="O680"/>
  <c r="Q680"/>
  <c r="D907" i="69"/>
  <c r="D907" i="67"/>
  <c r="M686"/>
  <c r="O686"/>
  <c r="K686"/>
  <c r="Q686"/>
  <c r="M265"/>
  <c r="O265"/>
  <c r="K265"/>
  <c r="Q265"/>
  <c r="J544" i="1"/>
  <c r="W543"/>
  <c r="AC543" s="1"/>
  <c r="AJ543" s="1"/>
  <c r="V2612"/>
  <c r="K2643"/>
  <c r="K2645" s="1"/>
  <c r="K2647" s="1"/>
  <c r="O586" i="11"/>
  <c r="AU111" i="1"/>
  <c r="AV111" s="1"/>
  <c r="AS115"/>
  <c r="K803" i="67"/>
  <c r="Q803"/>
  <c r="M803"/>
  <c r="O803"/>
  <c r="P3072" i="27"/>
  <c r="R3072" s="1"/>
  <c r="K3099"/>
  <c r="M639" i="67"/>
  <c r="K639"/>
  <c r="O639"/>
  <c r="Q639"/>
  <c r="Q307" i="69"/>
  <c r="O307"/>
  <c r="I307"/>
  <c r="M307"/>
  <c r="K307"/>
  <c r="G307"/>
  <c r="Q918" i="67"/>
  <c r="K918"/>
  <c r="M918"/>
  <c r="O918"/>
  <c r="Q731"/>
  <c r="K731"/>
  <c r="M731"/>
  <c r="O731"/>
  <c r="Q310"/>
  <c r="K310"/>
  <c r="M310"/>
  <c r="O310"/>
  <c r="Q265" i="69"/>
  <c r="K265"/>
  <c r="I265"/>
  <c r="M265"/>
  <c r="O265"/>
  <c r="G265"/>
  <c r="D646"/>
  <c r="D646" i="67"/>
  <c r="O301" i="69"/>
  <c r="Q301"/>
  <c r="I301"/>
  <c r="K301"/>
  <c r="M301"/>
  <c r="G301"/>
  <c r="AD1252" i="1"/>
  <c r="AB1224"/>
  <c r="AD1224" s="1"/>
  <c r="M314" i="67"/>
  <c r="O314"/>
  <c r="K314"/>
  <c r="Q314"/>
  <c r="V3635" i="1"/>
  <c r="X3635" s="1"/>
  <c r="X3645" s="1"/>
  <c r="X3647" s="1"/>
  <c r="R1112"/>
  <c r="R1122" s="1"/>
  <c r="R1124" s="1"/>
  <c r="AS165"/>
  <c r="AQ180"/>
  <c r="AS180" s="1"/>
  <c r="K20" i="67"/>
  <c r="M20"/>
  <c r="O20"/>
  <c r="Q20"/>
  <c r="L157" i="11"/>
  <c r="D722" i="67"/>
  <c r="K2268" i="1"/>
  <c r="K158" i="11"/>
  <c r="D722" i="69"/>
  <c r="K639"/>
  <c r="I639"/>
  <c r="G639"/>
  <c r="M639"/>
  <c r="Q639"/>
  <c r="O639"/>
  <c r="V1457" i="1"/>
  <c r="R1496"/>
  <c r="Q636" i="67"/>
  <c r="M636"/>
  <c r="K636"/>
  <c r="O636"/>
  <c r="I650" i="69"/>
  <c r="O650"/>
  <c r="K650"/>
  <c r="G650"/>
  <c r="Q650"/>
  <c r="M650"/>
  <c r="K3615" i="27"/>
  <c r="I3646"/>
  <c r="K3646" s="1"/>
  <c r="O727" i="69"/>
  <c r="K727"/>
  <c r="Q727"/>
  <c r="M727"/>
  <c r="I727"/>
  <c r="G727"/>
  <c r="D885" i="67"/>
  <c r="D885" i="69"/>
  <c r="S807" i="11"/>
  <c r="M686" i="69"/>
  <c r="K686"/>
  <c r="Q686"/>
  <c r="O686"/>
  <c r="I686"/>
  <c r="G686"/>
  <c r="L53" i="11"/>
  <c r="K53"/>
  <c r="I1091"/>
  <c r="K1091" s="1"/>
  <c r="K1095" s="1"/>
  <c r="K129"/>
  <c r="K133" s="1"/>
  <c r="T2864" i="27"/>
  <c r="R2863"/>
  <c r="K2264" i="1"/>
  <c r="D718" i="67"/>
  <c r="D718" i="69"/>
  <c r="M715" i="67"/>
  <c r="O715"/>
  <c r="K715"/>
  <c r="Q364" i="69"/>
  <c r="K364"/>
  <c r="G364"/>
  <c r="M364"/>
  <c r="O364"/>
  <c r="I364"/>
  <c r="K2890" i="27"/>
  <c r="K2898" s="1"/>
  <c r="K2883"/>
  <c r="O362" i="67"/>
  <c r="K362"/>
  <c r="M362"/>
  <c r="N3023" i="27"/>
  <c r="M3024"/>
  <c r="K3023"/>
  <c r="K114" i="11"/>
  <c r="L114"/>
  <c r="S2897" i="27"/>
  <c r="R2896"/>
  <c r="K2947" i="1"/>
  <c r="I2956"/>
  <c r="K2956" s="1"/>
  <c r="L3045" i="27"/>
  <c r="K3044"/>
  <c r="K715" i="69"/>
  <c r="Q715"/>
  <c r="G715"/>
  <c r="I715"/>
  <c r="M715"/>
  <c r="O715"/>
  <c r="M364" i="67"/>
  <c r="O364"/>
  <c r="K364"/>
  <c r="K878" i="1"/>
  <c r="V878"/>
  <c r="I894"/>
  <c r="K894" s="1"/>
  <c r="I860"/>
  <c r="M362" i="69"/>
  <c r="Q362"/>
  <c r="O362"/>
  <c r="I362"/>
  <c r="K362"/>
  <c r="G362"/>
  <c r="D1512" i="67"/>
  <c r="G1512" s="1"/>
  <c r="D1511" i="69"/>
  <c r="G1511" s="1"/>
  <c r="G921"/>
  <c r="Q921"/>
  <c r="O921"/>
  <c r="K921"/>
  <c r="M921"/>
  <c r="I921"/>
  <c r="I243" i="11"/>
  <c r="K227"/>
  <c r="K231" s="1"/>
  <c r="F44" i="32"/>
  <c r="H44" s="1"/>
  <c r="D107"/>
  <c r="F107" s="1"/>
  <c r="L2926" i="27"/>
  <c r="K2921"/>
  <c r="G700" i="69"/>
  <c r="M700"/>
  <c r="I700"/>
  <c r="Q700"/>
  <c r="K700"/>
  <c r="O700"/>
  <c r="K700" i="67"/>
  <c r="M700"/>
  <c r="O700"/>
  <c r="K2184" i="27"/>
  <c r="D913" i="67"/>
  <c r="D913" i="69"/>
  <c r="O921" i="67"/>
  <c r="K921"/>
  <c r="M921"/>
  <c r="K68" i="11"/>
  <c r="L68"/>
  <c r="V764" i="1"/>
  <c r="X764" s="1"/>
  <c r="V732"/>
  <c r="X732" s="1"/>
  <c r="X678"/>
  <c r="I3058" i="27"/>
  <c r="I2960"/>
  <c r="K2940"/>
  <c r="K2944" s="1"/>
  <c r="D421" i="67"/>
  <c r="D421" i="69"/>
  <c r="D365" i="67"/>
  <c r="D365" i="69"/>
  <c r="R2094" i="1"/>
  <c r="P2100"/>
  <c r="R2100" s="1"/>
  <c r="I3939"/>
  <c r="K3921"/>
  <c r="X1243"/>
  <c r="AB1248"/>
  <c r="D1512" i="69"/>
  <c r="G1512" s="1"/>
  <c r="D1513" i="67"/>
  <c r="G1513" s="1"/>
  <c r="D220" l="1"/>
  <c r="P657" i="1"/>
  <c r="R657" s="1"/>
  <c r="K468"/>
  <c r="D220" i="69"/>
  <c r="P267" i="1"/>
  <c r="R267" s="1"/>
  <c r="R271" s="1"/>
  <c r="R273" s="1"/>
  <c r="R275" s="1"/>
  <c r="R276" s="1"/>
  <c r="R277" s="1"/>
  <c r="R278" s="1"/>
  <c r="I426"/>
  <c r="K426" s="1"/>
  <c r="K430" s="1"/>
  <c r="K432" s="1"/>
  <c r="K434" s="1"/>
  <c r="D335" i="69"/>
  <c r="I2441" i="1"/>
  <c r="K2441" s="1"/>
  <c r="K2446" s="1"/>
  <c r="K2448" s="1"/>
  <c r="Q449" i="69"/>
  <c r="M449"/>
  <c r="G449"/>
  <c r="I449"/>
  <c r="O449"/>
  <c r="K449"/>
  <c r="O751" i="67"/>
  <c r="M751"/>
  <c r="K751"/>
  <c r="G751"/>
  <c r="Q751"/>
  <c r="I751"/>
  <c r="D43"/>
  <c r="D43" i="69"/>
  <c r="M3396" i="27"/>
  <c r="M3400" s="1"/>
  <c r="N566" i="11"/>
  <c r="M569"/>
  <c r="P568" s="1"/>
  <c r="D451" i="67"/>
  <c r="D451" i="69"/>
  <c r="B460" i="67"/>
  <c r="Q460"/>
  <c r="S460" s="1"/>
  <c r="R196" i="1"/>
  <c r="V196"/>
  <c r="X196" s="1"/>
  <c r="D670" i="67"/>
  <c r="D670" i="69"/>
  <c r="I629" i="1"/>
  <c r="K629" s="1"/>
  <c r="V1332"/>
  <c r="X1332" s="1"/>
  <c r="AB1189"/>
  <c r="R1333"/>
  <c r="R1338" s="1"/>
  <c r="R1340" s="1"/>
  <c r="R1341" s="1"/>
  <c r="R1342" s="1"/>
  <c r="R1343" s="1"/>
  <c r="R1344" s="1"/>
  <c r="R1345" s="1"/>
  <c r="Q1341" s="1"/>
  <c r="Q1342" s="1"/>
  <c r="P1373"/>
  <c r="R1373" s="1"/>
  <c r="R1386" s="1"/>
  <c r="R1388" s="1"/>
  <c r="V1299"/>
  <c r="D37" i="67"/>
  <c r="D37" i="69"/>
  <c r="I38"/>
  <c r="M38"/>
  <c r="G38"/>
  <c r="Q38"/>
  <c r="K38"/>
  <c r="O38"/>
  <c r="AB1428" i="1"/>
  <c r="AD1428" s="1"/>
  <c r="AD1430" s="1"/>
  <c r="AD1411"/>
  <c r="O408" i="67"/>
  <c r="G408"/>
  <c r="M408"/>
  <c r="I408"/>
  <c r="K408"/>
  <c r="Q408"/>
  <c r="D346" i="69"/>
  <c r="D346" i="67"/>
  <c r="P628" i="1"/>
  <c r="R628" s="1"/>
  <c r="AS75"/>
  <c r="AS76" s="1"/>
  <c r="AS77" s="1"/>
  <c r="AS78" s="1"/>
  <c r="AS79" s="1"/>
  <c r="D576" i="69"/>
  <c r="D576" i="67"/>
  <c r="D350"/>
  <c r="D350" i="69"/>
  <c r="M750" i="67"/>
  <c r="G750"/>
  <c r="Q750"/>
  <c r="I750"/>
  <c r="K750"/>
  <c r="O750"/>
  <c r="R1500" i="1"/>
  <c r="V1461"/>
  <c r="O375" i="67"/>
  <c r="M375"/>
  <c r="K375"/>
  <c r="Q375"/>
  <c r="G375"/>
  <c r="R375" s="1"/>
  <c r="S375" s="1"/>
  <c r="I375"/>
  <c r="D845" i="69"/>
  <c r="D845" i="67"/>
  <c r="R692"/>
  <c r="S692" s="1"/>
  <c r="R50"/>
  <c r="S50" s="1"/>
  <c r="R624"/>
  <c r="K3514" i="1"/>
  <c r="K3515" s="1"/>
  <c r="K356"/>
  <c r="K363" s="1"/>
  <c r="K365" s="1"/>
  <c r="K367" s="1"/>
  <c r="V356"/>
  <c r="D62" i="69"/>
  <c r="D62" i="67"/>
  <c r="AQ164" i="1"/>
  <c r="AS164" s="1"/>
  <c r="AU164" s="1"/>
  <c r="AV164" s="1"/>
  <c r="AS133"/>
  <c r="AU133" s="1"/>
  <c r="AV133" s="1"/>
  <c r="M449" i="67"/>
  <c r="O449"/>
  <c r="K449"/>
  <c r="Q449"/>
  <c r="G449"/>
  <c r="R449" s="1"/>
  <c r="I449"/>
  <c r="V675" i="1"/>
  <c r="X705"/>
  <c r="D41" i="32"/>
  <c r="N585" i="11"/>
  <c r="M588"/>
  <c r="K319" i="67"/>
  <c r="O319"/>
  <c r="G319"/>
  <c r="Q319"/>
  <c r="I319"/>
  <c r="M319"/>
  <c r="D956" i="69"/>
  <c r="D956" i="67"/>
  <c r="P1216" i="1"/>
  <c r="K1220"/>
  <c r="K1238" s="1"/>
  <c r="K1241" s="1"/>
  <c r="P612"/>
  <c r="R612" s="1"/>
  <c r="P655"/>
  <c r="R655" s="1"/>
  <c r="P598"/>
  <c r="R598" s="1"/>
  <c r="L1412"/>
  <c r="K1440"/>
  <c r="K1442" s="1"/>
  <c r="D352" i="67"/>
  <c r="D352" i="69"/>
  <c r="D53" i="67"/>
  <c r="D53" i="69"/>
  <c r="D624" i="25"/>
  <c r="F589"/>
  <c r="F593" s="1"/>
  <c r="F595" s="1"/>
  <c r="D105" i="32"/>
  <c r="F105" s="1"/>
  <c r="F42"/>
  <c r="H42" s="1"/>
  <c r="K750" i="69"/>
  <c r="M750"/>
  <c r="O750"/>
  <c r="I750"/>
  <c r="Q750"/>
  <c r="G750"/>
  <c r="V817" i="1"/>
  <c r="X817" s="1"/>
  <c r="X802"/>
  <c r="I1971"/>
  <c r="P623"/>
  <c r="R623" s="1"/>
  <c r="I2105"/>
  <c r="K2105" s="1"/>
  <c r="K2111" s="1"/>
  <c r="I1991"/>
  <c r="P610"/>
  <c r="R610" s="1"/>
  <c r="P596"/>
  <c r="R596" s="1"/>
  <c r="R437" i="67"/>
  <c r="S437" s="1"/>
  <c r="D347" i="69"/>
  <c r="D347" i="67"/>
  <c r="K751" i="69"/>
  <c r="Q751"/>
  <c r="I751"/>
  <c r="O751"/>
  <c r="G751"/>
  <c r="M751"/>
  <c r="I846" i="11"/>
  <c r="K846" s="1"/>
  <c r="K797"/>
  <c r="I784" s="1"/>
  <c r="I1705" i="1"/>
  <c r="K1705" s="1"/>
  <c r="K1711" s="1"/>
  <c r="K1713" s="1"/>
  <c r="I210"/>
  <c r="K210" s="1"/>
  <c r="K217" s="1"/>
  <c r="K219" s="1"/>
  <c r="P626"/>
  <c r="R626" s="1"/>
  <c r="P65"/>
  <c r="R65" s="1"/>
  <c r="R72" s="1"/>
  <c r="R74" s="1"/>
  <c r="P653" s="1"/>
  <c r="R653" s="1"/>
  <c r="I807"/>
  <c r="K807" s="1"/>
  <c r="K815" s="1"/>
  <c r="K817" s="1"/>
  <c r="P1141"/>
  <c r="I270"/>
  <c r="K270" s="1"/>
  <c r="K278" s="1"/>
  <c r="K280" s="1"/>
  <c r="P195"/>
  <c r="R195" s="1"/>
  <c r="R202" s="1"/>
  <c r="R204" s="1"/>
  <c r="Q319" i="69"/>
  <c r="K319"/>
  <c r="M319"/>
  <c r="O319"/>
  <c r="I319"/>
  <c r="G319"/>
  <c r="D606"/>
  <c r="K2913" i="1"/>
  <c r="D606" i="67"/>
  <c r="D164" i="25"/>
  <c r="F164" s="1"/>
  <c r="F141"/>
  <c r="D307"/>
  <c r="F307" s="1"/>
  <c r="AU112" i="1"/>
  <c r="AV112"/>
  <c r="V336"/>
  <c r="K336"/>
  <c r="K343" s="1"/>
  <c r="K345" s="1"/>
  <c r="K347" s="1"/>
  <c r="I1377"/>
  <c r="K1377" s="1"/>
  <c r="K1385" s="1"/>
  <c r="K1387" s="1"/>
  <c r="I1355"/>
  <c r="K1355" s="1"/>
  <c r="V1333"/>
  <c r="X1333" s="1"/>
  <c r="K1249"/>
  <c r="V1278"/>
  <c r="X1278" s="1"/>
  <c r="X1291" s="1"/>
  <c r="X1293" s="1"/>
  <c r="D348" i="69"/>
  <c r="D348" i="67"/>
  <c r="G441" i="69"/>
  <c r="O441"/>
  <c r="I441"/>
  <c r="K441"/>
  <c r="M441"/>
  <c r="Q441"/>
  <c r="D409" i="67"/>
  <c r="D409" i="69"/>
  <c r="D351"/>
  <c r="D351" i="67"/>
  <c r="K323" i="1"/>
  <c r="P625"/>
  <c r="R625" s="1"/>
  <c r="D58" i="69"/>
  <c r="P624" i="1"/>
  <c r="R624" s="1"/>
  <c r="D58" i="67"/>
  <c r="D54" i="69"/>
  <c r="X323" i="1"/>
  <c r="D54" i="67"/>
  <c r="I620" i="27"/>
  <c r="K620" s="1"/>
  <c r="K626" s="1"/>
  <c r="K628" s="1"/>
  <c r="K630" s="1"/>
  <c r="P577"/>
  <c r="R577" s="1"/>
  <c r="P591"/>
  <c r="R591" s="1"/>
  <c r="I2693"/>
  <c r="K2693" s="1"/>
  <c r="P608"/>
  <c r="R608" s="1"/>
  <c r="G450" i="67"/>
  <c r="R450" s="1"/>
  <c r="S450" s="1"/>
  <c r="M450"/>
  <c r="I450"/>
  <c r="Q450"/>
  <c r="O450"/>
  <c r="K450"/>
  <c r="P1484" i="1"/>
  <c r="V1438"/>
  <c r="R1477"/>
  <c r="R1478" s="1"/>
  <c r="R1479" s="1"/>
  <c r="M322" i="69"/>
  <c r="G322"/>
  <c r="I322"/>
  <c r="K322"/>
  <c r="Q322"/>
  <c r="O322"/>
  <c r="D46"/>
  <c r="D46" i="67"/>
  <c r="V3544" i="1"/>
  <c r="K3544"/>
  <c r="K3548" s="1"/>
  <c r="K3549" s="1"/>
  <c r="AE3544"/>
  <c r="P3548"/>
  <c r="R3548" s="1"/>
  <c r="R3552" s="1"/>
  <c r="R3553" s="1"/>
  <c r="AD1413"/>
  <c r="S624" i="67"/>
  <c r="R954"/>
  <c r="S954" s="1"/>
  <c r="K380" i="1"/>
  <c r="K387" s="1"/>
  <c r="K389" s="1"/>
  <c r="I394" s="1"/>
  <c r="K394" s="1"/>
  <c r="K398" s="1"/>
  <c r="K400" s="1"/>
  <c r="K402" s="1"/>
  <c r="V380"/>
  <c r="L650" i="11"/>
  <c r="D1496" i="69"/>
  <c r="D1497" i="67"/>
  <c r="K4027" i="1"/>
  <c r="K4029" s="1"/>
  <c r="K4030" s="1"/>
  <c r="I4039"/>
  <c r="K4039" s="1"/>
  <c r="K4041" s="1"/>
  <c r="K4042" s="1"/>
  <c r="X800"/>
  <c r="X811" s="1"/>
  <c r="V815"/>
  <c r="X815" s="1"/>
  <c r="X826" s="1"/>
  <c r="Z815" s="1"/>
  <c r="Z816" s="1"/>
  <c r="Z817" s="1"/>
  <c r="Z818" s="1"/>
  <c r="Z819" s="1"/>
  <c r="Z820" s="1"/>
  <c r="Z821" s="1"/>
  <c r="Z822" s="1"/>
  <c r="Z823" s="1"/>
  <c r="Z824" s="1"/>
  <c r="AB1264"/>
  <c r="AD1264" s="1"/>
  <c r="AD1269" s="1"/>
  <c r="AD1271" s="1"/>
  <c r="K1271"/>
  <c r="K1276" s="1"/>
  <c r="K1278" s="1"/>
  <c r="I1285"/>
  <c r="K1285" s="1"/>
  <c r="K1290" s="1"/>
  <c r="K1292" s="1"/>
  <c r="L3415" i="27"/>
  <c r="L3419" s="1"/>
  <c r="L3400"/>
  <c r="AQ168" i="1"/>
  <c r="AS168" s="1"/>
  <c r="AU168" s="1"/>
  <c r="AV168" s="1"/>
  <c r="AS137"/>
  <c r="D578" i="69"/>
  <c r="AU99" i="1"/>
  <c r="AV99" s="1"/>
  <c r="D578" i="67"/>
  <c r="AS100" i="1"/>
  <c r="P3461"/>
  <c r="R3461" s="1"/>
  <c r="R3474" s="1"/>
  <c r="R3476" s="1"/>
  <c r="K3455"/>
  <c r="K3468" s="1"/>
  <c r="K3470" s="1"/>
  <c r="I3822"/>
  <c r="K3822" s="1"/>
  <c r="K3835" s="1"/>
  <c r="K3837" s="1"/>
  <c r="K2424"/>
  <c r="K2433" s="1"/>
  <c r="K2435" s="1"/>
  <c r="P2431"/>
  <c r="R2431" s="1"/>
  <c r="R2440" s="1"/>
  <c r="R2442" s="1"/>
  <c r="K517"/>
  <c r="K519" s="1"/>
  <c r="I550"/>
  <c r="K550" s="1"/>
  <c r="K555" s="1"/>
  <c r="K557" s="1"/>
  <c r="I526"/>
  <c r="K526" s="1"/>
  <c r="K531" s="1"/>
  <c r="K533" s="1"/>
  <c r="I535" s="1"/>
  <c r="K535" s="1"/>
  <c r="Q441" i="67"/>
  <c r="G441"/>
  <c r="O441"/>
  <c r="I441"/>
  <c r="K441"/>
  <c r="M441"/>
  <c r="I38"/>
  <c r="K38"/>
  <c r="Q38"/>
  <c r="O38"/>
  <c r="M38"/>
  <c r="G38"/>
  <c r="B460" i="69"/>
  <c r="Q460"/>
  <c r="M408"/>
  <c r="G408"/>
  <c r="O408"/>
  <c r="K408"/>
  <c r="Q408"/>
  <c r="I408"/>
  <c r="D55"/>
  <c r="P597" i="1"/>
  <c r="AG323"/>
  <c r="D55" i="67"/>
  <c r="V762" i="1"/>
  <c r="X762" s="1"/>
  <c r="V730"/>
  <c r="X730" s="1"/>
  <c r="X676"/>
  <c r="I167"/>
  <c r="K167" s="1"/>
  <c r="K171" s="1"/>
  <c r="P2346"/>
  <c r="C74"/>
  <c r="P231"/>
  <c r="R231" s="1"/>
  <c r="R238" s="1"/>
  <c r="R240" s="1"/>
  <c r="I450" i="69"/>
  <c r="O450"/>
  <c r="M450"/>
  <c r="K450"/>
  <c r="Q450"/>
  <c r="G450"/>
  <c r="I322" i="67"/>
  <c r="O322"/>
  <c r="M322"/>
  <c r="Q322"/>
  <c r="G322"/>
  <c r="K322"/>
  <c r="X644" i="1"/>
  <c r="X650" s="1"/>
  <c r="X652" s="1"/>
  <c r="X654" s="1"/>
  <c r="X655" s="1"/>
  <c r="X657" s="1"/>
  <c r="V707"/>
  <c r="AD644"/>
  <c r="AF644" s="1"/>
  <c r="AF650" s="1"/>
  <c r="AF652" s="1"/>
  <c r="AF654" s="1"/>
  <c r="AF655" s="1"/>
  <c r="AF657" s="1"/>
  <c r="O375" i="69"/>
  <c r="Q375"/>
  <c r="G375"/>
  <c r="M375"/>
  <c r="K375"/>
  <c r="I375"/>
  <c r="R1502" i="1"/>
  <c r="R341" i="67"/>
  <c r="S341" s="1"/>
  <c r="R321"/>
  <c r="S321" s="1"/>
  <c r="Q365"/>
  <c r="I365"/>
  <c r="G365"/>
  <c r="G885"/>
  <c r="I885"/>
  <c r="I266"/>
  <c r="G266"/>
  <c r="R636"/>
  <c r="S636" s="1"/>
  <c r="R459"/>
  <c r="S459" s="1"/>
  <c r="R362"/>
  <c r="S362" s="1"/>
  <c r="Q421"/>
  <c r="I421"/>
  <c r="G421"/>
  <c r="Q718"/>
  <c r="I718"/>
  <c r="G718"/>
  <c r="I646"/>
  <c r="G646"/>
  <c r="G907"/>
  <c r="I907"/>
  <c r="I293"/>
  <c r="G293"/>
  <c r="R265"/>
  <c r="S265" s="1"/>
  <c r="R260"/>
  <c r="S260" s="1"/>
  <c r="R731"/>
  <c r="S731" s="1"/>
  <c r="R664"/>
  <c r="S664" s="1"/>
  <c r="R20"/>
  <c r="S20" s="1"/>
  <c r="R364"/>
  <c r="S364" s="1"/>
  <c r="R918"/>
  <c r="S918" s="1"/>
  <c r="R639"/>
  <c r="S639" s="1"/>
  <c r="I722"/>
  <c r="G722"/>
  <c r="R680"/>
  <c r="S680" s="1"/>
  <c r="R803"/>
  <c r="S803" s="1"/>
  <c r="R715"/>
  <c r="S715" s="1"/>
  <c r="R301"/>
  <c r="S301" s="1"/>
  <c r="Q913"/>
  <c r="I913"/>
  <c r="G913"/>
  <c r="R700"/>
  <c r="S700" s="1"/>
  <c r="R686"/>
  <c r="S686" s="1"/>
  <c r="R310"/>
  <c r="S310" s="1"/>
  <c r="R650"/>
  <c r="S650" s="1"/>
  <c r="R314"/>
  <c r="S314" s="1"/>
  <c r="R727"/>
  <c r="S727" s="1"/>
  <c r="R307"/>
  <c r="S307" s="1"/>
  <c r="R921"/>
  <c r="S921" s="1"/>
  <c r="D299" i="25"/>
  <c r="F299" s="1"/>
  <c r="F133"/>
  <c r="D134"/>
  <c r="K885" i="69"/>
  <c r="M885"/>
  <c r="G885"/>
  <c r="O885"/>
  <c r="I885"/>
  <c r="Q885"/>
  <c r="D428"/>
  <c r="D428" i="67"/>
  <c r="W544" i="1"/>
  <c r="AC544" s="1"/>
  <c r="AJ544" s="1"/>
  <c r="J545"/>
  <c r="AU167"/>
  <c r="AV167" s="1"/>
  <c r="I266" i="69"/>
  <c r="Q266"/>
  <c r="K266"/>
  <c r="G266"/>
  <c r="M266"/>
  <c r="O266"/>
  <c r="M293" i="67"/>
  <c r="O293"/>
  <c r="K293"/>
  <c r="Q293"/>
  <c r="X1457" i="1"/>
  <c r="AB1455"/>
  <c r="AD1455" s="1"/>
  <c r="D1486" i="67"/>
  <c r="G1486" s="1"/>
  <c r="D1485" i="69"/>
  <c r="G1485" s="1"/>
  <c r="AU136" i="1"/>
  <c r="AV136" s="1"/>
  <c r="AS140"/>
  <c r="I293" i="69"/>
  <c r="G293"/>
  <c r="M293"/>
  <c r="Q293"/>
  <c r="O293"/>
  <c r="K293"/>
  <c r="Z807" i="11"/>
  <c r="D970" i="67"/>
  <c r="D970" i="69"/>
  <c r="I722"/>
  <c r="M722"/>
  <c r="O722"/>
  <c r="G722"/>
  <c r="K722"/>
  <c r="Q722"/>
  <c r="AU165" i="1"/>
  <c r="AV165" s="1"/>
  <c r="AS171"/>
  <c r="K646" i="69"/>
  <c r="Q646"/>
  <c r="G646"/>
  <c r="I646"/>
  <c r="M646"/>
  <c r="O646"/>
  <c r="AE2660" i="1"/>
  <c r="AG2660" s="1"/>
  <c r="AG2661" s="1"/>
  <c r="AG2663" s="1"/>
  <c r="X2612"/>
  <c r="X2613" s="1"/>
  <c r="X2615" s="1"/>
  <c r="Q907" i="69"/>
  <c r="O907"/>
  <c r="G907"/>
  <c r="I907"/>
  <c r="K907"/>
  <c r="M907"/>
  <c r="O3398" i="27"/>
  <c r="D267" i="69"/>
  <c r="Y590" i="1"/>
  <c r="Y591" s="1"/>
  <c r="Y592" s="1"/>
  <c r="Y593" s="1"/>
  <c r="Y594" s="1"/>
  <c r="D267" i="67"/>
  <c r="AD1250" i="1"/>
  <c r="AB1222"/>
  <c r="AD1222" s="1"/>
  <c r="M885" i="67"/>
  <c r="O885"/>
  <c r="K885"/>
  <c r="Q885"/>
  <c r="K722"/>
  <c r="O722"/>
  <c r="Q722"/>
  <c r="M722"/>
  <c r="AU180" i="1"/>
  <c r="AV180" s="1"/>
  <c r="Q646" i="67"/>
  <c r="K646"/>
  <c r="M646"/>
  <c r="O646"/>
  <c r="AU115" i="1"/>
  <c r="AV115" s="1"/>
  <c r="AS117"/>
  <c r="Q907" i="67"/>
  <c r="M907"/>
  <c r="K907"/>
  <c r="O907"/>
  <c r="M266"/>
  <c r="K266"/>
  <c r="O266"/>
  <c r="Q266"/>
  <c r="D654" i="25"/>
  <c r="F618"/>
  <c r="M421" i="67"/>
  <c r="O421"/>
  <c r="K421"/>
  <c r="K3058" i="27"/>
  <c r="K3062" s="1"/>
  <c r="I3074"/>
  <c r="Q913" i="69"/>
  <c r="G913"/>
  <c r="K913"/>
  <c r="I913"/>
  <c r="M913"/>
  <c r="O913"/>
  <c r="D916"/>
  <c r="K2187" i="27"/>
  <c r="D916" i="67"/>
  <c r="L232" i="11"/>
  <c r="K232"/>
  <c r="V860" i="1"/>
  <c r="X860" s="1"/>
  <c r="K860"/>
  <c r="P853"/>
  <c r="R853" s="1"/>
  <c r="I3300"/>
  <c r="K3300" s="1"/>
  <c r="K2265"/>
  <c r="D719" i="69"/>
  <c r="D719" i="67"/>
  <c r="K2884" i="27"/>
  <c r="L2885"/>
  <c r="D424" i="67"/>
  <c r="D424" i="69"/>
  <c r="D716" i="67"/>
  <c r="K2262" i="1"/>
  <c r="D716" i="69"/>
  <c r="K3939" i="1"/>
  <c r="I3955"/>
  <c r="M421" i="69"/>
  <c r="Q421"/>
  <c r="G421"/>
  <c r="K421"/>
  <c r="O421"/>
  <c r="I421"/>
  <c r="K2960" i="27"/>
  <c r="K2964" s="1"/>
  <c r="I3913"/>
  <c r="K3913" s="1"/>
  <c r="K3917" s="1"/>
  <c r="D717" i="67"/>
  <c r="K2263" i="1"/>
  <c r="D717" i="69"/>
  <c r="O718" i="67"/>
  <c r="M718"/>
  <c r="K718"/>
  <c r="L2946" i="27"/>
  <c r="K2945"/>
  <c r="V894" i="1"/>
  <c r="X894" s="1"/>
  <c r="X878"/>
  <c r="G718" i="69"/>
  <c r="I718"/>
  <c r="M718"/>
  <c r="Q718"/>
  <c r="O718"/>
  <c r="K718"/>
  <c r="K1096" i="11"/>
  <c r="M1096"/>
  <c r="L1097"/>
  <c r="K365" i="67"/>
  <c r="M365"/>
  <c r="O365"/>
  <c r="AD1248" i="1"/>
  <c r="AB1220"/>
  <c r="AD1220" s="1"/>
  <c r="O365" i="69"/>
  <c r="Q365"/>
  <c r="G365"/>
  <c r="M365"/>
  <c r="I365"/>
  <c r="K365"/>
  <c r="O913" i="67"/>
  <c r="K913"/>
  <c r="M913"/>
  <c r="I1114" i="11"/>
  <c r="K1114" s="1"/>
  <c r="K1117" s="1"/>
  <c r="K1119" s="1"/>
  <c r="K243"/>
  <c r="K246" s="1"/>
  <c r="I269"/>
  <c r="L2900" i="27"/>
  <c r="K2899"/>
  <c r="K134" i="11"/>
  <c r="L134"/>
  <c r="D906" i="69" l="1"/>
  <c r="D906" i="67"/>
  <c r="V528" i="1"/>
  <c r="X659"/>
  <c r="X660" s="1"/>
  <c r="X661" s="1"/>
  <c r="X662" s="1"/>
  <c r="X663" s="1"/>
  <c r="X664" s="1"/>
  <c r="D42" i="67"/>
  <c r="D42" i="69"/>
  <c r="G55" i="67"/>
  <c r="I55"/>
  <c r="M55"/>
  <c r="Q55"/>
  <c r="O55"/>
  <c r="K55"/>
  <c r="I536" i="1"/>
  <c r="K536" s="1"/>
  <c r="D236" i="67"/>
  <c r="D236" i="69"/>
  <c r="D1478" i="67"/>
  <c r="G1478" s="1"/>
  <c r="D767" i="69"/>
  <c r="D1477"/>
  <c r="G1477" s="1"/>
  <c r="D767" i="67"/>
  <c r="AS101" i="1"/>
  <c r="D579" i="67"/>
  <c r="D579" i="69"/>
  <c r="AU100" i="1"/>
  <c r="AV100" s="1"/>
  <c r="AU137"/>
  <c r="AV137" s="1"/>
  <c r="D779" i="67"/>
  <c r="D779" i="69"/>
  <c r="G1496"/>
  <c r="D749"/>
  <c r="X3544" i="1"/>
  <c r="X3548" s="1"/>
  <c r="X3549" s="1"/>
  <c r="V3560"/>
  <c r="V3524"/>
  <c r="X3524" s="1"/>
  <c r="X3528" s="1"/>
  <c r="X3529" s="1"/>
  <c r="Y323"/>
  <c r="X324"/>
  <c r="Q58" i="69"/>
  <c r="I58"/>
  <c r="K58"/>
  <c r="O58"/>
  <c r="M58"/>
  <c r="G58"/>
  <c r="I351"/>
  <c r="G351"/>
  <c r="O351"/>
  <c r="K351"/>
  <c r="M351"/>
  <c r="Q351"/>
  <c r="G1068" i="56"/>
  <c r="K1262" i="1"/>
  <c r="K1264" s="1"/>
  <c r="K348"/>
  <c r="L347"/>
  <c r="K2914"/>
  <c r="I2927"/>
  <c r="K2927" s="1"/>
  <c r="K2930" s="1"/>
  <c r="K2931" s="1"/>
  <c r="D607" i="69"/>
  <c r="D607" i="67"/>
  <c r="D615" i="69"/>
  <c r="D615" i="67"/>
  <c r="I815" i="11"/>
  <c r="K815" s="1"/>
  <c r="K819" s="1"/>
  <c r="L819" s="1"/>
  <c r="K784"/>
  <c r="K788" s="1"/>
  <c r="I3614" i="27"/>
  <c r="Q347" i="67"/>
  <c r="O347"/>
  <c r="G347"/>
  <c r="K347"/>
  <c r="I347"/>
  <c r="M347"/>
  <c r="P1991" i="1"/>
  <c r="R1991" s="1"/>
  <c r="K1991"/>
  <c r="Q53" i="69"/>
  <c r="O53"/>
  <c r="K53"/>
  <c r="G53"/>
  <c r="I53"/>
  <c r="M53"/>
  <c r="D1482"/>
  <c r="G1482" s="1"/>
  <c r="I1989" i="1"/>
  <c r="D475" i="69"/>
  <c r="D1483" i="67"/>
  <c r="G1483" s="1"/>
  <c r="D475"/>
  <c r="K956" i="69"/>
  <c r="I956"/>
  <c r="Q956"/>
  <c r="M956"/>
  <c r="G956"/>
  <c r="O956"/>
  <c r="O585" i="11"/>
  <c r="O588" s="1"/>
  <c r="N588"/>
  <c r="Q62" i="67"/>
  <c r="K62"/>
  <c r="G62"/>
  <c r="M62"/>
  <c r="I62"/>
  <c r="O62"/>
  <c r="Q576"/>
  <c r="M576"/>
  <c r="G576"/>
  <c r="R576" s="1"/>
  <c r="S576" s="1"/>
  <c r="O576"/>
  <c r="I576"/>
  <c r="K576"/>
  <c r="G346"/>
  <c r="R346" s="1"/>
  <c r="I346"/>
  <c r="M346"/>
  <c r="K346"/>
  <c r="Q346"/>
  <c r="O346"/>
  <c r="I37" i="69"/>
  <c r="O37"/>
  <c r="M37"/>
  <c r="G37"/>
  <c r="Q37"/>
  <c r="K37"/>
  <c r="G670"/>
  <c r="I670"/>
  <c r="Q670"/>
  <c r="K670"/>
  <c r="M670"/>
  <c r="O670"/>
  <c r="G43" i="67"/>
  <c r="I43"/>
  <c r="K43"/>
  <c r="Q43"/>
  <c r="O43"/>
  <c r="M43"/>
  <c r="O220"/>
  <c r="G220"/>
  <c r="I220"/>
  <c r="K220"/>
  <c r="Q220"/>
  <c r="M220"/>
  <c r="R38"/>
  <c r="S38" s="1"/>
  <c r="R319"/>
  <c r="S319" s="1"/>
  <c r="R750"/>
  <c r="S750" s="1"/>
  <c r="X707" i="1"/>
  <c r="Z707" s="1"/>
  <c r="D43" i="32"/>
  <c r="V677" i="1"/>
  <c r="P2355"/>
  <c r="R2355" s="1"/>
  <c r="R2357" s="1"/>
  <c r="R2346"/>
  <c r="K55" i="69"/>
  <c r="G55"/>
  <c r="I55"/>
  <c r="M55"/>
  <c r="O55"/>
  <c r="Q55"/>
  <c r="D1481" i="67"/>
  <c r="D1480" i="69"/>
  <c r="G578"/>
  <c r="I578"/>
  <c r="O578"/>
  <c r="K578"/>
  <c r="Q578"/>
  <c r="M578"/>
  <c r="G1497" i="67"/>
  <c r="D749"/>
  <c r="K403" i="1"/>
  <c r="J402"/>
  <c r="D847" i="69"/>
  <c r="D847" i="67"/>
  <c r="R1484" i="1"/>
  <c r="R1485" s="1"/>
  <c r="V1445"/>
  <c r="G54" i="67"/>
  <c r="O54"/>
  <c r="I54"/>
  <c r="Q54"/>
  <c r="M54"/>
  <c r="K54"/>
  <c r="M351"/>
  <c r="G351"/>
  <c r="R351" s="1"/>
  <c r="S351" s="1"/>
  <c r="I351"/>
  <c r="K351"/>
  <c r="Q351"/>
  <c r="O351"/>
  <c r="D778"/>
  <c r="D778" i="69"/>
  <c r="Q606" i="67"/>
  <c r="K606"/>
  <c r="G606"/>
  <c r="O606"/>
  <c r="I606"/>
  <c r="M606"/>
  <c r="I2992" i="1"/>
  <c r="K2992" s="1"/>
  <c r="K2999" s="1"/>
  <c r="K3001" s="1"/>
  <c r="K821"/>
  <c r="I2383"/>
  <c r="K2383" s="1"/>
  <c r="K2390" s="1"/>
  <c r="K2392" s="1"/>
  <c r="I1731"/>
  <c r="K1731" s="1"/>
  <c r="K1734" s="1"/>
  <c r="K1736" s="1"/>
  <c r="I1741" s="1"/>
  <c r="K1741" s="1"/>
  <c r="K1744" s="1"/>
  <c r="K1746" s="1"/>
  <c r="I1720"/>
  <c r="K1720" s="1"/>
  <c r="K1725" s="1"/>
  <c r="K1727" s="1"/>
  <c r="K1971"/>
  <c r="K1977" s="1"/>
  <c r="P1971"/>
  <c r="R1971" s="1"/>
  <c r="R1978" s="1"/>
  <c r="D660" i="25"/>
  <c r="F624"/>
  <c r="G352" i="67"/>
  <c r="K352"/>
  <c r="I352"/>
  <c r="M352"/>
  <c r="Q352"/>
  <c r="O352"/>
  <c r="G956"/>
  <c r="Q956"/>
  <c r="M956"/>
  <c r="K956"/>
  <c r="I956"/>
  <c r="O956"/>
  <c r="V761" i="1"/>
  <c r="X761" s="1"/>
  <c r="X675"/>
  <c r="V729"/>
  <c r="X729" s="1"/>
  <c r="K368"/>
  <c r="J367"/>
  <c r="L368"/>
  <c r="I845" i="69"/>
  <c r="Q845"/>
  <c r="G845"/>
  <c r="M845"/>
  <c r="K845"/>
  <c r="O845"/>
  <c r="I350" i="67"/>
  <c r="Q350"/>
  <c r="O350"/>
  <c r="M350"/>
  <c r="G350"/>
  <c r="K350"/>
  <c r="I630" i="1"/>
  <c r="K630" s="1"/>
  <c r="D671" i="69"/>
  <c r="D671" i="67"/>
  <c r="O451"/>
  <c r="G451"/>
  <c r="Q451"/>
  <c r="I451"/>
  <c r="M451"/>
  <c r="K451"/>
  <c r="K43" i="69"/>
  <c r="G43"/>
  <c r="O43"/>
  <c r="I43"/>
  <c r="M43"/>
  <c r="Q43"/>
  <c r="D208" i="67"/>
  <c r="K435" i="1"/>
  <c r="D208" i="69"/>
  <c r="R751" i="67"/>
  <c r="S751" s="1"/>
  <c r="AF659" i="1"/>
  <c r="AF660" s="1"/>
  <c r="AF661" s="1"/>
  <c r="AF662" s="1"/>
  <c r="AF663" s="1"/>
  <c r="AF664" s="1"/>
  <c r="AB528"/>
  <c r="V195"/>
  <c r="X195" s="1"/>
  <c r="X202" s="1"/>
  <c r="X204" s="1"/>
  <c r="I195"/>
  <c r="R597"/>
  <c r="P611"/>
  <c r="R611" s="1"/>
  <c r="K520"/>
  <c r="K521" s="1"/>
  <c r="K522" s="1"/>
  <c r="L519"/>
  <c r="D764" i="67"/>
  <c r="D766" i="69"/>
  <c r="D763"/>
  <c r="D763" i="67"/>
  <c r="D764" i="69"/>
  <c r="D766" i="67"/>
  <c r="X380" i="1"/>
  <c r="X387" s="1"/>
  <c r="X389" s="1"/>
  <c r="V394" s="1"/>
  <c r="X394" s="1"/>
  <c r="X398" s="1"/>
  <c r="X400" s="1"/>
  <c r="X402" s="1"/>
  <c r="X403" s="1"/>
  <c r="X404" s="1"/>
  <c r="X405" s="1"/>
  <c r="X406" s="1"/>
  <c r="V411"/>
  <c r="X411" s="1"/>
  <c r="X418" s="1"/>
  <c r="X420" s="1"/>
  <c r="V426" s="1"/>
  <c r="X426" s="1"/>
  <c r="X430" s="1"/>
  <c r="X432" s="1"/>
  <c r="X434" s="1"/>
  <c r="X435" s="1"/>
  <c r="X436" s="1"/>
  <c r="X437" s="1"/>
  <c r="X438" s="1"/>
  <c r="AE389"/>
  <c r="AE3560"/>
  <c r="AG3544"/>
  <c r="AG3548" s="1"/>
  <c r="AG3549" s="1"/>
  <c r="K46" i="69"/>
  <c r="M46"/>
  <c r="Q46"/>
  <c r="I46"/>
  <c r="G46"/>
  <c r="O46"/>
  <c r="AB1436" i="1"/>
  <c r="AD1436" s="1"/>
  <c r="AD1437" s="1"/>
  <c r="AD1438" s="1"/>
  <c r="X1438"/>
  <c r="X1439" s="1"/>
  <c r="X1440" s="1"/>
  <c r="I2616" i="27"/>
  <c r="K2616" s="1"/>
  <c r="K631"/>
  <c r="K632" s="1"/>
  <c r="K633" s="1"/>
  <c r="K634" s="1"/>
  <c r="I58" i="67"/>
  <c r="K58"/>
  <c r="Q58"/>
  <c r="M58"/>
  <c r="G58"/>
  <c r="R58" s="1"/>
  <c r="S58" s="1"/>
  <c r="O58"/>
  <c r="L323" i="1"/>
  <c r="K324"/>
  <c r="G409" i="67"/>
  <c r="R409" s="1"/>
  <c r="M409"/>
  <c r="I409"/>
  <c r="O409"/>
  <c r="Q409"/>
  <c r="K409"/>
  <c r="G348" i="69"/>
  <c r="M348"/>
  <c r="K348"/>
  <c r="Q348"/>
  <c r="O348"/>
  <c r="I348"/>
  <c r="K1363" i="1"/>
  <c r="K1365" s="1"/>
  <c r="L1337"/>
  <c r="L1335"/>
  <c r="P1172"/>
  <c r="R1172" s="1"/>
  <c r="R1183" s="1"/>
  <c r="R1141"/>
  <c r="R1152" s="1"/>
  <c r="R1156" s="1"/>
  <c r="D45" i="69"/>
  <c r="D45" i="67"/>
  <c r="K352" i="69"/>
  <c r="O352"/>
  <c r="M352"/>
  <c r="I352"/>
  <c r="G352"/>
  <c r="Q352"/>
  <c r="P1258" i="1"/>
  <c r="R1216"/>
  <c r="Z705"/>
  <c r="X713"/>
  <c r="X356"/>
  <c r="X363" s="1"/>
  <c r="X365" s="1"/>
  <c r="X367" s="1"/>
  <c r="X368" s="1"/>
  <c r="AE365"/>
  <c r="AG365" s="1"/>
  <c r="Q845" i="67"/>
  <c r="I845"/>
  <c r="M845"/>
  <c r="G845"/>
  <c r="K845"/>
  <c r="O845"/>
  <c r="AB1459" i="1"/>
  <c r="AD1459" s="1"/>
  <c r="AD1461" s="1"/>
  <c r="X1461"/>
  <c r="Q350" i="69"/>
  <c r="I350"/>
  <c r="M350"/>
  <c r="O350"/>
  <c r="K350"/>
  <c r="G350"/>
  <c r="X1299" i="1"/>
  <c r="X1306" s="1"/>
  <c r="X1308" s="1"/>
  <c r="X1309" s="1"/>
  <c r="X1310" s="1"/>
  <c r="X1311" s="1"/>
  <c r="X1312" s="1"/>
  <c r="X1313" s="1"/>
  <c r="W1309" s="1"/>
  <c r="W1310" s="1"/>
  <c r="V1319"/>
  <c r="X1319" s="1"/>
  <c r="X1326" s="1"/>
  <c r="X1328" s="1"/>
  <c r="O451" i="69"/>
  <c r="Q451"/>
  <c r="M451"/>
  <c r="K451"/>
  <c r="I451"/>
  <c r="G451"/>
  <c r="M335"/>
  <c r="I335"/>
  <c r="Q335"/>
  <c r="O335"/>
  <c r="K335"/>
  <c r="G335"/>
  <c r="D221" i="67"/>
  <c r="K469" i="1"/>
  <c r="D221" i="69"/>
  <c r="R322" i="67"/>
  <c r="S322" s="1"/>
  <c r="R441"/>
  <c r="S441" s="1"/>
  <c r="S449"/>
  <c r="R408"/>
  <c r="S408" s="1"/>
  <c r="X1345" i="1"/>
  <c r="X1347" s="1"/>
  <c r="D616" i="69"/>
  <c r="D616" i="67"/>
  <c r="AH323" i="1"/>
  <c r="AG324"/>
  <c r="D249" i="67"/>
  <c r="D249" i="69"/>
  <c r="I559" i="1"/>
  <c r="K559" s="1"/>
  <c r="D955" i="69"/>
  <c r="D955" i="67"/>
  <c r="Q578"/>
  <c r="M578"/>
  <c r="O578"/>
  <c r="G578"/>
  <c r="R578" s="1"/>
  <c r="S578" s="1"/>
  <c r="K578"/>
  <c r="I578"/>
  <c r="D693"/>
  <c r="D693" i="69"/>
  <c r="D339" i="67"/>
  <c r="D339" i="69"/>
  <c r="I46" i="67"/>
  <c r="M46"/>
  <c r="Q46"/>
  <c r="O46"/>
  <c r="G46"/>
  <c r="K46"/>
  <c r="D865" i="69"/>
  <c r="D864"/>
  <c r="D324"/>
  <c r="D865" i="67"/>
  <c r="D324"/>
  <c r="D864"/>
  <c r="Q54" i="69"/>
  <c r="M54"/>
  <c r="G54"/>
  <c r="I54"/>
  <c r="K54"/>
  <c r="O54"/>
  <c r="Q409"/>
  <c r="M409"/>
  <c r="O409"/>
  <c r="K409"/>
  <c r="I409"/>
  <c r="G409"/>
  <c r="G348" i="67"/>
  <c r="M348"/>
  <c r="I348"/>
  <c r="Q348"/>
  <c r="K348"/>
  <c r="O348"/>
  <c r="X336" i="1"/>
  <c r="X343" s="1"/>
  <c r="X345" s="1"/>
  <c r="X347" s="1"/>
  <c r="AE336"/>
  <c r="AG336" s="1"/>
  <c r="AG343" s="1"/>
  <c r="AG345" s="1"/>
  <c r="AG347" s="1"/>
  <c r="I606" i="69"/>
  <c r="G606"/>
  <c r="K606"/>
  <c r="O606"/>
  <c r="Q606"/>
  <c r="M606"/>
  <c r="K285" i="1"/>
  <c r="P656"/>
  <c r="R656" s="1"/>
  <c r="R672" s="1"/>
  <c r="I637"/>
  <c r="K637" s="1"/>
  <c r="K641" s="1"/>
  <c r="K643" s="1"/>
  <c r="I832" i="11"/>
  <c r="D1539" i="67"/>
  <c r="G1539" s="1"/>
  <c r="I842" i="11"/>
  <c r="K842" s="1"/>
  <c r="D1538" i="69"/>
  <c r="G1538" s="1"/>
  <c r="K347"/>
  <c r="G347"/>
  <c r="M347"/>
  <c r="I347"/>
  <c r="Q347"/>
  <c r="O347"/>
  <c r="D404" i="67"/>
  <c r="D404" i="69"/>
  <c r="D401" i="67"/>
  <c r="D401" i="69"/>
  <c r="G53" i="67"/>
  <c r="M53"/>
  <c r="I53"/>
  <c r="O53"/>
  <c r="Q53"/>
  <c r="K53"/>
  <c r="D337"/>
  <c r="P284" i="1"/>
  <c r="R284" s="1"/>
  <c r="R289" s="1"/>
  <c r="R291" s="1"/>
  <c r="D337" i="69"/>
  <c r="F41" i="32"/>
  <c r="D104"/>
  <c r="F104" s="1"/>
  <c r="I62" i="69"/>
  <c r="O62"/>
  <c r="Q62"/>
  <c r="M62"/>
  <c r="G62"/>
  <c r="K62"/>
  <c r="I576"/>
  <c r="K576"/>
  <c r="Q576"/>
  <c r="O576"/>
  <c r="G576"/>
  <c r="M576"/>
  <c r="O346"/>
  <c r="G346"/>
  <c r="I346"/>
  <c r="M346"/>
  <c r="K346"/>
  <c r="Q346"/>
  <c r="M37" i="67"/>
  <c r="G37"/>
  <c r="R37" s="1"/>
  <c r="K37"/>
  <c r="I37"/>
  <c r="O37"/>
  <c r="Q37"/>
  <c r="S37" s="1"/>
  <c r="AD1189" i="1"/>
  <c r="AD1194" s="1"/>
  <c r="AD1196" s="1"/>
  <c r="AD1197" s="1"/>
  <c r="AI1189"/>
  <c r="AK1189" s="1"/>
  <c r="AK1194" s="1"/>
  <c r="AK1196" s="1"/>
  <c r="AK1197" s="1"/>
  <c r="G670" i="67"/>
  <c r="M670"/>
  <c r="I670"/>
  <c r="O670"/>
  <c r="Q670"/>
  <c r="K670"/>
  <c r="N3396" i="27"/>
  <c r="N3400" s="1"/>
  <c r="O566" i="11"/>
  <c r="N569"/>
  <c r="D614" i="67"/>
  <c r="D1508" i="69"/>
  <c r="G1508" s="1"/>
  <c r="D614"/>
  <c r="D1509" i="67"/>
  <c r="G1509" s="1"/>
  <c r="Q220" i="69"/>
  <c r="I220"/>
  <c r="O220"/>
  <c r="M220"/>
  <c r="G220"/>
  <c r="K220"/>
  <c r="F628" i="25"/>
  <c r="F630" s="1"/>
  <c r="R907" i="67"/>
  <c r="S907" s="1"/>
  <c r="R722"/>
  <c r="Q717"/>
  <c r="G717"/>
  <c r="I717"/>
  <c r="Q424"/>
  <c r="I424"/>
  <c r="G424"/>
  <c r="I906"/>
  <c r="G906"/>
  <c r="I428"/>
  <c r="G428"/>
  <c r="R293"/>
  <c r="S293" s="1"/>
  <c r="R885"/>
  <c r="S885" s="1"/>
  <c r="Q716"/>
  <c r="I716"/>
  <c r="G716"/>
  <c r="Q719"/>
  <c r="I719"/>
  <c r="G719"/>
  <c r="R913"/>
  <c r="S913" s="1"/>
  <c r="R718"/>
  <c r="S718" s="1"/>
  <c r="R365"/>
  <c r="S365" s="1"/>
  <c r="I267"/>
  <c r="G267"/>
  <c r="R646"/>
  <c r="S646" s="1"/>
  <c r="R421"/>
  <c r="S421" s="1"/>
  <c r="Q916"/>
  <c r="I916"/>
  <c r="G916"/>
  <c r="I970"/>
  <c r="G970"/>
  <c r="S722"/>
  <c r="R266"/>
  <c r="S266" s="1"/>
  <c r="D135" i="25"/>
  <c r="F134"/>
  <c r="D300"/>
  <c r="F300" s="1"/>
  <c r="D690"/>
  <c r="F690" s="1"/>
  <c r="F654"/>
  <c r="AU117" i="1"/>
  <c r="AV117" s="1"/>
  <c r="AS119"/>
  <c r="K267" i="67"/>
  <c r="M267"/>
  <c r="O267"/>
  <c r="Q267"/>
  <c r="K970"/>
  <c r="O970"/>
  <c r="M970"/>
  <c r="Q970"/>
  <c r="AU140" i="1"/>
  <c r="AV140" s="1"/>
  <c r="AS142"/>
  <c r="K428" i="69"/>
  <c r="G428"/>
  <c r="M428"/>
  <c r="Q428"/>
  <c r="I428"/>
  <c r="O428"/>
  <c r="D908"/>
  <c r="D908" i="67"/>
  <c r="G906" i="69"/>
  <c r="K906"/>
  <c r="I906"/>
  <c r="Q906"/>
  <c r="M906"/>
  <c r="O906"/>
  <c r="AU171" i="1"/>
  <c r="AV171" s="1"/>
  <c r="AS173"/>
  <c r="AU173" s="1"/>
  <c r="AV173" s="1"/>
  <c r="M970" i="69"/>
  <c r="Q970"/>
  <c r="I970"/>
  <c r="K970"/>
  <c r="G970"/>
  <c r="O970"/>
  <c r="M428" i="67"/>
  <c r="K428"/>
  <c r="O428"/>
  <c r="Q428"/>
  <c r="Q906"/>
  <c r="M906"/>
  <c r="K906"/>
  <c r="O906"/>
  <c r="K267" i="69"/>
  <c r="O267"/>
  <c r="I267"/>
  <c r="G267"/>
  <c r="Q267"/>
  <c r="M267"/>
  <c r="W545" i="1"/>
  <c r="AC545" s="1"/>
  <c r="AJ545" s="1"/>
  <c r="J546"/>
  <c r="L1121" i="11"/>
  <c r="M1119"/>
  <c r="K1126"/>
  <c r="K1120"/>
  <c r="D423" i="67"/>
  <c r="D423" i="69"/>
  <c r="K716" i="67"/>
  <c r="M716"/>
  <c r="O716"/>
  <c r="M424" i="69"/>
  <c r="Q424"/>
  <c r="G424"/>
  <c r="I424"/>
  <c r="K424"/>
  <c r="O424"/>
  <c r="K719" i="67"/>
  <c r="M719"/>
  <c r="O719"/>
  <c r="D1513" i="69"/>
  <c r="G1513" s="1"/>
  <c r="D1514" i="67"/>
  <c r="G1514" s="1"/>
  <c r="K916"/>
  <c r="M916"/>
  <c r="O916"/>
  <c r="K3063" i="27"/>
  <c r="L3064"/>
  <c r="K2186"/>
  <c r="D915" i="67"/>
  <c r="D915" i="69"/>
  <c r="D917"/>
  <c r="D917" i="67"/>
  <c r="K2188" i="27"/>
  <c r="K717" i="69"/>
  <c r="O717"/>
  <c r="M717"/>
  <c r="G717"/>
  <c r="I717"/>
  <c r="Q717"/>
  <c r="L2966" i="27"/>
  <c r="K2965"/>
  <c r="I3972" i="1"/>
  <c r="K3972" s="1"/>
  <c r="K3955"/>
  <c r="D422" i="69"/>
  <c r="D422" i="67"/>
  <c r="K2185" i="27"/>
  <c r="D914" i="67"/>
  <c r="D914" i="69"/>
  <c r="K3074" i="27"/>
  <c r="K3077" s="1"/>
  <c r="I3936"/>
  <c r="K3936" s="1"/>
  <c r="K3939" s="1"/>
  <c r="K3941" s="1"/>
  <c r="I3100"/>
  <c r="D721" i="67"/>
  <c r="D721" i="69"/>
  <c r="K2267" i="1"/>
  <c r="K248" i="11"/>
  <c r="K256"/>
  <c r="K260" s="1"/>
  <c r="I283"/>
  <c r="K269"/>
  <c r="K273" s="1"/>
  <c r="P242"/>
  <c r="I984"/>
  <c r="K984" s="1"/>
  <c r="K992" s="1"/>
  <c r="D949" i="67"/>
  <c r="D1548" i="69"/>
  <c r="G1548" s="1"/>
  <c r="D1549" i="67"/>
  <c r="G1549" s="1"/>
  <c r="D949" i="69"/>
  <c r="K3918" i="27"/>
  <c r="L3919"/>
  <c r="G716" i="69"/>
  <c r="M716"/>
  <c r="I716"/>
  <c r="O716"/>
  <c r="K716"/>
  <c r="Q716"/>
  <c r="D425"/>
  <c r="D425" i="67"/>
  <c r="Q916" i="69"/>
  <c r="K916"/>
  <c r="I916"/>
  <c r="G916"/>
  <c r="M916"/>
  <c r="O916"/>
  <c r="X369" i="1"/>
  <c r="Y369" s="1"/>
  <c r="K717" i="67"/>
  <c r="M717"/>
  <c r="O717"/>
  <c r="O424"/>
  <c r="K424"/>
  <c r="M424"/>
  <c r="G719" i="69"/>
  <c r="I719"/>
  <c r="M719"/>
  <c r="O719"/>
  <c r="K719"/>
  <c r="Q719"/>
  <c r="Y368" i="1"/>
  <c r="AD1198" l="1"/>
  <c r="D853" i="69"/>
  <c r="D853" i="67"/>
  <c r="K401" i="69"/>
  <c r="O401"/>
  <c r="G401"/>
  <c r="M401"/>
  <c r="I401"/>
  <c r="Q401"/>
  <c r="D51"/>
  <c r="D51" i="67"/>
  <c r="K287" i="1"/>
  <c r="X348"/>
  <c r="D84" i="69"/>
  <c r="D84" i="67"/>
  <c r="G324"/>
  <c r="Q324"/>
  <c r="I324"/>
  <c r="O324"/>
  <c r="M324"/>
  <c r="K324"/>
  <c r="O865" i="69"/>
  <c r="M865"/>
  <c r="Q865"/>
  <c r="G865"/>
  <c r="I865"/>
  <c r="K865"/>
  <c r="G339" i="67"/>
  <c r="I339"/>
  <c r="O339"/>
  <c r="Q339"/>
  <c r="M339"/>
  <c r="K339"/>
  <c r="I249" i="69"/>
  <c r="G249"/>
  <c r="O249"/>
  <c r="M249"/>
  <c r="K249"/>
  <c r="Q249"/>
  <c r="I616" i="67"/>
  <c r="M616"/>
  <c r="Q616"/>
  <c r="K616"/>
  <c r="G616"/>
  <c r="O616"/>
  <c r="I221" i="69"/>
  <c r="M221"/>
  <c r="G221"/>
  <c r="O221"/>
  <c r="Q221"/>
  <c r="K221"/>
  <c r="R1258" i="1"/>
  <c r="R1270" s="1"/>
  <c r="R1272" s="1"/>
  <c r="P1235"/>
  <c r="R1235" s="1"/>
  <c r="R1247" s="1"/>
  <c r="R1249" s="1"/>
  <c r="V1238"/>
  <c r="Q45" i="69"/>
  <c r="I45"/>
  <c r="M45"/>
  <c r="G45"/>
  <c r="O45"/>
  <c r="K45"/>
  <c r="D325"/>
  <c r="D867" i="67"/>
  <c r="D325"/>
  <c r="D867" i="69"/>
  <c r="D849"/>
  <c r="D849" i="67"/>
  <c r="Q763" i="69"/>
  <c r="M763"/>
  <c r="G763"/>
  <c r="I763"/>
  <c r="K763"/>
  <c r="O763"/>
  <c r="D617" i="67"/>
  <c r="D617" i="69"/>
  <c r="Q208"/>
  <c r="K208"/>
  <c r="O208"/>
  <c r="G208"/>
  <c r="M208"/>
  <c r="I208"/>
  <c r="K671"/>
  <c r="Q671"/>
  <c r="G671"/>
  <c r="O671"/>
  <c r="M671"/>
  <c r="I671"/>
  <c r="D598" i="67"/>
  <c r="K369" i="1"/>
  <c r="J368"/>
  <c r="D598" i="69"/>
  <c r="L369" i="1"/>
  <c r="J372"/>
  <c r="G778" i="67"/>
  <c r="I778"/>
  <c r="Q778"/>
  <c r="K778"/>
  <c r="O778"/>
  <c r="M778"/>
  <c r="M847" i="69"/>
  <c r="I847"/>
  <c r="K847"/>
  <c r="O847"/>
  <c r="G847"/>
  <c r="Q847"/>
  <c r="G1481" i="67"/>
  <c r="D890"/>
  <c r="D738" i="69"/>
  <c r="D738" i="67"/>
  <c r="K475" i="69"/>
  <c r="Q475"/>
  <c r="M475"/>
  <c r="O475"/>
  <c r="I475"/>
  <c r="G475"/>
  <c r="G615" i="67"/>
  <c r="R615" s="1"/>
  <c r="M615"/>
  <c r="I615"/>
  <c r="O615"/>
  <c r="Q615"/>
  <c r="K615"/>
  <c r="D611" i="69"/>
  <c r="D611" i="67"/>
  <c r="D694"/>
  <c r="D338"/>
  <c r="D695" i="69"/>
  <c r="D338"/>
  <c r="D694"/>
  <c r="D580"/>
  <c r="AS102" i="1"/>
  <c r="AU101"/>
  <c r="AV101"/>
  <c r="D580" i="67"/>
  <c r="I767" i="69"/>
  <c r="Q767"/>
  <c r="G767"/>
  <c r="O767"/>
  <c r="K767"/>
  <c r="M767"/>
  <c r="I537" i="1"/>
  <c r="K537" s="1"/>
  <c r="D237" i="67"/>
  <c r="D237" i="69"/>
  <c r="Q42" i="67"/>
  <c r="G42"/>
  <c r="O42"/>
  <c r="K42"/>
  <c r="M42"/>
  <c r="I42"/>
  <c r="R606"/>
  <c r="S606" s="1"/>
  <c r="R54"/>
  <c r="R220"/>
  <c r="S220" s="1"/>
  <c r="M614" i="69"/>
  <c r="Q614"/>
  <c r="I614"/>
  <c r="K614"/>
  <c r="O614"/>
  <c r="G614"/>
  <c r="O3396" i="27"/>
  <c r="O3400" s="1"/>
  <c r="O569" i="11"/>
  <c r="D858" i="69"/>
  <c r="D858" i="67"/>
  <c r="AK1198" i="1"/>
  <c r="M337" i="69"/>
  <c r="O337"/>
  <c r="Q337"/>
  <c r="K337"/>
  <c r="G337"/>
  <c r="I337"/>
  <c r="I404" i="67"/>
  <c r="O404"/>
  <c r="Q404"/>
  <c r="M404"/>
  <c r="G404"/>
  <c r="K404"/>
  <c r="D90" i="69"/>
  <c r="D90" i="67"/>
  <c r="AG348" i="1"/>
  <c r="Q864" i="67"/>
  <c r="K864"/>
  <c r="I864"/>
  <c r="O864"/>
  <c r="G864"/>
  <c r="R864" s="1"/>
  <c r="S864" s="1"/>
  <c r="M864"/>
  <c r="K864" i="69"/>
  <c r="I864"/>
  <c r="Q864"/>
  <c r="O864"/>
  <c r="M864"/>
  <c r="G864"/>
  <c r="M339"/>
  <c r="K339"/>
  <c r="I339"/>
  <c r="Q339"/>
  <c r="G339"/>
  <c r="O339"/>
  <c r="D250" i="67"/>
  <c r="D250" i="69"/>
  <c r="I560" i="1"/>
  <c r="K560" s="1"/>
  <c r="D108" i="69"/>
  <c r="AG372" i="1"/>
  <c r="D108" i="67"/>
  <c r="R1228" i="1"/>
  <c r="R1230" s="1"/>
  <c r="T1216"/>
  <c r="T1228" s="1"/>
  <c r="T1230" s="1"/>
  <c r="G45" i="67"/>
  <c r="K45"/>
  <c r="I45"/>
  <c r="O45"/>
  <c r="Q45"/>
  <c r="M45"/>
  <c r="M763"/>
  <c r="G763"/>
  <c r="K763"/>
  <c r="I763"/>
  <c r="Q763"/>
  <c r="O763"/>
  <c r="K195" i="1"/>
  <c r="K202" s="1"/>
  <c r="K204" s="1"/>
  <c r="P163"/>
  <c r="R163" s="1"/>
  <c r="R170" s="1"/>
  <c r="R172" s="1"/>
  <c r="O671" i="67"/>
  <c r="G671"/>
  <c r="K671"/>
  <c r="I671"/>
  <c r="M671"/>
  <c r="Q671"/>
  <c r="D392"/>
  <c r="D707" i="69"/>
  <c r="D392"/>
  <c r="D707" i="67"/>
  <c r="K823" i="1"/>
  <c r="D52" i="69"/>
  <c r="D52" i="67"/>
  <c r="I3920" i="1"/>
  <c r="O778" i="69"/>
  <c r="M778"/>
  <c r="G778"/>
  <c r="K778"/>
  <c r="I778"/>
  <c r="Q778"/>
  <c r="I847" i="67"/>
  <c r="M847"/>
  <c r="G847"/>
  <c r="Q847"/>
  <c r="K847"/>
  <c r="O847"/>
  <c r="I749"/>
  <c r="Q749"/>
  <c r="G749"/>
  <c r="R749" s="1"/>
  <c r="S749" s="1"/>
  <c r="K749"/>
  <c r="O749"/>
  <c r="M749"/>
  <c r="D890" i="69"/>
  <c r="G1480"/>
  <c r="I607"/>
  <c r="K607"/>
  <c r="G607"/>
  <c r="M607"/>
  <c r="O607"/>
  <c r="Q607"/>
  <c r="K349" i="1"/>
  <c r="L348"/>
  <c r="I749" i="69"/>
  <c r="O749"/>
  <c r="G749"/>
  <c r="M749"/>
  <c r="K749"/>
  <c r="Q749"/>
  <c r="I579" i="67"/>
  <c r="K579"/>
  <c r="Q579"/>
  <c r="M579"/>
  <c r="G579"/>
  <c r="R579" s="1"/>
  <c r="S579" s="1"/>
  <c r="O579"/>
  <c r="G236"/>
  <c r="I236"/>
  <c r="M236"/>
  <c r="O236"/>
  <c r="Q236"/>
  <c r="K236"/>
  <c r="Q42" i="69"/>
  <c r="G42"/>
  <c r="O42"/>
  <c r="M42"/>
  <c r="I42"/>
  <c r="K42"/>
  <c r="R53" i="67"/>
  <c r="S53" s="1"/>
  <c r="R845"/>
  <c r="S845" s="1"/>
  <c r="R350"/>
  <c r="S350" s="1"/>
  <c r="R352"/>
  <c r="S352" s="1"/>
  <c r="R43"/>
  <c r="S43" s="1"/>
  <c r="R62"/>
  <c r="S62" s="1"/>
  <c r="H41" i="32"/>
  <c r="F49"/>
  <c r="K404" i="69"/>
  <c r="O404"/>
  <c r="G404"/>
  <c r="M404"/>
  <c r="I404"/>
  <c r="Q404"/>
  <c r="P630" i="1"/>
  <c r="R630" s="1"/>
  <c r="R634" s="1"/>
  <c r="P599"/>
  <c r="R599" s="1"/>
  <c r="R603" s="1"/>
  <c r="I649"/>
  <c r="K649" s="1"/>
  <c r="K655" s="1"/>
  <c r="K657" s="1"/>
  <c r="I659" s="1"/>
  <c r="K659" s="1"/>
  <c r="I660" s="1"/>
  <c r="K660" s="1"/>
  <c r="I661" s="1"/>
  <c r="K661" s="1"/>
  <c r="I662" s="1"/>
  <c r="K662" s="1"/>
  <c r="I663" s="1"/>
  <c r="K663" s="1"/>
  <c r="I664" s="1"/>
  <c r="K664" s="1"/>
  <c r="I665" s="1"/>
  <c r="K665" s="1"/>
  <c r="I666" s="1"/>
  <c r="K666" s="1"/>
  <c r="I667" s="1"/>
  <c r="K667" s="1"/>
  <c r="I668" s="1"/>
  <c r="K668" s="1"/>
  <c r="I669" s="1"/>
  <c r="K669" s="1"/>
  <c r="I670" s="1"/>
  <c r="K670" s="1"/>
  <c r="P613"/>
  <c r="R613" s="1"/>
  <c r="R617" s="1"/>
  <c r="I324" i="69"/>
  <c r="Q324"/>
  <c r="K324"/>
  <c r="G324"/>
  <c r="M324"/>
  <c r="O324"/>
  <c r="G693" i="67"/>
  <c r="K693"/>
  <c r="I693"/>
  <c r="M693"/>
  <c r="Q693"/>
  <c r="O693"/>
  <c r="O955" i="69"/>
  <c r="I955"/>
  <c r="K955"/>
  <c r="G955"/>
  <c r="M955"/>
  <c r="Q955"/>
  <c r="AH324" i="1"/>
  <c r="AH325"/>
  <c r="AG325"/>
  <c r="AG326" s="1"/>
  <c r="AG327" s="1"/>
  <c r="D888" i="69"/>
  <c r="D888" i="67"/>
  <c r="G221"/>
  <c r="O221"/>
  <c r="I221"/>
  <c r="Q221"/>
  <c r="K221"/>
  <c r="M221"/>
  <c r="D506" i="69"/>
  <c r="R1184" i="1"/>
  <c r="D506" i="67"/>
  <c r="L324" i="1"/>
  <c r="K325"/>
  <c r="AG389"/>
  <c r="AQ389"/>
  <c r="AS389" s="1"/>
  <c r="AS396" s="1"/>
  <c r="AS398" s="1"/>
  <c r="AS400" s="1"/>
  <c r="AS401" s="1"/>
  <c r="AS402" s="1"/>
  <c r="AS403" s="1"/>
  <c r="AS404" s="1"/>
  <c r="AS405" s="1"/>
  <c r="AS406" s="1"/>
  <c r="AE425"/>
  <c r="AG425" s="1"/>
  <c r="K764" i="69"/>
  <c r="O764"/>
  <c r="I764"/>
  <c r="G764"/>
  <c r="Q764"/>
  <c r="M764"/>
  <c r="I764" i="67"/>
  <c r="M764"/>
  <c r="K764"/>
  <c r="Q764"/>
  <c r="O764"/>
  <c r="G764"/>
  <c r="R764" s="1"/>
  <c r="S764" s="1"/>
  <c r="Q208"/>
  <c r="O208"/>
  <c r="G208"/>
  <c r="K208"/>
  <c r="I208"/>
  <c r="M208"/>
  <c r="D901"/>
  <c r="D901" i="69"/>
  <c r="D702"/>
  <c r="D702" i="67"/>
  <c r="S1446" i="1"/>
  <c r="R1486"/>
  <c r="J403"/>
  <c r="K404"/>
  <c r="K405" s="1"/>
  <c r="K406" s="1"/>
  <c r="L406" s="1"/>
  <c r="L407" s="1"/>
  <c r="F43" i="32"/>
  <c r="H43" s="1"/>
  <c r="D106"/>
  <c r="F106" s="1"/>
  <c r="I475" i="67"/>
  <c r="K475"/>
  <c r="Q475"/>
  <c r="O475"/>
  <c r="M475"/>
  <c r="G475"/>
  <c r="R475" s="1"/>
  <c r="S475" s="1"/>
  <c r="L788" i="11"/>
  <c r="I805"/>
  <c r="G607" i="67"/>
  <c r="O607"/>
  <c r="I607"/>
  <c r="Q607"/>
  <c r="K607"/>
  <c r="M607"/>
  <c r="X325" i="1"/>
  <c r="X326" s="1"/>
  <c r="X327" s="1"/>
  <c r="Y324"/>
  <c r="D848" i="67"/>
  <c r="D848" i="69"/>
  <c r="K779" i="67"/>
  <c r="G779"/>
  <c r="I779"/>
  <c r="O779"/>
  <c r="Q779"/>
  <c r="M779"/>
  <c r="Q579" i="69"/>
  <c r="K579"/>
  <c r="M579"/>
  <c r="I579"/>
  <c r="G579"/>
  <c r="O579"/>
  <c r="Q767" i="67"/>
  <c r="O767"/>
  <c r="K767"/>
  <c r="G767"/>
  <c r="M767"/>
  <c r="I767"/>
  <c r="K236" i="69"/>
  <c r="I236"/>
  <c r="G236"/>
  <c r="O236"/>
  <c r="M236"/>
  <c r="Q236"/>
  <c r="X528" i="1"/>
  <c r="X533" s="1"/>
  <c r="X535" s="1"/>
  <c r="V537" s="1"/>
  <c r="X537" s="1"/>
  <c r="V552"/>
  <c r="X552" s="1"/>
  <c r="X557" s="1"/>
  <c r="X559" s="1"/>
  <c r="R670" i="67"/>
  <c r="S670" s="1"/>
  <c r="R348"/>
  <c r="S348" s="1"/>
  <c r="R46"/>
  <c r="S46" s="1"/>
  <c r="R347"/>
  <c r="S347" s="1"/>
  <c r="R55"/>
  <c r="S55" s="1"/>
  <c r="M614"/>
  <c r="G614"/>
  <c r="K614"/>
  <c r="I614"/>
  <c r="Q614"/>
  <c r="O614"/>
  <c r="Q337"/>
  <c r="O337"/>
  <c r="G337"/>
  <c r="R337" s="1"/>
  <c r="S337" s="1"/>
  <c r="K337"/>
  <c r="I337"/>
  <c r="M337"/>
  <c r="K401"/>
  <c r="G401"/>
  <c r="M401"/>
  <c r="I401"/>
  <c r="Q401"/>
  <c r="O401"/>
  <c r="I3662" i="27"/>
  <c r="K832" i="11"/>
  <c r="K845" s="1"/>
  <c r="K865" i="67"/>
  <c r="I865"/>
  <c r="Q865"/>
  <c r="G865"/>
  <c r="O865"/>
  <c r="M865"/>
  <c r="I693" i="69"/>
  <c r="G693"/>
  <c r="K693"/>
  <c r="O693"/>
  <c r="M693"/>
  <c r="Q693"/>
  <c r="Q955" i="67"/>
  <c r="I955"/>
  <c r="M955"/>
  <c r="K955"/>
  <c r="G955"/>
  <c r="R955" s="1"/>
  <c r="S955" s="1"/>
  <c r="O955"/>
  <c r="K249"/>
  <c r="G249"/>
  <c r="I249"/>
  <c r="O249"/>
  <c r="Q249"/>
  <c r="M249"/>
  <c r="O616" i="69"/>
  <c r="G616"/>
  <c r="K616"/>
  <c r="Q616"/>
  <c r="M616"/>
  <c r="I616"/>
  <c r="D222" i="67"/>
  <c r="K470" i="1"/>
  <c r="D222" i="69"/>
  <c r="X714" i="1"/>
  <c r="Z713"/>
  <c r="S1159"/>
  <c r="D509" i="69"/>
  <c r="D509" i="67"/>
  <c r="R1158" i="1"/>
  <c r="D344" i="69"/>
  <c r="D344" i="67"/>
  <c r="AG3560" i="1"/>
  <c r="AG3564" s="1"/>
  <c r="AG3565" s="1"/>
  <c r="V3623"/>
  <c r="X3623" s="1"/>
  <c r="X3627" s="1"/>
  <c r="X3628" s="1"/>
  <c r="G766" i="67"/>
  <c r="I766"/>
  <c r="O766"/>
  <c r="K766"/>
  <c r="Q766"/>
  <c r="M766"/>
  <c r="M766" i="69"/>
  <c r="K766"/>
  <c r="I766"/>
  <c r="G766"/>
  <c r="O766"/>
  <c r="Q766"/>
  <c r="AB552" i="1"/>
  <c r="AD552" s="1"/>
  <c r="AD557" s="1"/>
  <c r="AD559" s="1"/>
  <c r="AD528"/>
  <c r="AD533" s="1"/>
  <c r="AD535" s="1"/>
  <c r="AB537" s="1"/>
  <c r="AD537" s="1"/>
  <c r="D209" i="67"/>
  <c r="D209" i="69"/>
  <c r="K436" i="1"/>
  <c r="D672" i="69"/>
  <c r="I631" i="1"/>
  <c r="K631" s="1"/>
  <c r="D672" i="67"/>
  <c r="F660" i="25"/>
  <c r="F664" s="1"/>
  <c r="F666" s="1"/>
  <c r="D696"/>
  <c r="F696" s="1"/>
  <c r="F700" s="1"/>
  <c r="F702" s="1"/>
  <c r="D374" i="67"/>
  <c r="D374" i="69"/>
  <c r="X1445" i="1"/>
  <c r="X1446" s="1"/>
  <c r="X1447" s="1"/>
  <c r="V1469"/>
  <c r="X1469" s="1"/>
  <c r="X1470" s="1"/>
  <c r="X1471" s="1"/>
  <c r="X677"/>
  <c r="X683" s="1"/>
  <c r="X684" s="1"/>
  <c r="V763"/>
  <c r="X763" s="1"/>
  <c r="X769" s="1"/>
  <c r="X770" s="1"/>
  <c r="X772" s="1"/>
  <c r="X773" s="1"/>
  <c r="X774" s="1"/>
  <c r="X776" s="1"/>
  <c r="X777" s="1"/>
  <c r="X778" s="1"/>
  <c r="X779" s="1"/>
  <c r="X780" s="1"/>
  <c r="X781" s="1"/>
  <c r="X782" s="1"/>
  <c r="X783" s="1"/>
  <c r="V731"/>
  <c r="X731" s="1"/>
  <c r="P1989"/>
  <c r="R1989" s="1"/>
  <c r="R1999" s="1"/>
  <c r="K1989"/>
  <c r="K1998" s="1"/>
  <c r="K3614" i="27"/>
  <c r="K3619" s="1"/>
  <c r="I3645"/>
  <c r="K3645" s="1"/>
  <c r="K3650" s="1"/>
  <c r="M615" i="69"/>
  <c r="O615"/>
  <c r="G615"/>
  <c r="Q615"/>
  <c r="I615"/>
  <c r="K615"/>
  <c r="K2915" i="1"/>
  <c r="I2936"/>
  <c r="K2936" s="1"/>
  <c r="K2939" s="1"/>
  <c r="K2940" s="1"/>
  <c r="D608" i="69"/>
  <c r="D608" i="67"/>
  <c r="X3560" i="1"/>
  <c r="X3564" s="1"/>
  <c r="X3565" s="1"/>
  <c r="V3576"/>
  <c r="I779" i="69"/>
  <c r="O779"/>
  <c r="K779"/>
  <c r="G779"/>
  <c r="M779"/>
  <c r="Q779"/>
  <c r="F112" i="32"/>
  <c r="F113" s="1"/>
  <c r="S409" i="67"/>
  <c r="R451"/>
  <c r="S451" s="1"/>
  <c r="X737" i="1"/>
  <c r="X738" s="1"/>
  <c r="R956" i="67"/>
  <c r="S956" s="1"/>
  <c r="S54"/>
  <c r="S346"/>
  <c r="Q914"/>
  <c r="I914"/>
  <c r="G914"/>
  <c r="R916"/>
  <c r="S916" s="1"/>
  <c r="R716"/>
  <c r="S716" s="1"/>
  <c r="R906"/>
  <c r="S906" s="1"/>
  <c r="R424"/>
  <c r="S424" s="1"/>
  <c r="Q425"/>
  <c r="I425"/>
  <c r="G425"/>
  <c r="Q917"/>
  <c r="I917"/>
  <c r="G917"/>
  <c r="Q915"/>
  <c r="I915"/>
  <c r="G915"/>
  <c r="R970"/>
  <c r="S970" s="1"/>
  <c r="R267"/>
  <c r="S267" s="1"/>
  <c r="Q721"/>
  <c r="G721"/>
  <c r="I721"/>
  <c r="R428"/>
  <c r="S428" s="1"/>
  <c r="R717"/>
  <c r="S717" s="1"/>
  <c r="Q949"/>
  <c r="G949"/>
  <c r="I949"/>
  <c r="Q422"/>
  <c r="I422"/>
  <c r="G422"/>
  <c r="Q423"/>
  <c r="I423"/>
  <c r="G423"/>
  <c r="G908"/>
  <c r="I908"/>
  <c r="R719"/>
  <c r="S719" s="1"/>
  <c r="F135" i="25"/>
  <c r="F144" s="1"/>
  <c r="F145" s="1"/>
  <c r="D301"/>
  <c r="F301" s="1"/>
  <c r="F309" s="1"/>
  <c r="F310" s="1"/>
  <c r="D158"/>
  <c r="F158" s="1"/>
  <c r="F166" s="1"/>
  <c r="F167" s="1"/>
  <c r="Q908" i="67"/>
  <c r="O908"/>
  <c r="M908"/>
  <c r="K908"/>
  <c r="AS120" i="1"/>
  <c r="AT119"/>
  <c r="AU119"/>
  <c r="AV119" s="1"/>
  <c r="J547"/>
  <c r="W547" s="1"/>
  <c r="AC547" s="1"/>
  <c r="AJ547" s="1"/>
  <c r="W546"/>
  <c r="AC546" s="1"/>
  <c r="AJ546" s="1"/>
  <c r="AQ147"/>
  <c r="AU142"/>
  <c r="AV142" s="1"/>
  <c r="K908" i="69"/>
  <c r="Q908"/>
  <c r="G908"/>
  <c r="O908"/>
  <c r="M908"/>
  <c r="I908"/>
  <c r="M425" i="67"/>
  <c r="O425"/>
  <c r="K425"/>
  <c r="M949" i="69"/>
  <c r="Q949"/>
  <c r="K949"/>
  <c r="O949"/>
  <c r="G949"/>
  <c r="I949"/>
  <c r="K274" i="11"/>
  <c r="L275"/>
  <c r="L260"/>
  <c r="K261"/>
  <c r="M721" i="67"/>
  <c r="O721"/>
  <c r="K721"/>
  <c r="K3942" i="27"/>
  <c r="K3948"/>
  <c r="K3952" s="1"/>
  <c r="K3953" s="1"/>
  <c r="Q422" i="69"/>
  <c r="I422"/>
  <c r="K422"/>
  <c r="M422"/>
  <c r="G422"/>
  <c r="O422"/>
  <c r="K2190" i="27"/>
  <c r="D919" i="69"/>
  <c r="D919" i="67"/>
  <c r="M917" i="69"/>
  <c r="K917"/>
  <c r="Q917"/>
  <c r="G917"/>
  <c r="O917"/>
  <c r="I917"/>
  <c r="M915"/>
  <c r="Q915"/>
  <c r="O915"/>
  <c r="K915"/>
  <c r="G915"/>
  <c r="I915"/>
  <c r="K423"/>
  <c r="Q423"/>
  <c r="M423"/>
  <c r="G423"/>
  <c r="I423"/>
  <c r="O423"/>
  <c r="D1550" i="67"/>
  <c r="G1550" s="1"/>
  <c r="D1549" i="69"/>
  <c r="G1549" s="1"/>
  <c r="D329" i="67"/>
  <c r="D329" i="69"/>
  <c r="K949" i="67"/>
  <c r="M949"/>
  <c r="O949"/>
  <c r="AE242" i="11"/>
  <c r="AG242" s="1"/>
  <c r="AG246" s="1"/>
  <c r="R242"/>
  <c r="R246" s="1"/>
  <c r="Q721" i="69"/>
  <c r="K721"/>
  <c r="M721"/>
  <c r="G721"/>
  <c r="O721"/>
  <c r="I721"/>
  <c r="K3100" i="27"/>
  <c r="K3104" s="1"/>
  <c r="P3073"/>
  <c r="R3073" s="1"/>
  <c r="R3077" s="1"/>
  <c r="R3078" s="1"/>
  <c r="I3114"/>
  <c r="K422" i="67"/>
  <c r="M422"/>
  <c r="O422"/>
  <c r="K917"/>
  <c r="O917"/>
  <c r="M917"/>
  <c r="M993" i="11"/>
  <c r="K993"/>
  <c r="K1014"/>
  <c r="D427" i="67"/>
  <c r="D427" i="69"/>
  <c r="M914" i="67"/>
  <c r="O914"/>
  <c r="K914"/>
  <c r="X370" i="1"/>
  <c r="X371" s="1"/>
  <c r="I425" i="69"/>
  <c r="O425"/>
  <c r="G425"/>
  <c r="M425"/>
  <c r="Q425"/>
  <c r="K425"/>
  <c r="K283" i="11"/>
  <c r="K287" s="1"/>
  <c r="P283"/>
  <c r="L250"/>
  <c r="K249"/>
  <c r="K2282" i="1" s="1"/>
  <c r="K3087" i="27"/>
  <c r="K3091" s="1"/>
  <c r="K3079"/>
  <c r="M914" i="69"/>
  <c r="O914"/>
  <c r="G914"/>
  <c r="I914"/>
  <c r="Q914"/>
  <c r="K914"/>
  <c r="M915" i="67"/>
  <c r="K915"/>
  <c r="O915"/>
  <c r="K423"/>
  <c r="O423"/>
  <c r="M423"/>
  <c r="K1130" i="11"/>
  <c r="K1131" s="1"/>
  <c r="K1139"/>
  <c r="Y684" i="1" l="1"/>
  <c r="Y686" s="1"/>
  <c r="Y687" s="1"/>
  <c r="Y688" s="1"/>
  <c r="X686"/>
  <c r="X687" s="1"/>
  <c r="X688" s="1"/>
  <c r="D910" i="69"/>
  <c r="D910" i="67"/>
  <c r="D909" i="69"/>
  <c r="D909" i="67"/>
  <c r="F115" i="32"/>
  <c r="F116" s="1"/>
  <c r="F117" s="1"/>
  <c r="G113"/>
  <c r="G115" s="1"/>
  <c r="G116" s="1"/>
  <c r="G117" s="1"/>
  <c r="D844" i="69"/>
  <c r="D844" i="67"/>
  <c r="I2946" i="1"/>
  <c r="K2946" s="1"/>
  <c r="K2949" s="1"/>
  <c r="K2950" s="1"/>
  <c r="D609" i="67"/>
  <c r="K2916" i="1"/>
  <c r="I2955" s="1"/>
  <c r="K2955" s="1"/>
  <c r="K2958" s="1"/>
  <c r="K2959" s="1"/>
  <c r="D609" i="69"/>
  <c r="I3636" i="27"/>
  <c r="K3636" s="1"/>
  <c r="L3619"/>
  <c r="I374" i="69"/>
  <c r="Q374"/>
  <c r="M374"/>
  <c r="G374"/>
  <c r="K374"/>
  <c r="O374"/>
  <c r="Q672" i="67"/>
  <c r="M672"/>
  <c r="G672"/>
  <c r="O672"/>
  <c r="I672"/>
  <c r="K672"/>
  <c r="Q209" i="69"/>
  <c r="G209"/>
  <c r="M209"/>
  <c r="I209"/>
  <c r="O209"/>
  <c r="K209"/>
  <c r="D846" i="67"/>
  <c r="D846" i="69"/>
  <c r="R1159" i="1"/>
  <c r="D510" i="67"/>
  <c r="D510" i="69"/>
  <c r="O222" i="67"/>
  <c r="G222"/>
  <c r="K222"/>
  <c r="I222"/>
  <c r="M222"/>
  <c r="Q222"/>
  <c r="I3669" i="27"/>
  <c r="K3669" s="1"/>
  <c r="K3662"/>
  <c r="Q848" i="69"/>
  <c r="K848"/>
  <c r="I848"/>
  <c r="M848"/>
  <c r="O848"/>
  <c r="G848"/>
  <c r="Q702" i="67"/>
  <c r="M702"/>
  <c r="K702"/>
  <c r="G702"/>
  <c r="I702"/>
  <c r="O702"/>
  <c r="D132" i="69"/>
  <c r="AG396" i="1"/>
  <c r="AG398" s="1"/>
  <c r="AE403" s="1"/>
  <c r="AG403" s="1"/>
  <c r="AG407" s="1"/>
  <c r="AG409" s="1"/>
  <c r="D132" i="67"/>
  <c r="R1185" i="1"/>
  <c r="R1186" s="1"/>
  <c r="D507" i="67"/>
  <c r="D507" i="69"/>
  <c r="Q888" i="67"/>
  <c r="K888"/>
  <c r="M888"/>
  <c r="I888"/>
  <c r="D889"/>
  <c r="G888"/>
  <c r="O888"/>
  <c r="K824" i="1"/>
  <c r="D70" i="67"/>
  <c r="D70" i="69"/>
  <c r="G392" i="67"/>
  <c r="M392"/>
  <c r="I392"/>
  <c r="O392"/>
  <c r="Q392"/>
  <c r="K392"/>
  <c r="I1781" i="1"/>
  <c r="K1781" s="1"/>
  <c r="K1790" s="1"/>
  <c r="D328" i="67"/>
  <c r="D44" i="69"/>
  <c r="D328"/>
  <c r="D44" i="67"/>
  <c r="D115" i="69"/>
  <c r="AG374" i="1"/>
  <c r="D115" i="67"/>
  <c r="G250"/>
  <c r="R250" s="1"/>
  <c r="S250" s="1"/>
  <c r="K250"/>
  <c r="I250"/>
  <c r="Q250"/>
  <c r="O250"/>
  <c r="M250"/>
  <c r="G90"/>
  <c r="M90"/>
  <c r="K90"/>
  <c r="I90"/>
  <c r="O90"/>
  <c r="Q90"/>
  <c r="I858" i="69"/>
  <c r="K858"/>
  <c r="M858"/>
  <c r="Q858"/>
  <c r="O858"/>
  <c r="G858"/>
  <c r="I237"/>
  <c r="G237"/>
  <c r="O237"/>
  <c r="M237"/>
  <c r="K237"/>
  <c r="Q237"/>
  <c r="AU102" i="1"/>
  <c r="AV102" s="1"/>
  <c r="AS103"/>
  <c r="D581" i="69"/>
  <c r="D581" i="67"/>
  <c r="I695" i="69"/>
  <c r="G695"/>
  <c r="K695"/>
  <c r="O695"/>
  <c r="M695"/>
  <c r="Q695"/>
  <c r="I611"/>
  <c r="G611"/>
  <c r="Q611"/>
  <c r="M611"/>
  <c r="O611"/>
  <c r="K611"/>
  <c r="Q617" i="67"/>
  <c r="M617"/>
  <c r="G617"/>
  <c r="K617"/>
  <c r="I617"/>
  <c r="O617"/>
  <c r="O849" i="69"/>
  <c r="G849"/>
  <c r="K849"/>
  <c r="M849"/>
  <c r="I849"/>
  <c r="Q849"/>
  <c r="O325"/>
  <c r="Q325"/>
  <c r="G325"/>
  <c r="I325"/>
  <c r="M325"/>
  <c r="K325"/>
  <c r="D768" i="67"/>
  <c r="D768" i="69"/>
  <c r="D85"/>
  <c r="D85" i="67"/>
  <c r="X349" i="1"/>
  <c r="D854" i="69"/>
  <c r="D854" i="67"/>
  <c r="AD1199" i="1"/>
  <c r="R767" i="67"/>
  <c r="S767" s="1"/>
  <c r="R693"/>
  <c r="S693" s="1"/>
  <c r="R236"/>
  <c r="S236" s="1"/>
  <c r="R847"/>
  <c r="S847" s="1"/>
  <c r="R45"/>
  <c r="S45" s="1"/>
  <c r="R778"/>
  <c r="S778" s="1"/>
  <c r="X3576" i="1"/>
  <c r="X3580" s="1"/>
  <c r="X3581" s="1"/>
  <c r="V3591"/>
  <c r="D612" i="67"/>
  <c r="D612" i="69"/>
  <c r="D866" i="67"/>
  <c r="D866" i="69"/>
  <c r="D210"/>
  <c r="K437" i="1"/>
  <c r="D210" i="67"/>
  <c r="D557"/>
  <c r="D557" i="69"/>
  <c r="P2347" i="1"/>
  <c r="R2347" s="1"/>
  <c r="R2350" s="1"/>
  <c r="AB561"/>
  <c r="AD561" s="1"/>
  <c r="O344" i="69"/>
  <c r="K344"/>
  <c r="M344"/>
  <c r="I344"/>
  <c r="Q344"/>
  <c r="G344"/>
  <c r="D223" i="67"/>
  <c r="K471" i="1"/>
  <c r="D223" i="69"/>
  <c r="L470" i="1"/>
  <c r="V538"/>
  <c r="X538" s="1"/>
  <c r="D525" i="67"/>
  <c r="D525" i="69"/>
  <c r="G901" i="67"/>
  <c r="M901"/>
  <c r="I901"/>
  <c r="O901"/>
  <c r="Q901"/>
  <c r="K901"/>
  <c r="Q506"/>
  <c r="K506"/>
  <c r="G506"/>
  <c r="O506"/>
  <c r="I506"/>
  <c r="M506"/>
  <c r="Q52" i="69"/>
  <c r="G52"/>
  <c r="M52"/>
  <c r="I52"/>
  <c r="O52"/>
  <c r="K52"/>
  <c r="G707"/>
  <c r="O707"/>
  <c r="M707"/>
  <c r="K707"/>
  <c r="I707"/>
  <c r="Q707"/>
  <c r="G108" i="67"/>
  <c r="O108"/>
  <c r="I108"/>
  <c r="M108"/>
  <c r="Q108"/>
  <c r="K108"/>
  <c r="M250" i="69"/>
  <c r="I250"/>
  <c r="Q250"/>
  <c r="O250"/>
  <c r="G250"/>
  <c r="K250"/>
  <c r="AG349" i="1"/>
  <c r="D91" i="69"/>
  <c r="D91" i="67"/>
  <c r="I858"/>
  <c r="O858"/>
  <c r="Q858"/>
  <c r="K858"/>
  <c r="M858"/>
  <c r="G858"/>
  <c r="Q338" i="69"/>
  <c r="O338"/>
  <c r="D340"/>
  <c r="G338"/>
  <c r="I338"/>
  <c r="M338"/>
  <c r="K338"/>
  <c r="Q611" i="67"/>
  <c r="M611"/>
  <c r="I611"/>
  <c r="K611"/>
  <c r="G611"/>
  <c r="O611"/>
  <c r="G890"/>
  <c r="I890"/>
  <c r="K890"/>
  <c r="Q890"/>
  <c r="M890"/>
  <c r="O890"/>
  <c r="M598" i="69"/>
  <c r="Q598"/>
  <c r="G598"/>
  <c r="K598"/>
  <c r="O598"/>
  <c r="I598"/>
  <c r="M617"/>
  <c r="G617"/>
  <c r="O617"/>
  <c r="I617"/>
  <c r="Q617"/>
  <c r="K617"/>
  <c r="Q849" i="67"/>
  <c r="I849"/>
  <c r="O849"/>
  <c r="G849"/>
  <c r="K849"/>
  <c r="M849"/>
  <c r="G867"/>
  <c r="M867"/>
  <c r="Q867"/>
  <c r="K867"/>
  <c r="I867"/>
  <c r="O867"/>
  <c r="X1238" i="1"/>
  <c r="X1250" s="1"/>
  <c r="X1252" s="1"/>
  <c r="AB1242"/>
  <c r="O84" i="69"/>
  <c r="G84"/>
  <c r="I84"/>
  <c r="Q84"/>
  <c r="K84"/>
  <c r="M84"/>
  <c r="G51"/>
  <c r="M51"/>
  <c r="I51"/>
  <c r="Q51"/>
  <c r="O51"/>
  <c r="K51"/>
  <c r="Q853"/>
  <c r="G853"/>
  <c r="K853"/>
  <c r="O853"/>
  <c r="M853"/>
  <c r="I853"/>
  <c r="R766" i="67"/>
  <c r="S766" s="1"/>
  <c r="R249"/>
  <c r="S249" s="1"/>
  <c r="R865"/>
  <c r="S865" s="1"/>
  <c r="R208"/>
  <c r="R221"/>
  <c r="S221" s="1"/>
  <c r="R404"/>
  <c r="S404" s="1"/>
  <c r="I608" i="69"/>
  <c r="K608"/>
  <c r="Q608"/>
  <c r="M608"/>
  <c r="G608"/>
  <c r="O608"/>
  <c r="I672"/>
  <c r="K672"/>
  <c r="M672"/>
  <c r="G672"/>
  <c r="O672"/>
  <c r="Q672"/>
  <c r="D551" i="67"/>
  <c r="D551" i="69"/>
  <c r="AB538" i="1"/>
  <c r="AD538" s="1"/>
  <c r="I344" i="67"/>
  <c r="Q344"/>
  <c r="K344"/>
  <c r="O344"/>
  <c r="G344"/>
  <c r="M344"/>
  <c r="O509" i="69"/>
  <c r="I509"/>
  <c r="Q509"/>
  <c r="G509"/>
  <c r="M509"/>
  <c r="K509"/>
  <c r="G222"/>
  <c r="O222"/>
  <c r="I222"/>
  <c r="Q222"/>
  <c r="M222"/>
  <c r="K222"/>
  <c r="D531" i="67"/>
  <c r="D531" i="69"/>
  <c r="V561" i="1"/>
  <c r="X561" s="1"/>
  <c r="I3635" i="27"/>
  <c r="K3635" s="1"/>
  <c r="K805" i="11"/>
  <c r="K807" s="1"/>
  <c r="D863" i="69"/>
  <c r="D863" i="67"/>
  <c r="K901" i="69"/>
  <c r="O901"/>
  <c r="Q901"/>
  <c r="I901"/>
  <c r="M901"/>
  <c r="G901"/>
  <c r="D153" i="67"/>
  <c r="AG432" i="1"/>
  <c r="D153" i="69"/>
  <c r="K350" i="1"/>
  <c r="K351" s="1"/>
  <c r="L351" s="1"/>
  <c r="L352" s="1"/>
  <c r="L353" s="1"/>
  <c r="L349"/>
  <c r="M890" i="69"/>
  <c r="K890"/>
  <c r="G890"/>
  <c r="I890"/>
  <c r="O890"/>
  <c r="Q890"/>
  <c r="O52" i="67"/>
  <c r="G52"/>
  <c r="I52"/>
  <c r="M52"/>
  <c r="Q52"/>
  <c r="K52"/>
  <c r="Q392" i="69"/>
  <c r="M392"/>
  <c r="O392"/>
  <c r="K392"/>
  <c r="I392"/>
  <c r="G392"/>
  <c r="D1478"/>
  <c r="G1478" s="1"/>
  <c r="D1479" i="67"/>
  <c r="G1479" s="1"/>
  <c r="D771" i="69"/>
  <c r="D771" i="67"/>
  <c r="S1230" i="1"/>
  <c r="D251" i="67"/>
  <c r="D251" i="69"/>
  <c r="I561" i="1"/>
  <c r="K561" s="1"/>
  <c r="D859" i="69"/>
  <c r="D859" i="67"/>
  <c r="AK1199" i="1"/>
  <c r="D238" i="69"/>
  <c r="D238" i="67"/>
  <c r="I538" i="1"/>
  <c r="K538" s="1"/>
  <c r="K694" i="69"/>
  <c r="I694"/>
  <c r="Q694"/>
  <c r="O694"/>
  <c r="M694"/>
  <c r="G694"/>
  <c r="O694" i="67"/>
  <c r="G694"/>
  <c r="K694"/>
  <c r="I694"/>
  <c r="Q694"/>
  <c r="M694"/>
  <c r="I738" i="69"/>
  <c r="Q738"/>
  <c r="K738"/>
  <c r="G738"/>
  <c r="O738"/>
  <c r="M738"/>
  <c r="Q598" i="67"/>
  <c r="K598"/>
  <c r="G598"/>
  <c r="M598"/>
  <c r="I598"/>
  <c r="O598"/>
  <c r="Q325"/>
  <c r="O325"/>
  <c r="G325"/>
  <c r="M325"/>
  <c r="I325"/>
  <c r="K325"/>
  <c r="G84"/>
  <c r="M84"/>
  <c r="I84"/>
  <c r="Q84"/>
  <c r="O84"/>
  <c r="K84"/>
  <c r="G51"/>
  <c r="O51"/>
  <c r="I51"/>
  <c r="K51"/>
  <c r="Q51"/>
  <c r="M51"/>
  <c r="G853"/>
  <c r="K853"/>
  <c r="Q853"/>
  <c r="O853"/>
  <c r="I853"/>
  <c r="M853"/>
  <c r="R779"/>
  <c r="S779" s="1"/>
  <c r="R42"/>
  <c r="S42" s="1"/>
  <c r="S615"/>
  <c r="X740" i="1"/>
  <c r="X741" s="1"/>
  <c r="X742" s="1"/>
  <c r="Y738"/>
  <c r="Y740" s="1"/>
  <c r="Y741" s="1"/>
  <c r="Y742" s="1"/>
  <c r="AI528" s="1"/>
  <c r="I608" i="67"/>
  <c r="K608"/>
  <c r="Q608"/>
  <c r="O608"/>
  <c r="M608"/>
  <c r="G608"/>
  <c r="D393"/>
  <c r="D708"/>
  <c r="D393" i="69"/>
  <c r="D708"/>
  <c r="I374" i="67"/>
  <c r="M374"/>
  <c r="Q374"/>
  <c r="K374"/>
  <c r="G374"/>
  <c r="O374"/>
  <c r="D673" i="69"/>
  <c r="I632" i="1"/>
  <c r="K632" s="1"/>
  <c r="D673" i="67"/>
  <c r="G209"/>
  <c r="O209"/>
  <c r="I209"/>
  <c r="K209"/>
  <c r="Q209"/>
  <c r="M209"/>
  <c r="O509"/>
  <c r="G509"/>
  <c r="M509"/>
  <c r="I509"/>
  <c r="Q509"/>
  <c r="K509"/>
  <c r="Z714" i="1"/>
  <c r="Z716" s="1"/>
  <c r="Z717" s="1"/>
  <c r="Z718" s="1"/>
  <c r="X716"/>
  <c r="X717" s="1"/>
  <c r="X718" s="1"/>
  <c r="G848" i="67"/>
  <c r="Q848"/>
  <c r="M848"/>
  <c r="O848"/>
  <c r="I848"/>
  <c r="K848"/>
  <c r="O702" i="69"/>
  <c r="K702"/>
  <c r="G702"/>
  <c r="I702"/>
  <c r="M702"/>
  <c r="Q702"/>
  <c r="K326" i="1"/>
  <c r="K327" s="1"/>
  <c r="M325"/>
  <c r="Q506" i="69"/>
  <c r="M506"/>
  <c r="O506"/>
  <c r="G506"/>
  <c r="K506"/>
  <c r="I506"/>
  <c r="K888"/>
  <c r="O888"/>
  <c r="Q888"/>
  <c r="D889"/>
  <c r="I888"/>
  <c r="G888"/>
  <c r="M888"/>
  <c r="H49" i="32"/>
  <c r="F50"/>
  <c r="I3938" i="1"/>
  <c r="K3920"/>
  <c r="K3932" s="1"/>
  <c r="Q707" i="67"/>
  <c r="M707"/>
  <c r="G707"/>
  <c r="O707"/>
  <c r="I707"/>
  <c r="K707"/>
  <c r="K108" i="69"/>
  <c r="G108"/>
  <c r="I108"/>
  <c r="O108"/>
  <c r="M108"/>
  <c r="Q108"/>
  <c r="M90"/>
  <c r="O90"/>
  <c r="G90"/>
  <c r="I90"/>
  <c r="K90"/>
  <c r="Q90"/>
  <c r="G237" i="67"/>
  <c r="I237"/>
  <c r="O237"/>
  <c r="Q237"/>
  <c r="M237"/>
  <c r="K237"/>
  <c r="I580"/>
  <c r="Q580"/>
  <c r="K580"/>
  <c r="O580"/>
  <c r="G580"/>
  <c r="R580" s="1"/>
  <c r="S580" s="1"/>
  <c r="M580"/>
  <c r="M580" i="69"/>
  <c r="G580"/>
  <c r="O580"/>
  <c r="Q580"/>
  <c r="I580"/>
  <c r="K580"/>
  <c r="Q338" i="67"/>
  <c r="M338"/>
  <c r="K338"/>
  <c r="G338"/>
  <c r="R338" s="1"/>
  <c r="O338"/>
  <c r="I338"/>
  <c r="D340"/>
  <c r="I738"/>
  <c r="Q738"/>
  <c r="K738"/>
  <c r="O738"/>
  <c r="G738"/>
  <c r="M738"/>
  <c r="K370" i="1"/>
  <c r="J369"/>
  <c r="D599" i="67"/>
  <c r="D599" i="69"/>
  <c r="K372" i="1"/>
  <c r="G867" i="69"/>
  <c r="O867"/>
  <c r="K867"/>
  <c r="Q867"/>
  <c r="M867"/>
  <c r="I867"/>
  <c r="D770"/>
  <c r="D769"/>
  <c r="D1480" i="67"/>
  <c r="G1480" s="1"/>
  <c r="D769"/>
  <c r="D1479" i="69"/>
  <c r="G1479" s="1"/>
  <c r="K288" i="1"/>
  <c r="D64" i="67"/>
  <c r="D64" i="69"/>
  <c r="R401" i="67"/>
  <c r="S401" s="1"/>
  <c r="R614"/>
  <c r="S614" s="1"/>
  <c r="R607"/>
  <c r="S607" s="1"/>
  <c r="S208"/>
  <c r="R671"/>
  <c r="S671" s="1"/>
  <c r="R763"/>
  <c r="S763" s="1"/>
  <c r="R616"/>
  <c r="S616" s="1"/>
  <c r="R339"/>
  <c r="S339" s="1"/>
  <c r="R324"/>
  <c r="S324" s="1"/>
  <c r="Q427"/>
  <c r="I427"/>
  <c r="G427"/>
  <c r="Q919"/>
  <c r="I919"/>
  <c r="G919"/>
  <c r="G909"/>
  <c r="I909"/>
  <c r="R423"/>
  <c r="S423" s="1"/>
  <c r="R949"/>
  <c r="S949" s="1"/>
  <c r="R917"/>
  <c r="S917" s="1"/>
  <c r="Q329"/>
  <c r="I329"/>
  <c r="G329"/>
  <c r="R908"/>
  <c r="S908" s="1"/>
  <c r="R915"/>
  <c r="S915" s="1"/>
  <c r="R422"/>
  <c r="S422" s="1"/>
  <c r="R914"/>
  <c r="S914" s="1"/>
  <c r="I910"/>
  <c r="G910"/>
  <c r="R721"/>
  <c r="S721" s="1"/>
  <c r="R425"/>
  <c r="S425" s="1"/>
  <c r="D805" i="69"/>
  <c r="D805" i="67"/>
  <c r="D806"/>
  <c r="D806" i="69"/>
  <c r="D807" i="67"/>
  <c r="D807" i="69"/>
  <c r="AS147" i="1"/>
  <c r="AQ179"/>
  <c r="AS179" s="1"/>
  <c r="Q909" i="67"/>
  <c r="M909"/>
  <c r="K909"/>
  <c r="O909"/>
  <c r="O909" i="69"/>
  <c r="G909"/>
  <c r="Q909"/>
  <c r="K909"/>
  <c r="I909"/>
  <c r="M909"/>
  <c r="AT120" i="1"/>
  <c r="AS121"/>
  <c r="AU120"/>
  <c r="AV120" s="1"/>
  <c r="Q910" i="67"/>
  <c r="O910"/>
  <c r="M910"/>
  <c r="K910"/>
  <c r="G910" i="69"/>
  <c r="M910"/>
  <c r="K910"/>
  <c r="Q910"/>
  <c r="I910"/>
  <c r="O910"/>
  <c r="P2093" i="1"/>
  <c r="P2446"/>
  <c r="R2446" s="1"/>
  <c r="R2448" s="1"/>
  <c r="V464"/>
  <c r="X464" s="1"/>
  <c r="X468" s="1"/>
  <c r="X470" s="1"/>
  <c r="V476" s="1"/>
  <c r="X476" s="1"/>
  <c r="X482" s="1"/>
  <c r="X484" s="1"/>
  <c r="V486" s="1"/>
  <c r="X486" s="1"/>
  <c r="L1131" i="11"/>
  <c r="D1551" i="67"/>
  <c r="D1550" i="69"/>
  <c r="K3080" i="27"/>
  <c r="K2205" s="1"/>
  <c r="L3081"/>
  <c r="X720" i="1"/>
  <c r="D479" i="67"/>
  <c r="D479" i="69"/>
  <c r="O427"/>
  <c r="M427"/>
  <c r="G427"/>
  <c r="Q427"/>
  <c r="K427"/>
  <c r="I427"/>
  <c r="D946" i="67"/>
  <c r="D1543" i="69"/>
  <c r="G1543" s="1"/>
  <c r="D1544" i="67"/>
  <c r="G1544" s="1"/>
  <c r="D946" i="69"/>
  <c r="K3105" i="27"/>
  <c r="K2206" s="1"/>
  <c r="L3106"/>
  <c r="AG247" i="11"/>
  <c r="AI247" s="1"/>
  <c r="AI248" s="1"/>
  <c r="AI246"/>
  <c r="O919" i="67"/>
  <c r="M919"/>
  <c r="K919"/>
  <c r="Y367" i="1"/>
  <c r="Z367" s="1"/>
  <c r="K1143" i="11"/>
  <c r="K1144" s="1"/>
  <c r="K1151"/>
  <c r="S248"/>
  <c r="R247"/>
  <c r="T247"/>
  <c r="V247"/>
  <c r="V248" s="1"/>
  <c r="V249" s="1"/>
  <c r="S250"/>
  <c r="K3114" i="27"/>
  <c r="K3118" s="1"/>
  <c r="P3114"/>
  <c r="K329" i="67"/>
  <c r="M329"/>
  <c r="O329"/>
  <c r="D1515"/>
  <c r="G1515" s="1"/>
  <c r="D1514" i="69"/>
  <c r="G1514" s="1"/>
  <c r="K1026" i="11"/>
  <c r="K1018"/>
  <c r="K288"/>
  <c r="L289"/>
  <c r="L3093" i="27"/>
  <c r="K3092"/>
  <c r="D442" i="67"/>
  <c r="D442" i="69"/>
  <c r="R283" i="11"/>
  <c r="R287" s="1"/>
  <c r="P297"/>
  <c r="R297" s="1"/>
  <c r="R301" s="1"/>
  <c r="K427" i="67"/>
  <c r="O427"/>
  <c r="M427"/>
  <c r="G329" i="69"/>
  <c r="O329"/>
  <c r="K329"/>
  <c r="M329"/>
  <c r="I329"/>
  <c r="Q329"/>
  <c r="O919"/>
  <c r="G919"/>
  <c r="I919"/>
  <c r="K919"/>
  <c r="M919"/>
  <c r="Q919"/>
  <c r="D1516" i="67"/>
  <c r="G1516" s="1"/>
  <c r="D1515" i="69"/>
  <c r="G1515" s="1"/>
  <c r="K2283" i="1"/>
  <c r="X372"/>
  <c r="I64" i="67" l="1"/>
  <c r="K64"/>
  <c r="Q64"/>
  <c r="S64" s="1"/>
  <c r="O64"/>
  <c r="G64"/>
  <c r="R64" s="1"/>
  <c r="M64"/>
  <c r="G340"/>
  <c r="O340"/>
  <c r="I340"/>
  <c r="Q340"/>
  <c r="M340"/>
  <c r="K340"/>
  <c r="I3954" i="1"/>
  <c r="K3938"/>
  <c r="K3950" s="1"/>
  <c r="G673" i="67"/>
  <c r="R673" s="1"/>
  <c r="S673" s="1"/>
  <c r="Q673"/>
  <c r="K673"/>
  <c r="M673"/>
  <c r="O673"/>
  <c r="I673"/>
  <c r="G393"/>
  <c r="M393"/>
  <c r="I393"/>
  <c r="O393"/>
  <c r="Q393"/>
  <c r="K393"/>
  <c r="X744" i="1"/>
  <c r="D485" i="67"/>
  <c r="D485" i="69"/>
  <c r="D239" i="67"/>
  <c r="D239" i="69"/>
  <c r="I539" i="1"/>
  <c r="K539" s="1"/>
  <c r="G859" i="67"/>
  <c r="Q859"/>
  <c r="O859"/>
  <c r="K859"/>
  <c r="I859"/>
  <c r="M859"/>
  <c r="G251"/>
  <c r="I251"/>
  <c r="M251"/>
  <c r="Q251"/>
  <c r="K251"/>
  <c r="O251"/>
  <c r="Q153"/>
  <c r="K153"/>
  <c r="O153"/>
  <c r="G153"/>
  <c r="M153"/>
  <c r="I153"/>
  <c r="Q863" i="69"/>
  <c r="I863"/>
  <c r="K863"/>
  <c r="G863"/>
  <c r="M863"/>
  <c r="O863"/>
  <c r="O531"/>
  <c r="M531"/>
  <c r="G531"/>
  <c r="K531"/>
  <c r="Q531"/>
  <c r="I531"/>
  <c r="AB539" i="1"/>
  <c r="AD539" s="1"/>
  <c r="D552" i="67"/>
  <c r="D552" i="69"/>
  <c r="AG350" i="1"/>
  <c r="D92" i="69"/>
  <c r="D92" i="67"/>
  <c r="K557" i="69"/>
  <c r="G557"/>
  <c r="M557"/>
  <c r="O557"/>
  <c r="Q557"/>
  <c r="I557"/>
  <c r="G210"/>
  <c r="O210"/>
  <c r="I210"/>
  <c r="Q210"/>
  <c r="M210"/>
  <c r="K210"/>
  <c r="O612" i="67"/>
  <c r="G612"/>
  <c r="M612"/>
  <c r="I612"/>
  <c r="K612"/>
  <c r="Q612"/>
  <c r="X350" i="1"/>
  <c r="D86" i="69"/>
  <c r="D86" i="67"/>
  <c r="G768"/>
  <c r="I768"/>
  <c r="K768"/>
  <c r="Q768"/>
  <c r="O768"/>
  <c r="M768"/>
  <c r="K581" i="69"/>
  <c r="O581"/>
  <c r="M581"/>
  <c r="G581"/>
  <c r="I581"/>
  <c r="Q581"/>
  <c r="D117"/>
  <c r="AG376" i="1"/>
  <c r="D117" i="67"/>
  <c r="Q44" i="69"/>
  <c r="G44"/>
  <c r="O44"/>
  <c r="I44"/>
  <c r="K44"/>
  <c r="M44"/>
  <c r="Q507" i="67"/>
  <c r="O507"/>
  <c r="M507"/>
  <c r="G507"/>
  <c r="I507"/>
  <c r="K507"/>
  <c r="K132" i="69"/>
  <c r="M132"/>
  <c r="O132"/>
  <c r="G132"/>
  <c r="I132"/>
  <c r="Q132"/>
  <c r="G846"/>
  <c r="O846"/>
  <c r="I846"/>
  <c r="K846"/>
  <c r="Q846"/>
  <c r="M846"/>
  <c r="M609" i="67"/>
  <c r="I609"/>
  <c r="O609"/>
  <c r="G609"/>
  <c r="K609"/>
  <c r="Q609"/>
  <c r="AB464" i="1"/>
  <c r="AD464" s="1"/>
  <c r="AD468" s="1"/>
  <c r="AD470" s="1"/>
  <c r="AB476" s="1"/>
  <c r="AD476" s="1"/>
  <c r="AD482" s="1"/>
  <c r="AD484" s="1"/>
  <c r="AB486" s="1"/>
  <c r="AD486" s="1"/>
  <c r="E9" i="32"/>
  <c r="I2341" i="1"/>
  <c r="K2341" s="1"/>
  <c r="K2343" s="1"/>
  <c r="C877"/>
  <c r="I877"/>
  <c r="R237" i="67"/>
  <c r="S237" s="1"/>
  <c r="R707"/>
  <c r="S707" s="1"/>
  <c r="R509"/>
  <c r="S509" s="1"/>
  <c r="R374"/>
  <c r="S374" s="1"/>
  <c r="R694"/>
  <c r="S694" s="1"/>
  <c r="R52"/>
  <c r="R611"/>
  <c r="S611" s="1"/>
  <c r="R858"/>
  <c r="S858" s="1"/>
  <c r="R108"/>
  <c r="S108" s="1"/>
  <c r="R506"/>
  <c r="S506" s="1"/>
  <c r="R901"/>
  <c r="S901" s="1"/>
  <c r="R617"/>
  <c r="S617" s="1"/>
  <c r="R90"/>
  <c r="S90" s="1"/>
  <c r="R392"/>
  <c r="S392" s="1"/>
  <c r="O64" i="69"/>
  <c r="M64"/>
  <c r="I64"/>
  <c r="K64"/>
  <c r="Q64"/>
  <c r="G64"/>
  <c r="G769" i="67"/>
  <c r="K769"/>
  <c r="I769"/>
  <c r="M769"/>
  <c r="Q769"/>
  <c r="O769"/>
  <c r="I599"/>
  <c r="Q599"/>
  <c r="K599"/>
  <c r="O599"/>
  <c r="M599"/>
  <c r="G599"/>
  <c r="R599" s="1"/>
  <c r="S599" s="1"/>
  <c r="D966" i="69"/>
  <c r="D966" i="67"/>
  <c r="G708"/>
  <c r="O708"/>
  <c r="I708"/>
  <c r="K708"/>
  <c r="Q708"/>
  <c r="M708"/>
  <c r="AK528" i="1"/>
  <c r="AK533" s="1"/>
  <c r="AK535" s="1"/>
  <c r="AI537" s="1"/>
  <c r="AK537" s="1"/>
  <c r="AI552"/>
  <c r="AK552" s="1"/>
  <c r="AK557" s="1"/>
  <c r="AK559" s="1"/>
  <c r="D860" i="69"/>
  <c r="AK1200" i="1"/>
  <c r="D860" i="67"/>
  <c r="O251" i="69"/>
  <c r="Q251"/>
  <c r="I251"/>
  <c r="M251"/>
  <c r="G251"/>
  <c r="K251"/>
  <c r="Q771"/>
  <c r="M771"/>
  <c r="O771"/>
  <c r="K771"/>
  <c r="G771"/>
  <c r="I771"/>
  <c r="D160" i="67"/>
  <c r="D160" i="69"/>
  <c r="AG434" i="1"/>
  <c r="M863" i="67"/>
  <c r="Q863"/>
  <c r="I863"/>
  <c r="K863"/>
  <c r="G863"/>
  <c r="O863"/>
  <c r="V562" i="1"/>
  <c r="X562" s="1"/>
  <c r="D532" i="69"/>
  <c r="D532" i="67"/>
  <c r="AD1242" i="1"/>
  <c r="AD1255" s="1"/>
  <c r="AD1257" s="1"/>
  <c r="AB1214"/>
  <c r="AD1214" s="1"/>
  <c r="AD1227" s="1"/>
  <c r="AD1229" s="1"/>
  <c r="G91" i="69"/>
  <c r="K91"/>
  <c r="Q91"/>
  <c r="O91"/>
  <c r="I91"/>
  <c r="M91"/>
  <c r="V539" i="1"/>
  <c r="X539" s="1"/>
  <c r="D526" i="67"/>
  <c r="D526" i="69"/>
  <c r="Q223" i="67"/>
  <c r="K223"/>
  <c r="G223"/>
  <c r="M223"/>
  <c r="I223"/>
  <c r="O223"/>
  <c r="D211"/>
  <c r="K438" i="1"/>
  <c r="D211" i="69"/>
  <c r="Q612"/>
  <c r="I612"/>
  <c r="K612"/>
  <c r="G612"/>
  <c r="O612"/>
  <c r="M612"/>
  <c r="I854"/>
  <c r="G854"/>
  <c r="M854"/>
  <c r="O854"/>
  <c r="Q854"/>
  <c r="K854"/>
  <c r="G768"/>
  <c r="O768"/>
  <c r="M768"/>
  <c r="Q768"/>
  <c r="K768"/>
  <c r="I768"/>
  <c r="K581" i="67"/>
  <c r="I581"/>
  <c r="M581"/>
  <c r="G581"/>
  <c r="O581"/>
  <c r="Q581"/>
  <c r="G115"/>
  <c r="M115"/>
  <c r="I115"/>
  <c r="K115"/>
  <c r="Q115"/>
  <c r="O115"/>
  <c r="Q328" i="69"/>
  <c r="K328"/>
  <c r="I328"/>
  <c r="M328"/>
  <c r="O328"/>
  <c r="G328"/>
  <c r="K825" i="1"/>
  <c r="D71" i="67"/>
  <c r="D71" i="69"/>
  <c r="Q507"/>
  <c r="G507"/>
  <c r="K507"/>
  <c r="I507"/>
  <c r="O507"/>
  <c r="M507"/>
  <c r="D138" i="67"/>
  <c r="D138" i="69"/>
  <c r="AG411" i="1"/>
  <c r="D511" i="69"/>
  <c r="R1160" i="1"/>
  <c r="D511" i="67"/>
  <c r="Q844" i="69"/>
  <c r="M844"/>
  <c r="I844"/>
  <c r="O844"/>
  <c r="G844"/>
  <c r="K844"/>
  <c r="D493"/>
  <c r="X690" i="1"/>
  <c r="D493" i="67"/>
  <c r="I2789" i="1"/>
  <c r="K2789" s="1"/>
  <c r="K2796" s="1"/>
  <c r="K2798" s="1"/>
  <c r="R738" i="67"/>
  <c r="S738" s="1"/>
  <c r="S338"/>
  <c r="R209"/>
  <c r="S209" s="1"/>
  <c r="R51"/>
  <c r="S51" s="1"/>
  <c r="R598"/>
  <c r="S598" s="1"/>
  <c r="R344"/>
  <c r="S344" s="1"/>
  <c r="R702"/>
  <c r="S702" s="1"/>
  <c r="S222"/>
  <c r="R222"/>
  <c r="R672"/>
  <c r="S672" s="1"/>
  <c r="Q770" i="69"/>
  <c r="G770"/>
  <c r="M770"/>
  <c r="I770"/>
  <c r="K770"/>
  <c r="O770"/>
  <c r="G599"/>
  <c r="M599"/>
  <c r="I599"/>
  <c r="Q599"/>
  <c r="O599"/>
  <c r="K599"/>
  <c r="I889"/>
  <c r="K889"/>
  <c r="Q889"/>
  <c r="O889"/>
  <c r="M889"/>
  <c r="G889"/>
  <c r="Q673"/>
  <c r="K673"/>
  <c r="G673"/>
  <c r="M673"/>
  <c r="O673"/>
  <c r="I673"/>
  <c r="Q393"/>
  <c r="O393"/>
  <c r="M393"/>
  <c r="K393"/>
  <c r="I393"/>
  <c r="G393"/>
  <c r="I238"/>
  <c r="M238"/>
  <c r="G238"/>
  <c r="K238"/>
  <c r="O238"/>
  <c r="Q238"/>
  <c r="D252"/>
  <c r="D252" i="67"/>
  <c r="I562" i="1"/>
  <c r="K562" s="1"/>
  <c r="Q771" i="67"/>
  <c r="K771"/>
  <c r="G771"/>
  <c r="O771"/>
  <c r="I771"/>
  <c r="M771"/>
  <c r="K153" i="69"/>
  <c r="G153"/>
  <c r="I153"/>
  <c r="O153"/>
  <c r="M153"/>
  <c r="Q153"/>
  <c r="G551" i="67"/>
  <c r="R551" s="1"/>
  <c r="M551"/>
  <c r="I551"/>
  <c r="K551"/>
  <c r="Q551"/>
  <c r="O551"/>
  <c r="G91"/>
  <c r="I91"/>
  <c r="M91"/>
  <c r="Q91"/>
  <c r="O91"/>
  <c r="K91"/>
  <c r="M525"/>
  <c r="G525"/>
  <c r="I525"/>
  <c r="O525"/>
  <c r="Q525"/>
  <c r="K525"/>
  <c r="D224" i="69"/>
  <c r="D224" i="67"/>
  <c r="L471" i="1"/>
  <c r="K472"/>
  <c r="D558" i="69"/>
  <c r="AB562" i="1"/>
  <c r="AD562" s="1"/>
  <c r="D558" i="67"/>
  <c r="I210"/>
  <c r="Q210"/>
  <c r="M210"/>
  <c r="O210"/>
  <c r="K210"/>
  <c r="G210"/>
  <c r="R210" s="1"/>
  <c r="S210" s="1"/>
  <c r="I866"/>
  <c r="Q866"/>
  <c r="K866"/>
  <c r="O866"/>
  <c r="G866"/>
  <c r="M866"/>
  <c r="D843" i="69"/>
  <c r="D843" i="67"/>
  <c r="G854"/>
  <c r="I854"/>
  <c r="O854"/>
  <c r="Q854"/>
  <c r="M854"/>
  <c r="K854"/>
  <c r="K85" i="69"/>
  <c r="M85"/>
  <c r="O85"/>
  <c r="Q85"/>
  <c r="I85"/>
  <c r="G85"/>
  <c r="G44" i="67"/>
  <c r="M44"/>
  <c r="I44"/>
  <c r="Q44"/>
  <c r="O44"/>
  <c r="K44"/>
  <c r="D377"/>
  <c r="D377" i="69"/>
  <c r="M70" i="67"/>
  <c r="G70"/>
  <c r="R70" s="1"/>
  <c r="S70" s="1"/>
  <c r="K70"/>
  <c r="I70"/>
  <c r="Q70"/>
  <c r="O70"/>
  <c r="G889"/>
  <c r="I889"/>
  <c r="Q889"/>
  <c r="M889"/>
  <c r="K889"/>
  <c r="O889"/>
  <c r="K132"/>
  <c r="G132"/>
  <c r="R132" s="1"/>
  <c r="O132"/>
  <c r="I132"/>
  <c r="M132"/>
  <c r="Q132"/>
  <c r="S132" s="1"/>
  <c r="I510"/>
  <c r="K510"/>
  <c r="Q510"/>
  <c r="M510"/>
  <c r="G510"/>
  <c r="O510"/>
  <c r="I609" i="69"/>
  <c r="O609"/>
  <c r="M609"/>
  <c r="Q609"/>
  <c r="G609"/>
  <c r="K609"/>
  <c r="G844" i="67"/>
  <c r="Q844"/>
  <c r="O844"/>
  <c r="M844"/>
  <c r="I844"/>
  <c r="K844"/>
  <c r="R867"/>
  <c r="S867" s="1"/>
  <c r="R890"/>
  <c r="S890" s="1"/>
  <c r="D65"/>
  <c r="K289" i="1"/>
  <c r="D65" i="69"/>
  <c r="I769"/>
  <c r="G769"/>
  <c r="K769"/>
  <c r="Q769"/>
  <c r="O769"/>
  <c r="M769"/>
  <c r="D333" i="67"/>
  <c r="D333" i="69"/>
  <c r="D600"/>
  <c r="J370" i="1"/>
  <c r="D600" i="67"/>
  <c r="K371" i="1"/>
  <c r="H50" i="32"/>
  <c r="H52" s="1"/>
  <c r="H53" s="1"/>
  <c r="H54" s="1"/>
  <c r="F52"/>
  <c r="F53" s="1"/>
  <c r="F54" s="1"/>
  <c r="F56" s="1"/>
  <c r="F58" s="1"/>
  <c r="F60" s="1"/>
  <c r="D674" i="67"/>
  <c r="D674" i="69"/>
  <c r="I708"/>
  <c r="Q708"/>
  <c r="O708"/>
  <c r="K708"/>
  <c r="M708"/>
  <c r="G708"/>
  <c r="Q238" i="67"/>
  <c r="O238"/>
  <c r="M238"/>
  <c r="G238"/>
  <c r="I238"/>
  <c r="K238"/>
  <c r="M859" i="69"/>
  <c r="O859"/>
  <c r="Q859"/>
  <c r="K859"/>
  <c r="G859"/>
  <c r="I859"/>
  <c r="K2289" i="1"/>
  <c r="L807" i="11"/>
  <c r="G531" i="67"/>
  <c r="K531"/>
  <c r="Q531"/>
  <c r="O531"/>
  <c r="M531"/>
  <c r="I531"/>
  <c r="I551" i="69"/>
  <c r="M551"/>
  <c r="O551"/>
  <c r="Q551"/>
  <c r="G551"/>
  <c r="K551"/>
  <c r="Q340"/>
  <c r="I340"/>
  <c r="M340"/>
  <c r="G340"/>
  <c r="K340"/>
  <c r="O340"/>
  <c r="K525"/>
  <c r="O525"/>
  <c r="I525"/>
  <c r="M525"/>
  <c r="G525"/>
  <c r="Q525"/>
  <c r="I223"/>
  <c r="G223"/>
  <c r="Q223"/>
  <c r="K223"/>
  <c r="O223"/>
  <c r="M223"/>
  <c r="Q557" i="67"/>
  <c r="M557"/>
  <c r="I557"/>
  <c r="K557"/>
  <c r="O557"/>
  <c r="G557"/>
  <c r="Q866" i="69"/>
  <c r="I866"/>
  <c r="O866"/>
  <c r="M866"/>
  <c r="K866"/>
  <c r="G866"/>
  <c r="V3608" i="1"/>
  <c r="X3608" s="1"/>
  <c r="X3612" s="1"/>
  <c r="X3613" s="1"/>
  <c r="X3591"/>
  <c r="X3595" s="1"/>
  <c r="X3596" s="1"/>
  <c r="D855" i="69"/>
  <c r="D855" i="67"/>
  <c r="AD1200" i="1"/>
  <c r="G85" i="67"/>
  <c r="K85"/>
  <c r="I85"/>
  <c r="Q85"/>
  <c r="O85"/>
  <c r="M85"/>
  <c r="AU103" i="1"/>
  <c r="AV103" s="1"/>
  <c r="D582" i="69"/>
  <c r="D582" i="67"/>
  <c r="Q115" i="69"/>
  <c r="K115"/>
  <c r="G115"/>
  <c r="I115"/>
  <c r="M115"/>
  <c r="O115"/>
  <c r="Q328" i="67"/>
  <c r="M328"/>
  <c r="G328"/>
  <c r="R328" s="1"/>
  <c r="S328" s="1"/>
  <c r="O328"/>
  <c r="K328"/>
  <c r="I328"/>
  <c r="Q70" i="69"/>
  <c r="G70"/>
  <c r="O70"/>
  <c r="K70"/>
  <c r="I70"/>
  <c r="M70"/>
  <c r="Q510"/>
  <c r="G510"/>
  <c r="M510"/>
  <c r="O510"/>
  <c r="K510"/>
  <c r="I510"/>
  <c r="G846" i="67"/>
  <c r="O846"/>
  <c r="I846"/>
  <c r="M846"/>
  <c r="K846"/>
  <c r="Q846"/>
  <c r="D613" i="69"/>
  <c r="D613" i="67"/>
  <c r="R848"/>
  <c r="S848" s="1"/>
  <c r="R608"/>
  <c r="S608" s="1"/>
  <c r="R853"/>
  <c r="S853" s="1"/>
  <c r="R84"/>
  <c r="S84" s="1"/>
  <c r="R325"/>
  <c r="S325" s="1"/>
  <c r="S52"/>
  <c r="R849"/>
  <c r="S849" s="1"/>
  <c r="R888"/>
  <c r="S888" s="1"/>
  <c r="K3676" i="27"/>
  <c r="M3676" s="1"/>
  <c r="K3638"/>
  <c r="R910" i="67"/>
  <c r="R329"/>
  <c r="S329" s="1"/>
  <c r="I807"/>
  <c r="G807"/>
  <c r="R909"/>
  <c r="S909" s="1"/>
  <c r="S910"/>
  <c r="Q442"/>
  <c r="I442"/>
  <c r="G442"/>
  <c r="Q479"/>
  <c r="I479"/>
  <c r="G479"/>
  <c r="G805"/>
  <c r="I805"/>
  <c r="I806"/>
  <c r="G806"/>
  <c r="Q946"/>
  <c r="I946"/>
  <c r="G946"/>
  <c r="R919"/>
  <c r="S919" s="1"/>
  <c r="R427"/>
  <c r="S427" s="1"/>
  <c r="Q807"/>
  <c r="O807"/>
  <c r="M807"/>
  <c r="K807"/>
  <c r="G805" i="69"/>
  <c r="M805"/>
  <c r="O805"/>
  <c r="I805"/>
  <c r="K805"/>
  <c r="Q805"/>
  <c r="M807"/>
  <c r="Q807"/>
  <c r="O807"/>
  <c r="K807"/>
  <c r="G807"/>
  <c r="I807"/>
  <c r="Q805" i="67"/>
  <c r="O805"/>
  <c r="M805"/>
  <c r="K805"/>
  <c r="Q806"/>
  <c r="O806"/>
  <c r="M806"/>
  <c r="K806"/>
  <c r="M806" i="69"/>
  <c r="Q806"/>
  <c r="K806"/>
  <c r="I806"/>
  <c r="G806"/>
  <c r="O806"/>
  <c r="AU121" i="1"/>
  <c r="AV121" s="1"/>
  <c r="AS122"/>
  <c r="AS124" s="1"/>
  <c r="AU124" s="1"/>
  <c r="AV124" s="1"/>
  <c r="AS151"/>
  <c r="AU147"/>
  <c r="AV147" s="1"/>
  <c r="AU179"/>
  <c r="AV179" s="1"/>
  <c r="AS183"/>
  <c r="K135" i="67"/>
  <c r="O135"/>
  <c r="M135"/>
  <c r="K442"/>
  <c r="M442"/>
  <c r="O442"/>
  <c r="L1018" i="11"/>
  <c r="L1020"/>
  <c r="K1019"/>
  <c r="K479" i="67"/>
  <c r="M479"/>
  <c r="O479"/>
  <c r="D1552" i="69"/>
  <c r="G1552" s="1"/>
  <c r="G1550"/>
  <c r="P2099" i="1"/>
  <c r="R2099" s="1"/>
  <c r="R2102" s="1"/>
  <c r="R2093"/>
  <c r="R2096" s="1"/>
  <c r="D443" i="67"/>
  <c r="D443" i="69"/>
  <c r="G442"/>
  <c r="I442"/>
  <c r="O442"/>
  <c r="K442"/>
  <c r="Q442"/>
  <c r="M442"/>
  <c r="K1172" i="11"/>
  <c r="K1155"/>
  <c r="G946" i="69"/>
  <c r="K946"/>
  <c r="M946"/>
  <c r="Q946"/>
  <c r="O946"/>
  <c r="I946"/>
  <c r="K479"/>
  <c r="G479"/>
  <c r="I479"/>
  <c r="M479"/>
  <c r="O479"/>
  <c r="Q479"/>
  <c r="D887" i="67"/>
  <c r="D887" i="69"/>
  <c r="R288" i="11"/>
  <c r="U288"/>
  <c r="S289"/>
  <c r="L3120" i="27"/>
  <c r="K3119"/>
  <c r="K946" i="67"/>
  <c r="M946"/>
  <c r="O946"/>
  <c r="D570"/>
  <c r="V487" i="1"/>
  <c r="X487" s="1"/>
  <c r="D570" i="69"/>
  <c r="R302" i="11"/>
  <c r="S303"/>
  <c r="D1517" i="67"/>
  <c r="G1517" s="1"/>
  <c r="D1516" i="69"/>
  <c r="G1516" s="1"/>
  <c r="K1050" i="11"/>
  <c r="K1056" s="1"/>
  <c r="K1034"/>
  <c r="P3128" i="27"/>
  <c r="R3128" s="1"/>
  <c r="R3132" s="1"/>
  <c r="R3133" s="1"/>
  <c r="R3114"/>
  <c r="R3118" s="1"/>
  <c r="D480" i="69"/>
  <c r="D480" i="67"/>
  <c r="X721" i="1"/>
  <c r="D1553" i="67"/>
  <c r="G1553" s="1"/>
  <c r="G1551"/>
  <c r="K613" i="69" l="1"/>
  <c r="Q613"/>
  <c r="M613"/>
  <c r="I613"/>
  <c r="O613"/>
  <c r="G613"/>
  <c r="Q582"/>
  <c r="O582"/>
  <c r="M582"/>
  <c r="G582"/>
  <c r="I582"/>
  <c r="K582"/>
  <c r="AD1201" i="1"/>
  <c r="AD1202" s="1"/>
  <c r="AD1203" s="1"/>
  <c r="AD1204" s="1"/>
  <c r="AD1205" s="1"/>
  <c r="AD1206" s="1"/>
  <c r="AD1207" s="1"/>
  <c r="AD1208" s="1"/>
  <c r="D856" i="69"/>
  <c r="D856" i="67"/>
  <c r="D842" i="69"/>
  <c r="D842" i="67"/>
  <c r="Q674"/>
  <c r="M674"/>
  <c r="K674"/>
  <c r="G674"/>
  <c r="R674" s="1"/>
  <c r="S674" s="1"/>
  <c r="O674"/>
  <c r="I674"/>
  <c r="G600"/>
  <c r="M600"/>
  <c r="I600"/>
  <c r="Q600"/>
  <c r="K600"/>
  <c r="O600"/>
  <c r="I333"/>
  <c r="Q333"/>
  <c r="O333"/>
  <c r="M333"/>
  <c r="G333"/>
  <c r="K333"/>
  <c r="D66"/>
  <c r="K290" i="1"/>
  <c r="D66" i="69"/>
  <c r="I377"/>
  <c r="O377"/>
  <c r="G377"/>
  <c r="M377"/>
  <c r="K377"/>
  <c r="Q377"/>
  <c r="O843" i="67"/>
  <c r="M843"/>
  <c r="I843"/>
  <c r="K843"/>
  <c r="G843"/>
  <c r="R843" s="1"/>
  <c r="S843" s="1"/>
  <c r="Q843"/>
  <c r="I558" i="69"/>
  <c r="M558"/>
  <c r="K558"/>
  <c r="O558"/>
  <c r="G558"/>
  <c r="Q558"/>
  <c r="K224"/>
  <c r="I224"/>
  <c r="M224"/>
  <c r="Q224"/>
  <c r="O224"/>
  <c r="G224"/>
  <c r="I252" i="67"/>
  <c r="O252"/>
  <c r="Q252"/>
  <c r="M252"/>
  <c r="K252"/>
  <c r="G252"/>
  <c r="D1510"/>
  <c r="G1510" s="1"/>
  <c r="D1509" i="69"/>
  <c r="G1509" s="1"/>
  <c r="G511"/>
  <c r="K511"/>
  <c r="O511"/>
  <c r="I511"/>
  <c r="M511"/>
  <c r="Q511"/>
  <c r="D72"/>
  <c r="K826" i="1"/>
  <c r="D72" i="67"/>
  <c r="D527"/>
  <c r="D527" i="69"/>
  <c r="V540" i="1"/>
  <c r="X540" s="1"/>
  <c r="D1482" i="67"/>
  <c r="G1482" s="1"/>
  <c r="D1481" i="69"/>
  <c r="G1481" s="1"/>
  <c r="D762"/>
  <c r="D772" i="67"/>
  <c r="D772" i="69"/>
  <c r="D762" i="67"/>
  <c r="I160"/>
  <c r="K160"/>
  <c r="Q160"/>
  <c r="M160"/>
  <c r="G160"/>
  <c r="R160" s="1"/>
  <c r="O160"/>
  <c r="D544" i="69"/>
  <c r="AI561" i="1"/>
  <c r="AK561" s="1"/>
  <c r="D544" i="67"/>
  <c r="Q966"/>
  <c r="M966"/>
  <c r="K966"/>
  <c r="G966"/>
  <c r="R966" s="1"/>
  <c r="S966" s="1"/>
  <c r="O966"/>
  <c r="I966"/>
  <c r="D886" i="69"/>
  <c r="D886" i="67"/>
  <c r="Q86"/>
  <c r="M86"/>
  <c r="O86"/>
  <c r="G86"/>
  <c r="R86" s="1"/>
  <c r="S86" s="1"/>
  <c r="K86"/>
  <c r="I86"/>
  <c r="M552" i="69"/>
  <c r="Q552"/>
  <c r="K552"/>
  <c r="G552"/>
  <c r="I552"/>
  <c r="O552"/>
  <c r="I485"/>
  <c r="K485"/>
  <c r="M485"/>
  <c r="O485"/>
  <c r="Q485"/>
  <c r="G485"/>
  <c r="K3954" i="1"/>
  <c r="K3966" s="1"/>
  <c r="I3971"/>
  <c r="K3971" s="1"/>
  <c r="K3983" s="1"/>
  <c r="R91" i="67"/>
  <c r="S91" s="1"/>
  <c r="R771"/>
  <c r="S771" s="1"/>
  <c r="S115"/>
  <c r="R115"/>
  <c r="R859"/>
  <c r="S859" s="1"/>
  <c r="R393"/>
  <c r="S393" s="1"/>
  <c r="Q613"/>
  <c r="K613"/>
  <c r="O613"/>
  <c r="I613"/>
  <c r="M613"/>
  <c r="G613"/>
  <c r="Q582"/>
  <c r="K582"/>
  <c r="G582"/>
  <c r="R582" s="1"/>
  <c r="S582" s="1"/>
  <c r="M582"/>
  <c r="I582"/>
  <c r="O582"/>
  <c r="D841" i="69"/>
  <c r="D841" i="67"/>
  <c r="I674" i="69"/>
  <c r="Q674"/>
  <c r="G674"/>
  <c r="K674"/>
  <c r="M674"/>
  <c r="O674"/>
  <c r="J371" i="1"/>
  <c r="D601" i="67"/>
  <c r="D601" i="69"/>
  <c r="Q333"/>
  <c r="M333"/>
  <c r="O333"/>
  <c r="G333"/>
  <c r="I333"/>
  <c r="K333"/>
  <c r="G65"/>
  <c r="Q65"/>
  <c r="I65"/>
  <c r="K65"/>
  <c r="O65"/>
  <c r="M65"/>
  <c r="R44" i="67"/>
  <c r="S44" s="1"/>
  <c r="D559"/>
  <c r="D559" i="69"/>
  <c r="AB563" i="1"/>
  <c r="AD563" s="1"/>
  <c r="K224" i="67"/>
  <c r="G224"/>
  <c r="M224"/>
  <c r="I224"/>
  <c r="Q224"/>
  <c r="O224"/>
  <c r="D253"/>
  <c r="D253" i="69"/>
  <c r="I563" i="1"/>
  <c r="K563" s="1"/>
  <c r="M493" i="69"/>
  <c r="I493"/>
  <c r="O493"/>
  <c r="G493"/>
  <c r="K493"/>
  <c r="Q493"/>
  <c r="R1161" i="1"/>
  <c r="D512" i="69"/>
  <c r="D512" i="67"/>
  <c r="I138"/>
  <c r="O138"/>
  <c r="K138"/>
  <c r="Q138"/>
  <c r="M138"/>
  <c r="G138"/>
  <c r="G71"/>
  <c r="R71" s="1"/>
  <c r="S71" s="1"/>
  <c r="K71"/>
  <c r="I71"/>
  <c r="Q71"/>
  <c r="O71"/>
  <c r="M71"/>
  <c r="G211"/>
  <c r="M211"/>
  <c r="O211"/>
  <c r="I211"/>
  <c r="Q211"/>
  <c r="K211"/>
  <c r="I526"/>
  <c r="K526"/>
  <c r="Q526"/>
  <c r="M526"/>
  <c r="G526"/>
  <c r="R526" s="1"/>
  <c r="S526" s="1"/>
  <c r="O526"/>
  <c r="D932"/>
  <c r="D932" i="69"/>
  <c r="D533"/>
  <c r="V563" i="1"/>
  <c r="X563" s="1"/>
  <c r="D533" i="67"/>
  <c r="I160" i="69"/>
  <c r="O160"/>
  <c r="K160"/>
  <c r="M160"/>
  <c r="Q160"/>
  <c r="G160"/>
  <c r="Q860"/>
  <c r="O860"/>
  <c r="K860"/>
  <c r="M860"/>
  <c r="I860"/>
  <c r="G860"/>
  <c r="I117"/>
  <c r="O117"/>
  <c r="Q117"/>
  <c r="G117"/>
  <c r="M117"/>
  <c r="K117"/>
  <c r="D93"/>
  <c r="AG351" i="1"/>
  <c r="D93" i="67"/>
  <c r="Q239"/>
  <c r="K239"/>
  <c r="G239"/>
  <c r="O239"/>
  <c r="M239"/>
  <c r="I239"/>
  <c r="D963" i="69"/>
  <c r="D963" i="67"/>
  <c r="L3950" i="1"/>
  <c r="R85" i="67"/>
  <c r="S85" s="1"/>
  <c r="R557"/>
  <c r="S557" s="1"/>
  <c r="R854"/>
  <c r="S854" s="1"/>
  <c r="R866"/>
  <c r="S866" s="1"/>
  <c r="R581"/>
  <c r="S581" s="1"/>
  <c r="R223"/>
  <c r="S223" s="1"/>
  <c r="R708"/>
  <c r="S708" s="1"/>
  <c r="R507"/>
  <c r="S507" s="1"/>
  <c r="R768"/>
  <c r="S768" s="1"/>
  <c r="R612"/>
  <c r="S612" s="1"/>
  <c r="Q855" i="69"/>
  <c r="I855"/>
  <c r="M855"/>
  <c r="K855"/>
  <c r="O855"/>
  <c r="G855"/>
  <c r="O600"/>
  <c r="I600"/>
  <c r="K600"/>
  <c r="G600"/>
  <c r="Q600"/>
  <c r="M600"/>
  <c r="I558" i="67"/>
  <c r="K558"/>
  <c r="Q558"/>
  <c r="M558"/>
  <c r="G558"/>
  <c r="O558"/>
  <c r="D494"/>
  <c r="X691" i="1"/>
  <c r="D494" i="69"/>
  <c r="I511" i="67"/>
  <c r="Q511"/>
  <c r="K511"/>
  <c r="O511"/>
  <c r="M511"/>
  <c r="G511"/>
  <c r="G138" i="69"/>
  <c r="M138"/>
  <c r="O138"/>
  <c r="Q138"/>
  <c r="I138"/>
  <c r="K138"/>
  <c r="O71"/>
  <c r="K71"/>
  <c r="G71"/>
  <c r="M71"/>
  <c r="I71"/>
  <c r="Q71"/>
  <c r="D212"/>
  <c r="D212" i="67"/>
  <c r="K526" i="69"/>
  <c r="Q526"/>
  <c r="I526"/>
  <c r="G526"/>
  <c r="O526"/>
  <c r="M526"/>
  <c r="K532"/>
  <c r="Q532"/>
  <c r="G532"/>
  <c r="I532"/>
  <c r="M532"/>
  <c r="O532"/>
  <c r="AE440" i="1"/>
  <c r="AG440" s="1"/>
  <c r="D162" i="67"/>
  <c r="D162" i="69"/>
  <c r="AK1201" i="1"/>
  <c r="AK1202" s="1"/>
  <c r="AK1203" s="1"/>
  <c r="AK1204" s="1"/>
  <c r="AK1205" s="1"/>
  <c r="AK1206" s="1"/>
  <c r="D861" i="67"/>
  <c r="D861" i="69"/>
  <c r="I893" i="1"/>
  <c r="K893" s="1"/>
  <c r="K905" s="1"/>
  <c r="V877"/>
  <c r="I859"/>
  <c r="K877"/>
  <c r="K889" s="1"/>
  <c r="D564" i="69"/>
  <c r="AB487" i="1"/>
  <c r="AD487" s="1"/>
  <c r="D564" i="67"/>
  <c r="D119"/>
  <c r="D119" i="69"/>
  <c r="AG377" i="1"/>
  <c r="D87" i="69"/>
  <c r="D87" i="67"/>
  <c r="X351" i="1"/>
  <c r="M92" i="69"/>
  <c r="Q92"/>
  <c r="O92"/>
  <c r="G92"/>
  <c r="K92"/>
  <c r="I92"/>
  <c r="D553"/>
  <c r="AB540" i="1"/>
  <c r="AD540" s="1"/>
  <c r="D553" i="67"/>
  <c r="M239" i="69"/>
  <c r="K239"/>
  <c r="I239"/>
  <c r="G239"/>
  <c r="Q239"/>
  <c r="O239"/>
  <c r="D486"/>
  <c r="X745" i="1"/>
  <c r="D486" i="67"/>
  <c r="R846"/>
  <c r="S846" s="1"/>
  <c r="R531"/>
  <c r="S531" s="1"/>
  <c r="S551"/>
  <c r="R251"/>
  <c r="S251" s="1"/>
  <c r="R340"/>
  <c r="S340" s="1"/>
  <c r="L3638" i="27"/>
  <c r="K2212"/>
  <c r="I855" i="67"/>
  <c r="K855"/>
  <c r="G855"/>
  <c r="M855"/>
  <c r="Q855"/>
  <c r="O855"/>
  <c r="K65"/>
  <c r="O65"/>
  <c r="G65"/>
  <c r="I65"/>
  <c r="M65"/>
  <c r="Q65"/>
  <c r="I377"/>
  <c r="Q377"/>
  <c r="K377"/>
  <c r="M377"/>
  <c r="G377"/>
  <c r="O377"/>
  <c r="G843" i="69"/>
  <c r="M843"/>
  <c r="I843"/>
  <c r="K843"/>
  <c r="O843"/>
  <c r="Q843"/>
  <c r="K473" i="1"/>
  <c r="L472"/>
  <c r="K252" i="69"/>
  <c r="I252"/>
  <c r="Q252"/>
  <c r="G252"/>
  <c r="O252"/>
  <c r="M252"/>
  <c r="I493" i="67"/>
  <c r="M493"/>
  <c r="Q493"/>
  <c r="O493"/>
  <c r="G493"/>
  <c r="K493"/>
  <c r="AG412" i="1"/>
  <c r="D139" i="69"/>
  <c r="D139" i="67"/>
  <c r="I211" i="69"/>
  <c r="M211"/>
  <c r="K211"/>
  <c r="O211"/>
  <c r="Q211"/>
  <c r="G211"/>
  <c r="Q532" i="67"/>
  <c r="O532"/>
  <c r="G532"/>
  <c r="M532"/>
  <c r="I532"/>
  <c r="K532"/>
  <c r="I860"/>
  <c r="K860"/>
  <c r="O860"/>
  <c r="G860"/>
  <c r="Q860"/>
  <c r="M860"/>
  <c r="D538" i="69"/>
  <c r="D538" i="67"/>
  <c r="AI538" i="1"/>
  <c r="AK538" s="1"/>
  <c r="K966" i="69"/>
  <c r="Q966"/>
  <c r="M966"/>
  <c r="I966"/>
  <c r="O966"/>
  <c r="G966"/>
  <c r="F9" i="32"/>
  <c r="F13" s="1"/>
  <c r="F14" s="1"/>
  <c r="F17" s="1"/>
  <c r="E73"/>
  <c r="E173"/>
  <c r="P9"/>
  <c r="Q9" s="1"/>
  <c r="Q13" s="1"/>
  <c r="Q14" s="1"/>
  <c r="Q17" s="1"/>
  <c r="G117" i="67"/>
  <c r="R117" s="1"/>
  <c r="M117"/>
  <c r="I117"/>
  <c r="Q117"/>
  <c r="O117"/>
  <c r="K117"/>
  <c r="I86" i="69"/>
  <c r="M86"/>
  <c r="Q86"/>
  <c r="O86"/>
  <c r="K86"/>
  <c r="G86"/>
  <c r="K92" i="67"/>
  <c r="G92"/>
  <c r="I92"/>
  <c r="Q92"/>
  <c r="O92"/>
  <c r="M92"/>
  <c r="G552"/>
  <c r="M552"/>
  <c r="I552"/>
  <c r="K552"/>
  <c r="Q552"/>
  <c r="O552"/>
  <c r="D240"/>
  <c r="D240" i="69"/>
  <c r="I540" i="1"/>
  <c r="K540" s="1"/>
  <c r="G485" i="67"/>
  <c r="R485" s="1"/>
  <c r="S485" s="1"/>
  <c r="K485"/>
  <c r="I485"/>
  <c r="Q485"/>
  <c r="O485"/>
  <c r="M485"/>
  <c r="R238"/>
  <c r="S238" s="1"/>
  <c r="R844"/>
  <c r="S844" s="1"/>
  <c r="R510"/>
  <c r="S510" s="1"/>
  <c r="R889"/>
  <c r="S889" s="1"/>
  <c r="R525"/>
  <c r="S525" s="1"/>
  <c r="R863"/>
  <c r="S863" s="1"/>
  <c r="R769"/>
  <c r="S769" s="1"/>
  <c r="R609"/>
  <c r="S609" s="1"/>
  <c r="R153"/>
  <c r="S153" s="1"/>
  <c r="R442"/>
  <c r="S442" s="1"/>
  <c r="Q480"/>
  <c r="I480"/>
  <c r="G480"/>
  <c r="R807"/>
  <c r="S807" s="1"/>
  <c r="R479"/>
  <c r="S479" s="1"/>
  <c r="Q570"/>
  <c r="I570"/>
  <c r="G570"/>
  <c r="Q887"/>
  <c r="G887"/>
  <c r="I887"/>
  <c r="Q443"/>
  <c r="I443"/>
  <c r="G443"/>
  <c r="R135"/>
  <c r="S135" s="1"/>
  <c r="R946"/>
  <c r="S946" s="1"/>
  <c r="R806"/>
  <c r="S806" s="1"/>
  <c r="R805"/>
  <c r="S805" s="1"/>
  <c r="AS153" i="1"/>
  <c r="AU151"/>
  <c r="AV151" s="1"/>
  <c r="AS123"/>
  <c r="AU123" s="1"/>
  <c r="AV123" s="1"/>
  <c r="AU122"/>
  <c r="AV122" s="1"/>
  <c r="AS185"/>
  <c r="AU183"/>
  <c r="AV183" s="1"/>
  <c r="S3119" i="27"/>
  <c r="R3119"/>
  <c r="M1035" i="11"/>
  <c r="K1035"/>
  <c r="V488" i="1"/>
  <c r="X488" s="1"/>
  <c r="D571" i="69"/>
  <c r="D571" i="67"/>
  <c r="I887" i="69"/>
  <c r="O887"/>
  <c r="M887"/>
  <c r="Q887"/>
  <c r="G887"/>
  <c r="K887"/>
  <c r="K443" i="67"/>
  <c r="M443"/>
  <c r="O443"/>
  <c r="X722" i="1"/>
  <c r="D481" i="67"/>
  <c r="D481" i="69"/>
  <c r="K570"/>
  <c r="G570"/>
  <c r="O570"/>
  <c r="Q570"/>
  <c r="M570"/>
  <c r="I570"/>
  <c r="K1176" i="11"/>
  <c r="K1177" s="1"/>
  <c r="K1187"/>
  <c r="K1191" s="1"/>
  <c r="K1192" s="1"/>
  <c r="K443" i="69"/>
  <c r="O443"/>
  <c r="M443"/>
  <c r="Q443"/>
  <c r="G443"/>
  <c r="I443"/>
  <c r="D947"/>
  <c r="D947" i="67"/>
  <c r="D1544" i="69"/>
  <c r="G1544" s="1"/>
  <c r="D1545" i="67"/>
  <c r="G1545" s="1"/>
  <c r="G480" i="69"/>
  <c r="Q480"/>
  <c r="M480"/>
  <c r="K480"/>
  <c r="O480"/>
  <c r="I480"/>
  <c r="K1156" i="11"/>
  <c r="L1156" s="1"/>
  <c r="L1158"/>
  <c r="K136" i="67"/>
  <c r="M136"/>
  <c r="O136"/>
  <c r="K480"/>
  <c r="M480"/>
  <c r="O480"/>
  <c r="K1057" i="11"/>
  <c r="L1058"/>
  <c r="K570" i="67"/>
  <c r="M570"/>
  <c r="O570"/>
  <c r="K887"/>
  <c r="M887"/>
  <c r="O887"/>
  <c r="Q538" i="69" l="1"/>
  <c r="G538"/>
  <c r="M538"/>
  <c r="I538"/>
  <c r="O538"/>
  <c r="K538"/>
  <c r="M139"/>
  <c r="K139"/>
  <c r="Q139"/>
  <c r="G139"/>
  <c r="O139"/>
  <c r="I139"/>
  <c r="D487" i="67"/>
  <c r="D487" i="69"/>
  <c r="X746" i="1"/>
  <c r="Q553" i="67"/>
  <c r="M553"/>
  <c r="K553"/>
  <c r="G553"/>
  <c r="I553"/>
  <c r="O553"/>
  <c r="Q564"/>
  <c r="O564"/>
  <c r="K564"/>
  <c r="G564"/>
  <c r="I564"/>
  <c r="M564"/>
  <c r="P852" i="1"/>
  <c r="R852" s="1"/>
  <c r="R864" s="1"/>
  <c r="V859"/>
  <c r="X859" s="1"/>
  <c r="X871" s="1"/>
  <c r="K859"/>
  <c r="K871" s="1"/>
  <c r="I3299"/>
  <c r="K3299" s="1"/>
  <c r="K3311" s="1"/>
  <c r="Q861" i="67"/>
  <c r="K861"/>
  <c r="O861"/>
  <c r="I861"/>
  <c r="M861"/>
  <c r="G861"/>
  <c r="R861" s="1"/>
  <c r="S861" s="1"/>
  <c r="D168"/>
  <c r="D168" i="69"/>
  <c r="AG444" i="1"/>
  <c r="Q533" i="69"/>
  <c r="G533"/>
  <c r="I533"/>
  <c r="O533"/>
  <c r="K533"/>
  <c r="M533"/>
  <c r="K512"/>
  <c r="M512"/>
  <c r="I512"/>
  <c r="G512"/>
  <c r="Q512"/>
  <c r="O512"/>
  <c r="D254"/>
  <c r="D254" i="67"/>
  <c r="I564" i="1"/>
  <c r="K564" s="1"/>
  <c r="I565" s="1"/>
  <c r="K565" s="1"/>
  <c r="I566" s="1"/>
  <c r="K566" s="1"/>
  <c r="I567" s="1"/>
  <c r="K567" s="1"/>
  <c r="I568" s="1"/>
  <c r="K568" s="1"/>
  <c r="I569" s="1"/>
  <c r="K569" s="1"/>
  <c r="I570" s="1"/>
  <c r="K570" s="1"/>
  <c r="I571" s="1"/>
  <c r="K571" s="1"/>
  <c r="O841" i="69"/>
  <c r="G841"/>
  <c r="Q841"/>
  <c r="I841"/>
  <c r="M841"/>
  <c r="K841"/>
  <c r="D964" i="67"/>
  <c r="D964" i="69"/>
  <c r="I886" i="67"/>
  <c r="M886"/>
  <c r="Q886"/>
  <c r="K886"/>
  <c r="G886"/>
  <c r="O886"/>
  <c r="G544"/>
  <c r="R544" s="1"/>
  <c r="S544" s="1"/>
  <c r="K544"/>
  <c r="I544"/>
  <c r="Q544"/>
  <c r="O544"/>
  <c r="M544"/>
  <c r="Q762" i="69"/>
  <c r="O762"/>
  <c r="M762"/>
  <c r="G762"/>
  <c r="I762"/>
  <c r="K762"/>
  <c r="M527"/>
  <c r="Q527"/>
  <c r="K527"/>
  <c r="O527"/>
  <c r="I527"/>
  <c r="G527"/>
  <c r="Q72"/>
  <c r="M72"/>
  <c r="K72"/>
  <c r="O72"/>
  <c r="I72"/>
  <c r="G72"/>
  <c r="D67"/>
  <c r="K291" i="1"/>
  <c r="D67" i="67"/>
  <c r="G842"/>
  <c r="K842"/>
  <c r="I842"/>
  <c r="Q842"/>
  <c r="M842"/>
  <c r="O842"/>
  <c r="G240"/>
  <c r="O240"/>
  <c r="I240"/>
  <c r="M240"/>
  <c r="Q240"/>
  <c r="K240"/>
  <c r="D464" i="69"/>
  <c r="D464" i="67"/>
  <c r="I538"/>
  <c r="O538"/>
  <c r="Q538"/>
  <c r="M538"/>
  <c r="G538"/>
  <c r="K538"/>
  <c r="I139"/>
  <c r="Q139"/>
  <c r="K139"/>
  <c r="M139"/>
  <c r="G139"/>
  <c r="O139"/>
  <c r="L473" i="1"/>
  <c r="K474"/>
  <c r="G486" i="67"/>
  <c r="R486" s="1"/>
  <c r="K486"/>
  <c r="I486"/>
  <c r="Q486"/>
  <c r="O486"/>
  <c r="M486"/>
  <c r="O87" i="69"/>
  <c r="K87"/>
  <c r="G87"/>
  <c r="M87"/>
  <c r="Q87"/>
  <c r="I87"/>
  <c r="K119" i="67"/>
  <c r="G119"/>
  <c r="O119"/>
  <c r="I119"/>
  <c r="Q119"/>
  <c r="M119"/>
  <c r="D628" i="69"/>
  <c r="D628" i="67"/>
  <c r="L889" i="1"/>
  <c r="K891"/>
  <c r="K861" i="69"/>
  <c r="I861"/>
  <c r="M861"/>
  <c r="O861"/>
  <c r="Q861"/>
  <c r="G861"/>
  <c r="M162" i="67"/>
  <c r="G162"/>
  <c r="K162"/>
  <c r="I162"/>
  <c r="Q162"/>
  <c r="O162"/>
  <c r="Q494"/>
  <c r="O494"/>
  <c r="M494"/>
  <c r="G494"/>
  <c r="K494"/>
  <c r="I494"/>
  <c r="K93" i="69"/>
  <c r="O93"/>
  <c r="Q93"/>
  <c r="G93"/>
  <c r="M93"/>
  <c r="I93"/>
  <c r="V564" i="1"/>
  <c r="X564" s="1"/>
  <c r="D534" i="69"/>
  <c r="D534" i="67"/>
  <c r="G512"/>
  <c r="O512"/>
  <c r="I512"/>
  <c r="M512"/>
  <c r="Q512"/>
  <c r="K512"/>
  <c r="I559"/>
  <c r="Q559"/>
  <c r="M559"/>
  <c r="K559"/>
  <c r="G559"/>
  <c r="R559" s="1"/>
  <c r="S559" s="1"/>
  <c r="O559"/>
  <c r="O601"/>
  <c r="I601"/>
  <c r="M601"/>
  <c r="G601"/>
  <c r="Q601"/>
  <c r="K601"/>
  <c r="I841"/>
  <c r="K841"/>
  <c r="G841"/>
  <c r="Q841"/>
  <c r="O841"/>
  <c r="M841"/>
  <c r="Q772"/>
  <c r="O772"/>
  <c r="K772"/>
  <c r="G772"/>
  <c r="M772"/>
  <c r="I772"/>
  <c r="D528"/>
  <c r="D528" i="69"/>
  <c r="V541" i="1"/>
  <c r="X541" s="1"/>
  <c r="D73" i="67"/>
  <c r="D73" i="69"/>
  <c r="K827" i="1"/>
  <c r="K66" i="69"/>
  <c r="M66"/>
  <c r="G66"/>
  <c r="I66"/>
  <c r="Q66"/>
  <c r="O66"/>
  <c r="G856"/>
  <c r="K856"/>
  <c r="I856"/>
  <c r="Q856"/>
  <c r="M856"/>
  <c r="O856"/>
  <c r="S117" i="67"/>
  <c r="R860"/>
  <c r="S860" s="1"/>
  <c r="R493"/>
  <c r="S493" s="1"/>
  <c r="R377"/>
  <c r="S377" s="1"/>
  <c r="R65"/>
  <c r="S65" s="1"/>
  <c r="R511"/>
  <c r="S511" s="1"/>
  <c r="R224"/>
  <c r="S224" s="1"/>
  <c r="R613"/>
  <c r="S613" s="1"/>
  <c r="R333"/>
  <c r="S333" s="1"/>
  <c r="O240" i="69"/>
  <c r="M240"/>
  <c r="Q240"/>
  <c r="K240"/>
  <c r="I240"/>
  <c r="G240"/>
  <c r="E133" i="32"/>
  <c r="F133" s="1"/>
  <c r="F137" s="1"/>
  <c r="F138" s="1"/>
  <c r="F141" s="1"/>
  <c r="F73"/>
  <c r="F77" s="1"/>
  <c r="F78" s="1"/>
  <c r="F81" s="1"/>
  <c r="D539" i="67"/>
  <c r="D539" i="69"/>
  <c r="AI539" i="1"/>
  <c r="AK539" s="1"/>
  <c r="G553" i="69"/>
  <c r="I553"/>
  <c r="O553"/>
  <c r="Q553"/>
  <c r="K553"/>
  <c r="M553"/>
  <c r="I87" i="67"/>
  <c r="K87"/>
  <c r="Q87"/>
  <c r="O87"/>
  <c r="M87"/>
  <c r="G87"/>
  <c r="M119" i="69"/>
  <c r="K119"/>
  <c r="O119"/>
  <c r="Q119"/>
  <c r="I119"/>
  <c r="G119"/>
  <c r="O564"/>
  <c r="M564"/>
  <c r="Q564"/>
  <c r="I564"/>
  <c r="K564"/>
  <c r="G564"/>
  <c r="D631" i="67"/>
  <c r="D631" i="69"/>
  <c r="O162"/>
  <c r="Q162"/>
  <c r="G162"/>
  <c r="K162"/>
  <c r="M162"/>
  <c r="I162"/>
  <c r="I212"/>
  <c r="M212"/>
  <c r="K212"/>
  <c r="O212"/>
  <c r="G212"/>
  <c r="Q212"/>
  <c r="X692" i="1"/>
  <c r="D495" i="67"/>
  <c r="D495" i="69"/>
  <c r="O963"/>
  <c r="G963"/>
  <c r="Q963"/>
  <c r="I963"/>
  <c r="M963"/>
  <c r="K963"/>
  <c r="D94"/>
  <c r="D135"/>
  <c r="AG352" i="1"/>
  <c r="D94" i="67"/>
  <c r="O533"/>
  <c r="G533"/>
  <c r="I533"/>
  <c r="M533"/>
  <c r="Q533"/>
  <c r="K533"/>
  <c r="G932"/>
  <c r="K932"/>
  <c r="Q932"/>
  <c r="M932"/>
  <c r="O932"/>
  <c r="I932"/>
  <c r="Q253"/>
  <c r="M253"/>
  <c r="G253"/>
  <c r="K253"/>
  <c r="I253"/>
  <c r="O253"/>
  <c r="K559" i="69"/>
  <c r="Q559"/>
  <c r="M559"/>
  <c r="G559"/>
  <c r="I559"/>
  <c r="O559"/>
  <c r="O601"/>
  <c r="G601"/>
  <c r="K601"/>
  <c r="M601"/>
  <c r="Q601"/>
  <c r="I601"/>
  <c r="K544"/>
  <c r="G544"/>
  <c r="O544"/>
  <c r="I544"/>
  <c r="M544"/>
  <c r="Q544"/>
  <c r="I772"/>
  <c r="K772"/>
  <c r="Q772"/>
  <c r="O772"/>
  <c r="M772"/>
  <c r="G772"/>
  <c r="I72" i="67"/>
  <c r="M72"/>
  <c r="Q72"/>
  <c r="K72"/>
  <c r="G72"/>
  <c r="O72"/>
  <c r="Q856"/>
  <c r="O856"/>
  <c r="I856"/>
  <c r="M856"/>
  <c r="G856"/>
  <c r="K856"/>
  <c r="R92"/>
  <c r="S92" s="1"/>
  <c r="R532"/>
  <c r="S532" s="1"/>
  <c r="R239"/>
  <c r="S239" s="1"/>
  <c r="R211"/>
  <c r="S211" s="1"/>
  <c r="S160"/>
  <c r="D241"/>
  <c r="D241" i="69"/>
  <c r="I541" i="1"/>
  <c r="K541" s="1"/>
  <c r="E254" i="32"/>
  <c r="F254" s="1"/>
  <c r="F258" s="1"/>
  <c r="F259" s="1"/>
  <c r="F262" s="1"/>
  <c r="E211"/>
  <c r="F211" s="1"/>
  <c r="F215" s="1"/>
  <c r="F216" s="1"/>
  <c r="F219" s="1"/>
  <c r="F173"/>
  <c r="F177" s="1"/>
  <c r="F178" s="1"/>
  <c r="F181" s="1"/>
  <c r="D140" i="69"/>
  <c r="AG413" i="1"/>
  <c r="D140" i="67"/>
  <c r="M486" i="69"/>
  <c r="K486"/>
  <c r="O486"/>
  <c r="G486"/>
  <c r="Q486"/>
  <c r="I486"/>
  <c r="D554"/>
  <c r="AB541" i="1"/>
  <c r="AD541" s="1"/>
  <c r="D554" i="67"/>
  <c r="D88" i="69"/>
  <c r="D88" i="67"/>
  <c r="D120" i="69"/>
  <c r="AH368" i="1"/>
  <c r="D120" i="67"/>
  <c r="AG378" i="1"/>
  <c r="AB488"/>
  <c r="AD488" s="1"/>
  <c r="D565" i="67"/>
  <c r="D565" i="69"/>
  <c r="V893" i="1"/>
  <c r="X893" s="1"/>
  <c r="X905" s="1"/>
  <c r="X877"/>
  <c r="X889" s="1"/>
  <c r="Q212" i="67"/>
  <c r="O212"/>
  <c r="G212"/>
  <c r="K212"/>
  <c r="I212"/>
  <c r="M212"/>
  <c r="I494" i="69"/>
  <c r="Q494"/>
  <c r="O494"/>
  <c r="K494"/>
  <c r="M494"/>
  <c r="G494"/>
  <c r="Q963" i="67"/>
  <c r="O963"/>
  <c r="M963"/>
  <c r="I963"/>
  <c r="K963"/>
  <c r="G963"/>
  <c r="M93"/>
  <c r="G93"/>
  <c r="R93" s="1"/>
  <c r="O93"/>
  <c r="I93"/>
  <c r="K93"/>
  <c r="Q93"/>
  <c r="S93" s="1"/>
  <c r="G932" i="69"/>
  <c r="O932"/>
  <c r="K932"/>
  <c r="Q932"/>
  <c r="M932"/>
  <c r="I932"/>
  <c r="R1162" i="1"/>
  <c r="D513" i="69"/>
  <c r="D513" i="67"/>
  <c r="O253" i="69"/>
  <c r="M253"/>
  <c r="G253"/>
  <c r="I253"/>
  <c r="K253"/>
  <c r="Q253"/>
  <c r="D560" i="67"/>
  <c r="D560" i="69"/>
  <c r="AB564" i="1"/>
  <c r="AD564" s="1"/>
  <c r="D965" i="69"/>
  <c r="D965" i="67"/>
  <c r="G886" i="69"/>
  <c r="M886"/>
  <c r="I886"/>
  <c r="Q886"/>
  <c r="K886"/>
  <c r="O886"/>
  <c r="D545"/>
  <c r="D545" i="67"/>
  <c r="AI562" i="1"/>
  <c r="AK562" s="1"/>
  <c r="K762" i="67"/>
  <c r="G762"/>
  <c r="I762"/>
  <c r="M762"/>
  <c r="Q762"/>
  <c r="O762"/>
  <c r="K527"/>
  <c r="G527"/>
  <c r="I527"/>
  <c r="O527"/>
  <c r="Q527"/>
  <c r="M527"/>
  <c r="Q66"/>
  <c r="O66"/>
  <c r="G66"/>
  <c r="R66" s="1"/>
  <c r="S66" s="1"/>
  <c r="K66"/>
  <c r="M66"/>
  <c r="I66"/>
  <c r="G842" i="69"/>
  <c r="O842"/>
  <c r="I842"/>
  <c r="Q842"/>
  <c r="K842"/>
  <c r="M842"/>
  <c r="R552" i="67"/>
  <c r="S552" s="1"/>
  <c r="R855"/>
  <c r="S855" s="1"/>
  <c r="R558"/>
  <c r="S558" s="1"/>
  <c r="R138"/>
  <c r="S138" s="1"/>
  <c r="R252"/>
  <c r="S252" s="1"/>
  <c r="R600"/>
  <c r="S600" s="1"/>
  <c r="Q481"/>
  <c r="I481"/>
  <c r="G481"/>
  <c r="R570"/>
  <c r="S570" s="1"/>
  <c r="R480"/>
  <c r="S480" s="1"/>
  <c r="R136"/>
  <c r="S136" s="1"/>
  <c r="R443"/>
  <c r="S443" s="1"/>
  <c r="R887"/>
  <c r="S887" s="1"/>
  <c r="Q947"/>
  <c r="G947"/>
  <c r="I947"/>
  <c r="Q571"/>
  <c r="I571"/>
  <c r="G571"/>
  <c r="D585"/>
  <c r="AS155" i="1"/>
  <c r="D585" i="69"/>
  <c r="AU153" i="1"/>
  <c r="AV153" s="1"/>
  <c r="AU185"/>
  <c r="AV185" s="1"/>
  <c r="AS187"/>
  <c r="D1546" i="69"/>
  <c r="G1546" s="1"/>
  <c r="D1547" i="67"/>
  <c r="G1547" s="1"/>
  <c r="K1059" i="11"/>
  <c r="D951" i="69"/>
  <c r="D951" i="67"/>
  <c r="O481"/>
  <c r="K481"/>
  <c r="M481"/>
  <c r="K481" i="69"/>
  <c r="O481"/>
  <c r="M481"/>
  <c r="I481"/>
  <c r="G481"/>
  <c r="Q481"/>
  <c r="V489" i="1"/>
  <c r="X489" s="1"/>
  <c r="D572" i="69"/>
  <c r="D572" i="67"/>
  <c r="Q947" i="69"/>
  <c r="I947"/>
  <c r="M947"/>
  <c r="O947"/>
  <c r="K947"/>
  <c r="G947"/>
  <c r="Q571"/>
  <c r="O571"/>
  <c r="K571"/>
  <c r="M571"/>
  <c r="G571"/>
  <c r="I571"/>
  <c r="D1546" i="67"/>
  <c r="G1546" s="1"/>
  <c r="D948" i="69"/>
  <c r="D948" i="67"/>
  <c r="D1545" i="69"/>
  <c r="G1545" s="1"/>
  <c r="K947" i="67"/>
  <c r="M947"/>
  <c r="O947"/>
  <c r="D482"/>
  <c r="X723" i="1"/>
  <c r="D482" i="69"/>
  <c r="K571" i="67"/>
  <c r="M571"/>
  <c r="O571"/>
  <c r="G545" i="69" l="1"/>
  <c r="O545"/>
  <c r="K545"/>
  <c r="I545"/>
  <c r="M545"/>
  <c r="Q545"/>
  <c r="I965"/>
  <c r="Q965"/>
  <c r="G965"/>
  <c r="O965"/>
  <c r="K965"/>
  <c r="M965"/>
  <c r="R1163" i="1"/>
  <c r="D514" i="69"/>
  <c r="D514" i="67"/>
  <c r="D121"/>
  <c r="D121" i="69"/>
  <c r="AG379" i="1"/>
  <c r="AH369"/>
  <c r="I88" i="67"/>
  <c r="K88"/>
  <c r="Q88"/>
  <c r="M88"/>
  <c r="G88"/>
  <c r="O88"/>
  <c r="G554" i="69"/>
  <c r="I554"/>
  <c r="M554"/>
  <c r="K554"/>
  <c r="O554"/>
  <c r="Q554"/>
  <c r="AG414" i="1"/>
  <c r="D141" i="67"/>
  <c r="D141" i="69"/>
  <c r="D136"/>
  <c r="AG353" i="1"/>
  <c r="D95" i="69"/>
  <c r="D95" i="67"/>
  <c r="M631" i="69"/>
  <c r="Q631"/>
  <c r="G631"/>
  <c r="K631"/>
  <c r="I631"/>
  <c r="O631"/>
  <c r="I539" i="67"/>
  <c r="O539"/>
  <c r="Q539"/>
  <c r="M539"/>
  <c r="K539"/>
  <c r="G539"/>
  <c r="G73"/>
  <c r="M73"/>
  <c r="I73"/>
  <c r="K73"/>
  <c r="Q73"/>
  <c r="O73"/>
  <c r="V565" i="1"/>
  <c r="X565" s="1"/>
  <c r="D535" i="69"/>
  <c r="D535" i="67"/>
  <c r="I628" i="69"/>
  <c r="K628"/>
  <c r="Q628"/>
  <c r="M628"/>
  <c r="O628"/>
  <c r="G628"/>
  <c r="O254"/>
  <c r="K254"/>
  <c r="I254"/>
  <c r="M254"/>
  <c r="Q254"/>
  <c r="G254"/>
  <c r="Q487" i="67"/>
  <c r="K487"/>
  <c r="M487"/>
  <c r="G487"/>
  <c r="O487"/>
  <c r="I487"/>
  <c r="R762"/>
  <c r="S762" s="1"/>
  <c r="R212"/>
  <c r="R72"/>
  <c r="S72" s="1"/>
  <c r="R253"/>
  <c r="S253" s="1"/>
  <c r="R932"/>
  <c r="S932" s="1"/>
  <c r="R538"/>
  <c r="S538" s="1"/>
  <c r="R240"/>
  <c r="S240" s="1"/>
  <c r="R842"/>
  <c r="S842" s="1"/>
  <c r="R564"/>
  <c r="S564" s="1"/>
  <c r="O545"/>
  <c r="I545"/>
  <c r="M545"/>
  <c r="G545"/>
  <c r="K545"/>
  <c r="Q545"/>
  <c r="Q965"/>
  <c r="O965"/>
  <c r="I965"/>
  <c r="M965"/>
  <c r="G965"/>
  <c r="K965"/>
  <c r="G560"/>
  <c r="O560"/>
  <c r="K560"/>
  <c r="I560"/>
  <c r="M560"/>
  <c r="Q560"/>
  <c r="O513" i="69"/>
  <c r="Q513"/>
  <c r="I513"/>
  <c r="M513"/>
  <c r="G513"/>
  <c r="K513"/>
  <c r="D566"/>
  <c r="D566" i="67"/>
  <c r="AB489" i="1"/>
  <c r="AD489" s="1"/>
  <c r="Q120" i="69"/>
  <c r="G120"/>
  <c r="K120"/>
  <c r="M120"/>
  <c r="I120"/>
  <c r="O120"/>
  <c r="AB542" i="1"/>
  <c r="AD542" s="1"/>
  <c r="AB543" s="1"/>
  <c r="AD543" s="1"/>
  <c r="AB544" s="1"/>
  <c r="AD544" s="1"/>
  <c r="AB545" s="1"/>
  <c r="AD545" s="1"/>
  <c r="AB546" s="1"/>
  <c r="AD546" s="1"/>
  <c r="AB547" s="1"/>
  <c r="AD547" s="1"/>
  <c r="AB548" s="1"/>
  <c r="AD548" s="1"/>
  <c r="AB549" s="1"/>
  <c r="AD549" s="1"/>
  <c r="AJ549" s="1"/>
  <c r="D555" i="69"/>
  <c r="D555" i="67"/>
  <c r="O140"/>
  <c r="M140"/>
  <c r="G140"/>
  <c r="I140"/>
  <c r="Q140"/>
  <c r="K140"/>
  <c r="G241"/>
  <c r="K241"/>
  <c r="I241"/>
  <c r="Q241"/>
  <c r="M241"/>
  <c r="O241"/>
  <c r="M94"/>
  <c r="G94"/>
  <c r="I94"/>
  <c r="O94"/>
  <c r="Q94"/>
  <c r="K94"/>
  <c r="D496" i="69"/>
  <c r="D496" i="67"/>
  <c r="X693" i="1"/>
  <c r="K539" i="69"/>
  <c r="M539"/>
  <c r="I539"/>
  <c r="Q539"/>
  <c r="G539"/>
  <c r="O539"/>
  <c r="K73"/>
  <c r="I73"/>
  <c r="Q73"/>
  <c r="G73"/>
  <c r="M73"/>
  <c r="O73"/>
  <c r="M528" i="67"/>
  <c r="K528"/>
  <c r="O528"/>
  <c r="G528"/>
  <c r="Q528"/>
  <c r="I528"/>
  <c r="I534" i="69"/>
  <c r="K534"/>
  <c r="Q534"/>
  <c r="M534"/>
  <c r="G534"/>
  <c r="O534"/>
  <c r="I628" i="67"/>
  <c r="K628"/>
  <c r="O628"/>
  <c r="G628"/>
  <c r="Q628"/>
  <c r="M628"/>
  <c r="K475" i="1"/>
  <c r="L474"/>
  <c r="Q67" i="69"/>
  <c r="K67"/>
  <c r="I67"/>
  <c r="M67"/>
  <c r="G67"/>
  <c r="O67"/>
  <c r="G964" i="67"/>
  <c r="O964"/>
  <c r="Q964"/>
  <c r="K964"/>
  <c r="M964"/>
  <c r="I964"/>
  <c r="K254"/>
  <c r="G254"/>
  <c r="I254"/>
  <c r="O254"/>
  <c r="Q254"/>
  <c r="M254"/>
  <c r="G168"/>
  <c r="K168"/>
  <c r="I168"/>
  <c r="Q168"/>
  <c r="O168"/>
  <c r="M168"/>
  <c r="D630" i="69"/>
  <c r="D630" i="67"/>
  <c r="O487" i="69"/>
  <c r="I487"/>
  <c r="Q487"/>
  <c r="M487"/>
  <c r="K487"/>
  <c r="G487"/>
  <c r="D546"/>
  <c r="AI563" i="1"/>
  <c r="AK563" s="1"/>
  <c r="D546" i="67"/>
  <c r="O560" i="69"/>
  <c r="G560"/>
  <c r="I560"/>
  <c r="K560"/>
  <c r="Q560"/>
  <c r="M560"/>
  <c r="Q513" i="67"/>
  <c r="M513"/>
  <c r="K513"/>
  <c r="G513"/>
  <c r="R513" s="1"/>
  <c r="S513" s="1"/>
  <c r="I513"/>
  <c r="O513"/>
  <c r="Q565"/>
  <c r="M565"/>
  <c r="K565"/>
  <c r="I565"/>
  <c r="G565"/>
  <c r="O565"/>
  <c r="G554"/>
  <c r="O554"/>
  <c r="I554"/>
  <c r="M554"/>
  <c r="Q554"/>
  <c r="K554"/>
  <c r="Q241" i="69"/>
  <c r="G241"/>
  <c r="I241"/>
  <c r="K241"/>
  <c r="M241"/>
  <c r="O241"/>
  <c r="I94"/>
  <c r="M94"/>
  <c r="O94"/>
  <c r="K94"/>
  <c r="Q94"/>
  <c r="G94"/>
  <c r="G495" i="67"/>
  <c r="O495"/>
  <c r="I495"/>
  <c r="M495"/>
  <c r="Q495"/>
  <c r="K495"/>
  <c r="D540" i="69"/>
  <c r="AI540" i="1"/>
  <c r="AK540" s="1"/>
  <c r="D540" i="67"/>
  <c r="D466" i="69"/>
  <c r="D466" i="67"/>
  <c r="K828" i="1"/>
  <c r="D74" i="69"/>
  <c r="D74" i="67"/>
  <c r="K528" i="69"/>
  <c r="Q528"/>
  <c r="I528"/>
  <c r="O528"/>
  <c r="G528"/>
  <c r="M528"/>
  <c r="Q534" i="67"/>
  <c r="O534"/>
  <c r="G534"/>
  <c r="K534"/>
  <c r="M534"/>
  <c r="I534"/>
  <c r="K464" i="69"/>
  <c r="Q464"/>
  <c r="G464"/>
  <c r="M464"/>
  <c r="O464"/>
  <c r="I464"/>
  <c r="D68" i="67"/>
  <c r="D68" i="69"/>
  <c r="K964"/>
  <c r="I964"/>
  <c r="O964"/>
  <c r="Q964"/>
  <c r="G964"/>
  <c r="M964"/>
  <c r="M168"/>
  <c r="I168"/>
  <c r="Q168"/>
  <c r="G168"/>
  <c r="K168"/>
  <c r="O168"/>
  <c r="D488"/>
  <c r="Y746" i="1"/>
  <c r="D488" i="67"/>
  <c r="X747" i="1"/>
  <c r="R527" i="67"/>
  <c r="S527" s="1"/>
  <c r="S212"/>
  <c r="R856"/>
  <c r="S856" s="1"/>
  <c r="R87"/>
  <c r="S87" s="1"/>
  <c r="R772"/>
  <c r="S772" s="1"/>
  <c r="R601"/>
  <c r="S601" s="1"/>
  <c r="S486"/>
  <c r="R139"/>
  <c r="S139" s="1"/>
  <c r="R553"/>
  <c r="S553" s="1"/>
  <c r="AB565" i="1"/>
  <c r="AD565" s="1"/>
  <c r="D561" i="69"/>
  <c r="D561" i="67"/>
  <c r="K565" i="69"/>
  <c r="G565"/>
  <c r="M565"/>
  <c r="O565"/>
  <c r="Q565"/>
  <c r="I565"/>
  <c r="K120" i="67"/>
  <c r="G120"/>
  <c r="I120"/>
  <c r="Q120"/>
  <c r="M120"/>
  <c r="O120"/>
  <c r="O88" i="69"/>
  <c r="I88"/>
  <c r="M88"/>
  <c r="G88"/>
  <c r="Q88"/>
  <c r="K88"/>
  <c r="M140"/>
  <c r="K140"/>
  <c r="O140"/>
  <c r="Q140"/>
  <c r="I140"/>
  <c r="G140"/>
  <c r="D242" i="67"/>
  <c r="D242" i="69"/>
  <c r="I542" i="1"/>
  <c r="K542" s="1"/>
  <c r="O135" i="69"/>
  <c r="M135"/>
  <c r="Q135"/>
  <c r="I135"/>
  <c r="K135"/>
  <c r="G135"/>
  <c r="G495"/>
  <c r="Q495"/>
  <c r="K495"/>
  <c r="M495"/>
  <c r="I495"/>
  <c r="O495"/>
  <c r="Q631" i="67"/>
  <c r="K631"/>
  <c r="M631"/>
  <c r="G631"/>
  <c r="R631" s="1"/>
  <c r="S631" s="1"/>
  <c r="O631"/>
  <c r="I631"/>
  <c r="D465"/>
  <c r="D465" i="69"/>
  <c r="D529"/>
  <c r="D529" i="67"/>
  <c r="V542" i="1"/>
  <c r="X542" s="1"/>
  <c r="V543" s="1"/>
  <c r="X543" s="1"/>
  <c r="V544" s="1"/>
  <c r="X544" s="1"/>
  <c r="V545" s="1"/>
  <c r="X545" s="1"/>
  <c r="V546" s="1"/>
  <c r="X546" s="1"/>
  <c r="V547" s="1"/>
  <c r="X547" s="1"/>
  <c r="V548" s="1"/>
  <c r="X548" s="1"/>
  <c r="V549" s="1"/>
  <c r="X549" s="1"/>
  <c r="M464" i="67"/>
  <c r="K464"/>
  <c r="G464"/>
  <c r="I464"/>
  <c r="Q464"/>
  <c r="O464"/>
  <c r="I67"/>
  <c r="O67"/>
  <c r="Q67"/>
  <c r="M67"/>
  <c r="G67"/>
  <c r="K67"/>
  <c r="AG446" i="1"/>
  <c r="D172" i="69"/>
  <c r="D172" i="67"/>
  <c r="D629"/>
  <c r="D629" i="69"/>
  <c r="R963" i="67"/>
  <c r="S963" s="1"/>
  <c r="R533"/>
  <c r="S533" s="1"/>
  <c r="R841"/>
  <c r="S841" s="1"/>
  <c r="R512"/>
  <c r="S512" s="1"/>
  <c r="R494"/>
  <c r="S494" s="1"/>
  <c r="R162"/>
  <c r="S162" s="1"/>
  <c r="R119"/>
  <c r="S119" s="1"/>
  <c r="R886"/>
  <c r="S886" s="1"/>
  <c r="Q572"/>
  <c r="I572"/>
  <c r="G572"/>
  <c r="Q482"/>
  <c r="I482"/>
  <c r="G482"/>
  <c r="Q948"/>
  <c r="G948"/>
  <c r="I948"/>
  <c r="Q951"/>
  <c r="G951"/>
  <c r="I951"/>
  <c r="G585"/>
  <c r="I585"/>
  <c r="R571"/>
  <c r="S571" s="1"/>
  <c r="R947"/>
  <c r="S947" s="1"/>
  <c r="R481"/>
  <c r="S481" s="1"/>
  <c r="Q585"/>
  <c r="K585"/>
  <c r="O585"/>
  <c r="M585"/>
  <c r="D586"/>
  <c r="AR155" i="1"/>
  <c r="AU155"/>
  <c r="AV155" s="1"/>
  <c r="D586" i="69"/>
  <c r="AS156" i="1"/>
  <c r="Q585" i="69"/>
  <c r="O585"/>
  <c r="M585"/>
  <c r="I585"/>
  <c r="G585"/>
  <c r="K585"/>
  <c r="D593"/>
  <c r="AS188" i="1"/>
  <c r="AU187"/>
  <c r="AV187" s="1"/>
  <c r="AR187"/>
  <c r="D593" i="67"/>
  <c r="AT155" i="1"/>
  <c r="K948" i="69"/>
  <c r="M948"/>
  <c r="Q948"/>
  <c r="I948"/>
  <c r="G948"/>
  <c r="O948"/>
  <c r="M572"/>
  <c r="G572"/>
  <c r="K572"/>
  <c r="I572"/>
  <c r="O572"/>
  <c r="Q572"/>
  <c r="K482" i="67"/>
  <c r="M482"/>
  <c r="O482"/>
  <c r="O948"/>
  <c r="K948"/>
  <c r="M948"/>
  <c r="K572"/>
  <c r="M572"/>
  <c r="O572"/>
  <c r="D483" i="69"/>
  <c r="D483" i="67"/>
  <c r="X724" i="1"/>
  <c r="Q951" i="69"/>
  <c r="K951"/>
  <c r="G951"/>
  <c r="M951"/>
  <c r="I951"/>
  <c r="O951"/>
  <c r="Q482"/>
  <c r="G482"/>
  <c r="M482"/>
  <c r="I482"/>
  <c r="K482"/>
  <c r="O482"/>
  <c r="V490" i="1"/>
  <c r="X490" s="1"/>
  <c r="D573" i="67"/>
  <c r="D573" i="69"/>
  <c r="M951" i="67"/>
  <c r="O951"/>
  <c r="K951"/>
  <c r="K629" l="1"/>
  <c r="M629"/>
  <c r="I629"/>
  <c r="G629"/>
  <c r="Q629"/>
  <c r="O629"/>
  <c r="G465"/>
  <c r="O465"/>
  <c r="K465"/>
  <c r="I465"/>
  <c r="M465"/>
  <c r="Q465"/>
  <c r="Q242" i="69"/>
  <c r="I242"/>
  <c r="O242"/>
  <c r="M242"/>
  <c r="K242"/>
  <c r="G242"/>
  <c r="AB566" i="1"/>
  <c r="AD566" s="1"/>
  <c r="D562" i="67"/>
  <c r="D562" i="69"/>
  <c r="G488" i="67"/>
  <c r="R488" s="1"/>
  <c r="S488" s="1"/>
  <c r="I488"/>
  <c r="K488"/>
  <c r="Q488"/>
  <c r="O488"/>
  <c r="M488"/>
  <c r="G68"/>
  <c r="K68"/>
  <c r="O68"/>
  <c r="I68"/>
  <c r="M68"/>
  <c r="Q68"/>
  <c r="M74" i="69"/>
  <c r="K74"/>
  <c r="G74"/>
  <c r="Q74"/>
  <c r="I74"/>
  <c r="O74"/>
  <c r="G540" i="67"/>
  <c r="O540"/>
  <c r="K540"/>
  <c r="I540"/>
  <c r="Q540"/>
  <c r="M540"/>
  <c r="D497" i="69"/>
  <c r="X694" i="1"/>
  <c r="D497" i="67"/>
  <c r="O566" i="69"/>
  <c r="M566"/>
  <c r="G566"/>
  <c r="Q566"/>
  <c r="K566"/>
  <c r="I566"/>
  <c r="D96" i="67"/>
  <c r="AG354" i="1"/>
  <c r="D96" i="69"/>
  <c r="D142" i="67"/>
  <c r="AG415" i="1"/>
  <c r="D142" i="69"/>
  <c r="G121"/>
  <c r="Q121"/>
  <c r="K121"/>
  <c r="M121"/>
  <c r="O121"/>
  <c r="I121"/>
  <c r="R1164" i="1"/>
  <c r="D515" i="67"/>
  <c r="D515" i="69"/>
  <c r="R495" i="67"/>
  <c r="S495" s="1"/>
  <c r="R565"/>
  <c r="S565" s="1"/>
  <c r="R628"/>
  <c r="S628" s="1"/>
  <c r="R528"/>
  <c r="S528" s="1"/>
  <c r="R560"/>
  <c r="S560" s="1"/>
  <c r="R88"/>
  <c r="S88" s="1"/>
  <c r="G629" i="69"/>
  <c r="K629"/>
  <c r="O629"/>
  <c r="M629"/>
  <c r="I629"/>
  <c r="Q629"/>
  <c r="D175" i="67"/>
  <c r="D174" i="69"/>
  <c r="AG448" i="1"/>
  <c r="D174" i="67"/>
  <c r="D175" i="69"/>
  <c r="Q465"/>
  <c r="K465"/>
  <c r="O465"/>
  <c r="G465"/>
  <c r="I465"/>
  <c r="M465"/>
  <c r="I543" i="1"/>
  <c r="K543" s="1"/>
  <c r="D243" i="67"/>
  <c r="D243" i="69"/>
  <c r="G561"/>
  <c r="M561"/>
  <c r="O561"/>
  <c r="Q561"/>
  <c r="K561"/>
  <c r="I561"/>
  <c r="X748" i="1"/>
  <c r="D489" i="69"/>
  <c r="D489" i="67"/>
  <c r="O68" i="69"/>
  <c r="M68"/>
  <c r="K68"/>
  <c r="Q68"/>
  <c r="I68"/>
  <c r="G68"/>
  <c r="K74" i="67"/>
  <c r="M74"/>
  <c r="G74"/>
  <c r="I74"/>
  <c r="O74"/>
  <c r="Q74"/>
  <c r="K466" i="69"/>
  <c r="Q466"/>
  <c r="I466"/>
  <c r="M466"/>
  <c r="O466"/>
  <c r="G466"/>
  <c r="I546"/>
  <c r="G546"/>
  <c r="M546"/>
  <c r="O546"/>
  <c r="Q546"/>
  <c r="K546"/>
  <c r="Q630"/>
  <c r="K630"/>
  <c r="M630"/>
  <c r="G630"/>
  <c r="O630"/>
  <c r="I630"/>
  <c r="I566" i="67"/>
  <c r="K566"/>
  <c r="Q566"/>
  <c r="M566"/>
  <c r="G566"/>
  <c r="O566"/>
  <c r="D536"/>
  <c r="D536" i="69"/>
  <c r="I95"/>
  <c r="M95"/>
  <c r="G95"/>
  <c r="O95"/>
  <c r="Q95"/>
  <c r="K95"/>
  <c r="Q141" i="67"/>
  <c r="K141"/>
  <c r="O141"/>
  <c r="G141"/>
  <c r="R141" s="1"/>
  <c r="M141"/>
  <c r="I141"/>
  <c r="AG380" i="1"/>
  <c r="D122" i="67"/>
  <c r="D122" i="69"/>
  <c r="Q514"/>
  <c r="I514"/>
  <c r="G514"/>
  <c r="M514"/>
  <c r="O514"/>
  <c r="K514"/>
  <c r="R94" i="67"/>
  <c r="S94" s="1"/>
  <c r="Q172" i="69"/>
  <c r="I172"/>
  <c r="G172"/>
  <c r="K172"/>
  <c r="M172"/>
  <c r="O172"/>
  <c r="M529"/>
  <c r="O529"/>
  <c r="K529"/>
  <c r="Q529"/>
  <c r="G529"/>
  <c r="I529"/>
  <c r="Q561" i="67"/>
  <c r="O561"/>
  <c r="M561"/>
  <c r="I561"/>
  <c r="G561"/>
  <c r="K561"/>
  <c r="M488" i="69"/>
  <c r="I488"/>
  <c r="Q488"/>
  <c r="O488"/>
  <c r="G488"/>
  <c r="K488"/>
  <c r="Q466" i="67"/>
  <c r="O466"/>
  <c r="M466"/>
  <c r="G466"/>
  <c r="R466" s="1"/>
  <c r="S466" s="1"/>
  <c r="K466"/>
  <c r="I466"/>
  <c r="M540" i="69"/>
  <c r="I540"/>
  <c r="Q540"/>
  <c r="O540"/>
  <c r="G540"/>
  <c r="K540"/>
  <c r="D547" i="67"/>
  <c r="D547" i="69"/>
  <c r="AI564" i="1"/>
  <c r="AK564" s="1"/>
  <c r="G630" i="67"/>
  <c r="R630" s="1"/>
  <c r="K630"/>
  <c r="I630"/>
  <c r="M630"/>
  <c r="Q630"/>
  <c r="O630"/>
  <c r="K496" i="69"/>
  <c r="Q496"/>
  <c r="G496"/>
  <c r="I496"/>
  <c r="M496"/>
  <c r="O496"/>
  <c r="K555"/>
  <c r="G555"/>
  <c r="M555"/>
  <c r="Q555"/>
  <c r="O555"/>
  <c r="I555"/>
  <c r="D567"/>
  <c r="AB490" i="1"/>
  <c r="AD490" s="1"/>
  <c r="D567" i="67"/>
  <c r="R965"/>
  <c r="S965" s="1"/>
  <c r="K535" i="69"/>
  <c r="I535"/>
  <c r="Q535"/>
  <c r="G535"/>
  <c r="M535"/>
  <c r="O535"/>
  <c r="G95" i="67"/>
  <c r="O95"/>
  <c r="I95"/>
  <c r="K95"/>
  <c r="Q95"/>
  <c r="M95"/>
  <c r="Q141" i="69"/>
  <c r="M141"/>
  <c r="O141"/>
  <c r="K141"/>
  <c r="I141"/>
  <c r="G141"/>
  <c r="I514" i="67"/>
  <c r="O514"/>
  <c r="Q514"/>
  <c r="M514"/>
  <c r="K514"/>
  <c r="G514"/>
  <c r="R120"/>
  <c r="S120" s="1"/>
  <c r="R534"/>
  <c r="S534" s="1"/>
  <c r="R554"/>
  <c r="S554" s="1"/>
  <c r="R254"/>
  <c r="S254" s="1"/>
  <c r="R241"/>
  <c r="S241" s="1"/>
  <c r="R140"/>
  <c r="S140" s="1"/>
  <c r="R539"/>
  <c r="S539" s="1"/>
  <c r="AG381" i="1"/>
  <c r="Q172" i="67"/>
  <c r="K172"/>
  <c r="O172"/>
  <c r="M172"/>
  <c r="G172"/>
  <c r="R172" s="1"/>
  <c r="S172" s="1"/>
  <c r="I172"/>
  <c r="Q529"/>
  <c r="K529"/>
  <c r="O529"/>
  <c r="G529"/>
  <c r="R529" s="1"/>
  <c r="S529" s="1"/>
  <c r="I529"/>
  <c r="M529"/>
  <c r="K242"/>
  <c r="O242"/>
  <c r="G242"/>
  <c r="I242"/>
  <c r="M242"/>
  <c r="Q242"/>
  <c r="K829" i="1"/>
  <c r="D75" i="69"/>
  <c r="D75" i="67"/>
  <c r="D541" i="69"/>
  <c r="D541" i="67"/>
  <c r="AI541" i="1"/>
  <c r="AK541" s="1"/>
  <c r="I546" i="67"/>
  <c r="K546"/>
  <c r="Q546"/>
  <c r="O546"/>
  <c r="G546"/>
  <c r="R546" s="1"/>
  <c r="S546" s="1"/>
  <c r="M546"/>
  <c r="L475" i="1"/>
  <c r="K476"/>
  <c r="G496" i="67"/>
  <c r="R496" s="1"/>
  <c r="O496"/>
  <c r="I496"/>
  <c r="M496"/>
  <c r="Q496"/>
  <c r="K496"/>
  <c r="O555"/>
  <c r="M555"/>
  <c r="I555"/>
  <c r="K555"/>
  <c r="G555"/>
  <c r="Q555"/>
  <c r="O535"/>
  <c r="G535"/>
  <c r="M535"/>
  <c r="I535"/>
  <c r="Q535"/>
  <c r="K535"/>
  <c r="M136" i="69"/>
  <c r="Q136"/>
  <c r="K136"/>
  <c r="O136"/>
  <c r="G136"/>
  <c r="I136"/>
  <c r="G121" i="67"/>
  <c r="R121" s="1"/>
  <c r="O121"/>
  <c r="I121"/>
  <c r="K121"/>
  <c r="Q121"/>
  <c r="S121" s="1"/>
  <c r="M121"/>
  <c r="R67"/>
  <c r="S67" s="1"/>
  <c r="R464"/>
  <c r="S464" s="1"/>
  <c r="R168"/>
  <c r="S168" s="1"/>
  <c r="R964"/>
  <c r="S964" s="1"/>
  <c r="R545"/>
  <c r="S545" s="1"/>
  <c r="R487"/>
  <c r="S487" s="1"/>
  <c r="R73"/>
  <c r="S73" s="1"/>
  <c r="R951"/>
  <c r="S951" s="1"/>
  <c r="Q573"/>
  <c r="G573"/>
  <c r="I573"/>
  <c r="G593"/>
  <c r="I593"/>
  <c r="R585"/>
  <c r="S585" s="1"/>
  <c r="R948"/>
  <c r="S948" s="1"/>
  <c r="Q483"/>
  <c r="I483"/>
  <c r="G483"/>
  <c r="I586"/>
  <c r="G586"/>
  <c r="R482"/>
  <c r="S482" s="1"/>
  <c r="R572"/>
  <c r="S572" s="1"/>
  <c r="D594" i="69"/>
  <c r="AU188" i="1"/>
  <c r="AV188" s="1"/>
  <c r="AS189"/>
  <c r="AR188"/>
  <c r="D594" i="67"/>
  <c r="AU156" i="1"/>
  <c r="AV156" s="1"/>
  <c r="AR156"/>
  <c r="D587" i="67"/>
  <c r="D587" i="69"/>
  <c r="AT156" i="1"/>
  <c r="AS157"/>
  <c r="Q593" i="67"/>
  <c r="M593"/>
  <c r="K593"/>
  <c r="O593"/>
  <c r="I593" i="69"/>
  <c r="O593"/>
  <c r="G593"/>
  <c r="K593"/>
  <c r="Q593"/>
  <c r="M593"/>
  <c r="M586"/>
  <c r="I586"/>
  <c r="K586"/>
  <c r="G586"/>
  <c r="O586"/>
  <c r="Q586"/>
  <c r="Q586" i="67"/>
  <c r="M586"/>
  <c r="K586"/>
  <c r="O586"/>
  <c r="D574"/>
  <c r="D574" i="69"/>
  <c r="M573" i="67"/>
  <c r="O573"/>
  <c r="K573"/>
  <c r="G573" i="69"/>
  <c r="Q573"/>
  <c r="M573"/>
  <c r="O573"/>
  <c r="K573"/>
  <c r="I573"/>
  <c r="G483"/>
  <c r="O483"/>
  <c r="Q483"/>
  <c r="I483"/>
  <c r="K483"/>
  <c r="M483"/>
  <c r="K483" i="67"/>
  <c r="M483"/>
  <c r="O483"/>
  <c r="L476" i="1" l="1"/>
  <c r="K477"/>
  <c r="D542" i="69"/>
  <c r="D542" i="67"/>
  <c r="AI542" i="1"/>
  <c r="AK542" s="1"/>
  <c r="AI543" s="1"/>
  <c r="AK543" s="1"/>
  <c r="AI544" s="1"/>
  <c r="AK544" s="1"/>
  <c r="AI545" s="1"/>
  <c r="AK545" s="1"/>
  <c r="AI546" s="1"/>
  <c r="AK546" s="1"/>
  <c r="AI547" s="1"/>
  <c r="AK547" s="1"/>
  <c r="AI548" s="1"/>
  <c r="AK548" s="1"/>
  <c r="AI549" s="1"/>
  <c r="AK549" s="1"/>
  <c r="Q75" i="69"/>
  <c r="K75"/>
  <c r="G75"/>
  <c r="O75"/>
  <c r="M75"/>
  <c r="I75"/>
  <c r="D330"/>
  <c r="D124" i="67"/>
  <c r="D124" i="69"/>
  <c r="D330" i="67"/>
  <c r="D568"/>
  <c r="AD491" i="1"/>
  <c r="AD492" s="1"/>
  <c r="AD493" s="1"/>
  <c r="AD494" s="1"/>
  <c r="AD495" s="1"/>
  <c r="AD496" s="1"/>
  <c r="AD497" s="1"/>
  <c r="AD498" s="1"/>
  <c r="D568" i="69"/>
  <c r="D548" i="67"/>
  <c r="D548" i="69"/>
  <c r="AI565" i="1"/>
  <c r="AK565" s="1"/>
  <c r="D123" i="67"/>
  <c r="D123" i="69"/>
  <c r="I489"/>
  <c r="O489"/>
  <c r="Q489"/>
  <c r="K489"/>
  <c r="G489"/>
  <c r="M489"/>
  <c r="M243"/>
  <c r="I243"/>
  <c r="Q243"/>
  <c r="O243"/>
  <c r="K243"/>
  <c r="G243"/>
  <c r="I174"/>
  <c r="K174"/>
  <c r="M174"/>
  <c r="O174"/>
  <c r="Q174"/>
  <c r="G174"/>
  <c r="K515"/>
  <c r="I515"/>
  <c r="Q515"/>
  <c r="G515"/>
  <c r="M515"/>
  <c r="O515"/>
  <c r="Q96"/>
  <c r="M96"/>
  <c r="O96"/>
  <c r="G96"/>
  <c r="K96"/>
  <c r="I96"/>
  <c r="M562"/>
  <c r="G562"/>
  <c r="O562"/>
  <c r="I562"/>
  <c r="K562"/>
  <c r="Q562"/>
  <c r="R566" i="67"/>
  <c r="S566" s="1"/>
  <c r="I75"/>
  <c r="K75"/>
  <c r="Q75"/>
  <c r="O75"/>
  <c r="G75"/>
  <c r="M75"/>
  <c r="I567"/>
  <c r="Q567"/>
  <c r="O567"/>
  <c r="M567"/>
  <c r="G567"/>
  <c r="K567"/>
  <c r="K122"/>
  <c r="G122"/>
  <c r="R122" s="1"/>
  <c r="S122" s="1"/>
  <c r="M122"/>
  <c r="I122"/>
  <c r="Q122"/>
  <c r="O122"/>
  <c r="I489"/>
  <c r="Q489"/>
  <c r="M489"/>
  <c r="G489"/>
  <c r="R489" s="1"/>
  <c r="S489" s="1"/>
  <c r="O489"/>
  <c r="K489"/>
  <c r="D176"/>
  <c r="D176" i="69"/>
  <c r="AG449" i="1"/>
  <c r="D190" i="67"/>
  <c r="D190" i="69"/>
  <c r="I142" i="67"/>
  <c r="M142"/>
  <c r="Q142"/>
  <c r="O142"/>
  <c r="G142"/>
  <c r="R142" s="1"/>
  <c r="K142"/>
  <c r="Q497" i="69"/>
  <c r="O497"/>
  <c r="I497"/>
  <c r="G497"/>
  <c r="K497"/>
  <c r="M497"/>
  <c r="S496" i="67"/>
  <c r="S630"/>
  <c r="Q541" i="69"/>
  <c r="G541"/>
  <c r="I541"/>
  <c r="M541"/>
  <c r="K541"/>
  <c r="O541"/>
  <c r="O547" i="67"/>
  <c r="G547"/>
  <c r="I547"/>
  <c r="Q547"/>
  <c r="K547"/>
  <c r="M547"/>
  <c r="M122" i="69"/>
  <c r="O122"/>
  <c r="Q122"/>
  <c r="G122"/>
  <c r="K122"/>
  <c r="I122"/>
  <c r="G536" i="67"/>
  <c r="O536"/>
  <c r="Q536"/>
  <c r="I536"/>
  <c r="M536"/>
  <c r="K536"/>
  <c r="I544" i="1"/>
  <c r="K544" s="1"/>
  <c r="D244" i="67"/>
  <c r="D244" i="69"/>
  <c r="I174" i="67"/>
  <c r="Q174"/>
  <c r="O174"/>
  <c r="M174"/>
  <c r="G174"/>
  <c r="K174"/>
  <c r="D516" i="69"/>
  <c r="R1165" i="1"/>
  <c r="D516" i="67"/>
  <c r="AG416" i="1"/>
  <c r="D143" i="69"/>
  <c r="D187"/>
  <c r="D187" i="67"/>
  <c r="D143"/>
  <c r="O96"/>
  <c r="G96"/>
  <c r="I96"/>
  <c r="K96"/>
  <c r="Q96"/>
  <c r="M96"/>
  <c r="X695" i="1"/>
  <c r="D500" i="67"/>
  <c r="D500" i="69"/>
  <c r="D498" i="67"/>
  <c r="D498" i="69"/>
  <c r="R535" i="67"/>
  <c r="S535" s="1"/>
  <c r="S242"/>
  <c r="R95"/>
  <c r="S95" s="1"/>
  <c r="R561"/>
  <c r="S561" s="1"/>
  <c r="S141"/>
  <c r="R74"/>
  <c r="S74" s="1"/>
  <c r="R465"/>
  <c r="S465" s="1"/>
  <c r="O541"/>
  <c r="I541"/>
  <c r="M541"/>
  <c r="K541"/>
  <c r="G541"/>
  <c r="Q541"/>
  <c r="D76" i="69"/>
  <c r="D76" i="67"/>
  <c r="K830" i="1"/>
  <c r="G567" i="69"/>
  <c r="O567"/>
  <c r="K567"/>
  <c r="Q567"/>
  <c r="I567"/>
  <c r="M567"/>
  <c r="O547"/>
  <c r="M547"/>
  <c r="G547"/>
  <c r="Q547"/>
  <c r="K547"/>
  <c r="I547"/>
  <c r="Q536"/>
  <c r="O536"/>
  <c r="I536"/>
  <c r="G536"/>
  <c r="M536"/>
  <c r="K536"/>
  <c r="D490"/>
  <c r="Y748" i="1"/>
  <c r="Y749" s="1"/>
  <c r="X749"/>
  <c r="D490" i="67"/>
  <c r="G243"/>
  <c r="K243"/>
  <c r="I243"/>
  <c r="Q243"/>
  <c r="M243"/>
  <c r="O243"/>
  <c r="K175" i="69"/>
  <c r="G175"/>
  <c r="M175"/>
  <c r="Q175"/>
  <c r="I175"/>
  <c r="O175"/>
  <c r="M175" i="67"/>
  <c r="G175"/>
  <c r="O175"/>
  <c r="I175"/>
  <c r="K175"/>
  <c r="Q175"/>
  <c r="Q515"/>
  <c r="O515"/>
  <c r="G515"/>
  <c r="I515"/>
  <c r="K515"/>
  <c r="M515"/>
  <c r="M142" i="69"/>
  <c r="G142"/>
  <c r="I142"/>
  <c r="K142"/>
  <c r="O142"/>
  <c r="Q142"/>
  <c r="AG355" i="1"/>
  <c r="D97" i="69"/>
  <c r="D97" i="67"/>
  <c r="I497"/>
  <c r="M497"/>
  <c r="K497"/>
  <c r="Q497"/>
  <c r="G497"/>
  <c r="O497"/>
  <c r="Q562"/>
  <c r="M562"/>
  <c r="G562"/>
  <c r="I562"/>
  <c r="O562"/>
  <c r="K562"/>
  <c r="R555"/>
  <c r="S555" s="1"/>
  <c r="R242"/>
  <c r="R514"/>
  <c r="S514" s="1"/>
  <c r="R540"/>
  <c r="S540" s="1"/>
  <c r="R68"/>
  <c r="S68" s="1"/>
  <c r="R629"/>
  <c r="S629" s="1"/>
  <c r="R573"/>
  <c r="S573" s="1"/>
  <c r="Q574"/>
  <c r="I574"/>
  <c r="G574"/>
  <c r="I587"/>
  <c r="G587"/>
  <c r="R593"/>
  <c r="S593" s="1"/>
  <c r="R586"/>
  <c r="S586" s="1"/>
  <c r="I594"/>
  <c r="G594"/>
  <c r="R483"/>
  <c r="S483" s="1"/>
  <c r="AR157" i="1"/>
  <c r="AU157"/>
  <c r="AV157" s="1"/>
  <c r="AS158"/>
  <c r="D588" i="69"/>
  <c r="D588" i="67"/>
  <c r="Q587"/>
  <c r="K587"/>
  <c r="O587"/>
  <c r="M587"/>
  <c r="Q594"/>
  <c r="M594"/>
  <c r="K594"/>
  <c r="O594"/>
  <c r="O594" i="69"/>
  <c r="M594"/>
  <c r="Q594"/>
  <c r="G594"/>
  <c r="I594"/>
  <c r="K594"/>
  <c r="Q587"/>
  <c r="M587"/>
  <c r="I587"/>
  <c r="K587"/>
  <c r="G587"/>
  <c r="O587"/>
  <c r="D595"/>
  <c r="AS190" i="1"/>
  <c r="AR189"/>
  <c r="AU189"/>
  <c r="AV189" s="1"/>
  <c r="D595" i="67"/>
  <c r="K574"/>
  <c r="O574"/>
  <c r="M574"/>
  <c r="O574" i="69"/>
  <c r="Q574"/>
  <c r="M574"/>
  <c r="G574"/>
  <c r="I574"/>
  <c r="K574"/>
  <c r="AG356" i="1" l="1"/>
  <c r="D98" i="67"/>
  <c r="D98" i="69"/>
  <c r="D491"/>
  <c r="D491" i="67"/>
  <c r="X750" i="1"/>
  <c r="X751" s="1"/>
  <c r="X752" s="1"/>
  <c r="X753" s="1"/>
  <c r="Q500" i="67"/>
  <c r="K500"/>
  <c r="G500"/>
  <c r="M500"/>
  <c r="I500"/>
  <c r="O500"/>
  <c r="O143"/>
  <c r="G143"/>
  <c r="I143"/>
  <c r="Q143"/>
  <c r="K143"/>
  <c r="M143"/>
  <c r="D144"/>
  <c r="AG417" i="1"/>
  <c r="D188" i="69"/>
  <c r="D188" i="67"/>
  <c r="D144" i="69"/>
  <c r="D245" i="67"/>
  <c r="D245" i="69"/>
  <c r="I545" i="1"/>
  <c r="K545" s="1"/>
  <c r="O190" i="69"/>
  <c r="M190"/>
  <c r="I190"/>
  <c r="G190"/>
  <c r="Q190"/>
  <c r="K190"/>
  <c r="G176" i="67"/>
  <c r="M176"/>
  <c r="I176"/>
  <c r="O176"/>
  <c r="Q176"/>
  <c r="K176"/>
  <c r="R75"/>
  <c r="S75" s="1"/>
  <c r="D549"/>
  <c r="D549" i="69"/>
  <c r="AI566" i="1"/>
  <c r="AK566" s="1"/>
  <c r="Q124" i="67"/>
  <c r="O124"/>
  <c r="G124"/>
  <c r="R124" s="1"/>
  <c r="S124" s="1"/>
  <c r="I124"/>
  <c r="K124"/>
  <c r="M124"/>
  <c r="K97" i="69"/>
  <c r="Q97"/>
  <c r="M97"/>
  <c r="O97"/>
  <c r="G97"/>
  <c r="I97"/>
  <c r="G490" i="67"/>
  <c r="M490"/>
  <c r="I490"/>
  <c r="K490"/>
  <c r="Q490"/>
  <c r="O490"/>
  <c r="O76" i="69"/>
  <c r="G76"/>
  <c r="M76"/>
  <c r="I76"/>
  <c r="Q76"/>
  <c r="K76"/>
  <c r="O500"/>
  <c r="I500"/>
  <c r="G500"/>
  <c r="Q500"/>
  <c r="M500"/>
  <c r="K500"/>
  <c r="M143"/>
  <c r="I143"/>
  <c r="Q143"/>
  <c r="G143"/>
  <c r="O143"/>
  <c r="K143"/>
  <c r="Q516"/>
  <c r="I516"/>
  <c r="M516"/>
  <c r="G516"/>
  <c r="O516"/>
  <c r="K516"/>
  <c r="G244" i="67"/>
  <c r="R244" s="1"/>
  <c r="O244"/>
  <c r="I244"/>
  <c r="M244"/>
  <c r="Q244"/>
  <c r="K244"/>
  <c r="M176" i="69"/>
  <c r="Q176"/>
  <c r="O176"/>
  <c r="I176"/>
  <c r="G176"/>
  <c r="K176"/>
  <c r="I123" i="67"/>
  <c r="K123"/>
  <c r="Q123"/>
  <c r="O123"/>
  <c r="G123"/>
  <c r="R123" s="1"/>
  <c r="M123"/>
  <c r="Q568" i="69"/>
  <c r="K568"/>
  <c r="O568"/>
  <c r="G568"/>
  <c r="M568"/>
  <c r="I568"/>
  <c r="Q124"/>
  <c r="K124"/>
  <c r="I124"/>
  <c r="O124"/>
  <c r="G124"/>
  <c r="M124"/>
  <c r="L477" i="1"/>
  <c r="K478"/>
  <c r="S96" i="67"/>
  <c r="I97"/>
  <c r="K97"/>
  <c r="Q97"/>
  <c r="M97"/>
  <c r="G97"/>
  <c r="O97"/>
  <c r="K490" i="69"/>
  <c r="O490"/>
  <c r="I490"/>
  <c r="M490"/>
  <c r="G490"/>
  <c r="Q490"/>
  <c r="Q76" i="67"/>
  <c r="O76"/>
  <c r="M76"/>
  <c r="G76"/>
  <c r="R76" s="1"/>
  <c r="S76" s="1"/>
  <c r="I76"/>
  <c r="K76"/>
  <c r="I498"/>
  <c r="M498"/>
  <c r="Q498"/>
  <c r="K498"/>
  <c r="G498"/>
  <c r="O498"/>
  <c r="O187" i="69"/>
  <c r="I187"/>
  <c r="M187"/>
  <c r="Q187"/>
  <c r="G187"/>
  <c r="K187"/>
  <c r="R1166" i="1"/>
  <c r="D517" i="69"/>
  <c r="D517" i="67"/>
  <c r="Q244" i="69"/>
  <c r="K244"/>
  <c r="O244"/>
  <c r="M244"/>
  <c r="G244"/>
  <c r="I244"/>
  <c r="D191"/>
  <c r="D191" i="67"/>
  <c r="D177"/>
  <c r="AG450" i="1"/>
  <c r="D177" i="69"/>
  <c r="O123"/>
  <c r="Q123"/>
  <c r="M123"/>
  <c r="G123"/>
  <c r="I123"/>
  <c r="K123"/>
  <c r="Q548" i="67"/>
  <c r="K548"/>
  <c r="M548"/>
  <c r="G548"/>
  <c r="I548"/>
  <c r="O548"/>
  <c r="O330"/>
  <c r="K330"/>
  <c r="G330"/>
  <c r="I330"/>
  <c r="Q330"/>
  <c r="M330"/>
  <c r="G542" i="69"/>
  <c r="I542"/>
  <c r="Q542"/>
  <c r="K542"/>
  <c r="M542"/>
  <c r="O542"/>
  <c r="R515" i="67"/>
  <c r="S515" s="1"/>
  <c r="R243"/>
  <c r="S243" s="1"/>
  <c r="R96"/>
  <c r="R536"/>
  <c r="S536" s="1"/>
  <c r="R567"/>
  <c r="S567" s="1"/>
  <c r="K831" i="1"/>
  <c r="D77" i="67"/>
  <c r="D77" i="69"/>
  <c r="M498"/>
  <c r="O498"/>
  <c r="Q498"/>
  <c r="I498"/>
  <c r="G498"/>
  <c r="K498"/>
  <c r="D618" i="67"/>
  <c r="X696" i="1"/>
  <c r="D618" i="69"/>
  <c r="G187" i="67"/>
  <c r="O187"/>
  <c r="I187"/>
  <c r="M187"/>
  <c r="Q187"/>
  <c r="K187"/>
  <c r="G516"/>
  <c r="M516"/>
  <c r="O516"/>
  <c r="I516"/>
  <c r="K516"/>
  <c r="Q516"/>
  <c r="G190"/>
  <c r="K190"/>
  <c r="I190"/>
  <c r="O190"/>
  <c r="M190"/>
  <c r="Q190"/>
  <c r="I548" i="69"/>
  <c r="O548"/>
  <c r="K548"/>
  <c r="Q548"/>
  <c r="G548"/>
  <c r="M548"/>
  <c r="G568" i="67"/>
  <c r="M568"/>
  <c r="I568"/>
  <c r="K568"/>
  <c r="Q568"/>
  <c r="O568"/>
  <c r="Q330" i="69"/>
  <c r="I330"/>
  <c r="O330"/>
  <c r="K330"/>
  <c r="G330"/>
  <c r="M330"/>
  <c r="I542" i="67"/>
  <c r="M542"/>
  <c r="Q542"/>
  <c r="O542"/>
  <c r="G542"/>
  <c r="K542"/>
  <c r="R562"/>
  <c r="S562" s="1"/>
  <c r="R497"/>
  <c r="S497" s="1"/>
  <c r="R175"/>
  <c r="S175" s="1"/>
  <c r="R541"/>
  <c r="S541" s="1"/>
  <c r="R174"/>
  <c r="S174" s="1"/>
  <c r="R547"/>
  <c r="S547" s="1"/>
  <c r="S142"/>
  <c r="I595"/>
  <c r="G595"/>
  <c r="R574"/>
  <c r="S574" s="1"/>
  <c r="I588"/>
  <c r="G588"/>
  <c r="R594"/>
  <c r="S594" s="1"/>
  <c r="R587"/>
  <c r="S587" s="1"/>
  <c r="Q595"/>
  <c r="O595"/>
  <c r="M595"/>
  <c r="K595"/>
  <c r="Q588" i="69"/>
  <c r="M588"/>
  <c r="O588"/>
  <c r="K588"/>
  <c r="G588"/>
  <c r="I588"/>
  <c r="Q588" i="67"/>
  <c r="K588"/>
  <c r="O588"/>
  <c r="M588"/>
  <c r="AR190" i="1"/>
  <c r="AU190"/>
  <c r="AV190" s="1"/>
  <c r="D596" i="67"/>
  <c r="AS191" i="1"/>
  <c r="D596" i="69"/>
  <c r="M595"/>
  <c r="G595"/>
  <c r="I595"/>
  <c r="K595"/>
  <c r="O595"/>
  <c r="Q595"/>
  <c r="AS159" i="1"/>
  <c r="D589" i="67"/>
  <c r="D589" i="69"/>
  <c r="AR158" i="1"/>
  <c r="AU158"/>
  <c r="AV158" s="1"/>
  <c r="G618" i="67" l="1"/>
  <c r="K618"/>
  <c r="I618"/>
  <c r="O618"/>
  <c r="Q618"/>
  <c r="M618"/>
  <c r="K77"/>
  <c r="M77"/>
  <c r="G77"/>
  <c r="I77"/>
  <c r="Q77"/>
  <c r="O77"/>
  <c r="D192"/>
  <c r="D178"/>
  <c r="D192" i="69"/>
  <c r="AG451" i="1"/>
  <c r="D178" i="69"/>
  <c r="R1167" i="1"/>
  <c r="D518" i="67"/>
  <c r="D518" i="69"/>
  <c r="K479" i="1"/>
  <c r="L479" s="1"/>
  <c r="L478"/>
  <c r="G549" i="67"/>
  <c r="O549"/>
  <c r="Q549"/>
  <c r="M549"/>
  <c r="K549"/>
  <c r="I549"/>
  <c r="G245" i="69"/>
  <c r="O245"/>
  <c r="K245"/>
  <c r="M245"/>
  <c r="I245"/>
  <c r="Q245"/>
  <c r="Q188"/>
  <c r="O188"/>
  <c r="I188"/>
  <c r="G188"/>
  <c r="M188"/>
  <c r="K188"/>
  <c r="G491" i="67"/>
  <c r="M491"/>
  <c r="Q491"/>
  <c r="I491"/>
  <c r="K491"/>
  <c r="O491"/>
  <c r="AG357" i="1"/>
  <c r="D99" i="67"/>
  <c r="D99" i="69"/>
  <c r="R330" i="67"/>
  <c r="S330" s="1"/>
  <c r="R498"/>
  <c r="S498" s="1"/>
  <c r="R176"/>
  <c r="S176" s="1"/>
  <c r="R500"/>
  <c r="S500" s="1"/>
  <c r="D501" i="69"/>
  <c r="X697" i="1"/>
  <c r="D501" i="67"/>
  <c r="I77" i="69"/>
  <c r="M77"/>
  <c r="G77"/>
  <c r="Q77"/>
  <c r="K77"/>
  <c r="O77"/>
  <c r="Q177"/>
  <c r="O177"/>
  <c r="G177"/>
  <c r="K177"/>
  <c r="I177"/>
  <c r="M177"/>
  <c r="K191"/>
  <c r="M191"/>
  <c r="G191"/>
  <c r="O191"/>
  <c r="Q191"/>
  <c r="I191"/>
  <c r="G517"/>
  <c r="K517"/>
  <c r="Q517"/>
  <c r="I517"/>
  <c r="O517"/>
  <c r="M517"/>
  <c r="O549"/>
  <c r="K549"/>
  <c r="Q549"/>
  <c r="I549"/>
  <c r="G549"/>
  <c r="M549"/>
  <c r="D246"/>
  <c r="D246" i="67"/>
  <c r="I546" i="1"/>
  <c r="K546" s="1"/>
  <c r="G188" i="67"/>
  <c r="O188"/>
  <c r="I188"/>
  <c r="K188"/>
  <c r="Q188"/>
  <c r="M188"/>
  <c r="G98"/>
  <c r="M98"/>
  <c r="I98"/>
  <c r="K98"/>
  <c r="Q98"/>
  <c r="O98"/>
  <c r="R516"/>
  <c r="S516" s="1"/>
  <c r="S244"/>
  <c r="R143"/>
  <c r="O618" i="69"/>
  <c r="M618"/>
  <c r="G618"/>
  <c r="I618"/>
  <c r="Q618"/>
  <c r="K618"/>
  <c r="G191" i="67"/>
  <c r="K191"/>
  <c r="I191"/>
  <c r="Q191"/>
  <c r="M191"/>
  <c r="O191"/>
  <c r="Q517"/>
  <c r="M517"/>
  <c r="G517"/>
  <c r="I517"/>
  <c r="K517"/>
  <c r="O517"/>
  <c r="I144" i="69"/>
  <c r="M144"/>
  <c r="G144"/>
  <c r="K144"/>
  <c r="Q144"/>
  <c r="O144"/>
  <c r="I144" i="67"/>
  <c r="M144"/>
  <c r="K144"/>
  <c r="Q144"/>
  <c r="G144"/>
  <c r="R144" s="1"/>
  <c r="S144" s="1"/>
  <c r="O144"/>
  <c r="K98" i="69"/>
  <c r="O98"/>
  <c r="M98"/>
  <c r="Q98"/>
  <c r="G98"/>
  <c r="I98"/>
  <c r="R97" i="67"/>
  <c r="S97" s="1"/>
  <c r="K832" i="1"/>
  <c r="D78" i="69"/>
  <c r="D78" i="67"/>
  <c r="Q177"/>
  <c r="M177"/>
  <c r="K177"/>
  <c r="G177"/>
  <c r="I177"/>
  <c r="O177"/>
  <c r="Q245"/>
  <c r="O245"/>
  <c r="M245"/>
  <c r="G245"/>
  <c r="I245"/>
  <c r="K245"/>
  <c r="AG418" i="1"/>
  <c r="D145" i="69"/>
  <c r="D145" i="67"/>
  <c r="G491" i="69"/>
  <c r="Q491"/>
  <c r="I491"/>
  <c r="O491"/>
  <c r="K491"/>
  <c r="M491"/>
  <c r="R542" i="67"/>
  <c r="S542" s="1"/>
  <c r="R568"/>
  <c r="S568" s="1"/>
  <c r="R190"/>
  <c r="S190" s="1"/>
  <c r="S187"/>
  <c r="R187"/>
  <c r="R548"/>
  <c r="S548" s="1"/>
  <c r="S123"/>
  <c r="R490"/>
  <c r="S490" s="1"/>
  <c r="S143"/>
  <c r="I589"/>
  <c r="G589"/>
  <c r="R588"/>
  <c r="S588" s="1"/>
  <c r="R595"/>
  <c r="S595" s="1"/>
  <c r="I596"/>
  <c r="G596"/>
  <c r="K589" i="69"/>
  <c r="I589"/>
  <c r="G589"/>
  <c r="Q589"/>
  <c r="O589"/>
  <c r="M589"/>
  <c r="Q596" i="67"/>
  <c r="K596"/>
  <c r="M596"/>
  <c r="O596"/>
  <c r="D590"/>
  <c r="AR159" i="1"/>
  <c r="D590" i="69"/>
  <c r="AU159" i="1"/>
  <c r="AV159" s="1"/>
  <c r="D597" i="67"/>
  <c r="D597" i="69"/>
  <c r="AR191" i="1"/>
  <c r="AU191"/>
  <c r="AV191" s="1"/>
  <c r="Q589" i="67"/>
  <c r="O589"/>
  <c r="M589"/>
  <c r="K589"/>
  <c r="G596" i="69"/>
  <c r="M596"/>
  <c r="I596"/>
  <c r="K596"/>
  <c r="Q596"/>
  <c r="O596"/>
  <c r="Q78" i="67" l="1"/>
  <c r="M78"/>
  <c r="O78"/>
  <c r="G78"/>
  <c r="I78"/>
  <c r="K78"/>
  <c r="Q246"/>
  <c r="K246"/>
  <c r="O246"/>
  <c r="G246"/>
  <c r="R246" s="1"/>
  <c r="S246" s="1"/>
  <c r="I246"/>
  <c r="M246"/>
  <c r="Q501"/>
  <c r="K501"/>
  <c r="G501"/>
  <c r="I501"/>
  <c r="M501"/>
  <c r="O501"/>
  <c r="Q99" i="69"/>
  <c r="K99"/>
  <c r="O99"/>
  <c r="M99"/>
  <c r="G99"/>
  <c r="I99"/>
  <c r="I178"/>
  <c r="M178"/>
  <c r="O178"/>
  <c r="K178"/>
  <c r="Q178"/>
  <c r="G178"/>
  <c r="I192" i="67"/>
  <c r="K192"/>
  <c r="Q192"/>
  <c r="M192"/>
  <c r="G192"/>
  <c r="O192"/>
  <c r="R177"/>
  <c r="S177" s="1"/>
  <c r="S98"/>
  <c r="R98"/>
  <c r="R491"/>
  <c r="S491" s="1"/>
  <c r="R77"/>
  <c r="S77" s="1"/>
  <c r="R618"/>
  <c r="S618" s="1"/>
  <c r="I547" i="1"/>
  <c r="K547" s="1"/>
  <c r="D247" i="67"/>
  <c r="D247" i="69"/>
  <c r="R1168" i="1"/>
  <c r="D519" i="69"/>
  <c r="D519" i="67"/>
  <c r="Q178"/>
  <c r="K178"/>
  <c r="O178"/>
  <c r="G178"/>
  <c r="I178"/>
  <c r="M178"/>
  <c r="D146" i="69"/>
  <c r="D146" i="67"/>
  <c r="AG419" i="1"/>
  <c r="I145" i="69"/>
  <c r="Q145"/>
  <c r="O145"/>
  <c r="G145"/>
  <c r="M145"/>
  <c r="K145"/>
  <c r="D79" i="67"/>
  <c r="D79" i="69"/>
  <c r="K833" i="1"/>
  <c r="K501" i="69"/>
  <c r="Q501"/>
  <c r="O501"/>
  <c r="M501"/>
  <c r="G501"/>
  <c r="I501"/>
  <c r="D100" i="67"/>
  <c r="AG358" i="1"/>
  <c r="D100" i="69"/>
  <c r="G518" i="67"/>
  <c r="M518"/>
  <c r="I518"/>
  <c r="Q518"/>
  <c r="K518"/>
  <c r="O518"/>
  <c r="G192" i="69"/>
  <c r="K192"/>
  <c r="M192"/>
  <c r="Q192"/>
  <c r="O192"/>
  <c r="I192"/>
  <c r="R245" i="67"/>
  <c r="S245" s="1"/>
  <c r="S191"/>
  <c r="R188"/>
  <c r="S188" s="1"/>
  <c r="R549"/>
  <c r="S549" s="1"/>
  <c r="O145"/>
  <c r="G145"/>
  <c r="I145"/>
  <c r="M145"/>
  <c r="Q145"/>
  <c r="K145"/>
  <c r="I78" i="69"/>
  <c r="Q78"/>
  <c r="O78"/>
  <c r="M78"/>
  <c r="G78"/>
  <c r="K78"/>
  <c r="K246"/>
  <c r="O246"/>
  <c r="I246"/>
  <c r="Q246"/>
  <c r="G246"/>
  <c r="M246"/>
  <c r="X698" i="1"/>
  <c r="D502" i="67"/>
  <c r="D502" i="69"/>
  <c r="I99" i="67"/>
  <c r="M99"/>
  <c r="Q99"/>
  <c r="O99"/>
  <c r="G99"/>
  <c r="R99" s="1"/>
  <c r="S99" s="1"/>
  <c r="K99"/>
  <c r="M518" i="69"/>
  <c r="O518"/>
  <c r="G518"/>
  <c r="K518"/>
  <c r="Q518"/>
  <c r="I518"/>
  <c r="D179"/>
  <c r="D193"/>
  <c r="D179" i="67"/>
  <c r="D193"/>
  <c r="AG452" i="1"/>
  <c r="R517" i="67"/>
  <c r="S517" s="1"/>
  <c r="R191"/>
  <c r="G597"/>
  <c r="I597"/>
  <c r="I590"/>
  <c r="G590"/>
  <c r="R589"/>
  <c r="S589" s="1"/>
  <c r="R596"/>
  <c r="S596" s="1"/>
  <c r="Q597"/>
  <c r="K597"/>
  <c r="O597"/>
  <c r="M597"/>
  <c r="Q590"/>
  <c r="M590"/>
  <c r="O590"/>
  <c r="K590"/>
  <c r="O597" i="69"/>
  <c r="G597"/>
  <c r="K597"/>
  <c r="M597"/>
  <c r="Q597"/>
  <c r="I597"/>
  <c r="M590"/>
  <c r="O590"/>
  <c r="I590"/>
  <c r="G590"/>
  <c r="Q590"/>
  <c r="K590"/>
  <c r="G193" i="67" l="1"/>
  <c r="I193"/>
  <c r="O193"/>
  <c r="Q193"/>
  <c r="M193"/>
  <c r="K193"/>
  <c r="I502" i="69"/>
  <c r="M502"/>
  <c r="K502"/>
  <c r="G502"/>
  <c r="Q502"/>
  <c r="O502"/>
  <c r="Q100" i="67"/>
  <c r="O100"/>
  <c r="M100"/>
  <c r="G100"/>
  <c r="I100"/>
  <c r="K100"/>
  <c r="O79" i="69"/>
  <c r="G79"/>
  <c r="K79"/>
  <c r="Q79"/>
  <c r="I79"/>
  <c r="M79"/>
  <c r="D147"/>
  <c r="D147" i="67"/>
  <c r="AG420" i="1"/>
  <c r="M247" i="69"/>
  <c r="I247"/>
  <c r="K247"/>
  <c r="Q247"/>
  <c r="G247"/>
  <c r="O247"/>
  <c r="O179"/>
  <c r="Q179"/>
  <c r="G179"/>
  <c r="I179"/>
  <c r="M179"/>
  <c r="K179"/>
  <c r="D101"/>
  <c r="D101" i="67"/>
  <c r="AG359" i="1"/>
  <c r="D180" i="69"/>
  <c r="D194" i="67"/>
  <c r="D180"/>
  <c r="D232"/>
  <c r="D232" i="69"/>
  <c r="D194"/>
  <c r="AG453" i="1"/>
  <c r="K834"/>
  <c r="D80" i="69"/>
  <c r="D80" i="67"/>
  <c r="R1169" i="1"/>
  <c r="D520" i="69"/>
  <c r="D520" i="67"/>
  <c r="Q193" i="69"/>
  <c r="O193"/>
  <c r="I193"/>
  <c r="G193"/>
  <c r="K193"/>
  <c r="M193"/>
  <c r="D503"/>
  <c r="X699" i="1"/>
  <c r="D503" i="67"/>
  <c r="O100" i="69"/>
  <c r="M100"/>
  <c r="K100"/>
  <c r="I100"/>
  <c r="Q100"/>
  <c r="G100"/>
  <c r="K146"/>
  <c r="M146"/>
  <c r="Q146"/>
  <c r="I146"/>
  <c r="G146"/>
  <c r="O146"/>
  <c r="K519"/>
  <c r="I519"/>
  <c r="M519"/>
  <c r="O519"/>
  <c r="Q519"/>
  <c r="G519"/>
  <c r="R145" i="67"/>
  <c r="S145" s="1"/>
  <c r="R192"/>
  <c r="S192" s="1"/>
  <c r="R501"/>
  <c r="S501" s="1"/>
  <c r="G179"/>
  <c r="O179"/>
  <c r="I179"/>
  <c r="K179"/>
  <c r="Q179"/>
  <c r="M179"/>
  <c r="G502"/>
  <c r="M502"/>
  <c r="I502"/>
  <c r="O502"/>
  <c r="K502"/>
  <c r="Q502"/>
  <c r="O79"/>
  <c r="I79"/>
  <c r="G79"/>
  <c r="R79" s="1"/>
  <c r="Q79"/>
  <c r="S79" s="1"/>
  <c r="K79"/>
  <c r="M79"/>
  <c r="I146"/>
  <c r="M146"/>
  <c r="O146"/>
  <c r="Q146"/>
  <c r="K146"/>
  <c r="G146"/>
  <c r="R146" s="1"/>
  <c r="S146" s="1"/>
  <c r="G519"/>
  <c r="M519"/>
  <c r="K519"/>
  <c r="Q519"/>
  <c r="O519"/>
  <c r="I519"/>
  <c r="I247"/>
  <c r="K247"/>
  <c r="O247"/>
  <c r="Q247"/>
  <c r="G247"/>
  <c r="M247"/>
  <c r="R78"/>
  <c r="S78" s="1"/>
  <c r="R518"/>
  <c r="S518" s="1"/>
  <c r="R178"/>
  <c r="S178" s="1"/>
  <c r="R597"/>
  <c r="S597" s="1"/>
  <c r="R590"/>
  <c r="S590" s="1"/>
  <c r="I503" l="1"/>
  <c r="M503"/>
  <c r="K503"/>
  <c r="Q503"/>
  <c r="G503"/>
  <c r="O503"/>
  <c r="K80"/>
  <c r="O80"/>
  <c r="G80"/>
  <c r="I80"/>
  <c r="Q80"/>
  <c r="M80"/>
  <c r="K194" i="69"/>
  <c r="Q194"/>
  <c r="O194"/>
  <c r="G194"/>
  <c r="I194"/>
  <c r="M194"/>
  <c r="I194" i="67"/>
  <c r="Q194"/>
  <c r="M194"/>
  <c r="G194"/>
  <c r="R194" s="1"/>
  <c r="S194" s="1"/>
  <c r="O194"/>
  <c r="K194"/>
  <c r="Q101" i="69"/>
  <c r="G101"/>
  <c r="I101"/>
  <c r="M101"/>
  <c r="K101"/>
  <c r="O101"/>
  <c r="G147"/>
  <c r="Q147"/>
  <c r="M147"/>
  <c r="K147"/>
  <c r="I147"/>
  <c r="O147"/>
  <c r="R247" i="67"/>
  <c r="S247" s="1"/>
  <c r="R502"/>
  <c r="S502" s="1"/>
  <c r="R193"/>
  <c r="D181"/>
  <c r="D181" i="69"/>
  <c r="AE453" i="1"/>
  <c r="AG454"/>
  <c r="G180" i="67"/>
  <c r="K180"/>
  <c r="I180"/>
  <c r="O180"/>
  <c r="M180"/>
  <c r="Q180"/>
  <c r="Q147"/>
  <c r="G147"/>
  <c r="M147"/>
  <c r="O147"/>
  <c r="I147"/>
  <c r="K147"/>
  <c r="Q503" i="69"/>
  <c r="K503"/>
  <c r="G503"/>
  <c r="M503"/>
  <c r="O503"/>
  <c r="I503"/>
  <c r="O520"/>
  <c r="M520"/>
  <c r="K520"/>
  <c r="G520"/>
  <c r="I520"/>
  <c r="Q520"/>
  <c r="D81" i="67"/>
  <c r="K835" i="1"/>
  <c r="D81" i="69"/>
  <c r="I232" i="67"/>
  <c r="O232"/>
  <c r="Q232"/>
  <c r="M232"/>
  <c r="G232"/>
  <c r="K232"/>
  <c r="D102" i="69"/>
  <c r="AG360" i="1"/>
  <c r="D102" i="67"/>
  <c r="D148"/>
  <c r="AG421" i="1"/>
  <c r="D148" i="69"/>
  <c r="R519" i="67"/>
  <c r="S519" s="1"/>
  <c r="R179"/>
  <c r="S179" s="1"/>
  <c r="D521"/>
  <c r="R1170" i="1"/>
  <c r="D521" i="69"/>
  <c r="M101" i="67"/>
  <c r="O101"/>
  <c r="G101"/>
  <c r="I101"/>
  <c r="Q101"/>
  <c r="K101"/>
  <c r="D504" i="69"/>
  <c r="D504" i="67"/>
  <c r="X700" i="1"/>
  <c r="X701" s="1"/>
  <c r="X702" s="1"/>
  <c r="G520" i="67"/>
  <c r="M520"/>
  <c r="Q520"/>
  <c r="I520"/>
  <c r="K520"/>
  <c r="O520"/>
  <c r="I80" i="69"/>
  <c r="M80"/>
  <c r="G80"/>
  <c r="Q80"/>
  <c r="O80"/>
  <c r="K80"/>
  <c r="K232"/>
  <c r="M232"/>
  <c r="I232"/>
  <c r="O232"/>
  <c r="Q232"/>
  <c r="G232"/>
  <c r="G180"/>
  <c r="I180"/>
  <c r="O180"/>
  <c r="Q180"/>
  <c r="K180"/>
  <c r="M180"/>
  <c r="R100" i="67"/>
  <c r="S100" s="1"/>
  <c r="S193"/>
  <c r="D149" i="69" l="1"/>
  <c r="AG422" i="1"/>
  <c r="D149" i="67"/>
  <c r="O102" i="69"/>
  <c r="K102"/>
  <c r="M102"/>
  <c r="I102"/>
  <c r="Q102"/>
  <c r="G102"/>
  <c r="D82"/>
  <c r="D82" i="67"/>
  <c r="K181" i="69"/>
  <c r="Q181"/>
  <c r="O181"/>
  <c r="I181"/>
  <c r="G181"/>
  <c r="M181"/>
  <c r="S232" i="67"/>
  <c r="R80"/>
  <c r="S80" s="1"/>
  <c r="R503"/>
  <c r="S503" s="1"/>
  <c r="G521"/>
  <c r="M521"/>
  <c r="K521"/>
  <c r="Q521"/>
  <c r="I521"/>
  <c r="O521"/>
  <c r="D103" i="69"/>
  <c r="D103" i="67"/>
  <c r="I504" i="69"/>
  <c r="O504"/>
  <c r="G504"/>
  <c r="M504"/>
  <c r="K504"/>
  <c r="Q504"/>
  <c r="D522"/>
  <c r="R1171" i="1"/>
  <c r="D522" i="67"/>
  <c r="Q102"/>
  <c r="M102"/>
  <c r="O102"/>
  <c r="G102"/>
  <c r="R102" s="1"/>
  <c r="S102" s="1"/>
  <c r="K102"/>
  <c r="I102"/>
  <c r="AE454" i="1"/>
  <c r="D182" i="69"/>
  <c r="D182" i="67"/>
  <c r="AG455" i="1"/>
  <c r="R520" i="67"/>
  <c r="S520" s="1"/>
  <c r="R101"/>
  <c r="S101" s="1"/>
  <c r="R232"/>
  <c r="R147"/>
  <c r="S147" s="1"/>
  <c r="G148" i="69"/>
  <c r="I148"/>
  <c r="M148"/>
  <c r="O148"/>
  <c r="K148"/>
  <c r="Q148"/>
  <c r="I81"/>
  <c r="G81"/>
  <c r="O81"/>
  <c r="M81"/>
  <c r="K81"/>
  <c r="Q81"/>
  <c r="Q504" i="67"/>
  <c r="M504"/>
  <c r="K504"/>
  <c r="G504"/>
  <c r="I504"/>
  <c r="O504"/>
  <c r="I521" i="69"/>
  <c r="K521"/>
  <c r="O521"/>
  <c r="G521"/>
  <c r="M521"/>
  <c r="Q521"/>
  <c r="K148" i="67"/>
  <c r="I148"/>
  <c r="M148"/>
  <c r="G148"/>
  <c r="Q148"/>
  <c r="O148"/>
  <c r="G81"/>
  <c r="M81"/>
  <c r="I81"/>
  <c r="Q81"/>
  <c r="K81"/>
  <c r="O81"/>
  <c r="I181"/>
  <c r="K181"/>
  <c r="Q181"/>
  <c r="O181"/>
  <c r="M181"/>
  <c r="G181"/>
  <c r="R181" s="1"/>
  <c r="R180"/>
  <c r="S180" s="1"/>
  <c r="D523" l="1"/>
  <c r="D523" i="69"/>
  <c r="K103" i="67"/>
  <c r="O103"/>
  <c r="G103"/>
  <c r="M103"/>
  <c r="I103"/>
  <c r="Q103"/>
  <c r="Q149" i="69"/>
  <c r="G149"/>
  <c r="M149"/>
  <c r="I149"/>
  <c r="O149"/>
  <c r="K149"/>
  <c r="M82"/>
  <c r="Q82"/>
  <c r="I82"/>
  <c r="O82"/>
  <c r="G82"/>
  <c r="K82"/>
  <c r="G182" i="67"/>
  <c r="M182"/>
  <c r="Q182"/>
  <c r="I182"/>
  <c r="K182"/>
  <c r="O182"/>
  <c r="I82"/>
  <c r="K82"/>
  <c r="O82"/>
  <c r="Q82"/>
  <c r="G82"/>
  <c r="R82" s="1"/>
  <c r="M82"/>
  <c r="Q149"/>
  <c r="G149"/>
  <c r="R149" s="1"/>
  <c r="S149" s="1"/>
  <c r="K149"/>
  <c r="M149"/>
  <c r="I149"/>
  <c r="O149"/>
  <c r="R521"/>
  <c r="S521" s="1"/>
  <c r="R81"/>
  <c r="Q182" i="69"/>
  <c r="O182"/>
  <c r="M182"/>
  <c r="I182"/>
  <c r="G182"/>
  <c r="K182"/>
  <c r="I522" i="67"/>
  <c r="Q522"/>
  <c r="O522"/>
  <c r="M522"/>
  <c r="G522"/>
  <c r="K522"/>
  <c r="D150"/>
  <c r="AI422" i="1"/>
  <c r="AI423" s="1"/>
  <c r="D150" i="69"/>
  <c r="AG456" i="1"/>
  <c r="AE455"/>
  <c r="D183" i="69"/>
  <c r="D183" i="67"/>
  <c r="M522" i="69"/>
  <c r="K522"/>
  <c r="Q522"/>
  <c r="O522"/>
  <c r="G522"/>
  <c r="I522"/>
  <c r="M103"/>
  <c r="G103"/>
  <c r="O103"/>
  <c r="K103"/>
  <c r="I103"/>
  <c r="Q103"/>
  <c r="S81" i="67"/>
  <c r="S181"/>
  <c r="R148"/>
  <c r="S148" s="1"/>
  <c r="R504"/>
  <c r="S504" s="1"/>
  <c r="M183" i="69" l="1"/>
  <c r="O183"/>
  <c r="K183"/>
  <c r="I183"/>
  <c r="G183"/>
  <c r="Q183"/>
  <c r="G150" i="67"/>
  <c r="I150"/>
  <c r="O150"/>
  <c r="Q150"/>
  <c r="K150"/>
  <c r="M150"/>
  <c r="G523"/>
  <c r="O523"/>
  <c r="I523"/>
  <c r="M523"/>
  <c r="Q523"/>
  <c r="K523"/>
  <c r="R182"/>
  <c r="R103"/>
  <c r="S103" s="1"/>
  <c r="K150" i="69"/>
  <c r="I150"/>
  <c r="Q150"/>
  <c r="M150"/>
  <c r="G150"/>
  <c r="O150"/>
  <c r="R522" i="67"/>
  <c r="S522" s="1"/>
  <c r="S82"/>
  <c r="S182"/>
  <c r="K523" i="69"/>
  <c r="O523"/>
  <c r="Q523"/>
  <c r="M523"/>
  <c r="I523"/>
  <c r="G523"/>
  <c r="I183" i="67"/>
  <c r="K183"/>
  <c r="Q183"/>
  <c r="M183"/>
  <c r="G183"/>
  <c r="O183"/>
  <c r="AG457" i="1"/>
  <c r="D184" i="67"/>
  <c r="D184" i="69"/>
  <c r="AE456" i="1"/>
  <c r="R523" i="67" l="1"/>
  <c r="S523" s="1"/>
  <c r="D185" i="69"/>
  <c r="AG458" i="1"/>
  <c r="D185" i="67"/>
  <c r="AE457" i="1"/>
  <c r="Q184" i="67"/>
  <c r="M184"/>
  <c r="I184"/>
  <c r="K184"/>
  <c r="G184"/>
  <c r="O184"/>
  <c r="R150"/>
  <c r="S150" s="1"/>
  <c r="O184" i="69"/>
  <c r="M184"/>
  <c r="K184"/>
  <c r="Q184"/>
  <c r="G184"/>
  <c r="I184"/>
  <c r="R183" i="67"/>
  <c r="S183" s="1"/>
  <c r="Q185" l="1"/>
  <c r="K185"/>
  <c r="M185"/>
  <c r="G185"/>
  <c r="I185"/>
  <c r="O185"/>
  <c r="O185" i="69"/>
  <c r="Q185"/>
  <c r="M185"/>
  <c r="I185"/>
  <c r="K185"/>
  <c r="G185"/>
  <c r="R184" i="67"/>
  <c r="S184" s="1"/>
  <c r="AE458" i="1"/>
  <c r="D186" i="67"/>
  <c r="D186" i="69"/>
  <c r="AG459" i="1"/>
  <c r="AG460" l="1"/>
  <c r="AE459"/>
  <c r="I186" i="67"/>
  <c r="I1466" s="1"/>
  <c r="K186"/>
  <c r="K1466" s="1"/>
  <c r="D10" i="58" s="1"/>
  <c r="F10" s="1"/>
  <c r="Q186" i="67"/>
  <c r="Q1466" s="1"/>
  <c r="M186"/>
  <c r="M1466" s="1"/>
  <c r="D11" i="58" s="1"/>
  <c r="F11" s="1"/>
  <c r="G186" i="67"/>
  <c r="R186" s="1"/>
  <c r="S186" s="1"/>
  <c r="O186"/>
  <c r="O1466" s="1"/>
  <c r="Q186" i="69"/>
  <c r="Q1465" s="1"/>
  <c r="O186"/>
  <c r="O1465" s="1"/>
  <c r="M186"/>
  <c r="M1465" s="1"/>
  <c r="K186"/>
  <c r="K1465" s="1"/>
  <c r="G186"/>
  <c r="G1465" s="1"/>
  <c r="Q1467" s="1"/>
  <c r="I186"/>
  <c r="I1465" s="1"/>
  <c r="R185" i="67"/>
  <c r="S185" s="1"/>
  <c r="G1466"/>
  <c r="G12" i="58" l="1"/>
  <c r="S1466" i="67"/>
  <c r="O1471"/>
  <c r="O1473" s="1"/>
  <c r="Q1468"/>
  <c r="AG461" i="1"/>
  <c r="AE460"/>
  <c r="O1470" i="69"/>
  <c r="O1472" s="1"/>
  <c r="D6" i="58"/>
  <c r="F6" s="1"/>
  <c r="F7" s="1"/>
  <c r="R1466" i="67"/>
  <c r="D9" i="58"/>
  <c r="F9" s="1"/>
  <c r="O1468" i="67"/>
  <c r="AE461" i="1" l="1"/>
  <c r="AG462"/>
  <c r="F12" i="58"/>
  <c r="AG463" i="1" l="1"/>
  <c r="AE463" s="1"/>
  <c r="AE462"/>
  <c r="F14" i="58"/>
  <c r="H12"/>
  <c r="F15" l="1"/>
  <c r="F16" s="1"/>
  <c r="F17"/>
  <c r="G14"/>
  <c r="F18" l="1"/>
  <c r="F19"/>
  <c r="F20" l="1"/>
  <c r="F26" s="1"/>
  <c r="H26" l="1"/>
  <c r="G18" s="1"/>
  <c r="G26"/>
  <c r="G27" s="1"/>
  <c r="G30" l="1"/>
</calcChain>
</file>

<file path=xl/sharedStrings.xml><?xml version="1.0" encoding="utf-8"?>
<sst xmlns="http://schemas.openxmlformats.org/spreadsheetml/2006/main" count="56107" uniqueCount="7590">
  <si>
    <t>TAMILNADU POLICE HOUSING CORPORATION LIMITED</t>
  </si>
  <si>
    <t>TRICHY DIVISION</t>
  </si>
  <si>
    <t xml:space="preserve">Name of Work : Providing Bored cast-in-situ pile Pile Foundation </t>
  </si>
  <si>
    <t xml:space="preserve">  DATA 2020-2021</t>
  </si>
  <si>
    <t>Setting of Bored cast-in-situ pile equipments with all accessories and tools at each of locations based on the 750 mm dia pile using M30</t>
  </si>
  <si>
    <t>Cum</t>
  </si>
  <si>
    <t>Volume of Concrete = 3.14 /4 x 0.5 x 0.5 x 8  =   1.57 m3</t>
  </si>
  <si>
    <t>Volume of Concrete = 3.14 /4 x 0.75 x 0.75  x 8  =   3.53 m3</t>
  </si>
  <si>
    <t xml:space="preserve"> 500mm Dia pipe</t>
  </si>
  <si>
    <t xml:space="preserve"> 900mm Dia pipe</t>
  </si>
  <si>
    <r>
      <t xml:space="preserve">Standardised concrete  mix using </t>
    </r>
    <r>
      <rPr>
        <b/>
        <sz val="13"/>
        <rFont val="Times New Roman"/>
        <family val="1"/>
      </rPr>
      <t>M 30 Grade concrete in (F&amp;B)</t>
    </r>
  </si>
  <si>
    <t>MT</t>
  </si>
  <si>
    <t>Bentonite (10% concrete volume)(PWD SR 2021-22,p-37)</t>
  </si>
  <si>
    <t>Rmt</t>
  </si>
  <si>
    <t xml:space="preserve">Labour charges </t>
  </si>
  <si>
    <t>Total for 8 Rmt</t>
  </si>
  <si>
    <t>Total for 1 Rmt</t>
  </si>
  <si>
    <t>Moving and placing of piling equipment (1000/8)</t>
  </si>
  <si>
    <t>Rate for 1 Cum</t>
  </si>
  <si>
    <t>Chipping of pile to the required cut off level and cleaning away the debris with an average lead of 5 km entirely with city limits</t>
  </si>
  <si>
    <t>Volume of Concrete = 3.14/4 x 0.75  x 0.75  x 1 km =0.442 m3</t>
  </si>
  <si>
    <t>500mm Dia pipe DATA for 1 Rmt</t>
  </si>
  <si>
    <t>900mm Dia pipe DATA for 1 Rmt</t>
  </si>
  <si>
    <t>Dismantling of RCC works it-35/38 p-24</t>
  </si>
  <si>
    <t>Conveyance of dismantled materials p-35</t>
  </si>
  <si>
    <t>11.33*3</t>
  </si>
  <si>
    <t xml:space="preserve">Loading or unloading charges p-35 </t>
  </si>
  <si>
    <t>Removing of clay and conveyance charges,loading and unloading charges with an average lead of 3km entirely with city limits</t>
  </si>
  <si>
    <t>Km</t>
  </si>
  <si>
    <t>Rough stone, Bond stone, cut stone, HBG, Sand, gravel, surkhi, earth, crushed stone etc.Initial Lead (0-10 km)</t>
  </si>
  <si>
    <t>Loading or unloading charges</t>
  </si>
  <si>
    <t>9.16*10</t>
  </si>
  <si>
    <t>For 1cum</t>
  </si>
  <si>
    <t>Standardised concrete Mix M20 Grade Concrete</t>
  </si>
  <si>
    <t>cum</t>
  </si>
  <si>
    <r>
      <t xml:space="preserve">20mm HBG Machine crushed stone jelly   </t>
    </r>
    <r>
      <rPr>
        <b/>
        <sz val="12"/>
        <rFont val="Times New Roman"/>
        <family val="1"/>
      </rPr>
      <t xml:space="preserve"> (7730 Kg)</t>
    </r>
  </si>
  <si>
    <r>
      <t xml:space="preserve">10-12mm HBG Machine crushed stone jelly   </t>
    </r>
    <r>
      <rPr>
        <b/>
        <sz val="12"/>
        <rFont val="Times New Roman"/>
        <family val="1"/>
      </rPr>
      <t xml:space="preserve"> (5156 Kg)</t>
    </r>
  </si>
  <si>
    <r>
      <t xml:space="preserve">Sand   </t>
    </r>
    <r>
      <rPr>
        <b/>
        <sz val="12"/>
        <rFont val="Times New Roman"/>
        <family val="1"/>
      </rPr>
      <t xml:space="preserve"> (7670 Kg)</t>
    </r>
  </si>
  <si>
    <t>Cement</t>
  </si>
  <si>
    <t>Kg</t>
  </si>
  <si>
    <t>Plasticiser /Super plasticiser @ .60% of cement (P57 item NO.198</t>
  </si>
  <si>
    <t>Nos</t>
  </si>
  <si>
    <t>Mason II</t>
  </si>
  <si>
    <t>Maz I</t>
  </si>
  <si>
    <t>Maz II</t>
  </si>
  <si>
    <t>Total for 10 cum</t>
  </si>
  <si>
    <t>for 1 cum</t>
  </si>
  <si>
    <t>Vibrating charges p-28 /103</t>
  </si>
  <si>
    <t>Sub Total</t>
  </si>
  <si>
    <t>LS</t>
  </si>
  <si>
    <t>Add for water charges &amp; other sundries (0.5 % of sub total</t>
  </si>
  <si>
    <t>Foundation &amp; Basement</t>
  </si>
  <si>
    <t>-</t>
  </si>
  <si>
    <t>G.F</t>
  </si>
  <si>
    <t>F.F</t>
  </si>
  <si>
    <t>S.F</t>
  </si>
  <si>
    <t>T.F</t>
  </si>
  <si>
    <t>Fourth Floor</t>
  </si>
  <si>
    <t>DATA</t>
  </si>
  <si>
    <t>Setting of Bored cast-in-situ pile equipments with all accessories and tools at each of locations based on the 450 mm dia pile</t>
  </si>
  <si>
    <t>Volume of Concrete = 3.14 /4 x 0.6 x 0.6  x 8  =   2.26 m3</t>
  </si>
  <si>
    <t xml:space="preserve"> 600mm Dia pipe</t>
  </si>
  <si>
    <r>
      <t xml:space="preserve">Standardised concrete  mix using </t>
    </r>
    <r>
      <rPr>
        <b/>
        <sz val="13"/>
        <rFont val="Times New Roman"/>
        <family val="1"/>
      </rPr>
      <t>M 20 Grade concrete in (F&amp;B)</t>
    </r>
  </si>
  <si>
    <t>Bentonite (10% concrete volume)</t>
  </si>
  <si>
    <t>Volume of Concrete = 3.14/4 x 0.6  x 0.6  x 1 km =0.28m3</t>
  </si>
  <si>
    <t>Dismantling of RCC works p-22</t>
  </si>
  <si>
    <t>Standardised concrete Mix M30 Grade Concrete</t>
  </si>
  <si>
    <t>Plasticiser /Super plasticiser @ 1% of cement</t>
  </si>
  <si>
    <t>Vibrating charges</t>
  </si>
  <si>
    <t>Setting of Bored cast-in-situ pile equipments with all accessories and tools at each of locations based on the 400 mm dia pile</t>
  </si>
  <si>
    <t>Volume of Concrete = 3.14 /x *0.40 x 0.40  x 8  = 4.02 /4=  1.272 m3</t>
  </si>
  <si>
    <t xml:space="preserve"> 400mm Dia pipe</t>
  </si>
  <si>
    <t>RCC 1:1.5:3 (F&amp;B)</t>
  </si>
  <si>
    <t>Volume of Concrete = 3.14/4 x 0.40  x 0.40  x 1 km =0.129 m3</t>
  </si>
  <si>
    <t>400mm Dia pipe DATA for 1 Rmt</t>
  </si>
  <si>
    <t>Dismantling of RCC works</t>
  </si>
  <si>
    <t>Conveyance of dismantled materials</t>
  </si>
  <si>
    <t>Volume of Concrete = 3.14 /x *0.45 x 0.45  x 8  = 4.02 /4=  1.272 m3</t>
  </si>
  <si>
    <t xml:space="preserve"> 450mm Dia pipe</t>
  </si>
  <si>
    <t>Volume of Concrete = 3.14/4 x 0.45  x 0.45  x 1 km =0.159 m3</t>
  </si>
  <si>
    <t>450mm Dia pipe DATA for 1 Rmt</t>
  </si>
  <si>
    <t>Volume of Concrete = 3.14 /x *0.23 x 0.23  x 2.5  = 4.02 /4=  0.104 m3</t>
  </si>
  <si>
    <t xml:space="preserve"> 230mm Dia pipe</t>
  </si>
  <si>
    <t>Volume of Concrete = 3.14 /4x *0.30 x 0.30  x 8  =  0.565 m3</t>
  </si>
  <si>
    <t>Volume of Concrete = 3.14/4 x 0.30  x 0.30  x 1 km =0.071m3</t>
  </si>
  <si>
    <t xml:space="preserve"> </t>
  </si>
  <si>
    <t>Tamil Nadu Police Housing Corparation Ltd.</t>
  </si>
  <si>
    <t>TAMIL NADU POLICE HOUSING CORPORATION</t>
  </si>
  <si>
    <t xml:space="preserve">  </t>
  </si>
  <si>
    <t>=</t>
  </si>
  <si>
    <t>======================================</t>
  </si>
  <si>
    <t>PLACE:-</t>
  </si>
  <si>
    <t>Madurai TSp VIth Bn under 4000 quarters Scheme.</t>
  </si>
  <si>
    <t>2006-2007</t>
  </si>
  <si>
    <t xml:space="preserve">         </t>
  </si>
  <si>
    <t>QTY</t>
  </si>
  <si>
    <t>COST OF MATERIALS</t>
  </si>
  <si>
    <t>RATE</t>
  </si>
  <si>
    <t>PER</t>
  </si>
  <si>
    <t>AMOUNT</t>
  </si>
  <si>
    <t>SL.NO</t>
  </si>
  <si>
    <t>DESCRIPTION OF MATERIALS</t>
  </si>
  <si>
    <t>UNIT</t>
  </si>
  <si>
    <t>SOURCE</t>
  </si>
  <si>
    <t>Total</t>
  </si>
  <si>
    <t xml:space="preserve">COST OF </t>
  </si>
  <si>
    <t>LEAD</t>
  </si>
  <si>
    <t>LOAD-</t>
  </si>
  <si>
    <t>UN LO-</t>
  </si>
  <si>
    <t>MATERIAL</t>
  </si>
  <si>
    <t>LABOUR RATE</t>
  </si>
  <si>
    <t>*</t>
  </si>
  <si>
    <t>CEMENT MORTAR(1:1.5)</t>
  </si>
  <si>
    <t>LIME MORTAR(1:2)</t>
  </si>
  <si>
    <t>Lead</t>
  </si>
  <si>
    <t>CHARGE</t>
  </si>
  <si>
    <t>ING</t>
  </si>
  <si>
    <t>ADING</t>
  </si>
  <si>
    <t>COST @ SITE</t>
  </si>
  <si>
    <t>LABOUR CHARGES</t>
  </si>
  <si>
    <t>|</t>
  </si>
  <si>
    <t xml:space="preserve"> -------------</t>
  </si>
  <si>
    <t>M.T</t>
  </si>
  <si>
    <t>CEMENT</t>
  </si>
  <si>
    <t>LIME</t>
  </si>
  <si>
    <t>1.</t>
  </si>
  <si>
    <t>ROUGH STONE</t>
  </si>
  <si>
    <t>CUM.</t>
  </si>
  <si>
    <t>Nallambakkam</t>
  </si>
  <si>
    <t>MASON-I</t>
  </si>
  <si>
    <t>MASON  I *</t>
  </si>
  <si>
    <t>NO.</t>
  </si>
  <si>
    <t>CUM</t>
  </si>
  <si>
    <t>SAND</t>
  </si>
  <si>
    <t>2.</t>
  </si>
  <si>
    <t>BOND STONE</t>
  </si>
  <si>
    <t>MASON-II</t>
  </si>
  <si>
    <t>MASON  II  *</t>
  </si>
  <si>
    <t>MIXING OF MORTAR</t>
  </si>
  <si>
    <t>GRINDING OF MORTAR</t>
  </si>
  <si>
    <t>3.</t>
  </si>
  <si>
    <t>HARD BROKEN STONE JELLY 3mm To 10mm</t>
  </si>
  <si>
    <t>Pallavaram</t>
  </si>
  <si>
    <t>MAZDOOR-I</t>
  </si>
  <si>
    <t>MAZDOOR I   *</t>
  </si>
  <si>
    <t>L.S</t>
  </si>
  <si>
    <t>SUNDRIES</t>
  </si>
  <si>
    <t>4.</t>
  </si>
  <si>
    <t>HARD BROKEN STONE JELLY 10mm</t>
  </si>
  <si>
    <t>MAZDOOR-II</t>
  </si>
  <si>
    <t>MAZDOOR II*</t>
  </si>
  <si>
    <t>5.</t>
  </si>
  <si>
    <t>HARD BROKEN STONE JELLY 12mm</t>
  </si>
  <si>
    <t>PAINTER-I</t>
  </si>
  <si>
    <t>PAINTER I/II*</t>
  </si>
  <si>
    <t>TOTAL FOR 1 CUM</t>
  </si>
  <si>
    <t>6.</t>
  </si>
  <si>
    <t>HARD BROKEN STONE JELLY 20mm</t>
  </si>
  <si>
    <t>PAINTER-II</t>
  </si>
  <si>
    <t>PLUMBER  I*</t>
  </si>
  <si>
    <t>7.</t>
  </si>
  <si>
    <t>HARD BROKEN STONE JELLY 40mm</t>
  </si>
  <si>
    <t>PLUMBER-I</t>
  </si>
  <si>
    <t>CARPENTER I/II*</t>
  </si>
  <si>
    <t>CEMENT MORTAR(1:2)</t>
  </si>
  <si>
    <t>SUPPLYING MIXINNG AND LAYING</t>
  </si>
  <si>
    <t>8.</t>
  </si>
  <si>
    <t>SAND FOR MORTAR</t>
  </si>
  <si>
    <t>Palar River</t>
  </si>
  <si>
    <t>PLUMBER-II</t>
  </si>
  <si>
    <t>FITTER I*</t>
  </si>
  <si>
    <t>LIME SAND MIX 1:1 RATIO</t>
  </si>
  <si>
    <t>9.</t>
  </si>
  <si>
    <t>SAND FOR FILLING</t>
  </si>
  <si>
    <t>Karanodai</t>
  </si>
  <si>
    <t>FITTER-I</t>
  </si>
  <si>
    <t>MIXING OF MORTAR*</t>
  </si>
  <si>
    <t>CUM*</t>
  </si>
  <si>
    <t>INCLUDING COST OF</t>
  </si>
  <si>
    <t>10.</t>
  </si>
  <si>
    <t>Kiln Burnt Country Bricks 22x11x7cm</t>
  </si>
  <si>
    <t>1000nos.</t>
  </si>
  <si>
    <t>Nerkundram</t>
  </si>
  <si>
    <t>FITTER-II</t>
  </si>
  <si>
    <t>LIFT CHARGES FOR B.W IN G.F  *</t>
  </si>
  <si>
    <t>SAND,LIME,LABOUR FOR MIXING</t>
  </si>
  <si>
    <t>11.</t>
  </si>
  <si>
    <t>BRICK JELLY 40mmGAUGE</t>
  </si>
  <si>
    <t>CARPENTER-I</t>
  </si>
  <si>
    <t>LIFT CHARGES FOR B.W IN F.F  *</t>
  </si>
  <si>
    <t>&amp;LAYING ETC COMPLETE.</t>
  </si>
  <si>
    <t>12.</t>
  </si>
  <si>
    <t>BRICK JELLY 20mmGAUGE</t>
  </si>
  <si>
    <t>CARPENTER-II</t>
  </si>
  <si>
    <t>LIFT CHARGES FOR B.W IN S.F  *</t>
  </si>
  <si>
    <t>13.</t>
  </si>
  <si>
    <t>MACHINE PRESSED TILES 23x 23x 2 Cm</t>
  </si>
  <si>
    <t>Local</t>
  </si>
  <si>
    <t>STONE CUTTER-I</t>
  </si>
  <si>
    <t>LIFT CHARGES FOR CONCRETE IN G.F  *</t>
  </si>
  <si>
    <t>COST OF SAND</t>
  </si>
  <si>
    <t>14.</t>
  </si>
  <si>
    <t>SLACKED SHELL LIME</t>
  </si>
  <si>
    <t>Kurukkupet</t>
  </si>
  <si>
    <t>STONE CUTTER-II</t>
  </si>
  <si>
    <t>LIFT CHARGES FOR CONCRETE IN F.F  *</t>
  </si>
  <si>
    <t>COST OF LIME</t>
  </si>
  <si>
    <t>15.</t>
  </si>
  <si>
    <t>SLACKED &amp;SREENED LIME STONE</t>
  </si>
  <si>
    <t>FLOOR POLISHER</t>
  </si>
  <si>
    <t>LIFT CHARGES FOR CONCRETE IN S.F  *</t>
  </si>
  <si>
    <t>LABOUR CHARGES FOR MIXING</t>
  </si>
  <si>
    <t>16.</t>
  </si>
  <si>
    <t>C.W SCANTLING UPTO 4M LONG</t>
  </si>
  <si>
    <t>local</t>
  </si>
  <si>
    <t>Mortar mix charges</t>
  </si>
  <si>
    <t>VIBRATER CHARGES  *</t>
  </si>
  <si>
    <t>CEMENT MORTAR(1:3)</t>
  </si>
  <si>
    <t>LABOUR CHARGES FOR FILLING</t>
  </si>
  <si>
    <t>17.</t>
  </si>
  <si>
    <t>C.W. PLANK UPTO 40mmTHICK UPTO 30 Cm WIDTH</t>
  </si>
  <si>
    <t>Vibrat-charges(R.C.C)</t>
  </si>
  <si>
    <t>EARTH FILLING  *</t>
  </si>
  <si>
    <t xml:space="preserve"> 1CUM</t>
  </si>
  <si>
    <t>18.</t>
  </si>
  <si>
    <t>T.W SCANTLING 2M TO 3M LONG</t>
  </si>
  <si>
    <t>Vibrat-charges(P.C.C)</t>
  </si>
  <si>
    <t>SAND FILLING  *</t>
  </si>
  <si>
    <t>19.</t>
  </si>
  <si>
    <t>T.W.SCANTLING BELOW 2M LONG</t>
  </si>
  <si>
    <t>Sand filling charges</t>
  </si>
  <si>
    <t>POLISHING STONE</t>
  </si>
  <si>
    <t>TOTAL FOR 1.5 CUM</t>
  </si>
  <si>
    <t>20.</t>
  </si>
  <si>
    <t>T.W.PLANKS 30cm to 45cm WIDTH &amp; 12to25mm Thick</t>
  </si>
  <si>
    <t>Earth filling charges</t>
  </si>
  <si>
    <t>FLOOR POLISHER (MOSAIC)  *</t>
  </si>
  <si>
    <t>NO</t>
  </si>
  <si>
    <t>21.</t>
  </si>
  <si>
    <t>Country BricksKiln Burnt of SIZE 22x11x5Cm</t>
  </si>
  <si>
    <t>E.W.</t>
  </si>
  <si>
    <t>LABOUR CHARGE FOR WROUGHT &amp; PUTUP /V-SHUTTER *</t>
  </si>
  <si>
    <t>RATE PER CUM</t>
  </si>
  <si>
    <t>22.</t>
  </si>
  <si>
    <t>MOSAIC TILES GRAY 25X25X2cm.</t>
  </si>
  <si>
    <t>L.C.T.W.Door-</t>
  </si>
  <si>
    <t>LABOUR CHARGE FOR DOOR/WINDOW SHUTTER  *</t>
  </si>
  <si>
    <t>23.</t>
  </si>
  <si>
    <t>CEMENT (supply at site)</t>
  </si>
  <si>
    <t>L.C.marine doors-</t>
  </si>
  <si>
    <t>COST OF RUBBER ,LUBRICATION,PLUG,CLAMP</t>
  </si>
  <si>
    <t>24.</t>
  </si>
  <si>
    <t>R.T.S. / M.S upto 16mm</t>
  </si>
  <si>
    <t>TW glazed window</t>
  </si>
  <si>
    <t>M.S. HOLD FAST WITH SCREWS *</t>
  </si>
  <si>
    <t>25.</t>
  </si>
  <si>
    <t>M.S./ R.T.S above 16mm</t>
  </si>
  <si>
    <t>Wrought&amp;putup</t>
  </si>
  <si>
    <t>M.S. SHEET/ANGLE PER M.T</t>
  </si>
  <si>
    <t>CEMENT MORTAR(1:4)</t>
  </si>
  <si>
    <t>26.</t>
  </si>
  <si>
    <t>Country BricksKiln Burnt  SIZE 22x11x5Cm</t>
  </si>
  <si>
    <t>Ventilator</t>
  </si>
  <si>
    <t>Graval</t>
  </si>
  <si>
    <t>27.</t>
  </si>
  <si>
    <t>HBSJ 11.2mm IRC metal</t>
  </si>
  <si>
    <t>Meter- Cupboard Weldmesh</t>
  </si>
  <si>
    <t>Earth work lift for addl 1M</t>
  </si>
  <si>
    <t>28.</t>
  </si>
  <si>
    <t>HBSJ 37.5mm to 26.5mm IRC metal</t>
  </si>
  <si>
    <t>E.W (SDR)</t>
  </si>
  <si>
    <t>29.</t>
  </si>
  <si>
    <t>HBSJ 63mm to 45mm IRC metal</t>
  </si>
  <si>
    <t>FITTER-II (Pipe &amp; Bar Bend)</t>
  </si>
  <si>
    <t>TRANSPORTING &amp; ERRECTION</t>
  </si>
  <si>
    <t>30.</t>
  </si>
  <si>
    <t>Gravel</t>
  </si>
  <si>
    <t>Nellore road</t>
  </si>
  <si>
    <t>LABOUR COST OF CHANNELMOULD/PAINTING ANTCORROSIVE</t>
  </si>
  <si>
    <t>COST OF PLASTERXERS/COST OF ANTI-CORROSIVE</t>
  </si>
  <si>
    <t>STONE CUTTER II  *</t>
  </si>
  <si>
    <t>CONVEYING,LOWERING&amp; JOINTING LABOUR</t>
  </si>
  <si>
    <t>RMT</t>
  </si>
  <si>
    <t>CEMENT MORTAR(1:5)</t>
  </si>
  <si>
    <t>CERTIFIED THAT THE LEAD PARTICULARS FURNISHED HERE ARE FOUND CORRECT UPTO BEST OF MY KNOWLEDGE</t>
  </si>
  <si>
    <t>LABOUR FOR CUTTING 15mm DIA   *</t>
  </si>
  <si>
    <t>LABOUR FOR CUTTING 20mm DIA  *</t>
  </si>
  <si>
    <t>LABOUR FOR CUTTING 25mm DIA  *</t>
  </si>
  <si>
    <t>LABOUR FOR CUTTING 32mm DIA  *</t>
  </si>
  <si>
    <t>J.E / A.E</t>
  </si>
  <si>
    <t>A.E.E</t>
  </si>
  <si>
    <t>E.E</t>
  </si>
  <si>
    <t>LABOUR FOR CUTTING 40mm DIA  *</t>
  </si>
  <si>
    <t>CEMENT CONCRETE(1:8:16) USING</t>
  </si>
  <si>
    <t>LABOUR FOR CUTTING 50mm DIA/100mm Dia  *</t>
  </si>
  <si>
    <t>40mm BRICK JELLY</t>
  </si>
  <si>
    <t>LABOUR FOR CUTTING 65mm DIA/80mm Dia  *</t>
  </si>
  <si>
    <t>LABOUR FOR THREADING 15mm DIA  *</t>
  </si>
  <si>
    <t>LABOUR FOR THREADING 20mm DIA  *</t>
  </si>
  <si>
    <t>CEMENT MORTAR(1:6)</t>
  </si>
  <si>
    <t>CEMENT MORTAR(1:8)</t>
  </si>
  <si>
    <t>LABOUR FOR THREADING 25mm DIA  *</t>
  </si>
  <si>
    <t>MASON II</t>
  </si>
  <si>
    <t>LABOUR FOR THREADING 32mm DIA /100mm Dia *</t>
  </si>
  <si>
    <t>MAZDOOR I</t>
  </si>
  <si>
    <t>LABOUR FOR THREADING 40mm DIA /80mm Dia *</t>
  </si>
  <si>
    <t>MAZDOOR II</t>
  </si>
  <si>
    <t>|::</t>
  </si>
  <si>
    <t>LABOUR FOR THREADING 50mm DIA /65mm Dia *</t>
  </si>
  <si>
    <t>COST OF JOINTING MATERIALS</t>
  </si>
  <si>
    <t>HIRE CHARGES FOR   POWER POLISHER</t>
  </si>
  <si>
    <t>TOTAL FOR 10 CUM</t>
  </si>
  <si>
    <t>ELC. CONSUMPTION CHARGES</t>
  </si>
  <si>
    <t>LABOUR FOR FIXING WINDOW BARS</t>
  </si>
  <si>
    <t>Kg*</t>
  </si>
  <si>
    <t>E.W.EXCAVATION SS 20B AS PER SR ITEM 62 *</t>
  </si>
  <si>
    <t>CEMENT MORTAR(1:7)</t>
  </si>
  <si>
    <t>MIXER OPERATER *</t>
  </si>
  <si>
    <t>CEMENT CONCRETE(1:2:4) USING</t>
  </si>
  <si>
    <t>TESTING CHARGES FOR S.W. LINE</t>
  </si>
  <si>
    <t>20mm HBSTONE METEL</t>
  </si>
  <si>
    <t>GRINDING MORTAR *</t>
  </si>
  <si>
    <t>G.I. SHEET SR114 1.6mmT.K,30cmWIDE</t>
  </si>
  <si>
    <t>SQM*</t>
  </si>
  <si>
    <t>FITTER II *</t>
  </si>
  <si>
    <t xml:space="preserve">ROUGH STONE </t>
  </si>
  <si>
    <t>HARD BROKEN STONE JELLY 3mmTo10mm SIZE</t>
  </si>
  <si>
    <t>HARD BROKEN STONE JELLY  10mm SIZE</t>
  </si>
  <si>
    <t>HARD BROKEN STONE JELLY 12mm SIZE</t>
  </si>
  <si>
    <t>HARD BROKEN STONE JELLY 20mm SIZE</t>
  </si>
  <si>
    <t>HARD BROKEN STONE JELLY 40mm SIZE</t>
  </si>
  <si>
    <t>TERRACOTTA JALLY 110mm/50mmT.K FIXING CHARGE</t>
  </si>
  <si>
    <t>TERRACOTTA JALLY 110mmT.K/50mmT.K</t>
  </si>
  <si>
    <t>B.W IN C.M(1:5) USING CHAMBER BURNT</t>
  </si>
  <si>
    <t>CHAMBER BURNT G.M(2D) BRICK 8-3/4"X4-1/4"X2"</t>
  </si>
  <si>
    <t>Bricks of size 22X11X5Cm</t>
  </si>
  <si>
    <t>SAND FOR MARTER</t>
  </si>
  <si>
    <t>EARTH WORK EXCAVATION</t>
  </si>
  <si>
    <t>NOS.</t>
  </si>
  <si>
    <t xml:space="preserve"> 1000NO.</t>
  </si>
  <si>
    <t>STOCK BRICK-IISORT(2A)T.M OF SIZE 9"x4-1/2"X3"</t>
  </si>
  <si>
    <t>1000 Nos</t>
  </si>
  <si>
    <t>---------------------</t>
  </si>
  <si>
    <t>BRICK JELLY 40mm GAUGE</t>
  </si>
  <si>
    <t>EARTH WORK EXCAVATION IN SS20B</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</si>
  <si>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</si>
  <si>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</si>
  <si>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</si>
  <si>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</si>
  <si>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</si>
  <si>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</si>
  <si>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</si>
  <si>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</si>
  <si>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</si>
  <si>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RATE PER CUM INCLUDING REFILLING</t>
  </si>
  <si>
    <t>0 TO 2M</t>
  </si>
  <si>
    <t>T.W.SCANDLING UPTO 2M</t>
  </si>
  <si>
    <t>2 TO 3M</t>
  </si>
  <si>
    <t>T.W. PLANK 12mm to 25mm T.K UPTO 45cmWIDTH</t>
  </si>
  <si>
    <t>1.2</t>
  </si>
  <si>
    <t xml:space="preserve">RATE PER CUM EXCLUDING REFILLING 
</t>
  </si>
  <si>
    <t>STOCK BRICK-ISORT(2B)T.M SIZE 9"x4-3/8"X2-3/4"</t>
  </si>
  <si>
    <t>1.3</t>
  </si>
  <si>
    <r>
      <t xml:space="preserve">EARTH WORK EXCAVATION  for </t>
    </r>
    <r>
      <rPr>
        <b/>
        <sz val="12"/>
        <rFont val="Helv"/>
        <family val="2"/>
      </rPr>
      <t>SDR</t>
    </r>
  </si>
  <si>
    <t>EARTH WORK EXCAVATION IN SDR</t>
  </si>
  <si>
    <t>RATE PER CUM EXCLUDING REFILLING IN SDR</t>
  </si>
  <si>
    <r>
      <t xml:space="preserve">EARTH WORK EXCAVATION  for </t>
    </r>
    <r>
      <rPr>
        <b/>
        <sz val="12"/>
        <rFont val="Helv"/>
        <family val="2"/>
      </rPr>
      <t>open foundation</t>
    </r>
    <r>
      <rPr>
        <sz val="12"/>
        <rFont val="Helv"/>
        <family val="2"/>
      </rPr>
      <t>EXCLUDING REFILLING</t>
    </r>
  </si>
  <si>
    <t>RATE PER CUM EXCLUDING REFILLING</t>
  </si>
  <si>
    <r>
      <t xml:space="preserve">EARTH WORK EXCAVATION  for open foundation
</t>
    </r>
    <r>
      <rPr>
        <sz val="12"/>
        <rFont val="Helv"/>
        <family val="2"/>
      </rPr>
      <t>IN SDR (EXCLUDING REFILLING)</t>
    </r>
  </si>
  <si>
    <r>
      <t xml:space="preserve">RATE PER CUM EXCLUDING REFILLING
</t>
    </r>
    <r>
      <rPr>
        <b/>
        <sz val="12"/>
        <rFont val="Helv"/>
        <family val="2"/>
      </rPr>
      <t>IN SDR (OPEN FOUNDATION)</t>
    </r>
  </si>
  <si>
    <t>EARTH WORK EXCAVATION FOR DRAINS</t>
  </si>
  <si>
    <t xml:space="preserve">up to 1.25m width </t>
  </si>
  <si>
    <t xml:space="preserve"> 1.5 times E.W</t>
  </si>
  <si>
    <t>MOSIC TILES GREY 25X25X2cm</t>
  </si>
  <si>
    <t>2.1</t>
  </si>
  <si>
    <t>FILLING IN FOUNDATION AND</t>
  </si>
  <si>
    <t xml:space="preserve"> 14a</t>
  </si>
  <si>
    <t>RTS/MS above 16mm dia</t>
  </si>
  <si>
    <r>
      <t xml:space="preserve">BASEMENT  WITH  </t>
    </r>
    <r>
      <rPr>
        <b/>
        <sz val="12"/>
        <rFont val="Helv"/>
        <family val="2"/>
      </rPr>
      <t>FILLING SAND</t>
    </r>
  </si>
  <si>
    <t xml:space="preserve"> 14b</t>
  </si>
  <si>
    <t>RTS/MS upto 16mm dia</t>
  </si>
  <si>
    <t xml:space="preserve"> 14c</t>
  </si>
  <si>
    <t>M.S. WIRE 3mm</t>
  </si>
  <si>
    <t>COST OF FILLINGSAND</t>
  </si>
  <si>
    <t xml:space="preserve"> 14d</t>
  </si>
  <si>
    <t>GRAVEL</t>
  </si>
  <si>
    <t>Fourth floor</t>
  </si>
  <si>
    <t>BITUMEN</t>
  </si>
  <si>
    <t>B.W IN C.M(1:6) USING CHAMBER BURNT</t>
  </si>
  <si>
    <t>BINDING WIRE</t>
  </si>
  <si>
    <t>TOTAL FOR 1.0 CUM</t>
  </si>
  <si>
    <t>POLISHING  STONE</t>
  </si>
  <si>
    <t>2.2</t>
  </si>
  <si>
    <r>
      <t xml:space="preserve">PROVIDING </t>
    </r>
    <r>
      <rPr>
        <b/>
        <sz val="12"/>
        <rFont val="Helv"/>
        <family val="2"/>
      </rPr>
      <t>SAND  GRAVEL MIX</t>
    </r>
  </si>
  <si>
    <t>IN 1:1 RATIO INCLUDING</t>
  </si>
  <si>
    <t>COST OF SAND,GRAVEL,STACKING,LABOUR FOR</t>
  </si>
  <si>
    <t>MIXING &amp;CONSOLIDATION ETC</t>
  </si>
  <si>
    <t>COMPLETE.</t>
  </si>
  <si>
    <t>STACKING CHARGES</t>
  </si>
  <si>
    <t>COST OF gravel</t>
  </si>
  <si>
    <t>LABOUR CHARGES FOR SPREADING</t>
  </si>
  <si>
    <t>WATERING&amp;POWER ROLLING</t>
  </si>
  <si>
    <t>SUPLLYING AND FILLING WITH 40MM Brick jelly</t>
  </si>
  <si>
    <t>SUPLLYING AND FILLING WITH 40MM HBSJ</t>
  </si>
  <si>
    <t>SUPLLYING AND FILLING WITH 20MM Brick jelly</t>
  </si>
  <si>
    <t>COST OF 40mm HBSJ</t>
  </si>
  <si>
    <t>SUPLLYING AND FILLING WITH 20MM HBSJ</t>
  </si>
  <si>
    <t>COST OF 20mm HBSJ</t>
  </si>
  <si>
    <t>CRUDE OIL</t>
  </si>
  <si>
    <t>RED OXIDE</t>
  </si>
  <si>
    <t>2.5</t>
  </si>
  <si>
    <r>
      <t xml:space="preserve">Providing </t>
    </r>
    <r>
      <rPr>
        <b/>
        <sz val="12"/>
        <rFont val="Helv"/>
        <family val="2"/>
      </rPr>
      <t>GRAVEL SOLING</t>
    </r>
    <r>
      <rPr>
        <sz val="12"/>
        <rFont val="Helv"/>
        <family val="2"/>
      </rPr>
      <t xml:space="preserve"> of 150mm thick</t>
    </r>
  </si>
  <si>
    <t>COST OF Gravel</t>
  </si>
  <si>
    <t>WINE VERNISH</t>
  </si>
  <si>
    <t>LITTER</t>
  </si>
  <si>
    <t>3.1</t>
  </si>
  <si>
    <t>CEMENT CONCRETE(1:5:10) USING</t>
  </si>
  <si>
    <t>LINSEED OIL (BOILED)</t>
  </si>
  <si>
    <t>40mm HBSTONE METEL</t>
  </si>
  <si>
    <t>BEST GOPALVARNISH REDY MIX</t>
  </si>
  <si>
    <t>READY MIX PAINT II ND/ IST for wood</t>
  </si>
  <si>
    <t xml:space="preserve">  H.B.STONEJELLY 40mm</t>
  </si>
  <si>
    <t>READY MIX PRIMER PAINT</t>
  </si>
  <si>
    <t>M.S WASHER</t>
  </si>
  <si>
    <t>CHICKEN MESH 10X10X10G</t>
  </si>
  <si>
    <t>SQM</t>
  </si>
  <si>
    <t>WELD MESH 75X25X10G</t>
  </si>
  <si>
    <t>WELD MESH 100X100X10G</t>
  </si>
  <si>
    <t>IWC ORIYA PAN</t>
  </si>
  <si>
    <t>S.W. SIGLE Y</t>
  </si>
  <si>
    <t xml:space="preserve"> 15a</t>
  </si>
  <si>
    <t>S.W.TEE 100mm DIA WITH ISI MARK</t>
  </si>
  <si>
    <t xml:space="preserve"> 15b</t>
  </si>
  <si>
    <t>S.W.PIPE 100mm DIAWITH ISI MARK</t>
  </si>
  <si>
    <t xml:space="preserve"> 15c</t>
  </si>
  <si>
    <t>S.W.PIPE 150mm DIAWITH ISI MARK</t>
  </si>
  <si>
    <t xml:space="preserve"> 15d</t>
  </si>
  <si>
    <t>S.W.BEND 100mm DIAWITH ISI MARK</t>
  </si>
  <si>
    <t>READY MIX PAINT II ND/ IST for iron</t>
  </si>
  <si>
    <t>LTR</t>
  </si>
  <si>
    <t>3.2</t>
  </si>
  <si>
    <r>
      <t>CEMENT CONCRETE</t>
    </r>
    <r>
      <rPr>
        <b/>
        <sz val="12"/>
        <rFont val="Helv"/>
        <family val="2"/>
      </rPr>
      <t xml:space="preserve"> PCC (1:2:4)</t>
    </r>
    <r>
      <rPr>
        <sz val="12"/>
        <rFont val="Helv"/>
        <family val="2"/>
      </rPr>
      <t xml:space="preserve"> USING</t>
    </r>
  </si>
  <si>
    <t>S.W.TEE 150mm DIA WITH ISI MARK</t>
  </si>
  <si>
    <t>A.</t>
  </si>
  <si>
    <t>DOOR OF SIZE 70X210Cm</t>
  </si>
  <si>
    <t xml:space="preserve">  H.B.STONEJELLY 20mm</t>
  </si>
  <si>
    <t>T.W.SCANTLING above 2M length</t>
  </si>
  <si>
    <t>T.W.SCANTLING below 2M length</t>
  </si>
  <si>
    <t>Phenol bonded BWR Plywood 9mm</t>
  </si>
  <si>
    <t>LABOUR CHARGE</t>
  </si>
  <si>
    <t xml:space="preserve"> 6"X1/2"ALU.TOWER BOLT</t>
  </si>
  <si>
    <t xml:space="preserve"> 5" ALU.BUTT HINGS</t>
  </si>
  <si>
    <t xml:space="preserve"> 10"X5/8" ALU. ALDROP</t>
  </si>
  <si>
    <t>NYLON BUSH</t>
  </si>
  <si>
    <t>ALU.HANDLE WITH C.P.SCREWS</t>
  </si>
  <si>
    <t>DOOR STOPPER</t>
  </si>
  <si>
    <t>TOTAL FOR 1.23 SQM</t>
  </si>
  <si>
    <t>3.3</t>
  </si>
  <si>
    <r>
      <t>CEMENT CONCRETE</t>
    </r>
    <r>
      <rPr>
        <b/>
        <sz val="12"/>
        <rFont val="Helv"/>
        <family val="2"/>
      </rPr>
      <t>(1:8:16)</t>
    </r>
    <r>
      <rPr>
        <sz val="12"/>
        <rFont val="Helv"/>
        <family val="2"/>
      </rPr>
      <t xml:space="preserve"> USING</t>
    </r>
  </si>
  <si>
    <t>20mm brick jelly</t>
  </si>
  <si>
    <t>RATE PER SQM</t>
  </si>
  <si>
    <t xml:space="preserve"> 20mmbrick jelly</t>
  </si>
  <si>
    <r>
      <t xml:space="preserve">PROVIDING  </t>
    </r>
    <r>
      <rPr>
        <b/>
        <sz val="12"/>
        <rFont val="Helv"/>
        <family val="2"/>
      </rPr>
      <t>WBM 125mm</t>
    </r>
    <r>
      <rPr>
        <sz val="12"/>
        <rFont val="Helv"/>
        <family val="2"/>
      </rPr>
      <t xml:space="preserve"> CONSOLIDATED</t>
    </r>
  </si>
  <si>
    <t>THICK WITH GRAVEL BLINDAGE</t>
  </si>
  <si>
    <t>Stacking charges</t>
  </si>
  <si>
    <t>63mm to 46.5mm IRC metal</t>
  </si>
  <si>
    <t>37.5mm to 26.5mm IRC metal</t>
  </si>
  <si>
    <t>Gravel blindage 2 layers</t>
  </si>
  <si>
    <t>sqm</t>
  </si>
  <si>
    <t>Spreading charges for 2 layers</t>
  </si>
  <si>
    <t>(10.1+7.72)</t>
  </si>
  <si>
    <t>Total for 10 m2</t>
  </si>
  <si>
    <t>for 1 m2</t>
  </si>
  <si>
    <r>
      <t xml:space="preserve">SURFACE DRESSING OVER </t>
    </r>
    <r>
      <rPr>
        <b/>
        <sz val="12"/>
        <rFont val="Helv"/>
        <family val="2"/>
      </rPr>
      <t>WBM 25mm TK.</t>
    </r>
  </si>
  <si>
    <t>11.2mm IRC metal</t>
  </si>
  <si>
    <t>Filling sand</t>
  </si>
  <si>
    <t>kg</t>
  </si>
  <si>
    <t>Bitumen</t>
  </si>
  <si>
    <t>Labour charges</t>
  </si>
  <si>
    <t>Total for 100M2</t>
  </si>
  <si>
    <t>S.W.BEND 150mm DIA</t>
  </si>
  <si>
    <t>4.1</t>
  </si>
  <si>
    <t xml:space="preserve">REINFORCED CEMENT CONCRETE </t>
  </si>
  <si>
    <t>**</t>
  </si>
  <si>
    <t>PARTITION WALL OF 114mmTHICK</t>
  </si>
  <si>
    <t>S.W.GULLY TRAP 150X100mm</t>
  </si>
  <si>
    <t>NAHANI TRAP 63mm/PVC TYP</t>
  </si>
  <si>
    <t>C.C(1:2:4)USING 20mm HBSTONE</t>
  </si>
  <si>
    <t>PRATITION B.W IN C.M(1:4)</t>
  </si>
  <si>
    <t>CENTERING C.W BOARDING 40mmT.K</t>
  </si>
  <si>
    <t>JELLY FOR ALL RCCWORK</t>
  </si>
  <si>
    <t>CENTERING C.W. JOIST</t>
  </si>
  <si>
    <t>CASURINA POST 10mmMTO 13mm DIA *</t>
  </si>
  <si>
    <t xml:space="preserve"> 20mm HB STONE JELLY</t>
  </si>
  <si>
    <t>CEMENT PAINT</t>
  </si>
  <si>
    <t>TOTAL FOR 10 SQM</t>
  </si>
  <si>
    <t>GLASS 3mmTHICK</t>
  </si>
  <si>
    <t>A.C. PIPE 100mm DIA</t>
  </si>
  <si>
    <t>A.C.BEND100mm DIA</t>
  </si>
  <si>
    <t>A.C. SHOE 100mm DIA</t>
  </si>
  <si>
    <t xml:space="preserve"> 20a</t>
  </si>
  <si>
    <t>C.I EVERITE CLAMOE 100mm DIA</t>
  </si>
  <si>
    <t xml:space="preserve"> 20b</t>
  </si>
  <si>
    <t>CI GREATINGS 100mm DIA</t>
  </si>
  <si>
    <t xml:space="preserve"> 20c</t>
  </si>
  <si>
    <t>G.I.SHEET 22G</t>
  </si>
  <si>
    <t>TOTAL FOR 10CUM</t>
  </si>
  <si>
    <t xml:space="preserve"> 20d</t>
  </si>
  <si>
    <t>ALU  HINGS 5"</t>
  </si>
  <si>
    <t>ALU  HINGS 4"</t>
  </si>
  <si>
    <t>DADOING WALL WITH MASAIC</t>
  </si>
  <si>
    <t>ALU  HINGS 3"</t>
  </si>
  <si>
    <t>GRADED CHIPS</t>
  </si>
  <si>
    <t>ALU  HINGS 2"</t>
  </si>
  <si>
    <t>VIBRATING CHARGES</t>
  </si>
  <si>
    <t>ALU TOWER BOLT 6"X1/2"</t>
  </si>
  <si>
    <t>MASIC TILES LAID IN CM 1:3</t>
  </si>
  <si>
    <t>ALU TOWER BOLT 2"X5/10"</t>
  </si>
  <si>
    <t>for foundation  and basement</t>
  </si>
  <si>
    <t>ALU ALDROP 10"X5.8"</t>
  </si>
  <si>
    <t>ALU ALDROP 6"X1/2"</t>
  </si>
  <si>
    <t>NYLON BUSH FOR D</t>
  </si>
  <si>
    <t>NYLON BUSH FOR W&amp;V</t>
  </si>
  <si>
    <t>VENTILATER PIVET</t>
  </si>
  <si>
    <t>PAIR</t>
  </si>
  <si>
    <t>ALU HOOKS &amp; EYES8"</t>
  </si>
  <si>
    <t>Forth floor</t>
  </si>
  <si>
    <t>ALU HOOKS &amp; EYES6"</t>
  </si>
  <si>
    <t>ALU HOOKS &amp; EYES3"</t>
  </si>
  <si>
    <t>RANDUM RABBLE MASONRY IN CM 1:5</t>
  </si>
  <si>
    <t>I.O. HINGES 4"</t>
  </si>
  <si>
    <t>PLASTERING C.M(1:3) 12mmTHICK</t>
  </si>
  <si>
    <t>I.O. HINGES 5"</t>
  </si>
  <si>
    <t>I.O SPL HING 8"LONG</t>
  </si>
  <si>
    <t>I.O. HINGES 3"</t>
  </si>
  <si>
    <t>I.O. HINGES 2"</t>
  </si>
  <si>
    <t>I.O. TOWER BOLT 6"X1/2"</t>
  </si>
  <si>
    <t>I.O. TOWER BOLT 2"X5/8"</t>
  </si>
  <si>
    <t>I.O. ALDROP 10"X5.8"</t>
  </si>
  <si>
    <t>I.O. ALDROP 6"X1/2"</t>
  </si>
  <si>
    <t>PLASTERING C.M(1:2) 12mmTHICK</t>
  </si>
  <si>
    <t>I.O HOOKS &amp; EYES8"</t>
  </si>
  <si>
    <t>I.O HOOKS &amp; EYES6"</t>
  </si>
  <si>
    <t>I.O HOOKS &amp; EYES3"</t>
  </si>
  <si>
    <t>B.W IN C.M(1:5) USING kiln Burnt Country Bricks</t>
  </si>
  <si>
    <t>C.I. SOIL PIPE</t>
  </si>
  <si>
    <t>Bricks of size 22x11x7 cm</t>
  </si>
  <si>
    <t xml:space="preserve"> 50mm DIA</t>
  </si>
  <si>
    <t xml:space="preserve"> 75mm DIA</t>
  </si>
  <si>
    <t xml:space="preserve"> 100mm DIA</t>
  </si>
  <si>
    <t xml:space="preserve"> 150mm DIA</t>
  </si>
  <si>
    <t>C.I. SOIL BEND</t>
  </si>
  <si>
    <t>PLASTERING C.M(1:2) 10mmTHICK</t>
  </si>
  <si>
    <t>C.I. SOIL BEND WITHDOOR</t>
  </si>
  <si>
    <t>A.C. SOIL PIPE</t>
  </si>
  <si>
    <t>7.2</t>
  </si>
  <si>
    <r>
      <t xml:space="preserve">PROVIDING </t>
    </r>
    <r>
      <rPr>
        <b/>
        <sz val="12"/>
        <rFont val="Helv"/>
        <family val="2"/>
      </rPr>
      <t>BITUMEN PAD</t>
    </r>
    <r>
      <rPr>
        <sz val="12"/>
        <rFont val="Helv"/>
        <family val="2"/>
      </rPr>
      <t xml:space="preserve"> FOR EXPANISION </t>
    </r>
  </si>
  <si>
    <t>470/SQM</t>
  </si>
  <si>
    <t>JOINT</t>
  </si>
  <si>
    <t>B.W IN C.M(1:6) USING kiln Burnt Country Bricks</t>
  </si>
  <si>
    <t>A.C. SOIL BEND</t>
  </si>
  <si>
    <t>PLASTERING C.M(1:5) 20mmTHICK</t>
  </si>
  <si>
    <t>A.C. SOIL BEND WITHDOOR</t>
  </si>
  <si>
    <t>A.C. SOIL TEE</t>
  </si>
  <si>
    <t>PLASTERING C.M(1:3) 20mmTHICK</t>
  </si>
  <si>
    <t>A.C. SOIL TEE WITH DOOR</t>
  </si>
  <si>
    <t>A.C. SOIL  SINGLE YEE</t>
  </si>
  <si>
    <t>B.W IN C.M(1:4) USING kiln Burnt Country Bricks</t>
  </si>
  <si>
    <t>A.C. SOIL  SINGLE YEE WITHDOOR</t>
  </si>
  <si>
    <t>PLASTERING C.M(1:4) 20mmTHICK</t>
  </si>
  <si>
    <t>MIXEDWITH RED OXIDE @9.8</t>
  </si>
  <si>
    <t>Kg/10 SQM</t>
  </si>
  <si>
    <t>A.C. SOIL  DOUBLE YEE WITHDOOR</t>
  </si>
  <si>
    <t>no.</t>
  </si>
  <si>
    <t>mason for polishing</t>
  </si>
  <si>
    <t>A.C. SOIL DOUBLE YEE</t>
  </si>
  <si>
    <t>A.C. SOIL COWL</t>
  </si>
  <si>
    <t>Average rate for staircase steps</t>
  </si>
  <si>
    <t>A.C. SOIL SHOE</t>
  </si>
  <si>
    <t>PARTITION WALL</t>
  </si>
  <si>
    <t>WHITE WASHING ONE COAT</t>
  </si>
  <si>
    <t>A.C. SOIL SOCKETS</t>
  </si>
  <si>
    <t>SUNDRIES FOR BRUSH ETC</t>
  </si>
  <si>
    <t>A.C.DRAIN SPOUT 18" LONG</t>
  </si>
  <si>
    <t>TOTAL FOR 100 SQM</t>
  </si>
  <si>
    <t>A.C.DRAIN SPOUT 24" LONG</t>
  </si>
  <si>
    <t>WHITE WASHING TWO COAT</t>
  </si>
  <si>
    <t>G.I. PIPE A  CLASS</t>
  </si>
  <si>
    <t xml:space="preserve"> 15mmDIA</t>
  </si>
  <si>
    <t xml:space="preserve"> 20mm DIA</t>
  </si>
  <si>
    <t>PARTITION WALL OF 110 mm thick</t>
  </si>
  <si>
    <t xml:space="preserve"> 25mm DIA</t>
  </si>
  <si>
    <t xml:space="preserve"> 32mm DIA</t>
  </si>
  <si>
    <t>PARATITION B.W IN C.M(1:4)</t>
  </si>
  <si>
    <t xml:space="preserve"> 40mm DIA</t>
  </si>
  <si>
    <t xml:space="preserve"> 65mm DIA</t>
  </si>
  <si>
    <t>G.I. BEND</t>
  </si>
  <si>
    <t>COLOUR WASHING  TWO COATS</t>
  </si>
  <si>
    <t>ADD 50% EXYRA FOR COLOURING</t>
  </si>
  <si>
    <t>MAATERIAL</t>
  </si>
  <si>
    <t>G.I.COUPLER</t>
  </si>
  <si>
    <t>1000NO.</t>
  </si>
  <si>
    <t xml:space="preserve">COLOUR  WASHING TWO COATS OVER </t>
  </si>
  <si>
    <t>ONE COAT OF WHITE WASHING.</t>
  </si>
  <si>
    <t>G.I. ELBOW</t>
  </si>
  <si>
    <t>G.I. UNION</t>
  </si>
  <si>
    <t>WATER SUPPLY</t>
  </si>
  <si>
    <t>***</t>
  </si>
  <si>
    <t>PARTITION WALL OF 70mm thick</t>
  </si>
  <si>
    <t>LABOUR CHARGE FOR  LAYING</t>
  </si>
  <si>
    <t>JOINTING GI PIPE AND SPECIALS</t>
  </si>
  <si>
    <t>BELOW G.L</t>
  </si>
  <si>
    <t>A</t>
  </si>
  <si>
    <t>15mm DIA  GI PIPE BELOW G.L</t>
  </si>
  <si>
    <t>G.I. PLUG</t>
  </si>
  <si>
    <t>E.W EXCLUDING REFILLING</t>
  </si>
  <si>
    <t>REFILLING CHARGE</t>
  </si>
  <si>
    <t>CONVEYING,LOWERING  ANDLAYING</t>
  </si>
  <si>
    <t>TO PROPER GRADEAND</t>
  </si>
  <si>
    <t>ALIGNMENT,JOINTING</t>
  </si>
  <si>
    <t>ETC BUT EXCLUDING  COST OF</t>
  </si>
  <si>
    <t>JOINTING MATERIALS.</t>
  </si>
  <si>
    <t>Forth Floor</t>
  </si>
  <si>
    <t xml:space="preserve">PARTITION WALL </t>
  </si>
  <si>
    <t>CUTTING CHARGES</t>
  </si>
  <si>
    <t>G.I. TEE</t>
  </si>
  <si>
    <t>==============</t>
  </si>
  <si>
    <t>THREADING CHARGES</t>
  </si>
  <si>
    <t>B.W IN C.M(1:4) USING 4-A Categery</t>
  </si>
  <si>
    <t>COST OF JOINTING  MATERIALS</t>
  </si>
  <si>
    <t>Bricks of size 22X11X5 cm</t>
  </si>
  <si>
    <t>TOTAL FOR 30M</t>
  </si>
  <si>
    <t>RATE PER RMT</t>
  </si>
  <si>
    <t>G.I.HEX NIPPLE</t>
  </si>
  <si>
    <t>B</t>
  </si>
  <si>
    <t>20mm DIA  GI PIPE BELOW G.L</t>
  </si>
  <si>
    <t>G.M. FERRULE</t>
  </si>
  <si>
    <t>PARTITION WALL OF 50mmTHICK</t>
  </si>
  <si>
    <t>SCRAPING THE OLD PLASTER SURFACE *</t>
  </si>
  <si>
    <t>WASHING PLASTERED AREA WITH SOAP&amp;SODA WATER *</t>
  </si>
  <si>
    <t>PILE DRIVING CHARGES FOR 330mmDIA/375mm DIA</t>
  </si>
  <si>
    <t>PILE DRIVING CHARGES FOR 400mmDIA/450mm DIA</t>
  </si>
  <si>
    <t>PILE DRIVING CHARGES FOR 500mmDIA/600mm DIA</t>
  </si>
  <si>
    <t xml:space="preserve"> 15mmDIA G.M.CHEKVALUE</t>
  </si>
  <si>
    <t xml:space="preserve"> 20mm DIA G.M.CHEKVALUE</t>
  </si>
  <si>
    <t>C</t>
  </si>
  <si>
    <t>25mm DIA  GI PIPE BELOW G.L</t>
  </si>
  <si>
    <t>G.M.GATE VALUE</t>
  </si>
  <si>
    <t>13.1</t>
  </si>
  <si>
    <t xml:space="preserve">FILLING IN BASEMENT  WITH </t>
  </si>
  <si>
    <t>EXCAVATED EARTH</t>
  </si>
  <si>
    <t>AS  PER SR 85</t>
  </si>
  <si>
    <t>DAMP PROOF COURSE IN C.M(1:4),12mm thick</t>
  </si>
  <si>
    <t>mixed with Water Proof Compound at 1KG per Bag of Cement</t>
  </si>
  <si>
    <t>G.M.WHEELVALUE</t>
  </si>
  <si>
    <t xml:space="preserve">Water Proof Compound </t>
  </si>
  <si>
    <t>ABOVE G.L</t>
  </si>
  <si>
    <t xml:space="preserve">G.I.REDUCER </t>
  </si>
  <si>
    <t xml:space="preserve"> 15mmDIAX20mmDIA</t>
  </si>
  <si>
    <t>15mm  DIA G.I PIPE ABOVE G.L</t>
  </si>
  <si>
    <t xml:space="preserve"> 15mmDIAX25mmDIA</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</si>
  <si>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</si>
  <si>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</si>
  <si>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</si>
  <si>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</si>
  <si>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</si>
  <si>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</si>
  <si>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</si>
  <si>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</si>
  <si>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STONE CUTTER II</t>
  </si>
  <si>
    <t>MADON I</t>
  </si>
  <si>
    <t>COST OF CLAMPS PLUGS PAINTING</t>
  </si>
  <si>
    <t>G.I.REDUCER  ELBOW</t>
  </si>
  <si>
    <t>REDOING WORKS ETC</t>
  </si>
  <si>
    <t>TOTAL FOR 30 M</t>
  </si>
  <si>
    <t xml:space="preserve"> 32mmX15mmDIA</t>
  </si>
  <si>
    <t>P.V.C.PIPE</t>
  </si>
  <si>
    <t xml:space="preserve"> 4KG/SQ.CM</t>
  </si>
  <si>
    <t>20mm  DIA G.I PIPE ABOVE G.L</t>
  </si>
  <si>
    <t xml:space="preserve"> 15mmDIA OF WALL THICK 2.8mm A.S.T.M</t>
  </si>
  <si>
    <t xml:space="preserve"> 20mm DIA----DO----2.9mm</t>
  </si>
  <si>
    <t>RATE PER CUM with vibrating</t>
  </si>
  <si>
    <t xml:space="preserve"> 25mm DIA----DO-----3.4mm</t>
  </si>
  <si>
    <t xml:space="preserve"> 32mm DIA-----DO----3.6mm</t>
  </si>
  <si>
    <t xml:space="preserve"> 25a</t>
  </si>
  <si>
    <t xml:space="preserve"> 40mm DIA----DO----3.7mm</t>
  </si>
  <si>
    <t xml:space="preserve"> 25b</t>
  </si>
  <si>
    <t xml:space="preserve"> 50mm DIA----DO----3.9mm</t>
  </si>
  <si>
    <t xml:space="preserve"> 25c</t>
  </si>
  <si>
    <t>P.V.C.SOCKET</t>
  </si>
  <si>
    <t xml:space="preserve"> 25d</t>
  </si>
  <si>
    <t>14.I</t>
  </si>
  <si>
    <t xml:space="preserve"> P.C.C,R.C.C SLAB OF20mm THICK</t>
  </si>
  <si>
    <t>C.C(1:2:4)USING3mm-10mm HBG</t>
  </si>
  <si>
    <t>P.V.C.ELBOW</t>
  </si>
  <si>
    <t>TOTAL FOR 0.743 SQM</t>
  </si>
  <si>
    <t>25mm  DIA G.I PIPE ABOVE G.L</t>
  </si>
  <si>
    <t>P.V.C.TEE</t>
  </si>
  <si>
    <t>14.II</t>
  </si>
  <si>
    <t xml:space="preserve"> P.C.C,R.C.C SLAB OF40mm THICK</t>
  </si>
  <si>
    <t>P.V.C.REDUCER SOCKET</t>
  </si>
  <si>
    <t xml:space="preserve"> 12mmDIAX25mmDIA</t>
  </si>
  <si>
    <t xml:space="preserve"> 40mmDIAX25mmDIA</t>
  </si>
  <si>
    <t xml:space="preserve"> 32mmDIAX40mmDIA</t>
  </si>
  <si>
    <t>P.V.C.REDUCER TEE</t>
  </si>
  <si>
    <t xml:space="preserve"> 32mmDIAX25mmDIA</t>
  </si>
  <si>
    <t>JOINTING P.V.C  PIPE AND SPECIALS</t>
  </si>
  <si>
    <t>Providing CUDDAPPAH SLAB for cupboard</t>
  </si>
  <si>
    <t>P.V.C.REDUCER ELBOW</t>
  </si>
  <si>
    <t>wardrobe, shelves, kitchen sinks,</t>
  </si>
  <si>
    <t>hearth slab and sunshade etc., for the</t>
  </si>
  <si>
    <t>UP 40MM PVC PIPE</t>
  </si>
  <si>
    <t>following thickness including cost of</t>
  </si>
  <si>
    <t>Cuddappah slab and labour charges for</t>
  </si>
  <si>
    <t>fixing in position etc., all complete</t>
  </si>
  <si>
    <t xml:space="preserve"> 40mmDIAX32mmDIA</t>
  </si>
  <si>
    <r>
      <t>(Both sides polished)</t>
    </r>
    <r>
      <rPr>
        <b/>
        <sz val="12"/>
        <rFont val="Helv"/>
        <family val="2"/>
      </rPr>
      <t>FOR COASTAL AREAS</t>
    </r>
  </si>
  <si>
    <t xml:space="preserve"> 50mmDIAX40mmDIA</t>
  </si>
  <si>
    <t>TO PROPER GRADE AND</t>
  </si>
  <si>
    <t>C.I.COVER SLAB 18"X18"X56LBS(25Kg)</t>
  </si>
  <si>
    <t xml:space="preserve"> 20mm Thick slab:-</t>
  </si>
  <si>
    <t>C.I.COVER SLAB 18"X18"X36LBS(16Kg)</t>
  </si>
  <si>
    <t>==================</t>
  </si>
  <si>
    <t>C.I.COVER SLAB 24"X24"X112LBS(50Kg)</t>
  </si>
  <si>
    <t>Sqm</t>
  </si>
  <si>
    <t>Cuddappah slab</t>
  </si>
  <si>
    <t>C.I.STEEPS(5Kg)</t>
  </si>
  <si>
    <t>No.</t>
  </si>
  <si>
    <t>Mason Ist</t>
  </si>
  <si>
    <t>Each</t>
  </si>
  <si>
    <t>C.I..BRACKET FOR W.B.</t>
  </si>
  <si>
    <t>Mazdoor Ist</t>
  </si>
  <si>
    <t>BRASS TAP 15mm(HEAVY)</t>
  </si>
  <si>
    <t>Packing with C.M., Scaffolding</t>
  </si>
  <si>
    <t>C.P.TAP15mm DIA</t>
  </si>
  <si>
    <t>and Polishing etc.,</t>
  </si>
  <si>
    <t>C.P.WASTE PLUGE WITH ALU CHAIN 32mm DIA</t>
  </si>
  <si>
    <t>Total for Ten sqm</t>
  </si>
  <si>
    <t>P.V.C. WASTE PIPE32mmDIA 2.5'LONG</t>
  </si>
  <si>
    <t>P.V.C.FLUSHING PIPE 32mm DIA 6'LONG</t>
  </si>
  <si>
    <t>Rate for one SQM</t>
  </si>
  <si>
    <t>P.V.C. CONECTION 1/2"X15"</t>
  </si>
  <si>
    <t>ALU TOWEL RAIL 12mm ,2'LONG</t>
  </si>
  <si>
    <t>CONSTRN. OF INSPECTION</t>
  </si>
  <si>
    <t>ALU TOWEL RAIL 20mm ,2'LONG</t>
  </si>
  <si>
    <t>CHAMBER OF SIZE 60X60X60cm</t>
  </si>
  <si>
    <t>P.V.C. LOW LEVEL CISTERN 10 LITCAPACITY</t>
  </si>
  <si>
    <t>FOURTH FLOOR</t>
  </si>
  <si>
    <t>P.V.C. S.D TAP 15mm DIA</t>
  </si>
  <si>
    <t xml:space="preserve"> 40mm Thick slab:- for sun shade only</t>
  </si>
  <si>
    <t>E.W AND REFILLING</t>
  </si>
  <si>
    <t>E.W.C./SEAT COVER BLACK(H)</t>
  </si>
  <si>
    <t>C.C(1:8:16)USING 40mmB.J METEL</t>
  </si>
  <si>
    <t>EVERITE CLAMP IRON CLAMP</t>
  </si>
  <si>
    <t>B.W IN C.M(1:5)</t>
  </si>
  <si>
    <t>AL.HANDLE WITH CP SCREWS/DOOR STOPPER</t>
  </si>
  <si>
    <t>PLASTERING IN C.M(1:3) 12 mmT.K</t>
  </si>
  <si>
    <t>C.P.STOPCOCK 20mM DIA 500 gm</t>
  </si>
  <si>
    <t>R.C.C(1:2:4) PETTY WORKS</t>
  </si>
  <si>
    <t>C.P.STOPCOCK 15mM DIA 300gm</t>
  </si>
  <si>
    <t>StonecutterII</t>
  </si>
  <si>
    <t>(50mmT.K PCC SLAB)</t>
  </si>
  <si>
    <t>CERAMIC-FLOOR TILES WHITE/PLAINCOLOUR-6MM T.K</t>
  </si>
  <si>
    <t>SUNDRIES FOR MOULDIN ETC</t>
  </si>
  <si>
    <t>Glazed-WALL TILES WHITE/PLAINCOLOUR-6MM T.K</t>
  </si>
  <si>
    <t>G.M.VALUE WITH POLYTHENE BALL OF 15mmDIA</t>
  </si>
  <si>
    <t>Total for one sqm</t>
  </si>
  <si>
    <t>TOTAL FOR ONE NUMBER</t>
  </si>
  <si>
    <t>G.M.VALUE WITH POLYTHENE BALL OF 20mmDIA</t>
  </si>
  <si>
    <t>G.M.VALUE WITH POLYTHENE BALL OF 25mmDIA</t>
  </si>
  <si>
    <t>C.P. SHOWER ROSE 1/2"X4"</t>
  </si>
  <si>
    <t>CHAMBER OF SIZE 60X60X75cm</t>
  </si>
  <si>
    <t>TARRED HEMP YARN</t>
  </si>
  <si>
    <t>WHITE CEMENT</t>
  </si>
  <si>
    <t>COLOUR CEMENT</t>
  </si>
  <si>
    <t>C.</t>
  </si>
  <si>
    <r>
      <t xml:space="preserve"> 20mm Thick slab:- For </t>
    </r>
    <r>
      <rPr>
        <b/>
        <sz val="12"/>
        <rFont val="Helv"/>
        <family val="2"/>
      </rPr>
      <t>kitchen arrangements only</t>
    </r>
  </si>
  <si>
    <t>BROSS HEX NIPPLE15mm DIA</t>
  </si>
  <si>
    <t>BROSS HEX NIPPLE 20mm DIA</t>
  </si>
  <si>
    <t>COLOUR</t>
  </si>
  <si>
    <t>E.W.C. WITH S  TRAP</t>
  </si>
  <si>
    <t>SET</t>
  </si>
  <si>
    <t>C.M 1:3</t>
  </si>
  <si>
    <t>ANGLO INDIAN WATER CLOSET WITH P OR S TRAP</t>
  </si>
  <si>
    <t>I.W.C. 18" WITH P OR S TRAP WITH FOOT REST</t>
  </si>
  <si>
    <t>PORCELIN FOOT REAT</t>
  </si>
  <si>
    <t>WASH BASIN 480x400mm</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</si>
  <si>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</si>
  <si>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</si>
  <si>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</si>
  <si>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</si>
  <si>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</si>
  <si>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</si>
  <si>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</si>
  <si>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</si>
  <si>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</si>
  <si>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</si>
  <si>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P.V.C. SOIL BENDWITH DOOR 110mm DIA</t>
  </si>
  <si>
    <t>C.C(1:8:16)USING 40mm HBS</t>
  </si>
  <si>
    <t>P.V.C. SOIL BENDWITH DOOR 75mm DIA</t>
  </si>
  <si>
    <t>B.W. IN C.M(1:6) USING COUNTRY BRICK</t>
  </si>
  <si>
    <t>P.V.C. SOIL BENDWITH DOOR 50mm DIA</t>
  </si>
  <si>
    <t>DRY BRICK WORK</t>
  </si>
  <si>
    <t>P.V.C. SOIL SHOE 110mm DIA</t>
  </si>
  <si>
    <t>16.1</t>
  </si>
  <si>
    <t>CEMENT CONCRETE(1:2:4) FOR</t>
  </si>
  <si>
    <t xml:space="preserve"> 40mm HBS JELLY</t>
  </si>
  <si>
    <t>P.V.C. SOIL SHOE 75mm DIA</t>
  </si>
  <si>
    <t xml:space="preserve">PETTY WORKS EXCLUDING COST </t>
  </si>
  <si>
    <t>P.V.C. SOIL SHOE 50mm DIA</t>
  </si>
  <si>
    <t>OF STEEL</t>
  </si>
  <si>
    <t>PLASTERING IN C.M(1:5)12mm T.K</t>
  </si>
  <si>
    <t>P.V.C. SOIL BEND W.O.D 110mm DIA</t>
  </si>
  <si>
    <t>SUPPLY OF 100mmS.W TEE</t>
  </si>
  <si>
    <t>P.V.C. SOIL BEND 75mm DIA</t>
  </si>
  <si>
    <t>C.C(1:2:4)USING 20mmHB JELLY</t>
  </si>
  <si>
    <t>R.C.C.(1:2:4) FOR PETTY WORK</t>
  </si>
  <si>
    <t>P.V.C. SOIL BEND 50mm DIA</t>
  </si>
  <si>
    <t xml:space="preserve">SUNDRIES FOR MOULDING </t>
  </si>
  <si>
    <t>PCC-75MM T.K SLAB</t>
  </si>
  <si>
    <t>P.V.C. SOIL YEE 110mm DIA</t>
  </si>
  <si>
    <t>FINISHING,OIL ETC</t>
  </si>
  <si>
    <t>P.V.C. SOIL YEE 75mm DIA</t>
  </si>
  <si>
    <t>P.V.C. SOIL YEE 50mm DIA</t>
  </si>
  <si>
    <t>TOTAL FOR .01 CUM</t>
  </si>
  <si>
    <t>P.V.C. SOIL YEEWITH DOOR 110mm DIA</t>
  </si>
  <si>
    <t>P.V.C. SOIL YEEWITH DOOR 75mm DIA</t>
  </si>
  <si>
    <t>CONSTRUCTION OF DISPERSION</t>
  </si>
  <si>
    <t>P.V.C. SOIL YEEWITH DOOR 50mm DIA</t>
  </si>
  <si>
    <t>TRENCH OF SIZE 3MX1MX1M</t>
  </si>
  <si>
    <t xml:space="preserve">P.V.C. SOIL DOUBLE  YEE WITH DOOR 110mm </t>
  </si>
  <si>
    <t>CC(1:2:4) USING 20mmHB</t>
  </si>
  <si>
    <t xml:space="preserve">P.V.C. SOIL DOUBLE YEE WITH DOOR 75mm </t>
  </si>
  <si>
    <t>JALLY-50mm THICK</t>
  </si>
  <si>
    <t>E.W EXCAVATION</t>
  </si>
  <si>
    <t xml:space="preserve">P.V.C. SOIL DOUBLE YEE WITH DOOR 50mm </t>
  </si>
  <si>
    <t>SUPPLY OF 40mmB.J. METEL</t>
  </si>
  <si>
    <t>P.V.C. SOIL TEE 110mm DIA</t>
  </si>
  <si>
    <t>C.C(1:2:4)USING 20mmJELLY</t>
  </si>
  <si>
    <t xml:space="preserve"> 100mm DIA S.W.PIPE</t>
  </si>
  <si>
    <t>P.V.C. SOIL TEE 75mm DIA</t>
  </si>
  <si>
    <t>FOR PETTY WORKS</t>
  </si>
  <si>
    <t>P.V.C. SOIL TEE 50mm DIA</t>
  </si>
  <si>
    <t>P.V.C. SOIL TEE WITH DOOR  110mm DIA</t>
  </si>
  <si>
    <t>P.V.C. SOIL TEE WITH DOOR  75mm DIA</t>
  </si>
  <si>
    <t>P.V.C. SOIL TEE WITH DOOR  50mm DIA</t>
  </si>
  <si>
    <t>P.V.C. SOIL SLOTTED COWL 110mm DIA</t>
  </si>
  <si>
    <t>TOTAL FOR0.372 SQM</t>
  </si>
  <si>
    <t>CONSTRUCTION OF SEPTIC TANK</t>
  </si>
  <si>
    <t>P.V.C. SOIL  SLOTTED COWL PIPE 75mm DIA</t>
  </si>
  <si>
    <t>OF SIZE 150X75X100cm( BER NO</t>
  </si>
  <si>
    <t>P.V.C. SOIL SLOTTEDCOWL 50mm DIA</t>
  </si>
  <si>
    <t>6/91-92)</t>
  </si>
  <si>
    <t>P.V.C. SOIL DOUBLE YEEE 110mm DIA</t>
  </si>
  <si>
    <t>P.V.C. SOIL DOUBLE YEE 75mm DIA</t>
  </si>
  <si>
    <t>WATER PROOF COMPOUND</t>
  </si>
  <si>
    <t xml:space="preserve"> CC(1:2:4)IN20mmmHBS(PLAIN)</t>
  </si>
  <si>
    <t>ROUND RING</t>
  </si>
  <si>
    <t>A.C. SHEETFULLY CORRUGATED 6mmT.K</t>
  </si>
  <si>
    <t>PLASTERING IN C.M(1:3)12mmT.K</t>
  </si>
  <si>
    <t>A.C. SHEET SEMI CORRUGATED 6mmT.K</t>
  </si>
  <si>
    <t>R.C.C(1:2:4)USING 20mmHBS</t>
  </si>
  <si>
    <t>A.C. RIDGE FOR FULLYCORRUGATED AC SHEET</t>
  </si>
  <si>
    <t>16.2</t>
  </si>
  <si>
    <t>SUPPLYING &amp; FIXING OF TERRACOTTA</t>
  </si>
  <si>
    <t xml:space="preserve">PCC SLAB 50mm T.K </t>
  </si>
  <si>
    <t>A.C. RIDGE FOR SEMI CORRUGATED AC SHEET</t>
  </si>
  <si>
    <t>JALLY(NOT BELOW 50MM THICK) OF BEST</t>
  </si>
  <si>
    <t>S/F OF S.W. TEE 1000mmmDIA</t>
  </si>
  <si>
    <t>U ORJ BOLT ANDBITUMENWASHERS</t>
  </si>
  <si>
    <t>GI HOT</t>
  </si>
  <si>
    <t>QUALITY AND FIXING IN POSITION WITH</t>
  </si>
  <si>
    <t>MTS</t>
  </si>
  <si>
    <t>S/F OF 50mmDIA A.C PIPE</t>
  </si>
  <si>
    <t>M.S.WINDOW GRILLS *</t>
  </si>
  <si>
    <t>CEMENT PASTE AND REDOXIDE PUTTY INCLUDING</t>
  </si>
  <si>
    <t>S/F OF 50mmDIA A.C COWL</t>
  </si>
  <si>
    <t>CONVEY,ALAIGN,JIONT ETC UP TO40mmPVC PIPE</t>
  </si>
  <si>
    <t>COST OF ALL FLOOR(THE TERRA COTTA JALLY</t>
  </si>
  <si>
    <t>CONVEY,ALAIGN,JIONT ETC OVER TO40mmPVC PIPE</t>
  </si>
  <si>
    <t>QUALITY AND DESIGN SHALL BE GOT APPROVED</t>
  </si>
  <si>
    <t xml:space="preserve">CUTTING CHARGE OF PVC pipe </t>
  </si>
  <si>
    <t>BY THE DEPARTMENTAL OFFICERS</t>
  </si>
  <si>
    <t>THREADING CHARGES FOR PVC 20mm/25mm</t>
  </si>
  <si>
    <t>COST OFPVC PIPE JOINTING MATERIALS UPTO 40mm</t>
  </si>
  <si>
    <t>COST OF TERRACOTTA JALLY OF50mm</t>
  </si>
  <si>
    <t>COST OFPVC PIPE JOINTING MATERIALS OVER 40mm</t>
  </si>
  <si>
    <t>LABOUR FOR FIXING JALLY</t>
  </si>
  <si>
    <t>MISCELLANCEOUS ITEMS</t>
  </si>
  <si>
    <t>C.I.DOUBLE YEE JUNCTION WITH DOOR  100mmDIA</t>
  </si>
  <si>
    <t>FOR PLASTERING &amp; REDOXIDE PUTTY</t>
  </si>
  <si>
    <t>S.F OF A.C.SPOUT PIPE OF50 mm DIA</t>
  </si>
  <si>
    <t>C.I.DOUBLE YEE JUNCTION WITH DOOR  75mmDIA</t>
  </si>
  <si>
    <t xml:space="preserve"> 18" LONG</t>
  </si>
  <si>
    <t>THREADING CHARGES FOR PVC 32mm/63mm</t>
  </si>
  <si>
    <t>C.I.DOUBLE YEE JUNCTION WITHOUT DOOR  100mmDIA</t>
  </si>
  <si>
    <t xml:space="preserve">           </t>
  </si>
  <si>
    <t>SPOUT PIPE OF 50mm DIA</t>
  </si>
  <si>
    <t>C.I.DOUBLE YEE JUNCTION WITHOUT DOOR  75mmDIA</t>
  </si>
  <si>
    <t>LABOUR FOR FIXING INCLUDING</t>
  </si>
  <si>
    <t>C.I.DOUBLE YEE JUNCTION WITHOUT DOOR  50mmDIA</t>
  </si>
  <si>
    <t>CLAMP ETC</t>
  </si>
  <si>
    <t>C.I. YEE JUNCTION WITH DOOR  100mmDIA</t>
  </si>
  <si>
    <t>C.I. YEE JUNCTION WITH DOOR  75mmDIA</t>
  </si>
  <si>
    <t>TOTAL FOR  ONE NOS.</t>
  </si>
  <si>
    <t>C.I. YEE JUNCTION WITH  DOOR  50mmDIA</t>
  </si>
  <si>
    <t>C.I. YEE JUNCTION WITHOUT DOOR  100mmDIA</t>
  </si>
  <si>
    <t>16.3</t>
  </si>
  <si>
    <t>C.I. YEE JUNCTION WITHOUT DOOR  75mmDIA</t>
  </si>
  <si>
    <t>JALLY(NOT BELOW 110MM THICK) OF BEST</t>
  </si>
  <si>
    <t>S.F OF A.C.SPOUT PIPE OF75 mm DIA</t>
  </si>
  <si>
    <t>C.I. YEE JUNCTION WITH OUT DOOR  50mmDIA</t>
  </si>
  <si>
    <t>C.I. TEE JUNCTION WITH DOOR  100mmDIA</t>
  </si>
  <si>
    <t>C.I. TEE JUNCTION WITH DOOR  75mmDIA</t>
  </si>
  <si>
    <t>SPOUT PIPE OF 75mm DIA</t>
  </si>
  <si>
    <t>C.I. TEE JUNCTION WITH  DOOR  50mmDIA</t>
  </si>
  <si>
    <t>C.I. TEE JUNCTION WITHOUT DOOR  100mmDIA</t>
  </si>
  <si>
    <t>BY THE DEPARTMENTAL OFFICERS)</t>
  </si>
  <si>
    <t>C.I. TEE JUNCTION WITHOUT DOOR  75mmDIA</t>
  </si>
  <si>
    <t>COST OF TERRACOTTA JALLY OF 110mm</t>
  </si>
  <si>
    <t>C.I.SLOTTED COWL  100mmDIA</t>
  </si>
  <si>
    <t>C.I.SLOTTED COWL  75mmDIA</t>
  </si>
  <si>
    <t>C.I.SLOTTED COWL  50mmDIA</t>
  </si>
  <si>
    <t>S.F OF A.C.SPOUT PIPE OF100mm DIA</t>
  </si>
  <si>
    <t>C.I. GREATING 100mmDIA</t>
  </si>
  <si>
    <t>C.I. GREATING 75mmDIA</t>
  </si>
  <si>
    <t>G.I PIPE "A"CLASS 80mmDIA</t>
  </si>
  <si>
    <t>SPOUT PIPE OF 100mm DIA</t>
  </si>
  <si>
    <t>G.I. 80MM DIA BEND</t>
  </si>
  <si>
    <t>G.I. 80MM DIA CUPPLER</t>
  </si>
  <si>
    <t>G.I. 80MM DIA UNION</t>
  </si>
  <si>
    <t>G.I. 80MM DIA PLUG</t>
  </si>
  <si>
    <t>G.I. 80MM DIA TEE</t>
  </si>
  <si>
    <t>G.I. 80MM DIA HEX.NIPPLE</t>
  </si>
  <si>
    <t>G.I. 80MM X50mm REDUCER</t>
  </si>
  <si>
    <t xml:space="preserve">PROVIDING FORM WORK AND CENTERING FOR </t>
  </si>
  <si>
    <t>S.F OF G.I OUT LET PIPE OF 25mm DIA</t>
  </si>
  <si>
    <t>G.I. 80MM X65mm REDUCER</t>
  </si>
  <si>
    <t>PLAIN CONCRETE SURFACES FOR ALL R.C.C</t>
  </si>
  <si>
    <t xml:space="preserve"> 30cm LONG</t>
  </si>
  <si>
    <t>G.I. 80MM X50mm REDUCER TEE</t>
  </si>
  <si>
    <t>WORKS(beams &amp; lintels)</t>
  </si>
  <si>
    <t>G.I. 80MM X65mm REDUCER TEE</t>
  </si>
  <si>
    <t xml:space="preserve"> PIPE COST 25mm DIA</t>
  </si>
  <si>
    <t>PLAIN GLASS</t>
  </si>
  <si>
    <t>C.W BOARDING 40mm T.K</t>
  </si>
  <si>
    <t>P.V.C BEND</t>
  </si>
  <si>
    <t>C.W JOIST(AVE.SIZE 100X6.5mm</t>
  </si>
  <si>
    <t xml:space="preserve"> 15mm DIA</t>
  </si>
  <si>
    <t>@90cm C/C)</t>
  </si>
  <si>
    <t>CASURNA POST 10TO 13cmDIA</t>
  </si>
  <si>
    <t>AT75cm CENTERS</t>
  </si>
  <si>
    <t>COUNTRY WOOD ITEM</t>
  </si>
  <si>
    <t>TOTAL FOR   5 Operations for 10 sqm</t>
  </si>
  <si>
    <t>=================</t>
  </si>
  <si>
    <t>P.V.C. COUPLER</t>
  </si>
  <si>
    <t>a.</t>
  </si>
  <si>
    <t>DOOR OF SIZE 100X200Cm</t>
  </si>
  <si>
    <t>COST  OF ONE OPERATION</t>
  </si>
  <si>
    <t>100mm DIA</t>
  </si>
  <si>
    <t>CARPENTER I</t>
  </si>
  <si>
    <t>C.W.SCANTLING(PLLLI,KARIMURUTH)</t>
  </si>
  <si>
    <t>P.V.C ELBOW</t>
  </si>
  <si>
    <t>MARINE PLYWOOD 12mm THICK</t>
  </si>
  <si>
    <t>SUNDRIES FOR WEDGES,NAILS,COIR</t>
  </si>
  <si>
    <t xml:space="preserve"> 6"X1/2" I.O.TOWER BOLT</t>
  </si>
  <si>
    <t>PLYWOOD FLUSH DOOR 30mm T.K FOR ALL SIZE</t>
  </si>
  <si>
    <t xml:space="preserve"> 5" I.O.BUTT HINGS</t>
  </si>
  <si>
    <t>P.V.C.FLUSH D/F &amp; D/S 20mm T.K FOR 75X200cm</t>
  </si>
  <si>
    <t xml:space="preserve"> 10"X5/8" I.O ALDROP</t>
  </si>
  <si>
    <t>SINTEX WATER TANK OF 750 LIT</t>
  </si>
  <si>
    <t>3.25/lit</t>
  </si>
  <si>
    <t>EACH</t>
  </si>
  <si>
    <t>STEEL DOOR FRAMEOF SIZE 100X200</t>
  </si>
  <si>
    <t>STEEL DOOR FRAMEOF SIZE 90X200</t>
  </si>
  <si>
    <t>STEEL DOOR FRAMEOF SIZE 75X200</t>
  </si>
  <si>
    <t>Centering for soffits for R.C.C.Slabs or</t>
  </si>
  <si>
    <t>TOTAL FOR 1.815 SQM</t>
  </si>
  <si>
    <t>STEEL WINDOW FRAME&amp;SHUTTER WITHOUT GLASS</t>
  </si>
  <si>
    <t>plane surfaces including shuttering up to 3m</t>
  </si>
  <si>
    <t xml:space="preserve"> "   OF SIZE 132.5X120cm</t>
  </si>
  <si>
    <t>height using M.S sheets of size 90mmx60mm and</t>
  </si>
  <si>
    <t xml:space="preserve"> "   OF SIZE 90X120cm</t>
  </si>
  <si>
    <t>HP 10G stiffened with welded M.S angle of</t>
  </si>
  <si>
    <t xml:space="preserve"> "   OF SIZE 47.5X120cm</t>
  </si>
  <si>
    <t>size 25x25x3mm laid over silver oak (C.W)</t>
  </si>
  <si>
    <t>b.</t>
  </si>
  <si>
    <t>DOOR OF SIZE 90X200Cm</t>
  </si>
  <si>
    <t xml:space="preserve"> "   OF SIZE 90X105cm</t>
  </si>
  <si>
    <t>joist 10cmx6.5cm spaced at75cm c/c complying</t>
  </si>
  <si>
    <t xml:space="preserve"> "   OF SIZE 47.5X105cm</t>
  </si>
  <si>
    <t>with standard specification</t>
  </si>
  <si>
    <t xml:space="preserve"> "   OF SIZE 90X90cm</t>
  </si>
  <si>
    <t xml:space="preserve"> "   OF SIZE 47.5X90cm</t>
  </si>
  <si>
    <t>Kg.</t>
  </si>
  <si>
    <t>Cost of M.S sheet of size</t>
  </si>
  <si>
    <t>STEEL VENTILATTER FRAME&amp;SHUTTER WITHOUT GLASS</t>
  </si>
  <si>
    <t>90x60cm of 10 gauge</t>
  </si>
  <si>
    <t xml:space="preserve"> "   OF SIZE 75X47.5cm</t>
  </si>
  <si>
    <t>Cost of M.S angle of size</t>
  </si>
  <si>
    <t xml:space="preserve"> "   OF SIZE 90X47.5cm</t>
  </si>
  <si>
    <t xml:space="preserve"> 25x25x3mm</t>
  </si>
  <si>
    <t>Add for cutting, bending,</t>
  </si>
  <si>
    <t>P.V.C REDUCER ELBOW</t>
  </si>
  <si>
    <t>welding charges etc.</t>
  </si>
  <si>
    <t xml:space="preserve"> 50X25MM</t>
  </si>
  <si>
    <t>Total for 40 operations</t>
  </si>
  <si>
    <t xml:space="preserve"> 50X40MM</t>
  </si>
  <si>
    <t>TOTAL FOR 1.6191 SQM</t>
  </si>
  <si>
    <t>PORCELINE WHITE GLASED SOAP DISH 200X100mm</t>
  </si>
  <si>
    <t>Cost of one operation</t>
  </si>
  <si>
    <t>PORCEINE WASH BASIN OVAL SHAPE 480X400mm</t>
  </si>
  <si>
    <t>END CAP SULATED P.V.C. MANHOLE STEP</t>
  </si>
  <si>
    <t>Adopting 40 uses for steel sheet and</t>
  </si>
  <si>
    <t>P.V.C. DOUBLE TEE WITH DOOR 75mm DIA</t>
  </si>
  <si>
    <t>angles and 5 uses for C.W.joist and</t>
  </si>
  <si>
    <t>P.V.C. DOUBLE TEE WITH DOOR 100mm DIA</t>
  </si>
  <si>
    <t>casurina props</t>
  </si>
  <si>
    <t>c.</t>
  </si>
  <si>
    <t>DOOR OF SIZE 75X200Cm</t>
  </si>
  <si>
    <t>P.V.C. DOUBLE TEE WITH OUT DOOR 75mm DIA</t>
  </si>
  <si>
    <t>P.V.C. DOUBLE TEE WITH OUT DOOR 100mm DIA</t>
  </si>
  <si>
    <t>Cost of M.S Sheet and Angles</t>
  </si>
  <si>
    <t xml:space="preserve"> 1Use</t>
  </si>
  <si>
    <t xml:space="preserve">POISHED CUDDAPAH SLAB 20mmTHICK WELL POISHED </t>
  </si>
  <si>
    <t>for one operation</t>
  </si>
  <si>
    <t>CUDDAPAH SLAB SINK 60X45cm,20mmT.K</t>
  </si>
  <si>
    <t>Cost of silver oak</t>
  </si>
  <si>
    <t>CUDDAPAH SLAB SINK 45X45cm,20mmT.K</t>
  </si>
  <si>
    <t>Casurnia props 10 to 13cm dia</t>
  </si>
  <si>
    <t>GRANITE SLAB 20mm THICK OF BEST QUALITY</t>
  </si>
  <si>
    <t>Add for Silver oak planks</t>
  </si>
  <si>
    <t xml:space="preserve"> 4" I.O.BUTT HINGS</t>
  </si>
  <si>
    <t>ELECTRICAL ARRANGEMENT:- BOARD APPROVED RATES</t>
  </si>
  <si>
    <t>No</t>
  </si>
  <si>
    <t>Carpenter Ist</t>
  </si>
  <si>
    <t xml:space="preserve"> 6"X1/2" I.O ALDROP</t>
  </si>
  <si>
    <t>WRING WITH 1.5SQMM COPPER WIRE  CONCELLED</t>
  </si>
  <si>
    <t>TYPE FOR LIGHT POINT WITH CEILING ROSE</t>
  </si>
  <si>
    <t>POINT</t>
  </si>
  <si>
    <t>Fitter IInd</t>
  </si>
  <si>
    <t>---DO---FOR LIGHT POINT WITH BATTERN HODER</t>
  </si>
  <si>
    <t>Add for nails, wedges,oils etc</t>
  </si>
  <si>
    <t xml:space="preserve"> ---DO---FOR FAN POINT </t>
  </si>
  <si>
    <t>Add for periodical cleaning,</t>
  </si>
  <si>
    <t>TOTAL FOR 1.3247 SQM</t>
  </si>
  <si>
    <t xml:space="preserve"> --DO--FOR 5AMP 5PIN PLUG AT SWITCH BOARD</t>
  </si>
  <si>
    <t>painting etc  for M.S. Sheet</t>
  </si>
  <si>
    <t xml:space="preserve"> --DO--FOR 5AMP 5PIN PLUG AT CONVENTENT PLACE</t>
  </si>
  <si>
    <t xml:space="preserve"> ---DO---FOR STAIR CASE LIGHT POINT </t>
  </si>
  <si>
    <t>S/F OF BULKHEAD FITTING SUITABLE FOR 100/60W</t>
  </si>
  <si>
    <t>FLUSH SHUTTER P.V.C. 30mm THICK</t>
  </si>
  <si>
    <t>RUN OF MAINS 2-1.5 SQMM COPPER CONCELLED TYPE</t>
  </si>
  <si>
    <t xml:space="preserve"> SOLIDCORE OF BLACKBOARD</t>
  </si>
  <si>
    <t xml:space="preserve">S/F OF 16 AMP DPIC MAIN SWITCH </t>
  </si>
  <si>
    <t>PROVIDING FORMWORK AND</t>
  </si>
  <si>
    <t>TYPE WITH COMMERCIAL TYPE</t>
  </si>
  <si>
    <t>EARTHING STATION ASPER IS3043</t>
  </si>
  <si>
    <t>CENTERING FOR PLAIN CONCRETE</t>
  </si>
  <si>
    <t>LIPPING BOTH SIDES</t>
  </si>
  <si>
    <t>S/L OF 8SWG G.I WIRE FOREARTH TO MAIN</t>
  </si>
  <si>
    <t>SURFACES FOR SMALL QTY such as sunshade etc</t>
  </si>
  <si>
    <t>SUPPLY OF 5-10AMP/10-20AMP ELE. ENERGY METER</t>
  </si>
  <si>
    <t>S/F OF CONSUMER UNIT OF 4NO OF 16AMP WAY</t>
  </si>
  <si>
    <t>MS angles &amp; sheets for one</t>
  </si>
  <si>
    <t>FOR ALL SIZE OF DOORS/SQM</t>
  </si>
  <si>
    <t>RUN OF MAINS 4-4 SQMM COPPER CONCELLED TYPE</t>
  </si>
  <si>
    <t>use (1.2 times of operation</t>
  </si>
  <si>
    <t>LABOUR FOR FIXING CEIING FAN OF AL SWEEP</t>
  </si>
  <si>
    <t>for plain surface)</t>
  </si>
  <si>
    <t xml:space="preserve">S/F OF S.C TW BOARD,3-30AMPFUSE, EARTHPLATE </t>
  </si>
  <si>
    <t>C.W Joist for one use (1.2</t>
  </si>
  <si>
    <t>STEEL DOOR FRAMES AND WINDOW FRAMES WITH SHUTTER</t>
  </si>
  <si>
    <t xml:space="preserve">RUN OF S.C WIRING WITH 2-4 SQMM COPPER ,7/20 GI </t>
  </si>
  <si>
    <t>times of operation for plain</t>
  </si>
  <si>
    <t>====</t>
  </si>
  <si>
    <t>S/F OF AERI FUSE UNIT 30AMP 500V AT E.B POLE</t>
  </si>
  <si>
    <t>surface)</t>
  </si>
  <si>
    <t>ITEM NO 1:-MANUFACTURING AND</t>
  </si>
  <si>
    <t>S/F OF 40mmDIA B-CASS G.I PIPE</t>
  </si>
  <si>
    <t>SUPPLYING OF STEEL DOOR frame OF</t>
  </si>
  <si>
    <t>S/F OF 40mmDIA B-CASS G.I COUPLER</t>
  </si>
  <si>
    <t>ALL SIZES WITH OUT SHUTTER</t>
  </si>
  <si>
    <t>S/F OF 40mmDIA B-CASS G.I BEND</t>
  </si>
  <si>
    <t>MADE OF 100X50 18GAUGE CRCA</t>
  </si>
  <si>
    <t>S/F OF 40X40X6mmANGLE TO SUPPORT G.I.PIPE.</t>
  </si>
  <si>
    <t>STELL WITH ALL FOURNITURE AND</t>
  </si>
  <si>
    <t>S/F OF 15AMP 3PIN POWER PLUG WITH SWITCH</t>
  </si>
  <si>
    <t>ADD FOR SILVER OKE PLANKS</t>
  </si>
  <si>
    <t>FITTINGS.</t>
  </si>
  <si>
    <t>RUN OF MAINS 2-2.5 SQMM COPPER CONCELLED TYPE</t>
  </si>
  <si>
    <t>S/F OF SINGE PHASE ELCB OF CONCEAED TYPE</t>
  </si>
  <si>
    <t>Add for periodical cleaning</t>
  </si>
  <si>
    <t>MARINE PLYWOOD OF 12mm THICK OF BWR GRADE L.R</t>
  </si>
  <si>
    <t>and painting etc for M.S. Sheet</t>
  </si>
  <si>
    <t>Manufacturing and supplying of</t>
  </si>
  <si>
    <t>m.s.angle window shutter  and</t>
  </si>
  <si>
    <t>m.s grills with out glass of</t>
  </si>
  <si>
    <t>all sizes of windows,ventilaters.</t>
  </si>
  <si>
    <t xml:space="preserve"> ---DO---FOR CALLING BELL POINT </t>
  </si>
  <si>
    <t>Supply and fixing of window</t>
  </si>
  <si>
    <t>glass panels of 3mm thick for</t>
  </si>
  <si>
    <t>steel window and ventilaters.</t>
  </si>
  <si>
    <t xml:space="preserve"> --DO--FOR 15AMP OWER PLUG</t>
  </si>
  <si>
    <t>SURFACES FOR PLINTH BEAM ETC.</t>
  </si>
  <si>
    <t>Cost of 3mm window glass</t>
  </si>
  <si>
    <t>S/F OF BULK HEAD FITTING</t>
  </si>
  <si>
    <t>S/F OF DOUBLE POLE MAIN SWITCH</t>
  </si>
  <si>
    <t>HALF THE RATE  OF F.W USING C.W.PLANKS</t>
  </si>
  <si>
    <t>nos.</t>
  </si>
  <si>
    <t>Carpenter I class</t>
  </si>
  <si>
    <t>S/F OF 6 WAY D.B</t>
  </si>
  <si>
    <t>FOR LINTEL &amp; BEAMS</t>
  </si>
  <si>
    <t>LABOUR CHARGE FOR FIXING FAN</t>
  </si>
  <si>
    <t>4.2</t>
  </si>
  <si>
    <t>R.C.C 1:1.5:3 USING 20mmHBG</t>
  </si>
  <si>
    <t>Cost of binding meterials etc.,</t>
  </si>
  <si>
    <t>SUPPLY AND DELIVERY OF FAN 48"SWEEP</t>
  </si>
  <si>
    <t>JELLY FOR ALL WATER RETAINING</t>
  </si>
  <si>
    <t>SUPPLY AND DELIVERY OF FAN 42"SWEEP</t>
  </si>
  <si>
    <t>STRUCTURES AND R.C.C DOOR FRAMES</t>
  </si>
  <si>
    <t>total for 0.4sqm</t>
  </si>
  <si>
    <t>S/F OF 8SWG G.I WIRE</t>
  </si>
  <si>
    <t>RUN OFF MAIN WITH 2NO OF 1.50sq.mm WIRE</t>
  </si>
  <si>
    <t xml:space="preserve"> 20mmH.B.JELLY</t>
  </si>
  <si>
    <t>Rate for one sqm</t>
  </si>
  <si>
    <t>EARTHING STATION AS PER ISI</t>
  </si>
  <si>
    <t>S/F OF 1 NO OF 30 AMP FUSE UNIT.</t>
  </si>
  <si>
    <t>Manufactoring and supplying of</t>
  </si>
  <si>
    <t>S/F OF 375mmX300mmX20mmT.W.PLANK FOR S.C.</t>
  </si>
  <si>
    <t xml:space="preserve">steel window, confirming to </t>
  </si>
  <si>
    <t>S/F OF METRE CUPBOARD</t>
  </si>
  <si>
    <t>IS 1038/1983.</t>
  </si>
  <si>
    <t>S/F OF STREET LIGHTS.</t>
  </si>
  <si>
    <t>PROVIDING ANTI-TERMITE TREATMENT</t>
  </si>
  <si>
    <t>Window size 90x120cm</t>
  </si>
  <si>
    <t>PROVIDING ELCB WITH MCB IN MS BOX</t>
  </si>
  <si>
    <t xml:space="preserve"> ---------------------</t>
  </si>
  <si>
    <t>Flat back urinal WITH ALL ACCESSORIES</t>
  </si>
  <si>
    <t>Steel window with 10mm square</t>
  </si>
  <si>
    <t>WIRE MAN GR-I</t>
  </si>
  <si>
    <t>horizontal with one coat of</t>
  </si>
  <si>
    <t>HELPER</t>
  </si>
  <si>
    <t>red oxide primer paint.</t>
  </si>
  <si>
    <t>Frosted glass 3mmthick</t>
  </si>
  <si>
    <t>Iron hinge special type</t>
  </si>
  <si>
    <t>Stays and pegs</t>
  </si>
  <si>
    <t>Locking arrangements</t>
  </si>
  <si>
    <t xml:space="preserve"> 12x12mm thick alu.beedings</t>
  </si>
  <si>
    <t>Mason II / I</t>
  </si>
  <si>
    <t>MAISTRY</t>
  </si>
  <si>
    <t>Labour Charges for fixing</t>
  </si>
  <si>
    <t>WIREMEN GRADE I</t>
  </si>
  <si>
    <t>Alu. bolt and nuts</t>
  </si>
  <si>
    <t>WIREMEN GRADE Ii</t>
  </si>
  <si>
    <t>GI PIPE 40 MM DIA</t>
  </si>
  <si>
    <t>Total for 1No</t>
  </si>
  <si>
    <t>GI PIPE 20 MM DIA</t>
  </si>
  <si>
    <t>15 mm dia GI pipe</t>
  </si>
  <si>
    <t>R.C.C DOOR FRAME</t>
  </si>
  <si>
    <t xml:space="preserve">GI PIPE 25 MM </t>
  </si>
  <si>
    <t>GI PIPE 40 MM</t>
  </si>
  <si>
    <t>Window size 90x105cm</t>
  </si>
  <si>
    <t>INCANDESCENT BULBS 230 V / 250 V GRADE B.C / E.S WITH ISI</t>
  </si>
  <si>
    <t>21.1</t>
  </si>
  <si>
    <t>SUPPLYING AND FIXING MONOLITHIC RCC DOOR</t>
  </si>
  <si>
    <t>15 Watts</t>
  </si>
  <si>
    <t>FRAME OF SIZEM 100MMX75MM WITH ONE EDGE</t>
  </si>
  <si>
    <t>25 Watts</t>
  </si>
  <si>
    <t>GROOVE OF SIZE 30MMX20MM IN RCC(1:1.5:3)USING</t>
  </si>
  <si>
    <t>40 Watts</t>
  </si>
  <si>
    <t>20MM HBS JELLY INCLUDING COST OF STEEL AND</t>
  </si>
  <si>
    <t>60 Watts</t>
  </si>
  <si>
    <t>FABRICATION OF REINFORCEMENT WITH -6MM M.S</t>
  </si>
  <si>
    <t>100 Watts</t>
  </si>
  <si>
    <t>ROD AROUND AND 3MM STEEL STIRRUP AT 30CM C/C</t>
  </si>
  <si>
    <t>150 Watts</t>
  </si>
  <si>
    <t>Deleted</t>
  </si>
  <si>
    <t>INCLUDING FIXING OF 3NOS OF IRON BRACKET OF</t>
  </si>
  <si>
    <t>200 Watts</t>
  </si>
  <si>
    <t>SIZE 100MMX100MMX5MM, 6NOS OF HOLDFAST</t>
  </si>
  <si>
    <t>300 Watts</t>
  </si>
  <si>
    <t>CHECKNUTS AND ALUMINIUM SLEEVES AND 2 NOS OF</t>
  </si>
  <si>
    <t>500 Watts</t>
  </si>
  <si>
    <t>I.O.TOWER BOLT RECEIVER ALL AS PER DRAWING</t>
  </si>
  <si>
    <t>1000 Watts</t>
  </si>
  <si>
    <t>INCLUDING MOULDING INSTEEL MOULD PRECASTING</t>
  </si>
  <si>
    <t xml:space="preserve">INCANDESCENT BULBS 230 V / 250 V GRADE B.C / E.S </t>
  </si>
  <si>
    <t>WITH SMOOTH SURFACE AND FINE EDGES, CURING,</t>
  </si>
  <si>
    <t>Colour  15 Watts</t>
  </si>
  <si>
    <t>TRANSPORTING ETC., ALL COMPLETE, AS DIRECTED</t>
  </si>
  <si>
    <t>Blended Lamp 160 Watts</t>
  </si>
  <si>
    <t>BY DEPT.OFFICERS.</t>
  </si>
  <si>
    <t>3a</t>
  </si>
  <si>
    <t>PLLAMP ( PHILIPS/ OSRAM)</t>
  </si>
  <si>
    <t>9 Watts</t>
  </si>
  <si>
    <t>11 Watts</t>
  </si>
  <si>
    <t>1000MMX2100MM SIZE OF DOOR FRAME</t>
  </si>
  <si>
    <t>FLUORESCENT TUBULAR LAMPS WITH ISI MARK</t>
  </si>
  <si>
    <t>-------------------------------</t>
  </si>
  <si>
    <t>Cool Day light 2 Ft 20 Watts</t>
  </si>
  <si>
    <t>R.C.C.IN C.C 1:1.5:3</t>
  </si>
  <si>
    <t>Cool Day light and 4 Ft 40 Watts</t>
  </si>
  <si>
    <t>FAB OF M.S STEEL</t>
  </si>
  <si>
    <t>Cool Day light and 4 Ft 36 Watts</t>
  </si>
  <si>
    <t>HANGER BRACKET</t>
  </si>
  <si>
    <t xml:space="preserve">MERCURY VAPOUR DISCHARGE LAMP 230 V GRADE 3 PIN BC </t>
  </si>
  <si>
    <t>ALU.SLEEVES</t>
  </si>
  <si>
    <t>80 Watts</t>
  </si>
  <si>
    <t>TOWER BOLT RECEIVER</t>
  </si>
  <si>
    <t>125 Watts</t>
  </si>
  <si>
    <t>TAILNUT FOR BOLT</t>
  </si>
  <si>
    <t>250 Watts</t>
  </si>
  <si>
    <t>MASON Ist</t>
  </si>
  <si>
    <t>400 Watts</t>
  </si>
  <si>
    <t>MAZDOOR Ist</t>
  </si>
  <si>
    <t>BOX TYPE SINGLE FLUORESCENT FITTING WITH COPPER CHOKE AND CONDENSOR COMPLETE WITH ISI MARK</t>
  </si>
  <si>
    <t>MOULDING CHARGES</t>
  </si>
  <si>
    <t>2 Ft 20 Watts</t>
  </si>
  <si>
    <t>HANDLING CHARGES MAZDOOR-II</t>
  </si>
  <si>
    <t>4 Ft 40 Watts</t>
  </si>
  <si>
    <t>ADD FOR OIL,CONVEYANCE ETC.,</t>
  </si>
  <si>
    <t>4 Ft 40 Watts Box type of ( Philips, Crompton,Wipro ) without Ballast</t>
  </si>
  <si>
    <t>BOX TYPE TWIN FLUORESCENT FITTING WITH COPPER CHOKE AND CONDENSOR COMPLETE WITH ISI MARK</t>
  </si>
  <si>
    <t>TOTAL FOR 1 NO</t>
  </si>
  <si>
    <t>INDUSTRIAL TYPE FLUORESCENTFITTING STOVE ENAMELLED WITH COPPER CHOKE AND CONDENSOR (HPF)</t>
  </si>
  <si>
    <t>4 Ft 40 W single type suitable for 1 No tube</t>
  </si>
  <si>
    <t>900MMX2100MM SIZE OF DOOR FRAME</t>
  </si>
  <si>
    <t>4 Ft 40 W Twin type suitable for 2 Nos tube</t>
  </si>
  <si>
    <t>Window size 60x120cm</t>
  </si>
  <si>
    <t>DECORATIVE  &amp; SINGLE FLUORESCENT TYPE FITTING WITH COPPER CHOKE &amp; CONDENSOR (HPF)COMPLETE SUITABLE FOR 2 NOS FLUORESCENT TUBES.</t>
  </si>
  <si>
    <t>2 Ft 20 Watts with perspex</t>
  </si>
  <si>
    <t>4 Ft 40 Watts with perspex</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</si>
  <si>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</si>
  <si>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</si>
  <si>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</si>
  <si>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</si>
  <si>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</si>
  <si>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</si>
  <si>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4'40 W Twin mirror optic Recessed Suspension type fitting
 ( Philips, Crompton, Wipro ).</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</si>
  <si>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</si>
  <si>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</si>
  <si>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</si>
  <si>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</si>
  <si>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700MMX2100MM SIZE OF DOOR FRAME</t>
  </si>
  <si>
    <t>Suitable for 125 Watts M.V.Lamp</t>
  </si>
  <si>
    <t>Suitable for 70 Watts S.V.Lamp</t>
  </si>
  <si>
    <t>21.2</t>
  </si>
  <si>
    <t>SUPPLING  AND FIXING OF BEST T.W.WROUGHT AND</t>
  </si>
  <si>
    <t>Post top lanthern fitting with S.C holder suitable for 160 W blended lamp/ incandescent lamp.</t>
  </si>
  <si>
    <t>PUTUP FOR DOORS, WINDOWS AND VENTILATERS ETC</t>
  </si>
  <si>
    <t>CUT OFF TYPE STREET LIGHT LANTHERN COMPLETE WITH COPPER CHOKE AND CONDENSOR.</t>
  </si>
  <si>
    <t>Suitable for 1 No 400 W HP MV lamp</t>
  </si>
  <si>
    <t>Suitable for 1 No 250 W HPMV lamp</t>
  </si>
  <si>
    <t>LABOUR CHARGES:-</t>
  </si>
  <si>
    <t>Siuiitable for 1 No 125 W HPMV lamp</t>
  </si>
  <si>
    <t>SEMI CUT OFF TYPE STREET LIGHT LANTHERN COMPLETE WITH COPPER CHOKE AND CONDENSOR.</t>
  </si>
  <si>
    <t>Siuiitable for 1 No 125 W MV lamp</t>
  </si>
  <si>
    <t>Suitable for 1 No 250 W MV lamp</t>
  </si>
  <si>
    <t>TOTAL FOR .0283 CUM</t>
  </si>
  <si>
    <t>Suitable for 1 No 400 W MV lamp</t>
  </si>
  <si>
    <t>STARTERS FOR FLUORESCENT TUBES</t>
  </si>
  <si>
    <t>TOTAL FOR ONE CUM</t>
  </si>
  <si>
    <t>Starter capacity 20 Watts</t>
  </si>
  <si>
    <t>Starter capacity 40 Watts</t>
  </si>
  <si>
    <t xml:space="preserve">POLYSTER FILLED COPPER CHOKE 250 V/50 HZ GRADE SUITABLE FOR </t>
  </si>
  <si>
    <t>20 Watts fluorescent tube</t>
  </si>
  <si>
    <t>40 Watts fluorescent tube</t>
  </si>
  <si>
    <t>36/40w Electronic Ballast for Flu.tube(Phylips/Crompton)</t>
  </si>
  <si>
    <t>36/40w Electronic Ballast for Flu.tube(Indo Asean/Equivalent)</t>
  </si>
  <si>
    <t>S&amp;F P.V.C. 20mmTHICK DOOR SHUTTER WITH DOOR FRAME OF SIZE 40mmX57mm FOR OUTER FRAME AND THE SINGLE LEAF SHUTTER MADEOF PLASTIC SHEET 20mmX200mm FOR SHUTTER PANNEL AND SHUTTER FRAME OF PLASTIC 24mmX59mm WITH 8 NOS OF 3 HINGS ALU,2N0S OFAL. HANDLES</t>
  </si>
  <si>
    <t>HP 80 Watts MV Lamp</t>
  </si>
  <si>
    <t>Deletd</t>
  </si>
  <si>
    <t>FOR DOORS OF ALL SIZE</t>
  </si>
  <si>
    <t>HP  125 Watts MV Lamp</t>
  </si>
  <si>
    <t>HP 250 Watts MV Lamp</t>
  </si>
  <si>
    <t>HP 400 Watts MV Lamp</t>
  </si>
  <si>
    <t>CONDENSOR FOR SV/MV LAMP</t>
  </si>
  <si>
    <t>8 Mfd for 80 Watts bulb</t>
  </si>
  <si>
    <t>TEAK WOODS</t>
  </si>
  <si>
    <t>10 Mfd for 125 Watts bulb</t>
  </si>
  <si>
    <t xml:space="preserve">========= </t>
  </si>
  <si>
    <t>15 Mfd for 250 Watts bulb</t>
  </si>
  <si>
    <t>TEAK WOOD WROUGHT &amp; PUT UP</t>
  </si>
  <si>
    <t>20 Mfd for 400 Watts</t>
  </si>
  <si>
    <t>Vitreous EI Conical Lamp Holder 250 x 90 mm</t>
  </si>
  <si>
    <t>T.W.SCANTLING 2M-3M LONG</t>
  </si>
  <si>
    <t>Vitreous EI Conical Lamp Holder 280 x 120 mm</t>
  </si>
  <si>
    <t>C.G. Lamp Holder 40 mm size</t>
  </si>
  <si>
    <t>LABOUR CHARGE FOR WROUGHT &amp; PUTUP</t>
  </si>
  <si>
    <t>Pendent type Brass Holder</t>
  </si>
  <si>
    <t>Battern type Brass Holder</t>
  </si>
  <si>
    <t>S.L. BRACKET</t>
  </si>
  <si>
    <t>RATE FOR T.W.SCANDLING 2M-3M LONG</t>
  </si>
  <si>
    <t>225 mm Size</t>
  </si>
  <si>
    <t>300 mm size</t>
  </si>
  <si>
    <t>T.W.SCANTLING UP TO 2M LONG</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</si>
  <si>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</si>
  <si>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</si>
  <si>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</si>
  <si>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</si>
  <si>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</si>
  <si>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RATE FOR T.W.SCANTLING 2M LONG</t>
  </si>
  <si>
    <t>(For items  6 to 15, 25 &amp; 27 the rates are exclusive of cost of tubes and lamps)</t>
  </si>
  <si>
    <t>Lamp lock screw type</t>
  </si>
  <si>
    <t>Lamp lock mesh type</t>
  </si>
  <si>
    <t>22.1 (a)</t>
  </si>
  <si>
    <t>T.W.SINGLY LEAF FULLY PANELLED</t>
  </si>
  <si>
    <t>Fan clamp Fasteners complete</t>
  </si>
  <si>
    <t>DOOR SHUTTER FOR DOOR OF SIZE</t>
  </si>
  <si>
    <t>Fan clamp (12mm dia) with 6mm side plates &amp; 45 cm cross arm</t>
  </si>
  <si>
    <t>1000 X 2100MM</t>
  </si>
  <si>
    <t>Call Bells</t>
  </si>
  <si>
    <t>Call bell / Buzzer 6 mm suitable for AC/DC</t>
  </si>
  <si>
    <t>SHUTTER SIZE-.9X2.025   =1.823M2</t>
  </si>
  <si>
    <t>Push bell</t>
  </si>
  <si>
    <t>STYLES(OVER 2M) -1X2X2.025X0.075X0.0375=0.0114</t>
  </si>
  <si>
    <t>Gang bell 9" size suitable for 250 V</t>
  </si>
  <si>
    <t>Gang bell 12" size suitable for 250 V</t>
  </si>
  <si>
    <t>RAILS(BELOW 2M)- 1X4X0.9X0.15X0.0375=      0.0203</t>
  </si>
  <si>
    <t xml:space="preserve">Automatic Electrical water Heater with copper container with Glass wool/ Puf insulation with MS powder coated cell suitable for 25 litres capacity  230 V/ 1000 W </t>
  </si>
  <si>
    <t xml:space="preserve">               - 1X2X0.70625X0.075X0.0375 =0.0040</t>
  </si>
  <si>
    <t>Automatic Electrical water Heater with copper container with Glass wool/ Puf insulation with MS powder coated cell suitable for 25 litres capacity  230 V/ 1500 W (Venus/Racold)</t>
  </si>
  <si>
    <t xml:space="preserve">Automatic Electrical water Heater with copper container with Glass Wool /Puf insulation with MS powder coated cell suitable for 35 litres capacity,230V/1000W </t>
  </si>
  <si>
    <t>PLANKS      -1X4X0.58125X0.3375X0.01875=</t>
  </si>
  <si>
    <t>FANS - CONFORMING TO ISS 374 / 1979</t>
  </si>
  <si>
    <t xml:space="preserve">             -1X1X0.725X0.3375X0.01875=</t>
  </si>
  <si>
    <t>A.C Ceiling fan complete 1200 mm (48") sweep ( with steped electronic 300W regulator )  with 300mm down rod.</t>
  </si>
  <si>
    <t>A.C Ceiling fan complete 1400 mm (56") sweep ( with steped electronic 300W regulator )  with 300mm down rod.</t>
  </si>
  <si>
    <t>EXHAUST FAN S</t>
  </si>
  <si>
    <t>A.C Exaust Fan 225 mm (9") sweep (light duty)</t>
  </si>
  <si>
    <t>A.C Exaust Fan 300 mm (12") sweep (light duty)</t>
  </si>
  <si>
    <t>T.W SCANTLING  ABOVE 2M LONG</t>
  </si>
  <si>
    <t>A.C Exaust Fan 375 mm (15") sweep (light duty)</t>
  </si>
  <si>
    <t>T.W SCANTLING  BELOW 2M LONG</t>
  </si>
  <si>
    <t>A.C Exaust Fan 450 mm (18") sweep (light duty)</t>
  </si>
  <si>
    <t>T.W PLANKS OVER 15TO 30cm</t>
  </si>
  <si>
    <t>A.C Exaust Fan 375 mm (15") sweep (Heavy duty)</t>
  </si>
  <si>
    <t>WIDE&amp;12TO15mm T.K</t>
  </si>
  <si>
    <t>A.C Exaust Fan 450 mm (18") sweep (Heavy duty)</t>
  </si>
  <si>
    <t>LABOUR FOR WROUGHT&amp;PUTUP</t>
  </si>
  <si>
    <t>LOUVER SHUTTERS ARRANGEMENTS</t>
  </si>
  <si>
    <t>DOOR HANDLE WITH CP SCREWS</t>
  </si>
  <si>
    <t>MS/Fibre Louvers shutters arrangements for 300mm A.C Exaust Fan</t>
  </si>
  <si>
    <t xml:space="preserve">  5"BUTT HINGS</t>
  </si>
  <si>
    <t>MS/Fibre Louvers shutters arrangements for 375mm A.C Exaust Fan</t>
  </si>
  <si>
    <t xml:space="preserve"> 6"X1/2"TOWER BOLT</t>
  </si>
  <si>
    <t>MS/Fibre Louvers shutters arrangements for 450mm A.C Exaust Fan</t>
  </si>
  <si>
    <t>10"X5/8"ALDROP</t>
  </si>
  <si>
    <t xml:space="preserve">TABLE FANS </t>
  </si>
  <si>
    <t>NYLONBUSH</t>
  </si>
  <si>
    <t>Cabin Fan 400mm (16") osillating type</t>
  </si>
  <si>
    <t xml:space="preserve">Pedestal Fan 400mm (16")Sweep osillating type </t>
  </si>
  <si>
    <t>Air circulators, 600mm (24") sweep (Domestic purpose) with speed regulators (2  blades) pedestal type</t>
  </si>
  <si>
    <t>TOTAL FOR 1.8230SQM</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</si>
  <si>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</si>
  <si>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</si>
  <si>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</si>
  <si>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</si>
  <si>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</si>
  <si>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</si>
  <si>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</si>
  <si>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22.1 (b)</t>
  </si>
  <si>
    <t>16 Amps DPIC switch with fuse and neutral (side Handle)</t>
  </si>
  <si>
    <t>32 Amps DPIC switch with fuse and neutral (side Handle)</t>
  </si>
  <si>
    <t>900 X 2100MM</t>
  </si>
  <si>
    <t>16 Amps DP switch with metal clade  (Front  Handle)</t>
  </si>
  <si>
    <t>32 Amps DP switch with metal clade  (Front  Handle)</t>
  </si>
  <si>
    <t>16 Amps DP switch with metal clade (side Handle)</t>
  </si>
  <si>
    <t>SHUTTER SIZE0-.8X2.05   =1.64M2</t>
  </si>
  <si>
    <t>32 Amps DP switch with metal clade (side Handle)</t>
  </si>
  <si>
    <t>STYLES(OVER 2M) -1X2X2.05X0.075X0.0375=0.0115</t>
  </si>
  <si>
    <t>TRIPLE POLE SWITCHES  (SIDE HANDLE)</t>
  </si>
  <si>
    <t>16 Amps TPIC switch with fuse and neutral (500 V)</t>
  </si>
  <si>
    <t>RAILS(BELOW 2M)- 1X4X0.8X0.15X0.0375=      0.018</t>
  </si>
  <si>
    <t>32 Amps TPIC switch with fuse and neutral (500 V)</t>
  </si>
  <si>
    <t xml:space="preserve">               - 1X2X0.73125X0.075X0.0375 =0.0040</t>
  </si>
  <si>
    <t>63 Amps TPIC switch with fuse and neutral (500 V)</t>
  </si>
  <si>
    <t>100 Amps TPN switch with HRC fuses sheet steel double break</t>
  </si>
  <si>
    <t>PLANKS      -1X4X0.60625X0.2875X0.01875=</t>
  </si>
  <si>
    <t>200 Amps TPN switch with HRC fuses sheet steel double break</t>
  </si>
  <si>
    <t xml:space="preserve">             -1X1X0.625X0.2875X0.01875=</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</si>
  <si>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</si>
  <si>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</si>
  <si>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</si>
  <si>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</si>
  <si>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</si>
  <si>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</si>
  <si>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SWITCH  DISCONNECTOR  FUSE (SDF)(L&amp;T/SIEMENS)</t>
  </si>
  <si>
    <t>63A TPN switch disconnector fuse in sheet steel enclosure with  HRC fuses</t>
  </si>
  <si>
    <t>63A TPN switch disconnector fuse interior only with  HRC fuses</t>
  </si>
  <si>
    <t>100A TPN switch disconnector fuse in sheet steel enclosure with  HRC fuses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</si>
  <si>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</si>
  <si>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</si>
  <si>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</si>
  <si>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</si>
  <si>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</si>
  <si>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</si>
  <si>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TOTAL FOR 1.6400SQM</t>
  </si>
  <si>
    <t>250A TPN switch disconnector fuse interior only with  HRC fuses</t>
  </si>
  <si>
    <t>315A TPN switch disconnector fuse in sheet steel enclosure with  HRC fuses</t>
  </si>
  <si>
    <t>315A TPN switch disconnector fuse interior only with  HRC fuses</t>
  </si>
  <si>
    <t>400A TPN switch disconnector fuse in sheet steel enclosure with  HRC fuses</t>
  </si>
  <si>
    <t>22.1 (c)</t>
  </si>
  <si>
    <t>400A TPN switch disconnector fuse interior only with  HRC fuses</t>
  </si>
  <si>
    <t xml:space="preserve">FUSE UNITS </t>
  </si>
  <si>
    <t>700 X 2100MM</t>
  </si>
  <si>
    <t>16Amps porcelin Fuse unit (250V)</t>
  </si>
  <si>
    <t>16Amps porcelin Fuse unit (500V)</t>
  </si>
  <si>
    <t>SHUTTER SIZE0-.6X2.025   =1.215M2</t>
  </si>
  <si>
    <t>32Amps porcelin Fuse unit (500V)</t>
  </si>
  <si>
    <t>63Amps porcelin Fuse unit (500V)</t>
  </si>
  <si>
    <t>100Amps porcelin Fuse unit (500V)</t>
  </si>
  <si>
    <t>RAILS(BELOW 2M)- 1X2X0.6X0.15X0.0375=      0.0068</t>
  </si>
  <si>
    <t>SINGLE PHASE DBS</t>
  </si>
  <si>
    <t xml:space="preserve">               - 1X3X0.6X0.075X0.0375 =0.0051</t>
  </si>
  <si>
    <t>4 way DB 16Amps / ways with fuse &amp; Neutral each (250V)</t>
  </si>
  <si>
    <t>6 way DB 16Amps / ways with fuse &amp; Neutral each (250V)</t>
  </si>
  <si>
    <t>PLANKS      -1X5X0.425X0.295X0.01875=</t>
  </si>
  <si>
    <t>8 way DB 16Amps / ways with fuse &amp; Neutral each (250V)</t>
  </si>
  <si>
    <t xml:space="preserve">THREE PHASE DBS </t>
  </si>
  <si>
    <t>4 way TPDB 16A / ways with fuse &amp; Neutral  link</t>
  </si>
  <si>
    <t>6 way TPDB 16A / ways with fuse &amp; Neutral  link</t>
  </si>
  <si>
    <t>8 way TPDB 16A / ways with fuse &amp; Neutral  link</t>
  </si>
  <si>
    <t>4 way TPDB 32A / ways with fuse &amp; Neutral  link</t>
  </si>
  <si>
    <t>6 way TPDB 32A / ways with fuse &amp; Neutral  link</t>
  </si>
  <si>
    <t>8 way TPDB 32A / ways with fuse &amp; Neutral  link</t>
  </si>
  <si>
    <t>12 way TPDB 32A / ways with fuse &amp; Neutral  link</t>
  </si>
  <si>
    <t>4 way TPDB 63A / ways with fuse &amp; Neutral  link</t>
  </si>
  <si>
    <t>6 way TPDB 63A / ways with fuse &amp; Neutral  link</t>
  </si>
  <si>
    <t>CHANGE OVER SWITCHES (GEM HAVELLS /STANDARD /EQUIVALENT)</t>
  </si>
  <si>
    <t>16 Amps three phase 500V 4 pole change over switch</t>
  </si>
  <si>
    <t>32 Amps three phase 500V 4 pole change over switch</t>
  </si>
  <si>
    <t>63 Amps three phase 500V 4 pole change over switch</t>
  </si>
  <si>
    <t>TOTAL FOR 1.215SQM</t>
  </si>
  <si>
    <t>100 Amps three phase 500V 4 pole change over switch</t>
  </si>
  <si>
    <t>200 Amps three phase 500V 4 pole change over switch</t>
  </si>
  <si>
    <t>5Amps /15Amps 3 pin combined flush type wall sacket only</t>
  </si>
  <si>
    <t xml:space="preserve">5Amps 3 pin top </t>
  </si>
  <si>
    <t xml:space="preserve">15Amps 3 pin top </t>
  </si>
  <si>
    <t>23.1.</t>
  </si>
  <si>
    <t>S/F OF BWR PLYWOOD DOOR</t>
  </si>
  <si>
    <t xml:space="preserve">15Amps flush type switch </t>
  </si>
  <si>
    <t>SHUTTER WITH VERTICALS AND</t>
  </si>
  <si>
    <t>10Amps M.C plug with 3 pin top</t>
  </si>
  <si>
    <t>TOP RAIL AND BOTTOM RAILS</t>
  </si>
  <si>
    <t>20Amps M.C plug with 3 pin top</t>
  </si>
  <si>
    <t>WITH 9mm THICK MARINE GRADE</t>
  </si>
  <si>
    <t>METERS</t>
  </si>
  <si>
    <t>BWR  PLYWOOD WITH</t>
  </si>
  <si>
    <t>A.C single phase 230V/250V/50HZ 5Amps Meter</t>
  </si>
  <si>
    <t>I.O FITTINGS AS PER SCHEDULE E</t>
  </si>
  <si>
    <t>A.C single phase 230V/250V/50HZ 10Amps Meter</t>
  </si>
  <si>
    <t>A.C single phase 230V/250V/50HZ 20Amps Meter</t>
  </si>
  <si>
    <t>A.C 3 phase 400V 50HZ unbalanced load 4 wire 10 Amps watt hour meter</t>
  </si>
  <si>
    <t>STYLES(OVER 2M) -1X2X2.05X0.075X0.0375=0.01153</t>
  </si>
  <si>
    <t>A.C 3 phase 400V 50HZ unbalanced load 4 wire 25 Amps watt hour meter</t>
  </si>
  <si>
    <t>A.C 3 phase 400V 50HZ unbalanced load 4 wire 50 Amps watt hour meter</t>
  </si>
  <si>
    <t>RAILS(BELOW 2M)- 1X3X0.8X0.15X0.0375=      0.0135</t>
  </si>
  <si>
    <t>SERVICE CONNECTION ACCESSORIES L.T 1100V PVC ARMOURED UNDER GROUND  CABLE  WITH ISI MARK</t>
  </si>
  <si>
    <t xml:space="preserve">1 core 4 sq mm pvc armoured UG cable </t>
  </si>
  <si>
    <t xml:space="preserve">2 core 6 sq mm pvc armoured UG cable </t>
  </si>
  <si>
    <t>PLANKS      -1X1X0.625X0.64=0.40</t>
  </si>
  <si>
    <t xml:space="preserve">2 core 10 sq mm pvc armoured UG cable </t>
  </si>
  <si>
    <t>PLANKS      -1X1X0.985X0.625=0.616</t>
  </si>
  <si>
    <t>1.016M2</t>
  </si>
  <si>
    <t xml:space="preserve">2 core 16 sq mm pvc armoured UG cable </t>
  </si>
  <si>
    <t xml:space="preserve">2 core 25 sq mm pvc armoured UG cable </t>
  </si>
  <si>
    <t xml:space="preserve">3 1/2 core 25 sq mm pvc armoured UG cable </t>
  </si>
  <si>
    <t xml:space="preserve">3 1/2 core 35 sq mm pvc armoured UG cable </t>
  </si>
  <si>
    <t>(a)</t>
  </si>
  <si>
    <t>DOOR OF SIZE 900 X2100 MM</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</si>
  <si>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</si>
  <si>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</si>
  <si>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</si>
  <si>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</si>
  <si>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</si>
  <si>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 xml:space="preserve">3 1/2 core 185 sq mm pvc armoured UG cable </t>
  </si>
  <si>
    <t xml:space="preserve">3 1/2 core 225 sq mm pvc armoured UG cable </t>
  </si>
  <si>
    <t xml:space="preserve"> 5" ALU BUTT HINGES</t>
  </si>
  <si>
    <t xml:space="preserve">3 1/2 core 240 sq mm pvc armoured UG cable </t>
  </si>
  <si>
    <t xml:space="preserve">3 1/2 core 300 sq mm pvc armoured UG cable </t>
  </si>
  <si>
    <t xml:space="preserve">3 1/2 core 400 sq mm pvc armoured UG cable </t>
  </si>
  <si>
    <t xml:space="preserve">4 core 6 sq mm pvc armoured UG cable </t>
  </si>
  <si>
    <t xml:space="preserve">4 core 10 sq mm pvc armoured UG cable </t>
  </si>
  <si>
    <t xml:space="preserve">4 core 16 sq mm pvc armoured UG cable </t>
  </si>
  <si>
    <t>TOTAL FOR 1.64 SQM</t>
  </si>
  <si>
    <t xml:space="preserve">PVC SHEATHED CABLE ALUMINIUM SC CONDUCTOR </t>
  </si>
  <si>
    <t xml:space="preserve">1.5  sq mm (1/1.4) cable 250V Grade </t>
  </si>
  <si>
    <t xml:space="preserve">2.5  sq mm (1/1.8) cable 1100V Grade </t>
  </si>
  <si>
    <t xml:space="preserve">4 sq mm (1/2.24) cable 1100V Grade </t>
  </si>
  <si>
    <t>22.2(a)</t>
  </si>
  <si>
    <t>TW single leaf glazed window</t>
  </si>
  <si>
    <t xml:space="preserve">6 sq mm (1/2.8) cable 1100V Grade </t>
  </si>
  <si>
    <t xml:space="preserve">shutter  for frame of overall height 135cm </t>
  </si>
  <si>
    <t xml:space="preserve">10 sq mm (1/3.5) cable 1100V Grade </t>
  </si>
  <si>
    <t xml:space="preserve">16 sq mm (7/1.7) cable 1100V Grade </t>
  </si>
  <si>
    <t>TW scantling below 2m length</t>
  </si>
  <si>
    <t xml:space="preserve">25 sq mm (7/2.14) cable 1100V Grade </t>
  </si>
  <si>
    <t>frosted glass 3mmthick</t>
  </si>
  <si>
    <t xml:space="preserve">PVC SHEATHED CABLE SC ALUMINIUM  CONDUCTOR </t>
  </si>
  <si>
    <t xml:space="preserve">1.5 sq mm 1/1.4 or equivalent multi core cable 1100V Grade </t>
  </si>
  <si>
    <t xml:space="preserve"> 3" ALU BUTT HINGES</t>
  </si>
  <si>
    <t xml:space="preserve">2.5 sq mm 1/1.8 or equivalent multi core cable 1100V Grade </t>
  </si>
  <si>
    <t xml:space="preserve"> 2"X5/16" ALU. TOWERBOLT</t>
  </si>
  <si>
    <t xml:space="preserve">4 sq mm 1/2.24 or equivalent multi core cable 1100V Grade </t>
  </si>
  <si>
    <t>NYLON BUSH with screws</t>
  </si>
  <si>
    <t xml:space="preserve">6 sq mm 1/2.8 or equivalent multi core cable 1100V Grade </t>
  </si>
  <si>
    <t>6" hooks and eyes</t>
  </si>
  <si>
    <t xml:space="preserve">10 sq mm 1/2.8 or equivalent multi core cable 1100V Grade </t>
  </si>
  <si>
    <t xml:space="preserve">16 sq mm 1/1.7 or equivalent multi core cable 1100V Grade </t>
  </si>
  <si>
    <t>TOTAL FOR .4766 SQM</t>
  </si>
  <si>
    <t xml:space="preserve">25 sq mm 7/2.14 or equivalent multi core cable 1100V Grade </t>
  </si>
  <si>
    <t xml:space="preserve">35 sq mm 7/2.5 or equivalent multi core cable 1100V Grade </t>
  </si>
  <si>
    <t xml:space="preserve">50 sq mm 7/3.06 or equivalent multi core cable 1100V Grade </t>
  </si>
  <si>
    <t>22.2(c)</t>
  </si>
  <si>
    <t xml:space="preserve">shutter  for frame of overall height 105cm </t>
  </si>
  <si>
    <t>TOTAL FOR .362 SQM</t>
  </si>
  <si>
    <t>22.2(d)</t>
  </si>
  <si>
    <t>TW Swing type ventilater</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</si>
  <si>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</si>
  <si>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</si>
  <si>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</si>
  <si>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</si>
  <si>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</si>
  <si>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</si>
  <si>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</si>
  <si>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</si>
  <si>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TW scantling(below 2M) -1X2X1.2X0.075X0.0375=0.00675</t>
  </si>
  <si>
    <t>Shutter styles(vertical) -1X4X1.95X0.075X0.0375=0.02194</t>
  </si>
  <si>
    <t>Shutter styles(Horizantal) -2X2X0.4X0.075X0.0375=0.0045</t>
  </si>
  <si>
    <t>Shutter(OSL Board)      -1X2X1.825X0.4=1.46m2</t>
  </si>
  <si>
    <t>Shutter area      -1X1X1.05X1.95=2.05 m2</t>
  </si>
  <si>
    <t>LABOUR FOR WROUGHT &amp;PUTUP</t>
  </si>
  <si>
    <t>BISON PANEL  8MMTK. OSL</t>
  </si>
  <si>
    <t>LABOUR CHARGE FOR SHUTTER</t>
  </si>
  <si>
    <t xml:space="preserve"> 3"X5/8"ALU.TOWER BOLT</t>
  </si>
  <si>
    <t xml:space="preserve"> ORNAMENTAL; HANDLE WITH SCREWS</t>
  </si>
  <si>
    <t>LOCKS &amp;KEY</t>
  </si>
  <si>
    <t>VARNISH TWO COATS</t>
  </si>
  <si>
    <t>SUNDRIES FOR NAILS,PLUGS ETC.</t>
  </si>
  <si>
    <t>TOTAL FOR 2.52 SQM</t>
  </si>
  <si>
    <t>BEST VARNISHING ONE COAT OVER WOOD WORK</t>
  </si>
  <si>
    <t>Lit.</t>
  </si>
  <si>
    <t>BEST VARNISH</t>
  </si>
  <si>
    <t>LINSEED OIL BOILED</t>
  </si>
  <si>
    <t>SUNDRIES FOR BRUSHES,ETC</t>
  </si>
  <si>
    <t>TOTAL FOR TEN SQM</t>
  </si>
  <si>
    <t>BEST VARNISHING TWO COAT OVER WOOD WORK</t>
  </si>
  <si>
    <t>Supplying and fixing of Magnetic Door Catches</t>
  </si>
  <si>
    <t>23.2</t>
  </si>
  <si>
    <t>Supplying and fixing 3mm thick pin</t>
  </si>
  <si>
    <t>headed glass panels 450x1350</t>
  </si>
  <si>
    <t xml:space="preserve"> 3mm glass frosted </t>
  </si>
  <si>
    <t xml:space="preserve"> 12x12mm Alu.Beedings</t>
  </si>
  <si>
    <t>Alu. bolts and nuts</t>
  </si>
  <si>
    <t>Labour for fixing glass paneles</t>
  </si>
  <si>
    <t>Sundries</t>
  </si>
  <si>
    <t xml:space="preserve"> (1.08SQM LABOUR =.25CARPENTER-II)</t>
  </si>
  <si>
    <t>Total for 0.5334 Sqm</t>
  </si>
  <si>
    <t>Rate for one Sqm.</t>
  </si>
  <si>
    <t>STEEL GRILLS FOR WINDOWS &amp; VENTILATER</t>
  </si>
  <si>
    <t>WITH SUITABLE LEDGES</t>
  </si>
  <si>
    <t>RATE AS PER SR</t>
  </si>
  <si>
    <t>Supplying and fixing M.S.Hold</t>
  </si>
  <si>
    <t>fast with screws</t>
  </si>
  <si>
    <t>FINISHING THE TOP OF FLOORING</t>
  </si>
  <si>
    <t>WITH C.M(1:4)20mm THICK</t>
  </si>
  <si>
    <t>MAZDOOR  I</t>
  </si>
  <si>
    <t>29.2</t>
  </si>
  <si>
    <t>MOSAIC FLOORING IN C.M(1:3)</t>
  </si>
  <si>
    <t>USING GREY COLOUR TILES</t>
  </si>
  <si>
    <t>NOS</t>
  </si>
  <si>
    <t>COST OF GRAY COLOUR  TILES</t>
  </si>
  <si>
    <t>25X25X2cm</t>
  </si>
  <si>
    <t>C.M(1:3)</t>
  </si>
  <si>
    <t>LABOUR FOR LAYING &amp; POINTING</t>
  </si>
  <si>
    <t>POLISHING</t>
  </si>
  <si>
    <t>HIRE CHARGES FOR POWER POLISH</t>
  </si>
  <si>
    <t>ELCT.CHARGES</t>
  </si>
  <si>
    <t>COST OF POLISHING STONE</t>
  </si>
  <si>
    <t>MOSAIC POLISHER FOR POLISHING</t>
  </si>
  <si>
    <t>MAZDOORII FOR WATER,WASHING ETC</t>
  </si>
  <si>
    <t>Providing White/Color ceramic floor tiles (Anti-skid)of</t>
  </si>
  <si>
    <t>any size 0f 6mm T.K including pointing etc.,</t>
  </si>
  <si>
    <t>as directed by the Dept.Officers.</t>
  </si>
  <si>
    <t>COST OF CERAMIC FLOOR TILES</t>
  </si>
  <si>
    <t>WHITE CEMENT/COLOUR CEMENT</t>
  </si>
  <si>
    <t>Suppling and laying White/Plain colour</t>
  </si>
  <si>
    <t xml:space="preserve">Glazed tiles in C.M(1:2)  </t>
  </si>
  <si>
    <t>COST OF GLAZED  TILES</t>
  </si>
  <si>
    <t>White Cement / Colour cement</t>
  </si>
  <si>
    <t>C.M(1:2)</t>
  </si>
  <si>
    <t>Mazdoor-I</t>
  </si>
  <si>
    <t>TOTAL FOR 1.860 SQM</t>
  </si>
  <si>
    <t xml:space="preserve"> (NO SAND)USING GRANITECHIPS</t>
  </si>
  <si>
    <r>
      <t xml:space="preserve">OF 10mm&amp;BELOW </t>
    </r>
    <r>
      <rPr>
        <b/>
        <sz val="12"/>
        <rFont val="Helv"/>
        <family val="2"/>
      </rPr>
      <t>(ELLISPATTERN)</t>
    </r>
  </si>
  <si>
    <t xml:space="preserve">STONE JELLY 3mm to 10mm </t>
  </si>
  <si>
    <t>31.</t>
  </si>
  <si>
    <r>
      <t>WEATHERING COURSE</t>
    </r>
    <r>
      <rPr>
        <sz val="12"/>
        <rFont val="Helv"/>
        <family val="2"/>
      </rPr>
      <t xml:space="preserve"> WITH BRICK</t>
    </r>
  </si>
  <si>
    <t>JELLY LIME IN RATIO 32:121/2</t>
  </si>
  <si>
    <t>BY VOLUMN WELL WATERING</t>
  </si>
  <si>
    <t>CONSOLIDATED WITH WOODEN</t>
  </si>
  <si>
    <t>BEATERS TO REQUIRED SLOP</t>
  </si>
  <si>
    <t>BROKEN BRICKJELLY2OmmGAUGE</t>
  </si>
  <si>
    <t>COST OF LIME STONE</t>
  </si>
  <si>
    <t>POINTING WITH C.M.(1:3)FOR</t>
  </si>
  <si>
    <t>PRESSED TILES</t>
  </si>
  <si>
    <t>CEMENT MORTER(1:3)</t>
  </si>
  <si>
    <t>FINISHING TOP OF ROOF WITH</t>
  </si>
  <si>
    <t>ONE  COURSE OF PRESSED TILES</t>
  </si>
  <si>
    <t>OVER A BED OF C.M(1:3),</t>
  </si>
  <si>
    <t>20mmTHICK MIXED WITH WATER PROOF COMPOUND</t>
  </si>
  <si>
    <t>AT 2% BY WEIGHT OF CEMENT</t>
  </si>
  <si>
    <t>POINTING WITH C.M(1:3)</t>
  </si>
  <si>
    <t>WPC</t>
  </si>
  <si>
    <t>PRESSED TILES 23X23X18MM</t>
  </si>
  <si>
    <t>33.</t>
  </si>
  <si>
    <t>PLASTERING C.M(1:5) 12mmTHICK</t>
  </si>
  <si>
    <t>34.</t>
  </si>
  <si>
    <t>PLASTERING C.M(1:4) 12mmTHICK</t>
  </si>
  <si>
    <t>35.</t>
  </si>
  <si>
    <t>PLASTERING C.M(1:3) 10mmTHICK</t>
  </si>
  <si>
    <t>PLASTERING C.M(1:3)12mmTHICK</t>
  </si>
  <si>
    <t>MIXEDWITH WATER PROOF COMPOUND</t>
  </si>
  <si>
    <t xml:space="preserve">  2Kg/10 SQM</t>
  </si>
  <si>
    <t>WATER PROOF COMPOUNDS</t>
  </si>
  <si>
    <t>36.</t>
  </si>
  <si>
    <t>Providing Band with C.M 1:5, 12mm thick</t>
  </si>
  <si>
    <t>and 75mmwide in all floors including</t>
  </si>
  <si>
    <t>finishing with neat cement scaffolding</t>
  </si>
  <si>
    <t>curing etc complete.</t>
  </si>
  <si>
    <t xml:space="preserve"> 150mm Thick Band</t>
  </si>
  <si>
    <t>Cement mortar1:5</t>
  </si>
  <si>
    <t>Masn Ist</t>
  </si>
  <si>
    <t>Total for 6.77Rmt</t>
  </si>
  <si>
    <t>Rate per Rmt.</t>
  </si>
  <si>
    <t xml:space="preserve"> 75mm Thick Band</t>
  </si>
  <si>
    <t>50mm Thick Band</t>
  </si>
  <si>
    <t>WHITE WASHING THREE COAT</t>
  </si>
  <si>
    <t>SUNDRIES FOR BRUSH,BLUE,GUM ETC</t>
  </si>
  <si>
    <t>38.1.</t>
  </si>
  <si>
    <t>CEMENT PAINTING TWO COATS</t>
  </si>
  <si>
    <t>OVER THE PRIMER COAT OF</t>
  </si>
  <si>
    <t>APPROVED CEMENT PAINT FOR NEW</t>
  </si>
  <si>
    <t>PLASTERED SURFACES</t>
  </si>
  <si>
    <t>PAINTER I</t>
  </si>
  <si>
    <t>38.2</t>
  </si>
  <si>
    <t>Matt paint</t>
  </si>
  <si>
    <t>===========</t>
  </si>
  <si>
    <t>Lts</t>
  </si>
  <si>
    <t>Painter Ist</t>
  </si>
  <si>
    <t>Mazdoor IInd</t>
  </si>
  <si>
    <t>Total for 10 Sqm</t>
  </si>
  <si>
    <t>40.</t>
  </si>
  <si>
    <t>PAINTING TWO COATS OVER NEW</t>
  </si>
  <si>
    <t>WOOD WORKS WITH IIND CLASS</t>
  </si>
  <si>
    <t>SYNTHETIC ENAMEL PAINT</t>
  </si>
  <si>
    <t>LIT</t>
  </si>
  <si>
    <t>READY MIXED PRIMER PAINT</t>
  </si>
  <si>
    <t xml:space="preserve">PAINTER I </t>
  </si>
  <si>
    <t>READY MIXED IIND CLASS PAINT</t>
  </si>
  <si>
    <t>IRON WORKS WITH IIND CLASS</t>
  </si>
  <si>
    <t>ANTI-CORROSIVE TREATMENT FOR STEEL</t>
  </si>
  <si>
    <t>FEBRICATION  (RCC WORKS)</t>
  </si>
  <si>
    <t>ANTI-CORROSIVE(COROLOK-CP</t>
  </si>
  <si>
    <t>/PROTEKLOL) CHEMICALS</t>
  </si>
  <si>
    <t>BRUSHES GLOVES ETC</t>
  </si>
  <si>
    <t>TRANSPORTING AND HANDLING</t>
  </si>
  <si>
    <t>PAINTERII</t>
  </si>
  <si>
    <t>SUNDRIES FOR BRUSHES,CLOTH ETC</t>
  </si>
  <si>
    <t>TOTTAL FOR 1 MT</t>
  </si>
  <si>
    <t>42.</t>
  </si>
  <si>
    <t>SUPPLYING AND FABRICATING AND</t>
  </si>
  <si>
    <t>PLACING  M.S RODS/RTS ROD (upto 16mm dia)</t>
  </si>
  <si>
    <t>QUTL</t>
  </si>
  <si>
    <t>R.T.S RODS/M.S.RODS UPTO 16MM DIA</t>
  </si>
  <si>
    <t>FITTER I</t>
  </si>
  <si>
    <t>Cement for slurry</t>
  </si>
  <si>
    <t>Painter-II</t>
  </si>
  <si>
    <t>TOTTAL FOR 1 QTL</t>
  </si>
  <si>
    <t>RATE PER M.T</t>
  </si>
  <si>
    <t>b. above 16mm dia</t>
  </si>
  <si>
    <t>R.T.S RODS/M.S.RODS ABOVE 16MM DIA</t>
  </si>
  <si>
    <t>43.</t>
  </si>
  <si>
    <t>PLACING R.T.S RODS/MS RODS upto 16mm dia(without cement  slurry)</t>
  </si>
  <si>
    <t>PLACING R.T.S RODS/MS RODS above 16mm dia(without cement  slurry)</t>
  </si>
  <si>
    <t>SUPPLY AND FIXING OF</t>
  </si>
  <si>
    <t>110mmDIA P.V.C RAIN WATER</t>
  </si>
  <si>
    <t>DOWN FALL PIPE</t>
  </si>
  <si>
    <t xml:space="preserve"> 110mmDIA P.V.C PIPE</t>
  </si>
  <si>
    <t xml:space="preserve"> 110mmDIA P.V.C PLAIN BEND</t>
  </si>
  <si>
    <t xml:space="preserve"> 110mmDIA P.V.C SHOE</t>
  </si>
  <si>
    <t>SPECIAL CLAMP</t>
  </si>
  <si>
    <t>C.I. GRATING 100mm DIA</t>
  </si>
  <si>
    <t>PLUMBER I</t>
  </si>
  <si>
    <t>COST OF PLUG SCREWS , RUBBER</t>
  </si>
  <si>
    <t>LUBRICANT ETC</t>
  </si>
  <si>
    <t>TOTAL FOR 3 RMT</t>
  </si>
  <si>
    <t>45.</t>
  </si>
  <si>
    <t>STUCCO PLASTERING 12mm tk.</t>
  </si>
  <si>
    <t>CHIPSUSING 86.5KgCEMENT AND</t>
  </si>
  <si>
    <t>.15CUM FOR 10  SQM</t>
  </si>
  <si>
    <t>BLUE METEL 3-10mm HBG</t>
  </si>
  <si>
    <t>46.</t>
  </si>
  <si>
    <t>SUPPLYING AND FIXING OF 20MM</t>
  </si>
  <si>
    <t>DIA  ALUMINIUM HANGER ROD TO</t>
  </si>
  <si>
    <t>THE  REQUIRED LENGTH WITH</t>
  </si>
  <si>
    <t>ALUMINUM END BRACKETS INCLUDING</t>
  </si>
  <si>
    <t>COST OF SCREWS TW PLUGS AND</t>
  </si>
  <si>
    <t>LABOUR CHARGES FOR FIXING IN</t>
  </si>
  <si>
    <t>POSTION COMPLETE IN ALL RESPECT</t>
  </si>
  <si>
    <t>AND AS DIRECTED BY THE DEPT,</t>
  </si>
  <si>
    <t>OFFICERS</t>
  </si>
  <si>
    <t xml:space="preserve"> 2omm alu. hanger rod</t>
  </si>
  <si>
    <t>Set</t>
  </si>
  <si>
    <t>Alu.Bracket with screws</t>
  </si>
  <si>
    <t>Sundries FOR PLUGS ,NAILS AND LABOUR ETC.,</t>
  </si>
  <si>
    <t>47.</t>
  </si>
  <si>
    <r>
      <t xml:space="preserve">SUPPLY AND FIXING ALUMINUM </t>
    </r>
    <r>
      <rPr>
        <b/>
        <sz val="12"/>
        <rFont val="Helv"/>
        <family val="2"/>
      </rPr>
      <t xml:space="preserve">TOWEL RAIL </t>
    </r>
    <r>
      <rPr>
        <sz val="12"/>
        <rFont val="Helv"/>
        <family val="2"/>
      </rPr>
      <t>OF</t>
    </r>
  </si>
  <si>
    <t>70CM LONG INCLUDING COST OF SCREW TW</t>
  </si>
  <si>
    <t>PLUGS AND LABOURS CHARGES FOR FIXING IN</t>
  </si>
  <si>
    <t>POSITION ETC COMPLETE IN ALL RESPECT AND</t>
  </si>
  <si>
    <t>AS DIRECTED BY THE DEPT OFFICERS.</t>
  </si>
  <si>
    <t>no</t>
  </si>
  <si>
    <t>Alu.Towel rail 75Cm long</t>
  </si>
  <si>
    <t>Alu. Bolt With screws</t>
  </si>
  <si>
    <t>Labour for fixing and cost of</t>
  </si>
  <si>
    <t>T.W.Pluges</t>
  </si>
  <si>
    <t>48.</t>
  </si>
  <si>
    <r>
      <t xml:space="preserve">SUPPLING AND FIXING </t>
    </r>
    <r>
      <rPr>
        <b/>
        <sz val="12"/>
        <rFont val="Helv"/>
        <family val="2"/>
      </rPr>
      <t>COAT STAND</t>
    </r>
  </si>
  <si>
    <t>WITH FIVE PINS</t>
  </si>
  <si>
    <t>Cost of Coat stand</t>
  </si>
  <si>
    <t xml:space="preserve">Labour for fixing </t>
  </si>
  <si>
    <t>Total for 1 No.</t>
  </si>
  <si>
    <t>49.</t>
  </si>
  <si>
    <r>
      <t xml:space="preserve">SUPPLING AND FIXING OF </t>
    </r>
    <r>
      <rPr>
        <b/>
        <sz val="12"/>
        <rFont val="Helv"/>
        <family val="2"/>
      </rPr>
      <t>PICTURE HOOKS</t>
    </r>
  </si>
  <si>
    <t>Cost of Picture hooks</t>
  </si>
  <si>
    <t>Supplying and fixing of Precast slab</t>
  </si>
  <si>
    <t>50mm thick made in C.C 1:3:6 using 20mm</t>
  </si>
  <si>
    <t>Hbs jelly ,moulding the slab, laying,</t>
  </si>
  <si>
    <t>curing,transporting and placing in</t>
  </si>
  <si>
    <t>possition etc complete</t>
  </si>
  <si>
    <t xml:space="preserve"> 20mm HBS Jelly</t>
  </si>
  <si>
    <t>C.M. 1:3</t>
  </si>
  <si>
    <t>Mason IInd</t>
  </si>
  <si>
    <t>Total for 10  cum</t>
  </si>
  <si>
    <t>Rate per  cum</t>
  </si>
  <si>
    <t>PRECAST Plain cement concrete P.C.C</t>
  </si>
  <si>
    <r>
      <t xml:space="preserve">Slabs of 50mm thick </t>
    </r>
    <r>
      <rPr>
        <b/>
        <sz val="12"/>
        <rFont val="Helv"/>
        <family val="2"/>
      </rPr>
      <t>(precast slab 50mm Thick)</t>
    </r>
  </si>
  <si>
    <t>C.C. 1:3:6 using 20mm HBS</t>
  </si>
  <si>
    <t>Precasting Charges</t>
  </si>
  <si>
    <t>Transporting</t>
  </si>
  <si>
    <t>Laying and Pointing</t>
  </si>
  <si>
    <t>Total for 6.28 Sqm</t>
  </si>
  <si>
    <t>Rate per Sqm</t>
  </si>
  <si>
    <t>PCC 1:3:6, for petty works</t>
  </si>
  <si>
    <t>moulding charges</t>
  </si>
  <si>
    <t>Total for .01 cum</t>
  </si>
  <si>
    <t>Rate per cum</t>
  </si>
  <si>
    <t>50.2</t>
  </si>
  <si>
    <r>
      <t>KERB STONE</t>
    </r>
    <r>
      <rPr>
        <sz val="12"/>
        <rFont val="Helv"/>
        <family val="2"/>
      </rPr>
      <t xml:space="preserve"> 450x300x150mm</t>
    </r>
  </si>
  <si>
    <t xml:space="preserve"> 'including Transporting charges</t>
  </si>
  <si>
    <t>Total for 9 m</t>
  </si>
  <si>
    <t>Rate per M</t>
  </si>
  <si>
    <t>50.3</t>
  </si>
  <si>
    <t>PLANTING AVENUE TREES</t>
  </si>
  <si>
    <t>Earth work excavation</t>
  </si>
  <si>
    <t>Manure</t>
  </si>
  <si>
    <t>RED EARTH</t>
  </si>
  <si>
    <t>River sand</t>
  </si>
  <si>
    <t>mixing charges</t>
  </si>
  <si>
    <t>nos</t>
  </si>
  <si>
    <t>Avenue trees</t>
  </si>
  <si>
    <t>RM</t>
  </si>
  <si>
    <t>Casurina props</t>
  </si>
  <si>
    <t>filling chares</t>
  </si>
  <si>
    <t>l.s</t>
  </si>
  <si>
    <t>Maintenance charges</t>
  </si>
  <si>
    <t>Total for 20 no.</t>
  </si>
  <si>
    <t>Total for 1 no.</t>
  </si>
  <si>
    <t>50.4</t>
  </si>
  <si>
    <t xml:space="preserve"> AVENUE TREE GUARD</t>
  </si>
  <si>
    <t>CW reepers 50x25 cm</t>
  </si>
  <si>
    <t>Chicken mesh</t>
  </si>
  <si>
    <t>Carpenter II</t>
  </si>
  <si>
    <t>Fitter I</t>
  </si>
  <si>
    <t xml:space="preserve">sundries </t>
  </si>
  <si>
    <t>50.5</t>
  </si>
  <si>
    <t>PROVIDING SCHME NAME BOARD</t>
  </si>
  <si>
    <t>CC 1:5:10</t>
  </si>
  <si>
    <t>KG</t>
  </si>
  <si>
    <t>MS angle</t>
  </si>
  <si>
    <t>MS Stiffner</t>
  </si>
  <si>
    <t>MS Sheet</t>
  </si>
  <si>
    <t>Welding charges</t>
  </si>
  <si>
    <t>Painting charges</t>
  </si>
  <si>
    <t>Labour for erection of board</t>
  </si>
  <si>
    <t>Bolts &amp;nuts</t>
  </si>
  <si>
    <t>51.</t>
  </si>
  <si>
    <t>PVC WATER TANK OF 700 LITRE CAPACITY</t>
  </si>
  <si>
    <t>Ex. free board with ISI mark</t>
  </si>
  <si>
    <t>JOINTING P.V.C PIPE AND SPECIALS</t>
  </si>
  <si>
    <t>c</t>
  </si>
  <si>
    <t xml:space="preserve"> 20mm Dia</t>
  </si>
  <si>
    <t>MASAN I</t>
  </si>
  <si>
    <t xml:space="preserve">COST OF CLAMPS PLUGS </t>
  </si>
  <si>
    <t>JOINTING MATERIALS ETC</t>
  </si>
  <si>
    <t xml:space="preserve"> 25mm</t>
  </si>
  <si>
    <t>32mm</t>
  </si>
  <si>
    <t>SUPPLYING AND LAYING THE FOLLOWING PVC</t>
  </si>
  <si>
    <t>PIPES WITH NECESSARY SPECIALS ELBOWS,</t>
  </si>
  <si>
    <t>TEE,REDUCE ,PLUG,UNION,BEND,COUPLE,</t>
  </si>
  <si>
    <t>NIPPLE,GATE VLVE,CHECK AND WHEEL VALVE</t>
  </si>
  <si>
    <t>WHEREVER NECESSARY INCLUDING LABOUR BELOW</t>
  </si>
  <si>
    <t>GROUND LEVEL(OR) FIXING ON WALLS  TO THE</t>
  </si>
  <si>
    <t>PROPER GRADIENT AND ALIGNMENT ETC.ALL</t>
  </si>
  <si>
    <t>COMPLETE AS DIRECTED BY DEPT. OFFICERS.</t>
  </si>
  <si>
    <t>ASTM-D SCHEDULE- 40 THREADED PVC PIPE</t>
  </si>
  <si>
    <t>WITH NECESSARY PVC-GI SPECIALS</t>
  </si>
  <si>
    <t xml:space="preserve"> 20MM DIA PVC PIPE ABOVE G.L:-</t>
  </si>
  <si>
    <t xml:space="preserve">COST OF 20MM DIA PVC PIPE </t>
  </si>
  <si>
    <t>ADD 70% FOR PVC/GI SPECIALS</t>
  </si>
  <si>
    <t>LABOUR FOR LAYING &amp; FIXING</t>
  </si>
  <si>
    <t>TOTAL FOR 1 RMT</t>
  </si>
  <si>
    <t xml:space="preserve"> 25MM DIA PVC PIPE ABOVE G.L:-</t>
  </si>
  <si>
    <t xml:space="preserve">COST OF 25MM DIA PVC PIPE </t>
  </si>
  <si>
    <t>ADD 40% FOR PVC/GI SPECIALS</t>
  </si>
  <si>
    <t xml:space="preserve"> 32MM DIA PVC PIPE ABOVE G.L:-</t>
  </si>
  <si>
    <t xml:space="preserve">COST OF 32MM DIA PVC PIPE </t>
  </si>
  <si>
    <t>ADD 20% FOR PVC/GI SPECIALS</t>
  </si>
  <si>
    <t>S &amp; F of GI Pipe 20mm dia for Hot Water line Pipe
Fully Consealed in Wall</t>
  </si>
  <si>
    <t xml:space="preserve">GI PIPE 20MM DIA </t>
  </si>
  <si>
    <t>LAYING,FIXING AND CONSELING GI PIPE</t>
  </si>
  <si>
    <t>20MM DIA GI PIPE FOR HOT WATER LINE</t>
  </si>
  <si>
    <t xml:space="preserve">COST OF 20MM DIA GI PIPE </t>
  </si>
  <si>
    <t>ADD 20% FOR GI SPECIALS</t>
  </si>
  <si>
    <t>L.S FOR CONSEALING GI PIPE IN WALLS
PAKING ETC.,</t>
  </si>
  <si>
    <t>SUPPLYING AND FIXING</t>
  </si>
  <si>
    <r>
      <t>WASHBASIN</t>
    </r>
    <r>
      <rPr>
        <sz val="12"/>
        <rFont val="Helv"/>
        <family val="2"/>
      </rPr>
      <t xml:space="preserve"> 22"X16" INCLUDING</t>
    </r>
  </si>
  <si>
    <t>COST OF ALL MATERIALS AND</t>
  </si>
  <si>
    <t>FIXING CHARGES</t>
  </si>
  <si>
    <t>WASHBASIN 22"X16" INCLUDING ALL ACCESSORIES SUCH AS C.I BRACKETS 32MM DIA ETC.,</t>
  </si>
  <si>
    <t>SUNDRIES FOR PLUGSCREW,PAINT</t>
  </si>
  <si>
    <t>53.2</t>
  </si>
  <si>
    <t xml:space="preserve">CI MANHOLE COVER 45CMX45CMX20KG </t>
  </si>
  <si>
    <t>538/EACH</t>
  </si>
  <si>
    <t>53.3</t>
  </si>
  <si>
    <t>CI STEPS (5Kg)</t>
  </si>
  <si>
    <t>90/EACH</t>
  </si>
  <si>
    <t>Brass Tap with ISI Mark</t>
  </si>
  <si>
    <t>CP TAP (LONG BODY)</t>
  </si>
  <si>
    <t>CP TAP (SHORT BODY)</t>
  </si>
  <si>
    <t>56.1.</t>
  </si>
  <si>
    <t>SUPPLYING AND FIXING OF I.W.C</t>
  </si>
  <si>
    <t>20"WITH TOP LEFT ROUGH TO RECEIVE</t>
  </si>
  <si>
    <t xml:space="preserve">FLOOR FINISH </t>
  </si>
  <si>
    <t xml:space="preserve"> IN G.FLOOR.</t>
  </si>
  <si>
    <t xml:space="preserve"> I.W.C 20"SIZE(Orissa pan)</t>
  </si>
  <si>
    <t xml:space="preserve">E.W EXCAVATION </t>
  </si>
  <si>
    <t>REFILLING</t>
  </si>
  <si>
    <t>BRICK JELLY CONCRETE USING 40mm(1:8:16)</t>
  </si>
  <si>
    <t>56.2.</t>
  </si>
  <si>
    <t xml:space="preserve"> IN OTHER THAN G.FLOOR.</t>
  </si>
  <si>
    <t>WEATERING COURSE</t>
  </si>
  <si>
    <t>USING20mmBRICK JELLY</t>
  </si>
  <si>
    <t>PLASTERING IN C.M(1:3)</t>
  </si>
  <si>
    <t>12mMT.K MIXED WITH W.P.C.</t>
  </si>
  <si>
    <t>BRICK JELLY CONCRETE (1:8:16)</t>
  </si>
  <si>
    <t>USING 40 mm BRICK JELLY</t>
  </si>
  <si>
    <r>
      <t>SUPPLY AND FIXING OF E.W.C.   18" SIZE</t>
    </r>
    <r>
      <rPr>
        <b/>
        <sz val="12"/>
        <rFont val="Helv"/>
        <family val="2"/>
      </rPr>
      <t xml:space="preserve"> (WHITE)</t>
    </r>
  </si>
  <si>
    <t>WITH DOUBLE FLAPPED PLASTIC SEAT COVER</t>
  </si>
  <si>
    <t>LOW LEVEL FLUSHING CISTERN 10 LIT.</t>
  </si>
  <si>
    <t>EUROPEAN WATER CLOSET WITH "P" OR "S" TRAP WITH DOUBLE FLAPPED SEAT AND SEAT COVER WITH BRASS HINGES AND 10LIT CAPACITY PVC L;OW LEVEL FLUSHING TANK WITH ALL INTERNAL FITTINGS</t>
  </si>
  <si>
    <t>LABOUR FOR FIXING OF EWC</t>
  </si>
  <si>
    <t>LABOUR FOR FIXING OF FLUSHING TANK</t>
  </si>
  <si>
    <r>
      <t xml:space="preserve">SUPPLY AND FIXING OF E.W.C.   18" SIZE </t>
    </r>
    <r>
      <rPr>
        <b/>
        <sz val="12"/>
        <rFont val="Helv"/>
        <family val="2"/>
      </rPr>
      <t>(COLOUR)</t>
    </r>
  </si>
  <si>
    <t>58.1(a)</t>
  </si>
  <si>
    <t>SUPPLY AND FIXING P.V.C.SOIL</t>
  </si>
  <si>
    <t>PIPESPECIALS OF FOLLOWING DIA:-</t>
  </si>
  <si>
    <t>SUPPLY AND FIXING OF PVC soil PIPE</t>
  </si>
  <si>
    <t xml:space="preserve">110MM DIA OF 4Kg/sqmINCLUDING </t>
  </si>
  <si>
    <t>PACKING THE JOINTS WITH RUBBER</t>
  </si>
  <si>
    <t>LUBRICANT AND FIXING IN TO</t>
  </si>
  <si>
    <t>WALL WITH WOODEN PLUGS</t>
  </si>
  <si>
    <t>SCREWSHOLDING CLAMPSETC</t>
  </si>
  <si>
    <t>COMPLETE</t>
  </si>
  <si>
    <t>P.V.C. PIPE 110mm DIA</t>
  </si>
  <si>
    <t>P.V.C BEND WITH DOOR 110MM</t>
  </si>
  <si>
    <t>P.V.C COWL 110MM</t>
  </si>
  <si>
    <t>P.V.C DOOR TEE 110MM</t>
  </si>
  <si>
    <t>COST OF RUBBER</t>
  </si>
  <si>
    <t>LUBRICANTT.W.PLUGS AND</t>
  </si>
  <si>
    <t>C.I.CLAMPS ETC</t>
  </si>
  <si>
    <t>SUNDERS</t>
  </si>
  <si>
    <t>58.1(b)</t>
  </si>
  <si>
    <t>B.</t>
  </si>
  <si>
    <t>SUPPLY AND FIXING OF PVC PIPE</t>
  </si>
  <si>
    <t xml:space="preserve">75MM DIA OF 4Kg/sqmINCLUDING </t>
  </si>
  <si>
    <t>LUBERICANT AND FIXING IN TO</t>
  </si>
  <si>
    <t>WALL WITH WOODEN PLUGES</t>
  </si>
  <si>
    <t>P.V.C. PIPE 75mm DIA</t>
  </si>
  <si>
    <t>P.V.C BEND WITH DOOR</t>
  </si>
  <si>
    <t>P.V.C COWL</t>
  </si>
  <si>
    <t>P.V.C DOOR TEE</t>
  </si>
  <si>
    <t>58.2</t>
  </si>
  <si>
    <t xml:space="preserve">Supplying &amp;fixing 110mm dia PVC </t>
  </si>
  <si>
    <t xml:space="preserve">SWR pipe for ventilating shaft </t>
  </si>
  <si>
    <t xml:space="preserve">of 3M length with cowl </t>
  </si>
  <si>
    <t>110mm dia PVC SWR pipe</t>
  </si>
  <si>
    <t>110mm dia cowl</t>
  </si>
  <si>
    <t>Labour for fixing</t>
  </si>
  <si>
    <t>Sundries for PVC solution etc.</t>
  </si>
  <si>
    <t>Rate for 1 no.</t>
  </si>
  <si>
    <t>59.</t>
  </si>
  <si>
    <t>SUPLY ING AND FIXING OF</t>
  </si>
  <si>
    <t>150X100mm S.W. GULLY TRAPS</t>
  </si>
  <si>
    <t>BRICK JELLY CONCRETE (1:8:16)40MM</t>
  </si>
  <si>
    <t>60.</t>
  </si>
  <si>
    <t xml:space="preserve">SUPPLY AND FIXING OF P.V.C. </t>
  </si>
  <si>
    <t>NAHANI TRAP 63mm DIA</t>
  </si>
  <si>
    <t xml:space="preserve"> PVC NAHANI TRAP (4WAY/2WAY)</t>
  </si>
  <si>
    <t>SUNDRIES FOR B.J.C,PLASTERING ETC</t>
  </si>
  <si>
    <t>61.1(a)</t>
  </si>
  <si>
    <t>SUPPLY AND FIXING OF 100mm</t>
  </si>
  <si>
    <t>DIA S.W.PIPE</t>
  </si>
  <si>
    <t xml:space="preserve"> 100mmDIA S.W.PIPE WITH ISI MARK</t>
  </si>
  <si>
    <t>E.W. EXCAVATION</t>
  </si>
  <si>
    <t>TAARRED HOMP YARN</t>
  </si>
  <si>
    <t>FITTER II</t>
  </si>
  <si>
    <t>TESTING CHARGES 10%of LABOUR</t>
  </si>
  <si>
    <t>TOTAL FOR 30RMT</t>
  </si>
  <si>
    <t>RATE PER  RMT</t>
  </si>
  <si>
    <t>61.2(b)</t>
  </si>
  <si>
    <t>SUPPLY AND FIXING OF 150mm</t>
  </si>
  <si>
    <t xml:space="preserve"> 150mmDIA S.W.PIPE WITH ISI MARK</t>
  </si>
  <si>
    <t>61.2(a)</t>
  </si>
  <si>
    <t>DIA S.W.PIPE(LOOSE JOINTING)</t>
  </si>
  <si>
    <t xml:space="preserve"> 100mmDIA S.W.PIPE</t>
  </si>
  <si>
    <t xml:space="preserve"> 150mmDIA S.W.PIPE</t>
  </si>
  <si>
    <t>Total for One Number</t>
  </si>
  <si>
    <t>62.1(a)</t>
  </si>
  <si>
    <t xml:space="preserve"> STONEWARE BEND</t>
  </si>
  <si>
    <t xml:space="preserve"> 100mmDIA S.W.BEND </t>
  </si>
  <si>
    <t>EXCAVATION,REFILLING,JOINTING</t>
  </si>
  <si>
    <t>AND CONCRETING</t>
  </si>
  <si>
    <t xml:space="preserve"> 150mmDIA S.W.BEND </t>
  </si>
  <si>
    <t>62.2.a.</t>
  </si>
  <si>
    <t xml:space="preserve"> STONEWARE TEE</t>
  </si>
  <si>
    <t xml:space="preserve"> 100mmDIA S.W.TEE </t>
  </si>
  <si>
    <t>62.2.b.</t>
  </si>
  <si>
    <t xml:space="preserve"> 150mmDIA S.W.TEE </t>
  </si>
  <si>
    <t>63</t>
  </si>
  <si>
    <t>32mm dia P.V.C Waste Pipe and</t>
  </si>
  <si>
    <t xml:space="preserve">C.P.Coupling of best quality. </t>
  </si>
  <si>
    <t>Rft</t>
  </si>
  <si>
    <t>C.P.Coupling</t>
  </si>
  <si>
    <t>Labour Charge for fixing</t>
  </si>
  <si>
    <t>81</t>
  </si>
  <si>
    <t>Supplying and fixing B.I.C.W.Meter cupboard with</t>
  </si>
  <si>
    <t>shutter double leaves with 230mmx25mm size CW</t>
  </si>
  <si>
    <t>plank for alround sides 62.5x31.25mm styles and</t>
  </si>
  <si>
    <t>rails for shutters and 75x25mm weldmesh of bamd</t>
  </si>
  <si>
    <t>10 gauge for panels including labour charges for</t>
  </si>
  <si>
    <t>fixing inposition of shutters and cost of</t>
  </si>
  <si>
    <t>L-clamps 6nos of size 150x150mm size with</t>
  </si>
  <si>
    <t>25mmx4mm MS flats 1 no 6"x1/2" alumium aldrop</t>
  </si>
  <si>
    <t>with bolt and nuts 6 nos of 2" size I.O. hooks</t>
  </si>
  <si>
    <t>and eyes T.W.plugs screws etc complete and as</t>
  </si>
  <si>
    <t>directed by the Departmental Officers as per</t>
  </si>
  <si>
    <t>Drawings</t>
  </si>
  <si>
    <t>C.W.Scantling for Shutter</t>
  </si>
  <si>
    <t>C.W.Planks</t>
  </si>
  <si>
    <t>Weldmesh</t>
  </si>
  <si>
    <t xml:space="preserve"> 3"ButtHinges</t>
  </si>
  <si>
    <t xml:space="preserve"> 6"x1/2" Aldrops</t>
  </si>
  <si>
    <t xml:space="preserve"> 2" I.O.Hooks and Eyes</t>
  </si>
  <si>
    <t>M.S."L" Clamps</t>
  </si>
  <si>
    <t>Labour Charges</t>
  </si>
  <si>
    <t>SUNDRIES FOR T.W.Plugs etc</t>
  </si>
  <si>
    <t>Total for 1.62 Sqm</t>
  </si>
  <si>
    <t>Total for 1.00 Sqm</t>
  </si>
  <si>
    <t>================================================</t>
  </si>
  <si>
    <t>WIRING WITH 1.5SQMM COPPER WIRE  CONCEALED</t>
  </si>
  <si>
    <t>64.a.</t>
  </si>
  <si>
    <t>64.b</t>
  </si>
  <si>
    <t>64.c</t>
  </si>
  <si>
    <t xml:space="preserve"> --DO--FOR 15AMP POWER PLUG</t>
  </si>
  <si>
    <t>70.1</t>
  </si>
  <si>
    <t>70.2</t>
  </si>
  <si>
    <t>S/F OF TUBELIGHT FITTING</t>
  </si>
  <si>
    <t>70.3</t>
  </si>
  <si>
    <t>S/F OF 40W/60W BULB</t>
  </si>
  <si>
    <t>70.4</t>
  </si>
  <si>
    <t>S/F OF PLASTIC SHADE</t>
  </si>
  <si>
    <t>S/F of Fibre Fan Hook</t>
  </si>
  <si>
    <t>73.1</t>
  </si>
  <si>
    <t>73.2</t>
  </si>
  <si>
    <t>S/F OF 4 WAY D.B</t>
  </si>
  <si>
    <t>75(a)</t>
  </si>
  <si>
    <t>75(b)</t>
  </si>
  <si>
    <t>SUPPLY AND FIXING EXSAUST FAN 300MM SWEEP</t>
  </si>
  <si>
    <t>RUN OF MAIN WITH 2NO OF 1.50sq.mm WIRE</t>
  </si>
  <si>
    <t xml:space="preserve">RUN OF 2 WIRES OF 4 SQMM WITH CONTINUOUS EARTHING BY MEANS OF 2.5SQMM FOR A/C </t>
  </si>
  <si>
    <t>SUPPLYING AND FIXING OF A/C METAL CLAD</t>
  </si>
  <si>
    <t>SUPPLYING AND FIXING OF TV/TELEPHONE LINE SOCKET</t>
  </si>
  <si>
    <t>SUPPLYING AND FIXING OF 20MM DIA PVC PIPE FOR TV/TELEPHONE LINE</t>
  </si>
  <si>
    <t>Mtr</t>
  </si>
  <si>
    <t>PVC RIGID CONDUIT PIPE 19M/20MM HEAVY DUTY WITH ISI</t>
  </si>
  <si>
    <t>WIREMAN GR-I</t>
  </si>
  <si>
    <t>SUNDRIES FOR PVC SPECIALS &amp; FISH WIRE ETC.,</t>
  </si>
  <si>
    <t>TOTAL FOR 90RMT</t>
  </si>
  <si>
    <t>EARTHING STATION (TYPE II)</t>
  </si>
  <si>
    <t>GI PIPE 40MM DIA</t>
  </si>
  <si>
    <t>CHARCOAL</t>
  </si>
  <si>
    <t>SALT</t>
  </si>
  <si>
    <t>GI WIRE 8 GAUGE</t>
  </si>
  <si>
    <t>CIVIL WORK SUCH AS EXCAVATION FILLING MASONRY WORK, COVER SLAB ETC.,</t>
  </si>
  <si>
    <t>BOLTS,NUTS &amp; CHOCK NUTS ETC.,</t>
  </si>
  <si>
    <t>ANNEXURE</t>
  </si>
  <si>
    <t xml:space="preserve">CI MANHOLE COVER 60 CMX60 CMX50KG </t>
  </si>
  <si>
    <t>22.3.1</t>
  </si>
  <si>
    <t>Shutter middle rails ( Horizontal) - 1x2x0.4x.15x.375=.0045</t>
  </si>
  <si>
    <t>Shutter(OSL Board)      -2X2X0.85X0.4=1.36m2</t>
  </si>
  <si>
    <t xml:space="preserve"> 4"X5/8"ALU.TOWER BOLT</t>
  </si>
  <si>
    <t>S/ F of Cuddapah Sink of Size 600x600x200 mm with 32 mm G.I waste pipe and 32 mm C.P waste coupling</t>
  </si>
  <si>
    <t xml:space="preserve">S/ F of  Wash basin mirror  Size 600x 450 mm </t>
  </si>
  <si>
    <t xml:space="preserve">S/ F of  Wash basin mirror  Size 500x 400 mm </t>
  </si>
  <si>
    <t>S/ F of Flushing Tank with all fittings 10 litres Capacity</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</si>
  <si>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</si>
  <si>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</si>
  <si>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</si>
  <si>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</si>
  <si>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</si>
  <si>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</si>
  <si>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</si>
  <si>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</si>
  <si>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</si>
  <si>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Packet</t>
  </si>
  <si>
    <t>Fibre (125g/ Packet )</t>
  </si>
  <si>
    <t>Moulding Charges</t>
  </si>
  <si>
    <t>……………………….</t>
  </si>
  <si>
    <t>Rate for       =</t>
  </si>
  <si>
    <t>………………………..</t>
  </si>
  <si>
    <t>Rate for 1  Sqm</t>
  </si>
  <si>
    <t>Supplying, Manufacturing and fixing of Colth drying arrangements data for 1 Set</t>
  </si>
  <si>
    <t>Cost of 32 mm dia G.I pipe</t>
  </si>
  <si>
    <t>Cost of MS angle 35x35x4mm (2x0.6x2.1 kg/m)</t>
  </si>
  <si>
    <t>Cost of Square bars (2x0.5x1.13 kg/m)</t>
  </si>
  <si>
    <t>Cost of  1 clamp  10 mm (3x0.15x0.78)</t>
  </si>
  <si>
    <t xml:space="preserve">Labour charges for welding </t>
  </si>
  <si>
    <t>Cost of Fixture hooks</t>
  </si>
  <si>
    <t>Mazdoor I Class</t>
  </si>
  <si>
    <t>Mazdoor II Class</t>
  </si>
  <si>
    <t>Fixing of screws, painting etc,</t>
  </si>
  <si>
    <t>…………………………….</t>
  </si>
  <si>
    <t>Rate for         =</t>
  </si>
  <si>
    <t>( 1   Set   )</t>
  </si>
  <si>
    <t>Rate for 1 No</t>
  </si>
  <si>
    <t xml:space="preserve">Data for form works using M.S sheet </t>
  </si>
  <si>
    <t>Qty</t>
  </si>
  <si>
    <t>Description</t>
  </si>
  <si>
    <t>Rate</t>
  </si>
  <si>
    <t>per</t>
  </si>
  <si>
    <t>Amount</t>
  </si>
  <si>
    <t>e</t>
  </si>
  <si>
    <r>
      <t>Grid beam and slabs</t>
    </r>
    <r>
      <rPr>
        <sz val="14"/>
        <rFont val="Arial"/>
        <family val="2"/>
      </rPr>
      <t xml:space="preserve"> </t>
    </r>
  </si>
  <si>
    <t>Grid floor</t>
  </si>
  <si>
    <r>
      <t>Grid floor  Area 7.75 mm x8 mm =68  m</t>
    </r>
    <r>
      <rPr>
        <vertAlign val="superscript"/>
        <sz val="14"/>
        <rFont val="Arial"/>
        <family val="2"/>
      </rPr>
      <t>2</t>
    </r>
  </si>
  <si>
    <r>
      <t>Grid clear size 0.98 x1.01=0.99 m</t>
    </r>
    <r>
      <rPr>
        <vertAlign val="superscript"/>
        <sz val="14"/>
        <rFont val="Arial"/>
        <family val="2"/>
      </rPr>
      <t xml:space="preserve">2 </t>
    </r>
  </si>
  <si>
    <t xml:space="preserve">No. of grid 49 Nos  </t>
  </si>
  <si>
    <r>
      <t>Centering for floor slab Area
7.75 mm x8 mm =68  m</t>
    </r>
    <r>
      <rPr>
        <vertAlign val="superscript"/>
        <sz val="14"/>
        <rFont val="Arial"/>
        <family val="2"/>
      </rPr>
      <t>2</t>
    </r>
  </si>
  <si>
    <t>Centering for sides of  grid beam 
  49x2 x0.98x0.375=36.02
  49x2x1.01x3.75=37.12    
 Total 73.14</t>
  </si>
  <si>
    <t>Centering for bottom of grid slab             49x0.98x1.01=48.50</t>
  </si>
  <si>
    <r>
      <t>Total Centering area                              73.14+48.50 = 121.64 m</t>
    </r>
    <r>
      <rPr>
        <vertAlign val="superscript"/>
        <sz val="14"/>
        <rFont val="Arial"/>
        <family val="2"/>
      </rPr>
      <t xml:space="preserve">2 </t>
    </r>
  </si>
  <si>
    <r>
      <t>m</t>
    </r>
    <r>
      <rPr>
        <vertAlign val="superscript"/>
        <sz val="14"/>
        <rFont val="Arial"/>
        <family val="2"/>
      </rPr>
      <t xml:space="preserve">2 </t>
    </r>
  </si>
  <si>
    <t xml:space="preserve">Slab centering   up to 4 m height </t>
  </si>
  <si>
    <t>Centring with out strutting</t>
  </si>
  <si>
    <r>
      <t>m</t>
    </r>
    <r>
      <rPr>
        <vertAlign val="superscript"/>
        <sz val="14"/>
        <rFont val="Arial"/>
        <family val="2"/>
      </rPr>
      <t>2</t>
    </r>
  </si>
  <si>
    <r>
      <t>Total for 62m</t>
    </r>
    <r>
      <rPr>
        <vertAlign val="superscript"/>
        <sz val="14"/>
        <rFont val="Arial"/>
        <family val="2"/>
      </rPr>
      <t>2</t>
    </r>
  </si>
  <si>
    <r>
      <t>Rate for 1m</t>
    </r>
    <r>
      <rPr>
        <vertAlign val="superscript"/>
        <sz val="14"/>
        <rFont val="Arial"/>
        <family val="2"/>
      </rPr>
      <t>2</t>
    </r>
  </si>
  <si>
    <t>b</t>
  </si>
  <si>
    <t>Form work for Plain surfaces such as Roof slab</t>
  </si>
  <si>
    <t>Cost of M.S Sheet BG 10</t>
  </si>
  <si>
    <t>Cost of M.S angle 25x25x3mm</t>
  </si>
  <si>
    <t>L.s</t>
  </si>
  <si>
    <t>Add for Centring bending including labour charges</t>
  </si>
  <si>
    <t>For 40 operation</t>
  </si>
  <si>
    <t>For 1 operation</t>
  </si>
  <si>
    <t>Cost of 1 operation</t>
  </si>
  <si>
    <t>M3</t>
  </si>
  <si>
    <t>Cost of silver oke</t>
  </si>
  <si>
    <t>m</t>
  </si>
  <si>
    <t>Casurina props 10 to 13 cm dia</t>
  </si>
  <si>
    <t>Add for silver plank</t>
  </si>
  <si>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</si>
  <si>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</si>
  <si>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</si>
  <si>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t>For welding rails etc.,</t>
  </si>
  <si>
    <t>Periodical cleaning</t>
  </si>
  <si>
    <r>
      <t>Rate per 1 m</t>
    </r>
    <r>
      <rPr>
        <vertAlign val="superscript"/>
        <sz val="14"/>
        <rFont val="Arial"/>
        <family val="2"/>
      </rPr>
      <t>2</t>
    </r>
  </si>
  <si>
    <t>Rate for 4m height ( 202.09+12.32 ) =214.40</t>
  </si>
  <si>
    <t>a</t>
  </si>
  <si>
    <t>Form work for Column footings, plinthbeam, Grade beam, Raft slab, Raft beam etc.,</t>
  </si>
  <si>
    <t>Form work with Casurina props</t>
  </si>
  <si>
    <t>( - )</t>
  </si>
  <si>
    <t>Sub - data</t>
  </si>
  <si>
    <t>Strutting to centering of R.C.C plane surfaces 3.00m height in all floors</t>
  </si>
  <si>
    <t>Props 10 to 13 cm dia @ 75 Cm c/c ( cost of 1 operation Rs.15/5=3)</t>
  </si>
  <si>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</si>
  <si>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</si>
  <si>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t>Add for sundries</t>
  </si>
  <si>
    <r>
      <t>Rate for 10 m</t>
    </r>
    <r>
      <rPr>
        <vertAlign val="superscript"/>
        <sz val="14"/>
        <rFont val="Arial"/>
        <family val="2"/>
      </rPr>
      <t>2</t>
    </r>
  </si>
  <si>
    <r>
      <t xml:space="preserve">Rate for 1m </t>
    </r>
    <r>
      <rPr>
        <vertAlign val="superscript"/>
        <sz val="14"/>
        <rFont val="Arial"/>
        <family val="2"/>
      </rPr>
      <t>2</t>
    </r>
  </si>
  <si>
    <t>For 1 m height</t>
  </si>
  <si>
    <t>For square  &amp; rectangular columns and small quantities extra 20 % of Form work using M.S sheet</t>
  </si>
  <si>
    <t>d</t>
  </si>
  <si>
    <t>For Vertical walls extra 10 % of Form work using M.S sheet</t>
  </si>
  <si>
    <t>Annexure Items</t>
  </si>
  <si>
    <t>From work for Column footings, plinthbeam, Grade beam, Raft slab, Raft beam etc.,</t>
  </si>
  <si>
    <t>Ls</t>
  </si>
  <si>
    <t>-------------------</t>
  </si>
  <si>
    <t>Rate for From work for Column footings, plinthbeam, Grade beam, Raft slab, Raft beam etc.,</t>
  </si>
  <si>
    <t>1 Sqm</t>
  </si>
  <si>
    <t>Form work for Plain surfaces such as Roof slab,floor slab,beams, lintels, loft,sill slab,Stair case waist, portico slab and other similar works</t>
  </si>
  <si>
    <t>==========</t>
  </si>
  <si>
    <r>
      <t xml:space="preserve">Slabs of 50mm thick </t>
    </r>
    <r>
      <rPr>
        <b/>
        <sz val="12"/>
        <rFont val="Helv"/>
        <family val="2"/>
      </rPr>
      <t xml:space="preserve">(precast slab 50mm Thick) Precast Pavement Fibre mixed concrete slab </t>
    </r>
  </si>
  <si>
    <r>
      <t>PCC Slab = 500 x 0.28 x 0.28   =  39.20 m</t>
    </r>
    <r>
      <rPr>
        <vertAlign val="superscript"/>
        <sz val="12"/>
        <rFont val="Helv"/>
        <family val="2"/>
      </rPr>
      <t>2</t>
    </r>
  </si>
  <si>
    <r>
      <t>39.20 x 0.05                                      =1.96m</t>
    </r>
    <r>
      <rPr>
        <vertAlign val="superscript"/>
        <sz val="12"/>
        <rFont val="Helv"/>
        <family val="2"/>
      </rPr>
      <t>2</t>
    </r>
  </si>
  <si>
    <t>Mason I class</t>
  </si>
  <si>
    <t>Mazdoor II class</t>
  </si>
  <si>
    <t>Moulding charges</t>
  </si>
  <si>
    <t>Curing, Transporting, Laying and Pointing charges</t>
  </si>
  <si>
    <t>Packets</t>
  </si>
  <si>
    <t>Fibre</t>
  </si>
  <si>
    <t>Rate for 39.20 Sqm</t>
  </si>
  <si>
    <t>---------------</t>
  </si>
  <si>
    <t>Rate for 1 Sqm</t>
  </si>
  <si>
    <t>Sub-Data</t>
  </si>
  <si>
    <t>C.W.Planks Moulding</t>
  </si>
  <si>
    <t>100 Operations</t>
  </si>
  <si>
    <t>500/100</t>
  </si>
  <si>
    <t>5 sets</t>
  </si>
  <si>
    <t>5 x 1.12 x 0.05</t>
  </si>
  <si>
    <t>0.28 Sqm</t>
  </si>
  <si>
    <t>Cement Adequacy</t>
  </si>
  <si>
    <t>1 m3  of CC 1:3:6</t>
  </si>
  <si>
    <t>216 Kg</t>
  </si>
  <si>
    <t>1.96m3</t>
  </si>
  <si>
    <t>423.36 Kg (ie) 8.5 Bags of Cement</t>
  </si>
  <si>
    <t>1 Fibre packet for 1 bag of cement</t>
  </si>
  <si>
    <t>Supply of MS angle 40 X 40 X 6mm for above data to support the above GI pipe and fixing the GI  stay wire service connection wire .</t>
  </si>
  <si>
    <t>------------------------------------------------------------------</t>
  </si>
  <si>
    <t>Kg( 1 Rmt = 3.25 Kg )]</t>
  </si>
  <si>
    <t>40 X 40 X 6mm</t>
  </si>
  <si>
    <t>M.S Angle</t>
  </si>
  <si>
    <t>Rate Per Rmt</t>
  </si>
  <si>
    <t>S&amp;F of 1 No of 30amps Fuse Unit</t>
  </si>
  <si>
    <t>------------------------------------------------</t>
  </si>
  <si>
    <t>30 amps 500V Fuse Unit</t>
  </si>
  <si>
    <t>T.W.Plank 150x100x20mm</t>
  </si>
  <si>
    <t xml:space="preserve">Sundries </t>
  </si>
  <si>
    <t>--------------------</t>
  </si>
  <si>
    <t>============</t>
  </si>
  <si>
    <t>Wire man Gr-I</t>
  </si>
  <si>
    <t>Wire man Gr-II</t>
  </si>
  <si>
    <t>Helper</t>
  </si>
  <si>
    <t>Rate for 8 nos</t>
  </si>
  <si>
    <t>Rate for 1 nos</t>
  </si>
  <si>
    <t>23.1. ( b)</t>
  </si>
  <si>
    <t>DOOR OF SIZE 1000 X2100 MM</t>
  </si>
  <si>
    <t>TOTAL FOR 1.845 SQM</t>
  </si>
  <si>
    <t>T.W.DoubleLEAF FULLY PANELLED</t>
  </si>
  <si>
    <t>1500 X 2100MM</t>
  </si>
  <si>
    <t>SHUTTER SIZE-2x0.7X2.025   =2.835M2</t>
  </si>
  <si>
    <t>STYLES(OVER 2M) -2X2X2.025X0.075X0.0375=0.0228</t>
  </si>
  <si>
    <t>RAILS(BELOW 2M)- 2X3X0.70X0.15X0.0375=      0.0236</t>
  </si>
  <si>
    <t xml:space="preserve">               - 2X3X0.70X0.075X0.0375 =0.0118</t>
  </si>
  <si>
    <t>PLANKS      -2X4X0.575X0.3X0.01875=</t>
  </si>
  <si>
    <t xml:space="preserve">                          -2X1X0.575X0.3X0.01875=</t>
  </si>
  <si>
    <t>WIDE&amp;12TO25mm T.K</t>
  </si>
  <si>
    <t>TOTAL FOR 2.835 SQM</t>
  </si>
  <si>
    <t>1200 X 2100MM</t>
  </si>
  <si>
    <t>SHUTTER SIZE-1.10X2.025   =2.2275M2</t>
  </si>
  <si>
    <t>RAILS(BELOW 2M)- 2X4X0.45X0.15X0.0375=      0.020</t>
  </si>
  <si>
    <t xml:space="preserve">               - 2X2X0.45X0.075X0.0375 =0.005</t>
  </si>
  <si>
    <t>PLANKS      -2X4X0.425X0.28X0.01875=</t>
  </si>
  <si>
    <t xml:space="preserve">                          -2X1X0.425X0.28X0.01875=</t>
  </si>
  <si>
    <t>TOTAL FOR 2.2275 SQM</t>
  </si>
  <si>
    <t>FLATBACK URINAL</t>
  </si>
  <si>
    <t>Flatback Urinal including all accessories</t>
  </si>
  <si>
    <t>Plumber I class</t>
  </si>
  <si>
    <t>Mason I Class</t>
  </si>
  <si>
    <t>Providing Rain Water Harvesting</t>
  </si>
  <si>
    <t>Labour charges for augering</t>
  </si>
  <si>
    <t>HBSJ 40mm</t>
  </si>
  <si>
    <t>Precasted slab</t>
  </si>
  <si>
    <t>-----------------</t>
  </si>
  <si>
    <t>Sub -data for 3</t>
  </si>
  <si>
    <t>Mazdoor I</t>
  </si>
  <si>
    <t>Tool  Plants</t>
  </si>
  <si>
    <t>Total for 3 Rmt</t>
  </si>
  <si>
    <t>Rate for 1 rmt</t>
  </si>
  <si>
    <t xml:space="preserve">2x4 sqmm copper PVC insulated unseathed single core 1KV grade cable for EB service </t>
  </si>
  <si>
    <t>4 Sqmm copper PVC unsulated unsheathed single core cable</t>
  </si>
  <si>
    <t>7/20 GI stay wire</t>
  </si>
  <si>
    <t>PVC reel insulator</t>
  </si>
  <si>
    <t>GI wire for fixing reel insulator</t>
  </si>
  <si>
    <t>Electrical Maistry</t>
  </si>
  <si>
    <t>Wiremen Gr.I</t>
  </si>
  <si>
    <t>Wiremen Gr.II</t>
  </si>
  <si>
    <t>Sundries for masonry work clamps bolts and nuts etc.,</t>
  </si>
  <si>
    <t>Total for 90 Mtrs</t>
  </si>
  <si>
    <t>Rate per Rmt</t>
  </si>
  <si>
    <t>Shutter middle rail(Horizantal) -1X2X0.4X0.15X0.0375=0.0045</t>
  </si>
  <si>
    <t>Shutter(OSL Board)      -2X2X.85X0.4=1.36m2</t>
  </si>
  <si>
    <t xml:space="preserve"> ORNAMENTAL  HANDLE WITH SCREWS</t>
  </si>
  <si>
    <t xml:space="preserve">Rain water harvesting pit by augering </t>
  </si>
  <si>
    <t>Augering</t>
  </si>
  <si>
    <t>Stone jelly 40mm size</t>
  </si>
  <si>
    <t>HBS jelly 20mm size</t>
  </si>
  <si>
    <t>River Sand</t>
  </si>
  <si>
    <t>Total  for 4.90 Rmt</t>
  </si>
  <si>
    <t>Rate for Rmt</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</si>
  <si>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</si>
  <si>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</si>
  <si>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</si>
  <si>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</si>
  <si>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</si>
  <si>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</si>
  <si>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t>
  </si>
  <si>
    <t>63 Amphs Triple Pole main switch with fuse and neutral link</t>
  </si>
  <si>
    <t>T.W Board of size 46 x 31 x 6 cm screws well varnished.</t>
  </si>
  <si>
    <t>Sundries screw  TW plugs screw wire and earth connections</t>
  </si>
  <si>
    <t>Labour</t>
  </si>
  <si>
    <t>Wireman Gr.I</t>
  </si>
  <si>
    <t>Helpers</t>
  </si>
  <si>
    <t>----------------</t>
  </si>
  <si>
    <t>Labour for 3 Nos</t>
  </si>
  <si>
    <t>Labour for 1 no</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</si>
  <si>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</si>
  <si>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</si>
  <si>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</si>
  <si>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</si>
  <si>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</si>
  <si>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</si>
  <si>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t>
  </si>
  <si>
    <t>For 8 Nos</t>
  </si>
  <si>
    <t>Per labour</t>
  </si>
  <si>
    <t>Supply and fixing of 4way TPN MCB sheet with 100/63A 4pole Islotor</t>
  </si>
  <si>
    <t>Triple pole &amp; Neutral 4way</t>
  </si>
  <si>
    <t>63A / 100A 4 pole MCB Isolotor</t>
  </si>
  <si>
    <t>32ATPN MCB</t>
  </si>
  <si>
    <t xml:space="preserve">Angle Iron </t>
  </si>
  <si>
    <t>Sundries 1%</t>
  </si>
  <si>
    <t>Supply and fixing of Copper flats</t>
  </si>
  <si>
    <t>25x3mm Copper flats</t>
  </si>
  <si>
    <t>procelin Insulator</t>
  </si>
  <si>
    <t>Supply and fixing of 4'40W twin decorative mirror optics with bulb</t>
  </si>
  <si>
    <t xml:space="preserve">4'40w twin decorative </t>
  </si>
  <si>
    <t>4'40w F.tube</t>
  </si>
  <si>
    <t>19mm dia conduit pipe</t>
  </si>
  <si>
    <t>T.W round blocks</t>
  </si>
  <si>
    <t>Ball &amp; Socket</t>
  </si>
  <si>
    <t>connecting lead</t>
  </si>
  <si>
    <t>Supply and fixing of Cloth drying arrangements</t>
  </si>
  <si>
    <t>-----------------------------------------------------------------</t>
  </si>
  <si>
    <t>32mm dia G.I Pipe</t>
  </si>
  <si>
    <t>M.S. angle(35x35x4 mm)</t>
  </si>
  <si>
    <t>Squre Rod ( 2x.5x1.13 Kg/m )</t>
  </si>
  <si>
    <t>Cost of Clamp 10mm</t>
  </si>
  <si>
    <t>Labour Charges for welding</t>
  </si>
  <si>
    <t>Cost of fixed hooks</t>
  </si>
  <si>
    <t>Mazdoor II</t>
  </si>
  <si>
    <t>Rate for 2 Nos</t>
  </si>
  <si>
    <t>Exhaust Fan 9" Swep ( 225 mm )</t>
  </si>
  <si>
    <t>----------------------------------------------</t>
  </si>
  <si>
    <t>Provision of hole in the wall and making good of the wall</t>
  </si>
  <si>
    <t>Clamp fixing by coche screws bolts and nuts including connections</t>
  </si>
  <si>
    <t>Add 1% sundries</t>
  </si>
  <si>
    <t>=============</t>
  </si>
  <si>
    <t>Electrical Wire man Gr.I</t>
  </si>
  <si>
    <t>Rate for 4 Nos</t>
  </si>
  <si>
    <t>Rate for 1 Nos</t>
  </si>
  <si>
    <t>Tube light fitting with Electronic Ballast ( Patti type )</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</si>
  <si>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</si>
  <si>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</si>
  <si>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</si>
  <si>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</si>
  <si>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</si>
  <si>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</si>
  <si>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</si>
  <si>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</si>
  <si>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</si>
  <si>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</si>
  <si>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</si>
  <si>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Tamil Nadu Police Housing Corporation</t>
  </si>
  <si>
    <t>TNHB ELECTRICAL DATA FOR COASTAL AREA ONLY</t>
  </si>
  <si>
    <t>Part   - A</t>
  </si>
  <si>
    <t>DATA  - 1</t>
  </si>
  <si>
    <t>FAN POINT FOR ADMINISTRATIVE BLOCKS AND COMMUNITY CENTRE</t>
  </si>
  <si>
    <t>WIRING IN CONCEALED PVC PIPE</t>
  </si>
  <si>
    <t>Light point with ceiling rose for flats/ houses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</si>
  <si>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</si>
  <si>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family val="2"/>
      </rPr>
      <t>FAN POINT</t>
    </r>
    <r>
      <rPr>
        <sz val="12"/>
        <rFont val="Helv"/>
        <family val="2"/>
      </rPr>
      <t xml:space="preserve"> FOR ADMINISTRATIVE BLOCKS AND COMMUNITY CENTRE controlled by 5 amps flush type switch including citcuit mains, cost of all materials, specials, etc., all complete,</t>
    </r>
    <r>
      <rPr>
        <b/>
        <sz val="12"/>
        <rFont val="Helv"/>
        <family val="2"/>
      </rPr>
      <t>(Open wiring)</t>
    </r>
  </si>
  <si>
    <t>1.5 sqmm copper PVC insulated unsheathed single core cable (P-79 it-2/b)</t>
  </si>
  <si>
    <t xml:space="preserve"> Rmt</t>
  </si>
  <si>
    <t>PVC rigid conduit pipe 19 mm / 20mm heavy duty with ISI mark p-82 part -I IX-1 b</t>
  </si>
  <si>
    <t>1 Rmt</t>
  </si>
  <si>
    <t>19 mm PVC rigid bends - p-82 part -I IX-2b</t>
  </si>
  <si>
    <t>19 mm PVC rigid tees (p-83 4b, 16.7/12=1.39)</t>
  </si>
  <si>
    <t>1.5 sqmm copper PVC insulated unsheathed single core cable</t>
  </si>
  <si>
    <t>6" PVC Electrical Box (150mm)</t>
  </si>
  <si>
    <t>PVC rigid conduit pipe 19 mm / 20mm heavy duty with ISI mark</t>
  </si>
  <si>
    <t>19 mm PVC saddles / p 72</t>
  </si>
  <si>
    <t>Dozen</t>
  </si>
  <si>
    <t>Hylem sheet 3 mm thick with lamination p-83 it-7a part-I</t>
  </si>
  <si>
    <t>19 mm PVC rigid bends</t>
  </si>
  <si>
    <t>5 amps flush type switch p-72, Part-C,1 a ( 207/12=17.25)</t>
  </si>
  <si>
    <t>19 mm PVC rigid tees</t>
  </si>
  <si>
    <t>Ceiling rose p-70 it-23</t>
  </si>
  <si>
    <t>Teakwood plugs</t>
  </si>
  <si>
    <t>19 mm PVC junction box  ( p-83,6-b( 44.8/12=3.73)</t>
  </si>
  <si>
    <t>PVC JUNCTION BOX 19 mm</t>
  </si>
  <si>
    <t>Bag</t>
  </si>
  <si>
    <t>Ceiling rose</t>
  </si>
  <si>
    <t>5 amps switch (flush type)</t>
  </si>
  <si>
    <t>Gross</t>
  </si>
  <si>
    <t>Brass screws 40mmX6</t>
  </si>
  <si>
    <t>1.5 sqmm copper PVC insulated unsheathed single core cable for continuous earth connection  (P-79 it-2/b)</t>
  </si>
  <si>
    <t>90 Rmt</t>
  </si>
  <si>
    <t>MS box  12"X8" mm(5 sided) covered with 3mm thick Hylem sheet</t>
  </si>
  <si>
    <t>bag</t>
  </si>
  <si>
    <t>1.5 sqmm copper PVC insulated unsheathed single core cable for continuous earth connection</t>
  </si>
  <si>
    <t>Total for 10 Points</t>
  </si>
  <si>
    <t>Points</t>
  </si>
  <si>
    <t>Rate for 1 Point</t>
  </si>
  <si>
    <t>Sundries for screws etc.,</t>
  </si>
  <si>
    <t>Labour Charges for wirnig in PVC pipe concealed</t>
  </si>
  <si>
    <t>Total for 6 Points</t>
  </si>
  <si>
    <t>Maistry</t>
  </si>
  <si>
    <t>Wiremen Grade  - I</t>
  </si>
  <si>
    <t>Wiremen Grade  - II</t>
  </si>
  <si>
    <t>For Concreting work</t>
  </si>
  <si>
    <r>
      <t>Mason II</t>
    </r>
    <r>
      <rPr>
        <vertAlign val="superscript"/>
        <sz val="12"/>
        <rFont val="Helv"/>
        <family val="2"/>
      </rPr>
      <t>nd</t>
    </r>
    <r>
      <rPr>
        <sz val="12"/>
        <rFont val="Helv"/>
        <family val="2"/>
      </rPr>
      <t xml:space="preserve"> class</t>
    </r>
  </si>
  <si>
    <t>DATA  - 2</t>
  </si>
  <si>
    <r>
      <t xml:space="preserve">LIGHT POINT WITH CEILING ROSE FOR ADMINISTRATIVE BLOCKS AND COMMUNITY CENTRE </t>
    </r>
    <r>
      <rPr>
        <b/>
        <sz val="14"/>
        <rFont val="Helv"/>
        <family val="2"/>
      </rPr>
      <t>Open wiring</t>
    </r>
  </si>
  <si>
    <t>Light point with bakelite batern type holder for flats/ houses</t>
  </si>
  <si>
    <t>1175/6=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</si>
  <si>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</si>
  <si>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</si>
  <si>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</si>
  <si>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</si>
  <si>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Add cost of Bakelite battern type holders 10 Nos @ Rs 20.20 / Each</t>
  </si>
  <si>
    <t>19 mm PVC saddles</t>
  </si>
  <si>
    <t>Total for 10 points</t>
  </si>
  <si>
    <t>Rate for 1 points</t>
  </si>
  <si>
    <t>DATA  - 3</t>
  </si>
  <si>
    <t>POINT WIRING FOR CALLING BELL / BUZZER WITH PUSH SWITCH FOR ALL TYPE OF BUILDING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</si>
  <si>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</si>
  <si>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MS box  4"X4" mm(5 sided) covered with 3mm thick Hylem sheet</t>
  </si>
  <si>
    <t>Total of Data 1 excluding sundries</t>
  </si>
  <si>
    <t>Deduct cost of 10 Nos ceiling rose</t>
  </si>
  <si>
    <t>Deduct cost of 10 Nos 19 mm PVC junction box</t>
  </si>
  <si>
    <t>Deduct 10 Nos 5 A switch</t>
  </si>
  <si>
    <t>Add the cost of 10 Nos Buzer/Bell @ 50.40/Each</t>
  </si>
  <si>
    <t>Add the cost of 10 nos 5A type push switch @ Rs 9.00/ Each</t>
  </si>
  <si>
    <t>Add the cost of 10 nos  15 x 10 x 7.5 cm TW box @ Rs 20.10/Each</t>
  </si>
  <si>
    <t>Rate for 1 point</t>
  </si>
  <si>
    <t>DATA  -  4</t>
  </si>
  <si>
    <t>FAN POINT</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</si>
  <si>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</si>
  <si>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12" PVC Electrical Box (300mm)</t>
  </si>
  <si>
    <t>3 mm thick laminated Hylem sheet</t>
  </si>
  <si>
    <t>MS box  300 x 200 x 75 mm</t>
  </si>
  <si>
    <t>200x150x75 mm=90</t>
  </si>
  <si>
    <t xml:space="preserve">A 200x150x75 mm=0.0825 </t>
  </si>
  <si>
    <r>
      <t>A 300x200x75 mm=0.135m</t>
    </r>
    <r>
      <rPr>
        <vertAlign val="superscript"/>
        <sz val="12"/>
        <rFont val="Helv"/>
        <family val="2"/>
      </rPr>
      <t>2</t>
    </r>
  </si>
  <si>
    <t xml:space="preserve">DATA  - 5 </t>
  </si>
  <si>
    <t>STAIRCASE LIGHT POINT</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</si>
  <si>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</si>
  <si>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 p-72</t>
  </si>
  <si>
    <t>Total for 5 points</t>
  </si>
  <si>
    <t>DATA   - 6</t>
  </si>
  <si>
    <t xml:space="preserve">5 AMPS 5 PIN PLUG SOCKET POINT AT CONVENIENT PLACES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</si>
  <si>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</si>
  <si>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 xml:space="preserve">3 mm thick laminated Hylem sheet </t>
  </si>
  <si>
    <t>5 A 5 pin non - inter locking switch and plug ( flush type ) part - c (I a) + part - d (I a)( Rs. 207/12 + 28.20)</t>
  </si>
  <si>
    <t>SQqm</t>
  </si>
  <si>
    <t>Total for 15 points</t>
  </si>
  <si>
    <t xml:space="preserve">DATA   - 7 </t>
  </si>
  <si>
    <t xml:space="preserve">5 AMPS 5 PIN PLUG SOCKET POINT AT SWITCH BOARD ITSELF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</si>
  <si>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</si>
  <si>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5 A 5 pin non - inter locking switch and plug ( flush type ) part - c (I a) + part - d (I a)( Rs. 207/12 + 28.20) p-72+77</t>
  </si>
  <si>
    <t xml:space="preserve">DATA    - 8 </t>
  </si>
  <si>
    <t>15 AMPS POWER PLUG</t>
  </si>
  <si>
    <r>
      <t xml:space="preserve">Supplying and fixing of </t>
    </r>
    <r>
      <rPr>
        <b/>
        <sz val="12"/>
        <rFont val="Helv"/>
        <family val="2"/>
      </rPr>
      <t>15 Amps 3 pin flush type plug</t>
    </r>
    <r>
      <rPr>
        <sz val="12"/>
        <rFont val="Helv"/>
        <family val="2"/>
      </rPr>
      <t xml:space="preserve"> socket on suitable MS box of 16g thick concealed and covered with 3 mm thick laminated hylem sheet inclusive of all materials, etc., all complete.</t>
    </r>
  </si>
  <si>
    <t>15 Amps 3 pin flush type plug socket</t>
  </si>
  <si>
    <t xml:space="preserve">3 mm thick laminated hulem sheet </t>
  </si>
  <si>
    <t>Labour charges and sundries such as cement, screws etc.,</t>
  </si>
  <si>
    <t>Rate for Each</t>
  </si>
  <si>
    <t>DATA    - 9</t>
  </si>
  <si>
    <t>LIGHT POINT WITH CEILING ROSE FOR ADMINISTRATIVE BLOCKS AND COMMUNITY CENTRE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</si>
  <si>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</si>
  <si>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Hylem sheet 3 mm thick with lamination </t>
  </si>
  <si>
    <t>5 amps flush type switch</t>
  </si>
  <si>
    <t>19 mm PVC junction box</t>
  </si>
  <si>
    <t>DATA    -   10</t>
  </si>
  <si>
    <t>LIGHT POINT WITH BAKELITE BATTERN TYPE HOLDER FOR ADMINISTRATIVE BLOCKS AND COMMUNITY CENTRE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</si>
  <si>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</si>
  <si>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</si>
  <si>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Deduct cost of ceiling rose 6 nos</t>
  </si>
  <si>
    <r>
      <t>Add cost of Bakelite battern type holders 6 nos @</t>
    </r>
    <r>
      <rPr>
        <sz val="12"/>
        <color indexed="10"/>
        <rFont val="Helv"/>
        <family val="2"/>
      </rPr>
      <t xml:space="preserve"> 16.35/E</t>
    </r>
    <r>
      <rPr>
        <sz val="12"/>
        <rFont val="Helv"/>
        <family val="2"/>
      </rPr>
      <t>ach9 (New item 22-p-77)</t>
    </r>
  </si>
  <si>
    <t>Total for 6 points</t>
  </si>
  <si>
    <t>For 1 points</t>
  </si>
  <si>
    <t>DATA   - 11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</si>
  <si>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</si>
  <si>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PVC junction box 19 mm</t>
  </si>
  <si>
    <t>DATA  - 12 a</t>
  </si>
  <si>
    <t>STAIRCASE LIGHT POINT FOR ADMINISTRATIVE BLOCKS AND COMMUNITY CENTRE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</si>
  <si>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</si>
  <si>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5 A flush type two way switches ( Staircase switch )</t>
  </si>
  <si>
    <t>Total for 3 points</t>
  </si>
  <si>
    <t>Part   - B</t>
  </si>
  <si>
    <t>DATA   - 12</t>
  </si>
  <si>
    <t>DATA   - 14</t>
  </si>
  <si>
    <t>2 X1.5 Sqmm in fully concealed PVC conduit</t>
  </si>
  <si>
    <t>2 X 6 Sq 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</si>
  <si>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</si>
  <si>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</si>
  <si>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6 sqmm copper PVC insulated unsheathed single core cable</t>
  </si>
  <si>
    <t>2.5 sqmm copper PVC insulated unsheathed single core cable for continuous earth connection</t>
  </si>
  <si>
    <t>Total for 90 Metres</t>
  </si>
  <si>
    <t>Rate for 1 Rmt</t>
  </si>
  <si>
    <t>DATA   - 13</t>
  </si>
  <si>
    <t>2 X 2.5 Sq mm in fully concealed PVC conduit</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</si>
  <si>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</si>
  <si>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</si>
  <si>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Add 180 mt 2.5 Sqmm copper PVC insulated unsheathed S.C. cable p-86, it- 2 c</t>
  </si>
  <si>
    <t>Deduct 1.5 Sqmm copper PVC insulated unsheathed S.C. cable</t>
  </si>
  <si>
    <t>Total for 90 metres</t>
  </si>
  <si>
    <t>2 X 4 Sq mm in fully concealed PVC conduit</t>
  </si>
  <si>
    <t>4 sqmm copper PVC insulated unsheathed single core cable,P-86 it-2-d</t>
  </si>
  <si>
    <t>DATA   - 15</t>
  </si>
  <si>
    <t>4 X 4 Sq mm in fully concealed PVC conduit</t>
  </si>
  <si>
    <t>4 X 6 Sq mm in fully concealed PVC conduit</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</si>
  <si>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</si>
  <si>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</si>
  <si>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sqmm copper PVC insulated unsheathed single core cable,P-79 it-2-d</t>
  </si>
  <si>
    <t>25mm dia rigid PVC pipe heavy duty with ISI heavy duty with ISI mark part -I 1c P-89, Part -I</t>
  </si>
  <si>
    <t>25mm dia rigid PVC pipe heavy duty with ISI heavy duty with ISI mark</t>
  </si>
  <si>
    <t>Labour charges ( 1.5 x Labour charges + Labour for ducting - sub data - A)</t>
  </si>
  <si>
    <t>( 1.5  x 5914) - ( (888 +1232 ) / 2)</t>
  </si>
  <si>
    <t>4 X 10 Sq mm in fully concealed PVC conduit</t>
  </si>
  <si>
    <t>Part   - C</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</si>
  <si>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</si>
  <si>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t>
  </si>
  <si>
    <t>DATA   - 16</t>
  </si>
  <si>
    <t>WATER TIGHT BULK HEAD FITTING</t>
  </si>
  <si>
    <t>Supplying and fixing of water tight bulk head fittings with guard suitable for 60 / 100 watts including necessary connections, cost of materials, etc., All complete.</t>
  </si>
  <si>
    <t>Bulk head fittings P-77 it-22</t>
  </si>
  <si>
    <t>Total For 1 No</t>
  </si>
  <si>
    <t>Labour Charges Data</t>
  </si>
  <si>
    <t>Wiremen Grade II</t>
  </si>
  <si>
    <t xml:space="preserve">Helper </t>
  </si>
  <si>
    <t>Total for 15 Nos</t>
  </si>
  <si>
    <t>DATA   - 17</t>
  </si>
  <si>
    <t>16 AMPS DOUBLE POLE MAIN SWITCH ON TEAK WOOD BOARD TOP MES SERVICE CONNECTION / MOTOR PUMP( SINGLE PHASE ) SET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</si>
  <si>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</si>
  <si>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</si>
  <si>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 (as per PWD Elec. Data)</t>
  </si>
  <si>
    <t>Sundries for TW plugs,screws, wire and earth connection etc.,</t>
  </si>
  <si>
    <t>Wiremen Grade I</t>
  </si>
  <si>
    <t>Total for 4 Nos</t>
  </si>
  <si>
    <t>DATA   - 19</t>
  </si>
  <si>
    <t>32 AMPS DOUBLE POLE MAIN SWITCH ON TEAK WOOD BOARD TOP MES SERVICE CONNECTION / MOTOR PUMP( SINGLE PHASE ) SET</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</si>
  <si>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</si>
  <si>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</si>
  <si>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TW board of size 31x20x6 cm with brass hinge screw hooks well varnished</t>
  </si>
  <si>
    <t>DATA   - 18</t>
  </si>
  <si>
    <t>Supply and fixing 4 way 250 volt single phase with neutral link metalic distribution board on suitable Teak wood board etc., all complete including connections.</t>
  </si>
  <si>
    <t>4 way 16 amps, way 250 volts single phase and neutral link metalic distribution board p-81 7a</t>
  </si>
  <si>
    <t>T.W board of size 31 x 20x 6 cm with well varnished</t>
  </si>
  <si>
    <t>Labour charges  as per Data No 17</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</si>
  <si>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</si>
  <si>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</si>
  <si>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</si>
  <si>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TW board of size 46 x31 x 6 cm with brass hinges hooks screws  well varnished</t>
  </si>
  <si>
    <t>Sundries screw TW plugs screws wire and earth connections.</t>
  </si>
  <si>
    <t>Wiremen  Grade I</t>
  </si>
  <si>
    <t>DATA   - 22</t>
  </si>
  <si>
    <r>
      <t xml:space="preserve">Supplying and fixing of 32 amps triple pole main switch with fuse and neutral link </t>
    </r>
    <r>
      <rPr>
        <sz val="12"/>
        <rFont val="Helv"/>
        <family val="2"/>
      </rPr>
      <t>o</t>
    </r>
    <r>
      <rPr>
        <sz val="12"/>
        <rFont val="Helv"/>
        <family val="2"/>
      </rPr>
      <t>n a suitable well varnished teak wood board including necessary interconnection and earth connection cost of all materials, etc., all complete.</t>
    </r>
  </si>
  <si>
    <t>32 Amps triple pole main switch with fuse and neutral link</t>
  </si>
  <si>
    <t>DATA   - 20</t>
  </si>
  <si>
    <t>THREE PHASE DISTRIBUTION BOARD WITH 4 WAY PHASE AND 3 AMPS/WAY FUSE AND NEUTRAL LINK FOR MES SERVICE CONNECTION ( 6 IN 1  BLOCKS )</t>
  </si>
  <si>
    <t>Supplying and fixing of 1 No three phase distribution board with 4 way/ phase and 30 A/way with neutral link on a suitable well varnished teak wood plank including necessary interconnections and earth connections cost of all materials, etc., all complete.</t>
  </si>
  <si>
    <t>Three phase distribution board with 4 way/phase and 32 A / Way with fuse and neutral link. P-81 8d</t>
  </si>
  <si>
    <t>TW plank of size 750 x 450 x 12 mm thick</t>
  </si>
  <si>
    <t>Sundries such as screws plugs, cement, wire and earth connection.</t>
  </si>
  <si>
    <t>TW plank of size 750 x 450 x 12 mm thick(99600+7460)</t>
  </si>
  <si>
    <t>DATA   - 24</t>
  </si>
  <si>
    <t>THREE PHASE DISTRIBUTION BOARD WITH 6 WAY PHASE AND 30 AMPS / WAY WITH FUSE AND NEUTRAL LINK ON SUITABLE TW PLANK TOP MES CONNECTION BOARD (FOR 12 IN 1 BLOCKS)</t>
  </si>
  <si>
    <t>( For 12 flats common &amp; pump )</t>
  </si>
  <si>
    <t>As per above data</t>
  </si>
  <si>
    <t>Add for 6 way TPDB 32A/way p-81, 8e</t>
  </si>
  <si>
    <t>Less 4 way TPDB 32 A/way p-81, 8d</t>
  </si>
  <si>
    <t>FIXING OF TUBE LIGHT FITTINGS ON WALL / CEILING</t>
  </si>
  <si>
    <t>Charges for assembling and fixing of flouresent tubular lamp fittings of different types ( supplied by the department at free of cost ) with necessary teak wood round block of 75 mm dia 40 mm deep on walls/ ceiling including cost of materials, etc., all complete.</t>
  </si>
  <si>
    <t xml:space="preserve">TW round block P-91 Part -J -X- F </t>
  </si>
  <si>
    <t>0.5 Sqmm copper twin core flex wire</t>
  </si>
  <si>
    <t>100 Rmts</t>
  </si>
  <si>
    <t>sundries such as screws, nails etc.,</t>
  </si>
  <si>
    <t>Labour charges for assembling and fixing</t>
  </si>
  <si>
    <t>Labour charges for 16 Nos</t>
  </si>
  <si>
    <t>Total for 16 Nos</t>
  </si>
  <si>
    <t>DATA   - 23</t>
  </si>
  <si>
    <t>FIXING OF TUBE FITTINGS SUSPENDED FROM CEILING</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</si>
  <si>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</si>
  <si>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Conduit pipe 19 mm (MS) (heavy gauge)p-81 Part-H 1-b</t>
  </si>
  <si>
    <t>Round block 75 mm dia 40 mm deep</t>
  </si>
  <si>
    <t xml:space="preserve">Sundries such as ball and socket arrangement, choke, nails, screws, etc., </t>
  </si>
  <si>
    <t>Total for 10  Nos</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</si>
  <si>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</si>
  <si>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</si>
  <si>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</si>
  <si>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</si>
  <si>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</si>
  <si>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</si>
  <si>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</si>
  <si>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</si>
  <si>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Supplying and laying of 8 SWG GI wire on walls/below ground level with necessary 'U' nails/ earth work excavation and re- filling etc., including cost of all materials, all complete.</t>
  </si>
  <si>
    <t xml:space="preserve">8 SWG GI wire  (Part- E, 3 -c P-84) </t>
  </si>
  <si>
    <t xml:space="preserve"> 'U' nails (SD-74 ,17-18)</t>
  </si>
  <si>
    <t>Tatal for 90 Rmts</t>
  </si>
  <si>
    <t>For 1 Rmt</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</si>
  <si>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</si>
  <si>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</si>
  <si>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</si>
  <si>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</si>
  <si>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</si>
  <si>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</si>
  <si>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</si>
  <si>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GI reducer 40x25mm</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</si>
  <si>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</si>
  <si>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</si>
  <si>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</si>
  <si>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</si>
  <si>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</si>
  <si>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</si>
  <si>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</si>
  <si>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</si>
  <si>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</si>
  <si>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Charges for fixing single phase RCCB/ELCB ( to be supplied by the department free of cost ) on suitable well varnished teak wood plank with a necessary inter   connection and earth connections using copper cable including cost of all materials, etc., all complete.</t>
  </si>
  <si>
    <t>TW plank 200 x 150 x 20 mm</t>
  </si>
  <si>
    <t>Sundries such as TW plugs, screws, cement, PVC insulated unsheathed copper wires and earth connections.</t>
  </si>
  <si>
    <t xml:space="preserve">TW Plank </t>
  </si>
  <si>
    <t>Wire men Grade I</t>
  </si>
  <si>
    <t>Total for 10 units</t>
  </si>
  <si>
    <t>Rate for 1 unit</t>
  </si>
  <si>
    <t>DATA   - 28</t>
  </si>
  <si>
    <r>
      <t xml:space="preserve">Charges for fixing single phase RCCB/ELCB ( to be supplied by the department at free of cost ) on fully concealed suitable </t>
    </r>
    <r>
      <rPr>
        <b/>
        <sz val="12"/>
        <rFont val="Helv"/>
        <family val="2"/>
      </rPr>
      <t>12" PVC Electrical Box (300mm)</t>
    </r>
    <r>
      <rPr>
        <sz val="12"/>
        <rFont val="Helv"/>
        <family val="2"/>
      </rPr>
      <t xml:space="preserve"> with a necessary inter connection and earth connections using copper cable including cost of all materials, re- doing the disturbed portion etc., all complete.</t>
    </r>
  </si>
  <si>
    <t>Sundries such as cement, 1.5Sqmm copper PVC insulated unsheathed wire &amp; earth connections etc., all complete.</t>
  </si>
  <si>
    <t>Total for 10 Nos</t>
  </si>
  <si>
    <t>For 1 No</t>
  </si>
  <si>
    <t>DATA   - 29</t>
  </si>
  <si>
    <t>ELCB ( 3 PHASE ) on surface teak wood plank</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</si>
  <si>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</si>
  <si>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</si>
  <si>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</si>
  <si>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 xml:space="preserve">ELCB (3 phase ) inconcealed MS Box </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</si>
  <si>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</si>
  <si>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DATA   - 31</t>
  </si>
  <si>
    <t>Supplying and delivery of Single phase ELCB/RCCB</t>
  </si>
  <si>
    <t>DATA   - 32</t>
  </si>
  <si>
    <t>Supplying and delivery of Three phase ELCB/RCCB</t>
  </si>
  <si>
    <r>
      <t xml:space="preserve">32 Amps rating </t>
    </r>
    <r>
      <rPr>
        <b/>
        <sz val="12"/>
        <rFont val="Helv"/>
        <family val="2"/>
      </rPr>
      <t xml:space="preserve">Three phase </t>
    </r>
    <r>
      <rPr>
        <sz val="12"/>
        <rFont val="Helv"/>
        <family val="2"/>
      </rPr>
      <t>ELCB with 20 to 30 MA sensitivity (P-94  10-a)</t>
    </r>
  </si>
  <si>
    <t>DATA   - 33</t>
  </si>
  <si>
    <t>1  no of 32 amps Fuse unit</t>
  </si>
  <si>
    <t xml:space="preserve">External Installation </t>
  </si>
  <si>
    <t>Supplying and fixing 1 No 30 Amps 500 volts grade/well porcelin fuse unit on suitable teak wood plank to be fixed on the top of the pole / EB street poles with necessary clamps and including cost of materials etc., all complete.</t>
  </si>
  <si>
    <t>63 Amps 500 V fuse units</t>
  </si>
  <si>
    <t>16 Amps 500 V fuse units</t>
  </si>
  <si>
    <t>100 Amps 500 V fuse units</t>
  </si>
  <si>
    <t>200 Amps 500 V fuse units</t>
  </si>
  <si>
    <t>32 Amps 500 V fuse units</t>
  </si>
  <si>
    <t>TW plank 150 x 100 x 20 mm</t>
  </si>
  <si>
    <t>Sundries such as MS clamps screws etc.,</t>
  </si>
  <si>
    <t xml:space="preserve">TW plank 150 x 100 x 20  </t>
  </si>
  <si>
    <t>Total for 8 Nos</t>
  </si>
  <si>
    <t>DATA   - 34</t>
  </si>
  <si>
    <t>3 Nos of Fuse units at EB pole</t>
  </si>
  <si>
    <t>Supplying and fixing 3 No 32 Amps 500 volts grade/ well porcelin fuse unit on suitable teak wood plank to be fixed on the top of the  pole / EB street poles with necessary clamps and including cost of materials etc., all complete.</t>
  </si>
  <si>
    <t>63 AMPS</t>
  </si>
  <si>
    <t>DATA   - 35</t>
  </si>
  <si>
    <t>EB service connection Board for single phase</t>
  </si>
  <si>
    <t>Supplying and fixing 1 No of 375 x 300 x 20 m   thick TW plank well varnished with 1 No 15 amps 250 volts fuse unit and 1 No of copper earth plate of suitable size bolts and nuta on walls for EB service connections including cost of all materials, etc., all complete.</t>
  </si>
  <si>
    <t>16 Amps 250 Volts fuse unit (P-81  6-a</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</si>
  <si>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</si>
  <si>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</si>
  <si>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</si>
  <si>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</si>
  <si>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</si>
  <si>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</si>
  <si>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</si>
  <si>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</si>
  <si>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Single phase ELCB (ISI 25 Amps 30 MA)</t>
  </si>
  <si>
    <t>Labour charges ( as per data No:28)</t>
  </si>
  <si>
    <t>Rate for Single  phase ELCB</t>
  </si>
  <si>
    <t>Supplying and fixing of Three phase ELCB</t>
  </si>
  <si>
    <t>Labour charges ( as per data No:30)</t>
  </si>
  <si>
    <t>Rate for Three phase ELCB</t>
  </si>
  <si>
    <t>DATA   - 36</t>
  </si>
  <si>
    <t>EB service connection Board for Three phase</t>
  </si>
  <si>
    <r>
      <t xml:space="preserve">Supplying and fixing </t>
    </r>
    <r>
      <rPr>
        <b/>
        <sz val="12"/>
        <rFont val="Helv"/>
        <family val="2"/>
      </rPr>
      <t xml:space="preserve">1 No of 450 x 375 x 20 m   thick TW plank </t>
    </r>
    <r>
      <rPr>
        <sz val="12"/>
        <rFont val="Helv"/>
        <family val="2"/>
      </rPr>
      <t>well varnished with 3 No 30 amps 500 volts fuse unit and 1 No of copper earth plate of suitable size bolts and nuta on walls for EB service connections including cost of all materials, etc., all complete.</t>
    </r>
  </si>
  <si>
    <t>32 Amps 500 Volts fuse unit</t>
  </si>
  <si>
    <t xml:space="preserve">TW plank 450 x 375 x 20 mm </t>
  </si>
  <si>
    <t>TW plank 450 x 375 x 20 mm</t>
  </si>
  <si>
    <t>Total for 3 Nos</t>
  </si>
  <si>
    <t>DATA   - 37</t>
  </si>
  <si>
    <t>2 x 4 Sqmm Copper PVC insulated unsheathed single core 1 KV grade cable for EB service single phase.</t>
  </si>
  <si>
    <t>2 x 2.5 Sqmm Copper PVC insulated unsheathed single core 1 KV grade cable for EB service single phase.</t>
  </si>
  <si>
    <t>4 Sqmm copper PVC insulated unsheathed single core cableP-79 2 d</t>
  </si>
  <si>
    <t>2.5 Sqmm copper PVC insulated unsheathed single core cable</t>
  </si>
  <si>
    <t>PVC reel insulater</t>
  </si>
  <si>
    <t>GI wire for fixing reel insulater</t>
  </si>
  <si>
    <t>Sundries for masonry works clamps bolts and nuts etc.,</t>
  </si>
  <si>
    <t>Total for 90 Rmt</t>
  </si>
  <si>
    <t>Electrician Maistry</t>
  </si>
  <si>
    <t>DATA   - 38</t>
  </si>
  <si>
    <t>SUPPLY OF GI PIPES FOR EB SERVICE               ( SINGLE PHASE )</t>
  </si>
  <si>
    <t>Supply of 25 mm dia GI pipe "B"class ( for the above Data ) for passing through from top of Houses to the MES Board to meet the EB requirement.</t>
  </si>
  <si>
    <t>GI pipe of 25 mm dia  (P-46 118 V)</t>
  </si>
  <si>
    <t>Rate Each Rmt</t>
  </si>
  <si>
    <t>DATA   - 39</t>
  </si>
  <si>
    <t>Supply of MS angle for EB service ( single phase )</t>
  </si>
  <si>
    <t>Supply of MS angles 40 x 40 x 6 mm for above data to support the above GI pipe and fixing the GI stay wire service connection wires for above data</t>
  </si>
  <si>
    <t>40 x 40 x 6 mm MS angle (P-87  part -G)</t>
  </si>
  <si>
    <t>(3.25 Kg)</t>
  </si>
  <si>
    <t>DATA   - 40</t>
  </si>
  <si>
    <t>4 x 4  Sq mm copper PVC insulated unsheathed single core cable for 3 phase EB service connection</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</si>
  <si>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</si>
  <si>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4 Sqmm copper PVC insulated unsheathed single core cable</t>
  </si>
  <si>
    <t>Labour charges 1.5 times dataNo 42</t>
  </si>
  <si>
    <t>DATA   - 41</t>
  </si>
  <si>
    <t>SUPPLY OF GI PIPES FOR EB SERVICE               ( THREE PHASE )</t>
  </si>
  <si>
    <t>Supply of 40 mm dia GI pipe "B"class ( for the above Data ) for passing through from top of Houses to the MES Board to meet the EB requirement.</t>
  </si>
  <si>
    <t>DATA   - 42</t>
  </si>
  <si>
    <t>Laying of U.G. Cable below Ground Level</t>
  </si>
  <si>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family val="2"/>
      </rPr>
      <t>1/2</t>
    </r>
    <r>
      <rPr>
        <sz val="12"/>
        <rFont val="Helv"/>
        <family val="2"/>
      </rPr>
      <t>/4 core</t>
    </r>
  </si>
  <si>
    <t>Earth work excavation and refilling(63.60+63.6+(22.20/3)</t>
  </si>
  <si>
    <t>SAND FOR MORTAR sl.100  p19</t>
  </si>
  <si>
    <t>Bricks p15/ 5a</t>
  </si>
  <si>
    <t>DATA   - 44</t>
  </si>
  <si>
    <t>Fixing of UG cables on Walls / Ceiling</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</si>
  <si>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</si>
  <si>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</si>
  <si>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</si>
  <si>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</si>
  <si>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</si>
  <si>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</si>
  <si>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</si>
  <si>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</si>
  <si>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</si>
  <si>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Specification for Flurescent Tubular lamp street light fittings</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</si>
  <si>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</si>
  <si>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</si>
  <si>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</si>
  <si>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</si>
  <si>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</si>
  <si>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</si>
  <si>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Fittings P-74 /6 b, c/92 c and a</t>
  </si>
  <si>
    <t>MV/SV lamps P-74/6 b</t>
  </si>
  <si>
    <t>Total Rs</t>
  </si>
  <si>
    <t>DATA   - 48</t>
  </si>
  <si>
    <t>Fixing of Tube light street light fitting</t>
  </si>
  <si>
    <t>Charges for fixing flurescent tubular lamp street light fittings ( all types) in the existing street poles with a required GI pipes 'B' class and accessories ( street light fittings alone will be supplied departmentally at free of cost ).</t>
  </si>
  <si>
    <t>Supply and  Fixing of 36 W  CFL street light fitting</t>
  </si>
  <si>
    <t xml:space="preserve">Charges for fixing 36 W CFL lamp street light fittings ( all types) in the existing street pole/wall with  required GI pipe 'B' class and accessories </t>
  </si>
  <si>
    <t>Back lamp with bolts &amp; nuts</t>
  </si>
  <si>
    <t>25 mm dia GI 'B' class pipe</t>
  </si>
  <si>
    <t>16 Amps 500 v fuse unit</t>
  </si>
  <si>
    <t>TW plank for fixing the fuse unit 150 x 100 x 20 mm</t>
  </si>
  <si>
    <t>2.5 Sqmm PVC insulated unsheathed copper cable</t>
  </si>
  <si>
    <t>Labour charges for fixing the street light fitting with the required accessories in the E.B pole including connection etc., complete.</t>
  </si>
  <si>
    <t>Sundries for painting the GI pipes, MS clamps, screws, etc., complete in all respects.</t>
  </si>
  <si>
    <t>Labour charges for 3 Nos</t>
  </si>
  <si>
    <t>TW plank if 150 x 100 x 20 mm</t>
  </si>
  <si>
    <t>Street light Fittings (single)</t>
  </si>
  <si>
    <t>36 W CFL Street light Fittings (single)</t>
  </si>
  <si>
    <t>CFL Tube light fittings with Lamp</t>
  </si>
  <si>
    <t>DATA   - 47</t>
  </si>
  <si>
    <t>Charges for fixing Mercury, Sodium Vapour lamp street light fittings ( all types ) in the existing pole with required GI pipes 'B' class and accessories ( Street light fittings alone will be supplied departmentally at free of cost ).</t>
  </si>
  <si>
    <t>Pair</t>
  </si>
  <si>
    <t>Back clamps with bolts and nuts</t>
  </si>
  <si>
    <t>15 Amps 500 V fuse unit</t>
  </si>
  <si>
    <t xml:space="preserve">TW plank for fixing the fuse unit of 150 x 100 x 20 mm </t>
  </si>
  <si>
    <t>Street light service connection</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</si>
  <si>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</si>
  <si>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For TNEB Meter</t>
  </si>
  <si>
    <t>MS box 300 x 200 x 100mm with door and lock and key arrangements with necessary MS clamps to bolts &amp; nuts with washers. P70</t>
  </si>
  <si>
    <t xml:space="preserve">TW plank 600 x 225 x 20 mm </t>
  </si>
  <si>
    <t>30 Amps 500 v fuse units</t>
  </si>
  <si>
    <t>Earth plate with brass bolts &amp; nuts with washers</t>
  </si>
  <si>
    <t>20 mm dia 'B' class GI pipe</t>
  </si>
  <si>
    <t>For control Gear</t>
  </si>
  <si>
    <t>M.S box 600 x 225 mm with door and lock and key arrangement and MS clamp with bolts &amp; nuts with washers.</t>
  </si>
  <si>
    <t>40 A single pole MCB isolator</t>
  </si>
  <si>
    <t>MS enclousure for MCB</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</si>
  <si>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</si>
  <si>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</si>
  <si>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</si>
  <si>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</si>
  <si>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</si>
  <si>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</si>
  <si>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</si>
  <si>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</si>
  <si>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Hylem sheet</t>
  </si>
  <si>
    <t xml:space="preserve"> Labour charges for fixing including necessary materials</t>
  </si>
  <si>
    <t>DATA   - 51</t>
  </si>
  <si>
    <r>
      <t xml:space="preserve">Supplying and concealing </t>
    </r>
    <r>
      <rPr>
        <b/>
        <sz val="12"/>
        <rFont val="Helv"/>
        <family val="2"/>
      </rPr>
      <t>TV/Telephone socket</t>
    </r>
    <r>
      <rPr>
        <sz val="12"/>
        <rFont val="Helv"/>
        <family val="2"/>
      </rPr>
      <t xml:space="preserve"> with top pin with suitable TW box fully concealed and covered with 3 mm thick Hylem sheet etc., all complete.</t>
    </r>
  </si>
  <si>
    <t>Sqmm</t>
  </si>
  <si>
    <t>TV/Telephone socket</t>
  </si>
  <si>
    <t>Labour charges including fixing etc., all complete.</t>
  </si>
  <si>
    <t>Rate for each</t>
  </si>
  <si>
    <t>DATA   - 52</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</si>
  <si>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</si>
  <si>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Base plate 45 cm x45 cm x 6mm thick</t>
  </si>
  <si>
    <t>MS box 8" x 6" with cover p-87 Fc</t>
  </si>
  <si>
    <t>conrete 1:2:4 using 20 mm HBSJ ( 0.45 x 1.5 mt)</t>
  </si>
  <si>
    <t xml:space="preserve">Transportation charges welding GI reducer all incidential charges, painting etc., all complete.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</si>
  <si>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</si>
  <si>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</si>
  <si>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</si>
  <si>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</si>
  <si>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Exhaust fan of 300 mm dia ( Part- B 2 b p-74</t>
  </si>
  <si>
    <r>
      <t xml:space="preserve">Clamp fixing by cheche screws bolts and nuts including connections ( </t>
    </r>
    <r>
      <rPr>
        <b/>
        <sz val="12"/>
        <rFont val="Helv"/>
        <family val="2"/>
      </rPr>
      <t>as per SD-114, Elec Data 2017-18)</t>
    </r>
  </si>
  <si>
    <t>Add 1 % sundries</t>
  </si>
  <si>
    <t>Labour charges for fixing</t>
  </si>
  <si>
    <t xml:space="preserve">Rate for each </t>
  </si>
  <si>
    <t>For 4 Nos</t>
  </si>
  <si>
    <t>DATA   - 57</t>
  </si>
  <si>
    <t>Exhaust fan of 225 mm  dia ( 9 ") sweep</t>
  </si>
  <si>
    <t>Exhaust fan of 225 mm dia ( Part- B 2 a p-74</t>
  </si>
  <si>
    <t>Clamp fixing by cheche screws bolts and nuts including connections</t>
  </si>
  <si>
    <t>Supply of ceiling fan 1200mm</t>
  </si>
  <si>
    <t>Cost of electronic regulator</t>
  </si>
  <si>
    <t>Tube light -  Box type(36W)</t>
  </si>
  <si>
    <t>Tube light -  Box type(40W)</t>
  </si>
  <si>
    <t>4' tube light fitting with \electronic ballast</t>
  </si>
  <si>
    <t>slim tube light 36 w</t>
  </si>
  <si>
    <t>slim tube light 40 w</t>
  </si>
  <si>
    <t>Labour charges (as per Data 22 )</t>
  </si>
  <si>
    <t>Tube light -  Patty type(36W)</t>
  </si>
  <si>
    <t>Tube light -  Patty type</t>
  </si>
  <si>
    <t>OPEN WIRING IN PVC PIPE</t>
  </si>
  <si>
    <t>Open wiring for Light point with ceiling rose for flats/ houses</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</si>
  <si>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</si>
  <si>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</si>
  <si>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</si>
  <si>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</si>
  <si>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Brass screws (40mm x No.6) P-74 - Item No.1c</t>
  </si>
  <si>
    <t>19 mm MS clamp (Conduit saddles) P-75 It-3(b)</t>
  </si>
  <si>
    <t>TW switch  box  100 x 100 x 75 mm</t>
  </si>
  <si>
    <t>TW junction  box  150 x 100 x 75 mm</t>
  </si>
  <si>
    <t>3 mm thick laminated Hylem sheet (10X0.1X0.1)</t>
  </si>
  <si>
    <t>Litre</t>
  </si>
  <si>
    <t>Paint SEP</t>
  </si>
  <si>
    <t>Sundries 1% on materials</t>
  </si>
  <si>
    <t>Light point with bakelite batern type holder for flats/ houses(Open wiring)</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</si>
  <si>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</si>
  <si>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POINT WIRING FOR CALLING BELL / BUZZER WITH PUSH SWITCH FOR ALL TYPE OF BUILDING (OPEN WIRING)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</si>
  <si>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</si>
  <si>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Add the cost of 10 nos 5A type push switch @ Rs 17.25/ Each</t>
  </si>
  <si>
    <t>Deduct cost of TW Box 10X10 @ 16.70/each</t>
  </si>
  <si>
    <t>Deduct cost of Hylem sheet</t>
  </si>
  <si>
    <t>Add cost of TW box 12" x 8" x3" for switch and regulator 10 nos  @ Rs 84.20 / Each</t>
  </si>
  <si>
    <t>Hylem sheet 0.60 Sq m@ 685/Sq m</t>
  </si>
  <si>
    <t>Add Sundries 1%</t>
  </si>
  <si>
    <t>STAIRCASE LIGHT POINT FOR ADMINISTRATIVE BLOCKS AND COMMUNITY CENTRE (Open wiring)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</si>
  <si>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</si>
  <si>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</si>
  <si>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</si>
  <si>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5 AMPS 5 PIN PLUG SOCKET POINT AT CONVENIENT PLACES (OPEN WIRING)</t>
  </si>
  <si>
    <t>5 A 5 pin non - inter locking switch and plug ( flush type )</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</si>
  <si>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</si>
  <si>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gross</t>
  </si>
  <si>
    <t>MS saddles 19mm</t>
  </si>
  <si>
    <t>TW plugs 38x25x19mm</t>
  </si>
  <si>
    <t>1000Nos</t>
  </si>
  <si>
    <t>Brass screws 38mm</t>
  </si>
  <si>
    <t>2/3</t>
  </si>
  <si>
    <t>2 X 2.5 Sq mm in fully concealed PVC conduit (open wiring)</t>
  </si>
  <si>
    <t xml:space="preserve">Total as per Data No. </t>
  </si>
  <si>
    <t>Add 180 mt 2.5 Sqmm copper PVC insulated unsheathed S.C. cable</t>
  </si>
  <si>
    <t>Cement &amp; Steel</t>
  </si>
  <si>
    <t>Rough stone, Bond stone, cut stone, HBG, Sand, gravel, surkhi, earth, crushed stone etc.</t>
  </si>
  <si>
    <t>Country
Bricks,</t>
  </si>
  <si>
    <t>Mangalore tiles,(1000nos.) machine pressed tiles, (2000nos)
Hydraulic pressed tiles, Mosaic tiles(1500 nos)</t>
  </si>
  <si>
    <t>Chamber bricks, Stock bricks, Fly ash bricks</t>
  </si>
  <si>
    <t>Lime stone, Laterite,brick jelly, wood work, pond ash(wet/Dry), Stone dust etc.</t>
  </si>
  <si>
    <t>(1MT)</t>
  </si>
  <si>
    <t>(1Cum)</t>
  </si>
  <si>
    <t>(1000 Nos)</t>
  </si>
  <si>
    <t>0-10</t>
  </si>
  <si>
    <t>10-20</t>
  </si>
  <si>
    <t>20-40</t>
  </si>
  <si>
    <t>40-80</t>
  </si>
  <si>
    <t>&gt;80</t>
  </si>
  <si>
    <t>Metal</t>
  </si>
  <si>
    <t xml:space="preserve">                                                                                                                                                                                                                                                                                                                                                </t>
  </si>
  <si>
    <t>Br jelly</t>
  </si>
  <si>
    <t>Sand</t>
  </si>
  <si>
    <t>Mosaic</t>
  </si>
  <si>
    <t>Lime</t>
  </si>
  <si>
    <t xml:space="preserve">Total km </t>
  </si>
  <si>
    <t>Rough &amp; Bond stone</t>
  </si>
  <si>
    <t>Wood</t>
  </si>
  <si>
    <t>lead</t>
  </si>
  <si>
    <t>Stone dust</t>
  </si>
  <si>
    <t>Steel</t>
  </si>
  <si>
    <t>well gravel</t>
  </si>
  <si>
    <t>TNHB ELECTRICAL DATA 2019-2020</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</si>
  <si>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Times New Roman"/>
        <family val="1"/>
      </rPr>
      <t>FAN POINT</t>
    </r>
    <r>
      <rPr>
        <sz val="12"/>
        <rFont val="Times New Roman"/>
        <family val="1"/>
      </rPr>
      <t xml:space="preserve"> FOR ADMINISTRATIVE BLOCKS AND COMMUNITY CENTRE controlled by 5 amps flush type switch including citcuit mains, cost of all materials, specials, etc., all complete,</t>
    </r>
    <r>
      <rPr>
        <b/>
        <sz val="12"/>
        <rFont val="Times New Roman"/>
        <family val="1"/>
      </rPr>
      <t>(Open wiring)</t>
    </r>
  </si>
  <si>
    <t>1.5 sqmm copper PVC insulated unsheathed single core cable (P-125 it-2/b)</t>
  </si>
  <si>
    <t>PVC rigid conduit pipe 19 mm / 20mm heavy duty with ISI mark p-128 part -I IX-1 b</t>
  </si>
  <si>
    <t>19 mm PVC rigid bends - p-128 part -I IX-2b</t>
  </si>
  <si>
    <t>19 mm PVC rigid tees (p-129 4b, 16.05/12=1.34)</t>
  </si>
  <si>
    <t>MS joint box 150 x 100 x 75 mm p-126 vi-b part -f</t>
  </si>
  <si>
    <t>19 mm PVC saddles / p 129 ,  5  b</t>
  </si>
  <si>
    <t>Hylem sheet 3 mm thick with lamination p-129 it-7a part-I</t>
  </si>
  <si>
    <t>5 amps flush type switch p-118, Part-C,1 a ( 194.5/12=16.21)</t>
  </si>
  <si>
    <t>Ceiling rose p-116 it-27</t>
  </si>
  <si>
    <t>Teakwood plugs 1.5"x1"x2"</t>
  </si>
  <si>
    <t>19 mm PVC junction box  ( p-129,6-b( 43.25/12=3.6)</t>
  </si>
  <si>
    <t>MS box  150 x 100 x 75 mm p-125 vi-b pat -f</t>
  </si>
  <si>
    <t>3 mm thick laminated Hylem sheet p-128 it-7a part-I</t>
  </si>
  <si>
    <t>Brass screws  ( 40 mm x 6 no) P-85 Part-L c</t>
  </si>
  <si>
    <t>1.5 sqmm copper PVC insulated unsheathed single core cable (P-123 it-2/b)</t>
  </si>
  <si>
    <t>MS box  12"X8" mm(5 sided) covered with 3mm thick Hylem sheet [sd 12]</t>
  </si>
  <si>
    <t xml:space="preserve"> Electrical Maistry ( p-11 it 49/106)</t>
  </si>
  <si>
    <t>Wiremen Grade  - I ( p-9 it-100)</t>
  </si>
  <si>
    <t>Wiremen Grade  - II ( p-11 it-101)</t>
  </si>
  <si>
    <t>Electrical HELPERp-12 it-102</t>
  </si>
  <si>
    <r>
      <t>Mason II</t>
    </r>
    <r>
      <rPr>
        <vertAlign val="superscript"/>
        <sz val="12"/>
        <rFont val="Times New Roman"/>
        <family val="1"/>
      </rPr>
      <t>nd</t>
    </r>
    <r>
      <rPr>
        <sz val="12"/>
        <rFont val="Times New Roman"/>
        <family val="1"/>
      </rPr>
      <t xml:space="preserve"> class</t>
    </r>
  </si>
  <si>
    <r>
      <t xml:space="preserve">LIGHT POINT WITH CEILING ROSE FOR ADMINISTRATIVE BLOCKS AND COMMUNITY CENTRE </t>
    </r>
    <r>
      <rPr>
        <b/>
        <sz val="14"/>
        <rFont val="Times New Roman"/>
        <family val="1"/>
      </rPr>
      <t>Open wiring</t>
    </r>
  </si>
  <si>
    <t>Add cost of Bakelite battern type holders 10 Nos @ Rs 16.65 / Each p-116,  it-25</t>
  </si>
  <si>
    <t>MS box  4"X4" mm(5 sided) covered with 3mm thick Hylem sheet [sd 12]</t>
  </si>
  <si>
    <t>each</t>
  </si>
  <si>
    <t>Add the cost of 10 Nos Buzer/Bell @ 41.70/Each it-31a p-116</t>
  </si>
  <si>
    <t>Add the cost of 10 nos 5A type push switch SD-105</t>
  </si>
  <si>
    <t>Add the cost of 10 nos  15 x 10 x 7.5 cm TW box @ Rs 16.50/Each p-130,  X-c part -j</t>
  </si>
  <si>
    <t>MS box  200 x 150 x 75 mm  part-  F 1c p-126</t>
  </si>
  <si>
    <t>MS joint box (150 x 100 x 75 mm )</t>
  </si>
  <si>
    <r>
      <t>A 300x200x75 mm=0.135m</t>
    </r>
    <r>
      <rPr>
        <vertAlign val="superscript"/>
        <sz val="12"/>
        <rFont val="Times New Roman"/>
        <family val="1"/>
      </rPr>
      <t>2</t>
    </r>
  </si>
  <si>
    <t>5 A flush type two way switches ( Staircase switch )part c-b p-118</t>
  </si>
  <si>
    <t>MS box  150x 100 x 75 mm</t>
  </si>
  <si>
    <t>5 A 5 pin non - inter locking switch and plug ( flush type ) part - c (I a) + part - d (I a)( Rs. 194.50/12 + 24.10) p-118 +123 part d a</t>
  </si>
  <si>
    <r>
      <t xml:space="preserve">Supplying and fixing of </t>
    </r>
    <r>
      <rPr>
        <b/>
        <sz val="12"/>
        <rFont val="Times New Roman"/>
        <family val="1"/>
      </rPr>
      <t>15 Amps 3 pin flush type plug</t>
    </r>
    <r>
      <rPr>
        <sz val="12"/>
        <rFont val="Times New Roman"/>
        <family val="1"/>
      </rPr>
      <t xml:space="preserve"> socket on suitable MS box of 16g thick concealed and covered with 3 mm thick laminated hylem sheet inclusive of all materials, etc., all complete.</t>
    </r>
  </si>
  <si>
    <t>15 Amps 3 pin flush type plug socket Part-D1 b p-123</t>
  </si>
  <si>
    <t xml:space="preserve">MS box 150 x 100 x 75mm </t>
  </si>
  <si>
    <t>MS joint box 150 x 100 x 75 mm</t>
  </si>
  <si>
    <t>MS box  150 x 100 x 75 mm</t>
  </si>
  <si>
    <r>
      <t>Add cost of Bakelite battern type holders 6 nos @</t>
    </r>
    <r>
      <rPr>
        <sz val="12"/>
        <color indexed="10"/>
        <rFont val="Times New Roman"/>
        <family val="1"/>
      </rPr>
      <t xml:space="preserve"> 16.65/E</t>
    </r>
    <r>
      <rPr>
        <sz val="12"/>
        <rFont val="Times New Roman"/>
        <family val="1"/>
      </rPr>
      <t>ach9 (New item 25-p-116)</t>
    </r>
  </si>
  <si>
    <t>MS box  200 x 150 x 75 mm</t>
  </si>
  <si>
    <t>2 X 10 Sq mm in fully concealed PVC conduit</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</si>
  <si>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</si>
  <si>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</si>
  <si>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6 sqmm copper PVC insulated unsheathed single core cable p 125 , 2  part -E</t>
  </si>
  <si>
    <t>10 sqmm copper PVC insulated unsheathed single core cable p 125 , 2  part -E</t>
  </si>
  <si>
    <t>4 sqmm copper PVC insulated unsheathed single core cable for continuous earth connectionp  P-125 2 d</t>
  </si>
  <si>
    <t>2.5sqmm copper PVC insulated unsheathed single core cable for continuous earth connectionp  P-125 2 d</t>
  </si>
  <si>
    <t>Add 180 mt 2.5 Sqmm copper PVC insulated unsheathed S.C. cable p-125, it- 2 c</t>
  </si>
  <si>
    <t>4 sqmm copper PVC insulated unsheathed single core cable,P-125 it-2-d</t>
  </si>
  <si>
    <t>2.5 sqmm copper PVC insulated unsheathed single core cable for continuous earth connectionp-79, it- 2 c</t>
  </si>
  <si>
    <t>4 sqmm copper PVC insulated unsheathed single core cable,P-123 it-2-d</t>
  </si>
  <si>
    <t>6 sqmm copper PVC insulated unsheathed single core cable p 123 , 2  part -E</t>
  </si>
  <si>
    <t>25mm dia rigid PVC pipe heavy duty with ISI heavy duty with ISI mark part -I 1c P-128, Part -I</t>
  </si>
  <si>
    <t>25mm dia rigid PVC pipe heavy duty with ISI heavy duty with ISI mark part-I 1c P-82</t>
  </si>
  <si>
    <t>2.5 sqmm copper PVC insulated unsheathed single core cable for continuous earth connection (p-86, it- 2 c)</t>
  </si>
  <si>
    <t>4 sqmm copper PVC insulated unsheathed single core cable for continuous earth connectionp-</t>
  </si>
  <si>
    <t>( 1.5  x 10421) - ( (1608+2224 ) / 2)</t>
  </si>
  <si>
    <t>10 sqmm copper PVC insulated unsheathed single core cable (P-125  it-2-f part-F)</t>
  </si>
  <si>
    <t>25mm dia rigid PVC pipe heavy duty with ISI heavy duty with ISI markpart-I 1c P-82</t>
  </si>
  <si>
    <t>WATER TIGHT BULK HEAD FITTING suitable for 12W LED bulb</t>
  </si>
  <si>
    <t>6 sqmm copper PVC insulated unsheathed single core cable for continuous earth connectionp</t>
  </si>
  <si>
    <t>Bulk head fittings P-116 it-26</t>
  </si>
  <si>
    <t>16 Amps double pole main switch with fuse and neutral link [SD 143]</t>
  </si>
  <si>
    <t>TW board of size 31x20x6 cm with brass hinge screw hooks well varnished (as per PWD Elec. Data SD 141)</t>
  </si>
  <si>
    <t>32 Amps double pole main switch with fuse and neutral link [SD 143] SR 119/2d</t>
  </si>
  <si>
    <t>4 way 16 amps, way 250 volts single phase and neutral link metalic distribution board p-120 7a</t>
  </si>
  <si>
    <t>T.W board of size 31 x 20x 6 cm with well varnished [SD 141]</t>
  </si>
  <si>
    <t>16 Amps triple pole main switch with fuse and neutral link [SD 161]</t>
  </si>
  <si>
    <t>TW board of size 46 x31 x 6 cm with brass hinges hooks screws  well varnished [SD 149]</t>
  </si>
  <si>
    <r>
      <t xml:space="preserve">Supplying and fixing of 32 amps triple pole main switch with fuse and neutral link </t>
    </r>
    <r>
      <rPr>
        <sz val="12"/>
        <rFont val="Times New Roman"/>
        <family val="1"/>
      </rPr>
      <t>on a suitable well varnished teak wood board including necessary interconnection and earth connection cost of all materials, etc., all complete.</t>
    </r>
  </si>
  <si>
    <t>32 Amps triple pole main switch with fuse and neutral link [SD 163] SR-p-133</t>
  </si>
  <si>
    <t>Three phase distribution board with 4 way/phase and 32 A / Way with fuse and neutral link. P120  8d</t>
  </si>
  <si>
    <t>TW plank of size 750 x 450 x 12 mm thick(91300+11800) p-20+P-27 it-143 labour charge</t>
  </si>
  <si>
    <t>Add for 6 way TPDB 32A/way p-120, 8e</t>
  </si>
  <si>
    <t>Less 4 way TPDB 32 A/way p-119, 8d</t>
  </si>
  <si>
    <t>2463.00/3474.00</t>
  </si>
  <si>
    <t>SUPPLY AND FIXING OF LED 4000K 2'X2' SQUARE TYPE RECESSED FITTING</t>
  </si>
  <si>
    <t>LED 4000K 2'X2' SQUARE TYPE RECESSED FITTING</t>
  </si>
  <si>
    <t xml:space="preserve">TW round block P-130 Part -J -X- F </t>
  </si>
  <si>
    <t>CONNECTING LEADS BY 1 SQMM</t>
  </si>
  <si>
    <t>Rmts</t>
  </si>
  <si>
    <t>Add sundries 1%</t>
  </si>
  <si>
    <t>Conduit pipe 19 mm (MS) (heavy gauge)p-127 Part-H 1-b</t>
  </si>
  <si>
    <t xml:space="preserve">8 SWG GI wire  (Part- E, 3 -c P-124 ) </t>
  </si>
  <si>
    <t xml:space="preserve"> 'U' nails (SD-74 ,21-20)</t>
  </si>
  <si>
    <t>SD 74  -  Rs.24.00 / Rmt</t>
  </si>
  <si>
    <t>GI pipe 40 mm P-45 ,154-iii</t>
  </si>
  <si>
    <t>GI pipe 20 mm P-50 ,118-vi</t>
  </si>
  <si>
    <t>15 mm GI pipeP-50 ,118-VII</t>
  </si>
  <si>
    <t>GI reducer 32x25mmP- 52,119 F-iii</t>
  </si>
  <si>
    <t>Earth work excavation brick work in CM and plastering [SD 234]</t>
  </si>
  <si>
    <t>Charcoal SD 233-2021-22 (100.7/20.32 = 4.96)</t>
  </si>
  <si>
    <t>GI bend 15 mm diaP-51 ,119-c vi</t>
  </si>
  <si>
    <t>15 mm GI coupling P- 51,119-E vi</t>
  </si>
  <si>
    <t>Salt (SD 233, 21-22)</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</si>
  <si>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</si>
  <si>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 ( Part- F, P-126  it- d)</t>
  </si>
  <si>
    <t>Mason I ( it-25 /37  ,p-11)</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</si>
  <si>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</si>
  <si>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</si>
  <si>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25 Amps rating single phase ELCB with 10 to 25 MA sensitivity (ISI make ) (DP) P-133   10-b havells  part -L</t>
  </si>
  <si>
    <r>
      <t xml:space="preserve">32 Amps rating </t>
    </r>
    <r>
      <rPr>
        <b/>
        <sz val="12"/>
        <rFont val="Times New Roman"/>
        <family val="1"/>
      </rPr>
      <t xml:space="preserve">Three phase </t>
    </r>
    <r>
      <rPr>
        <sz val="12"/>
        <rFont val="Times New Roman"/>
        <family val="1"/>
      </rPr>
      <t>ELCB with 20 to 30 MA sensitivity (P-133  11-a) part -L</t>
    </r>
  </si>
  <si>
    <t>32 Amps 500 V fuse units P-120 6-b</t>
  </si>
  <si>
    <t>16 Amps 250 Volts fuse unit (P-120   6-a</t>
  </si>
  <si>
    <t>Single phase ELCB (ISI 25 Amps 30 MA)P-94  9-b</t>
  </si>
  <si>
    <t>3 No of 30 amps MCB ( Part -L, P-132   6-a havells)</t>
  </si>
  <si>
    <t>Three phase ELCB P-94 10 a</t>
  </si>
  <si>
    <t>3 No of 30 amps MCB ( Part-L, P-93  6-a havells)</t>
  </si>
  <si>
    <r>
      <t xml:space="preserve">Supplying and fixing </t>
    </r>
    <r>
      <rPr>
        <b/>
        <sz val="12"/>
        <rFont val="Times New Roman"/>
        <family val="1"/>
      </rPr>
      <t xml:space="preserve">1 No of 450 x 375 x 20 m   thick TW plank </t>
    </r>
    <r>
      <rPr>
        <sz val="12"/>
        <rFont val="Times New Roman"/>
        <family val="1"/>
      </rPr>
      <t>well varnished with 3 No 30 amps 500 volts fuse unit and 1 No of copper earth plate of suitable size bolts and nuta on walls for EB service connections including cost of all materials, etc., all complete.</t>
    </r>
  </si>
  <si>
    <t>2.5 Sqmm copper PVC insulated unsheathed single core cableP-79 2 C</t>
  </si>
  <si>
    <t>7/20 GI stay wire [SD 64]</t>
  </si>
  <si>
    <t>PVC reel insulater [SD 64] [6.60/12]</t>
  </si>
  <si>
    <t>Supply of 25 mm dia GI pipe "B"class ( for the above Data ) for passing through from top of Houses to the MES Board to meet the EB requirement.P-44 118 V</t>
  </si>
  <si>
    <t>GI pipe of 25 mm dia  (P-45 154 V)</t>
  </si>
  <si>
    <t>40 x 40 x 6 mm MS angle (P-126  part -G)</t>
  </si>
  <si>
    <t>Labour charges 1.5 times dataNo 37</t>
  </si>
  <si>
    <t>GI pipe of 40 mm dia  (P-45 154 -iii)</t>
  </si>
  <si>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Times New Roman"/>
        <family val="1"/>
      </rPr>
      <t>1/2</t>
    </r>
    <r>
      <rPr>
        <sz val="12"/>
        <rFont val="Times New Roman"/>
        <family val="1"/>
      </rPr>
      <t>/4 core</t>
    </r>
  </si>
  <si>
    <t>Earth work excavation and refilling(96.6+96.6+(33.6/3) SR P.22,23</t>
  </si>
  <si>
    <t>Bricks p16/ 5a</t>
  </si>
  <si>
    <t>M.S. Clamps/ Saddles 32mm (It- 3d p-132 ,part-L )</t>
  </si>
  <si>
    <t>Brass screws  ( 40 mm x 6 no) P131  Part-L 1-c</t>
  </si>
  <si>
    <t>TW plugs 1 1/2" x 1"x2"( part-J 1-e P-130  )</t>
  </si>
  <si>
    <t>MV/SV lamps P-112 /6 b</t>
  </si>
  <si>
    <t>Supply and  Fixing of 25 W  LED street light fitting</t>
  </si>
  <si>
    <t xml:space="preserve">Charges for fixing 25 W LED lamp street light fittings ( all types) in the existing street pole/wall with  required GI pipe 'B' class and accessories </t>
  </si>
  <si>
    <t>GI pipe of 20 mm dia  (P-45 142 -iv)</t>
  </si>
  <si>
    <t>25 mm dia GI 'B' class pipe p-46 it-118 -v</t>
  </si>
  <si>
    <t xml:space="preserve">16 Amps 500 v fuse unit p-81 6a </t>
  </si>
  <si>
    <t xml:space="preserve">                                                                                                                   </t>
  </si>
  <si>
    <t>25 W LED Street light Fittings</t>
  </si>
  <si>
    <t>30 W LED Street light Fittings</t>
  </si>
  <si>
    <t>Tube light fittings P-113 ,11a-An-VII</t>
  </si>
  <si>
    <t>Tubular lamp P-112 ,4b</t>
  </si>
  <si>
    <t>25 W LED Street light Fittings p-115  18A/ lower end</t>
  </si>
  <si>
    <t>30 W LED Street light Fittings p-115  18A/ lower end</t>
  </si>
  <si>
    <t>Charges for fixing of 250W  metal halide light fitting</t>
  </si>
  <si>
    <t>250W metal halide light fitting</t>
  </si>
  <si>
    <t>1 No</t>
  </si>
  <si>
    <t>GI pipe B class of 50 mm dia  (P-45 154 -ii)</t>
  </si>
  <si>
    <t>80 W LED Street light Fittings</t>
  </si>
  <si>
    <t xml:space="preserve">15 Amps 500 V fuse unit p-74 6a </t>
  </si>
  <si>
    <t>80 W LED Street light Fittings p-114  17A/ lower end</t>
  </si>
  <si>
    <t>Supply and fixing of triple pole and neutral 4 way 7 segment 3 tier compartmental type MCB distribution board complete with necessary incomings and outgoings etc.</t>
  </si>
  <si>
    <t>4 way 7 segment 3 tier compartmental type MCB DB [SR P.138]</t>
  </si>
  <si>
    <t>MS box  300 x 200x100 mm with door and lock and key arrangements with necessary MS clamps to bolts &amp; nuts with washers. P- 87 d part-F</t>
  </si>
  <si>
    <t>63A TPN 10 KA MCB [SR P.133]</t>
  </si>
  <si>
    <t>40A DP 30MA ELCB [SR P.133]</t>
  </si>
  <si>
    <t>32 Amps 500 v fuse units</t>
  </si>
  <si>
    <t>40A DP 10KA MCB [SR P.132]</t>
  </si>
  <si>
    <t>20A SP MCB [SR P.132]</t>
  </si>
  <si>
    <t>20 mm dia 'B' class GI pipe p- 50 it-142 iv</t>
  </si>
  <si>
    <t>Wall cutting, flushing etc vide SD 167</t>
  </si>
  <si>
    <t>Earth connection vide SD 167</t>
  </si>
  <si>
    <t>32 A DPIC switch p-119 2d, Part-C</t>
  </si>
  <si>
    <t>Add Labour charges vide SD - 159</t>
  </si>
  <si>
    <t>40 A single pole MCb isolator</t>
  </si>
  <si>
    <t>Say</t>
  </si>
  <si>
    <t>TW plank 600 x 225 x 20 mm</t>
  </si>
  <si>
    <t>100A TPN 10 KA MCB [SR P.133]</t>
  </si>
  <si>
    <t>63A DPN 10 KA  MCB [SR P.133]</t>
  </si>
  <si>
    <t xml:space="preserve">Deduct cost of 20 m   dia PVC pipe </t>
  </si>
  <si>
    <t>Add cost of 25 mm dia PVC pipe heavy dutyp-89 part -I c</t>
  </si>
  <si>
    <t>63A double 4 pole 30MA ELCB [SR P.133]</t>
  </si>
  <si>
    <t>63A 10KA double pole MCB [SR P.132]</t>
  </si>
  <si>
    <t>TW board 8" x6" x3" (p-130, part-j/b)</t>
  </si>
  <si>
    <t>Add Labour charges vide SD - 175</t>
  </si>
  <si>
    <r>
      <t xml:space="preserve">Supplying and concealing </t>
    </r>
    <r>
      <rPr>
        <b/>
        <sz val="12"/>
        <rFont val="Times New Roman"/>
        <family val="1"/>
      </rPr>
      <t>TV/Telephone socket</t>
    </r>
    <r>
      <rPr>
        <sz val="12"/>
        <rFont val="Times New Roman"/>
        <family val="1"/>
      </rPr>
      <t xml:space="preserve"> with top pin with suitable TW box fully concealed and covered with 3 mm thick Hylem sheet etc., all complete.</t>
    </r>
  </si>
  <si>
    <t>TW board 4" x4" x3" (p-130, part-j/d)</t>
  </si>
  <si>
    <t>65 mm dia GI pipe ' B' class p45,154-i</t>
  </si>
  <si>
    <t>Base plate 45 cm x45 cm x 6mm thick [SD 98]</t>
  </si>
  <si>
    <t>MS box 8" x 6" with cover p-126  Fc</t>
  </si>
  <si>
    <t>conrete 1:2:4 using 20 mm HBSJ ( 0.45 x 1.5 mt) Appx.</t>
  </si>
  <si>
    <t>Exhaust fan of 300 mm  dia ( 12 ") sweep   [SD 114]</t>
  </si>
  <si>
    <t>Exhaust fan of 300 mm dia ( Part- B 2 b p-117</t>
  </si>
  <si>
    <r>
      <t xml:space="preserve">Clamp fixing by cheche screws bolts and nuts including connections ( </t>
    </r>
    <r>
      <rPr>
        <b/>
        <sz val="12"/>
        <rFont val="Times New Roman"/>
        <family val="1"/>
      </rPr>
      <t>as per SD-114, Elec Data 2022-23)</t>
    </r>
  </si>
  <si>
    <t>Exhaust fan of 225 mm dia ( Part- B 2 a p-117</t>
  </si>
  <si>
    <t>1200mm A.C ceiling fan (without regulator)( Part- B 1 a p-117</t>
  </si>
  <si>
    <t>Cost of electronic regulator( Part- B 1 d p-117</t>
  </si>
  <si>
    <t>Tube light -  Box type</t>
  </si>
  <si>
    <t>4' tube light fitting with \electronic ballast P-  113 7 A [SD 88]</t>
  </si>
  <si>
    <t>slim tube light 36 w P-112 4 B</t>
  </si>
  <si>
    <t>4' tube light fitting with \electronic ballast p-116 it-22 B [SD87]</t>
  </si>
  <si>
    <t>slim tube light 36 w P-112 4 c</t>
  </si>
  <si>
    <t>4' 18w crystal glass LED tube light</t>
  </si>
  <si>
    <t>4' tube light fitting with \electronic ballast p-112 it-5</t>
  </si>
  <si>
    <t>Charges for fixing  (as per Data 22 )</t>
  </si>
  <si>
    <t>Tw Plugs (p 91 p J e)</t>
  </si>
  <si>
    <t xml:space="preserve">PVC joint box ( Part- I ,p 129  6b) </t>
  </si>
  <si>
    <t>Brass screws 40mm p 130 L 1c</t>
  </si>
  <si>
    <t>19 mm MS clamp</t>
  </si>
  <si>
    <t>TW switch  box  100 x 100 x 75 mm p 130 jd</t>
  </si>
  <si>
    <t>TW junction  box  150 x 100 x 75 mm p-130 j c</t>
  </si>
  <si>
    <t>Paint SEP p-44 it-117</t>
  </si>
  <si>
    <t>Add the cost of 10 Nos Buzer/Bell @ 39.50/Each p77 28a</t>
  </si>
  <si>
    <t>Add the cost of 10 nos 5A type push switch (192.60/12=16.05) @ Rs 16.05/ Each p79 C a</t>
  </si>
  <si>
    <t>Add the cost of 10 nos  15 x 10 x 7.5 cm TW box @ Rs16.50/Each p- 130 J c</t>
  </si>
  <si>
    <t>FAN POINT (open wiring)</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</si>
  <si>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Times New Roman"/>
        <family val="1"/>
      </rPr>
      <t>FAN POINT</t>
    </r>
    <r>
      <rPr>
        <sz val="12"/>
        <rFont val="Times New Roman"/>
        <family val="1"/>
      </rPr>
      <t xml:space="preserve"> controlled by 5 amps flush type switch including citcuit mains, cost of all materials, specials, etc., all complete,</t>
    </r>
    <r>
      <rPr>
        <b/>
        <sz val="12"/>
        <rFont val="Times New Roman"/>
        <family val="1"/>
      </rPr>
      <t>(Open wiring)</t>
    </r>
  </si>
  <si>
    <t>Deduct cost of TW Box 10X10x7.5cm</t>
  </si>
  <si>
    <t>Add cost of TW box 12" x 8" x3" for switch and regulator 10 nos  @ Rs 69.90 / Each p-130 ,part  J a</t>
  </si>
  <si>
    <t>Hylem sheet 0.60 Sq m@ 630/Sq m p-130  ,7 a</t>
  </si>
  <si>
    <t>STAIRCASE LIGHT POINT  (Open wiring)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</si>
  <si>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</si>
  <si>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PVC/TW round block [SR P.129</t>
  </si>
  <si>
    <t>TW switch Box 150X100X75mm</t>
  </si>
  <si>
    <t>MS saddles 19mm p- 131 part- L 3b</t>
  </si>
  <si>
    <t>TW plugs 1.5"X1"X2" SR P.129</t>
  </si>
  <si>
    <t>2 X 4 Sq mm in fully concealed PVC conduit (open wiring)</t>
  </si>
  <si>
    <t>Add 180 mt 4 Sqmm copper PVC insulated unsheathed S.C. cable p-86 2c</t>
  </si>
  <si>
    <t>4 X 10 Sq mm in fully concealed PVC conduit (open wiring)</t>
  </si>
  <si>
    <t>Add 180 mt 10  Sqmm copper PVC insulated unsheathed S.C. cable part E-2 -F</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</si>
  <si>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</si>
  <si>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</si>
  <si>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</si>
  <si>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</si>
  <si>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</si>
  <si>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</si>
  <si>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</si>
  <si>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</si>
  <si>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</si>
  <si>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</si>
  <si>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</si>
  <si>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</si>
  <si>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</si>
  <si>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</si>
  <si>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Times New Roman"/>
        <family val="1"/>
      </rPr>
      <t>kgm</t>
    </r>
  </si>
  <si>
    <t>Cost of MS sheet Part -G P-126 SR -2021-22</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</si>
  <si>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</si>
  <si>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</si>
  <si>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</si>
  <si>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</si>
  <si>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</si>
  <si>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</si>
  <si>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</si>
  <si>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</si>
  <si>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</si>
  <si>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</si>
  <si>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</si>
  <si>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</si>
  <si>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</si>
  <si>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</si>
  <si>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</si>
  <si>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</si>
  <si>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</si>
  <si>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</si>
  <si>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</si>
  <si>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</si>
  <si>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</si>
  <si>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Cost copper  (P-127  )</t>
  </si>
  <si>
    <t xml:space="preserve">Tin coating of copper </t>
  </si>
  <si>
    <t>Requirment of GI Flats for earth bus</t>
  </si>
  <si>
    <t>Sixe proposed 25mm x3mm GI flat</t>
  </si>
  <si>
    <t>1.5' x 2+ 3' x 1 =22.2 ft  =6.0 mtr</t>
  </si>
  <si>
    <t>6.0 mtrs x 0.6 kg /mtr =3.60kg</t>
  </si>
  <si>
    <t>25mm x3mm GI flat p-125 it -3 c</t>
  </si>
  <si>
    <t>Incomers &amp; outgoings</t>
  </si>
  <si>
    <t>Nos.</t>
  </si>
  <si>
    <t xml:space="preserve"> 200 A fuse units (P-120  ,it-6e)</t>
  </si>
  <si>
    <t xml:space="preserve"> 100 A fuse units (P-120  -6 d)</t>
  </si>
  <si>
    <t xml:space="preserve">100 A neutral link </t>
  </si>
  <si>
    <t>Amp</t>
  </si>
  <si>
    <t xml:space="preserve">Interconnection charges </t>
  </si>
  <si>
    <t>6mm thick Hylam sheet for fixing energy metrs</t>
  </si>
  <si>
    <t>0.45 x .60x 1.0= 0.270 sqm</t>
  </si>
  <si>
    <r>
      <t>m</t>
    </r>
    <r>
      <rPr>
        <vertAlign val="superscript"/>
        <sz val="10"/>
        <rFont val="Times New Roman"/>
        <family val="1"/>
      </rPr>
      <t>2</t>
    </r>
  </si>
  <si>
    <t>Cost of hylum sheet (P-130,it-7 a 630*2=1260)</t>
  </si>
  <si>
    <t>Insulators</t>
  </si>
  <si>
    <t>set</t>
  </si>
  <si>
    <t>LED pilot lamps</t>
  </si>
  <si>
    <t>1 sqmm PVC copper cable ( it-2a)</t>
  </si>
  <si>
    <t>MS sheet fabrication charges (P-29 it-127)</t>
  </si>
  <si>
    <t>Angle Iron  fabrication charges (P-29)</t>
  </si>
  <si>
    <t>MCB / Fuse units/ Pilot lamp fixing charges ( Ele SD-159 labour )</t>
  </si>
  <si>
    <t>sq.ft.</t>
  </si>
  <si>
    <t>Painting with primer &amp; suitable colour</t>
  </si>
  <si>
    <t>Sq.ft</t>
  </si>
  <si>
    <t>Mtrs.</t>
  </si>
  <si>
    <r>
      <t>6 Sq.mm. single core PVC copper cables for connection between fuse units and meter and between meter and 32A TPN MCB</t>
    </r>
    <r>
      <rPr>
        <b/>
        <sz val="10"/>
        <rFont val="Times New Roman"/>
        <family val="1"/>
      </rPr>
      <t xml:space="preserve"> (P-125  it-2e)</t>
    </r>
  </si>
  <si>
    <t>Mtr.</t>
  </si>
  <si>
    <t>Lettering charges</t>
  </si>
  <si>
    <t>Sundries 2% such as bolts, nuts, washers, insulation tape, PVC sleeves etc.</t>
  </si>
  <si>
    <r>
      <t xml:space="preserve">Add: </t>
    </r>
    <r>
      <rPr>
        <sz val="10"/>
        <rFont val="Times New Roman"/>
        <family val="1"/>
      </rPr>
      <t>VAT @ 14.5%</t>
    </r>
  </si>
  <si>
    <t>Transport charges</t>
  </si>
  <si>
    <t>Erection charges</t>
  </si>
  <si>
    <t>(OR)</t>
  </si>
  <si>
    <t>TW Panelled Door 1500 X 2100MM (Double leaves)</t>
  </si>
  <si>
    <t>With Brass fittings</t>
  </si>
  <si>
    <t>T.W SCANTLING above 2m</t>
  </si>
  <si>
    <t>T.W SCANTLING below 2m</t>
  </si>
  <si>
    <t>T.W PLANKS (30.45 CM) (12 TO 25CM THICK)</t>
  </si>
  <si>
    <t>LABOUR CHARGES FOR WROUGHT AND PUT UP</t>
  </si>
  <si>
    <t>DOOR HANDLE Mejastic</t>
  </si>
  <si>
    <t>6" Brass HINGES</t>
  </si>
  <si>
    <t>8" BRASS TOWER BOLTS</t>
  </si>
  <si>
    <t>Mortice lock with handle</t>
  </si>
  <si>
    <t>RUBBER BUSH</t>
  </si>
  <si>
    <t>Brass screw</t>
  </si>
  <si>
    <t>RATE FOR 2.835 SQM</t>
  </si>
  <si>
    <t>Aluminium window openable 1.20x1.35m =1.62m2</t>
  </si>
  <si>
    <t>Aluminium section</t>
  </si>
  <si>
    <t>Rubber beeding</t>
  </si>
  <si>
    <t>Glass 4mm pin headed</t>
  </si>
  <si>
    <t>Handle</t>
  </si>
  <si>
    <t>10" I Max hinges (304 grade) qtn</t>
  </si>
  <si>
    <t>Holdfast</t>
  </si>
  <si>
    <t>Labbour charges</t>
  </si>
  <si>
    <t xml:space="preserve">TOTAL </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</si>
  <si>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</si>
  <si>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</si>
  <si>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</si>
  <si>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</si>
  <si>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</si>
  <si>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</si>
  <si>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</si>
  <si>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</si>
  <si>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</si>
  <si>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</si>
  <si>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</si>
  <si>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</si>
  <si>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Rubber beeding it-64 p-39</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</si>
  <si>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</si>
  <si>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</si>
  <si>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</si>
  <si>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</si>
  <si>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</si>
  <si>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</si>
  <si>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</si>
  <si>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TOTAL RS.</t>
  </si>
  <si>
    <t>Aluminium window openable 1.50x1.35m =2.03m2</t>
  </si>
  <si>
    <t>glass 4mm pin headed</t>
  </si>
  <si>
    <t>rubber beeding</t>
  </si>
  <si>
    <t>Aluminium handle with screws</t>
  </si>
  <si>
    <t xml:space="preserve">Aluminium holdfast 6"/4mm thick </t>
  </si>
  <si>
    <t>labbour charges</t>
  </si>
  <si>
    <t>sundries</t>
  </si>
  <si>
    <t>RATE FOR 2.025 SQM</t>
  </si>
  <si>
    <t xml:space="preserve"> Aluminium window openable 0.75x1.35m 2=1.013 m2</t>
  </si>
  <si>
    <t>RATE FOR 1.013 SQM</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</si>
  <si>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</si>
  <si>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</si>
  <si>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</si>
  <si>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</si>
  <si>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</si>
  <si>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</si>
  <si>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TOP &amp; BOTTOM (2 X2 )   3.X 0.15X 0.15</t>
  </si>
  <si>
    <t xml:space="preserve">VERTICALS (4 X 2 ) 0.15 X 0.15 X2.4     </t>
  </si>
  <si>
    <t xml:space="preserve">Styles 2 to 3 mt long </t>
  </si>
  <si>
    <t xml:space="preserve">For shutters middle </t>
  </si>
  <si>
    <t>HORIZONTAL RAILS = (3x 1) 1.8 x0.15x 0.05 = 0.0405</t>
  </si>
  <si>
    <t>Styles - verticals = ( 6x 1) 0.1x 0.05x 2.15=0.0645</t>
  </si>
  <si>
    <t>For side rails french window =(2x 3) 0.35x 0.15x 0.05=0.0158</t>
  </si>
  <si>
    <r>
      <t xml:space="preserve"> </t>
    </r>
    <r>
      <rPr>
        <b/>
        <u/>
        <sz val="12"/>
        <rFont val="Arial"/>
        <family val="2"/>
      </rPr>
      <t xml:space="preserve">TW PLANKS 30 TO 45 cm WIDE 12 TO 25MM Thk </t>
    </r>
    <r>
      <rPr>
        <sz val="12"/>
        <rFont val="Arial"/>
        <family val="2"/>
      </rPr>
      <t xml:space="preserve">   MIDDLE SHUTTERS = ( 8 x10 0.815 x 0.35x 0.01875 m3</t>
    </r>
  </si>
  <si>
    <t>LABOUR CHARGES FOR DOOR SHUUTERS=1.85 x2.15=3.98  m2</t>
  </si>
  <si>
    <t>ORNAMENTAL GROOVES v =(6X2+3X1.8)=17.4 m</t>
  </si>
  <si>
    <t xml:space="preserve"> Supply of 5.5 MM THICK PLAIN GLASS</t>
  </si>
  <si>
    <t>5.5 MM THICK PLAIN GLASS for French window top = ( 2 x1 ) 0.35 x1.4 =0.98 m2 ( SR 18-19 it- 107 p-45)</t>
  </si>
  <si>
    <t>5.5 MM THICK PLAIN GLASS for French window  Bottom = ( 2 x1 ) 0.35 x0.4 =0.28 m2</t>
  </si>
  <si>
    <t>T.W. REEPER FOR GLASS WINDOW 50mm x 12 mm(2X2X2+2X4X0.35)=9.8( SR 18-19 it- 126 p-20)</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</si>
  <si>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</si>
  <si>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</si>
  <si>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</si>
  <si>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</si>
  <si>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</si>
  <si>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</si>
  <si>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</si>
  <si>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</si>
  <si>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 xml:space="preserve"> Add LS  for special item for forming etc</t>
  </si>
  <si>
    <t>Rs.</t>
  </si>
  <si>
    <t xml:space="preserve">Each </t>
  </si>
  <si>
    <t>Aluminium Door  ( 1.5 x2.1m thick)</t>
  </si>
  <si>
    <t>Aluminium section ''it-61 a( SR-13-14)</t>
  </si>
  <si>
    <t>Rubber beeding (An-VI -it-63</t>
  </si>
  <si>
    <t>Glass 5.5mm plain  it-107</t>
  </si>
  <si>
    <t>Novapan Sheet 12mm Thick</t>
  </si>
  <si>
    <t>Unit</t>
  </si>
  <si>
    <t>Power Grapping</t>
  </si>
  <si>
    <t>PVC Felt ( It-65)</t>
  </si>
  <si>
    <t>DOOR STOPPER   It-82</t>
  </si>
  <si>
    <t>DOOR Closer It-67</t>
  </si>
  <si>
    <t xml:space="preserve">  SCREWS (75x 10mm)it-108 ii</t>
  </si>
  <si>
    <t>Bolts &amp; Nuts ( 3/4"x 1/4") It-78-b</t>
  </si>
  <si>
    <t>Bolts &amp; Nuts ( 6"x 1/2") it-78-e</t>
  </si>
  <si>
    <t>TOTAL FOR 3.15 SQM</t>
  </si>
  <si>
    <t>SR16-17</t>
  </si>
  <si>
    <t>Aluminium Door  ( 1.0 x2.1m thick)</t>
  </si>
  <si>
    <t>Aluminium section ''it-61 a( SR-16-17)</t>
  </si>
  <si>
    <t xml:space="preserve">  SCREWS (75x 10mm)(An-VI -it-163</t>
  </si>
  <si>
    <t>Aluminium window openable 1.20x1.05m (Two leaves)</t>
  </si>
  <si>
    <t>Aluminium section H</t>
  </si>
  <si>
    <t>Aluminium section  Z</t>
  </si>
  <si>
    <t>Aluminium section intermediate</t>
  </si>
  <si>
    <t>Clip Beeding</t>
  </si>
  <si>
    <t>Max hinges 10"/ 1</t>
  </si>
  <si>
    <t>Sets</t>
  </si>
  <si>
    <t>holdfast</t>
  </si>
  <si>
    <t>Rate per each</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</si>
  <si>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</si>
  <si>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</si>
  <si>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</si>
  <si>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</si>
  <si>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</si>
  <si>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</si>
  <si>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</si>
  <si>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</si>
  <si>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</si>
  <si>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</si>
  <si>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</si>
  <si>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</si>
  <si>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</si>
  <si>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</si>
  <si>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</si>
  <si>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</si>
  <si>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</si>
  <si>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</si>
  <si>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</si>
  <si>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</si>
  <si>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</si>
  <si>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</si>
  <si>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</si>
  <si>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</si>
  <si>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</si>
  <si>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</si>
  <si>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</si>
  <si>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</si>
  <si>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</si>
  <si>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</si>
  <si>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</si>
  <si>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</si>
  <si>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</si>
  <si>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</si>
  <si>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</si>
  <si>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</si>
  <si>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</si>
  <si>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</si>
  <si>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</si>
  <si>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</si>
  <si>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</si>
  <si>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</si>
  <si>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</si>
  <si>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family val="2"/>
      </rPr>
      <t>Ist CLASS</t>
    </r>
  </si>
  <si>
    <r>
      <t xml:space="preserve">MAZDOOR  </t>
    </r>
    <r>
      <rPr>
        <b/>
        <sz val="12"/>
        <rFont val="Helv"/>
        <family val="2"/>
      </rPr>
      <t>Ist CLASS</t>
    </r>
  </si>
  <si>
    <r>
      <t>CARPENTER</t>
    </r>
    <r>
      <rPr>
        <b/>
        <sz val="12"/>
        <rFont val="Helv"/>
        <family val="2"/>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</si>
  <si>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</si>
  <si>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</si>
  <si>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</si>
  <si>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</si>
  <si>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</si>
  <si>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</si>
  <si>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</si>
  <si>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</si>
  <si>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</si>
  <si>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</si>
  <si>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</si>
  <si>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</si>
  <si>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</si>
  <si>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</si>
  <si>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</si>
  <si>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</si>
  <si>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</si>
  <si>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</si>
  <si>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</si>
  <si>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</si>
  <si>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</si>
  <si>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</si>
  <si>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</si>
  <si>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</si>
  <si>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</si>
  <si>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</si>
  <si>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</si>
  <si>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</si>
  <si>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</si>
  <si>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</si>
  <si>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</si>
  <si>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</si>
  <si>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</si>
  <si>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Aluminium Louvered Ventilator 0.90x0.60m</t>
  </si>
  <si>
    <t xml:space="preserve">Frame Vertical  </t>
  </si>
  <si>
    <t>1x2x0.6</t>
  </si>
  <si>
    <t xml:space="preserve">Frame Horizondal </t>
  </si>
  <si>
    <t>1x2x0.90</t>
  </si>
  <si>
    <t>3x1.558Kgs</t>
  </si>
  <si>
    <t>Glass area</t>
  </si>
  <si>
    <t>0.90x0.6</t>
  </si>
  <si>
    <t>m2</t>
  </si>
  <si>
    <t>0.9x0.6</t>
  </si>
  <si>
    <t>TOTAL FOR 0.54 SQM</t>
  </si>
  <si>
    <t xml:space="preserve"> SP PERAMBALUR</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</si>
  <si>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</si>
  <si>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</si>
  <si>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</si>
  <si>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</si>
  <si>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</si>
  <si>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</si>
  <si>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</si>
  <si>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</si>
  <si>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</si>
  <si>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</si>
  <si>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</si>
  <si>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</si>
  <si>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below 2M LONG</t>
  </si>
  <si>
    <t>LABOUR FOR WROUGHT&amp;PUTUP ( p-31 it -146</t>
  </si>
  <si>
    <t>TW  Beeding ( 15 x 12mm )</t>
  </si>
  <si>
    <t>200 mm x 12 mm Alu. Towerbolt</t>
  </si>
  <si>
    <t xml:space="preserve">6" Handle </t>
  </si>
  <si>
    <t>Brass scrwew</t>
  </si>
  <si>
    <t xml:space="preserve">Total For 2.850 Sqm </t>
  </si>
  <si>
    <t xml:space="preserve">Rate For 1 Sqm </t>
  </si>
  <si>
    <t>2.10 X 2.0M (3 bay openable )</t>
  </si>
  <si>
    <t>TW scantling styles (upto 2M) -3X2X1.90 X 0.075 x 0.0375</t>
  </si>
  <si>
    <t>TW scantling rails(above 2 M) -3X2X0.60X0.075 x 0.0375</t>
  </si>
  <si>
    <t>3X1.90X0.60</t>
  </si>
  <si>
    <t>3X1.775X0.475</t>
  </si>
  <si>
    <t>3 [ 2 (1.775 + 0.475)]</t>
  </si>
  <si>
    <t>T.W SCANTLING  upto 2M LONG</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</si>
  <si>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</si>
  <si>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</si>
  <si>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</si>
  <si>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</si>
  <si>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</si>
  <si>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</si>
  <si>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</si>
  <si>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</si>
  <si>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</si>
  <si>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</si>
  <si>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</si>
  <si>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</si>
  <si>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</si>
  <si>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</si>
  <si>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</si>
  <si>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</si>
  <si>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</si>
  <si>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</si>
  <si>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</si>
  <si>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</si>
  <si>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</si>
  <si>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</si>
  <si>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DETAILED ESTIMATE</t>
  </si>
  <si>
    <t>L</t>
  </si>
  <si>
    <t>D</t>
  </si>
  <si>
    <t>x</t>
  </si>
  <si>
    <t>Conducting routine vertical compression load test CER No.328/2014-15</t>
  </si>
  <si>
    <t>Mobilization charges including transporting to site CER No.328/2014-15</t>
  </si>
  <si>
    <r>
      <t>Earth work excavation</t>
    </r>
    <r>
      <rPr>
        <sz val="12"/>
        <rFont val="Times New Roman"/>
        <family val="1"/>
      </rPr>
      <t xml:space="preserve"> for foundation in all soils and sub-soil to the required depth as may be directed  etc. complete in all respects complying with relevant standard specifications. (Including Refilling)</t>
    </r>
  </si>
  <si>
    <t>a. 0 to 2 mt.</t>
  </si>
  <si>
    <t xml:space="preserve">For inspection Chambers </t>
  </si>
  <si>
    <t>Inspection pit</t>
  </si>
  <si>
    <t>road</t>
  </si>
  <si>
    <t>SFO room</t>
  </si>
  <si>
    <r>
      <t>Plain cement concrete 1:5:10</t>
    </r>
    <r>
      <rPr>
        <sz val="12"/>
        <rFont val="Times New Roman"/>
        <family val="1"/>
      </rPr>
      <t xml:space="preserve"> (One of cement, five of sand and ten of hard broken stone Jelly) for </t>
    </r>
    <r>
      <rPr>
        <b/>
        <sz val="12"/>
        <rFont val="Times New Roman"/>
        <family val="1"/>
      </rPr>
      <t xml:space="preserve">foundation </t>
    </r>
  </si>
  <si>
    <r>
      <t>Plain cement concrete 1:2:4</t>
    </r>
    <r>
      <rPr>
        <sz val="12"/>
        <rFont val="Times New Roman"/>
        <family val="1"/>
      </rPr>
      <t xml:space="preserve"> </t>
    </r>
  </si>
  <si>
    <r>
      <t>Supply and fixing of Bituminous filler pad,</t>
    </r>
    <r>
      <rPr>
        <sz val="12"/>
        <rFont val="Times New Roman"/>
        <family val="1"/>
      </rPr>
      <t xml:space="preserve"> 20 mm tk. for expansion joint</t>
    </r>
  </si>
  <si>
    <r>
      <t xml:space="preserve">providing Standardised concrete </t>
    </r>
    <r>
      <rPr>
        <b/>
        <sz val="12"/>
        <rFont val="Times New Roman"/>
        <family val="1"/>
      </rPr>
      <t>Mix M30</t>
    </r>
    <r>
      <rPr>
        <sz val="12"/>
        <rFont val="Times New Roman"/>
        <family val="1"/>
      </rPr>
      <t>Grade Concrete for</t>
    </r>
    <r>
      <rPr>
        <b/>
        <sz val="12"/>
        <rFont val="Times New Roman"/>
        <family val="1"/>
      </rPr>
      <t xml:space="preserve"> RCC works </t>
    </r>
    <r>
      <rPr>
        <sz val="12"/>
        <rFont val="Times New Roman"/>
        <family val="1"/>
      </rPr>
      <t xml:space="preserve"> excluding the cost and fabrication of reinforcement grills, shuttering and centering but including vibrating, laying, curing and finishing etc., complying with relevant standard specifications in the following floors.</t>
    </r>
  </si>
  <si>
    <t>a. Foundation and basement</t>
  </si>
  <si>
    <t>Garage Flooring</t>
  </si>
  <si>
    <t>Column up to Basement lvl top</t>
  </si>
  <si>
    <t>a. In Ground Floor</t>
  </si>
  <si>
    <t>Tie beam</t>
  </si>
  <si>
    <t>Entrance lobby roof</t>
  </si>
  <si>
    <t>d/f Staircase area</t>
  </si>
  <si>
    <t>Garage horizontal beams</t>
  </si>
  <si>
    <t>beam b/w lobby and watcher,SFO room</t>
  </si>
  <si>
    <t>beam b/w entrance lobby outer</t>
  </si>
  <si>
    <t>building entrance front ,middle and lobby rear</t>
  </si>
  <si>
    <t>lift L shape beam</t>
  </si>
  <si>
    <t>SFO Toilet rear side</t>
  </si>
  <si>
    <t>flight I &amp; II</t>
  </si>
  <si>
    <t>Mid landing</t>
  </si>
  <si>
    <t>Mid landing beam</t>
  </si>
  <si>
    <t>Steps</t>
  </si>
  <si>
    <t>SFO room Loft</t>
  </si>
  <si>
    <t>Lintel &amp; Sile slab</t>
  </si>
  <si>
    <t>MD</t>
  </si>
  <si>
    <t>TD</t>
  </si>
  <si>
    <t>D1</t>
  </si>
  <si>
    <t>LD</t>
  </si>
  <si>
    <t>W1</t>
  </si>
  <si>
    <t>V1</t>
  </si>
  <si>
    <t>Sile slab</t>
  </si>
  <si>
    <t>Sunshade W1</t>
  </si>
  <si>
    <t>b. First Floor</t>
  </si>
  <si>
    <t>Restroom and Garage Vertical beams</t>
  </si>
  <si>
    <t>Restroom and Garage horizontal beams</t>
  </si>
  <si>
    <t>D2</t>
  </si>
  <si>
    <t>Rest room loft lintel</t>
  </si>
  <si>
    <t>Rest room loft</t>
  </si>
  <si>
    <t>SOT room Loft lintel</t>
  </si>
  <si>
    <t>SOT room Loft</t>
  </si>
  <si>
    <t>c.Second  Floor</t>
  </si>
  <si>
    <t xml:space="preserve"> Roof slab @ 6.10 m Lvl</t>
  </si>
  <si>
    <t>W</t>
  </si>
  <si>
    <t>Sunshade W</t>
  </si>
  <si>
    <t>ADFO loft lintel</t>
  </si>
  <si>
    <t xml:space="preserve">ADFO loft </t>
  </si>
  <si>
    <t>DFO room Loft lintel</t>
  </si>
  <si>
    <t>DFO room Loft</t>
  </si>
  <si>
    <t>Store and office room Loft lintel</t>
  </si>
  <si>
    <t>Store and office room room Loft</t>
  </si>
  <si>
    <t>d.Thrid  Floor</t>
  </si>
  <si>
    <t xml:space="preserve"> Roof slab </t>
  </si>
  <si>
    <t>ADFO,DFO roof</t>
  </si>
  <si>
    <t>Store &amp; office</t>
  </si>
  <si>
    <t>Waiting room roof</t>
  </si>
  <si>
    <t>Store and pantry loft lintel</t>
  </si>
  <si>
    <t xml:space="preserve">Store and pantry loft </t>
  </si>
  <si>
    <t>JD and Restroom Loft lintel</t>
  </si>
  <si>
    <t xml:space="preserve">JD and Restroom Loft </t>
  </si>
  <si>
    <t>e.Fourth Floor</t>
  </si>
  <si>
    <t>Head room Roof slab &amp; Beam</t>
  </si>
  <si>
    <t>Slab</t>
  </si>
  <si>
    <t>Longer side</t>
  </si>
  <si>
    <t>shorter side</t>
  </si>
  <si>
    <t>OHT  beam &amp; base Slab</t>
  </si>
  <si>
    <t>wall concrete</t>
  </si>
  <si>
    <t>Cover slab</t>
  </si>
  <si>
    <t>Lintel Beam</t>
  </si>
  <si>
    <t>Headroom grill door</t>
  </si>
  <si>
    <t>Headroom grill door sunshade</t>
  </si>
  <si>
    <r>
      <t xml:space="preserve">Brick work in cm 1:5 (One of cement and five of sand) using chamber burnt bricks of size 9”x4½”x3” (23x11.4x7.5 cm) in </t>
    </r>
    <r>
      <rPr>
        <b/>
        <sz val="12"/>
        <rFont val="Times New Roman"/>
        <family val="1"/>
      </rPr>
      <t>foundation and basement</t>
    </r>
    <r>
      <rPr>
        <sz val="12"/>
        <rFont val="Times New Roman"/>
        <family val="1"/>
      </rPr>
      <t xml:space="preserve"> including dewatering wherever necessary proper setting, curing etc., complete with relevant standard specifications.</t>
    </r>
  </si>
  <si>
    <t>Deduction</t>
  </si>
  <si>
    <r>
      <t>Brick work in Cement Mortar 1:6</t>
    </r>
    <r>
      <rPr>
        <sz val="12"/>
        <rFont val="Times New Roman"/>
        <family val="1"/>
      </rPr>
      <t xml:space="preserve"> </t>
    </r>
    <r>
      <rPr>
        <b/>
        <sz val="12"/>
        <rFont val="Times New Roman"/>
        <family val="1"/>
      </rPr>
      <t>(23x11.4x 7.5cm)</t>
    </r>
    <r>
      <rPr>
        <sz val="12"/>
        <rFont val="Times New Roman"/>
        <family val="1"/>
      </rPr>
      <t xml:space="preserve"> for super structure in the following floors including labour for fixing the doors, windows and ventilator frames in position, fixing of hold fasts, scaffoldings, curing etc., complete in all respect complying with relevant standard specifications and drawings.</t>
    </r>
  </si>
  <si>
    <t>a) Ground Floor</t>
  </si>
  <si>
    <t xml:space="preserve">Deduction </t>
  </si>
  <si>
    <t xml:space="preserve">c) Second Floor </t>
  </si>
  <si>
    <t xml:space="preserve">d) Third Floor </t>
  </si>
  <si>
    <t>Parapet</t>
  </si>
  <si>
    <t>Head room parapet wall</t>
  </si>
  <si>
    <t>D/F D Door</t>
  </si>
  <si>
    <r>
      <t>Brick partition wall in Cement Mortar 1:4</t>
    </r>
    <r>
      <rPr>
        <sz val="12"/>
        <rFont val="Times New Roman"/>
        <family val="1"/>
      </rPr>
      <t xml:space="preserve"> (One of cement and four of sand) </t>
    </r>
    <r>
      <rPr>
        <b/>
        <sz val="12"/>
        <rFont val="Times New Roman"/>
        <family val="1"/>
      </rPr>
      <t>114mm</t>
    </r>
    <r>
      <rPr>
        <sz val="12"/>
        <rFont val="Times New Roman"/>
        <family val="1"/>
      </rPr>
      <t xml:space="preserve"> thick for super structure in the following floors using chamber burnt bricks of size 9”x4½”x3” </t>
    </r>
    <r>
      <rPr>
        <b/>
        <sz val="12"/>
        <rFont val="Times New Roman"/>
        <family val="1"/>
      </rPr>
      <t>(23x11.4x7.5cm)</t>
    </r>
    <r>
      <rPr>
        <sz val="12"/>
        <rFont val="Times New Roman"/>
        <family val="1"/>
      </rPr>
      <t xml:space="preserve"> including labour for fixing the doors, windows and ventilator frames in position, fixing of hold fasts, scaffoldings, curing etc., complete in all respect complying with relevant standard specifications and drawings.</t>
    </r>
  </si>
  <si>
    <t>b) Ground Floor</t>
  </si>
  <si>
    <t>SO Toilet</t>
  </si>
  <si>
    <r>
      <t>Brick partition wall in Cement Mortar 1:4</t>
    </r>
    <r>
      <rPr>
        <sz val="12"/>
        <rFont val="Times New Roman"/>
        <family val="1"/>
      </rPr>
      <t xml:space="preserve"> (One of cement and four of sand) 75</t>
    </r>
    <r>
      <rPr>
        <b/>
        <sz val="12"/>
        <rFont val="Times New Roman"/>
        <family val="1"/>
      </rPr>
      <t>mm</t>
    </r>
    <r>
      <rPr>
        <sz val="12"/>
        <rFont val="Times New Roman"/>
        <family val="1"/>
      </rPr>
      <t xml:space="preserve"> thick for super structure in the following floors using chamber burnt bricks of size 9”x4½”x3” </t>
    </r>
    <r>
      <rPr>
        <b/>
        <sz val="12"/>
        <rFont val="Times New Roman"/>
        <family val="1"/>
      </rPr>
      <t>(23x11.4x7.5cm)</t>
    </r>
    <r>
      <rPr>
        <sz val="12"/>
        <rFont val="Times New Roman"/>
        <family val="1"/>
      </rPr>
      <t xml:space="preserve"> including labour for fixing the doors, windows and ventilator frames in position, fixing of hold fasts, scaffoldings, curing etc., complete in all respect complying with relevant standard specifications and drawings.</t>
    </r>
  </si>
  <si>
    <t xml:space="preserve">a)Ground Floor </t>
  </si>
  <si>
    <t xml:space="preserve">b)First Floor </t>
  </si>
  <si>
    <t>Driver room</t>
  </si>
  <si>
    <t>SOT room</t>
  </si>
  <si>
    <t>Rest room</t>
  </si>
  <si>
    <t xml:space="preserve">c)Second Floor </t>
  </si>
  <si>
    <r>
      <t>Filling</t>
    </r>
    <r>
      <rPr>
        <sz val="12"/>
        <rFont val="Times New Roman"/>
        <family val="1"/>
      </rPr>
      <t xml:space="preserve"> in foundation and basement and other similar works with </t>
    </r>
    <r>
      <rPr>
        <b/>
        <sz val="12"/>
        <rFont val="Times New Roman"/>
        <family val="1"/>
      </rPr>
      <t xml:space="preserve">Excavated earth </t>
    </r>
    <r>
      <rPr>
        <sz val="12"/>
        <rFont val="Times New Roman"/>
        <family val="1"/>
      </rPr>
      <t>in layers of 150mm thick well watered rammed and consolidated complying with relevant standard specification etc., all complete and as directed by the departmental officers.</t>
    </r>
  </si>
  <si>
    <t>Precast Cupboard slab 20 mm tk.using standardised concrete mix M25 (annexure)</t>
  </si>
  <si>
    <t>Cuddappah slab20 mm tk.</t>
  </si>
  <si>
    <t>15.II</t>
  </si>
  <si>
    <t>Precast cupboard slab 40 mm tkusing standardised concrete mix M25 (annexure)</t>
  </si>
  <si>
    <t>Teak wood Wrought &amp; Put up</t>
  </si>
  <si>
    <t>a. T.W. over 2 m &amp; below 3 m</t>
  </si>
  <si>
    <t>b. T.W. below 2 m length.</t>
  </si>
  <si>
    <r>
      <t>Supply and fixing of best approved superior variety</t>
    </r>
    <r>
      <rPr>
        <b/>
        <sz val="12"/>
        <rFont val="Times New Roman"/>
        <family val="1"/>
      </rPr>
      <t xml:space="preserve"> magnetic door catches </t>
    </r>
    <r>
      <rPr>
        <sz val="12"/>
        <rFont val="Times New Roman"/>
        <family val="1"/>
      </rPr>
      <t>suitable for doors including cost of door catches, Aluminium / Stainless steel screws fixing in position etc complete and as directed by the departmental officers. (The quality and brand shall be got approved from the Executive Engineer before use)</t>
    </r>
  </si>
  <si>
    <t>No.s</t>
  </si>
  <si>
    <r>
      <t xml:space="preserve">Supplying of </t>
    </r>
    <r>
      <rPr>
        <b/>
        <sz val="12"/>
        <rFont val="Times New Roman"/>
        <family val="1"/>
      </rPr>
      <t>mild steel holdfasts</t>
    </r>
    <r>
      <rPr>
        <sz val="12"/>
        <rFont val="Times New Roman"/>
        <family val="1"/>
      </rPr>
      <t xml:space="preserve"> horizontally twisted of size 230x40x4mm with pair of suitable iron screws.</t>
    </r>
  </si>
  <si>
    <t xml:space="preserve">Say </t>
  </si>
  <si>
    <r>
      <t>Flooring</t>
    </r>
    <r>
      <rPr>
        <sz val="12"/>
        <rFont val="Times New Roman"/>
        <family val="1"/>
      </rPr>
      <t xml:space="preserve"> with a bed of CC 1:5:10  (one of cement, five of sand and ten of stone jelly) using 40mm size broken stone jelly and top left rough to receive the floor finish with required slopes including ramming, curing etc., all complete complying with relevant standard specifications.</t>
    </r>
  </si>
  <si>
    <r>
      <t>Plastering the top of flooring</t>
    </r>
    <r>
      <rPr>
        <sz val="12"/>
        <rFont val="Times New Roman"/>
        <family val="1"/>
      </rPr>
      <t xml:space="preserve"> in cm 1:4 (One of cement and four of sand) 20mm thick including surface rendered smooth including providing proper slopes, thread lining, curing and 150mm wide skirting al-round with the same cement mortar etc., complete in all respects.</t>
    </r>
  </si>
  <si>
    <t>Inspection chamber bottom</t>
  </si>
  <si>
    <r>
      <t xml:space="preserve">Finishing the top of flooring with cement concrete 1:3 (One of cement and three of blue granite chips of size 10mm and below) 20 mm thick </t>
    </r>
    <r>
      <rPr>
        <b/>
        <sz val="12"/>
        <rFont val="Times New Roman"/>
        <family val="1"/>
      </rPr>
      <t xml:space="preserve">Ellis Pattern Flooring </t>
    </r>
    <r>
      <rPr>
        <sz val="12"/>
        <rFont val="Times New Roman"/>
        <family val="1"/>
      </rPr>
      <t>(No Sand) and surface rendered smooth including 150mm wide skirting, providing proper slopes, thread lining, curing etc., complete in all floors complying with relevant standard specifications.</t>
    </r>
  </si>
  <si>
    <t xml:space="preserve">Water tank Cover slab and bottom bed </t>
  </si>
  <si>
    <t>Weathering course</t>
  </si>
  <si>
    <t>SFO Toilet</t>
  </si>
  <si>
    <r>
      <t>Plastering with cm 1:5</t>
    </r>
    <r>
      <rPr>
        <sz val="12"/>
        <rFont val="Times New Roman"/>
        <family val="1"/>
      </rPr>
      <t xml:space="preserve"> (One of cement and five of sand) 12mm thick finished with neat cement including providing band cornice, ceiling cornice, curing, scaffolding, etc., complete in all respects and complying with relevant standard specifications.</t>
    </r>
  </si>
  <si>
    <t>Plastering Inner</t>
  </si>
  <si>
    <t>staircase area</t>
  </si>
  <si>
    <t>Corridor</t>
  </si>
  <si>
    <t>SFO</t>
  </si>
  <si>
    <t>First Floor</t>
  </si>
  <si>
    <t>WC</t>
  </si>
  <si>
    <t>Second Floor</t>
  </si>
  <si>
    <t>Toilet</t>
  </si>
  <si>
    <t>Passage</t>
  </si>
  <si>
    <t>ADFO toilet</t>
  </si>
  <si>
    <t>Stair area</t>
  </si>
  <si>
    <t>DFO</t>
  </si>
  <si>
    <t>Class room</t>
  </si>
  <si>
    <t>Third Floor</t>
  </si>
  <si>
    <t>Head Room</t>
  </si>
  <si>
    <t>FW</t>
  </si>
  <si>
    <t>External Plastering</t>
  </si>
  <si>
    <t>Plastering in C.M. 1:4, 12 mm tk.</t>
  </si>
  <si>
    <r>
      <t>Special ceiling plastering</t>
    </r>
    <r>
      <rPr>
        <sz val="12"/>
        <rFont val="Times New Roman"/>
        <family val="1"/>
      </rPr>
      <t xml:space="preserve"> in cement mortar 1:3 (One of cement and three of sand) 10mm thick for bottom of roof, stair, waist, landing and sunshades in all floors finished with neat cement including hacking the areas, providing band cornice, scaffolding, curing etc., complete.</t>
    </r>
  </si>
  <si>
    <t>Restroom</t>
  </si>
  <si>
    <t>DFO room</t>
  </si>
  <si>
    <t>Store room</t>
  </si>
  <si>
    <t>Loft</t>
  </si>
  <si>
    <t>Add for Sunshade</t>
  </si>
  <si>
    <t>MD bottom</t>
  </si>
  <si>
    <r>
      <t xml:space="preserve">Plastering in cm 1:5  (One of cement and five of sand) 12mm thick for </t>
    </r>
    <r>
      <rPr>
        <b/>
        <sz val="12"/>
        <rFont val="Times New Roman"/>
        <family val="1"/>
      </rPr>
      <t>border</t>
    </r>
    <r>
      <rPr>
        <sz val="12"/>
        <rFont val="Times New Roman"/>
        <family val="1"/>
      </rPr>
      <t xml:space="preserve"> finish in all floors for elevation purposes, including scaffolding, curing, finishing etc., all complete.</t>
    </r>
  </si>
  <si>
    <t>a) 150mm wide</t>
  </si>
  <si>
    <t>b) 75mm wide</t>
  </si>
  <si>
    <t>c) 50mm wide</t>
  </si>
  <si>
    <r>
      <t>White washing three coats</t>
    </r>
    <r>
      <rPr>
        <sz val="12"/>
        <rFont val="Times New Roman"/>
        <family val="1"/>
      </rPr>
      <t xml:space="preserve"> using clean shell lime slaked including cost of lime, gum, blue, brushes, including scaffolding etc., complete in all respects</t>
    </r>
  </si>
  <si>
    <t>Item no:35 ceiling  plastering area</t>
  </si>
  <si>
    <r>
      <t xml:space="preserve">Supplying and fixing </t>
    </r>
    <r>
      <rPr>
        <b/>
        <sz val="12"/>
        <rFont val="Times New Roman"/>
        <family val="1"/>
      </rPr>
      <t>Mild Steel grills</t>
    </r>
  </si>
  <si>
    <t>Painting the new wood work</t>
  </si>
  <si>
    <r>
      <t>Painting the new Iron work</t>
    </r>
    <r>
      <rPr>
        <sz val="12"/>
        <rFont val="Times New Roman"/>
        <family val="1"/>
      </rPr>
      <t xml:space="preserve"> and other similar works such as PVC /ASTM Pipes, Kerb Stone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t>
    </r>
  </si>
  <si>
    <r>
      <t>Supplying and fixing of 20mm</t>
    </r>
    <r>
      <rPr>
        <sz val="12"/>
        <rFont val="Times New Roman"/>
        <family val="1"/>
      </rPr>
      <t xml:space="preserve"> dia </t>
    </r>
    <r>
      <rPr>
        <b/>
        <sz val="12"/>
        <rFont val="Times New Roman"/>
        <family val="1"/>
      </rPr>
      <t>aluminium hanger rods</t>
    </r>
    <r>
      <rPr>
        <sz val="12"/>
        <rFont val="Times New Roman"/>
        <family val="1"/>
      </rPr>
      <t xml:space="preserve"> to the required length with aluminium end brackets including cost of screws, TW plugs and labour charges for fixing in postion etc. complete in all respects and as directed by the departmental officers</t>
    </r>
  </si>
  <si>
    <t>D size  1000 X 2100</t>
  </si>
  <si>
    <r>
      <t xml:space="preserve">Supplying and fixing of </t>
    </r>
    <r>
      <rPr>
        <b/>
        <sz val="12"/>
        <rFont val="Times New Roman"/>
        <family val="1"/>
      </rPr>
      <t xml:space="preserve">aluminium towel rails </t>
    </r>
    <r>
      <rPr>
        <sz val="12"/>
        <rFont val="Times New Roman"/>
        <family val="1"/>
      </rPr>
      <t>of 75cm long, including cost of screws, TW plugs and labour charges for fixing in position etc. complete in all respects and as directed by the departmental officers.</t>
    </r>
  </si>
  <si>
    <r>
      <t xml:space="preserve">Supplying and fixing of aluminium plate with </t>
    </r>
    <r>
      <rPr>
        <b/>
        <sz val="12"/>
        <rFont val="Times New Roman"/>
        <family val="1"/>
      </rPr>
      <t>five pins</t>
    </r>
    <r>
      <rPr>
        <sz val="12"/>
        <rFont val="Times New Roman"/>
        <family val="1"/>
      </rPr>
      <t xml:space="preserve"> for </t>
    </r>
    <r>
      <rPr>
        <b/>
        <sz val="12"/>
        <rFont val="Times New Roman"/>
        <family val="1"/>
      </rPr>
      <t>coat stand</t>
    </r>
    <r>
      <rPr>
        <sz val="12"/>
        <rFont val="Times New Roman"/>
        <family val="1"/>
      </rPr>
      <t xml:space="preserve"> including cost of plugs, nails, screws, and labour for fixing in position etc, all complete and as directed by the departmental officers.</t>
    </r>
  </si>
  <si>
    <r>
      <t xml:space="preserve">Providing and fixing iron chromium plated 8 gauge </t>
    </r>
    <r>
      <rPr>
        <b/>
        <sz val="12"/>
        <rFont val="Times New Roman"/>
        <family val="1"/>
      </rPr>
      <t>Picture hooks</t>
    </r>
    <r>
      <rPr>
        <sz val="12"/>
        <rFont val="Times New Roman"/>
        <family val="1"/>
      </rPr>
      <t xml:space="preserve"> including fixing in position etc., all complete in all respects and as directed by the departmental officers.</t>
    </r>
  </si>
  <si>
    <t xml:space="preserve">Providing precast Kerb stone in C.C. 1:3:6,  450 x 300 x 150 mm </t>
  </si>
  <si>
    <t>For Road</t>
  </si>
  <si>
    <r>
      <t xml:space="preserve">Supply and planting of </t>
    </r>
    <r>
      <rPr>
        <b/>
        <sz val="12"/>
        <rFont val="Times New Roman"/>
        <family val="1"/>
      </rPr>
      <t>avenue trees</t>
    </r>
    <r>
      <rPr>
        <sz val="12"/>
        <rFont val="Times New Roman"/>
        <family val="1"/>
      </rPr>
      <t xml:space="preserve"> including earth work excavation for pit of size 60x60x60cm filled with manure for 20cm depth and filling with river sand and red earth mix in the ratio of 1:1 for 40cm depth in the same pit and planting  etc.,</t>
    </r>
  </si>
  <si>
    <t>Bldg Outer</t>
  </si>
  <si>
    <r>
      <t xml:space="preserve">Supplying and fixing of triangular shape chicken mesh </t>
    </r>
    <r>
      <rPr>
        <b/>
        <sz val="12"/>
        <rFont val="Times New Roman"/>
        <family val="1"/>
      </rPr>
      <t xml:space="preserve">Tree guard </t>
    </r>
    <r>
      <rPr>
        <sz val="12"/>
        <rFont val="Times New Roman"/>
        <family val="1"/>
      </rPr>
      <t>using 8cm dia casurina vertical post and middle tie using country wood reeper of size 50x25mm and 25 gauge chicken mesh including labour charge for fixing the triangular tree guard and as directed by the departmental officers</t>
    </r>
  </si>
  <si>
    <r>
      <t xml:space="preserve">Supplying Fabrication and Erection in position of </t>
    </r>
    <r>
      <rPr>
        <b/>
        <sz val="12"/>
        <rFont val="Times New Roman"/>
        <family val="1"/>
      </rPr>
      <t xml:space="preserve">M.S. scheme name and layout board </t>
    </r>
  </si>
  <si>
    <t>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union, bend, coupler, nipple/ GM gate valve, check and wheel valve etc., wherever   required above the ground level including the cost of teflon tape, special clamps, nails, etc., fixing on wall to the proper gradiant and alignment and redoing the chipped of masonry etc., as directed by the departmental officers.</t>
  </si>
  <si>
    <t>32mm dia Pipe</t>
  </si>
  <si>
    <t>Third Floor Bath room</t>
  </si>
  <si>
    <t>25mm dia Pipe</t>
  </si>
  <si>
    <t>G.I Pipe 20mm dia for Hot water line (Fully Concealed in walls)</t>
  </si>
  <si>
    <t>C.I. Steps ( 5 kg)</t>
  </si>
  <si>
    <r>
      <t xml:space="preserve">Supplying and fixing 150mm x 100mm size stone ware </t>
    </r>
    <r>
      <rPr>
        <b/>
        <sz val="12"/>
        <rFont val="Times New Roman"/>
        <family val="1"/>
      </rPr>
      <t>Gully trap</t>
    </r>
    <r>
      <rPr>
        <sz val="12"/>
        <rFont val="Times New Roman"/>
        <family val="1"/>
      </rPr>
      <t xml:space="preserve"> with iron gratings over a bed of 150mm thick brick jelly concrete in CC 1:8:16 (one of cement, eight of sand and sixteen of broken brick jelly) using 40mm size brick jelly and brick masonry wall 114 mm thick using chamber burnt bricks of size 9”x4½”x3” (23x11.4x7.5cm) in Cm 1:5 (One of cement and five of sand) plastered with CM 1:3 (One of cement and three of sand) 12mm thick etc., complete and as directed by the departmental officers.</t>
    </r>
  </si>
  <si>
    <r>
      <t xml:space="preserve">Supplying and fixing of </t>
    </r>
    <r>
      <rPr>
        <b/>
        <sz val="12"/>
        <rFont val="Times New Roman"/>
        <family val="1"/>
      </rPr>
      <t>PVC Nahani Trap</t>
    </r>
    <r>
      <rPr>
        <sz val="12"/>
        <rFont val="Times New Roman"/>
        <family val="1"/>
      </rPr>
      <t xml:space="preserve"> not less than 75mm 4way / 2 way (Superior variety) </t>
    </r>
  </si>
  <si>
    <t>GF SFO Toilet</t>
  </si>
  <si>
    <t>FF Restroom Wc</t>
  </si>
  <si>
    <t>SF ADFO &amp; DFO WC</t>
  </si>
  <si>
    <t>SF LADIES AND GENTS TOILET WC</t>
  </si>
  <si>
    <t>TF JD WC</t>
  </si>
  <si>
    <r>
      <t xml:space="preserve">Supply and fixing of best approved superior variety concealed type </t>
    </r>
    <r>
      <rPr>
        <b/>
        <sz val="12"/>
        <rFont val="Times New Roman"/>
        <family val="1"/>
      </rPr>
      <t>Fibre box with M.S. Fan Hook</t>
    </r>
    <r>
      <rPr>
        <sz val="12"/>
        <rFont val="Times New Roman"/>
        <family val="1"/>
      </rPr>
      <t xml:space="preserve"> of 100mm dia, 75mm depth and 3mm thick including cost and fixing in position etc., complete and as directed by the departmental officers. (The quality should be got approved by the Executive Engineer before use).</t>
    </r>
  </si>
  <si>
    <r>
      <t xml:space="preserve">Charges for assembling and </t>
    </r>
    <r>
      <rPr>
        <b/>
        <sz val="12"/>
        <rFont val="Times New Roman"/>
        <family val="1"/>
      </rPr>
      <t>fixing of ceiling fan</t>
    </r>
    <r>
      <rPr>
        <sz val="12"/>
        <rFont val="Times New Roman"/>
        <family val="1"/>
      </rPr>
      <t xml:space="preserve"> of different sweep with necessary connections and fixing of fan regulator on the existing board etc., all complete (Excluding cost of fan)</t>
    </r>
  </si>
  <si>
    <r>
      <t xml:space="preserve">Supplying and laying of </t>
    </r>
    <r>
      <rPr>
        <b/>
        <sz val="12"/>
        <rFont val="Times New Roman"/>
        <family val="1"/>
      </rPr>
      <t>8SWG GI wire</t>
    </r>
    <r>
      <rPr>
        <sz val="12"/>
        <rFont val="Times New Roman"/>
        <family val="1"/>
      </rPr>
      <t xml:space="preserve"> on wall below ground levels with necessary ‘U’ Nails, earth work excavation and refilling etc., including cost of all materials etc., all complete.</t>
    </r>
  </si>
  <si>
    <t>For Earth station</t>
  </si>
  <si>
    <r>
      <t xml:space="preserve">Supplying, fixing and concealing T.W box of size 8"x6"x4" covered with 3mm thick hylem sheet including Cost of </t>
    </r>
    <r>
      <rPr>
        <b/>
        <sz val="12"/>
        <rFont val="Times New Roman"/>
        <family val="1"/>
      </rPr>
      <t>TV line socket / Telephone line Socket</t>
    </r>
    <r>
      <rPr>
        <sz val="12"/>
        <rFont val="Times New Roman"/>
        <family val="1"/>
      </rPr>
      <t xml:space="preserve"> etc., all complete and as directed by the departmental officers.</t>
    </r>
  </si>
  <si>
    <r>
      <t xml:space="preserve">Supplying, laying and concealing of PVC pipe of </t>
    </r>
    <r>
      <rPr>
        <b/>
        <sz val="12"/>
        <rFont val="Times New Roman"/>
        <family val="1"/>
      </rPr>
      <t>20mm dia</t>
    </r>
    <r>
      <rPr>
        <sz val="12"/>
        <rFont val="Times New Roman"/>
        <family val="1"/>
      </rPr>
      <t xml:space="preserve"> with necessary specials and other materials including Run of 1No.Fish wire (G.I.22g) for drawing </t>
    </r>
    <r>
      <rPr>
        <b/>
        <sz val="12"/>
        <rFont val="Times New Roman"/>
        <family val="1"/>
      </rPr>
      <t>cable for T.V./Telephone</t>
    </r>
    <r>
      <rPr>
        <sz val="12"/>
        <rFont val="Times New Roman"/>
        <family val="1"/>
      </rPr>
      <t xml:space="preserve"> etc., all complete and as directed by the departmental officers.</t>
    </r>
  </si>
  <si>
    <t>Providing Earthing Station IS3043 (Type I)</t>
  </si>
  <si>
    <r>
      <t xml:space="preserve">Supplying and fixing of 1 no of </t>
    </r>
    <r>
      <rPr>
        <b/>
        <sz val="12"/>
        <rFont val="Times New Roman"/>
        <family val="1"/>
      </rPr>
      <t>375x300x20mm thick TW plank</t>
    </r>
    <r>
      <rPr>
        <sz val="12"/>
        <rFont val="Times New Roman"/>
        <family val="1"/>
      </rPr>
      <t xml:space="preserve"> varnished with 1 no of 25 amps 250 volts fuse unit and 1 no copper earth plate of suitable size bolts and nuts on wall for EB service connections including cost of all materials etc., all complete (Single phase service connection)</t>
    </r>
  </si>
  <si>
    <t>Strater</t>
  </si>
  <si>
    <t>Providing pre-constructional Anti termite treatment including cost of chemicals labour as per standard specifications for preparing the area for treatment by spraying chemicals and other incidental charges etc</t>
  </si>
  <si>
    <t>Building area</t>
  </si>
  <si>
    <r>
      <t>Supplying and fixing of 300</t>
    </r>
    <r>
      <rPr>
        <b/>
        <sz val="12"/>
        <rFont val="Times New Roman"/>
        <family val="1"/>
      </rPr>
      <t xml:space="preserve"> mm dia sweep AC exhaust fan</t>
    </r>
  </si>
  <si>
    <t>Applying one coat of anticorrosive treatment on steel reinforcement rods etc.,</t>
  </si>
  <si>
    <t>Agt item No. 43.1</t>
  </si>
  <si>
    <t>Annexure</t>
  </si>
  <si>
    <t>Providing Form work and centering for reinforced cement concrete works including supports and strutting up to 3.30m height for plane surfaces as detailed below with all cross bracings using mild steel sheets of size 90cm x 60cm and MS 10 gauge stiffened with welded mild steel angles of size 25mmx25mmx3mm for boarding laid over silver oak or country wood joists of size 10cmx6.5cm spaced at about 90cm centre to centre and supported by casurina props 10cm to 13cm dia spaced at 75cm intervals and removing the same after a specified period without damaging the R.C.C works etc., complete complying with standard specification and as directed by the departmental officers.</t>
  </si>
  <si>
    <t>a. For Column footings, plinth beam, Grade beam, Raftbeam, Raft slab etc.,</t>
  </si>
  <si>
    <t>For Foundations</t>
  </si>
  <si>
    <t>b. Plain surfaces such as Roof slab, floor slab, Beams, lintels, lofts, sill slab, staircase, portico slab and other similar works</t>
  </si>
  <si>
    <t>In Ground Floor</t>
  </si>
  <si>
    <t>Tie beam sides</t>
  </si>
  <si>
    <t>Garage bay 1 &amp; 2 roof</t>
  </si>
  <si>
    <t>SFO Toilet room roof</t>
  </si>
  <si>
    <t>beam b/w watcher and garage</t>
  </si>
  <si>
    <t>Loft sides</t>
  </si>
  <si>
    <t>MD sides</t>
  </si>
  <si>
    <t>TD sides</t>
  </si>
  <si>
    <t>TD bottom</t>
  </si>
  <si>
    <t>D1 sides</t>
  </si>
  <si>
    <t>D1 bottom</t>
  </si>
  <si>
    <t>LD sides</t>
  </si>
  <si>
    <t>LD bottom</t>
  </si>
  <si>
    <t>W1 sides</t>
  </si>
  <si>
    <t>W1 bottom</t>
  </si>
  <si>
    <t>V1 Sides</t>
  </si>
  <si>
    <t>V1 bottom</t>
  </si>
  <si>
    <t>Garage roof 3 to 5 and Restroom roof</t>
  </si>
  <si>
    <t>Restroom and Garage Vertical beams sides</t>
  </si>
  <si>
    <t>Restroom and Garage Vertical beams bottom</t>
  </si>
  <si>
    <t>Restroom and Garage horizontal beams sides</t>
  </si>
  <si>
    <t>Restroom and Garage horizontal beams bottom</t>
  </si>
  <si>
    <t>beam b/w lobby and watcher,SFO room sides</t>
  </si>
  <si>
    <t>beam b/w lobby and watcher,SFO room bottom</t>
  </si>
  <si>
    <t>beam b/w entrance lobby outer sides</t>
  </si>
  <si>
    <t>beam b/w entrance lobby outer bottom</t>
  </si>
  <si>
    <t>building entrance front ,middle and lobby rear sides</t>
  </si>
  <si>
    <t>building entrance front ,middle and lobby rear bottom</t>
  </si>
  <si>
    <t>lift L shape beam sides</t>
  </si>
  <si>
    <t>lift L shape beam bottom</t>
  </si>
  <si>
    <t>flight I &amp; II sides</t>
  </si>
  <si>
    <t>flight I &amp; II bottom</t>
  </si>
  <si>
    <t>Mid landing sides</t>
  </si>
  <si>
    <t>Mid landing bottom</t>
  </si>
  <si>
    <t>Mid landing beam sides</t>
  </si>
  <si>
    <t>Mid landing beam bottom</t>
  </si>
  <si>
    <t>MD side</t>
  </si>
  <si>
    <t>D1 side</t>
  </si>
  <si>
    <t>LD side</t>
  </si>
  <si>
    <t>D2 sides</t>
  </si>
  <si>
    <t>D2 bottom</t>
  </si>
  <si>
    <t>V1 sides</t>
  </si>
  <si>
    <t>Sunshade W1 sides</t>
  </si>
  <si>
    <t>Rest room loft lintel sides</t>
  </si>
  <si>
    <t>Rest room loft side</t>
  </si>
  <si>
    <t>Rest room loft bottom</t>
  </si>
  <si>
    <t>TD side</t>
  </si>
  <si>
    <t>W sides</t>
  </si>
  <si>
    <t>W bottom</t>
  </si>
  <si>
    <t>W1bottom</t>
  </si>
  <si>
    <t>Sunshade W sides</t>
  </si>
  <si>
    <t>Sunshade W bottom</t>
  </si>
  <si>
    <t>Sunshade W1 bottom</t>
  </si>
  <si>
    <t>ADFO loft lintel sides</t>
  </si>
  <si>
    <t>ADFO loft  sides</t>
  </si>
  <si>
    <t>DFO room Loft lintel sides</t>
  </si>
  <si>
    <t>Store and office room Loft lintel sides</t>
  </si>
  <si>
    <t>Third floor</t>
  </si>
  <si>
    <t>.</t>
  </si>
  <si>
    <t>Store and pantry loft  side</t>
  </si>
  <si>
    <t>Store and pantry loft  bottom</t>
  </si>
  <si>
    <t>Cover slab bottom</t>
  </si>
  <si>
    <t>Cover slab sides</t>
  </si>
  <si>
    <t>c. For Square and rectangular columns and small quantities</t>
  </si>
  <si>
    <t xml:space="preserve">d.For vertical walls </t>
  </si>
  <si>
    <t>lift wall alround</t>
  </si>
  <si>
    <t>g.Double centering portico area</t>
  </si>
  <si>
    <t>Garage</t>
  </si>
  <si>
    <r>
      <t xml:space="preserve">Supplying and fixing Monolithic </t>
    </r>
    <r>
      <rPr>
        <b/>
        <sz val="12"/>
        <rFont val="Times New Roman"/>
        <family val="1"/>
      </rPr>
      <t>RCC door frames</t>
    </r>
    <r>
      <rPr>
        <sz val="12"/>
        <rFont val="Times New Roman"/>
        <family val="1"/>
      </rPr>
      <t xml:space="preserve"> of size 100x75mm with one edge grooves size 't' x 20 mm in reinforced cement concrete 1: 1½: 3 using 20mm Hard broken stone jelly including cost of steel and fabrication of reinforcement grills with 3 nos. of 6mm M.S. rod alround and 3mm steel stirrups at 30cm centre to centre including fixing of 3 nos of  iron bracket of size 100x100x5mm or 3 nos of Teak wood plug for receiving hinges and 2 nos of teak wood plug for receiving the tower bolts including fixing of 6 nos of hold fasts and cost and fixing of check nuts and aluminium sleeves and 2 nos iron oxide tower bolt receiver all as per drawings, fine edges, curing, transporting etc., all complete as directed by the departmental officers.</t>
    </r>
  </si>
  <si>
    <t>b.  1000 x 2100</t>
  </si>
  <si>
    <t>T.W double leaf  shutters  for cupboard/ward robes.</t>
  </si>
  <si>
    <t>T.W double leaf  shutters  for Special cupboard/ward robes.</t>
  </si>
  <si>
    <t>Teak wood panelled door Double leaf shutters</t>
  </si>
  <si>
    <t>a. 1000 x 2100 mm</t>
  </si>
  <si>
    <t>23.1.8</t>
  </si>
  <si>
    <t>21.5.2</t>
  </si>
  <si>
    <r>
      <t>Providing and fixing factory made polyvinyl chloride ( PVC )</t>
    </r>
    <r>
      <rPr>
        <sz val="12"/>
        <rFont val="Times New Roman"/>
        <family val="1"/>
      </rPr>
      <t xml:space="preserve"> Door </t>
    </r>
  </si>
  <si>
    <t>Toilet Door</t>
  </si>
  <si>
    <r>
      <t>Supplying and fixing of Colour</t>
    </r>
    <r>
      <rPr>
        <b/>
        <sz val="12"/>
        <rFont val="Times New Roman"/>
        <family val="1"/>
      </rPr>
      <t xml:space="preserve"> glazed tiles</t>
    </r>
    <r>
      <rPr>
        <sz val="12"/>
        <rFont val="Times New Roman"/>
        <family val="1"/>
      </rPr>
      <t xml:space="preserve"> (Best approved quality and the same shall be got approved from the Executive Engineer before using) over cement plastering in CM 1:2 (One of cement and two of sand) 10mm thick including fixing in position, cutting the tiles to the required size wherever necessary, pointing the joints with </t>
    </r>
    <r>
      <rPr>
        <b/>
        <sz val="12"/>
        <rFont val="Times New Roman"/>
        <family val="1"/>
      </rPr>
      <t>Grout (Tile joint filler),</t>
    </r>
    <r>
      <rPr>
        <sz val="12"/>
        <rFont val="Times New Roman"/>
        <family val="1"/>
      </rPr>
      <t xml:space="preserve"> curing, finishing etc., all complete and as directed by the departmental officers.</t>
    </r>
  </si>
  <si>
    <t>SOT toilet</t>
  </si>
  <si>
    <t>D/F door</t>
  </si>
  <si>
    <t>Jambs</t>
  </si>
  <si>
    <r>
      <t xml:space="preserve">Supplying and fixing of </t>
    </r>
    <r>
      <rPr>
        <b/>
        <sz val="12"/>
        <rFont val="Times New Roman"/>
        <family val="1"/>
      </rPr>
      <t>colour Ceramic Tiles Anti skid</t>
    </r>
    <r>
      <rPr>
        <sz val="12"/>
        <rFont val="Times New Roman"/>
        <family val="1"/>
      </rPr>
      <t xml:space="preserve">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t>
    </r>
    <r>
      <rPr>
        <b/>
        <sz val="12"/>
        <rFont val="Times New Roman"/>
        <family val="1"/>
      </rPr>
      <t>Grout (Tile joint filler)</t>
    </r>
    <r>
      <rPr>
        <sz val="12"/>
        <rFont val="Times New Roman"/>
        <family val="1"/>
      </rPr>
      <t>, curing, finishing etc., all complete and as directed by the departmental officers</t>
    </r>
  </si>
  <si>
    <r>
      <t xml:space="preserve">Painting primer </t>
    </r>
    <r>
      <rPr>
        <b/>
        <sz val="12"/>
        <rFont val="Times New Roman"/>
        <family val="1"/>
      </rPr>
      <t>coat</t>
    </r>
    <r>
      <rPr>
        <sz val="12"/>
        <rFont val="Times New Roman"/>
        <family val="1"/>
      </rPr>
      <t xml:space="preserve"> using approved quality of </t>
    </r>
    <r>
      <rPr>
        <b/>
        <sz val="12"/>
        <rFont val="Times New Roman"/>
        <family val="1"/>
      </rPr>
      <t>white cement</t>
    </r>
    <r>
      <rPr>
        <sz val="12"/>
        <rFont val="Times New Roman"/>
        <family val="1"/>
      </rPr>
      <t xml:space="preserve"> over the cement plastered / concrete wall surfaces, ceiling or other similar works including cost of white cement, putty, brushes, watering, curing, etc., all complete and as directed by the departmental officers.</t>
    </r>
  </si>
  <si>
    <t xml:space="preserve">Two coat of OBD over one coat white cement for inner walls </t>
  </si>
  <si>
    <t>Supply &amp; Installation of 3 Star Rated Air-conditioner with copper coil inculding cost of 3m Copper tube and fixing charge etc.,</t>
  </si>
  <si>
    <t xml:space="preserve">DFO </t>
  </si>
  <si>
    <t>Supply and installation of 4 KVA capacity Automatic
Voltage Stabilizer with time delay relay (V-Gurad /
Equivalent) inculding cost of labour charge and tools etc.,</t>
  </si>
  <si>
    <t>Supply and laying of 5/8" and 3/8" copper pipe (Extra beyond 3 metres supplied with AC unit) inculding cost of labour charge and tools etc.,</t>
  </si>
  <si>
    <t>Supply and fixing of Ac drain pipe including cost of materials and labour etc., SOR -2018-19</t>
  </si>
  <si>
    <r>
      <t xml:space="preserve">Supplying, laying, fixing and jointing the following </t>
    </r>
    <r>
      <rPr>
        <b/>
        <sz val="12"/>
        <rFont val="Times New Roman"/>
        <family val="1"/>
      </rPr>
      <t>PVC pipes as per ASTM D</t>
    </r>
    <r>
      <rPr>
        <sz val="12"/>
        <rFont val="Times New Roman"/>
        <family val="1"/>
      </rPr>
      <t xml:space="preserve"> - 1785 of schedule 40 of wall thickness not less than the specified in IS 4985 suitable for plumbing by threading of wall thickness including the cost of suitable PVC/GI specials / GM specials like Elbow, Tee reducers, Plug, unions, bend, coupler, nipple / GM gate valve, check and wheel valve etc., wherever required above the ground level including the cost of teflon tape etc., Fully concealed in walls to the proper gradient and Alignment and redoing the Chipped portion of Masonry etc., all complete and as directed by the departmental officers.</t>
    </r>
  </si>
  <si>
    <t>c) 20mm ASTM D schedule 40 threaded Pvc pipe with necessary PVC/GI specials</t>
  </si>
  <si>
    <t>S&amp;F of C.I Manhole cover 60 x 60 cm (50kg weight )</t>
  </si>
  <si>
    <t>Bore well Chamber</t>
  </si>
  <si>
    <t>Sump</t>
  </si>
  <si>
    <t>For Tank</t>
  </si>
  <si>
    <r>
      <t>Supplying and fixing of porcelin</t>
    </r>
    <r>
      <rPr>
        <b/>
        <sz val="12"/>
        <rFont val="Times New Roman"/>
        <family val="1"/>
      </rPr>
      <t xml:space="preserve"> wash hand basin</t>
    </r>
    <r>
      <rPr>
        <sz val="12"/>
        <rFont val="Times New Roman"/>
        <family val="1"/>
      </rPr>
      <t xml:space="preserve"> (white without pedastal), superior variety of size 550x400mm with all accessories such as powder coated cast iron brackets, 32mm dia C.P. waste coupling, Rubber plug and aluminium chain, 32mm dia 'B' class G.I. / PVC waste pipe, Angle Valve, 15mm dia Nylon connection, 15mm dia Brass Nipples, 15mm C.P. pillar tap &amp; required grating etc., complete in all respects (wash hand basin shall be got approved by the Executive Engineer before fixing).</t>
    </r>
  </si>
  <si>
    <t>54.1.1</t>
  </si>
  <si>
    <t>Supplying and fixing of Engineering polymer Long body tap(Half Turn)</t>
  </si>
  <si>
    <t>54.2.1</t>
  </si>
  <si>
    <t>Supplying and fixing of Engineering polymerbody tap(Half Turn)</t>
  </si>
  <si>
    <t>Supplying and fixing of EWC superior variety (White)</t>
  </si>
  <si>
    <t xml:space="preserve">S &amp; F of Indian Water closet white glazed (Oriya type) of size 580 x 440mm  - Other than  G.F.  </t>
  </si>
  <si>
    <t>Supplying, Laying &amp; Concealing the 50mm dia PVC (SWR) Pipe with ISI Mark etc.,</t>
  </si>
  <si>
    <t xml:space="preserve">Waste pipe </t>
  </si>
  <si>
    <t>PVC SWR pipe (Soil line) with ISI mark - type 'B'.</t>
  </si>
  <si>
    <t>110mm dia Pipe</t>
  </si>
  <si>
    <t>75mm dia Pipe</t>
  </si>
  <si>
    <t>Wiring with 1.5 sqmm PVC insulated single core multi strand fire retardant flexible copper cable with ISI mark confirming IS: 694:1990.
( PVC Box , Fire Retarded Box) For Coastal only</t>
  </si>
  <si>
    <t>a) light point with ceiling rose</t>
  </si>
  <si>
    <t>b. Light point without ceiling rose</t>
  </si>
  <si>
    <t>c)Calling bell point</t>
  </si>
  <si>
    <r>
      <t>Wiring with 1.5 sqmm PVC insulated single core multi strand fire retardant flexible copper cable with ISI mark confirming IS: 694:1990 for Fan point</t>
    </r>
    <r>
      <rPr>
        <sz val="12"/>
        <rFont val="Times New Roman"/>
        <family val="1"/>
      </rPr>
      <t>.(</t>
    </r>
    <r>
      <rPr>
        <b/>
        <sz val="12"/>
        <rFont val="Times New Roman"/>
        <family val="1"/>
      </rPr>
      <t>PVC Electrical Box )</t>
    </r>
  </si>
  <si>
    <r>
      <t xml:space="preserve">Wiring with 1.5 sqmm PVC insulated single core multi strand fire retardant flexible copper cable with ISI mark confirming IS: 694:1990 for </t>
    </r>
    <r>
      <rPr>
        <b/>
        <sz val="12"/>
        <rFont val="Times New Roman"/>
        <family val="1"/>
      </rPr>
      <t>Staircase Light Point</t>
    </r>
    <r>
      <rPr>
        <sz val="12"/>
        <rFont val="Times New Roman"/>
        <family val="1"/>
      </rPr>
      <t>.</t>
    </r>
    <r>
      <rPr>
        <b/>
        <sz val="12"/>
        <rFont val="Times New Roman"/>
        <family val="1"/>
      </rPr>
      <t>(PVC Electrical Box )</t>
    </r>
  </si>
  <si>
    <t>For Staircase</t>
  </si>
  <si>
    <r>
      <t xml:space="preserve">Wiring with 1.5 sqmm PVC insulated single core multi strand fire retardant flexible copper cable with ISI mark confirming IS: 694:1990 for </t>
    </r>
    <r>
      <rPr>
        <b/>
        <sz val="12"/>
        <rFont val="Times New Roman"/>
        <family val="1"/>
      </rPr>
      <t>5 amps 5 pin plug socket point @ Switch Board Itself</t>
    </r>
    <r>
      <rPr>
        <sz val="12"/>
        <rFont val="Times New Roman"/>
        <family val="1"/>
      </rPr>
      <t>.</t>
    </r>
  </si>
  <si>
    <r>
      <t xml:space="preserve">Wiring with 1.5 sqmm PVC insulated single core multi strand fire retardant flexible copper cable with ISI mark confirming IS: 694:1990 for </t>
    </r>
    <r>
      <rPr>
        <b/>
        <sz val="12"/>
        <rFont val="Times New Roman"/>
        <family val="1"/>
      </rPr>
      <t>5 amps 5 pin plug socket point @ Convenient Places.(PVC Electrical Box )</t>
    </r>
  </si>
  <si>
    <r>
      <t xml:space="preserve">Supplying and fixing of 15 Amps 3 pin flush type plug using </t>
    </r>
    <r>
      <rPr>
        <b/>
        <sz val="12"/>
        <rFont val="Times New Roman"/>
        <family val="1"/>
      </rPr>
      <t>( PVC Box , Fire Retarded Box)</t>
    </r>
  </si>
  <si>
    <r>
      <t xml:space="preserve">Supply and delivery of following Electric </t>
    </r>
    <r>
      <rPr>
        <b/>
        <sz val="12"/>
        <rFont val="Times New Roman"/>
        <family val="1"/>
      </rPr>
      <t>Celling fan</t>
    </r>
    <r>
      <rPr>
        <sz val="12"/>
        <rFont val="Times New Roman"/>
        <family val="1"/>
      </rPr>
      <t xml:space="preserve"> with </t>
    </r>
    <r>
      <rPr>
        <b/>
        <sz val="12"/>
        <rFont val="Times New Roman"/>
        <family val="1"/>
      </rPr>
      <t>ISI</t>
    </r>
    <r>
      <rPr>
        <sz val="12"/>
        <rFont val="Times New Roman"/>
        <family val="1"/>
      </rPr>
      <t>).</t>
    </r>
  </si>
  <si>
    <t>a) 48" Electric Fan 1200mm Sweep</t>
  </si>
  <si>
    <t>Run of 2 wires of 4 sqmm with continuous earth by means of 2.5sqmm</t>
  </si>
  <si>
    <t>First floor(From DB to AC Socket)</t>
  </si>
  <si>
    <t>108.6.1</t>
  </si>
  <si>
    <r>
      <t>Run of 4 Wires of 10 sqmm</t>
    </r>
    <r>
      <rPr>
        <sz val="12"/>
        <rFont val="Times New Roman"/>
        <family val="1"/>
      </rPr>
      <t xml:space="preserve"> PVC insulated single core multi strand </t>
    </r>
  </si>
  <si>
    <t>Providing Rain water harvesting pit by augeing etc.,</t>
  </si>
  <si>
    <t>a) Providing Pit</t>
  </si>
  <si>
    <t>b. Augering 30 cm dia</t>
  </si>
  <si>
    <t>For Rain water</t>
  </si>
  <si>
    <r>
      <t xml:space="preserve">Supplying and fixing of 110mm dia PVC SWR pipe with ISI mark confirming to IS 13952:1992- type 'A' for </t>
    </r>
    <r>
      <rPr>
        <b/>
        <sz val="12"/>
        <rFont val="Times New Roman"/>
        <family val="1"/>
      </rPr>
      <t>Rain water down fall pipe</t>
    </r>
    <r>
      <rPr>
        <sz val="12"/>
        <rFont val="Times New Roman"/>
        <family val="1"/>
      </rPr>
      <t xml:space="preserve"> with relevant specials such as gratings,  shoes, bends, offsets confirming to </t>
    </r>
  </si>
  <si>
    <t xml:space="preserve">For Terrace </t>
  </si>
  <si>
    <t>For Head room Terrce</t>
  </si>
  <si>
    <r>
      <t xml:space="preserve">Supply &amp; Fixing of </t>
    </r>
    <r>
      <rPr>
        <b/>
        <sz val="12"/>
        <rFont val="Times New Roman"/>
        <family val="1"/>
      </rPr>
      <t>Bevelled edge mirror</t>
    </r>
    <r>
      <rPr>
        <sz val="12"/>
        <rFont val="Times New Roman"/>
        <family val="1"/>
      </rPr>
      <t xml:space="preserve"> of approved quality and brand of size</t>
    </r>
    <r>
      <rPr>
        <b/>
        <sz val="12"/>
        <rFont val="Times New Roman"/>
        <family val="1"/>
      </rPr>
      <t xml:space="preserve"> 500 x 400 x 5.5mm</t>
    </r>
    <r>
      <rPr>
        <sz val="12"/>
        <rFont val="Times New Roman"/>
        <family val="1"/>
      </rPr>
      <t xml:space="preserve"> </t>
    </r>
  </si>
  <si>
    <t xml:space="preserve">Second Floor </t>
  </si>
  <si>
    <t xml:space="preserve">Third Floor </t>
  </si>
  <si>
    <t>Anticorrosive for steel window grills</t>
  </si>
  <si>
    <t>Supply and fixng of 32 Amps ELCB three phase</t>
  </si>
  <si>
    <t>DB</t>
  </si>
  <si>
    <t xml:space="preserve">Supply and fixing of 40mm dia GI pipe </t>
  </si>
  <si>
    <t>Plastering with cm 1:3 WPC</t>
  </si>
  <si>
    <t>For Over head water tank</t>
  </si>
  <si>
    <t>Water tank inner wall allaround</t>
  </si>
  <si>
    <t>tank flooring</t>
  </si>
  <si>
    <t>207.3.1</t>
  </si>
  <si>
    <t>External Plastering Qty</t>
  </si>
  <si>
    <t>Providing wooden Melamine polish for new wood work</t>
  </si>
  <si>
    <t>Main door</t>
  </si>
  <si>
    <t xml:space="preserve">Item no.33 Plastering in cm 1:5,12mm thick area(Internal Plastering -A) </t>
  </si>
  <si>
    <t>Supply and fixing of Vitrified Tiles (Ivory)</t>
  </si>
  <si>
    <t xml:space="preserve">Midlanding </t>
  </si>
  <si>
    <t>From EB Pole to Meter board</t>
  </si>
  <si>
    <t xml:space="preserve">Supplying and fixing of brass cable gland suitable for 3.5 core 70 Sq.mm PVC armoured LTUG cable  </t>
  </si>
  <si>
    <t>EB service</t>
  </si>
  <si>
    <t xml:space="preserve">Providing end termination  for 3.5 core 70 Sq.mm PVC armoured LTUG cable  </t>
  </si>
  <si>
    <t>Supplying and fixing of 3.5 core 70Sq.mm PVC armoured LTUG cable (Below G.L)</t>
  </si>
  <si>
    <t>Supplying and fixing of UPVC Louver ventilator the profile outer size of 60mm x 58mm shutter</t>
  </si>
  <si>
    <t>832.5.2</t>
  </si>
  <si>
    <t>Supplying and fixing of UPVC window casement type open from the profile outer size of 60mm x 58mm shutter</t>
  </si>
  <si>
    <t>Supplying and laying of Granite tiles 1:3, 10mm tk</t>
  </si>
  <si>
    <t>Finishing the top of Terrace floor with one course of solar reflective water proof tiles etc.,</t>
  </si>
  <si>
    <t>Scrting</t>
  </si>
  <si>
    <t xml:space="preserve">Supply and laying of SN8 PVC Pipe for Sewage </t>
  </si>
  <si>
    <t xml:space="preserve">a) 100mm dia </t>
  </si>
  <si>
    <t>Between I.C/I.C</t>
  </si>
  <si>
    <t xml:space="preserve">a) 150mm dia </t>
  </si>
  <si>
    <t>From Man hole to manhole</t>
  </si>
  <si>
    <t>PVC Specials  as per IS 10124/1982 Part II</t>
  </si>
  <si>
    <t xml:space="preserve">a. 110 mm dia PVC bend </t>
  </si>
  <si>
    <t>b. 160 mm dia PVC bend</t>
  </si>
  <si>
    <t xml:space="preserve">PVC Equal Tee  as per  BIS 7834/1975 </t>
  </si>
  <si>
    <t>a. 110 mm dia PVC Equal tee</t>
  </si>
  <si>
    <t>b. 160 mm dia PVC Equal tee</t>
  </si>
  <si>
    <t>Supplying, fabricating and placing in position of Mild steel Grills/Ribbed Tor Steels (with out Cement Slurry) etc.,</t>
  </si>
  <si>
    <t>For ConcreteFoundation &amp; Basement</t>
  </si>
  <si>
    <t>For Concrete GF</t>
  </si>
  <si>
    <t>For Concrete FF</t>
  </si>
  <si>
    <t>For Concrete SF</t>
  </si>
  <si>
    <t>For Concrete TF</t>
  </si>
  <si>
    <t>S &amp; F of A/C metal clad switch</t>
  </si>
  <si>
    <t>Supply and fixing of LEDBulb for suitable for fixing etc.,</t>
  </si>
  <si>
    <t>a. 9w bulb for Bath &amp; WC</t>
  </si>
  <si>
    <t>Bath room</t>
  </si>
  <si>
    <t>Staircase</t>
  </si>
  <si>
    <t>Supply and fixing of bulk head fitting 12w LED</t>
  </si>
  <si>
    <t>Supply fixing of 18 watts LED tub light and including fixing the tube light fitting on Teak wood round blocks of 75mm dia 40mm deep suspended from ceiling or mounted on the wall including cost of all materials and labour for fixing in position and as directed by the departmental officers (The entire fitting should be got approved from the Executive Engineer before use)</t>
  </si>
  <si>
    <t>Supply, fiing of 25W LED street light etc.,</t>
  </si>
  <si>
    <r>
      <t xml:space="preserve">Supplying and fixing of </t>
    </r>
    <r>
      <rPr>
        <b/>
        <sz val="12"/>
        <rFont val="Times New Roman"/>
        <family val="1"/>
      </rPr>
      <t xml:space="preserve">250watts Metal halide flood light </t>
    </r>
    <r>
      <rPr>
        <sz val="12"/>
        <rFont val="Times New Roman"/>
        <family val="1"/>
      </rPr>
      <t>fitting</t>
    </r>
  </si>
  <si>
    <t xml:space="preserve">Fire Station </t>
  </si>
  <si>
    <r>
      <t xml:space="preserve">Supplying and fixing of </t>
    </r>
    <r>
      <rPr>
        <b/>
        <sz val="12"/>
        <rFont val="Times New Roman"/>
        <family val="1"/>
      </rPr>
      <t>CP Shower Arm with Overhead Shower Rose</t>
    </r>
    <r>
      <rPr>
        <sz val="12"/>
        <rFont val="Times New Roman"/>
        <family val="1"/>
      </rPr>
      <t xml:space="preserve"> </t>
    </r>
    <r>
      <rPr>
        <b/>
        <sz val="12"/>
        <rFont val="Times New Roman"/>
        <family val="1"/>
      </rPr>
      <t xml:space="preserve"> </t>
    </r>
  </si>
  <si>
    <r>
      <t xml:space="preserve">Supplying and fixing of </t>
    </r>
    <r>
      <rPr>
        <b/>
        <sz val="12"/>
        <rFont val="Times New Roman"/>
        <family val="1"/>
      </rPr>
      <t xml:space="preserve">angle cock </t>
    </r>
  </si>
  <si>
    <r>
      <t xml:space="preserve">Supplying and fixing of </t>
    </r>
    <r>
      <rPr>
        <b/>
        <sz val="12"/>
        <rFont val="Times New Roman"/>
        <family val="1"/>
      </rPr>
      <t>Stop cock</t>
    </r>
  </si>
  <si>
    <t xml:space="preserve">Supplying and fixing of  Health Faucet </t>
  </si>
  <si>
    <t>Supply and fixing of SFRC cover slab including cost of fixing charges, transporting and etc., completed as directed by the departmental officers.</t>
  </si>
  <si>
    <t>Fires Station</t>
  </si>
  <si>
    <r>
      <t xml:space="preserve">Supplying and fixing of Aluminium TNPHC Emblem of </t>
    </r>
    <r>
      <rPr>
        <b/>
        <sz val="12"/>
        <rFont val="Times New Roman"/>
        <family val="1"/>
      </rPr>
      <t>18" height</t>
    </r>
    <r>
      <rPr>
        <sz val="12"/>
        <rFont val="Times New Roman"/>
        <family val="1"/>
      </rPr>
      <t xml:space="preserve"> with approved colour power coat in finishing matt including cost of materials, necessary drilling holes, packing cement mortar supporting the letter cement base bolts and fixing charges etc. complete and as directed by the departmental officers.</t>
    </r>
  </si>
  <si>
    <t>TNPHC Emblem</t>
  </si>
  <si>
    <t xml:space="preserve">Supplying and fixing of 9" Height Aluminium letters </t>
  </si>
  <si>
    <t>Supply and fixing of 20" x 5" Size plastic foam name plate</t>
  </si>
  <si>
    <t>Supply and fixing of 24" x 8" plastic foam name plate with vinyl cutting letters RWH Board with approved colour etc. complete and as directed by the departmental officers.</t>
  </si>
  <si>
    <t>Fire Station</t>
  </si>
  <si>
    <t>Suppling and laying granite wall cladding  in C.M(1:2)</t>
  </si>
  <si>
    <t>GF Lift wall</t>
  </si>
  <si>
    <t>D/f lift door</t>
  </si>
  <si>
    <t xml:space="preserve">Supply &amp; Fixing of Sliding Solid core PVC Shutter with frame </t>
  </si>
  <si>
    <t>GENERAL ABSTRACT</t>
  </si>
  <si>
    <t>BUILDING WORKS</t>
  </si>
  <si>
    <t xml:space="preserve"> AS PER PWD SR 2022-2023</t>
  </si>
  <si>
    <t>Main building</t>
  </si>
  <si>
    <t>1 unit</t>
  </si>
  <si>
    <t>SUB - TOTAL - I Rs.</t>
  </si>
  <si>
    <t>Development works</t>
  </si>
  <si>
    <t xml:space="preserve">Genset </t>
  </si>
  <si>
    <t>SUB - TOTAL - II Rs.</t>
  </si>
  <si>
    <t>SUB - TOTAL - III Rs.</t>
  </si>
  <si>
    <t>Provision for Soil investigation</t>
  </si>
  <si>
    <t>Labour Welfare fund @ 1.0%</t>
  </si>
  <si>
    <t>As pr PWD Norms</t>
  </si>
  <si>
    <t>Supervision Charges @ 5%</t>
  </si>
  <si>
    <t>SUB - TOTAL - V Rs.</t>
  </si>
  <si>
    <t xml:space="preserve">Advertisement charges </t>
  </si>
  <si>
    <t xml:space="preserve">Provision for EB Deposits </t>
  </si>
  <si>
    <t>Provision for planning permission &amp; payment to other department</t>
  </si>
  <si>
    <t>Provision for CMWSSB</t>
  </si>
  <si>
    <t>Structural Design / Consultancy charges</t>
  </si>
  <si>
    <t>GRAND  TOTAL Rs.</t>
  </si>
  <si>
    <t>Borewell Arrangements and External Water Supply Arrangements</t>
  </si>
  <si>
    <t>DETAIL ESTIMATE</t>
  </si>
  <si>
    <t>S.no</t>
  </si>
  <si>
    <t>Description of work</t>
  </si>
  <si>
    <t>Quantity</t>
  </si>
  <si>
    <t>Drilling of borewell anywhere including transportation from one place to another place in alluvial soil or sedimentary starta mud circulation method 150mm dia of clay and sand or sand stone shale pebbles boulders etc, by first taking a pilot bore of 140mm / 150mm dia and then enlarging to required dia by direct or reverse rotary mud and circulation method using contractors rig, fuel, labour drilling betonite mud and water required for drilling at the site shown and as directed by the departmental officers ( Calyx drills are to be used)</t>
  </si>
  <si>
    <t>(a) Drilling of borewell in  upto 60m</t>
  </si>
  <si>
    <t xml:space="preserve">Bore  </t>
  </si>
  <si>
    <t>Rmt.</t>
  </si>
  <si>
    <t>(b) Drilling of borewell in  above 60m to 90m</t>
  </si>
  <si>
    <r>
      <rPr>
        <sz val="12"/>
        <rFont val="Cambria"/>
        <family val="1"/>
      </rPr>
      <t>Reaming of borewell from 150mm dia pilot bore up to 300mm dia bore as directed by the departmental officers upto 60m depth below ground level</t>
    </r>
    <r>
      <rPr>
        <b/>
        <sz val="12"/>
        <rFont val="Cambria"/>
        <family val="1"/>
      </rPr>
      <t xml:space="preserve"> </t>
    </r>
  </si>
  <si>
    <r>
      <rPr>
        <sz val="12"/>
        <rFont val="Cambria"/>
        <family val="1"/>
      </rPr>
      <t xml:space="preserve">Supply and delivery of 150 </t>
    </r>
    <r>
      <rPr>
        <b/>
        <sz val="12"/>
        <rFont val="Cambria"/>
        <family val="1"/>
      </rPr>
      <t>mm OD of PVC casing pipes [6Kg/CM</t>
    </r>
    <r>
      <rPr>
        <b/>
        <vertAlign val="superscript"/>
        <sz val="12"/>
        <rFont val="Cambria"/>
        <family val="1"/>
      </rPr>
      <t>2</t>
    </r>
    <r>
      <rPr>
        <b/>
        <sz val="12"/>
        <rFont val="Cambria"/>
        <family val="1"/>
      </rPr>
      <t>]</t>
    </r>
    <r>
      <rPr>
        <sz val="12"/>
        <rFont val="Cambria"/>
        <family val="1"/>
      </rPr>
      <t xml:space="preserve"> as per IS 12818 / 1992 of approved quality for borewells with average wall thickness of 6.1mm and inter /outer threaded ends in standard length of 3m including transporting charges to site of work and all other taxes etc., all complete as directed by the departmental officers.  (The PVC casing pipe should be got approved from the EE before use)</t>
    </r>
  </si>
  <si>
    <t xml:space="preserve">Bore </t>
  </si>
  <si>
    <r>
      <rPr>
        <sz val="12"/>
        <rFont val="Cambria"/>
        <family val="1"/>
      </rPr>
      <t xml:space="preserve">Supply and delivery of 150 </t>
    </r>
    <r>
      <rPr>
        <b/>
        <sz val="12"/>
        <rFont val="Cambria"/>
        <family val="1"/>
      </rPr>
      <t>mm OD ribbed screen pipes [6Kg/CM</t>
    </r>
    <r>
      <rPr>
        <b/>
        <vertAlign val="superscript"/>
        <sz val="12"/>
        <rFont val="Cambria"/>
        <family val="1"/>
      </rPr>
      <t>2</t>
    </r>
    <r>
      <rPr>
        <b/>
        <sz val="12"/>
        <rFont val="Cambria"/>
        <family val="1"/>
      </rPr>
      <t xml:space="preserve">] as per IS 12818 / 1992 </t>
    </r>
    <r>
      <rPr>
        <sz val="12"/>
        <rFont val="Cambria"/>
        <family val="1"/>
      </rPr>
      <t>of approved quality confirming of ISI mark of borewells with average wall thickness of 8.0mm and inter /outer threaded ends with slots  in standard length of 1m to 8mm both in horizontal and vertical cutting including transporting charges to site of work and all other taxes etc., all complete and as directed by the departmental officers.  (The PVC Ribbed screen pipes should be gto approved from the EE before use)</t>
    </r>
  </si>
  <si>
    <t>Bore</t>
  </si>
  <si>
    <t>Supply and fixing of 160 mm dia PVC endcap for borewell bottam and top cover including all cost.</t>
  </si>
  <si>
    <t>SAY</t>
  </si>
  <si>
    <r>
      <rPr>
        <b/>
        <sz val="12"/>
        <rFont val="Cambria"/>
        <family val="1"/>
      </rPr>
      <t>Labour Charges for inserting PVC casing pipes</t>
    </r>
    <r>
      <rPr>
        <sz val="12"/>
        <rFont val="Cambria"/>
        <family val="1"/>
      </rPr>
      <t xml:space="preserve"> assembly (with slots or without slots) in the drilled hole including jointing the pipes with PVC Couplers with Cement paste etc., complete supply and packing the annular space with pebbles of size quality as approved by the departmental officers</t>
    </r>
  </si>
  <si>
    <r>
      <rPr>
        <b/>
        <sz val="12"/>
        <rFont val="Cambria"/>
        <family val="1"/>
      </rPr>
      <t>Charges for developing the borewell</t>
    </r>
    <r>
      <rPr>
        <sz val="12"/>
        <rFont val="Cambria"/>
        <family val="1"/>
      </rPr>
      <t xml:space="preserve"> for the entire depth with air compressor of 300cfm capacity [Minimum 8 hours] including transportation, labour and fuel charges for compressor and conducting yield tests by V-notch method etc., all complete as directed by the departmental officers.</t>
    </r>
  </si>
  <si>
    <t>HRS</t>
  </si>
  <si>
    <r>
      <rPr>
        <sz val="12"/>
        <rFont val="Cambria"/>
        <family val="1"/>
      </rPr>
      <t>Supply and Delivery of  submersible motor Pumpset with ISI mark IS 8034 without Panel Board of 5</t>
    </r>
    <r>
      <rPr>
        <b/>
        <sz val="12"/>
        <rFont val="Cambria"/>
        <family val="1"/>
      </rPr>
      <t xml:space="preserve">0 LPM X 100 m </t>
    </r>
    <r>
      <rPr>
        <sz val="12"/>
        <rFont val="Cambria"/>
        <family val="1"/>
      </rPr>
      <t xml:space="preserve">of electric motor pump set with accessories at bore well for three  phase  operation etc..,all complete and as directed by the departmental officiers.(The brand of pumpset should got approved by the Executive Engineer before erection). </t>
    </r>
  </si>
  <si>
    <t>Supplying and delivery of following materials of best approved quality for erection of  submersible pumpset etc.. all complete and as directed by the departmental officers.</t>
  </si>
  <si>
    <t>a).M S clamp set</t>
  </si>
  <si>
    <t>Bore  Station</t>
  </si>
  <si>
    <t>b). 12mm Nylon rope</t>
  </si>
  <si>
    <t xml:space="preserve">c)   50mm dia GM Non-Return valve </t>
  </si>
  <si>
    <t xml:space="preserve">d) 32MM Dia  HDPE PIPES </t>
  </si>
  <si>
    <t>f) 4 sqmm 3 core flat cable</t>
  </si>
  <si>
    <t>doubt</t>
  </si>
  <si>
    <r>
      <rPr>
        <sz val="12"/>
        <rFont val="Cambria"/>
        <family val="1"/>
      </rPr>
      <t xml:space="preserve">Supplying and Delivery of </t>
    </r>
    <r>
      <rPr>
        <b/>
        <sz val="12"/>
        <rFont val="Cambria"/>
        <family val="1"/>
      </rPr>
      <t xml:space="preserve">MS fabricated DOL panel control board </t>
    </r>
    <r>
      <rPr>
        <sz val="12"/>
        <rFont val="Cambria"/>
        <family val="1"/>
      </rPr>
      <t>with ISI mark for three phase wall moulded type Ammeter,Voltmeter,ON/OFF switch…etc complete and as directed by the departmental officers.</t>
    </r>
  </si>
  <si>
    <r>
      <rPr>
        <sz val="12"/>
        <rFont val="Cambria"/>
        <family val="1"/>
      </rPr>
      <t>Labour charges for laying of flat cable</t>
    </r>
    <r>
      <rPr>
        <b/>
        <sz val="12"/>
        <rFont val="Cambria"/>
        <family val="1"/>
      </rPr>
      <t xml:space="preserve"> above ground level</t>
    </r>
    <r>
      <rPr>
        <sz val="12"/>
        <rFont val="Cambria"/>
        <family val="1"/>
      </rPr>
      <t xml:space="preserve"> including eath work excavation, brick laying, sand filling and refilling etc…complete and as directed by the departmental officers.</t>
    </r>
  </si>
  <si>
    <t>At Pump room(Wall)</t>
  </si>
  <si>
    <r>
      <rPr>
        <sz val="12"/>
        <rFont val="Cambria"/>
        <family val="1"/>
      </rPr>
      <t>Labour charges for laying of flat cable</t>
    </r>
    <r>
      <rPr>
        <b/>
        <sz val="12"/>
        <rFont val="Cambria"/>
        <family val="1"/>
      </rPr>
      <t xml:space="preserve"> below ground level</t>
    </r>
    <r>
      <rPr>
        <sz val="12"/>
        <rFont val="Cambria"/>
        <family val="1"/>
      </rPr>
      <t xml:space="preserve"> including eath work excavation, brick laying, sand filling and refilling etc…complete and as directed by the departmental officers.</t>
    </r>
  </si>
  <si>
    <t xml:space="preserve">From bore X  to Pump room Wall </t>
  </si>
  <si>
    <r>
      <rPr>
        <sz val="12"/>
        <rFont val="Cambria"/>
        <family val="1"/>
      </rPr>
      <t xml:space="preserve">Labour charges for the erection of submersible pumpset in borewell/openwell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 </t>
    </r>
    <r>
      <rPr>
        <b/>
        <sz val="12"/>
        <rFont val="Cambria"/>
        <family val="1"/>
      </rPr>
      <t>(TWAD SR Rate pg no.223)</t>
    </r>
  </si>
  <si>
    <t>borewell and sump motor</t>
  </si>
  <si>
    <t>Supply and delivery of 3 HP Openwell submersible Pumpset 100 LPM x 75 M (PWD SR 2020-2021 p-107)</t>
  </si>
  <si>
    <t>At Pump room</t>
  </si>
  <si>
    <t>40 mm UPVC  pipe below ground level</t>
  </si>
  <si>
    <t>For borewell to Sump</t>
  </si>
  <si>
    <t>For Sump to OHT Horizontal</t>
  </si>
  <si>
    <t>40 mm UPVC  pipe above ground level</t>
  </si>
  <si>
    <t>Supply and delivery of MS Fabricated DOL panel control board with ISI Mark for single phase wall moulded type Ammeter, voltmeter ON/OFF Switch etc. complete and as directed by the departmental officers.</t>
  </si>
  <si>
    <t>openwell submersible</t>
  </si>
  <si>
    <t>X</t>
  </si>
  <si>
    <r>
      <t>CONSTRUCTION OF RCC SUMP - 15M</t>
    </r>
    <r>
      <rPr>
        <b/>
        <vertAlign val="superscript"/>
        <sz val="12"/>
        <rFont val="Tahoma"/>
        <family val="2"/>
      </rPr>
      <t xml:space="preserve">3 </t>
    </r>
    <r>
      <rPr>
        <b/>
        <sz val="12"/>
        <rFont val="Tahoma"/>
        <family val="2"/>
      </rPr>
      <t xml:space="preserve"> Capacity - Circular  </t>
    </r>
    <r>
      <rPr>
        <b/>
        <vertAlign val="superscript"/>
        <sz val="12"/>
        <rFont val="Tahoma"/>
        <family val="2"/>
      </rPr>
      <t xml:space="preserve">                                                                                                               </t>
    </r>
    <r>
      <rPr>
        <b/>
        <sz val="12"/>
        <rFont val="Tahoma"/>
        <family val="2"/>
      </rPr>
      <t xml:space="preserve"> </t>
    </r>
  </si>
  <si>
    <t>S. no</t>
  </si>
  <si>
    <t>Earth work excavation for foundation with all leads and lifts in all soils and sub soils etc., all complete</t>
  </si>
  <si>
    <t>0 to 2.00m depth</t>
  </si>
  <si>
    <r>
      <t>(</t>
    </r>
    <r>
      <rPr>
        <sz val="10"/>
        <rFont val="Book Antiqua"/>
        <family val="1"/>
      </rPr>
      <t>п</t>
    </r>
    <r>
      <rPr>
        <sz val="10"/>
        <rFont val="Tahoma"/>
        <family val="2"/>
      </rPr>
      <t xml:space="preserve"> x 3.8</t>
    </r>
    <r>
      <rPr>
        <vertAlign val="superscript"/>
        <sz val="10"/>
        <rFont val="Tahoma"/>
        <family val="2"/>
      </rPr>
      <t>2</t>
    </r>
    <r>
      <rPr>
        <sz val="10"/>
        <rFont val="Tahoma"/>
        <family val="2"/>
      </rPr>
      <t>)/4</t>
    </r>
  </si>
  <si>
    <r>
      <t>m</t>
    </r>
    <r>
      <rPr>
        <vertAlign val="superscript"/>
        <sz val="10"/>
        <rFont val="Tahoma"/>
        <family val="2"/>
      </rPr>
      <t>3</t>
    </r>
  </si>
  <si>
    <r>
      <t>m</t>
    </r>
    <r>
      <rPr>
        <b/>
        <vertAlign val="superscript"/>
        <sz val="10"/>
        <rFont val="Tahoma"/>
        <family val="2"/>
      </rPr>
      <t>3</t>
    </r>
  </si>
  <si>
    <t>2.00m to 3.00m depth</t>
  </si>
  <si>
    <t>Filling in foundation and with filling sand for sump</t>
  </si>
  <si>
    <t>CC 1:5:10 using 40mm HBS jelly for foundation &amp; basement</t>
  </si>
  <si>
    <t>RCC 1:1½:3 using 20mm HBS jelly for foundation &amp; basement</t>
  </si>
  <si>
    <t>Sump base slab</t>
  </si>
  <si>
    <r>
      <t>(</t>
    </r>
    <r>
      <rPr>
        <sz val="10"/>
        <rFont val="Book Antiqua"/>
        <family val="1"/>
      </rPr>
      <t>п</t>
    </r>
    <r>
      <rPr>
        <sz val="10"/>
        <rFont val="Tahoma"/>
        <family val="2"/>
      </rPr>
      <t xml:space="preserve"> x 3.0</t>
    </r>
    <r>
      <rPr>
        <vertAlign val="superscript"/>
        <sz val="10"/>
        <rFont val="Tahoma"/>
        <family val="2"/>
      </rPr>
      <t>2</t>
    </r>
    <r>
      <rPr>
        <sz val="10"/>
        <rFont val="Tahoma"/>
        <family val="2"/>
      </rPr>
      <t>)/4</t>
    </r>
  </si>
  <si>
    <t>Wall alround</t>
  </si>
  <si>
    <r>
      <rPr>
        <sz val="10"/>
        <rFont val="Book Antiqua"/>
        <family val="1"/>
      </rPr>
      <t>п</t>
    </r>
    <r>
      <rPr>
        <sz val="10"/>
        <rFont val="Tahoma"/>
        <family val="2"/>
      </rPr>
      <t xml:space="preserve"> x 3.4</t>
    </r>
  </si>
  <si>
    <t>Sump cover slab</t>
  </si>
  <si>
    <t>Slopped portion alround inside</t>
  </si>
  <si>
    <t>1 x 2 x ½</t>
  </si>
  <si>
    <t>Deduction for manhole</t>
  </si>
  <si>
    <r>
      <t>(</t>
    </r>
    <r>
      <rPr>
        <sz val="10"/>
        <rFont val="Book Antiqua"/>
        <family val="1"/>
      </rPr>
      <t>п</t>
    </r>
    <r>
      <rPr>
        <sz val="10"/>
        <rFont val="Tahoma"/>
        <family val="2"/>
      </rPr>
      <t xml:space="preserve"> x 0.60</t>
    </r>
    <r>
      <rPr>
        <vertAlign val="superscript"/>
        <sz val="10"/>
        <rFont val="Tahoma"/>
        <family val="2"/>
      </rPr>
      <t>2</t>
    </r>
    <r>
      <rPr>
        <sz val="10"/>
        <rFont val="Tahoma"/>
        <family val="2"/>
      </rPr>
      <t>)/4</t>
    </r>
  </si>
  <si>
    <t>Form work using MS sheet</t>
  </si>
  <si>
    <t>f</t>
  </si>
  <si>
    <t>f.curved surface</t>
  </si>
  <si>
    <t>Base slab alround</t>
  </si>
  <si>
    <r>
      <rPr>
        <sz val="10"/>
        <rFont val="Book Antiqua"/>
        <family val="1"/>
      </rPr>
      <t>п</t>
    </r>
    <r>
      <rPr>
        <sz val="10"/>
        <rFont val="Tahoma"/>
        <family val="2"/>
      </rPr>
      <t xml:space="preserve"> x 3.0</t>
    </r>
  </si>
  <si>
    <r>
      <t>m</t>
    </r>
    <r>
      <rPr>
        <vertAlign val="superscript"/>
        <sz val="10"/>
        <rFont val="Tahoma"/>
        <family val="2"/>
      </rPr>
      <t>2</t>
    </r>
  </si>
  <si>
    <t>Cover slab alround</t>
  </si>
  <si>
    <t>Manhole inside</t>
  </si>
  <si>
    <r>
      <rPr>
        <sz val="10"/>
        <rFont val="Book Antiqua"/>
        <family val="1"/>
      </rPr>
      <t>п</t>
    </r>
    <r>
      <rPr>
        <sz val="10"/>
        <rFont val="Tahoma"/>
        <family val="2"/>
      </rPr>
      <t xml:space="preserve"> x0.6</t>
    </r>
  </si>
  <si>
    <t>Wall outer alround</t>
  </si>
  <si>
    <t>Wall inner alround</t>
  </si>
  <si>
    <t xml:space="preserve">Cover slab </t>
  </si>
  <si>
    <t xml:space="preserve">Deduction for manhole </t>
  </si>
  <si>
    <r>
      <t>m</t>
    </r>
    <r>
      <rPr>
        <b/>
        <vertAlign val="superscript"/>
        <sz val="10"/>
        <rFont val="Tahoma"/>
        <family val="2"/>
      </rPr>
      <t>2</t>
    </r>
  </si>
  <si>
    <t>Plastering with cm 1:3, 12mm mixed with WPC</t>
  </si>
  <si>
    <t>Wall Outer alround</t>
  </si>
  <si>
    <r>
      <rPr>
        <sz val="10"/>
        <rFont val="Book Antiqua"/>
        <family val="1"/>
      </rPr>
      <t>п</t>
    </r>
    <r>
      <rPr>
        <sz val="10"/>
        <rFont val="Tahoma"/>
        <family val="2"/>
      </rPr>
      <t xml:space="preserve"> x 3.8</t>
    </r>
  </si>
  <si>
    <t>Roof slab bottom</t>
  </si>
  <si>
    <t>Supply and fixing of CI manhole frame with cover of standard size 0.6 x 0.6</t>
  </si>
  <si>
    <t>Supply and fixing of CI step</t>
  </si>
  <si>
    <t>1x 2 x5</t>
  </si>
  <si>
    <t xml:space="preserve">Supply Fabrication and placing  of RTS steel rods including cost of binding wire </t>
  </si>
  <si>
    <r>
      <t>RCC qty = 10.50 x 120kgs/m</t>
    </r>
    <r>
      <rPr>
        <vertAlign val="superscript"/>
        <sz val="10"/>
        <rFont val="Tahoma"/>
        <family val="2"/>
      </rPr>
      <t xml:space="preserve">3 </t>
    </r>
    <r>
      <rPr>
        <sz val="10"/>
        <rFont val="Tahoma"/>
        <family val="2"/>
      </rPr>
      <t>=1260Kgs          Say 1.26MT</t>
    </r>
  </si>
  <si>
    <t>Upto 16mm dia rods</t>
  </si>
  <si>
    <r>
      <t xml:space="preserve">Anticorrosive treatment for </t>
    </r>
    <r>
      <rPr>
        <b/>
        <sz val="12"/>
        <rFont val="Cambria"/>
        <family val="1"/>
      </rPr>
      <t>Steel grills</t>
    </r>
  </si>
  <si>
    <t>Qty Vide Item No:42.1</t>
  </si>
  <si>
    <r>
      <t xml:space="preserve">Tamil Nadu Police Housing Corparation Ltd. </t>
    </r>
    <r>
      <rPr>
        <b/>
        <sz val="12"/>
        <rFont val="Times New Roman"/>
        <family val="1"/>
      </rPr>
      <t xml:space="preserve"> DATA</t>
    </r>
  </si>
  <si>
    <t>==========================================================</t>
  </si>
  <si>
    <t>Chennai</t>
  </si>
  <si>
    <t>2022-2023</t>
  </si>
  <si>
    <t xml:space="preserve">Add 10% </t>
  </si>
  <si>
    <t>for quarry at</t>
  </si>
  <si>
    <t xml:space="preserve">Thuvakudi </t>
  </si>
  <si>
    <t>5%</t>
  </si>
  <si>
    <t>10%</t>
  </si>
  <si>
    <t>20%</t>
  </si>
  <si>
    <t>25%</t>
  </si>
  <si>
    <t>40%</t>
  </si>
  <si>
    <t>50%</t>
  </si>
  <si>
    <t>ROUGH STONE sl.37  p15</t>
  </si>
  <si>
    <t>MASON-I Brick / Stone work</t>
  </si>
  <si>
    <t>BOND STONE sl.44 p16</t>
  </si>
  <si>
    <t>MASON-II Brick / Stone work</t>
  </si>
  <si>
    <t>HARD BROKEN STONE JELLY 3mm To 10mm p-16(53-55)</t>
  </si>
  <si>
    <t>SAND FOR MORTAR sl.100  p20</t>
  </si>
  <si>
    <t>FITTER I/II*</t>
  </si>
  <si>
    <t>SAND FOR FILLING (Ann IV)</t>
  </si>
  <si>
    <t>MIXING OF MORTAR* it-165</t>
  </si>
  <si>
    <t>Kiln Burnt Country Bricks  SIZE 22x11x7Cm p-14 it-5a</t>
  </si>
  <si>
    <t>LIFT CHARGES FOR B.W IN G.F  * it-94 p-29</t>
  </si>
  <si>
    <t>BRICK JELLY 40mmGAUGE p-14 it-10 a</t>
  </si>
  <si>
    <t>MACHINE PRESSED TILES 23x 23x 2 Cm p-15 It-20</t>
  </si>
  <si>
    <t>LIFT CHARGES FOR CONCRETE IN G.F  *it-92 p-29</t>
  </si>
  <si>
    <t>SLACKED SHELL LIME sl.89 p17</t>
  </si>
  <si>
    <t>SLACKED &amp;SREENED LIME STONE sl107/67</t>
  </si>
  <si>
    <t>C.W SCANTLING UPTO 4M LONG p-21 it-127</t>
  </si>
  <si>
    <r>
      <t xml:space="preserve">Mortar mix charges manual  </t>
    </r>
    <r>
      <rPr>
        <sz val="10"/>
        <rFont val="Times New Roman"/>
        <family val="1"/>
      </rPr>
      <t>sl.125(Ann3 N-29)</t>
    </r>
  </si>
  <si>
    <t>VIBRATER CHARGES  * it-103 p-28</t>
  </si>
  <si>
    <r>
      <t xml:space="preserve">Vibrat-charges(R.C.C) </t>
    </r>
    <r>
      <rPr>
        <sz val="10"/>
        <rFont val="Times New Roman"/>
        <family val="1"/>
      </rPr>
      <t>sl.71/2 p25</t>
    </r>
  </si>
  <si>
    <t>EARTH FILLING  * it-76/85</t>
  </si>
  <si>
    <t>T.W SCANTLING 2M TO 3M LONG 112/73 p-21</t>
  </si>
  <si>
    <t>Vibrat-charges(P.C.C) sl.71/1 p25</t>
  </si>
  <si>
    <t>SAND FILLING  * it-75/85</t>
  </si>
  <si>
    <t>T.W.SCANTLING BELOW 2M LONG 113/74 p-21</t>
  </si>
  <si>
    <r>
      <t xml:space="preserve">Sand filling charges </t>
    </r>
    <r>
      <rPr>
        <sz val="10"/>
        <rFont val="Times New Roman"/>
        <family val="1"/>
      </rPr>
      <t>sl.46/84p23</t>
    </r>
  </si>
  <si>
    <t>POLISHING STONE (average of rough, medium, fine) it-56 p-37</t>
  </si>
  <si>
    <t>T.W.PLANKS 15TO30cm WIDTH &amp; 12to25mm Thick it-119 p-21</t>
  </si>
  <si>
    <t>Earth filling charges sl.46/85 p23</t>
  </si>
  <si>
    <t>FLOOR POLISHER (MOSAIC)  * p-11 it-17</t>
  </si>
  <si>
    <t>Country BricksKiln Burnt of SIZE 22x11x5Cm (7c)p-14</t>
  </si>
  <si>
    <t>E.W.  40/62 p-22</t>
  </si>
  <si>
    <t>LABOUR CHARGE FOR WROUGHT &amp; PUTUP /V-SHUTTER *p-30 it-143</t>
  </si>
  <si>
    <t>MOSAIC TILES GRAY 25X25X2cm.it-30 p-17</t>
  </si>
  <si>
    <r>
      <t xml:space="preserve">L.C.T.W.Door- </t>
    </r>
    <r>
      <rPr>
        <sz val="10"/>
        <rFont val="Times New Roman"/>
        <family val="1"/>
      </rPr>
      <t>104/2 p-27</t>
    </r>
  </si>
  <si>
    <t>LABOUR CHARGE FOR DOOR/WINDOW SHUTTER  *p-30 it-144</t>
  </si>
  <si>
    <r>
      <t>L.C.marine doors-</t>
    </r>
    <r>
      <rPr>
        <sz val="10"/>
        <rFont val="Times New Roman"/>
        <family val="1"/>
      </rPr>
      <t>105/3 p-27</t>
    </r>
  </si>
  <si>
    <r>
      <t xml:space="preserve">TW glazed window </t>
    </r>
    <r>
      <rPr>
        <sz val="10"/>
        <rFont val="Times New Roman"/>
        <family val="1"/>
      </rPr>
      <t>109/8 p-27</t>
    </r>
  </si>
  <si>
    <r>
      <t>Wrought&amp;putup</t>
    </r>
    <r>
      <rPr>
        <sz val="10"/>
        <rFont val="Times New Roman"/>
        <family val="1"/>
      </rPr>
      <t xml:space="preserve"> 103/1 p-27</t>
    </r>
  </si>
  <si>
    <t>M.S. SHEET/ANGLE PER M.T p20  I-142/112</t>
  </si>
  <si>
    <r>
      <t xml:space="preserve">Ventilator </t>
    </r>
    <r>
      <rPr>
        <sz val="10"/>
        <rFont val="Times New Roman"/>
        <family val="1"/>
      </rPr>
      <t>113/14 p-28</t>
    </r>
  </si>
  <si>
    <t>HBSJ 11.2mm IRC metal (SR 22-23,p16/48)</t>
  </si>
  <si>
    <r>
      <t xml:space="preserve">Meter- </t>
    </r>
    <r>
      <rPr>
        <sz val="10"/>
        <rFont val="Times New Roman"/>
        <family val="1"/>
      </rPr>
      <t>Cupboard Weldmesh 118/23 p-28</t>
    </r>
  </si>
  <si>
    <t>Earth work lift for addl 1M p-23 it-45/77</t>
  </si>
  <si>
    <t>E.W (SDR) 41/67 p-23</t>
  </si>
  <si>
    <t>Labour for petty iron worksp-29 it-127/1</t>
  </si>
  <si>
    <r>
      <t>FITTER-II (</t>
    </r>
    <r>
      <rPr>
        <sz val="10"/>
        <rFont val="Times New Roman"/>
        <family val="1"/>
      </rPr>
      <t>Pipe &amp; Bar Bend) 57/20a p-11</t>
    </r>
  </si>
  <si>
    <t xml:space="preserve"> Gravel p17  75</t>
  </si>
  <si>
    <r>
      <t xml:space="preserve">FITTER-I </t>
    </r>
    <r>
      <rPr>
        <sz val="10"/>
        <rFont val="Times New Roman"/>
        <family val="1"/>
      </rPr>
      <t>(Pipe &amp; Bar Bend) 16/20A p-9</t>
    </r>
  </si>
  <si>
    <t xml:space="preserve"> Well Gravel p17  It76</t>
  </si>
  <si>
    <t>Redhills</t>
  </si>
  <si>
    <r>
      <t xml:space="preserve">E.W  loose soil </t>
    </r>
    <r>
      <rPr>
        <sz val="10"/>
        <rFont val="Times New Roman"/>
        <family val="1"/>
      </rPr>
      <t>p-22 SS20B/38/50</t>
    </r>
  </si>
  <si>
    <t>Chamber Burnt Bricks of size 23x11.2x7Cm p14/4b</t>
  </si>
  <si>
    <t>LIFT CHARGES FOR B.W IN G.F  * it-62/1 p-25</t>
  </si>
  <si>
    <t>Chamber Burnt Bricks  of size 23x11.4x7.5Cmp14 /3a</t>
  </si>
  <si>
    <t>LABOUR FOR CUTTING 15mm DIA   * p-26 it-85 pwd</t>
  </si>
  <si>
    <t>Stone dust p17  79</t>
  </si>
  <si>
    <t>6mmto 10mm HBG metal p-16 it-83+84/2</t>
  </si>
  <si>
    <t>LIFT CHARGES FOR CONCRETE IN G.F  *it-60/1 p-24</t>
  </si>
  <si>
    <t>Fly Ash Bricks  it-3A/8a p-16</t>
  </si>
  <si>
    <t>Crushed Stone SAND FOR MORTAR sl.98/58C p20</t>
  </si>
  <si>
    <t>Crushed Stone SAND FOR FILLING</t>
  </si>
  <si>
    <t>SCRAPING THE OLD PLASTER SURFACE * p26/76/338</t>
  </si>
  <si>
    <t>LABOUR FOR THREADING 15mm DIA  * it-126</t>
  </si>
  <si>
    <t>WASHING PLASTERED AREA WITH SOAP&amp;SODA WATER *p26/109/339</t>
  </si>
  <si>
    <t xml:space="preserve">L.C Wrought and put up in Flush shutter </t>
  </si>
  <si>
    <t>Single leave  p-28/116a</t>
  </si>
  <si>
    <t>Double leaves p-28/116b</t>
  </si>
  <si>
    <t>Thorough scrapping -iron p-26/82/357d</t>
  </si>
  <si>
    <t>Thorough scrapping -wood p-26/80/357b</t>
  </si>
  <si>
    <t>Clean removal of cement plaster from walls and racking out joints 20mm deep  p-26/75/321</t>
  </si>
  <si>
    <t>HIRE CHARGES FOR   POWER POLISHER -it238/p55</t>
  </si>
  <si>
    <t>L.C Wrought and put up T.W Window p-28/101/11</t>
  </si>
  <si>
    <t>ELC. CONSUMPTION CHARGES -it243/p56</t>
  </si>
  <si>
    <t>unit</t>
  </si>
  <si>
    <r>
      <t xml:space="preserve">TW glazed door </t>
    </r>
    <r>
      <rPr>
        <sz val="10"/>
        <rFont val="Times New Roman"/>
        <family val="1"/>
      </rPr>
      <t>106/4 p-27</t>
    </r>
  </si>
  <si>
    <t xml:space="preserve">FLY  ASH BRICKS DATA </t>
  </si>
  <si>
    <t>LABOUR FOR FIXING WINDOW BARS p-29 it-129</t>
  </si>
  <si>
    <t xml:space="preserve">B.W IN C.M(1:5) using fly ash  bricks </t>
  </si>
  <si>
    <t>E.W.EXCAVATION SS 20B AS PER SR ITEM 61,62 * P-22</t>
  </si>
  <si>
    <t>Bricks of size 23x11x7 cm</t>
  </si>
  <si>
    <t>MIXER OPERATER * p-13 S.No.80/79</t>
  </si>
  <si>
    <t>Dismantling of RCC works it-35/38 p-22</t>
  </si>
  <si>
    <t>Conveyance of dismantled materials p-32</t>
  </si>
  <si>
    <t>GRINDING MORTAR * 124/2 p-28</t>
  </si>
  <si>
    <t>Loading or unloading charges p-32</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</si>
  <si>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</si>
  <si>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</si>
  <si>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</si>
  <si>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</si>
  <si>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</si>
  <si>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</si>
  <si>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</si>
  <si>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</si>
  <si>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</si>
  <si>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TOTAL FOR 2.83168 CUM</t>
  </si>
  <si>
    <t>UPVC Window (PWD SR] P-65/269</t>
  </si>
  <si>
    <t>Supplying and Fixing of Rolling shutters of all sizes (Gear Operated)(  from 8m2  to 12m2 )Annex-Vi-P-44   SR 22-23 item -132-A-b</t>
  </si>
  <si>
    <t xml:space="preserve">sqm. </t>
  </si>
  <si>
    <t xml:space="preserve">Qtn </t>
  </si>
  <si>
    <t>KILN BURNT COUNTRY G.M(2D) BRICK 8-3/4"X4-1/4"X2"</t>
  </si>
  <si>
    <t>Bricks of size 23X11.2X7Cm</t>
  </si>
  <si>
    <t>EARTH WORK EXCAVATION for loose soil</t>
  </si>
  <si>
    <t xml:space="preserve">B.W IN C.M(1:6) using fly ash bricks </t>
  </si>
  <si>
    <t>C.W.SCANTLING UP TO 4M LONG P-20 -it-120/77i</t>
  </si>
  <si>
    <t>T.W. PLANK 12mm to 25mm T.K UPTO 30cmWIDTH</t>
  </si>
  <si>
    <t xml:space="preserve">
RATE PER CUM EXCLUDING REFILLING 
</t>
  </si>
  <si>
    <t>COUNTRY BRICK-ISORT(2B)T.M SIZE 9"x4-3/8"X2-3/4"</t>
  </si>
  <si>
    <r>
      <t xml:space="preserve">EARTH WORK EXCAVATION  for </t>
    </r>
    <r>
      <rPr>
        <b/>
        <sz val="12"/>
        <rFont val="Times New Roman"/>
        <family val="1"/>
      </rPr>
      <t>SDR</t>
    </r>
  </si>
  <si>
    <t>Loose soil</t>
  </si>
  <si>
    <t>B.W IN C.M(1:4) using  fly ash bricks</t>
  </si>
  <si>
    <r>
      <t xml:space="preserve">EARTH WORK EXCAVATION  for </t>
    </r>
    <r>
      <rPr>
        <b/>
        <sz val="12"/>
        <rFont val="Times New Roman"/>
        <family val="1"/>
      </rPr>
      <t>open foundation</t>
    </r>
    <r>
      <rPr>
        <sz val="12"/>
        <rFont val="Times New Roman"/>
        <family val="1"/>
      </rPr>
      <t>EXCLUDING REFILLING</t>
    </r>
  </si>
  <si>
    <t>3 to 4</t>
  </si>
  <si>
    <t>4 to 5</t>
  </si>
  <si>
    <t>EARTH WORK EXCAVATION  for open foundation
IN SDR (EXCLUDING REFILLING)</t>
  </si>
  <si>
    <r>
      <t xml:space="preserve">BASEMENT  WITH  </t>
    </r>
    <r>
      <rPr>
        <b/>
        <sz val="12"/>
        <rFont val="Times New Roman"/>
        <family val="1"/>
      </rPr>
      <t>FILLING WELL GRAVEL</t>
    </r>
  </si>
  <si>
    <t>COST OF FILLING GRAVEL</t>
  </si>
  <si>
    <r>
      <t xml:space="preserve">RATE PER CUM EXCLUDING REFILLING
</t>
    </r>
    <r>
      <rPr>
        <b/>
        <sz val="12"/>
        <rFont val="Times New Roman"/>
        <family val="1"/>
      </rPr>
      <t>IN SDR (OPEN FOUNDATION)</t>
    </r>
  </si>
  <si>
    <t>B.W IN C.M(1:4) using fly ash bricks of size 23x11.4x7.5Cm</t>
  </si>
  <si>
    <t>From 1.25m to 2m width (1.25 times E.W)</t>
  </si>
  <si>
    <t>From 1.25m to 2m width</t>
  </si>
  <si>
    <r>
      <t xml:space="preserve">BASEMENT  WITH  </t>
    </r>
    <r>
      <rPr>
        <b/>
        <sz val="12"/>
        <rFont val="Times New Roman"/>
        <family val="1"/>
      </rPr>
      <t>FILLING SAND</t>
    </r>
  </si>
  <si>
    <r>
      <t xml:space="preserve">BASEMENT  WITH  </t>
    </r>
    <r>
      <rPr>
        <b/>
        <sz val="12"/>
        <rFont val="Times New Roman"/>
        <family val="1"/>
      </rPr>
      <t>FILLING GRAVEL</t>
    </r>
  </si>
  <si>
    <t>BINDING WIRE p-20 it-144/113a</t>
  </si>
  <si>
    <t xml:space="preserve">   </t>
  </si>
  <si>
    <t>LABOUR CHARGES FOR SPREADING  bull dozer p27 / Item68/78a</t>
  </si>
  <si>
    <r>
      <t xml:space="preserve">PROVIDING </t>
    </r>
    <r>
      <rPr>
        <b/>
        <sz val="12"/>
        <rFont val="Times New Roman"/>
        <family val="1"/>
      </rPr>
      <t>SAND  GRAVEL MIX</t>
    </r>
  </si>
  <si>
    <t>RED OXIDE P-37/ it-45</t>
  </si>
  <si>
    <r>
      <t xml:space="preserve">BASEMENT  WITH  </t>
    </r>
    <r>
      <rPr>
        <b/>
        <sz val="12"/>
        <rFont val="Times New Roman"/>
        <family val="1"/>
      </rPr>
      <t>STONE DUST</t>
    </r>
  </si>
  <si>
    <t>Plasticizer / Super Plasticizer P-67/274</t>
  </si>
  <si>
    <t>COST OFSTONE DUST</t>
  </si>
  <si>
    <t>CEMENT CONCRETE(1:4:8) USING</t>
  </si>
  <si>
    <t>B.W IN C.M(1:4) USING 2-B Categery using fly ash bricks</t>
  </si>
  <si>
    <r>
      <t xml:space="preserve">Providing </t>
    </r>
    <r>
      <rPr>
        <b/>
        <sz val="12"/>
        <rFont val="Times New Roman"/>
        <family val="1"/>
      </rPr>
      <t>GRAVEL SOLING</t>
    </r>
    <r>
      <rPr>
        <sz val="12"/>
        <rFont val="Times New Roman"/>
        <family val="1"/>
      </rPr>
      <t xml:space="preserve"> of 150mm thick</t>
    </r>
  </si>
  <si>
    <t>CEMENT CONCRETE(1:3:6) USING</t>
  </si>
  <si>
    <t>BEST GOPALVARNISH REDY MIX (PWD LR) p37 It.52</t>
  </si>
  <si>
    <t>READY MIX PAINT II ND/ IST for wood p-45 sl.145</t>
  </si>
  <si>
    <t>READY MIX PRIMER PAINT sl.144/ p50 wood primer)</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</si>
  <si>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</si>
  <si>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</si>
  <si>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</si>
  <si>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</si>
  <si>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</si>
  <si>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</si>
  <si>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</si>
  <si>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READY MIX PAINT II ND/ IST for iron it-147 p-45</t>
  </si>
  <si>
    <r>
      <t>CEMENT CONCRETE</t>
    </r>
    <r>
      <rPr>
        <b/>
        <sz val="12"/>
        <rFont val="Times New Roman"/>
        <family val="1"/>
      </rPr>
      <t xml:space="preserve"> PCC (1:2:4)</t>
    </r>
    <r>
      <rPr>
        <sz val="12"/>
        <rFont val="Times New Roman"/>
        <family val="1"/>
      </rPr>
      <t xml:space="preserve"> USING</t>
    </r>
  </si>
  <si>
    <t>S.W.TEE 150mm DIA WITH ISI MARK it-212/a p-53</t>
  </si>
  <si>
    <t>ALU.HANDLE WITH C.P.SCREWS150mm long</t>
  </si>
  <si>
    <r>
      <t>CEMENT CONCRETE</t>
    </r>
    <r>
      <rPr>
        <b/>
        <sz val="12"/>
        <rFont val="Times New Roman"/>
        <family val="1"/>
      </rPr>
      <t>(1:8:16)</t>
    </r>
    <r>
      <rPr>
        <sz val="12"/>
        <rFont val="Times New Roman"/>
        <family val="1"/>
      </rPr>
      <t xml:space="preserve"> USING</t>
    </r>
  </si>
  <si>
    <r>
      <t>CEMENT CONCRETE</t>
    </r>
    <r>
      <rPr>
        <b/>
        <sz val="12"/>
        <rFont val="Times New Roman"/>
        <family val="1"/>
      </rPr>
      <t>(1:4:8)</t>
    </r>
    <r>
      <rPr>
        <sz val="12"/>
        <rFont val="Times New Roman"/>
        <family val="1"/>
      </rPr>
      <t xml:space="preserve"> USING</t>
    </r>
  </si>
  <si>
    <t>40mm brick jelly</t>
  </si>
  <si>
    <t xml:space="preserve"> 40mm HGJ jelly</t>
  </si>
  <si>
    <r>
      <t xml:space="preserve">PROVIDING  </t>
    </r>
    <r>
      <rPr>
        <b/>
        <sz val="12"/>
        <rFont val="Times New Roman"/>
        <family val="1"/>
      </rPr>
      <t>WBM 125mm</t>
    </r>
    <r>
      <rPr>
        <sz val="12"/>
        <rFont val="Times New Roman"/>
        <family val="1"/>
      </rPr>
      <t xml:space="preserve"> CONSOLIDATED</t>
    </r>
  </si>
  <si>
    <t>63mm to 45mm IRC metal</t>
  </si>
  <si>
    <r>
      <t xml:space="preserve">SURFACE DRESSING OVER </t>
    </r>
    <r>
      <rPr>
        <b/>
        <sz val="12"/>
        <rFont val="Times New Roman"/>
        <family val="1"/>
      </rPr>
      <t>WBM 25mm TK.</t>
    </r>
  </si>
  <si>
    <t>S.W.BEND 150mm DIA p-53 it-208 b</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</si>
  <si>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</si>
  <si>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</si>
  <si>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</si>
  <si>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</si>
  <si>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</si>
  <si>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</si>
  <si>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</si>
  <si>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</si>
  <si>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</si>
  <si>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</si>
  <si>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</si>
  <si>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</si>
  <si>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</si>
  <si>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</si>
  <si>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</si>
  <si>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</si>
  <si>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</si>
  <si>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</si>
  <si>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</si>
  <si>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</si>
  <si>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</si>
  <si>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NYLON BUSH FOR Door ( qtn)</t>
  </si>
  <si>
    <t xml:space="preserve">I.O HOOKS &amp; EYES3" Qtn </t>
  </si>
  <si>
    <t xml:space="preserve">B.W IN C.M(1:5) using kiln burnt country bricks </t>
  </si>
  <si>
    <t xml:space="preserve">B.W IN C.M(1:5) USING Chamber </t>
  </si>
  <si>
    <t xml:space="preserve">B.W IN C.M(1:5) using chamber burnt  bricks </t>
  </si>
  <si>
    <t>Bricks of size 23x11.2x7 cm</t>
  </si>
  <si>
    <t>Bricks of size 23x11.4x7.5 cm</t>
  </si>
  <si>
    <t>1000Nos.</t>
  </si>
  <si>
    <r>
      <t xml:space="preserve">PROVIDING </t>
    </r>
    <r>
      <rPr>
        <b/>
        <sz val="12"/>
        <rFont val="Times New Roman"/>
        <family val="1"/>
      </rPr>
      <t>BITUMEN PAD</t>
    </r>
    <r>
      <rPr>
        <sz val="12"/>
        <rFont val="Times New Roman"/>
        <family val="1"/>
      </rPr>
      <t xml:space="preserve"> FOR EXPANISION </t>
    </r>
  </si>
  <si>
    <t>/SQM</t>
  </si>
  <si>
    <t>JOINT it-252 b p-58</t>
  </si>
  <si>
    <t xml:space="preserve">B.W IN C.M(1:6) using kiln burnt country bricks </t>
  </si>
  <si>
    <t xml:space="preserve">B.W IN C.M(1:6) USING Chamber  </t>
  </si>
  <si>
    <t xml:space="preserve">B.W IN C.M(1:6) using chamber burnt </t>
  </si>
  <si>
    <t xml:space="preserve">B.W IN C.M(1:4) using kiln burnt country bricks </t>
  </si>
  <si>
    <t xml:space="preserve">B.W IN C.M(1:4) USING Chamber  </t>
  </si>
  <si>
    <t xml:space="preserve">B.W IN C.M(1:4) using  using chamber burnt </t>
  </si>
  <si>
    <t>B.W IN C.M(1:4) using Country BricksKiln Burnt  SIZE 22x11x7Cm</t>
  </si>
  <si>
    <t>B.W IN C.M(1:4) USING Country BricksKiln Burnt  SIZE 22x11x7Cm</t>
  </si>
  <si>
    <t>B.W IN C.M(1:4) using Chamber burnt Bricks of size 23x11.4x7.5Cm</t>
  </si>
  <si>
    <t>AAC BLOCK PARTITION WALL IN cm 1:4 of size 600 x 200x100mm</t>
  </si>
  <si>
    <t>AAC block 600x200x100 [SR P.71]</t>
  </si>
  <si>
    <t>G.I. PIPE B  CLASS</t>
  </si>
  <si>
    <t xml:space="preserve"> 15mmDIA p-45 it-154 </t>
  </si>
  <si>
    <t>PARTITION WALL OF 112 mm thick</t>
  </si>
  <si>
    <t>TOTAL FOR 10.71 Sqm</t>
  </si>
  <si>
    <t xml:space="preserve"> 65mm DIA pWD</t>
  </si>
  <si>
    <t>G.I. BEND p-46  S.No-155 it-c</t>
  </si>
  <si>
    <t>PARTITION WALL OF 114 mm thick</t>
  </si>
  <si>
    <t xml:space="preserve"> 65mm DIA TWAD 2020-2021 p43</t>
  </si>
  <si>
    <t>5th</t>
  </si>
  <si>
    <t>G.I.COUPLERp-47 it-e</t>
  </si>
  <si>
    <t>6th</t>
  </si>
  <si>
    <t>B.W IN C.M(1:4) USING 2-B Categery</t>
  </si>
  <si>
    <t xml:space="preserve"> 65mm DIA TWAD p 43</t>
  </si>
  <si>
    <t>G.I. ELBOWp-51 S.No.119/ it-b</t>
  </si>
  <si>
    <t>7th</t>
  </si>
  <si>
    <t xml:space="preserve">8th </t>
  </si>
  <si>
    <t>9th</t>
  </si>
  <si>
    <t xml:space="preserve"> 65mm DIA TWAD p 25</t>
  </si>
  <si>
    <t xml:space="preserve">12th </t>
  </si>
  <si>
    <t>G.I. UNIONp-51 it-A</t>
  </si>
  <si>
    <t>13th</t>
  </si>
  <si>
    <t>PARTITION WALL OF 75mm thick</t>
  </si>
  <si>
    <t>G.I. TEE p-51 it-D</t>
  </si>
  <si>
    <t xml:space="preserve"> 65mm DIA twad p25</t>
  </si>
  <si>
    <t>G.I.HEX NIPPLEp-53 it-I</t>
  </si>
  <si>
    <t xml:space="preserve">Standardised concrete mix M20 </t>
  </si>
  <si>
    <t xml:space="preserve">Standardised concrete mix M30 </t>
  </si>
  <si>
    <t>SCRAPING THE OLD PLASTER SURFACE * p30/108/338</t>
  </si>
  <si>
    <t>WASHING PLASTERED AREA WITH SOAP&amp;SODA WATER *p30/109/339</t>
  </si>
  <si>
    <t>OF STEEL M 2</t>
  </si>
  <si>
    <t>Standardised concrete mix M20  using 20mmHB JELLY ( witt out vibrating charges)</t>
  </si>
  <si>
    <t>Standardised concrete mix M30  using 20mmHB JELLY ( witt out vibrating charges)</t>
  </si>
  <si>
    <t>G.M.GATE VALUE (Heavy Duty)p-48it-144</t>
  </si>
  <si>
    <t xml:space="preserve">                                                                                                                                                                                                                                                                                                                                                                                                                                                                                                                                                                                                                                                                                                                                                                                                                                                                                                                                                                                                                                                                                                                                                                                                                                                                                                                                                                                                                                                                                                                                                                                                                                                                                                                                                                                                                                                                                                                                                                                                                                                                                                                                                                                                                                                                                                                                                                                                                                                                                                                                                                                                                                                                                                                                                                                                                                                                                                                                                                                                                                                                                                                                                                                                                                                                                                                                                                                                                                                                                                                                                                                                                                                                                                                                                                                                                                                                                                                                                                                                                                                                                                                                                                                                                                                                                                                                                                                                                                                                                                                                                                                                                                                                                                                                                                                                                                                                                                                                                                                                                                                                                                                                                                                                                                                                                                                                                                                                                                                                                                                                                                                          </t>
  </si>
  <si>
    <t>G.M.WHEELVALUE  (Heavy Duty)p-48it-145</t>
  </si>
  <si>
    <t>8th</t>
  </si>
  <si>
    <t>G.I.REDUCER p-47 it-155F</t>
  </si>
  <si>
    <t xml:space="preserve"> 15mmDIAX20mmDIA  (v)</t>
  </si>
  <si>
    <t>10th</t>
  </si>
  <si>
    <t>11th</t>
  </si>
  <si>
    <t xml:space="preserve"> 25mmDIAX20mmDIA (iv)</t>
  </si>
  <si>
    <t>G.I.REDUCER  TEEp-47 it-155H</t>
  </si>
  <si>
    <t>G.I.REDUCER  ELBOW p47 it-G</t>
  </si>
  <si>
    <t xml:space="preserve"> 15mmDIA OF WALL THICK 2.8mm A.S.T.M (Qtn)</t>
  </si>
  <si>
    <t xml:space="preserve"> 20mm DIA----DO----2.9mm / 20 mm G.I. pipe</t>
  </si>
  <si>
    <t>Standardised concrete mix M20</t>
  </si>
  <si>
    <t>Standardised concrete mix M30</t>
  </si>
  <si>
    <t>Standardised concrete mix M25</t>
  </si>
  <si>
    <r>
      <t xml:space="preserve"> P.C.C,R.C.C SLAB OF20mm THICK </t>
    </r>
    <r>
      <rPr>
        <b/>
        <sz val="12"/>
        <rFont val="Times New Roman"/>
        <family val="1"/>
      </rPr>
      <t>using standardised concrete mix M20</t>
    </r>
  </si>
  <si>
    <r>
      <t xml:space="preserve"> P.C.C,R.C.C SLAB OF20mm THICK </t>
    </r>
    <r>
      <rPr>
        <b/>
        <sz val="12"/>
        <rFont val="Times New Roman"/>
        <family val="1"/>
      </rPr>
      <t>using standardised concrete mix M30</t>
    </r>
  </si>
  <si>
    <r>
      <t xml:space="preserve"> P.C.C,R.C.C SLAB OF20mm THICK </t>
    </r>
    <r>
      <rPr>
        <b/>
        <sz val="12"/>
        <rFont val="Times New Roman"/>
        <family val="1"/>
      </rPr>
      <t>using standardised concrete mix M25</t>
    </r>
  </si>
  <si>
    <r>
      <t xml:space="preserve"> P.C.C,R.C.C SLAB OF40mm THICK </t>
    </r>
    <r>
      <rPr>
        <b/>
        <sz val="12"/>
        <rFont val="Times New Roman"/>
        <family val="1"/>
      </rPr>
      <t>using standardised concrete mix of M20 grade</t>
    </r>
  </si>
  <si>
    <r>
      <t xml:space="preserve"> P.C.C,R.C.C SLAB OF40mm THICK </t>
    </r>
    <r>
      <rPr>
        <b/>
        <sz val="12"/>
        <rFont val="Times New Roman"/>
        <family val="1"/>
      </rPr>
      <t>using standardised concrete mix of M30 grade</t>
    </r>
  </si>
  <si>
    <r>
      <t xml:space="preserve"> P.C.C,R.C.C SLAB OF40mm THICK </t>
    </r>
    <r>
      <rPr>
        <b/>
        <sz val="12"/>
        <rFont val="Times New Roman"/>
        <family val="1"/>
      </rPr>
      <t>using standardised concrete mix of M25 grade</t>
    </r>
  </si>
  <si>
    <t xml:space="preserve">standardised concrete mix M20 </t>
  </si>
  <si>
    <t>RATE PER SQM (Foundation and basement)</t>
  </si>
  <si>
    <t>Fourth .floor</t>
  </si>
  <si>
    <t>(Both sides polished)</t>
  </si>
  <si>
    <t xml:space="preserve"> 40mm Thick slab:-</t>
  </si>
  <si>
    <t>C.I.STEEPS(5Kg)p57</t>
  </si>
  <si>
    <t>BRASS TAP 15mm / 12 mm dia (HEAVY) p - 48 it-158</t>
  </si>
  <si>
    <t>C.P.TAP15mm DIA p - 48 it-160</t>
  </si>
  <si>
    <t>ALU TOWEL RAIL 20mm ,2'LONG p - 51 it-203</t>
  </si>
  <si>
    <t>P.V.C. LOW LEVEL CISTERN 10 LITCAPACITY p-49  183a</t>
  </si>
  <si>
    <t>EVERITE CLAMP IRON CLAMP P-59 (Sl.No.212) (Special clamp)</t>
  </si>
  <si>
    <t>150mm AL.HANDLE WITH CP SCREWS/DOOR STOPPER (PWD LR) p-41 it-107b</t>
  </si>
  <si>
    <t xml:space="preserve"> it-110 p-41</t>
  </si>
  <si>
    <t>CERAMIC-FLOOR TILES WHITE/PLAINCOLOUR-6MM tk (PWD LR) p34 it 5i (33.8/0.093025)</t>
  </si>
  <si>
    <r>
      <t xml:space="preserve">Glazed-WALL TILES PLAINCOLOUR-6MM T.K (PWD LR) 100x200x6mm 
</t>
    </r>
    <r>
      <rPr>
        <b/>
        <sz val="12"/>
        <rFont val="Times New Roman"/>
        <family val="1"/>
      </rPr>
      <t>item no. 11(ii)</t>
    </r>
  </si>
  <si>
    <t>TARRED HEMP YARN p- 53 /214</t>
  </si>
  <si>
    <t>WHITE / Colour CEMENT (PWD LR) average p-35 it24+25/2</t>
  </si>
  <si>
    <t>WHITE CEMENT (PWD LR) p-35 /24</t>
  </si>
  <si>
    <t>COLOUR CEMENT (PWD LR)p-35/25</t>
  </si>
  <si>
    <t>BRASS HEX NIPPLE15mm DIA</t>
  </si>
  <si>
    <t>BRASS HEX NIPPLE 20mm DIA</t>
  </si>
  <si>
    <t>E.W.C. WITH S  TRAP it-181( 1)p-49</t>
  </si>
  <si>
    <t>PORCELIN FOOT REST</t>
  </si>
  <si>
    <t>WASH BASIN 480x400mm without pedastal it-188 p-50</t>
  </si>
  <si>
    <r>
      <t xml:space="preserve"> 20mm Thick slab:- For </t>
    </r>
    <r>
      <rPr>
        <b/>
        <sz val="12"/>
        <rFont val="Times New Roman"/>
        <family val="1"/>
      </rPr>
      <t>kitchen arrangements only</t>
    </r>
  </si>
  <si>
    <t>FLATE BACK URINAL FOR WOMEN it-189 I -p-50</t>
  </si>
  <si>
    <t>Cuddappah slab (One side polised).it-100 p-19</t>
  </si>
  <si>
    <r>
      <t xml:space="preserve">P.V.C. SOIL BENDWITH DOOR 110mm DIA </t>
    </r>
    <r>
      <rPr>
        <b/>
        <sz val="12"/>
        <color indexed="13"/>
        <rFont val="Times New Roman"/>
        <family val="1"/>
      </rPr>
      <t xml:space="preserve">Qtn </t>
    </r>
  </si>
  <si>
    <t>P.V.C. SOIL SHOE 110mm DIA p-104 it -m</t>
  </si>
  <si>
    <t xml:space="preserve">P.V.C. SOIL BEND W.O.D 110mm DIA p-102 it F by pasting </t>
  </si>
  <si>
    <t xml:space="preserve">P.V.C. SOIL YEE 110mm DIA it-G p-103 by pasting </t>
  </si>
  <si>
    <t>P.V.C. SOIL YEEWITH DOOR 110mm DIA it-H p-103 single</t>
  </si>
  <si>
    <t>P.V.C. SOIL DOUBLE  YEE WITH DOOR 110mm ( double) it-K</t>
  </si>
  <si>
    <t>P.V.C. SOIL TEE 110mm DIA it C P-102</t>
  </si>
  <si>
    <t xml:space="preserve"> 3-10mmH.B.JELLY</t>
  </si>
  <si>
    <t>P.V.C. SOIL TEE WITH DOOR  110mm DIA (single) it-D P-102</t>
  </si>
  <si>
    <t>P.V.C. SOIL SLOTTED COWL 110mm DIA it-N P-104</t>
  </si>
  <si>
    <t>Plasticiser</t>
  </si>
  <si>
    <t>WATER PROOF COMPOUND ( PWD LR)p34 it-1 An-vi</t>
  </si>
  <si>
    <t>A.C. SHEETFULLY CORRUGATED 6mmT.K (PWD LR -it-77 p-38)</t>
  </si>
  <si>
    <t>Add watering charges &amp; other (0.5%of sub-total)</t>
  </si>
  <si>
    <t>A.C. RIDGE FOR FULLYCORRUGATED AC SHEET (PWD Lrit-80 p-38)</t>
  </si>
  <si>
    <t>A.C. RIDGE FOR SEMI CORRUGATED AC SHEET (PWD Lrit-80 p-38)</t>
  </si>
  <si>
    <t>M.S.WINDOW GRILLS / Special extruded sections for Steel Windows *p20/152/131</t>
  </si>
  <si>
    <t>Kg p 44/76</t>
  </si>
  <si>
    <t>CONVEY,ALAIGN,JIONT ETC UP TO40mmPVC PIPE (TWAD SR-20-21 it-11b )</t>
  </si>
  <si>
    <t>CONVEY,ALAIGN,JIONT ETC OVER TO40mmPVC PIPE (TWAD SR-20-21 it-11b )</t>
  </si>
  <si>
    <t>CUTTING CHARGE OF PVC pipe20mm,25mm / 32 mm dia ( p-32 )</t>
  </si>
  <si>
    <t xml:space="preserve">For RCC Door Frame </t>
  </si>
  <si>
    <t>C.I. GRATING 100mmDIA it-76 p-38</t>
  </si>
  <si>
    <t>C.I. GRATING 75mmDIA</t>
  </si>
  <si>
    <t>G.I PIPE "A"CLASS 80mmDIA / 20mm dia G.I. Pipe class B</t>
  </si>
  <si>
    <t>p50 118/vi</t>
  </si>
  <si>
    <t>G.I. 80MM DIA BEND TWAD 2020-21</t>
  </si>
  <si>
    <t>Solid panel PVC door with frame (Rajeshree) p-43 it-125a</t>
  </si>
  <si>
    <t>DOOR OF SIZE 100X210Cm</t>
  </si>
  <si>
    <t>C.W.SCANTLING upto 4m long (Padak)</t>
  </si>
  <si>
    <t>SINTEX WATER TANK OF 750 LIT it-184 p-50</t>
  </si>
  <si>
    <t>Standardised concrete Mix M25 Grade Concrete</t>
  </si>
  <si>
    <t>Pipe</t>
  </si>
  <si>
    <t>POISHED CUDDAPAH SLAB 20mm/40 mm THICK WELL POISHED  p-17 it-88/87</t>
  </si>
  <si>
    <t>CUDDAPAH SLAB SINK 60X45cm,20mmT.K p -50 it-190</t>
  </si>
  <si>
    <t>GRANITE SLAB 20mm THICK OF BEST QUALITY Synthetic Grey, p-36</t>
  </si>
  <si>
    <t>Cost of silver oak scantling</t>
  </si>
  <si>
    <t>Standardised concrete Mix M35 Grade Concrete</t>
  </si>
  <si>
    <t>S/F OF BULKHEAD FITTING SUITABLE FOR 100/60W p114 i25</t>
  </si>
  <si>
    <t>549A</t>
  </si>
  <si>
    <t>CUDDAPAH SLAB SINK 60X60cm,20mmT.K p -50 it-191</t>
  </si>
  <si>
    <t>MARINE PLYWOOD OF 9mm THICK OF BWR GRADE L.R ( qtn)</t>
  </si>
  <si>
    <t>glass panels of 4mm thick for</t>
  </si>
  <si>
    <t>Cost of 4mm window glass</t>
  </si>
  <si>
    <t>Design Mix M30 Grade Concrete (CER 255/2012-13)</t>
  </si>
  <si>
    <t>20mm HBG</t>
  </si>
  <si>
    <t>10mm HBG</t>
  </si>
  <si>
    <r>
      <t xml:space="preserve">PROVIDING ANTI-TERMITE TREATMENT </t>
    </r>
    <r>
      <rPr>
        <b/>
        <sz val="12"/>
        <color indexed="13"/>
        <rFont val="Times New Roman"/>
        <family val="1"/>
      </rPr>
      <t>Say 34</t>
    </r>
  </si>
  <si>
    <t>Flat back urinal WITH ALL ACCESSORIES (white)p-50 it-193</t>
  </si>
  <si>
    <t>Admixture</t>
  </si>
  <si>
    <t>WIRE MAN GR-I p-11 it-13</t>
  </si>
  <si>
    <t>Batching plant</t>
  </si>
  <si>
    <t>Electrical HELPERp-15 it-100</t>
  </si>
  <si>
    <t>STACKING GHARGES HW DATA 16-17</t>
  </si>
  <si>
    <t>CUTTING CHARGE OF PVC pipe32mm p-32 it-129</t>
  </si>
  <si>
    <t>Design Mix M25 Grade Concrete (CER 255/2012-13)</t>
  </si>
  <si>
    <t>THREADING CHARGES FOR PVC 32mm</t>
  </si>
  <si>
    <t xml:space="preserve">by pasting </t>
  </si>
  <si>
    <t xml:space="preserve">RCC door </t>
  </si>
  <si>
    <t>1200MMX2100MM SIZE OF DOOR FRAME</t>
  </si>
  <si>
    <t>1000MMX2400MM SIZE OF DOOR FRAME</t>
  </si>
  <si>
    <t>1500MMX2100MM SIZE OF DOOR FRAME</t>
  </si>
  <si>
    <r>
      <t xml:space="preserve">Satndardised cement Concrtet </t>
    </r>
    <r>
      <rPr>
        <b/>
        <sz val="12"/>
        <rFont val="Times New Roman"/>
        <family val="1"/>
      </rPr>
      <t>M30 grade 1:1.5:3 without vibrating charges</t>
    </r>
  </si>
  <si>
    <t>1500MMX2400MM SIZE OF DOOR FRAME</t>
  </si>
  <si>
    <t>…</t>
  </si>
  <si>
    <t>FOR DOORS OF ALL SIZE (Qtn. For syntex.) Hollow p43 128a</t>
  </si>
  <si>
    <t>COUNTRY WOOD SINGLY LEAF FULLY PANELLED</t>
  </si>
  <si>
    <t xml:space="preserve">C.W SCANTLING UPTO 4M LONG </t>
  </si>
  <si>
    <t xml:space="preserve">C.W SCANTLING  UPTO 4M LONG </t>
  </si>
  <si>
    <t>C.W PLANKS 25mm thick, 30cm WIDE</t>
  </si>
  <si>
    <t>DOOR HANDLE WITH CP SCREWS 6"</t>
  </si>
  <si>
    <t>Brass screw p-55 it-232</t>
  </si>
  <si>
    <t>No,</t>
  </si>
  <si>
    <t>BWR   single leaf</t>
  </si>
  <si>
    <t>DOOR OF SIZE 750X2100 MM</t>
  </si>
  <si>
    <t xml:space="preserve">                                                                                                                                                                                                                                                                                                                                                                                                                                                                                                                                                                                                                                                                                                                                                                                                                                                                                                                                                                                                                                                                                                                                                                                                                                                                                                                                                                                                                                                                                                                                                                                                                                                                                                                                                                                                                                                                                                                                                                                                                                                                                                                                                                                       </t>
  </si>
  <si>
    <t>ALU.HANDLE WITH C.P.SCREWS 6"</t>
  </si>
  <si>
    <t>brass screws</t>
  </si>
  <si>
    <t xml:space="preserve">                                                                                                                                                                                                               </t>
  </si>
  <si>
    <t>Hollow type PVC door with frame</t>
  </si>
  <si>
    <r>
      <t>S/F OF</t>
    </r>
    <r>
      <rPr>
        <b/>
        <sz val="12"/>
        <rFont val="Times New Roman"/>
        <family val="1"/>
      </rPr>
      <t xml:space="preserve"> BWR PLYWOOD DOOR</t>
    </r>
  </si>
  <si>
    <t>C.W.SCANTLING UPTO 4M length (PADAK)</t>
  </si>
  <si>
    <r>
      <t xml:space="preserve">I.O FITTINGS AS PER SCHEDULE E </t>
    </r>
    <r>
      <rPr>
        <b/>
        <sz val="12"/>
        <rFont val="Times New Roman"/>
        <family val="1"/>
      </rPr>
      <t>1200 x 2100mm size</t>
    </r>
  </si>
  <si>
    <t>SHUTTER SIZE0-1.1X2.05   =2.255M2</t>
  </si>
  <si>
    <t>STYLES(OVER 2M) -2X2X2.05X0.075X0.0375=0.02306</t>
  </si>
  <si>
    <t>RAILS(BELOW 2M)- 2X3X0.55X0.15X0.0375=      0.01856</t>
  </si>
  <si>
    <t>PLANKS      -1X2X0.625X0.425=0.53</t>
  </si>
  <si>
    <t>PLANKS      -1X2X1.025X0.425=0.87</t>
  </si>
  <si>
    <t>1.40M2</t>
  </si>
  <si>
    <t>DOOR OF SIZE 1200 X2100 MM</t>
  </si>
  <si>
    <t>frosted glass 4mmthick</t>
  </si>
  <si>
    <t>TOTAL FOR 2.255 SQM</t>
  </si>
  <si>
    <t>TOTAL FOR 1.845SQM</t>
  </si>
  <si>
    <t>1800 X 2100MM (Double leaves)</t>
  </si>
  <si>
    <t>TOTAL FOR .40 SQM</t>
  </si>
  <si>
    <t>T.W PLANKS (15.30 CM) (12 TO 25CM THICK)</t>
  </si>
  <si>
    <t>DOOR HANDLE 6"</t>
  </si>
  <si>
    <t>5" BUTT HINGES</t>
  </si>
  <si>
    <t>6" X .6" TOWER BOLTS</t>
  </si>
  <si>
    <t>10" X 5/8" ALDROPS</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</si>
  <si>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</si>
  <si>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 xml:space="preserve"> ORNAMENTAL; HANDLE WITH SCREWS(100mm)p41 it-108c </t>
  </si>
  <si>
    <t>LOCKS &amp;KEY Qtn</t>
  </si>
  <si>
    <t>Cement Concrete using design mix of grade M25 concrete for all RCC works</t>
  </si>
  <si>
    <t>10mmH.B.JELLY</t>
  </si>
  <si>
    <t>In Foundation and Basement</t>
  </si>
  <si>
    <t>BEST VARNISH p37/52</t>
  </si>
  <si>
    <r>
      <t xml:space="preserve">Supplying and fixing </t>
    </r>
    <r>
      <rPr>
        <b/>
        <sz val="12"/>
        <rFont val="Times New Roman"/>
        <family val="1"/>
      </rPr>
      <t>4mm thick pin</t>
    </r>
  </si>
  <si>
    <t xml:space="preserve"> 4mm glass frosted </t>
  </si>
  <si>
    <t xml:space="preserve"> 12x12mm Alu.Beedings ( Qtn)</t>
  </si>
  <si>
    <t>Alu. bolts and nuts( Qtn)</t>
  </si>
  <si>
    <t>S &amp; F of Granite slab of size 4'x2', 18 to 20mm Thick For kitchen arrangements (jet black) for SP and ADSP</t>
  </si>
  <si>
    <t>S &amp; F of Granite tile of size 2'x 1', 10mm Thick For kitchen arrangements (jet black for SFO)</t>
  </si>
  <si>
    <t>Granite slab ( Jet Black) p-36 it-29a</t>
  </si>
  <si>
    <t>Granite slab ( Jet Black) p-35 it-28 a</t>
  </si>
  <si>
    <t>WITH SUITABLE LEDGES including piming coat</t>
  </si>
  <si>
    <t>RATE AS PER  PWD LR For Window  p 38/ it 82</t>
  </si>
  <si>
    <t>Mazdoor Ist class</t>
  </si>
  <si>
    <t>Maz  Ist</t>
  </si>
  <si>
    <t>Steel grill for Verandah Enclousure PWD SR p20/ Item 138/131</t>
  </si>
  <si>
    <t>Supplying and fixing M.S.Hold Qtn</t>
  </si>
  <si>
    <t>i8</t>
  </si>
  <si>
    <t xml:space="preserve">Granite Tiles flooring in cm1:3,20mm thk </t>
  </si>
  <si>
    <t>Satheleri Grey</t>
  </si>
  <si>
    <t>Eurocon tile/ Designer tile flooring (as per CER-112/2007-08)</t>
  </si>
  <si>
    <t>COST OF granite FLOOR TILES, (p-36/29c)
gray</t>
  </si>
  <si>
    <t>Old rate</t>
  </si>
  <si>
    <r>
      <t xml:space="preserve">COST OF Eurocon TILES </t>
    </r>
    <r>
      <rPr>
        <b/>
        <sz val="12"/>
        <rFont val="Times New Roman"/>
        <family val="1"/>
      </rPr>
      <t>(pwd -p 35/17</t>
    </r>
  </si>
  <si>
    <t>Grout</t>
  </si>
  <si>
    <t>white/colour cement</t>
  </si>
  <si>
    <t>Vertified tile flooring (Colour)</t>
  </si>
  <si>
    <t>COST OF   nano polish Vitified TILES (LSR New It-1) p-35 it-14</t>
  </si>
  <si>
    <t>Vertified  tile flooring  ( Ivory)</t>
  </si>
  <si>
    <t>COST OF Vertified TILES (p51, it-156)</t>
  </si>
  <si>
    <t>S &amp; F of Granite tile of size 2'x1', 10mm Thick For kitchen arrangements (Ruby red)</t>
  </si>
  <si>
    <t>Grout joint filler</t>
  </si>
  <si>
    <t>COST OF granite FLOOR TILES, 
Ruby Red  p-36 28b</t>
  </si>
  <si>
    <t>Vertified tile flooring IVORY</t>
  </si>
  <si>
    <t>d448</t>
  </si>
  <si>
    <t>Grout ( qtn)</t>
  </si>
  <si>
    <r>
      <t xml:space="preserve">COST OF Vertified TILES  </t>
    </r>
    <r>
      <rPr>
        <b/>
        <sz val="16"/>
        <color indexed="13"/>
        <rFont val="Times New Roman"/>
        <family val="1"/>
      </rPr>
      <t>qtn</t>
    </r>
  </si>
  <si>
    <t>710          ruby red</t>
  </si>
  <si>
    <t>Suppling and laying granite wall cladding</t>
  </si>
  <si>
    <t xml:space="preserve"> in C.M(1:2)  </t>
  </si>
  <si>
    <t>COST OF granite TILES</t>
  </si>
  <si>
    <r>
      <t xml:space="preserve">Suppling and laying </t>
    </r>
    <r>
      <rPr>
        <b/>
        <sz val="12"/>
        <rFont val="Times New Roman"/>
        <family val="1"/>
      </rPr>
      <t>colour matt finish floor tiles</t>
    </r>
  </si>
  <si>
    <t>COST OF matt finish wall of 12x12
(Quotation rate)</t>
  </si>
  <si>
    <r>
      <t xml:space="preserve">Suppling and laying </t>
    </r>
    <r>
      <rPr>
        <b/>
        <sz val="12"/>
        <rFont val="Times New Roman"/>
        <family val="1"/>
      </rPr>
      <t>colour matt finish wall tiles</t>
    </r>
  </si>
  <si>
    <t>COST OF  TILES (Quotation rate)</t>
  </si>
  <si>
    <r>
      <t xml:space="preserve">PAINTING TWO COATS OVER NEW           </t>
    </r>
    <r>
      <rPr>
        <b/>
        <sz val="12"/>
        <rFont val="Times New Roman"/>
        <family val="1"/>
      </rPr>
      <t>(as per CER-112/2007-08)</t>
    </r>
  </si>
  <si>
    <r>
      <t xml:space="preserve">S &amp; F of </t>
    </r>
    <r>
      <rPr>
        <b/>
        <sz val="12"/>
        <rFont val="Times New Roman"/>
        <family val="1"/>
      </rPr>
      <t>Granite slab 18mm to 12mm Thick</t>
    </r>
    <r>
      <rPr>
        <sz val="12"/>
        <rFont val="Times New Roman"/>
        <family val="1"/>
      </rPr>
      <t xml:space="preserve"> For </t>
    </r>
    <r>
      <rPr>
        <b/>
        <sz val="12"/>
        <rFont val="Times New Roman"/>
        <family val="1"/>
      </rPr>
      <t xml:space="preserve">kitchen arrangements </t>
    </r>
  </si>
  <si>
    <t xml:space="preserve">PLASTERED SURFACE WITH </t>
  </si>
  <si>
    <r>
      <t>WATER REPELLANT PAINT</t>
    </r>
    <r>
      <rPr>
        <sz val="12"/>
        <rFont val="Times New Roman"/>
        <family val="1"/>
      </rPr>
      <t xml:space="preserve"> OVER ONE PRIMER COAT</t>
    </r>
  </si>
  <si>
    <r>
      <t xml:space="preserve">Granite slab </t>
    </r>
    <r>
      <rPr>
        <b/>
        <sz val="12"/>
        <rFont val="Times New Roman"/>
        <family val="1"/>
      </rPr>
      <t>(Ruby red) P-36 it-29 b</t>
    </r>
  </si>
  <si>
    <t>WITH C.M(1:3)20mm THICK</t>
  </si>
  <si>
    <t>COST OF PAINT</t>
  </si>
  <si>
    <r>
      <t xml:space="preserve">OF 10mm&amp;BELOW </t>
    </r>
    <r>
      <rPr>
        <b/>
        <sz val="12"/>
        <rFont val="Times New Roman"/>
        <family val="1"/>
      </rPr>
      <t>(ELLISPATTERN)</t>
    </r>
  </si>
  <si>
    <t>PRIMER (LMR item 112) p44</t>
  </si>
  <si>
    <t>Mason IIst</t>
  </si>
  <si>
    <t xml:space="preserve">PAINTER II </t>
  </si>
  <si>
    <t>Mazdoor IIst</t>
  </si>
  <si>
    <t>Pointing the joint</t>
  </si>
  <si>
    <t>Thorough scrapping p28 /108</t>
  </si>
  <si>
    <r>
      <t>WEATHERING COURSE</t>
    </r>
    <r>
      <rPr>
        <sz val="12"/>
        <rFont val="Times New Roman"/>
        <family val="1"/>
      </rPr>
      <t xml:space="preserve"> WITH BRICK</t>
    </r>
  </si>
  <si>
    <r>
      <t xml:space="preserve">PAINTING TWO COATS OVER NEW            </t>
    </r>
    <r>
      <rPr>
        <b/>
        <sz val="12"/>
        <rFont val="Times New Roman"/>
        <family val="1"/>
      </rPr>
      <t xml:space="preserve"> (as per CER-112/2007-08)</t>
    </r>
  </si>
  <si>
    <r>
      <t xml:space="preserve">S &amp; F of </t>
    </r>
    <r>
      <rPr>
        <b/>
        <sz val="12"/>
        <rFont val="Times New Roman"/>
        <family val="1"/>
      </rPr>
      <t>Granite slab 18mm to 20mm Thick</t>
    </r>
    <r>
      <rPr>
        <sz val="12"/>
        <rFont val="Times New Roman"/>
        <family val="1"/>
      </rPr>
      <t xml:space="preserve"> For </t>
    </r>
    <r>
      <rPr>
        <b/>
        <sz val="12"/>
        <rFont val="Times New Roman"/>
        <family val="1"/>
      </rPr>
      <t xml:space="preserve">kitchen arrangements </t>
    </r>
  </si>
  <si>
    <t>Plastic Emulsion PAINT</t>
  </si>
  <si>
    <r>
      <t xml:space="preserve">Granite slab </t>
    </r>
    <r>
      <rPr>
        <b/>
        <sz val="12"/>
        <rFont val="Times New Roman"/>
        <family val="1"/>
      </rPr>
      <t>( Jet Black) P-36 it-29 a</t>
    </r>
  </si>
  <si>
    <t>Plastic Emulsion PAINT  (LMR item 113) p-45 143( First qty</t>
  </si>
  <si>
    <t>Primer     (LMR item 142) p45</t>
  </si>
  <si>
    <t>Providing cooling tiles over terrace floor</t>
  </si>
  <si>
    <t>COST OF CERAMIC FLOOR TILES p-34 it-7 a</t>
  </si>
  <si>
    <t>6-10mm thick metal</t>
  </si>
  <si>
    <r>
      <t xml:space="preserve">Granite slab </t>
    </r>
    <r>
      <rPr>
        <b/>
        <sz val="12"/>
        <color indexed="10"/>
        <rFont val="Times New Roman"/>
        <family val="1"/>
      </rPr>
      <t>(Ruby red) P-36 it-29b</t>
    </r>
  </si>
  <si>
    <t>Pointing with CM 1:3</t>
  </si>
  <si>
    <t>ABC plus powder</t>
  </si>
  <si>
    <t>Colour cement p-36</t>
  </si>
  <si>
    <t>ABC Grout</t>
  </si>
  <si>
    <t>Base concrete 1:2:4 (6-10mm thick metal)</t>
  </si>
  <si>
    <t>12mmTHICK MIXED WITH WATER PROOF COMPOUND</t>
  </si>
  <si>
    <t>Two legged scaffolding</t>
  </si>
  <si>
    <t>Aluminium window openable 1.35x1.05m  (Six leaves)</t>
  </si>
  <si>
    <t>PRESSED TILES 23X23X2cm P-15</t>
  </si>
  <si>
    <t>15cm dia casurina poles p -19 /115a.</t>
  </si>
  <si>
    <t>Country wood planks p -18 /107</t>
  </si>
  <si>
    <t>hinges</t>
  </si>
  <si>
    <t>Total for 10 times</t>
  </si>
  <si>
    <t>handle</t>
  </si>
  <si>
    <t>For one operation</t>
  </si>
  <si>
    <t>hinges it-77 a p-40</t>
  </si>
  <si>
    <t>stay</t>
  </si>
  <si>
    <t>stiffner</t>
  </si>
  <si>
    <t>Coir, nails etc.</t>
  </si>
  <si>
    <t>Total for 6 Rmt.</t>
  </si>
  <si>
    <t>Total for1 Rmt.</t>
  </si>
  <si>
    <t>Aluminium window openable 1.05x1.35m  (Four leaves)</t>
  </si>
  <si>
    <t>Providing Granite slab flooring of</t>
  </si>
  <si>
    <t>Aluminium window openable 0.90x1.35m  (Four leaves)</t>
  </si>
  <si>
    <t>COST OF Granite  tile 20mm tk(Ruby red/raw silk) polished</t>
  </si>
  <si>
    <t>Aluminium window openable 0.50x1.35m (Two leaves)</t>
  </si>
  <si>
    <t>Aluminium window openable 1.80x1.35m (Eight leaves)</t>
  </si>
  <si>
    <t>Aluminium window openable 1.35x1.35m (Six leaves)</t>
  </si>
  <si>
    <t>Aluminium section (p-38/84a)</t>
  </si>
  <si>
    <t>rubber beeding P-45/81</t>
  </si>
  <si>
    <t>hinges 75mm x 30 mm P-45/94 b</t>
  </si>
  <si>
    <t>handle 150 mm long p-42 /80b</t>
  </si>
  <si>
    <t>stay 10"</t>
  </si>
  <si>
    <t>Aluminium window openable 0.90x0.60m (Two leaves)</t>
  </si>
  <si>
    <t>Aluminium window openable 1.80x2.20m (Eight leaves)</t>
  </si>
  <si>
    <t>Aluminium window openable 1.20x1.35m  (Four leaves)</t>
  </si>
  <si>
    <t>Aluminium section (p-40/61a)</t>
  </si>
  <si>
    <t>rubber beeding P-41/64</t>
  </si>
  <si>
    <t>hinges 75mm x 30 mm P-41/77 b</t>
  </si>
  <si>
    <t>Aluminium window openable 0.90x1.20m  (Four leaves)</t>
  </si>
  <si>
    <t>2014-15 RATE</t>
  </si>
  <si>
    <t>Aluminium window openable 0.45x1.35m (Two leaves)</t>
  </si>
  <si>
    <t>Alum Vent 0.90x0.45m</t>
  </si>
  <si>
    <t>Data based on Police Acadamy</t>
  </si>
  <si>
    <t>Aluminium luvered Ventilator 0.60x0.60m</t>
  </si>
  <si>
    <t>Rate / Sqm</t>
  </si>
  <si>
    <t>Aluminium window openable 1.80x1.65m (Eight leaves)</t>
  </si>
  <si>
    <t>Aluminium luvered Ventilator 0.75x0.60m</t>
  </si>
  <si>
    <t>Aluminium window openable 0.75x1.35m (Two leaves)</t>
  </si>
  <si>
    <t>Aluminium window openable 1.20x1.05m (Four leaves)</t>
  </si>
  <si>
    <t>Aluminium window Fixed 0.90x2.10m</t>
  </si>
  <si>
    <t>Aluminium Ventilator 1.285x0.60m</t>
  </si>
  <si>
    <t>Aluminium Ventilator 0.90x0.60m</t>
  </si>
  <si>
    <t>Aluminium Ventilator 1.35x0.60m</t>
  </si>
  <si>
    <t>Aluminium window openable 1.50x1.35m  (Six leaves)</t>
  </si>
  <si>
    <t>Matt paint Two coats</t>
  </si>
  <si>
    <t>SUPERCEM PAINTING TWO COATS</t>
  </si>
  <si>
    <t>SUPERCEM</t>
  </si>
  <si>
    <t>PAINTING TWO COATS OVER new</t>
  </si>
  <si>
    <t>SYNTHETIC ENAMEL PAINT INCL.PRIMER COAT.</t>
  </si>
  <si>
    <t>Aluminium window openable 1.80 x 1.65 m =2.97m2</t>
  </si>
  <si>
    <t>FRENCH WINDOW Reference Data Nagapattinam Ar Ph-XIX  CER 224-2012-2013</t>
  </si>
  <si>
    <t>RATE  FOR   EACH</t>
  </si>
  <si>
    <r>
      <t xml:space="preserve">FITTER  </t>
    </r>
    <r>
      <rPr>
        <b/>
        <sz val="13"/>
        <rFont val="Times New Roman"/>
        <family val="1"/>
      </rPr>
      <t>Ist CLASS</t>
    </r>
  </si>
  <si>
    <r>
      <t xml:space="preserve">MAZDOOR  </t>
    </r>
    <r>
      <rPr>
        <b/>
        <sz val="13"/>
        <rFont val="Times New Roman"/>
        <family val="1"/>
      </rPr>
      <t>Ist CLASS</t>
    </r>
  </si>
  <si>
    <r>
      <t>CARPENTER</t>
    </r>
    <r>
      <rPr>
        <b/>
        <sz val="13"/>
        <rFont val="Times New Roman"/>
        <family val="1"/>
      </rPr>
      <t xml:space="preserve"> II CLASS</t>
    </r>
  </si>
  <si>
    <t>FABRICATION  (RCC WORKS)</t>
  </si>
  <si>
    <r>
      <t xml:space="preserve">ANTI-CORROSIVE(COROLOK-CP </t>
    </r>
    <r>
      <rPr>
        <sz val="12"/>
        <color indexed="13"/>
        <rFont val="Times New Roman"/>
        <family val="1"/>
      </rPr>
      <t>( qtn)</t>
    </r>
  </si>
  <si>
    <t>COASTAL AREA</t>
  </si>
  <si>
    <t>BINDING WIRE insulated with PVC as per circular</t>
  </si>
  <si>
    <r>
      <t>DOWN FALL PIPE    T</t>
    </r>
    <r>
      <rPr>
        <b/>
        <sz val="12"/>
        <rFont val="Times New Roman"/>
        <family val="1"/>
      </rPr>
      <t>ype- A  SWR pipe</t>
    </r>
  </si>
  <si>
    <t>UPVC SPECIAL CLAMP as per qtn</t>
  </si>
  <si>
    <t xml:space="preserve"> 2omm alu. hanger rod </t>
  </si>
  <si>
    <r>
      <t xml:space="preserve">SUPPLY AND FIXING ALUMINUM </t>
    </r>
    <r>
      <rPr>
        <b/>
        <sz val="12"/>
        <rFont val="Times New Roman"/>
        <family val="1"/>
      </rPr>
      <t xml:space="preserve">TOWEL RAIL </t>
    </r>
    <r>
      <rPr>
        <sz val="12"/>
        <rFont val="Times New Roman"/>
        <family val="1"/>
      </rPr>
      <t>OF</t>
    </r>
  </si>
  <si>
    <r>
      <t xml:space="preserve">SUPPLING AND FIXING </t>
    </r>
    <r>
      <rPr>
        <b/>
        <sz val="12"/>
        <rFont val="Times New Roman"/>
        <family val="1"/>
      </rPr>
      <t>COAT STAND</t>
    </r>
  </si>
  <si>
    <r>
      <t xml:space="preserve">SUPPLING AND FIXING OF </t>
    </r>
    <r>
      <rPr>
        <b/>
        <sz val="12"/>
        <rFont val="Times New Roman"/>
        <family val="1"/>
      </rPr>
      <t>PICTURE HOOKS</t>
    </r>
  </si>
  <si>
    <r>
      <t xml:space="preserve">Slabs of 50mm thick </t>
    </r>
    <r>
      <rPr>
        <b/>
        <sz val="12"/>
        <rFont val="Times New Roman"/>
        <family val="1"/>
      </rPr>
      <t>(precast slab 50mm Thick)</t>
    </r>
  </si>
  <si>
    <t>Precasting Charges ( 6.28*120sqm=753.6/18=41.87each)</t>
  </si>
  <si>
    <r>
      <t>KERB STONE</t>
    </r>
    <r>
      <rPr>
        <sz val="12"/>
        <rFont val="Times New Roman"/>
        <family val="1"/>
      </rPr>
      <t xml:space="preserve"> 450x300x150mm</t>
    </r>
  </si>
  <si>
    <t>Casurina props 5 to 8cm dia p19 / It- 118 d</t>
  </si>
  <si>
    <t>CW reepers 50x25 cm it-123 p-19</t>
  </si>
  <si>
    <t>Casurina props 5 to 8cm dia</t>
  </si>
  <si>
    <r>
      <t xml:space="preserve">Painting / lettering charges </t>
    </r>
    <r>
      <rPr>
        <sz val="12"/>
        <color indexed="13"/>
        <rFont val="Times New Roman"/>
        <family val="1"/>
      </rPr>
      <t>qtn</t>
    </r>
  </si>
  <si>
    <t>PVC WATER TANK OF 700 LITRE CAPACITY p50 /180</t>
  </si>
  <si>
    <t>PVC WATER TANK OF 200 LITRE CAPACITY</t>
  </si>
  <si>
    <t>40mm</t>
  </si>
  <si>
    <t>CUTTING CHARGES p -26 Itm 91</t>
  </si>
  <si>
    <t>THREADING CHARGES p -26 Itm 91</t>
  </si>
  <si>
    <t xml:space="preserve"> 40MM DIA UPVC PIPE ABOVE G.L:-</t>
  </si>
  <si>
    <t xml:space="preserve">COST OF40MM DIA PVC PIPE </t>
  </si>
  <si>
    <t>50mm</t>
  </si>
  <si>
    <t xml:space="preserve">LAYING JOINTING INCLUDING </t>
  </si>
  <si>
    <t>ALIGNING (Twad-2020-21/255)</t>
  </si>
  <si>
    <t>CUTTING CHARGES p -26 Itm 93</t>
  </si>
  <si>
    <t>THREADING CHARGES p- 26 Itm 93</t>
  </si>
  <si>
    <t xml:space="preserve"> 50MM DIA PVC PIPE ABOVE G.L:-</t>
  </si>
  <si>
    <t xml:space="preserve">COST OF 50MM DIA PVC PIPE </t>
  </si>
  <si>
    <t xml:space="preserve">COST OF50MM DIA PVC PIPE </t>
  </si>
  <si>
    <r>
      <t>WASHBASIN</t>
    </r>
    <r>
      <rPr>
        <sz val="12"/>
        <rFont val="Times New Roman"/>
        <family val="1"/>
      </rPr>
      <t xml:space="preserve"> 22"X16" INCLUDING</t>
    </r>
  </si>
  <si>
    <t>Wash Hand Basin of size 550 x 400 mm with all accessories such as CI brackets, 32mm dia CP waste coupling, Rubber pug and chain, 32mm dia B class GI waste pipe, 15mm dia brass nipples. 15mm CP pillar tap etc.,</t>
  </si>
  <si>
    <t>deduct rate for 15mm dia GM wheel valve p -48 /157(v)</t>
  </si>
  <si>
    <t xml:space="preserve"> Angle Valve</t>
  </si>
  <si>
    <t>CI MANHOLE COVER 60CMX60CMX50KG p-55/238</t>
  </si>
  <si>
    <t>CI STEPS (5Kg) (59.65+.35)</t>
  </si>
  <si>
    <t>Brass Tap with ISI Mark p48/158</t>
  </si>
  <si>
    <t>Deduct rate for "P" &amp; "S" trap</t>
  </si>
  <si>
    <t xml:space="preserve">Add rate for PVC SWR "P" &amp; "S" trap </t>
  </si>
  <si>
    <t>WEATHERING COURSE</t>
  </si>
  <si>
    <r>
      <t>SUPPLY AND FIXING OF E.W.C.   18" SIZE</t>
    </r>
    <r>
      <rPr>
        <b/>
        <sz val="12"/>
        <rFont val="Times New Roman"/>
        <family val="1"/>
      </rPr>
      <t xml:space="preserve"> (WHITE)</t>
    </r>
  </si>
  <si>
    <t>EUROPEAN WATER CLOSET WITH "P" OR "S" TRAP WITH DOUBLE FLAPPED SEAT AND SEAT COVER WITH BRASS HINGES AND 10LIT CAPACITY PVC L;OW LEVEL FLUSHING TANK WITH ALL INTERNAL FITTINGS p-48</t>
  </si>
  <si>
    <r>
      <t xml:space="preserve">SUPPLY AND FIXING OF E.W.C.   18" SIZE </t>
    </r>
    <r>
      <rPr>
        <b/>
        <sz val="12"/>
        <rFont val="Times New Roman"/>
        <family val="1"/>
      </rPr>
      <t>(COLOUR)</t>
    </r>
  </si>
  <si>
    <r>
      <t xml:space="preserve">110MM DIA OF </t>
    </r>
    <r>
      <rPr>
        <b/>
        <sz val="12"/>
        <rFont val="Times New Roman"/>
        <family val="1"/>
      </rPr>
      <t>PVC</t>
    </r>
    <r>
      <rPr>
        <sz val="12"/>
        <rFont val="Times New Roman"/>
        <family val="1"/>
      </rPr>
      <t xml:space="preserve"> </t>
    </r>
    <r>
      <rPr>
        <b/>
        <sz val="12"/>
        <rFont val="Times New Roman"/>
        <family val="1"/>
      </rPr>
      <t>SWR PIPE</t>
    </r>
    <r>
      <rPr>
        <sz val="12"/>
        <rFont val="Times New Roman"/>
        <family val="1"/>
      </rPr>
      <t xml:space="preserve"> INCLUDING </t>
    </r>
  </si>
  <si>
    <t>Rest room Cupboard - Men</t>
  </si>
  <si>
    <t>COMPLETE  type 'B'.</t>
  </si>
  <si>
    <t>SHUTTER SIZE 3.93 x 2.10 =</t>
  </si>
  <si>
    <t>TW scantling(OVER 2M)</t>
  </si>
  <si>
    <t>Vertical (7 nos) - 1 x 7x 2.1 x 0.075 x0.0375</t>
  </si>
  <si>
    <t>Horizontal (5nos) - 1 x 5 x 3.93 x 0.075 x 0.0375</t>
  </si>
  <si>
    <t>P.V.C DOOR TEE 110MM p-61 D-c</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</si>
  <si>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</si>
  <si>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</si>
  <si>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</si>
  <si>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</si>
  <si>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</si>
  <si>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</si>
  <si>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</si>
  <si>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</si>
  <si>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</si>
  <si>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</si>
  <si>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r>
      <t xml:space="preserve">75MM DIA OF </t>
    </r>
    <r>
      <rPr>
        <b/>
        <sz val="12"/>
        <rFont val="Times New Roman"/>
        <family val="1"/>
      </rPr>
      <t>PVC SWR PIPE</t>
    </r>
    <r>
      <rPr>
        <sz val="12"/>
        <rFont val="Times New Roman"/>
        <family val="1"/>
      </rPr>
      <t xml:space="preserve"> INCLUDING </t>
    </r>
  </si>
  <si>
    <t>Shutter area      -1X1X3.78X1.95=7.37 m2</t>
  </si>
  <si>
    <t xml:space="preserve"> 3" ALU BUTT HINGES - 18 x 2</t>
  </si>
  <si>
    <t xml:space="preserve"> ORNAMENTAL; HANDLE - 18 x1</t>
  </si>
  <si>
    <t>Enamel Paint - 3.93 x 2.60 x 2.10</t>
  </si>
  <si>
    <t>9mm thick BWR Ply wood</t>
  </si>
  <si>
    <t xml:space="preserve"> ORNAMENTAL; HANDLE WITH SCREWS(100mm)p46 it-98c </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</si>
  <si>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</si>
  <si>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</si>
  <si>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</si>
  <si>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</si>
  <si>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</si>
  <si>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M30 grade concrete</t>
  </si>
  <si>
    <t>Providing Rain Water Harvesting well ring circular shape of 90cm dia, 60cm depth,50mm thick using m30 grade concrete including steel fabrication.</t>
  </si>
  <si>
    <t>NAHANI TRAP 75mm DIA</t>
  </si>
  <si>
    <t>SUPPLY AND FIXING OF 250mm</t>
  </si>
  <si>
    <r>
      <t xml:space="preserve">250mmDIA S.W.PIPE WITH ISI MARK ( it-13.0/4 </t>
    </r>
    <r>
      <rPr>
        <b/>
        <sz val="12"/>
        <rFont val="Times New Roman"/>
        <family val="1"/>
      </rPr>
      <t>of twad20-21 spl I CLASS )</t>
    </r>
  </si>
  <si>
    <t xml:space="preserve"> 3"I.O. ButtHinges</t>
  </si>
  <si>
    <t xml:space="preserve"> 6"x1/2" Alu. Aldrops</t>
  </si>
  <si>
    <t>S/F OF SLIM TUBELIGHT FITTING WITH ELECTRONICS BALLAST.</t>
  </si>
  <si>
    <t>SUPPLY AND DELIVERY OF FAN 48"SWEEP with ordinary regulator.</t>
  </si>
  <si>
    <t>S &amp; F of Exsaust Fan 225mm dia</t>
  </si>
  <si>
    <t>M.S. Angle</t>
  </si>
  <si>
    <t>SUPPLYING AND FIXING OF 25MM DIA PVC PIPE FOR TV/TELEPHONE LINE</t>
  </si>
  <si>
    <t>PVC RIGID CONDUIT PIPE 19M/20MM HEAVY DUTY WITH ISI P -128/ part  I 1b</t>
  </si>
  <si>
    <t>PVC RIGID CONDUIT PIPE 19M/20MM HEAVY DUTY WITH ISI P -127/ part  I 1b</t>
  </si>
  <si>
    <t>Charcoal 17-18 SD 233 (101.70/20.32 = 5.00)</t>
  </si>
  <si>
    <t xml:space="preserve">SALT  SD 233 </t>
  </si>
  <si>
    <t>GI WIRE 8 GAUGE p125/3c</t>
  </si>
  <si>
    <t>Labour Charges for barbed wire fencing for 8.16 kg</t>
  </si>
  <si>
    <t>Fitter I class</t>
  </si>
  <si>
    <t>Mazdoor I class</t>
  </si>
  <si>
    <t>TOTAL FOR 8.16 kg</t>
  </si>
  <si>
    <t>Rate for 1 kg</t>
  </si>
  <si>
    <t>Barbed wire fencing for 10 m</t>
  </si>
  <si>
    <t>Barbed wire 10 gauge 2 ply and four pronged ( Galvanised) it-133 p-44</t>
  </si>
  <si>
    <t>Binding wire</t>
  </si>
  <si>
    <t>Rate for 10m</t>
  </si>
  <si>
    <t>Rate for 1m</t>
  </si>
  <si>
    <t>Labour charges for Auger pile foundation for 2.44m</t>
  </si>
  <si>
    <t>Chain link fencing data for 15sqm</t>
  </si>
  <si>
    <t>Mason II class</t>
  </si>
  <si>
    <t>GALVANISIED IRON WIRE 2" x 2" using 10 gauge (of all sizes) p44/134</t>
  </si>
  <si>
    <t>Hire charges @ 10% of labour charges</t>
  </si>
  <si>
    <t>Rate for 2.44m</t>
  </si>
  <si>
    <t>Rate for 1.00m</t>
  </si>
  <si>
    <t>Rate for 15sqm</t>
  </si>
  <si>
    <t>Rate for 1 sqm</t>
  </si>
  <si>
    <t>Auger pile of size 30cm dia and 3m depth for 1m</t>
  </si>
  <si>
    <t>RCC 1:2:4</t>
  </si>
  <si>
    <t>1M3</t>
  </si>
  <si>
    <t>Rate for 1 RM</t>
  </si>
  <si>
    <t>Providing Rain Water Harvesting Perculation pit
a) Providing pit</t>
  </si>
  <si>
    <t>Strutting to centering of R.C.C plain surface, 3.00m height wall.</t>
  </si>
  <si>
    <t>Casurina Props 10 to 13 m dia @ 75m c/c cost for 1 
operation 25.20/5=5.040 p-19 it-116/b</t>
  </si>
  <si>
    <t>Precasted slab Standardised Cement comncrete M 20 grade</t>
  </si>
  <si>
    <t xml:space="preserve"> --------------------</t>
  </si>
  <si>
    <t>Add sundries</t>
  </si>
  <si>
    <t>Rate for 10 sqm</t>
  </si>
  <si>
    <t>Rate for 1 sqm, for 3m ht.</t>
  </si>
  <si>
    <t>Rate for 1 sqm, for 1m ht.</t>
  </si>
  <si>
    <t>Augering 30 cm dia</t>
  </si>
  <si>
    <t>18.1.a.</t>
  </si>
  <si>
    <t>Form work for Plinth beam, Grade beam, Raft beam</t>
  </si>
  <si>
    <t>Form work for Roof and lintels using M.S sheet</t>
  </si>
  <si>
    <t>Form work for Small quantity and column using M.S. sheet</t>
  </si>
  <si>
    <t>MASON II CLASS</t>
  </si>
  <si>
    <t>d.</t>
  </si>
  <si>
    <t>Form work for Vertical walls</t>
  </si>
  <si>
    <t>MAZDOORI CLASS</t>
  </si>
  <si>
    <t>Hire charges for O2296TOOLS PLANTS at 10% of labour</t>
  </si>
  <si>
    <t>A.C .sheet Roofing with ridge piece</t>
  </si>
  <si>
    <t>A.C. sheet 6mm thick p -38 /78</t>
  </si>
  <si>
    <t>pairs</t>
  </si>
  <si>
    <t>Adjustable ridges p-38 it-80</t>
  </si>
  <si>
    <t>Pairs</t>
  </si>
  <si>
    <t>U' bolts and nuts p-38 it-81</t>
  </si>
  <si>
    <t>Fitter - II</t>
  </si>
  <si>
    <t>Carpenter - I</t>
  </si>
  <si>
    <t>Mazdoor - I</t>
  </si>
  <si>
    <t xml:space="preserve">Sundries  for white lead </t>
  </si>
  <si>
    <t>A.C .sheet Roofing without ridge piece</t>
  </si>
  <si>
    <t>A.C. sheet 6mm thick fully corrugated</t>
  </si>
  <si>
    <t>Rate for 10 Sqm</t>
  </si>
  <si>
    <t>U bolts &amp; Nuts</t>
  </si>
  <si>
    <t>Pre cast slab 50mm thick in c.c. 1:3:6 mixed with fibre of size .28 x .28 m , 50mm thick</t>
  </si>
  <si>
    <t>Pcc slab - 500 x .28 x .28 = 39.2 Sq.m</t>
  </si>
  <si>
    <t xml:space="preserve">                =39.2 x .05 =1.96 cum</t>
  </si>
  <si>
    <t>Rate per 1 Sqm</t>
  </si>
  <si>
    <t>C.C 1:3:6 using 20mm HBS</t>
  </si>
  <si>
    <t>Moulding charge</t>
  </si>
  <si>
    <r>
      <t xml:space="preserve">Providing wooden </t>
    </r>
    <r>
      <rPr>
        <b/>
        <sz val="12"/>
        <rFont val="Times New Roman"/>
        <family val="1"/>
      </rPr>
      <t>MELAMEN DOOR POLISH</t>
    </r>
  </si>
  <si>
    <t>Cutting, Transporting , Laying &amp; Pointing charges</t>
  </si>
  <si>
    <t>For New Wood</t>
  </si>
  <si>
    <t xml:space="preserve">Fibre (125g/packet) Qtn </t>
  </si>
  <si>
    <t>Contain a size 1.2x2.1 m</t>
  </si>
  <si>
    <t>Area of Polishing 1x1x2.25x1.2x2.1+5.67m2</t>
  </si>
  <si>
    <t>Rate for 39.2 sqm</t>
  </si>
  <si>
    <t xml:space="preserve">Sand paper No 50 (Qtn) </t>
  </si>
  <si>
    <t>Sand paper No 80</t>
  </si>
  <si>
    <t>Sand paper No 100</t>
  </si>
  <si>
    <t>Wooden filter</t>
  </si>
  <si>
    <t>liter</t>
  </si>
  <si>
    <t>sand seal thinner</t>
  </si>
  <si>
    <t>Thinner</t>
  </si>
  <si>
    <t>Squat urinal including all accesseries (LSR new Item -4)p -55/i229</t>
  </si>
  <si>
    <t>Water Emery No 250</t>
  </si>
  <si>
    <t>Water Emery No 320</t>
  </si>
  <si>
    <t>Water Emery No 400</t>
  </si>
  <si>
    <t>gm</t>
  </si>
  <si>
    <t>Teak Powder</t>
  </si>
  <si>
    <t>100gm</t>
  </si>
  <si>
    <t>Red Powder</t>
  </si>
  <si>
    <t>500gm</t>
  </si>
  <si>
    <t xml:space="preserve"> Fresh Chalk Powder</t>
  </si>
  <si>
    <t xml:space="preserve">MELAMEN matt Qtn </t>
  </si>
  <si>
    <t>MELAMEN  Glozy</t>
  </si>
  <si>
    <t>Thinner 106</t>
  </si>
  <si>
    <t>Banian waste</t>
  </si>
  <si>
    <t>S &amp; F of Flat urinal (white)</t>
  </si>
  <si>
    <t>3" Brush</t>
  </si>
  <si>
    <t>1No</t>
  </si>
  <si>
    <t>Flat back urinal including all accesseries p-50/136 1</t>
  </si>
  <si>
    <t>2" Flat Brush</t>
  </si>
  <si>
    <t>PAINTER- I Class</t>
  </si>
  <si>
    <t>PAINTER - II  Class</t>
  </si>
  <si>
    <t>Mazdoor - II  Class</t>
  </si>
  <si>
    <t>Add sundries for CM 1:3</t>
  </si>
  <si>
    <t xml:space="preserve">Bladder &amp; Tools </t>
  </si>
  <si>
    <t>----------------------</t>
  </si>
  <si>
    <r>
      <t xml:space="preserve">TOTAL FOR </t>
    </r>
    <r>
      <rPr>
        <b/>
        <sz val="12"/>
        <rFont val="Times New Roman"/>
        <family val="1"/>
      </rPr>
      <t>5.67</t>
    </r>
    <r>
      <rPr>
        <sz val="12"/>
        <rFont val="Times New Roman"/>
        <family val="1"/>
      </rPr>
      <t xml:space="preserve"> SQM</t>
    </r>
  </si>
  <si>
    <t xml:space="preserve">              Providing shahabad stone grey colour of 20mm thick in C.M 1:3</t>
  </si>
  <si>
    <t>COST OF Shahabad stone grey colour (Polished Shahabad stone 20mm thick with machine cut edges of size 2' x 2' below) p -36/ 34</t>
  </si>
  <si>
    <t>Cement slurry</t>
  </si>
  <si>
    <t>1000 Kg</t>
  </si>
  <si>
    <t>Pigment (20.03+23.13)/2 =21.58 p37 ( 9 &amp;10/2)</t>
  </si>
  <si>
    <t xml:space="preserve">Mason II </t>
  </si>
  <si>
    <t>Providing rajasthan kota stone of 20mm thick in C.M 1:3</t>
  </si>
  <si>
    <t>Providing rajasthan kota stone slabs of of 20mm thick with machine cut edges of size below in C.M 1:3 p-36 sl.36</t>
  </si>
  <si>
    <t>Pigment</t>
  </si>
  <si>
    <t>RED OXIDE PLASTERING C.M 1:4, 20MM THICK</t>
  </si>
  <si>
    <t>C.M 1:4 , 20MM THICK</t>
  </si>
  <si>
    <t>RED OXIDE p37/i24</t>
  </si>
  <si>
    <t xml:space="preserve">M.S VENTILATOR OF SIZE - 600 X 1350mm ( 1 No ) </t>
  </si>
  <si>
    <t xml:space="preserve">ALROUND M.S FLAT OF SIZE 50 X 10mm      = 3.9 M X 3.9 Kg/Met </t>
  </si>
  <si>
    <t>SQUARE BARS OF SIZE 20 x 20mm               = 12Nos X .6M 3.14 Kg/Met</t>
  </si>
  <si>
    <t>M.S FLAT OF SIZE 25 X 6mm HORIZONTAL = 1 X 2 X 1.2 Kg/Met</t>
  </si>
  <si>
    <t>VERTICAL                                                             = 1 X 3 X 0.6 X 1.2 Kg/Met</t>
  </si>
  <si>
    <t xml:space="preserve"> ============</t>
  </si>
  <si>
    <t>Weld Mesh of size 7.5 x 2.5 cm 10 gauge</t>
  </si>
  <si>
    <t>Fly proof  Mesh</t>
  </si>
  <si>
    <t>Hings</t>
  </si>
  <si>
    <t>Rate for 1 No.</t>
  </si>
  <si>
    <t xml:space="preserve">M.S VENTILATOR OF SIZE - 600 X 900mm ( 1 No ) </t>
  </si>
  <si>
    <t xml:space="preserve">ALROUND M.S FLAT OF SIZE 50 X 10mm      = 3.0 M X 3.925 Kg/Met </t>
  </si>
  <si>
    <t>SQUARE BARS OF SIZE 20 x 20mm               = 8Nos X 0.6M 3.14 Kg/Met</t>
  </si>
  <si>
    <t>M.S FLAT OF SIZE 25 X 6mm HORIZONTAL = 1 X 2 X0.9 x 1.2 Kg/Met</t>
  </si>
  <si>
    <t>ADD FOR BUILDING</t>
  </si>
  <si>
    <t>Rate per sqm</t>
  </si>
  <si>
    <t xml:space="preserve">M.S VENTILATOR OF SIZE - 600 X 600mm ( 1 No ) </t>
  </si>
  <si>
    <t xml:space="preserve">ALROUND M.S FLAT OF SIZE 50 X 10mm      = 2.4 M X 3.925 Kg/Met </t>
  </si>
  <si>
    <t>SQUARE BARS OF SIZE 20 x 20mm               =5Nos X 0.6M 3.14 Kg/Met</t>
  </si>
  <si>
    <t>M.S FLAT OF SIZE 25 X 6mm HORIZONTAL = 1 X 2 X0.6 x 1.2 Kg/Met</t>
  </si>
  <si>
    <t xml:space="preserve">M.S VENTILATOR OF SIZE -1285 X 600mm ( 1 No ) </t>
  </si>
  <si>
    <t xml:space="preserve">ALROUND M.S FLAT OF SIZE 50 X 10mm      = 3.77 M X 3.9 Kg/Met </t>
  </si>
  <si>
    <t>SQUARE BARS OF SIZE 20 x 20mm               =12Nos X 0.6M 3.14 Kg/Met</t>
  </si>
  <si>
    <t>M.S FLAT OF SIZE 25 X 6mm HORIZONTAL = 1 X 2 X1.285 x 1.2 Kg/Met</t>
  </si>
  <si>
    <t>Chicken Mesh</t>
  </si>
  <si>
    <t>Hinges</t>
  </si>
  <si>
    <t xml:space="preserve">M.S DOOR OF SIZE 1000 X 2100mm </t>
  </si>
  <si>
    <t>WEIGHT OF MATERIAL</t>
  </si>
  <si>
    <t xml:space="preserve">M.S FLAT OF SIZE 50 X 10mm    = 1.00 X .05 X .01 X 7850 Kg/CUM </t>
  </si>
  <si>
    <t xml:space="preserve">M.S SQUARE BAR 20 X 20mm    = 1.00 X .02 X .02 X 7850 Kg/CUM </t>
  </si>
  <si>
    <t xml:space="preserve">M.S FLAT OF SIZE 25 X 6mm    = 1.00 X .025 X .06 X 7850 Kg/CUM </t>
  </si>
  <si>
    <t>M.S FLAT OF SIZE 50 X 10mm ALROUND            = 1 X 1 X 6.20 X 3.92 Kg/m</t>
  </si>
  <si>
    <t>M.S SQUARE BAR 20 X 20mm HORIZONTAL    = 1 X 3 X 1 X 3.295KG/m</t>
  </si>
  <si>
    <t>M.S FLAT OF SIZE 20 X 20mm                               = 1 X 9 X 2.10 X 3.14Kg/m</t>
  </si>
  <si>
    <t>M.S FLAT OF SIZE 25 X 6mm VERTICAL           = 1 X 2 X 2.10 X 1.2Kg/m</t>
  </si>
  <si>
    <t>M.S FLAT OF SIZE 25 X 6mm HORIZONTAL            = 1 X 4 X 1 X 1.2Kg</t>
  </si>
  <si>
    <t>ADD FOR WELDING</t>
  </si>
  <si>
    <t>1285 x 600mm</t>
  </si>
  <si>
    <t>STEEL</t>
  </si>
  <si>
    <t>Fly proof mesh</t>
  </si>
  <si>
    <t>FOR HINGES</t>
  </si>
  <si>
    <t>LOCKING MATERIAL COST</t>
  </si>
  <si>
    <t>RATE FOR 1 NO</t>
  </si>
  <si>
    <t xml:space="preserve">M.S DOOR OF SIZE 750 X1350mm </t>
  </si>
  <si>
    <t xml:space="preserve">M.S FLAT OF SIZE 50 X 10mm    =0.75 X .05 X .01 X 7850 Kg/CUM </t>
  </si>
  <si>
    <t xml:space="preserve">M.S SQUARE BAR 20 X 20mm    = 0.75X .02 X .02 X 7850 Kg/CUM </t>
  </si>
  <si>
    <t xml:space="preserve">M.S FLAT OF SIZE 25 X 6mm    = 0.75 X .025 X .06 X 7850 Kg/CUM </t>
  </si>
  <si>
    <t>M.S FLAT OF SIZE 50 X 10mm ALROUND            = 1 X 1 X4.20 X 3.9Kg/m</t>
  </si>
  <si>
    <t>M.S SQUARE BAR 20 X 10mm HORIZONTAL    = 1 X 3 X 0.75 X 3.29KG/m</t>
  </si>
  <si>
    <t xml:space="preserve">ALROUND M.S FLAT OF SIZE 50 X 10mm      = 3.77 M X 3.925 Kg/Met </t>
  </si>
  <si>
    <t>M.S FLAT OF SIZE 20 X 20mm                               = 1 X 9 X1.35 X 3.11Kg/m</t>
  </si>
  <si>
    <t>M.S FLAT OF SIZE 25 X 6mm VERTICAL           = 1 X 2 X1.35 X 1.2Kg/m</t>
  </si>
  <si>
    <t>M.S FLAT OF SIZE 25 X 6mm HORIZONTAL            = 1 X 4 X 0.75 X 1.2Kg</t>
  </si>
  <si>
    <t>Steel (p-21 it-130 )</t>
  </si>
  <si>
    <t>Weld Mesh</t>
  </si>
  <si>
    <t>Fly proof  Mesh p-22 it- 167/130</t>
  </si>
  <si>
    <t xml:space="preserve">T.W DOOR SHUTTER TWO LEAVES(1800 X 2100 mm </t>
  </si>
  <si>
    <t xml:space="preserve">SHUTTER AREA      = 2X0.85 X 2.025                         </t>
  </si>
  <si>
    <t>STYLES (OVER 2m) = 2 X 2 X 2.025 X 0.075 X 0.0375         = 0.0228</t>
  </si>
  <si>
    <t xml:space="preserve">RAILS (BELOW 2M) = 2 X 3 X 0.85 X 0.15 X 0.0375          </t>
  </si>
  <si>
    <t xml:space="preserve">              2X 3 X 0.85 X 0.075 X 0.0375     </t>
  </si>
  <si>
    <t xml:space="preserve">PLANKS : 2 X 4 X 0.725 X 0.30 X 0.01875    </t>
  </si>
  <si>
    <t xml:space="preserve">                  2 X 1 X 0.725 X 0.30 X 0.01875    </t>
  </si>
  <si>
    <t>MAIN DATA</t>
  </si>
  <si>
    <t>T.W SCANTLING over 2m</t>
  </si>
  <si>
    <r>
      <t xml:space="preserve">T.W DOUBLE LEAVES FULLY PANELLED DOOR SHUTTER FOR DOOR OF SIZE   (2000 X 2100 mm) </t>
    </r>
    <r>
      <rPr>
        <b/>
        <sz val="14"/>
        <rFont val="Times New Roman"/>
        <family val="1"/>
      </rPr>
      <t>WITH BRASS FITTINGS</t>
    </r>
  </si>
  <si>
    <t xml:space="preserve">SHUTTER AREA      = 2X0.95 X 2.025                         </t>
  </si>
  <si>
    <t xml:space="preserve">RAILS (BELOW 2M) = 2 X 3 X 0.95 X 0.15 X 0.0375          </t>
  </si>
  <si>
    <t xml:space="preserve">              2X 3 X 0.95 X 0.075 X 0.0375     </t>
  </si>
  <si>
    <t>CHICKEN MESH</t>
  </si>
  <si>
    <t xml:space="preserve">PLANKS : 2 X 4 X 0.825 X 0.30 X 0.01875    </t>
  </si>
  <si>
    <t xml:space="preserve">                  2 X 1 X 0.825 X 0.30 X 0.01875    </t>
  </si>
  <si>
    <t>RATE FOR 3.443 SQM</t>
  </si>
  <si>
    <t>T.W DOOR SHUTTER TWO LEAVES(1500 X 2100 mm ) with Brass Fittings</t>
  </si>
  <si>
    <t>SHUTTER AREA      = 2X0.7 X 2.025                                    = 2.835 Sqm</t>
  </si>
  <si>
    <t>RAILS (BELOW 2M) = 2 X 3 X 0.70 X 0.15 X 0.0375              =0.0236</t>
  </si>
  <si>
    <t xml:space="preserve">              2X 3 X 0.7 X 0.075 X 0.0375           = 0.0118</t>
  </si>
  <si>
    <t>T.W DOOR SHUTTER TWO LEAVES(1200 X 2100 mm ) with Brass Fittings</t>
  </si>
  <si>
    <t>PLANKS : 2 X 4 X 0.575 X 0.30 X 0.01875     = 0.0259</t>
  </si>
  <si>
    <t>SHUTTER AREA      = 2X0.55 X 2.025                                    = 2.23 Sqm</t>
  </si>
  <si>
    <t xml:space="preserve">                  2 X 1 X 0.575 X 0.30 X 0.01875     = 0.0065</t>
  </si>
  <si>
    <t>RATE FOR 3.8475 SQM</t>
  </si>
  <si>
    <t>RAILS (BELOW 2M) = 2 X 3 X 0.55 X 0.15 X 0.0375              =0.0186</t>
  </si>
  <si>
    <t xml:space="preserve">              2X 3 X 0.55 X 0.075 X 0.0375           = 0.0093</t>
  </si>
  <si>
    <t>T.W PLANKS (30-45 CM) (12 TO 25CM THICK) p-17 it-86</t>
  </si>
  <si>
    <t>PLANKS : 2 X 4 X 0.425 X 0.30 X 0.01875     = 0.019</t>
  </si>
  <si>
    <t xml:space="preserve">                  2 X 1 X 0.425 X 0.30 X 0.01875     = 0.0048</t>
  </si>
  <si>
    <t>With Brass Filltings</t>
  </si>
  <si>
    <t>Nylon BUSH (p-41/111)</t>
  </si>
  <si>
    <t>DOOR STOPPER (p41/110)</t>
  </si>
  <si>
    <t>RATE FOR 2.23 SQM</t>
  </si>
  <si>
    <t xml:space="preserve"> ORNAMENTAL  HANDLE WITH SCREWS 100mm</t>
  </si>
  <si>
    <t>Supplying,Manufacturing and fixing of cloth drying arrangements data for 1 set</t>
  </si>
  <si>
    <t xml:space="preserve">Cost of 32 mm dia G.I pipe </t>
  </si>
  <si>
    <t>Rm</t>
  </si>
  <si>
    <t>Cost of MS angle 35 x 35x 4mm (2x.6x2.1 kg/m)</t>
  </si>
  <si>
    <t>Cost of Square bars (2x.5x1.13kg/m)</t>
  </si>
  <si>
    <t>Cost of 1clamp 10mm (3x.15x.78)</t>
  </si>
  <si>
    <t>Cost of fixturehooks</t>
  </si>
  <si>
    <t>Fixing of screws,painting etc.,</t>
  </si>
  <si>
    <t>Rate for 1 set</t>
  </si>
  <si>
    <t>Certified that the observed datas prepard based on the actuals in curred at the time of execution and least amount to the best of my Knowledge.</t>
  </si>
  <si>
    <t>S&amp; F of MS angle of size 35 x35 x 5 mm for stair case steps (.95m)</t>
  </si>
  <si>
    <t>Data for 16 steps - 16*2.6kgs = 41.60 kgs</t>
  </si>
  <si>
    <t xml:space="preserve">Cost of MS angle </t>
  </si>
  <si>
    <t>Stone cutter I</t>
  </si>
  <si>
    <t>Mason I</t>
  </si>
  <si>
    <t>CC 1:2:4,Screws, MS flat, welding charges,painting etc.,</t>
  </si>
  <si>
    <t>Rate for 16 steps</t>
  </si>
  <si>
    <t>Rate for 1 steps</t>
  </si>
  <si>
    <t>Rate per 1m</t>
  </si>
  <si>
    <t>Primer coat using white cement</t>
  </si>
  <si>
    <t>ABOVE G.L (Fully concealed in walls).</t>
  </si>
  <si>
    <t>SUNDRIES for dismantling &amp; packing the dismantled 
portion</t>
  </si>
  <si>
    <t>GROUND LEVEL(OR) FIXING ON WALLS FULLY CONCEALED TO THE</t>
  </si>
  <si>
    <t>C.W.SINGLY LEAF FULLY PANELLED</t>
  </si>
  <si>
    <t>Anticorrosive Treatment for Window M.S. Grills.</t>
  </si>
  <si>
    <t>SHUTTER SIZE-.9X2.025   =1.8225M2</t>
  </si>
  <si>
    <t>litres</t>
  </si>
  <si>
    <t>Zite Zinc primer ( qtn)</t>
  </si>
  <si>
    <t>litre</t>
  </si>
  <si>
    <t>STYLES(OVER 2M) -1X2X2.025X0.125X0.0375=0.01898</t>
  </si>
  <si>
    <t>Brush</t>
  </si>
  <si>
    <t>Painter I st Class</t>
  </si>
  <si>
    <t>RAILS(BELOW 2M)- 1X4X0.9X0.15X0.0375=      0.02025</t>
  </si>
  <si>
    <t xml:space="preserve">               - 1X2X0.731X0.125X0.0375 =0.00685</t>
  </si>
  <si>
    <t>Rate for 1 MT</t>
  </si>
  <si>
    <t>PLANKS      -1X4X0.60625X02825X0.01875=</t>
  </si>
  <si>
    <t xml:space="preserve">             -1X1X0675X0.2825X0.01875=</t>
  </si>
  <si>
    <t>Providing Single under reamed Pile of 4.50m depth,375mm dia</t>
  </si>
  <si>
    <t>C.W SCANTLING  UPTO 4M LONG (PADAK)</t>
  </si>
  <si>
    <t>Volume of Concrete = 3.14/4*0.3*0.3 (3.50+(1*6*0.3))</t>
  </si>
  <si>
    <t>C.W PLANKS 25mm thick &amp; 30cm wide.</t>
  </si>
  <si>
    <t>TW panelled Door 1800X2400 Double leaves</t>
  </si>
  <si>
    <t>Shutter size 2 x 0.85 x 2.325m</t>
  </si>
  <si>
    <t>Main Data</t>
  </si>
  <si>
    <t>T.W PLANKS  (30 TO 45CM wide, 12 - 25mm THICK)</t>
  </si>
  <si>
    <t>RCC 1:11/2:3 excluding vibrating charges</t>
  </si>
  <si>
    <t>Cement extra @ 10% (323.1*.37)</t>
  </si>
  <si>
    <t>Brass screws</t>
  </si>
  <si>
    <t xml:space="preserve">Ls </t>
  </si>
  <si>
    <t>Add for tools &amp; Plant</t>
  </si>
  <si>
    <t>TOTAL FOR 1.82250SQM</t>
  </si>
  <si>
    <t>_______________________</t>
  </si>
  <si>
    <t>For 3.50m depth</t>
  </si>
  <si>
    <t>For 1m depth</t>
  </si>
  <si>
    <t>Four horizontal &amp; one vertical Panel</t>
  </si>
  <si>
    <t>Five horizontal panels</t>
  </si>
  <si>
    <t xml:space="preserve">             -1X1X0.675X0.2825X0.01875=</t>
  </si>
  <si>
    <t>RAILS(BELOW 2M)- 1X3X1.10X0.15X0.0375=      0.01856</t>
  </si>
  <si>
    <t xml:space="preserve">                                         - 1X3X1.10X0.075X0.0375 =  0.00928</t>
  </si>
  <si>
    <t>PLANKS      -1X5X0.9625X02825X0.01875=</t>
  </si>
  <si>
    <t>brass DOOR HANDLE 150mm long P-41/109b</t>
  </si>
  <si>
    <t>5" Brass BUTT HINGS P-40/102a</t>
  </si>
  <si>
    <t xml:space="preserve"> 6"x1/2" Brass TOWER BOLT  P-40/104d</t>
  </si>
  <si>
    <t xml:space="preserve">10"x5/8" Brass ALDROP  P-41/106b </t>
  </si>
  <si>
    <t>DOOR STOPPER P-41/110</t>
  </si>
  <si>
    <t>WIDE&amp;12 to 25mm thick</t>
  </si>
  <si>
    <t>Sundries for brass scruew</t>
  </si>
  <si>
    <t>MDF</t>
  </si>
  <si>
    <t>TOTAL FOR 2.2275SQM</t>
  </si>
  <si>
    <t>MDF board exterior grade both side pre laminated including external lipping with kiln dried soft wood 35mm thick P-42/116</t>
  </si>
  <si>
    <t xml:space="preserve">LABOUR FOR WROUGHT&amp;PUTUP p 28/116 a single </t>
  </si>
  <si>
    <t xml:space="preserve">Four horizontal panels </t>
  </si>
  <si>
    <t>&amp; one vertical panel</t>
  </si>
  <si>
    <t>TOTAL FOR 1.823SQM</t>
  </si>
  <si>
    <t>SHUTTER SIZE-1.10X2.05   =2.255M2</t>
  </si>
  <si>
    <t>STYLES(OVER 2M) -1X2X2.05X0.125X0.0375=0.01922</t>
  </si>
  <si>
    <t>RAILS(BELOW 2M)- 1X4X1.10X0.15X0.0375=      0.02475</t>
  </si>
  <si>
    <t>MDF  double leaf shutter with TW alround frame for ward robe / cup board</t>
  </si>
  <si>
    <t xml:space="preserve">                                         - 1X2X0.74X0.075X0.0375 =  0.00416</t>
  </si>
  <si>
    <t>PLANKS      -1X4X0.60625X02825X0.01875=0.01284</t>
  </si>
  <si>
    <t>PLANKS      -1X1X0.975X02825X0.01875=0.00516</t>
  </si>
  <si>
    <t>Shutter(MDF Board)      -2X2X.85X0.4=1.36m2</t>
  </si>
  <si>
    <t>TOTAL FOR 2.255SQM</t>
  </si>
  <si>
    <t>MDF board 18mm thk exterior grade one side prelaminated.</t>
  </si>
  <si>
    <t>LABOUR CHARGE FOR SHUTTER (Double leaf) p/28 /116 b</t>
  </si>
  <si>
    <t>LOCKS &amp;KEY ( qtn)</t>
  </si>
  <si>
    <t xml:space="preserve">Supply,Laying &amp; Concealing the 50mm dia PVC (SWR) pipe </t>
  </si>
  <si>
    <t xml:space="preserve"> with ISI mark confirming to 13952:1992-type 'B'</t>
  </si>
  <si>
    <t>50 mm dia PVC (SWR) pipe ( qtn) (p-99)</t>
  </si>
  <si>
    <t>PVC bend</t>
  </si>
  <si>
    <t>sundries for finishing dismantled portion</t>
  </si>
  <si>
    <t>Rate for 2Rmt.</t>
  </si>
  <si>
    <t>Rate per 1Rmt.</t>
  </si>
  <si>
    <t>RCC 1:2:4 for Earth quake resistance arrangements at corner of brick wall including cost of concrete, farication &amp; curing etc.,  data for 2.1m.</t>
  </si>
  <si>
    <t xml:space="preserve">RATE PER CUM </t>
  </si>
  <si>
    <t>RCC 1:2:4 for earth quake resistance arrangements for door/window james.</t>
  </si>
  <si>
    <r>
      <t>concrete  (0.23 x .075 x 2.1 =</t>
    </r>
    <r>
      <rPr>
        <b/>
        <sz val="12"/>
        <rFont val="Times New Roman"/>
        <family val="1"/>
      </rPr>
      <t xml:space="preserve"> 0.036 cum</t>
    </r>
    <r>
      <rPr>
        <sz val="12"/>
        <rFont val="Times New Roman"/>
        <family val="1"/>
      </rPr>
      <t>)</t>
    </r>
  </si>
  <si>
    <t>Steel 8RTS ( 2 x 2.7 x0.3950 = 2.133 kg)</t>
  </si>
  <si>
    <t>Ties 6RTS (0.28 x 15 x 0.222 = 0.932 kg)</t>
  </si>
  <si>
    <t>Total      3.065 kg</t>
  </si>
  <si>
    <r>
      <t xml:space="preserve">Form Work  Small qty.  0.38 x 2.1 = </t>
    </r>
    <r>
      <rPr>
        <b/>
        <sz val="12"/>
        <rFont val="Times New Roman"/>
        <family val="1"/>
      </rPr>
      <t>0.798 sqm</t>
    </r>
  </si>
  <si>
    <t>*2</t>
  </si>
  <si>
    <t>RCC 1:2:4 using 3-10mm HBGS</t>
  </si>
  <si>
    <t xml:space="preserve">steel </t>
  </si>
  <si>
    <t xml:space="preserve">Form Work  Small qty. </t>
  </si>
  <si>
    <t>Total     for 2.1m</t>
  </si>
  <si>
    <t>b. In First Floor</t>
  </si>
  <si>
    <t>c. In  Second Floor</t>
  </si>
  <si>
    <t>d. In  Third Floor</t>
  </si>
  <si>
    <t>SHUTTER SIZE-0.8X2.05   =1.64 M2</t>
  </si>
  <si>
    <t>MDF board exterior grade both side pre laminated including external lipping with kiln dried soft wood 35mm thick</t>
  </si>
  <si>
    <t>1200 X 2100MM single leaf</t>
  </si>
  <si>
    <t>SHUTTER SIZE-1.1X2.05   =2.255 M2</t>
  </si>
  <si>
    <t>TOTAL FOR 1.64 sqm</t>
  </si>
  <si>
    <t>Providing Double under reamed Pile of 6m depth,375mm dia</t>
  </si>
  <si>
    <t>Volume of Concrete = (2x4x.375x3.14/4*.375*.375)+(3.14/4x.375x.375x6)</t>
  </si>
  <si>
    <t>TOTAL FOR 2.255 sqm</t>
  </si>
  <si>
    <t>RCC 1:1.5:3 excluding vibrating charges</t>
  </si>
  <si>
    <t>Cement extra @ 10%(323.1x.9935)</t>
  </si>
  <si>
    <t>For 6m depth</t>
  </si>
  <si>
    <t>Gravel Filling</t>
  </si>
  <si>
    <t>Filling charges</t>
  </si>
  <si>
    <t>supply &amp;fixing of cuddapah sink 600x600x200mmsize</t>
  </si>
  <si>
    <t>with 32mm GI waste pipe and 32mm CP waste coupling it-191 p-50</t>
  </si>
  <si>
    <t>Supply and fixing of Mirror of size 600x450mm size (p-51-it-204)</t>
  </si>
  <si>
    <t>Supply and fixing of Mirror of size500x400mm size (p-51 it-204 -ii)</t>
  </si>
  <si>
    <t>Supply and fixing of PVC flushing tank with all fittings</t>
  </si>
  <si>
    <t>10 lit. capacity. P- 49 / 183a</t>
  </si>
  <si>
    <t>SUPPLY AND FIXING EXSAUST FAN 225MM SWEEP</t>
  </si>
  <si>
    <t>Compact Fluoresent Lamp (CFL)</t>
  </si>
  <si>
    <t>a. 14W for Bath &amp; WC</t>
  </si>
  <si>
    <t>b. 18W for Bulkhead fittings</t>
  </si>
  <si>
    <t xml:space="preserve">S/F OF BULK HEAD FITTING for CFL </t>
  </si>
  <si>
    <t>SUPPLY AND DELIVERY OF FAN 48"SWEEP with 
Electronic Regulator step dimmer.</t>
  </si>
  <si>
    <t>10 lit. capacity.</t>
  </si>
  <si>
    <t>Plumber I</t>
  </si>
  <si>
    <t>1200 X 2100MM (Double Leaf)</t>
  </si>
  <si>
    <t>SHUTTER SIZE-1.1X2.025   =2.2275M2</t>
  </si>
  <si>
    <t>1500 X 2400MM (Double Leaf)</t>
  </si>
  <si>
    <t>SHUTTER SIZE-1.4X2.35   =3.29M2</t>
  </si>
  <si>
    <t>1500 X 2100MM (Double Leaf)</t>
  </si>
  <si>
    <t>TOTAL FOR 3.29 SQM</t>
  </si>
  <si>
    <t>SHUTTER SIZE-1.4X2.05   =2.87 M2</t>
  </si>
  <si>
    <t>TOTAL FOR 2.87 SQM</t>
  </si>
  <si>
    <t>TW  frame &amp; TW styles &amp; rails with 9 mm thick BWR double leaf shutter for ward robe / cup board</t>
  </si>
  <si>
    <t>Shutter(BWR Plywood)      -2X2X.85X0.4=1.36m2</t>
  </si>
  <si>
    <t>TW single leaf glazed window shutter of size 3.08 x 2.1cm</t>
  </si>
  <si>
    <t xml:space="preserve">SHUTTER SIZE0- 3.08 x 2.1  </t>
  </si>
  <si>
    <t>STYLES(OVER 2M) -1X4X2.05X0.075X0.0375</t>
  </si>
  <si>
    <t>15mm dia half turn CP tap</t>
  </si>
  <si>
    <t>Engineering Polymer Tap  short body tap for coastal area only</t>
  </si>
  <si>
    <t xml:space="preserve">9mm thick BWR ply wood </t>
  </si>
  <si>
    <t>RAILS(BELOW 2M)- 2X3X0.55X0.15X0.0375</t>
  </si>
  <si>
    <t>Labour charge</t>
  </si>
  <si>
    <t xml:space="preserve"> 4"X5/8"ALU.TOWER BOLT p -40/103f</t>
  </si>
  <si>
    <t xml:space="preserve">Nos </t>
  </si>
  <si>
    <t>Plywood      -1X2X0.625X0.425</t>
  </si>
  <si>
    <t>gram</t>
  </si>
  <si>
    <t>Shellac p-49/168</t>
  </si>
  <si>
    <t>100 gms</t>
  </si>
  <si>
    <t>Shellac p-49</t>
  </si>
  <si>
    <t>Plywood      -1X2X1.025X0.425</t>
  </si>
  <si>
    <t>Thread ball p-49/173</t>
  </si>
  <si>
    <t>Thread ball p-49</t>
  </si>
  <si>
    <t>TWO COATS of enamel paint incl. Primer</t>
  </si>
  <si>
    <t>Total/1 No</t>
  </si>
  <si>
    <t>SUNDRIES FOR NAILS,PLUGS &amp; Brass screws ETC.</t>
  </si>
  <si>
    <t>Long body</t>
  </si>
  <si>
    <t>short body</t>
  </si>
  <si>
    <t xml:space="preserve">French Window  OF Size  3080 X2100 MM </t>
  </si>
  <si>
    <t>Cost of Tap</t>
  </si>
  <si>
    <t>T.W.SCANTLING belw 2M length</t>
  </si>
  <si>
    <t>4mm thick pin headed glass</t>
  </si>
  <si>
    <t>TW beeding 15 x 12 mm</t>
  </si>
  <si>
    <t>rmt</t>
  </si>
  <si>
    <t>Bottle trap with UPVC coupling</t>
  </si>
  <si>
    <t>Providing tee with end cap</t>
  </si>
  <si>
    <t>Bottle trap (Polymer range)</t>
  </si>
  <si>
    <t>PVC Tee 32mm dia (p-100 D-d)</t>
  </si>
  <si>
    <t>UPVC coupling</t>
  </si>
  <si>
    <t>PVC end cap 32mm dia (p-100 E-d)</t>
  </si>
  <si>
    <t>Plumber - I</t>
  </si>
  <si>
    <t>Sundries for brass scrwew</t>
  </si>
  <si>
    <t>TOTAL FOR 5.16 sqm</t>
  </si>
  <si>
    <t xml:space="preserve">French Window  OF Size  1070 X2100 MM </t>
  </si>
  <si>
    <t>SHUTTER SIZE0-.9X2.05   =1.845M2</t>
  </si>
  <si>
    <t>RAILS(BELOW 2M)- 1X3X0.9X0.15X0.0375=      0.0152</t>
  </si>
  <si>
    <t>Plywood      -1X1X0.775X0.64=0.496</t>
  </si>
  <si>
    <t>1200 x 2100mm</t>
  </si>
  <si>
    <t>Plywood      -1X1X0.985X0.775=0.763</t>
  </si>
  <si>
    <t xml:space="preserve">SHUTTER SIZE0-1.1 X 2.05  </t>
  </si>
  <si>
    <t>STYLES(OVER 2M) -1X2X2.05X0.075X0.0375</t>
  </si>
  <si>
    <t>TOTAL FOR 1.74 sqm</t>
  </si>
  <si>
    <t>RAILS(BELOW 2M)- 1X3X1.1X0.15X0.0375</t>
  </si>
  <si>
    <t>Plywood      -1X1X0.625X0.975</t>
  </si>
  <si>
    <t xml:space="preserve">French Window  OF Size  1500 X2000 MM </t>
  </si>
  <si>
    <t>2*2*0.075*.0375*1.95</t>
  </si>
  <si>
    <t>2*2*0.065*.0075*0.375</t>
  </si>
  <si>
    <t>T.W</t>
  </si>
  <si>
    <t>DOOR OF SIZE 1200 X2100 MM Double leaf</t>
  </si>
  <si>
    <t>2*0.65*1.95</t>
  </si>
  <si>
    <t>1*2*0.525*1.825</t>
  </si>
  <si>
    <t>Glass panel</t>
  </si>
  <si>
    <t>2*2*(0.525+1.825)</t>
  </si>
  <si>
    <t>Beeding</t>
  </si>
  <si>
    <t>Cement Paint two coat for old wall</t>
  </si>
  <si>
    <t>TOTAL FOR 2.535 sqm</t>
  </si>
  <si>
    <t>Cemant paint</t>
  </si>
  <si>
    <t>painter I</t>
  </si>
  <si>
    <t>T.W.DOUBLE LEAF FULLY PANELLED</t>
  </si>
  <si>
    <t>Thorouh scrapping p28/108</t>
  </si>
  <si>
    <t>1500 X 2400MM</t>
  </si>
  <si>
    <t xml:space="preserve">SUNDRIES </t>
  </si>
  <si>
    <t xml:space="preserve">SHUTTER SIZE-1X2X.675X2.3125                                                                                 </t>
  </si>
  <si>
    <r>
      <t xml:space="preserve">STYLES(OVER 2M) -2X2X2.3125X0.15X0.0375                                                      </t>
    </r>
    <r>
      <rPr>
        <b/>
        <sz val="12"/>
        <rFont val="Times New Roman"/>
        <family val="1"/>
      </rPr>
      <t xml:space="preserve">  = 0.052</t>
    </r>
  </si>
  <si>
    <t xml:space="preserve">RAILS(BELOW 2M)- </t>
  </si>
  <si>
    <t xml:space="preserve">Top &amp; Intermediate 2X3X0.675X0.15X0.0375       </t>
  </si>
  <si>
    <t>Cement Paint one coat for old wall</t>
  </si>
  <si>
    <t xml:space="preserve"> Bottom              - 1X2X0.675X0.20X0.0375 = 0.010125</t>
  </si>
  <si>
    <t>PLANKS      -2X2X0.5875X.4X0.01875</t>
  </si>
  <si>
    <t xml:space="preserve">             -1X2X0.5625X0.4X0.01875</t>
  </si>
  <si>
    <t>Thorouh scrapping</t>
  </si>
  <si>
    <t>ls</t>
  </si>
  <si>
    <t>T.W PLANKS OVER 30 TO 45cm</t>
  </si>
  <si>
    <t>WIDE&amp;12TO25mm T.K p-19 it-110</t>
  </si>
  <si>
    <t>PAINTING ONE COATS OVER OLD</t>
  </si>
  <si>
    <t xml:space="preserve">6" Alu. DOOR HANDLE </t>
  </si>
  <si>
    <t>10"X1/2"TOWER BOLT p40 103c</t>
  </si>
  <si>
    <t>Lit</t>
  </si>
  <si>
    <t>12"X5/8"ALDROP p -41 105a</t>
  </si>
  <si>
    <t>RUBBERBUSH 40 DIA &amp; 60 MM LONG  p -41 sl.111</t>
  </si>
  <si>
    <t>Thorouh scrapping (p-26 slno.357 d)</t>
  </si>
  <si>
    <t>Alu. DOOR STOPPER p41 110</t>
  </si>
  <si>
    <t>TOTAL FOR  3.122 SQM</t>
  </si>
  <si>
    <t>T.W.DOUBLE LEAF 2/3 Glazed and 1/3 PANELLED</t>
  </si>
  <si>
    <t>Thorouh scrapping (p-31 slno.112)</t>
  </si>
  <si>
    <t xml:space="preserve">                                                                 </t>
  </si>
  <si>
    <t>5.5 MM THK. GLASS                -2X2X0.5875X.40</t>
  </si>
  <si>
    <t>PLANKS              -1X2X0.5625X0.4X0.01875</t>
  </si>
  <si>
    <t>T.W. Beeding  - 2 x 2 x 1.975</t>
  </si>
  <si>
    <t>PAINTING TWO COATS OVER OLD</t>
  </si>
  <si>
    <t>WIDE&amp;12TO25mm T.K p19 sl.110</t>
  </si>
  <si>
    <t>5.5 MM THICK PLAIN GLASS p44 sl.137</t>
  </si>
  <si>
    <t>T.W. beeding 15mm x 12 mm p42 113a</t>
  </si>
  <si>
    <t>LABOUR FOR WROUGHT&amp;PUTUP p33 sl.146 /4</t>
  </si>
  <si>
    <t>6" Alu. DOOR HANDLE p41/84</t>
  </si>
  <si>
    <t xml:space="preserve">  5"BUTT HINGS p40/77a</t>
  </si>
  <si>
    <t>10"X1/2"TOWER BOLT</t>
  </si>
  <si>
    <t>12"X5/8"ALDROP</t>
  </si>
  <si>
    <t xml:space="preserve">RUBBERBUSH 40 DIA &amp; 60 MM LONG </t>
  </si>
  <si>
    <t>Alu. DOOR STOPPER</t>
  </si>
  <si>
    <t>1200 X 2400MM</t>
  </si>
  <si>
    <t xml:space="preserve">SHUTTER SIZE-1X2X.525X2.3125                                                                                 </t>
  </si>
  <si>
    <t>Ornamental TW panelled Door 1800X2400 Double leaves</t>
  </si>
  <si>
    <t>Data and non scheduled items as per CER 2008-09 for PERURANI Scheme)</t>
  </si>
  <si>
    <t xml:space="preserve">Top &amp; Intermediate 2X3X0.525X0.15X0.0375       </t>
  </si>
  <si>
    <t xml:space="preserve"> Bottom              - 1X2X0.525X0.20X0.0375 = 0.010125</t>
  </si>
  <si>
    <t>T.W SCANTLING BELOW 2m</t>
  </si>
  <si>
    <t>labour charges for carving work</t>
  </si>
  <si>
    <t>WITH C.M(1:5)20mm THICK</t>
  </si>
  <si>
    <t>PLANKS      -2X2X0.25X.5875X0.01875</t>
  </si>
  <si>
    <t>Brass hinges 6"</t>
  </si>
  <si>
    <t xml:space="preserve">             -1X2X0.5625X0.25X0.01875</t>
  </si>
  <si>
    <t>16" brass tower bolt</t>
  </si>
  <si>
    <t>8" brass tower bolt</t>
  </si>
  <si>
    <t>10" brass tower bolt</t>
  </si>
  <si>
    <t>Removal of old cement mortor racking out joints 20mm deep p-26/75/321</t>
  </si>
  <si>
    <t>7" mortice lock with brass handle985</t>
  </si>
  <si>
    <t>12" majestic door handle</t>
  </si>
  <si>
    <r>
      <t xml:space="preserve">Brass screws </t>
    </r>
    <r>
      <rPr>
        <sz val="12"/>
        <rFont val="Times New Roman"/>
        <family val="1"/>
      </rPr>
      <t>not necessary as there is brass fittings</t>
    </r>
  </si>
  <si>
    <t>T.W PLANKS OVER 15 TO 30cm</t>
  </si>
  <si>
    <t>RATE for 3.0225 SQM</t>
  </si>
  <si>
    <t>RATE FOR 1 SQM</t>
  </si>
  <si>
    <t>Matt paint one coat</t>
  </si>
  <si>
    <t>TOTAL FOR  2.428 SQM</t>
  </si>
  <si>
    <t>Thorough scrapping</t>
  </si>
  <si>
    <t>BWR DOUBLE LEAF FULLY PANELLED</t>
  </si>
  <si>
    <t>Ornamental TW panelled Door 1800X2100 Double leaves</t>
  </si>
  <si>
    <t>Brass hinges 6" p-40</t>
  </si>
  <si>
    <t>16" brass tower bolt   p-40</t>
  </si>
  <si>
    <t>PLANKS  BWR 9mm thick.    -2X2X0.25X.5875</t>
  </si>
  <si>
    <t xml:space="preserve">             -1X2X0.5625X0.25</t>
  </si>
  <si>
    <t xml:space="preserve">BWR DOUBLE LEAF 2/3 Glazed and 1/3 PANELLED </t>
  </si>
  <si>
    <t>T.W PLANKS (12-25 CM) (30 TO 45CM THICK) it-75(i) iii p-18</t>
  </si>
  <si>
    <t>PLANKS BWR 9mm thick          -1X2X0.5625X0.4</t>
  </si>
  <si>
    <t>Rubber Bush</t>
  </si>
  <si>
    <t>5.5 MM THICK PLAIN GLASS</t>
  </si>
  <si>
    <t>T.W. beeding 15mm x 12 mm</t>
  </si>
  <si>
    <t>Brassscrews</t>
  </si>
  <si>
    <r>
      <t xml:space="preserve">PAINTING TWO COATS OVER NEW           </t>
    </r>
    <r>
      <rPr>
        <b/>
        <sz val="12"/>
        <rFont val="Times New Roman"/>
        <family val="1"/>
      </rPr>
      <t>(as per PWD Standard Data)</t>
    </r>
  </si>
  <si>
    <t>OBD</t>
  </si>
  <si>
    <t>OBD p-45 sl.140</t>
  </si>
  <si>
    <t>BWR SINGLE LEAF FULLY PANELLED</t>
  </si>
  <si>
    <t>900 X 2400MM</t>
  </si>
  <si>
    <t xml:space="preserve">SHUTTER SIZE-1X.75X2.3125                                                                                 </t>
  </si>
  <si>
    <r>
      <t xml:space="preserve">STYLES(OVER 2M) -1X3X2.3125X0.15X0.0375                                                      </t>
    </r>
    <r>
      <rPr>
        <b/>
        <sz val="12"/>
        <rFont val="Times New Roman"/>
        <family val="1"/>
      </rPr>
      <t xml:space="preserve">  = 0.052</t>
    </r>
  </si>
  <si>
    <t xml:space="preserve">Top &amp; Intermediate 1X3X0.75X0.15X0.0375       </t>
  </si>
  <si>
    <t>Plastic Emulsion PAINT two coat for old wall</t>
  </si>
  <si>
    <t xml:space="preserve"> Bottom              - 1X0.75X0.20X0.0375 = 0.010125</t>
  </si>
  <si>
    <t>Painter I</t>
  </si>
  <si>
    <t>PLANKS  BWR 9mm thick.    -2X2X0.175X.5875</t>
  </si>
  <si>
    <t xml:space="preserve">             -1X2X0.5625X0.175</t>
  </si>
  <si>
    <t>Plastic Emulsion PAINT one coat for old wall</t>
  </si>
  <si>
    <t>TOTAL FOR 1.734 SQM</t>
  </si>
  <si>
    <t xml:space="preserve">Top &amp; Intermediate 1X3X0.9X0.15X0.0375       </t>
  </si>
  <si>
    <t xml:space="preserve"> Bottom              - 1X1X0.9X0.20X0.0375</t>
  </si>
  <si>
    <t>1050 X 2400MM</t>
  </si>
  <si>
    <t xml:space="preserve">SHUTTER SIZE-1X.90 X 2.3125                                                                                 </t>
  </si>
  <si>
    <t>6" Alu. DOOR HANDLE  p41 80b</t>
  </si>
  <si>
    <t xml:space="preserve">  5"BUTT HINGS p40 77a</t>
  </si>
  <si>
    <t>10"X1/2"TOWER BOLT p 40 78c</t>
  </si>
  <si>
    <t>12"X5/8"ALDROP p41 79a</t>
  </si>
  <si>
    <t>TOTAL FOR 2.081 SQM</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</si>
  <si>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</si>
  <si>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</si>
  <si>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</si>
  <si>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</si>
  <si>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</si>
  <si>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</si>
  <si>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</si>
  <si>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</si>
  <si>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5.5 MM THK. GLASS                -2X2X0.5875X0.25</t>
  </si>
  <si>
    <t>RATE FOR 4.4175 SQM</t>
  </si>
  <si>
    <t>PLANKS              -1X2X0.5625X0.25x0.01875</t>
  </si>
  <si>
    <t>T.W. Beeding  - 2 x 2 x 1.675</t>
  </si>
  <si>
    <t>Providing Acid proof tile flooring of</t>
  </si>
  <si>
    <t>any size  including pointing etc.,</t>
  </si>
  <si>
    <t>COST Of acid proof tile (as per Krishnagiri DPO)</t>
  </si>
  <si>
    <t>Colour pigment</t>
  </si>
  <si>
    <r>
      <t xml:space="preserve">S &amp; F best indian 2/3 Glazed 1/3 Teak wood Panelled door shutter of size 
</t>
    </r>
    <r>
      <rPr>
        <b/>
        <u/>
        <sz val="13"/>
        <rFont val="Times New Roman"/>
        <family val="1"/>
      </rPr>
      <t>b)1500mmx2100mm</t>
    </r>
  </si>
  <si>
    <t>T.W SCANTLING ABOVE 2m</t>
  </si>
  <si>
    <t>Glass 5.5mm thick   p-44/137</t>
  </si>
  <si>
    <t>M.S.Grill</t>
  </si>
  <si>
    <t>/cum</t>
  </si>
  <si>
    <t xml:space="preserve">Labour charges for shutter glazed door </t>
  </si>
  <si>
    <t>10"x5/8" Aldrop</t>
  </si>
  <si>
    <t>Alu.DOOR HANDLE WITH CP SCREWS (150mm long)</t>
  </si>
  <si>
    <t>Painting two coats of M.S. Grill</t>
  </si>
  <si>
    <t>Best varnishing two coats</t>
  </si>
  <si>
    <t>Sundries for brass screw</t>
  </si>
  <si>
    <t>Total for Each</t>
  </si>
  <si>
    <r>
      <t xml:space="preserve">Supply and laying of </t>
    </r>
    <r>
      <rPr>
        <b/>
        <sz val="12"/>
        <rFont val="Times New Roman"/>
        <family val="1"/>
      </rPr>
      <t>Hard core</t>
    </r>
    <r>
      <rPr>
        <sz val="12"/>
        <rFont val="Times New Roman"/>
        <family val="1"/>
      </rPr>
      <t xml:space="preserve"> layer of 30</t>
    </r>
    <r>
      <rPr>
        <b/>
        <sz val="12"/>
        <rFont val="Times New Roman"/>
        <family val="1"/>
      </rPr>
      <t>0mm</t>
    </r>
    <r>
      <rPr>
        <sz val="12"/>
        <rFont val="Times New Roman"/>
        <family val="1"/>
      </rPr>
      <t xml:space="preserve"> consolidated thickness (10Sqm x .3m thick= 3.0 cum)</t>
    </r>
  </si>
  <si>
    <t>Supply of 80-63mm metal 60%</t>
  </si>
  <si>
    <t>Supply of 40-10mm metal 40%</t>
  </si>
  <si>
    <t>Supply of river sand for filling the voids at 20%</t>
  </si>
  <si>
    <t>SUB DATA for hand rolling as per Highways SR</t>
  </si>
  <si>
    <t xml:space="preserve">Labour charges for placing metal and sand </t>
  </si>
  <si>
    <t>labour charges for watering and consolidation by power roller</t>
  </si>
  <si>
    <t>Rate for 0.75m3</t>
  </si>
  <si>
    <t xml:space="preserve">Vibrator / Earth rammed </t>
  </si>
  <si>
    <t>Rate for 1m3</t>
  </si>
  <si>
    <t>Sundries for watering through water set</t>
  </si>
  <si>
    <t>SUB DATA for Labour Charges only</t>
  </si>
  <si>
    <r>
      <t>For 3 m</t>
    </r>
    <r>
      <rPr>
        <vertAlign val="superscript"/>
        <sz val="12"/>
        <rFont val="Times New Roman"/>
        <family val="1"/>
      </rPr>
      <t xml:space="preserve">3 </t>
    </r>
  </si>
  <si>
    <t xml:space="preserve">Mason II Class </t>
  </si>
  <si>
    <t>For 1m3</t>
  </si>
  <si>
    <t>Flush door shutter size 1000x2400 ( Single leaf)</t>
  </si>
  <si>
    <t>Shutter size (1.1 x 2.325)</t>
  </si>
  <si>
    <t>Rate for 10m3</t>
  </si>
  <si>
    <t>Solid core flush door shutter with TW palin</t>
  </si>
  <si>
    <t>Labour for Wrought &amp; Putup</t>
  </si>
  <si>
    <t>Flush door shutter size 1200x2400 (Double leaf)</t>
  </si>
  <si>
    <t>Door Handle with CP screws 6'</t>
  </si>
  <si>
    <t>shutter size 1200x2400 (Double leaf)=1.1 x 2.325 =</t>
  </si>
  <si>
    <t>Forpower rolling as per PWD SR 2017-18 it-71 b / P.25</t>
  </si>
  <si>
    <t>5" Butt Hings</t>
  </si>
  <si>
    <t>Solid core flush door shutter with TW palin -it-121 p-42</t>
  </si>
  <si>
    <t>6"x1/2" Tower Bolt</t>
  </si>
  <si>
    <t>Labour for Wrought &amp; Putup p33/156b</t>
  </si>
  <si>
    <t>Door Handle with CP screws 6' p41/80b</t>
  </si>
  <si>
    <t>Flush door shutter size 1500x2400 (Double leaves)</t>
  </si>
  <si>
    <t>Brass Screws</t>
  </si>
  <si>
    <t>5" Butt Hings p40/77a</t>
  </si>
  <si>
    <t>shutter size 1500x2400 (Double leaves)=1.4 x 2.325 =</t>
  </si>
  <si>
    <t>Rubber bush</t>
  </si>
  <si>
    <t>6"x1/2" Tower Bolt p40/78e</t>
  </si>
  <si>
    <t>Solid core flush door shutter with TW palin -it-93 p-43</t>
  </si>
  <si>
    <t>Door Stopper</t>
  </si>
  <si>
    <t>10"x5/8" Aldrop p41/79b</t>
  </si>
  <si>
    <t>Labour for Wrought &amp; Putup (SR P.31,it-156)</t>
  </si>
  <si>
    <t>Painting Two Coats</t>
  </si>
  <si>
    <t>Rate for 2.09 Sqm</t>
  </si>
  <si>
    <t>Rubber bush p41/83</t>
  </si>
  <si>
    <t>Varnish Two Coats</t>
  </si>
  <si>
    <t>Rate for 2.56 Sqm</t>
  </si>
  <si>
    <t>Flush door shutter size 1000x2100 ( Single leaf)</t>
  </si>
  <si>
    <t>Rate for 3.26 Sqm</t>
  </si>
  <si>
    <t>Flush door shutter size 900x2100 ( Single leaf)</t>
  </si>
  <si>
    <t>Shutter size (0.9 x 2.025)</t>
  </si>
  <si>
    <t>Shutter size (0.9 x 2.325)</t>
  </si>
  <si>
    <t>Shutter size (0.8 x 2.025)</t>
  </si>
  <si>
    <t>Solid core flush door shutter with TW plain</t>
  </si>
  <si>
    <t>Labour for Wrought &amp; Putup p33/156a</t>
  </si>
  <si>
    <t>Labour for Wrought &amp; Putup p31/156a</t>
  </si>
  <si>
    <t>Flush door shutter size 1200x2400 ( Single leaf)</t>
  </si>
  <si>
    <t>shutter size 1200x2400 (Double leaves)=1.1 x 2.325 =</t>
  </si>
  <si>
    <t>Labour for Wrought &amp; Putup (SR P.32,it-156a)</t>
  </si>
  <si>
    <t>Rate for 1.82 Sqm</t>
  </si>
  <si>
    <t>Rate for 1.62 Sqm</t>
  </si>
  <si>
    <t>Flush door shutter size 1500x2100 ( Double leaf)</t>
  </si>
  <si>
    <t>Flush door shutter size 900x2400 ( Single leaf)</t>
  </si>
  <si>
    <r>
      <t>WASHBASIN</t>
    </r>
    <r>
      <rPr>
        <sz val="12"/>
        <rFont val="Times New Roman"/>
        <family val="1"/>
      </rPr>
      <t xml:space="preserve"> (White Pedastal type)  22"X16" INCLUDING</t>
    </r>
  </si>
  <si>
    <t>Shutter size (1.4 x 2.025)</t>
  </si>
  <si>
    <t>Shutter size (0.8 x 2.325)</t>
  </si>
  <si>
    <t>Wash Hand Basin of size 550 x 400 mm with all accessories such as CI brackets, 32mm dia CP waste coupling, Rubber plug and chain, 32mm dia B class GI waste pipe, 15mm dia brass nipples. 15mm CP pillar tap etc.,P-55 it-169 -i</t>
  </si>
  <si>
    <t>deduct rate for 15mm dia GM wheel valve</t>
  </si>
  <si>
    <t>Rate for 2.84 Sqm</t>
  </si>
  <si>
    <t>Rate for 1.86 Sqm</t>
  </si>
  <si>
    <t>Flush door shutter size 1500x2400 ( Double leaf)</t>
  </si>
  <si>
    <t>Shutter size (1.4 x 2.325)</t>
  </si>
  <si>
    <t xml:space="preserve">Two legged scaffolding using 15cm dia casurna props </t>
  </si>
  <si>
    <t>15cm dia Casurina post p-20 it-138</t>
  </si>
  <si>
    <t>Country wood planks (silver oak) p-138 it130/78b</t>
  </si>
  <si>
    <t>1 Cum</t>
  </si>
  <si>
    <t>total cost of material used for 10 times</t>
  </si>
  <si>
    <t>Cost per 1 operation</t>
  </si>
  <si>
    <t>Oper</t>
  </si>
  <si>
    <t>15cm dia casurina post</t>
  </si>
  <si>
    <t>Add for coir, nail etc</t>
  </si>
  <si>
    <t>Rate for 6m</t>
  </si>
  <si>
    <t>Rate for intial height of 3m and length of 1m</t>
  </si>
  <si>
    <t xml:space="preserve">For every additional height of 2.5m height </t>
  </si>
  <si>
    <t>vertical post of casurina post (13cm to 15cm)</t>
  </si>
  <si>
    <t>Flush door shutter size 1800x2400 (Double leaf)</t>
  </si>
  <si>
    <t>Cost of material plank</t>
  </si>
  <si>
    <t>shutter size 1800x2400 (Double leaf)=1.7 x 2.325 =</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</si>
  <si>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</si>
  <si>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</si>
  <si>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</si>
  <si>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</si>
  <si>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</si>
  <si>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</si>
  <si>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</si>
  <si>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</si>
  <si>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</si>
  <si>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Rate for 3.95 Sqm</t>
  </si>
  <si>
    <t>TW single leaf french window</t>
  </si>
  <si>
    <t xml:space="preserve">shutter  for frame of overall height 3.08 x 2.1cm </t>
  </si>
  <si>
    <t>Flush door shutter size 1800x2100 (Double leaf)</t>
  </si>
  <si>
    <t>LABOUR CHARGE for wroght &amp; put up</t>
  </si>
  <si>
    <t>shutter size 1800x2100 (Double leaf)=1.7 x 2.025 =</t>
  </si>
  <si>
    <t>4 mm thicj frosted glass</t>
  </si>
  <si>
    <t>TW Beeding 15 x12 mm  p-42/113a</t>
  </si>
  <si>
    <t xml:space="preserve"> 200 mm long x12mm  ALU. TOWERBOLT (8") p-40/103d</t>
  </si>
  <si>
    <t>6" Handles ( 150mm long)</t>
  </si>
  <si>
    <t>TOTAL FOR 5.16 SQM</t>
  </si>
  <si>
    <t>Rate for 3.44 Sqm</t>
  </si>
  <si>
    <t>TW Panelled Swing type ventilater</t>
  </si>
  <si>
    <t>of size 75x 75cm</t>
  </si>
  <si>
    <t>Flush door shutter size 1200x2100 ( Double leaves)</t>
  </si>
  <si>
    <t>shutter size =1.1 x 2.025 =</t>
  </si>
  <si>
    <t xml:space="preserve">SHUTTER SIZE-0.65X0.65                                                                                 </t>
  </si>
  <si>
    <r>
      <t xml:space="preserve">STYLES -2X0.65 x   7.525 x 3.125                                                 </t>
    </r>
    <r>
      <rPr>
        <b/>
        <sz val="12"/>
        <rFont val="Times New Roman"/>
        <family val="1"/>
      </rPr>
      <t xml:space="preserve">  = 0.052</t>
    </r>
  </si>
  <si>
    <t xml:space="preserve">Top &amp; Intermediate 2X3X7.5255X0.15X0.0375       </t>
  </si>
  <si>
    <t>Rate for 2.23 Sqm</t>
  </si>
  <si>
    <t xml:space="preserve">Providing Colour Marble chips of size 10mm and below using 70.20Kgs of cement and 15 cum of Colour Marble chips for every 10 sqm over the existing plastered surface </t>
  </si>
  <si>
    <t xml:space="preserve"> Cost of Colour Marble chips ( 91.10/0.0354)=2548.02 (P-35 it-26 )</t>
  </si>
  <si>
    <t xml:space="preserve">Colour Pigment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</si>
  <si>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</si>
  <si>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Supply and fixing of colour matt finish door 15 microns double leaf door Aluminium Door  ( 1.5 x2.1m thick)</t>
  </si>
  <si>
    <t>UPVC instead of Stone ware Pipe</t>
  </si>
  <si>
    <t>Aluminium section ''it-61 a( rev SR-17-18)</t>
  </si>
  <si>
    <t>Rubber beeding (An-VI -it-63 p-40</t>
  </si>
  <si>
    <t>SUPPLYING AND  LAYING AND</t>
  </si>
  <si>
    <t>Rubber beeding (An-VI -it-86 p-39</t>
  </si>
  <si>
    <t>JOINTING SN8 UPVC PIPE AND SPECIALS</t>
  </si>
  <si>
    <t>Brass SCREWS (30x 6mm)it-138</t>
  </si>
  <si>
    <t>Power Grapping p-56 it-243</t>
  </si>
  <si>
    <t>Brass SCREWS (75x 10mm)it-138</t>
  </si>
  <si>
    <t>110mm DIA  UPVC PIPE BELOW G.L</t>
  </si>
  <si>
    <t>PVC Felt ( It-88)</t>
  </si>
  <si>
    <t>Plug</t>
  </si>
  <si>
    <t>Power Grapping p-52 it-173</t>
  </si>
  <si>
    <t>DOOR STOPPER   It-110</t>
  </si>
  <si>
    <t>Hydraulic DOOR Closer It-67</t>
  </si>
  <si>
    <t>TOTAL FOR 6.615 SQM</t>
  </si>
  <si>
    <t>Cost of UPVC SN8 Pipe (TWAD SR 2021-22 P-20 1.2 1)</t>
  </si>
  <si>
    <t xml:space="preserve">  SCREWS (75x 10mm)it-138</t>
  </si>
  <si>
    <t>JOINTING MATERIALS. (TWAD SR 21-22,p-248 11-b)</t>
  </si>
  <si>
    <t>CUTTING CHARGES ( P-32/141)</t>
  </si>
  <si>
    <t>160mm DIA  UPVC PIPE BELOW G.L</t>
  </si>
  <si>
    <t>Supply and fixing of colour matt finish door 15 microns double leaf door Aluminium Door  ( 1.0 x2.1m thick)</t>
  </si>
  <si>
    <t>Cost of UPVC SN8 Pipe (TWAD SR 21-22 P-20 1.2 a /3)</t>
  </si>
  <si>
    <t>Bolts &amp; Nuts ( 3/4"x 1/4") It-78-b p-40</t>
  </si>
  <si>
    <t>TOTAL FOR 2.1 SQM</t>
  </si>
  <si>
    <t>Aluminium  Anodised 1.80 x1.35 m</t>
  </si>
  <si>
    <r>
      <t>Supplying, fabricating and fixing inposition A</t>
    </r>
    <r>
      <rPr>
        <b/>
        <sz val="11"/>
        <color indexed="8"/>
        <rFont val="Times New Roman"/>
        <family val="1"/>
      </rPr>
      <t>luminium anodised natural colour matt finish four Track Sliding Window</t>
    </r>
    <r>
      <rPr>
        <sz val="11"/>
        <color indexed="8"/>
        <rFont val="Times New Roman"/>
        <family val="1"/>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Times New Roman"/>
        <family val="1"/>
      </rPr>
      <t>1.80mm x 1.35 mm</t>
    </r>
  </si>
  <si>
    <t>Aluminium section ''it-61 a( rev SR-18-19)</t>
  </si>
  <si>
    <t>SUPPLY AND FIXING OF GALVANIUM SHEET 0.47MM THICK</t>
  </si>
  <si>
    <t>Rubber beeding (An-VI -it-86</t>
  </si>
  <si>
    <t>GALVANIUM SHEET 0.47MM THICK ( SR p-72)</t>
  </si>
  <si>
    <t>Glass 4 mm thichk plain  it-136</t>
  </si>
  <si>
    <t xml:space="preserve">FITTER I st  CLASS </t>
  </si>
  <si>
    <t xml:space="preserve"> PVC  Roller for sliding ''it-98</t>
  </si>
  <si>
    <t>CARPENTER I ST CLASS</t>
  </si>
  <si>
    <t>Lock  for sliding ''it-93</t>
  </si>
  <si>
    <t>MAZDOOR I ST CLASS</t>
  </si>
  <si>
    <t>Handle" D "type 100mm long ''it-107c</t>
  </si>
  <si>
    <t xml:space="preserve">L.S </t>
  </si>
  <si>
    <t xml:space="preserve">Bolts &amp;  Washers </t>
  </si>
  <si>
    <t xml:space="preserve">Rate For 10 Sqm </t>
  </si>
  <si>
    <t xml:space="preserve">Screws  rayal plugs  and stopper etc </t>
  </si>
  <si>
    <t xml:space="preserve"> REVISED SR 2017-18 </t>
  </si>
  <si>
    <t>Providing wall panelling using 12mm BWR plywood over 2"x1" aluminium channel to be fixed on wall</t>
  </si>
  <si>
    <t>Wall Panelling data as per DPO Thanjavur</t>
  </si>
  <si>
    <t>Aluminium section [SR P.44]</t>
  </si>
  <si>
    <t>Aluminium  Anodised 1.35 x1.35 m</t>
  </si>
  <si>
    <t>Country wood reeper (50 x 25 mm p-19 s.no.123)</t>
  </si>
  <si>
    <t>12mm thk. BWR plywood board (Qtn)</t>
  </si>
  <si>
    <r>
      <t>Supplying, fabricating and fixing inposition A</t>
    </r>
    <r>
      <rPr>
        <b/>
        <sz val="11"/>
        <color indexed="8"/>
        <rFont val="Times New Roman"/>
        <family val="1"/>
      </rPr>
      <t>luminium anodised natural colour matt finish four Track Sliding Window</t>
    </r>
    <r>
      <rPr>
        <sz val="11"/>
        <color indexed="8"/>
        <rFont val="Times New Roman"/>
        <family val="1"/>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Times New Roman"/>
        <family val="1"/>
      </rPr>
      <t>1.80mm x 1.35 mm</t>
    </r>
  </si>
  <si>
    <t xml:space="preserve"> 6mm tk MDF Ply wood ( CER No.107-2012-13 DPO Thanjavur)</t>
  </si>
  <si>
    <t>1mm thick laminated sheet [SR P.55]</t>
  </si>
  <si>
    <t xml:space="preserve"> 4mm tk vennar ( CER No.107-2012-13 DPO Thanjavur)</t>
  </si>
  <si>
    <t>MS clips</t>
  </si>
  <si>
    <t>Melamin Polish  (P-45/148)</t>
  </si>
  <si>
    <t>Fevicol [SR P.39]</t>
  </si>
  <si>
    <t>labour charges</t>
  </si>
  <si>
    <t>Glass 4 mm thichk plain  it-106</t>
  </si>
  <si>
    <t>Nails [SR P.42]</t>
  </si>
  <si>
    <t xml:space="preserve"> PVC  Roller for sliding ''it-75 ( rev SR-17-18)</t>
  </si>
  <si>
    <t xml:space="preserve">Rate For 9 Sqm </t>
  </si>
  <si>
    <t xml:space="preserve">Rate For 9.40 Sqm </t>
  </si>
  <si>
    <t>Lock  for sliding ''it-70 ( rev SR-17-18)</t>
  </si>
  <si>
    <t>Rate Per Sqm</t>
  </si>
  <si>
    <t>Handle" D "type 100mm long ''it-80 c ( rev SR-17-18)</t>
  </si>
  <si>
    <t xml:space="preserve">Labour Charges </t>
  </si>
  <si>
    <t>FITTER  Ist Class</t>
  </si>
  <si>
    <t>Carpenter  Ist Class</t>
  </si>
  <si>
    <t xml:space="preserve">DATA </t>
  </si>
  <si>
    <r>
      <t xml:space="preserve">ONE COAT OF WALL PATTY        </t>
    </r>
    <r>
      <rPr>
        <b/>
        <sz val="12"/>
        <rFont val="Times New Roman"/>
        <family val="1"/>
      </rPr>
      <t xml:space="preserve"> CHENNAI CITY</t>
    </r>
  </si>
  <si>
    <t>PATTY  (p-45/151)</t>
  </si>
  <si>
    <t>White wall putty powder</t>
  </si>
  <si>
    <t>Painter - I st Class</t>
  </si>
  <si>
    <t>Providing Colour Marble Chips</t>
  </si>
  <si>
    <t xml:space="preserve"> Cost of Colour Marble chips ( 84.4/0.0354)=2384.18 (P-36 it-11 )</t>
  </si>
  <si>
    <t>Colour Pigment</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</si>
  <si>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</si>
  <si>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</si>
  <si>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</si>
  <si>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</si>
  <si>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</si>
  <si>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</si>
  <si>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</si>
  <si>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</si>
  <si>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</si>
  <si>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</si>
  <si>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</si>
  <si>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Mazdoor Ist Class</t>
  </si>
  <si>
    <t>TOTAL FOR 18 SQM</t>
  </si>
  <si>
    <t>RATE PER SQ M</t>
  </si>
  <si>
    <t xml:space="preserve"> Revised  SR 2018-19</t>
  </si>
  <si>
    <t>Aluminium partition wall ( 1/3 Glass 5.5mm &amp; 2/3 novapan sheet 12mm thick</t>
  </si>
  <si>
    <t>Aluminium section 'it- 84 a/p38</t>
  </si>
  <si>
    <t>Rubber beeding (p-39-it-86</t>
  </si>
  <si>
    <t xml:space="preserve"> BRASS SCREWS ( 30x6mm)(An-VI -it-232 p-55</t>
  </si>
  <si>
    <t xml:space="preserve"> BRASS SCREWS (75x 10mm)(An-VI -it-233</t>
  </si>
  <si>
    <t xml:space="preserve"> Plug (An-VI -it-236</t>
  </si>
  <si>
    <t>Power Grapping it-243</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</si>
  <si>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</si>
  <si>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</si>
  <si>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</si>
  <si>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</si>
  <si>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</si>
  <si>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</si>
  <si>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</si>
  <si>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</si>
  <si>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</si>
  <si>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</si>
  <si>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 xml:space="preserve">Old RCC Door frame </t>
  </si>
  <si>
    <r>
      <t xml:space="preserve">Satndardised cement Concrtet </t>
    </r>
    <r>
      <rPr>
        <b/>
        <sz val="12"/>
        <rFont val="Times New Roman"/>
        <family val="1"/>
      </rPr>
      <t xml:space="preserve"> 1:1.5:3 </t>
    </r>
  </si>
  <si>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</si>
  <si>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</si>
  <si>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</si>
  <si>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</si>
  <si>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</si>
  <si>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</si>
  <si>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</si>
  <si>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</si>
  <si>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</si>
  <si>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</si>
  <si>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</si>
  <si>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r>
      <t>FRENCH WINDOW</t>
    </r>
    <r>
      <rPr>
        <sz val="12"/>
        <rFont val="Times New Roman"/>
        <family val="1"/>
      </rPr>
      <t xml:space="preserve"> FOR DOOR OF SIZE</t>
    </r>
  </si>
  <si>
    <t>Sl. No.</t>
  </si>
  <si>
    <t>Rate using [C.S Sand]</t>
  </si>
  <si>
    <t>Main Building</t>
  </si>
  <si>
    <t>Borewell</t>
  </si>
  <si>
    <t>Genset</t>
  </si>
  <si>
    <t xml:space="preserve">Total Qty.
(Dev)
</t>
  </si>
  <si>
    <t xml:space="preserve">Total Qty.
(Main Building + Dev)
</t>
  </si>
  <si>
    <r>
      <t xml:space="preserve">Earth work excavation in all soils </t>
    </r>
    <r>
      <rPr>
        <b/>
        <sz val="18"/>
        <rFont val="Arial"/>
        <family val="2"/>
      </rPr>
      <t>(including refilling)</t>
    </r>
  </si>
  <si>
    <t>Cum.</t>
  </si>
  <si>
    <t>b. 2 to 3 mt.</t>
  </si>
  <si>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</si>
  <si>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</si>
  <si>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</si>
  <si>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t>c. 3 to 4 mt.</t>
  </si>
  <si>
    <t>d. 4 to 5 mt.</t>
  </si>
  <si>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</si>
  <si>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</si>
  <si>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</si>
  <si>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t>Providing Driven PILES</t>
  </si>
  <si>
    <t>a.300mm dia</t>
  </si>
  <si>
    <t>b.330mm dia</t>
  </si>
  <si>
    <t>c.375mm dia</t>
  </si>
  <si>
    <t>d.400mm dia</t>
  </si>
  <si>
    <t>e.450mm dia</t>
  </si>
  <si>
    <t>f.500mm dia</t>
  </si>
  <si>
    <t>Filling C.S. sand</t>
  </si>
  <si>
    <t>Sand Gravel Mix</t>
  </si>
  <si>
    <t>Supply and filling of 40 mm Brick jelly</t>
  </si>
  <si>
    <t>Supply and filling of 20 mm Brick jelly</t>
  </si>
  <si>
    <t>Gravel soling</t>
  </si>
  <si>
    <t>Supply and filling of 40 mm HBSJ</t>
  </si>
  <si>
    <t>Supply and filling of 20 mm HBSJ</t>
  </si>
  <si>
    <t>C.C.1:5:10 for Foundation &amp; Basement</t>
  </si>
  <si>
    <t>P.C.C. 1:2:4 for Foundation &amp; Basement and other similar works</t>
  </si>
  <si>
    <t>P.C.C. 1:8:16 using 20 mm broken brick jelly</t>
  </si>
  <si>
    <t>Providing  WBM 125  mm consolidated thick with gravel blindage</t>
  </si>
  <si>
    <t>Sqm.</t>
  </si>
  <si>
    <t>Surface dressing over WBM  25 mm thick</t>
  </si>
  <si>
    <t>Providing  WBM 125  mm consolidated thick with gravel blindage
(IRC 63 to 45mm for 75mm thick and 37.5 to 26.5mm for 50.mm thick)</t>
  </si>
  <si>
    <t>Surface dressing over WBM  25 mm tk.
with pre-coated chips using 11.2mm size IRC</t>
  </si>
  <si>
    <r>
      <t xml:space="preserve">R.C.C. 1:2:4 </t>
    </r>
    <r>
      <rPr>
        <sz val="18"/>
        <rFont val="Arial"/>
        <family val="2"/>
      </rPr>
      <t>Foundation and Basement</t>
    </r>
  </si>
  <si>
    <r>
      <t xml:space="preserve">R.C.C. 1: 11/2: 3 </t>
    </r>
    <r>
      <rPr>
        <sz val="18"/>
        <rFont val="Arial"/>
        <family val="2"/>
      </rPr>
      <t>Foundation and Basement</t>
    </r>
  </si>
  <si>
    <t>R.R. masonry in C.M. 1:5 Foundation and Basment</t>
  </si>
  <si>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</si>
  <si>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</si>
  <si>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</si>
  <si>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</si>
  <si>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</si>
  <si>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</si>
  <si>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</si>
  <si>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Supply and fixing of</t>
    </r>
    <r>
      <rPr>
        <b/>
        <sz val="18"/>
        <rFont val="Arial"/>
        <family val="2"/>
      </rPr>
      <t xml:space="preserve"> Bituminous filler pad,</t>
    </r>
    <r>
      <rPr>
        <sz val="18"/>
        <rFont val="Arial"/>
        <family val="2"/>
      </rPr>
      <t xml:space="preserve"> 20 mm tk. for expansion joint</t>
    </r>
  </si>
  <si>
    <r>
      <t xml:space="preserve">Damp Proof Course </t>
    </r>
    <r>
      <rPr>
        <sz val="18"/>
        <rFont val="Arial"/>
        <family val="2"/>
      </rPr>
      <t>in C.M. 1:4, 12 MM thick mixed with Water proofing compound</t>
    </r>
  </si>
  <si>
    <t>R.C.C.1:2:4</t>
  </si>
  <si>
    <t>a. In Ground floor</t>
  </si>
  <si>
    <t>b. In First floor</t>
  </si>
  <si>
    <t>c. In Second floor</t>
  </si>
  <si>
    <t>d. In Third floor</t>
  </si>
  <si>
    <t>e.  In Fourth floor</t>
  </si>
  <si>
    <t>R.C.C.1: 1 1/2 :3</t>
  </si>
  <si>
    <t>f.  In Fifth floor</t>
  </si>
  <si>
    <t>g.  In sixth floor</t>
  </si>
  <si>
    <t>h.  In seventh floor</t>
  </si>
  <si>
    <t>i.  In eighth floor</t>
  </si>
  <si>
    <t>j.  In Ninth floor</t>
  </si>
  <si>
    <t>k.  In Tenth floor</t>
  </si>
  <si>
    <t>l.  In Eleventh floor</t>
  </si>
  <si>
    <t>m.  In Twelth floor</t>
  </si>
  <si>
    <t>Brick work in C.M. 1:6  using Chamber Burnt brick of size 23 x 11.2 x 7 cm (9" x 4 3/8" x 2 3/4")</t>
  </si>
  <si>
    <t>c. In Second Floor</t>
  </si>
  <si>
    <t>d. In Third Floor</t>
  </si>
  <si>
    <t>e. In Fourth Floor</t>
  </si>
  <si>
    <r>
      <t>Brick work in C.M. 1:6</t>
    </r>
    <r>
      <rPr>
        <sz val="18"/>
        <rFont val="Arial"/>
        <family val="2"/>
      </rPr>
      <t xml:space="preserve"> using chamber Burnt bricks of size 23 x 11.4 x 7.5 cm (9" x 4 1/2"x 3")</t>
    </r>
  </si>
  <si>
    <t>a. In Ground Floor/Stilt floor</t>
  </si>
  <si>
    <t>n. In thirteen floor</t>
  </si>
  <si>
    <t>Brick work in C.M. 1:6  using Chamber Burnt brick of size 23 x 11 x 7 cm (9" x 4 1/4" x 2 3/4")</t>
  </si>
  <si>
    <r>
      <t>Brick work in C.M. 1:6</t>
    </r>
    <r>
      <rPr>
        <b/>
        <sz val="18"/>
        <rFont val="Arial"/>
        <family val="2"/>
      </rPr>
      <t xml:space="preserve"> </t>
    </r>
    <r>
      <rPr>
        <sz val="18"/>
        <rFont val="Arial"/>
        <family val="2"/>
      </rPr>
      <t xml:space="preserve"> using Chamber Burnt brick of size 22 x 11 x 7 cm (8 3/4" x 4 1/4" x 2 3/4")</t>
    </r>
  </si>
  <si>
    <t>Brick work in C.M. 1:6  using Kiln Burnt Country bricks of size 22 x 11 x 7 cm ( 8 3/4" x 4 1/4" x 2 3/4")</t>
  </si>
  <si>
    <t>Brick work in C.M. 1:6  using Kiln Burnt Country bricks of size 22 x 11 x 5.7 cm (8 3/4" x 4 1/4" x 2 1/4")</t>
  </si>
  <si>
    <r>
      <t xml:space="preserve">Brick partition work in C.M. 1:4 </t>
    </r>
    <r>
      <rPr>
        <sz val="18"/>
        <rFont val="Arial"/>
        <family val="2"/>
      </rPr>
      <t xml:space="preserve">
Chamber Burnt brick of size 23 x 11.2 x 7 cm (9" x 4 3/8" x 2 3/4")</t>
    </r>
    <r>
      <rPr>
        <b/>
        <sz val="18"/>
        <rFont val="Arial"/>
        <family val="2"/>
      </rPr>
      <t>112 mm tk (B.P.)</t>
    </r>
  </si>
  <si>
    <t>a. In Foundation and basement</t>
  </si>
  <si>
    <t>b. In Ground Floor</t>
  </si>
  <si>
    <t>c. In First Floor</t>
  </si>
  <si>
    <t>d. In Second Floor</t>
  </si>
  <si>
    <t>e. In Third Floor</t>
  </si>
  <si>
    <t>f. In Fourth Floor</t>
  </si>
  <si>
    <r>
      <t xml:space="preserve">Brick partition work in C.M. 1:4 </t>
    </r>
    <r>
      <rPr>
        <sz val="18"/>
        <rFont val="Arial"/>
        <family val="2"/>
      </rPr>
      <t xml:space="preserve">using chamber Burnt bricks of size 23 x 11.4 x 7.5 cm (9" x 4 1/2"x 3") </t>
    </r>
    <r>
      <rPr>
        <b/>
        <sz val="18"/>
        <rFont val="Arial"/>
        <family val="2"/>
      </rPr>
      <t>114 mm tk (B.P.)</t>
    </r>
  </si>
  <si>
    <t>b. In Ground Floor/stilt floor</t>
  </si>
  <si>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</si>
  <si>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</si>
  <si>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</si>
  <si>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</si>
  <si>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</si>
  <si>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</si>
  <si>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</si>
  <si>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</si>
  <si>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</si>
  <si>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</si>
  <si>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t>Brick partition in C.M. 1:4 using country bricks of size 22 x11x5cm 50 mm thick</t>
  </si>
  <si>
    <t xml:space="preserve">Brick partition in C.M. 1:4 50 mm tk. (B.P.)
Kiln Burnt Country brick: 23 x 11 x 5 cm 
(9" x 4 1/4" x 2") </t>
  </si>
  <si>
    <t>Filling with Excavated Earth</t>
  </si>
  <si>
    <t>Filling with Excavated Earth Mixed with lime in the proporation 1:4 (one of lime &amp; four of earth)</t>
  </si>
  <si>
    <t>Precast Cupboard slab 20 mm tk.</t>
  </si>
  <si>
    <t>Precast cupboard slab 40 mm tk.</t>
  </si>
  <si>
    <t>a. In Foundation &amp; basement</t>
  </si>
  <si>
    <t>b. In Ground floor</t>
  </si>
  <si>
    <t>c. In First floor</t>
  </si>
  <si>
    <t>d. In Second floor</t>
  </si>
  <si>
    <t>e. In Third floor</t>
  </si>
  <si>
    <t>f.  In Fourth floor</t>
  </si>
  <si>
    <t>Cuddappa slab 20 mm tk.</t>
  </si>
  <si>
    <t>Cuddappa slab 40 mm tk.</t>
  </si>
  <si>
    <r>
      <t xml:space="preserve">Precast </t>
    </r>
    <r>
      <rPr>
        <b/>
        <sz val="18"/>
        <rFont val="Arial"/>
        <family val="2"/>
      </rPr>
      <t>Jally ventilator 50mm tk.</t>
    </r>
  </si>
  <si>
    <t>Supplying &amp; fixing of Terra cotta jolly (not less than 50mm)</t>
  </si>
  <si>
    <t>Supplying &amp; fixing of Terra cotta jolly (more than  50mm  upto 110 mm)</t>
  </si>
  <si>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</si>
  <si>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</si>
  <si>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</si>
  <si>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t>Form work - Plinth beam (C.W. planks)</t>
  </si>
  <si>
    <t>R.C.C.Door frame</t>
  </si>
  <si>
    <t>a. 900 x 2100 mm</t>
  </si>
  <si>
    <t>b. 700 x 2100 mm</t>
  </si>
  <si>
    <t>c. 1000 x 2100 mm</t>
  </si>
  <si>
    <t xml:space="preserve">PVC Door frame &amp; shutter  
</t>
  </si>
  <si>
    <t>Teak wood panelled door shutters</t>
  </si>
  <si>
    <t>b. 900 x 2100 mm</t>
  </si>
  <si>
    <t>c. 700 x 2100 mm</t>
  </si>
  <si>
    <t>d. 1200 x 2100 mm (Single) annexure item</t>
  </si>
  <si>
    <t>Teak wood "Window" &amp;  Ventilator Shutter</t>
  </si>
  <si>
    <t>a. Window: 135 cm ht.</t>
  </si>
  <si>
    <t>b. Window: 120 cm ht.</t>
  </si>
  <si>
    <t>c. Window: 105 cm ht.</t>
  </si>
  <si>
    <t>d. Ventilator: (90 x 60 cm)</t>
  </si>
  <si>
    <t>T.W. double leaf shutters for cup board/ ward robes</t>
  </si>
  <si>
    <t>T.W. single leaf  Door shutters using    9 mm tk. phynol bonded BWR plywood</t>
  </si>
  <si>
    <t>Glass panels with Aluminium beedings</t>
  </si>
  <si>
    <t>S&amp;F of Magnetic door catches</t>
  </si>
  <si>
    <t xml:space="preserve">Supply and fixing of Aluminium window with 3mm thick Glass </t>
  </si>
  <si>
    <t>a. 1.8 x 1.35 mt.window</t>
  </si>
  <si>
    <t>b. 1.35 x 1.35 mt.window</t>
  </si>
  <si>
    <t>c. 1.35 x  1.05 mt window</t>
  </si>
  <si>
    <t>d. 1.2 x 1.35 mt window</t>
  </si>
  <si>
    <t>e. 1.2 x 1.05 mt window</t>
  </si>
  <si>
    <t>f. 1.05 x 1.35 mt window</t>
  </si>
  <si>
    <t>g. 0.9 x 1.35 mt window</t>
  </si>
  <si>
    <t>h. 0.9 x 1.05 mt window</t>
  </si>
  <si>
    <t>i. 0.5 x 1.35 mt window</t>
  </si>
  <si>
    <t>j. 0.45 x 1.35 mt window</t>
  </si>
  <si>
    <t>k.0.90 x 0.60 mt.Ventilator</t>
  </si>
  <si>
    <t>l. 0.60 x 0.60 mt.Ventilator</t>
  </si>
  <si>
    <t>Manufacturing &amp; supply of steel windows (Weight basis)</t>
  </si>
  <si>
    <t>M.S.Holdfast</t>
  </si>
  <si>
    <t>Flooring in C.C.1:5:10</t>
  </si>
  <si>
    <t>B.w. in C.M. 1:4 for staircase steps Chamber
 burnt bricks 23 x 11.2 x 7 cm.</t>
  </si>
  <si>
    <t>B.w. in C.M. 1:4 for staircase steps Chamber
 burnt bricks 23 x 11.4 x 7.5 cm.</t>
  </si>
  <si>
    <t>B.w. in C.M. 1:4 for staircase steps Chamber 
burnt bricks  23 x 11 x 7 cm.</t>
  </si>
  <si>
    <t>B.w. in C.M. 1:4 for staircase steps Chamber
 burnt bricks 22 x 11 x 7 cm.</t>
  </si>
  <si>
    <t>B.w. in C.M. 1:4 for staircase steps Kiln burnt country bricks 22 x 11 x 7 cm.</t>
  </si>
  <si>
    <t>B.w. in C.M. 1:4 for staircase steps Kiln burnt country bricks 22 x 11 x 5.7 cm.</t>
  </si>
  <si>
    <r>
      <t>Floor plastering</t>
    </r>
    <r>
      <rPr>
        <sz val="18"/>
        <rFont val="Arial"/>
        <family val="2"/>
      </rPr>
      <t xml:space="preserve"> in C.M. 1:4, 20 mm tk.</t>
    </r>
  </si>
  <si>
    <r>
      <t xml:space="preserve">Mosaic tiles </t>
    </r>
    <r>
      <rPr>
        <sz val="18"/>
        <rFont val="Arial"/>
        <family val="2"/>
      </rPr>
      <t>20 cm x 20 cm x 2 cm.</t>
    </r>
  </si>
  <si>
    <r>
      <t xml:space="preserve">Mosaic tiles </t>
    </r>
    <r>
      <rPr>
        <sz val="18"/>
        <rFont val="Arial"/>
        <family val="2"/>
      </rPr>
      <t>25 cm x 25 cm x 2 cm.</t>
    </r>
  </si>
  <si>
    <t>Floor ceramic tiles</t>
  </si>
  <si>
    <t>Glazed tiles</t>
  </si>
  <si>
    <t>Floor ceramic tiles (Anti-skid)</t>
  </si>
  <si>
    <t>Ellispattern</t>
  </si>
  <si>
    <t>Pressed tiles (23cmx23cmx20mm) mixed with Crude oil</t>
  </si>
  <si>
    <t>Pressed tiles (23cmx23cmx20mm) mixed with Water proofing compound</t>
  </si>
  <si>
    <t>Pressed tiles (23cmx23cmx18mm) mixed with Water proofing compound</t>
  </si>
  <si>
    <t>Plastering in C.M. 1:5, 12 mm tk.</t>
  </si>
  <si>
    <t>Spl. Ceiling plastering in C.M. 1:3,
 10 mm tk.</t>
  </si>
  <si>
    <t>Cement mortar Border in  C.M. 1:5, 12 mm tk.</t>
  </si>
  <si>
    <t>a. 150 mm wide</t>
  </si>
  <si>
    <t>b. 75 mm wide</t>
  </si>
  <si>
    <t>c. 50 mm wide</t>
  </si>
  <si>
    <r>
      <t>White washing 3 coats</t>
    </r>
    <r>
      <rPr>
        <b/>
        <sz val="18"/>
        <rFont val="Arial"/>
        <family val="2"/>
      </rPr>
      <t xml:space="preserve">  (slaked)</t>
    </r>
  </si>
  <si>
    <r>
      <t>Colour washing</t>
    </r>
    <r>
      <rPr>
        <b/>
        <sz val="18"/>
        <rFont val="Arial"/>
        <family val="2"/>
      </rPr>
      <t xml:space="preserve">  ( slaked)</t>
    </r>
  </si>
  <si>
    <t>Cement paint</t>
  </si>
  <si>
    <t>M.s Grills</t>
  </si>
  <si>
    <t>Painting - New "wood work"</t>
  </si>
  <si>
    <t>Painting - New "iron work"</t>
  </si>
  <si>
    <r>
      <t xml:space="preserve">Fabrication of </t>
    </r>
    <r>
      <rPr>
        <b/>
        <sz val="18"/>
        <rFont val="Arial"/>
        <family val="2"/>
      </rPr>
      <t xml:space="preserve">Mild steel / RTS grills
</t>
    </r>
    <r>
      <rPr>
        <sz val="18"/>
        <rFont val="Arial"/>
        <family val="2"/>
      </rPr>
      <t>(with cement slurry wash)</t>
    </r>
  </si>
  <si>
    <t>a. upto 16mm dia rods</t>
  </si>
  <si>
    <t>b. above 16mm dia rods</t>
  </si>
  <si>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</si>
  <si>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</si>
  <si>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t>Rain Water Harvesting using Defunct borewell method</t>
  </si>
  <si>
    <r>
      <t>Stucco</t>
    </r>
    <r>
      <rPr>
        <sz val="18"/>
        <rFont val="Arial"/>
        <family val="2"/>
      </rPr>
      <t xml:space="preserve"> plastering 12 mm tk.</t>
    </r>
  </si>
  <si>
    <t>S &amp; F 20 mm dia Alu. Hanger Rod</t>
  </si>
  <si>
    <t>S &amp; F Alu  Towel rail 75 cm long</t>
  </si>
  <si>
    <t>S &amp; F 5 pin Coat stand</t>
  </si>
  <si>
    <t>S &amp; F chromium plated 8 guage Picture Hook</t>
  </si>
  <si>
    <t>Precast slab 50 mm tk.in C.C. 1:3:6</t>
  </si>
  <si>
    <t>Supply and planting avenue trees</t>
  </si>
  <si>
    <t>Providing Tree guard</t>
  </si>
  <si>
    <t>Supplying. Fabricating and erection of M.S Scheme Name board</t>
  </si>
  <si>
    <t>HDPE water tank 700 lit capacity with ISI mark</t>
  </si>
  <si>
    <t>PVC Water supply (ASTM)</t>
  </si>
  <si>
    <t xml:space="preserve">a. 32 mm dia </t>
  </si>
  <si>
    <t xml:space="preserve">b. 25 mm dia </t>
  </si>
  <si>
    <t xml:space="preserve">c. 20 mm dia </t>
  </si>
  <si>
    <t>Wash basin</t>
  </si>
  <si>
    <t>S &amp; F  of  C.I. Manhole cover 45 x 45 cm
 (20 kg. weight)</t>
  </si>
  <si>
    <t>Brass tap (with ISI mark)</t>
  </si>
  <si>
    <t xml:space="preserve">C.P tap long body </t>
  </si>
  <si>
    <t xml:space="preserve">C.P tap short body </t>
  </si>
  <si>
    <t>Squat Urinal</t>
  </si>
  <si>
    <t>Flat Back Urinal</t>
  </si>
  <si>
    <t xml:space="preserve">S &amp; F of Orissapan  - in G.F.  </t>
  </si>
  <si>
    <t xml:space="preserve">S &amp; F of Orissapan - other than G.F. </t>
  </si>
  <si>
    <t>S &amp; F of E.W.C.(white)</t>
  </si>
  <si>
    <t>S &amp; F of E.W.C.(colour)</t>
  </si>
  <si>
    <t>PVC SWR pipe (Soil line)</t>
  </si>
  <si>
    <t>a. 110 mm dia.</t>
  </si>
  <si>
    <t>b. 75 mm dia.</t>
  </si>
  <si>
    <t>PVC Ventilating shaft with cowl</t>
  </si>
  <si>
    <t>Gully Trap using Chamber burnt bricks 23 x 11.2 x 7 cm.</t>
  </si>
  <si>
    <t>Gully Trap using chamber burnt bricks of size 23x11.4x7.5cm</t>
  </si>
  <si>
    <t>Gully Trap using Chamber burnt bricks 23 x 11 x 7 cm.</t>
  </si>
  <si>
    <t>Gully Trap using Chamber burnt bricks 22 x 11 x 7 cm.</t>
  </si>
  <si>
    <t>Gully Trap using Kiln burnt country bricks 22 x 11 x 7 cm.</t>
  </si>
  <si>
    <t>Gully Trap using Kiln burnt country bricks 22 x 11 x 5.7 cm.</t>
  </si>
  <si>
    <t>PVC Nahani trap (4way/2way)</t>
  </si>
  <si>
    <t>Stoneware pipe</t>
  </si>
  <si>
    <t>a. 100 mm S.W. pipe</t>
  </si>
  <si>
    <t>b. 150 mm S.W. pipe</t>
  </si>
  <si>
    <t>Stoneware pipe dry condition</t>
  </si>
  <si>
    <t>a. 100 mm dia</t>
  </si>
  <si>
    <t>b. 150 mm dia</t>
  </si>
  <si>
    <t>Stoneware bend</t>
  </si>
  <si>
    <t>Stoneware Tee</t>
  </si>
  <si>
    <t>32 mm dia PVC waste pipe</t>
  </si>
  <si>
    <t>Electrical arrangements</t>
  </si>
  <si>
    <t>a. Light point with ceiling rose</t>
  </si>
  <si>
    <t>c. Calling bell point with Buzzer/Calling bell</t>
  </si>
  <si>
    <t xml:space="preserve">Fan point </t>
  </si>
  <si>
    <t>Staircase light point</t>
  </si>
  <si>
    <t>5 amps 5 pin Plug point (Switch board itself)</t>
  </si>
  <si>
    <t>5 amps 5 pin Plug point (Convenient places)</t>
  </si>
  <si>
    <t>15 Amp. Power plug</t>
  </si>
  <si>
    <t>Bulk head fitting</t>
  </si>
  <si>
    <t>S &amp; F of Tube light with fittings</t>
  </si>
  <si>
    <t>S &amp; F of 40/ 60 w bulb</t>
  </si>
  <si>
    <t>S &amp; F of plastic  shade</t>
  </si>
  <si>
    <t>Double pole main switch</t>
  </si>
  <si>
    <t>Box type Fibre Fan hook</t>
  </si>
  <si>
    <t>6 way - D.B.</t>
  </si>
  <si>
    <t>4 way - D.B.</t>
  </si>
  <si>
    <t>Charges for fixing of "Fan"</t>
  </si>
  <si>
    <t>Supply and delivery of Fan</t>
  </si>
  <si>
    <t>a. 48" (1200 mm)</t>
  </si>
  <si>
    <t>b. 42" (1050 mm)</t>
  </si>
  <si>
    <t>8 SWG wire</t>
  </si>
  <si>
    <t>Run of main 2 wires of 1.50 Sqmm.</t>
  </si>
  <si>
    <t>S &amp; F of A/C metal clad switch (SD-140)</t>
  </si>
  <si>
    <t>S&amp;F of TV/Telephone line Socket</t>
  </si>
  <si>
    <t>S&amp;F of 20mm dia PVC pipe for TV/Telephone line</t>
  </si>
  <si>
    <t>Earthing Station IS3043 (Type I)</t>
  </si>
  <si>
    <t>Earthing Station (Type II)</t>
  </si>
  <si>
    <t>1 No.of 30Amps - Fuse Unit</t>
  </si>
  <si>
    <t>3 Nos.of 30Amps - Fuse Unit</t>
  </si>
  <si>
    <t>375 x 300 x 20 mm T.W. plank</t>
  </si>
  <si>
    <t>Meter cupboard</t>
  </si>
  <si>
    <t>Street lights</t>
  </si>
  <si>
    <t>Run of 2 wires of 4 sqmm</t>
  </si>
  <si>
    <t>Supply of G.I pipe 25mm dia</t>
  </si>
  <si>
    <t>Anti termite treatment</t>
  </si>
  <si>
    <t>ELCB Single phase</t>
  </si>
  <si>
    <t>S &amp; F of Exsaust Fan 300 mm dia</t>
  </si>
  <si>
    <r>
      <t xml:space="preserve">Anticorrosive treatment for </t>
    </r>
    <r>
      <rPr>
        <b/>
        <sz val="18"/>
        <rFont val="Arial"/>
        <family val="2"/>
      </rPr>
      <t>steel grills</t>
    </r>
  </si>
  <si>
    <t>Bored cast sit piles installation of vertical cast in Situ Bored piles of following dia using Standardised concrete  mix M20 Grade) as per nagapattinam data</t>
  </si>
  <si>
    <t>a.500mm dia pile</t>
  </si>
  <si>
    <t>b.450mm dia pile</t>
  </si>
  <si>
    <t>c.400mm dia pile</t>
  </si>
  <si>
    <t>Chipping of RCC pile head to the required cut of level and clearing way debries with an average lead of 3 km entirely with city limits M20 Grade</t>
  </si>
  <si>
    <t xml:space="preserve">Supply and laying of Hard core layer 200mm </t>
  </si>
  <si>
    <t>Supplying and filling stone dust</t>
  </si>
  <si>
    <t>Plastering with CM 1:3, 12mm with WPC</t>
  </si>
  <si>
    <t xml:space="preserve">Supplying and filling with gravel </t>
  </si>
  <si>
    <t xml:space="preserve">b. Stilt / Ground Floor  </t>
  </si>
  <si>
    <t>f.In fourth floor</t>
  </si>
  <si>
    <t>g.In fifth floor</t>
  </si>
  <si>
    <t>4.1.1</t>
  </si>
  <si>
    <t>Cement Concrete using desing mix of grade M30 concrete</t>
  </si>
  <si>
    <t>a. Foundation &amp; basement</t>
  </si>
  <si>
    <t>b.Stilt floor</t>
  </si>
  <si>
    <t>Cement Concrete using desing mix of grade M25 concrete</t>
  </si>
  <si>
    <t>b. In Stilt /Ground Floor</t>
  </si>
  <si>
    <t>g. In Fifth Floor</t>
  </si>
  <si>
    <t>h. In Sixth Floor</t>
  </si>
  <si>
    <t>i. In Seventh Floor</t>
  </si>
  <si>
    <t>j.in Eighth floor</t>
  </si>
  <si>
    <t>k.in Ninth floor</t>
  </si>
  <si>
    <t>l.in Tenth floor</t>
  </si>
  <si>
    <t>n. In Thirteen floor</t>
  </si>
  <si>
    <t>Precast Cupboard slab 20 mm tk.using standardised concrete mix M20 (annexure)</t>
  </si>
  <si>
    <t xml:space="preserve">a. In Stilt / Ground Floor  </t>
  </si>
  <si>
    <t>Precast cupboard slab 40 mm tkusing standardised concrete mix M20 (annexure)</t>
  </si>
  <si>
    <t xml:space="preserve">b. In Stilt / Ground Floor  </t>
  </si>
  <si>
    <t>Precast Cupboard slab 20 mm tk.using standardised concrete mix M30 (annexure)</t>
  </si>
  <si>
    <t>Precast cupboard slab 40 mm tkusing standardised concrete mix M30 (annexure)</t>
  </si>
  <si>
    <r>
      <t xml:space="preserve">Precast </t>
    </r>
    <r>
      <rPr>
        <b/>
        <sz val="18"/>
        <rFont val="Arial"/>
        <family val="2"/>
      </rPr>
      <t>Jally ventilator 50mm tk.using standardised concrete mix M30 (annexure) without vibrating charges</t>
    </r>
  </si>
  <si>
    <t xml:space="preserve">a. In Ground floor </t>
  </si>
  <si>
    <r>
      <t xml:space="preserve">Precast </t>
    </r>
    <r>
      <rPr>
        <b/>
        <sz val="18"/>
        <rFont val="Arial"/>
        <family val="2"/>
      </rPr>
      <t>Jally ventilator 50mm tk.using standardised concrete mix M20 (annexure) without vibrating charges</t>
    </r>
  </si>
  <si>
    <r>
      <t xml:space="preserve">Brick work in C.M. 1:5 </t>
    </r>
    <r>
      <rPr>
        <sz val="18"/>
        <rFont val="Arial"/>
        <family val="2"/>
      </rPr>
      <t>using Fly Ash 
bricks of size 23 x 11 x 7 cm in Foundation and Basement</t>
    </r>
  </si>
  <si>
    <r>
      <t xml:space="preserve">Brick work in C.M. 1:6 </t>
    </r>
    <r>
      <rPr>
        <sz val="18"/>
        <rFont val="Arial"/>
        <family val="2"/>
      </rPr>
      <t xml:space="preserve">using Fly Ash 
bricks of size 23 x 11 x 7 cm </t>
    </r>
  </si>
  <si>
    <t>f. In Fifth Floor</t>
  </si>
  <si>
    <r>
      <t xml:space="preserve">Brick partition work in C.M. 1:4 </t>
    </r>
    <r>
      <rPr>
        <sz val="18"/>
        <rFont val="Arial"/>
        <family val="2"/>
      </rPr>
      <t xml:space="preserve">using Fly Ash 
bricks of size 23 x 11 x 7 cm </t>
    </r>
    <r>
      <rPr>
        <b/>
        <sz val="18"/>
        <rFont val="Arial"/>
        <family val="2"/>
      </rPr>
      <t>110 mm tk (B.P.)</t>
    </r>
  </si>
  <si>
    <t>a. In Foundation and Basement</t>
  </si>
  <si>
    <r>
      <t xml:space="preserve">Brick work in C.M. 1:4 </t>
    </r>
    <r>
      <rPr>
        <sz val="18"/>
        <rFont val="Arial"/>
        <family val="2"/>
      </rPr>
      <t xml:space="preserve">using Fly Ash 
bricks of size 23 x 11 x 7 cm </t>
    </r>
    <r>
      <rPr>
        <b/>
        <sz val="18"/>
        <rFont val="Arial"/>
        <family val="2"/>
      </rPr>
      <t>70 mm tk (B.P.)</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</si>
  <si>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</si>
  <si>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</si>
  <si>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OHT
</t>
    </r>
    <r>
      <rPr>
        <b/>
        <sz val="18"/>
        <rFont val="Arial"/>
        <family val="2"/>
      </rPr>
      <t>In Third  floor</t>
    </r>
  </si>
  <si>
    <r>
      <t xml:space="preserve">B.W in CM 1:4 in Superstructure for </t>
    </r>
    <r>
      <rPr>
        <b/>
        <sz val="18"/>
        <rFont val="Arial"/>
        <family val="2"/>
      </rPr>
      <t>OHT In Fourth  floor</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</si>
  <si>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</si>
  <si>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</si>
  <si>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</si>
  <si>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t>Providing earth quake resistant for Corner walls</t>
  </si>
  <si>
    <t>b. Ground Floor</t>
  </si>
  <si>
    <t>c. First Floor</t>
  </si>
  <si>
    <t>d. Second Floor</t>
  </si>
  <si>
    <t>Providing earth quake resistant for Door/window Jambs</t>
  </si>
  <si>
    <t>a. Ground Floor</t>
  </si>
  <si>
    <t>c. Second Floor</t>
  </si>
  <si>
    <t xml:space="preserve">Red oxide plastering in CM 1:4 </t>
  </si>
  <si>
    <t>P.C.C. 1:3:6  for foundation &amp; basement using 20mm metal</t>
  </si>
  <si>
    <t>P.C.C. 1:4:8 using 40 mm broken brick jelly</t>
  </si>
  <si>
    <t>P. C.C. 1:3:6 for foundation &amp; basement using 40mm metal</t>
  </si>
  <si>
    <t>Formwork using M.S.Sheet</t>
  </si>
  <si>
    <t>a.For Column footings,plinth beam,Grade beam,Raftbeam,Raft slab etc.,</t>
  </si>
  <si>
    <t>b.Plain surfaces such as Roof slab,floorslab,Beams,lintels,lofts,sill slab,staircase,portico slab and other similar works</t>
  </si>
  <si>
    <t>c.For Square and rectangular columns and small quantities</t>
  </si>
  <si>
    <t>d.Vertical wall</t>
  </si>
  <si>
    <t>e.Circular column</t>
  </si>
  <si>
    <t>f.Curved surface</t>
  </si>
  <si>
    <t>R.C.C.Door frames of size 100 x 75mm with one edge grooves size 't' x 20 mm using M30 grade ( with out vibrating charges)</t>
  </si>
  <si>
    <t>c. 1200 x 2100 mm</t>
  </si>
  <si>
    <t>d. 750 x 2100 mm</t>
  </si>
  <si>
    <t>Teak wood "Window" &amp;  Ventilator Shutter with 4mm thick pin headed glasses</t>
  </si>
  <si>
    <t>d. Ventilator: (75 x 75 cm)</t>
  </si>
  <si>
    <t>22.3.2</t>
  </si>
  <si>
    <t xml:space="preserve"> MDF board (18mm thick) double leaf shutters with TW frame for cup board/ ward robes.</t>
  </si>
  <si>
    <t>T.W. frame &amp; TW styles &amp; rails with BWR double leaf shutters for cup board/ ward robes including two coat enamel paint &amp; one coat primer.</t>
  </si>
  <si>
    <r>
      <t xml:space="preserve">T.W. frame &amp; TW styles &amp; rails with BWR double leaf shutters for </t>
    </r>
    <r>
      <rPr>
        <b/>
        <sz val="18"/>
        <rFont val="Arial"/>
        <family val="2"/>
      </rPr>
      <t xml:space="preserve">SPECIAL cup board/ ward robes </t>
    </r>
    <r>
      <rPr>
        <sz val="18"/>
        <rFont val="Arial"/>
        <family val="2"/>
      </rPr>
      <t>including two coat enamel paint &amp; one coat primer.</t>
    </r>
  </si>
  <si>
    <t>MDF board door shutters (35mm thick) exterior grade both side laminated with external lipping.</t>
  </si>
  <si>
    <t>a. 1000X2100mm.</t>
  </si>
  <si>
    <t>b. 900X2100mm.</t>
  </si>
  <si>
    <t>c.1200X2100mm.</t>
  </si>
  <si>
    <t>TW panelled  single door shutter without brass fittings.</t>
  </si>
  <si>
    <t>a. 1000X2100mm.(Single leaf) For Qtrs</t>
  </si>
  <si>
    <t>b.1200x2400mm</t>
  </si>
  <si>
    <t xml:space="preserve">a. 1200X2100mm.(Single leaf)  Four horizontal Panel
</t>
  </si>
  <si>
    <t xml:space="preserve">a. 1200X2100mm.(Single leaf)  </t>
  </si>
  <si>
    <t>b. 1000X2100mm  without Brass fittings ( Single leaf)</t>
  </si>
  <si>
    <t>900X2100mm  without Brass fittings ( Single leaf)</t>
  </si>
  <si>
    <t>TW double leaves shutter  with Brass Fittings</t>
  </si>
  <si>
    <r>
      <t xml:space="preserve">TW double leaves shutter of size  2000X2400mm.(Double leaves) </t>
    </r>
    <r>
      <rPr>
        <b/>
        <sz val="18"/>
        <rFont val="Arial"/>
        <family val="2"/>
      </rPr>
      <t>with Brass fittings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</si>
  <si>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</si>
  <si>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double leaves shutter of size  </t>
    </r>
    <r>
      <rPr>
        <b/>
        <sz val="18"/>
        <rFont val="Arial"/>
        <family val="2"/>
      </rPr>
      <t>with brass fittings</t>
    </r>
    <r>
      <rPr>
        <sz val="18"/>
        <rFont val="Arial"/>
        <family val="2"/>
      </rPr>
      <t xml:space="preserve">
a.1800 x 2400mm </t>
    </r>
  </si>
  <si>
    <r>
      <t xml:space="preserve">a. 1500X2400mm.(Double leaves) </t>
    </r>
    <r>
      <rPr>
        <b/>
        <sz val="18"/>
        <rFont val="Arial"/>
        <family val="2"/>
      </rPr>
      <t>with Brass  Screws only ( DPO Ariyalur)</t>
    </r>
  </si>
  <si>
    <r>
      <t xml:space="preserve">a. 1500X2400mm.(Double leaves) </t>
    </r>
    <r>
      <rPr>
        <b/>
        <sz val="18"/>
        <rFont val="Arial"/>
        <family val="2"/>
      </rPr>
      <t>with Brass fittings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</si>
  <si>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</si>
  <si>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</si>
  <si>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t xml:space="preserve">Providing teakwood glazed french window shutters and 5.5mm thick plain glass for panels including labour charges and cost of furniture fittings as per schedule ‘E and directed by the departmental officers. </t>
  </si>
  <si>
    <t>a) 750x2100mm</t>
  </si>
  <si>
    <t>b) 1100x2100mm</t>
  </si>
  <si>
    <t>c) 1300x2100mm</t>
  </si>
  <si>
    <t>TW styles &amp; rails with 9mm thick BWR single leaf shutters  with brass screws size of 750 x 2100 mm</t>
  </si>
  <si>
    <t>Ornamental TW double leaves panelled door shutter of size 2000 x 2400mm with 8mm tk sand blasting Glass</t>
  </si>
  <si>
    <t>Supply and Fixing Soild UPVC door Shutter with frame</t>
  </si>
  <si>
    <t>23.2.1</t>
  </si>
  <si>
    <t xml:space="preserve">5mm thick plain  Glass panels with Aluminium beedings </t>
  </si>
  <si>
    <t>Cuddappa slab 20 mm tk.for kitchen hearth slab.</t>
  </si>
  <si>
    <t>Cuddappa slab 20 mm tk.for C/B  slab.</t>
  </si>
  <si>
    <t>a. Ground floor</t>
  </si>
  <si>
    <t>Cuddappa slab 40 mm tk.for C/B  slab.</t>
  </si>
  <si>
    <t>Cuddappa slab 40 mm tk.for Sunshade.</t>
  </si>
  <si>
    <t>Glazed tiles using Grout (Tile Joint Filler), C.M 1:2, 10mm tk</t>
  </si>
  <si>
    <t>Floor ceramic tiles  using Grout (Tile Joint Filler).</t>
  </si>
  <si>
    <t>Floor ceramic tiles (Anti-skid) using Grout (Tile Joint Filler).</t>
  </si>
  <si>
    <t>Two coat of cement paint over one coat white cement</t>
  </si>
  <si>
    <t>One coat white cement for new walls and other similar works.</t>
  </si>
  <si>
    <r>
      <t xml:space="preserve">Fabrication of </t>
    </r>
    <r>
      <rPr>
        <b/>
        <sz val="18"/>
        <rFont val="Arial"/>
        <family val="2"/>
      </rPr>
      <t xml:space="preserve">Mild steel / RTS grills
</t>
    </r>
    <r>
      <rPr>
        <sz val="18"/>
        <rFont val="Arial"/>
        <family val="2"/>
      </rPr>
      <t>(with cement slurry wash) for all sizes of rods.</t>
    </r>
  </si>
  <si>
    <r>
      <t xml:space="preserve">Fabrication of </t>
    </r>
    <r>
      <rPr>
        <b/>
        <sz val="18"/>
        <rFont val="Arial"/>
        <family val="2"/>
      </rPr>
      <t>Mild steel / RTS grills (without cement slurry) for all sizes of rods.</t>
    </r>
    <r>
      <rPr>
        <sz val="18"/>
        <rFont val="Arial"/>
        <family val="2"/>
      </rPr>
      <t xml:space="preserve">
</t>
    </r>
  </si>
  <si>
    <r>
      <t xml:space="preserve">PVC SWR 110 mm dia with ISI mark type- A for </t>
    </r>
    <r>
      <rPr>
        <b/>
        <sz val="18"/>
        <rFont val="Arial"/>
        <family val="2"/>
      </rPr>
      <t>Rain water down fall pipe</t>
    </r>
  </si>
  <si>
    <t>Precast slab 50 mm tk.in C.C. 1:3:6 with fibre</t>
  </si>
  <si>
    <t>20mm dia PVC water supply ASTM pipe (fully consealed in walls)</t>
  </si>
  <si>
    <t xml:space="preserve">S&amp;F of C.I Manhole cover 60 x 60 cm (50kg weight ) </t>
  </si>
  <si>
    <t>Wash Hand  Basin of size 550 x 400 mm
(White without Pedestal)</t>
  </si>
  <si>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</si>
  <si>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t xml:space="preserve">S &amp; F of Indian Water closet white glazed (Oriya type) of size 580 x 440mm  - in G.F.  </t>
  </si>
  <si>
    <t>Supplying, Laying &amp; Concealing the 50mm dia PVC ( SWR) pipe with ISI mark type - 'B' with relevant specials.</t>
  </si>
  <si>
    <t>PVC(SWR) pipe with ISI mark - type 'A' for Ventilating shaft with cowl</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</si>
  <si>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</si>
  <si>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</si>
  <si>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</si>
  <si>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</si>
  <si>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</si>
  <si>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</si>
  <si>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r>
      <t xml:space="preserve">Supply and delivery of  </t>
    </r>
    <r>
      <rPr>
        <b/>
        <sz val="18"/>
        <rFont val="Arial"/>
        <family val="2"/>
      </rPr>
      <t xml:space="preserve">48" (1200 mm) Fan </t>
    </r>
    <r>
      <rPr>
        <sz val="18"/>
        <rFont val="Arial"/>
        <family val="2"/>
      </rPr>
      <t>with ISI mark with Eletronic Dimmer</t>
    </r>
  </si>
  <si>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</si>
  <si>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</si>
  <si>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Run of 2 Wires of 2.5 sqmm PVC insulated single core multi strand fire retardant flexible copper cable with ISI mark confirming IS: 694:1990.</t>
  </si>
  <si>
    <r>
      <t xml:space="preserve">4 x 4  Sq mm copper PVC insulated unsheathed single core cable for </t>
    </r>
    <r>
      <rPr>
        <b/>
        <sz val="18"/>
        <rFont val="Arial"/>
        <family val="2"/>
      </rPr>
      <t>3 phase EB service connection</t>
    </r>
  </si>
  <si>
    <t xml:space="preserve">Run of 4 Wires of 6 sqmm PVC insulated single core multi strand </t>
  </si>
  <si>
    <t xml:space="preserve">Run of 4 Wires of 10 sqmm PVC insulated single core multi strand </t>
  </si>
  <si>
    <t>a. 14W bulb for Bath &amp; WC</t>
  </si>
  <si>
    <t>b. 18w bulb for Bulk Head fittings</t>
  </si>
  <si>
    <t>S &amp; F of Bulk head fitting suitable for CFL</t>
  </si>
  <si>
    <t>Rain water harvesting using defunct borewell and providing perforated cover slab</t>
  </si>
  <si>
    <t>a). Providing pit (M30)</t>
  </si>
  <si>
    <t>b) Augering 30cm dia</t>
  </si>
  <si>
    <t>S&amp;F of M.S. Angle of size 35x35x5mm for staircase steps</t>
  </si>
  <si>
    <t>S&amp;F of Bevelled edge mirror 500 x 400 x 5.5mm</t>
  </si>
  <si>
    <t>S&amp;F of Cuddapah sink 600 x 600 x 200mm</t>
  </si>
  <si>
    <t>Providing single nosing to the edges of Granite slab [PWD SR]</t>
  </si>
  <si>
    <t>Providing double nosing to the edges of Granite slab  [PWD SR]</t>
  </si>
  <si>
    <t>Supply and fixing of PVC water supply (ASTM)
a.50mm dia</t>
  </si>
  <si>
    <t>S&amp;F of PVC flushing cistern</t>
  </si>
  <si>
    <t>S&amp;F of cloth drying arrangement</t>
  </si>
  <si>
    <r>
      <t>Anticorrosive treatment for window</t>
    </r>
    <r>
      <rPr>
        <b/>
        <sz val="18"/>
        <rFont val="Arial"/>
        <family val="2"/>
      </rPr>
      <t xml:space="preserve"> grills</t>
    </r>
  </si>
  <si>
    <t>Supplying and fixing of 32 AMPS Triple pole main switch</t>
  </si>
  <si>
    <t>450 x 375 x 20 mm   thick TW plank</t>
  </si>
  <si>
    <t>3 Nos.of 32Amps - Fuse Unit</t>
  </si>
  <si>
    <t>1 Nos.of 32Amps - Fuse Unit</t>
  </si>
  <si>
    <t>Supply of G.I pipe 40mm dia 'B' Class</t>
  </si>
  <si>
    <t>Plastic Emulsion PAINT including primer for outer walls (Two coat)</t>
  </si>
  <si>
    <t xml:space="preserve">Painting the  ceiling with one coat Plastic Emulsion PAINT incl. Primer </t>
  </si>
  <si>
    <t>38.4.1</t>
  </si>
  <si>
    <t xml:space="preserve">S&amp;F of stainless steel sink 600 x 600 x 200mm  [PWD SR] P-50/192
</t>
  </si>
  <si>
    <t>Supplying &amp; fixing of Stainless steel Hand Rails for Staircase (PWD SR 20-21)</t>
  </si>
  <si>
    <t xml:space="preserve">Providing PVC Tee with end cap </t>
  </si>
  <si>
    <r>
      <t>Granite Tile wall cladding using 10mmtk  (</t>
    </r>
    <r>
      <rPr>
        <b/>
        <sz val="18"/>
        <rFont val="Arial"/>
        <family val="2"/>
      </rPr>
      <t>Satheleri Grey)  tile in</t>
    </r>
    <r>
      <rPr>
        <sz val="18"/>
        <rFont val="Arial"/>
        <family val="2"/>
      </rPr>
      <t xml:space="preserve"> C.M 1:2, 10mm tk .</t>
    </r>
  </si>
  <si>
    <r>
      <t>Granite Tile wall cladding using 10mmtk  (</t>
    </r>
    <r>
      <rPr>
        <b/>
        <sz val="18"/>
        <rFont val="Arial"/>
        <family val="2"/>
      </rPr>
      <t>Jet Blacky)  tile in</t>
    </r>
    <r>
      <rPr>
        <sz val="18"/>
        <rFont val="Arial"/>
        <family val="2"/>
      </rPr>
      <t xml:space="preserve"> C.M 1:2, 10mm tk .</t>
    </r>
  </si>
  <si>
    <r>
      <t xml:space="preserve">Providing wooden </t>
    </r>
    <r>
      <rPr>
        <b/>
        <sz val="18"/>
        <rFont val="Arial"/>
        <family val="2"/>
      </rPr>
      <t>Melamine</t>
    </r>
    <r>
      <rPr>
        <sz val="18"/>
        <rFont val="Arial"/>
        <family val="2"/>
      </rPr>
      <t xml:space="preserve"> polish for new wood work</t>
    </r>
  </si>
  <si>
    <t>Supply and Laying of Granite tile of 10mm thk (wall Cladding ) in C.M 1:2 Incl. Cost of Materials, Labours etc., all Including (Ruby Red) for lift potion</t>
  </si>
  <si>
    <t>Providing Shahabad stone flooring, C.M 1:3, 20mm tk</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</si>
  <si>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</si>
  <si>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</si>
  <si>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s</t>
  </si>
  <si>
    <t>Concrete designer tiles flooring</t>
  </si>
  <si>
    <t>Supply and fixing of Granite tiles Jet black C.M 1:2, 10mm tk for Staircase wall portion</t>
  </si>
  <si>
    <t>Supplying and fixing of Aluminium sliding window</t>
  </si>
  <si>
    <t>a. 1.20x1.35m (Two track )</t>
  </si>
  <si>
    <t>b. 2.40x1.80m (Two track)</t>
  </si>
  <si>
    <t>c. 2.40x1.05m (Two track)</t>
  </si>
  <si>
    <t>d. 0.90x1.35m (Two track)</t>
  </si>
  <si>
    <t>supplying and fixing of colour matt finish floor tiles of size 12"x12" ( for officers)</t>
  </si>
  <si>
    <t>supplying and fixing of colour matt finish floor tiles of size 12"x12" ( for wall tiles)</t>
  </si>
  <si>
    <t>Spl. Data</t>
  </si>
  <si>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</si>
  <si>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</si>
  <si>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t>Supplying and fixing of 100mm dia GI pipe</t>
  </si>
  <si>
    <t>Supplying and fixing of Geyser (Data -SD 103)</t>
  </si>
  <si>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</si>
  <si>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</si>
  <si>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t>Supplying  and fixing of GM wheel valves ISI mark</t>
  </si>
  <si>
    <t>a.100mm  GM Gate valves</t>
  </si>
  <si>
    <t>b.50mm GM Gate valves</t>
  </si>
  <si>
    <t>c.32mm GM Gate valves</t>
  </si>
  <si>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</si>
  <si>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</si>
  <si>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</si>
  <si>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t>Supplying and laying of 3.5 core 120 sq.mm PVC armoured LTUG cable (below GL) SD-207</t>
  </si>
  <si>
    <t>S&amp;F 3.5 X 120mm LTUG CABLE Above GL</t>
  </si>
  <si>
    <t>S&amp;F 3.5 X70mm LTUG CABLE Above GL</t>
  </si>
  <si>
    <t>S&amp;F 3.5 X 70mm LTUG CABLE below GL</t>
  </si>
  <si>
    <t>S&amp;F 2X6 Sq.mm LTUG CABLE</t>
  </si>
  <si>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</si>
  <si>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end termination</t>
    </r>
    <r>
      <rPr>
        <sz val="18"/>
        <rFont val="Arial"/>
        <family val="2"/>
      </rPr>
      <t xml:space="preserve"> suitable for 3.5 core 70 Sqmm PVC armoured LTUG cable </t>
    </r>
  </si>
  <si>
    <t>FW 1.80 x 1.65 m ( Eight Leaves)</t>
  </si>
  <si>
    <t>1.80 x 1.35 mt.window (Three leaves)</t>
  </si>
  <si>
    <t>KW 1.20 x 1.05 m (Two leaves)</t>
  </si>
  <si>
    <t>1.50 x 1.35 mt.window  (three leaves)</t>
  </si>
  <si>
    <t xml:space="preserve"> 0.75 x 1.35 mt.window  ( single leaf)</t>
  </si>
  <si>
    <t xml:space="preserve">Aluminium window openable 1.35x1.35m (Two leaves)Cochin House </t>
  </si>
  <si>
    <t>Aluminium window openable 1.35x1.05m (Two leaves)</t>
  </si>
  <si>
    <t>Aluminium window openable 1.2x1.35m (Two leaves)</t>
  </si>
  <si>
    <t>Aluminium window openable 1.80 x 1.65 m =2.97m2 FRENCH WINDOW (Reference Data Nagapattinam AR - Ph-xix</t>
  </si>
  <si>
    <t>Supply and fixing of 100 amps TPN sheet double break switch with HRC fuse and neutral on suitable angle iron frame work with MS cable entry boxes and PWD earthing(SR-14-15(p-65)</t>
  </si>
  <si>
    <t>Supply and fixing of 200 amps fuse unit 
SRP-66</t>
  </si>
  <si>
    <t>Supply and fixing of 200 amps TPN switch with HRC fuses sheet steel double break
SRP-65, 3 ©</t>
  </si>
  <si>
    <t>Supply and fixing of 250 amps cubical type panel board</t>
  </si>
  <si>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</si>
  <si>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</si>
  <si>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</si>
  <si>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</si>
  <si>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t>S&amp;F TPN 12 way DB encloser (SR-p-80)</t>
  </si>
  <si>
    <t>S&amp;F TPN 8 way DB encloser 
CER No.178/2013-14</t>
  </si>
  <si>
    <t>S&amp;F TPN 6 way DB encloser
CER No.178/2013-14</t>
  </si>
  <si>
    <t>S&amp;F TPN 4 way DB encloser
CER No.178/2013-14</t>
  </si>
  <si>
    <r>
      <t xml:space="preserve">Supply and fixing of </t>
    </r>
    <r>
      <rPr>
        <b/>
        <sz val="18"/>
        <rFont val="Arial"/>
        <family val="2"/>
      </rPr>
      <t xml:space="preserve">spot light </t>
    </r>
    <r>
      <rPr>
        <sz val="18"/>
        <rFont val="Arial"/>
        <family val="2"/>
      </rPr>
      <t>of approved make and company with ISI CFL bulb  CER No.178/13-14</t>
    </r>
  </si>
  <si>
    <t>S&amp;F OF UPVC  Windows ( Non  Schedule item )</t>
  </si>
  <si>
    <t>a) FW 900 X 2100</t>
  </si>
  <si>
    <t>b) W 1800 X 1650</t>
  </si>
  <si>
    <t>c) W1 1500 X 1650</t>
  </si>
  <si>
    <t>d) W0 2400 X 1650</t>
  </si>
  <si>
    <t>e) W2 1200 X 1650</t>
  </si>
  <si>
    <t>g) FW1 4800 X 2300</t>
  </si>
  <si>
    <t>h) FW2 4200 X 2300</t>
  </si>
  <si>
    <t>S &amp; F of sodium vapour lamp with fitting 250watts</t>
  </si>
  <si>
    <t>Supplying and fixing in position of UPVC Ventilator louvered ventilator  type for all sizes 
 SR 2022-2023 p-66</t>
  </si>
  <si>
    <t>Supplying and fixing in position of UPVC window of casement type( open) for all sizes SR 2022-2023 p-65</t>
  </si>
  <si>
    <t>Supply and fixing of Stainless steel wash hand basin  size :3.75mx0.60m (Qtn)</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</si>
  <si>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</si>
  <si>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Supplying and fixing of solid core flush door shutter of thickness 35mm</t>
  </si>
  <si>
    <t>a) door size 1.80 m x 2.40 (Double leaf)</t>
  </si>
  <si>
    <t>b) door size 1.80 m x 2.10 (Double leaves)</t>
  </si>
  <si>
    <t>c) door size 1.50 m x 2.40 (Double leaf)</t>
  </si>
  <si>
    <t>d).  door size 1.50 m x 2.100 (Double leaves)</t>
  </si>
  <si>
    <t>e). door size 1.200 m x 2.400 (double Leaf)</t>
  </si>
  <si>
    <t>f). door size 1.200m x 2.100 (single leaf)</t>
  </si>
  <si>
    <t>g).  door size 1.000 m x 2.100 (Single Leaf)</t>
  </si>
  <si>
    <t>h).  door size 1.00 m x 2.400 (Single Leaf)</t>
  </si>
  <si>
    <t>i.  door size 0.900 m x 2.100 (Single Leaf)</t>
  </si>
  <si>
    <t>i.  door size 0.750 m x 2.100 (Single Leaf)</t>
  </si>
  <si>
    <t>Providing additional strutting to centering of plain surface.</t>
  </si>
  <si>
    <t>S &amp; F of Granite slab of size 4'x2', 18 to 20mm Thick For kitchen arrangements (jet black) C.M 1:3, 20mm tk</t>
  </si>
  <si>
    <t>S &amp; F of Granite tile of size 2'x 1', 10mm Thick For  (jet black)</t>
  </si>
  <si>
    <t>c. In Third floor</t>
  </si>
  <si>
    <t>Aluminum Louvered ventilators</t>
  </si>
  <si>
    <t>a. 1.35 x 0.60 mt ventilators</t>
  </si>
  <si>
    <t>d. 1.0 x 0.60 mt ventilators</t>
  </si>
  <si>
    <t>a. 0.90 x 0.60 mt ventilators</t>
  </si>
  <si>
    <t>c. 0.75 x 0.60 mt ventilators</t>
  </si>
  <si>
    <t>b. 0.60 x 0.60 mt ventilators</t>
  </si>
  <si>
    <t>MS door of Size 1000 x 2100mm</t>
  </si>
  <si>
    <t>MS door of Size 750 x 1350mm</t>
  </si>
  <si>
    <t xml:space="preserve">Supply &amp; Fixing of MS ventilator of size 
( lockup)
</t>
  </si>
  <si>
    <t>MS Ventilator of Size 1350 x 600mm</t>
  </si>
  <si>
    <t xml:space="preserve"> MS ventilator of size  1200 x 800 mm
</t>
  </si>
  <si>
    <t xml:space="preserve"> MS ventilator of size  1200 x 600 mm
</t>
  </si>
  <si>
    <t xml:space="preserve"> MS ventilator of size  1000 x 800 mm
</t>
  </si>
  <si>
    <t>MS Ventilator of Size 900 x 600mm</t>
  </si>
  <si>
    <t>MS Ventilator of Size 600 x 600mm</t>
  </si>
  <si>
    <t>MS Ventilator of Size 1285 x 600mm</t>
  </si>
  <si>
    <t>Supply and fixing of 19mm dia steam pipe for down rod of fan (SD 106)</t>
  </si>
  <si>
    <t>Supply and fixing of  SS Towel rail (75cm length) CER No.178/13-14</t>
  </si>
  <si>
    <t>Supply and fixing of weld mesh of size 7.5x2.5cmx10gauge</t>
  </si>
  <si>
    <t>Supply and fixing of Chicken mesh</t>
  </si>
  <si>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</si>
  <si>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</si>
  <si>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t xml:space="preserve">S &amp; F of CFL road way lighting luminaries suitable for fixing 36w CFL lamp </t>
  </si>
  <si>
    <t>Prviding Augering  30 cm dia for compound wall (M30)</t>
  </si>
  <si>
    <t>Prviding Augering  30 cm dia for compound wall (M20)</t>
  </si>
  <si>
    <t>Finshing the top of Terrace floor with one course of solar reflective Ceramic tiles with base concrete</t>
  </si>
  <si>
    <t>Finshing the top of Terrace floor with one course of solar reflective Ceramic tiles with OUT base concrete</t>
  </si>
  <si>
    <t>Providing Rajasthan kota stone flooring, C.M 1:3, 20mm tk</t>
  </si>
  <si>
    <t>51. 1</t>
  </si>
  <si>
    <t>HDPE water tank 200 lit capacity with ISI mark</t>
  </si>
  <si>
    <t>UPVC Non Pressure  pipe of SN8 SDR 34
( S 16.5) as per IS 15328/2003</t>
  </si>
  <si>
    <t>a. 110 mm UPVC Non Pressure  pipe</t>
  </si>
  <si>
    <t>b. 160 mm UPVC Non Pressure  pipe</t>
  </si>
  <si>
    <t>a. 110 mm dia PVC bend (TWAD SR 21-22 )</t>
  </si>
  <si>
    <t>b. 160 mm dia PVC bend (TWAD SR 21-22 )</t>
  </si>
  <si>
    <t>a. 110 mm dia PVC Equal tee (TWAD SR 21-22 )</t>
  </si>
  <si>
    <t>b. 160 mm dia PVC Equal tee (TWAD SR 20-21 )</t>
  </si>
  <si>
    <r>
      <t>S &amp; F of Indian Water closet white glazed (Oriya type) of size 580 x 440mm</t>
    </r>
    <r>
      <rPr>
        <b/>
        <sz val="18"/>
        <rFont val="Arial"/>
        <family val="2"/>
      </rPr>
      <t xml:space="preserve"> with PVC SWR grade ' P' or "S' trap   - in G.F.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</si>
  <si>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</si>
  <si>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</si>
  <si>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</si>
  <si>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t>French window  ( SP Perambalur)</t>
  </si>
  <si>
    <t xml:space="preserve">a. FW  (2.1 x 2.0 m ) 3 bay openable </t>
  </si>
  <si>
    <t xml:space="preserve">b.FW 1 (1.80 x 2.0 m )3 bay openable </t>
  </si>
  <si>
    <t xml:space="preserve">c. FW 2  (1.20 x 2.0 m ) 2 bay openable </t>
  </si>
  <si>
    <t xml:space="preserve">d.FW 3 (0.75 x 2.0 m ) Single  bay openable </t>
  </si>
  <si>
    <t>e. FD/ FW  (0.57 x 2.0 m )Single  bay openable</t>
  </si>
  <si>
    <t xml:space="preserve">f. 1.50 x 2.00 mt.window  sankar nagar DSP </t>
  </si>
  <si>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</si>
  <si>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</si>
  <si>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</si>
  <si>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</si>
  <si>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</si>
  <si>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</si>
  <si>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</si>
  <si>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t>Supply and fixing in posistion of 2 ply and four pronged ( Galvanised) 10 guage (barbed wire)</t>
  </si>
  <si>
    <t xml:space="preserve">Supply ,laying &amp; jointing the following pipes as per ASTM D 1785 of schedule 40 with  UPVC Specials </t>
  </si>
  <si>
    <t>c. 20mm dia PVC water supply ASTM pipe (fully consealed in walls)</t>
  </si>
  <si>
    <t>Providing Colour Marble chips of size 10mm and below using 70.20Kgs of cement and 15 cum of Colour Marble chips for every 10 sqm over the existing plastered surface  ( For coastal area)</t>
  </si>
  <si>
    <t>S &amp; F of 15mm dia half turn CP long body tap</t>
  </si>
  <si>
    <t>S &amp; F of 15mm dia half turn CP short body tap</t>
  </si>
  <si>
    <t xml:space="preserve">S &amp; F of MS angle of size 50x 50x 5mm </t>
  </si>
  <si>
    <t>Supplying and laying Granite slab flooring in 
cm 1:3,20mm tk using sathali steel/ grey for Staircase steps</t>
  </si>
  <si>
    <t>1.9.3.1</t>
  </si>
  <si>
    <t>Bored cast sit piles installation of vertical cast in Situ Bored piles of following dia using Standardised concrete  mix M30 Grade) as per nagapattinam data For Coastal area</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</si>
  <si>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</si>
  <si>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</si>
  <si>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</si>
  <si>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</si>
  <si>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r>
      <t>False ceiling with plain gybsum board</t>
    </r>
    <r>
      <rPr>
        <b/>
        <sz val="18"/>
        <rFont val="Arial"/>
        <family val="2"/>
      </rPr>
      <t xml:space="preserve"> (as per PWD SR. rate 2017-18, Anx- VI -It- 154 -a)</t>
    </r>
  </si>
  <si>
    <t>Wiring with 1.5 sqmm PVC insulated single core multi strand fire retardant flexible copper cable with ISI mark confirming IS: 694:1990. (Open wiring)</t>
  </si>
  <si>
    <t>calling bell</t>
  </si>
  <si>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</si>
  <si>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</si>
  <si>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</si>
  <si>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t>Aluminium Partition wall 1/3 5.5mm thick glass &amp; 2/3 Novapan sheet 12mm thick outer top and bottom</t>
  </si>
  <si>
    <t>Supply and fixing of colour matt finish door 15 microns double leaf door ( 1500 x 2100 mm)</t>
  </si>
  <si>
    <t>Supply and fixing of colour matt finish door 15 microns double leaf door ( 1000 x 2100 mm)</t>
  </si>
  <si>
    <t>supplying and fixing of colour matt finish floor tiles of size 12"x12" floor tiles</t>
  </si>
  <si>
    <t>supplying and fixing of colour matt finish floor tiles of size 12"x18" for wall tiles</t>
  </si>
  <si>
    <t>Supply and fixing of 20 Amps DP plug and socket in sheet enclosure with 32 A DP MCB  in Flush with wall with earth connection ( For AC Plug ) Legrand ( MDS) / Hager( L&amp; T) Equivalent/ Superior variety  
Ele SD -140 /2021-2022</t>
  </si>
  <si>
    <t>Supplying nd laying of 1000 x 1000 x 300mm size ms 16 swg powder coated cable terminal box with two compartment with necessary bus bar connected with TNEB etc.,</t>
  </si>
  <si>
    <t>Supplying and fixing of 200 Amps metal clad switch with rewirable fuse units, (Revised PWD SR 18-19Pg.no.80 it-J Part c)</t>
  </si>
  <si>
    <t>Supply and Laying Rubber Moulded Hyraulic Pressed Paver Block 83 mm thick including labour charges for laying etc ( as per DB/1469/2018)</t>
  </si>
  <si>
    <t>Supplying and fixing of 250 Watts Metal halide Flood light etc.,</t>
  </si>
  <si>
    <t>R.C.C.Door frames of size 100 x 75mm with one edge grooves size 't' x 20 mm  ( with out  M20 or M30 grade old  data )</t>
  </si>
  <si>
    <t>Supply and fixing of 9 watts  LED bulb  PWD SR -p115/</t>
  </si>
  <si>
    <t>Supply and fixing of 4' 18 watts  LED  Tube Light</t>
  </si>
  <si>
    <t>Supply and fixing of  Bulk Head fitting suitable for  12W LED Bulb</t>
  </si>
  <si>
    <t>Supply, fiing of 30W LED street light etc.,</t>
  </si>
  <si>
    <r>
      <t>Supply and fixing of 12 watts  LED bulb  (</t>
    </r>
    <r>
      <rPr>
        <b/>
        <sz val="18"/>
        <rFont val="Arial"/>
        <family val="2"/>
      </rPr>
      <t>qtn)</t>
    </r>
  </si>
  <si>
    <t>Supply and fixing of Prepainting G.I. Window/ Ventilator  with Grill( PWDSR-22-23)P-59 it-258</t>
  </si>
  <si>
    <t xml:space="preserve">Providing one coat of Wallputty for new plastered surface </t>
  </si>
  <si>
    <t>Suplly and erection of 125 Amps Capacity floor mounting panel board (Cubical type)</t>
  </si>
  <si>
    <t>Supply &amp; Installtion of 3 star rated Air- Conditioner with copper coil including cost of 3m copper tube and fixing charge etc (PWD SR 2020-21 , P-141)</t>
  </si>
  <si>
    <t>a. 1.5 TR Split Type AC unit</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</si>
  <si>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</si>
  <si>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</si>
  <si>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</si>
  <si>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</si>
  <si>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Aluminium TNPHC Emblem of 18" height</t>
  </si>
  <si>
    <t>Supply and Fixing of 12" Height Aluminium letter s</t>
  </si>
  <si>
    <t>Supply and fixing of 9" Height Aluminium letters</t>
  </si>
  <si>
    <t>Supply and fixing of 20"x5" size plastic foam name plate</t>
  </si>
  <si>
    <t>Supply and fixing of 24"x8" plastic foam name plate with vinyl cutting letter RWH Board</t>
  </si>
  <si>
    <t xml:space="preserve">Supplying and delivery of following materials </t>
  </si>
  <si>
    <t>b). 12mm Nylon rope  (PWD SR 2020-2021 p-105)</t>
  </si>
  <si>
    <t>C). 32MM Dia  HDPE PIPES (PWD SR 2020-2021, Pg No. 104)</t>
  </si>
  <si>
    <t>Labour charges for the erection of submersible pumpset in borewell/openwell   (TWAD SR 2020-21 p-297)</t>
  </si>
  <si>
    <t>Supplying and delivery of MS fabricated DOL panel control board with ISI mark for three phase</t>
  </si>
  <si>
    <t>Supplying and delivery of MS fabricated DOL panel control board 5 HP with ISI mark for three phase (TWAD SR 2019-2020)</t>
  </si>
  <si>
    <t>Supply and laying of PVC insulated PVC insulated
3 core 4 sqmm (SR 2020-2021) flat type copper cable</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</si>
  <si>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</si>
  <si>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</si>
  <si>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</si>
  <si>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</si>
  <si>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</si>
  <si>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laying, fixing and jointing the following UPVC pipes as per ASTM D-1785 of schedule</t>
  </si>
  <si>
    <t>a. 40mm dia UPVC pipes (below Ground level)</t>
  </si>
  <si>
    <t>b. 40mm dia UPVC pipes (above Ground level)</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</si>
  <si>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</si>
  <si>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</si>
  <si>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fixing of DOL starters 3 HP for three phase</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</si>
  <si>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</si>
  <si>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</si>
  <si>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</si>
  <si>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</si>
  <si>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</si>
  <si>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</si>
  <si>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</si>
  <si>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</si>
  <si>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</si>
  <si>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Lift Arrangements</t>
  </si>
  <si>
    <t>Design Engineering Supply, Fabrication, Erection, Testing, commissioning and handling of 13 persons (884 kg) capacity Passenger lift as per the following Technical Specifications (G+4 floor)  (Qtn)</t>
  </si>
  <si>
    <t xml:space="preserve">Design Engineering Supply, Fabrication, Erection, Testing, commissioning and handling of 13 persons (884 kg) capacity Passenger lift as per the following Technical Specifications </t>
  </si>
  <si>
    <t>Fire Fighting Arrangements</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</si>
  <si>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</si>
  <si>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</si>
  <si>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</si>
  <si>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a) 4 C x 16 sq.mm. Aluminum cable for Booster  pumps</t>
  </si>
  <si>
    <t>b)2 C x 2.5 sq.mm Copper armored for Instrumentation</t>
  </si>
  <si>
    <t>c)3 C x 2.5 sq.mm Copper armoured cables For start / stop push buttons</t>
  </si>
  <si>
    <t xml:space="preserve">Supplying,  installing,  testing  and  commissioning  of  C.I.  Non-return  valves  as  per  IS standards.  </t>
  </si>
  <si>
    <t>100 mm Nominal dia</t>
  </si>
  <si>
    <t xml:space="preserve">Supplying, Installing, testing and commissioning CI butterfly valves as per IS standards </t>
  </si>
  <si>
    <t>100mm Nominal dia</t>
  </si>
  <si>
    <t>Supplying,  installing,  testing  and  commissioning  of  Gun  metal  chrome  finished  Ball valves  with fittings of screwed end type. (Zoloto)</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</si>
  <si>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</si>
  <si>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</si>
  <si>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</si>
  <si>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</si>
  <si>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</si>
  <si>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</si>
  <si>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</si>
  <si>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</si>
  <si>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</si>
  <si>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</si>
  <si>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</si>
  <si>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</si>
  <si>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</si>
  <si>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</si>
  <si>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</si>
  <si>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</si>
  <si>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</si>
  <si>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</si>
  <si>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</si>
  <si>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</si>
  <si>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PUBLIC ADDRESS SYSTEM (TWO WAY COMMUNICATION TYPE)</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</si>
  <si>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</si>
  <si>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</si>
  <si>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</si>
  <si>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</si>
  <si>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</si>
  <si>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</si>
  <si>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</si>
  <si>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</si>
  <si>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</si>
  <si>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</si>
  <si>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</si>
  <si>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</si>
  <si>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</si>
  <si>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</si>
  <si>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</si>
  <si>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</si>
  <si>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Provision for approval by CEIG for commissioning the lift</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</si>
  <si>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</si>
  <si>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</si>
  <si>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 xml:space="preserve">Supply,Erection, Commissioning and testing of SOLAR POWER PLANT (Superior variety) - On - GRID System: 175 KWP With various components and Technical Specification as specified here under.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</si>
  <si>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</si>
  <si>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</si>
  <si>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</si>
  <si>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</si>
  <si>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</si>
  <si>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</si>
  <si>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</si>
  <si>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</si>
  <si>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</si>
  <si>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</si>
  <si>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</si>
  <si>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</si>
  <si>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</si>
  <si>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</si>
  <si>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</si>
  <si>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</si>
  <si>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</si>
  <si>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</si>
  <si>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r>
      <t xml:space="preserve">a) Drilline of borewell in upto 60m
</t>
    </r>
    <r>
      <rPr>
        <b/>
        <sz val="18"/>
        <rFont val="Arial"/>
        <family val="2"/>
      </rPr>
      <t>page.No.279 TWAD SR 20-21</t>
    </r>
  </si>
  <si>
    <r>
      <t xml:space="preserve">Drilling of 150mm dia vertical bores </t>
    </r>
    <r>
      <rPr>
        <b/>
        <sz val="18"/>
        <rFont val="Arial"/>
        <family val="2"/>
      </rPr>
      <t xml:space="preserve">in hardrock formation </t>
    </r>
    <r>
      <rPr>
        <sz val="18"/>
        <rFont val="Arial"/>
        <family val="2"/>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</si>
  <si>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t>(a) Drilling of borewell in rock area</t>
  </si>
  <si>
    <t>a) Drilline of borewell in upto 60m</t>
  </si>
  <si>
    <t>Reaming from 150mm dia pilot bore to 300mm dia bore as directed by the departmental officer’s up to 60m depth ending from ground level.</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</si>
  <si>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</si>
  <si>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</si>
  <si>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</si>
  <si>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</si>
  <si>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</si>
  <si>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</si>
  <si>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Hour</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</si>
  <si>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</si>
  <si>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</si>
  <si>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</si>
  <si>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</si>
  <si>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</si>
  <si>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b).40 mm dia UPVC pipes (above)</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</si>
  <si>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</si>
  <si>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</si>
  <si>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</si>
  <si>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</si>
  <si>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</si>
  <si>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</si>
  <si>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</si>
  <si>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</si>
  <si>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</si>
  <si>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Supply and delivery of MS Fabricated DOL panel control board with ISI Mark for single phase wall moulded type Ammeter, voltmeter ON/OFF Switch etc. complete and as directed by the departmental officers. TWAD SR 2020-2021, item.11.3</t>
  </si>
  <si>
    <t xml:space="preserve">Providing Pump Set arrangements </t>
  </si>
  <si>
    <t>Supply and Delivery of 3HP submersible motor Pumpset with ISI mark IS 8034/2002 without Panel Board of  capacity 20LPM X 150m of electric motor pump set with accessories at borewell for Single  phase  operation etc..,all complete</t>
  </si>
  <si>
    <t>Supplying, delivery of DOL panel control board with ISI mark for three phasing  wall moulding type Ammeter, Voltmeter ON/OFF switch etc.,</t>
  </si>
  <si>
    <t>Supplying and delievery of the following dia HDPE pipes of approved make PWD SR 2020-2021</t>
  </si>
  <si>
    <t>a). 40 mm dia HDPE 10 Kg/cm2 pipe</t>
  </si>
  <si>
    <t>Supply and delivery of 12mm thick nylon rope including cost of materials and labour charges etc., complete as directed by the departmental officers.</t>
  </si>
  <si>
    <t>Supply, delivery and fixing of the following dia stainless steel pipe Nipple of approved make (SR.No.32/2020-21)</t>
  </si>
  <si>
    <t>a. 40mm stainless steel pipe nipple (300 x 400)</t>
  </si>
  <si>
    <t>b. 20mm stainless steel pipe nipple.</t>
  </si>
  <si>
    <t xml:space="preserve">Supplying and delivery of following G.I specials &amp; plumbing fittings required for erection of pumpset </t>
  </si>
  <si>
    <t>a. 40mm GM gate valve</t>
  </si>
  <si>
    <t>b. 25mm GM gate valve</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</si>
  <si>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</si>
  <si>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and delivery at site and fixing of SFRC manhole cover with frame with locking arrangement</t>
  </si>
  <si>
    <t>a. 600mm x 600mm</t>
  </si>
  <si>
    <t>b. 300mm x 300mm</t>
  </si>
  <si>
    <t>Supplying and delivery of 9" dia MS Borewell cover for pumpset</t>
  </si>
  <si>
    <t>Supplying and delivery of 50mm dia M.S clamp set for erection of submersible pumpset in wells</t>
  </si>
  <si>
    <t xml:space="preserve">Supply and delivery of Open well Submersible pump set </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</si>
  <si>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</si>
  <si>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delivery and fixing of 15 Amps DOL starter with three phasing preventor with ammeter conforming to IS 13947 with auto restart facility</t>
  </si>
  <si>
    <t xml:space="preserve">Supplying and laying Pvc insulated and sheated 3 CORE 4 Sq.mm flat type copper cable </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</si>
  <si>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</si>
  <si>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</si>
  <si>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</si>
  <si>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</si>
  <si>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</si>
  <si>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</si>
  <si>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</si>
  <si>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</si>
  <si>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</si>
  <si>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</si>
  <si>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</si>
  <si>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</si>
  <si>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</si>
  <si>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</si>
  <si>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Supply of Korean lawn and laying in position etc., all complete and as directed by the departmental officers. (Qtn)</t>
  </si>
  <si>
    <t>Supplying and laying of 83mm thick
Rubber Moulded Hydraulic Pressed Paver Block incl.Cost of Material and Labours Etc., (Data)</t>
  </si>
  <si>
    <t>Open well excavation complying with relevant clauses of T.N.D.S.S. Well sinking and with lead upto 10 metre in Hard granite measured in solid including blasting and stacking - First depth of 2 metre ( SR 2020-2021, P-28)</t>
  </si>
  <si>
    <t>a)Existing Open well (10m to 12m)</t>
  </si>
  <si>
    <t>b)Existing Open well (12m to 14m)</t>
  </si>
  <si>
    <t>c)Existing Open (4m to 6m)</t>
  </si>
  <si>
    <t>d)Existing Open (6m to 8m)</t>
  </si>
  <si>
    <t>Sinking well in loose soils, light black cotton soil, sandy loam and ordinary soil under water including bailing or pumping charges if necessary etc., complete - First depth of 2 metres ( SR 2020-2021, P-28)</t>
  </si>
  <si>
    <t>a)Existing Open well (8m to 10m)</t>
  </si>
  <si>
    <t>b)Existing Open (2m to 4m)</t>
  </si>
  <si>
    <t>Dewatering pump with engine for existing open well [SR, P.168]</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</si>
  <si>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</si>
  <si>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</si>
  <si>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</si>
  <si>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</si>
  <si>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</si>
  <si>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</si>
  <si>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</si>
  <si>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</si>
  <si>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</si>
  <si>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</si>
  <si>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</si>
  <si>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</si>
  <si>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</si>
  <si>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</si>
  <si>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</si>
  <si>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</si>
  <si>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</si>
  <si>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</si>
  <si>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</si>
  <si>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</si>
  <si>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</si>
  <si>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Supplying aud fixing of Aluminium TNPHC Emblem of 30" height (CER.No.110/2020-21)</t>
  </si>
  <si>
    <t>Supplying and 6xing of 12" height Aluminum letters (CER.No.107/2020-21)</t>
  </si>
  <si>
    <t>Supplying and fixing of 6" height Aluminium letters (PWD SR 2020-2021)</t>
  </si>
  <si>
    <t>Supply and fixing of 24" x 8" size plastic foam mane plate with vinyl cutting letter with approved colours etc., complete as directed by the departmental officers (CER.No.107/2020-21)</t>
  </si>
  <si>
    <t>supply and fixing of 20"x 5" size plastic foam name plate with vinyl cutting letter (CER.No.107/2020-21)</t>
  </si>
  <si>
    <t>ELECTRICAL ARRANGEMENTS</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</si>
  <si>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</si>
  <si>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4' 20 W batten : 694
ceiling fixture : 212
2' x 2'  LED :  47
Mirror light :56
ceiling Fan:355
Exhaust Fan : 22
Call bell : 154
Street light : 13
Vide Statement on Distribution of electrical fixtures</t>
  </si>
  <si>
    <t>Staircase point wiring</t>
  </si>
  <si>
    <t>5A  plug point</t>
  </si>
  <si>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Arial"/>
        <family val="2"/>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</si>
  <si>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Arial"/>
        <family val="2"/>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</si>
  <si>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Arial"/>
        <family val="2"/>
      </rPr>
      <t>DATA E</t>
    </r>
  </si>
  <si>
    <r>
      <t xml:space="preserve">Supply and fixing of 32A fuse units on suitable TW board with necessary internal connections for controlling the power plug - </t>
    </r>
    <r>
      <rPr>
        <b/>
        <sz val="16"/>
        <rFont val="Arial"/>
        <family val="2"/>
      </rPr>
      <t>Data F</t>
    </r>
  </si>
  <si>
    <t>Run of mains</t>
  </si>
  <si>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H</t>
    </r>
  </si>
  <si>
    <t>Mts.</t>
  </si>
  <si>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</si>
  <si>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Arial"/>
        <family val="2"/>
      </rPr>
      <t>Data J</t>
    </r>
  </si>
  <si>
    <t>Earthing</t>
  </si>
  <si>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</si>
  <si>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 Data L For computer earthing
</t>
    </r>
  </si>
  <si>
    <r>
      <t xml:space="preserve">Supply and run of 2 of No.8 copper wire for earth connections - </t>
    </r>
    <r>
      <rPr>
        <b/>
        <sz val="18"/>
        <rFont val="Arial"/>
        <family val="2"/>
      </rPr>
      <t>Data M</t>
    </r>
    <r>
      <rPr>
        <sz val="18"/>
        <rFont val="Arial"/>
        <family val="2"/>
      </rPr>
      <t xml:space="preserve"> (CER.No.110/2020-21)</t>
    </r>
  </si>
  <si>
    <r>
      <t xml:space="preserve">Providing and fixing 25mm x 3mm copper strip on surface or in recess for connections as required - </t>
    </r>
    <r>
      <rPr>
        <b/>
        <sz val="18"/>
        <rFont val="Arial"/>
        <family val="2"/>
      </rPr>
      <t>Data N  SD -76</t>
    </r>
  </si>
  <si>
    <t>Providing and fixing 25mm x 6mm copper strip on surface or in recess for connections as required for alternator neutral - Data H (SD - 77)</t>
  </si>
  <si>
    <t xml:space="preserve"> Fans / Luminaires /call bell</t>
  </si>
  <si>
    <r>
      <t xml:space="preserve">Supply and fixing of 1200 mm ( 48") AC celling fan complete with stepped electronic 300 W regulator with 300 mm down rod on the existing clamp ( Orient / Crompton / khaitan make) </t>
    </r>
    <r>
      <rPr>
        <b/>
        <sz val="18"/>
        <rFont val="Arial"/>
        <family val="2"/>
      </rPr>
      <t>DATA -O</t>
    </r>
  </si>
  <si>
    <r>
      <t xml:space="preserve">Supply and fixing of 4' 20 W batten LED fitting with LED bulb  complete with all accessories on wall / ceiling with PVC unsheathed copper leads from terminal to the fitting </t>
    </r>
    <r>
      <rPr>
        <b/>
        <sz val="18"/>
        <rFont val="Arial"/>
        <family val="2"/>
      </rPr>
      <t>Data P</t>
    </r>
  </si>
  <si>
    <t>Supply and fixing of 2' 10 W batten( mirror light)  LED fitting complete with all accessories on wall / ceiling with PVC unsheathed copper leads from terminal to the fitting Data Q</t>
  </si>
  <si>
    <r>
      <t xml:space="preserve">Supply and fixing of 12 W surface / recess mounted down lighter complete ( ceiling fixture ) with 12 watts LED bulb and necessary connection </t>
    </r>
    <r>
      <rPr>
        <b/>
        <sz val="18"/>
        <rFont val="Arial"/>
        <family val="2"/>
      </rPr>
      <t>Data R</t>
    </r>
  </si>
  <si>
    <r>
      <t xml:space="preserve">Supply and fixing of 2 x 2' square type recessed / surface mounted fitting with 36 W LED bulbs  and with necessary connection </t>
    </r>
    <r>
      <rPr>
        <b/>
        <sz val="18"/>
        <rFont val="Arial"/>
        <family val="2"/>
      </rPr>
      <t xml:space="preserve">Data S </t>
    </r>
  </si>
  <si>
    <r>
      <t xml:space="preserve">supply and fixing of fancy type AC / DC 76 mm buzzer / call bell suitable for 230 volts 50 c/s single phase AC supply on suitable TW board with modular type push switch </t>
    </r>
    <r>
      <rPr>
        <b/>
        <sz val="18"/>
        <rFont val="Arial"/>
        <family val="2"/>
      </rPr>
      <t>Data T</t>
    </r>
  </si>
  <si>
    <t>Exhaust Fan</t>
  </si>
  <si>
    <r>
      <t>Supply and fixing of 300 mm ( 12") sweep
 ( light duty ) AC exhaust fan complete with internal connections in the toilet.</t>
    </r>
    <r>
      <rPr>
        <b/>
        <sz val="18"/>
        <rFont val="Arial"/>
        <family val="2"/>
      </rPr>
      <t>Data U</t>
    </r>
  </si>
  <si>
    <r>
      <t xml:space="preserve">Supply and fixing of 375 mm ( 15") sweep
 light duty / heavy duty AC exhaust fan complete with internal connections in the kitchen. </t>
    </r>
    <r>
      <rPr>
        <b/>
        <sz val="18"/>
        <rFont val="Arial"/>
        <family val="2"/>
      </rPr>
      <t>SD116</t>
    </r>
  </si>
  <si>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</si>
  <si>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</si>
  <si>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a) 150 x 50 mm - Data W</t>
  </si>
  <si>
    <t>b) 300 x 50 mm - Data X</t>
  </si>
  <si>
    <t>LT CABLING AND END TERMINATION</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</si>
  <si>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</si>
  <si>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</si>
  <si>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</si>
  <si>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 xml:space="preserve">a) 3.5 c x 70 sqmm PVC / XLPE LTUG armoured cable
 (Data -U) SD - 225
</t>
  </si>
  <si>
    <t xml:space="preserve">b) 3.5 c x 25 sqmm PVC / XLPE LTUG armoured cable
(Data -V SD-222
</t>
  </si>
  <si>
    <t xml:space="preserve">c) 4 c x 16 sqmm PVC / XLPE LTUG armoured cable(Data -W) SD-221
</t>
  </si>
  <si>
    <t xml:space="preserve">d) 4 c x 10 sqmm PVC / XLPE  LTUG armoured cable(Data - X)
</t>
  </si>
  <si>
    <t>Supply and fixing of brass cable gland for XLPE armoured LTUG cable for following sizes with earth connection.</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</si>
  <si>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</si>
  <si>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</si>
  <si>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</si>
  <si>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</si>
  <si>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</si>
  <si>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Supply and providing cable end termination of following sizes of XLPE armoured LTUG Aluminium cable with necessary aluminium cable sockets by crimping etc. with electrical connection complete.</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</si>
  <si>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</si>
  <si>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</si>
  <si>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</si>
  <si>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</si>
  <si>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</si>
  <si>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Lighting / Power Distribution Board</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</si>
  <si>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</si>
  <si>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Arial"/>
        <family val="2"/>
      </rPr>
      <t xml:space="preserve">
Incoming:   </t>
    </r>
    <r>
      <rPr>
        <sz val="18"/>
        <rFont val="Arial"/>
        <family val="2"/>
      </rPr>
      <t xml:space="preserve">1 No.  63A 10 KA TPN MCB </t>
    </r>
    <r>
      <rPr>
        <b/>
        <sz val="18"/>
        <rFont val="Arial"/>
        <family val="2"/>
      </rPr>
      <t xml:space="preserve">
</t>
    </r>
    <r>
      <rPr>
        <sz val="18"/>
        <rFont val="Arial"/>
        <family val="2"/>
      </rPr>
      <t xml:space="preserve">               3 Nos. 63A 10KA DP MCB and 63 A DP 30MA ELCB
 </t>
    </r>
    <r>
      <rPr>
        <b/>
        <sz val="18"/>
        <rFont val="Arial"/>
        <family val="2"/>
      </rPr>
      <t xml:space="preserve">Outgoing: </t>
    </r>
    <r>
      <rPr>
        <sz val="18"/>
        <rFont val="Arial"/>
        <family val="2"/>
      </rPr>
      <t>18 Nos. 6A / 20A 10KA SP MCB-</t>
    </r>
    <r>
      <rPr>
        <b/>
        <sz val="18"/>
        <rFont val="Arial"/>
        <family val="2"/>
      </rPr>
      <t>DATA -AP</t>
    </r>
  </si>
  <si>
    <t>LIFT SHAFT WIRING</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</si>
  <si>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</si>
  <si>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WT bulk head fitting suitable for 14 W LED lamps and with necessary connections. </t>
    </r>
    <r>
      <rPr>
        <b/>
        <sz val="18"/>
        <rFont val="Arial"/>
        <family val="2"/>
      </rPr>
      <t>(Data AR)</t>
    </r>
  </si>
  <si>
    <r>
      <t>Supply and fixing of 25 mm x 3 mm x 300 mm copper flat on wall in the lift machine room for providing earth connection to the lift machinery</t>
    </r>
    <r>
      <rPr>
        <b/>
        <sz val="18"/>
        <rFont val="Arial"/>
        <family val="2"/>
      </rPr>
      <t>( DATA - AS)</t>
    </r>
  </si>
  <si>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</si>
  <si>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</si>
  <si>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r>
      <t xml:space="preserve">40 A TPN 10 kA MCB - </t>
    </r>
    <r>
      <rPr>
        <b/>
        <sz val="18"/>
        <rFont val="Arial"/>
        <family val="2"/>
      </rPr>
      <t>Data AT</t>
    </r>
  </si>
  <si>
    <r>
      <t xml:space="preserve">10/20/32A DP 10 KA MCB - </t>
    </r>
    <r>
      <rPr>
        <b/>
        <sz val="18"/>
        <rFont val="Arial"/>
        <family val="2"/>
      </rPr>
      <t>Data AU</t>
    </r>
  </si>
  <si>
    <r>
      <t xml:space="preserve">63A TPN 10 KA MCB - </t>
    </r>
    <r>
      <rPr>
        <b/>
        <sz val="18"/>
        <rFont val="Arial"/>
        <family val="2"/>
      </rPr>
      <t>Data AV</t>
    </r>
  </si>
  <si>
    <t>Emergency Lighting</t>
  </si>
  <si>
    <r>
      <t>Supply, Installation, Testing and Commissioning of 2 KVA sinewave single phase inverter with exide tubular battery for 30 minutes backup time with suitable rack / trolly for inverter and batteries.</t>
    </r>
    <r>
      <rPr>
        <b/>
        <sz val="18"/>
        <rFont val="Arial"/>
        <family val="2"/>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</si>
  <si>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Arial"/>
        <family val="2"/>
      </rPr>
      <t>(For emergency light points) DATA AX</t>
    </r>
  </si>
  <si>
    <t>Geysers</t>
  </si>
  <si>
    <r>
      <t>supply and fixing of 1500 W automatic electric water heater of 25 liters capacity suitable for 230 V 50 c/s AC supply on suitable MS clamps with 3 core flex wire, but witrhout plumbing work.</t>
    </r>
    <r>
      <rPr>
        <b/>
        <sz val="18"/>
        <rFont val="Arial"/>
        <family val="2"/>
      </rPr>
      <t xml:space="preserve"> DATA AY</t>
    </r>
  </si>
  <si>
    <t>Panel board</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</si>
  <si>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</si>
  <si>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</si>
  <si>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</si>
  <si>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125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</si>
  <si>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</si>
  <si>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</si>
  <si>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</si>
  <si>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</si>
  <si>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Arial"/>
        <family val="2"/>
      </rPr>
      <t>- Data BB</t>
    </r>
  </si>
  <si>
    <t>supply and fixing of MS box of suitable size for the terrmination of cable with in and out arrangements) and with earth connections. - DATA AV</t>
  </si>
  <si>
    <t>Supply and laying of 25mm PVC rigid pipe concealed in wall and ceiling with necessary junction and openings at required locations for the drawal of communication wire. - Data BE</t>
  </si>
  <si>
    <r>
      <t>Towards Fabrication, supply and installation of  of CT  metering box for availing the power supply from TANGEDCO</t>
    </r>
    <r>
      <rPr>
        <b/>
        <sz val="18"/>
        <rFont val="Arial"/>
        <family val="2"/>
      </rPr>
      <t xml:space="preserve"> CER No.110/2020-2021</t>
    </r>
  </si>
  <si>
    <t>Service connection charges payable to TANGEDCO</t>
  </si>
  <si>
    <t>GENSET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</si>
  <si>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</si>
  <si>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Erection, Testing and commissioning of 62.5KVA Diesel generator set. PWD SR 2020-2021</t>
  </si>
  <si>
    <t>Providing suitable foundation for accomodating the 125 KVA DG set.</t>
  </si>
  <si>
    <t>Job</t>
  </si>
  <si>
    <t>Insulation for the residential silencer (supply of residential silencer to be included under item for DG Sets)</t>
  </si>
  <si>
    <t xml:space="preserve">Insulation for the residential silencer (supply of residential silencer to be included under item for DG Sets)  </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</si>
  <si>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</si>
  <si>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 xml:space="preserve">For block </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</si>
  <si>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</si>
  <si>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</si>
  <si>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</si>
  <si>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</si>
  <si>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</si>
  <si>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</si>
  <si>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</si>
  <si>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job</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</si>
  <si>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</si>
  <si>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</si>
  <si>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</si>
  <si>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a) 3 1/2 x 125 sqmm aluminium cable (Data-A) SD - 211
From DG panel to the common panel</t>
  </si>
  <si>
    <t>3 1/2 x 125 sqmm aluminium cable  SD - 193</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</si>
  <si>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</si>
  <si>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</si>
  <si>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</si>
  <si>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</si>
  <si>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</si>
  <si>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</si>
  <si>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</si>
  <si>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</si>
  <si>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</si>
  <si>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</si>
  <si>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</si>
  <si>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</si>
  <si>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</si>
  <si>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</si>
  <si>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</si>
  <si>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</si>
  <si>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</si>
  <si>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</si>
  <si>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</si>
  <si>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</si>
  <si>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</si>
  <si>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</si>
  <si>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</si>
  <si>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</si>
  <si>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CCTV Camera</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</si>
  <si>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</si>
  <si>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</si>
  <si>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</si>
  <si>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</si>
  <si>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</si>
  <si>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</si>
  <si>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</si>
  <si>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</si>
  <si>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</si>
  <si>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</si>
  <si>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</si>
  <si>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CCTV Arrangements</t>
  </si>
  <si>
    <t xml:space="preserve">Supplying, laying and fixing of 32 mm dia CPVC (Chlorinated Poly Vinyl Chloride) Pipe (Higher pressure rating with higher pipe
thickness) Standard Dimension Ratio–11 abest </t>
  </si>
  <si>
    <t>Fire Fighting and Alarm System</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</si>
  <si>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</si>
  <si>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</si>
  <si>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 xml:space="preserve">Providing ornamental border design for button shape works (9" x9") 25mm thick Projection /Stapay works as per the drawing including cost of materials like cement and labour charge and as directed by the departmental office .,all complete. </t>
  </si>
  <si>
    <t>SOLAR WATER HEATER ARRANGEMENTS</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</si>
  <si>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</si>
  <si>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</si>
  <si>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</si>
  <si>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</si>
  <si>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</si>
  <si>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</si>
  <si>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SOLAR POWER PLANT ARRANGEMENTS</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</si>
  <si>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</si>
  <si>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</si>
  <si>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</si>
  <si>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</si>
  <si>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</si>
  <si>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</si>
  <si>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</si>
  <si>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</si>
  <si>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</si>
  <si>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</si>
  <si>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</si>
  <si>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</si>
  <si>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</si>
  <si>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SEWAGE TREATMENT PLANT - 20KLD WITH 6KLD UF</t>
  </si>
  <si>
    <t>CCTV arrangements (Qtn)</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</si>
  <si>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</si>
  <si>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</si>
  <si>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</si>
  <si>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</si>
  <si>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</si>
  <si>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</si>
  <si>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Lot</t>
  </si>
  <si>
    <t>Pole Mounted including cost of 4 M high GI pole</t>
  </si>
  <si>
    <t>PUBLIC ADDRESS SYSTEM (TWO WAY COMMUNICATION TYPE) (Qtn)</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</si>
  <si>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</si>
  <si>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</si>
  <si>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Set.</t>
  </si>
  <si>
    <t>Supplying, insullation, testing and commissioning approved make CRCA power coated control desk with 1 zone selector, all call / call back facility and goose ncck microphone with stand, power supply unit etc., complete.</t>
  </si>
  <si>
    <t>Unit.</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</si>
  <si>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</si>
  <si>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</si>
  <si>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</si>
  <si>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PA CABLES &amp; ACCESSORIES (Qtn)</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</si>
  <si>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</si>
  <si>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Fire Fighting and Fire Alarm System</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</si>
  <si>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</si>
  <si>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</si>
  <si>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</si>
  <si>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</si>
  <si>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</si>
  <si>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</si>
  <si>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</si>
  <si>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</si>
  <si>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</si>
  <si>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</si>
  <si>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</si>
  <si>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</si>
  <si>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</si>
  <si>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</si>
  <si>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</si>
  <si>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</si>
  <si>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</si>
  <si>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</si>
  <si>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</si>
  <si>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</si>
  <si>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</si>
  <si>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</si>
  <si>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</si>
  <si>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</si>
  <si>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</si>
  <si>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</si>
  <si>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</si>
  <si>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</si>
  <si>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</si>
  <si>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</si>
  <si>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</si>
  <si>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</si>
  <si>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</si>
  <si>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</si>
  <si>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</si>
  <si>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</si>
  <si>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</si>
  <si>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TW double leaves shutter of size 1800 x 2100mm</t>
  </si>
  <si>
    <t>Ornamental TW double leaves panelled shutter of size 1800 x 2100mm</t>
  </si>
  <si>
    <t>Ornamental TW double leaves panelled shutter of size 1800 x 2400mm</t>
  </si>
  <si>
    <t>1500 liters capacity of HDPE Water Tank</t>
  </si>
  <si>
    <t>Providing shahabad stone flooring</t>
  </si>
  <si>
    <t xml:space="preserve">Eurocon Tiles flooring </t>
  </si>
  <si>
    <t>Vetrified Tiles flooring (Ivory)</t>
  </si>
  <si>
    <t xml:space="preserve">kota stone  flooring </t>
  </si>
  <si>
    <t xml:space="preserve">Granite Tiles flooring </t>
  </si>
  <si>
    <t>Plastering with ccccm 1:3, 12mm mixed with WPC</t>
  </si>
  <si>
    <t>HDPE water tank 5000 lit capacity</t>
  </si>
  <si>
    <t>TW Panelled Door 1500 X 2400MM (Double leaves)</t>
  </si>
  <si>
    <t>TW Panelled Door 1200 X 2400MM (Double leaves)</t>
  </si>
  <si>
    <t>TW Panelled Door 1800 X 2400MM (Double leaves)</t>
  </si>
  <si>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</si>
  <si>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</si>
  <si>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t>BWR door 900 x 2400   single leaf</t>
  </si>
  <si>
    <t>BWR door 1050 x 2400   single leaf</t>
  </si>
  <si>
    <t>BWR door 1200 x 2400   double leaves</t>
  </si>
  <si>
    <t>BWR door 1500 x 2400   double leaves</t>
  </si>
  <si>
    <t>450 x 375 x 20 m   thick TW plank</t>
  </si>
  <si>
    <t>40 mm dia GI pipe "B"class</t>
  </si>
  <si>
    <t>MDF 900 x 2100 single</t>
  </si>
  <si>
    <t>MDF 1000 x 2100</t>
  </si>
  <si>
    <t>MDF 1200 x 2100</t>
  </si>
  <si>
    <t>MDF 1500 X 2100MM (Double Leaf)</t>
  </si>
  <si>
    <t>MDF 1200 X 2100MM (Double Leaf)</t>
  </si>
  <si>
    <t>MDF 1500 X 2400MM (Double Leaf)</t>
  </si>
  <si>
    <t>Varnishing one coat</t>
  </si>
  <si>
    <t>Varnishing two coat</t>
  </si>
  <si>
    <t>Red oxide plastering in CM 1:4</t>
  </si>
  <si>
    <t>Under reamed pile (Single)</t>
  </si>
  <si>
    <r>
      <t xml:space="preserve">LIGHT POINT WITH CEILING ROSE FOR </t>
    </r>
    <r>
      <rPr>
        <b/>
        <sz val="18"/>
        <rFont val="Arial"/>
        <family val="2"/>
      </rPr>
      <t>ADMINISTRATIVE BLOCKS A</t>
    </r>
    <r>
      <rPr>
        <sz val="18"/>
        <rFont val="Arial"/>
        <family val="2"/>
      </rPr>
      <t>ND COMMUNITY CENTRE</t>
    </r>
  </si>
  <si>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</si>
  <si>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</si>
  <si>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</si>
  <si>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Supplying and fixing of 32 amps triple pole main switch with fuse and neutral link on a suitable well varnished teak wood board</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</si>
  <si>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</si>
  <si>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</si>
  <si>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</si>
  <si>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</si>
  <si>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</si>
  <si>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</si>
  <si>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t xml:space="preserve">Supply of 40 mm dia GI pipe "B"class </t>
  </si>
  <si>
    <t>S &amp; F TNEB Meter Board made up of MS box 600 x 225 mm with door and lock and key arrangements</t>
  </si>
  <si>
    <t>25 mm dia PVC pipe Heavy duty with ISI mark for TV/ Telephone line</t>
  </si>
  <si>
    <t xml:space="preserve">Supply and erection of Tubular lamp, using 65 mm dia GI pipe 'B' class pipe with ISI mark of 6 mt length and 20 mm dia GI pipe 'B' class upto 2 mt with. </t>
  </si>
  <si>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</si>
  <si>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</si>
  <si>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</si>
  <si>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</si>
  <si>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</si>
  <si>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</si>
  <si>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</si>
  <si>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</si>
  <si>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whitewashing one coat</t>
  </si>
  <si>
    <t>whitewashing one coat for old wall</t>
  </si>
  <si>
    <t>whitewashing two coat for old wall</t>
  </si>
  <si>
    <t>Thorough scrapping the old wall</t>
  </si>
  <si>
    <t>Thorough scrapping the old iron work</t>
  </si>
  <si>
    <t>Thorough scrapping the old wood work</t>
  </si>
  <si>
    <t>Cement paint one coat for old wall</t>
  </si>
  <si>
    <t>Cement paint two coat for old wall</t>
  </si>
  <si>
    <t>painting one coat for old iron work</t>
  </si>
  <si>
    <t>painting two coat for old iron work</t>
  </si>
  <si>
    <t>painting one coat for old wood work</t>
  </si>
  <si>
    <t>painting two coat for old wood work</t>
  </si>
  <si>
    <t>Matt paint one coat for old wall</t>
  </si>
  <si>
    <t>Plastic emulsion paint one coat old wall</t>
  </si>
  <si>
    <t xml:space="preserve">Removing &amp; refixing of door </t>
  </si>
  <si>
    <t>EARTH WORK EXCAVATION  for SDR</t>
  </si>
  <si>
    <t>EARTH WORK EXCAVATION  for open foundationEXCLUDING REFILLING</t>
  </si>
  <si>
    <t>CEMENT CONCRETE PCC (1:2:4) USING</t>
  </si>
  <si>
    <t xml:space="preserve">PROVIDING BITUMEN PAD FOR EXPANISION </t>
  </si>
  <si>
    <t>OF 10mm&amp;BELOW (ELLISPATTERN)</t>
  </si>
  <si>
    <t>WEATHERING COURSE WITH BRICK</t>
  </si>
  <si>
    <t>ANTI-CORROSIVE(COROLOK-CP ( qtn)</t>
  </si>
  <si>
    <t>SUPPLY AND FIXING ALUMINUM TOWEL RAIL OF</t>
  </si>
  <si>
    <t>SUPPLING AND FIXING COAT STAND</t>
  </si>
  <si>
    <t>SUPPLING AND FIXING OF PICTURE HOOKS</t>
  </si>
  <si>
    <t>KERB STONE 450x300x150mm</t>
  </si>
  <si>
    <t>Painting / lettering charges qtn</t>
  </si>
  <si>
    <t>Supplying and concealing TV/Telephone socket with top pin with suitable TW box fully concealed and covered with 3 mm thick Hylem sheet etc., all complete.</t>
  </si>
  <si>
    <t>Clamp fixing by cheche screws bolts and nuts including connections ( as per SD-114, Elec Data 2022-23)</t>
  </si>
  <si>
    <t>Standardised concrete  mix using M 30 Grade concrete in (F&amp;B)</t>
  </si>
  <si>
    <t>BASEMENT  WITH  STONE DUST</t>
  </si>
  <si>
    <t>20mm HBG Machine crushed stone jelly    (7730 Kg)</t>
  </si>
  <si>
    <t>10-12mm HBG Machine crushed stone jelly    (5156 Kg)</t>
  </si>
  <si>
    <t>Sand    (7670 Kg)</t>
  </si>
  <si>
    <t xml:space="preserve"> P.C.C,R.C.C SLAB OF20mm THICK using standardised concrete mix M25</t>
  </si>
  <si>
    <t xml:space="preserve"> P.C.C,R.C.C SLAB OF40mm THICK using standardised concrete mix of M25 grade</t>
  </si>
  <si>
    <t>Satndardised cement Concrtet M30 grade 1:1.5:3 without vibrating charges</t>
  </si>
  <si>
    <t>STYLES(OVER 2M) -2X2X2.3125X0.15X0.0375                                                        = 0.052</t>
  </si>
  <si>
    <t>DOWN FALL PIPE    Type- A  SWR pipe</t>
  </si>
  <si>
    <t>WASHBASIN (White Pedastal type)  22"X16" INCLUDING</t>
  </si>
  <si>
    <t xml:space="preserve">110MM DIA OF PVC SWR PIPE INCLUDING </t>
  </si>
  <si>
    <t xml:space="preserve">75MM DIA OF PVC SWR PIPE INCLUDING </t>
  </si>
  <si>
    <t>Mason IInd class</t>
  </si>
  <si>
    <t>A 300x200x75 mm=0.135m2</t>
  </si>
  <si>
    <t>Supplying and fixing of 15 Amps 3 pin flush type plug socket on suitable MS box of 16g thick concealed and covered with 3 mm thick laminated hylem sheet inclusive of all materials, etc., all complete.</t>
  </si>
  <si>
    <t>Supplying and fixing of 32 amps triple pole main switch with fuse and neutral link on a suitable well varnished teak wood board including necessary interconnection and earth connection cost of all materials, etc., all complete.</t>
  </si>
  <si>
    <t>PAINTING TWO COATS OVER NEW             (as per CER-112/2007-08)</t>
  </si>
  <si>
    <t>PAINTING TWO COATS OVER NEW           (as per PWD Standard Data)</t>
  </si>
  <si>
    <t>Providing wooden MELAMEN DOOR POLISH</t>
  </si>
  <si>
    <t>TOTAL FOR 5.67 SQM</t>
  </si>
  <si>
    <t>COST OF Vertified TILES  qtn</t>
  </si>
  <si>
    <t>COST OF Eurocon TILES (pwd -p 35/17</t>
  </si>
  <si>
    <t>SUPPLY AND FIXING OF E.W.C.   18" SIZE (WHITE)</t>
  </si>
  <si>
    <t>SUPPLY AND FIXING OF E.W.C.   18" SIZE (COLOUR)</t>
  </si>
  <si>
    <t>ONE COAT OF WALL PATTY         CHENNAI CITY</t>
  </si>
  <si>
    <t>S.No</t>
  </si>
  <si>
    <t>L (m)</t>
  </si>
  <si>
    <t>B (m)</t>
  </si>
  <si>
    <t>D (m)</t>
  </si>
  <si>
    <t>Total 
Qty.</t>
  </si>
  <si>
    <t>GENERAL:</t>
  </si>
  <si>
    <t>Supply, installation, testing and commissioning of 62.5 KVA Diesel Generator set complete with all accessories like engine, alternator, batteries with leads  control panel, base frame, antivibration mounts,  residential silencer, 200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</si>
  <si>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SUPPLY:</t>
  </si>
  <si>
    <t>a)  Engine</t>
  </si>
  <si>
    <t xml:space="preserve">The engine shall be of continuous rated, turbo charged, water cooled, electric starting, multi cylinders, 1500 RPM, 4 stroke to be coupled to 62.5 KVA alternator. The engine shall be of radiator water cooled, high tensile strength steel forged crank shaft, induction hardened bearings, alloy cast iron removable wet liner cylinder block, corrosion resistant cylinder heads with supply and return lines and valves, crank shaft actuated injectors with integral fly wheel, ball  type  governor  for  fuel  system, </t>
  </si>
  <si>
    <t>forced feed gear type pump for lubrication, aluminum alloy ring carrier piston with provision for thermal expansion, exhaust gas driven turbocharger for fuel economy and low smoke and noise, heat and corrosion resistant intake and exhaust valves etc. It shall also be fitted with standard components like breather crank case, air filter, coolant filter, oil filter, fuel filter, electronic governor, central pump, panel instruments provided with ammeter, hour meter, water temperature gauge, lubricating oil temperature gauge, lubricating oil pressure</t>
  </si>
  <si>
    <t>gauge,  starting  key  switch,  belt  driven  centrifuged coolant, heavy duty radiator, supports to engine from base frame with pedestal type support in the front and rear, residential silencer, alternator directly coupled to the engine, complete painting, lubricating oil measuring lever, base frame with cushion / antivibration pads, 24 volts electric startic equipment complete with starter motor alternator and batteries with cable etc.</t>
  </si>
  <si>
    <t>b)  Alternator</t>
  </si>
  <si>
    <t>62.5  KVA rated for continuous duty single ended, brush less, self excited, totally enclosed IP 21/22 enclosure, class of insulation H, regulation ± 5%, terminal box suitable for two run of 3.5 core 120 Sq.mm. PVC/XLPE insulated aluminum armoured cable, terminal voltage 415 volts, 50 Hz, 3 phase, 4 wire system, automatic voltage regulator, suitable mounting arrangements and coupling with the base frame and engine etc. and painting in suitable colour.</t>
  </si>
  <si>
    <t xml:space="preserve">c)   Logic Control panel </t>
  </si>
  <si>
    <t>The Control panel shall be made of 14 &amp; 16 SWG sheet steel mounted on a channel frame, floor mounting, free standing, dust proof, cubical type, front operated etc. It shall be provided with 125 A 15 KA TPN MCCB with U/V coil and thermal magnetic realise, current transformers with suitable ratio for metering and protection, earth fault relay, square digital type ammeter (0 – 100A), square digital type voltmeter (0 - 600V), digital type frequency meter, KWH meter, indicating lamps, fuses and also provision for auto start / auto stop, logic modules etc.,</t>
  </si>
  <si>
    <t>The panel shall be equipped with tinned copper bus bars of suitable size, duly provided with heat shrink PVC sleeves mounted on suitable support insulators. Separate bus bars for incoming and outgoing with cable entry at bottom of panel with removable gland plate separately for incoming and outgoing cables, panel lifting hooks, base frame etc.</t>
  </si>
  <si>
    <t>Battery charger comprising of</t>
  </si>
  <si>
    <t>a) Transformer</t>
  </si>
  <si>
    <t>b) Rectifier</t>
  </si>
  <si>
    <t>c) DC Ammeter</t>
  </si>
  <si>
    <t>d) DC Voltmeter</t>
  </si>
  <si>
    <t>e) Charging rate selector</t>
  </si>
  <si>
    <t>f) Circuit Breaker</t>
  </si>
  <si>
    <r>
      <rPr>
        <b/>
        <sz val="11"/>
        <rFont val="Times New Roman"/>
        <family val="1"/>
      </rPr>
      <t>d)</t>
    </r>
    <r>
      <rPr>
        <sz val="11"/>
        <rFont val="Times New Roman"/>
        <family val="1"/>
      </rPr>
      <t xml:space="preserve"> 200 litres fuel oil tank complete with strainer, breather cum filter, drain plug, delivery line with gate valve, fuel level indicator. Hand operated fuel oil pump is to be supplied.</t>
    </r>
  </si>
  <si>
    <r>
      <rPr>
        <b/>
        <sz val="11"/>
        <rFont val="Times New Roman"/>
        <family val="1"/>
      </rPr>
      <t>e)</t>
    </r>
    <r>
      <rPr>
        <sz val="11"/>
        <rFont val="Times New Roman"/>
        <family val="1"/>
      </rPr>
      <t xml:space="preserve"> Acoustic hood for housing the above DG set to be mounted on a concrete platform. The acoustic enclosure shall be of suitable size as per norms prescribed by Central Pollution Control Board (CPCB). The guaranteed noise level shall be of 75 decibals at 1 mtr. distance.</t>
    </r>
  </si>
  <si>
    <r>
      <rPr>
        <sz val="11"/>
        <rFont val="Times New Roman"/>
        <family val="1"/>
      </rPr>
      <t>The enclosure shall be of totally weather, vermin and dust proof to enable the generator to operate at an ambient temperature of 48</t>
    </r>
    <r>
      <rPr>
        <vertAlign val="superscript"/>
        <sz val="11"/>
        <rFont val="Times New Roman"/>
        <family val="1"/>
      </rPr>
      <t>o</t>
    </r>
    <r>
      <rPr>
        <sz val="11"/>
        <rFont val="Times New Roman"/>
        <family val="1"/>
      </rPr>
      <t>C. The outer casing of the container shall be of sheet steel of suitable thickness. The total container shall be of powder coated.</t>
    </r>
  </si>
  <si>
    <r>
      <rPr>
        <b/>
        <sz val="11"/>
        <rFont val="Times New Roman"/>
        <family val="1"/>
      </rPr>
      <t>f)</t>
    </r>
    <r>
      <rPr>
        <sz val="11"/>
        <rFont val="Times New Roman"/>
        <family val="1"/>
      </rPr>
      <t xml:space="preserve"> Supply and laying of MS fuel line connection between fuel tank and the engine with suitable supports</t>
    </r>
  </si>
  <si>
    <r>
      <rPr>
        <b/>
        <sz val="11"/>
        <rFont val="Times New Roman"/>
        <family val="1"/>
      </rPr>
      <t>g)</t>
    </r>
    <r>
      <rPr>
        <sz val="11"/>
        <rFont val="Times New Roman"/>
        <family val="1"/>
      </rPr>
      <t xml:space="preserve"> Supply of residential silencer.</t>
    </r>
  </si>
  <si>
    <r>
      <rPr>
        <b/>
        <sz val="11"/>
        <rFont val="Times New Roman"/>
        <family val="1"/>
      </rPr>
      <t>h)</t>
    </r>
    <r>
      <rPr>
        <sz val="11"/>
        <rFont val="Times New Roman"/>
        <family val="1"/>
      </rPr>
      <t xml:space="preserve"> Mounting of starting bateeries with suitable angle iron frame work support.</t>
    </r>
  </si>
  <si>
    <r>
      <rPr>
        <b/>
        <sz val="11"/>
        <rFont val="Times New Roman"/>
        <family val="1"/>
      </rPr>
      <t>i)</t>
    </r>
    <r>
      <rPr>
        <sz val="11"/>
        <rFont val="Times New Roman"/>
        <family val="1"/>
      </rPr>
      <t xml:space="preserve"> The base frame shall be of fabricated MS channel frame of rigid welded construction for mounting the generator set.</t>
    </r>
  </si>
  <si>
    <r>
      <rPr>
        <b/>
        <sz val="11"/>
        <rFont val="Times New Roman"/>
        <family val="1"/>
      </rPr>
      <t xml:space="preserve">j) </t>
    </r>
    <r>
      <rPr>
        <sz val="11"/>
        <rFont val="Times New Roman"/>
        <family val="1"/>
      </rPr>
      <t xml:space="preserve">Providing ducting for hot air </t>
    </r>
  </si>
  <si>
    <t xml:space="preserve"> Vide TNPWD Electrical schedule of rates for the year 2019-20 item No. XIV PART "N" Clause 4j</t>
  </si>
  <si>
    <t>1 x 1 x 1</t>
  </si>
  <si>
    <t>Erection, Testing and commissioning of 62.5KVA Diesel generator set.</t>
  </si>
  <si>
    <t>Providing suitable foundation for accomodating the 62.5 KVA DG set.</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</si>
  <si>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120 Sq.mm). Necessary rubber gaskets between alternator and cable box shall be provided to avoid vibration between adopter box and alternator.</t>
  </si>
  <si>
    <t>Supply and installation of MS exhaust pipe of suitable thickness with 125mm dia complete with MS wall / ceiling support, etc.</t>
  </si>
  <si>
    <t xml:space="preserve">Preparation of necessary drawings for both DG sets for approval by Chief Electrical Inspector to Government / CEA, obtain approval for the same, arrange for the inspection by the Electrical Inspectorate / CEA Officials and obtain safety certificate from them for commissioning the DG set (This building is fed by HT power supply) </t>
  </si>
  <si>
    <t xml:space="preserve"> Set</t>
  </si>
  <si>
    <t>CABLING AND END TERMINATION:</t>
  </si>
  <si>
    <r>
      <t>a) 3 1/2 x 120 sqmm aluminium cable (</t>
    </r>
    <r>
      <rPr>
        <b/>
        <sz val="11"/>
        <rFont val="Times New Roman"/>
        <family val="1"/>
      </rPr>
      <t xml:space="preserve">Data-A)
</t>
    </r>
    <r>
      <rPr>
        <sz val="11"/>
        <rFont val="Times New Roman"/>
        <family val="1"/>
      </rPr>
      <t>From DG panel to the common panel</t>
    </r>
  </si>
  <si>
    <r>
      <rPr>
        <sz val="11"/>
        <rFont val="Times New Roman"/>
        <family val="1"/>
      </rPr>
      <t xml:space="preserve">a) 3 1/2 x 120 sqmm aluminium cable </t>
    </r>
    <r>
      <rPr>
        <b/>
        <sz val="11"/>
        <rFont val="Times New Roman"/>
        <family val="1"/>
      </rPr>
      <t>(Data-B)</t>
    </r>
  </si>
  <si>
    <r>
      <rPr>
        <sz val="11"/>
        <rFont val="Times New Roman"/>
        <family val="1"/>
      </rPr>
      <t xml:space="preserve">a) 3 1/2 x 120 sqmm aluminium cable </t>
    </r>
    <r>
      <rPr>
        <b/>
        <sz val="11"/>
        <rFont val="Times New Roman"/>
        <family val="1"/>
      </rPr>
      <t>(Data-C)</t>
    </r>
  </si>
  <si>
    <t>EARTHING AND EARTH CONNECTIONS:</t>
  </si>
  <si>
    <r>
      <rPr>
        <sz val="11"/>
        <rFont val="Times New Roman"/>
        <family val="1"/>
      </rPr>
      <t xml:space="preserve">Earthing as per the ISI specification with an earth electrode of 2.1 mt class 'B' GI pipe of dia not less than 40mm, with copper earth plate of size 125mm X 50mm X 6mm, with necessary funneling arrangements with necessary masonry rork and with 38mm RCC cover slab for the brick masonry. </t>
    </r>
    <r>
      <rPr>
        <b/>
        <sz val="11"/>
        <rFont val="Times New Roman"/>
        <family val="1"/>
      </rPr>
      <t>(Data D - SD 233)</t>
    </r>
  </si>
  <si>
    <r>
      <rPr>
        <sz val="12"/>
        <rFont val="Times New Roman"/>
        <family val="1"/>
      </rP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2"/>
        <rFont val="Times New Roman"/>
        <family val="1"/>
      </rPr>
      <t xml:space="preserve"> Data E ( for neutral earthing)</t>
    </r>
  </si>
  <si>
    <t>2 Nos.</t>
  </si>
  <si>
    <r>
      <rPr>
        <sz val="11"/>
        <rFont val="Times New Roman"/>
        <family val="1"/>
      </rPr>
      <t xml:space="preserve">Supply and run of 2 of No.8 tin coated copper for earth connections - </t>
    </r>
    <r>
      <rPr>
        <b/>
        <sz val="11"/>
        <rFont val="Times New Roman"/>
        <family val="1"/>
      </rPr>
      <t xml:space="preserve">Data F </t>
    </r>
  </si>
  <si>
    <r>
      <rPr>
        <sz val="11"/>
        <rFont val="Times New Roman"/>
        <family val="1"/>
      </rPr>
      <t xml:space="preserve">Providing and fixing 25mm x 3mm copper strip on surface or in recess for connections as required - </t>
    </r>
    <r>
      <rPr>
        <b/>
        <sz val="11"/>
        <rFont val="Times New Roman"/>
        <family val="1"/>
      </rPr>
      <t xml:space="preserve">Data G (SD - 76)
</t>
    </r>
    <r>
      <rPr>
        <sz val="11"/>
        <rFont val="Times New Roman"/>
        <family val="1"/>
      </rPr>
      <t>From Earth pit 1 to DG Body - 10mtrs.
From Earth pit 2 to DG Body - 10mtrs.
From Earth pit 3 to Panel       - 10mtrs.
Interlinking all the three        - 10mtrs.</t>
    </r>
  </si>
  <si>
    <r>
      <rPr>
        <sz val="11"/>
        <rFont val="Times New Roman"/>
        <family val="1"/>
      </rPr>
      <t xml:space="preserve">Providing and fixing 25mm x 6mm copper strip on surface or in recess for connections as required for alternator neutral - </t>
    </r>
    <r>
      <rPr>
        <b/>
        <sz val="11"/>
        <rFont val="Times New Roman"/>
        <family val="1"/>
      </rPr>
      <t xml:space="preserve">Data H (SD 77)
</t>
    </r>
    <r>
      <rPr>
        <sz val="11"/>
        <rFont val="Times New Roman"/>
        <family val="1"/>
      </rPr>
      <t>From Plate Earthing 1 to DG Neutral - 10mtrs.
From Plate Earthing 2 to DG Neutral - 10mtrs.
Interlinking all the above                    - 10mtrs.</t>
    </r>
  </si>
  <si>
    <r>
      <rPr>
        <sz val="12"/>
        <rFont val="Times New Roman"/>
        <family val="1"/>
      </rPr>
      <t xml:space="preserve">Supply and clamping of 4 core 2.5 sq. mm PVC sheathed and armoured copper cable from alternator to the proposed DG panel on wall / in the hume pipe with necessary glands and crimping at both ends.  </t>
    </r>
    <r>
      <rPr>
        <b/>
        <sz val="12"/>
        <rFont val="Times New Roman"/>
        <family val="1"/>
      </rPr>
      <t>Data I</t>
    </r>
  </si>
  <si>
    <t>50 Mtrs.</t>
  </si>
  <si>
    <t>Change over Panel</t>
  </si>
  <si>
    <t>Supply and erection of 125  Amps capacity floor mounting panel board (Cubical type) with bus bar chamber made up of 14/16 SWG MS sheet for 3 phase 4 wire system with 25mm x 6 mm tin coated copper flats for phases and 25 mm x 3 mm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</si>
  <si>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r>
      <rPr>
        <sz val="11"/>
        <rFont val="Times New Roman"/>
        <family val="1"/>
      </rPr>
      <t xml:space="preserve">Incomers
2 Nos. 125 A 4 pole 15 KA MCCB including spreader 
withnecessary protective devices.
</t>
    </r>
    <r>
      <rPr>
        <b/>
        <sz val="11"/>
        <rFont val="Times New Roman"/>
        <family val="1"/>
      </rPr>
      <t>Bus Bar:
125  Amps 3 phase 4 wire Copper Bus Bar</t>
    </r>
  </si>
  <si>
    <t>Outgoing    
1 No. 125 A 15 KA MCCB
1 No. 63 A TPN 15 KA MCCB</t>
  </si>
  <si>
    <r>
      <rPr>
        <sz val="11"/>
        <rFont val="Times New Roman"/>
        <family val="1"/>
      </rPr>
      <t>Dummy provision - 1 No.</t>
    </r>
    <r>
      <rPr>
        <b/>
        <sz val="11"/>
        <rFont val="Times New Roman"/>
        <family val="1"/>
      </rPr>
      <t xml:space="preserve"> DATA - J</t>
    </r>
  </si>
  <si>
    <t>SAFETY ACCESSORIES</t>
  </si>
  <si>
    <r>
      <rPr>
        <sz val="12"/>
        <rFont val="Times New Roman"/>
        <family val="1"/>
      </rPr>
      <t xml:space="preserve">a) 2m x 1m Rubber Mat suitable for 11KV installation confirming to IS </t>
    </r>
    <r>
      <rPr>
        <b/>
        <sz val="12"/>
        <rFont val="Times New Roman"/>
        <family val="1"/>
      </rPr>
      <t>(Vide Item 8 Clause b)</t>
    </r>
  </si>
  <si>
    <r>
      <rPr>
        <sz val="12"/>
        <rFont val="Times New Roman"/>
        <family val="1"/>
      </rPr>
      <t xml:space="preserve">b) Shock Treatment Chart fixed in glass frame </t>
    </r>
    <r>
      <rPr>
        <b/>
        <sz val="12"/>
        <rFont val="Times New Roman"/>
        <family val="1"/>
      </rPr>
      <t>(Vide Item 8 Clause d)</t>
    </r>
  </si>
  <si>
    <r>
      <rPr>
        <sz val="12"/>
        <rFont val="Times New Roman"/>
        <family val="1"/>
      </rPr>
      <t xml:space="preserve">c) 4 Nos. Fire Buckets made out of 40 x 40 x 6mm MS Angle </t>
    </r>
    <r>
      <rPr>
        <b/>
        <sz val="12"/>
        <rFont val="Times New Roman"/>
        <family val="1"/>
      </rPr>
      <t>(Vide Item 8 Clause e)</t>
    </r>
  </si>
  <si>
    <r>
      <rPr>
        <sz val="12"/>
        <rFont val="Times New Roman"/>
        <family val="1"/>
      </rPr>
      <t xml:space="preserve">d) Fire Extinguisher Co2, 4.5Kg. Confirming to TAC Norms </t>
    </r>
    <r>
      <rPr>
        <b/>
        <sz val="12"/>
        <rFont val="Times New Roman"/>
        <family val="1"/>
      </rPr>
      <t>(Vide Item 8 Clause h)</t>
    </r>
  </si>
  <si>
    <t>Name of Work :  Construction of New Building with development works for Fire and rescue service station at Manali in Chennai city.</t>
  </si>
  <si>
    <t xml:space="preserve"> Detailed Estimate</t>
  </si>
  <si>
    <t>Description of works</t>
  </si>
  <si>
    <t>Measurements</t>
  </si>
  <si>
    <t>Qty.</t>
  </si>
  <si>
    <t xml:space="preserve">F1 Footings </t>
  </si>
  <si>
    <t xml:space="preserve">F2 Footings </t>
  </si>
  <si>
    <t xml:space="preserve">F3 Footings </t>
  </si>
  <si>
    <t xml:space="preserve">F4 Footings </t>
  </si>
  <si>
    <t>Front side Ramp</t>
  </si>
  <si>
    <t>column c1</t>
  </si>
  <si>
    <t>column c2</t>
  </si>
  <si>
    <t>For Building short wall</t>
  </si>
  <si>
    <t xml:space="preserve">pantry, store,lift stair short wall </t>
  </si>
  <si>
    <t xml:space="preserve">Building long wall rear side </t>
  </si>
  <si>
    <t xml:space="preserve">Add garrage rear </t>
  </si>
  <si>
    <t xml:space="preserve">writer/ watch room s.w </t>
  </si>
  <si>
    <t xml:space="preserve">deduction </t>
  </si>
  <si>
    <t>concrete deduction</t>
  </si>
  <si>
    <t xml:space="preserve">Garrage wall </t>
  </si>
  <si>
    <t xml:space="preserve">mezzanine floor all round </t>
  </si>
  <si>
    <t xml:space="preserve">b/w drivers room &amp; fire rest room </t>
  </si>
  <si>
    <t xml:space="preserve">b/w firemen rest &amp; so, ADFO </t>
  </si>
  <si>
    <t xml:space="preserve">b/w firemen rest &amp; corridor </t>
  </si>
  <si>
    <t>b/w ADFO &amp; SOT</t>
  </si>
  <si>
    <t xml:space="preserve">b/w corridor &amp; toilet area upto stair </t>
  </si>
  <si>
    <t xml:space="preserve">lift wall long wall </t>
  </si>
  <si>
    <t xml:space="preserve">So Room </t>
  </si>
  <si>
    <t xml:space="preserve">Sunken wall b.w </t>
  </si>
  <si>
    <t xml:space="preserve">d/f open sit out area </t>
  </si>
  <si>
    <t xml:space="preserve">d/f FW </t>
  </si>
  <si>
    <t xml:space="preserve">Dfo+ rest room long wall </t>
  </si>
  <si>
    <t xml:space="preserve">Dfo+ rest room short wall </t>
  </si>
  <si>
    <t xml:space="preserve">b/w corridor &amp; meeting room </t>
  </si>
  <si>
    <t xml:space="preserve">b/w ADFO &amp; Store </t>
  </si>
  <si>
    <t xml:space="preserve">b/w meeting &amp; ADFo , store </t>
  </si>
  <si>
    <t xml:space="preserve">ADD corridor end wall at ADFO </t>
  </si>
  <si>
    <t xml:space="preserve">Building allround outer </t>
  </si>
  <si>
    <t xml:space="preserve">inner building short side wall </t>
  </si>
  <si>
    <t xml:space="preserve">b/w confrence &amp; library </t>
  </si>
  <si>
    <t xml:space="preserve">Coridor wall two sides </t>
  </si>
  <si>
    <t>lift wall2 sides</t>
  </si>
  <si>
    <t xml:space="preserve">guest room s.w </t>
  </si>
  <si>
    <t xml:space="preserve">corridor end wall </t>
  </si>
  <si>
    <t xml:space="preserve">Bed sunken wall </t>
  </si>
  <si>
    <t xml:space="preserve">commen toilet sunken </t>
  </si>
  <si>
    <t xml:space="preserve">Bolcony toilet </t>
  </si>
  <si>
    <t xml:space="preserve">Wc wall commen toilet </t>
  </si>
  <si>
    <t>Head Roo &amp; Lift Room alround</t>
  </si>
  <si>
    <t xml:space="preserve">Stair below toilet </t>
  </si>
  <si>
    <t xml:space="preserve">SFO Toilet wall all round </t>
  </si>
  <si>
    <t>d/f TD</t>
  </si>
  <si>
    <t xml:space="preserve">d/f lintel </t>
  </si>
  <si>
    <t xml:space="preserve">ADFO &amp; SO Toilet wall 2 side </t>
  </si>
  <si>
    <t xml:space="preserve">ADFO Rom </t>
  </si>
  <si>
    <t xml:space="preserve">Sot room L.W </t>
  </si>
  <si>
    <t>Commen Toilet wall LS</t>
  </si>
  <si>
    <t>Commen Toilet wall SS</t>
  </si>
  <si>
    <t xml:space="preserve">Wash basin Wall </t>
  </si>
  <si>
    <t xml:space="preserve">D/f TD </t>
  </si>
  <si>
    <t xml:space="preserve">D/f TD lintel </t>
  </si>
  <si>
    <t>D) Second  Floor</t>
  </si>
  <si>
    <t xml:space="preserve">ADFO Toilet wall 2 side </t>
  </si>
  <si>
    <t xml:space="preserve">DFO Rest Room </t>
  </si>
  <si>
    <t>e) Third Floor</t>
  </si>
  <si>
    <t xml:space="preserve">Conference hall toilet </t>
  </si>
  <si>
    <t xml:space="preserve">Guest Room toilet </t>
  </si>
  <si>
    <t xml:space="preserve">Bed Toilet </t>
  </si>
  <si>
    <t xml:space="preserve">dress </t>
  </si>
  <si>
    <t xml:space="preserve">Commen area </t>
  </si>
  <si>
    <t xml:space="preserve">toilet </t>
  </si>
  <si>
    <t xml:space="preserve">D/F TD </t>
  </si>
  <si>
    <t xml:space="preserve">writer room </t>
  </si>
  <si>
    <t xml:space="preserve">Self wall </t>
  </si>
  <si>
    <t xml:space="preserve">Store Room </t>
  </si>
  <si>
    <t xml:space="preserve">Record Room </t>
  </si>
  <si>
    <t xml:space="preserve">pantry platform below </t>
  </si>
  <si>
    <t>b)First Floor  (mezzanine Floor )</t>
  </si>
  <si>
    <t xml:space="preserve">ADFO Room </t>
  </si>
  <si>
    <t xml:space="preserve">SOT </t>
  </si>
  <si>
    <t xml:space="preserve">Firemen Rest Room </t>
  </si>
  <si>
    <t xml:space="preserve">Drivers Room </t>
  </si>
  <si>
    <t xml:space="preserve">Meeting Room </t>
  </si>
  <si>
    <t xml:space="preserve">Confrence Hall </t>
  </si>
  <si>
    <t xml:space="preserve">Library </t>
  </si>
  <si>
    <t xml:space="preserve">Training Class Room </t>
  </si>
  <si>
    <t xml:space="preserve">GYM </t>
  </si>
  <si>
    <t xml:space="preserve">Hall / Dining </t>
  </si>
  <si>
    <t xml:space="preserve">Kitchen </t>
  </si>
  <si>
    <t xml:space="preserve">Bed Room </t>
  </si>
  <si>
    <t>Guest Room 1,2 &amp;3</t>
  </si>
  <si>
    <r>
      <t>I</t>
    </r>
    <r>
      <rPr>
        <vertAlign val="superscript"/>
        <sz val="12"/>
        <rFont val="Times New Roman"/>
        <family val="1"/>
      </rPr>
      <t>st</t>
    </r>
    <r>
      <rPr>
        <sz val="12"/>
        <rFont val="Times New Roman"/>
        <family val="1"/>
      </rPr>
      <t xml:space="preserve"> flight</t>
    </r>
  </si>
  <si>
    <r>
      <t>II</t>
    </r>
    <r>
      <rPr>
        <vertAlign val="superscript"/>
        <sz val="12"/>
        <rFont val="Times New Roman"/>
        <family val="1"/>
      </rPr>
      <t>nd</t>
    </r>
    <r>
      <rPr>
        <sz val="12"/>
        <rFont val="Times New Roman"/>
        <family val="1"/>
      </rPr>
      <t xml:space="preserve"> flight</t>
    </r>
  </si>
  <si>
    <r>
      <t>III</t>
    </r>
    <r>
      <rPr>
        <vertAlign val="superscript"/>
        <sz val="12"/>
        <rFont val="Times New Roman"/>
        <family val="1"/>
      </rPr>
      <t xml:space="preserve">rd </t>
    </r>
    <r>
      <rPr>
        <sz val="12"/>
        <rFont val="Times New Roman"/>
        <family val="1"/>
      </rPr>
      <t>flight</t>
    </r>
  </si>
  <si>
    <r>
      <t>IV</t>
    </r>
    <r>
      <rPr>
        <vertAlign val="superscript"/>
        <sz val="12"/>
        <rFont val="Times New Roman"/>
        <family val="1"/>
      </rPr>
      <t xml:space="preserve">th </t>
    </r>
    <r>
      <rPr>
        <sz val="12"/>
        <rFont val="Times New Roman"/>
        <family val="1"/>
      </rPr>
      <t>flight</t>
    </r>
  </si>
  <si>
    <r>
      <t>V</t>
    </r>
    <r>
      <rPr>
        <vertAlign val="superscript"/>
        <sz val="12"/>
        <rFont val="Times New Roman"/>
        <family val="1"/>
      </rPr>
      <t xml:space="preserve">th </t>
    </r>
    <r>
      <rPr>
        <sz val="12"/>
        <rFont val="Times New Roman"/>
        <family val="1"/>
      </rPr>
      <t>flight</t>
    </r>
  </si>
  <si>
    <r>
      <t>VI</t>
    </r>
    <r>
      <rPr>
        <vertAlign val="superscript"/>
        <sz val="12"/>
        <rFont val="Times New Roman"/>
        <family val="1"/>
      </rPr>
      <t xml:space="preserve">th </t>
    </r>
    <r>
      <rPr>
        <sz val="12"/>
        <rFont val="Times New Roman"/>
        <family val="1"/>
      </rPr>
      <t>flight</t>
    </r>
  </si>
  <si>
    <r>
      <t>VII</t>
    </r>
    <r>
      <rPr>
        <vertAlign val="superscript"/>
        <sz val="12"/>
        <rFont val="Times New Roman"/>
        <family val="1"/>
      </rPr>
      <t xml:space="preserve">th </t>
    </r>
    <r>
      <rPr>
        <sz val="12"/>
        <rFont val="Times New Roman"/>
        <family val="1"/>
      </rPr>
      <t>flight</t>
    </r>
  </si>
  <si>
    <r>
      <t>VIII</t>
    </r>
    <r>
      <rPr>
        <vertAlign val="superscript"/>
        <sz val="12"/>
        <rFont val="Times New Roman"/>
        <family val="1"/>
      </rPr>
      <t xml:space="preserve">th </t>
    </r>
    <r>
      <rPr>
        <sz val="12"/>
        <rFont val="Times New Roman"/>
        <family val="1"/>
      </rPr>
      <t>flight</t>
    </r>
  </si>
  <si>
    <r>
      <rPr>
        <vertAlign val="superscript"/>
        <sz val="12"/>
        <rFont val="Times New Roman"/>
        <family val="1"/>
      </rPr>
      <t xml:space="preserve">IXth </t>
    </r>
    <r>
      <rPr>
        <sz val="12"/>
        <rFont val="Times New Roman"/>
        <family val="1"/>
      </rPr>
      <t>flight</t>
    </r>
  </si>
  <si>
    <r>
      <t>X</t>
    </r>
    <r>
      <rPr>
        <vertAlign val="superscript"/>
        <sz val="12"/>
        <rFont val="Times New Roman"/>
        <family val="1"/>
      </rPr>
      <t xml:space="preserve">th </t>
    </r>
    <r>
      <rPr>
        <sz val="12"/>
        <rFont val="Times New Roman"/>
        <family val="1"/>
      </rPr>
      <t>flight</t>
    </r>
  </si>
  <si>
    <t>Head room</t>
  </si>
  <si>
    <t xml:space="preserve">Pantry </t>
  </si>
  <si>
    <t xml:space="preserve">Stair &amp; Sit Out </t>
  </si>
  <si>
    <t xml:space="preserve">SFO </t>
  </si>
  <si>
    <t xml:space="preserve">Writer / watch room </t>
  </si>
  <si>
    <t xml:space="preserve">Ent &amp; rearsteps </t>
  </si>
  <si>
    <t xml:space="preserve">rear ramp </t>
  </si>
  <si>
    <t xml:space="preserve">Providing  Cuddappah slab of finishing with two sides for cupboard,  ward-robes, shelves , kitchen platform slabs, sink and other similar works including finishing and fixing in position complying    with relevant Standard specifications etc., complete in the following floors (Measurement will be taken including bearing also) as directed by the departmental officers (Quality of Cuddappah slab shall be got approved by the Executive Engineer before fixing.  </t>
  </si>
  <si>
    <t xml:space="preserve">Cuddappah slab 40mm thick </t>
  </si>
  <si>
    <t>TW single leaf door shutters using 9mm tk. Phynol bonded BWR plywood</t>
  </si>
  <si>
    <t>a.100 x 2100mm</t>
  </si>
  <si>
    <t xml:space="preserve">D Door </t>
  </si>
  <si>
    <t>DD</t>
  </si>
  <si>
    <t>Entrance Steps Riser</t>
  </si>
  <si>
    <t>Entrance Steps therd</t>
  </si>
  <si>
    <t xml:space="preserve">Sides </t>
  </si>
  <si>
    <t>.FF&amp; mezzaine Sunkan floor</t>
  </si>
  <si>
    <t>F.F &amp;mezzaine Sunkan All round</t>
  </si>
  <si>
    <t xml:space="preserve">S.F Sunken Floor </t>
  </si>
  <si>
    <t xml:space="preserve">Guest room toilet </t>
  </si>
  <si>
    <t xml:space="preserve">Bed toilet </t>
  </si>
  <si>
    <t xml:space="preserve">Guest room toilet All round </t>
  </si>
  <si>
    <t xml:space="preserve">Bed toilet  All round </t>
  </si>
  <si>
    <t xml:space="preserve">Conference hall toilet  All round </t>
  </si>
  <si>
    <t>Ground Floor +(Garrage )</t>
  </si>
  <si>
    <t xml:space="preserve">Basement alround outer wall inner side </t>
  </si>
  <si>
    <t>inner wall 1 LS</t>
  </si>
  <si>
    <t>inner wall 2  SS</t>
  </si>
  <si>
    <t xml:space="preserve">Service pit alround </t>
  </si>
  <si>
    <t xml:space="preserve">pantry,Record, Store Lift, Sfo&amp; watch at Garrage side </t>
  </si>
  <si>
    <t>pantry al round</t>
  </si>
  <si>
    <t>Record Room alround</t>
  </si>
  <si>
    <t>Store room alround</t>
  </si>
  <si>
    <t xml:space="preserve">Lift </t>
  </si>
  <si>
    <t xml:space="preserve">Stair area all round </t>
  </si>
  <si>
    <t>Toilet @ Stair below</t>
  </si>
  <si>
    <t xml:space="preserve">Weriter &amp; Watch room </t>
  </si>
  <si>
    <t>Garage inspection pit alround</t>
  </si>
  <si>
    <t>Garage Column alround</t>
  </si>
  <si>
    <t>Garage tie beam alround</t>
  </si>
  <si>
    <t>Cupboard Wall</t>
  </si>
  <si>
    <t xml:space="preserve">Add for </t>
  </si>
  <si>
    <t xml:space="preserve">Drivers Room Alround </t>
  </si>
  <si>
    <t>partition wall</t>
  </si>
  <si>
    <t xml:space="preserve">SOT room alround </t>
  </si>
  <si>
    <t>Pasage to ADFO alround</t>
  </si>
  <si>
    <t xml:space="preserve">Corridor alround </t>
  </si>
  <si>
    <t>Toilet area Alround</t>
  </si>
  <si>
    <t xml:space="preserve">Bath wc inner alround </t>
  </si>
  <si>
    <t xml:space="preserve">Lift alround </t>
  </si>
  <si>
    <t>SoT</t>
  </si>
  <si>
    <t xml:space="preserve">First Floor </t>
  </si>
  <si>
    <t xml:space="preserve">DFO Room Alround </t>
  </si>
  <si>
    <t>Restroom Alround</t>
  </si>
  <si>
    <t xml:space="preserve">Toilet alround </t>
  </si>
  <si>
    <t xml:space="preserve">Meeting Room Alround </t>
  </si>
  <si>
    <t>StoreRoom Alround</t>
  </si>
  <si>
    <t xml:space="preserve">ADFO Roo Alround </t>
  </si>
  <si>
    <t xml:space="preserve">Toilet </t>
  </si>
  <si>
    <t xml:space="preserve">Corridor Alround </t>
  </si>
  <si>
    <t xml:space="preserve">Confrence ha;ll Alround </t>
  </si>
  <si>
    <t xml:space="preserve">Toilet alround inner </t>
  </si>
  <si>
    <t>Library alround</t>
  </si>
  <si>
    <t xml:space="preserve">Training Class Room alrund </t>
  </si>
  <si>
    <t xml:space="preserve">GYM Alround </t>
  </si>
  <si>
    <t xml:space="preserve">Hall/ Dining alround </t>
  </si>
  <si>
    <t xml:space="preserve">Bed </t>
  </si>
  <si>
    <t xml:space="preserve">toilet &amp; Dress </t>
  </si>
  <si>
    <t xml:space="preserve">Commen toilet alround </t>
  </si>
  <si>
    <t xml:space="preserve">wc alround </t>
  </si>
  <si>
    <t xml:space="preserve">toilet alround </t>
  </si>
  <si>
    <t xml:space="preserve">balcony </t>
  </si>
  <si>
    <t>guest room 2</t>
  </si>
  <si>
    <t>guest rom 1</t>
  </si>
  <si>
    <t>guest room 3</t>
  </si>
  <si>
    <t xml:space="preserve">lift alround </t>
  </si>
  <si>
    <t xml:space="preserve">corridor alround </t>
  </si>
  <si>
    <t xml:space="preserve">Parapet top </t>
  </si>
  <si>
    <t xml:space="preserve">Head room parapet wall top </t>
  </si>
  <si>
    <t>Total A=</t>
  </si>
  <si>
    <t xml:space="preserve">Low lvl Parapet alrpound in 2nd flor </t>
  </si>
  <si>
    <t xml:space="preserve">Basement alround outer </t>
  </si>
  <si>
    <t xml:space="preserve">Head Room alround </t>
  </si>
  <si>
    <t xml:space="preserve">OHT Alround </t>
  </si>
  <si>
    <t>Parapet inneer alround</t>
  </si>
  <si>
    <t xml:space="preserve">Hed room parapet inner </t>
  </si>
  <si>
    <t>Ramp wall</t>
  </si>
  <si>
    <t xml:space="preserve">Garrage open </t>
  </si>
  <si>
    <t>D/f   w</t>
  </si>
  <si>
    <t xml:space="preserve">D/f V </t>
  </si>
  <si>
    <t xml:space="preserve">D/f V1 </t>
  </si>
  <si>
    <t xml:space="preserve">d/f Kw </t>
  </si>
  <si>
    <t>D/f GD</t>
  </si>
  <si>
    <t xml:space="preserve">Add jams </t>
  </si>
  <si>
    <t>Total B=</t>
  </si>
  <si>
    <t>Total (A+B)=</t>
  </si>
  <si>
    <t>Wallputty ( one coat)</t>
  </si>
  <si>
    <r>
      <t>Plastering with CM 1:4</t>
    </r>
    <r>
      <rPr>
        <sz val="12"/>
        <rFont val="Times New Roman"/>
        <family val="1"/>
      </rPr>
      <t xml:space="preserve"> (one of cement and four of sand) 12mm thick finished with neat cement including providing band cornice, ceiling cornice, curing, scaffolding etc., complete in all respects and complying with standard specifications.</t>
    </r>
  </si>
  <si>
    <t>Ins chamber inside alround</t>
  </si>
  <si>
    <t>For Stairecase hand rail</t>
  </si>
  <si>
    <t>Top</t>
  </si>
  <si>
    <t>writer/watch room</t>
  </si>
  <si>
    <t>SFO toilet</t>
  </si>
  <si>
    <t>sfo spaace area</t>
  </si>
  <si>
    <t>pantry room</t>
  </si>
  <si>
    <t>record room</t>
  </si>
  <si>
    <t>store room</t>
  </si>
  <si>
    <t>bay</t>
  </si>
  <si>
    <t>bay beam</t>
  </si>
  <si>
    <t>roof cantilever</t>
  </si>
  <si>
    <t>toilet</t>
  </si>
  <si>
    <t>sunshead bottom g.f</t>
  </si>
  <si>
    <t>mezzanine floor</t>
  </si>
  <si>
    <t>firemen rest room</t>
  </si>
  <si>
    <t>ADFO room</t>
  </si>
  <si>
    <t xml:space="preserve">ADFO room </t>
  </si>
  <si>
    <t>sot wash area</t>
  </si>
  <si>
    <t>bath room</t>
  </si>
  <si>
    <t>bath room passage area</t>
  </si>
  <si>
    <t>bath room wash area</t>
  </si>
  <si>
    <t>corridor</t>
  </si>
  <si>
    <t>loft drivers room</t>
  </si>
  <si>
    <t>firemen rest room loft</t>
  </si>
  <si>
    <t>sot room loft</t>
  </si>
  <si>
    <t>c) First floor</t>
  </si>
  <si>
    <t>meeting room</t>
  </si>
  <si>
    <t>ADFO room toilet</t>
  </si>
  <si>
    <t>rest room</t>
  </si>
  <si>
    <t>rest room wash area</t>
  </si>
  <si>
    <t>adfo wash area</t>
  </si>
  <si>
    <t>loft</t>
  </si>
  <si>
    <t>rest room loft</t>
  </si>
  <si>
    <t>store room loft</t>
  </si>
  <si>
    <t>adfo room loft</t>
  </si>
  <si>
    <t>d)second floor</t>
  </si>
  <si>
    <t xml:space="preserve">bed </t>
  </si>
  <si>
    <t>bed toilet</t>
  </si>
  <si>
    <t>bed dress room</t>
  </si>
  <si>
    <t>hall and dine</t>
  </si>
  <si>
    <t>kitchen/pantry</t>
  </si>
  <si>
    <t>gym</t>
  </si>
  <si>
    <t>training class room</t>
  </si>
  <si>
    <t>library</t>
  </si>
  <si>
    <t>conference hall</t>
  </si>
  <si>
    <t>conference hall wash area</t>
  </si>
  <si>
    <t xml:space="preserve"> guest room 1</t>
  </si>
  <si>
    <t>toiet</t>
  </si>
  <si>
    <t>guest  room3</t>
  </si>
  <si>
    <t>balcony</t>
  </si>
  <si>
    <t>wase room</t>
  </si>
  <si>
    <t xml:space="preserve">staircase </t>
  </si>
  <si>
    <t xml:space="preserve">d/f lift </t>
  </si>
  <si>
    <t>add  for sunshed</t>
  </si>
  <si>
    <t>sunshade kw</t>
  </si>
  <si>
    <t>bed loft</t>
  </si>
  <si>
    <t>kitchen loft</t>
  </si>
  <si>
    <t>library loft</t>
  </si>
  <si>
    <t>guest room</t>
  </si>
  <si>
    <t xml:space="preserve">Agt no 36 . Inner plastering </t>
  </si>
  <si>
    <t xml:space="preserve">SQmt </t>
  </si>
  <si>
    <t xml:space="preserve">KW </t>
  </si>
  <si>
    <t>Door D</t>
  </si>
  <si>
    <t>Door DD</t>
  </si>
  <si>
    <t>From Bore to OHT</t>
  </si>
  <si>
    <t xml:space="preserve">For Tank to SO,Adfo,commen toile </t>
  </si>
  <si>
    <t xml:space="preserve">Third Floor Bath room &amp; toilets </t>
  </si>
  <si>
    <t xml:space="preserve">Second floor guest </t>
  </si>
  <si>
    <t>For Tank to SFO Toilet</t>
  </si>
  <si>
    <t>commen toilets</t>
  </si>
  <si>
    <t>S.F guest toilets</t>
  </si>
  <si>
    <t>For Head room &amp; Bath room Terrce</t>
  </si>
  <si>
    <t xml:space="preserve">For Toilet whast line </t>
  </si>
  <si>
    <t xml:space="preserve">Cross line </t>
  </si>
  <si>
    <t xml:space="preserve">Ground floor </t>
  </si>
  <si>
    <t xml:space="preserve">SFO &amp; Toilet </t>
  </si>
  <si>
    <t xml:space="preserve">Writer/ watch </t>
  </si>
  <si>
    <t xml:space="preserve">Mezzanine Floor </t>
  </si>
  <si>
    <t xml:space="preserve">Firemen rest </t>
  </si>
  <si>
    <t xml:space="preserve">ADFO Toilet </t>
  </si>
  <si>
    <t>So</t>
  </si>
  <si>
    <t xml:space="preserve">Commen Toilet </t>
  </si>
  <si>
    <t xml:space="preserve">DFO Rest </t>
  </si>
  <si>
    <t>Store Room</t>
  </si>
  <si>
    <t xml:space="preserve">Commen toilet </t>
  </si>
  <si>
    <t xml:space="preserve">Confrence </t>
  </si>
  <si>
    <t xml:space="preserve">Gym </t>
  </si>
  <si>
    <t xml:space="preserve">Bed&amp;toilet </t>
  </si>
  <si>
    <t xml:space="preserve">Guest room </t>
  </si>
  <si>
    <t>a. 32mm dia</t>
  </si>
  <si>
    <t xml:space="preserve">Class room Toilet </t>
  </si>
  <si>
    <t xml:space="preserve">For Tank Airvent </t>
  </si>
  <si>
    <t>Whast line</t>
  </si>
  <si>
    <t>b. 25mm dia</t>
  </si>
  <si>
    <t xml:space="preserve">Ground Floor </t>
  </si>
  <si>
    <t xml:space="preserve">Garrage </t>
  </si>
  <si>
    <t xml:space="preserve">Mezzanine floor </t>
  </si>
  <si>
    <t xml:space="preserve">Wash </t>
  </si>
  <si>
    <t xml:space="preserve">Rest Room </t>
  </si>
  <si>
    <t xml:space="preserve">Balcony </t>
  </si>
  <si>
    <t xml:space="preserve"> All Toilet</t>
  </si>
  <si>
    <t>SFO, SO, Class room Toilet, terrace wc</t>
  </si>
  <si>
    <r>
      <t>S &amp; F of Indian Water closet white glazed (Oriya type) of size 580 x 440mm</t>
    </r>
    <r>
      <rPr>
        <b/>
        <sz val="18"/>
        <rFont val="Arial"/>
        <family val="2"/>
      </rPr>
      <t xml:space="preserve"> </t>
    </r>
    <r>
      <rPr>
        <b/>
        <sz val="12"/>
        <rFont val="Arial"/>
        <family val="2"/>
      </rPr>
      <t xml:space="preserve">with PVC SWR grade ' P' or "S' trap   - in G.F.  </t>
    </r>
  </si>
  <si>
    <r>
      <t xml:space="preserve">S &amp; F of Indian Water closet white glazed (Oriya type) of size 580 x 440mm </t>
    </r>
    <r>
      <rPr>
        <b/>
        <sz val="18"/>
        <rFont val="Arial"/>
        <family val="2"/>
      </rPr>
      <t xml:space="preserve"> </t>
    </r>
    <r>
      <rPr>
        <b/>
        <sz val="11"/>
        <rFont val="Arial"/>
        <family val="2"/>
      </rPr>
      <t>with PVC SWR grade ' P' or "S' trap</t>
    </r>
    <r>
      <rPr>
        <sz val="11"/>
        <rFont val="Arial"/>
        <family val="2"/>
      </rPr>
      <t xml:space="preserve">- </t>
    </r>
    <r>
      <rPr>
        <b/>
        <sz val="11"/>
        <rFont val="Arial"/>
        <family val="2"/>
      </rPr>
      <t xml:space="preserve">Other than  G.F. </t>
    </r>
    <r>
      <rPr>
        <sz val="11"/>
        <rFont val="Arial"/>
        <family val="2"/>
      </rPr>
      <t xml:space="preserve"> </t>
    </r>
  </si>
  <si>
    <t xml:space="preserve">commen toilet </t>
  </si>
  <si>
    <t>All Toilets</t>
  </si>
  <si>
    <t xml:space="preserve">record Room </t>
  </si>
  <si>
    <t xml:space="preserve">Writer / watch </t>
  </si>
  <si>
    <t xml:space="preserve">Drivers room </t>
  </si>
  <si>
    <t xml:space="preserve">firemen rest room </t>
  </si>
  <si>
    <t xml:space="preserve">ADFO </t>
  </si>
  <si>
    <t xml:space="preserve">SO </t>
  </si>
  <si>
    <t xml:space="preserve">Corridor </t>
  </si>
  <si>
    <t xml:space="preserve">Toilet Area </t>
  </si>
  <si>
    <t xml:space="preserve">passage </t>
  </si>
  <si>
    <t xml:space="preserve">DFO Room </t>
  </si>
  <si>
    <t xml:space="preserve">Meeting room </t>
  </si>
  <si>
    <t xml:space="preserve">Store room </t>
  </si>
  <si>
    <t xml:space="preserve">Adfo </t>
  </si>
  <si>
    <t xml:space="preserve">Corridor  </t>
  </si>
  <si>
    <t xml:space="preserve">Stair area </t>
  </si>
  <si>
    <t xml:space="preserve">Conferene hall </t>
  </si>
  <si>
    <t xml:space="preserve">training class room </t>
  </si>
  <si>
    <t xml:space="preserve">Hall/ Dining </t>
  </si>
  <si>
    <t xml:space="preserve">Guest Room </t>
  </si>
  <si>
    <t>Machine room</t>
  </si>
  <si>
    <t>SO Room</t>
  </si>
  <si>
    <r>
      <t xml:space="preserve">Supplying and fixing of 1 no three phase </t>
    </r>
    <r>
      <rPr>
        <b/>
        <sz val="12"/>
        <rFont val="Times New Roman"/>
        <family val="1"/>
      </rPr>
      <t xml:space="preserve">distribution board </t>
    </r>
    <r>
      <rPr>
        <sz val="12"/>
        <rFont val="Times New Roman"/>
        <family val="1"/>
      </rPr>
      <t xml:space="preserve">with </t>
    </r>
    <r>
      <rPr>
        <b/>
        <sz val="12"/>
        <rFont val="Times New Roman"/>
        <family val="1"/>
      </rPr>
      <t>4 way</t>
    </r>
    <r>
      <rPr>
        <sz val="12"/>
        <rFont val="Times New Roman"/>
        <family val="1"/>
      </rPr>
      <t xml:space="preserve"> per phase 30A / per way with neutral link on suitable well varnished teakwood plank including necessary interconnections and earth connections cost of all materials etc., all complete.</t>
    </r>
  </si>
  <si>
    <t xml:space="preserve">G.F, F.F, S.F&amp; Mezz floor </t>
  </si>
  <si>
    <r>
      <t>Run of main with 2 wires of 1.5 sq.mm.</t>
    </r>
    <r>
      <rPr>
        <sz val="12"/>
        <rFont val="Times New Roman"/>
        <family val="1"/>
      </rPr>
      <t xml:space="preserve"> </t>
    </r>
    <r>
      <rPr>
        <b/>
        <sz val="12"/>
        <rFont val="Times New Roman"/>
        <family val="1"/>
      </rPr>
      <t>PVC insulated single core multi strand fire retardant flexible copper cablewith ISI mark conforming to IS: 694/1990</t>
    </r>
    <r>
      <rPr>
        <sz val="12"/>
        <rFont val="Times New Roman"/>
        <family val="1"/>
      </rPr>
      <t>,1.1 kv grade cable with continuous earth by means of 1.5 sq.mm</t>
    </r>
    <r>
      <rPr>
        <b/>
        <sz val="12"/>
        <rFont val="Times New Roman"/>
        <family val="1"/>
      </rPr>
      <t xml:space="preserve"> PVC insulated single core multi strand fire retardant flexible copper cable with ISI mark conformuing to IS: 694/1990,</t>
    </r>
    <r>
      <rPr>
        <sz val="12"/>
        <rFont val="Times New Roman"/>
        <family val="1"/>
      </rPr>
      <t>1.1. k.v. grade cable in fully concealed   19mm/20mm dia rigid PVC conduit pipe heavy dutywith ISI mark cost of all materials, specials etc., all complete.</t>
    </r>
  </si>
  <si>
    <t>DB to Switch box</t>
  </si>
  <si>
    <t xml:space="preserve">Panel Board </t>
  </si>
  <si>
    <t xml:space="preserve">3 Nos of 32 Amps fuse unit </t>
  </si>
  <si>
    <t>for EB pole</t>
  </si>
  <si>
    <t xml:space="preserve">All Toilet &amp; Pantry kitchen </t>
  </si>
  <si>
    <r>
      <rPr>
        <sz val="11"/>
        <rFont val="Times New Roman"/>
        <family val="1"/>
      </rPr>
      <t>Anticorrosive treatment for window</t>
    </r>
    <r>
      <rPr>
        <b/>
        <sz val="9"/>
        <rFont val="Arial"/>
        <family val="2"/>
      </rPr>
      <t xml:space="preserve"> grills</t>
    </r>
  </si>
  <si>
    <t xml:space="preserve">As per item No. 39 </t>
  </si>
  <si>
    <t>SFO ,watcher and Garage Bay 1 &amp; @ Roof slab @ 3.05 m Lvl</t>
  </si>
  <si>
    <t>Supplying and filling in foundation and basement with filling stone dust in layers of 150 mm thickness well watered, rammed and  consolidated complying with relevant Standard specification including cost of supplying filling stone dust.</t>
  </si>
  <si>
    <t>Front side Ramp sides</t>
  </si>
  <si>
    <t>Garage Flooring sides</t>
  </si>
  <si>
    <t>SFO Toilet rear side bottom</t>
  </si>
  <si>
    <t>JD and Restroom Loft  sides</t>
  </si>
  <si>
    <t>JD and Restroom Loft  bottom</t>
  </si>
  <si>
    <t>Store and office room room Loft sides</t>
  </si>
  <si>
    <t>Store and office room room Loft bottom</t>
  </si>
  <si>
    <t>Headroom grill door sides</t>
  </si>
  <si>
    <t>Headroom grill door bottom</t>
  </si>
  <si>
    <t>Headroom grill door sunshade sides</t>
  </si>
  <si>
    <t>Headroom grill door sunshade bottom</t>
  </si>
  <si>
    <t xml:space="preserve">g. Double Stage Centring </t>
  </si>
  <si>
    <t xml:space="preserve">Garrage Area </t>
  </si>
  <si>
    <t>GF</t>
  </si>
  <si>
    <t>TOILET</t>
  </si>
  <si>
    <t>jambs</t>
  </si>
  <si>
    <t>ADFO Toilet</t>
  </si>
  <si>
    <t>Common toilet</t>
  </si>
  <si>
    <t>corrider</t>
  </si>
  <si>
    <t>attached jambs</t>
  </si>
  <si>
    <t>Rest room Toilet</t>
  </si>
  <si>
    <t>restroom jambs</t>
  </si>
  <si>
    <t>Bed toilet</t>
  </si>
  <si>
    <t>conference hall toilet</t>
  </si>
  <si>
    <t>Guest room 2 toilet</t>
  </si>
  <si>
    <t>guest room 1 toilet</t>
  </si>
  <si>
    <t>common toilet</t>
  </si>
  <si>
    <t>common toilet jams</t>
  </si>
  <si>
    <t>Guest room 2 toilet jams</t>
  </si>
  <si>
    <t>Guest room 1 toilet jams</t>
  </si>
  <si>
    <t>conference hall toilet jams</t>
  </si>
  <si>
    <t>Dressing area</t>
  </si>
  <si>
    <t>Class room Toilet</t>
  </si>
  <si>
    <t>bath area</t>
  </si>
  <si>
    <t>bed dress area</t>
  </si>
  <si>
    <t>cofrence hall toilet</t>
  </si>
  <si>
    <t>guest room toilet</t>
  </si>
  <si>
    <t xml:space="preserve">For fire Station </t>
  </si>
  <si>
    <t>Supply and fixing of 20 Amps DP plug and socket in sheet enclosure with 32 A DP MCB  in Flush with wall with earth connection ( For AC Plug ) Legrand ( MDS) / Hager( L&amp; T) Equivalent/ Superior variety  
Ele SD -140 /2020-2021</t>
  </si>
  <si>
    <t xml:space="preserve">For Station </t>
  </si>
  <si>
    <t xml:space="preserve">For Station alround </t>
  </si>
  <si>
    <r>
      <t xml:space="preserve">Supplying and fixing the following dia PVC (SWR) pipe with ISI mark confirming to IS 13952:1992- type 'B' </t>
    </r>
    <r>
      <rPr>
        <b/>
        <sz val="12"/>
        <rFont val="Times New Roman"/>
        <family val="1"/>
      </rPr>
      <t>for soil line</t>
    </r>
    <r>
      <rPr>
        <sz val="12"/>
        <rFont val="Times New Roman"/>
        <family val="1"/>
      </rPr>
      <t xml:space="preserve"> </t>
    </r>
    <r>
      <rPr>
        <b/>
        <sz val="12"/>
        <rFont val="Times New Roman"/>
        <family val="1"/>
      </rPr>
      <t xml:space="preserve">with </t>
    </r>
    <r>
      <rPr>
        <sz val="12"/>
        <rFont val="Times New Roman"/>
        <family val="1"/>
      </rPr>
      <t>relevant specials confirming to IS 14735 including jointing with seal ring confirming to IS 5382 with leaving a gap about 10mm to allow thermal expansion, fixing the pipes into walls with necessary wooden plug, screws, holding wherever necessary and making good of the dismantled portion with necessary connections to sanitary fittings etc., complete in all respects and as directed by the departmental officers.</t>
    </r>
  </si>
  <si>
    <t>a. 110mm dia</t>
  </si>
  <si>
    <t>Horizontal</t>
  </si>
  <si>
    <t xml:space="preserve">WC </t>
  </si>
  <si>
    <t xml:space="preserve">Gully line </t>
  </si>
  <si>
    <t>b. 75mm dia</t>
  </si>
  <si>
    <t>SO room</t>
  </si>
  <si>
    <t xml:space="preserve">Conference hall </t>
  </si>
  <si>
    <t xml:space="preserve">Training class room </t>
  </si>
  <si>
    <r>
      <t>Run of 2 Wires of 2.5 sqmm</t>
    </r>
    <r>
      <rPr>
        <sz val="12"/>
        <rFont val="Times New Roman"/>
        <family val="1"/>
      </rPr>
      <t xml:space="preserve"> PVC insulated single core multi strand fire retardant flexible copper cable with ISI mark confirming IS: 694:1990.</t>
    </r>
  </si>
  <si>
    <t>From Panel Board to DB 6way</t>
  </si>
  <si>
    <t xml:space="preserve">Stucco Plastering </t>
  </si>
  <si>
    <t>pantry</t>
  </si>
  <si>
    <t xml:space="preserve">Scrting </t>
  </si>
  <si>
    <t>scrting</t>
  </si>
  <si>
    <t>sfo</t>
  </si>
  <si>
    <t>writer/watchroom</t>
  </si>
  <si>
    <t>s/c entrance</t>
  </si>
  <si>
    <t>Drivers room</t>
  </si>
  <si>
    <t>adfo</t>
  </si>
  <si>
    <t>so(t)</t>
  </si>
  <si>
    <t>F.Floor</t>
  </si>
  <si>
    <t>Meeting room</t>
  </si>
  <si>
    <t>ADFO</t>
  </si>
  <si>
    <t>BED</t>
  </si>
  <si>
    <t>Hall/Dine</t>
  </si>
  <si>
    <t>GYM</t>
  </si>
  <si>
    <t>Training class room</t>
  </si>
  <si>
    <t>Conference hall</t>
  </si>
  <si>
    <t>Guest room 2</t>
  </si>
  <si>
    <t>Guest room 1</t>
  </si>
  <si>
    <t>s/c entrance room</t>
  </si>
  <si>
    <t>Ground Floor to fourth floor  Floor/Steps</t>
  </si>
  <si>
    <t>W size 1500 X 1350</t>
  </si>
  <si>
    <t>ii.  Door size 1.00 m x 2.100 (Single Leaf)</t>
  </si>
  <si>
    <t xml:space="preserve">Stair entrance </t>
  </si>
  <si>
    <t xml:space="preserve">F.F Corridor </t>
  </si>
  <si>
    <t>passage</t>
  </si>
  <si>
    <t>Terrace  Garrage</t>
  </si>
  <si>
    <t>Terrace</t>
  </si>
  <si>
    <t>Cantiliver area</t>
  </si>
  <si>
    <t xml:space="preserve">Garrage top </t>
  </si>
  <si>
    <t>watch outer</t>
  </si>
  <si>
    <t xml:space="preserve">Supply and erection of 125 Amps capacity floor mounting panel board (Cubical type) </t>
  </si>
  <si>
    <t>Supply and fixing of 80 mm dia GI pipe through the cable for EB service connection</t>
  </si>
  <si>
    <t>For EB Pillar box to Panel Board</t>
  </si>
  <si>
    <t>Supplying 80 mm GI bend</t>
  </si>
  <si>
    <t>For building</t>
  </si>
  <si>
    <t>Supplying 80 mm  Cupling</t>
  </si>
  <si>
    <t xml:space="preserve">Sump </t>
  </si>
  <si>
    <t xml:space="preserve">Septic tank </t>
  </si>
  <si>
    <t>Supplying of Aluminium ladder 15 feet length (Quotation)</t>
  </si>
  <si>
    <t>Supplying and Delivery of "Godraj Navtal" lock 6 lever with three keys (Quotation)</t>
  </si>
  <si>
    <r>
      <t xml:space="preserve">Supplying and fixing of </t>
    </r>
    <r>
      <rPr>
        <b/>
        <sz val="12"/>
        <rFont val="Times New Roman"/>
        <family val="1"/>
      </rPr>
      <t xml:space="preserve">12" Height </t>
    </r>
    <r>
      <rPr>
        <sz val="12"/>
        <rFont val="Times New Roman"/>
        <family val="1"/>
      </rPr>
      <t>Aluminium letters with approved colour power coat in finishing matt including cost of materials, necessary drilling holes, packing cement mortar supporting the letter cement base bolts and fixing charges etc. complete and as directed by the departmental officers.</t>
    </r>
  </si>
  <si>
    <r>
      <t>தீயணைப்பு</t>
    </r>
    <r>
      <rPr>
        <sz val="12"/>
        <rFont val="Times New Roman"/>
        <family val="1"/>
      </rPr>
      <t xml:space="preserve"> </t>
    </r>
    <r>
      <rPr>
        <sz val="12"/>
        <rFont val="Calibri Light"/>
        <family val="2"/>
      </rPr>
      <t>மற்றும்</t>
    </r>
    <r>
      <rPr>
        <sz val="12"/>
        <rFont val="Times New Roman"/>
        <family val="1"/>
      </rPr>
      <t xml:space="preserve"> </t>
    </r>
    <r>
      <rPr>
        <sz val="12"/>
        <rFont val="Calibri Light"/>
        <family val="2"/>
      </rPr>
      <t>மீட்பு</t>
    </r>
    <r>
      <rPr>
        <sz val="12"/>
        <rFont val="Times New Roman"/>
        <family val="1"/>
      </rPr>
      <t xml:space="preserve"> </t>
    </r>
    <r>
      <rPr>
        <sz val="12"/>
        <rFont val="Calibri Light"/>
        <family val="2"/>
      </rPr>
      <t>பணி</t>
    </r>
    <r>
      <rPr>
        <sz val="12"/>
        <rFont val="Times New Roman"/>
        <family val="1"/>
      </rPr>
      <t xml:space="preserve"> </t>
    </r>
    <r>
      <rPr>
        <sz val="12"/>
        <rFont val="Calibri Light"/>
        <family val="2"/>
      </rPr>
      <t>நிலையம்</t>
    </r>
  </si>
  <si>
    <t xml:space="preserve">a. 2TR Split Type AC Unit </t>
  </si>
  <si>
    <t>Barracks 2nd Floor</t>
  </si>
  <si>
    <t>Supply and fixing of MS stand for fixing outdoor unit</t>
  </si>
  <si>
    <t xml:space="preserve">Barracks 2nd Floor AC </t>
  </si>
  <si>
    <t>Supply and fixing of 20 Amps DP plug and socket in sheet enclosure with 32 A DP MCB  in Flush with wall with earth connection ( For AC Plug ) Legrand ( MDS) / Hager( L&amp; T) Equivalent/ Superior variety  
Ele SD -140 /2018-19</t>
  </si>
  <si>
    <t xml:space="preserve">F5 Footings </t>
  </si>
  <si>
    <t>Lift raft</t>
  </si>
  <si>
    <t>Hz Grid H-1 to H-8</t>
  </si>
  <si>
    <t>Hz Grid A-1 to A-10 &amp; D-1  D-10</t>
  </si>
  <si>
    <t>Hz Grid G-8 to G-10</t>
  </si>
  <si>
    <t>Hz Grid J-3 to J-10</t>
  </si>
  <si>
    <t>Grade Beam -GB1 Vertical</t>
  </si>
  <si>
    <t>Grade Beam -GB1 Horizontal</t>
  </si>
  <si>
    <t>V</t>
  </si>
  <si>
    <t>V/EX</t>
  </si>
  <si>
    <t>V1/Ex</t>
  </si>
  <si>
    <t>RV</t>
  </si>
  <si>
    <t>KW</t>
  </si>
  <si>
    <t>SW</t>
  </si>
  <si>
    <t>G.f</t>
  </si>
  <si>
    <t>TD &amp; D2</t>
  </si>
  <si>
    <t xml:space="preserve">Grid A-1 to H-1, A-2 to H-2, </t>
  </si>
  <si>
    <t>Grid A-3 to J-3</t>
  </si>
  <si>
    <t>Grid A-9 to G-9</t>
  </si>
  <si>
    <t>Grid H-8 to J-8</t>
  </si>
  <si>
    <t>column c3</t>
  </si>
  <si>
    <t>column c4</t>
  </si>
  <si>
    <t>column c5</t>
  </si>
  <si>
    <t>column c6</t>
  </si>
  <si>
    <t>column c7</t>
  </si>
  <si>
    <t>column c8</t>
  </si>
  <si>
    <t>B). 2 to 3 mt.</t>
  </si>
  <si>
    <t>b) First Floor</t>
  </si>
  <si>
    <t>IWC</t>
  </si>
  <si>
    <t>EWC</t>
  </si>
  <si>
    <t xml:space="preserve">Wash Basin </t>
  </si>
  <si>
    <t xml:space="preserve">Joinery deduction </t>
  </si>
  <si>
    <t xml:space="preserve">C) First  Floor </t>
  </si>
  <si>
    <t xml:space="preserve">b)First Floor  </t>
  </si>
  <si>
    <t>A/f jams</t>
  </si>
  <si>
    <t>Same Qty as inner plastering</t>
  </si>
  <si>
    <t>HR Grill</t>
  </si>
  <si>
    <t>TF</t>
  </si>
  <si>
    <t>Third</t>
  </si>
  <si>
    <t>Third F;loor</t>
  </si>
  <si>
    <t>V &amp; V/ex size 900X 600</t>
  </si>
  <si>
    <t>V1 &amp; V/ex size 750X 600</t>
  </si>
  <si>
    <t>RV 750X 600</t>
  </si>
  <si>
    <t>W1 2.0 x 1.65</t>
  </si>
  <si>
    <t>KW   1.80  X  1.05</t>
  </si>
  <si>
    <t>SW   1.50  X  1.35</t>
  </si>
  <si>
    <r>
      <t>இந்த</t>
    </r>
    <r>
      <rPr>
        <sz val="11"/>
        <rFont val="Times New Roman"/>
        <family val="1"/>
      </rPr>
      <t xml:space="preserve"> </t>
    </r>
    <r>
      <rPr>
        <sz val="11"/>
        <rFont val="Calibri Light"/>
        <family val="2"/>
      </rPr>
      <t>கட்டிடத்தில்</t>
    </r>
    <r>
      <rPr>
        <sz val="11"/>
        <rFont val="Times New Roman"/>
        <family val="1"/>
      </rPr>
      <t xml:space="preserve">" </t>
    </r>
    <r>
      <rPr>
        <sz val="11"/>
        <rFont val="Calibri Light"/>
        <family val="2"/>
      </rPr>
      <t>மழைநீர்</t>
    </r>
    <r>
      <rPr>
        <sz val="11"/>
        <rFont val="Times New Roman"/>
        <family val="1"/>
      </rPr>
      <t xml:space="preserve"> </t>
    </r>
    <r>
      <rPr>
        <sz val="11"/>
        <rFont val="Calibri Light"/>
        <family val="2"/>
      </rPr>
      <t>சேகரிப்பு</t>
    </r>
    <r>
      <rPr>
        <sz val="11"/>
        <rFont val="Times New Roman"/>
        <family val="1"/>
      </rPr>
      <t xml:space="preserve"> </t>
    </r>
    <r>
      <rPr>
        <sz val="11"/>
        <rFont val="Calibri Light"/>
        <family val="2"/>
      </rPr>
      <t>திட்டம்</t>
    </r>
    <r>
      <rPr>
        <sz val="11"/>
        <rFont val="Times New Roman"/>
        <family val="1"/>
      </rPr>
      <t xml:space="preserve"> "</t>
    </r>
    <r>
      <rPr>
        <sz val="11"/>
        <rFont val="Calibri Light"/>
        <family val="2"/>
      </rPr>
      <t>செயல்படுத்தப்பட்டுள்ளது</t>
    </r>
    <r>
      <rPr>
        <sz val="11"/>
        <rFont val="Times New Roman"/>
        <family val="1"/>
      </rPr>
      <t xml:space="preserve"> </t>
    </r>
  </si>
  <si>
    <r>
      <t xml:space="preserve">Supplying and filling in foundation and basement with </t>
    </r>
    <r>
      <rPr>
        <b/>
        <sz val="12"/>
        <rFont val="Times New Roman"/>
        <family val="1"/>
      </rPr>
      <t xml:space="preserve">Filling C.S Sand </t>
    </r>
    <r>
      <rPr>
        <sz val="12"/>
        <rFont val="Times New Roman"/>
        <family val="1"/>
      </rPr>
      <t>in layers of 150 mm thickness well watered, rammed and consolidated complying with relevant Standard specification including cost of supplying filling sand.</t>
    </r>
  </si>
  <si>
    <t>SS Hand Rail for Staircase</t>
  </si>
  <si>
    <t>f.Fourth Floor</t>
  </si>
  <si>
    <t>e. Third Floor</t>
  </si>
  <si>
    <t xml:space="preserve">c. First Floor </t>
  </si>
  <si>
    <t>Above G.L</t>
  </si>
  <si>
    <t>Below G.L</t>
  </si>
  <si>
    <r>
      <t xml:space="preserve">                           , </t>
    </r>
    <r>
      <rPr>
        <sz val="11"/>
        <rFont val="Calibri Light"/>
        <family val="2"/>
      </rPr>
      <t>சென்னை</t>
    </r>
    <r>
      <rPr>
        <sz val="11"/>
        <rFont val="Times New Roman"/>
        <family val="1"/>
      </rPr>
      <t>.</t>
    </r>
  </si>
  <si>
    <t xml:space="preserve">From bore  to Pump room Wall </t>
  </si>
  <si>
    <t xml:space="preserve">Sunshade top[ &amp; Bottom </t>
  </si>
  <si>
    <t>Supply and delivery of  Single  phase Submersible motor pumpset with ISI mark IS 8034 without panel board of capcity 20LPM x 60m head. (TWAD SR 2022-2023)</t>
  </si>
  <si>
    <t>Supply and delivery of 3 HP Openwell submersible Pumpset 50 LPM x 75 M ((TWAD SR 2022-2023)</t>
  </si>
  <si>
    <t>Supplying and fixing of single phase panel board, DOL with two level guard and auto start for 2 HP (TWAD SR 2022-2023)</t>
  </si>
  <si>
    <t xml:space="preserve">Petty Supervision  &amp; Contigencies charges at 1 % </t>
  </si>
  <si>
    <t>BASEMENT  WITH  FILLING SAND</t>
  </si>
  <si>
    <t>deduct rate for 15mm dia GM wheel valve p -53 /145(v)</t>
  </si>
  <si>
    <t>WASHBASIN 22"X16" INCLUDING</t>
  </si>
  <si>
    <t>Single phase ELCB (ISI 25 Amps 30 MA)P-133  10-a</t>
  </si>
  <si>
    <t>Supply and laying of Hard core layer of 300mm consolidated thickness (10Sqm x .3m thick= 3.0 cum)</t>
  </si>
  <si>
    <t xml:space="preserve">For 3 m3 </t>
  </si>
  <si>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rFont val="Arial"/>
        <family val="2"/>
      </rPr>
      <t>Omex)</t>
    </r>
  </si>
  <si>
    <r>
      <rPr>
        <b/>
        <sz val="18"/>
        <rFont val="Arial"/>
        <family val="2"/>
      </rPr>
      <t xml:space="preserve">Gun metal </t>
    </r>
    <r>
      <rPr>
        <sz val="18"/>
        <rFont val="Arial"/>
        <family val="2"/>
      </rPr>
      <t>short branch pipe with Nozzle.</t>
    </r>
  </si>
  <si>
    <r>
      <t xml:space="preserve">Supply of 12 zone conventional type fire alam panel along with battery back in power failure condition </t>
    </r>
    <r>
      <rPr>
        <b/>
        <sz val="18"/>
        <rFont val="Arial"/>
        <family val="2"/>
      </rPr>
      <t>(RAVEL)</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</si>
  <si>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rFont val="Arial"/>
        <family val="2"/>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</si>
  <si>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rFont val="Arial"/>
        <family val="2"/>
      </rPr>
      <t>P22 -SR.20-21</t>
    </r>
  </si>
  <si>
    <r>
      <t xml:space="preserve">Labour charges for the erection of Submersible pumpset in borewell / openwell </t>
    </r>
    <r>
      <rPr>
        <b/>
        <sz val="18"/>
        <rFont val="Arial"/>
        <family val="2"/>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</si>
  <si>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rFont val="Arial"/>
        <family val="2"/>
      </rPr>
      <t xml:space="preserve"> Data B</t>
    </r>
  </si>
  <si>
    <r>
      <t xml:space="preserve">Supply and fixing of 75 W mid bay LED luminaire on the main portico with necessary internal connections.  (The type of luminaire shall be got approved by the Executive Engineer) -  </t>
    </r>
    <r>
      <rPr>
        <b/>
        <sz val="20"/>
        <rFont val="Times New Roman"/>
        <family val="1"/>
      </rPr>
      <t>Data X</t>
    </r>
  </si>
  <si>
    <t>Sl. No</t>
  </si>
  <si>
    <t>Measurments are in m</t>
  </si>
  <si>
    <r>
      <rPr>
        <b/>
        <sz val="12"/>
        <rFont val="Times New Roman"/>
        <family val="1"/>
      </rPr>
      <t>Earth work excavation</t>
    </r>
    <r>
      <rPr>
        <sz val="12"/>
        <rFont val="Times New Roman"/>
        <family val="1"/>
      </rPr>
      <t xml:space="preserve"> for foundation in all soils and sub-soil to the required depth as may be directed  etc. complete in all respects complying with relevant standard specifications. (Including Refilling)</t>
    </r>
  </si>
  <si>
    <t xml:space="preserve">F2 Footing </t>
  </si>
  <si>
    <t xml:space="preserve">F3 Footing </t>
  </si>
  <si>
    <t xml:space="preserve">F4 Footing </t>
  </si>
  <si>
    <t>Garage Front, Middle , Rear</t>
  </si>
  <si>
    <t>Grade Beam vertical</t>
  </si>
  <si>
    <t>lobby outer beam</t>
  </si>
  <si>
    <t>Stair toe beam</t>
  </si>
  <si>
    <r>
      <rPr>
        <sz val="12"/>
        <rFont val="Times New Roman"/>
        <family val="1"/>
      </rPr>
      <t xml:space="preserve">Supplying and filling in foundation and basement with </t>
    </r>
    <r>
      <rPr>
        <b/>
        <sz val="12"/>
        <rFont val="Times New Roman"/>
        <family val="1"/>
      </rPr>
      <t xml:space="preserve">Filling Stone Dust </t>
    </r>
    <r>
      <rPr>
        <sz val="12"/>
        <rFont val="Times New Roman"/>
        <family val="1"/>
      </rPr>
      <t>in layers of 150 mm thickness well watered, rammed and consolidated complying with relevant Standard specification including cost of supplying filling sand.</t>
    </r>
  </si>
  <si>
    <t>building front &amp; rear side</t>
  </si>
  <si>
    <t>building LHS side</t>
  </si>
  <si>
    <r>
      <rPr>
        <b/>
        <sz val="12"/>
        <rFont val="Times New Roman"/>
        <family val="1"/>
      </rPr>
      <t>Plain cement concrete 1:5:10</t>
    </r>
    <r>
      <rPr>
        <sz val="12"/>
        <rFont val="Times New Roman"/>
        <family val="1"/>
      </rPr>
      <t xml:space="preserve"> (One of cement, five of sand and ten of hard broken stone Jelly) for </t>
    </r>
    <r>
      <rPr>
        <b/>
        <sz val="12"/>
        <rFont val="Times New Roman"/>
        <family val="1"/>
      </rPr>
      <t xml:space="preserve">foundation </t>
    </r>
  </si>
  <si>
    <r>
      <rPr>
        <b/>
        <sz val="12"/>
        <rFont val="Times New Roman"/>
        <family val="1"/>
      </rPr>
      <t>Plain cement concrete 1:2:4</t>
    </r>
    <r>
      <rPr>
        <sz val="12"/>
        <rFont val="Times New Roman"/>
        <family val="1"/>
      </rPr>
      <t xml:space="preserve"> </t>
    </r>
  </si>
  <si>
    <r>
      <rPr>
        <b/>
        <sz val="12"/>
        <rFont val="Times New Roman"/>
        <family val="1"/>
      </rPr>
      <t>Supply and fixing of Bituminous filler pad,</t>
    </r>
    <r>
      <rPr>
        <sz val="12"/>
        <rFont val="Times New Roman"/>
        <family val="1"/>
      </rPr>
      <t xml:space="preserve"> 20 mm tk. for expansion joint</t>
    </r>
  </si>
  <si>
    <r>
      <rPr>
        <sz val="12"/>
        <rFont val="Times New Roman"/>
        <family val="1"/>
      </rPr>
      <t xml:space="preserve">providing Standardised concrete </t>
    </r>
    <r>
      <rPr>
        <b/>
        <sz val="12"/>
        <rFont val="Times New Roman"/>
        <family val="1"/>
      </rPr>
      <t>Mix M30</t>
    </r>
    <r>
      <rPr>
        <sz val="12"/>
        <rFont val="Times New Roman"/>
        <family val="1"/>
      </rPr>
      <t>Grade Concrete for</t>
    </r>
    <r>
      <rPr>
        <b/>
        <sz val="12"/>
        <rFont val="Times New Roman"/>
        <family val="1"/>
      </rPr>
      <t xml:space="preserve"> RCC works </t>
    </r>
    <r>
      <rPr>
        <sz val="12"/>
        <rFont val="Times New Roman"/>
        <family val="1"/>
      </rPr>
      <t xml:space="preserve"> excluding the cost and fabrication of reinforcement grills, shuttering and centering but including vibrating, laying, curing and finishing etc., complying with relevant standard specifications in the following floors.</t>
    </r>
  </si>
  <si>
    <t>add pantry</t>
  </si>
  <si>
    <t xml:space="preserve">flight </t>
  </si>
  <si>
    <t>e.Fifth Floor</t>
  </si>
  <si>
    <t>C1 column headroom</t>
  </si>
  <si>
    <t xml:space="preserve">C2 column oht </t>
  </si>
  <si>
    <r>
      <rPr>
        <sz val="12"/>
        <rFont val="Times New Roman"/>
        <family val="1"/>
      </rPr>
      <t xml:space="preserve">Brick work in cm 1:5 (One of cement and five of sand) using chamber burnt bricks of size 9”x4½”x3” (23x11.4x7.5 cm) in </t>
    </r>
    <r>
      <rPr>
        <b/>
        <sz val="12"/>
        <rFont val="Times New Roman"/>
        <family val="1"/>
      </rPr>
      <t>foundation and basement</t>
    </r>
    <r>
      <rPr>
        <sz val="12"/>
        <rFont val="Times New Roman"/>
        <family val="1"/>
      </rPr>
      <t xml:space="preserve"> including dewatering wherever necessary proper setting, curing etc., complete with relevant standard specifications.</t>
    </r>
  </si>
  <si>
    <r>
      <rPr>
        <b/>
        <sz val="12"/>
        <rFont val="Times New Roman"/>
        <family val="1"/>
      </rPr>
      <t>Brick work in Cement Mortar 1:6</t>
    </r>
    <r>
      <rPr>
        <sz val="12"/>
        <rFont val="Times New Roman"/>
        <family val="1"/>
      </rPr>
      <t xml:space="preserve"> </t>
    </r>
    <r>
      <rPr>
        <b/>
        <sz val="12"/>
        <rFont val="Times New Roman"/>
        <family val="1"/>
      </rPr>
      <t>(23x11.4x 7.5cm)</t>
    </r>
    <r>
      <rPr>
        <sz val="12"/>
        <rFont val="Times New Roman"/>
        <family val="1"/>
      </rPr>
      <t xml:space="preserve"> for super structure in the following floors including labour for fixing the doors, windows and ventilator frames in position, fixing of hold fasts, scaffoldings, curing etc., complete in all respect complying with relevant standard specifications and drawings.</t>
    </r>
  </si>
  <si>
    <t>vertical wall 1</t>
  </si>
  <si>
    <t>vertical wall 2</t>
  </si>
  <si>
    <t>lift wall</t>
  </si>
  <si>
    <t>horizontel wall outer</t>
  </si>
  <si>
    <t>lift</t>
  </si>
  <si>
    <t>D/F D2</t>
  </si>
  <si>
    <t xml:space="preserve">b) First Floor </t>
  </si>
  <si>
    <t>vertical wall</t>
  </si>
  <si>
    <t>``</t>
  </si>
  <si>
    <t>ado room &amp; guest room 1</t>
  </si>
  <si>
    <t>dormitory room</t>
  </si>
  <si>
    <t>df concrete</t>
  </si>
  <si>
    <t xml:space="preserve">e) Fourth Floor </t>
  </si>
  <si>
    <t>f) fifth floor</t>
  </si>
  <si>
    <t>head room wall &amp; lift wall</t>
  </si>
  <si>
    <t xml:space="preserve">head room wall horizontel </t>
  </si>
  <si>
    <t>D/F GD</t>
  </si>
  <si>
    <r>
      <rPr>
        <b/>
        <sz val="12"/>
        <rFont val="Times New Roman"/>
        <family val="1"/>
      </rPr>
      <t>Brick partition wall in Cement Mortar 1:4</t>
    </r>
    <r>
      <rPr>
        <sz val="12"/>
        <rFont val="Times New Roman"/>
        <family val="1"/>
      </rPr>
      <t xml:space="preserve"> (One of cement and four of sand) </t>
    </r>
    <r>
      <rPr>
        <b/>
        <sz val="12"/>
        <rFont val="Times New Roman"/>
        <family val="1"/>
      </rPr>
      <t>114mm</t>
    </r>
    <r>
      <rPr>
        <sz val="12"/>
        <rFont val="Times New Roman"/>
        <family val="1"/>
      </rPr>
      <t xml:space="preserve"> thick for super structure in the following floors using chamber burnt bricks of size 9”x4½”x3” </t>
    </r>
    <r>
      <rPr>
        <b/>
        <sz val="12"/>
        <rFont val="Times New Roman"/>
        <family val="1"/>
      </rPr>
      <t>(23x11.4x7.5cm)</t>
    </r>
    <r>
      <rPr>
        <sz val="12"/>
        <rFont val="Times New Roman"/>
        <family val="1"/>
      </rPr>
      <t xml:space="preserve"> including labour for fixing the doors, windows and ventilator frames in position, fixing of hold fasts, scaffoldings, curing etc., complete in all respect complying with relevant standard specifications and drawings.</t>
    </r>
  </si>
  <si>
    <t>c) First Floor</t>
  </si>
  <si>
    <t>D/f D2</t>
  </si>
  <si>
    <t>d) Second Floor</t>
  </si>
  <si>
    <t>d) Third Floor</t>
  </si>
  <si>
    <t>f)fourth floor</t>
  </si>
  <si>
    <r>
      <rPr>
        <b/>
        <sz val="12"/>
        <rFont val="Times New Roman"/>
        <family val="1"/>
      </rPr>
      <t>Brick partition wall in Cement Mortar 1:4</t>
    </r>
    <r>
      <rPr>
        <sz val="12"/>
        <rFont val="Times New Roman"/>
        <family val="1"/>
      </rPr>
      <t xml:space="preserve"> (One of cement and four of sand) 75</t>
    </r>
    <r>
      <rPr>
        <b/>
        <sz val="12"/>
        <rFont val="Times New Roman"/>
        <family val="1"/>
      </rPr>
      <t>mm</t>
    </r>
    <r>
      <rPr>
        <sz val="12"/>
        <rFont val="Times New Roman"/>
        <family val="1"/>
      </rPr>
      <t xml:space="preserve"> thick for super structure in the following floors using chamber burnt bricks of size 9”x4½”x3” </t>
    </r>
    <r>
      <rPr>
        <b/>
        <sz val="12"/>
        <rFont val="Times New Roman"/>
        <family val="1"/>
      </rPr>
      <t>(23x11.4x7.5cm)</t>
    </r>
    <r>
      <rPr>
        <sz val="12"/>
        <rFont val="Times New Roman"/>
        <family val="1"/>
      </rPr>
      <t xml:space="preserve"> including labour for fixing the doors, windows and ventilator frames in position, fixing of hold fasts, scaffoldings, curing etc., complete in all respect complying with relevant standard specifications and drawings.</t>
    </r>
  </si>
  <si>
    <t>watch room</t>
  </si>
  <si>
    <t>writer room</t>
  </si>
  <si>
    <t>leading fire man room</t>
  </si>
  <si>
    <t>so room</t>
  </si>
  <si>
    <t>sot room</t>
  </si>
  <si>
    <t>driver's room</t>
  </si>
  <si>
    <t>fire man rest room 1</t>
  </si>
  <si>
    <t>so riding room</t>
  </si>
  <si>
    <t>ado riding room</t>
  </si>
  <si>
    <t>guest room 1</t>
  </si>
  <si>
    <t>guest roon 3</t>
  </si>
  <si>
    <t xml:space="preserve">d)Thrid  Floor </t>
  </si>
  <si>
    <t>dfo rest room</t>
  </si>
  <si>
    <t>kitchen</t>
  </si>
  <si>
    <t>recption</t>
  </si>
  <si>
    <r>
      <rPr>
        <sz val="12"/>
        <rFont val="Times New Roman"/>
        <family val="1"/>
      </rPr>
      <t>I</t>
    </r>
    <r>
      <rPr>
        <vertAlign val="superscript"/>
        <sz val="12"/>
        <rFont val="Times New Roman"/>
        <family val="1"/>
      </rPr>
      <t>st</t>
    </r>
    <r>
      <rPr>
        <sz val="12"/>
        <rFont val="Times New Roman"/>
        <family val="1"/>
      </rPr>
      <t xml:space="preserve"> flight</t>
    </r>
  </si>
  <si>
    <r>
      <rPr>
        <sz val="12"/>
        <rFont val="Times New Roman"/>
        <family val="1"/>
      </rPr>
      <t>II</t>
    </r>
    <r>
      <rPr>
        <vertAlign val="superscript"/>
        <sz val="12"/>
        <rFont val="Times New Roman"/>
        <family val="1"/>
      </rPr>
      <t>nd</t>
    </r>
    <r>
      <rPr>
        <sz val="12"/>
        <rFont val="Times New Roman"/>
        <family val="1"/>
      </rPr>
      <t xml:space="preserve"> flight</t>
    </r>
  </si>
  <si>
    <r>
      <rPr>
        <sz val="12"/>
        <rFont val="Times New Roman"/>
        <family val="1"/>
      </rPr>
      <t>III</t>
    </r>
    <r>
      <rPr>
        <vertAlign val="superscript"/>
        <sz val="12"/>
        <rFont val="Times New Roman"/>
        <family val="1"/>
      </rPr>
      <t xml:space="preserve">rd </t>
    </r>
    <r>
      <rPr>
        <sz val="12"/>
        <rFont val="Times New Roman"/>
        <family val="1"/>
      </rPr>
      <t>flight</t>
    </r>
  </si>
  <si>
    <r>
      <rPr>
        <sz val="12"/>
        <rFont val="Times New Roman"/>
        <family val="1"/>
      </rPr>
      <t>IV</t>
    </r>
    <r>
      <rPr>
        <vertAlign val="superscript"/>
        <sz val="12"/>
        <rFont val="Times New Roman"/>
        <family val="1"/>
      </rPr>
      <t xml:space="preserve">th </t>
    </r>
    <r>
      <rPr>
        <sz val="12"/>
        <rFont val="Times New Roman"/>
        <family val="1"/>
      </rPr>
      <t>flight</t>
    </r>
  </si>
  <si>
    <r>
      <rPr>
        <sz val="12"/>
        <rFont val="Times New Roman"/>
        <family val="1"/>
      </rPr>
      <t>V</t>
    </r>
    <r>
      <rPr>
        <vertAlign val="superscript"/>
        <sz val="12"/>
        <rFont val="Times New Roman"/>
        <family val="1"/>
      </rPr>
      <t xml:space="preserve">th </t>
    </r>
    <r>
      <rPr>
        <sz val="12"/>
        <rFont val="Times New Roman"/>
        <family val="1"/>
      </rPr>
      <t>flight</t>
    </r>
  </si>
  <si>
    <r>
      <rPr>
        <sz val="12"/>
        <rFont val="Times New Roman"/>
        <family val="1"/>
      </rPr>
      <t>VI</t>
    </r>
    <r>
      <rPr>
        <vertAlign val="superscript"/>
        <sz val="12"/>
        <rFont val="Times New Roman"/>
        <family val="1"/>
      </rPr>
      <t xml:space="preserve">th </t>
    </r>
    <r>
      <rPr>
        <sz val="12"/>
        <rFont val="Times New Roman"/>
        <family val="1"/>
      </rPr>
      <t>flight</t>
    </r>
  </si>
  <si>
    <r>
      <rPr>
        <sz val="12"/>
        <rFont val="Times New Roman"/>
        <family val="1"/>
      </rPr>
      <t>VII</t>
    </r>
    <r>
      <rPr>
        <vertAlign val="superscript"/>
        <sz val="12"/>
        <rFont val="Times New Roman"/>
        <family val="1"/>
      </rPr>
      <t xml:space="preserve">th </t>
    </r>
    <r>
      <rPr>
        <sz val="12"/>
        <rFont val="Times New Roman"/>
        <family val="1"/>
      </rPr>
      <t>flight</t>
    </r>
  </si>
  <si>
    <r>
      <rPr>
        <sz val="12"/>
        <rFont val="Times New Roman"/>
        <family val="1"/>
      </rPr>
      <t>VIII</t>
    </r>
    <r>
      <rPr>
        <vertAlign val="superscript"/>
        <sz val="12"/>
        <rFont val="Times New Roman"/>
        <family val="1"/>
      </rPr>
      <t xml:space="preserve">th </t>
    </r>
    <r>
      <rPr>
        <sz val="12"/>
        <rFont val="Times New Roman"/>
        <family val="1"/>
      </rPr>
      <t>flight</t>
    </r>
  </si>
  <si>
    <r>
      <rPr>
        <b/>
        <sz val="12"/>
        <rFont val="Times New Roman"/>
        <family val="1"/>
      </rPr>
      <t>Filling</t>
    </r>
    <r>
      <rPr>
        <sz val="12"/>
        <rFont val="Times New Roman"/>
        <family val="1"/>
      </rPr>
      <t xml:space="preserve"> in foundation and basement and other similar works with </t>
    </r>
    <r>
      <rPr>
        <b/>
        <sz val="12"/>
        <rFont val="Times New Roman"/>
        <family val="1"/>
      </rPr>
      <t xml:space="preserve">Excavated earth </t>
    </r>
    <r>
      <rPr>
        <sz val="12"/>
        <rFont val="Times New Roman"/>
        <family val="1"/>
      </rPr>
      <t>in layers of 150mm thick well watered rammed and consolidated complying with relevant standard specification etc., all complete and as directed by the departmental officers.</t>
    </r>
  </si>
  <si>
    <t>Garage filling bay 1 to 5</t>
  </si>
  <si>
    <t>lift entrance</t>
  </si>
  <si>
    <t xml:space="preserve">MD Door </t>
  </si>
  <si>
    <r>
      <rPr>
        <sz val="12"/>
        <rFont val="Times New Roman"/>
        <family val="1"/>
      </rPr>
      <t>Supply and fixing of best approved superior variety</t>
    </r>
    <r>
      <rPr>
        <b/>
        <sz val="12"/>
        <rFont val="Times New Roman"/>
        <family val="1"/>
      </rPr>
      <t xml:space="preserve"> magnetic door catches </t>
    </r>
    <r>
      <rPr>
        <sz val="12"/>
        <rFont val="Times New Roman"/>
        <family val="1"/>
      </rPr>
      <t>suitable for doors including cost of door catches, Aluminium / Stainless steel screws fixing in position etc complete and as directed by the departmental officers. (The quality and brand shall be got approved from the Executive Engineer before use)</t>
    </r>
  </si>
  <si>
    <r>
      <rPr>
        <sz val="12"/>
        <rFont val="Times New Roman"/>
        <family val="1"/>
      </rPr>
      <t xml:space="preserve">Supplying of </t>
    </r>
    <r>
      <rPr>
        <b/>
        <sz val="12"/>
        <rFont val="Times New Roman"/>
        <family val="1"/>
      </rPr>
      <t>mild steel holdfasts</t>
    </r>
    <r>
      <rPr>
        <sz val="12"/>
        <rFont val="Times New Roman"/>
        <family val="1"/>
      </rPr>
      <t xml:space="preserve"> horizontally twisted of size 230x40x4mm with pair of suitable iron screws.</t>
    </r>
  </si>
  <si>
    <t>for door frame alround</t>
  </si>
  <si>
    <r>
      <rPr>
        <b/>
        <sz val="12"/>
        <rFont val="Times New Roman"/>
        <family val="1"/>
      </rPr>
      <t>Flooring</t>
    </r>
    <r>
      <rPr>
        <sz val="12"/>
        <rFont val="Times New Roman"/>
        <family val="1"/>
      </rPr>
      <t xml:space="preserve"> with a bed of CC 1:5:10  (one of cement, five of sand and ten of stone jelly) using 40mm size broken stone jelly and top left rough to receive the floor finish with required slopes including ramming, curing etc., all complete complying with relevant standard specifications.</t>
    </r>
  </si>
  <si>
    <r>
      <rPr>
        <b/>
        <sz val="12"/>
        <rFont val="Times New Roman"/>
        <family val="1"/>
      </rPr>
      <t>Plastering the top of flooring</t>
    </r>
    <r>
      <rPr>
        <sz val="12"/>
        <rFont val="Times New Roman"/>
        <family val="1"/>
      </rPr>
      <t xml:space="preserve"> in cm 1:4 (One of cement and four of sand) 20mm thick including surface rendered smooth including providing proper slopes, thread lining, curing and 150mm wide skirting al-round with the same cement mortar etc., complete in all respects.</t>
    </r>
  </si>
  <si>
    <t>SF Sankan floor</t>
  </si>
  <si>
    <t>TF Sankan floor</t>
  </si>
  <si>
    <t>FF Sankan wall</t>
  </si>
  <si>
    <t>TF Sankan wall</t>
  </si>
  <si>
    <r>
      <rPr>
        <sz val="12"/>
        <rFont val="Times New Roman"/>
        <family val="1"/>
      </rPr>
      <t xml:space="preserve">Finishing the top of flooring with cement concrete 1:3 (One of cement and three of blue granite chips of size 10mm and below) 20 mm thick </t>
    </r>
    <r>
      <rPr>
        <b/>
        <sz val="12"/>
        <rFont val="Times New Roman"/>
        <family val="1"/>
      </rPr>
      <t xml:space="preserve">Ellis Pattern Flooring </t>
    </r>
    <r>
      <rPr>
        <sz val="12"/>
        <rFont val="Times New Roman"/>
        <family val="1"/>
      </rPr>
      <t>(No Sand) and surface rendered smooth including 150mm wide skirting, providing proper slopes, thread lining, curing etc., complete in all floors complying with relevant standard specifications.</t>
    </r>
  </si>
  <si>
    <t>commen toilet</t>
  </si>
  <si>
    <t>commen wc</t>
  </si>
  <si>
    <t>wc area</t>
  </si>
  <si>
    <t>sot room toilet</t>
  </si>
  <si>
    <t>so room toilet</t>
  </si>
  <si>
    <t>first floor</t>
  </si>
  <si>
    <t>so room&amp;ado room&amp;guest room</t>
  </si>
  <si>
    <t>firemen toilet</t>
  </si>
  <si>
    <t>firemen passage area</t>
  </si>
  <si>
    <t>fire men &amp; office wc</t>
  </si>
  <si>
    <t>fire men wc</t>
  </si>
  <si>
    <t>second floor</t>
  </si>
  <si>
    <t>commen toilet passage</t>
  </si>
  <si>
    <t>wc1</t>
  </si>
  <si>
    <t>wc2</t>
  </si>
  <si>
    <t>third floor</t>
  </si>
  <si>
    <r>
      <rPr>
        <b/>
        <sz val="12"/>
        <rFont val="Times New Roman"/>
        <family val="1"/>
      </rPr>
      <t>Plastering with cm 1:5</t>
    </r>
    <r>
      <rPr>
        <sz val="12"/>
        <rFont val="Times New Roman"/>
        <family val="1"/>
      </rPr>
      <t xml:space="preserve"> (One of cement and five of sand) 12mm thick finished with neat cement including providing band cornice, ceiling cornice, curing, scaffolding, etc., complete in all respects and complying with relevant standard specifications.</t>
    </r>
  </si>
  <si>
    <t>Ground Floor (Stilt Floor)</t>
  </si>
  <si>
    <t>fire men restroom1</t>
  </si>
  <si>
    <t>fire men restroom2</t>
  </si>
  <si>
    <t>drivers restroom</t>
  </si>
  <si>
    <t>wc</t>
  </si>
  <si>
    <t>conference room</t>
  </si>
  <si>
    <t>dormitary</t>
  </si>
  <si>
    <t>reception</t>
  </si>
  <si>
    <t>dfo room</t>
  </si>
  <si>
    <t>gallery</t>
  </si>
  <si>
    <t>head room</t>
  </si>
  <si>
    <t>TOTAL A</t>
  </si>
  <si>
    <t>sq.mt</t>
  </si>
  <si>
    <t>Basement alround</t>
  </si>
  <si>
    <t>Outer wall alround Up to third Floor</t>
  </si>
  <si>
    <t>Inner  wall alround  Parapet wall</t>
  </si>
  <si>
    <t>Head room &amp;lift</t>
  </si>
  <si>
    <t>Head room &amp;lift parapet wall outer</t>
  </si>
  <si>
    <t>Head room &amp;lift parapet wall inner</t>
  </si>
  <si>
    <t>Water tank outer wall</t>
  </si>
  <si>
    <t>Water tank Beam</t>
  </si>
  <si>
    <t>TOTAL B</t>
  </si>
  <si>
    <t>A+B</t>
  </si>
  <si>
    <r>
      <rPr>
        <b/>
        <sz val="12"/>
        <rFont val="Times New Roman"/>
        <family val="1"/>
      </rPr>
      <t>Special ceiling plastering</t>
    </r>
    <r>
      <rPr>
        <sz val="12"/>
        <rFont val="Times New Roman"/>
        <family val="1"/>
      </rPr>
      <t xml:space="preserve"> in cement mortar 1:3 (One of cement and three of sand) 10mm thick for bottom of roof, stair, waist, landing and sunshades in all floors finished with neat cement including hacking the areas, providing band cornice, scaffolding, curing etc., complete.</t>
    </r>
  </si>
  <si>
    <t>Ground Floor</t>
  </si>
  <si>
    <t>Add for sunshade</t>
  </si>
  <si>
    <t>waiting and lobby</t>
  </si>
  <si>
    <t xml:space="preserve">First floor </t>
  </si>
  <si>
    <t>firemen restroom1</t>
  </si>
  <si>
    <t>firemen restroom2</t>
  </si>
  <si>
    <t>drivers rest room</t>
  </si>
  <si>
    <t>guest room3</t>
  </si>
  <si>
    <t>lobby &amp;staircase area</t>
  </si>
  <si>
    <t>Second floor</t>
  </si>
  <si>
    <t>kitchen/dining</t>
  </si>
  <si>
    <t>bed</t>
  </si>
  <si>
    <t xml:space="preserve">bath area &amp;wc </t>
  </si>
  <si>
    <r>
      <rPr>
        <sz val="12"/>
        <rFont val="Times New Roman"/>
        <family val="1"/>
      </rPr>
      <t xml:space="preserve">Plastering in cm 1:5  (One of cement and five of sand) 12mm thick for </t>
    </r>
    <r>
      <rPr>
        <b/>
        <sz val="12"/>
        <rFont val="Times New Roman"/>
        <family val="1"/>
      </rPr>
      <t>border</t>
    </r>
    <r>
      <rPr>
        <sz val="12"/>
        <rFont val="Times New Roman"/>
        <family val="1"/>
      </rPr>
      <t xml:space="preserve"> finish in all floors for elevation purposes, including scaffolding, curing, finishing etc., all complete.</t>
    </r>
  </si>
  <si>
    <t>Wall ( alround)</t>
  </si>
  <si>
    <t>Head Room alround</t>
  </si>
  <si>
    <t>v</t>
  </si>
  <si>
    <t>v1</t>
  </si>
  <si>
    <r>
      <rPr>
        <b/>
        <sz val="12"/>
        <rFont val="Times New Roman"/>
        <family val="1"/>
      </rPr>
      <t>White washing three coats</t>
    </r>
    <r>
      <rPr>
        <sz val="12"/>
        <rFont val="Times New Roman"/>
        <family val="1"/>
      </rPr>
      <t xml:space="preserve"> using clean shell lime slaked including cost of lime, gum, blue, brushes, including scaffolding etc., complete in all respects</t>
    </r>
  </si>
  <si>
    <r>
      <rPr>
        <sz val="12"/>
        <rFont val="Times New Roman"/>
        <family val="1"/>
      </rPr>
      <t xml:space="preserve">Supplying and fixing </t>
    </r>
    <r>
      <rPr>
        <b/>
        <sz val="12"/>
        <rFont val="Times New Roman"/>
        <family val="1"/>
      </rPr>
      <t>Mild Steel grills</t>
    </r>
  </si>
  <si>
    <t xml:space="preserve"> D</t>
  </si>
  <si>
    <r>
      <rPr>
        <b/>
        <sz val="12"/>
        <rFont val="Times New Roman"/>
        <family val="1"/>
      </rPr>
      <t>Painting the new Iron work</t>
    </r>
    <r>
      <rPr>
        <sz val="12"/>
        <rFont val="Times New Roman"/>
        <family val="1"/>
      </rPr>
      <t xml:space="preserve"> and other similar works such as PVC /ASTM Pipes, Kerb Stone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t>
    </r>
  </si>
  <si>
    <t>vertical sewer line</t>
  </si>
  <si>
    <t>horizontal interconnection</t>
  </si>
  <si>
    <t xml:space="preserve">insde toilet @ GF SFO </t>
  </si>
  <si>
    <t xml:space="preserve">insde toilet @ FF SOT </t>
  </si>
  <si>
    <t xml:space="preserve">insde toilet @ FF RESTROOM </t>
  </si>
  <si>
    <t>insde toilet @ FF ADFO toilet and DFO toilet</t>
  </si>
  <si>
    <t>for ladies and gents toilet</t>
  </si>
  <si>
    <r>
      <rPr>
        <b/>
        <sz val="12"/>
        <rFont val="Times New Roman"/>
        <family val="1"/>
      </rPr>
      <t>Supplying and fixing of 20mm</t>
    </r>
    <r>
      <rPr>
        <sz val="12"/>
        <rFont val="Times New Roman"/>
        <family val="1"/>
      </rPr>
      <t xml:space="preserve"> dia </t>
    </r>
    <r>
      <rPr>
        <b/>
        <sz val="12"/>
        <rFont val="Times New Roman"/>
        <family val="1"/>
      </rPr>
      <t>aluminium hanger rods</t>
    </r>
    <r>
      <rPr>
        <sz val="12"/>
        <rFont val="Times New Roman"/>
        <family val="1"/>
      </rPr>
      <t xml:space="preserve"> to the required length with aluminium end brackets including cost of screws, TW plugs and labour charges for fixing in postion etc. complete in all respects and as directed by the departmental officers</t>
    </r>
  </si>
  <si>
    <t>D1 size  900 X 2100</t>
  </si>
  <si>
    <r>
      <rPr>
        <sz val="12"/>
        <rFont val="Times New Roman"/>
        <family val="1"/>
      </rPr>
      <t xml:space="preserve">Supplying and fixing of </t>
    </r>
    <r>
      <rPr>
        <b/>
        <sz val="12"/>
        <rFont val="Times New Roman"/>
        <family val="1"/>
      </rPr>
      <t xml:space="preserve">aluminium towel rails </t>
    </r>
    <r>
      <rPr>
        <sz val="12"/>
        <rFont val="Times New Roman"/>
        <family val="1"/>
      </rPr>
      <t>of 75cm long, including cost of screws, TW plugs and labour charges for fixing in position etc. complete in all respects and as directed by the departmental officers.</t>
    </r>
  </si>
  <si>
    <t>All Toilet</t>
  </si>
  <si>
    <r>
      <rPr>
        <sz val="12"/>
        <rFont val="Times New Roman"/>
        <family val="1"/>
      </rPr>
      <t xml:space="preserve">Supplying and fixing of aluminium plate with </t>
    </r>
    <r>
      <rPr>
        <b/>
        <sz val="12"/>
        <rFont val="Times New Roman"/>
        <family val="1"/>
      </rPr>
      <t>five pins</t>
    </r>
    <r>
      <rPr>
        <sz val="12"/>
        <rFont val="Times New Roman"/>
        <family val="1"/>
      </rPr>
      <t xml:space="preserve"> for </t>
    </r>
    <r>
      <rPr>
        <b/>
        <sz val="12"/>
        <rFont val="Times New Roman"/>
        <family val="1"/>
      </rPr>
      <t>coat stand</t>
    </r>
    <r>
      <rPr>
        <sz val="12"/>
        <rFont val="Times New Roman"/>
        <family val="1"/>
      </rPr>
      <t xml:space="preserve"> including cost of plugs, nails, screws, and labour for fixing in position etc, all complete and as directed by the departmental officers.</t>
    </r>
  </si>
  <si>
    <t>all floors</t>
  </si>
  <si>
    <r>
      <rPr>
        <sz val="12"/>
        <rFont val="Times New Roman"/>
        <family val="1"/>
      </rPr>
      <t xml:space="preserve">Providing and fixing iron chromium plated 8 gauge </t>
    </r>
    <r>
      <rPr>
        <b/>
        <sz val="12"/>
        <rFont val="Times New Roman"/>
        <family val="1"/>
      </rPr>
      <t>Picture hooks</t>
    </r>
    <r>
      <rPr>
        <sz val="12"/>
        <rFont val="Times New Roman"/>
        <family val="1"/>
      </rPr>
      <t xml:space="preserve"> including fixing in position etc., all complete in all respects and as directed by the departmental officers.</t>
    </r>
  </si>
  <si>
    <r>
      <rPr>
        <sz val="12"/>
        <rFont val="Times New Roman"/>
        <family val="1"/>
      </rPr>
      <t xml:space="preserve">Supply and planting of </t>
    </r>
    <r>
      <rPr>
        <b/>
        <sz val="12"/>
        <rFont val="Times New Roman"/>
        <family val="1"/>
      </rPr>
      <t>avenue trees</t>
    </r>
    <r>
      <rPr>
        <sz val="12"/>
        <rFont val="Times New Roman"/>
        <family val="1"/>
      </rPr>
      <t xml:space="preserve"> including earth work excavation for pit of size 60x60x60cm filled with manure for 20cm depth and filling with river sand and red earth mix in the ratio of 1:1 for 40cm depth in the same pit and planting  etc.,</t>
    </r>
  </si>
  <si>
    <r>
      <rPr>
        <sz val="12"/>
        <rFont val="Times New Roman"/>
        <family val="1"/>
      </rPr>
      <t xml:space="preserve">Supplying and fixing of triangular shape chicken mesh </t>
    </r>
    <r>
      <rPr>
        <b/>
        <sz val="12"/>
        <rFont val="Times New Roman"/>
        <family val="1"/>
      </rPr>
      <t xml:space="preserve">Tree guard </t>
    </r>
    <r>
      <rPr>
        <sz val="12"/>
        <rFont val="Times New Roman"/>
        <family val="1"/>
      </rPr>
      <t>using 8cm dia casurina vertical post and middle tie using country wood reeper of size 50x25mm and 25 gauge chicken mesh including labour charge for fixing the triangular tree guard and as directed by the departmental officers</t>
    </r>
  </si>
  <si>
    <r>
      <rPr>
        <sz val="12"/>
        <rFont val="Times New Roman"/>
        <family val="1"/>
      </rPr>
      <t xml:space="preserve">Supplying Fabrication and Erection in position of </t>
    </r>
    <r>
      <rPr>
        <b/>
        <sz val="12"/>
        <rFont val="Times New Roman"/>
        <family val="1"/>
      </rPr>
      <t xml:space="preserve">M.S. scheme name and layout board </t>
    </r>
  </si>
  <si>
    <t>From Bore to Sump</t>
  </si>
  <si>
    <t>Sump to OHT</t>
  </si>
  <si>
    <t>For OHT to GF</t>
  </si>
  <si>
    <t>For OHT to GF vertical</t>
  </si>
  <si>
    <t>For OHT to FF</t>
  </si>
  <si>
    <t>For OHT to FF vertical</t>
  </si>
  <si>
    <t>For OHT to SF</t>
  </si>
  <si>
    <t>For OHT to TF vertical</t>
  </si>
  <si>
    <t xml:space="preserve">for officers toilet </t>
  </si>
  <si>
    <t>OHT</t>
  </si>
  <si>
    <t xml:space="preserve">FF </t>
  </si>
  <si>
    <t xml:space="preserve">SF </t>
  </si>
  <si>
    <t xml:space="preserve">TF </t>
  </si>
  <si>
    <t xml:space="preserve">GF </t>
  </si>
  <si>
    <r>
      <rPr>
        <sz val="12"/>
        <rFont val="Times New Roman"/>
        <family val="1"/>
      </rPr>
      <t xml:space="preserve">Supplying and fixing 150mm x 100mm size stone ware </t>
    </r>
    <r>
      <rPr>
        <b/>
        <sz val="12"/>
        <rFont val="Times New Roman"/>
        <family val="1"/>
      </rPr>
      <t>Gully trap</t>
    </r>
    <r>
      <rPr>
        <sz val="12"/>
        <rFont val="Times New Roman"/>
        <family val="1"/>
      </rPr>
      <t xml:space="preserve"> with iron gratings over a bed of 150mm thick brick jelly concrete in CC 1:8:16 (one of cement, eight of sand and sixteen of broken brick jelly) using 40mm size brick jelly and brick masonry wall 114 mm thick using chamber burnt bricks of size 9”x4½”x3” (23x11.4x7.5cm) in Cm 1:5 (One of cement and five of sand) plastered with CM 1:3 (One of cement and three of sand) 12mm thick etc., complete and as directed by the departmental officers.</t>
    </r>
  </si>
  <si>
    <t>for toilets</t>
  </si>
  <si>
    <t>for rainwaters</t>
  </si>
  <si>
    <r>
      <rPr>
        <sz val="12"/>
        <rFont val="Times New Roman"/>
        <family val="1"/>
      </rPr>
      <t xml:space="preserve">Supplying and fixing of </t>
    </r>
    <r>
      <rPr>
        <b/>
        <sz val="12"/>
        <rFont val="Times New Roman"/>
        <family val="1"/>
      </rPr>
      <t>PVC Nahani Trap</t>
    </r>
    <r>
      <rPr>
        <sz val="12"/>
        <rFont val="Times New Roman"/>
        <family val="1"/>
      </rPr>
      <t xml:space="preserve"> not less than 75mm 4way / 2 way (Superior variety) </t>
    </r>
  </si>
  <si>
    <t xml:space="preserve">LFO </t>
  </si>
  <si>
    <t>Store</t>
  </si>
  <si>
    <t>Lobby</t>
  </si>
  <si>
    <t>Toilet area</t>
  </si>
  <si>
    <t xml:space="preserve">lift entrance </t>
  </si>
  <si>
    <t xml:space="preserve">record room </t>
  </si>
  <si>
    <t>waiting area</t>
  </si>
  <si>
    <t xml:space="preserve">lobby </t>
  </si>
  <si>
    <t>stair area</t>
  </si>
  <si>
    <t xml:space="preserve">so room </t>
  </si>
  <si>
    <t xml:space="preserve">stair area </t>
  </si>
  <si>
    <t>firemen rest 1&amp;2</t>
  </si>
  <si>
    <t>Toilet area 1&amp;2</t>
  </si>
  <si>
    <t xml:space="preserve">gym </t>
  </si>
  <si>
    <t xml:space="preserve">so riding room </t>
  </si>
  <si>
    <t xml:space="preserve">ado riding room </t>
  </si>
  <si>
    <t>guest room 1,2&amp;3</t>
  </si>
  <si>
    <t xml:space="preserve">corridor </t>
  </si>
  <si>
    <t>Thrid Floor</t>
  </si>
  <si>
    <t xml:space="preserve">Dormitory </t>
  </si>
  <si>
    <t>Dfo rest room</t>
  </si>
  <si>
    <t>kitchen/ din</t>
  </si>
  <si>
    <t>bolcony</t>
  </si>
  <si>
    <t>bed1&amp;2</t>
  </si>
  <si>
    <t>receptiion</t>
  </si>
  <si>
    <t>toilet area</t>
  </si>
  <si>
    <t>furth Floor</t>
  </si>
  <si>
    <t xml:space="preserve">gallery </t>
  </si>
  <si>
    <t>for officers</t>
  </si>
  <si>
    <r>
      <rPr>
        <b/>
        <sz val="12"/>
        <rFont val="Times New Roman"/>
        <family val="1"/>
      </rPr>
      <t>Wiring with 1.5 sqmm PVC insulated single core multi strand fire retardant flexible copper cable with ISI mark confirming IS: 694:1990 for Fan point</t>
    </r>
    <r>
      <rPr>
        <sz val="12"/>
        <rFont val="Times New Roman"/>
        <family val="1"/>
      </rPr>
      <t>.(</t>
    </r>
    <r>
      <rPr>
        <b/>
        <sz val="12"/>
        <rFont val="Times New Roman"/>
        <family val="1"/>
      </rPr>
      <t>PVC Electrical Box )</t>
    </r>
  </si>
  <si>
    <r>
      <rPr>
        <sz val="12"/>
        <rFont val="Times New Roman"/>
        <family val="1"/>
      </rPr>
      <t xml:space="preserve">Wiring with 1.5 sqmm PVC insulated single core multi strand fire retardant flexible copper cable with ISI mark confirming IS: 694:1990 for </t>
    </r>
    <r>
      <rPr>
        <b/>
        <sz val="12"/>
        <rFont val="Times New Roman"/>
        <family val="1"/>
      </rPr>
      <t>Staircase Light Point</t>
    </r>
    <r>
      <rPr>
        <sz val="12"/>
        <rFont val="Times New Roman"/>
        <family val="1"/>
      </rPr>
      <t>.</t>
    </r>
    <r>
      <rPr>
        <b/>
        <sz val="12"/>
        <rFont val="Times New Roman"/>
        <family val="1"/>
      </rPr>
      <t>(PVC Electrical Box )</t>
    </r>
  </si>
  <si>
    <r>
      <rPr>
        <sz val="12"/>
        <rFont val="Times New Roman"/>
        <family val="1"/>
      </rPr>
      <t xml:space="preserve">Wiring with 1.5 sqmm PVC insulated single core multi strand fire retardant flexible copper cable with ISI mark confirming IS: 694:1990 for </t>
    </r>
    <r>
      <rPr>
        <b/>
        <sz val="12"/>
        <rFont val="Times New Roman"/>
        <family val="1"/>
      </rPr>
      <t>5 amps 5 pin plug socket point @ Switch Board Itself</t>
    </r>
    <r>
      <rPr>
        <sz val="12"/>
        <rFont val="Times New Roman"/>
        <family val="1"/>
      </rPr>
      <t>.</t>
    </r>
  </si>
  <si>
    <r>
      <rPr>
        <sz val="12"/>
        <rFont val="Times New Roman"/>
        <family val="1"/>
      </rPr>
      <t xml:space="preserve">Wiring with 1.5 sqmm PVC insulated single core multi strand fire retardant flexible copper cable with ISI mark confirming IS: 694:1990 for </t>
    </r>
    <r>
      <rPr>
        <b/>
        <sz val="12"/>
        <rFont val="Times New Roman"/>
        <family val="1"/>
      </rPr>
      <t>5 amps 5 pin plug socket point @ Convenient Places.(PVC Electrical Box )</t>
    </r>
  </si>
  <si>
    <r>
      <rPr>
        <sz val="12"/>
        <rFont val="Times New Roman"/>
        <family val="1"/>
      </rPr>
      <t xml:space="preserve">Supplying and fixing of 15 Amps 3 pin flush type plug using </t>
    </r>
    <r>
      <rPr>
        <b/>
        <sz val="12"/>
        <rFont val="Times New Roman"/>
        <family val="1"/>
      </rPr>
      <t>( PVC Box , Fire Retarded Box)</t>
    </r>
  </si>
  <si>
    <r>
      <rPr>
        <sz val="12"/>
        <rFont val="Times New Roman"/>
        <family val="1"/>
      </rPr>
      <t xml:space="preserve">Supply and fixing of best approved superior variety concealed type </t>
    </r>
    <r>
      <rPr>
        <b/>
        <sz val="12"/>
        <rFont val="Times New Roman"/>
        <family val="1"/>
      </rPr>
      <t>Fibre box with M.S. Fan Hook</t>
    </r>
    <r>
      <rPr>
        <sz val="12"/>
        <rFont val="Times New Roman"/>
        <family val="1"/>
      </rPr>
      <t xml:space="preserve"> of 100mm dia, 75mm depth and 3mm thick including cost and fixing in position etc., complete and as directed by the departmental officers. (The quality should be got approved by the Executive Engineer before use).</t>
    </r>
  </si>
  <si>
    <r>
      <rPr>
        <sz val="12"/>
        <rFont val="Times New Roman"/>
        <family val="1"/>
      </rPr>
      <t xml:space="preserve">Charges for assembling and </t>
    </r>
    <r>
      <rPr>
        <b/>
        <sz val="12"/>
        <rFont val="Times New Roman"/>
        <family val="1"/>
      </rPr>
      <t>fixing of ceiling fan</t>
    </r>
    <r>
      <rPr>
        <sz val="12"/>
        <rFont val="Times New Roman"/>
        <family val="1"/>
      </rPr>
      <t xml:space="preserve"> of different sweep with necessary connections and fixing of fan regulator on the existing board etc., all complete (Excluding cost of fan)</t>
    </r>
  </si>
  <si>
    <r>
      <rPr>
        <sz val="12"/>
        <rFont val="Times New Roman"/>
        <family val="1"/>
      </rPr>
      <t xml:space="preserve">Supplying and laying of </t>
    </r>
    <r>
      <rPr>
        <b/>
        <sz val="12"/>
        <rFont val="Times New Roman"/>
        <family val="1"/>
      </rPr>
      <t>8SWG GI wire</t>
    </r>
    <r>
      <rPr>
        <sz val="12"/>
        <rFont val="Times New Roman"/>
        <family val="1"/>
      </rPr>
      <t xml:space="preserve"> on wall below ground levels with necessary ‘U’ Nails, earth work excavation and refilling etc., including cost of all materials etc., all complete.</t>
    </r>
  </si>
  <si>
    <r>
      <rPr>
        <sz val="12"/>
        <rFont val="Times New Roman"/>
        <family val="1"/>
      </rPr>
      <t xml:space="preserve">Supplying, fixing and concealing T.W box of size 8"x6"x4" covered with 3mm thick hylem sheet including Cost of </t>
    </r>
    <r>
      <rPr>
        <b/>
        <sz val="12"/>
        <rFont val="Times New Roman"/>
        <family val="1"/>
      </rPr>
      <t>TV line socket / Telephone line Socket</t>
    </r>
    <r>
      <rPr>
        <sz val="12"/>
        <rFont val="Times New Roman"/>
        <family val="1"/>
      </rPr>
      <t xml:space="preserve"> etc., all complete and as directed by the departmental officers.</t>
    </r>
  </si>
  <si>
    <t>officers  room</t>
  </si>
  <si>
    <r>
      <rPr>
        <sz val="12"/>
        <rFont val="Times New Roman"/>
        <family val="1"/>
      </rPr>
      <t xml:space="preserve">Supplying, laying and concealing of PVC pipe of </t>
    </r>
    <r>
      <rPr>
        <b/>
        <sz val="12"/>
        <rFont val="Times New Roman"/>
        <family val="1"/>
      </rPr>
      <t>20mm dia</t>
    </r>
    <r>
      <rPr>
        <sz val="12"/>
        <rFont val="Times New Roman"/>
        <family val="1"/>
      </rPr>
      <t xml:space="preserve"> with necessary specials and other materials including Run of 1No.Fish wire (G.I.22g) for drawing </t>
    </r>
    <r>
      <rPr>
        <b/>
        <sz val="12"/>
        <rFont val="Times New Roman"/>
        <family val="1"/>
      </rPr>
      <t>cable for T.V./Telephone</t>
    </r>
    <r>
      <rPr>
        <sz val="12"/>
        <rFont val="Times New Roman"/>
        <family val="1"/>
      </rPr>
      <t xml:space="preserve"> etc., all complete and as directed by the departmental officers.</t>
    </r>
  </si>
  <si>
    <r>
      <rPr>
        <sz val="12"/>
        <rFont val="Times New Roman"/>
        <family val="1"/>
      </rPr>
      <t xml:space="preserve">Supplying and fixing of 1 no of </t>
    </r>
    <r>
      <rPr>
        <b/>
        <sz val="12"/>
        <rFont val="Times New Roman"/>
        <family val="1"/>
      </rPr>
      <t>375x300x20mm thick TW plank</t>
    </r>
    <r>
      <rPr>
        <sz val="12"/>
        <rFont val="Times New Roman"/>
        <family val="1"/>
      </rPr>
      <t xml:space="preserve"> varnished with 1 no of 25 amps 250 volts fuse unit and 1 no copper earth plate of suitable size bolts and nuts on wall for EB service connections including cost of all materials etc., all complete (Single phase service connection)</t>
    </r>
  </si>
  <si>
    <r>
      <rPr>
        <sz val="12"/>
        <rFont val="Times New Roman"/>
        <family val="1"/>
      </rPr>
      <t>Supplying and fixing of 300</t>
    </r>
    <r>
      <rPr>
        <b/>
        <sz val="12"/>
        <rFont val="Times New Roman"/>
        <family val="1"/>
      </rPr>
      <t xml:space="preserve"> mm dia sweep AC exhaust fan</t>
    </r>
  </si>
  <si>
    <t>All Toilet Kitchen &amp; pantry</t>
  </si>
  <si>
    <t>Fifth floor</t>
  </si>
  <si>
    <t>OHT wall inner</t>
  </si>
  <si>
    <t>OHT wall outer</t>
  </si>
  <si>
    <r>
      <rPr>
        <sz val="12"/>
        <rFont val="Times New Roman"/>
        <family val="1"/>
      </rPr>
      <t xml:space="preserve">Supplying and fixing Monolithic </t>
    </r>
    <r>
      <rPr>
        <b/>
        <sz val="12"/>
        <rFont val="Times New Roman"/>
        <family val="1"/>
      </rPr>
      <t>RCC door frames</t>
    </r>
    <r>
      <rPr>
        <sz val="12"/>
        <rFont val="Times New Roman"/>
        <family val="1"/>
      </rPr>
      <t xml:space="preserve"> of size 100x75mm with one edge grooves size 't' x 20 mm in reinforced cement concrete 1: 1½: 3 using 20mm Hard broken stone jelly including cost of steel and fabrication of reinforcement grills with 3 nos. of 6mm M.S. rod alround and 3mm steel stirrups at 30cm centre to centre including fixing of 3 nos of  iron bracket of size 100x100x5mm or 3 nos of Teak wood plug for receiving hinges and 2 nos of teak wood plug for receiving the tower bolts including fixing of 6 nos of hold fasts and cost and fixing of check nuts and aluminium sleeves and 2 nos iron oxide tower bolt receiver all as per drawings, fine edges, curing, transporting etc., all complete as directed by the departmental officers.</t>
    </r>
  </si>
  <si>
    <r>
      <rPr>
        <b/>
        <sz val="12"/>
        <rFont val="Times New Roman"/>
        <family val="1"/>
      </rPr>
      <t>Providing and fixing factory made polyvinyl chloride ( PVC )</t>
    </r>
    <r>
      <rPr>
        <sz val="12"/>
        <rFont val="Times New Roman"/>
        <family val="1"/>
      </rPr>
      <t xml:space="preserve"> Door </t>
    </r>
  </si>
  <si>
    <r>
      <rPr>
        <sz val="12"/>
        <rFont val="Times New Roman"/>
        <family val="1"/>
      </rPr>
      <t>Supplying and fixing of Colour</t>
    </r>
    <r>
      <rPr>
        <b/>
        <sz val="12"/>
        <rFont val="Times New Roman"/>
        <family val="1"/>
      </rPr>
      <t xml:space="preserve"> glazed tiles</t>
    </r>
    <r>
      <rPr>
        <sz val="12"/>
        <rFont val="Times New Roman"/>
        <family val="1"/>
      </rPr>
      <t xml:space="preserve"> (Best approved quality and the same shall be got approved from the Executive Engineer before using) over cement plastering in CM 1:2 (One of cement and two of sand) 10mm thick including fixing in position, cutting the tiles to the required size wherever necessary, pointing the joints with </t>
    </r>
    <r>
      <rPr>
        <b/>
        <sz val="12"/>
        <rFont val="Times New Roman"/>
        <family val="1"/>
      </rPr>
      <t>Grout (Tile joint filler),</t>
    </r>
    <r>
      <rPr>
        <sz val="12"/>
        <rFont val="Times New Roman"/>
        <family val="1"/>
      </rPr>
      <t xml:space="preserve"> curing, finishing etc., all complete and as directed by the departmental officers.</t>
    </r>
  </si>
  <si>
    <t xml:space="preserve"> wc area</t>
  </si>
  <si>
    <t>MEZZANINE FLOOR</t>
  </si>
  <si>
    <t>SO Toilet and toilet</t>
  </si>
  <si>
    <t>james</t>
  </si>
  <si>
    <t>so riding and guest toilet</t>
  </si>
  <si>
    <t>office wc</t>
  </si>
  <si>
    <t xml:space="preserve">bath </t>
  </si>
  <si>
    <t xml:space="preserve">james </t>
  </si>
  <si>
    <t>office toilet</t>
  </si>
  <si>
    <t>D/F  bath area</t>
  </si>
  <si>
    <t>firemen toilet bath area</t>
  </si>
  <si>
    <t>d/f door</t>
  </si>
  <si>
    <t>d/f bath open</t>
  </si>
  <si>
    <t>bed room toilet</t>
  </si>
  <si>
    <t>common Wc</t>
  </si>
  <si>
    <t>bath</t>
  </si>
  <si>
    <t>d/f door 1</t>
  </si>
  <si>
    <t>d/f door 2</t>
  </si>
  <si>
    <t>panty room</t>
  </si>
  <si>
    <r>
      <rPr>
        <sz val="12"/>
        <rFont val="Times New Roman"/>
        <family val="1"/>
      </rPr>
      <t xml:space="preserve">Supplying and fixing of </t>
    </r>
    <r>
      <rPr>
        <b/>
        <sz val="12"/>
        <rFont val="Times New Roman"/>
        <family val="1"/>
      </rPr>
      <t>colour Ceramic Tiles Anti skid</t>
    </r>
    <r>
      <rPr>
        <sz val="12"/>
        <rFont val="Times New Roman"/>
        <family val="1"/>
      </rPr>
      <t xml:space="preserve">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t>
    </r>
    <r>
      <rPr>
        <b/>
        <sz val="12"/>
        <rFont val="Times New Roman"/>
        <family val="1"/>
      </rPr>
      <t>Grout (Tile joint filler)</t>
    </r>
    <r>
      <rPr>
        <sz val="12"/>
        <rFont val="Times New Roman"/>
        <family val="1"/>
      </rPr>
      <t>, curing, finishing etc., all complete and as directed by the departmental officers</t>
    </r>
  </si>
  <si>
    <t>GF toilet</t>
  </si>
  <si>
    <t>Door Area</t>
  </si>
  <si>
    <t>door area</t>
  </si>
  <si>
    <t xml:space="preserve">Item no.33 &amp; 34 Plastering in cm 1:5,12mm thick area(Internal Plastering -A) </t>
  </si>
  <si>
    <t xml:space="preserve">a. 1.5 TR Split Type AC Unit </t>
  </si>
  <si>
    <t>ADFO,DFO Guest room</t>
  </si>
  <si>
    <t>Third Floor Conference Hall</t>
  </si>
  <si>
    <t>ADFO,DFO &amp;Guest room</t>
  </si>
  <si>
    <t>Secound Floor DFO Room</t>
  </si>
  <si>
    <t>Secound Floor DFO Restroom</t>
  </si>
  <si>
    <t>Secound Floor ADFO Restroom</t>
  </si>
  <si>
    <t>Secound Floor Gguest Room</t>
  </si>
  <si>
    <t>Secound Floor Guest Restroom</t>
  </si>
  <si>
    <r>
      <rPr>
        <sz val="12"/>
        <rFont val="Times New Roman"/>
        <family val="1"/>
      </rPr>
      <t xml:space="preserve">Supplying, laying, fixing and jointing the following </t>
    </r>
    <r>
      <rPr>
        <b/>
        <sz val="12"/>
        <rFont val="Times New Roman"/>
        <family val="1"/>
      </rPr>
      <t>PVC pipes as per ASTM D</t>
    </r>
    <r>
      <rPr>
        <sz val="12"/>
        <rFont val="Times New Roman"/>
        <family val="1"/>
      </rPr>
      <t xml:space="preserve"> - 1785 of schedule 40 of wall thickness not less than the specified in IS 4985 suitable for plumbing by threading of wall thickness including the cost of suitable PVC/GI specials / GM specials like Elbow, Tee reducers, Plug, unions, bend, coupler, nipple / GM gate valve, check and wheel valve etc., wherever required above the ground level including the cost of teflon tape etc., Fully concealed in walls to the proper gradient and Alignment and redoing the Chipped portion of Masonry etc., all complete and as directed by the departmental officers.</t>
    </r>
  </si>
  <si>
    <t>GF toilets</t>
  </si>
  <si>
    <t>FF sot Wc</t>
  </si>
  <si>
    <t>FF SOT WC</t>
  </si>
  <si>
    <t>SF ADFO,DFO,guest &amp; So WC</t>
  </si>
  <si>
    <t>SF GENTS TOILET WC</t>
  </si>
  <si>
    <t>TF  TOILET WC</t>
  </si>
  <si>
    <r>
      <rPr>
        <sz val="12"/>
        <rFont val="Times New Roman"/>
        <family val="1"/>
      </rPr>
      <t>Supplying and fixing of porcelin</t>
    </r>
    <r>
      <rPr>
        <b/>
        <sz val="12"/>
        <rFont val="Times New Roman"/>
        <family val="1"/>
      </rPr>
      <t xml:space="preserve"> wash hand basin</t>
    </r>
    <r>
      <rPr>
        <sz val="12"/>
        <rFont val="Times New Roman"/>
        <family val="1"/>
      </rPr>
      <t xml:space="preserve"> (white without pedastal), superior variety of size 550x400mm with all accessories such as powder coated cast iron brackets, 32mm dia C.P. waste coupling, Rubber plug and aluminium chain, 32mm dia 'B' class G.I. / PVC waste pipe, Angle Valve, 15mm dia Nylon connection, 15mm dia Brass Nipples, 15mm C.P. pillar tap &amp; required grating etc., complete in all respects (wash hand basin shall be got approved by the Executive Engineer before fixing).</t>
    </r>
  </si>
  <si>
    <r>
      <rPr>
        <sz val="12"/>
        <rFont val="Times New Roman"/>
        <family val="1"/>
      </rPr>
      <t xml:space="preserve">Supply and delivery of following Electric </t>
    </r>
    <r>
      <rPr>
        <b/>
        <sz val="12"/>
        <rFont val="Times New Roman"/>
        <family val="1"/>
      </rPr>
      <t>Celling fan</t>
    </r>
    <r>
      <rPr>
        <sz val="12"/>
        <rFont val="Times New Roman"/>
        <family val="1"/>
      </rPr>
      <t xml:space="preserve"> with </t>
    </r>
    <r>
      <rPr>
        <b/>
        <sz val="12"/>
        <rFont val="Times New Roman"/>
        <family val="1"/>
      </rPr>
      <t>ISI</t>
    </r>
    <r>
      <rPr>
        <sz val="12"/>
        <rFont val="Times New Roman"/>
        <family val="1"/>
      </rPr>
      <t>).</t>
    </r>
  </si>
  <si>
    <r>
      <rPr>
        <b/>
        <sz val="12"/>
        <rFont val="Times New Roman"/>
        <family val="1"/>
      </rPr>
      <t>Run of 4 Wires of 6 sqmm</t>
    </r>
    <r>
      <rPr>
        <sz val="12"/>
        <rFont val="Times New Roman"/>
        <family val="1"/>
      </rPr>
      <t xml:space="preserve"> PVC insulated single core multi strand </t>
    </r>
  </si>
  <si>
    <t>From Panel Board to Light DB 6way</t>
  </si>
  <si>
    <r>
      <rPr>
        <b/>
        <sz val="12"/>
        <rFont val="Times New Roman"/>
        <family val="1"/>
      </rPr>
      <t>Run of 4 Wires of 10 sqmm</t>
    </r>
    <r>
      <rPr>
        <sz val="12"/>
        <rFont val="Times New Roman"/>
        <family val="1"/>
      </rPr>
      <t xml:space="preserve"> PVC insulated single core multi strand </t>
    </r>
  </si>
  <si>
    <t>From Panel Board to Power DB 6way</t>
  </si>
  <si>
    <r>
      <rPr>
        <sz val="12"/>
        <rFont val="Times New Roman"/>
        <family val="1"/>
      </rPr>
      <t xml:space="preserve">Supply &amp; Fixing of </t>
    </r>
    <r>
      <rPr>
        <b/>
        <sz val="12"/>
        <rFont val="Times New Roman"/>
        <family val="1"/>
      </rPr>
      <t>Bevelled edge mirror</t>
    </r>
    <r>
      <rPr>
        <sz val="12"/>
        <rFont val="Times New Roman"/>
        <family val="1"/>
      </rPr>
      <t xml:space="preserve"> of approved quality and brand of size</t>
    </r>
    <r>
      <rPr>
        <b/>
        <sz val="12"/>
        <rFont val="Times New Roman"/>
        <family val="1"/>
      </rPr>
      <t xml:space="preserve"> 500 x 400 x 5.5mm</t>
    </r>
    <r>
      <rPr>
        <sz val="12"/>
        <rFont val="Times New Roman"/>
        <family val="1"/>
      </rPr>
      <t xml:space="preserve"> </t>
    </r>
  </si>
  <si>
    <t>Painting the flase ceiling/walls two coats with 1st class ready mixed plastic emulsion paint etc.,</t>
  </si>
  <si>
    <t>Painting the walls with two coats using approved of best Oil Bound Distemper etc.,</t>
  </si>
  <si>
    <t>leading fireman room</t>
  </si>
  <si>
    <t>entrance lobby</t>
  </si>
  <si>
    <t>waiting area /lobby</t>
  </si>
  <si>
    <t>lobby</t>
  </si>
  <si>
    <t>guest room2</t>
  </si>
  <si>
    <t>guest room1</t>
  </si>
  <si>
    <t>S.Floor</t>
  </si>
  <si>
    <t xml:space="preserve">conference room </t>
  </si>
  <si>
    <t>T.Floor</t>
  </si>
  <si>
    <t>bed1</t>
  </si>
  <si>
    <t>bed2</t>
  </si>
  <si>
    <t xml:space="preserve">Supplying and laying of Eurocon tiles </t>
  </si>
  <si>
    <t>building entrance Steps tread</t>
  </si>
  <si>
    <t>building entrance Steps risers</t>
  </si>
  <si>
    <t>Ground Floor to 5th Floor/Steps tread</t>
  </si>
  <si>
    <t>Ground Floor to5th Floor/Steps risers</t>
  </si>
  <si>
    <t>staircase under</t>
  </si>
  <si>
    <t>Supplying and fixing of 3.5 core 70Sq.mm PVC armoured LTUG cable (Above  G.L)</t>
  </si>
  <si>
    <t>Providing Rain Water Harvesting Providing Rain water Harvesting well ring of circular shape of 90cm dia, 60cm depth ( 30cm depth 2 Nos), 50mm thickness using RCC 1:2:4 using 20mm HBSJ including cost steel fabrication, labour charges, cost of material moulding, curing and hire charges for tools and plants etc., all complete and as directed by the departmental officers.</t>
  </si>
  <si>
    <t>Building Alround</t>
  </si>
  <si>
    <t xml:space="preserve">Supplying and laying Rubber Moulded Hydraulic Pressed Paver Block 80mm thick including labour charges for laying etc </t>
  </si>
  <si>
    <t>building RHS side favor block</t>
  </si>
  <si>
    <t>Sq.m</t>
  </si>
  <si>
    <t>V size 900X 600</t>
  </si>
  <si>
    <t>V1 size 750X 600</t>
  </si>
  <si>
    <t>terrrace</t>
  </si>
  <si>
    <t>scrtting</t>
  </si>
  <si>
    <r>
      <rPr>
        <sz val="12"/>
        <rFont val="Times New Roman"/>
        <family val="1"/>
      </rPr>
      <t xml:space="preserve">Supplying and fixing of 110mm dia PVC SWR pipe with ISI mark confirming to IS 13952:1992- type 'A' for </t>
    </r>
    <r>
      <rPr>
        <b/>
        <sz val="12"/>
        <rFont val="Times New Roman"/>
        <family val="1"/>
      </rPr>
      <t>Rain water down fall pipe</t>
    </r>
    <r>
      <rPr>
        <sz val="12"/>
        <rFont val="Times New Roman"/>
        <family val="1"/>
      </rPr>
      <t xml:space="preserve"> with relevant specials such as gratings,  shoes, bends, offsets confirming to </t>
    </r>
  </si>
  <si>
    <t>horizontal line</t>
  </si>
  <si>
    <t>SOT &amp;SO</t>
  </si>
  <si>
    <t>Supply and fixing of 24W LED 4000K 2 x 2 Square Type Recessed light Fitting including cost of fixing charges,  tools, connetions and etc., completed as directed by the departmental officers.</t>
  </si>
  <si>
    <t>meeting</t>
  </si>
  <si>
    <t>building alround</t>
  </si>
  <si>
    <t>MAIN PANEL BOARDS</t>
  </si>
  <si>
    <t>Supply and erection of 200 Amps capacity floor mounting panel board (Cubical type) with bus bar chamber made up of 16 SWG MS sheet for 3 phase 4 wire system with 25mm x 6mm tin coated copper flats for phases and 25mm x 3mm tin coated copper flats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</si>
  <si>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r>
      <rPr>
        <u/>
        <sz val="12"/>
        <rFont val="Times New Roman"/>
        <family val="1"/>
      </rPr>
      <t>Incoming</t>
    </r>
    <r>
      <rPr>
        <u/>
        <sz val="12"/>
        <rFont val="Times New Roman"/>
        <family val="1"/>
      </rPr>
      <t xml:space="preserve">
1 No. 200A TPN MCCB with Manual Closing Mechanism of 25KA Short Circuit Rating with Thermal O/L and Magnetic S/C Protection.
</t>
    </r>
    <r>
      <rPr>
        <b/>
        <u/>
        <sz val="12"/>
        <rFont val="Times New Roman"/>
        <family val="1"/>
      </rPr>
      <t>Bus Bar:</t>
    </r>
    <r>
      <rPr>
        <u/>
        <sz val="12"/>
        <rFont val="Times New Roman"/>
        <family val="1"/>
      </rPr>
      <t xml:space="preserve">
200 Amps Copper Bus Bar</t>
    </r>
  </si>
  <si>
    <r>
      <rPr>
        <u/>
        <sz val="12"/>
        <rFont val="Times New Roman"/>
        <family val="1"/>
      </rPr>
      <t>Outgoing:</t>
    </r>
    <r>
      <rPr>
        <u/>
        <sz val="12"/>
        <rFont val="Times New Roman"/>
        <family val="1"/>
      </rPr>
      <t xml:space="preserve">                                                         3 Nos. 100 A TPN fixed type MCCB with Manual Closing Mechanism of 25KA Short Circuit Rating with Thermal O/L and Magnetic S/C Protection</t>
    </r>
  </si>
  <si>
    <r>
      <rPr>
        <u/>
        <sz val="12"/>
        <rFont val="Times New Roman"/>
        <family val="1"/>
      </rPr>
      <t xml:space="preserve">
</t>
    </r>
    <r>
      <rPr>
        <u/>
        <sz val="12"/>
        <rFont val="Times New Roman"/>
        <family val="1"/>
      </rPr>
      <t xml:space="preserve">6 Nos. 63 A TPN fixed type MCCB with Manual Closing Mechanism of 25KA Short Circuit Rating with Thermal O/L and Magnetic S/C Protection.
 </t>
    </r>
  </si>
  <si>
    <t>Dummy provision - 1 No.</t>
  </si>
  <si>
    <t xml:space="preserve">1set LED pilot lamps withfuse units, switches and interconnections; inter connection to the bus bar by 25 x 6mm  T C copper flat for phases and  25 x 3mm T C copper flat for neutral from 250A/200A TPN MCCB to the bus; interconnections by 25 mm x 3 mm copper flats for phases and neutral from 100 ATPN MCCB to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t>
  </si>
  <si>
    <r>
      <rPr>
        <sz val="12"/>
        <rFont val="Times New Roman"/>
        <family val="1"/>
      </rPr>
      <t xml:space="preserve">1 No. in Ground floor - </t>
    </r>
    <r>
      <rPr>
        <b/>
        <sz val="12"/>
        <rFont val="Times New Roman"/>
        <family val="1"/>
      </rPr>
      <t>(Data A)</t>
    </r>
  </si>
  <si>
    <r>
      <rPr>
        <sz val="12"/>
        <rFont val="Times New Roman"/>
        <family val="1"/>
      </rPr>
      <t xml:space="preserve">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2"/>
        <rFont val="Times New Roman"/>
        <family val="1"/>
      </rPr>
      <t xml:space="preserve">
Incoming:   </t>
    </r>
    <r>
      <rPr>
        <sz val="12"/>
        <rFont val="Times New Roman"/>
        <family val="1"/>
      </rPr>
      <t xml:space="preserve">1 No.  63A 4 pole MCB </t>
    </r>
    <r>
      <rPr>
        <b/>
        <sz val="12"/>
        <rFont val="Times New Roman"/>
        <family val="1"/>
      </rPr>
      <t xml:space="preserve">
</t>
    </r>
    <r>
      <rPr>
        <sz val="12"/>
        <rFont val="Times New Roman"/>
        <family val="1"/>
      </rPr>
      <t xml:space="preserve">3 Nos. 63A 10KA DP MCB with 63A  30mA DPELCB
</t>
    </r>
    <r>
      <rPr>
        <b/>
        <sz val="12"/>
        <rFont val="Times New Roman"/>
        <family val="1"/>
      </rPr>
      <t xml:space="preserve">Outgoing: </t>
    </r>
    <r>
      <rPr>
        <sz val="12"/>
        <rFont val="Times New Roman"/>
        <family val="1"/>
      </rPr>
      <t xml:space="preserve">12 Nos. 6A/20A 10KA SP MCB   
 </t>
    </r>
    <r>
      <rPr>
        <b/>
        <sz val="12"/>
        <rFont val="Times New Roman"/>
        <family val="1"/>
      </rPr>
      <t>DATA - S</t>
    </r>
  </si>
  <si>
    <t>GF,FF,SF,TF, FF</t>
  </si>
  <si>
    <r>
      <rPr>
        <sz val="12"/>
        <rFont val="Times New Roman"/>
        <family val="1"/>
      </rPr>
      <t xml:space="preserve">Supplying and fixing of </t>
    </r>
    <r>
      <rPr>
        <b/>
        <sz val="12"/>
        <rFont val="Times New Roman"/>
        <family val="1"/>
      </rPr>
      <t xml:space="preserve">250watts Metal halide flood light </t>
    </r>
    <r>
      <rPr>
        <sz val="12"/>
        <rFont val="Times New Roman"/>
        <family val="1"/>
      </rPr>
      <t>fitting</t>
    </r>
  </si>
  <si>
    <r>
      <rPr>
        <sz val="12"/>
        <rFont val="Times New Roman"/>
        <family val="1"/>
      </rPr>
      <t xml:space="preserve">Supplying and fixing of </t>
    </r>
    <r>
      <rPr>
        <b/>
        <sz val="12"/>
        <rFont val="Times New Roman"/>
        <family val="1"/>
      </rPr>
      <t>CP Shower Arm with Overhead Shower Rose</t>
    </r>
    <r>
      <rPr>
        <sz val="12"/>
        <rFont val="Times New Roman"/>
        <family val="1"/>
      </rPr>
      <t xml:space="preserve"> </t>
    </r>
    <r>
      <rPr>
        <b/>
        <sz val="12"/>
        <rFont val="Times New Roman"/>
        <family val="1"/>
      </rPr>
      <t xml:space="preserve"> </t>
    </r>
  </si>
  <si>
    <r>
      <rPr>
        <sz val="12"/>
        <rFont val="Times New Roman"/>
        <family val="1"/>
      </rPr>
      <t xml:space="preserve">Supplying and fixing of </t>
    </r>
    <r>
      <rPr>
        <b/>
        <sz val="12"/>
        <rFont val="Times New Roman"/>
        <family val="1"/>
      </rPr>
      <t xml:space="preserve">angle cock </t>
    </r>
  </si>
  <si>
    <r>
      <rPr>
        <sz val="12"/>
        <rFont val="Times New Roman"/>
        <family val="1"/>
      </rPr>
      <t xml:space="preserve">Supplying and fixing of </t>
    </r>
    <r>
      <rPr>
        <b/>
        <sz val="12"/>
        <rFont val="Times New Roman"/>
        <family val="1"/>
      </rPr>
      <t>Stop cock</t>
    </r>
  </si>
  <si>
    <t>PVC beeding</t>
  </si>
  <si>
    <t xml:space="preserve">ADFO &amp; DFO  room, </t>
  </si>
  <si>
    <r>
      <rPr>
        <sz val="12"/>
        <rFont val="Times New Roman"/>
        <family val="1"/>
      </rPr>
      <t xml:space="preserve">Supplying and fixing of Aluminium TNPHC Emblem of </t>
    </r>
    <r>
      <rPr>
        <b/>
        <sz val="12"/>
        <rFont val="Times New Roman"/>
        <family val="1"/>
      </rPr>
      <t>18" height</t>
    </r>
    <r>
      <rPr>
        <sz val="12"/>
        <rFont val="Times New Roman"/>
        <family val="1"/>
      </rPr>
      <t xml:space="preserve"> with approved colour power coat in finishing matt including cost of materials, necessary drilling holes, packing cement mortar supporting the letter cement base bolts and fixing charges etc. complete and as directed by the departmental officers.</t>
    </r>
  </si>
  <si>
    <r>
      <rPr>
        <sz val="12"/>
        <rFont val="Times New Roman"/>
        <family val="1"/>
      </rPr>
      <t xml:space="preserve">Supplying and fixing of </t>
    </r>
    <r>
      <rPr>
        <b/>
        <sz val="12"/>
        <rFont val="Times New Roman"/>
        <family val="1"/>
      </rPr>
      <t xml:space="preserve">12" Height </t>
    </r>
    <r>
      <rPr>
        <sz val="12"/>
        <rFont val="Times New Roman"/>
        <family val="1"/>
      </rPr>
      <t>Aluminium letters with approved colour power coat in finishing matt including cost of materials, necessary drilling holes, packing cement mortar supporting the letter cement base bolts and fixing charges etc. complete and as directed by the departmental officers.</t>
    </r>
  </si>
  <si>
    <r>
      <rPr>
        <sz val="12"/>
        <rFont val="Calibri"/>
        <family val="2"/>
      </rPr>
      <t>தீயணைப்பு</t>
    </r>
    <r>
      <rPr>
        <sz val="12"/>
        <rFont val="Times New Roman"/>
        <family val="1"/>
      </rPr>
      <t xml:space="preserve"> </t>
    </r>
    <r>
      <rPr>
        <sz val="12"/>
        <rFont val="Calibri Light"/>
        <family val="2"/>
      </rPr>
      <t>மற்றும்</t>
    </r>
    <r>
      <rPr>
        <sz val="12"/>
        <rFont val="Times New Roman"/>
        <family val="1"/>
      </rPr>
      <t xml:space="preserve"> </t>
    </r>
    <r>
      <rPr>
        <sz val="12"/>
        <rFont val="Calibri Light"/>
        <family val="2"/>
      </rPr>
      <t>மீட்பு</t>
    </r>
    <r>
      <rPr>
        <sz val="12"/>
        <rFont val="Times New Roman"/>
        <family val="1"/>
      </rPr>
      <t xml:space="preserve"> </t>
    </r>
    <r>
      <rPr>
        <sz val="12"/>
        <rFont val="Calibri Light"/>
        <family val="2"/>
      </rPr>
      <t>பணி</t>
    </r>
    <r>
      <rPr>
        <sz val="12"/>
        <rFont val="Times New Roman"/>
        <family val="1"/>
      </rPr>
      <t xml:space="preserve"> </t>
    </r>
    <r>
      <rPr>
        <sz val="12"/>
        <rFont val="Calibri Light"/>
        <family val="2"/>
      </rPr>
      <t>நிலையம்</t>
    </r>
  </si>
  <si>
    <r>
      <rPr>
        <sz val="12"/>
        <rFont val="Times New Roman"/>
        <family val="1"/>
      </rPr>
      <t xml:space="preserve">வண்ணியம்பதி  , </t>
    </r>
    <r>
      <rPr>
        <sz val="12"/>
        <rFont val="Calibri Light"/>
        <family val="2"/>
      </rPr>
      <t>சென்னை</t>
    </r>
    <r>
      <rPr>
        <sz val="12"/>
        <rFont val="Times New Roman"/>
        <family val="1"/>
      </rPr>
      <t>.</t>
    </r>
  </si>
  <si>
    <t>Ground floor/Stilt floor</t>
  </si>
  <si>
    <r>
      <rPr>
        <sz val="12"/>
        <rFont val="Calibri"/>
        <family val="2"/>
      </rPr>
      <t>இந்த</t>
    </r>
    <r>
      <rPr>
        <sz val="12"/>
        <rFont val="Times New Roman"/>
        <family val="1"/>
      </rPr>
      <t xml:space="preserve"> </t>
    </r>
    <r>
      <rPr>
        <sz val="12"/>
        <rFont val="Calibri Light"/>
        <family val="2"/>
      </rPr>
      <t>கட்டிடத்தில்</t>
    </r>
    <r>
      <rPr>
        <sz val="12"/>
        <rFont val="Times New Roman"/>
        <family val="1"/>
      </rPr>
      <t xml:space="preserve">" </t>
    </r>
    <r>
      <rPr>
        <sz val="12"/>
        <rFont val="Calibri Light"/>
        <family val="2"/>
      </rPr>
      <t>மழைநீர்</t>
    </r>
    <r>
      <rPr>
        <sz val="12"/>
        <rFont val="Times New Roman"/>
        <family val="1"/>
      </rPr>
      <t xml:space="preserve"> </t>
    </r>
    <r>
      <rPr>
        <sz val="12"/>
        <rFont val="Calibri Light"/>
        <family val="2"/>
      </rPr>
      <t>சேகரிப்பு</t>
    </r>
    <r>
      <rPr>
        <sz val="12"/>
        <rFont val="Times New Roman"/>
        <family val="1"/>
      </rPr>
      <t xml:space="preserve"> </t>
    </r>
    <r>
      <rPr>
        <sz val="12"/>
        <rFont val="Calibri Light"/>
        <family val="2"/>
      </rPr>
      <t>திட்டம்</t>
    </r>
    <r>
      <rPr>
        <sz val="12"/>
        <rFont val="Times New Roman"/>
        <family val="1"/>
      </rPr>
      <t xml:space="preserve"> "</t>
    </r>
    <r>
      <rPr>
        <sz val="12"/>
        <rFont val="Calibri Light"/>
        <family val="2"/>
      </rPr>
      <t>செயல்படுத்தப்பட்டுள்ளது</t>
    </r>
    <r>
      <rPr>
        <sz val="12"/>
        <rFont val="Times New Roman"/>
        <family val="1"/>
      </rPr>
      <t xml:space="preserve"> </t>
    </r>
  </si>
  <si>
    <t>10 Persons Passenger Lift Car Size (1300 x 1350)</t>
  </si>
  <si>
    <t>Gearless Lift without Machine Room</t>
  </si>
  <si>
    <r>
      <rPr>
        <sz val="12"/>
        <rFont val="Times New Roman"/>
        <family val="1"/>
      </rPr>
      <t xml:space="preserve">Wiring for lift well light point and socket outlet with 2 x 1.5 sqmm FRLS PVC insulated stranded copper conductor of 1100V grade along with 1 x 1.5 sqmm FRLS PVC insulated stranded copper conductor cable as earth wire in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2"/>
        <rFont val="Times New Roman"/>
        <family val="1"/>
      </rPr>
      <t>(Data - U)</t>
    </r>
  </si>
  <si>
    <t>for lift</t>
  </si>
  <si>
    <r>
      <rPr>
        <sz val="12"/>
        <rFont val="Times New Roman"/>
        <family val="1"/>
      </rPr>
      <t xml:space="preserve">Supply and fixing of 75 W mid bay LED luminaire on the main portico with necessary internal connections.  (The type of luminaire shall be got approved by the Executive Engineer) -  </t>
    </r>
    <r>
      <rPr>
        <b/>
        <sz val="12"/>
        <rFont val="Times New Roman"/>
        <family val="1"/>
      </rPr>
      <t>Data X</t>
    </r>
  </si>
  <si>
    <t>for garage</t>
  </si>
  <si>
    <t>GF Entrance lobby</t>
  </si>
  <si>
    <t>FF Entrance lobby</t>
  </si>
  <si>
    <t>FF Lift wall</t>
  </si>
  <si>
    <t>FF Restroom passage</t>
  </si>
  <si>
    <t>SF &amp; TF corridar wall alround</t>
  </si>
  <si>
    <t>FF &amp; SF Lift wall</t>
  </si>
  <si>
    <t>D/f TD &amp; D1</t>
  </si>
  <si>
    <t>ONE COAT OF PUTTY</t>
  </si>
  <si>
    <t>Tamilnadu Police Housing Corporation Limited</t>
  </si>
  <si>
    <t>Vanniyampathy</t>
  </si>
  <si>
    <t>Guindy</t>
  </si>
  <si>
    <t xml:space="preserve">F5 Footing </t>
  </si>
  <si>
    <t xml:space="preserve">Cof1 Footing </t>
  </si>
  <si>
    <t xml:space="preserve">Cof2 Footing </t>
  </si>
  <si>
    <t xml:space="preserve">Grade Beam </t>
  </si>
  <si>
    <t>Horizontal Direction  H1, H2,H3&amp; H4</t>
  </si>
  <si>
    <t xml:space="preserve">C7 to C8 </t>
  </si>
  <si>
    <t>f5 TO f8</t>
  </si>
  <si>
    <t>Add E5,6,&amp;8 to f 5,6&amp;8</t>
  </si>
  <si>
    <t xml:space="preserve">Lift Beam </t>
  </si>
  <si>
    <t xml:space="preserve">SFC </t>
  </si>
  <si>
    <t>Beam</t>
  </si>
  <si>
    <t>Column Up to Basement LVL</t>
  </si>
  <si>
    <t>c1</t>
  </si>
  <si>
    <t>c2</t>
  </si>
  <si>
    <t>c3</t>
  </si>
  <si>
    <t>c4</t>
  </si>
  <si>
    <t>c5</t>
  </si>
  <si>
    <t>c6</t>
  </si>
  <si>
    <t xml:space="preserve">C7  </t>
  </si>
  <si>
    <t>c8</t>
  </si>
  <si>
    <t>Stair beam</t>
  </si>
  <si>
    <t xml:space="preserve">Garrage 1,2,&amp; 3 roof </t>
  </si>
  <si>
    <t>Roof beam Beam vertical</t>
  </si>
  <si>
    <t>Roof beam Beam Horizontal</t>
  </si>
  <si>
    <t>add toilet &amp; toilet pCP</t>
  </si>
  <si>
    <t>entrance lobby &amp; watcher</t>
  </si>
  <si>
    <t>Watch Room loft lintel</t>
  </si>
  <si>
    <t xml:space="preserve">Watch Room loft </t>
  </si>
  <si>
    <t>SD</t>
  </si>
  <si>
    <t>FW1</t>
  </si>
  <si>
    <t xml:space="preserve">5th </t>
  </si>
  <si>
    <t xml:space="preserve">Total </t>
  </si>
  <si>
    <t xml:space="preserve">Sink </t>
  </si>
  <si>
    <t>Urinals</t>
  </si>
  <si>
    <t xml:space="preserve">Description </t>
  </si>
  <si>
    <t xml:space="preserve">Plumbing Fittings </t>
  </si>
  <si>
    <t>long Body tap</t>
  </si>
  <si>
    <t>Shot Body tap</t>
  </si>
  <si>
    <t>Lintel Concrete</t>
  </si>
  <si>
    <t>Sill Concrete</t>
  </si>
  <si>
    <t>Sunshade</t>
  </si>
  <si>
    <t>Garrage 4&amp;5</t>
  </si>
  <si>
    <t xml:space="preserve">LFO, So,So Riding ,&amp; Passage </t>
  </si>
  <si>
    <t xml:space="preserve">SOT, Waiting Area &amp; writer room </t>
  </si>
  <si>
    <t xml:space="preserve">Toilet &amp; Lobby </t>
  </si>
  <si>
    <t xml:space="preserve">loft Lintel </t>
  </si>
  <si>
    <t>LFO, So,So Riding</t>
  </si>
  <si>
    <t xml:space="preserve">SOT,  &amp; writer room </t>
  </si>
  <si>
    <t xml:space="preserve">Loft </t>
  </si>
  <si>
    <t xml:space="preserve">Lintel </t>
  </si>
  <si>
    <t>FW`</t>
  </si>
  <si>
    <t>Garrage 1,2,3,4&amp;5</t>
  </si>
  <si>
    <t xml:space="preserve">Loft lintel </t>
  </si>
  <si>
    <t>room 1</t>
  </si>
  <si>
    <t>Guest room1,2,3&amp; Record Room</t>
  </si>
  <si>
    <t xml:space="preserve">Drivers rest room </t>
  </si>
  <si>
    <t xml:space="preserve">Sunshade </t>
  </si>
  <si>
    <t>Dormitery , Toilet Bed, Kitchen &amp; firemen1,2</t>
  </si>
  <si>
    <t xml:space="preserve">Bed, room 3&amp; stor, lobby </t>
  </si>
  <si>
    <t>Toilet , Guest 1,2,3,Drivers room &amp; Record</t>
  </si>
  <si>
    <t>Ado Riding &amp; waiting area</t>
  </si>
  <si>
    <t>Firemen rest 1&amp;2</t>
  </si>
  <si>
    <t xml:space="preserve">Dormitery </t>
  </si>
  <si>
    <t>Bed, Kitchen &amp; Store</t>
  </si>
  <si>
    <t xml:space="preserve">Store &amp; Bed </t>
  </si>
  <si>
    <t xml:space="preserve">Room 3 </t>
  </si>
  <si>
    <t xml:space="preserve">Add Adfo riding &amp; room 2 </t>
  </si>
  <si>
    <t>Multi purpose Hall</t>
  </si>
  <si>
    <t xml:space="preserve">Store </t>
  </si>
  <si>
    <t xml:space="preserve">Watch room </t>
  </si>
  <si>
    <t xml:space="preserve">Stair rear wall </t>
  </si>
  <si>
    <t xml:space="preserve">B/w So &amp; So riding </t>
  </si>
  <si>
    <t xml:space="preserve">b/w Lfo &amp; Writer room </t>
  </si>
  <si>
    <t xml:space="preserve">Middle wall Passsage 2 sides </t>
  </si>
  <si>
    <t xml:space="preserve">d/f stair open </t>
  </si>
  <si>
    <t>Toilet &amp; Guest 1,2,3,</t>
  </si>
  <si>
    <t xml:space="preserve">Right side outer wall </t>
  </si>
  <si>
    <t xml:space="preserve">B/w Driver , record, waiting &amp; stair </t>
  </si>
  <si>
    <t xml:space="preserve">Toilet wall </t>
  </si>
  <si>
    <t xml:space="preserve">Toilet wall Horizontal </t>
  </si>
  <si>
    <t xml:space="preserve">Horizontal wall </t>
  </si>
  <si>
    <t>Deduct for Stair open &amp; waiting area</t>
  </si>
  <si>
    <t>Column Deduction</t>
  </si>
  <si>
    <t xml:space="preserve">Toilet passage open </t>
  </si>
  <si>
    <t>Deduct for Stair open</t>
  </si>
  <si>
    <t xml:space="preserve">Around outer wall </t>
  </si>
  <si>
    <t xml:space="preserve">Gym &amp; Multi purpose hall </t>
  </si>
  <si>
    <t>Joineries</t>
  </si>
  <si>
    <t xml:space="preserve">Parapet outer wall all round </t>
  </si>
  <si>
    <t xml:space="preserve">Column DeductionParapet column </t>
  </si>
  <si>
    <t xml:space="preserve">Duduct for head roomk wall </t>
  </si>
  <si>
    <t>Pantry, toilet&amp; Toilet PCP</t>
  </si>
  <si>
    <t xml:space="preserve">Sot Toilet wall </t>
  </si>
  <si>
    <t xml:space="preserve">toilet wal So &amp; So riding </t>
  </si>
  <si>
    <t xml:space="preserve">Guest1,2,3 &amp; ADo </t>
  </si>
  <si>
    <t xml:space="preserve">Room1 &amp;2 </t>
  </si>
  <si>
    <t xml:space="preserve">Toilet area </t>
  </si>
  <si>
    <t>add toilet middle wall</t>
  </si>
  <si>
    <t>Store room Wall</t>
  </si>
  <si>
    <t xml:space="preserve">Toilet wall Bed </t>
  </si>
  <si>
    <t xml:space="preserve">room 3 toilet </t>
  </si>
  <si>
    <t xml:space="preserve">soriding </t>
  </si>
  <si>
    <t>Sot</t>
  </si>
  <si>
    <t xml:space="preserve">Writer room </t>
  </si>
  <si>
    <t xml:space="preserve">Room 1 </t>
  </si>
  <si>
    <t xml:space="preserve">Record room </t>
  </si>
  <si>
    <t>room 2</t>
  </si>
  <si>
    <t>Firemen rest room 1&amp;2</t>
  </si>
  <si>
    <t>bed room 1 &amp;2</t>
  </si>
  <si>
    <t>room 3</t>
  </si>
  <si>
    <t>Gym</t>
  </si>
  <si>
    <t>Pantry</t>
  </si>
  <si>
    <t>toilet pcp</t>
  </si>
  <si>
    <t>a. 1200 x 2100 mm</t>
  </si>
  <si>
    <t>a. 1000 x 2100 mm   D</t>
  </si>
  <si>
    <t>a.900 x 2100mm</t>
  </si>
  <si>
    <t xml:space="preserve">D1 Door </t>
  </si>
  <si>
    <t>Teak wood panelled door Double leaf  shutters</t>
  </si>
  <si>
    <t>Inspection chamber floor</t>
  </si>
  <si>
    <t>First floor  floor</t>
  </si>
  <si>
    <t>sot room toilet So riding</t>
  </si>
  <si>
    <t>Common toilet area</t>
  </si>
  <si>
    <t>Room 1&amp;2</t>
  </si>
  <si>
    <t>Guest 1,2,3 &amp; Ado</t>
  </si>
  <si>
    <t xml:space="preserve">bed 1 &amp; 2 </t>
  </si>
  <si>
    <t>Room 3</t>
  </si>
  <si>
    <t xml:space="preserve">pantry room alround </t>
  </si>
  <si>
    <t xml:space="preserve">Toilet &amp; Toilet PCP </t>
  </si>
  <si>
    <t xml:space="preserve">Lift 2 sides </t>
  </si>
  <si>
    <t>Lfo</t>
  </si>
  <si>
    <t>So &amp; So Riding</t>
  </si>
  <si>
    <t>Second FLOOR</t>
  </si>
  <si>
    <t>Waiting area</t>
  </si>
  <si>
    <t>Toilet WC</t>
  </si>
  <si>
    <t>Bed</t>
  </si>
  <si>
    <t>Balcony</t>
  </si>
  <si>
    <t>Kitchen / Dining</t>
  </si>
  <si>
    <t>Utility</t>
  </si>
  <si>
    <t>Dormitery</t>
  </si>
  <si>
    <t>Fourth FLOOR</t>
  </si>
  <si>
    <t>Multi purpose hall</t>
  </si>
  <si>
    <t xml:space="preserve">Lift for all floors </t>
  </si>
  <si>
    <t>fifth FLOOR</t>
  </si>
  <si>
    <t xml:space="preserve">Add Jams </t>
  </si>
  <si>
    <t>Garrage wall</t>
  </si>
  <si>
    <t xml:space="preserve">Toilet &amp; Pcp toilet </t>
  </si>
  <si>
    <t>Loby</t>
  </si>
  <si>
    <r>
      <rPr>
        <b/>
        <sz val="12"/>
        <rFont val="Times New Roman"/>
        <family val="1"/>
      </rPr>
      <t>first floo</t>
    </r>
    <r>
      <rPr>
        <sz val="12"/>
        <rFont val="Times New Roman"/>
        <family val="1"/>
      </rPr>
      <t>r</t>
    </r>
  </si>
  <si>
    <t xml:space="preserve">Lfo room </t>
  </si>
  <si>
    <t xml:space="preserve">So riding &amp; So </t>
  </si>
  <si>
    <t>Wc</t>
  </si>
  <si>
    <t>guest room 1,2,3</t>
  </si>
  <si>
    <t>ado room</t>
  </si>
  <si>
    <t>Third  floor</t>
  </si>
  <si>
    <t xml:space="preserve">Bed &amp; kitchen </t>
  </si>
  <si>
    <t xml:space="preserve">store </t>
  </si>
  <si>
    <t>store</t>
  </si>
  <si>
    <t>W, W1 &amp; Fw Kw</t>
  </si>
  <si>
    <t>For Station</t>
  </si>
  <si>
    <t>fifth floor</t>
  </si>
  <si>
    <t>Tf</t>
  </si>
  <si>
    <t>Garrage</t>
  </si>
  <si>
    <t>Loft lintel Sides</t>
  </si>
  <si>
    <t xml:space="preserve">Roof  Beam </t>
  </si>
  <si>
    <t>roof Beam vertical</t>
  </si>
  <si>
    <t>D 1</t>
  </si>
  <si>
    <t>b. 900 x 2100</t>
  </si>
  <si>
    <t>station</t>
  </si>
  <si>
    <t>fourth floor</t>
  </si>
  <si>
    <t>For fire Stattion</t>
  </si>
  <si>
    <t>For station</t>
  </si>
  <si>
    <t>first floor plan</t>
  </si>
  <si>
    <t>f.Floor</t>
  </si>
  <si>
    <t>For Concrete 5th floor</t>
  </si>
  <si>
    <t xml:space="preserve"> Room</t>
  </si>
  <si>
    <t>Thiruneermalai</t>
  </si>
  <si>
    <t>g. fifth floor</t>
  </si>
  <si>
    <t xml:space="preserve">e. in fourth floor </t>
  </si>
  <si>
    <r>
      <t>Run of main with 2 wires of 2.5 sq.mm.</t>
    </r>
    <r>
      <rPr>
        <sz val="12"/>
        <rFont val="Times New Roman"/>
        <family val="1"/>
      </rPr>
      <t xml:space="preserve"> </t>
    </r>
    <r>
      <rPr>
        <b/>
        <sz val="12"/>
        <rFont val="Times New Roman"/>
        <family val="1"/>
      </rPr>
      <t>PVC insulated single core multi strand fire retardant flexible copper cablewith ISI mark conforming to IS: 694/1990</t>
    </r>
    <r>
      <rPr>
        <sz val="12"/>
        <rFont val="Times New Roman"/>
        <family val="1"/>
      </rPr>
      <t>,1.1 kv grade cable with continuous earth by means of 1.5 sq.mm</t>
    </r>
    <r>
      <rPr>
        <b/>
        <sz val="12"/>
        <rFont val="Times New Roman"/>
        <family val="1"/>
      </rPr>
      <t xml:space="preserve"> PVC insulated single core multi strand fire retardant flexible copper cable with ISI mark conformuing to IS: 694/1990,</t>
    </r>
    <r>
      <rPr>
        <sz val="12"/>
        <rFont val="Times New Roman"/>
        <family val="1"/>
      </rPr>
      <t>1.1. k.v. grade cable in fully concealed   19mm/20mm dia rigid PVC conduit pipe heavy dutywith ISI mark cost of all materials, specials etc., all complete.</t>
    </r>
  </si>
  <si>
    <t>Thrid  Floor</t>
  </si>
  <si>
    <t>Second  Floor</t>
  </si>
  <si>
    <t>Painting primer coat using approved quality of white cement over the cement plastered / concrete wall surfaces, ceiling or other similar works including cost of white cement, putty, brushes, watering, curing, etc., all complete and as directed by the departmental officers.</t>
  </si>
  <si>
    <t>From EB Pole to Meter boardn  &amp; Lift machine DB</t>
  </si>
  <si>
    <t>PVC Tiles Beading Pwd Sor pg36</t>
  </si>
  <si>
    <t>Sq.mt</t>
  </si>
  <si>
    <t>5 th floor</t>
  </si>
  <si>
    <t xml:space="preserve">g.f </t>
  </si>
  <si>
    <t>f.f</t>
  </si>
  <si>
    <t>s.f</t>
  </si>
  <si>
    <t xml:space="preserve">T.f </t>
  </si>
  <si>
    <t>Anticorrosive treatment for window grills</t>
  </si>
  <si>
    <t>NAME OF WORK :  CONSTRUCTION OF  NEW BUILDING FOR FIRE AND RESCUE SERVICE STATION WITH DEVELOPMENT WORKS AT VANNIYAMPATHY  IN CHENNAI CITY</t>
  </si>
  <si>
    <t>BASEMENT  WITH  FILLING GRAVEL</t>
  </si>
  <si>
    <t xml:space="preserve">c. </t>
  </si>
  <si>
    <r>
      <t xml:space="preserve"> 3 1/2 x 120 sqmm aluminium cable </t>
    </r>
    <r>
      <rPr>
        <b/>
        <sz val="18"/>
        <rFont val="Arial"/>
        <family val="2"/>
      </rPr>
      <t>(Data-C) SD- 240</t>
    </r>
  </si>
  <si>
    <t>a) 3 1/2 x 120 sqmm aluminium cable (Data-A) SD - 211
From DG panel to the common panel</t>
  </si>
  <si>
    <t>3 1/2 x 120 sqmm aluminium cable  SD - 193</t>
  </si>
  <si>
    <r>
      <t xml:space="preserve"> 3 1/2 x 120 sqmm aluminium cable </t>
    </r>
    <r>
      <rPr>
        <b/>
        <sz val="18"/>
        <rFont val="Arial"/>
        <family val="2"/>
      </rPr>
      <t>(Data-C) SD- 242</t>
    </r>
  </si>
  <si>
    <t xml:space="preserve">D </t>
  </si>
  <si>
    <t>b. 1000 x 2100</t>
  </si>
  <si>
    <t>steps</t>
  </si>
  <si>
    <t>GST at  12.0% ( GST at 6% + CGST 6% )</t>
  </si>
  <si>
    <t>624.61 Lakhs</t>
  </si>
  <si>
    <t>Chief Engineer</t>
  </si>
  <si>
    <t>Sl.
No.</t>
  </si>
  <si>
    <t xml:space="preserve">Charges for developing the borewell for the entire depth with air compressor of 300cfm capacity [Minimum 8 hours] including transportation, labour and fuel harges for compressor and conducting yield tests by V- notch method etc., all complete as directed by the departmental
officers.
</t>
  </si>
</sst>
</file>

<file path=xl/styles.xml><?xml version="1.0" encoding="utf-8"?>
<styleSheet xmlns="http://schemas.openxmlformats.org/spreadsheetml/2006/main">
  <numFmts count="22">
    <numFmt numFmtId="6" formatCode="&quot;$&quot;#,##0_);[Red]\(&quot;$&quot;#,##0\)"/>
    <numFmt numFmtId="42" formatCode="_(&quot;$&quot;* #,##0_);_(&quot;$&quot;* \(#,##0\);_(&quot;$&quot;* &quot;-&quot;_);_(@_)"/>
    <numFmt numFmtId="43" formatCode="_(* #,##0.00_);_(* \(#,##0.00\);_(* &quot;-&quot;??_);_(@_)"/>
    <numFmt numFmtId="164" formatCode="&quot;₹&quot;\ #,##0;&quot;₹&quot;\ \-#,##0"/>
    <numFmt numFmtId="165" formatCode="_ &quot;₹&quot;\ * #,##0_ ;_ &quot;₹&quot;\ * \-#,##0_ ;_ &quot;₹&quot;\ * &quot;-&quot;_ ;_ @_ "/>
    <numFmt numFmtId="166" formatCode="_ &quot;₹&quot;\ * #,##0.00_ ;_ &quot;₹&quot;\ * \-#,##0.00_ ;_ &quot;₹&quot;\ * &quot;-&quot;??_ ;_ @_ "/>
    <numFmt numFmtId="167" formatCode="0.00_)"/>
    <numFmt numFmtId="168" formatCode="_-&quot;€&quot;* #,##0.00_-;\-&quot;€&quot;* #,##0.00_-;_-&quot;€&quot;* &quot;-&quot;??_-;_-@_-"/>
    <numFmt numFmtId="169" formatCode="&quot;Rs.&quot;\ #,##0;&quot;Rs.&quot;\ \-#,##0"/>
    <numFmt numFmtId="170" formatCode="&quot;Rs.&quot;\ #,##0.00;[Red]&quot;Rs.&quot;\ \-#,##0.00"/>
    <numFmt numFmtId="171" formatCode="0_)"/>
    <numFmt numFmtId="172" formatCode="0.000_)"/>
    <numFmt numFmtId="173" formatCode="0.0"/>
    <numFmt numFmtId="174" formatCode="0.0_)"/>
    <numFmt numFmtId="175" formatCode="0.000000"/>
    <numFmt numFmtId="176" formatCode="0.0000_)"/>
    <numFmt numFmtId="177" formatCode="0.00000_)"/>
    <numFmt numFmtId="178" formatCode="0.000000_)"/>
    <numFmt numFmtId="179" formatCode="0.00000000_)"/>
    <numFmt numFmtId="180" formatCode="0.000"/>
    <numFmt numFmtId="181" formatCode="_(* #,##0_);_(* \(#,##0\);_(* &quot;-&quot;??_);_(@_)"/>
    <numFmt numFmtId="182" formatCode="0.0000"/>
  </numFmts>
  <fonts count="214">
    <font>
      <sz val="12"/>
      <name val="Helv"/>
      <family val="2"/>
    </font>
    <font>
      <b/>
      <sz val="12"/>
      <name val="Arial"/>
      <family val="2"/>
    </font>
    <font>
      <sz val="12"/>
      <name val="Arial"/>
      <family val="2"/>
    </font>
    <font>
      <sz val="11"/>
      <color indexed="8"/>
      <name val="Times New Roman"/>
      <family val="1"/>
    </font>
    <font>
      <sz val="10"/>
      <name val="Arial"/>
      <family val="2"/>
    </font>
    <font>
      <b/>
      <sz val="11"/>
      <color indexed="8"/>
      <name val="Times New Roman"/>
      <family val="1"/>
    </font>
    <font>
      <b/>
      <sz val="11"/>
      <name val="Arial"/>
      <family val="2"/>
    </font>
    <font>
      <sz val="11"/>
      <name val="Times New Roman"/>
      <family val="1"/>
    </font>
    <font>
      <b/>
      <sz val="11"/>
      <name val="Times New Roman"/>
      <family val="1"/>
    </font>
    <font>
      <b/>
      <u/>
      <sz val="11"/>
      <name val="Times New Roman"/>
      <family val="1"/>
    </font>
    <font>
      <sz val="12"/>
      <name val="Times New Roman"/>
      <family val="1"/>
    </font>
    <font>
      <b/>
      <sz val="12"/>
      <name val="Times New Roman"/>
      <family val="1"/>
    </font>
    <font>
      <b/>
      <sz val="10.5"/>
      <name val="Times New Roman"/>
      <family val="1"/>
    </font>
    <font>
      <b/>
      <sz val="12"/>
      <color indexed="12"/>
      <name val="Times New Roman"/>
      <family val="1"/>
    </font>
    <font>
      <sz val="18"/>
      <name val="Arial"/>
      <family val="2"/>
    </font>
    <font>
      <b/>
      <sz val="18"/>
      <name val="Arial"/>
      <family val="2"/>
    </font>
    <font>
      <sz val="18"/>
      <name val="Times New Roman"/>
      <family val="1"/>
    </font>
    <font>
      <sz val="16"/>
      <name val="Arial"/>
      <family val="2"/>
    </font>
    <font>
      <sz val="18"/>
      <name val="Book Antiqua"/>
      <family val="1"/>
    </font>
    <font>
      <b/>
      <sz val="16"/>
      <name val="Arial"/>
      <family val="2"/>
    </font>
    <font>
      <sz val="20"/>
      <name val="Times New Roman"/>
      <family val="1"/>
    </font>
    <font>
      <sz val="12"/>
      <color indexed="16"/>
      <name val="Times New Roman"/>
      <family val="1"/>
    </font>
    <font>
      <sz val="12"/>
      <color indexed="8"/>
      <name val="Times New Roman"/>
      <family val="1"/>
    </font>
    <font>
      <sz val="12"/>
      <color indexed="10"/>
      <name val="Times New Roman"/>
      <family val="1"/>
    </font>
    <font>
      <sz val="12"/>
      <color indexed="14"/>
      <name val="Times New Roman"/>
      <family val="1"/>
    </font>
    <font>
      <b/>
      <sz val="16"/>
      <name val="Times New Roman"/>
      <family val="1"/>
    </font>
    <font>
      <sz val="10"/>
      <name val="Times New Roman"/>
      <family val="1"/>
    </font>
    <font>
      <sz val="13"/>
      <name val="Times New Roman"/>
      <family val="1"/>
    </font>
    <font>
      <sz val="12"/>
      <color indexed="11"/>
      <name val="Times New Roman"/>
      <family val="1"/>
    </font>
    <font>
      <sz val="12"/>
      <color indexed="13"/>
      <name val="Times New Roman"/>
      <family val="1"/>
    </font>
    <font>
      <b/>
      <sz val="12"/>
      <color indexed="8"/>
      <name val="Times New Roman"/>
      <family val="1"/>
    </font>
    <font>
      <b/>
      <sz val="20"/>
      <name val="Times New Roman"/>
      <family val="1"/>
    </font>
    <font>
      <sz val="12"/>
      <color indexed="12"/>
      <name val="Times New Roman"/>
      <family val="1"/>
    </font>
    <font>
      <b/>
      <sz val="15"/>
      <color indexed="12"/>
      <name val="Times New Roman"/>
      <family val="1"/>
    </font>
    <font>
      <b/>
      <sz val="15"/>
      <name val="Times New Roman"/>
      <family val="1"/>
    </font>
    <font>
      <sz val="12"/>
      <color indexed="57"/>
      <name val="Times New Roman"/>
      <family val="1"/>
    </font>
    <font>
      <b/>
      <sz val="14"/>
      <name val="Times New Roman"/>
      <family val="1"/>
    </font>
    <font>
      <b/>
      <sz val="10"/>
      <name val="Times New Roman"/>
      <family val="1"/>
    </font>
    <font>
      <sz val="16"/>
      <name val="Times New Roman"/>
      <family val="1"/>
    </font>
    <font>
      <sz val="16"/>
      <color indexed="16"/>
      <name val="Times New Roman"/>
      <family val="1"/>
    </font>
    <font>
      <b/>
      <sz val="12"/>
      <color indexed="10"/>
      <name val="Times New Roman"/>
      <family val="1"/>
    </font>
    <font>
      <b/>
      <sz val="13"/>
      <name val="Times New Roman"/>
      <family val="1"/>
    </font>
    <font>
      <sz val="12"/>
      <color indexed="9"/>
      <name val="Times New Roman"/>
      <family val="1"/>
    </font>
    <font>
      <sz val="14"/>
      <name val="Times New Roman"/>
      <family val="1"/>
    </font>
    <font>
      <sz val="11"/>
      <color indexed="57"/>
      <name val="Times New Roman"/>
      <family val="1"/>
    </font>
    <font>
      <sz val="11"/>
      <color indexed="10"/>
      <name val="Times New Roman"/>
      <family val="1"/>
    </font>
    <font>
      <b/>
      <sz val="12"/>
      <color indexed="14"/>
      <name val="Times New Roman"/>
      <family val="1"/>
    </font>
    <font>
      <b/>
      <u/>
      <sz val="12"/>
      <name val="Times New Roman"/>
      <family val="1"/>
    </font>
    <font>
      <sz val="12"/>
      <color indexed="17"/>
      <name val="Times New Roman"/>
      <family val="1"/>
    </font>
    <font>
      <b/>
      <sz val="18"/>
      <name val="Times New Roman"/>
      <family val="1"/>
    </font>
    <font>
      <sz val="10"/>
      <name val="Tahoma"/>
      <family val="2"/>
    </font>
    <font>
      <b/>
      <sz val="12"/>
      <name val="Tahoma"/>
      <family val="2"/>
    </font>
    <font>
      <b/>
      <sz val="10"/>
      <name val="Tahoma"/>
      <family val="2"/>
    </font>
    <font>
      <sz val="12"/>
      <name val="Cambria"/>
      <family val="1"/>
    </font>
    <font>
      <b/>
      <sz val="12"/>
      <name val="Cambria"/>
      <family val="1"/>
    </font>
    <font>
      <b/>
      <u/>
      <sz val="14"/>
      <name val="Times New Roman"/>
      <family val="1"/>
    </font>
    <font>
      <u/>
      <sz val="12"/>
      <name val="Times New Roman"/>
      <family val="1"/>
    </font>
    <font>
      <b/>
      <sz val="12"/>
      <name val="Helv"/>
      <family val="2"/>
    </font>
    <font>
      <b/>
      <sz val="13"/>
      <name val="Arial"/>
      <family val="2"/>
    </font>
    <font>
      <sz val="13"/>
      <name val="Arial"/>
      <family val="2"/>
    </font>
    <font>
      <b/>
      <sz val="14"/>
      <name val="Helv"/>
      <family val="2"/>
    </font>
    <font>
      <b/>
      <sz val="14"/>
      <name val="Arial"/>
      <family val="2"/>
    </font>
    <font>
      <b/>
      <u/>
      <sz val="12"/>
      <name val="Arial"/>
      <family val="2"/>
    </font>
    <font>
      <sz val="14"/>
      <name val="Arial"/>
      <family val="2"/>
    </font>
    <font>
      <sz val="15"/>
      <name val="Arial"/>
      <family val="2"/>
    </font>
    <font>
      <b/>
      <sz val="15"/>
      <name val="Arial"/>
      <family val="2"/>
    </font>
    <font>
      <sz val="11.9"/>
      <name val="Times New Roman"/>
      <family val="1"/>
    </font>
    <font>
      <b/>
      <sz val="10"/>
      <name val="Arial"/>
      <family val="2"/>
    </font>
    <font>
      <b/>
      <sz val="9"/>
      <name val="Arial"/>
      <family val="2"/>
    </font>
    <font>
      <sz val="10"/>
      <color indexed="10"/>
      <name val="Arial"/>
      <family val="2"/>
    </font>
    <font>
      <sz val="8"/>
      <name val="Arial"/>
      <family val="2"/>
    </font>
    <font>
      <sz val="11"/>
      <name val="Helv"/>
      <family val="2"/>
    </font>
    <font>
      <b/>
      <sz val="16"/>
      <name val="Helv"/>
      <family val="2"/>
    </font>
    <font>
      <b/>
      <u/>
      <sz val="12"/>
      <name val="Helv"/>
      <family val="2"/>
    </font>
    <font>
      <sz val="12"/>
      <color indexed="10"/>
      <name val="Helv"/>
      <family val="2"/>
    </font>
    <font>
      <sz val="12"/>
      <color indexed="14"/>
      <name val="Helv"/>
      <family val="2"/>
    </font>
    <font>
      <sz val="12"/>
      <color indexed="12"/>
      <name val="Helv"/>
      <family val="2"/>
    </font>
    <font>
      <sz val="12"/>
      <name val="Algerian"/>
      <family val="5"/>
    </font>
    <font>
      <b/>
      <sz val="16"/>
      <name val="Algerian"/>
      <family val="5"/>
    </font>
    <font>
      <b/>
      <sz val="12"/>
      <name val="Algerian"/>
      <family val="5"/>
    </font>
    <font>
      <b/>
      <sz val="14"/>
      <name val="Algerian"/>
      <family val="5"/>
    </font>
    <font>
      <b/>
      <u/>
      <sz val="14"/>
      <name val="Arial"/>
      <family val="2"/>
    </font>
    <font>
      <u/>
      <sz val="14"/>
      <name val="Arial"/>
      <family val="2"/>
    </font>
    <font>
      <b/>
      <sz val="18"/>
      <name val="Helv"/>
      <family val="2"/>
    </font>
    <font>
      <sz val="13"/>
      <name val="Helv"/>
      <family val="2"/>
    </font>
    <font>
      <sz val="16"/>
      <name val="Helv"/>
      <family val="2"/>
    </font>
    <font>
      <sz val="14"/>
      <name val="Helv"/>
      <family val="2"/>
    </font>
    <font>
      <b/>
      <sz val="12"/>
      <color indexed="8"/>
      <name val="Helv"/>
      <family val="2"/>
    </font>
    <font>
      <sz val="12"/>
      <color indexed="8"/>
      <name val="Helv"/>
      <family val="2"/>
    </font>
    <font>
      <b/>
      <u/>
      <sz val="14"/>
      <name val="Helv"/>
      <family val="2"/>
    </font>
    <font>
      <u/>
      <sz val="12"/>
      <name val="Helv"/>
      <family val="2"/>
    </font>
    <font>
      <b/>
      <sz val="12"/>
      <color indexed="10"/>
      <name val="Helv"/>
      <family val="2"/>
    </font>
    <font>
      <sz val="12"/>
      <color indexed="10"/>
      <name val="Arial"/>
      <family val="2"/>
    </font>
    <font>
      <u/>
      <sz val="12"/>
      <name val="Arial"/>
      <family val="2"/>
    </font>
    <font>
      <sz val="12"/>
      <color indexed="12"/>
      <name val="Arial"/>
      <family val="2"/>
    </font>
    <font>
      <sz val="11.9"/>
      <name val="Helv"/>
      <family val="2"/>
    </font>
    <font>
      <sz val="15"/>
      <name val="Times New Roman"/>
      <family val="1"/>
    </font>
    <font>
      <b/>
      <i/>
      <sz val="16"/>
      <name val="Helv"/>
      <family val="2"/>
    </font>
    <font>
      <sz val="9"/>
      <name val="Times New Roman"/>
      <family val="1"/>
    </font>
    <font>
      <sz val="11"/>
      <color indexed="8"/>
      <name val="Calibri"/>
      <family val="2"/>
    </font>
    <font>
      <sz val="10"/>
      <name val="Helv"/>
      <family val="2"/>
    </font>
    <font>
      <vertAlign val="superscript"/>
      <sz val="11"/>
      <name val="Times New Roman"/>
      <family val="1"/>
    </font>
    <font>
      <b/>
      <sz val="12"/>
      <color indexed="13"/>
      <name val="Times New Roman"/>
      <family val="1"/>
    </font>
    <font>
      <b/>
      <sz val="16"/>
      <color indexed="13"/>
      <name val="Times New Roman"/>
      <family val="1"/>
    </font>
    <font>
      <b/>
      <u/>
      <sz val="13"/>
      <name val="Times New Roman"/>
      <family val="1"/>
    </font>
    <font>
      <vertAlign val="superscript"/>
      <sz val="12"/>
      <name val="Times New Roman"/>
      <family val="1"/>
    </font>
    <font>
      <b/>
      <vertAlign val="superscript"/>
      <sz val="12"/>
      <name val="Tahoma"/>
      <family val="2"/>
    </font>
    <font>
      <sz val="10"/>
      <name val="Book Antiqua"/>
      <family val="1"/>
    </font>
    <font>
      <vertAlign val="superscript"/>
      <sz val="10"/>
      <name val="Tahoma"/>
      <family val="2"/>
    </font>
    <font>
      <b/>
      <vertAlign val="superscript"/>
      <sz val="10"/>
      <name val="Tahoma"/>
      <family val="2"/>
    </font>
    <font>
      <b/>
      <vertAlign val="superscript"/>
      <sz val="12"/>
      <name val="Cambria"/>
      <family val="1"/>
    </font>
    <font>
      <vertAlign val="superscript"/>
      <sz val="11"/>
      <color indexed="8"/>
      <name val="Calibri"/>
      <family val="2"/>
    </font>
    <font>
      <b/>
      <vertAlign val="superscript"/>
      <sz val="11"/>
      <color indexed="8"/>
      <name val="Calibri"/>
      <family val="2"/>
    </font>
    <font>
      <vertAlign val="superscript"/>
      <sz val="10"/>
      <name val="Times New Roman"/>
      <family val="1"/>
    </font>
    <font>
      <vertAlign val="superscript"/>
      <sz val="14"/>
      <name val="Arial"/>
      <family val="2"/>
    </font>
    <font>
      <vertAlign val="superscript"/>
      <sz val="12"/>
      <name val="Helv"/>
      <family val="2"/>
    </font>
    <font>
      <sz val="12"/>
      <name val="Helv"/>
      <family val="2"/>
    </font>
    <font>
      <sz val="12"/>
      <name val="Helv"/>
    </font>
    <font>
      <b/>
      <u val="double"/>
      <sz val="16"/>
      <name val="Times New Roman"/>
      <family val="1"/>
    </font>
    <font>
      <b/>
      <sz val="9"/>
      <name val="Times New Roman"/>
      <family val="1"/>
    </font>
    <font>
      <sz val="10"/>
      <name val="Arial"/>
      <family val="2"/>
    </font>
    <font>
      <sz val="11"/>
      <name val="Arial"/>
      <family val="2"/>
    </font>
    <font>
      <sz val="12"/>
      <name val="Helv"/>
      <charset val="134"/>
    </font>
    <font>
      <sz val="12"/>
      <name val="Calibri Light"/>
      <family val="2"/>
    </font>
    <font>
      <sz val="11"/>
      <name val="Calibri Light"/>
      <family val="2"/>
    </font>
    <font>
      <b/>
      <sz val="12"/>
      <name val="Times New Roman"/>
      <family val="1"/>
    </font>
    <font>
      <sz val="12"/>
      <name val="Calibri"/>
      <family val="2"/>
    </font>
    <font>
      <sz val="12"/>
      <name val="Times New Roman"/>
      <family val="1"/>
    </font>
    <font>
      <sz val="12"/>
      <name val="Helvetica Neue"/>
    </font>
    <font>
      <b/>
      <sz val="12"/>
      <name val="Helvetica Neue"/>
    </font>
    <font>
      <sz val="14"/>
      <name val="Times New Roman"/>
      <family val="1"/>
    </font>
    <font>
      <sz val="12"/>
      <name val="Cambria"/>
      <family val="1"/>
    </font>
    <font>
      <sz val="12"/>
      <name val="Book Antiqua"/>
      <family val="1"/>
    </font>
    <font>
      <sz val="12"/>
      <name val="Arial"/>
      <family val="2"/>
    </font>
    <font>
      <sz val="11"/>
      <name val="Arial"/>
      <family val="2"/>
    </font>
    <font>
      <u/>
      <sz val="12"/>
      <name val="Times New Roman"/>
      <family val="1"/>
    </font>
    <font>
      <sz val="26"/>
      <name val="Times New Roman"/>
      <family val="1"/>
    </font>
    <font>
      <b/>
      <u/>
      <sz val="20"/>
      <name val="Times New Roman"/>
      <family val="1"/>
    </font>
    <font>
      <sz val="12"/>
      <name val="Arial Black"/>
      <family val="2"/>
    </font>
    <font>
      <b/>
      <sz val="22"/>
      <name val="Arial"/>
      <family val="2"/>
    </font>
    <font>
      <sz val="11"/>
      <color theme="1"/>
      <name val="Calibri"/>
      <family val="2"/>
      <scheme val="minor"/>
    </font>
    <font>
      <u/>
      <sz val="11"/>
      <color theme="10"/>
      <name val="Calibri"/>
      <family val="2"/>
    </font>
    <font>
      <sz val="11"/>
      <color rgb="FF000000"/>
      <name val="Calibri"/>
      <family val="2"/>
      <scheme val="minor"/>
    </font>
    <font>
      <sz val="11"/>
      <color rgb="FF000000"/>
      <name val="Calibri"/>
      <family val="2"/>
    </font>
    <font>
      <b/>
      <sz val="11"/>
      <color theme="1"/>
      <name val="Calibri"/>
      <family val="2"/>
      <scheme val="minor"/>
    </font>
    <font>
      <sz val="12"/>
      <color rgb="FFC00000"/>
      <name val="Times New Roman"/>
      <family val="1"/>
    </font>
    <font>
      <b/>
      <sz val="12"/>
      <color rgb="FFFFFF00"/>
      <name val="Times New Roman"/>
      <family val="1"/>
    </font>
    <font>
      <sz val="12"/>
      <color rgb="FFFF0000"/>
      <name val="Times New Roman"/>
      <family val="1"/>
    </font>
    <font>
      <sz val="18"/>
      <color rgb="FFFF0000"/>
      <name val="Arial"/>
      <family val="2"/>
    </font>
    <font>
      <sz val="18"/>
      <color theme="1"/>
      <name val="Arial"/>
      <family val="2"/>
    </font>
    <font>
      <b/>
      <sz val="18"/>
      <color theme="1"/>
      <name val="Arial"/>
      <family val="2"/>
    </font>
    <font>
      <b/>
      <sz val="12"/>
      <color rgb="FFFF0000"/>
      <name val="Times New Roman"/>
      <family val="1"/>
    </font>
    <font>
      <sz val="12"/>
      <color rgb="FFFFFF00"/>
      <name val="Times New Roman"/>
      <family val="1"/>
    </font>
    <font>
      <sz val="12"/>
      <color theme="0"/>
      <name val="Times New Roman"/>
      <family val="1"/>
    </font>
    <font>
      <sz val="12"/>
      <color rgb="FFFF00FF"/>
      <name val="Times New Roman"/>
      <family val="1"/>
    </font>
    <font>
      <sz val="12"/>
      <color theme="3" tint="0.39997558519241921"/>
      <name val="Times New Roman"/>
      <family val="1"/>
    </font>
    <font>
      <sz val="12"/>
      <color rgb="FFFF66FF"/>
      <name val="Times New Roman"/>
      <family val="1"/>
    </font>
    <font>
      <sz val="12"/>
      <color theme="9" tint="0.59999389629810485"/>
      <name val="Times New Roman"/>
      <family val="1"/>
    </font>
    <font>
      <sz val="12"/>
      <color rgb="FF92D050"/>
      <name val="Times New Roman"/>
      <family val="1"/>
    </font>
    <font>
      <sz val="12"/>
      <color theme="9" tint="0.39997558519241921"/>
      <name val="Times New Roman"/>
      <family val="1"/>
    </font>
    <font>
      <b/>
      <sz val="12"/>
      <color theme="0"/>
      <name val="Times New Roman"/>
      <family val="1"/>
    </font>
    <font>
      <sz val="12"/>
      <color theme="5"/>
      <name val="Times New Roman"/>
      <family val="1"/>
    </font>
    <font>
      <sz val="12"/>
      <color rgb="FF7030A0"/>
      <name val="Times New Roman"/>
      <family val="1"/>
    </font>
    <font>
      <sz val="12"/>
      <color rgb="FF0070C0"/>
      <name val="Times New Roman"/>
      <family val="1"/>
    </font>
    <font>
      <sz val="12"/>
      <color rgb="FF00B0F0"/>
      <name val="Times New Roman"/>
      <family val="1"/>
    </font>
    <font>
      <sz val="16"/>
      <color rgb="FFFFFF00"/>
      <name val="Times New Roman"/>
      <family val="1"/>
    </font>
    <font>
      <sz val="12"/>
      <color rgb="FFFF33CC"/>
      <name val="Times New Roman"/>
      <family val="1"/>
    </font>
    <font>
      <sz val="12"/>
      <color theme="1"/>
      <name val="Times New Roman"/>
      <family val="1"/>
    </font>
    <font>
      <sz val="11"/>
      <color rgb="FFC00000"/>
      <name val="Times New Roman"/>
      <family val="1"/>
    </font>
    <font>
      <sz val="11"/>
      <color rgb="FFFFFF00"/>
      <name val="Times New Roman"/>
      <family val="1"/>
    </font>
    <font>
      <b/>
      <sz val="12"/>
      <color theme="1"/>
      <name val="Times New Roman"/>
      <family val="1"/>
    </font>
    <font>
      <sz val="12"/>
      <color theme="1" tint="4.9989318521683403E-2"/>
      <name val="Times New Roman"/>
      <family val="1"/>
    </font>
    <font>
      <b/>
      <sz val="12"/>
      <color theme="1" tint="4.9989318521683403E-2"/>
      <name val="Times New Roman"/>
      <family val="1"/>
    </font>
    <font>
      <sz val="12"/>
      <color theme="8" tint="-0.249977111117893"/>
      <name val="Times New Roman"/>
      <family val="1"/>
    </font>
    <font>
      <sz val="18"/>
      <color rgb="FFFFFF00"/>
      <name val="Times New Roman"/>
      <family val="1"/>
    </font>
    <font>
      <sz val="14"/>
      <color rgb="FFFF0000"/>
      <name val="Times New Roman"/>
      <family val="1"/>
    </font>
    <font>
      <b/>
      <sz val="11"/>
      <color theme="1"/>
      <name val="Times New Roman"/>
      <family val="1"/>
    </font>
    <font>
      <b/>
      <sz val="12"/>
      <color rgb="FFFF33CC"/>
      <name val="Times New Roman"/>
      <family val="1"/>
    </font>
    <font>
      <sz val="13"/>
      <color rgb="FFFFFF00"/>
      <name val="Times New Roman"/>
      <family val="1"/>
    </font>
    <font>
      <sz val="13"/>
      <color rgb="FFFF0000"/>
      <name val="Times New Roman"/>
      <family val="1"/>
    </font>
    <font>
      <sz val="14"/>
      <color rgb="FFFFFF00"/>
      <name val="Times New Roman"/>
      <family val="1"/>
    </font>
    <font>
      <sz val="11"/>
      <color theme="1"/>
      <name val="Times New Roman"/>
      <family val="1"/>
    </font>
    <font>
      <b/>
      <sz val="14"/>
      <color theme="1"/>
      <name val="Times New Roman"/>
      <family val="1"/>
    </font>
    <font>
      <sz val="13"/>
      <color theme="1"/>
      <name val="Times New Roman"/>
      <family val="1"/>
    </font>
    <font>
      <b/>
      <sz val="13"/>
      <color theme="1"/>
      <name val="Times New Roman"/>
      <family val="1"/>
    </font>
    <font>
      <sz val="11"/>
      <color indexed="8"/>
      <name val="Cambria"/>
      <family val="1"/>
      <scheme val="major"/>
    </font>
    <font>
      <sz val="12"/>
      <name val="Cambria"/>
      <family val="1"/>
      <scheme val="major"/>
    </font>
    <font>
      <b/>
      <sz val="12"/>
      <name val="Cambria"/>
      <family val="1"/>
      <scheme val="major"/>
    </font>
    <font>
      <b/>
      <sz val="11"/>
      <name val="Cambria"/>
      <family val="1"/>
      <scheme val="major"/>
    </font>
    <font>
      <sz val="13"/>
      <name val="Cambria"/>
      <family val="1"/>
      <scheme val="major"/>
    </font>
    <font>
      <b/>
      <sz val="13"/>
      <name val="Cambria"/>
      <family val="1"/>
      <scheme val="major"/>
    </font>
    <font>
      <b/>
      <sz val="12"/>
      <color indexed="8"/>
      <name val="Cambria"/>
      <family val="1"/>
      <scheme val="major"/>
    </font>
    <font>
      <sz val="12"/>
      <color theme="1"/>
      <name val="Cambria"/>
      <family val="1"/>
      <scheme val="major"/>
    </font>
    <font>
      <sz val="12"/>
      <color rgb="FFFF0000"/>
      <name val="Cambria"/>
      <family val="1"/>
      <scheme val="major"/>
    </font>
    <font>
      <b/>
      <sz val="12"/>
      <color rgb="FFFF0000"/>
      <name val="Cambria"/>
      <family val="1"/>
      <scheme val="major"/>
    </font>
    <font>
      <b/>
      <sz val="14"/>
      <color rgb="FF000000"/>
      <name val="Times New Roman"/>
      <family val="1"/>
    </font>
    <font>
      <sz val="12"/>
      <color theme="8" tint="-0.249977111117893"/>
      <name val="Helv"/>
      <family val="2"/>
    </font>
    <font>
      <b/>
      <sz val="12"/>
      <color theme="0"/>
      <name val="Arial"/>
      <family val="2"/>
    </font>
    <font>
      <sz val="12"/>
      <color rgb="FFFFC000"/>
      <name val="Times New Roman"/>
      <family val="1"/>
    </font>
    <font>
      <sz val="10"/>
      <color rgb="FFFF0000"/>
      <name val="Times New Roman"/>
      <family val="1"/>
    </font>
    <font>
      <sz val="10"/>
      <color rgb="FFFFFF00"/>
      <name val="Times New Roman"/>
      <family val="1"/>
    </font>
    <font>
      <sz val="10"/>
      <color rgb="FFFF0000"/>
      <name val="Arial"/>
      <family val="2"/>
    </font>
    <font>
      <sz val="12"/>
      <color rgb="FFFF0000"/>
      <name val="Helv"/>
      <family val="2"/>
    </font>
    <font>
      <sz val="12"/>
      <color rgb="FFFFFF00"/>
      <name val="Helv"/>
      <family val="2"/>
    </font>
    <font>
      <sz val="12"/>
      <color theme="0"/>
      <name val="Helv"/>
      <family val="2"/>
    </font>
    <font>
      <sz val="12"/>
      <color rgb="FFFFC000"/>
      <name val="Helv"/>
      <family val="2"/>
    </font>
    <font>
      <b/>
      <sz val="12"/>
      <color rgb="FFFFFF00"/>
      <name val="Helv"/>
      <family val="2"/>
    </font>
    <font>
      <sz val="12"/>
      <color theme="0"/>
      <name val="Arial"/>
      <family val="2"/>
    </font>
    <font>
      <sz val="12"/>
      <color theme="1"/>
      <name val="Helv"/>
      <family val="2"/>
    </font>
    <font>
      <b/>
      <u/>
      <sz val="13"/>
      <color theme="1"/>
      <name val="Times New Roman"/>
      <family val="1"/>
    </font>
    <font>
      <b/>
      <u/>
      <sz val="16"/>
      <color theme="1"/>
      <name val="Times New Roman"/>
      <family val="1"/>
    </font>
    <font>
      <sz val="12"/>
      <color rgb="FF000000"/>
      <name val="Times New Roman"/>
      <family val="1"/>
    </font>
    <font>
      <b/>
      <sz val="16"/>
      <color theme="1"/>
      <name val="Times New Roman"/>
      <family val="1"/>
    </font>
    <font>
      <sz val="18"/>
      <color rgb="FFC00000"/>
      <name val="Arial"/>
      <family val="2"/>
    </font>
  </fonts>
  <fills count="25">
    <fill>
      <patternFill patternType="none"/>
    </fill>
    <fill>
      <patternFill patternType="gray125"/>
    </fill>
    <fill>
      <patternFill patternType="solid">
        <fgColor indexed="46"/>
        <bgColor indexed="64"/>
      </patternFill>
    </fill>
    <fill>
      <patternFill patternType="solid">
        <fgColor indexed="53"/>
        <bgColor indexed="64"/>
      </patternFill>
    </fill>
    <fill>
      <patternFill patternType="solid">
        <fgColor indexed="22"/>
        <bgColor indexed="64"/>
      </patternFill>
    </fill>
    <fill>
      <patternFill patternType="solid">
        <fgColor indexed="26"/>
        <bgColor indexed="64"/>
      </patternFill>
    </fill>
    <fill>
      <patternFill patternType="solid">
        <fgColor indexed="9"/>
        <bgColor indexed="64"/>
      </patternFill>
    </fill>
    <fill>
      <patternFill patternType="solid">
        <fgColor indexed="13"/>
        <bgColor indexed="64"/>
      </patternFill>
    </fill>
    <fill>
      <patternFill patternType="solid">
        <fgColor theme="0"/>
        <bgColor indexed="64"/>
      </patternFill>
    </fill>
    <fill>
      <patternFill patternType="solid">
        <fgColor rgb="FFFF0000"/>
        <bgColor indexed="64"/>
      </patternFill>
    </fill>
    <fill>
      <patternFill patternType="solid">
        <fgColor rgb="FFC00000"/>
        <bgColor indexed="64"/>
      </patternFill>
    </fill>
    <fill>
      <patternFill patternType="solid">
        <fgColor rgb="FFFFC000"/>
        <bgColor indexed="64"/>
      </patternFill>
    </fill>
    <fill>
      <patternFill patternType="solid">
        <fgColor theme="1" tint="0.249977111117893"/>
        <bgColor indexed="64"/>
      </patternFill>
    </fill>
    <fill>
      <patternFill patternType="solid">
        <fgColor rgb="FFFFFF00"/>
        <bgColor indexed="64"/>
      </patternFill>
    </fill>
    <fill>
      <patternFill patternType="solid">
        <fgColor rgb="FFFFFFFF"/>
        <bgColor rgb="FF000000"/>
      </patternFill>
    </fill>
    <fill>
      <patternFill patternType="solid">
        <fgColor theme="1"/>
        <bgColor indexed="64"/>
      </patternFill>
    </fill>
    <fill>
      <patternFill patternType="solid">
        <fgColor rgb="FF7030A0"/>
        <bgColor indexed="64"/>
      </patternFill>
    </fill>
    <fill>
      <patternFill patternType="solid">
        <fgColor theme="0"/>
        <bgColor rgb="FF000000"/>
      </patternFill>
    </fill>
    <fill>
      <patternFill patternType="solid">
        <fgColor rgb="FF00B0F0"/>
        <bgColor rgb="FF000000"/>
      </patternFill>
    </fill>
    <fill>
      <patternFill patternType="solid">
        <fgColor theme="5" tint="-0.499984740745262"/>
        <bgColor indexed="64"/>
      </patternFill>
    </fill>
    <fill>
      <patternFill patternType="solid">
        <fgColor rgb="FFA9D08E"/>
        <bgColor rgb="FF000000"/>
      </patternFill>
    </fill>
    <fill>
      <patternFill patternType="solid">
        <fgColor rgb="FF0070C0"/>
        <bgColor rgb="FF000000"/>
      </patternFill>
    </fill>
    <fill>
      <patternFill patternType="solid">
        <fgColor rgb="FF92D050"/>
        <bgColor indexed="64"/>
      </patternFill>
    </fill>
    <fill>
      <patternFill patternType="solid">
        <fgColor rgb="FFFFFF00"/>
        <bgColor rgb="FF000000"/>
      </patternFill>
    </fill>
    <fill>
      <patternFill patternType="solid">
        <fgColor theme="2"/>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thin">
        <color indexed="64"/>
      </left>
      <right style="dashed">
        <color indexed="64"/>
      </right>
      <top style="thin">
        <color indexed="64"/>
      </top>
      <bottom style="dashed">
        <color indexed="64"/>
      </bottom>
      <diagonal/>
    </border>
    <border>
      <left style="dashed">
        <color indexed="64"/>
      </left>
      <right style="dashed">
        <color indexed="64"/>
      </right>
      <top style="thin">
        <color indexed="64"/>
      </top>
      <bottom style="dashed">
        <color indexed="64"/>
      </bottom>
      <diagonal/>
    </border>
    <border>
      <left style="thin">
        <color indexed="64"/>
      </left>
      <right style="dashed">
        <color indexed="64"/>
      </right>
      <top style="dashed">
        <color indexed="64"/>
      </top>
      <bottom style="dashed">
        <color indexed="64"/>
      </bottom>
      <diagonal/>
    </border>
    <border>
      <left style="dashed">
        <color indexed="64"/>
      </left>
      <right style="dashed">
        <color indexed="64"/>
      </right>
      <top style="dashed">
        <color indexed="64"/>
      </top>
      <bottom style="dashed">
        <color indexed="64"/>
      </bottom>
      <diagonal/>
    </border>
    <border>
      <left style="dashed">
        <color indexed="64"/>
      </left>
      <right style="thin">
        <color indexed="64"/>
      </right>
      <top style="thin">
        <color indexed="64"/>
      </top>
      <bottom style="dashed">
        <color indexed="64"/>
      </bottom>
      <diagonal/>
    </border>
    <border>
      <left style="dashed">
        <color indexed="64"/>
      </left>
      <right style="thin">
        <color indexed="64"/>
      </right>
      <top style="dashed">
        <color indexed="64"/>
      </top>
      <bottom style="dashed">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right style="thin">
        <color indexed="64"/>
      </right>
      <top style="thin">
        <color indexed="64"/>
      </top>
      <bottom style="thin">
        <color indexed="64"/>
      </bottom>
      <diagonal/>
    </border>
    <border>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right/>
      <top style="hair">
        <color indexed="64"/>
      </top>
      <bottom style="hair">
        <color indexed="64"/>
      </bottom>
      <diagonal/>
    </border>
    <border>
      <left/>
      <right/>
      <top style="thin">
        <color indexed="64"/>
      </top>
      <bottom style="thin">
        <color indexed="64"/>
      </bottom>
      <diagonal/>
    </border>
    <border>
      <left style="hair">
        <color indexed="64"/>
      </left>
      <right style="hair">
        <color indexed="64"/>
      </right>
      <top/>
      <bottom style="hair">
        <color indexed="64"/>
      </bottom>
      <diagonal/>
    </border>
  </borders>
  <cellStyleXfs count="62">
    <xf numFmtId="167" fontId="0" fillId="0" borderId="0"/>
    <xf numFmtId="43" fontId="4" fillId="0" borderId="0" applyFont="0" applyFill="0" applyBorder="0" applyAlignment="0" applyProtection="0"/>
    <xf numFmtId="6" fontId="99" fillId="0" borderId="0" applyFont="0" applyFill="0" applyBorder="0" applyAlignment="0" applyProtection="0"/>
    <xf numFmtId="43" fontId="4" fillId="0" borderId="0" applyFont="0" applyFill="0" applyBorder="0" applyAlignment="0" applyProtection="0"/>
    <xf numFmtId="170" fontId="98" fillId="0" borderId="0" applyFont="0" applyFill="0" applyBorder="0" applyAlignment="0" applyProtection="0"/>
    <xf numFmtId="38" fontId="70" fillId="4" borderId="0" applyBorder="0" applyAlignment="0" applyProtection="0"/>
    <xf numFmtId="0" fontId="141" fillId="0" borderId="0" applyNumberFormat="0" applyFill="0" applyBorder="0" applyAlignment="0" applyProtection="0">
      <alignment vertical="top"/>
      <protection locked="0"/>
    </xf>
    <xf numFmtId="10" fontId="70" fillId="5" borderId="1" applyBorder="0" applyAlignment="0" applyProtection="0"/>
    <xf numFmtId="167" fontId="97" fillId="0" borderId="0"/>
    <xf numFmtId="42" fontId="116" fillId="0" borderId="0"/>
    <xf numFmtId="0" fontId="4" fillId="0" borderId="0"/>
    <xf numFmtId="0" fontId="10" fillId="0" borderId="0"/>
    <xf numFmtId="169" fontId="116" fillId="0" borderId="0"/>
    <xf numFmtId="0" fontId="4" fillId="0" borderId="0"/>
    <xf numFmtId="0" fontId="140" fillId="0" borderId="0"/>
    <xf numFmtId="0" fontId="4" fillId="0" borderId="0"/>
    <xf numFmtId="0" fontId="4" fillId="0" borderId="0"/>
    <xf numFmtId="0" fontId="4" fillId="0" borderId="0"/>
    <xf numFmtId="0" fontId="140" fillId="0" borderId="0"/>
    <xf numFmtId="0" fontId="4" fillId="0" borderId="0"/>
    <xf numFmtId="0" fontId="10" fillId="0" borderId="0"/>
    <xf numFmtId="169" fontId="116" fillId="0" borderId="0"/>
    <xf numFmtId="164" fontId="116" fillId="0" borderId="0"/>
    <xf numFmtId="0" fontId="4" fillId="0" borderId="0"/>
    <xf numFmtId="167" fontId="116" fillId="0" borderId="0"/>
    <xf numFmtId="167" fontId="116" fillId="0" borderId="0"/>
    <xf numFmtId="167" fontId="117" fillId="0" borderId="0"/>
    <xf numFmtId="0" fontId="140" fillId="0" borderId="0"/>
    <xf numFmtId="165" fontId="117" fillId="0" borderId="0"/>
    <xf numFmtId="0" fontId="117" fillId="0" borderId="0"/>
    <xf numFmtId="0" fontId="4" fillId="0" borderId="0"/>
    <xf numFmtId="0" fontId="4" fillId="0" borderId="0"/>
    <xf numFmtId="0" fontId="140" fillId="0" borderId="0"/>
    <xf numFmtId="166" fontId="116" fillId="0" borderId="0"/>
    <xf numFmtId="166" fontId="116" fillId="0" borderId="0"/>
    <xf numFmtId="166" fontId="116" fillId="0" borderId="0"/>
    <xf numFmtId="168" fontId="116" fillId="0" borderId="0"/>
    <xf numFmtId="0" fontId="142" fillId="0" borderId="0"/>
    <xf numFmtId="0" fontId="140" fillId="0" borderId="0"/>
    <xf numFmtId="0" fontId="143" fillId="0" borderId="0"/>
    <xf numFmtId="0" fontId="4" fillId="0" borderId="0"/>
    <xf numFmtId="0" fontId="98" fillId="0" borderId="0"/>
    <xf numFmtId="0" fontId="98" fillId="0" borderId="0"/>
    <xf numFmtId="167" fontId="117" fillId="0" borderId="0"/>
    <xf numFmtId="0" fontId="4" fillId="0" borderId="0"/>
    <xf numFmtId="0" fontId="4" fillId="0" borderId="0"/>
    <xf numFmtId="0" fontId="4" fillId="0" borderId="0"/>
    <xf numFmtId="0" fontId="10" fillId="0" borderId="0"/>
    <xf numFmtId="0" fontId="4" fillId="0" borderId="0"/>
    <xf numFmtId="0" fontId="4" fillId="0" borderId="0"/>
    <xf numFmtId="0" fontId="4" fillId="0" borderId="0"/>
    <xf numFmtId="0" fontId="4" fillId="0" borderId="0"/>
    <xf numFmtId="0" fontId="4" fillId="0" borderId="0"/>
    <xf numFmtId="0" fontId="120" fillId="0" borderId="0"/>
    <xf numFmtId="0" fontId="4" fillId="0" borderId="0"/>
    <xf numFmtId="0" fontId="10" fillId="0" borderId="0"/>
    <xf numFmtId="9" fontId="4" fillId="0" borderId="0" applyFont="0" applyFill="0" applyBorder="0" applyAlignment="0" applyProtection="0"/>
    <xf numFmtId="10"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00" fillId="0" borderId="0"/>
    <xf numFmtId="40" fontId="8" fillId="0" borderId="0"/>
  </cellStyleXfs>
  <cellXfs count="1888">
    <xf numFmtId="167" fontId="0" fillId="0" borderId="0" xfId="0" applyNumberFormat="1"/>
    <xf numFmtId="167" fontId="1" fillId="0" borderId="0" xfId="0" applyNumberFormat="1" applyFont="1" applyAlignment="1">
      <alignment wrapText="1"/>
    </xf>
    <xf numFmtId="167" fontId="2" fillId="0" borderId="0" xfId="0" applyNumberFormat="1" applyFont="1" applyAlignment="1">
      <alignment wrapText="1"/>
    </xf>
    <xf numFmtId="0" fontId="3" fillId="8" borderId="0" xfId="0" applyNumberFormat="1" applyFont="1" applyFill="1" applyBorder="1" applyAlignment="1"/>
    <xf numFmtId="0" fontId="4" fillId="0" borderId="0" xfId="0" applyNumberFormat="1" applyFont="1" applyFill="1" applyBorder="1" applyAlignment="1"/>
    <xf numFmtId="0" fontId="4" fillId="0" borderId="0" xfId="0" applyNumberFormat="1" applyFont="1" applyFill="1" applyBorder="1" applyAlignment="1">
      <alignment horizontal="center" vertical="center"/>
    </xf>
    <xf numFmtId="0" fontId="4" fillId="0" borderId="1" xfId="0" applyNumberFormat="1" applyFont="1" applyFill="1" applyBorder="1" applyAlignment="1">
      <alignment horizontal="center" vertical="center"/>
    </xf>
    <xf numFmtId="49" fontId="5" fillId="8" borderId="1" xfId="0" applyNumberFormat="1" applyFont="1" applyFill="1" applyBorder="1" applyAlignment="1">
      <alignment horizontal="center" vertical="center" wrapText="1"/>
    </xf>
    <xf numFmtId="0" fontId="5" fillId="8" borderId="1" xfId="0" applyNumberFormat="1" applyFont="1" applyFill="1" applyBorder="1" applyAlignment="1">
      <alignment horizontal="center" vertical="center" wrapText="1"/>
    </xf>
    <xf numFmtId="0" fontId="5" fillId="8" borderId="1" xfId="0" applyNumberFormat="1" applyFont="1" applyFill="1" applyBorder="1" applyAlignment="1">
      <alignment horizontal="center"/>
    </xf>
    <xf numFmtId="0" fontId="7" fillId="0" borderId="1" xfId="0" applyNumberFormat="1" applyFont="1" applyFill="1" applyBorder="1" applyAlignment="1">
      <alignment horizontal="center"/>
    </xf>
    <xf numFmtId="0" fontId="8" fillId="0" borderId="1" xfId="0" applyNumberFormat="1" applyFont="1" applyFill="1" applyBorder="1" applyAlignment="1">
      <alignment horizontal="justify" vertical="justify" wrapText="1"/>
    </xf>
    <xf numFmtId="0" fontId="4" fillId="0" borderId="1" xfId="0" applyNumberFormat="1" applyFont="1" applyFill="1" applyBorder="1" applyAlignment="1"/>
    <xf numFmtId="0" fontId="7" fillId="0" borderId="1" xfId="0" applyNumberFormat="1" applyFont="1" applyFill="1" applyBorder="1" applyAlignment="1">
      <alignment horizontal="center" vertical="top"/>
    </xf>
    <xf numFmtId="0" fontId="7" fillId="0" borderId="1" xfId="0" applyNumberFormat="1" applyFont="1" applyFill="1" applyBorder="1" applyAlignment="1">
      <alignment horizontal="justify" vertical="justify" wrapText="1"/>
    </xf>
    <xf numFmtId="0" fontId="7" fillId="0" borderId="1" xfId="0" applyNumberFormat="1" applyFont="1" applyFill="1" applyBorder="1" applyAlignment="1">
      <alignment horizontal="justify" wrapText="1"/>
    </xf>
    <xf numFmtId="0" fontId="7" fillId="0" borderId="1" xfId="0" applyNumberFormat="1" applyFont="1" applyFill="1" applyBorder="1" applyAlignment="1">
      <alignment horizontal="justify" vertical="center"/>
    </xf>
    <xf numFmtId="0" fontId="7" fillId="0" borderId="1" xfId="0" applyNumberFormat="1" applyFont="1" applyFill="1" applyBorder="1" applyAlignment="1">
      <alignment horizontal="left" vertical="justify" wrapText="1"/>
    </xf>
    <xf numFmtId="0" fontId="7" fillId="0" borderId="1" xfId="0" applyNumberFormat="1" applyFont="1" applyFill="1" applyBorder="1" applyAlignment="1">
      <alignment horizontal="justify"/>
    </xf>
    <xf numFmtId="0" fontId="4" fillId="0" borderId="1" xfId="0" applyNumberFormat="1" applyFont="1" applyFill="1" applyBorder="1" applyAlignment="1">
      <alignment wrapText="1"/>
    </xf>
    <xf numFmtId="0" fontId="4" fillId="0" borderId="1" xfId="0" applyNumberFormat="1" applyFont="1" applyFill="1" applyBorder="1" applyAlignment="1">
      <alignment horizontal="center" vertical="center" wrapText="1"/>
    </xf>
    <xf numFmtId="0" fontId="8" fillId="0" borderId="1" xfId="0" applyNumberFormat="1" applyFont="1" applyFill="1" applyBorder="1" applyAlignment="1">
      <alignment horizontal="justify" vertical="top" wrapText="1"/>
    </xf>
    <xf numFmtId="0" fontId="9" fillId="0" borderId="1" xfId="0" applyNumberFormat="1" applyFont="1" applyFill="1" applyBorder="1" applyAlignment="1">
      <alignment horizontal="justify" vertical="justify" wrapText="1"/>
    </xf>
    <xf numFmtId="0" fontId="7" fillId="0" borderId="1" xfId="0" applyNumberFormat="1" applyFont="1" applyFill="1" applyBorder="1" applyAlignment="1">
      <alignment horizontal="justify" vertical="top" wrapText="1"/>
    </xf>
    <xf numFmtId="0" fontId="10" fillId="0" borderId="1" xfId="0" applyNumberFormat="1" applyFont="1" applyFill="1" applyBorder="1" applyAlignment="1">
      <alignment horizontal="center" vertical="top"/>
    </xf>
    <xf numFmtId="0" fontId="11" fillId="0" borderId="1" xfId="0" applyNumberFormat="1" applyFont="1" applyFill="1" applyBorder="1" applyAlignment="1">
      <alignment horizontal="justify" vertical="top" wrapText="1"/>
    </xf>
    <xf numFmtId="0" fontId="10" fillId="0" borderId="1" xfId="0" applyNumberFormat="1" applyFont="1" applyFill="1" applyBorder="1" applyAlignment="1">
      <alignment horizontal="justify" vertical="top" wrapText="1"/>
    </xf>
    <xf numFmtId="0" fontId="7" fillId="6" borderId="1" xfId="0" applyNumberFormat="1" applyFont="1" applyFill="1" applyBorder="1" applyAlignment="1">
      <alignment horizontal="justify" vertical="center" wrapText="1"/>
    </xf>
    <xf numFmtId="0" fontId="9" fillId="6" borderId="1" xfId="0" applyNumberFormat="1" applyFont="1" applyFill="1" applyBorder="1" applyAlignment="1">
      <alignment horizontal="justify" vertical="center" wrapText="1"/>
    </xf>
    <xf numFmtId="0" fontId="10" fillId="0" borderId="1" xfId="0" applyNumberFormat="1" applyFont="1" applyFill="1" applyBorder="1" applyAlignment="1">
      <alignment horizontal="justify" vertical="justify" wrapText="1"/>
    </xf>
    <xf numFmtId="0" fontId="7" fillId="6" borderId="1" xfId="0" applyNumberFormat="1" applyFont="1" applyFill="1" applyBorder="1" applyAlignment="1">
      <alignment horizontal="justify" vertical="justify" wrapText="1"/>
    </xf>
    <xf numFmtId="0" fontId="12" fillId="0" borderId="1" xfId="0" applyNumberFormat="1" applyFont="1" applyFill="1" applyBorder="1" applyAlignment="1">
      <alignment horizontal="justify" vertical="top" wrapText="1"/>
    </xf>
    <xf numFmtId="0" fontId="8" fillId="6" borderId="1" xfId="0" applyNumberFormat="1" applyFont="1" applyFill="1" applyBorder="1" applyAlignment="1">
      <alignment horizontal="justify" vertical="center" wrapText="1"/>
    </xf>
    <xf numFmtId="0" fontId="7" fillId="0" borderId="2" xfId="0" applyNumberFormat="1" applyFont="1" applyFill="1" applyBorder="1" applyAlignment="1">
      <alignment horizontal="center" vertical="top"/>
    </xf>
    <xf numFmtId="0" fontId="7" fillId="0" borderId="1" xfId="0" applyNumberFormat="1" applyFont="1" applyFill="1" applyBorder="1" applyAlignment="1">
      <alignment horizontal="left" vertical="top" wrapText="1"/>
    </xf>
    <xf numFmtId="0" fontId="7" fillId="0" borderId="3" xfId="0" applyNumberFormat="1" applyFont="1" applyFill="1" applyBorder="1" applyAlignment="1">
      <alignment horizontal="center" vertical="top"/>
    </xf>
    <xf numFmtId="0" fontId="7" fillId="0" borderId="4" xfId="0" applyNumberFormat="1" applyFont="1" applyFill="1" applyBorder="1" applyAlignment="1">
      <alignment horizontal="center"/>
    </xf>
    <xf numFmtId="0" fontId="7" fillId="0" borderId="4" xfId="0" applyNumberFormat="1" applyFont="1" applyFill="1" applyBorder="1" applyAlignment="1">
      <alignment horizontal="left" vertical="top" wrapText="1"/>
    </xf>
    <xf numFmtId="167" fontId="10" fillId="0" borderId="0" xfId="0" applyNumberFormat="1" applyFont="1" applyAlignment="1">
      <alignment horizontal="left" vertical="top"/>
    </xf>
    <xf numFmtId="167" fontId="10" fillId="0" borderId="0" xfId="0" applyNumberFormat="1" applyFont="1" applyAlignment="1">
      <alignment horizontal="left" vertical="top" wrapText="1"/>
    </xf>
    <xf numFmtId="171" fontId="10" fillId="0" borderId="0" xfId="0" applyNumberFormat="1" applyFont="1" applyAlignment="1" applyProtection="1">
      <alignment horizontal="left" vertical="top"/>
    </xf>
    <xf numFmtId="167" fontId="10" fillId="0" borderId="0" xfId="0" applyNumberFormat="1" applyFont="1" applyAlignment="1" applyProtection="1">
      <alignment horizontal="left" vertical="top"/>
    </xf>
    <xf numFmtId="167" fontId="10" fillId="0" borderId="0" xfId="0" applyNumberFormat="1" applyFont="1" applyAlignment="1" applyProtection="1">
      <alignment horizontal="left" vertical="top" wrapText="1"/>
    </xf>
    <xf numFmtId="167" fontId="11" fillId="0" borderId="0" xfId="0" applyNumberFormat="1" applyFont="1" applyAlignment="1" applyProtection="1">
      <alignment horizontal="left" vertical="top" wrapText="1"/>
    </xf>
    <xf numFmtId="167" fontId="11" fillId="0" borderId="0" xfId="0" applyNumberFormat="1" applyFont="1" applyAlignment="1" applyProtection="1">
      <alignment horizontal="left" vertical="top"/>
    </xf>
    <xf numFmtId="167" fontId="145" fillId="9" borderId="0" xfId="0" applyNumberFormat="1" applyFont="1" applyFill="1" applyAlignment="1" applyProtection="1">
      <alignment horizontal="left" vertical="top"/>
    </xf>
    <xf numFmtId="167" fontId="10" fillId="10" borderId="0" xfId="0" applyNumberFormat="1" applyFont="1" applyFill="1" applyAlignment="1" applyProtection="1">
      <alignment horizontal="left" vertical="top" wrapText="1"/>
    </xf>
    <xf numFmtId="167" fontId="13" fillId="0" borderId="0" xfId="0" applyNumberFormat="1" applyFont="1" applyAlignment="1" applyProtection="1">
      <alignment horizontal="left" vertical="top"/>
    </xf>
    <xf numFmtId="167" fontId="146" fillId="0" borderId="0" xfId="0" applyNumberFormat="1" applyFont="1" applyAlignment="1" applyProtection="1">
      <alignment horizontal="left" vertical="top"/>
    </xf>
    <xf numFmtId="167" fontId="10" fillId="0" borderId="0" xfId="0" applyNumberFormat="1" applyFont="1" applyBorder="1" applyAlignment="1">
      <alignment horizontal="left" vertical="top"/>
    </xf>
    <xf numFmtId="167" fontId="11" fillId="0" borderId="0" xfId="0" applyNumberFormat="1" applyFont="1" applyBorder="1" applyAlignment="1">
      <alignment horizontal="left" vertical="top"/>
    </xf>
    <xf numFmtId="167" fontId="10" fillId="0" borderId="0" xfId="0" applyNumberFormat="1" applyFont="1" applyBorder="1" applyAlignment="1">
      <alignment horizontal="left" vertical="top" wrapText="1"/>
    </xf>
    <xf numFmtId="167" fontId="147" fillId="0" borderId="0" xfId="0" applyNumberFormat="1" applyFont="1" applyBorder="1" applyAlignment="1">
      <alignment horizontal="left" vertical="top"/>
    </xf>
    <xf numFmtId="167" fontId="14" fillId="8" borderId="0" xfId="0" applyNumberFormat="1" applyFont="1" applyFill="1" applyAlignment="1">
      <alignment horizontal="center" vertical="center"/>
    </xf>
    <xf numFmtId="167" fontId="14" fillId="8" borderId="0" xfId="0" applyNumberFormat="1" applyFont="1" applyFill="1" applyAlignment="1">
      <alignment horizontal="left" vertical="top"/>
    </xf>
    <xf numFmtId="167" fontId="14" fillId="0" borderId="0" xfId="0" applyNumberFormat="1" applyFont="1" applyFill="1" applyAlignment="1">
      <alignment horizontal="left" vertical="top"/>
    </xf>
    <xf numFmtId="167" fontId="14" fillId="8" borderId="5" xfId="0" applyNumberFormat="1" applyFont="1" applyFill="1" applyBorder="1" applyAlignment="1">
      <alignment horizontal="left" vertical="top"/>
    </xf>
    <xf numFmtId="167" fontId="14" fillId="0" borderId="5" xfId="0" applyNumberFormat="1" applyFont="1" applyFill="1" applyBorder="1" applyAlignment="1">
      <alignment horizontal="left" vertical="top"/>
    </xf>
    <xf numFmtId="167" fontId="148" fillId="8" borderId="5" xfId="0" applyNumberFormat="1" applyFont="1" applyFill="1" applyBorder="1" applyAlignment="1">
      <alignment horizontal="left" vertical="top"/>
    </xf>
    <xf numFmtId="167" fontId="148" fillId="8" borderId="0" xfId="0" applyNumberFormat="1" applyFont="1" applyFill="1" applyAlignment="1">
      <alignment horizontal="left" vertical="top"/>
    </xf>
    <xf numFmtId="167" fontId="14" fillId="8" borderId="0" xfId="0" applyNumberFormat="1" applyFont="1" applyFill="1" applyBorder="1" applyAlignment="1">
      <alignment horizontal="left" vertical="top"/>
    </xf>
    <xf numFmtId="167" fontId="0" fillId="0" borderId="0" xfId="0" applyNumberFormat="1" applyAlignment="1">
      <alignment horizontal="left" vertical="top"/>
    </xf>
    <xf numFmtId="167" fontId="14" fillId="11" borderId="0" xfId="0" applyNumberFormat="1" applyFont="1" applyFill="1" applyAlignment="1">
      <alignment horizontal="left" vertical="top"/>
    </xf>
    <xf numFmtId="167" fontId="15" fillId="8" borderId="0" xfId="0" applyNumberFormat="1" applyFont="1" applyFill="1" applyAlignment="1">
      <alignment horizontal="left" vertical="top"/>
    </xf>
    <xf numFmtId="167" fontId="14" fillId="12" borderId="0" xfId="0" applyNumberFormat="1" applyFont="1" applyFill="1" applyAlignment="1">
      <alignment horizontal="left" vertical="top"/>
    </xf>
    <xf numFmtId="167" fontId="14" fillId="13" borderId="0" xfId="0" applyNumberFormat="1" applyFont="1" applyFill="1" applyAlignment="1">
      <alignment horizontal="left" vertical="top"/>
    </xf>
    <xf numFmtId="167" fontId="14" fillId="8" borderId="0" xfId="0" applyNumberFormat="1" applyFont="1" applyFill="1" applyAlignment="1">
      <alignment horizontal="left" vertical="top" wrapText="1"/>
    </xf>
    <xf numFmtId="167" fontId="14" fillId="8" borderId="0" xfId="0" applyNumberFormat="1" applyFont="1" applyFill="1" applyAlignment="1">
      <alignment horizontal="left" vertical="center"/>
    </xf>
    <xf numFmtId="167" fontId="149" fillId="8" borderId="0" xfId="0" applyNumberFormat="1" applyFont="1" applyFill="1" applyAlignment="1">
      <alignment horizontal="left" vertical="center"/>
    </xf>
    <xf numFmtId="2" fontId="149" fillId="8" borderId="5" xfId="50" applyNumberFormat="1" applyFont="1" applyFill="1" applyBorder="1" applyAlignment="1">
      <alignment horizontal="left" vertical="center" wrapText="1"/>
    </xf>
    <xf numFmtId="2" fontId="149" fillId="13" borderId="5" xfId="50" applyNumberFormat="1" applyFont="1" applyFill="1" applyBorder="1" applyAlignment="1">
      <alignment horizontal="left" vertical="center" wrapText="1"/>
    </xf>
    <xf numFmtId="173" fontId="14" fillId="8" borderId="5" xfId="50" applyNumberFormat="1" applyFont="1" applyFill="1" applyBorder="1" applyAlignment="1">
      <alignment horizontal="left" vertical="top" wrapText="1"/>
    </xf>
    <xf numFmtId="2" fontId="14" fillId="8" borderId="5" xfId="50" applyNumberFormat="1" applyFont="1" applyFill="1" applyBorder="1" applyAlignment="1">
      <alignment horizontal="left" vertical="top" wrapText="1"/>
    </xf>
    <xf numFmtId="9" fontId="14" fillId="8" borderId="5" xfId="56" applyNumberFormat="1" applyFont="1" applyFill="1" applyBorder="1" applyAlignment="1">
      <alignment horizontal="left" vertical="center" wrapText="1"/>
    </xf>
    <xf numFmtId="2" fontId="14" fillId="8" borderId="5" xfId="50" applyNumberFormat="1" applyFont="1" applyFill="1" applyBorder="1" applyAlignment="1">
      <alignment horizontal="left" vertical="center" wrapText="1"/>
    </xf>
    <xf numFmtId="167" fontId="14" fillId="8" borderId="5" xfId="0" applyNumberFormat="1" applyFont="1" applyFill="1" applyBorder="1" applyAlignment="1">
      <alignment horizontal="left" vertical="center" wrapText="1"/>
    </xf>
    <xf numFmtId="2" fontId="15" fillId="8" borderId="5" xfId="50" applyNumberFormat="1" applyFont="1" applyFill="1" applyBorder="1" applyAlignment="1">
      <alignment horizontal="left" vertical="top" wrapText="1"/>
    </xf>
    <xf numFmtId="173" fontId="14" fillId="8" borderId="5" xfId="0" applyNumberFormat="1" applyFont="1" applyFill="1" applyBorder="1" applyAlignment="1">
      <alignment horizontal="left" vertical="top" wrapText="1"/>
    </xf>
    <xf numFmtId="173" fontId="14" fillId="8" borderId="5" xfId="0" applyNumberFormat="1" applyFont="1" applyFill="1" applyBorder="1" applyAlignment="1">
      <alignment horizontal="left" vertical="top"/>
    </xf>
    <xf numFmtId="174" fontId="14" fillId="8" borderId="5" xfId="0" applyNumberFormat="1" applyFont="1" applyFill="1" applyBorder="1" applyAlignment="1">
      <alignment horizontal="left" vertical="top"/>
    </xf>
    <xf numFmtId="174" fontId="14" fillId="8" borderId="5" xfId="50" applyNumberFormat="1" applyFont="1" applyFill="1" applyBorder="1" applyAlignment="1">
      <alignment horizontal="left" vertical="top" wrapText="1"/>
    </xf>
    <xf numFmtId="2" fontId="15" fillId="8" borderId="5" xfId="50" applyNumberFormat="1" applyFont="1" applyFill="1" applyBorder="1" applyAlignment="1">
      <alignment horizontal="left" vertical="center" wrapText="1"/>
    </xf>
    <xf numFmtId="167" fontId="14" fillId="8" borderId="5" xfId="0" applyNumberFormat="1" applyFont="1" applyFill="1" applyBorder="1" applyAlignment="1">
      <alignment horizontal="left" vertical="top" wrapText="1"/>
    </xf>
    <xf numFmtId="1" fontId="14" fillId="8" borderId="5" xfId="50" applyNumberFormat="1" applyFont="1" applyFill="1" applyBorder="1" applyAlignment="1">
      <alignment horizontal="left" vertical="top" wrapText="1"/>
    </xf>
    <xf numFmtId="167" fontId="14" fillId="8" borderId="5" xfId="0" applyNumberFormat="1" applyFont="1" applyFill="1" applyBorder="1" applyAlignment="1">
      <alignment horizontal="left" vertical="center"/>
    </xf>
    <xf numFmtId="2" fontId="14" fillId="8" borderId="5" xfId="51" applyNumberFormat="1" applyFont="1" applyFill="1" applyBorder="1" applyAlignment="1">
      <alignment horizontal="left" vertical="top" wrapText="1"/>
    </xf>
    <xf numFmtId="2" fontId="14" fillId="8" borderId="5" xfId="56" applyNumberFormat="1" applyFont="1" applyFill="1" applyBorder="1" applyAlignment="1">
      <alignment horizontal="left" vertical="center" wrapText="1"/>
    </xf>
    <xf numFmtId="0" fontId="14" fillId="8" borderId="5" xfId="0" applyNumberFormat="1" applyFont="1" applyFill="1" applyBorder="1" applyAlignment="1">
      <alignment horizontal="left" vertical="center" wrapText="1"/>
    </xf>
    <xf numFmtId="2" fontId="14" fillId="8" borderId="5" xfId="51" applyNumberFormat="1" applyFont="1" applyFill="1" applyBorder="1" applyAlignment="1">
      <alignment horizontal="left" vertical="center" wrapText="1"/>
    </xf>
    <xf numFmtId="167" fontId="15" fillId="8" borderId="5" xfId="0" applyNumberFormat="1" applyFont="1" applyFill="1" applyBorder="1" applyAlignment="1">
      <alignment horizontal="left" vertical="top"/>
    </xf>
    <xf numFmtId="2" fontId="16" fillId="8" borderId="5" xfId="51" applyNumberFormat="1" applyFont="1" applyFill="1" applyBorder="1" applyAlignment="1">
      <alignment horizontal="left" vertical="top" wrapText="1"/>
    </xf>
    <xf numFmtId="2" fontId="14" fillId="8" borderId="5" xfId="0" applyNumberFormat="1" applyFont="1" applyFill="1" applyBorder="1" applyAlignment="1">
      <alignment horizontal="left" vertical="center" wrapText="1"/>
    </xf>
    <xf numFmtId="1" fontId="14" fillId="8" borderId="5" xfId="50" applyNumberFormat="1" applyFont="1" applyFill="1" applyBorder="1" applyAlignment="1">
      <alignment horizontal="left" vertical="center" wrapText="1"/>
    </xf>
    <xf numFmtId="0" fontId="14" fillId="8" borderId="5" xfId="0" applyNumberFormat="1" applyFont="1" applyFill="1" applyBorder="1" applyAlignment="1">
      <alignment horizontal="left" vertical="top" wrapText="1"/>
    </xf>
    <xf numFmtId="173" fontId="14" fillId="8" borderId="6" xfId="50" applyNumberFormat="1" applyFont="1" applyFill="1" applyBorder="1" applyAlignment="1">
      <alignment horizontal="left" vertical="top" wrapText="1"/>
    </xf>
    <xf numFmtId="167" fontId="14" fillId="8" borderId="5" xfId="15" applyNumberFormat="1" applyFont="1" applyFill="1" applyBorder="1" applyAlignment="1">
      <alignment horizontal="left" vertical="center" wrapText="1"/>
    </xf>
    <xf numFmtId="0" fontId="14" fillId="8" borderId="5" xfId="15" applyNumberFormat="1" applyFont="1" applyFill="1" applyBorder="1" applyAlignment="1">
      <alignment horizontal="left" vertical="top" wrapText="1"/>
    </xf>
    <xf numFmtId="0" fontId="14" fillId="8" borderId="5" xfId="15" applyNumberFormat="1" applyFont="1" applyFill="1" applyBorder="1" applyAlignment="1">
      <alignment horizontal="left" vertical="center" wrapText="1"/>
    </xf>
    <xf numFmtId="173" fontId="15" fillId="8" borderId="5" xfId="50" applyNumberFormat="1" applyFont="1" applyFill="1" applyBorder="1" applyAlignment="1">
      <alignment horizontal="left" vertical="top" wrapText="1"/>
    </xf>
    <xf numFmtId="2" fontId="15" fillId="8" borderId="5" xfId="51" applyNumberFormat="1" applyFont="1" applyFill="1" applyBorder="1" applyAlignment="1">
      <alignment horizontal="left" vertical="top" wrapText="1"/>
    </xf>
    <xf numFmtId="2" fontId="15" fillId="8" borderId="5" xfId="56" applyNumberFormat="1" applyFont="1" applyFill="1" applyBorder="1" applyAlignment="1">
      <alignment horizontal="left" vertical="center" wrapText="1"/>
    </xf>
    <xf numFmtId="2" fontId="15" fillId="8" borderId="5" xfId="51" applyNumberFormat="1" applyFont="1" applyFill="1" applyBorder="1" applyAlignment="1">
      <alignment horizontal="left" vertical="center" wrapText="1"/>
    </xf>
    <xf numFmtId="2" fontId="17" fillId="8" borderId="5" xfId="51" applyNumberFormat="1" applyFont="1" applyFill="1" applyBorder="1" applyAlignment="1">
      <alignment horizontal="left" vertical="top" wrapText="1"/>
    </xf>
    <xf numFmtId="167" fontId="17" fillId="8" borderId="5" xfId="0" applyNumberFormat="1" applyFont="1" applyFill="1" applyBorder="1" applyAlignment="1">
      <alignment horizontal="left" vertical="center"/>
    </xf>
    <xf numFmtId="167" fontId="18" fillId="8" borderId="5" xfId="0" applyNumberFormat="1" applyFont="1" applyFill="1" applyBorder="1" applyAlignment="1">
      <alignment horizontal="left" vertical="center" wrapText="1"/>
    </xf>
    <xf numFmtId="2" fontId="18" fillId="8" borderId="5" xfId="50" applyNumberFormat="1" applyFont="1" applyFill="1" applyBorder="1" applyAlignment="1">
      <alignment horizontal="left" vertical="center" wrapText="1"/>
    </xf>
    <xf numFmtId="167" fontId="18" fillId="8" borderId="5" xfId="0" applyNumberFormat="1" applyFont="1" applyFill="1" applyBorder="1" applyAlignment="1">
      <alignment horizontal="left" vertical="top" wrapText="1"/>
    </xf>
    <xf numFmtId="167" fontId="149" fillId="13" borderId="5" xfId="0" applyNumberFormat="1" applyFont="1" applyFill="1" applyBorder="1" applyAlignment="1">
      <alignment horizontal="left" vertical="center"/>
    </xf>
    <xf numFmtId="2" fontId="20" fillId="8" borderId="1" xfId="14" applyNumberFormat="1" applyFont="1" applyFill="1" applyBorder="1" applyAlignment="1">
      <alignment horizontal="left" vertical="top" wrapText="1"/>
    </xf>
    <xf numFmtId="2" fontId="20" fillId="8" borderId="1" xfId="14" applyNumberFormat="1" applyFont="1" applyFill="1" applyBorder="1" applyAlignment="1">
      <alignment horizontal="left" vertical="center" wrapText="1"/>
    </xf>
    <xf numFmtId="2" fontId="150" fillId="8" borderId="5" xfId="50" applyNumberFormat="1" applyFont="1" applyFill="1" applyBorder="1" applyAlignment="1">
      <alignment horizontal="left" vertical="center" wrapText="1"/>
    </xf>
    <xf numFmtId="167" fontId="149" fillId="8" borderId="5" xfId="0" applyNumberFormat="1" applyFont="1" applyFill="1" applyBorder="1" applyAlignment="1">
      <alignment horizontal="left" vertical="center"/>
    </xf>
    <xf numFmtId="167" fontId="10" fillId="13" borderId="0" xfId="0" applyNumberFormat="1" applyFont="1" applyFill="1"/>
    <xf numFmtId="167" fontId="21" fillId="3" borderId="0" xfId="0" applyNumberFormat="1" applyFont="1" applyFill="1"/>
    <xf numFmtId="167" fontId="11" fillId="0" borderId="0" xfId="0" applyNumberFormat="1" applyFont="1"/>
    <xf numFmtId="167" fontId="10" fillId="0" borderId="0" xfId="0" applyNumberFormat="1" applyFont="1"/>
    <xf numFmtId="167" fontId="10" fillId="0" borderId="0" xfId="0" applyNumberFormat="1" applyFont="1" applyAlignment="1"/>
    <xf numFmtId="167" fontId="10" fillId="0" borderId="0" xfId="0" applyNumberFormat="1" applyFont="1" applyAlignment="1">
      <alignment horizontal="left"/>
    </xf>
    <xf numFmtId="172" fontId="10" fillId="0" borderId="0" xfId="0" applyNumberFormat="1" applyFont="1"/>
    <xf numFmtId="167" fontId="10" fillId="0" borderId="0" xfId="0" applyNumberFormat="1" applyFont="1" applyAlignment="1">
      <alignment horizontal="center"/>
    </xf>
    <xf numFmtId="167" fontId="10" fillId="0" borderId="0" xfId="0" applyNumberFormat="1" applyFont="1" applyAlignment="1" applyProtection="1">
      <alignment horizontal="left"/>
    </xf>
    <xf numFmtId="167" fontId="10" fillId="0" borderId="0" xfId="0" applyNumberFormat="1" applyFont="1" applyAlignment="1" applyProtection="1">
      <alignment horizontal="center"/>
    </xf>
    <xf numFmtId="167" fontId="11" fillId="0" borderId="0" xfId="0" applyNumberFormat="1" applyFont="1" applyAlignment="1" applyProtection="1">
      <alignment horizontal="left"/>
    </xf>
    <xf numFmtId="167" fontId="10" fillId="0" borderId="0" xfId="0" applyNumberFormat="1" applyFont="1" applyAlignment="1" applyProtection="1">
      <alignment horizontal="fill"/>
    </xf>
    <xf numFmtId="167" fontId="8" fillId="0" borderId="0" xfId="0" applyNumberFormat="1" applyFont="1" applyAlignment="1" applyProtection="1">
      <alignment horizontal="left"/>
    </xf>
    <xf numFmtId="167" fontId="11" fillId="0" borderId="0" xfId="0" applyNumberFormat="1" applyFont="1" applyAlignment="1" applyProtection="1">
      <alignment horizontal="right"/>
    </xf>
    <xf numFmtId="167" fontId="10" fillId="0" borderId="0" xfId="0" applyNumberFormat="1" applyFont="1" applyAlignment="1" applyProtection="1"/>
    <xf numFmtId="167" fontId="11" fillId="0" borderId="0" xfId="0" applyNumberFormat="1" applyFont="1" applyProtection="1"/>
    <xf numFmtId="167" fontId="11" fillId="0" borderId="0" xfId="0" applyNumberFormat="1" applyFont="1" applyAlignment="1" applyProtection="1">
      <alignment horizontal="center"/>
    </xf>
    <xf numFmtId="167" fontId="10" fillId="0" borderId="0" xfId="0" applyNumberFormat="1" applyFont="1" applyProtection="1"/>
    <xf numFmtId="171" fontId="22" fillId="0" borderId="0" xfId="0" applyNumberFormat="1" applyFont="1" applyProtection="1"/>
    <xf numFmtId="167" fontId="22" fillId="0" borderId="0" xfId="0" applyNumberFormat="1" applyFont="1" applyProtection="1"/>
    <xf numFmtId="167" fontId="22" fillId="0" borderId="0" xfId="0" applyNumberFormat="1" applyFont="1" applyAlignment="1" applyProtection="1">
      <alignment horizontal="left"/>
    </xf>
    <xf numFmtId="167" fontId="151" fillId="0" borderId="0" xfId="0" applyNumberFormat="1" applyFont="1" applyProtection="1"/>
    <xf numFmtId="167" fontId="10" fillId="13" borderId="0" xfId="0" applyNumberFormat="1" applyFont="1" applyFill="1" applyProtection="1"/>
    <xf numFmtId="167" fontId="152" fillId="13" borderId="0" xfId="0" applyNumberFormat="1" applyFont="1" applyFill="1" applyProtection="1"/>
    <xf numFmtId="167" fontId="147" fillId="0" borderId="0" xfId="0" applyNumberFormat="1" applyFont="1" applyProtection="1"/>
    <xf numFmtId="167" fontId="23" fillId="0" borderId="0" xfId="0" applyNumberFormat="1" applyFont="1" applyProtection="1"/>
    <xf numFmtId="167" fontId="22" fillId="0" borderId="0" xfId="0" applyNumberFormat="1" applyFont="1"/>
    <xf numFmtId="167" fontId="24" fillId="0" borderId="0" xfId="0" applyNumberFormat="1" applyFont="1" applyProtection="1"/>
    <xf numFmtId="167" fontId="152" fillId="0" borderId="0" xfId="0" applyNumberFormat="1" applyFont="1" applyProtection="1"/>
    <xf numFmtId="167" fontId="23" fillId="0" borderId="0" xfId="0" applyNumberFormat="1" applyFont="1" applyAlignment="1" applyProtection="1">
      <alignment horizontal="left"/>
    </xf>
    <xf numFmtId="172" fontId="10" fillId="0" borderId="0" xfId="0" applyNumberFormat="1" applyFont="1" applyProtection="1"/>
    <xf numFmtId="167" fontId="152" fillId="0" borderId="0" xfId="0" applyNumberFormat="1" applyFont="1" applyAlignment="1" applyProtection="1">
      <alignment horizontal="left"/>
    </xf>
    <xf numFmtId="167" fontId="25" fillId="0" borderId="0" xfId="0" applyNumberFormat="1" applyFont="1" applyAlignment="1" applyProtection="1"/>
    <xf numFmtId="167" fontId="26" fillId="0" borderId="0" xfId="0" applyNumberFormat="1" applyFont="1" applyAlignment="1" applyProtection="1">
      <alignment horizontal="center"/>
    </xf>
    <xf numFmtId="167" fontId="10" fillId="0" borderId="0" xfId="0" applyNumberFormat="1" applyFont="1" applyFill="1" applyBorder="1" applyAlignment="1" applyProtection="1">
      <alignment horizontal="left"/>
    </xf>
    <xf numFmtId="167" fontId="7" fillId="0" borderId="0" xfId="0" applyNumberFormat="1" applyFont="1" applyAlignment="1" applyProtection="1">
      <alignment horizontal="left"/>
    </xf>
    <xf numFmtId="171" fontId="10" fillId="0" borderId="0" xfId="0" applyNumberFormat="1" applyFont="1" applyAlignment="1" applyProtection="1">
      <alignment horizontal="center"/>
    </xf>
    <xf numFmtId="167" fontId="10" fillId="0" borderId="0" xfId="0" applyNumberFormat="1" applyFont="1" applyFill="1" applyAlignment="1" applyProtection="1">
      <alignment horizontal="left"/>
    </xf>
    <xf numFmtId="167" fontId="26" fillId="0" borderId="0" xfId="0" applyNumberFormat="1" applyFont="1" applyFill="1" applyAlignment="1" applyProtection="1">
      <alignment horizontal="center"/>
    </xf>
    <xf numFmtId="167" fontId="10" fillId="0" borderId="0" xfId="0" applyNumberFormat="1" applyFont="1" applyFill="1" applyProtection="1"/>
    <xf numFmtId="167" fontId="153" fillId="0" borderId="0" xfId="0" applyNumberFormat="1" applyFont="1" applyAlignment="1" applyProtection="1">
      <alignment horizontal="left"/>
    </xf>
    <xf numFmtId="167" fontId="153" fillId="0" borderId="0" xfId="0" applyNumberFormat="1" applyFont="1" applyAlignment="1" applyProtection="1">
      <alignment horizontal="fill"/>
    </xf>
    <xf numFmtId="167" fontId="10" fillId="0" borderId="0" xfId="0" applyNumberFormat="1" applyFont="1" applyAlignment="1" applyProtection="1">
      <alignment horizontal="right" indent="2"/>
    </xf>
    <xf numFmtId="167" fontId="10" fillId="0" borderId="0" xfId="0" applyNumberFormat="1" applyFont="1" applyFill="1" applyAlignment="1" applyProtection="1">
      <alignment horizontal="right" indent="2"/>
    </xf>
    <xf numFmtId="167" fontId="10" fillId="0" borderId="0" xfId="0" applyNumberFormat="1" applyFont="1" applyAlignment="1">
      <alignment horizontal="right" indent="2"/>
    </xf>
    <xf numFmtId="167" fontId="147" fillId="0" borderId="0" xfId="0" applyNumberFormat="1" applyFont="1" applyFill="1" applyAlignment="1" applyProtection="1">
      <alignment horizontal="right"/>
    </xf>
    <xf numFmtId="167" fontId="147" fillId="0" borderId="0" xfId="0" applyNumberFormat="1" applyFont="1" applyAlignment="1" applyProtection="1">
      <alignment horizontal="right"/>
    </xf>
    <xf numFmtId="167" fontId="26" fillId="0" borderId="0" xfId="0" applyNumberFormat="1" applyFont="1" applyAlignment="1" applyProtection="1">
      <alignment horizontal="left" vertical="top" wrapText="1"/>
    </xf>
    <xf numFmtId="167" fontId="26" fillId="0" borderId="0" xfId="0" applyNumberFormat="1" applyFont="1" applyAlignment="1" applyProtection="1">
      <alignment horizontal="left" vertical="top"/>
    </xf>
    <xf numFmtId="167" fontId="26" fillId="0" borderId="0" xfId="0" applyNumberFormat="1" applyFont="1" applyAlignment="1" applyProtection="1">
      <alignment horizontal="fill"/>
    </xf>
    <xf numFmtId="167" fontId="147" fillId="0" borderId="0" xfId="0" applyNumberFormat="1" applyFont="1"/>
    <xf numFmtId="167" fontId="23" fillId="0" borderId="0" xfId="0" applyNumberFormat="1" applyFont="1"/>
    <xf numFmtId="0" fontId="27" fillId="0" borderId="0" xfId="0" applyNumberFormat="1" applyFont="1" applyFill="1"/>
    <xf numFmtId="0" fontId="27" fillId="0" borderId="0" xfId="0" applyNumberFormat="1" applyFont="1" applyFill="1" applyAlignment="1">
      <alignment wrapText="1"/>
    </xf>
    <xf numFmtId="167" fontId="11" fillId="0" borderId="0" xfId="0" applyNumberFormat="1" applyFont="1" applyAlignment="1">
      <alignment horizontal="center"/>
    </xf>
    <xf numFmtId="174" fontId="10" fillId="0" borderId="0" xfId="0" applyNumberFormat="1" applyFont="1" applyAlignment="1" applyProtection="1">
      <alignment horizontal="center"/>
    </xf>
    <xf numFmtId="171" fontId="22" fillId="13" borderId="0" xfId="0" applyNumberFormat="1" applyFont="1" applyFill="1" applyProtection="1"/>
    <xf numFmtId="167" fontId="10" fillId="13" borderId="0" xfId="0" applyNumberFormat="1" applyFont="1" applyFill="1" applyAlignment="1" applyProtection="1">
      <alignment horizontal="left"/>
    </xf>
    <xf numFmtId="167" fontId="147" fillId="13" borderId="0" xfId="0" applyNumberFormat="1" applyFont="1" applyFill="1" applyProtection="1"/>
    <xf numFmtId="167" fontId="10" fillId="13" borderId="0" xfId="0" applyNumberFormat="1" applyFont="1" applyFill="1" applyProtection="1"/>
    <xf numFmtId="167" fontId="10" fillId="13" borderId="0" xfId="0" applyNumberFormat="1" applyFont="1" applyFill="1" applyAlignment="1" applyProtection="1"/>
    <xf numFmtId="174" fontId="10" fillId="0" borderId="0" xfId="0" applyNumberFormat="1" applyFont="1" applyAlignment="1" applyProtection="1">
      <alignment horizontal="left"/>
    </xf>
    <xf numFmtId="167" fontId="154" fillId="0" borderId="0" xfId="0" applyNumberFormat="1" applyFont="1"/>
    <xf numFmtId="167" fontId="11" fillId="0" borderId="0" xfId="0" applyNumberFormat="1" applyFont="1" applyAlignment="1" applyProtection="1">
      <alignment horizontal="left" wrapText="1"/>
    </xf>
    <xf numFmtId="167" fontId="10" fillId="0" borderId="0" xfId="0" applyNumberFormat="1" applyFont="1" applyAlignment="1" applyProtection="1">
      <alignment horizontal="left" wrapText="1"/>
    </xf>
    <xf numFmtId="174" fontId="10" fillId="0" borderId="0" xfId="0" applyNumberFormat="1" applyFont="1" applyAlignment="1">
      <alignment horizontal="center" vertical="top"/>
    </xf>
    <xf numFmtId="167" fontId="11" fillId="0" borderId="0" xfId="0" applyNumberFormat="1" applyFont="1" applyAlignment="1">
      <alignment horizontal="left"/>
    </xf>
    <xf numFmtId="167" fontId="11" fillId="0" borderId="0" xfId="0" applyNumberFormat="1" applyFont="1" applyAlignment="1" applyProtection="1">
      <alignment horizontal="fill"/>
    </xf>
    <xf numFmtId="172" fontId="10" fillId="13" borderId="0" xfId="0" applyNumberFormat="1" applyFont="1" applyFill="1"/>
    <xf numFmtId="167" fontId="10" fillId="13" borderId="0" xfId="0" applyNumberFormat="1" applyFont="1" applyFill="1"/>
    <xf numFmtId="167" fontId="10" fillId="13" borderId="0" xfId="0" applyNumberFormat="1" applyFont="1" applyFill="1" applyAlignment="1">
      <alignment horizontal="center"/>
    </xf>
    <xf numFmtId="167" fontId="147" fillId="0" borderId="0" xfId="0" applyNumberFormat="1" applyFont="1" applyAlignment="1">
      <alignment horizontal="center"/>
    </xf>
    <xf numFmtId="167" fontId="10" fillId="0" borderId="0" xfId="0" applyNumberFormat="1" applyFont="1" applyAlignment="1">
      <alignment vertical="top" wrapText="1"/>
    </xf>
    <xf numFmtId="172" fontId="10" fillId="0" borderId="0" xfId="0" applyNumberFormat="1" applyFont="1" applyAlignment="1" applyProtection="1">
      <alignment horizontal="center"/>
    </xf>
    <xf numFmtId="172" fontId="10" fillId="0" borderId="0" xfId="0" applyNumberFormat="1" applyFont="1" applyAlignment="1" applyProtection="1">
      <alignment horizontal="left"/>
    </xf>
    <xf numFmtId="172" fontId="10" fillId="0" borderId="0" xfId="0" applyNumberFormat="1" applyFont="1" applyAlignment="1">
      <alignment horizontal="center" vertical="top"/>
    </xf>
    <xf numFmtId="167" fontId="10" fillId="13" borderId="0" xfId="0" applyNumberFormat="1" applyFont="1" applyFill="1" applyAlignment="1" applyProtection="1">
      <alignment horizontal="left"/>
    </xf>
    <xf numFmtId="174" fontId="10" fillId="0" borderId="0" xfId="0" applyNumberFormat="1" applyFont="1" applyAlignment="1">
      <alignment horizontal="center"/>
    </xf>
    <xf numFmtId="167" fontId="155" fillId="0" borderId="0" xfId="0" applyNumberFormat="1" applyFont="1" applyProtection="1"/>
    <xf numFmtId="167" fontId="10" fillId="10" borderId="0" xfId="0" applyNumberFormat="1" applyFont="1" applyFill="1" applyAlignment="1" applyProtection="1">
      <alignment horizontal="left"/>
    </xf>
    <xf numFmtId="174" fontId="22" fillId="0" borderId="0" xfId="0" applyNumberFormat="1" applyFont="1"/>
    <xf numFmtId="167" fontId="156" fillId="0" borderId="0" xfId="0" applyNumberFormat="1" applyFont="1"/>
    <xf numFmtId="167" fontId="28" fillId="8" borderId="0" xfId="0" applyNumberFormat="1" applyFont="1" applyFill="1" applyProtection="1"/>
    <xf numFmtId="167" fontId="147" fillId="8" borderId="0" xfId="0" applyNumberFormat="1" applyFont="1" applyFill="1" applyProtection="1"/>
    <xf numFmtId="167" fontId="28" fillId="9" borderId="0" xfId="0" applyNumberFormat="1" applyFont="1" applyFill="1" applyProtection="1"/>
    <xf numFmtId="172" fontId="10" fillId="0" borderId="0" xfId="0" applyNumberFormat="1" applyFont="1" applyAlignment="1">
      <alignment horizontal="center"/>
    </xf>
    <xf numFmtId="171" fontId="11" fillId="0" borderId="0" xfId="0" applyNumberFormat="1" applyFont="1" applyAlignment="1" applyProtection="1">
      <alignment horizontal="center"/>
    </xf>
    <xf numFmtId="167" fontId="11" fillId="0" borderId="0" xfId="0" applyNumberFormat="1" applyFont="1" applyAlignment="1" applyProtection="1"/>
    <xf numFmtId="167" fontId="11" fillId="0" borderId="0" xfId="0" applyNumberFormat="1" applyFont="1" applyAlignment="1"/>
    <xf numFmtId="176" fontId="10" fillId="0" borderId="0" xfId="0" applyNumberFormat="1" applyFont="1" applyProtection="1"/>
    <xf numFmtId="177" fontId="10" fillId="0" borderId="0" xfId="0" applyNumberFormat="1" applyFont="1" applyProtection="1"/>
    <xf numFmtId="167" fontId="152" fillId="13" borderId="0" xfId="0" applyNumberFormat="1" applyFont="1" applyFill="1" applyAlignment="1" applyProtection="1">
      <alignment horizontal="left"/>
    </xf>
    <xf numFmtId="167" fontId="29" fillId="0" borderId="0" xfId="0" applyNumberFormat="1" applyFont="1" applyProtection="1"/>
    <xf numFmtId="167" fontId="152" fillId="0" borderId="0" xfId="0" applyNumberFormat="1" applyFont="1"/>
    <xf numFmtId="167" fontId="154" fillId="0" borderId="0" xfId="0" applyNumberFormat="1" applyFont="1" applyProtection="1"/>
    <xf numFmtId="167" fontId="157" fillId="0" borderId="0" xfId="0" applyNumberFormat="1" applyFont="1" applyAlignment="1" applyProtection="1">
      <alignment horizontal="left"/>
    </xf>
    <xf numFmtId="167" fontId="157" fillId="0" borderId="0" xfId="0" applyNumberFormat="1" applyFont="1"/>
    <xf numFmtId="167" fontId="152" fillId="8" borderId="0" xfId="0" applyNumberFormat="1" applyFont="1" applyFill="1" applyProtection="1"/>
    <xf numFmtId="167" fontId="10" fillId="8" borderId="0" xfId="0" applyNumberFormat="1" applyFont="1" applyFill="1" applyAlignment="1" applyProtection="1">
      <alignment horizontal="left"/>
    </xf>
    <xf numFmtId="167" fontId="152" fillId="8" borderId="0" xfId="0" applyNumberFormat="1" applyFont="1" applyFill="1"/>
    <xf numFmtId="167" fontId="10" fillId="8" borderId="0" xfId="0" applyNumberFormat="1" applyFont="1" applyFill="1"/>
    <xf numFmtId="167" fontId="10" fillId="0" borderId="0" xfId="0" applyNumberFormat="1" applyFont="1" applyAlignment="1">
      <alignment horizontal="right"/>
    </xf>
    <xf numFmtId="167" fontId="151" fillId="9" borderId="0" xfId="0" applyNumberFormat="1" applyFont="1" applyFill="1" applyAlignment="1" applyProtection="1">
      <alignment horizontal="left"/>
    </xf>
    <xf numFmtId="167" fontId="158" fillId="13" borderId="0" xfId="0" applyNumberFormat="1" applyFont="1" applyFill="1" applyAlignment="1" applyProtection="1">
      <alignment horizontal="left"/>
    </xf>
    <xf numFmtId="167" fontId="158" fillId="0" borderId="0" xfId="0" applyNumberFormat="1" applyFont="1" applyProtection="1"/>
    <xf numFmtId="167" fontId="158" fillId="0" borderId="0" xfId="0" applyNumberFormat="1" applyFont="1" applyAlignment="1" applyProtection="1">
      <alignment horizontal="left"/>
    </xf>
    <xf numFmtId="167" fontId="30" fillId="0" borderId="0" xfId="0" applyNumberFormat="1" applyFont="1" applyAlignment="1" applyProtection="1">
      <alignment horizontal="left"/>
    </xf>
    <xf numFmtId="167" fontId="10" fillId="0" borderId="0" xfId="0" applyNumberFormat="1" applyFont="1" applyAlignment="1" applyProtection="1">
      <alignment wrapText="1"/>
    </xf>
    <xf numFmtId="167" fontId="159" fillId="0" borderId="0" xfId="0" applyNumberFormat="1" applyFont="1" applyProtection="1"/>
    <xf numFmtId="167" fontId="159" fillId="0" borderId="0" xfId="0" applyNumberFormat="1" applyFont="1"/>
    <xf numFmtId="167" fontId="154" fillId="13" borderId="0" xfId="0" applyNumberFormat="1" applyFont="1" applyFill="1" applyProtection="1"/>
    <xf numFmtId="167" fontId="20" fillId="0" borderId="0" xfId="0" applyNumberFormat="1" applyFont="1"/>
    <xf numFmtId="176" fontId="10" fillId="0" borderId="0" xfId="0" applyNumberFormat="1" applyFont="1"/>
    <xf numFmtId="167" fontId="31" fillId="0" borderId="0" xfId="0" applyNumberFormat="1" applyFont="1"/>
    <xf numFmtId="171" fontId="10" fillId="0" borderId="0" xfId="0" applyNumberFormat="1" applyFont="1" applyAlignment="1" applyProtection="1">
      <alignment vertical="center" wrapText="1"/>
    </xf>
    <xf numFmtId="167" fontId="147" fillId="0" borderId="0" xfId="0" applyNumberFormat="1" applyFont="1" applyAlignment="1" applyProtection="1">
      <alignment horizontal="left"/>
    </xf>
    <xf numFmtId="167" fontId="152" fillId="9" borderId="0" xfId="0" applyNumberFormat="1" applyFont="1" applyFill="1" applyProtection="1"/>
    <xf numFmtId="167" fontId="22" fillId="9" borderId="0" xfId="0" applyNumberFormat="1" applyFont="1" applyFill="1" applyAlignment="1" applyProtection="1">
      <alignment horizontal="left"/>
    </xf>
    <xf numFmtId="167" fontId="10" fillId="9" borderId="0" xfId="0" applyNumberFormat="1" applyFont="1" applyFill="1"/>
    <xf numFmtId="167" fontId="152" fillId="9" borderId="0" xfId="0" applyNumberFormat="1" applyFont="1" applyFill="1"/>
    <xf numFmtId="167" fontId="32" fillId="0" borderId="0" xfId="0" applyNumberFormat="1" applyFont="1"/>
    <xf numFmtId="167" fontId="160" fillId="0" borderId="0" xfId="0" applyNumberFormat="1" applyFont="1" applyProtection="1"/>
    <xf numFmtId="171" fontId="158" fillId="0" borderId="0" xfId="0" applyNumberFormat="1" applyFont="1" applyAlignment="1" applyProtection="1">
      <alignment horizontal="left" wrapText="1"/>
    </xf>
    <xf numFmtId="167" fontId="158" fillId="0" borderId="0" xfId="0" applyNumberFormat="1" applyFont="1"/>
    <xf numFmtId="171" fontId="158" fillId="0" borderId="0" xfId="0" applyNumberFormat="1" applyFont="1" applyAlignment="1" applyProtection="1">
      <alignment horizontal="left"/>
    </xf>
    <xf numFmtId="167" fontId="161" fillId="0" borderId="0" xfId="0" applyNumberFormat="1" applyFont="1" applyProtection="1"/>
    <xf numFmtId="167" fontId="161" fillId="0" borderId="0" xfId="0" applyNumberFormat="1" applyFont="1" applyAlignment="1" applyProtection="1">
      <alignment horizontal="left"/>
    </xf>
    <xf numFmtId="167" fontId="162" fillId="0" borderId="0" xfId="0" applyNumberFormat="1" applyFont="1" applyProtection="1"/>
    <xf numFmtId="167" fontId="10" fillId="0" borderId="0" xfId="0" applyNumberFormat="1" applyFont="1" applyAlignment="1" applyProtection="1">
      <alignment horizontal="right"/>
    </xf>
    <xf numFmtId="172" fontId="10" fillId="0" borderId="0" xfId="0" applyNumberFormat="1" applyFont="1" applyAlignment="1">
      <alignment horizontal="right"/>
    </xf>
    <xf numFmtId="167" fontId="11" fillId="0" borderId="0" xfId="0" applyNumberFormat="1" applyFont="1" applyAlignment="1">
      <alignment wrapText="1"/>
    </xf>
    <xf numFmtId="167" fontId="22" fillId="0" borderId="0" xfId="0" applyNumberFormat="1" applyFont="1" applyAlignment="1" applyProtection="1">
      <alignment horizontal="center"/>
    </xf>
    <xf numFmtId="167" fontId="29" fillId="9" borderId="0" xfId="0" applyNumberFormat="1" applyFont="1" applyFill="1" applyProtection="1"/>
    <xf numFmtId="167" fontId="163" fillId="0" borderId="0" xfId="0" applyNumberFormat="1" applyFont="1"/>
    <xf numFmtId="167" fontId="161" fillId="0" borderId="0" xfId="0" applyNumberFormat="1" applyFont="1"/>
    <xf numFmtId="171" fontId="10" fillId="0" borderId="0" xfId="0" applyNumberFormat="1" applyFont="1" applyProtection="1"/>
    <xf numFmtId="167" fontId="158" fillId="9" borderId="0" xfId="0" applyNumberFormat="1" applyFont="1" applyFill="1" applyProtection="1"/>
    <xf numFmtId="167" fontId="152" fillId="0" borderId="0" xfId="0" applyNumberFormat="1" applyFont="1" applyAlignment="1" applyProtection="1">
      <alignment horizontal="fill"/>
    </xf>
    <xf numFmtId="167" fontId="152" fillId="0" borderId="0" xfId="0" applyNumberFormat="1" applyFont="1" applyAlignment="1" applyProtection="1">
      <alignment horizontal="right"/>
    </xf>
    <xf numFmtId="167" fontId="164" fillId="9" borderId="0" xfId="0" applyNumberFormat="1" applyFont="1" applyFill="1" applyProtection="1"/>
    <xf numFmtId="174" fontId="10" fillId="0" borderId="0" xfId="0" applyNumberFormat="1" applyFont="1" applyAlignment="1" applyProtection="1">
      <alignment horizontal="center" vertical="top" wrapText="1"/>
    </xf>
    <xf numFmtId="167" fontId="10" fillId="0" borderId="0" xfId="0" applyNumberFormat="1" applyFont="1" applyAlignment="1" applyProtection="1">
      <alignment horizontal="justify" vertical="top" wrapText="1"/>
    </xf>
    <xf numFmtId="177" fontId="10" fillId="0" borderId="0" xfId="0" applyNumberFormat="1" applyFont="1" applyAlignment="1" applyProtection="1">
      <alignment horizontal="left"/>
    </xf>
    <xf numFmtId="178" fontId="21" fillId="3" borderId="0" xfId="0" applyNumberFormat="1" applyFont="1" applyFill="1" applyProtection="1"/>
    <xf numFmtId="167" fontId="21" fillId="3" borderId="0" xfId="0" applyNumberFormat="1" applyFont="1" applyFill="1" applyAlignment="1" applyProtection="1"/>
    <xf numFmtId="167" fontId="21" fillId="3" borderId="0" xfId="0" applyNumberFormat="1" applyFont="1" applyFill="1" applyAlignment="1" applyProtection="1">
      <alignment horizontal="left"/>
    </xf>
    <xf numFmtId="167" fontId="21" fillId="3" borderId="0" xfId="0" applyNumberFormat="1" applyFont="1" applyFill="1" applyProtection="1"/>
    <xf numFmtId="178" fontId="10" fillId="0" borderId="0" xfId="0" applyNumberFormat="1" applyFont="1" applyProtection="1"/>
    <xf numFmtId="177" fontId="10" fillId="0" borderId="0" xfId="0" applyNumberFormat="1" applyFont="1" applyAlignment="1" applyProtection="1">
      <alignment horizontal="fill"/>
    </xf>
    <xf numFmtId="167" fontId="33" fillId="13" borderId="0" xfId="0" applyNumberFormat="1" applyFont="1" applyFill="1"/>
    <xf numFmtId="167" fontId="34" fillId="13" borderId="0" xfId="0" applyNumberFormat="1" applyFont="1" applyFill="1"/>
    <xf numFmtId="167" fontId="34" fillId="13" borderId="0" xfId="0" applyNumberFormat="1" applyFont="1" applyFill="1" applyAlignment="1">
      <alignment horizontal="left"/>
    </xf>
    <xf numFmtId="172" fontId="21" fillId="3" borderId="0" xfId="0" applyNumberFormat="1" applyFont="1" applyFill="1" applyProtection="1"/>
    <xf numFmtId="167" fontId="21" fillId="3" borderId="0" xfId="0" applyNumberFormat="1" applyFont="1" applyFill="1" applyAlignment="1">
      <alignment horizontal="center"/>
    </xf>
    <xf numFmtId="172" fontId="10" fillId="0" borderId="0" xfId="0" applyNumberFormat="1" applyFont="1" applyAlignment="1" applyProtection="1">
      <alignment horizontal="fill"/>
    </xf>
    <xf numFmtId="177" fontId="10" fillId="0" borderId="0" xfId="0" applyNumberFormat="1" applyFont="1"/>
    <xf numFmtId="167" fontId="35" fillId="9" borderId="0" xfId="0" applyNumberFormat="1" applyFont="1" applyFill="1" applyProtection="1"/>
    <xf numFmtId="167" fontId="152" fillId="10" borderId="0" xfId="0" applyNumberFormat="1" applyFont="1" applyFill="1" applyAlignment="1" applyProtection="1">
      <alignment horizontal="left"/>
    </xf>
    <xf numFmtId="167" fontId="146" fillId="0" borderId="0" xfId="0" applyNumberFormat="1" applyFont="1"/>
    <xf numFmtId="167" fontId="145" fillId="9" borderId="0" xfId="0" applyNumberFormat="1" applyFont="1" applyFill="1" applyProtection="1"/>
    <xf numFmtId="167" fontId="13" fillId="0" borderId="0" xfId="0" applyNumberFormat="1" applyFont="1" applyProtection="1"/>
    <xf numFmtId="167" fontId="146" fillId="0" borderId="0" xfId="0" applyNumberFormat="1" applyFont="1" applyProtection="1"/>
    <xf numFmtId="167" fontId="36" fillId="0" borderId="0" xfId="0" applyNumberFormat="1" applyFont="1"/>
    <xf numFmtId="167" fontId="23" fillId="0" borderId="0" xfId="0" applyNumberFormat="1" applyFont="1" applyAlignment="1" applyProtection="1">
      <alignment horizontal="right"/>
    </xf>
    <xf numFmtId="172" fontId="11" fillId="0" borderId="0" xfId="0" applyNumberFormat="1" applyFont="1" applyAlignment="1">
      <alignment horizontal="right"/>
    </xf>
    <xf numFmtId="2" fontId="37" fillId="0" borderId="5" xfId="51" applyNumberFormat="1" applyFont="1" applyBorder="1" applyAlignment="1">
      <alignment vertical="top" wrapText="1"/>
    </xf>
    <xf numFmtId="167" fontId="21" fillId="7" borderId="0" xfId="0" applyNumberFormat="1" applyFont="1" applyFill="1"/>
    <xf numFmtId="167" fontId="21" fillId="7" borderId="0" xfId="0" applyNumberFormat="1" applyFont="1" applyFill="1" applyAlignment="1"/>
    <xf numFmtId="167" fontId="38" fillId="0" borderId="0" xfId="0" applyNumberFormat="1" applyFont="1"/>
    <xf numFmtId="167" fontId="38" fillId="0" borderId="0" xfId="0" applyNumberFormat="1" applyFont="1" applyAlignment="1"/>
    <xf numFmtId="167" fontId="25" fillId="0" borderId="0" xfId="0" applyNumberFormat="1" applyFont="1"/>
    <xf numFmtId="167" fontId="39" fillId="8" borderId="0" xfId="0" applyNumberFormat="1" applyFont="1" applyFill="1"/>
    <xf numFmtId="167" fontId="39" fillId="8" borderId="0" xfId="0" applyNumberFormat="1" applyFont="1" applyFill="1" applyAlignment="1"/>
    <xf numFmtId="167" fontId="38" fillId="8" borderId="0" xfId="0" applyNumberFormat="1" applyFont="1" applyFill="1" applyProtection="1"/>
    <xf numFmtId="167" fontId="38" fillId="8" borderId="0" xfId="0" applyNumberFormat="1" applyFont="1" applyFill="1" applyAlignment="1" applyProtection="1"/>
    <xf numFmtId="167" fontId="165" fillId="8" borderId="0" xfId="0" applyNumberFormat="1" applyFont="1" applyFill="1" applyAlignment="1" applyProtection="1">
      <alignment horizontal="left"/>
    </xf>
    <xf numFmtId="167" fontId="165" fillId="8" borderId="0" xfId="0" applyNumberFormat="1" applyFont="1" applyFill="1" applyAlignment="1" applyProtection="1">
      <alignment horizontal="right"/>
    </xf>
    <xf numFmtId="167" fontId="38" fillId="0" borderId="0" xfId="0" applyNumberFormat="1" applyFont="1" applyProtection="1"/>
    <xf numFmtId="167" fontId="38" fillId="0" borderId="0" xfId="0" applyNumberFormat="1" applyFont="1" applyAlignment="1" applyProtection="1"/>
    <xf numFmtId="167" fontId="38" fillId="0" borderId="0" xfId="0" applyNumberFormat="1" applyFont="1" applyAlignment="1" applyProtection="1">
      <alignment horizontal="left"/>
    </xf>
    <xf numFmtId="172" fontId="38" fillId="0" borderId="0" xfId="0" applyNumberFormat="1" applyFont="1" applyProtection="1"/>
    <xf numFmtId="167" fontId="25" fillId="0" borderId="0" xfId="0" applyNumberFormat="1" applyFont="1" applyAlignment="1" applyProtection="1">
      <alignment horizontal="left"/>
    </xf>
    <xf numFmtId="167" fontId="38" fillId="0" borderId="0" xfId="0" applyNumberFormat="1" applyFont="1" applyAlignment="1">
      <alignment horizontal="center"/>
    </xf>
    <xf numFmtId="167" fontId="38" fillId="0" borderId="0" xfId="0" applyNumberFormat="1" applyFont="1" applyAlignment="1" applyProtection="1">
      <alignment horizontal="center"/>
    </xf>
    <xf numFmtId="167" fontId="38" fillId="0" borderId="0" xfId="0" applyNumberFormat="1" applyFont="1" applyAlignment="1" applyProtection="1">
      <alignment horizontal="fill"/>
    </xf>
    <xf numFmtId="167" fontId="25" fillId="0" borderId="0" xfId="0" applyNumberFormat="1" applyFont="1" applyProtection="1"/>
    <xf numFmtId="167" fontId="40" fillId="0" borderId="0" xfId="0" applyNumberFormat="1" applyFont="1" applyAlignment="1" applyProtection="1">
      <alignment horizontal="right"/>
    </xf>
    <xf numFmtId="167" fontId="10" fillId="9" borderId="0" xfId="0" applyNumberFormat="1" applyFont="1" applyFill="1" applyProtection="1"/>
    <xf numFmtId="167" fontId="11" fillId="10" borderId="0" xfId="0" applyNumberFormat="1" applyFont="1" applyFill="1" applyAlignment="1" applyProtection="1">
      <alignment horizontal="left"/>
    </xf>
    <xf numFmtId="167" fontId="147" fillId="10" borderId="0" xfId="0" applyNumberFormat="1" applyFont="1" applyFill="1" applyAlignment="1" applyProtection="1">
      <alignment horizontal="left"/>
    </xf>
    <xf numFmtId="177" fontId="10" fillId="0" borderId="0" xfId="0" applyNumberFormat="1" applyFont="1" applyAlignment="1" applyProtection="1"/>
    <xf numFmtId="177" fontId="10" fillId="0" borderId="0" xfId="0" applyNumberFormat="1" applyFont="1" applyAlignment="1"/>
    <xf numFmtId="167" fontId="10" fillId="10" borderId="0" xfId="0" applyNumberFormat="1" applyFont="1" applyFill="1"/>
    <xf numFmtId="167" fontId="11" fillId="0" borderId="0" xfId="0" applyNumberFormat="1" applyFont="1" applyAlignment="1">
      <alignment horizontal="right"/>
    </xf>
    <xf numFmtId="167" fontId="10" fillId="0" borderId="7" xfId="0" applyNumberFormat="1" applyFont="1" applyBorder="1"/>
    <xf numFmtId="167" fontId="27" fillId="0" borderId="0" xfId="0" applyNumberFormat="1" applyFont="1"/>
    <xf numFmtId="167" fontId="41" fillId="0" borderId="0" xfId="0" applyNumberFormat="1" applyFont="1" applyAlignment="1">
      <alignment horizontal="center"/>
    </xf>
    <xf numFmtId="167" fontId="10" fillId="0" borderId="8" xfId="0" applyNumberFormat="1" applyFont="1" applyBorder="1"/>
    <xf numFmtId="176" fontId="27" fillId="0" borderId="0" xfId="0" applyNumberFormat="1" applyFont="1" applyProtection="1"/>
    <xf numFmtId="167" fontId="27" fillId="0" borderId="0" xfId="0" applyNumberFormat="1" applyFont="1" applyAlignment="1" applyProtection="1"/>
    <xf numFmtId="167" fontId="41" fillId="0" borderId="0" xfId="0" applyNumberFormat="1" applyFont="1" applyAlignment="1" applyProtection="1">
      <alignment horizontal="center"/>
    </xf>
    <xf numFmtId="167" fontId="27" fillId="0" borderId="0" xfId="0" applyNumberFormat="1" applyFont="1" applyProtection="1"/>
    <xf numFmtId="167" fontId="27" fillId="0" borderId="0" xfId="0" applyNumberFormat="1" applyFont="1" applyAlignment="1" applyProtection="1">
      <alignment horizontal="left"/>
    </xf>
    <xf numFmtId="167" fontId="36" fillId="0" borderId="0" xfId="0" applyNumberFormat="1" applyFont="1" applyAlignment="1">
      <alignment horizontal="center"/>
    </xf>
    <xf numFmtId="171" fontId="42" fillId="0" borderId="9" xfId="0" applyNumberFormat="1" applyFont="1" applyBorder="1" applyAlignment="1" applyProtection="1">
      <alignment horizontal="center"/>
    </xf>
    <xf numFmtId="167" fontId="10" fillId="0" borderId="10" xfId="0" applyNumberFormat="1" applyFont="1" applyBorder="1" applyAlignment="1" applyProtection="1"/>
    <xf numFmtId="167" fontId="10" fillId="0" borderId="10" xfId="0" applyNumberFormat="1" applyFont="1" applyBorder="1" applyAlignment="1" applyProtection="1">
      <alignment horizontal="left"/>
    </xf>
    <xf numFmtId="167" fontId="10" fillId="0" borderId="11" xfId="0" applyNumberFormat="1" applyFont="1" applyBorder="1"/>
    <xf numFmtId="167" fontId="10" fillId="0" borderId="0" xfId="0" applyNumberFormat="1" applyFont="1" applyBorder="1" applyAlignment="1"/>
    <xf numFmtId="167" fontId="10" fillId="0" borderId="0" xfId="0" applyNumberFormat="1" applyFont="1" applyBorder="1" applyAlignment="1" applyProtection="1">
      <alignment horizontal="left"/>
    </xf>
    <xf numFmtId="167" fontId="10" fillId="0" borderId="0" xfId="0" applyNumberFormat="1" applyFont="1" applyBorder="1" applyAlignment="1" applyProtection="1">
      <alignment horizontal="fill"/>
    </xf>
    <xf numFmtId="167" fontId="10" fillId="0" borderId="11" xfId="0" applyNumberFormat="1" applyFont="1" applyBorder="1" applyProtection="1"/>
    <xf numFmtId="167" fontId="10" fillId="0" borderId="0" xfId="0" applyNumberFormat="1" applyFont="1" applyBorder="1" applyAlignment="1" applyProtection="1"/>
    <xf numFmtId="167" fontId="10" fillId="0" borderId="0" xfId="0" applyNumberFormat="1" applyFont="1" applyBorder="1"/>
    <xf numFmtId="167" fontId="11" fillId="0" borderId="0" xfId="0" applyNumberFormat="1" applyFont="1" applyBorder="1" applyAlignment="1" applyProtection="1">
      <alignment horizontal="center"/>
    </xf>
    <xf numFmtId="167" fontId="10" fillId="0" borderId="12" xfId="0" applyNumberFormat="1" applyFont="1" applyBorder="1"/>
    <xf numFmtId="167" fontId="10" fillId="0" borderId="13" xfId="0" applyNumberFormat="1" applyFont="1" applyBorder="1" applyAlignment="1"/>
    <xf numFmtId="167" fontId="10" fillId="0" borderId="13" xfId="0" applyNumberFormat="1" applyFont="1" applyBorder="1"/>
    <xf numFmtId="167" fontId="42" fillId="0" borderId="9" xfId="0" applyNumberFormat="1" applyFont="1" applyBorder="1" applyAlignment="1" applyProtection="1">
      <alignment horizontal="center"/>
    </xf>
    <xf numFmtId="172" fontId="10" fillId="0" borderId="11" xfId="0" applyNumberFormat="1" applyFont="1" applyBorder="1" applyProtection="1"/>
    <xf numFmtId="172" fontId="10" fillId="0" borderId="12" xfId="0" applyNumberFormat="1" applyFont="1" applyBorder="1" applyProtection="1"/>
    <xf numFmtId="167" fontId="11" fillId="0" borderId="13" xfId="0" applyNumberFormat="1" applyFont="1" applyBorder="1" applyAlignment="1" applyProtection="1">
      <alignment horizontal="center"/>
    </xf>
    <xf numFmtId="167" fontId="27" fillId="0" borderId="0" xfId="0" applyNumberFormat="1" applyFont="1" applyAlignment="1"/>
    <xf numFmtId="167" fontId="10" fillId="0" borderId="14" xfId="0" applyNumberFormat="1" applyFont="1" applyBorder="1"/>
    <xf numFmtId="167" fontId="27" fillId="0" borderId="0" xfId="0" applyNumberFormat="1" applyFont="1" applyAlignment="1" applyProtection="1">
      <alignment horizontal="right"/>
    </xf>
    <xf numFmtId="167" fontId="10" fillId="0" borderId="10" xfId="0" applyNumberFormat="1" applyFont="1" applyBorder="1"/>
    <xf numFmtId="167" fontId="10" fillId="0" borderId="10" xfId="0" applyNumberFormat="1" applyFont="1" applyBorder="1" applyAlignment="1">
      <alignment horizontal="left"/>
    </xf>
    <xf numFmtId="167" fontId="10" fillId="0" borderId="0" xfId="0" applyNumberFormat="1" applyFont="1" applyBorder="1" applyAlignment="1">
      <alignment horizontal="left"/>
    </xf>
    <xf numFmtId="167" fontId="152" fillId="0" borderId="0" xfId="0" applyNumberFormat="1" applyFont="1" applyBorder="1" applyProtection="1"/>
    <xf numFmtId="167" fontId="10" fillId="0" borderId="0" xfId="0" applyNumberFormat="1" applyFont="1" applyBorder="1" applyProtection="1"/>
    <xf numFmtId="167" fontId="152" fillId="10" borderId="0" xfId="0" applyNumberFormat="1" applyFont="1" applyFill="1" applyBorder="1" applyProtection="1"/>
    <xf numFmtId="167" fontId="10" fillId="0" borderId="0" xfId="0" applyNumberFormat="1" applyFont="1" applyBorder="1" applyAlignment="1" applyProtection="1">
      <alignment horizontal="right"/>
    </xf>
    <xf numFmtId="167" fontId="11" fillId="0" borderId="0" xfId="0" applyNumberFormat="1" applyFont="1" applyBorder="1"/>
    <xf numFmtId="167" fontId="11" fillId="0" borderId="0" xfId="0" applyNumberFormat="1" applyFont="1" applyBorder="1" applyAlignment="1">
      <alignment horizontal="left"/>
    </xf>
    <xf numFmtId="167" fontId="11" fillId="0" borderId="0" xfId="0" applyNumberFormat="1" applyFont="1" applyBorder="1" applyProtection="1"/>
    <xf numFmtId="167" fontId="10" fillId="0" borderId="13" xfId="0" applyNumberFormat="1" applyFont="1" applyBorder="1" applyAlignment="1">
      <alignment horizontal="left"/>
    </xf>
    <xf numFmtId="167" fontId="10" fillId="0" borderId="13" xfId="0" applyNumberFormat="1" applyFont="1" applyBorder="1" applyAlignment="1" applyProtection="1">
      <alignment horizontal="fill"/>
    </xf>
    <xf numFmtId="167" fontId="11" fillId="0" borderId="13" xfId="0" applyNumberFormat="1" applyFont="1" applyBorder="1"/>
    <xf numFmtId="167" fontId="11" fillId="0" borderId="13" xfId="0" applyNumberFormat="1" applyFont="1" applyBorder="1" applyAlignment="1">
      <alignment horizontal="left"/>
    </xf>
    <xf numFmtId="167" fontId="11" fillId="0" borderId="13" xfId="0" applyNumberFormat="1" applyFont="1" applyBorder="1" applyProtection="1"/>
    <xf numFmtId="167" fontId="27" fillId="0" borderId="0" xfId="0" applyNumberFormat="1" applyFont="1" applyAlignment="1">
      <alignment horizontal="center"/>
    </xf>
    <xf numFmtId="167" fontId="41" fillId="0" borderId="0" xfId="0" applyNumberFormat="1" applyFont="1" applyProtection="1"/>
    <xf numFmtId="167" fontId="41" fillId="0" borderId="0" xfId="0" applyNumberFormat="1" applyFont="1"/>
    <xf numFmtId="167" fontId="27" fillId="0" borderId="0" xfId="0" applyNumberFormat="1" applyFont="1" applyAlignment="1">
      <alignment horizontal="left"/>
    </xf>
    <xf numFmtId="167" fontId="27" fillId="0" borderId="0" xfId="0" applyNumberFormat="1" applyFont="1" applyAlignment="1" applyProtection="1">
      <alignment horizontal="fill"/>
    </xf>
    <xf numFmtId="167" fontId="146" fillId="0" borderId="0" xfId="0" applyNumberFormat="1" applyFont="1" applyAlignment="1" applyProtection="1">
      <alignment horizontal="left"/>
    </xf>
    <xf numFmtId="171" fontId="10" fillId="0" borderId="0" xfId="0" applyNumberFormat="1" applyFont="1" applyAlignment="1">
      <alignment horizontal="center"/>
    </xf>
    <xf numFmtId="174" fontId="10" fillId="0" borderId="0" xfId="0" applyNumberFormat="1" applyFont="1"/>
    <xf numFmtId="167" fontId="10" fillId="0" borderId="0" xfId="0" applyNumberFormat="1" applyFont="1" applyAlignment="1">
      <alignment wrapText="1"/>
    </xf>
    <xf numFmtId="167" fontId="166" fillId="0" borderId="0" xfId="0" applyNumberFormat="1" applyFont="1" applyProtection="1"/>
    <xf numFmtId="167" fontId="10" fillId="0" borderId="0" xfId="0" applyNumberFormat="1" applyFont="1" applyAlignment="1" applyProtection="1">
      <alignment vertical="center"/>
    </xf>
    <xf numFmtId="167" fontId="147" fillId="0" borderId="0" xfId="0" applyNumberFormat="1" applyFont="1" applyAlignment="1" applyProtection="1">
      <alignment vertical="center"/>
    </xf>
    <xf numFmtId="167" fontId="10" fillId="0" borderId="0" xfId="0" applyNumberFormat="1" applyFont="1" applyAlignment="1" applyProtection="1">
      <alignment horizontal="left" vertical="center"/>
    </xf>
    <xf numFmtId="167" fontId="153" fillId="10" borderId="0" xfId="0" applyNumberFormat="1" applyFont="1" applyFill="1" applyProtection="1"/>
    <xf numFmtId="167" fontId="153" fillId="13" borderId="0" xfId="0" applyNumberFormat="1" applyFont="1" applyFill="1" applyProtection="1"/>
    <xf numFmtId="167" fontId="29" fillId="9" borderId="0" xfId="0" applyNumberFormat="1" applyFont="1" applyFill="1" applyAlignment="1" applyProtection="1">
      <alignment vertical="center"/>
    </xf>
    <xf numFmtId="167" fontId="29" fillId="9" borderId="0" xfId="0" applyNumberFormat="1" applyFont="1" applyFill="1" applyAlignment="1" applyProtection="1">
      <alignment horizontal="left"/>
    </xf>
    <xf numFmtId="167" fontId="147" fillId="9" borderId="0" xfId="0" applyNumberFormat="1" applyFont="1" applyFill="1" applyAlignment="1" applyProtection="1">
      <alignment horizontal="left"/>
    </xf>
    <xf numFmtId="167" fontId="145" fillId="0" borderId="0" xfId="0" applyNumberFormat="1" applyFont="1" applyProtection="1"/>
    <xf numFmtId="167" fontId="167" fillId="0" borderId="0" xfId="0" applyNumberFormat="1" applyFont="1" applyProtection="1"/>
    <xf numFmtId="167" fontId="11" fillId="0" borderId="15" xfId="0" applyNumberFormat="1" applyFont="1" applyBorder="1" applyProtection="1"/>
    <xf numFmtId="167" fontId="10" fillId="0" borderId="16" xfId="0" applyNumberFormat="1" applyFont="1" applyBorder="1" applyAlignment="1" applyProtection="1">
      <alignment horizontal="fill"/>
    </xf>
    <xf numFmtId="174" fontId="43" fillId="0" borderId="0" xfId="0" applyNumberFormat="1" applyFont="1" applyAlignment="1" applyProtection="1">
      <alignment horizontal="center"/>
    </xf>
    <xf numFmtId="167" fontId="43" fillId="0" borderId="0" xfId="0" applyNumberFormat="1" applyFont="1" applyAlignment="1"/>
    <xf numFmtId="167" fontId="43" fillId="0" borderId="0" xfId="0" applyNumberFormat="1" applyFont="1" applyAlignment="1" applyProtection="1">
      <alignment horizontal="left"/>
    </xf>
    <xf numFmtId="167" fontId="43" fillId="0" borderId="0" xfId="0" applyNumberFormat="1" applyFont="1"/>
    <xf numFmtId="167" fontId="43" fillId="0" borderId="0" xfId="0" applyNumberFormat="1" applyFont="1" applyAlignment="1" applyProtection="1">
      <alignment horizontal="fill"/>
    </xf>
    <xf numFmtId="167" fontId="36" fillId="0" borderId="0" xfId="0" applyNumberFormat="1" applyFont="1" applyAlignment="1" applyProtection="1">
      <alignment horizontal="left"/>
    </xf>
    <xf numFmtId="167" fontId="43" fillId="0" borderId="0" xfId="0" applyNumberFormat="1" applyFont="1" applyAlignment="1">
      <alignment horizontal="left"/>
    </xf>
    <xf numFmtId="172" fontId="43" fillId="0" borderId="0" xfId="0" applyNumberFormat="1" applyFont="1"/>
    <xf numFmtId="172" fontId="36" fillId="0" borderId="0" xfId="0" applyNumberFormat="1" applyFont="1"/>
    <xf numFmtId="167" fontId="43" fillId="0" borderId="0" xfId="0" applyNumberFormat="1" applyFont="1" applyFill="1" applyProtection="1"/>
    <xf numFmtId="178" fontId="43" fillId="0" borderId="0" xfId="0" applyNumberFormat="1" applyFont="1" applyProtection="1"/>
    <xf numFmtId="167" fontId="43" fillId="0" borderId="0" xfId="0" applyNumberFormat="1" applyFont="1" applyAlignment="1" applyProtection="1"/>
    <xf numFmtId="167" fontId="43" fillId="0" borderId="0" xfId="0" applyNumberFormat="1" applyFont="1" applyProtection="1"/>
    <xf numFmtId="167" fontId="43" fillId="0" borderId="0" xfId="0" applyNumberFormat="1" applyFont="1" applyAlignment="1" applyProtection="1">
      <alignment horizontal="center"/>
    </xf>
    <xf numFmtId="167" fontId="36" fillId="0" borderId="0" xfId="0" applyNumberFormat="1" applyFont="1" applyAlignment="1" applyProtection="1">
      <alignment horizontal="center"/>
    </xf>
    <xf numFmtId="172" fontId="10" fillId="0" borderId="0" xfId="0" applyNumberFormat="1" applyFont="1" applyAlignment="1">
      <alignment wrapText="1"/>
    </xf>
    <xf numFmtId="177" fontId="43" fillId="0" borderId="0" xfId="0" applyNumberFormat="1" applyFont="1" applyAlignment="1" applyProtection="1">
      <alignment horizontal="left"/>
    </xf>
    <xf numFmtId="167" fontId="36" fillId="0" borderId="0" xfId="0" applyNumberFormat="1" applyFont="1" applyProtection="1"/>
    <xf numFmtId="167" fontId="10" fillId="0" borderId="0" xfId="0" applyNumberFormat="1" applyFont="1" applyAlignment="1">
      <alignment horizontal="fill" wrapText="1"/>
    </xf>
    <xf numFmtId="167" fontId="152" fillId="10" borderId="0" xfId="0" applyNumberFormat="1" applyFont="1" applyFill="1" applyProtection="1"/>
    <xf numFmtId="167" fontId="29" fillId="10" borderId="0" xfId="0" applyNumberFormat="1" applyFont="1" applyFill="1" applyProtection="1"/>
    <xf numFmtId="167" fontId="29" fillId="10" borderId="0" xfId="0" applyNumberFormat="1" applyFont="1" applyFill="1"/>
    <xf numFmtId="174" fontId="10" fillId="0" borderId="0" xfId="0" applyNumberFormat="1" applyFont="1" applyAlignment="1" applyProtection="1">
      <alignment horizontal="center" vertical="top"/>
    </xf>
    <xf numFmtId="2" fontId="27" fillId="0" borderId="5" xfId="50" applyNumberFormat="1" applyFont="1" applyBorder="1" applyAlignment="1">
      <alignment vertical="top" wrapText="1"/>
    </xf>
    <xf numFmtId="174" fontId="10" fillId="0" borderId="0" xfId="0" applyNumberFormat="1" applyFont="1" applyAlignment="1">
      <alignment horizontal="center" vertical="top" wrapText="1"/>
    </xf>
    <xf numFmtId="167" fontId="32" fillId="9" borderId="0" xfId="0" applyNumberFormat="1" applyFont="1" applyFill="1" applyProtection="1"/>
    <xf numFmtId="167" fontId="24" fillId="0" borderId="0" xfId="0" applyNumberFormat="1" applyFont="1" applyAlignment="1" applyProtection="1">
      <alignment horizontal="right" vertical="center"/>
    </xf>
    <xf numFmtId="167" fontId="147" fillId="9" borderId="0" xfId="0" applyNumberFormat="1" applyFont="1" applyFill="1"/>
    <xf numFmtId="167" fontId="24" fillId="0" borderId="0" xfId="0" applyNumberFormat="1" applyFont="1"/>
    <xf numFmtId="167" fontId="11" fillId="0" borderId="0" xfId="0" applyNumberFormat="1" applyFont="1" applyAlignment="1">
      <alignment horizontal="left" vertical="top" wrapText="1"/>
    </xf>
    <xf numFmtId="167" fontId="11" fillId="10" borderId="0" xfId="0" applyNumberFormat="1" applyFont="1" applyFill="1" applyAlignment="1">
      <alignment wrapText="1"/>
    </xf>
    <xf numFmtId="167" fontId="11" fillId="0" borderId="0" xfId="0" applyNumberFormat="1" applyFont="1" applyAlignment="1">
      <alignment horizontal="right" vertical="top"/>
    </xf>
    <xf numFmtId="167" fontId="10" fillId="9" borderId="0" xfId="0" applyNumberFormat="1" applyFont="1" applyFill="1"/>
    <xf numFmtId="167" fontId="147" fillId="0" borderId="0" xfId="0" applyNumberFormat="1" applyFont="1" applyBorder="1" applyAlignment="1">
      <alignment horizontal="right" vertical="top"/>
    </xf>
    <xf numFmtId="167" fontId="11" fillId="0" borderId="0" xfId="0" applyNumberFormat="1" applyFont="1" applyAlignment="1">
      <alignment vertical="top" wrapText="1"/>
    </xf>
    <xf numFmtId="167" fontId="10" fillId="0" borderId="0" xfId="0" applyNumberFormat="1" applyFont="1" applyAlignment="1">
      <alignment vertical="top"/>
    </xf>
    <xf numFmtId="172" fontId="23" fillId="0" borderId="0" xfId="0" applyNumberFormat="1" applyFont="1"/>
    <xf numFmtId="167" fontId="11" fillId="0" borderId="0" xfId="0" applyNumberFormat="1" applyFont="1" applyAlignment="1">
      <alignment horizontal="left" wrapText="1"/>
    </xf>
    <xf numFmtId="167" fontId="10" fillId="0" borderId="0" xfId="0" applyNumberFormat="1" applyFont="1" applyAlignment="1">
      <alignment horizontal="left" wrapText="1"/>
    </xf>
    <xf numFmtId="167" fontId="152" fillId="13" borderId="0" xfId="0" applyNumberFormat="1" applyFont="1" applyFill="1"/>
    <xf numFmtId="167" fontId="10" fillId="9" borderId="0" xfId="0" applyNumberFormat="1" applyFont="1" applyFill="1" applyAlignment="1">
      <alignment wrapText="1"/>
    </xf>
    <xf numFmtId="167" fontId="10" fillId="9" borderId="0" xfId="0" applyNumberFormat="1" applyFont="1" applyFill="1" applyAlignment="1" applyProtection="1">
      <alignment horizontal="left"/>
    </xf>
    <xf numFmtId="167" fontId="158" fillId="9" borderId="0" xfId="0" applyNumberFormat="1" applyFont="1" applyFill="1"/>
    <xf numFmtId="174" fontId="11" fillId="0" borderId="0" xfId="0" applyNumberFormat="1" applyFont="1"/>
    <xf numFmtId="167" fontId="10" fillId="0" borderId="0" xfId="0" applyNumberFormat="1" applyFont="1" applyAlignment="1">
      <alignment horizontal="fill"/>
    </xf>
    <xf numFmtId="176" fontId="11" fillId="0" borderId="0" xfId="0" applyNumberFormat="1" applyFont="1"/>
    <xf numFmtId="176" fontId="11" fillId="0" borderId="0" xfId="0" applyNumberFormat="1" applyFont="1" applyAlignment="1">
      <alignment horizontal="right"/>
    </xf>
    <xf numFmtId="174" fontId="7" fillId="0" borderId="0" xfId="0" applyNumberFormat="1" applyFont="1" applyAlignment="1" applyProtection="1">
      <alignment horizontal="center"/>
    </xf>
    <xf numFmtId="167" fontId="7" fillId="0" borderId="0" xfId="0" applyNumberFormat="1" applyFont="1" applyAlignment="1"/>
    <xf numFmtId="167" fontId="7" fillId="0" borderId="0" xfId="0" applyNumberFormat="1" applyFont="1"/>
    <xf numFmtId="167" fontId="7" fillId="0" borderId="0" xfId="0" applyNumberFormat="1" applyFont="1" applyAlignment="1" applyProtection="1">
      <alignment horizontal="fill"/>
    </xf>
    <xf numFmtId="178" fontId="7" fillId="0" borderId="0" xfId="0" applyNumberFormat="1" applyFont="1" applyProtection="1"/>
    <xf numFmtId="167" fontId="7" fillId="0" borderId="0" xfId="0" applyNumberFormat="1" applyFont="1" applyAlignment="1" applyProtection="1"/>
    <xf numFmtId="167" fontId="7" fillId="0" borderId="0" xfId="0" applyNumberFormat="1" applyFont="1" applyProtection="1"/>
    <xf numFmtId="167" fontId="7" fillId="9" borderId="0" xfId="0" applyNumberFormat="1" applyFont="1" applyFill="1" applyAlignment="1" applyProtection="1">
      <alignment horizontal="left"/>
    </xf>
    <xf numFmtId="167" fontId="8" fillId="0" borderId="0" xfId="0" applyNumberFormat="1" applyFont="1"/>
    <xf numFmtId="167" fontId="8" fillId="0" borderId="0" xfId="0" applyNumberFormat="1" applyFont="1" applyAlignment="1" applyProtection="1">
      <alignment horizontal="center"/>
    </xf>
    <xf numFmtId="167" fontId="11" fillId="0" borderId="0" xfId="0" applyNumberFormat="1" applyFont="1" applyAlignment="1">
      <alignment horizontal="left" vertical="top"/>
    </xf>
    <xf numFmtId="2" fontId="10" fillId="0" borderId="0" xfId="0" applyNumberFormat="1" applyFont="1"/>
    <xf numFmtId="167" fontId="7" fillId="0" borderId="0" xfId="0" applyNumberFormat="1" applyFont="1" applyAlignment="1">
      <alignment horizontal="left"/>
    </xf>
    <xf numFmtId="177" fontId="7" fillId="0" borderId="0" xfId="0" applyNumberFormat="1" applyFont="1" applyProtection="1"/>
    <xf numFmtId="177" fontId="7" fillId="0" borderId="0" xfId="0" applyNumberFormat="1" applyFont="1" applyAlignment="1" applyProtection="1">
      <alignment horizontal="left"/>
    </xf>
    <xf numFmtId="167" fontId="44" fillId="9" borderId="0" xfId="0" applyNumberFormat="1" applyFont="1" applyFill="1" applyProtection="1"/>
    <xf numFmtId="167" fontId="7" fillId="0" borderId="0" xfId="0" applyNumberFormat="1" applyFont="1" applyAlignment="1" applyProtection="1">
      <alignment horizontal="center"/>
    </xf>
    <xf numFmtId="167" fontId="24" fillId="10" borderId="0" xfId="0" applyNumberFormat="1" applyFont="1" applyFill="1"/>
    <xf numFmtId="167" fontId="8" fillId="0" borderId="0" xfId="0" applyNumberFormat="1" applyFont="1" applyAlignment="1">
      <alignment horizontal="left"/>
    </xf>
    <xf numFmtId="167" fontId="8" fillId="0" borderId="0" xfId="0" applyNumberFormat="1" applyFont="1" applyAlignment="1" applyProtection="1">
      <alignment horizontal="fill"/>
    </xf>
    <xf numFmtId="167" fontId="8" fillId="0" borderId="0" xfId="0" applyNumberFormat="1" applyFont="1" applyProtection="1"/>
    <xf numFmtId="167" fontId="164" fillId="8" borderId="0" xfId="0" applyNumberFormat="1" applyFont="1" applyFill="1"/>
    <xf numFmtId="167" fontId="37" fillId="0" borderId="0" xfId="0" applyNumberFormat="1" applyFont="1" applyAlignment="1">
      <alignment horizontal="right"/>
    </xf>
    <xf numFmtId="2" fontId="11" fillId="0" borderId="0" xfId="0" applyNumberFormat="1" applyFont="1"/>
    <xf numFmtId="167" fontId="10" fillId="0" borderId="9" xfId="0" applyNumberFormat="1" applyFont="1" applyBorder="1"/>
    <xf numFmtId="174" fontId="10" fillId="0" borderId="11" xfId="0" applyNumberFormat="1" applyFont="1" applyBorder="1" applyAlignment="1" applyProtection="1">
      <alignment horizontal="center"/>
    </xf>
    <xf numFmtId="167" fontId="11" fillId="0" borderId="0" xfId="0" applyNumberFormat="1" applyFont="1" applyBorder="1" applyAlignment="1"/>
    <xf numFmtId="167" fontId="152" fillId="13" borderId="0" xfId="0" applyNumberFormat="1" applyFont="1" applyFill="1" applyBorder="1"/>
    <xf numFmtId="172" fontId="10" fillId="0" borderId="0" xfId="0" applyNumberFormat="1" applyFont="1" applyAlignment="1"/>
    <xf numFmtId="167" fontId="10" fillId="0" borderId="0" xfId="0" applyNumberFormat="1" applyFont="1" applyFill="1" applyAlignment="1" applyProtection="1">
      <alignment horizontal="center"/>
    </xf>
    <xf numFmtId="167" fontId="10" fillId="0" borderId="0" xfId="0" applyNumberFormat="1" applyFont="1" applyFill="1" applyAlignment="1" applyProtection="1"/>
    <xf numFmtId="167" fontId="10" fillId="0" borderId="0" xfId="0" applyNumberFormat="1" applyFont="1" applyFill="1"/>
    <xf numFmtId="167" fontId="10" fillId="0" borderId="0" xfId="0" applyNumberFormat="1" applyFont="1" applyFill="1" applyAlignment="1"/>
    <xf numFmtId="167" fontId="10" fillId="0" borderId="0" xfId="0" applyNumberFormat="1" applyFont="1" applyFill="1" applyAlignment="1" applyProtection="1">
      <alignment horizontal="fill"/>
    </xf>
    <xf numFmtId="178" fontId="10" fillId="0" borderId="0" xfId="0" applyNumberFormat="1" applyFont="1" applyFill="1"/>
    <xf numFmtId="177" fontId="10" fillId="0" borderId="0" xfId="0" applyNumberFormat="1" applyFont="1" applyFill="1" applyProtection="1"/>
    <xf numFmtId="176" fontId="10" fillId="0" borderId="0" xfId="0" applyNumberFormat="1" applyFont="1" applyFill="1" applyProtection="1"/>
    <xf numFmtId="167" fontId="10" fillId="0" borderId="0" xfId="0" applyNumberFormat="1" applyFont="1" applyBorder="1" applyAlignment="1">
      <alignment horizontal="center"/>
    </xf>
    <xf numFmtId="167" fontId="152" fillId="6" borderId="0" xfId="0" applyNumberFormat="1" applyFont="1" applyFill="1" applyBorder="1"/>
    <xf numFmtId="167" fontId="152" fillId="0" borderId="0" xfId="0" applyNumberFormat="1" applyFont="1" applyBorder="1"/>
    <xf numFmtId="167" fontId="10" fillId="0" borderId="0" xfId="0" applyNumberFormat="1" applyFont="1" applyBorder="1" applyAlignment="1">
      <alignment horizontal="right"/>
    </xf>
    <xf numFmtId="167" fontId="43" fillId="0" borderId="0" xfId="0" applyNumberFormat="1" applyFont="1" applyBorder="1" applyAlignment="1">
      <alignment horizontal="fill"/>
    </xf>
    <xf numFmtId="167" fontId="10" fillId="0" borderId="13" xfId="0" applyNumberFormat="1" applyFont="1" applyBorder="1" applyAlignment="1">
      <alignment horizontal="center"/>
    </xf>
    <xf numFmtId="167" fontId="43" fillId="0" borderId="13" xfId="0" applyNumberFormat="1" applyFont="1" applyBorder="1" applyAlignment="1">
      <alignment horizontal="fill"/>
    </xf>
    <xf numFmtId="167" fontId="10" fillId="0" borderId="0" xfId="0" applyNumberFormat="1" applyFont="1" applyFill="1" applyAlignment="1">
      <alignment horizontal="center"/>
    </xf>
    <xf numFmtId="167" fontId="11" fillId="0" borderId="0" xfId="0" applyNumberFormat="1" applyFont="1" applyFill="1"/>
    <xf numFmtId="177" fontId="10" fillId="0" borderId="0" xfId="0" applyNumberFormat="1" applyFont="1" applyFill="1" applyAlignment="1" applyProtection="1">
      <alignment horizontal="center"/>
    </xf>
    <xf numFmtId="177" fontId="10" fillId="0" borderId="0" xfId="0" applyNumberFormat="1" applyFont="1" applyAlignment="1" applyProtection="1">
      <alignment horizontal="center"/>
    </xf>
    <xf numFmtId="179" fontId="11" fillId="0" borderId="0" xfId="0" applyNumberFormat="1" applyFont="1"/>
    <xf numFmtId="177" fontId="11" fillId="0" borderId="0" xfId="0" applyNumberFormat="1" applyFont="1"/>
    <xf numFmtId="167" fontId="10" fillId="9" borderId="0" xfId="0" applyNumberFormat="1" applyFont="1" applyFill="1" applyAlignment="1" applyProtection="1">
      <alignment horizontal="left" wrapText="1"/>
    </xf>
    <xf numFmtId="167" fontId="147" fillId="0" borderId="0" xfId="0" applyNumberFormat="1" applyFont="1" applyFill="1" applyProtection="1"/>
    <xf numFmtId="167" fontId="152" fillId="0" borderId="0" xfId="0" applyNumberFormat="1" applyFont="1" applyFill="1" applyProtection="1"/>
    <xf numFmtId="167" fontId="167" fillId="0" borderId="0" xfId="0" applyNumberFormat="1" applyFont="1" applyFill="1"/>
    <xf numFmtId="167" fontId="152" fillId="0" borderId="0" xfId="0" applyNumberFormat="1" applyFont="1" applyFill="1"/>
    <xf numFmtId="176" fontId="10" fillId="0" borderId="0" xfId="0" applyNumberFormat="1" applyFont="1" applyBorder="1" applyAlignment="1"/>
    <xf numFmtId="176" fontId="10" fillId="0" borderId="0" xfId="0" applyNumberFormat="1" applyFont="1" applyBorder="1"/>
    <xf numFmtId="167" fontId="10" fillId="0" borderId="0" xfId="0" applyNumberFormat="1" applyFont="1" applyFill="1" applyBorder="1"/>
    <xf numFmtId="167" fontId="10" fillId="0" borderId="0" xfId="0" applyNumberFormat="1" applyFont="1" applyFill="1" applyBorder="1" applyAlignment="1"/>
    <xf numFmtId="167" fontId="32" fillId="10" borderId="0" xfId="0" applyNumberFormat="1" applyFont="1" applyFill="1"/>
    <xf numFmtId="167" fontId="45" fillId="0" borderId="0" xfId="0" applyNumberFormat="1" applyFont="1" applyAlignment="1" applyProtection="1">
      <alignment horizontal="left"/>
    </xf>
    <xf numFmtId="167" fontId="168" fillId="9" borderId="0" xfId="0" applyNumberFormat="1" applyFont="1" applyFill="1" applyProtection="1"/>
    <xf numFmtId="167" fontId="169" fillId="0" borderId="0" xfId="0" applyNumberFormat="1" applyFont="1" applyProtection="1"/>
    <xf numFmtId="167" fontId="7" fillId="0" borderId="0" xfId="0" applyNumberFormat="1" applyFont="1" applyAlignment="1" applyProtection="1">
      <alignment horizontal="right"/>
    </xf>
    <xf numFmtId="167" fontId="29" fillId="9" borderId="0" xfId="0" applyNumberFormat="1" applyFont="1" applyFill="1"/>
    <xf numFmtId="167" fontId="167" fillId="0" borderId="0" xfId="0" applyNumberFormat="1" applyFont="1" applyAlignment="1"/>
    <xf numFmtId="167" fontId="167" fillId="0" borderId="0" xfId="0" applyNumberFormat="1" applyFont="1" applyAlignment="1" applyProtection="1">
      <alignment horizontal="left"/>
    </xf>
    <xf numFmtId="177" fontId="167" fillId="0" borderId="0" xfId="0" applyNumberFormat="1" applyFont="1"/>
    <xf numFmtId="167" fontId="167" fillId="0" borderId="0" xfId="0" applyNumberFormat="1" applyFont="1" applyAlignment="1">
      <alignment horizontal="center"/>
    </xf>
    <xf numFmtId="167" fontId="167" fillId="0" borderId="0" xfId="0" applyNumberFormat="1" applyFont="1"/>
    <xf numFmtId="167" fontId="167" fillId="0" borderId="0" xfId="0" applyNumberFormat="1" applyFont="1" applyAlignment="1" applyProtection="1">
      <alignment horizontal="center"/>
    </xf>
    <xf numFmtId="177" fontId="167" fillId="0" borderId="0" xfId="0" applyNumberFormat="1" applyFont="1" applyAlignment="1" applyProtection="1">
      <alignment horizontal="left"/>
    </xf>
    <xf numFmtId="177" fontId="167" fillId="0" borderId="0" xfId="0" applyNumberFormat="1" applyFont="1" applyAlignment="1" applyProtection="1">
      <alignment horizontal="center"/>
    </xf>
    <xf numFmtId="167" fontId="170" fillId="0" borderId="0" xfId="0" applyNumberFormat="1" applyFont="1"/>
    <xf numFmtId="167" fontId="171" fillId="0" borderId="0" xfId="0" applyNumberFormat="1" applyFont="1"/>
    <xf numFmtId="167" fontId="172" fillId="0" borderId="0" xfId="0" applyNumberFormat="1" applyFont="1"/>
    <xf numFmtId="177" fontId="10" fillId="0" borderId="0" xfId="0" applyNumberFormat="1" applyFont="1" applyAlignment="1">
      <alignment horizontal="right"/>
    </xf>
    <xf numFmtId="177" fontId="11" fillId="0" borderId="0" xfId="0" applyNumberFormat="1" applyFont="1" applyAlignment="1" applyProtection="1">
      <alignment horizontal="right"/>
    </xf>
    <xf numFmtId="176" fontId="10" fillId="0" borderId="0" xfId="0" applyNumberFormat="1" applyFont="1" applyAlignment="1">
      <alignment horizontal="right"/>
    </xf>
    <xf numFmtId="176" fontId="10" fillId="0" borderId="0" xfId="0" applyNumberFormat="1" applyFont="1" applyAlignment="1" applyProtection="1">
      <alignment horizontal="right"/>
    </xf>
    <xf numFmtId="176" fontId="11" fillId="0" borderId="0" xfId="0" applyNumberFormat="1" applyFont="1" applyAlignment="1" applyProtection="1">
      <alignment horizontal="right"/>
    </xf>
    <xf numFmtId="178" fontId="10" fillId="0" borderId="0" xfId="0" applyNumberFormat="1" applyFont="1" applyAlignment="1">
      <alignment horizontal="right"/>
    </xf>
    <xf numFmtId="172" fontId="11" fillId="0" borderId="0" xfId="0" applyNumberFormat="1" applyFont="1"/>
    <xf numFmtId="177" fontId="11" fillId="0" borderId="0" xfId="0" applyNumberFormat="1" applyFont="1" applyAlignment="1">
      <alignment vertical="top"/>
    </xf>
    <xf numFmtId="167" fontId="11" fillId="0" borderId="0" xfId="0" applyNumberFormat="1" applyFont="1" applyAlignment="1">
      <alignment vertical="top"/>
    </xf>
    <xf numFmtId="167" fontId="11" fillId="9" borderId="0" xfId="0" applyNumberFormat="1" applyFont="1" applyFill="1" applyAlignment="1">
      <alignment vertical="top" wrapText="1"/>
    </xf>
    <xf numFmtId="167" fontId="11" fillId="9" borderId="0" xfId="0" applyNumberFormat="1" applyFont="1" applyFill="1"/>
    <xf numFmtId="167" fontId="146" fillId="9" borderId="0" xfId="0" applyNumberFormat="1" applyFont="1" applyFill="1"/>
    <xf numFmtId="167" fontId="151" fillId="9" borderId="0" xfId="0" applyNumberFormat="1" applyFont="1" applyFill="1"/>
    <xf numFmtId="167" fontId="151" fillId="0" borderId="0" xfId="0" applyNumberFormat="1" applyFont="1"/>
    <xf numFmtId="167" fontId="151" fillId="0" borderId="0" xfId="0" applyNumberFormat="1" applyFont="1" applyAlignment="1">
      <alignment vertical="top"/>
    </xf>
    <xf numFmtId="172" fontId="10" fillId="0" borderId="0" xfId="0" applyNumberFormat="1" applyFont="1" applyAlignment="1" applyProtection="1">
      <alignment horizontal="right"/>
    </xf>
    <xf numFmtId="167" fontId="173" fillId="0" borderId="0" xfId="0" applyNumberFormat="1" applyFont="1"/>
    <xf numFmtId="167" fontId="146" fillId="0" borderId="0" xfId="0" applyNumberFormat="1" applyFont="1" applyAlignment="1" applyProtection="1">
      <alignment horizontal="right"/>
    </xf>
    <xf numFmtId="171" fontId="11" fillId="0" borderId="0" xfId="0" applyNumberFormat="1" applyFont="1" applyAlignment="1">
      <alignment vertical="center"/>
    </xf>
    <xf numFmtId="2" fontId="27" fillId="0" borderId="0" xfId="50" applyNumberFormat="1" applyFont="1" applyBorder="1" applyAlignment="1">
      <alignment vertical="top" wrapText="1"/>
    </xf>
    <xf numFmtId="167" fontId="32" fillId="2" borderId="0" xfId="0" applyNumberFormat="1" applyFont="1" applyFill="1"/>
    <xf numFmtId="167" fontId="46" fillId="10" borderId="0" xfId="0" applyNumberFormat="1" applyFont="1" applyFill="1" applyAlignment="1" applyProtection="1">
      <alignment horizontal="right"/>
    </xf>
    <xf numFmtId="167" fontId="46" fillId="0" borderId="0" xfId="0" applyNumberFormat="1" applyFont="1" applyAlignment="1" applyProtection="1">
      <alignment horizontal="right"/>
    </xf>
    <xf numFmtId="167" fontId="174" fillId="0" borderId="0" xfId="0" applyNumberFormat="1" applyFont="1"/>
    <xf numFmtId="167" fontId="43" fillId="0" borderId="0" xfId="0" applyNumberFormat="1" applyFont="1" applyAlignment="1">
      <alignment horizontal="center"/>
    </xf>
    <xf numFmtId="172" fontId="175" fillId="0" borderId="0" xfId="0" applyNumberFormat="1" applyFont="1"/>
    <xf numFmtId="167" fontId="175" fillId="0" borderId="0" xfId="0" applyNumberFormat="1" applyFont="1" applyAlignment="1"/>
    <xf numFmtId="167" fontId="175" fillId="0" borderId="0" xfId="0" applyNumberFormat="1" applyFont="1"/>
    <xf numFmtId="167" fontId="47" fillId="0" borderId="0" xfId="0" applyNumberFormat="1" applyFont="1"/>
    <xf numFmtId="167" fontId="48" fillId="9" borderId="0" xfId="0" applyNumberFormat="1" applyFont="1" applyFill="1" applyProtection="1"/>
    <xf numFmtId="167" fontId="29" fillId="0" borderId="0" xfId="0" applyNumberFormat="1" applyFont="1" applyAlignment="1" applyProtection="1">
      <alignment vertical="center"/>
    </xf>
    <xf numFmtId="167" fontId="175" fillId="0" borderId="0" xfId="0" applyNumberFormat="1" applyFont="1" applyAlignment="1">
      <alignment horizontal="center"/>
    </xf>
    <xf numFmtId="167" fontId="11" fillId="0" borderId="0" xfId="0" applyNumberFormat="1" applyFont="1" applyAlignment="1">
      <alignment horizontal="center" vertical="top" wrapText="1"/>
    </xf>
    <xf numFmtId="167" fontId="10" fillId="0" borderId="0" xfId="0" applyNumberFormat="1" applyFont="1" applyAlignment="1" applyProtection="1">
      <alignment vertical="top"/>
    </xf>
    <xf numFmtId="167" fontId="147" fillId="0" borderId="0" xfId="0" applyNumberFormat="1" applyFont="1" applyAlignment="1">
      <alignment vertical="top"/>
    </xf>
    <xf numFmtId="167" fontId="11" fillId="0" borderId="0" xfId="0" applyNumberFormat="1" applyFont="1" applyAlignment="1" applyProtection="1">
      <alignment horizontal="center" wrapText="1"/>
    </xf>
    <xf numFmtId="0" fontId="10" fillId="0" borderId="0" xfId="0" applyNumberFormat="1" applyFont="1"/>
    <xf numFmtId="0" fontId="176" fillId="0" borderId="0" xfId="0" applyNumberFormat="1" applyFont="1"/>
    <xf numFmtId="0" fontId="10" fillId="0" borderId="0" xfId="0" applyNumberFormat="1" applyFont="1" applyBorder="1"/>
    <xf numFmtId="0" fontId="176" fillId="0" borderId="0" xfId="0" applyNumberFormat="1" applyFont="1" applyBorder="1"/>
    <xf numFmtId="167" fontId="177" fillId="0" borderId="0" xfId="0" applyNumberFormat="1" applyFont="1" applyProtection="1"/>
    <xf numFmtId="167" fontId="49" fillId="0" borderId="0" xfId="0" applyNumberFormat="1" applyFont="1"/>
    <xf numFmtId="2" fontId="176" fillId="0" borderId="0" xfId="0" applyNumberFormat="1" applyFont="1"/>
    <xf numFmtId="0" fontId="10" fillId="0" borderId="0" xfId="0" applyNumberFormat="1" applyFont="1" applyBorder="1" applyAlignment="1"/>
    <xf numFmtId="167" fontId="167" fillId="0" borderId="0" xfId="0" applyNumberFormat="1" applyFont="1" applyBorder="1" applyAlignment="1"/>
    <xf numFmtId="167" fontId="41" fillId="0" borderId="0" xfId="0" applyNumberFormat="1" applyFont="1" applyAlignment="1"/>
    <xf numFmtId="167" fontId="27" fillId="0" borderId="0" xfId="0" applyNumberFormat="1" applyFont="1" applyAlignment="1" applyProtection="1">
      <alignment horizontal="center"/>
    </xf>
    <xf numFmtId="167" fontId="178" fillId="0" borderId="0" xfId="0" applyNumberFormat="1" applyFont="1" applyProtection="1"/>
    <xf numFmtId="167" fontId="27" fillId="0" borderId="0" xfId="0" applyNumberFormat="1" applyFont="1" applyAlignment="1" applyProtection="1">
      <alignment horizontal="left" wrapText="1"/>
    </xf>
    <xf numFmtId="167" fontId="179" fillId="0" borderId="0" xfId="0" applyNumberFormat="1" applyFont="1" applyProtection="1"/>
    <xf numFmtId="176" fontId="27" fillId="0" borderId="0" xfId="0" applyNumberFormat="1" applyFont="1" applyAlignment="1" applyProtection="1">
      <alignment horizontal="right"/>
    </xf>
    <xf numFmtId="167" fontId="175" fillId="0" borderId="0" xfId="0" applyNumberFormat="1" applyFont="1" applyProtection="1"/>
    <xf numFmtId="167" fontId="180" fillId="0" borderId="0" xfId="0" applyNumberFormat="1" applyFont="1" applyProtection="1"/>
    <xf numFmtId="0" fontId="10" fillId="0" borderId="0" xfId="0" applyNumberFormat="1" applyFont="1" applyAlignment="1">
      <alignment horizontal="center"/>
    </xf>
    <xf numFmtId="176" fontId="178" fillId="13" borderId="0" xfId="0" applyNumberFormat="1" applyFont="1" applyFill="1" applyProtection="1"/>
    <xf numFmtId="0" fontId="3" fillId="6" borderId="0" xfId="0" applyNumberFormat="1" applyFont="1" applyFill="1" applyBorder="1" applyAlignment="1">
      <alignment vertical="top" wrapText="1"/>
    </xf>
    <xf numFmtId="0" fontId="3" fillId="6" borderId="0" xfId="0" applyNumberFormat="1" applyFont="1" applyFill="1" applyBorder="1" applyAlignment="1">
      <alignment horizontal="center" wrapText="1"/>
    </xf>
    <xf numFmtId="2" fontId="181" fillId="0" borderId="0" xfId="0" applyNumberFormat="1" applyFont="1" applyBorder="1"/>
    <xf numFmtId="167" fontId="167" fillId="0" borderId="0" xfId="0" applyNumberFormat="1" applyFont="1" applyBorder="1"/>
    <xf numFmtId="167" fontId="167" fillId="0" borderId="0" xfId="0" applyNumberFormat="1" applyFont="1" applyBorder="1" applyAlignment="1" applyProtection="1">
      <alignment horizontal="left"/>
    </xf>
    <xf numFmtId="0" fontId="10" fillId="0" borderId="0" xfId="0" applyNumberFormat="1" applyFont="1" applyBorder="1" applyAlignment="1">
      <alignment wrapText="1"/>
    </xf>
    <xf numFmtId="0" fontId="176" fillId="0" borderId="0" xfId="0" applyNumberFormat="1" applyFont="1" applyBorder="1" applyAlignment="1">
      <alignment horizontal="right"/>
    </xf>
    <xf numFmtId="0" fontId="182" fillId="0" borderId="0" xfId="0" applyNumberFormat="1" applyFont="1"/>
    <xf numFmtId="167" fontId="170" fillId="0" borderId="0" xfId="0" applyNumberFormat="1" applyFont="1" applyAlignment="1" applyProtection="1">
      <alignment horizontal="left"/>
    </xf>
    <xf numFmtId="167" fontId="167" fillId="0" borderId="0" xfId="0" applyNumberFormat="1" applyFont="1" applyAlignment="1">
      <alignment horizontal="left"/>
    </xf>
    <xf numFmtId="167" fontId="147" fillId="0" borderId="0" xfId="0" applyNumberFormat="1" applyFont="1" applyAlignment="1">
      <alignment wrapText="1"/>
    </xf>
    <xf numFmtId="172" fontId="167" fillId="0" borderId="0" xfId="0" applyNumberFormat="1" applyFont="1"/>
    <xf numFmtId="167" fontId="176" fillId="0" borderId="0" xfId="0" applyNumberFormat="1" applyFont="1" applyAlignment="1" applyProtection="1">
      <alignment horizontal="left"/>
    </xf>
    <xf numFmtId="167" fontId="147" fillId="0" borderId="0" xfId="0" applyNumberFormat="1" applyFont="1" applyBorder="1"/>
    <xf numFmtId="167" fontId="167" fillId="0" borderId="0" xfId="0" applyNumberFormat="1" applyFont="1" applyBorder="1" applyAlignment="1">
      <alignment vertical="center"/>
    </xf>
    <xf numFmtId="0" fontId="10" fillId="0" borderId="0" xfId="0" applyNumberFormat="1" applyFont="1" applyBorder="1" applyAlignment="1">
      <alignment vertical="center"/>
    </xf>
    <xf numFmtId="167" fontId="167" fillId="0" borderId="0" xfId="0" applyNumberFormat="1" applyFont="1" applyBorder="1" applyAlignment="1" applyProtection="1">
      <alignment horizontal="left" vertical="center"/>
    </xf>
    <xf numFmtId="167" fontId="152" fillId="0" borderId="0" xfId="0" applyNumberFormat="1" applyFont="1" applyBorder="1" applyAlignment="1">
      <alignment vertical="center"/>
    </xf>
    <xf numFmtId="167" fontId="167" fillId="0" borderId="0" xfId="0" applyNumberFormat="1" applyFont="1" applyFill="1" applyBorder="1"/>
    <xf numFmtId="167" fontId="167" fillId="0" borderId="0" xfId="0" applyNumberFormat="1" applyFont="1" applyFill="1" applyBorder="1" applyAlignment="1"/>
    <xf numFmtId="167" fontId="147" fillId="0" borderId="0" xfId="0" applyNumberFormat="1" applyFont="1" applyFill="1" applyBorder="1"/>
    <xf numFmtId="167" fontId="170" fillId="0" borderId="0" xfId="0" applyNumberFormat="1" applyFont="1" applyBorder="1"/>
    <xf numFmtId="167" fontId="183" fillId="0" borderId="0" xfId="0" applyNumberFormat="1" applyFont="1" applyAlignment="1"/>
    <xf numFmtId="167" fontId="184" fillId="0" borderId="0" xfId="0" applyNumberFormat="1" applyFont="1" applyAlignment="1"/>
    <xf numFmtId="167" fontId="167" fillId="0" borderId="0" xfId="0" applyNumberFormat="1" applyFont="1" applyAlignment="1">
      <alignment horizontal="right"/>
    </xf>
    <xf numFmtId="167" fontId="176" fillId="0" borderId="0" xfId="0" applyNumberFormat="1" applyFont="1"/>
    <xf numFmtId="167" fontId="176" fillId="0" borderId="0" xfId="0" applyNumberFormat="1" applyFont="1" applyAlignment="1">
      <alignment horizontal="left"/>
    </xf>
    <xf numFmtId="2" fontId="10" fillId="0" borderId="0" xfId="0" applyNumberFormat="1" applyFont="1" applyBorder="1"/>
    <xf numFmtId="0" fontId="176" fillId="0" borderId="0" xfId="0" applyNumberFormat="1" applyFont="1" applyAlignment="1">
      <alignment horizontal="center"/>
    </xf>
    <xf numFmtId="167" fontId="178" fillId="13" borderId="0" xfId="0" applyNumberFormat="1" applyFont="1" applyFill="1" applyAlignment="1" applyProtection="1"/>
    <xf numFmtId="167" fontId="178" fillId="13" borderId="0" xfId="0" applyNumberFormat="1" applyFont="1" applyFill="1" applyAlignment="1" applyProtection="1">
      <alignment horizontal="left"/>
    </xf>
    <xf numFmtId="167" fontId="180" fillId="13" borderId="0" xfId="0" applyNumberFormat="1" applyFont="1" applyFill="1" applyAlignment="1"/>
    <xf numFmtId="167" fontId="180" fillId="13" borderId="0" xfId="0" applyNumberFormat="1" applyFont="1" applyFill="1"/>
    <xf numFmtId="167" fontId="178" fillId="13" borderId="0" xfId="0" applyNumberFormat="1" applyFont="1" applyFill="1"/>
    <xf numFmtId="167" fontId="178" fillId="13" borderId="0" xfId="0" applyNumberFormat="1" applyFont="1" applyFill="1" applyAlignment="1" applyProtection="1">
      <alignment horizontal="right"/>
    </xf>
    <xf numFmtId="167" fontId="153" fillId="0" borderId="0" xfId="0" applyNumberFormat="1" applyFont="1"/>
    <xf numFmtId="176" fontId="176" fillId="0" borderId="0" xfId="0" applyNumberFormat="1" applyFont="1" applyAlignment="1">
      <alignment vertical="top"/>
    </xf>
    <xf numFmtId="176" fontId="160" fillId="0" borderId="0" xfId="0" applyNumberFormat="1" applyFont="1" applyAlignment="1">
      <alignment horizontal="right"/>
    </xf>
    <xf numFmtId="176" fontId="10" fillId="0" borderId="0" xfId="0" applyNumberFormat="1" applyFont="1" applyAlignment="1">
      <alignment horizontal="center"/>
    </xf>
    <xf numFmtId="0" fontId="185" fillId="0" borderId="0" xfId="44" applyFont="1" applyFill="1" applyBorder="1" applyAlignment="1">
      <alignment vertical="center" wrapText="1"/>
    </xf>
    <xf numFmtId="167" fontId="0" fillId="0" borderId="0" xfId="0" applyNumberFormat="1" applyFont="1" applyFill="1" applyAlignment="1"/>
    <xf numFmtId="0" fontId="50" fillId="0" borderId="0" xfId="0" applyNumberFormat="1" applyFont="1" applyFill="1" applyAlignment="1"/>
    <xf numFmtId="0" fontId="51" fillId="14" borderId="1" xfId="0" applyNumberFormat="1" applyFont="1" applyFill="1" applyBorder="1" applyAlignment="1">
      <alignment horizontal="center" vertical="center" wrapText="1"/>
    </xf>
    <xf numFmtId="0" fontId="51" fillId="14" borderId="1" xfId="0" applyNumberFormat="1" applyFont="1" applyFill="1" applyBorder="1" applyAlignment="1">
      <alignment horizontal="center" vertical="center"/>
    </xf>
    <xf numFmtId="0" fontId="50" fillId="14" borderId="1" xfId="0" applyNumberFormat="1" applyFont="1" applyFill="1" applyBorder="1" applyAlignment="1">
      <alignment horizontal="right" vertical="top"/>
    </xf>
    <xf numFmtId="0" fontId="50" fillId="14" borderId="1" xfId="0" applyNumberFormat="1" applyFont="1" applyFill="1" applyBorder="1" applyAlignment="1">
      <alignment vertical="top" wrapText="1"/>
    </xf>
    <xf numFmtId="0" fontId="50" fillId="14" borderId="1" xfId="0" applyNumberFormat="1" applyFont="1" applyFill="1" applyBorder="1" applyAlignment="1">
      <alignment horizontal="center" vertical="center"/>
    </xf>
    <xf numFmtId="2" fontId="50" fillId="14" borderId="1" xfId="0" applyNumberFormat="1" applyFont="1" applyFill="1" applyBorder="1" applyAlignment="1">
      <alignment horizontal="center" vertical="center"/>
    </xf>
    <xf numFmtId="0" fontId="50" fillId="14" borderId="1" xfId="0" applyNumberFormat="1" applyFont="1" applyFill="1" applyBorder="1" applyAlignment="1">
      <alignment vertical="center"/>
    </xf>
    <xf numFmtId="0" fontId="50" fillId="14" borderId="1" xfId="0" applyNumberFormat="1" applyFont="1" applyFill="1" applyBorder="1" applyAlignment="1">
      <alignment vertical="center" wrapText="1"/>
    </xf>
    <xf numFmtId="2" fontId="50" fillId="14" borderId="1" xfId="0" applyNumberFormat="1" applyFont="1" applyFill="1" applyBorder="1" applyAlignment="1">
      <alignment vertical="center"/>
    </xf>
    <xf numFmtId="0" fontId="50" fillId="14" borderId="1" xfId="0" applyNumberFormat="1" applyFont="1" applyFill="1" applyBorder="1" applyAlignment="1">
      <alignment horizontal="right" vertical="center"/>
    </xf>
    <xf numFmtId="2" fontId="52" fillId="14" borderId="1" xfId="0" applyNumberFormat="1" applyFont="1" applyFill="1" applyBorder="1" applyAlignment="1">
      <alignment vertical="center"/>
    </xf>
    <xf numFmtId="0" fontId="50" fillId="14" borderId="1" xfId="0" applyNumberFormat="1" applyFont="1" applyFill="1" applyBorder="1" applyAlignment="1">
      <alignment horizontal="center"/>
    </xf>
    <xf numFmtId="0" fontId="50" fillId="0" borderId="1" xfId="0" applyNumberFormat="1" applyFont="1" applyFill="1" applyBorder="1" applyAlignment="1">
      <alignment vertical="center"/>
    </xf>
    <xf numFmtId="0" fontId="50" fillId="0" borderId="1" xfId="0" applyNumberFormat="1" applyFont="1" applyFill="1" applyBorder="1" applyAlignment="1">
      <alignment horizontal="center" vertical="center"/>
    </xf>
    <xf numFmtId="2" fontId="50" fillId="0" borderId="1" xfId="0" applyNumberFormat="1" applyFont="1" applyFill="1" applyBorder="1" applyAlignment="1">
      <alignment horizontal="center" vertical="center"/>
    </xf>
    <xf numFmtId="2" fontId="50" fillId="0" borderId="1" xfId="0" applyNumberFormat="1" applyFont="1" applyFill="1" applyBorder="1" applyAlignment="1">
      <alignment vertical="center"/>
    </xf>
    <xf numFmtId="180" fontId="50" fillId="14" borderId="1" xfId="0" applyNumberFormat="1" applyFont="1" applyFill="1" applyBorder="1" applyAlignment="1">
      <alignment vertical="center"/>
    </xf>
    <xf numFmtId="0" fontId="50" fillId="0" borderId="1" xfId="0" applyNumberFormat="1" applyFont="1" applyFill="1" applyBorder="1" applyAlignment="1">
      <alignment horizontal="right" vertical="center"/>
    </xf>
    <xf numFmtId="0" fontId="50" fillId="0" borderId="1" xfId="0" applyNumberFormat="1" applyFont="1" applyFill="1" applyBorder="1" applyAlignment="1">
      <alignment horizontal="right" vertical="top"/>
    </xf>
    <xf numFmtId="0" fontId="50" fillId="0" borderId="1" xfId="0" applyNumberFormat="1" applyFont="1" applyFill="1" applyBorder="1" applyAlignment="1">
      <alignment vertical="center" wrapText="1"/>
    </xf>
    <xf numFmtId="173" fontId="50" fillId="0" borderId="1" xfId="0" applyNumberFormat="1" applyFont="1" applyFill="1" applyBorder="1" applyAlignment="1">
      <alignment horizontal="right" vertical="top"/>
    </xf>
    <xf numFmtId="167" fontId="186" fillId="8" borderId="1" xfId="0" applyNumberFormat="1" applyFont="1" applyFill="1" applyBorder="1" applyAlignment="1">
      <alignment vertical="top" wrapText="1"/>
    </xf>
    <xf numFmtId="167" fontId="186" fillId="8" borderId="1" xfId="0" applyNumberFormat="1" applyFont="1" applyFill="1" applyBorder="1" applyAlignment="1"/>
    <xf numFmtId="180" fontId="186" fillId="8" borderId="1" xfId="0" applyNumberFormat="1" applyFont="1" applyFill="1" applyBorder="1" applyAlignment="1"/>
    <xf numFmtId="180" fontId="186" fillId="8" borderId="1" xfId="0" applyNumberFormat="1" applyFont="1" applyFill="1" applyBorder="1" applyAlignment="1">
      <alignment horizontal="left" vertical="top"/>
    </xf>
    <xf numFmtId="171" fontId="186" fillId="8" borderId="1" xfId="0" applyNumberFormat="1" applyFont="1" applyFill="1" applyBorder="1" applyAlignment="1"/>
    <xf numFmtId="0" fontId="50" fillId="0" borderId="1" xfId="0" applyNumberFormat="1" applyFont="1" applyFill="1" applyBorder="1" applyAlignment="1"/>
    <xf numFmtId="0" fontId="50" fillId="8" borderId="1" xfId="0" applyNumberFormat="1" applyFont="1" applyFill="1" applyBorder="1" applyAlignment="1"/>
    <xf numFmtId="180" fontId="50" fillId="8" borderId="1" xfId="0" applyNumberFormat="1" applyFont="1" applyFill="1" applyBorder="1" applyAlignment="1"/>
    <xf numFmtId="0" fontId="50" fillId="8" borderId="1" xfId="0" applyNumberFormat="1" applyFont="1" applyFill="1" applyBorder="1" applyAlignment="1">
      <alignment horizontal="left"/>
    </xf>
    <xf numFmtId="180" fontId="52" fillId="8" borderId="1" xfId="0" applyNumberFormat="1" applyFont="1" applyFill="1" applyBorder="1" applyAlignment="1"/>
    <xf numFmtId="0" fontId="52" fillId="8" borderId="1" xfId="0" applyNumberFormat="1" applyFont="1" applyFill="1" applyBorder="1" applyAlignment="1">
      <alignment horizontal="left"/>
    </xf>
    <xf numFmtId="2" fontId="52" fillId="8" borderId="1" xfId="0" applyNumberFormat="1" applyFont="1" applyFill="1" applyBorder="1" applyAlignment="1"/>
    <xf numFmtId="180" fontId="50" fillId="0" borderId="1" xfId="0" applyNumberFormat="1" applyFont="1" applyFill="1" applyBorder="1" applyAlignment="1"/>
    <xf numFmtId="0" fontId="50" fillId="0" borderId="1" xfId="0" applyNumberFormat="1" applyFont="1" applyFill="1" applyBorder="1" applyAlignment="1">
      <alignment horizontal="left"/>
    </xf>
    <xf numFmtId="180" fontId="52" fillId="0" borderId="1" xfId="0" applyNumberFormat="1" applyFont="1" applyFill="1" applyBorder="1" applyAlignment="1"/>
    <xf numFmtId="2" fontId="50" fillId="0" borderId="1" xfId="0" applyNumberFormat="1" applyFont="1" applyFill="1" applyBorder="1" applyAlignment="1"/>
    <xf numFmtId="2" fontId="187" fillId="8" borderId="1" xfId="0" applyNumberFormat="1" applyFont="1" applyFill="1" applyBorder="1" applyAlignment="1"/>
    <xf numFmtId="0" fontId="188" fillId="8" borderId="1" xfId="44" applyFont="1" applyFill="1" applyBorder="1" applyAlignment="1">
      <alignment vertical="center" wrapText="1"/>
    </xf>
    <xf numFmtId="180" fontId="187" fillId="8" borderId="1" xfId="44" applyNumberFormat="1" applyFont="1" applyFill="1" applyBorder="1" applyAlignment="1">
      <alignment horizontal="center" vertical="center" wrapText="1"/>
    </xf>
    <xf numFmtId="180" fontId="50" fillId="0" borderId="0" xfId="0" applyNumberFormat="1" applyFont="1" applyFill="1" applyAlignment="1"/>
    <xf numFmtId="0" fontId="50" fillId="0" borderId="0" xfId="0" applyNumberFormat="1" applyFont="1" applyFill="1" applyAlignment="1">
      <alignment horizontal="left"/>
    </xf>
    <xf numFmtId="180" fontId="52" fillId="0" borderId="0" xfId="0" applyNumberFormat="1" applyFont="1" applyFill="1" applyAlignment="1"/>
    <xf numFmtId="0" fontId="52" fillId="0" borderId="0" xfId="0" applyNumberFormat="1" applyFont="1" applyFill="1" applyAlignment="1">
      <alignment horizontal="left"/>
    </xf>
    <xf numFmtId="0" fontId="50" fillId="0" borderId="0" xfId="0" applyNumberFormat="1" applyFont="1" applyFill="1" applyAlignment="1">
      <alignment horizontal="right"/>
    </xf>
    <xf numFmtId="2" fontId="50" fillId="0" borderId="0" xfId="0" applyNumberFormat="1" applyFont="1" applyFill="1" applyAlignment="1"/>
    <xf numFmtId="2" fontId="52" fillId="0" borderId="0" xfId="0" applyNumberFormat="1" applyFont="1" applyFill="1" applyAlignment="1">
      <alignment horizontal="right"/>
    </xf>
    <xf numFmtId="0" fontId="52" fillId="0" borderId="0" xfId="0" applyNumberFormat="1" applyFont="1" applyFill="1" applyAlignment="1"/>
    <xf numFmtId="2" fontId="52" fillId="0" borderId="0" xfId="0" applyNumberFormat="1" applyFont="1" applyFill="1" applyAlignment="1"/>
    <xf numFmtId="0" fontId="189" fillId="8" borderId="0" xfId="23" applyNumberFormat="1" applyFont="1" applyFill="1" applyBorder="1" applyAlignment="1"/>
    <xf numFmtId="0" fontId="190" fillId="8" borderId="0" xfId="23" applyNumberFormat="1" applyFont="1" applyFill="1" applyBorder="1" applyAlignment="1"/>
    <xf numFmtId="0" fontId="186" fillId="8" borderId="0" xfId="23" applyNumberFormat="1" applyFont="1" applyFill="1" applyBorder="1" applyAlignment="1"/>
    <xf numFmtId="0" fontId="186" fillId="8" borderId="0" xfId="23" applyNumberFormat="1" applyFont="1" applyFill="1" applyBorder="1" applyAlignment="1">
      <alignment horizontal="center" vertical="center"/>
    </xf>
    <xf numFmtId="0" fontId="186" fillId="8" borderId="0" xfId="23" applyNumberFormat="1" applyFont="1" applyFill="1" applyBorder="1" applyAlignment="1">
      <alignment horizontal="left" vertical="top"/>
    </xf>
    <xf numFmtId="2" fontId="186" fillId="8" borderId="0" xfId="23" applyNumberFormat="1" applyFont="1" applyFill="1" applyBorder="1" applyAlignment="1"/>
    <xf numFmtId="2" fontId="186" fillId="8" borderId="0" xfId="23" applyNumberFormat="1" applyFont="1" applyFill="1" applyBorder="1" applyAlignment="1">
      <alignment horizontal="right"/>
    </xf>
    <xf numFmtId="0" fontId="186" fillId="8" borderId="0" xfId="23" applyNumberFormat="1" applyFont="1" applyFill="1" applyBorder="1" applyAlignment="1">
      <alignment horizontal="right"/>
    </xf>
    <xf numFmtId="0" fontId="190" fillId="8" borderId="1" xfId="23" applyNumberFormat="1" applyFont="1" applyFill="1" applyBorder="1" applyAlignment="1">
      <alignment horizontal="center" vertical="center"/>
    </xf>
    <xf numFmtId="0" fontId="190" fillId="8" borderId="1" xfId="23" applyNumberFormat="1" applyFont="1" applyFill="1" applyBorder="1" applyAlignment="1">
      <alignment horizontal="left" vertical="top"/>
    </xf>
    <xf numFmtId="2" fontId="190" fillId="8" borderId="1" xfId="23" applyNumberFormat="1" applyFont="1" applyFill="1" applyBorder="1" applyAlignment="1">
      <alignment horizontal="center" vertical="center"/>
    </xf>
    <xf numFmtId="0" fontId="186" fillId="8" borderId="17" xfId="18" applyFont="1" applyFill="1" applyBorder="1" applyAlignment="1">
      <alignment horizontal="center" vertical="center"/>
    </xf>
    <xf numFmtId="0" fontId="186" fillId="8" borderId="18" xfId="18" applyFont="1" applyFill="1" applyBorder="1" applyAlignment="1">
      <alignment horizontal="left" vertical="top" wrapText="1"/>
    </xf>
    <xf numFmtId="0" fontId="186" fillId="8" borderId="18" xfId="18" applyFont="1" applyFill="1" applyBorder="1" applyAlignment="1">
      <alignment vertical="center"/>
    </xf>
    <xf numFmtId="2" fontId="186" fillId="8" borderId="18" xfId="18" applyNumberFormat="1" applyFont="1" applyFill="1" applyBorder="1" applyAlignment="1">
      <alignment vertical="center"/>
    </xf>
    <xf numFmtId="2" fontId="186" fillId="8" borderId="18" xfId="18" applyNumberFormat="1" applyFont="1" applyFill="1" applyBorder="1" applyAlignment="1">
      <alignment horizontal="center" vertical="top"/>
    </xf>
    <xf numFmtId="0" fontId="186" fillId="8" borderId="19" xfId="18" applyFont="1" applyFill="1" applyBorder="1" applyAlignment="1">
      <alignment horizontal="center" vertical="center"/>
    </xf>
    <xf numFmtId="0" fontId="186" fillId="8" borderId="20" xfId="18" applyFont="1" applyFill="1" applyBorder="1" applyAlignment="1">
      <alignment horizontal="left" vertical="top"/>
    </xf>
    <xf numFmtId="0" fontId="186" fillId="8" borderId="20" xfId="18" applyFont="1" applyFill="1" applyBorder="1" applyAlignment="1">
      <alignment vertical="center"/>
    </xf>
    <xf numFmtId="2" fontId="186" fillId="8" borderId="20" xfId="18" applyNumberFormat="1" applyFont="1" applyFill="1" applyBorder="1" applyAlignment="1">
      <alignment vertical="center"/>
    </xf>
    <xf numFmtId="2" fontId="187" fillId="8" borderId="20" xfId="18" applyNumberFormat="1" applyFont="1" applyFill="1" applyBorder="1" applyAlignment="1">
      <alignment vertical="center"/>
    </xf>
    <xf numFmtId="0" fontId="186" fillId="8" borderId="20" xfId="18" applyFont="1" applyFill="1" applyBorder="1" applyAlignment="1">
      <alignment horizontal="left" vertical="top" wrapText="1"/>
    </xf>
    <xf numFmtId="2" fontId="187" fillId="8" borderId="20" xfId="18" applyNumberFormat="1" applyFont="1" applyFill="1" applyBorder="1" applyAlignment="1">
      <alignment horizontal="right" vertical="center"/>
    </xf>
    <xf numFmtId="0" fontId="186" fillId="8" borderId="20" xfId="0" applyNumberFormat="1" applyFont="1" applyFill="1" applyBorder="1" applyAlignment="1">
      <alignment horizontal="left" vertical="top" wrapText="1"/>
    </xf>
    <xf numFmtId="171" fontId="191" fillId="8" borderId="20" xfId="44" applyNumberFormat="1" applyFont="1" applyFill="1" applyBorder="1" applyAlignment="1">
      <alignment horizontal="center" vertical="center" wrapText="1"/>
    </xf>
    <xf numFmtId="167" fontId="191" fillId="8" borderId="20" xfId="44" applyNumberFormat="1" applyFont="1" applyFill="1" applyBorder="1" applyAlignment="1">
      <alignment horizontal="center" vertical="center" wrapText="1"/>
    </xf>
    <xf numFmtId="0" fontId="186" fillId="8" borderId="20" xfId="21" applyNumberFormat="1" applyFont="1" applyFill="1" applyBorder="1" applyAlignment="1">
      <alignment horizontal="center" vertical="center"/>
    </xf>
    <xf numFmtId="2" fontId="186" fillId="8" borderId="20" xfId="21" applyNumberFormat="1" applyFont="1" applyFill="1" applyBorder="1" applyAlignment="1">
      <alignment horizontal="center" vertical="center"/>
    </xf>
    <xf numFmtId="0" fontId="186" fillId="8" borderId="20" xfId="21" applyNumberFormat="1" applyFont="1" applyFill="1" applyBorder="1" applyAlignment="1">
      <alignment horizontal="left" vertical="top" wrapText="1"/>
    </xf>
    <xf numFmtId="2" fontId="187" fillId="8" borderId="20" xfId="21" applyNumberFormat="1" applyFont="1" applyFill="1" applyBorder="1" applyAlignment="1">
      <alignment horizontal="center" vertical="center"/>
    </xf>
    <xf numFmtId="0" fontId="186" fillId="8" borderId="20" xfId="18" applyFont="1" applyFill="1" applyBorder="1" applyAlignment="1">
      <alignment horizontal="center"/>
    </xf>
    <xf numFmtId="0" fontId="186" fillId="8" borderId="20" xfId="18" applyFont="1" applyFill="1" applyBorder="1" applyAlignment="1"/>
    <xf numFmtId="2" fontId="186" fillId="8" borderId="20" xfId="18" applyNumberFormat="1" applyFont="1" applyFill="1" applyBorder="1" applyAlignment="1"/>
    <xf numFmtId="0" fontId="186" fillId="8" borderId="20" xfId="0" applyNumberFormat="1" applyFont="1" applyFill="1" applyBorder="1" applyAlignment="1">
      <alignment horizontal="right" vertical="center"/>
    </xf>
    <xf numFmtId="2" fontId="186" fillId="8" borderId="20" xfId="0" applyNumberFormat="1" applyFont="1" applyFill="1" applyBorder="1" applyAlignment="1">
      <alignment horizontal="right" vertical="center"/>
    </xf>
    <xf numFmtId="2" fontId="187" fillId="8" borderId="20" xfId="0" applyNumberFormat="1" applyFont="1" applyFill="1" applyBorder="1" applyAlignment="1">
      <alignment horizontal="right" vertical="center"/>
    </xf>
    <xf numFmtId="0" fontId="186" fillId="8" borderId="20" xfId="47" applyFont="1" applyFill="1" applyBorder="1" applyAlignment="1">
      <alignment horizontal="left" vertical="top" wrapText="1"/>
    </xf>
    <xf numFmtId="0" fontId="186" fillId="8" borderId="18" xfId="23" applyNumberFormat="1" applyFont="1" applyFill="1" applyBorder="1" applyAlignment="1">
      <alignment horizontal="right"/>
    </xf>
    <xf numFmtId="0" fontId="186" fillId="8" borderId="21" xfId="18" applyFont="1" applyFill="1" applyBorder="1" applyAlignment="1">
      <alignment vertical="center"/>
    </xf>
    <xf numFmtId="0" fontId="187" fillId="8" borderId="22" xfId="18" applyFont="1" applyFill="1" applyBorder="1" applyAlignment="1">
      <alignment vertical="center"/>
    </xf>
    <xf numFmtId="2" fontId="186" fillId="8" borderId="20" xfId="23" applyNumberFormat="1" applyFont="1" applyFill="1" applyBorder="1" applyAlignment="1">
      <alignment horizontal="right" vertical="center"/>
    </xf>
    <xf numFmtId="0" fontId="186" fillId="8" borderId="22" xfId="18" applyFont="1" applyFill="1" applyBorder="1" applyAlignment="1">
      <alignment vertical="center"/>
    </xf>
    <xf numFmtId="0" fontId="192" fillId="8" borderId="22" xfId="0" applyNumberFormat="1" applyFont="1" applyFill="1" applyBorder="1" applyAlignment="1"/>
    <xf numFmtId="0" fontId="187" fillId="8" borderId="22" xfId="18" applyFont="1" applyFill="1" applyBorder="1" applyAlignment="1">
      <alignment horizontal="center" vertical="center"/>
    </xf>
    <xf numFmtId="0" fontId="186" fillId="8" borderId="22" xfId="18" applyFont="1" applyFill="1" applyBorder="1" applyAlignment="1"/>
    <xf numFmtId="0" fontId="187" fillId="8" borderId="22" xfId="18" applyFont="1" applyFill="1" applyBorder="1" applyAlignment="1">
      <alignment horizontal="right"/>
    </xf>
    <xf numFmtId="2" fontId="187" fillId="8" borderId="20" xfId="21" applyNumberFormat="1" applyFont="1" applyFill="1" applyBorder="1" applyAlignment="1">
      <alignment vertical="center"/>
    </xf>
    <xf numFmtId="2" fontId="187" fillId="8" borderId="20" xfId="18" applyNumberFormat="1" applyFont="1" applyFill="1" applyBorder="1" applyAlignment="1"/>
    <xf numFmtId="0" fontId="187" fillId="8" borderId="22" xfId="18" applyFont="1" applyFill="1" applyBorder="1" applyAlignment="1"/>
    <xf numFmtId="0" fontId="193" fillId="8" borderId="20" xfId="0" applyNumberFormat="1" applyFont="1" applyFill="1" applyBorder="1" applyAlignment="1">
      <alignment horizontal="right" vertical="center"/>
    </xf>
    <xf numFmtId="2" fontId="193" fillId="8" borderId="20" xfId="0" applyNumberFormat="1" applyFont="1" applyFill="1" applyBorder="1" applyAlignment="1">
      <alignment horizontal="right" vertical="center"/>
    </xf>
    <xf numFmtId="2" fontId="194" fillId="8" borderId="20" xfId="0" applyNumberFormat="1" applyFont="1" applyFill="1" applyBorder="1" applyAlignment="1">
      <alignment horizontal="right" vertical="center"/>
    </xf>
    <xf numFmtId="0" fontId="167" fillId="0" borderId="1" xfId="0" applyNumberFormat="1" applyFont="1" applyFill="1" applyBorder="1" applyAlignment="1">
      <alignment horizontal="left" vertical="top"/>
    </xf>
    <xf numFmtId="167" fontId="170" fillId="0" borderId="1" xfId="0" applyNumberFormat="1" applyFont="1" applyFill="1" applyBorder="1" applyAlignment="1">
      <alignment horizontal="left" vertical="top" wrapText="1"/>
    </xf>
    <xf numFmtId="167" fontId="167" fillId="0" borderId="1" xfId="0" applyNumberFormat="1" applyFont="1" applyFill="1" applyBorder="1" applyAlignment="1">
      <alignment horizontal="left" vertical="top"/>
    </xf>
    <xf numFmtId="2" fontId="167" fillId="0" borderId="1" xfId="0" applyNumberFormat="1" applyFont="1" applyFill="1" applyBorder="1" applyAlignment="1">
      <alignment horizontal="left" vertical="top"/>
    </xf>
    <xf numFmtId="167" fontId="167" fillId="0" borderId="1" xfId="0" applyNumberFormat="1" applyFont="1" applyFill="1" applyBorder="1" applyAlignment="1">
      <alignment horizontal="left" vertical="top" wrapText="1"/>
    </xf>
    <xf numFmtId="0" fontId="187" fillId="8" borderId="22" xfId="0" applyNumberFormat="1" applyFont="1" applyFill="1" applyBorder="1" applyAlignment="1">
      <alignment horizontal="right" vertical="center"/>
    </xf>
    <xf numFmtId="2" fontId="170" fillId="0" borderId="1" xfId="0" applyNumberFormat="1" applyFont="1" applyFill="1" applyBorder="1" applyAlignment="1">
      <alignment horizontal="left" vertical="top"/>
    </xf>
    <xf numFmtId="167" fontId="43" fillId="0" borderId="0" xfId="0" applyNumberFormat="1" applyFont="1" applyAlignment="1">
      <alignment vertical="center"/>
    </xf>
    <xf numFmtId="167" fontId="43" fillId="0" borderId="0" xfId="0" applyNumberFormat="1" applyFont="1" applyAlignment="1">
      <alignment horizontal="center" vertical="center"/>
    </xf>
    <xf numFmtId="167" fontId="195" fillId="0" borderId="0" xfId="0" applyNumberFormat="1" applyFont="1"/>
    <xf numFmtId="167" fontId="43" fillId="0" borderId="0" xfId="0" applyNumberFormat="1" applyFont="1" applyBorder="1" applyAlignment="1">
      <alignment vertical="center"/>
    </xf>
    <xf numFmtId="2" fontId="43" fillId="0" borderId="0" xfId="51" applyNumberFormat="1" applyFont="1" applyBorder="1" applyAlignment="1">
      <alignment vertical="center" wrapText="1"/>
    </xf>
    <xf numFmtId="2" fontId="36" fillId="0" borderId="0" xfId="51" applyNumberFormat="1" applyFont="1" applyBorder="1" applyAlignment="1">
      <alignment vertical="center" wrapText="1"/>
    </xf>
    <xf numFmtId="0" fontId="36" fillId="0" borderId="0" xfId="51" applyFont="1" applyBorder="1" applyAlignment="1">
      <alignment horizontal="center" vertical="center" wrapText="1"/>
    </xf>
    <xf numFmtId="167" fontId="57" fillId="0" borderId="0" xfId="0" applyNumberFormat="1" applyFont="1" applyAlignment="1" applyProtection="1">
      <alignment horizontal="left"/>
    </xf>
    <xf numFmtId="167" fontId="57" fillId="0" borderId="0" xfId="0" applyNumberFormat="1" applyFont="1" applyAlignment="1">
      <alignment horizontal="center"/>
    </xf>
    <xf numFmtId="176" fontId="0" fillId="0" borderId="0" xfId="0" applyNumberFormat="1" applyFont="1"/>
    <xf numFmtId="167" fontId="0" fillId="0" borderId="0" xfId="0" applyNumberFormat="1" applyFont="1" applyAlignment="1"/>
    <xf numFmtId="167" fontId="0" fillId="0" borderId="0" xfId="0" applyNumberFormat="1" applyFont="1"/>
    <xf numFmtId="167" fontId="0" fillId="0" borderId="0" xfId="0" applyNumberFormat="1" applyFont="1" applyAlignment="1">
      <alignment horizontal="left"/>
    </xf>
    <xf numFmtId="177" fontId="0" fillId="0" borderId="0" xfId="0" applyNumberFormat="1" applyFont="1"/>
    <xf numFmtId="172" fontId="0" fillId="0" borderId="0" xfId="0" applyNumberFormat="1" applyFont="1"/>
    <xf numFmtId="167" fontId="196" fillId="0" borderId="0" xfId="0" applyNumberFormat="1" applyFont="1"/>
    <xf numFmtId="167" fontId="57" fillId="0" borderId="0" xfId="0" applyNumberFormat="1" applyFont="1" applyAlignment="1"/>
    <xf numFmtId="167" fontId="57" fillId="0" borderId="0" xfId="0" applyNumberFormat="1" applyFont="1"/>
    <xf numFmtId="167" fontId="0" fillId="0" borderId="0" xfId="0" applyNumberFormat="1" applyAlignment="1">
      <alignment horizontal="left"/>
    </xf>
    <xf numFmtId="167" fontId="0" fillId="0" borderId="0" xfId="0" applyNumberFormat="1" applyAlignment="1"/>
    <xf numFmtId="167" fontId="58" fillId="0" borderId="0" xfId="0" applyNumberFormat="1" applyFont="1" applyAlignment="1">
      <alignment horizontal="center"/>
    </xf>
    <xf numFmtId="167" fontId="59" fillId="0" borderId="0" xfId="0" applyNumberFormat="1" applyFont="1"/>
    <xf numFmtId="167" fontId="59" fillId="0" borderId="0" xfId="0" applyNumberFormat="1" applyFont="1" applyAlignment="1">
      <alignment horizontal="center"/>
    </xf>
    <xf numFmtId="167" fontId="59" fillId="0" borderId="0" xfId="0" applyNumberFormat="1" applyFont="1" applyProtection="1"/>
    <xf numFmtId="172" fontId="59" fillId="0" borderId="0" xfId="0" applyNumberFormat="1" applyFont="1"/>
    <xf numFmtId="176" fontId="59" fillId="0" borderId="0" xfId="0" applyNumberFormat="1" applyFont="1" applyProtection="1"/>
    <xf numFmtId="167" fontId="59" fillId="0" borderId="0" xfId="0" applyNumberFormat="1" applyFont="1" applyAlignment="1" applyProtection="1"/>
    <xf numFmtId="167" fontId="59" fillId="0" borderId="0" xfId="0" applyNumberFormat="1" applyFont="1" applyAlignment="1" applyProtection="1">
      <alignment horizontal="left"/>
    </xf>
    <xf numFmtId="167" fontId="59" fillId="0" borderId="0" xfId="0" applyNumberFormat="1" applyFont="1" applyAlignment="1"/>
    <xf numFmtId="167" fontId="58" fillId="0" borderId="0" xfId="0" applyNumberFormat="1" applyFont="1" applyAlignment="1" applyProtection="1">
      <alignment horizontal="right"/>
    </xf>
    <xf numFmtId="167" fontId="58" fillId="0" borderId="0" xfId="0" applyNumberFormat="1" applyFont="1" applyProtection="1"/>
    <xf numFmtId="167" fontId="58" fillId="0" borderId="0" xfId="0" applyNumberFormat="1" applyFont="1"/>
    <xf numFmtId="167" fontId="58" fillId="0" borderId="0" xfId="0" applyNumberFormat="1" applyFont="1" applyAlignment="1" applyProtection="1">
      <alignment horizontal="left"/>
    </xf>
    <xf numFmtId="167" fontId="58" fillId="0" borderId="0" xfId="0" applyNumberFormat="1" applyFont="1" applyAlignment="1" applyProtection="1">
      <alignment horizontal="center"/>
    </xf>
    <xf numFmtId="167" fontId="59" fillId="0" borderId="0" xfId="0" applyNumberFormat="1" applyFont="1" applyAlignment="1" applyProtection="1">
      <alignment horizontal="right"/>
    </xf>
    <xf numFmtId="167" fontId="60" fillId="0" borderId="0" xfId="0" applyNumberFormat="1" applyFont="1"/>
    <xf numFmtId="167" fontId="59" fillId="0" borderId="0" xfId="0" applyNumberFormat="1" applyFont="1" applyAlignment="1">
      <alignment horizontal="left"/>
    </xf>
    <xf numFmtId="167" fontId="59" fillId="0" borderId="0" xfId="0" applyNumberFormat="1" applyFont="1" applyAlignment="1" applyProtection="1">
      <alignment horizontal="fill"/>
    </xf>
    <xf numFmtId="172" fontId="0" fillId="0" borderId="0" xfId="0" applyNumberFormat="1"/>
    <xf numFmtId="176" fontId="0" fillId="0" borderId="0" xfId="0" applyNumberFormat="1" applyProtection="1"/>
    <xf numFmtId="167" fontId="0" fillId="0" borderId="0" xfId="0" applyNumberFormat="1" applyAlignment="1" applyProtection="1"/>
    <xf numFmtId="167" fontId="0" fillId="0" borderId="0" xfId="0" applyNumberFormat="1" applyAlignment="1" applyProtection="1">
      <alignment horizontal="left"/>
    </xf>
    <xf numFmtId="167" fontId="0" fillId="0" borderId="0" xfId="0" applyNumberFormat="1" applyProtection="1"/>
    <xf numFmtId="167" fontId="2" fillId="0" borderId="0" xfId="0" applyNumberFormat="1" applyFont="1" applyAlignment="1" applyProtection="1">
      <alignment horizontal="center"/>
    </xf>
    <xf numFmtId="167" fontId="2" fillId="0" borderId="0" xfId="0" applyNumberFormat="1" applyFont="1" applyAlignment="1" applyProtection="1"/>
    <xf numFmtId="167" fontId="2" fillId="0" borderId="0" xfId="0" applyNumberFormat="1" applyFont="1" applyAlignment="1" applyProtection="1">
      <alignment horizontal="left"/>
    </xf>
    <xf numFmtId="167" fontId="2" fillId="0" borderId="0" xfId="0" applyNumberFormat="1" applyFont="1"/>
    <xf numFmtId="167" fontId="2" fillId="0" borderId="0" xfId="0" applyNumberFormat="1" applyFont="1" applyAlignment="1">
      <alignment horizontal="center"/>
    </xf>
    <xf numFmtId="167" fontId="2" fillId="0" borderId="0" xfId="0" applyNumberFormat="1" applyFont="1" applyAlignment="1"/>
    <xf numFmtId="167" fontId="61" fillId="0" borderId="0" xfId="0" applyNumberFormat="1" applyFont="1" applyAlignment="1" applyProtection="1">
      <alignment horizontal="left"/>
    </xf>
    <xf numFmtId="167" fontId="2" fillId="0" borderId="0" xfId="0" applyNumberFormat="1" applyFont="1" applyAlignment="1" applyProtection="1">
      <alignment horizontal="fill"/>
    </xf>
    <xf numFmtId="167" fontId="62" fillId="0" borderId="0" xfId="0" applyNumberFormat="1" applyFont="1" applyAlignment="1" applyProtection="1">
      <alignment horizontal="left"/>
    </xf>
    <xf numFmtId="167" fontId="2" fillId="0" borderId="0" xfId="0" applyNumberFormat="1" applyFont="1" applyAlignment="1">
      <alignment horizontal="right"/>
    </xf>
    <xf numFmtId="172" fontId="1" fillId="0" borderId="0" xfId="0" applyNumberFormat="1" applyFont="1" applyAlignment="1">
      <alignment horizontal="right"/>
    </xf>
    <xf numFmtId="176" fontId="1" fillId="0" borderId="0" xfId="0" applyNumberFormat="1" applyFont="1" applyAlignment="1">
      <alignment horizontal="right"/>
    </xf>
    <xf numFmtId="177" fontId="2" fillId="0" borderId="0" xfId="0" applyNumberFormat="1" applyFont="1" applyProtection="1"/>
    <xf numFmtId="172" fontId="57" fillId="0" borderId="0" xfId="0" applyNumberFormat="1" applyFont="1"/>
    <xf numFmtId="176" fontId="57" fillId="0" borderId="0" xfId="0" applyNumberFormat="1" applyFont="1" applyAlignment="1">
      <alignment horizontal="right"/>
    </xf>
    <xf numFmtId="177" fontId="2" fillId="0" borderId="0" xfId="0" applyNumberFormat="1" applyFont="1" applyAlignment="1" applyProtection="1">
      <alignment horizontal="left"/>
    </xf>
    <xf numFmtId="176" fontId="1" fillId="0" borderId="0" xfId="0" applyNumberFormat="1" applyFont="1" applyAlignment="1" applyProtection="1">
      <alignment horizontal="right"/>
    </xf>
    <xf numFmtId="176" fontId="2" fillId="0" borderId="0" xfId="0" applyNumberFormat="1" applyFont="1"/>
    <xf numFmtId="176" fontId="0" fillId="0" borderId="0" xfId="0" applyNumberFormat="1"/>
    <xf numFmtId="167" fontId="2" fillId="0" borderId="0" xfId="0" applyNumberFormat="1" applyFont="1" applyProtection="1"/>
    <xf numFmtId="176" fontId="1" fillId="0" borderId="0" xfId="0" applyNumberFormat="1" applyFont="1"/>
    <xf numFmtId="167" fontId="2" fillId="0" borderId="0" xfId="0" applyNumberFormat="1" applyFont="1" applyAlignment="1" applyProtection="1">
      <alignment horizontal="left" wrapText="1"/>
    </xf>
    <xf numFmtId="177" fontId="0" fillId="0" borderId="0" xfId="0" applyNumberFormat="1"/>
    <xf numFmtId="176" fontId="2" fillId="0" borderId="0" xfId="0" applyNumberFormat="1" applyFont="1" applyProtection="1"/>
    <xf numFmtId="167" fontId="62" fillId="0" borderId="0" xfId="0" applyNumberFormat="1" applyFont="1" applyAlignment="1" applyProtection="1">
      <alignment horizontal="left" wrapText="1"/>
    </xf>
    <xf numFmtId="167" fontId="1" fillId="0" borderId="0" xfId="0" applyNumberFormat="1" applyFont="1" applyAlignment="1" applyProtection="1">
      <alignment horizontal="left"/>
    </xf>
    <xf numFmtId="167" fontId="2" fillId="13" borderId="0" xfId="0" applyNumberFormat="1" applyFont="1" applyFill="1" applyProtection="1"/>
    <xf numFmtId="172" fontId="2" fillId="0" borderId="0" xfId="0" applyNumberFormat="1" applyFont="1" applyAlignment="1" applyProtection="1">
      <alignment horizontal="right"/>
    </xf>
    <xf numFmtId="167" fontId="2" fillId="0" borderId="0" xfId="0" applyNumberFormat="1" applyFont="1" applyAlignment="1" applyProtection="1">
      <alignment horizontal="right"/>
    </xf>
    <xf numFmtId="167" fontId="1" fillId="0" borderId="0" xfId="0" applyNumberFormat="1" applyFont="1" applyAlignment="1">
      <alignment horizontal="right"/>
    </xf>
    <xf numFmtId="167" fontId="1" fillId="0" borderId="0" xfId="0" applyNumberFormat="1" applyFont="1" applyProtection="1"/>
    <xf numFmtId="167" fontId="0" fillId="0" borderId="0" xfId="0" applyNumberFormat="1" applyAlignment="1" applyProtection="1">
      <alignment horizontal="fill"/>
    </xf>
    <xf numFmtId="172" fontId="0" fillId="0" borderId="0" xfId="0" applyNumberFormat="1" applyProtection="1"/>
    <xf numFmtId="167" fontId="0" fillId="0" borderId="0" xfId="0" applyNumberFormat="1" applyFont="1" applyProtection="1"/>
    <xf numFmtId="167" fontId="0" fillId="0" borderId="0" xfId="0" applyNumberFormat="1" applyAlignment="1" applyProtection="1">
      <alignment horizontal="center"/>
    </xf>
    <xf numFmtId="167" fontId="57" fillId="0" borderId="0" xfId="0" applyNumberFormat="1" applyFont="1" applyProtection="1"/>
    <xf numFmtId="167" fontId="59" fillId="0" borderId="0" xfId="0" applyNumberFormat="1" applyFont="1" applyAlignment="1" applyProtection="1">
      <alignment horizontal="left" wrapText="1"/>
    </xf>
    <xf numFmtId="176" fontId="59" fillId="0" borderId="0" xfId="0" applyNumberFormat="1" applyFont="1" applyAlignment="1" applyProtection="1">
      <alignment horizontal="right"/>
    </xf>
    <xf numFmtId="0" fontId="0" fillId="0" borderId="0" xfId="0" applyNumberFormat="1"/>
    <xf numFmtId="167" fontId="57" fillId="0" borderId="0" xfId="0" applyNumberFormat="1" applyFont="1" applyAlignment="1">
      <alignment horizontal="left"/>
    </xf>
    <xf numFmtId="167" fontId="63" fillId="0" borderId="0" xfId="0" applyNumberFormat="1" applyFont="1"/>
    <xf numFmtId="167" fontId="63" fillId="0" borderId="0" xfId="0" applyNumberFormat="1" applyFont="1" applyAlignment="1"/>
    <xf numFmtId="167" fontId="63" fillId="0" borderId="0" xfId="0" applyNumberFormat="1" applyFont="1" applyProtection="1"/>
    <xf numFmtId="167" fontId="63" fillId="0" borderId="0" xfId="0" applyNumberFormat="1" applyFont="1" applyAlignment="1">
      <alignment horizontal="left"/>
    </xf>
    <xf numFmtId="172" fontId="64" fillId="0" borderId="0" xfId="0" applyNumberFormat="1" applyFont="1"/>
    <xf numFmtId="167" fontId="64" fillId="0" borderId="0" xfId="0" applyNumberFormat="1" applyFont="1" applyAlignment="1"/>
    <xf numFmtId="167" fontId="65" fillId="0" borderId="0" xfId="0" applyNumberFormat="1" applyFont="1"/>
    <xf numFmtId="167" fontId="64" fillId="0" borderId="0" xfId="0" applyNumberFormat="1" applyFont="1"/>
    <xf numFmtId="167" fontId="64" fillId="0" borderId="0" xfId="0" applyNumberFormat="1" applyFont="1" applyAlignment="1">
      <alignment horizontal="left"/>
    </xf>
    <xf numFmtId="0" fontId="64" fillId="0" borderId="0" xfId="0" applyNumberFormat="1" applyFont="1"/>
    <xf numFmtId="172" fontId="64" fillId="0" borderId="0" xfId="0" applyNumberFormat="1" applyFont="1" applyProtection="1"/>
    <xf numFmtId="167" fontId="64" fillId="0" borderId="0" xfId="0" applyNumberFormat="1" applyFont="1" applyAlignment="1" applyProtection="1"/>
    <xf numFmtId="167" fontId="64" fillId="0" borderId="0" xfId="0" applyNumberFormat="1" applyFont="1" applyAlignment="1" applyProtection="1">
      <alignment horizontal="left"/>
    </xf>
    <xf numFmtId="167" fontId="64" fillId="0" borderId="0" xfId="0" applyNumberFormat="1" applyFont="1" applyProtection="1"/>
    <xf numFmtId="167" fontId="64" fillId="0" borderId="0" xfId="0" applyNumberFormat="1" applyFont="1" applyAlignment="1">
      <alignment horizontal="center"/>
    </xf>
    <xf numFmtId="167" fontId="65" fillId="0" borderId="0" xfId="0" applyNumberFormat="1" applyFont="1" applyAlignment="1" applyProtection="1">
      <alignment horizontal="right"/>
    </xf>
    <xf numFmtId="167" fontId="65" fillId="0" borderId="0" xfId="0" applyNumberFormat="1" applyFont="1" applyProtection="1"/>
    <xf numFmtId="2" fontId="0" fillId="0" borderId="0" xfId="0" applyNumberFormat="1"/>
    <xf numFmtId="2" fontId="144" fillId="0" borderId="0" xfId="0" applyNumberFormat="1" applyFont="1"/>
    <xf numFmtId="0" fontId="0" fillId="0" borderId="0" xfId="0" applyNumberFormat="1" applyAlignment="1">
      <alignment horizontal="center" vertical="center"/>
    </xf>
    <xf numFmtId="167" fontId="0" fillId="0" borderId="0" xfId="0" applyNumberFormat="1" applyAlignment="1">
      <alignment horizontal="center"/>
    </xf>
    <xf numFmtId="167" fontId="0" fillId="0" borderId="0" xfId="0" applyNumberFormat="1" applyAlignment="1" applyProtection="1">
      <alignment horizontal="right"/>
    </xf>
    <xf numFmtId="167" fontId="144" fillId="0" borderId="0" xfId="0" applyNumberFormat="1" applyFont="1" applyAlignment="1" applyProtection="1">
      <alignment horizontal="right"/>
    </xf>
    <xf numFmtId="167" fontId="144" fillId="0" borderId="0" xfId="0" applyNumberFormat="1" applyFont="1"/>
    <xf numFmtId="0" fontId="144" fillId="0" borderId="0" xfId="0" applyNumberFormat="1" applyFont="1"/>
    <xf numFmtId="167" fontId="0" fillId="13" borderId="0" xfId="0" applyNumberFormat="1" applyFill="1"/>
    <xf numFmtId="167" fontId="0" fillId="13" borderId="0" xfId="0" applyNumberFormat="1" applyFill="1" applyAlignment="1"/>
    <xf numFmtId="167" fontId="0" fillId="13" borderId="0" xfId="0" applyNumberFormat="1" applyFill="1" applyAlignment="1" applyProtection="1">
      <alignment horizontal="left"/>
    </xf>
    <xf numFmtId="167" fontId="0" fillId="13" borderId="0" xfId="0" applyNumberFormat="1" applyFill="1" applyAlignment="1">
      <alignment horizontal="left"/>
    </xf>
    <xf numFmtId="167" fontId="0" fillId="13" borderId="0" xfId="0" applyNumberFormat="1" applyFill="1" applyProtection="1"/>
    <xf numFmtId="0" fontId="0" fillId="13" borderId="0" xfId="0" applyNumberFormat="1" applyFill="1"/>
    <xf numFmtId="180" fontId="0" fillId="0" borderId="0" xfId="0" applyNumberFormat="1"/>
    <xf numFmtId="180" fontId="144" fillId="0" borderId="0" xfId="0" applyNumberFormat="1" applyFont="1"/>
    <xf numFmtId="167" fontId="60" fillId="0" borderId="0" xfId="0" applyNumberFormat="1" applyFont="1" applyAlignment="1">
      <alignment horizontal="center"/>
    </xf>
    <xf numFmtId="2" fontId="57" fillId="0" borderId="0" xfId="0" applyNumberFormat="1" applyFont="1"/>
    <xf numFmtId="167" fontId="2" fillId="13" borderId="0" xfId="0" applyNumberFormat="1" applyFont="1" applyFill="1" applyAlignment="1" applyProtection="1">
      <alignment horizontal="center"/>
    </xf>
    <xf numFmtId="176" fontId="144" fillId="0" borderId="0" xfId="0" applyNumberFormat="1" applyFont="1" applyAlignment="1">
      <alignment vertical="top"/>
    </xf>
    <xf numFmtId="177" fontId="2" fillId="0" borderId="0" xfId="0" applyNumberFormat="1" applyFont="1" applyAlignment="1">
      <alignment horizontal="right"/>
    </xf>
    <xf numFmtId="176" fontId="197" fillId="0" borderId="0" xfId="0" applyNumberFormat="1" applyFont="1" applyAlignment="1">
      <alignment horizontal="right"/>
    </xf>
    <xf numFmtId="176" fontId="2" fillId="0" borderId="0" xfId="0" applyNumberFormat="1" applyFont="1" applyAlignment="1">
      <alignment horizontal="center"/>
    </xf>
    <xf numFmtId="167" fontId="1" fillId="0" borderId="0" xfId="0" applyNumberFormat="1" applyFont="1" applyAlignment="1" applyProtection="1">
      <alignment horizontal="center"/>
    </xf>
    <xf numFmtId="167" fontId="1" fillId="0" borderId="0" xfId="0" applyNumberFormat="1" applyFont="1" applyAlignment="1">
      <alignment vertical="top"/>
    </xf>
    <xf numFmtId="167" fontId="2" fillId="13" borderId="0" xfId="0" applyNumberFormat="1" applyFont="1" applyFill="1"/>
    <xf numFmtId="167" fontId="2" fillId="0" borderId="0" xfId="0" applyNumberFormat="1" applyFont="1" applyAlignment="1">
      <alignment vertical="top"/>
    </xf>
    <xf numFmtId="167" fontId="10" fillId="8" borderId="0" xfId="0" applyNumberFormat="1" applyFont="1" applyFill="1" applyBorder="1"/>
    <xf numFmtId="167" fontId="10" fillId="13" borderId="0" xfId="0" applyNumberFormat="1" applyFont="1" applyFill="1" applyBorder="1"/>
    <xf numFmtId="167" fontId="10" fillId="0" borderId="0" xfId="0" applyNumberFormat="1" applyFont="1" applyBorder="1" applyAlignment="1">
      <alignment horizontal="center" vertical="top"/>
    </xf>
    <xf numFmtId="167" fontId="55" fillId="0" borderId="0" xfId="0" applyNumberFormat="1" applyFont="1" applyBorder="1" applyAlignment="1">
      <alignment horizontal="center" vertical="center"/>
    </xf>
    <xf numFmtId="167" fontId="11" fillId="0" borderId="0" xfId="0" applyNumberFormat="1" applyFont="1" applyBorder="1" applyAlignment="1">
      <alignment horizontal="center"/>
    </xf>
    <xf numFmtId="167" fontId="11" fillId="0" borderId="0" xfId="0" applyNumberFormat="1" applyFont="1" applyBorder="1" applyAlignment="1">
      <alignment horizontal="center" vertical="center"/>
    </xf>
    <xf numFmtId="167" fontId="11" fillId="0" borderId="0" xfId="0" applyNumberFormat="1" applyFont="1" applyBorder="1" applyAlignment="1">
      <alignment vertical="top"/>
    </xf>
    <xf numFmtId="167" fontId="10" fillId="0" borderId="0" xfId="0" applyNumberFormat="1" applyFont="1" applyBorder="1" applyAlignment="1">
      <alignment vertical="top"/>
    </xf>
    <xf numFmtId="167" fontId="10" fillId="0" borderId="0" xfId="0" applyNumberFormat="1" applyFont="1" applyBorder="1" applyAlignment="1">
      <alignment vertical="top" wrapText="1"/>
    </xf>
    <xf numFmtId="172" fontId="10" fillId="0" borderId="0" xfId="0" applyNumberFormat="1" applyFont="1" applyBorder="1" applyAlignment="1">
      <alignment horizontal="left" vertical="top"/>
    </xf>
    <xf numFmtId="167" fontId="10" fillId="0" borderId="0" xfId="0" applyNumberFormat="1" applyFont="1" applyBorder="1" applyAlignment="1">
      <alignment horizontal="right" vertical="top"/>
    </xf>
    <xf numFmtId="167" fontId="11" fillId="0" borderId="0" xfId="0" applyNumberFormat="1" applyFont="1" applyBorder="1" applyAlignment="1">
      <alignment horizontal="right" vertical="top"/>
    </xf>
    <xf numFmtId="167" fontId="147" fillId="0" borderId="0" xfId="0" applyNumberFormat="1" applyFont="1" applyBorder="1" applyAlignment="1">
      <alignment horizontal="left" vertical="top" wrapText="1"/>
    </xf>
    <xf numFmtId="167" fontId="11" fillId="0" borderId="0" xfId="0" applyNumberFormat="1" applyFont="1" applyBorder="1" applyAlignment="1">
      <alignment horizontal="left" vertical="top" wrapText="1"/>
    </xf>
    <xf numFmtId="167" fontId="152" fillId="0" borderId="0" xfId="0" applyNumberFormat="1" applyFont="1" applyBorder="1" applyAlignment="1">
      <alignment horizontal="left" vertical="top"/>
    </xf>
    <xf numFmtId="167" fontId="23" fillId="0" borderId="0" xfId="0" applyNumberFormat="1" applyFont="1" applyBorder="1" applyAlignment="1">
      <alignment horizontal="left" vertical="top"/>
    </xf>
    <xf numFmtId="12" fontId="10" fillId="0" borderId="0" xfId="0" applyNumberFormat="1" applyFont="1" applyBorder="1" applyAlignment="1">
      <alignment horizontal="left" vertical="top"/>
    </xf>
    <xf numFmtId="167" fontId="10" fillId="0" borderId="0" xfId="0" applyNumberFormat="1" applyFont="1" applyBorder="1" applyAlignment="1">
      <alignment wrapText="1"/>
    </xf>
    <xf numFmtId="167" fontId="56" fillId="0" borderId="0" xfId="0" applyNumberFormat="1" applyFont="1" applyBorder="1" applyAlignment="1">
      <alignment horizontal="left" vertical="top"/>
    </xf>
    <xf numFmtId="167" fontId="47" fillId="0" borderId="0" xfId="0" applyNumberFormat="1" applyFont="1" applyBorder="1" applyAlignment="1">
      <alignment horizontal="left" vertical="top"/>
    </xf>
    <xf numFmtId="167" fontId="11" fillId="0" borderId="0" xfId="0" applyNumberFormat="1" applyFont="1" applyBorder="1" applyAlignment="1">
      <alignment horizontal="left" wrapText="1"/>
    </xf>
    <xf numFmtId="167" fontId="11" fillId="0" borderId="0" xfId="0" applyNumberFormat="1" applyFont="1" applyFill="1" applyBorder="1" applyAlignment="1">
      <alignment horizontal="left" vertical="top"/>
    </xf>
    <xf numFmtId="167" fontId="10" fillId="0" borderId="0" xfId="0" applyNumberFormat="1" applyFont="1" applyFill="1" applyBorder="1" applyAlignment="1">
      <alignment horizontal="left" vertical="top"/>
    </xf>
    <xf numFmtId="176" fontId="10" fillId="0" borderId="0" xfId="0" applyNumberFormat="1" applyFont="1" applyBorder="1" applyAlignment="1">
      <alignment horizontal="left" vertical="top"/>
    </xf>
    <xf numFmtId="167" fontId="153" fillId="0" borderId="0" xfId="0" applyNumberFormat="1" applyFont="1" applyBorder="1" applyAlignment="1">
      <alignment horizontal="left" vertical="top"/>
    </xf>
    <xf numFmtId="167" fontId="47" fillId="0" borderId="0" xfId="0" applyNumberFormat="1" applyFont="1" applyBorder="1" applyAlignment="1">
      <alignment horizontal="center" vertical="top"/>
    </xf>
    <xf numFmtId="167" fontId="10" fillId="8" borderId="0" xfId="0" applyNumberFormat="1" applyFont="1" applyFill="1" applyBorder="1" applyAlignment="1">
      <alignment horizontal="left" vertical="top"/>
    </xf>
    <xf numFmtId="167" fontId="10" fillId="8" borderId="0" xfId="0" applyNumberFormat="1" applyFont="1" applyFill="1" applyBorder="1" applyAlignment="1">
      <alignment horizontal="left" vertical="top"/>
    </xf>
    <xf numFmtId="167" fontId="10" fillId="13" borderId="0" xfId="0" applyNumberFormat="1" applyFont="1" applyFill="1" applyBorder="1" applyAlignment="1">
      <alignment horizontal="left" vertical="top"/>
    </xf>
    <xf numFmtId="167" fontId="10" fillId="13" borderId="0" xfId="0" applyNumberFormat="1" applyFont="1" applyFill="1" applyBorder="1" applyAlignment="1">
      <alignment horizontal="left" vertical="top"/>
    </xf>
    <xf numFmtId="167" fontId="152" fillId="13" borderId="0" xfId="0" applyNumberFormat="1" applyFont="1" applyFill="1" applyBorder="1" applyAlignment="1">
      <alignment horizontal="left" vertical="top" wrapText="1"/>
    </xf>
    <xf numFmtId="167" fontId="11" fillId="8" borderId="0" xfId="0" applyNumberFormat="1" applyFont="1" applyFill="1" applyBorder="1" applyAlignment="1">
      <alignment horizontal="left" vertical="top"/>
    </xf>
    <xf numFmtId="167" fontId="10" fillId="13" borderId="0" xfId="0" applyNumberFormat="1" applyFont="1" applyFill="1" applyBorder="1" applyAlignment="1">
      <alignment vertical="top" wrapText="1"/>
    </xf>
    <xf numFmtId="167" fontId="147" fillId="13" borderId="0" xfId="0" applyNumberFormat="1" applyFont="1" applyFill="1" applyBorder="1" applyAlignment="1">
      <alignment horizontal="left" vertical="top"/>
    </xf>
    <xf numFmtId="167" fontId="152" fillId="13" borderId="0" xfId="0" applyNumberFormat="1" applyFont="1" applyFill="1" applyBorder="1" applyAlignment="1">
      <alignment horizontal="left" vertical="top"/>
    </xf>
    <xf numFmtId="167" fontId="10" fillId="13" borderId="0" xfId="0" applyNumberFormat="1" applyFont="1" applyFill="1" applyBorder="1" applyAlignment="1">
      <alignment horizontal="left" vertical="top" wrapText="1"/>
    </xf>
    <xf numFmtId="167" fontId="152" fillId="0" borderId="0" xfId="0" applyNumberFormat="1" applyFont="1" applyBorder="1" applyAlignment="1">
      <alignment horizontal="left" vertical="top" wrapText="1"/>
    </xf>
    <xf numFmtId="177" fontId="10" fillId="0" borderId="0" xfId="0" applyNumberFormat="1" applyFont="1" applyBorder="1" applyAlignment="1">
      <alignment horizontal="left" vertical="top"/>
    </xf>
    <xf numFmtId="167" fontId="198" fillId="0" borderId="0" xfId="0" applyNumberFormat="1" applyFont="1" applyBorder="1" applyAlignment="1">
      <alignment horizontal="left" vertical="top"/>
    </xf>
    <xf numFmtId="167" fontId="11" fillId="0" borderId="0" xfId="0" applyNumberFormat="1" applyFont="1" applyBorder="1" applyAlignment="1">
      <alignment horizontal="center" vertical="top"/>
    </xf>
    <xf numFmtId="167" fontId="31" fillId="0" borderId="0" xfId="0" applyNumberFormat="1" applyFont="1" applyBorder="1" applyAlignment="1">
      <alignment horizontal="left" vertical="top"/>
    </xf>
    <xf numFmtId="167" fontId="147" fillId="0" borderId="0" xfId="0" applyNumberFormat="1" applyFont="1" applyFill="1" applyBorder="1" applyAlignment="1">
      <alignment horizontal="left" vertical="top"/>
    </xf>
    <xf numFmtId="178" fontId="10" fillId="0" borderId="0" xfId="0" applyNumberFormat="1" applyFont="1" applyBorder="1" applyAlignment="1">
      <alignment horizontal="left" vertical="top"/>
    </xf>
    <xf numFmtId="167" fontId="23" fillId="13" borderId="0" xfId="0" applyNumberFormat="1" applyFont="1" applyFill="1" applyBorder="1" applyAlignment="1">
      <alignment horizontal="left" vertical="top"/>
    </xf>
    <xf numFmtId="167" fontId="40" fillId="0" borderId="0" xfId="0" applyNumberFormat="1" applyFont="1" applyBorder="1" applyAlignment="1">
      <alignment horizontal="left" vertical="top"/>
    </xf>
    <xf numFmtId="167" fontId="24" fillId="0" borderId="0" xfId="0" applyNumberFormat="1" applyFont="1" applyBorder="1" applyAlignment="1">
      <alignment horizontal="left" vertical="top"/>
    </xf>
    <xf numFmtId="167" fontId="23" fillId="0" borderId="0" xfId="0" applyNumberFormat="1" applyFont="1" applyBorder="1" applyAlignment="1">
      <alignment horizontal="right" vertical="top"/>
    </xf>
    <xf numFmtId="167" fontId="160" fillId="0" borderId="0" xfId="0" applyNumberFormat="1" applyFont="1" applyBorder="1" applyAlignment="1">
      <alignment horizontal="left" vertical="top"/>
    </xf>
    <xf numFmtId="167" fontId="152" fillId="0" borderId="0" xfId="0" applyNumberFormat="1" applyFont="1" applyBorder="1" applyAlignment="1">
      <alignment vertical="top" wrapText="1"/>
    </xf>
    <xf numFmtId="167" fontId="152" fillId="0" borderId="0" xfId="0" applyNumberFormat="1" applyFont="1" applyBorder="1" applyAlignment="1">
      <alignment horizontal="right" vertical="top"/>
    </xf>
    <xf numFmtId="167" fontId="40" fillId="0" borderId="0" xfId="0" applyNumberFormat="1" applyFont="1" applyBorder="1" applyAlignment="1">
      <alignment horizontal="right" vertical="top"/>
    </xf>
    <xf numFmtId="167" fontId="10" fillId="0" borderId="0" xfId="0" applyNumberFormat="1" applyFont="1" applyBorder="1" applyAlignment="1">
      <alignment horizontal="right" vertical="center"/>
    </xf>
    <xf numFmtId="167" fontId="10" fillId="0" borderId="0" xfId="0" applyNumberFormat="1" applyFont="1" applyBorder="1" applyAlignment="1">
      <alignment horizontal="left" vertical="center"/>
    </xf>
    <xf numFmtId="167" fontId="147" fillId="0" borderId="0" xfId="0" applyNumberFormat="1" applyFont="1" applyBorder="1" applyAlignment="1">
      <alignment horizontal="right" vertical="center"/>
    </xf>
    <xf numFmtId="176" fontId="153" fillId="0" borderId="0" xfId="0" applyNumberFormat="1" applyFont="1" applyBorder="1" applyAlignment="1">
      <alignment horizontal="left" vertical="top"/>
    </xf>
    <xf numFmtId="167" fontId="32" fillId="0" borderId="0" xfId="0" applyNumberFormat="1" applyFont="1" applyBorder="1" applyAlignment="1">
      <alignment horizontal="right" vertical="top"/>
    </xf>
    <xf numFmtId="167" fontId="66" fillId="0" borderId="0" xfId="0" applyNumberFormat="1" applyFont="1" applyBorder="1" applyAlignment="1">
      <alignment horizontal="left" vertical="top" wrapText="1"/>
    </xf>
    <xf numFmtId="167" fontId="10" fillId="0" borderId="0" xfId="0" applyNumberFormat="1" applyFont="1" applyFill="1" applyBorder="1" applyAlignment="1">
      <alignment horizontal="left" vertical="top" wrapText="1"/>
    </xf>
    <xf numFmtId="167" fontId="164" fillId="13" borderId="0" xfId="0" applyNumberFormat="1" applyFont="1" applyFill="1" applyBorder="1" applyAlignment="1">
      <alignment horizontal="left" vertical="top"/>
    </xf>
    <xf numFmtId="167" fontId="10" fillId="0" borderId="0" xfId="0" applyNumberFormat="1" applyFont="1" applyFill="1" applyBorder="1" applyAlignment="1">
      <alignment horizontal="right" vertical="top"/>
    </xf>
    <xf numFmtId="167" fontId="11" fillId="0" borderId="0" xfId="0" applyNumberFormat="1" applyFont="1" applyBorder="1" applyAlignment="1">
      <alignment horizontal="left" vertical="center"/>
    </xf>
    <xf numFmtId="167" fontId="36" fillId="0" borderId="0" xfId="0" applyNumberFormat="1" applyFont="1" applyBorder="1" applyAlignment="1">
      <alignment horizontal="left" vertical="top"/>
    </xf>
    <xf numFmtId="167" fontId="164" fillId="0" borderId="0" xfId="0" applyNumberFormat="1" applyFont="1" applyBorder="1" applyAlignment="1">
      <alignment horizontal="left" vertical="top"/>
    </xf>
    <xf numFmtId="2" fontId="26" fillId="0" borderId="0" xfId="0" applyNumberFormat="1" applyFont="1" applyFill="1" applyBorder="1" applyAlignment="1">
      <alignment horizontal="right" vertical="top" wrapText="1"/>
    </xf>
    <xf numFmtId="49" fontId="26" fillId="0" borderId="0" xfId="0" applyNumberFormat="1" applyFont="1" applyFill="1" applyBorder="1" applyAlignment="1">
      <alignment horizontal="left" vertical="top" wrapText="1"/>
    </xf>
    <xf numFmtId="0" fontId="37" fillId="0" borderId="0" xfId="0" applyNumberFormat="1" applyFont="1" applyFill="1" applyBorder="1" applyAlignment="1">
      <alignment horizontal="center" vertical="top" wrapText="1"/>
    </xf>
    <xf numFmtId="0" fontId="26" fillId="0" borderId="0" xfId="0" applyNumberFormat="1" applyFont="1" applyFill="1" applyBorder="1" applyAlignment="1">
      <alignment horizontal="left" vertical="top" wrapText="1"/>
    </xf>
    <xf numFmtId="0" fontId="37" fillId="0" borderId="0" xfId="0" applyNumberFormat="1" applyFont="1" applyFill="1" applyBorder="1" applyAlignment="1">
      <alignment horizontal="left" vertical="top" wrapText="1"/>
    </xf>
    <xf numFmtId="173" fontId="26" fillId="0" borderId="0" xfId="0" applyNumberFormat="1" applyFont="1" applyFill="1" applyBorder="1" applyAlignment="1">
      <alignment horizontal="right" vertical="top" wrapText="1"/>
    </xf>
    <xf numFmtId="180" fontId="26" fillId="0" borderId="0" xfId="0" applyNumberFormat="1" applyFont="1" applyFill="1" applyBorder="1" applyAlignment="1">
      <alignment horizontal="right" vertical="top" wrapText="1"/>
    </xf>
    <xf numFmtId="2" fontId="26" fillId="0" borderId="0" xfId="0" applyNumberFormat="1" applyFont="1" applyFill="1" applyBorder="1" applyAlignment="1">
      <alignment horizontal="center" vertical="top" wrapText="1"/>
    </xf>
    <xf numFmtId="2" fontId="37" fillId="0" borderId="0" xfId="0" applyNumberFormat="1" applyFont="1" applyFill="1" applyBorder="1" applyAlignment="1">
      <alignment horizontal="right" vertical="top" wrapText="1"/>
    </xf>
    <xf numFmtId="2" fontId="199" fillId="0" borderId="0" xfId="0" applyNumberFormat="1" applyFont="1" applyFill="1" applyBorder="1" applyAlignment="1">
      <alignment horizontal="right" vertical="top" wrapText="1"/>
    </xf>
    <xf numFmtId="1" fontId="26" fillId="0" borderId="0" xfId="0" applyNumberFormat="1" applyFont="1" applyFill="1" applyBorder="1" applyAlignment="1">
      <alignment horizontal="right" vertical="top" wrapText="1"/>
    </xf>
    <xf numFmtId="2" fontId="26" fillId="0" borderId="0" xfId="0" applyNumberFormat="1" applyFont="1" applyFill="1" applyBorder="1" applyAlignment="1">
      <alignment horizontal="right" vertical="center" wrapText="1"/>
    </xf>
    <xf numFmtId="180" fontId="26" fillId="13" borderId="0" xfId="0" applyNumberFormat="1" applyFont="1" applyFill="1" applyBorder="1" applyAlignment="1">
      <alignment horizontal="right" vertical="top" wrapText="1"/>
    </xf>
    <xf numFmtId="49" fontId="26" fillId="13" borderId="0" xfId="0" applyNumberFormat="1" applyFont="1" applyFill="1" applyBorder="1" applyAlignment="1">
      <alignment horizontal="left" vertical="top" wrapText="1"/>
    </xf>
    <xf numFmtId="0" fontId="26" fillId="0" borderId="0" xfId="0" applyNumberFormat="1" applyFont="1" applyFill="1" applyBorder="1" applyAlignment="1">
      <alignment horizontal="justify" vertical="top" wrapText="1"/>
    </xf>
    <xf numFmtId="2" fontId="200" fillId="0" borderId="0" xfId="0" applyNumberFormat="1" applyFont="1" applyFill="1" applyBorder="1" applyAlignment="1">
      <alignment horizontal="right" vertical="top" wrapText="1"/>
    </xf>
    <xf numFmtId="49" fontId="26" fillId="0" borderId="0" xfId="0" applyNumberFormat="1" applyFont="1" applyFill="1" applyBorder="1" applyAlignment="1">
      <alignment horizontal="center" vertical="top" wrapText="1"/>
    </xf>
    <xf numFmtId="2" fontId="26" fillId="13" borderId="0" xfId="0" applyNumberFormat="1" applyFont="1" applyFill="1" applyBorder="1" applyAlignment="1">
      <alignment horizontal="right" vertical="top" wrapText="1"/>
    </xf>
    <xf numFmtId="49" fontId="26" fillId="13" borderId="0" xfId="0" applyNumberFormat="1" applyFont="1" applyFill="1" applyBorder="1" applyAlignment="1">
      <alignment horizontal="center" vertical="top" wrapText="1"/>
    </xf>
    <xf numFmtId="0" fontId="26" fillId="0" borderId="0" xfId="0" applyNumberFormat="1" applyFont="1" applyFill="1" applyBorder="1" applyAlignment="1">
      <alignment horizontal="center" vertical="top" wrapText="1"/>
    </xf>
    <xf numFmtId="2" fontId="37" fillId="13" borderId="0" xfId="0" applyNumberFormat="1" applyFont="1" applyFill="1" applyBorder="1" applyAlignment="1">
      <alignment horizontal="right" vertical="top" wrapText="1"/>
    </xf>
    <xf numFmtId="0" fontId="4" fillId="0" borderId="0" xfId="54" applyAlignment="1">
      <alignment wrapText="1"/>
    </xf>
    <xf numFmtId="0" fontId="4" fillId="0" borderId="0" xfId="54"/>
    <xf numFmtId="0" fontId="67" fillId="0" borderId="0" xfId="54" applyFont="1" applyAlignment="1">
      <alignment vertical="center" wrapText="1"/>
    </xf>
    <xf numFmtId="0" fontId="68" fillId="0" borderId="0" xfId="54" applyFont="1" applyAlignment="1">
      <alignment horizontal="center"/>
    </xf>
    <xf numFmtId="0" fontId="67" fillId="0" borderId="0" xfId="54" applyFont="1" applyAlignment="1">
      <alignment horizontal="center"/>
    </xf>
    <xf numFmtId="0" fontId="67" fillId="0" borderId="0" xfId="54" applyFont="1"/>
    <xf numFmtId="0" fontId="4" fillId="0" borderId="0" xfId="54" applyFont="1"/>
    <xf numFmtId="2" fontId="69" fillId="0" borderId="0" xfId="54" applyNumberFormat="1" applyFont="1"/>
    <xf numFmtId="2" fontId="201" fillId="8" borderId="0" xfId="54" applyNumberFormat="1" applyFont="1" applyFill="1"/>
    <xf numFmtId="0" fontId="4" fillId="0" borderId="0" xfId="54" applyFont="1" applyAlignment="1">
      <alignment wrapText="1"/>
    </xf>
    <xf numFmtId="2" fontId="4" fillId="0" borderId="0" xfId="54" applyNumberFormat="1" applyFont="1"/>
    <xf numFmtId="0" fontId="70" fillId="0" borderId="0" xfId="54" applyFont="1" applyAlignment="1">
      <alignment wrapText="1"/>
    </xf>
    <xf numFmtId="2" fontId="4" fillId="0" borderId="0" xfId="54" applyNumberFormat="1"/>
    <xf numFmtId="0" fontId="69" fillId="0" borderId="0" xfId="54" applyFont="1"/>
    <xf numFmtId="0" fontId="70" fillId="0" borderId="0" xfId="54" applyFont="1"/>
    <xf numFmtId="167" fontId="0" fillId="8" borderId="0" xfId="0" applyNumberFormat="1" applyFill="1" applyBorder="1"/>
    <xf numFmtId="167" fontId="0" fillId="13" borderId="0" xfId="0" applyNumberFormat="1" applyFill="1" applyBorder="1"/>
    <xf numFmtId="167" fontId="0" fillId="0" borderId="0" xfId="0" applyNumberFormat="1" applyBorder="1"/>
    <xf numFmtId="167" fontId="0" fillId="0" borderId="0" xfId="0" applyNumberFormat="1" applyBorder="1" applyAlignment="1"/>
    <xf numFmtId="167" fontId="0" fillId="0" borderId="0" xfId="0" applyNumberFormat="1" applyBorder="1" applyAlignment="1">
      <alignment horizontal="center"/>
    </xf>
    <xf numFmtId="167" fontId="0" fillId="0" borderId="0" xfId="0" applyNumberFormat="1" applyBorder="1" applyAlignment="1" applyProtection="1">
      <alignment horizontal="left"/>
    </xf>
    <xf numFmtId="167" fontId="0" fillId="0" borderId="0" xfId="0" applyNumberFormat="1" applyBorder="1" applyAlignment="1" applyProtection="1">
      <alignment horizontal="center"/>
    </xf>
    <xf numFmtId="167" fontId="0" fillId="0" borderId="0" xfId="0" applyNumberFormat="1" applyBorder="1" applyAlignment="1" applyProtection="1">
      <alignment horizontal="fill"/>
    </xf>
    <xf numFmtId="167" fontId="71" fillId="0" borderId="0" xfId="0" applyNumberFormat="1" applyFont="1" applyBorder="1" applyAlignment="1" applyProtection="1">
      <alignment horizontal="left"/>
    </xf>
    <xf numFmtId="167" fontId="0" fillId="0" borderId="0" xfId="0" applyNumberFormat="1" applyBorder="1" applyAlignment="1" applyProtection="1">
      <alignment horizontal="right"/>
    </xf>
    <xf numFmtId="167" fontId="0" fillId="0" borderId="0" xfId="0" applyNumberFormat="1" applyBorder="1" applyAlignment="1" applyProtection="1"/>
    <xf numFmtId="167" fontId="0" fillId="0" borderId="0" xfId="0" applyNumberFormat="1" applyBorder="1" applyProtection="1"/>
    <xf numFmtId="171" fontId="0" fillId="0" borderId="0" xfId="0" applyNumberFormat="1" applyBorder="1" applyProtection="1"/>
    <xf numFmtId="172" fontId="0" fillId="0" borderId="0" xfId="0" applyNumberFormat="1" applyBorder="1" applyProtection="1"/>
    <xf numFmtId="167" fontId="72" fillId="0" borderId="0" xfId="0" applyNumberFormat="1" applyFont="1" applyBorder="1" applyAlignment="1" applyProtection="1">
      <alignment horizontal="center"/>
    </xf>
    <xf numFmtId="167" fontId="57" fillId="0" borderId="0" xfId="0" applyNumberFormat="1" applyFont="1" applyBorder="1" applyProtection="1"/>
    <xf numFmtId="171" fontId="0" fillId="0" borderId="0" xfId="0" applyNumberFormat="1" applyBorder="1" applyAlignment="1" applyProtection="1">
      <alignment horizontal="center"/>
    </xf>
    <xf numFmtId="167" fontId="73" fillId="0" borderId="0" xfId="0" applyNumberFormat="1" applyFont="1" applyBorder="1" applyAlignment="1" applyProtection="1">
      <alignment horizontal="left" wrapText="1"/>
    </xf>
    <xf numFmtId="167" fontId="0" fillId="0" borderId="0" xfId="0" applyNumberFormat="1" applyBorder="1" applyAlignment="1">
      <alignment horizontal="left"/>
    </xf>
    <xf numFmtId="167" fontId="0" fillId="0" borderId="0" xfId="0" applyNumberFormat="1" applyFont="1" applyAlignment="1" applyProtection="1">
      <alignment horizontal="right"/>
    </xf>
    <xf numFmtId="174" fontId="0" fillId="0" borderId="0" xfId="0" applyNumberFormat="1" applyBorder="1" applyAlignment="1" applyProtection="1">
      <alignment horizontal="center"/>
    </xf>
    <xf numFmtId="174" fontId="0" fillId="0" borderId="0" xfId="0" applyNumberFormat="1" applyBorder="1" applyAlignment="1" applyProtection="1">
      <alignment horizontal="left"/>
    </xf>
    <xf numFmtId="167" fontId="57" fillId="0" borderId="0" xfId="0" applyNumberFormat="1" applyFont="1" applyBorder="1" applyAlignment="1" applyProtection="1">
      <alignment horizontal="left"/>
    </xf>
    <xf numFmtId="167" fontId="57" fillId="0" borderId="0" xfId="0" applyNumberFormat="1" applyFont="1" applyBorder="1" applyAlignment="1" applyProtection="1">
      <alignment horizontal="left" wrapText="1"/>
    </xf>
    <xf numFmtId="167" fontId="0" fillId="0" borderId="0" xfId="0" applyNumberFormat="1" applyBorder="1" applyAlignment="1" applyProtection="1">
      <alignment horizontal="left" wrapText="1"/>
    </xf>
    <xf numFmtId="174" fontId="0" fillId="0" borderId="0" xfId="0" applyNumberFormat="1" applyBorder="1" applyAlignment="1">
      <alignment horizontal="center" vertical="top"/>
    </xf>
    <xf numFmtId="174" fontId="0" fillId="0" borderId="0" xfId="0" applyNumberFormat="1" applyFont="1" applyBorder="1" applyAlignment="1">
      <alignment horizontal="center"/>
    </xf>
    <xf numFmtId="167" fontId="0" fillId="0" borderId="0" xfId="0" applyNumberFormat="1" applyBorder="1" applyAlignment="1" applyProtection="1">
      <alignment horizontal="left" vertical="top" wrapText="1"/>
    </xf>
    <xf numFmtId="167" fontId="57" fillId="0" borderId="0" xfId="0" applyNumberFormat="1" applyFont="1" applyAlignment="1" applyProtection="1">
      <alignment horizontal="right"/>
    </xf>
    <xf numFmtId="167" fontId="57" fillId="0" borderId="0" xfId="0" applyNumberFormat="1" applyFont="1" applyAlignment="1" applyProtection="1">
      <alignment horizontal="fill"/>
    </xf>
    <xf numFmtId="174" fontId="0" fillId="0" borderId="0" xfId="0" applyNumberFormat="1" applyBorder="1"/>
    <xf numFmtId="176" fontId="0" fillId="0" borderId="0" xfId="0" applyNumberFormat="1" applyBorder="1" applyProtection="1"/>
    <xf numFmtId="177" fontId="0" fillId="0" borderId="0" xfId="0" applyNumberFormat="1" applyBorder="1" applyProtection="1"/>
    <xf numFmtId="167" fontId="74" fillId="0" borderId="0" xfId="0" applyNumberFormat="1" applyFont="1"/>
    <xf numFmtId="174" fontId="0" fillId="0" borderId="0" xfId="0" applyNumberFormat="1" applyBorder="1" applyAlignment="1">
      <alignment horizontal="center"/>
    </xf>
    <xf numFmtId="171" fontId="0" fillId="0" borderId="0" xfId="0" applyNumberFormat="1" applyBorder="1" applyAlignment="1" applyProtection="1">
      <alignment horizontal="left"/>
    </xf>
    <xf numFmtId="167" fontId="74" fillId="0" borderId="0" xfId="0" applyNumberFormat="1" applyFont="1" applyProtection="1"/>
    <xf numFmtId="167" fontId="75" fillId="0" borderId="0" xfId="0" applyNumberFormat="1" applyFont="1"/>
    <xf numFmtId="167" fontId="0" fillId="0" borderId="0" xfId="0" applyNumberFormat="1" applyFill="1" applyBorder="1"/>
    <xf numFmtId="171" fontId="0" fillId="0" borderId="0" xfId="0" applyNumberFormat="1" applyBorder="1" applyAlignment="1" applyProtection="1">
      <alignment horizontal="center" vertical="top"/>
    </xf>
    <xf numFmtId="167" fontId="57" fillId="0" borderId="0" xfId="0" applyNumberFormat="1" applyFont="1" applyFill="1" applyBorder="1" applyAlignment="1">
      <alignment wrapText="1"/>
    </xf>
    <xf numFmtId="167" fontId="76" fillId="0" borderId="0" xfId="0" applyNumberFormat="1" applyFont="1"/>
    <xf numFmtId="171" fontId="0" fillId="0" borderId="0" xfId="0" applyNumberFormat="1" applyBorder="1" applyAlignment="1">
      <alignment horizontal="center" vertical="top"/>
    </xf>
    <xf numFmtId="167" fontId="0" fillId="0" borderId="0" xfId="0" applyNumberFormat="1" applyAlignment="1">
      <alignment horizontal="right"/>
    </xf>
    <xf numFmtId="167" fontId="57" fillId="0" borderId="0" xfId="0" applyNumberFormat="1" applyFont="1" applyFill="1" applyBorder="1"/>
    <xf numFmtId="167" fontId="74" fillId="0" borderId="0" xfId="0" applyNumberFormat="1" applyFont="1" applyAlignment="1">
      <alignment horizontal="right"/>
    </xf>
    <xf numFmtId="167" fontId="0" fillId="0" borderId="0" xfId="0" applyNumberFormat="1" applyFont="1" applyFill="1" applyBorder="1" applyAlignment="1">
      <alignment wrapText="1"/>
    </xf>
    <xf numFmtId="167" fontId="0" fillId="0" borderId="0" xfId="0" applyNumberFormat="1" applyFill="1" applyBorder="1" applyAlignment="1">
      <alignment wrapText="1"/>
    </xf>
    <xf numFmtId="167" fontId="0" fillId="0" borderId="0" xfId="0" applyNumberFormat="1" applyFill="1" applyBorder="1" applyAlignment="1">
      <alignment horizontal="left" vertical="top" wrapText="1"/>
    </xf>
    <xf numFmtId="167" fontId="57" fillId="0" borderId="0" xfId="0" applyNumberFormat="1" applyFont="1" applyFill="1" applyBorder="1" applyAlignment="1">
      <alignment horizontal="left" vertical="top" wrapText="1"/>
    </xf>
    <xf numFmtId="167" fontId="0" fillId="0" borderId="0" xfId="0" applyNumberFormat="1" applyBorder="1" applyAlignment="1">
      <alignment horizontal="center" vertical="top"/>
    </xf>
    <xf numFmtId="174" fontId="0" fillId="0" borderId="0" xfId="0" applyNumberFormat="1" applyBorder="1" applyAlignment="1" applyProtection="1">
      <alignment horizontal="center" vertical="top" wrapText="1"/>
    </xf>
    <xf numFmtId="167" fontId="0" fillId="0" borderId="0" xfId="0" applyNumberFormat="1" applyBorder="1" applyAlignment="1" applyProtection="1">
      <alignment horizontal="justify" vertical="top" wrapText="1"/>
    </xf>
    <xf numFmtId="167" fontId="57" fillId="0" borderId="0" xfId="0" applyNumberFormat="1" applyFont="1" applyBorder="1"/>
    <xf numFmtId="177" fontId="0" fillId="0" borderId="0" xfId="0" applyNumberFormat="1" applyProtection="1"/>
    <xf numFmtId="177" fontId="0" fillId="0" borderId="0" xfId="0" applyNumberFormat="1" applyAlignment="1" applyProtection="1">
      <alignment horizontal="center"/>
    </xf>
    <xf numFmtId="178" fontId="0" fillId="0" borderId="0" xfId="0" applyNumberFormat="1" applyBorder="1" applyProtection="1"/>
    <xf numFmtId="177" fontId="0" fillId="0" borderId="0" xfId="0" applyNumberFormat="1" applyAlignment="1" applyProtection="1">
      <alignment horizontal="fill"/>
    </xf>
    <xf numFmtId="177" fontId="0" fillId="0" borderId="0" xfId="0" applyNumberFormat="1" applyAlignment="1" applyProtection="1">
      <alignment horizontal="left"/>
    </xf>
    <xf numFmtId="172" fontId="0" fillId="0" borderId="0" xfId="0" applyNumberFormat="1" applyBorder="1" applyAlignment="1" applyProtection="1">
      <alignment horizontal="center"/>
    </xf>
    <xf numFmtId="171" fontId="0" fillId="0" borderId="0" xfId="0" applyNumberFormat="1" applyBorder="1" applyAlignment="1">
      <alignment horizontal="center"/>
    </xf>
    <xf numFmtId="167" fontId="0" fillId="0" borderId="0" xfId="0" applyNumberFormat="1" applyBorder="1" applyAlignment="1">
      <alignment wrapText="1"/>
    </xf>
    <xf numFmtId="167" fontId="0" fillId="0" borderId="0" xfId="0" applyNumberFormat="1" applyBorder="1" applyAlignment="1" applyProtection="1">
      <alignment vertical="center"/>
    </xf>
    <xf numFmtId="167" fontId="0" fillId="0" borderId="0" xfId="0" applyNumberFormat="1" applyAlignment="1" applyProtection="1">
      <alignment vertical="center"/>
    </xf>
    <xf numFmtId="167" fontId="0" fillId="0" borderId="0" xfId="0" applyNumberFormat="1" applyAlignment="1" applyProtection="1">
      <alignment horizontal="center" vertical="center"/>
    </xf>
    <xf numFmtId="174" fontId="0" fillId="0" borderId="0" xfId="0" applyNumberFormat="1" applyBorder="1" applyAlignment="1" applyProtection="1">
      <alignment horizontal="center" vertical="top"/>
    </xf>
    <xf numFmtId="174" fontId="0" fillId="0" borderId="0" xfId="0" applyNumberFormat="1" applyBorder="1" applyAlignment="1">
      <alignment horizontal="center" vertical="top" wrapText="1"/>
    </xf>
    <xf numFmtId="167" fontId="0" fillId="0" borderId="0" xfId="0" applyNumberFormat="1" applyAlignment="1" applyProtection="1">
      <alignment horizontal="right" vertical="top"/>
    </xf>
    <xf numFmtId="167" fontId="77" fillId="0" borderId="0" xfId="0" applyNumberFormat="1" applyFont="1" applyBorder="1"/>
    <xf numFmtId="167" fontId="77" fillId="0" borderId="0" xfId="0" applyNumberFormat="1" applyFont="1" applyBorder="1" applyAlignment="1"/>
    <xf numFmtId="167" fontId="78" fillId="0" borderId="0" xfId="0" applyNumberFormat="1" applyFont="1" applyBorder="1"/>
    <xf numFmtId="167" fontId="77" fillId="0" borderId="0" xfId="0" applyNumberFormat="1" applyFont="1" applyBorder="1" applyAlignment="1">
      <alignment horizontal="right"/>
    </xf>
    <xf numFmtId="167" fontId="79" fillId="0" borderId="0" xfId="0" applyNumberFormat="1" applyFont="1" applyBorder="1" applyAlignment="1">
      <alignment wrapText="1"/>
    </xf>
    <xf numFmtId="167" fontId="77" fillId="0" borderId="0" xfId="0" applyNumberFormat="1" applyFont="1" applyBorder="1" applyAlignment="1">
      <alignment wrapText="1"/>
    </xf>
    <xf numFmtId="178" fontId="77" fillId="0" borderId="0" xfId="0" applyNumberFormat="1" applyFont="1" applyBorder="1" applyAlignment="1"/>
    <xf numFmtId="167" fontId="77" fillId="0" borderId="0" xfId="0" applyNumberFormat="1" applyFont="1" applyBorder="1" applyAlignment="1">
      <alignment horizontal="center"/>
    </xf>
    <xf numFmtId="167" fontId="77" fillId="0" borderId="0" xfId="0" applyNumberFormat="1" applyFont="1" applyBorder="1" applyProtection="1"/>
    <xf numFmtId="167" fontId="77" fillId="0" borderId="0" xfId="0" applyNumberFormat="1" applyFont="1" applyBorder="1" applyAlignment="1" applyProtection="1">
      <alignment horizontal="fill"/>
    </xf>
    <xf numFmtId="167" fontId="80" fillId="0" borderId="0" xfId="0" applyNumberFormat="1" applyFont="1" applyBorder="1" applyAlignment="1">
      <alignment horizontal="center" wrapText="1"/>
    </xf>
    <xf numFmtId="167" fontId="61" fillId="0" borderId="0" xfId="0" applyNumberFormat="1" applyFont="1" applyBorder="1" applyAlignment="1">
      <alignment horizontal="center" wrapText="1"/>
    </xf>
    <xf numFmtId="167" fontId="2" fillId="0" borderId="0" xfId="0" applyNumberFormat="1" applyFont="1" applyBorder="1"/>
    <xf numFmtId="167" fontId="63" fillId="0" borderId="0" xfId="0" applyNumberFormat="1" applyFont="1" applyBorder="1"/>
    <xf numFmtId="2" fontId="61" fillId="0" borderId="0" xfId="0" applyNumberFormat="1" applyFont="1" applyBorder="1" applyAlignment="1">
      <alignment horizontal="center" vertical="center" wrapText="1"/>
    </xf>
    <xf numFmtId="167" fontId="61" fillId="0" borderId="0" xfId="0" applyNumberFormat="1" applyFont="1" applyBorder="1" applyAlignment="1">
      <alignment horizontal="center" vertical="center" wrapText="1"/>
    </xf>
    <xf numFmtId="173" fontId="61" fillId="0" borderId="0" xfId="0" applyNumberFormat="1" applyFont="1" applyBorder="1" applyAlignment="1">
      <alignment horizontal="center" vertical="center"/>
    </xf>
    <xf numFmtId="2" fontId="61" fillId="0" borderId="0" xfId="0" applyNumberFormat="1" applyFont="1" applyBorder="1" applyAlignment="1">
      <alignment horizontal="center" vertical="center"/>
    </xf>
    <xf numFmtId="167" fontId="61" fillId="0" borderId="0" xfId="0" applyNumberFormat="1" applyFont="1" applyBorder="1" applyAlignment="1">
      <alignment horizontal="left" vertical="justify" wrapText="1"/>
    </xf>
    <xf numFmtId="2" fontId="63" fillId="0" borderId="0" xfId="0" applyNumberFormat="1" applyFont="1" applyBorder="1"/>
    <xf numFmtId="167" fontId="63" fillId="0" borderId="0" xfId="0" applyNumberFormat="1" applyFont="1" applyBorder="1" applyAlignment="1">
      <alignment horizontal="justify" vertical="justify" wrapText="1"/>
    </xf>
    <xf numFmtId="2" fontId="63" fillId="0" borderId="0" xfId="0" applyNumberFormat="1" applyFont="1" applyBorder="1" applyAlignment="1">
      <alignment horizontal="center" vertical="center"/>
    </xf>
    <xf numFmtId="167" fontId="63" fillId="0" borderId="0" xfId="0" applyNumberFormat="1" applyFont="1" applyBorder="1" applyAlignment="1">
      <alignment horizontal="center" vertical="center"/>
    </xf>
    <xf numFmtId="167" fontId="63" fillId="0" borderId="0" xfId="0" applyNumberFormat="1" applyFont="1" applyBorder="1" applyAlignment="1">
      <alignment horizontal="left" vertical="center"/>
    </xf>
    <xf numFmtId="167" fontId="61" fillId="0" borderId="0" xfId="0" applyNumberFormat="1" applyFont="1" applyBorder="1" applyAlignment="1">
      <alignment horizontal="center" vertical="center"/>
    </xf>
    <xf numFmtId="167" fontId="61" fillId="0" borderId="0" xfId="0" applyNumberFormat="1" applyFont="1" applyBorder="1" applyAlignment="1">
      <alignment horizontal="justify" vertical="justify" wrapText="1"/>
    </xf>
    <xf numFmtId="167" fontId="63" fillId="0" borderId="0" xfId="0" applyNumberFormat="1" applyFont="1" applyBorder="1" applyAlignment="1">
      <alignment horizontal="right"/>
    </xf>
    <xf numFmtId="167" fontId="79" fillId="0" borderId="0" xfId="0" applyNumberFormat="1" applyFont="1" applyBorder="1"/>
    <xf numFmtId="167" fontId="77" fillId="0" borderId="0" xfId="0" applyNumberFormat="1" applyFont="1" applyBorder="1" applyAlignment="1">
      <alignment horizontal="left"/>
    </xf>
    <xf numFmtId="167" fontId="63" fillId="0" borderId="0" xfId="0" applyNumberFormat="1" applyFont="1" applyBorder="1" applyAlignment="1">
      <alignment horizontal="left" vertical="justify" wrapText="1"/>
    </xf>
    <xf numFmtId="2" fontId="81" fillId="0" borderId="0" xfId="0" applyNumberFormat="1" applyFont="1" applyBorder="1"/>
    <xf numFmtId="2" fontId="61" fillId="0" borderId="0" xfId="0" applyNumberFormat="1" applyFont="1" applyBorder="1"/>
    <xf numFmtId="2" fontId="82" fillId="0" borderId="0" xfId="0" applyNumberFormat="1" applyFont="1" applyBorder="1"/>
    <xf numFmtId="167" fontId="61" fillId="0" borderId="0" xfId="0" applyNumberFormat="1" applyFont="1" applyBorder="1" applyAlignment="1">
      <alignment wrapText="1"/>
    </xf>
    <xf numFmtId="167" fontId="63" fillId="0" borderId="0" xfId="0" applyNumberFormat="1" applyFont="1" applyBorder="1" applyAlignment="1">
      <alignment wrapText="1"/>
    </xf>
    <xf numFmtId="167" fontId="63" fillId="0" borderId="0" xfId="0" applyNumberFormat="1" applyFont="1" applyBorder="1" applyAlignment="1">
      <alignment horizontal="right" wrapText="1"/>
    </xf>
    <xf numFmtId="167" fontId="61" fillId="0" borderId="0" xfId="0" applyNumberFormat="1" applyFont="1" applyBorder="1" applyAlignment="1">
      <alignment horizontal="left" vertical="center" wrapText="1"/>
    </xf>
    <xf numFmtId="167" fontId="61" fillId="0" borderId="0" xfId="0" applyNumberFormat="1" applyFont="1" applyBorder="1" applyAlignment="1">
      <alignment horizontal="left" wrapText="1"/>
    </xf>
    <xf numFmtId="167" fontId="2" fillId="0" borderId="0" xfId="0" applyNumberFormat="1" applyFont="1" applyBorder="1" applyAlignment="1"/>
    <xf numFmtId="167" fontId="83" fillId="0" borderId="0" xfId="0" applyNumberFormat="1" applyFont="1" applyAlignment="1" applyProtection="1">
      <alignment horizontal="center" vertical="center"/>
    </xf>
    <xf numFmtId="174" fontId="84" fillId="0" borderId="0" xfId="0" applyNumberFormat="1" applyFont="1" applyAlignment="1" applyProtection="1">
      <alignment horizontal="center"/>
    </xf>
    <xf numFmtId="2" fontId="63" fillId="0" borderId="0" xfId="0" applyNumberFormat="1" applyFont="1" applyBorder="1" applyAlignment="1">
      <alignment horizontal="right" vertical="center"/>
    </xf>
    <xf numFmtId="167" fontId="61" fillId="0" borderId="0" xfId="0" applyNumberFormat="1" applyFont="1" applyBorder="1"/>
    <xf numFmtId="167" fontId="2" fillId="0" borderId="0" xfId="0" applyNumberFormat="1" applyFont="1" applyBorder="1" applyAlignment="1">
      <alignment horizontal="center"/>
    </xf>
    <xf numFmtId="167" fontId="85" fillId="0" borderId="0" xfId="0" applyNumberFormat="1" applyFont="1" applyAlignment="1">
      <alignment horizontal="right" vertical="top"/>
    </xf>
    <xf numFmtId="167" fontId="6" fillId="0" borderId="0" xfId="0" applyNumberFormat="1" applyFont="1" applyBorder="1" applyAlignment="1">
      <alignment horizontal="justify" vertical="top" wrapText="1"/>
    </xf>
    <xf numFmtId="167" fontId="0" fillId="0" borderId="0" xfId="0" applyNumberFormat="1" applyAlignment="1" applyProtection="1">
      <alignment horizontal="left" wrapText="1"/>
    </xf>
    <xf numFmtId="167" fontId="73" fillId="0" borderId="0" xfId="0" applyNumberFormat="1" applyFont="1"/>
    <xf numFmtId="171" fontId="86" fillId="0" borderId="0" xfId="0" applyNumberFormat="1" applyFont="1" applyAlignment="1">
      <alignment vertical="top"/>
    </xf>
    <xf numFmtId="167" fontId="0" fillId="0" borderId="0" xfId="0" applyNumberFormat="1" applyAlignment="1">
      <alignment wrapText="1"/>
    </xf>
    <xf numFmtId="167" fontId="0" fillId="0" borderId="0" xfId="0" applyNumberFormat="1" applyAlignment="1">
      <alignment vertical="top"/>
    </xf>
    <xf numFmtId="167" fontId="0" fillId="0" borderId="0" xfId="0" applyNumberFormat="1" applyAlignment="1">
      <alignment vertical="top" wrapText="1"/>
    </xf>
    <xf numFmtId="174" fontId="86" fillId="0" borderId="0" xfId="0" applyNumberFormat="1" applyFont="1"/>
    <xf numFmtId="167" fontId="0" fillId="0" borderId="0" xfId="0" applyNumberFormat="1" applyAlignment="1">
      <alignment horizontal="fill"/>
    </xf>
    <xf numFmtId="178" fontId="0" fillId="0" borderId="0" xfId="0" applyNumberFormat="1" applyProtection="1"/>
    <xf numFmtId="174" fontId="0" fillId="0" borderId="0" xfId="0" applyNumberFormat="1" applyAlignment="1" applyProtection="1">
      <alignment horizontal="center"/>
    </xf>
    <xf numFmtId="176" fontId="0" fillId="0" borderId="0" xfId="0" applyNumberFormat="1" applyAlignment="1">
      <alignment horizontal="center"/>
    </xf>
    <xf numFmtId="167" fontId="0" fillId="0" borderId="0" xfId="0" applyNumberFormat="1" applyAlignment="1">
      <alignment horizontal="fill" vertical="top"/>
    </xf>
    <xf numFmtId="167" fontId="0" fillId="0" borderId="13" xfId="0" applyNumberFormat="1" applyBorder="1"/>
    <xf numFmtId="174" fontId="0" fillId="0" borderId="0" xfId="0" applyNumberFormat="1"/>
    <xf numFmtId="167" fontId="0" fillId="0" borderId="0" xfId="0" applyNumberFormat="1" applyAlignment="1">
      <alignment horizontal="fill" vertical="top" wrapText="1"/>
    </xf>
    <xf numFmtId="174" fontId="87" fillId="0" borderId="0" xfId="0" applyNumberFormat="1" applyFont="1" applyAlignment="1">
      <alignment vertical="top"/>
    </xf>
    <xf numFmtId="167" fontId="88" fillId="0" borderId="0" xfId="0" applyNumberFormat="1" applyFont="1" applyAlignment="1"/>
    <xf numFmtId="167" fontId="88" fillId="0" borderId="0" xfId="0" applyNumberFormat="1" applyFont="1" applyAlignment="1">
      <alignment wrapText="1"/>
    </xf>
    <xf numFmtId="167" fontId="88" fillId="0" borderId="0" xfId="0" applyNumberFormat="1" applyFont="1"/>
    <xf numFmtId="174" fontId="57" fillId="0" borderId="0" xfId="0" applyNumberFormat="1" applyFont="1" applyAlignment="1">
      <alignment vertical="top"/>
    </xf>
    <xf numFmtId="167" fontId="0" fillId="0" borderId="0" xfId="0" applyNumberFormat="1" applyFont="1" applyAlignment="1">
      <alignment horizontal="left" vertical="top" wrapText="1"/>
    </xf>
    <xf numFmtId="167" fontId="0" fillId="0" borderId="0" xfId="0" applyNumberFormat="1" applyFont="1" applyAlignment="1">
      <alignment vertical="top"/>
    </xf>
    <xf numFmtId="171" fontId="57" fillId="0" borderId="0" xfId="0" applyNumberFormat="1" applyFont="1"/>
    <xf numFmtId="167" fontId="88" fillId="0" borderId="0" xfId="0" applyNumberFormat="1" applyFont="1" applyAlignment="1">
      <alignment horizontal="center"/>
    </xf>
    <xf numFmtId="167" fontId="0" fillId="0" borderId="0" xfId="0" applyNumberFormat="1" applyFont="1" applyAlignment="1">
      <alignment horizontal="center"/>
    </xf>
    <xf numFmtId="171" fontId="0" fillId="0" borderId="0" xfId="0" applyNumberFormat="1" applyAlignment="1">
      <alignment vertical="top"/>
    </xf>
    <xf numFmtId="174" fontId="0" fillId="0" borderId="0" xfId="0" applyNumberFormat="1" applyAlignment="1">
      <alignment vertical="top"/>
    </xf>
    <xf numFmtId="171" fontId="86" fillId="0" borderId="0" xfId="0" applyNumberFormat="1" applyFont="1"/>
    <xf numFmtId="167" fontId="86" fillId="0" borderId="0" xfId="0" applyNumberFormat="1" applyFont="1"/>
    <xf numFmtId="167" fontId="89" fillId="0" borderId="0" xfId="0" applyNumberFormat="1" applyFont="1" applyBorder="1" applyAlignment="1">
      <alignment horizontal="center" vertical="center"/>
    </xf>
    <xf numFmtId="167" fontId="57" fillId="0" borderId="0" xfId="0" applyNumberFormat="1" applyFont="1" applyBorder="1" applyAlignment="1">
      <alignment horizontal="center"/>
    </xf>
    <xf numFmtId="167" fontId="57" fillId="0" borderId="0" xfId="0" applyNumberFormat="1" applyFont="1" applyBorder="1" applyAlignment="1">
      <alignment horizontal="center" vertical="center"/>
    </xf>
    <xf numFmtId="167" fontId="57" fillId="0" borderId="0" xfId="0" applyNumberFormat="1" applyFont="1" applyBorder="1" applyAlignment="1">
      <alignment vertical="top"/>
    </xf>
    <xf numFmtId="167" fontId="0" fillId="0" borderId="0" xfId="0" applyNumberFormat="1" applyBorder="1" applyAlignment="1">
      <alignment vertical="top"/>
    </xf>
    <xf numFmtId="167" fontId="0" fillId="0" borderId="0" xfId="0" applyNumberFormat="1" applyBorder="1" applyAlignment="1">
      <alignment horizontal="left" vertical="top" wrapText="1"/>
    </xf>
    <xf numFmtId="167" fontId="0" fillId="0" borderId="0" xfId="0" applyNumberFormat="1" applyBorder="1" applyAlignment="1">
      <alignment horizontal="left" vertical="top"/>
    </xf>
    <xf numFmtId="167" fontId="0" fillId="0" borderId="0" xfId="0" applyNumberFormat="1" applyBorder="1" applyAlignment="1">
      <alignment vertical="top" wrapText="1"/>
    </xf>
    <xf numFmtId="167" fontId="57" fillId="0" borderId="0" xfId="0" applyNumberFormat="1" applyFont="1" applyBorder="1" applyAlignment="1">
      <alignment horizontal="left" vertical="top"/>
    </xf>
    <xf numFmtId="172" fontId="0" fillId="0" borderId="0" xfId="0" applyNumberFormat="1" applyBorder="1" applyAlignment="1">
      <alignment horizontal="left" vertical="top"/>
    </xf>
    <xf numFmtId="167" fontId="0" fillId="0" borderId="0" xfId="0" applyNumberFormat="1" applyBorder="1" applyAlignment="1">
      <alignment horizontal="right" vertical="top"/>
    </xf>
    <xf numFmtId="167" fontId="57" fillId="0" borderId="0" xfId="0" applyNumberFormat="1" applyFont="1" applyBorder="1" applyAlignment="1">
      <alignment horizontal="right" vertical="top"/>
    </xf>
    <xf numFmtId="167" fontId="57" fillId="0" borderId="0" xfId="0" applyNumberFormat="1" applyFont="1" applyBorder="1" applyAlignment="1">
      <alignment horizontal="left" vertical="top" wrapText="1"/>
    </xf>
    <xf numFmtId="167" fontId="74" fillId="0" borderId="0" xfId="0" applyNumberFormat="1" applyFont="1" applyBorder="1" applyAlignment="1">
      <alignment horizontal="left" vertical="top"/>
    </xf>
    <xf numFmtId="167" fontId="76" fillId="0" borderId="0" xfId="0" applyNumberFormat="1" applyFont="1" applyBorder="1" applyAlignment="1">
      <alignment horizontal="left" vertical="top"/>
    </xf>
    <xf numFmtId="167" fontId="202" fillId="0" borderId="0" xfId="0" applyNumberFormat="1" applyFont="1" applyBorder="1" applyAlignment="1">
      <alignment horizontal="left" vertical="top"/>
    </xf>
    <xf numFmtId="12" fontId="0" fillId="0" borderId="0" xfId="0" applyNumberFormat="1" applyBorder="1" applyAlignment="1">
      <alignment horizontal="left" vertical="top"/>
    </xf>
    <xf numFmtId="167" fontId="90" fillId="0" borderId="0" xfId="0" applyNumberFormat="1" applyFont="1" applyBorder="1" applyAlignment="1">
      <alignment horizontal="left" vertical="top"/>
    </xf>
    <xf numFmtId="167" fontId="73" fillId="0" borderId="0" xfId="0" applyNumberFormat="1" applyFont="1" applyBorder="1" applyAlignment="1">
      <alignment horizontal="left" vertical="top"/>
    </xf>
    <xf numFmtId="167" fontId="57" fillId="0" borderId="0" xfId="0" applyNumberFormat="1" applyFont="1" applyBorder="1" applyAlignment="1">
      <alignment horizontal="left" wrapText="1"/>
    </xf>
    <xf numFmtId="167" fontId="57" fillId="0" borderId="0" xfId="0" applyNumberFormat="1" applyFont="1" applyFill="1" applyBorder="1" applyAlignment="1">
      <alignment horizontal="left" vertical="top"/>
    </xf>
    <xf numFmtId="167" fontId="0" fillId="0" borderId="0" xfId="0" applyNumberFormat="1" applyFill="1" applyBorder="1" applyAlignment="1">
      <alignment horizontal="left" vertical="top"/>
    </xf>
    <xf numFmtId="167" fontId="57" fillId="0" borderId="0" xfId="0" applyNumberFormat="1" applyFont="1" applyBorder="1" applyAlignment="1">
      <alignment horizontal="left"/>
    </xf>
    <xf numFmtId="167" fontId="0" fillId="0" borderId="0" xfId="0" applyNumberFormat="1" applyFont="1" applyBorder="1" applyAlignment="1">
      <alignment horizontal="right" vertical="top"/>
    </xf>
    <xf numFmtId="167" fontId="91" fillId="0" borderId="0" xfId="0" applyNumberFormat="1" applyFont="1" applyBorder="1" applyAlignment="1">
      <alignment horizontal="left" vertical="top"/>
    </xf>
    <xf numFmtId="167" fontId="203" fillId="0" borderId="0" xfId="0" applyNumberFormat="1" applyFont="1" applyBorder="1" applyAlignment="1">
      <alignment horizontal="left" vertical="top"/>
    </xf>
    <xf numFmtId="176" fontId="0" fillId="0" borderId="0" xfId="0" applyNumberFormat="1" applyBorder="1" applyAlignment="1">
      <alignment horizontal="left" vertical="top"/>
    </xf>
    <xf numFmtId="167" fontId="0" fillId="0" borderId="0" xfId="0" applyNumberFormat="1" applyFont="1" applyBorder="1" applyAlignment="1">
      <alignment horizontal="left" vertical="top"/>
    </xf>
    <xf numFmtId="167" fontId="204" fillId="0" borderId="0" xfId="0" applyNumberFormat="1" applyFont="1" applyBorder="1" applyAlignment="1">
      <alignment horizontal="left" vertical="top"/>
    </xf>
    <xf numFmtId="167" fontId="73" fillId="0" borderId="0" xfId="0" applyNumberFormat="1" applyFont="1" applyBorder="1" applyAlignment="1">
      <alignment horizontal="center" vertical="top"/>
    </xf>
    <xf numFmtId="167" fontId="0" fillId="8" borderId="0" xfId="0" applyNumberFormat="1" applyFill="1" applyBorder="1" applyAlignment="1">
      <alignment horizontal="left" vertical="top"/>
    </xf>
    <xf numFmtId="167" fontId="0" fillId="13" borderId="0" xfId="0" applyNumberFormat="1" applyFill="1" applyBorder="1" applyAlignment="1">
      <alignment wrapText="1"/>
    </xf>
    <xf numFmtId="167" fontId="57" fillId="8" borderId="0" xfId="0" applyNumberFormat="1" applyFont="1" applyFill="1" applyBorder="1" applyAlignment="1">
      <alignment horizontal="left" vertical="top"/>
    </xf>
    <xf numFmtId="167" fontId="0" fillId="13" borderId="0" xfId="0" applyNumberFormat="1" applyFill="1" applyBorder="1" applyAlignment="1">
      <alignment horizontal="left" vertical="top"/>
    </xf>
    <xf numFmtId="167" fontId="0" fillId="13" borderId="0" xfId="0" applyNumberFormat="1" applyFill="1" applyBorder="1" applyAlignment="1">
      <alignment horizontal="left" vertical="top" wrapText="1"/>
    </xf>
    <xf numFmtId="167" fontId="202" fillId="13" borderId="0" xfId="0" applyNumberFormat="1" applyFont="1" applyFill="1" applyBorder="1" applyAlignment="1">
      <alignment horizontal="left" vertical="top"/>
    </xf>
    <xf numFmtId="167" fontId="74" fillId="13" borderId="0" xfId="0" applyNumberFormat="1" applyFont="1" applyFill="1" applyBorder="1" applyAlignment="1">
      <alignment horizontal="left" vertical="top"/>
    </xf>
    <xf numFmtId="177" fontId="0" fillId="0" borderId="0" xfId="0" applyNumberFormat="1" applyBorder="1" applyAlignment="1">
      <alignment horizontal="left" vertical="top"/>
    </xf>
    <xf numFmtId="167" fontId="205" fillId="0" borderId="0" xfId="0" applyNumberFormat="1" applyFont="1" applyBorder="1" applyAlignment="1">
      <alignment horizontal="left" vertical="top"/>
    </xf>
    <xf numFmtId="167" fontId="57" fillId="0" borderId="0" xfId="0" applyNumberFormat="1" applyFont="1" applyBorder="1" applyAlignment="1">
      <alignment horizontal="center" vertical="top"/>
    </xf>
    <xf numFmtId="176" fontId="0" fillId="0" borderId="0" xfId="0" applyNumberFormat="1" applyFont="1" applyBorder="1" applyAlignment="1">
      <alignment horizontal="left" vertical="top"/>
    </xf>
    <xf numFmtId="167" fontId="206" fillId="15" borderId="0" xfId="0" applyNumberFormat="1" applyFont="1" applyFill="1" applyBorder="1" applyAlignment="1">
      <alignment horizontal="left" vertical="top"/>
    </xf>
    <xf numFmtId="178" fontId="0" fillId="0" borderId="0" xfId="0" applyNumberFormat="1" applyBorder="1" applyAlignment="1">
      <alignment horizontal="left" vertical="top"/>
    </xf>
    <xf numFmtId="167" fontId="0" fillId="0" borderId="0" xfId="0" applyNumberFormat="1" applyFont="1" applyBorder="1" applyAlignment="1">
      <alignment horizontal="left" vertical="top" wrapText="1"/>
    </xf>
    <xf numFmtId="167" fontId="75" fillId="0" borderId="0" xfId="0" applyNumberFormat="1" applyFont="1" applyBorder="1" applyAlignment="1">
      <alignment horizontal="left" vertical="top"/>
    </xf>
    <xf numFmtId="167" fontId="2" fillId="0" borderId="0" xfId="0" applyNumberFormat="1" applyFont="1" applyBorder="1" applyAlignment="1">
      <alignment horizontal="left" vertical="top"/>
    </xf>
    <xf numFmtId="167" fontId="2" fillId="0" borderId="0" xfId="0" applyNumberFormat="1" applyFont="1" applyBorder="1" applyAlignment="1">
      <alignment horizontal="right" vertical="top"/>
    </xf>
    <xf numFmtId="167" fontId="92" fillId="0" borderId="0" xfId="0" applyNumberFormat="1" applyFont="1" applyBorder="1" applyAlignment="1">
      <alignment horizontal="right" vertical="top"/>
    </xf>
    <xf numFmtId="167" fontId="2" fillId="0" borderId="0" xfId="0" applyNumberFormat="1" applyFont="1" applyBorder="1" applyAlignment="1">
      <alignment horizontal="left" vertical="top" wrapText="1"/>
    </xf>
    <xf numFmtId="167" fontId="1" fillId="0" borderId="0" xfId="0" applyNumberFormat="1" applyFont="1" applyBorder="1" applyAlignment="1">
      <alignment horizontal="right" vertical="top"/>
    </xf>
    <xf numFmtId="167" fontId="93" fillId="0" borderId="0" xfId="0" applyNumberFormat="1" applyFont="1" applyBorder="1" applyAlignment="1">
      <alignment horizontal="left" vertical="top"/>
    </xf>
    <xf numFmtId="167" fontId="197" fillId="0" borderId="0" xfId="0" applyNumberFormat="1" applyFont="1" applyBorder="1" applyAlignment="1">
      <alignment horizontal="left" vertical="top"/>
    </xf>
    <xf numFmtId="167" fontId="207" fillId="0" borderId="0" xfId="0" applyNumberFormat="1" applyFont="1" applyBorder="1" applyAlignment="1">
      <alignment horizontal="left" vertical="top"/>
    </xf>
    <xf numFmtId="167" fontId="1" fillId="0" borderId="0" xfId="0" applyNumberFormat="1" applyFont="1" applyBorder="1" applyAlignment="1">
      <alignment horizontal="left" vertical="top"/>
    </xf>
    <xf numFmtId="167" fontId="94" fillId="0" borderId="0" xfId="0" applyNumberFormat="1" applyFont="1" applyBorder="1" applyAlignment="1">
      <alignment horizontal="right" vertical="top"/>
    </xf>
    <xf numFmtId="176" fontId="207" fillId="0" borderId="0" xfId="0" applyNumberFormat="1" applyFont="1" applyBorder="1" applyAlignment="1">
      <alignment horizontal="left" vertical="top"/>
    </xf>
    <xf numFmtId="176" fontId="0" fillId="0" borderId="0" xfId="0" applyNumberFormat="1" applyBorder="1"/>
    <xf numFmtId="167" fontId="95" fillId="0" borderId="0" xfId="0" applyNumberFormat="1" applyFont="1" applyBorder="1" applyAlignment="1">
      <alignment horizontal="left" vertical="top" wrapText="1"/>
    </xf>
    <xf numFmtId="167" fontId="57" fillId="0" borderId="0" xfId="0" applyNumberFormat="1" applyFont="1" applyBorder="1" applyAlignment="1">
      <alignment horizontal="left" vertical="center"/>
    </xf>
    <xf numFmtId="167" fontId="202" fillId="8" borderId="0" xfId="0" applyNumberFormat="1" applyFont="1" applyFill="1" applyBorder="1" applyAlignment="1">
      <alignment horizontal="left" vertical="top"/>
    </xf>
    <xf numFmtId="167" fontId="202" fillId="16" borderId="0" xfId="0" applyNumberFormat="1" applyFont="1" applyFill="1" applyBorder="1" applyAlignment="1">
      <alignment horizontal="left" vertical="top"/>
    </xf>
    <xf numFmtId="167" fontId="208" fillId="0" borderId="0" xfId="0" applyNumberFormat="1" applyFont="1" applyBorder="1" applyAlignment="1">
      <alignment horizontal="left" vertical="top"/>
    </xf>
    <xf numFmtId="167" fontId="27" fillId="0" borderId="0" xfId="0" applyNumberFormat="1" applyFont="1" applyFill="1" applyAlignment="1">
      <alignment vertical="center"/>
    </xf>
    <xf numFmtId="0" fontId="96" fillId="0" borderId="0" xfId="0" applyNumberFormat="1" applyFont="1" applyFill="1" applyAlignment="1">
      <alignment vertical="top" wrapText="1"/>
    </xf>
    <xf numFmtId="0" fontId="27" fillId="0" borderId="0" xfId="0" applyNumberFormat="1" applyFont="1" applyFill="1" applyAlignment="1">
      <alignment horizontal="left" vertical="top" wrapText="1"/>
    </xf>
    <xf numFmtId="0" fontId="209" fillId="0" borderId="0" xfId="0" applyNumberFormat="1" applyFont="1" applyFill="1"/>
    <xf numFmtId="180" fontId="27" fillId="0" borderId="0" xfId="0" applyNumberFormat="1" applyFont="1" applyFill="1"/>
    <xf numFmtId="2" fontId="27" fillId="0" borderId="0" xfId="0" applyNumberFormat="1" applyFont="1" applyFill="1"/>
    <xf numFmtId="182" fontId="27" fillId="0" borderId="0" xfId="0" applyNumberFormat="1" applyFont="1" applyFill="1"/>
    <xf numFmtId="2" fontId="179" fillId="0" borderId="0" xfId="0" applyNumberFormat="1" applyFont="1" applyFill="1"/>
    <xf numFmtId="2" fontId="184" fillId="0" borderId="0" xfId="0" applyNumberFormat="1" applyFont="1" applyFill="1"/>
    <xf numFmtId="0" fontId="41" fillId="0" borderId="0" xfId="0" applyNumberFormat="1" applyFont="1" applyFill="1" applyAlignment="1">
      <alignment vertical="top" wrapText="1"/>
    </xf>
    <xf numFmtId="0" fontId="27" fillId="0" borderId="0" xfId="0" applyNumberFormat="1" applyFont="1" applyFill="1" applyAlignment="1">
      <alignment horizontal="center" vertical="top" wrapText="1"/>
    </xf>
    <xf numFmtId="0" fontId="41" fillId="0" borderId="0" xfId="0" applyNumberFormat="1" applyFont="1" applyFill="1"/>
    <xf numFmtId="167" fontId="41" fillId="0" borderId="0" xfId="0" applyNumberFormat="1" applyFont="1" applyFill="1" applyAlignment="1">
      <alignment vertical="center" wrapText="1"/>
    </xf>
    <xf numFmtId="167" fontId="27" fillId="0" borderId="0" xfId="0" applyNumberFormat="1" applyFont="1" applyAlignment="1">
      <alignment horizontal="center" vertical="center"/>
    </xf>
    <xf numFmtId="167" fontId="27" fillId="0" borderId="0" xfId="0" applyNumberFormat="1" applyFont="1" applyAlignment="1">
      <alignment horizontal="left" vertical="center" wrapText="1"/>
    </xf>
    <xf numFmtId="0" fontId="27" fillId="0" borderId="0" xfId="0" applyNumberFormat="1" applyFont="1" applyFill="1" applyAlignment="1">
      <alignment vertical="center" wrapText="1"/>
    </xf>
    <xf numFmtId="167" fontId="27" fillId="0" borderId="0" xfId="0" applyNumberFormat="1" applyFont="1" applyAlignment="1">
      <alignment horizontal="left" vertical="center"/>
    </xf>
    <xf numFmtId="167" fontId="41" fillId="0" borderId="0" xfId="0" applyNumberFormat="1" applyFont="1" applyAlignment="1">
      <alignment horizontal="center" vertical="center"/>
    </xf>
    <xf numFmtId="167" fontId="41" fillId="0" borderId="0" xfId="0" applyNumberFormat="1" applyFont="1" applyFill="1" applyAlignment="1">
      <alignment vertical="center"/>
    </xf>
    <xf numFmtId="0" fontId="11" fillId="0" borderId="0" xfId="0" applyNumberFormat="1" applyFont="1" applyProtection="1"/>
    <xf numFmtId="0" fontId="210" fillId="13" borderId="0" xfId="0" applyNumberFormat="1" applyFont="1" applyFill="1"/>
    <xf numFmtId="0" fontId="209" fillId="13" borderId="0" xfId="0" applyNumberFormat="1" applyFont="1" applyFill="1"/>
    <xf numFmtId="167" fontId="172" fillId="0" borderId="0" xfId="0" applyNumberFormat="1" applyFont="1" applyAlignment="1">
      <alignment horizontal="center"/>
    </xf>
    <xf numFmtId="2" fontId="27" fillId="0" borderId="0" xfId="0" applyNumberFormat="1" applyFont="1" applyFill="1" applyAlignment="1">
      <alignment horizontal="left" vertical="top"/>
    </xf>
    <xf numFmtId="167" fontId="0" fillId="0" borderId="0" xfId="0" quotePrefix="1" applyNumberFormat="1"/>
    <xf numFmtId="167" fontId="0" fillId="0" borderId="0" xfId="0" quotePrefix="1" applyNumberFormat="1" applyAlignment="1" applyProtection="1">
      <alignment horizontal="fill"/>
    </xf>
    <xf numFmtId="167" fontId="88" fillId="0" borderId="0" xfId="0" quotePrefix="1" applyNumberFormat="1" applyFont="1" applyAlignment="1">
      <alignment vertical="top"/>
    </xf>
    <xf numFmtId="167" fontId="88" fillId="0" borderId="0" xfId="0" quotePrefix="1" applyNumberFormat="1" applyFont="1"/>
    <xf numFmtId="167" fontId="0" fillId="0" borderId="0" xfId="0" quotePrefix="1" applyNumberFormat="1" applyFont="1"/>
    <xf numFmtId="167" fontId="0" fillId="0" borderId="0" xfId="0" quotePrefix="1" applyNumberFormat="1" applyBorder="1" applyAlignment="1">
      <alignment horizontal="left" vertical="top"/>
    </xf>
    <xf numFmtId="17" fontId="4" fillId="0" borderId="0" xfId="54" quotePrefix="1" applyNumberFormat="1" applyFont="1"/>
    <xf numFmtId="167" fontId="10" fillId="0" borderId="0" xfId="0" quotePrefix="1" applyNumberFormat="1" applyFont="1" applyBorder="1" applyAlignment="1">
      <alignment horizontal="left" vertical="top"/>
    </xf>
    <xf numFmtId="167" fontId="11" fillId="0" borderId="0" xfId="0" quotePrefix="1" applyNumberFormat="1" applyFont="1" applyAlignment="1" applyProtection="1">
      <alignment horizontal="center"/>
    </xf>
    <xf numFmtId="167" fontId="11" fillId="0" borderId="0" xfId="0" quotePrefix="1" applyNumberFormat="1" applyFont="1" applyAlignment="1">
      <alignment horizontal="center"/>
    </xf>
    <xf numFmtId="167" fontId="10" fillId="0" borderId="0" xfId="0" quotePrefix="1" applyNumberFormat="1" applyFont="1"/>
    <xf numFmtId="167" fontId="10" fillId="9" borderId="0" xfId="0" quotePrefix="1" applyNumberFormat="1" applyFont="1" applyFill="1"/>
    <xf numFmtId="167" fontId="10" fillId="0" borderId="0" xfId="0" quotePrefix="1" applyNumberFormat="1" applyFont="1" applyAlignment="1" applyProtection="1">
      <alignment horizontal="fill"/>
    </xf>
    <xf numFmtId="167" fontId="11" fillId="0" borderId="0" xfId="0" quotePrefix="1" applyNumberFormat="1" applyFont="1" applyProtection="1"/>
    <xf numFmtId="167" fontId="10" fillId="0" borderId="0" xfId="0" quotePrefix="1" applyNumberFormat="1" applyFont="1" applyProtection="1"/>
    <xf numFmtId="167" fontId="11" fillId="0" borderId="0" xfId="0" quotePrefix="1" applyNumberFormat="1" applyFont="1"/>
    <xf numFmtId="167" fontId="10" fillId="0" borderId="0" xfId="0" quotePrefix="1" applyNumberFormat="1" applyFont="1" applyAlignment="1" applyProtection="1">
      <alignment horizontal="left"/>
    </xf>
    <xf numFmtId="167" fontId="10" fillId="0" borderId="0" xfId="0" quotePrefix="1" applyNumberFormat="1" applyFont="1" applyAlignment="1">
      <alignment horizontal="left" vertical="top"/>
    </xf>
    <xf numFmtId="167" fontId="117" fillId="0" borderId="0" xfId="43"/>
    <xf numFmtId="173" fontId="10" fillId="17" borderId="1" xfId="37" applyNumberFormat="1" applyFont="1" applyFill="1" applyBorder="1" applyAlignment="1">
      <alignment horizontal="right" vertical="center"/>
    </xf>
    <xf numFmtId="180" fontId="10" fillId="17" borderId="1" xfId="37" applyNumberFormat="1" applyFont="1" applyFill="1" applyBorder="1" applyAlignment="1">
      <alignment horizontal="center" vertical="center"/>
    </xf>
    <xf numFmtId="2" fontId="10" fillId="17" borderId="1" xfId="37" applyNumberFormat="1" applyFont="1" applyFill="1" applyBorder="1" applyAlignment="1">
      <alignment horizontal="right" vertical="center"/>
    </xf>
    <xf numFmtId="2" fontId="11" fillId="17" borderId="1" xfId="37" applyNumberFormat="1" applyFont="1" applyFill="1" applyBorder="1" applyAlignment="1">
      <alignment horizontal="left" vertical="center"/>
    </xf>
    <xf numFmtId="0" fontId="10" fillId="18" borderId="0" xfId="37" applyFont="1" applyFill="1"/>
    <xf numFmtId="2" fontId="11" fillId="17" borderId="1" xfId="37" applyNumberFormat="1" applyFont="1" applyFill="1" applyBorder="1" applyAlignment="1">
      <alignment horizontal="right" vertical="center"/>
    </xf>
    <xf numFmtId="0" fontId="10" fillId="17" borderId="1" xfId="44" applyFont="1" applyFill="1" applyBorder="1" applyAlignment="1">
      <alignment horizontal="right" vertical="center" wrapText="1"/>
    </xf>
    <xf numFmtId="2" fontId="11" fillId="17" borderId="1" xfId="44" applyNumberFormat="1" applyFont="1" applyFill="1" applyBorder="1" applyAlignment="1">
      <alignment horizontal="right" vertical="center" wrapText="1"/>
    </xf>
    <xf numFmtId="0" fontId="11" fillId="17" borderId="1" xfId="37" applyFont="1" applyFill="1" applyBorder="1" applyAlignment="1">
      <alignment horizontal="left" vertical="center"/>
    </xf>
    <xf numFmtId="0" fontId="10" fillId="17" borderId="1" xfId="37" applyFont="1" applyFill="1" applyBorder="1" applyAlignment="1">
      <alignment horizontal="right" vertical="center"/>
    </xf>
    <xf numFmtId="0" fontId="10" fillId="17" borderId="1" xfId="37" applyFont="1" applyFill="1" applyBorder="1" applyAlignment="1">
      <alignment horizontal="center" vertical="center"/>
    </xf>
    <xf numFmtId="0" fontId="11" fillId="17" borderId="1" xfId="37" applyFont="1" applyFill="1" applyBorder="1" applyAlignment="1">
      <alignment horizontal="justify" vertical="top"/>
    </xf>
    <xf numFmtId="180" fontId="11" fillId="17" borderId="1" xfId="44" applyNumberFormat="1" applyFont="1" applyFill="1" applyBorder="1" applyAlignment="1">
      <alignment horizontal="center" vertical="center" wrapText="1"/>
    </xf>
    <xf numFmtId="0" fontId="11" fillId="17" borderId="1" xfId="44" applyFont="1" applyFill="1" applyBorder="1" applyAlignment="1">
      <alignment horizontal="left" vertical="center" wrapText="1"/>
    </xf>
    <xf numFmtId="2" fontId="61" fillId="8" borderId="1" xfId="53" applyNumberFormat="1" applyFont="1" applyFill="1" applyBorder="1" applyAlignment="1">
      <alignment vertical="top" wrapText="1"/>
    </xf>
    <xf numFmtId="1" fontId="14" fillId="8" borderId="1" xfId="53" applyNumberFormat="1" applyFont="1" applyFill="1" applyBorder="1" applyAlignment="1">
      <alignment vertical="top" wrapText="1"/>
    </xf>
    <xf numFmtId="2" fontId="15" fillId="8" borderId="1" xfId="53" applyNumberFormat="1" applyFont="1" applyFill="1" applyBorder="1" applyAlignment="1">
      <alignment vertical="top" wrapText="1"/>
    </xf>
    <xf numFmtId="1" fontId="14" fillId="19" borderId="23" xfId="53" applyNumberFormat="1" applyFont="1" applyFill="1" applyBorder="1" applyAlignment="1">
      <alignment vertical="top" wrapText="1"/>
    </xf>
    <xf numFmtId="2" fontId="15" fillId="19" borderId="24" xfId="53" applyNumberFormat="1" applyFont="1" applyFill="1" applyBorder="1" applyAlignment="1">
      <alignment vertical="top" wrapText="1"/>
    </xf>
    <xf numFmtId="1" fontId="14" fillId="19" borderId="24" xfId="53" applyNumberFormat="1" applyFont="1" applyFill="1" applyBorder="1" applyAlignment="1">
      <alignment vertical="top" wrapText="1"/>
    </xf>
    <xf numFmtId="0" fontId="10" fillId="20" borderId="0" xfId="37" applyFont="1" applyFill="1"/>
    <xf numFmtId="0" fontId="10" fillId="21" borderId="0" xfId="37" applyFont="1" applyFill="1"/>
    <xf numFmtId="167" fontId="117" fillId="8" borderId="0" xfId="43" applyFont="1" applyFill="1"/>
    <xf numFmtId="0" fontId="10" fillId="17" borderId="1" xfId="37" applyFont="1" applyFill="1" applyBorder="1" applyAlignment="1">
      <alignment vertical="top"/>
    </xf>
    <xf numFmtId="0" fontId="10" fillId="17" borderId="1" xfId="37" applyFont="1" applyFill="1" applyBorder="1" applyAlignment="1">
      <alignment horizontal="justify" vertical="top"/>
    </xf>
    <xf numFmtId="0" fontId="10" fillId="17" borderId="1" xfId="44" applyFont="1" applyFill="1" applyBorder="1" applyAlignment="1">
      <alignment vertical="top" wrapText="1"/>
    </xf>
    <xf numFmtId="0" fontId="11" fillId="17" borderId="1" xfId="37" applyFont="1" applyFill="1" applyBorder="1" applyAlignment="1">
      <alignment vertical="top"/>
    </xf>
    <xf numFmtId="0" fontId="11" fillId="17" borderId="1" xfId="44" applyFont="1" applyFill="1" applyBorder="1" applyAlignment="1">
      <alignment vertical="top" wrapText="1"/>
    </xf>
    <xf numFmtId="167" fontId="117" fillId="8" borderId="0" xfId="43" applyFont="1" applyFill="1" applyAlignment="1">
      <alignment vertical="top"/>
    </xf>
    <xf numFmtId="167" fontId="117" fillId="0" borderId="0" xfId="43" applyAlignment="1">
      <alignment vertical="top"/>
    </xf>
    <xf numFmtId="171" fontId="0" fillId="0" borderId="0" xfId="0" applyNumberFormat="1" applyAlignment="1">
      <alignment horizontal="center"/>
    </xf>
    <xf numFmtId="171" fontId="0" fillId="0" borderId="0" xfId="0" applyNumberFormat="1" applyAlignment="1">
      <alignment horizontal="center" vertical="center"/>
    </xf>
    <xf numFmtId="167" fontId="0" fillId="22" borderId="0" xfId="0" applyNumberFormat="1" applyFill="1"/>
    <xf numFmtId="0" fontId="10" fillId="23" borderId="0" xfId="37" applyFont="1" applyFill="1"/>
    <xf numFmtId="0" fontId="10" fillId="23" borderId="0" xfId="43" applyNumberFormat="1" applyFont="1" applyFill="1"/>
    <xf numFmtId="167" fontId="10" fillId="23" borderId="0" xfId="43" applyFont="1" applyFill="1"/>
    <xf numFmtId="0" fontId="11" fillId="23" borderId="0" xfId="37" applyFont="1" applyFill="1"/>
    <xf numFmtId="167" fontId="10" fillId="23" borderId="0" xfId="15" applyNumberFormat="1" applyFont="1" applyFill="1"/>
    <xf numFmtId="172" fontId="10" fillId="23" borderId="0" xfId="15" applyNumberFormat="1" applyFont="1" applyFill="1"/>
    <xf numFmtId="180" fontId="10" fillId="23" borderId="0" xfId="37" applyNumberFormat="1" applyFont="1" applyFill="1"/>
    <xf numFmtId="167" fontId="27" fillId="23" borderId="0" xfId="43" applyFont="1" applyFill="1" applyAlignment="1">
      <alignment vertical="center"/>
    </xf>
    <xf numFmtId="167" fontId="10" fillId="13" borderId="0" xfId="0" applyNumberFormat="1" applyFont="1" applyFill="1" applyAlignment="1">
      <alignment horizontal="left" vertical="top"/>
    </xf>
    <xf numFmtId="0" fontId="11" fillId="23" borderId="25" xfId="37" applyFont="1" applyFill="1" applyBorder="1" applyAlignment="1">
      <alignment horizontal="center" vertical="center"/>
    </xf>
    <xf numFmtId="0" fontId="11" fillId="23" borderId="0" xfId="37" applyFont="1" applyFill="1" applyAlignment="1">
      <alignment horizontal="center" vertical="center"/>
    </xf>
    <xf numFmtId="0" fontId="10" fillId="23" borderId="0" xfId="44" applyFont="1" applyFill="1" applyAlignment="1">
      <alignment vertical="center" wrapText="1"/>
    </xf>
    <xf numFmtId="0" fontId="211" fillId="23" borderId="0" xfId="44" applyFont="1" applyFill="1" applyAlignment="1">
      <alignment vertical="center" wrapText="1"/>
    </xf>
    <xf numFmtId="167" fontId="117" fillId="13" borderId="0" xfId="43" applyFill="1"/>
    <xf numFmtId="167" fontId="41" fillId="8" borderId="1" xfId="43" applyFont="1" applyFill="1" applyBorder="1" applyAlignment="1">
      <alignment horizontal="center" vertical="center"/>
    </xf>
    <xf numFmtId="167" fontId="14" fillId="22" borderId="0" xfId="0" applyNumberFormat="1" applyFont="1" applyFill="1" applyAlignment="1">
      <alignment horizontal="left" vertical="top"/>
    </xf>
    <xf numFmtId="167" fontId="59" fillId="0" borderId="0" xfId="0" applyNumberFormat="1" applyFont="1" applyAlignment="1">
      <alignment wrapText="1"/>
    </xf>
    <xf numFmtId="175" fontId="14" fillId="8" borderId="5" xfId="50" applyNumberFormat="1" applyFont="1" applyFill="1" applyBorder="1" applyAlignment="1">
      <alignment horizontal="left" vertical="top" wrapText="1"/>
    </xf>
    <xf numFmtId="167" fontId="17" fillId="8" borderId="5" xfId="0" applyNumberFormat="1" applyFont="1" applyFill="1" applyBorder="1" applyAlignment="1">
      <alignment horizontal="left" vertical="top" wrapText="1"/>
    </xf>
    <xf numFmtId="0" fontId="17" fillId="8" borderId="5" xfId="45" applyFont="1" applyFill="1" applyBorder="1" applyAlignment="1">
      <alignment horizontal="left" vertical="center" wrapText="1"/>
    </xf>
    <xf numFmtId="167" fontId="15" fillId="8" borderId="5" xfId="0" applyNumberFormat="1" applyFont="1" applyFill="1" applyBorder="1" applyAlignment="1">
      <alignment horizontal="left" vertical="center"/>
    </xf>
    <xf numFmtId="0" fontId="14" fillId="8" borderId="5" xfId="45" applyFont="1" applyFill="1" applyBorder="1" applyAlignment="1">
      <alignment horizontal="left" vertical="center" wrapText="1"/>
    </xf>
    <xf numFmtId="2" fontId="14" fillId="8" borderId="5" xfId="52" applyNumberFormat="1" applyFont="1" applyFill="1" applyBorder="1" applyAlignment="1">
      <alignment horizontal="left" vertical="top" wrapText="1"/>
    </xf>
    <xf numFmtId="2" fontId="14" fillId="8" borderId="5" xfId="45" applyNumberFormat="1" applyFont="1" applyFill="1" applyBorder="1" applyAlignment="1">
      <alignment horizontal="left" vertical="center" wrapText="1"/>
    </xf>
    <xf numFmtId="0" fontId="15" fillId="8" borderId="5" xfId="45" applyFont="1" applyFill="1" applyBorder="1" applyAlignment="1">
      <alignment horizontal="left" vertical="top" wrapText="1"/>
    </xf>
    <xf numFmtId="2" fontId="14" fillId="8" borderId="1" xfId="45" applyNumberFormat="1" applyFont="1" applyFill="1" applyBorder="1" applyAlignment="1">
      <alignment horizontal="left" vertical="center" wrapText="1"/>
    </xf>
    <xf numFmtId="167" fontId="14" fillId="8" borderId="1" xfId="0" applyNumberFormat="1" applyFont="1" applyFill="1" applyBorder="1" applyAlignment="1">
      <alignment horizontal="left" vertical="center"/>
    </xf>
    <xf numFmtId="2" fontId="14" fillId="8" borderId="5" xfId="49" applyNumberFormat="1" applyFont="1" applyFill="1" applyBorder="1" applyAlignment="1">
      <alignment horizontal="left" vertical="center" wrapText="1"/>
    </xf>
    <xf numFmtId="167" fontId="19" fillId="8" borderId="5" xfId="0" applyNumberFormat="1" applyFont="1" applyFill="1" applyBorder="1" applyAlignment="1">
      <alignment horizontal="left" vertical="top" wrapText="1"/>
    </xf>
    <xf numFmtId="0" fontId="15" fillId="8" borderId="5" xfId="0" applyNumberFormat="1" applyFont="1" applyFill="1" applyBorder="1" applyAlignment="1">
      <alignment horizontal="left" vertical="top" wrapText="1"/>
    </xf>
    <xf numFmtId="0" fontId="17" fillId="8" borderId="5" xfId="0" applyNumberFormat="1" applyFont="1" applyFill="1" applyBorder="1" applyAlignment="1">
      <alignment horizontal="left" vertical="top" wrapText="1"/>
    </xf>
    <xf numFmtId="2" fontId="14" fillId="8" borderId="5" xfId="0" applyNumberFormat="1" applyFont="1" applyFill="1" applyBorder="1" applyAlignment="1">
      <alignment horizontal="left" vertical="center"/>
    </xf>
    <xf numFmtId="0" fontId="14" fillId="8" borderId="5" xfId="0" applyNumberFormat="1" applyFont="1" applyFill="1" applyBorder="1" applyAlignment="1">
      <alignment horizontal="left" vertical="center"/>
    </xf>
    <xf numFmtId="2" fontId="14" fillId="8" borderId="5" xfId="1" applyNumberFormat="1" applyFont="1" applyFill="1" applyBorder="1" applyAlignment="1">
      <alignment horizontal="left" vertical="center"/>
    </xf>
    <xf numFmtId="172" fontId="15" fillId="8" borderId="5" xfId="0" applyNumberFormat="1" applyFont="1" applyFill="1" applyBorder="1" applyAlignment="1">
      <alignment horizontal="left" vertical="center" wrapText="1"/>
    </xf>
    <xf numFmtId="172" fontId="15" fillId="8" borderId="1" xfId="0" applyNumberFormat="1" applyFont="1" applyFill="1" applyBorder="1" applyAlignment="1">
      <alignment horizontal="left" vertical="center" wrapText="1"/>
    </xf>
    <xf numFmtId="167" fontId="15" fillId="8" borderId="1" xfId="0" applyNumberFormat="1" applyFont="1" applyFill="1" applyBorder="1" applyAlignment="1">
      <alignment horizontal="left" vertical="center" wrapText="1"/>
    </xf>
    <xf numFmtId="172" fontId="14" fillId="8" borderId="5" xfId="0" applyNumberFormat="1" applyFont="1" applyFill="1" applyBorder="1" applyAlignment="1">
      <alignment horizontal="left" vertical="center" wrapText="1"/>
    </xf>
    <xf numFmtId="167" fontId="14" fillId="8" borderId="26" xfId="0" applyNumberFormat="1" applyFont="1" applyFill="1" applyBorder="1" applyAlignment="1">
      <alignment horizontal="left" vertical="center" wrapText="1"/>
    </xf>
    <xf numFmtId="167" fontId="17" fillId="8" borderId="5" xfId="0" applyNumberFormat="1" applyFont="1" applyFill="1" applyBorder="1" applyAlignment="1">
      <alignment horizontal="left" vertical="center" wrapText="1"/>
    </xf>
    <xf numFmtId="167" fontId="14" fillId="8" borderId="1" xfId="0" applyNumberFormat="1" applyFont="1" applyFill="1" applyBorder="1" applyAlignment="1">
      <alignment horizontal="left" vertical="top" wrapText="1"/>
    </xf>
    <xf numFmtId="167" fontId="61" fillId="8" borderId="5" xfId="0" applyNumberFormat="1" applyFont="1" applyFill="1" applyBorder="1" applyAlignment="1">
      <alignment horizontal="left" vertical="top" wrapText="1"/>
    </xf>
    <xf numFmtId="1" fontId="10" fillId="17" borderId="1" xfId="37" applyNumberFormat="1" applyFont="1" applyFill="1" applyBorder="1" applyAlignment="1">
      <alignment horizontal="center" vertical="center"/>
    </xf>
    <xf numFmtId="0" fontId="10" fillId="17" borderId="1" xfId="37" applyFont="1" applyFill="1" applyBorder="1" applyAlignment="1">
      <alignment vertical="top" wrapText="1"/>
    </xf>
    <xf numFmtId="180" fontId="11" fillId="17" borderId="1" xfId="37" applyNumberFormat="1" applyFont="1" applyFill="1" applyBorder="1" applyAlignment="1">
      <alignment horizontal="center" vertical="center"/>
    </xf>
    <xf numFmtId="2" fontId="10" fillId="17" borderId="1" xfId="51" applyNumberFormat="1" applyFont="1" applyFill="1" applyBorder="1" applyAlignment="1">
      <alignment vertical="top" wrapText="1"/>
    </xf>
    <xf numFmtId="2" fontId="10" fillId="17" borderId="1" xfId="37" applyNumberFormat="1" applyFont="1" applyFill="1" applyBorder="1" applyAlignment="1">
      <alignment horizontal="left" vertical="top" wrapText="1"/>
    </xf>
    <xf numFmtId="0" fontId="10" fillId="8" borderId="1" xfId="44" applyFont="1" applyFill="1" applyBorder="1" applyAlignment="1">
      <alignment horizontal="left" vertical="center"/>
    </xf>
    <xf numFmtId="0" fontId="10" fillId="8" borderId="1" xfId="32" applyFont="1" applyFill="1" applyBorder="1" applyAlignment="1">
      <alignment horizontal="left" vertical="top" wrapText="1"/>
    </xf>
    <xf numFmtId="0" fontId="10" fillId="8" borderId="1" xfId="32" applyFont="1" applyFill="1" applyBorder="1" applyAlignment="1">
      <alignment horizontal="left" vertical="center"/>
    </xf>
    <xf numFmtId="180" fontId="10" fillId="8" borderId="1" xfId="32" applyNumberFormat="1" applyFont="1" applyFill="1" applyBorder="1" applyAlignment="1">
      <alignment horizontal="left" vertical="center"/>
    </xf>
    <xf numFmtId="2" fontId="11" fillId="8" borderId="1" xfId="32" applyNumberFormat="1" applyFont="1" applyFill="1" applyBorder="1" applyAlignment="1">
      <alignment horizontal="left" vertical="center"/>
    </xf>
    <xf numFmtId="0" fontId="11" fillId="8" borderId="1" xfId="32" applyFont="1" applyFill="1" applyBorder="1" applyAlignment="1">
      <alignment horizontal="left" vertical="center"/>
    </xf>
    <xf numFmtId="2" fontId="10" fillId="8" borderId="1" xfId="44" applyNumberFormat="1" applyFont="1" applyFill="1" applyBorder="1" applyAlignment="1">
      <alignment horizontal="left" vertical="center"/>
    </xf>
    <xf numFmtId="173" fontId="10" fillId="17" borderId="1" xfId="43" applyNumberFormat="1" applyFont="1" applyFill="1" applyBorder="1" applyAlignment="1">
      <alignment horizontal="right" vertical="center"/>
    </xf>
    <xf numFmtId="0" fontId="10" fillId="17" borderId="1" xfId="43" applyNumberFormat="1" applyFont="1" applyFill="1" applyBorder="1" applyAlignment="1">
      <alignment vertical="top"/>
    </xf>
    <xf numFmtId="1" fontId="10" fillId="17" borderId="1" xfId="43" applyNumberFormat="1" applyFont="1" applyFill="1" applyBorder="1" applyAlignment="1">
      <alignment horizontal="center" vertical="center"/>
    </xf>
    <xf numFmtId="180" fontId="10" fillId="17" borderId="1" xfId="43" applyNumberFormat="1" applyFont="1" applyFill="1" applyBorder="1" applyAlignment="1">
      <alignment horizontal="center" vertical="center"/>
    </xf>
    <xf numFmtId="2" fontId="11" fillId="17" borderId="1" xfId="43" applyNumberFormat="1" applyFont="1" applyFill="1" applyBorder="1" applyAlignment="1">
      <alignment horizontal="left" vertical="center"/>
    </xf>
    <xf numFmtId="171" fontId="10" fillId="17" borderId="1" xfId="44" applyNumberFormat="1" applyFont="1" applyFill="1" applyBorder="1" applyAlignment="1">
      <alignment horizontal="center" vertical="center" wrapText="1"/>
    </xf>
    <xf numFmtId="180" fontId="10" fillId="17" borderId="1" xfId="44" applyNumberFormat="1" applyFont="1" applyFill="1" applyBorder="1" applyAlignment="1">
      <alignment horizontal="center" vertical="center" wrapText="1"/>
    </xf>
    <xf numFmtId="2" fontId="11" fillId="17" borderId="1" xfId="37" applyNumberFormat="1" applyFont="1" applyFill="1" applyBorder="1" applyAlignment="1">
      <alignment horizontal="left" vertical="top" wrapText="1"/>
    </xf>
    <xf numFmtId="0" fontId="47" fillId="17" borderId="1" xfId="37" applyFont="1" applyFill="1" applyBorder="1" applyAlignment="1">
      <alignment vertical="top"/>
    </xf>
    <xf numFmtId="2" fontId="10" fillId="17" borderId="1" xfId="37" applyNumberFormat="1" applyFont="1" applyFill="1" applyBorder="1" applyAlignment="1">
      <alignment horizontal="center" vertical="center"/>
    </xf>
    <xf numFmtId="173" fontId="11" fillId="17" borderId="1" xfId="37" applyNumberFormat="1" applyFont="1" applyFill="1" applyBorder="1" applyAlignment="1">
      <alignment horizontal="right" vertical="center"/>
    </xf>
    <xf numFmtId="1" fontId="11" fillId="17" borderId="1" xfId="37" applyNumberFormat="1" applyFont="1" applyFill="1" applyBorder="1" applyAlignment="1">
      <alignment horizontal="center" vertical="center"/>
    </xf>
    <xf numFmtId="0" fontId="10" fillId="17" borderId="1" xfId="37" applyFont="1" applyFill="1" applyBorder="1" applyAlignment="1">
      <alignment horizontal="left" vertical="center"/>
    </xf>
    <xf numFmtId="173" fontId="10" fillId="17" borderId="1" xfId="37" applyNumberFormat="1" applyFont="1" applyFill="1" applyBorder="1" applyAlignment="1">
      <alignment horizontal="center" vertical="center"/>
    </xf>
    <xf numFmtId="172" fontId="10" fillId="17" borderId="1" xfId="29" applyNumberFormat="1" applyFont="1" applyFill="1" applyBorder="1" applyAlignment="1">
      <alignment horizontal="left" vertical="top"/>
    </xf>
    <xf numFmtId="2" fontId="10" fillId="17" borderId="1" xfId="44" applyNumberFormat="1" applyFont="1" applyFill="1" applyBorder="1" applyAlignment="1">
      <alignment horizontal="right" vertical="center" wrapText="1"/>
    </xf>
    <xf numFmtId="172" fontId="10" fillId="17" borderId="1" xfId="29" applyNumberFormat="1" applyFont="1" applyFill="1" applyBorder="1" applyAlignment="1">
      <alignment horizontal="right"/>
    </xf>
    <xf numFmtId="180" fontId="10" fillId="17" borderId="1" xfId="44" applyNumberFormat="1" applyFont="1" applyFill="1" applyBorder="1" applyAlignment="1">
      <alignment horizontal="right" vertical="center" wrapText="1"/>
    </xf>
    <xf numFmtId="174" fontId="11" fillId="17" borderId="1" xfId="29" applyNumberFormat="1" applyFont="1" applyFill="1" applyBorder="1" applyAlignment="1">
      <alignment horizontal="center" vertical="center"/>
    </xf>
    <xf numFmtId="171" fontId="10" fillId="17" borderId="1" xfId="29" applyNumberFormat="1" applyFont="1" applyFill="1" applyBorder="1" applyAlignment="1">
      <alignment horizontal="center"/>
    </xf>
    <xf numFmtId="180" fontId="10" fillId="17" borderId="1" xfId="29" applyNumberFormat="1" applyFont="1" applyFill="1" applyBorder="1" applyAlignment="1">
      <alignment horizontal="center"/>
    </xf>
    <xf numFmtId="172" fontId="11" fillId="17" borderId="1" xfId="29" applyNumberFormat="1" applyFont="1" applyFill="1" applyBorder="1" applyAlignment="1">
      <alignment horizontal="left" vertical="center"/>
    </xf>
    <xf numFmtId="174" fontId="10" fillId="17" borderId="1" xfId="29" applyNumberFormat="1" applyFont="1" applyFill="1" applyBorder="1" applyAlignment="1">
      <alignment horizontal="center" vertical="top"/>
    </xf>
    <xf numFmtId="172" fontId="10" fillId="17" borderId="1" xfId="29" applyNumberFormat="1" applyFont="1" applyFill="1" applyBorder="1" applyAlignment="1">
      <alignment horizontal="justify" vertical="top" wrapText="1"/>
    </xf>
    <xf numFmtId="171" fontId="10" fillId="17" borderId="1" xfId="29" applyNumberFormat="1" applyFont="1" applyFill="1" applyBorder="1" applyAlignment="1">
      <alignment horizontal="center" vertical="center"/>
    </xf>
    <xf numFmtId="180" fontId="10" fillId="17" borderId="1" xfId="29" applyNumberFormat="1" applyFont="1" applyFill="1" applyBorder="1" applyAlignment="1">
      <alignment horizontal="center" vertical="center"/>
    </xf>
    <xf numFmtId="172" fontId="10" fillId="17" borderId="1" xfId="29" applyNumberFormat="1" applyFont="1" applyFill="1" applyBorder="1" applyAlignment="1">
      <alignment horizontal="left"/>
    </xf>
    <xf numFmtId="172" fontId="10" fillId="17" borderId="1" xfId="29" applyNumberFormat="1" applyFont="1" applyFill="1" applyBorder="1" applyAlignment="1">
      <alignment horizontal="left" vertical="top" wrapText="1"/>
    </xf>
    <xf numFmtId="0" fontId="10" fillId="17" borderId="1" xfId="37" applyFont="1" applyFill="1" applyBorder="1" applyAlignment="1">
      <alignment horizontal="left"/>
    </xf>
    <xf numFmtId="0" fontId="10" fillId="17" borderId="1" xfId="37" applyFont="1" applyFill="1" applyBorder="1" applyAlignment="1">
      <alignment horizontal="left" vertical="top" wrapText="1"/>
    </xf>
    <xf numFmtId="0" fontId="11" fillId="17" borderId="1" xfId="37" applyFont="1" applyFill="1" applyBorder="1" applyAlignment="1">
      <alignment vertical="top" wrapText="1"/>
    </xf>
    <xf numFmtId="0" fontId="11" fillId="17" borderId="1" xfId="37" applyFont="1" applyFill="1" applyBorder="1" applyAlignment="1">
      <alignment vertical="center" wrapText="1"/>
    </xf>
    <xf numFmtId="2" fontId="26" fillId="17" borderId="1" xfId="37" applyNumberFormat="1" applyFont="1" applyFill="1" applyBorder="1" applyAlignment="1">
      <alignment horizontal="right" vertical="center"/>
    </xf>
    <xf numFmtId="171" fontId="10" fillId="17" borderId="1" xfId="37" applyNumberFormat="1" applyFont="1" applyFill="1" applyBorder="1" applyAlignment="1">
      <alignment horizontal="right" vertical="center"/>
    </xf>
    <xf numFmtId="0" fontId="11" fillId="17" borderId="1" xfId="37" applyFont="1" applyFill="1" applyBorder="1" applyAlignment="1">
      <alignment horizontal="left" vertical="top"/>
    </xf>
    <xf numFmtId="0" fontId="10" fillId="17" borderId="1" xfId="37" applyFont="1" applyFill="1" applyBorder="1" applyAlignment="1">
      <alignment horizontal="left" vertical="top"/>
    </xf>
    <xf numFmtId="167" fontId="11" fillId="17" borderId="1" xfId="44" applyNumberFormat="1" applyFont="1" applyFill="1" applyBorder="1" applyAlignment="1">
      <alignment horizontal="left" vertical="center" wrapText="1"/>
    </xf>
    <xf numFmtId="2" fontId="10" fillId="17" borderId="1" xfId="43" applyNumberFormat="1" applyFont="1" applyFill="1" applyBorder="1" applyAlignment="1">
      <alignment vertical="top" wrapText="1"/>
    </xf>
    <xf numFmtId="2" fontId="11" fillId="17" borderId="1" xfId="44" applyNumberFormat="1" applyFont="1" applyFill="1" applyBorder="1" applyAlignment="1">
      <alignment horizontal="left" vertical="center" wrapText="1"/>
    </xf>
    <xf numFmtId="0" fontId="11" fillId="17" borderId="1" xfId="44" applyFont="1" applyFill="1" applyBorder="1" applyAlignment="1">
      <alignment horizontal="right" vertical="center" wrapText="1"/>
    </xf>
    <xf numFmtId="0" fontId="11" fillId="17" borderId="1" xfId="37" applyFont="1" applyFill="1" applyBorder="1" applyAlignment="1">
      <alignment horizontal="center" vertical="center"/>
    </xf>
    <xf numFmtId="180" fontId="7" fillId="17" borderId="1" xfId="37" applyNumberFormat="1" applyFont="1" applyFill="1" applyBorder="1" applyAlignment="1">
      <alignment horizontal="center" vertical="center"/>
    </xf>
    <xf numFmtId="180" fontId="11" fillId="17" borderId="1" xfId="37" applyNumberFormat="1" applyFont="1" applyFill="1" applyBorder="1" applyAlignment="1">
      <alignment horizontal="right" vertical="center"/>
    </xf>
    <xf numFmtId="0" fontId="10" fillId="8" borderId="1" xfId="37" applyFont="1" applyFill="1" applyBorder="1" applyAlignment="1">
      <alignment vertical="top"/>
    </xf>
    <xf numFmtId="1" fontId="10" fillId="8" borderId="1" xfId="37" applyNumberFormat="1" applyFont="1" applyFill="1" applyBorder="1" applyAlignment="1">
      <alignment horizontal="center" vertical="center"/>
    </xf>
    <xf numFmtId="180" fontId="10" fillId="8" borderId="1" xfId="37" applyNumberFormat="1" applyFont="1" applyFill="1" applyBorder="1" applyAlignment="1">
      <alignment horizontal="center" vertical="center"/>
    </xf>
    <xf numFmtId="2" fontId="10" fillId="8" borderId="1" xfId="37" applyNumberFormat="1" applyFont="1" applyFill="1" applyBorder="1" applyAlignment="1">
      <alignment horizontal="right" vertical="center"/>
    </xf>
    <xf numFmtId="0" fontId="11" fillId="8" borderId="1" xfId="37" applyFont="1" applyFill="1" applyBorder="1" applyAlignment="1">
      <alignment vertical="top" wrapText="1"/>
    </xf>
    <xf numFmtId="173" fontId="10" fillId="8" borderId="1" xfId="37" applyNumberFormat="1" applyFont="1" applyFill="1" applyBorder="1" applyAlignment="1">
      <alignment horizontal="center" vertical="center"/>
    </xf>
    <xf numFmtId="0" fontId="11" fillId="8" borderId="1" xfId="37" applyFont="1" applyFill="1" applyBorder="1" applyAlignment="1">
      <alignment vertical="top"/>
    </xf>
    <xf numFmtId="2" fontId="10" fillId="8" borderId="1" xfId="37" applyNumberFormat="1" applyFont="1" applyFill="1" applyBorder="1" applyAlignment="1">
      <alignment horizontal="left" vertical="top" wrapText="1"/>
    </xf>
    <xf numFmtId="2" fontId="11" fillId="8" borderId="1" xfId="37" applyNumberFormat="1" applyFont="1" applyFill="1" applyBorder="1" applyAlignment="1">
      <alignment horizontal="left" vertical="top" wrapText="1"/>
    </xf>
    <xf numFmtId="174" fontId="41" fillId="17" borderId="1" xfId="43" applyNumberFormat="1" applyFont="1" applyFill="1" applyBorder="1" applyAlignment="1">
      <alignment horizontal="right" vertical="center"/>
    </xf>
    <xf numFmtId="167" fontId="27" fillId="17" borderId="1" xfId="43" applyFont="1" applyFill="1" applyBorder="1" applyAlignment="1">
      <alignment horizontal="left" vertical="center"/>
    </xf>
    <xf numFmtId="0" fontId="11" fillId="8" borderId="1" xfId="44" applyFont="1" applyFill="1" applyBorder="1" applyAlignment="1">
      <alignment vertical="top" wrapText="1"/>
    </xf>
    <xf numFmtId="0" fontId="10" fillId="8" borderId="1" xfId="37" applyFont="1" applyFill="1" applyBorder="1" applyAlignment="1">
      <alignment horizontal="center" vertical="center"/>
    </xf>
    <xf numFmtId="0" fontId="11" fillId="8" borderId="1" xfId="37" applyFont="1" applyFill="1" applyBorder="1" applyAlignment="1">
      <alignment horizontal="left" vertical="center"/>
    </xf>
    <xf numFmtId="167" fontId="122" fillId="8" borderId="1" xfId="43" applyFont="1" applyFill="1" applyBorder="1"/>
    <xf numFmtId="180" fontId="11" fillId="8" borderId="1" xfId="37" applyNumberFormat="1" applyFont="1" applyFill="1" applyBorder="1" applyAlignment="1">
      <alignment horizontal="center" vertical="center"/>
    </xf>
    <xf numFmtId="0" fontId="11" fillId="8" borderId="1" xfId="37" applyFont="1" applyFill="1" applyBorder="1" applyAlignment="1">
      <alignment horizontal="center" vertical="center"/>
    </xf>
    <xf numFmtId="2" fontId="11" fillId="8" borderId="1" xfId="37" applyNumberFormat="1" applyFont="1" applyFill="1" applyBorder="1" applyAlignment="1">
      <alignment horizontal="right" vertical="center"/>
    </xf>
    <xf numFmtId="0" fontId="10" fillId="8" borderId="1" xfId="37" applyFont="1" applyFill="1" applyBorder="1" applyAlignment="1">
      <alignment vertical="top" wrapText="1"/>
    </xf>
    <xf numFmtId="1" fontId="11" fillId="8" borderId="1" xfId="37" applyNumberFormat="1" applyFont="1" applyFill="1" applyBorder="1" applyAlignment="1">
      <alignment horizontal="center" vertical="center"/>
    </xf>
    <xf numFmtId="2" fontId="11" fillId="8" borderId="1" xfId="37" applyNumberFormat="1" applyFont="1" applyFill="1" applyBorder="1" applyAlignment="1">
      <alignment horizontal="left" vertical="center"/>
    </xf>
    <xf numFmtId="167" fontId="11" fillId="8" borderId="1" xfId="43" applyFont="1" applyFill="1" applyBorder="1" applyAlignment="1">
      <alignment vertical="top"/>
    </xf>
    <xf numFmtId="0" fontId="11" fillId="8" borderId="1" xfId="37" applyFont="1" applyFill="1" applyBorder="1" applyAlignment="1">
      <alignment horizontal="justify" vertical="top"/>
    </xf>
    <xf numFmtId="2" fontId="10" fillId="17" borderId="1" xfId="37" applyNumberFormat="1" applyFont="1" applyFill="1" applyBorder="1" applyAlignment="1">
      <alignment vertical="top"/>
    </xf>
    <xf numFmtId="173" fontId="11" fillId="8" borderId="1" xfId="51" applyNumberFormat="1" applyFont="1" applyFill="1" applyBorder="1" applyAlignment="1">
      <alignment horizontal="left" vertical="top" wrapText="1"/>
    </xf>
    <xf numFmtId="2" fontId="11" fillId="8" borderId="1" xfId="51" applyNumberFormat="1" applyFont="1" applyFill="1" applyBorder="1" applyAlignment="1">
      <alignment horizontal="left" vertical="top" wrapText="1"/>
    </xf>
    <xf numFmtId="1" fontId="10" fillId="8" borderId="1" xfId="51" applyNumberFormat="1" applyFont="1" applyFill="1" applyBorder="1" applyAlignment="1">
      <alignment horizontal="center" vertical="top" wrapText="1"/>
    </xf>
    <xf numFmtId="0" fontId="10" fillId="8" borderId="1" xfId="51" applyNumberFormat="1" applyFont="1" applyFill="1" applyBorder="1" applyAlignment="1">
      <alignment horizontal="center" vertical="top" wrapText="1"/>
    </xf>
    <xf numFmtId="172" fontId="10" fillId="8" borderId="1" xfId="24" applyNumberFormat="1" applyFont="1" applyFill="1" applyBorder="1" applyAlignment="1">
      <alignment horizontal="center" vertical="top" wrapText="1"/>
    </xf>
    <xf numFmtId="167" fontId="10" fillId="8" borderId="1" xfId="24" applyNumberFormat="1" applyFont="1" applyFill="1" applyBorder="1" applyAlignment="1">
      <alignment horizontal="center" vertical="top" wrapText="1"/>
    </xf>
    <xf numFmtId="167" fontId="10" fillId="8" borderId="1" xfId="24" applyNumberFormat="1" applyFont="1" applyFill="1" applyBorder="1" applyAlignment="1">
      <alignment horizontal="left" vertical="top" wrapText="1"/>
    </xf>
    <xf numFmtId="167" fontId="11" fillId="8" borderId="1" xfId="24" applyNumberFormat="1" applyFont="1" applyFill="1" applyBorder="1" applyAlignment="1">
      <alignment horizontal="left" vertical="top" wrapText="1"/>
    </xf>
    <xf numFmtId="2" fontId="10" fillId="8" borderId="1" xfId="51" applyNumberFormat="1" applyFont="1" applyFill="1" applyBorder="1" applyAlignment="1">
      <alignment horizontal="left" vertical="top" wrapText="1"/>
    </xf>
    <xf numFmtId="167" fontId="10" fillId="8" borderId="1" xfId="0" applyNumberFormat="1" applyFont="1" applyFill="1" applyBorder="1" applyAlignment="1">
      <alignment horizontal="left" vertical="top"/>
    </xf>
    <xf numFmtId="172" fontId="11" fillId="8" borderId="1" xfId="24" applyNumberFormat="1" applyFont="1" applyFill="1" applyBorder="1" applyAlignment="1">
      <alignment horizontal="center" vertical="top" wrapText="1"/>
    </xf>
    <xf numFmtId="167" fontId="11" fillId="8" borderId="1" xfId="24" applyNumberFormat="1" applyFont="1" applyFill="1" applyBorder="1" applyAlignment="1">
      <alignment horizontal="center" vertical="top" wrapText="1"/>
    </xf>
    <xf numFmtId="2" fontId="10" fillId="17" borderId="0" xfId="37" applyNumberFormat="1" applyFont="1" applyFill="1" applyBorder="1" applyAlignment="1">
      <alignment horizontal="justify" vertical="top"/>
    </xf>
    <xf numFmtId="0" fontId="10" fillId="17" borderId="0" xfId="37" applyFont="1" applyFill="1" applyBorder="1" applyAlignment="1">
      <alignment horizontal="justify" vertical="top"/>
    </xf>
    <xf numFmtId="167" fontId="10" fillId="17" borderId="1" xfId="37" applyNumberFormat="1" applyFont="1" applyFill="1" applyBorder="1" applyAlignment="1">
      <alignment horizontal="center" vertical="center"/>
    </xf>
    <xf numFmtId="0" fontId="10" fillId="17" borderId="1" xfId="37" applyFont="1" applyFill="1" applyBorder="1" applyAlignment="1">
      <alignment vertical="center" wrapText="1"/>
    </xf>
    <xf numFmtId="0" fontId="11" fillId="17" borderId="1" xfId="44" applyFont="1" applyFill="1" applyBorder="1" applyAlignment="1">
      <alignment horizontal="left" vertical="top" wrapText="1"/>
    </xf>
    <xf numFmtId="171" fontId="11" fillId="17" borderId="1" xfId="44" applyNumberFormat="1" applyFont="1" applyFill="1" applyBorder="1" applyAlignment="1">
      <alignment horizontal="center" vertical="center" wrapText="1"/>
    </xf>
    <xf numFmtId="0" fontId="10" fillId="8" borderId="1" xfId="37" applyFont="1" applyFill="1" applyBorder="1" applyAlignment="1">
      <alignment horizontal="right" vertical="center"/>
    </xf>
    <xf numFmtId="0" fontId="10" fillId="8" borderId="1" xfId="44" applyFont="1" applyFill="1" applyBorder="1" applyAlignment="1">
      <alignment horizontal="right" vertical="center" wrapText="1"/>
    </xf>
    <xf numFmtId="0" fontId="10" fillId="8" borderId="1" xfId="44" applyFont="1" applyFill="1" applyBorder="1" applyAlignment="1">
      <alignment vertical="top" wrapText="1"/>
    </xf>
    <xf numFmtId="2" fontId="10" fillId="8" borderId="1" xfId="44" applyNumberFormat="1" applyFont="1" applyFill="1" applyBorder="1" applyAlignment="1">
      <alignment horizontal="right" vertical="center" wrapText="1"/>
    </xf>
    <xf numFmtId="0" fontId="11" fillId="17" borderId="1" xfId="37" applyFont="1" applyFill="1" applyBorder="1" applyAlignment="1">
      <alignment horizontal="right" vertical="center"/>
    </xf>
    <xf numFmtId="0" fontId="11" fillId="17" borderId="1" xfId="37" applyFont="1" applyFill="1" applyBorder="1" applyAlignment="1">
      <alignment horizontal="left" vertical="top" wrapText="1"/>
    </xf>
    <xf numFmtId="2" fontId="11" fillId="17" borderId="1" xfId="37" applyNumberFormat="1" applyFont="1" applyFill="1" applyBorder="1" applyAlignment="1">
      <alignment vertical="top"/>
    </xf>
    <xf numFmtId="167" fontId="11" fillId="8" borderId="1" xfId="0" applyNumberFormat="1" applyFont="1" applyFill="1" applyBorder="1" applyAlignment="1" applyProtection="1">
      <alignment horizontal="left" vertical="top" wrapText="1"/>
    </xf>
    <xf numFmtId="2" fontId="10" fillId="8" borderId="1" xfId="32" applyNumberFormat="1" applyFont="1" applyFill="1" applyBorder="1" applyAlignment="1">
      <alignment horizontal="left" vertical="center"/>
    </xf>
    <xf numFmtId="173" fontId="10" fillId="8" borderId="1" xfId="32" applyNumberFormat="1" applyFont="1" applyFill="1" applyBorder="1" applyAlignment="1">
      <alignment horizontal="left" vertical="center"/>
    </xf>
    <xf numFmtId="1" fontId="10" fillId="8" borderId="1" xfId="32" applyNumberFormat="1" applyFont="1" applyFill="1" applyBorder="1" applyAlignment="1">
      <alignment horizontal="left" vertical="center"/>
    </xf>
    <xf numFmtId="2" fontId="10" fillId="8" borderId="1" xfId="32" applyNumberFormat="1" applyFont="1" applyFill="1" applyBorder="1" applyAlignment="1">
      <alignment horizontal="left" vertical="top" wrapText="1"/>
    </xf>
    <xf numFmtId="180" fontId="11" fillId="8" borderId="1" xfId="32" applyNumberFormat="1" applyFont="1" applyFill="1" applyBorder="1" applyAlignment="1">
      <alignment horizontal="left" vertical="center"/>
    </xf>
    <xf numFmtId="2" fontId="11" fillId="17" borderId="1" xfId="43" applyNumberFormat="1" applyFont="1" applyFill="1" applyBorder="1" applyAlignment="1">
      <alignment vertical="top" wrapText="1"/>
    </xf>
    <xf numFmtId="0" fontId="10" fillId="17" borderId="1" xfId="44" applyFont="1" applyFill="1" applyBorder="1" applyAlignment="1">
      <alignment horizontal="left" vertical="center" wrapText="1"/>
    </xf>
    <xf numFmtId="0" fontId="10" fillId="17" borderId="1" xfId="47" applyFont="1" applyFill="1" applyBorder="1" applyAlignment="1">
      <alignment horizontal="left" vertical="top" wrapText="1"/>
    </xf>
    <xf numFmtId="0" fontId="10" fillId="17" borderId="1" xfId="47" applyFont="1" applyFill="1" applyBorder="1" applyAlignment="1">
      <alignment horizontal="left" wrapText="1"/>
    </xf>
    <xf numFmtId="0" fontId="11" fillId="17" borderId="1" xfId="26" applyNumberFormat="1" applyFont="1" applyFill="1" applyBorder="1" applyAlignment="1">
      <alignment horizontal="left"/>
    </xf>
    <xf numFmtId="2" fontId="10" fillId="17" borderId="1" xfId="47" applyNumberFormat="1" applyFont="1" applyFill="1" applyBorder="1" applyAlignment="1">
      <alignment horizontal="left" wrapText="1"/>
    </xf>
    <xf numFmtId="2" fontId="10" fillId="17" borderId="1" xfId="26" applyNumberFormat="1" applyFont="1" applyFill="1" applyBorder="1" applyAlignment="1">
      <alignment horizontal="left"/>
    </xf>
    <xf numFmtId="171" fontId="10" fillId="17" borderId="1" xfId="26" applyNumberFormat="1" applyFont="1" applyFill="1" applyBorder="1" applyAlignment="1">
      <alignment horizontal="left" vertical="top"/>
    </xf>
    <xf numFmtId="167" fontId="10" fillId="17" borderId="1" xfId="26" applyFont="1" applyFill="1" applyBorder="1" applyAlignment="1">
      <alignment horizontal="left" vertical="top" wrapText="1"/>
    </xf>
    <xf numFmtId="0" fontId="10" fillId="17" borderId="1" xfId="26" applyNumberFormat="1" applyFont="1" applyFill="1" applyBorder="1" applyAlignment="1">
      <alignment horizontal="left"/>
    </xf>
    <xf numFmtId="167" fontId="10" fillId="17" borderId="1" xfId="26" applyFont="1" applyFill="1" applyBorder="1" applyAlignment="1">
      <alignment horizontal="left"/>
    </xf>
    <xf numFmtId="167" fontId="10" fillId="17" borderId="1" xfId="43" applyFont="1" applyFill="1" applyBorder="1" applyAlignment="1">
      <alignment horizontal="left"/>
    </xf>
    <xf numFmtId="167" fontId="47" fillId="17" borderId="1" xfId="26" applyFont="1" applyFill="1" applyBorder="1" applyAlignment="1">
      <alignment horizontal="left" vertical="top" wrapText="1"/>
    </xf>
    <xf numFmtId="0" fontId="10" fillId="17" borderId="1" xfId="26" applyNumberFormat="1" applyFont="1" applyFill="1" applyBorder="1" applyAlignment="1">
      <alignment horizontal="left" vertical="top" wrapText="1"/>
    </xf>
    <xf numFmtId="0" fontId="10" fillId="17" borderId="1" xfId="43" applyNumberFormat="1" applyFont="1" applyFill="1" applyBorder="1" applyAlignment="1">
      <alignment horizontal="left"/>
    </xf>
    <xf numFmtId="0" fontId="10" fillId="17" borderId="1" xfId="43" applyNumberFormat="1" applyFont="1" applyFill="1" applyBorder="1" applyAlignment="1">
      <alignment horizontal="left" vertical="top"/>
    </xf>
    <xf numFmtId="167" fontId="10" fillId="17" borderId="1" xfId="43" applyFont="1" applyFill="1" applyBorder="1" applyAlignment="1">
      <alignment horizontal="left" vertical="top" wrapText="1"/>
    </xf>
    <xf numFmtId="0" fontId="11" fillId="17" borderId="1" xfId="43" applyNumberFormat="1" applyFont="1" applyFill="1" applyBorder="1" applyAlignment="1">
      <alignment horizontal="left"/>
    </xf>
    <xf numFmtId="2" fontId="11" fillId="17" borderId="1" xfId="43" applyNumberFormat="1" applyFont="1" applyFill="1" applyBorder="1" applyAlignment="1">
      <alignment horizontal="left"/>
    </xf>
    <xf numFmtId="0" fontId="10" fillId="17" borderId="1" xfId="43" applyNumberFormat="1" applyFont="1" applyFill="1" applyBorder="1" applyAlignment="1">
      <alignment horizontal="left" vertical="top" wrapText="1"/>
    </xf>
    <xf numFmtId="180" fontId="10" fillId="17" borderId="1" xfId="43" applyNumberFormat="1" applyFont="1" applyFill="1" applyBorder="1" applyAlignment="1">
      <alignment horizontal="left"/>
    </xf>
    <xf numFmtId="2" fontId="10" fillId="17" borderId="1" xfId="43" applyNumberFormat="1" applyFont="1" applyFill="1" applyBorder="1" applyAlignment="1">
      <alignment horizontal="left"/>
    </xf>
    <xf numFmtId="167" fontId="10" fillId="17" borderId="1" xfId="43" applyFont="1" applyFill="1" applyBorder="1" applyAlignment="1">
      <alignment wrapText="1"/>
    </xf>
    <xf numFmtId="0" fontId="10" fillId="17" borderId="1" xfId="43" applyNumberFormat="1" applyFont="1" applyFill="1" applyBorder="1" applyAlignment="1">
      <alignment horizontal="left" wrapText="1"/>
    </xf>
    <xf numFmtId="167" fontId="10" fillId="17" borderId="1" xfId="43" applyFont="1" applyFill="1" applyBorder="1" applyAlignment="1">
      <alignment horizontal="left" wrapText="1"/>
    </xf>
    <xf numFmtId="167" fontId="11" fillId="17" borderId="1" xfId="43" applyFont="1" applyFill="1" applyBorder="1" applyAlignment="1">
      <alignment horizontal="left" vertical="top" wrapText="1"/>
    </xf>
    <xf numFmtId="0" fontId="10" fillId="17" borderId="1" xfId="44" applyFont="1" applyFill="1" applyBorder="1" applyAlignment="1">
      <alignment vertical="center" wrapText="1"/>
    </xf>
    <xf numFmtId="0" fontId="10" fillId="8" borderId="1" xfId="32" applyFont="1" applyFill="1" applyBorder="1" applyAlignment="1">
      <alignment horizontal="left"/>
    </xf>
    <xf numFmtId="180" fontId="10" fillId="8" borderId="1" xfId="44" applyNumberFormat="1" applyFont="1" applyFill="1" applyBorder="1" applyAlignment="1">
      <alignment horizontal="left" vertical="center"/>
    </xf>
    <xf numFmtId="167" fontId="11" fillId="17" borderId="1" xfId="43" applyFont="1" applyFill="1" applyBorder="1" applyAlignment="1">
      <alignment horizontal="left" wrapText="1"/>
    </xf>
    <xf numFmtId="0" fontId="10" fillId="17" borderId="1" xfId="46" applyFont="1" applyFill="1" applyBorder="1" applyAlignment="1">
      <alignment horizontal="left" vertical="top" wrapText="1"/>
    </xf>
    <xf numFmtId="171" fontId="10" fillId="17" borderId="1" xfId="46" applyNumberFormat="1" applyFont="1" applyFill="1" applyBorder="1" applyAlignment="1">
      <alignment horizontal="left" wrapText="1"/>
    </xf>
    <xf numFmtId="172" fontId="10" fillId="17" borderId="1" xfId="46" applyNumberFormat="1" applyFont="1" applyFill="1" applyBorder="1" applyAlignment="1">
      <alignment horizontal="left" wrapText="1"/>
    </xf>
    <xf numFmtId="172" fontId="11" fillId="17" borderId="1" xfId="46" applyNumberFormat="1" applyFont="1" applyFill="1" applyBorder="1" applyAlignment="1">
      <alignment horizontal="left" wrapText="1"/>
    </xf>
    <xf numFmtId="0" fontId="11" fillId="17" borderId="1" xfId="46" applyFont="1" applyFill="1" applyBorder="1" applyAlignment="1">
      <alignment horizontal="left" wrapText="1"/>
    </xf>
    <xf numFmtId="171" fontId="11" fillId="17" borderId="1" xfId="46" applyNumberFormat="1" applyFont="1" applyFill="1" applyBorder="1" applyAlignment="1">
      <alignment horizontal="left" wrapText="1"/>
    </xf>
    <xf numFmtId="0" fontId="10" fillId="17" borderId="1" xfId="46" applyFont="1" applyFill="1" applyBorder="1" applyAlignment="1">
      <alignment horizontal="left" wrapText="1"/>
    </xf>
    <xf numFmtId="0" fontId="123" fillId="17" borderId="1" xfId="46" applyFont="1" applyFill="1" applyBorder="1" applyAlignment="1">
      <alignment horizontal="left" vertical="top" wrapText="1"/>
    </xf>
    <xf numFmtId="0" fontId="11" fillId="17" borderId="1" xfId="46" applyFont="1" applyFill="1" applyBorder="1" applyAlignment="1">
      <alignment horizontal="left" vertical="top" wrapText="1"/>
    </xf>
    <xf numFmtId="16" fontId="7" fillId="17" borderId="1" xfId="46" applyNumberFormat="1" applyFont="1" applyFill="1" applyBorder="1" applyAlignment="1">
      <alignment horizontal="left" vertical="top" wrapText="1"/>
    </xf>
    <xf numFmtId="16" fontId="10" fillId="17" borderId="1" xfId="46" applyNumberFormat="1" applyFont="1" applyFill="1" applyBorder="1" applyAlignment="1">
      <alignment horizontal="left" vertical="top" wrapText="1"/>
    </xf>
    <xf numFmtId="0" fontId="11" fillId="8" borderId="1" xfId="46" applyFont="1" applyFill="1" applyBorder="1" applyAlignment="1">
      <alignment horizontal="left" vertical="top" wrapText="1"/>
    </xf>
    <xf numFmtId="171" fontId="10" fillId="8" borderId="1" xfId="46" applyNumberFormat="1" applyFont="1" applyFill="1" applyBorder="1" applyAlignment="1">
      <alignment horizontal="left" wrapText="1"/>
    </xf>
    <xf numFmtId="172" fontId="10" fillId="8" borderId="1" xfId="46" applyNumberFormat="1" applyFont="1" applyFill="1" applyBorder="1" applyAlignment="1">
      <alignment horizontal="left" wrapText="1"/>
    </xf>
    <xf numFmtId="0" fontId="10" fillId="8" borderId="1" xfId="46" applyFont="1" applyFill="1" applyBorder="1" applyAlignment="1">
      <alignment horizontal="left" wrapText="1"/>
    </xf>
    <xf numFmtId="0" fontId="124" fillId="17" borderId="1" xfId="46" applyFont="1" applyFill="1" applyBorder="1" applyAlignment="1">
      <alignment horizontal="left" vertical="top" wrapText="1"/>
    </xf>
    <xf numFmtId="167" fontId="117" fillId="8" borderId="1" xfId="43" applyFont="1" applyFill="1" applyBorder="1"/>
    <xf numFmtId="0" fontId="43" fillId="8" borderId="1" xfId="55" applyFont="1" applyFill="1" applyBorder="1" applyAlignment="1">
      <alignment horizontal="justify" vertical="top" wrapText="1"/>
    </xf>
    <xf numFmtId="1" fontId="43" fillId="8" borderId="1" xfId="55" applyNumberFormat="1" applyFont="1" applyFill="1" applyBorder="1" applyAlignment="1">
      <alignment horizontal="center" vertical="center" wrapText="1"/>
    </xf>
    <xf numFmtId="1" fontId="43" fillId="8" borderId="1" xfId="48" applyNumberFormat="1" applyFont="1" applyFill="1" applyBorder="1" applyAlignment="1">
      <alignment horizontal="center" vertical="center" wrapText="1"/>
    </xf>
    <xf numFmtId="180" fontId="43" fillId="8" borderId="1" xfId="55" applyNumberFormat="1" applyFont="1" applyFill="1" applyBorder="1" applyAlignment="1">
      <alignment horizontal="center" vertical="center" wrapText="1"/>
    </xf>
    <xf numFmtId="2" fontId="43" fillId="8" borderId="1" xfId="55" applyNumberFormat="1" applyFont="1" applyFill="1" applyBorder="1" applyAlignment="1">
      <alignment horizontal="right" vertical="center" wrapText="1"/>
    </xf>
    <xf numFmtId="0" fontId="43" fillId="8" borderId="1" xfId="55" applyFont="1" applyFill="1" applyBorder="1" applyAlignment="1">
      <alignment horizontal="left" vertical="center" wrapText="1"/>
    </xf>
    <xf numFmtId="0" fontId="36" fillId="8" borderId="1" xfId="55" applyFont="1" applyFill="1" applyBorder="1" applyAlignment="1">
      <alignment horizontal="justify" vertical="top" wrapText="1"/>
    </xf>
    <xf numFmtId="2" fontId="43" fillId="8" borderId="1" xfId="55" applyNumberFormat="1" applyFont="1" applyFill="1" applyBorder="1" applyAlignment="1">
      <alignment horizontal="justify" vertical="top" wrapText="1"/>
    </xf>
    <xf numFmtId="167" fontId="116" fillId="8" borderId="1" xfId="0" applyNumberFormat="1" applyFont="1" applyFill="1" applyBorder="1"/>
    <xf numFmtId="167" fontId="10" fillId="8" borderId="0" xfId="0" applyNumberFormat="1" applyFont="1" applyFill="1" applyBorder="1" applyAlignment="1" applyProtection="1">
      <alignment horizontal="center"/>
    </xf>
    <xf numFmtId="171" fontId="0" fillId="0" borderId="0" xfId="0" applyNumberFormat="1"/>
    <xf numFmtId="171" fontId="138" fillId="0" borderId="0" xfId="0" applyNumberFormat="1" applyFont="1" applyAlignment="1">
      <alignment horizontal="center"/>
    </xf>
    <xf numFmtId="167" fontId="138" fillId="0" borderId="0" xfId="0" applyNumberFormat="1" applyFont="1"/>
    <xf numFmtId="171" fontId="138" fillId="0" borderId="0" xfId="0" applyNumberFormat="1" applyFont="1" applyAlignment="1">
      <alignment horizontal="center" vertical="center"/>
    </xf>
    <xf numFmtId="171" fontId="138" fillId="0" borderId="0" xfId="0" applyNumberFormat="1" applyFont="1"/>
    <xf numFmtId="167" fontId="138" fillId="22" borderId="0" xfId="0" applyNumberFormat="1" applyFont="1" applyFill="1"/>
    <xf numFmtId="171" fontId="138" fillId="22" borderId="0" xfId="0" applyNumberFormat="1" applyFont="1" applyFill="1" applyAlignment="1">
      <alignment horizontal="center" vertical="center"/>
    </xf>
    <xf numFmtId="167" fontId="14" fillId="22" borderId="5" xfId="0" applyNumberFormat="1" applyFont="1" applyFill="1" applyBorder="1" applyAlignment="1">
      <alignment horizontal="left" vertical="center" wrapText="1"/>
    </xf>
    <xf numFmtId="167" fontId="14" fillId="22" borderId="0" xfId="0" applyNumberFormat="1" applyFont="1" applyFill="1" applyAlignment="1">
      <alignment horizontal="left" vertical="center"/>
    </xf>
    <xf numFmtId="172" fontId="14" fillId="22" borderId="5" xfId="0" applyNumberFormat="1" applyFont="1" applyFill="1" applyBorder="1" applyAlignment="1">
      <alignment horizontal="left" vertical="center" wrapText="1"/>
    </xf>
    <xf numFmtId="167" fontId="14" fillId="22" borderId="5" xfId="0" applyNumberFormat="1" applyFont="1" applyFill="1" applyBorder="1" applyAlignment="1">
      <alignment horizontal="left" vertical="top"/>
    </xf>
    <xf numFmtId="2" fontId="14" fillId="22" borderId="5" xfId="50" applyNumberFormat="1" applyFont="1" applyFill="1" applyBorder="1" applyAlignment="1">
      <alignment horizontal="left" vertical="top" wrapText="1"/>
    </xf>
    <xf numFmtId="2" fontId="14" fillId="22" borderId="5" xfId="50" applyNumberFormat="1" applyFont="1" applyFill="1" applyBorder="1" applyAlignment="1">
      <alignment horizontal="left" vertical="center" wrapText="1"/>
    </xf>
    <xf numFmtId="173" fontId="14" fillId="22" borderId="5" xfId="50" applyNumberFormat="1" applyFont="1" applyFill="1" applyBorder="1" applyAlignment="1">
      <alignment horizontal="left" vertical="top" wrapText="1"/>
    </xf>
    <xf numFmtId="167" fontId="0" fillId="22" borderId="0" xfId="0" applyNumberFormat="1" applyFill="1" applyAlignment="1">
      <alignment horizontal="left" vertical="top"/>
    </xf>
    <xf numFmtId="167" fontId="149" fillId="22" borderId="5" xfId="0" applyNumberFormat="1" applyFont="1" applyFill="1" applyBorder="1" applyAlignment="1">
      <alignment horizontal="left" vertical="center"/>
    </xf>
    <xf numFmtId="167" fontId="14" fillId="22" borderId="5" xfId="0" applyNumberFormat="1" applyFont="1" applyFill="1" applyBorder="1" applyAlignment="1">
      <alignment horizontal="left" vertical="center"/>
    </xf>
    <xf numFmtId="167" fontId="15" fillId="8" borderId="5" xfId="0" applyNumberFormat="1" applyFont="1" applyFill="1" applyBorder="1" applyAlignment="1">
      <alignment horizontal="left" vertical="top" wrapText="1"/>
    </xf>
    <xf numFmtId="167" fontId="15" fillId="8" borderId="5" xfId="0" applyNumberFormat="1" applyFont="1" applyFill="1" applyBorder="1" applyAlignment="1">
      <alignment horizontal="left" vertical="center" wrapText="1"/>
    </xf>
    <xf numFmtId="167" fontId="59" fillId="0" borderId="0" xfId="0" applyNumberFormat="1" applyFont="1" applyAlignment="1">
      <alignment horizontal="left" wrapText="1"/>
    </xf>
    <xf numFmtId="167" fontId="14" fillId="13" borderId="5" xfId="0" applyNumberFormat="1" applyFont="1" applyFill="1" applyBorder="1" applyAlignment="1">
      <alignment horizontal="left" vertical="center" wrapText="1"/>
    </xf>
    <xf numFmtId="0" fontId="127" fillId="24" borderId="0" xfId="0" applyNumberFormat="1" applyFont="1" applyFill="1" applyBorder="1"/>
    <xf numFmtId="167" fontId="0" fillId="24" borderId="0" xfId="0" applyNumberFormat="1" applyFont="1" applyFill="1" applyBorder="1" applyAlignment="1"/>
    <xf numFmtId="180" fontId="125" fillId="24" borderId="1" xfId="0" applyNumberFormat="1" applyFont="1" applyFill="1" applyBorder="1" applyAlignment="1">
      <alignment horizontal="center" vertical="center" wrapText="1"/>
    </xf>
    <xf numFmtId="2" fontId="125" fillId="24" borderId="1" xfId="0" applyNumberFormat="1" applyFont="1" applyFill="1" applyBorder="1" applyAlignment="1">
      <alignment horizontal="center" vertical="center" wrapText="1"/>
    </xf>
    <xf numFmtId="173" fontId="127" fillId="24" borderId="1" xfId="0" applyNumberFormat="1" applyFont="1" applyFill="1" applyBorder="1" applyAlignment="1">
      <alignment horizontal="right" vertical="center"/>
    </xf>
    <xf numFmtId="0" fontId="125" fillId="24" borderId="1" xfId="0" applyNumberFormat="1" applyFont="1" applyFill="1" applyBorder="1" applyAlignment="1">
      <alignment horizontal="left" vertical="top" wrapText="1"/>
    </xf>
    <xf numFmtId="1" fontId="127" fillId="24" borderId="1" xfId="0" applyNumberFormat="1" applyFont="1" applyFill="1" applyBorder="1" applyAlignment="1">
      <alignment horizontal="center" vertical="center"/>
    </xf>
    <xf numFmtId="180" fontId="127" fillId="24" borderId="1" xfId="0" applyNumberFormat="1" applyFont="1" applyFill="1" applyBorder="1" applyAlignment="1">
      <alignment horizontal="center" vertical="center"/>
    </xf>
    <xf numFmtId="2" fontId="127" fillId="24" borderId="1" xfId="0" applyNumberFormat="1" applyFont="1" applyFill="1" applyBorder="1" applyAlignment="1">
      <alignment horizontal="center" vertical="center"/>
    </xf>
    <xf numFmtId="2" fontId="127" fillId="24" borderId="1" xfId="0" applyNumberFormat="1" applyFont="1" applyFill="1" applyBorder="1" applyAlignment="1">
      <alignment horizontal="right" vertical="center"/>
    </xf>
    <xf numFmtId="2" fontId="125" fillId="24" borderId="1" xfId="0" applyNumberFormat="1" applyFont="1" applyFill="1" applyBorder="1" applyAlignment="1">
      <alignment horizontal="left" vertical="center"/>
    </xf>
    <xf numFmtId="0" fontId="127" fillId="24" borderId="1" xfId="0" applyNumberFormat="1" applyFont="1" applyFill="1" applyBorder="1" applyAlignment="1">
      <alignment vertical="top" wrapText="1"/>
    </xf>
    <xf numFmtId="0" fontId="127" fillId="24" borderId="1" xfId="0" applyNumberFormat="1" applyFont="1" applyFill="1" applyBorder="1" applyAlignment="1">
      <alignment horizontal="right" vertical="center" wrapText="1"/>
    </xf>
    <xf numFmtId="0" fontId="10" fillId="24" borderId="1" xfId="0" applyNumberFormat="1" applyFont="1" applyFill="1" applyBorder="1" applyAlignment="1">
      <alignment vertical="top" wrapText="1"/>
    </xf>
    <xf numFmtId="1" fontId="10" fillId="24" borderId="1" xfId="0" applyNumberFormat="1" applyFont="1" applyFill="1" applyBorder="1" applyAlignment="1">
      <alignment horizontal="center" vertical="center"/>
    </xf>
    <xf numFmtId="180" fontId="10" fillId="24" borderId="1" xfId="0" applyNumberFormat="1" applyFont="1" applyFill="1" applyBorder="1" applyAlignment="1">
      <alignment horizontal="center" vertical="center"/>
    </xf>
    <xf numFmtId="0" fontId="11" fillId="24" borderId="1" xfId="0" applyNumberFormat="1" applyFont="1" applyFill="1" applyBorder="1" applyAlignment="1">
      <alignment vertical="top" wrapText="1"/>
    </xf>
    <xf numFmtId="0" fontId="125" fillId="24" borderId="1" xfId="0" applyNumberFormat="1" applyFont="1" applyFill="1" applyBorder="1" applyAlignment="1">
      <alignment vertical="top" wrapText="1"/>
    </xf>
    <xf numFmtId="173" fontId="127" fillId="24" borderId="1" xfId="0" applyNumberFormat="1" applyFont="1" applyFill="1" applyBorder="1" applyAlignment="1">
      <alignment horizontal="center" vertical="center"/>
    </xf>
    <xf numFmtId="180" fontId="125" fillId="24" borderId="1" xfId="0" applyNumberFormat="1" applyFont="1" applyFill="1" applyBorder="1" applyAlignment="1">
      <alignment horizontal="center" vertical="center"/>
    </xf>
    <xf numFmtId="2" fontId="125" fillId="24" borderId="1" xfId="0" applyNumberFormat="1" applyFont="1" applyFill="1" applyBorder="1" applyAlignment="1">
      <alignment horizontal="right" vertical="center"/>
    </xf>
    <xf numFmtId="2" fontId="125" fillId="24" borderId="1" xfId="0" applyNumberFormat="1" applyFont="1" applyFill="1" applyBorder="1" applyAlignment="1">
      <alignment horizontal="center" vertical="center"/>
    </xf>
    <xf numFmtId="0" fontId="36" fillId="24" borderId="1" xfId="0" applyNumberFormat="1" applyFont="1" applyFill="1" applyBorder="1" applyAlignment="1">
      <alignment vertical="top" wrapText="1"/>
    </xf>
    <xf numFmtId="0" fontId="127" fillId="24" borderId="1" xfId="0" applyNumberFormat="1" applyFont="1" applyFill="1" applyBorder="1" applyAlignment="1">
      <alignment horizontal="left" vertical="top" wrapText="1"/>
    </xf>
    <xf numFmtId="167" fontId="127" fillId="24" borderId="0" xfId="0" applyNumberFormat="1" applyFont="1" applyFill="1" applyBorder="1"/>
    <xf numFmtId="173" fontId="125" fillId="24" borderId="1" xfId="0" applyNumberFormat="1" applyFont="1" applyFill="1" applyBorder="1" applyAlignment="1">
      <alignment horizontal="right" vertical="center"/>
    </xf>
    <xf numFmtId="1" fontId="125" fillId="24" borderId="1" xfId="0" applyNumberFormat="1" applyFont="1" applyFill="1" applyBorder="1" applyAlignment="1">
      <alignment horizontal="center" vertical="center"/>
    </xf>
    <xf numFmtId="0" fontId="125" fillId="24" borderId="0" xfId="0" applyNumberFormat="1" applyFont="1" applyFill="1" applyBorder="1"/>
    <xf numFmtId="2" fontId="10" fillId="24" borderId="1" xfId="0" applyNumberFormat="1" applyFont="1" applyFill="1" applyBorder="1" applyAlignment="1">
      <alignment horizontal="center" vertical="center"/>
    </xf>
    <xf numFmtId="180" fontId="127" fillId="24" borderId="1" xfId="0" applyNumberFormat="1" applyFont="1" applyFill="1" applyBorder="1" applyAlignment="1">
      <alignment horizontal="left" vertical="top"/>
    </xf>
    <xf numFmtId="180" fontId="11" fillId="24" borderId="1" xfId="0" applyNumberFormat="1" applyFont="1" applyFill="1" applyBorder="1" applyAlignment="1">
      <alignment horizontal="left" vertical="top"/>
    </xf>
    <xf numFmtId="0" fontId="127" fillId="24" borderId="1" xfId="0" applyNumberFormat="1" applyFont="1" applyFill="1" applyBorder="1" applyAlignment="1">
      <alignment horizontal="right" vertical="center"/>
    </xf>
    <xf numFmtId="2" fontId="125" fillId="24" borderId="1" xfId="0" applyNumberFormat="1" applyFont="1" applyFill="1" applyBorder="1" applyAlignment="1">
      <alignment horizontal="left" vertical="top" wrapText="1"/>
    </xf>
    <xf numFmtId="0" fontId="127" fillId="24" borderId="1" xfId="0" applyNumberFormat="1" applyFont="1" applyFill="1" applyBorder="1" applyAlignment="1">
      <alignment vertical="center" wrapText="1"/>
    </xf>
    <xf numFmtId="2" fontId="127" fillId="24" borderId="1" xfId="0" applyNumberFormat="1" applyFont="1" applyFill="1" applyBorder="1" applyAlignment="1">
      <alignment vertical="center" wrapText="1"/>
    </xf>
    <xf numFmtId="2" fontId="127" fillId="24" borderId="1" xfId="0" applyNumberFormat="1" applyFont="1" applyFill="1" applyBorder="1" applyAlignment="1">
      <alignment horizontal="left" vertical="top" wrapText="1"/>
    </xf>
    <xf numFmtId="0" fontId="125" fillId="24" borderId="1" xfId="0" applyNumberFormat="1" applyFont="1" applyFill="1" applyBorder="1" applyAlignment="1">
      <alignment horizontal="left" vertical="center"/>
    </xf>
    <xf numFmtId="0" fontId="127" fillId="24" borderId="1" xfId="0" applyNumberFormat="1" applyFont="1" applyFill="1" applyBorder="1"/>
    <xf numFmtId="171" fontId="127" fillId="24" borderId="1" xfId="0" applyNumberFormat="1" applyFont="1" applyFill="1" applyBorder="1" applyAlignment="1">
      <alignment horizontal="center" vertical="center" wrapText="1"/>
    </xf>
    <xf numFmtId="180" fontId="127" fillId="24" borderId="1" xfId="0" applyNumberFormat="1" applyFont="1" applyFill="1" applyBorder="1" applyAlignment="1">
      <alignment horizontal="center" vertical="center" wrapText="1"/>
    </xf>
    <xf numFmtId="2" fontId="125" fillId="24" borderId="1" xfId="0" applyNumberFormat="1" applyFont="1" applyFill="1" applyBorder="1" applyAlignment="1">
      <alignment horizontal="right" vertical="center" wrapText="1"/>
    </xf>
    <xf numFmtId="2" fontId="127" fillId="24" borderId="1" xfId="0" applyNumberFormat="1" applyFont="1" applyFill="1" applyBorder="1" applyAlignment="1">
      <alignment vertical="top" wrapText="1"/>
    </xf>
    <xf numFmtId="2" fontId="127" fillId="24" borderId="0" xfId="0" applyNumberFormat="1" applyFont="1" applyFill="1" applyBorder="1"/>
    <xf numFmtId="2" fontId="10" fillId="24" borderId="1" xfId="0" applyNumberFormat="1" applyFont="1" applyFill="1" applyBorder="1" applyAlignment="1">
      <alignment vertical="top" wrapText="1"/>
    </xf>
    <xf numFmtId="2" fontId="11" fillId="24" borderId="1" xfId="0" applyNumberFormat="1" applyFont="1" applyFill="1" applyBorder="1" applyAlignment="1">
      <alignment vertical="top" wrapText="1"/>
    </xf>
    <xf numFmtId="0" fontId="127" fillId="24" borderId="1" xfId="0" applyNumberFormat="1" applyFont="1" applyFill="1" applyBorder="1" applyAlignment="1">
      <alignment horizontal="center" vertical="center"/>
    </xf>
    <xf numFmtId="2" fontId="125" fillId="24" borderId="1" xfId="0" applyNumberFormat="1" applyFont="1" applyFill="1" applyBorder="1" applyAlignment="1">
      <alignment vertical="top" wrapText="1"/>
    </xf>
    <xf numFmtId="0" fontId="10" fillId="24" borderId="1" xfId="0" applyNumberFormat="1" applyFont="1" applyFill="1" applyBorder="1" applyAlignment="1">
      <alignment horizontal="right" vertical="center" wrapText="1"/>
    </xf>
    <xf numFmtId="0" fontId="10" fillId="24" borderId="1" xfId="0" applyNumberFormat="1" applyFont="1" applyFill="1" applyBorder="1" applyAlignment="1">
      <alignment horizontal="left" vertical="top" wrapText="1"/>
    </xf>
    <xf numFmtId="0" fontId="10" fillId="24" borderId="1" xfId="0" applyNumberFormat="1" applyFont="1" applyFill="1" applyBorder="1" applyAlignment="1">
      <alignment horizontal="center" vertical="center"/>
    </xf>
    <xf numFmtId="0" fontId="10" fillId="24" borderId="1" xfId="0" applyNumberFormat="1" applyFont="1" applyFill="1" applyBorder="1" applyAlignment="1">
      <alignment horizontal="left" vertical="center"/>
    </xf>
    <xf numFmtId="0" fontId="10" fillId="24" borderId="0" xfId="0" applyNumberFormat="1" applyFont="1" applyFill="1" applyBorder="1"/>
    <xf numFmtId="2" fontId="11" fillId="24" borderId="1" xfId="0" applyNumberFormat="1" applyFont="1" applyFill="1" applyBorder="1" applyAlignment="1">
      <alignment horizontal="left" vertical="top" wrapText="1"/>
    </xf>
    <xf numFmtId="0" fontId="127" fillId="24" borderId="1" xfId="0" applyNumberFormat="1" applyFont="1" applyFill="1" applyBorder="1" applyAlignment="1">
      <alignment horizontal="left" vertical="center"/>
    </xf>
    <xf numFmtId="172" fontId="127" fillId="24" borderId="1" xfId="0" applyNumberFormat="1" applyFont="1" applyFill="1" applyBorder="1" applyAlignment="1">
      <alignment horizontal="left" vertical="top" wrapText="1"/>
    </xf>
    <xf numFmtId="2" fontId="127" fillId="24" borderId="1" xfId="0" applyNumberFormat="1" applyFont="1" applyFill="1" applyBorder="1" applyAlignment="1">
      <alignment horizontal="right" vertical="center" wrapText="1"/>
    </xf>
    <xf numFmtId="180" fontId="127" fillId="24" borderId="1" xfId="0" applyNumberFormat="1" applyFont="1" applyFill="1" applyBorder="1" applyAlignment="1">
      <alignment horizontal="right" vertical="center"/>
    </xf>
    <xf numFmtId="172" fontId="10" fillId="24" borderId="1" xfId="0" applyNumberFormat="1" applyFont="1" applyFill="1" applyBorder="1" applyAlignment="1">
      <alignment horizontal="left" vertical="top" wrapText="1"/>
    </xf>
    <xf numFmtId="172" fontId="127" fillId="24" borderId="1" xfId="0" applyNumberFormat="1" applyFont="1" applyFill="1" applyBorder="1" applyAlignment="1">
      <alignment horizontal="right"/>
    </xf>
    <xf numFmtId="180" fontId="125" fillId="24" borderId="1" xfId="0" applyNumberFormat="1" applyFont="1" applyFill="1" applyBorder="1" applyAlignment="1">
      <alignment horizontal="right" vertical="center"/>
    </xf>
    <xf numFmtId="2" fontId="10" fillId="24" borderId="1" xfId="0" applyNumberFormat="1" applyFont="1" applyFill="1" applyBorder="1" applyAlignment="1">
      <alignment horizontal="left" vertical="top" wrapText="1"/>
    </xf>
    <xf numFmtId="2" fontId="127" fillId="24" borderId="1" xfId="0" applyNumberFormat="1" applyFont="1" applyFill="1" applyBorder="1" applyAlignment="1">
      <alignment horizontal="center" vertical="center" wrapText="1"/>
    </xf>
    <xf numFmtId="0" fontId="125" fillId="24" borderId="1" xfId="0" applyNumberFormat="1" applyFont="1" applyFill="1" applyBorder="1" applyAlignment="1">
      <alignment horizontal="left" vertical="center" wrapText="1"/>
    </xf>
    <xf numFmtId="171" fontId="127" fillId="24" borderId="0" xfId="0" applyNumberFormat="1" applyFont="1" applyFill="1" applyBorder="1"/>
    <xf numFmtId="171" fontId="127" fillId="24" borderId="1" xfId="0" applyNumberFormat="1" applyFont="1" applyFill="1" applyBorder="1" applyAlignment="1">
      <alignment horizontal="left" vertical="top" wrapText="1"/>
    </xf>
    <xf numFmtId="1" fontId="127" fillId="24" borderId="1" xfId="0" applyNumberFormat="1" applyFont="1" applyFill="1" applyBorder="1" applyAlignment="1">
      <alignment horizontal="center" vertical="center" wrapText="1"/>
    </xf>
    <xf numFmtId="174" fontId="125" fillId="24" borderId="1" xfId="0" applyNumberFormat="1" applyFont="1" applyFill="1" applyBorder="1" applyAlignment="1">
      <alignment horizontal="center" vertical="center"/>
    </xf>
    <xf numFmtId="171" fontId="127" fillId="24" borderId="1" xfId="0" applyNumberFormat="1" applyFont="1" applyFill="1" applyBorder="1" applyAlignment="1">
      <alignment horizontal="center"/>
    </xf>
    <xf numFmtId="180" fontId="127" fillId="24" borderId="1" xfId="0" applyNumberFormat="1" applyFont="1" applyFill="1" applyBorder="1" applyAlignment="1">
      <alignment horizontal="center"/>
    </xf>
    <xf numFmtId="2" fontId="127" fillId="24" borderId="1" xfId="0" applyNumberFormat="1" applyFont="1" applyFill="1" applyBorder="1" applyAlignment="1">
      <alignment horizontal="center"/>
    </xf>
    <xf numFmtId="172" fontId="125" fillId="24" borderId="1" xfId="0" applyNumberFormat="1" applyFont="1" applyFill="1" applyBorder="1" applyAlignment="1">
      <alignment horizontal="left" vertical="center"/>
    </xf>
    <xf numFmtId="172" fontId="127" fillId="24" borderId="0" xfId="0" applyNumberFormat="1" applyFont="1" applyFill="1" applyBorder="1"/>
    <xf numFmtId="174" fontId="127" fillId="24" borderId="1" xfId="0" applyNumberFormat="1" applyFont="1" applyFill="1" applyBorder="1" applyAlignment="1">
      <alignment horizontal="center" vertical="top"/>
    </xf>
    <xf numFmtId="171" fontId="127" fillId="24" borderId="1" xfId="0" applyNumberFormat="1" applyFont="1" applyFill="1" applyBorder="1" applyAlignment="1">
      <alignment horizontal="center" vertical="center"/>
    </xf>
    <xf numFmtId="172" fontId="127" fillId="24" borderId="1" xfId="0" applyNumberFormat="1" applyFont="1" applyFill="1" applyBorder="1" applyAlignment="1">
      <alignment horizontal="left"/>
    </xf>
    <xf numFmtId="2" fontId="0" fillId="24" borderId="0" xfId="0" applyNumberFormat="1" applyFont="1" applyFill="1" applyBorder="1" applyAlignment="1"/>
    <xf numFmtId="2" fontId="11" fillId="24" borderId="1" xfId="0" applyNumberFormat="1" applyFont="1" applyFill="1" applyBorder="1" applyAlignment="1">
      <alignment horizontal="right" vertical="center"/>
    </xf>
    <xf numFmtId="0" fontId="11" fillId="24" borderId="1" xfId="0" applyNumberFormat="1" applyFont="1" applyFill="1" applyBorder="1" applyAlignment="1">
      <alignment horizontal="right" vertical="center"/>
    </xf>
    <xf numFmtId="0" fontId="11" fillId="24" borderId="1" xfId="0" applyNumberFormat="1" applyFont="1" applyFill="1" applyBorder="1" applyAlignment="1">
      <alignment horizontal="left" vertical="top" wrapText="1"/>
    </xf>
    <xf numFmtId="0" fontId="11" fillId="24" borderId="1" xfId="0" applyNumberFormat="1" applyFont="1" applyFill="1" applyBorder="1" applyAlignment="1">
      <alignment horizontal="center" vertical="center"/>
    </xf>
    <xf numFmtId="180" fontId="11" fillId="24" borderId="1" xfId="0" applyNumberFormat="1" applyFont="1" applyFill="1" applyBorder="1" applyAlignment="1">
      <alignment horizontal="center" vertical="center"/>
    </xf>
    <xf numFmtId="180" fontId="11" fillId="24" borderId="1" xfId="0" applyNumberFormat="1" applyFont="1" applyFill="1" applyBorder="1" applyAlignment="1">
      <alignment horizontal="center" vertical="center" wrapText="1"/>
    </xf>
    <xf numFmtId="2" fontId="11" fillId="24" borderId="1" xfId="0" applyNumberFormat="1" applyFont="1" applyFill="1" applyBorder="1" applyAlignment="1">
      <alignment horizontal="center" vertical="center" wrapText="1"/>
    </xf>
    <xf numFmtId="0" fontId="11" fillId="24" borderId="1" xfId="0" applyNumberFormat="1" applyFont="1" applyFill="1" applyBorder="1" applyAlignment="1">
      <alignment horizontal="left" vertical="center"/>
    </xf>
    <xf numFmtId="0" fontId="11" fillId="24" borderId="0" xfId="0" applyNumberFormat="1" applyFont="1" applyFill="1" applyBorder="1"/>
    <xf numFmtId="167" fontId="57" fillId="24" borderId="0" xfId="0" applyNumberFormat="1" applyFont="1" applyFill="1" applyBorder="1" applyAlignment="1"/>
    <xf numFmtId="0" fontId="127" fillId="24" borderId="1" xfId="0" applyNumberFormat="1" applyFont="1" applyFill="1" applyBorder="1" applyAlignment="1">
      <alignment horizontal="left"/>
    </xf>
    <xf numFmtId="2" fontId="127" fillId="24" borderId="1" xfId="0" applyNumberFormat="1" applyFont="1" applyFill="1" applyBorder="1" applyAlignment="1">
      <alignment horizontal="left"/>
    </xf>
    <xf numFmtId="2" fontId="127" fillId="24" borderId="1" xfId="0" applyNumberFormat="1" applyFont="1" applyFill="1" applyBorder="1" applyAlignment="1">
      <alignment horizontal="left" vertical="center"/>
    </xf>
    <xf numFmtId="1" fontId="11" fillId="24" borderId="1" xfId="0" applyNumberFormat="1" applyFont="1" applyFill="1" applyBorder="1" applyAlignment="1">
      <alignment horizontal="left" vertical="top" wrapText="1"/>
    </xf>
    <xf numFmtId="1" fontId="125" fillId="24" borderId="1" xfId="0" applyNumberFormat="1" applyFont="1" applyFill="1" applyBorder="1" applyAlignment="1">
      <alignment horizontal="left" vertical="top" wrapText="1"/>
    </xf>
    <xf numFmtId="1" fontId="127" fillId="24" borderId="1" xfId="0" applyNumberFormat="1" applyFont="1" applyFill="1" applyBorder="1" applyAlignment="1">
      <alignment horizontal="left" vertical="top" wrapText="1"/>
    </xf>
    <xf numFmtId="1" fontId="10" fillId="24" borderId="1" xfId="0" applyNumberFormat="1" applyFont="1" applyFill="1" applyBorder="1" applyAlignment="1">
      <alignment horizontal="left" vertical="top" wrapText="1"/>
    </xf>
    <xf numFmtId="171" fontId="127" fillId="24" borderId="1" xfId="0" applyNumberFormat="1" applyFont="1" applyFill="1" applyBorder="1" applyAlignment="1">
      <alignment horizontal="right" vertical="center"/>
    </xf>
    <xf numFmtId="0" fontId="10" fillId="24" borderId="1" xfId="0" applyNumberFormat="1" applyFont="1" applyFill="1" applyBorder="1" applyAlignment="1">
      <alignment horizontal="right" vertical="center"/>
    </xf>
    <xf numFmtId="167" fontId="125" fillId="24" borderId="1" xfId="0" applyNumberFormat="1" applyFont="1" applyFill="1" applyBorder="1" applyAlignment="1">
      <alignment horizontal="left" vertical="center" wrapText="1"/>
    </xf>
    <xf numFmtId="2" fontId="11" fillId="24" borderId="1" xfId="0" applyNumberFormat="1" applyFont="1" applyFill="1" applyBorder="1" applyAlignment="1">
      <alignment horizontal="right" vertical="center" wrapText="1"/>
    </xf>
    <xf numFmtId="0" fontId="125" fillId="24" borderId="1" xfId="0" applyNumberFormat="1" applyFont="1" applyFill="1" applyBorder="1" applyAlignment="1">
      <alignment horizontal="right" vertical="center" wrapText="1"/>
    </xf>
    <xf numFmtId="0" fontId="125" fillId="24" borderId="1" xfId="0" applyNumberFormat="1" applyFont="1" applyFill="1" applyBorder="1" applyAlignment="1">
      <alignment horizontal="center" vertical="center"/>
    </xf>
    <xf numFmtId="167" fontId="129" fillId="24" borderId="1" xfId="0" applyNumberFormat="1" applyFont="1" applyFill="1" applyBorder="1"/>
    <xf numFmtId="167" fontId="125" fillId="24" borderId="1" xfId="0" applyNumberFormat="1" applyFont="1" applyFill="1" applyBorder="1" applyAlignment="1">
      <alignment vertical="top" wrapText="1"/>
    </xf>
    <xf numFmtId="167" fontId="128" fillId="24" borderId="1" xfId="0" applyNumberFormat="1" applyFont="1" applyFill="1" applyBorder="1"/>
    <xf numFmtId="2" fontId="128" fillId="24" borderId="1" xfId="0" applyNumberFormat="1" applyFont="1" applyFill="1" applyBorder="1"/>
    <xf numFmtId="167" fontId="128" fillId="24" borderId="0" xfId="0" applyNumberFormat="1" applyFont="1" applyFill="1" applyBorder="1"/>
    <xf numFmtId="0" fontId="125" fillId="24" borderId="1" xfId="0" applyNumberFormat="1" applyFont="1" applyFill="1" applyBorder="1" applyAlignment="1">
      <alignment horizontal="right" vertical="center"/>
    </xf>
    <xf numFmtId="1" fontId="125" fillId="24" borderId="0" xfId="0" applyNumberFormat="1" applyFont="1" applyFill="1" applyBorder="1" applyAlignment="1">
      <alignment horizontal="center" vertical="center"/>
    </xf>
    <xf numFmtId="2" fontId="125" fillId="24" borderId="0" xfId="0" applyNumberFormat="1" applyFont="1" applyFill="1" applyBorder="1" applyAlignment="1">
      <alignment horizontal="center" vertical="center"/>
    </xf>
    <xf numFmtId="2" fontId="125" fillId="24" borderId="0" xfId="0" applyNumberFormat="1" applyFont="1" applyFill="1" applyBorder="1" applyAlignment="1">
      <alignment horizontal="right" vertical="center"/>
    </xf>
    <xf numFmtId="2" fontId="127" fillId="24" borderId="1" xfId="0" applyNumberFormat="1" applyFont="1" applyFill="1" applyBorder="1"/>
    <xf numFmtId="0" fontId="127" fillId="24" borderId="1" xfId="0" applyNumberFormat="1" applyFont="1" applyFill="1" applyBorder="1" applyAlignment="1">
      <alignment horizontal="center" vertical="center" wrapText="1"/>
    </xf>
    <xf numFmtId="0" fontId="127" fillId="24" borderId="1" xfId="0" applyNumberFormat="1" applyFont="1" applyFill="1" applyBorder="1" applyAlignment="1">
      <alignment horizontal="left" vertical="center" wrapText="1"/>
    </xf>
    <xf numFmtId="0" fontId="130" fillId="24" borderId="0" xfId="0" applyNumberFormat="1" applyFont="1" applyFill="1" applyBorder="1" applyAlignment="1">
      <alignment horizontal="center" vertical="center" wrapText="1"/>
    </xf>
    <xf numFmtId="0" fontId="125" fillId="24" borderId="1" xfId="0" applyNumberFormat="1" applyFont="1" applyFill="1" applyBorder="1" applyAlignment="1">
      <alignment vertical="center" wrapText="1"/>
    </xf>
    <xf numFmtId="171" fontId="125" fillId="24" borderId="1" xfId="0" applyNumberFormat="1" applyFont="1" applyFill="1" applyBorder="1" applyAlignment="1">
      <alignment horizontal="center" vertical="center" wrapText="1"/>
    </xf>
    <xf numFmtId="171" fontId="11" fillId="24" borderId="1" xfId="0" applyNumberFormat="1" applyFont="1" applyFill="1" applyBorder="1" applyAlignment="1">
      <alignment horizontal="center" vertical="center" wrapText="1"/>
    </xf>
    <xf numFmtId="0" fontId="11" fillId="24" borderId="1" xfId="0" applyNumberFormat="1" applyFont="1" applyFill="1" applyBorder="1" applyAlignment="1">
      <alignment horizontal="left" vertical="center" wrapText="1"/>
    </xf>
    <xf numFmtId="1" fontId="127" fillId="24" borderId="1" xfId="0" applyNumberFormat="1" applyFont="1" applyFill="1" applyBorder="1" applyAlignment="1">
      <alignment horizontal="left" vertical="top"/>
    </xf>
    <xf numFmtId="167" fontId="127" fillId="24" borderId="1" xfId="0" applyNumberFormat="1" applyFont="1" applyFill="1" applyBorder="1" applyAlignment="1">
      <alignment horizontal="left"/>
    </xf>
    <xf numFmtId="0" fontId="131" fillId="24" borderId="0" xfId="0" applyNumberFormat="1" applyFont="1" applyFill="1" applyBorder="1" applyAlignment="1">
      <alignment horizontal="left"/>
    </xf>
    <xf numFmtId="180" fontId="127" fillId="24" borderId="1" xfId="0" applyNumberFormat="1" applyFont="1" applyFill="1" applyBorder="1" applyAlignment="1">
      <alignment horizontal="left" vertical="center"/>
    </xf>
    <xf numFmtId="167" fontId="128" fillId="24" borderId="1" xfId="0" applyNumberFormat="1" applyFont="1" applyFill="1" applyBorder="1" applyAlignment="1">
      <alignment horizontal="left"/>
    </xf>
    <xf numFmtId="167" fontId="11" fillId="24" borderId="1" xfId="0" applyNumberFormat="1" applyFont="1" applyFill="1" applyBorder="1" applyAlignment="1">
      <alignment horizontal="left" vertical="top" wrapText="1"/>
    </xf>
    <xf numFmtId="167" fontId="127" fillId="24" borderId="1" xfId="0" applyNumberFormat="1" applyFont="1" applyFill="1" applyBorder="1" applyAlignment="1">
      <alignment horizontal="left" vertical="top" wrapText="1"/>
    </xf>
    <xf numFmtId="0" fontId="132" fillId="24" borderId="1" xfId="0" applyNumberFormat="1" applyFont="1" applyFill="1" applyBorder="1" applyAlignment="1">
      <alignment horizontal="left" vertical="top" wrapText="1"/>
    </xf>
    <xf numFmtId="167" fontId="128" fillId="24" borderId="0" xfId="0" applyNumberFormat="1" applyFont="1" applyFill="1" applyBorder="1" applyAlignment="1">
      <alignment horizontal="left"/>
    </xf>
    <xf numFmtId="0" fontId="132" fillId="24" borderId="0" xfId="0" applyNumberFormat="1" applyFont="1" applyFill="1" applyBorder="1" applyAlignment="1">
      <alignment horizontal="left" vertical="top" wrapText="1"/>
    </xf>
    <xf numFmtId="0" fontId="125" fillId="24" borderId="0" xfId="0" applyNumberFormat="1" applyFont="1" applyFill="1" applyBorder="1" applyAlignment="1">
      <alignment horizontal="center" vertical="center"/>
    </xf>
    <xf numFmtId="0" fontId="127" fillId="24" borderId="1" xfId="0" applyNumberFormat="1" applyFont="1" applyFill="1" applyBorder="1" applyAlignment="1">
      <alignment vertical="center"/>
    </xf>
    <xf numFmtId="2" fontId="127" fillId="24" borderId="1" xfId="0" applyNumberFormat="1" applyFont="1" applyFill="1" applyBorder="1" applyAlignment="1">
      <alignment vertical="center"/>
    </xf>
    <xf numFmtId="0" fontId="127" fillId="24" borderId="0" xfId="0" applyNumberFormat="1" applyFont="1" applyFill="1" applyBorder="1" applyAlignment="1">
      <alignment vertical="center"/>
    </xf>
    <xf numFmtId="0" fontId="11" fillId="24" borderId="1" xfId="0" applyNumberFormat="1" applyFont="1" applyFill="1" applyBorder="1" applyAlignment="1">
      <alignment vertical="center"/>
    </xf>
    <xf numFmtId="0" fontId="10" fillId="24" borderId="1" xfId="0" applyNumberFormat="1" applyFont="1" applyFill="1" applyBorder="1" applyAlignment="1">
      <alignment vertical="center"/>
    </xf>
    <xf numFmtId="0" fontId="127" fillId="24" borderId="1" xfId="0" applyNumberFormat="1" applyFont="1" applyFill="1" applyBorder="1" applyAlignment="1">
      <alignment vertical="top"/>
    </xf>
    <xf numFmtId="181" fontId="127" fillId="24" borderId="1" xfId="0" applyNumberFormat="1" applyFont="1" applyFill="1" applyBorder="1" applyAlignment="1">
      <alignment horizontal="center"/>
    </xf>
    <xf numFmtId="2" fontId="133" fillId="24" borderId="1" xfId="0" applyNumberFormat="1" applyFont="1" applyFill="1" applyBorder="1"/>
    <xf numFmtId="0" fontId="133" fillId="24" borderId="1" xfId="0" applyNumberFormat="1" applyFont="1" applyFill="1" applyBorder="1"/>
    <xf numFmtId="0" fontId="134" fillId="24" borderId="0" xfId="0" applyNumberFormat="1" applyFont="1" applyFill="1" applyBorder="1"/>
    <xf numFmtId="0" fontId="135" fillId="24" borderId="1" xfId="0" applyNumberFormat="1" applyFont="1" applyFill="1" applyBorder="1" applyAlignment="1">
      <alignment horizontal="left" vertical="top" wrapText="1"/>
    </xf>
    <xf numFmtId="0" fontId="127" fillId="24" borderId="1" xfId="0" applyNumberFormat="1" applyFont="1" applyFill="1" applyBorder="1" applyAlignment="1">
      <alignment horizontal="left" wrapText="1"/>
    </xf>
    <xf numFmtId="2" fontId="127" fillId="24" borderId="1" xfId="0" applyNumberFormat="1" applyFont="1" applyFill="1" applyBorder="1" applyAlignment="1">
      <alignment horizontal="left" wrapText="1"/>
    </xf>
    <xf numFmtId="0" fontId="125" fillId="24" borderId="1" xfId="0" applyNumberFormat="1" applyFont="1" applyFill="1" applyBorder="1" applyAlignment="1">
      <alignment horizontal="left"/>
    </xf>
    <xf numFmtId="167" fontId="127" fillId="24" borderId="1" xfId="0" applyNumberFormat="1" applyFont="1" applyFill="1" applyBorder="1" applyAlignment="1">
      <alignment wrapText="1"/>
    </xf>
    <xf numFmtId="167" fontId="127" fillId="24" borderId="1" xfId="0" applyNumberFormat="1" applyFont="1" applyFill="1" applyBorder="1" applyAlignment="1">
      <alignment horizontal="left" wrapText="1"/>
    </xf>
    <xf numFmtId="0" fontId="127" fillId="24" borderId="0" xfId="0" applyNumberFormat="1" applyFont="1" applyFill="1" applyBorder="1" applyAlignment="1">
      <alignment vertical="center" wrapText="1"/>
    </xf>
    <xf numFmtId="0" fontId="211" fillId="24" borderId="0" xfId="0" applyNumberFormat="1" applyFont="1" applyFill="1" applyBorder="1" applyAlignment="1">
      <alignment vertical="center" wrapText="1"/>
    </xf>
    <xf numFmtId="167" fontId="125" fillId="24" borderId="1" xfId="0" applyNumberFormat="1" applyFont="1" applyFill="1" applyBorder="1" applyAlignment="1">
      <alignment horizontal="left" vertical="top" wrapText="1"/>
    </xf>
    <xf numFmtId="0" fontId="25" fillId="24" borderId="1" xfId="0" applyNumberFormat="1" applyFont="1" applyFill="1" applyBorder="1" applyAlignment="1">
      <alignment vertical="top" wrapText="1"/>
    </xf>
    <xf numFmtId="171" fontId="125" fillId="24" borderId="1" xfId="0" applyNumberFormat="1" applyFont="1" applyFill="1" applyBorder="1" applyAlignment="1">
      <alignment horizontal="left" wrapText="1"/>
    </xf>
    <xf numFmtId="172" fontId="125" fillId="24" borderId="1" xfId="0" applyNumberFormat="1" applyFont="1" applyFill="1" applyBorder="1" applyAlignment="1">
      <alignment horizontal="left" wrapText="1"/>
    </xf>
    <xf numFmtId="2" fontId="125" fillId="24" borderId="1" xfId="0" applyNumberFormat="1" applyFont="1" applyFill="1" applyBorder="1" applyAlignment="1">
      <alignment horizontal="left" wrapText="1"/>
    </xf>
    <xf numFmtId="171" fontId="127" fillId="24" borderId="1" xfId="0" applyNumberFormat="1" applyFont="1" applyFill="1" applyBorder="1" applyAlignment="1">
      <alignment horizontal="left" wrapText="1"/>
    </xf>
    <xf numFmtId="172" fontId="127" fillId="24" borderId="1" xfId="0" applyNumberFormat="1" applyFont="1" applyFill="1" applyBorder="1" applyAlignment="1">
      <alignment horizontal="left" wrapText="1"/>
    </xf>
    <xf numFmtId="0" fontId="126" fillId="24" borderId="1" xfId="0" applyNumberFormat="1" applyFont="1" applyFill="1" applyBorder="1" applyAlignment="1">
      <alignment horizontal="left" vertical="top" wrapText="1"/>
    </xf>
    <xf numFmtId="16" fontId="127" fillId="24" borderId="1" xfId="0" applyNumberFormat="1" applyFont="1" applyFill="1" applyBorder="1" applyAlignment="1">
      <alignment horizontal="left" vertical="top" wrapText="1"/>
    </xf>
    <xf numFmtId="0" fontId="125" fillId="24" borderId="1" xfId="0" applyNumberFormat="1" applyFont="1" applyFill="1" applyBorder="1" applyAlignment="1">
      <alignment horizontal="left" wrapText="1"/>
    </xf>
    <xf numFmtId="0" fontId="127" fillId="24" borderId="3" xfId="0" applyNumberFormat="1" applyFont="1" applyFill="1" applyBorder="1"/>
    <xf numFmtId="0" fontId="127" fillId="24" borderId="25" xfId="0" applyNumberFormat="1" applyFont="1" applyFill="1" applyBorder="1"/>
    <xf numFmtId="0" fontId="127" fillId="24" borderId="8" xfId="0" applyNumberFormat="1" applyFont="1" applyFill="1" applyBorder="1"/>
    <xf numFmtId="0" fontId="43" fillId="24" borderId="1" xfId="0" applyNumberFormat="1" applyFont="1" applyFill="1" applyBorder="1" applyAlignment="1">
      <alignment horizontal="right" vertical="center" wrapText="1"/>
    </xf>
    <xf numFmtId="167" fontId="86" fillId="24" borderId="1" xfId="0" applyNumberFormat="1" applyFont="1" applyFill="1" applyBorder="1" applyAlignment="1"/>
    <xf numFmtId="2" fontId="86" fillId="24" borderId="1" xfId="0" applyNumberFormat="1" applyFont="1" applyFill="1" applyBorder="1" applyAlignment="1"/>
    <xf numFmtId="2" fontId="43" fillId="24" borderId="1" xfId="0" applyNumberFormat="1" applyFont="1" applyFill="1" applyBorder="1" applyAlignment="1">
      <alignment horizontal="right" vertical="center"/>
    </xf>
    <xf numFmtId="180" fontId="36" fillId="24" borderId="1" xfId="0" applyNumberFormat="1" applyFont="1" applyFill="1" applyBorder="1" applyAlignment="1">
      <alignment horizontal="center" vertical="center"/>
    </xf>
    <xf numFmtId="2" fontId="36" fillId="24" borderId="1" xfId="0" applyNumberFormat="1" applyFont="1" applyFill="1" applyBorder="1" applyAlignment="1">
      <alignment horizontal="center" vertical="center"/>
    </xf>
    <xf numFmtId="2" fontId="36" fillId="24" borderId="1" xfId="0" applyNumberFormat="1" applyFont="1" applyFill="1" applyBorder="1" applyAlignment="1">
      <alignment horizontal="right" vertical="center"/>
    </xf>
    <xf numFmtId="1" fontId="86" fillId="24" borderId="1" xfId="0" applyNumberFormat="1" applyFont="1" applyFill="1" applyBorder="1" applyAlignment="1"/>
    <xf numFmtId="167" fontId="0" fillId="24" borderId="1" xfId="0" applyNumberFormat="1" applyFont="1" applyFill="1" applyBorder="1" applyAlignment="1"/>
    <xf numFmtId="167" fontId="0" fillId="24" borderId="1" xfId="0" applyNumberFormat="1" applyFont="1" applyFill="1" applyBorder="1" applyAlignment="1">
      <alignment vertical="top" wrapText="1"/>
    </xf>
    <xf numFmtId="2" fontId="0" fillId="24" borderId="1" xfId="0" applyNumberFormat="1" applyFont="1" applyFill="1" applyBorder="1" applyAlignment="1"/>
    <xf numFmtId="167" fontId="0" fillId="24" borderId="0" xfId="0" applyNumberFormat="1" applyFont="1" applyFill="1" applyBorder="1" applyAlignment="1">
      <alignment vertical="top" wrapText="1"/>
    </xf>
    <xf numFmtId="171" fontId="186" fillId="8" borderId="1" xfId="0" applyNumberFormat="1" applyFont="1" applyFill="1" applyBorder="1" applyAlignment="1">
      <alignment vertical="top" wrapText="1"/>
    </xf>
    <xf numFmtId="167" fontId="15" fillId="8" borderId="27" xfId="0" applyNumberFormat="1" applyFont="1" applyFill="1" applyBorder="1" applyAlignment="1">
      <alignment vertical="center" wrapText="1"/>
    </xf>
    <xf numFmtId="0" fontId="49" fillId="0" borderId="1" xfId="51" applyFont="1" applyBorder="1" applyAlignment="1">
      <alignment horizontal="center" vertical="center" wrapText="1"/>
    </xf>
    <xf numFmtId="0" fontId="16" fillId="0" borderId="1" xfId="51" applyFont="1" applyBorder="1" applyAlignment="1">
      <alignment horizontal="center" vertical="center" wrapText="1"/>
    </xf>
    <xf numFmtId="2" fontId="16" fillId="0" borderId="1" xfId="51" applyNumberFormat="1" applyFont="1" applyBorder="1" applyAlignment="1">
      <alignment vertical="center" wrapText="1"/>
    </xf>
    <xf numFmtId="2" fontId="49" fillId="0" borderId="1" xfId="51" applyNumberFormat="1" applyFont="1" applyBorder="1" applyAlignment="1">
      <alignment vertical="center" wrapText="1"/>
    </xf>
    <xf numFmtId="173" fontId="16" fillId="0" borderId="1" xfId="51" applyNumberFormat="1" applyFont="1" applyBorder="1" applyAlignment="1">
      <alignment vertical="center" wrapText="1"/>
    </xf>
    <xf numFmtId="167" fontId="49" fillId="0" borderId="1" xfId="0" applyNumberFormat="1" applyFont="1" applyBorder="1" applyAlignment="1">
      <alignment horizontal="center" vertical="center"/>
    </xf>
    <xf numFmtId="173" fontId="16" fillId="0" borderId="1" xfId="51" applyNumberFormat="1" applyFont="1" applyBorder="1" applyAlignment="1">
      <alignment horizontal="center" vertical="center" wrapText="1"/>
    </xf>
    <xf numFmtId="0" fontId="7" fillId="13" borderId="1" xfId="0" applyNumberFormat="1" applyFont="1" applyFill="1" applyBorder="1" applyAlignment="1">
      <alignment horizontal="center" vertical="top"/>
    </xf>
    <xf numFmtId="0" fontId="10" fillId="13" borderId="1" xfId="0" applyNumberFormat="1" applyFont="1" applyFill="1" applyBorder="1" applyAlignment="1">
      <alignment horizontal="justify" vertical="top" wrapText="1"/>
    </xf>
    <xf numFmtId="0" fontId="4" fillId="13" borderId="1" xfId="0" applyNumberFormat="1" applyFont="1" applyFill="1" applyBorder="1" applyAlignment="1"/>
    <xf numFmtId="0" fontId="4" fillId="13" borderId="1" xfId="0" applyNumberFormat="1" applyFont="1" applyFill="1" applyBorder="1" applyAlignment="1">
      <alignment horizontal="center" vertical="center"/>
    </xf>
    <xf numFmtId="0" fontId="4" fillId="13" borderId="0" xfId="0" applyNumberFormat="1" applyFont="1" applyFill="1" applyBorder="1" applyAlignment="1"/>
    <xf numFmtId="0" fontId="7" fillId="13" borderId="1" xfId="0" applyNumberFormat="1" applyFont="1" applyFill="1" applyBorder="1" applyAlignment="1">
      <alignment horizontal="justify" vertical="center" wrapText="1"/>
    </xf>
    <xf numFmtId="0" fontId="7" fillId="13" borderId="1" xfId="0" applyNumberFormat="1" applyFont="1" applyFill="1" applyBorder="1" applyAlignment="1">
      <alignment horizontal="center"/>
    </xf>
    <xf numFmtId="0" fontId="7" fillId="13" borderId="1" xfId="0" applyNumberFormat="1" applyFont="1" applyFill="1" applyBorder="1" applyAlignment="1">
      <alignment horizontal="justify" vertical="center"/>
    </xf>
    <xf numFmtId="0" fontId="10" fillId="13" borderId="1" xfId="0" applyNumberFormat="1" applyFont="1" applyFill="1" applyBorder="1" applyAlignment="1">
      <alignment horizontal="center" vertical="top"/>
    </xf>
    <xf numFmtId="0" fontId="7" fillId="13" borderId="1" xfId="0" applyNumberFormat="1" applyFont="1" applyFill="1" applyBorder="1" applyAlignment="1">
      <alignment horizontal="justify" vertical="top" wrapText="1"/>
    </xf>
    <xf numFmtId="0" fontId="7" fillId="13" borderId="1" xfId="0" applyNumberFormat="1" applyFont="1" applyFill="1" applyBorder="1" applyAlignment="1">
      <alignment horizontal="justify" vertical="justify" wrapText="1"/>
    </xf>
    <xf numFmtId="0" fontId="8" fillId="13" borderId="1" xfId="0" applyNumberFormat="1" applyFont="1" applyFill="1" applyBorder="1" applyAlignment="1">
      <alignment horizontal="justify" vertical="justify" wrapText="1"/>
    </xf>
    <xf numFmtId="180" fontId="14" fillId="8" borderId="5" xfId="50" applyNumberFormat="1" applyFont="1" applyFill="1" applyBorder="1" applyAlignment="1">
      <alignment horizontal="left" vertical="center" wrapText="1"/>
    </xf>
    <xf numFmtId="167" fontId="59" fillId="0" borderId="0" xfId="0" applyNumberFormat="1" applyFont="1" applyAlignment="1">
      <alignment horizontal="center" wrapText="1"/>
    </xf>
    <xf numFmtId="167" fontId="58" fillId="0" borderId="0" xfId="0" applyNumberFormat="1" applyFont="1" applyAlignment="1">
      <alignment wrapText="1"/>
    </xf>
    <xf numFmtId="2" fontId="15" fillId="8" borderId="27" xfId="0" applyNumberFormat="1" applyFont="1" applyFill="1" applyBorder="1" applyAlignment="1">
      <alignment vertical="center" wrapText="1"/>
    </xf>
    <xf numFmtId="2" fontId="15" fillId="8" borderId="1" xfId="0" applyNumberFormat="1" applyFont="1" applyFill="1" applyBorder="1" applyAlignment="1">
      <alignment horizontal="left" vertical="center" wrapText="1"/>
    </xf>
    <xf numFmtId="2" fontId="14" fillId="8" borderId="5" xfId="0" applyNumberFormat="1" applyFont="1" applyFill="1" applyBorder="1" applyAlignment="1">
      <alignment horizontal="left" vertical="top"/>
    </xf>
    <xf numFmtId="2" fontId="14" fillId="8" borderId="0" xfId="0" applyNumberFormat="1" applyFont="1" applyFill="1" applyAlignment="1">
      <alignment horizontal="left" vertical="top"/>
    </xf>
    <xf numFmtId="167" fontId="148" fillId="8" borderId="5" xfId="0" applyNumberFormat="1" applyFont="1" applyFill="1" applyBorder="1" applyAlignment="1">
      <alignment horizontal="left" vertical="center" wrapText="1"/>
    </xf>
    <xf numFmtId="2" fontId="148" fillId="8" borderId="5" xfId="56" applyNumberFormat="1" applyFont="1" applyFill="1" applyBorder="1" applyAlignment="1">
      <alignment horizontal="left" vertical="center" wrapText="1"/>
    </xf>
    <xf numFmtId="2" fontId="148" fillId="8" borderId="5" xfId="50" applyNumberFormat="1" applyFont="1" applyFill="1" applyBorder="1" applyAlignment="1">
      <alignment horizontal="left" vertical="center" wrapText="1"/>
    </xf>
    <xf numFmtId="2" fontId="148" fillId="8" borderId="5" xfId="45" applyNumberFormat="1" applyFont="1" applyFill="1" applyBorder="1" applyAlignment="1">
      <alignment horizontal="left" vertical="center" wrapText="1"/>
    </xf>
    <xf numFmtId="167" fontId="14" fillId="0" borderId="0" xfId="0" applyNumberFormat="1" applyFont="1" applyFill="1" applyAlignment="1">
      <alignment horizontal="center" vertical="center"/>
    </xf>
    <xf numFmtId="167" fontId="148" fillId="0" borderId="5" xfId="0" applyNumberFormat="1" applyFont="1" applyFill="1" applyBorder="1" applyAlignment="1">
      <alignment horizontal="left" vertical="top"/>
    </xf>
    <xf numFmtId="167" fontId="148" fillId="0" borderId="0" xfId="0" applyNumberFormat="1" applyFont="1" applyFill="1" applyAlignment="1">
      <alignment horizontal="left" vertical="top"/>
    </xf>
    <xf numFmtId="167" fontId="14" fillId="0" borderId="0" xfId="0" applyNumberFormat="1" applyFont="1" applyFill="1" applyBorder="1" applyAlignment="1">
      <alignment horizontal="left" vertical="top"/>
    </xf>
    <xf numFmtId="167" fontId="0" fillId="0" borderId="0" xfId="0" applyNumberFormat="1" applyFill="1" applyAlignment="1">
      <alignment horizontal="left" vertical="top"/>
    </xf>
    <xf numFmtId="167" fontId="15" fillId="0" borderId="0" xfId="0" applyNumberFormat="1" applyFont="1" applyFill="1" applyAlignment="1">
      <alignment horizontal="left" vertical="top"/>
    </xf>
    <xf numFmtId="9" fontId="14" fillId="0" borderId="5" xfId="56" applyNumberFormat="1" applyFont="1" applyFill="1" applyBorder="1" applyAlignment="1">
      <alignment horizontal="right" vertical="center" wrapText="1"/>
    </xf>
    <xf numFmtId="2" fontId="14" fillId="0" borderId="5" xfId="50" applyNumberFormat="1" applyFont="1" applyFill="1" applyBorder="1" applyAlignment="1">
      <alignment horizontal="right" vertical="center" wrapText="1"/>
    </xf>
    <xf numFmtId="167" fontId="14" fillId="0" borderId="5" xfId="0" applyNumberFormat="1" applyFont="1" applyFill="1" applyBorder="1" applyAlignment="1">
      <alignment horizontal="right" vertical="center" wrapText="1"/>
    </xf>
    <xf numFmtId="2" fontId="149" fillId="0" borderId="5" xfId="50" applyNumberFormat="1" applyFont="1" applyFill="1" applyBorder="1" applyAlignment="1">
      <alignment horizontal="right" vertical="center" wrapText="1"/>
    </xf>
    <xf numFmtId="167" fontId="14" fillId="0" borderId="5" xfId="0" applyNumberFormat="1" applyFont="1" applyFill="1" applyBorder="1" applyAlignment="1">
      <alignment horizontal="right" vertical="center"/>
    </xf>
    <xf numFmtId="172" fontId="14" fillId="0" borderId="5" xfId="0" applyNumberFormat="1" applyFont="1" applyFill="1" applyBorder="1" applyAlignment="1">
      <alignment horizontal="right" vertical="center" wrapText="1"/>
    </xf>
    <xf numFmtId="180" fontId="14" fillId="0" borderId="5" xfId="50" applyNumberFormat="1" applyFont="1" applyFill="1" applyBorder="1" applyAlignment="1">
      <alignment horizontal="right" vertical="center" wrapText="1"/>
    </xf>
    <xf numFmtId="167" fontId="148" fillId="0" borderId="5" xfId="0" applyNumberFormat="1" applyFont="1" applyFill="1" applyBorder="1" applyAlignment="1">
      <alignment horizontal="right" vertical="center" wrapText="1"/>
    </xf>
    <xf numFmtId="2" fontId="14" fillId="0" borderId="5" xfId="56" applyNumberFormat="1" applyFont="1" applyFill="1" applyBorder="1" applyAlignment="1">
      <alignment horizontal="right" vertical="center" wrapText="1"/>
    </xf>
    <xf numFmtId="2" fontId="14" fillId="0" borderId="5" xfId="51" applyNumberFormat="1" applyFont="1" applyFill="1" applyBorder="1" applyAlignment="1">
      <alignment horizontal="right" vertical="center" wrapText="1"/>
    </xf>
    <xf numFmtId="2" fontId="14" fillId="0" borderId="5" xfId="0" applyNumberFormat="1" applyFont="1" applyFill="1" applyBorder="1" applyAlignment="1">
      <alignment horizontal="right" vertical="center" wrapText="1"/>
    </xf>
    <xf numFmtId="167" fontId="17" fillId="0" borderId="5" xfId="0" applyNumberFormat="1" applyFont="1" applyFill="1" applyBorder="1" applyAlignment="1">
      <alignment horizontal="right" vertical="center"/>
    </xf>
    <xf numFmtId="167" fontId="148" fillId="0" borderId="5" xfId="0" applyNumberFormat="1" applyFont="1" applyFill="1" applyBorder="1" applyAlignment="1">
      <alignment horizontal="right" vertical="center"/>
    </xf>
    <xf numFmtId="167" fontId="149" fillId="0" borderId="5" xfId="0" applyNumberFormat="1" applyFont="1" applyFill="1" applyBorder="1" applyAlignment="1">
      <alignment horizontal="right" vertical="center"/>
    </xf>
    <xf numFmtId="2" fontId="148" fillId="0" borderId="5" xfId="56" applyNumberFormat="1" applyFont="1" applyFill="1" applyBorder="1" applyAlignment="1">
      <alignment horizontal="right" vertical="center" wrapText="1"/>
    </xf>
    <xf numFmtId="167" fontId="15" fillId="0" borderId="5" xfId="0" applyNumberFormat="1" applyFont="1" applyFill="1" applyBorder="1" applyAlignment="1">
      <alignment horizontal="right" vertical="center"/>
    </xf>
    <xf numFmtId="2" fontId="15" fillId="0" borderId="5" xfId="50" applyNumberFormat="1" applyFont="1" applyFill="1" applyBorder="1" applyAlignment="1">
      <alignment horizontal="right" vertical="center" wrapText="1"/>
    </xf>
    <xf numFmtId="2" fontId="15" fillId="0" borderId="5" xfId="51" applyNumberFormat="1" applyFont="1" applyFill="1" applyBorder="1" applyAlignment="1">
      <alignment horizontal="right" vertical="center" wrapText="1"/>
    </xf>
    <xf numFmtId="2" fontId="213" fillId="0" borderId="5" xfId="56" applyNumberFormat="1" applyFont="1" applyFill="1" applyBorder="1" applyAlignment="1">
      <alignment horizontal="right" vertical="center" wrapText="1"/>
    </xf>
    <xf numFmtId="2" fontId="15" fillId="0" borderId="5" xfId="56" applyNumberFormat="1" applyFont="1" applyFill="1" applyBorder="1" applyAlignment="1">
      <alignment horizontal="right" vertical="center" wrapText="1"/>
    </xf>
    <xf numFmtId="167" fontId="17" fillId="0" borderId="5" xfId="0" applyNumberFormat="1" applyFont="1" applyFill="1" applyBorder="1" applyAlignment="1">
      <alignment horizontal="right" vertical="center" wrapText="1"/>
    </xf>
    <xf numFmtId="167" fontId="18" fillId="0" borderId="5" xfId="0" applyNumberFormat="1" applyFont="1" applyFill="1" applyBorder="1" applyAlignment="1">
      <alignment horizontal="right" vertical="center" wrapText="1"/>
    </xf>
    <xf numFmtId="2" fontId="18" fillId="0" borderId="5" xfId="50" applyNumberFormat="1" applyFont="1" applyFill="1" applyBorder="1" applyAlignment="1">
      <alignment horizontal="right" vertical="center" wrapText="1"/>
    </xf>
    <xf numFmtId="2" fontId="148" fillId="0" borderId="5" xfId="50" applyNumberFormat="1" applyFont="1" applyFill="1" applyBorder="1" applyAlignment="1">
      <alignment horizontal="right" vertical="center" wrapText="1"/>
    </xf>
    <xf numFmtId="0" fontId="14" fillId="0" borderId="5" xfId="45" applyFont="1" applyFill="1" applyBorder="1" applyAlignment="1">
      <alignment horizontal="right" vertical="center" wrapText="1"/>
    </xf>
    <xf numFmtId="2" fontId="14" fillId="0" borderId="5" xfId="45" applyNumberFormat="1" applyFont="1" applyFill="1" applyBorder="1" applyAlignment="1">
      <alignment horizontal="right" vertical="center" wrapText="1"/>
    </xf>
    <xf numFmtId="2" fontId="148" fillId="0" borderId="5" xfId="45" applyNumberFormat="1" applyFont="1" applyFill="1" applyBorder="1" applyAlignment="1">
      <alignment horizontal="right" vertical="center" wrapText="1"/>
    </xf>
    <xf numFmtId="2" fontId="14" fillId="0" borderId="5" xfId="49" applyNumberFormat="1" applyFont="1" applyFill="1" applyBorder="1" applyAlignment="1">
      <alignment horizontal="right" vertical="center" wrapText="1"/>
    </xf>
    <xf numFmtId="2" fontId="14" fillId="0" borderId="5" xfId="0" applyNumberFormat="1" applyFont="1" applyFill="1" applyBorder="1" applyAlignment="1">
      <alignment horizontal="right" vertical="center"/>
    </xf>
    <xf numFmtId="2" fontId="14" fillId="0" borderId="5" xfId="1" applyNumberFormat="1" applyFont="1" applyFill="1" applyBorder="1" applyAlignment="1">
      <alignment horizontal="right" vertical="center"/>
    </xf>
    <xf numFmtId="2" fontId="20" fillId="0" borderId="5" xfId="14" applyNumberFormat="1" applyFont="1" applyFill="1" applyBorder="1" applyAlignment="1">
      <alignment horizontal="right" vertical="center" wrapText="1"/>
    </xf>
    <xf numFmtId="167" fontId="14" fillId="0" borderId="0" xfId="0" applyNumberFormat="1" applyFont="1" applyFill="1" applyBorder="1" applyAlignment="1">
      <alignment horizontal="right" vertical="center"/>
    </xf>
    <xf numFmtId="2" fontId="14" fillId="0" borderId="0" xfId="50" applyNumberFormat="1" applyFont="1" applyFill="1" applyBorder="1" applyAlignment="1">
      <alignment horizontal="right" vertical="center" wrapText="1"/>
    </xf>
    <xf numFmtId="2" fontId="149" fillId="0" borderId="0" xfId="50" applyNumberFormat="1" applyFont="1" applyFill="1" applyBorder="1" applyAlignment="1">
      <alignment horizontal="right" vertical="center" wrapText="1"/>
    </xf>
    <xf numFmtId="2" fontId="150" fillId="0" borderId="0" xfId="50" applyNumberFormat="1" applyFont="1" applyFill="1" applyBorder="1" applyAlignment="1">
      <alignment horizontal="right" vertical="center" wrapText="1"/>
    </xf>
    <xf numFmtId="167" fontId="149" fillId="0" borderId="0" xfId="0" applyNumberFormat="1" applyFont="1" applyFill="1" applyBorder="1" applyAlignment="1">
      <alignment horizontal="right" vertical="center"/>
    </xf>
    <xf numFmtId="167" fontId="14" fillId="0" borderId="0" xfId="0" applyNumberFormat="1" applyFont="1" applyFill="1" applyAlignment="1">
      <alignment horizontal="right" vertical="center"/>
    </xf>
    <xf numFmtId="167" fontId="149" fillId="0" borderId="0" xfId="0" applyNumberFormat="1" applyFont="1" applyFill="1" applyAlignment="1">
      <alignment horizontal="right" vertical="center"/>
    </xf>
    <xf numFmtId="2" fontId="149" fillId="0" borderId="30" xfId="50" applyNumberFormat="1" applyFont="1" applyFill="1" applyBorder="1" applyAlignment="1">
      <alignment horizontal="right" vertical="center" wrapText="1"/>
    </xf>
    <xf numFmtId="172" fontId="15" fillId="0" borderId="5" xfId="0" applyNumberFormat="1" applyFont="1" applyFill="1" applyBorder="1" applyAlignment="1">
      <alignment horizontal="center" vertical="center" wrapText="1"/>
    </xf>
    <xf numFmtId="2" fontId="14" fillId="0" borderId="5" xfId="50" applyNumberFormat="1" applyFont="1" applyFill="1" applyBorder="1" applyAlignment="1">
      <alignment horizontal="center" vertical="center" wrapText="1"/>
    </xf>
    <xf numFmtId="167" fontId="14" fillId="0" borderId="5" xfId="0" applyNumberFormat="1" applyFont="1" applyFill="1" applyBorder="1" applyAlignment="1">
      <alignment horizontal="center" vertical="center"/>
    </xf>
    <xf numFmtId="0" fontId="14" fillId="0" borderId="5" xfId="0" applyNumberFormat="1" applyFont="1" applyFill="1" applyBorder="1" applyAlignment="1">
      <alignment horizontal="center" vertical="center" wrapText="1"/>
    </xf>
    <xf numFmtId="2" fontId="14" fillId="0" borderId="5" xfId="51" applyNumberFormat="1" applyFont="1" applyFill="1" applyBorder="1" applyAlignment="1">
      <alignment horizontal="center" vertical="center" wrapText="1"/>
    </xf>
    <xf numFmtId="167" fontId="14" fillId="0" borderId="5" xfId="0" applyNumberFormat="1" applyFont="1" applyFill="1" applyBorder="1" applyAlignment="1">
      <alignment horizontal="center" vertical="center" wrapText="1"/>
    </xf>
    <xf numFmtId="2" fontId="14" fillId="0" borderId="5" xfId="0" applyNumberFormat="1" applyFont="1" applyFill="1" applyBorder="1" applyAlignment="1">
      <alignment horizontal="center" vertical="center" wrapText="1"/>
    </xf>
    <xf numFmtId="1" fontId="14" fillId="0" borderId="5" xfId="50" applyNumberFormat="1" applyFont="1" applyFill="1" applyBorder="1" applyAlignment="1">
      <alignment horizontal="center" vertical="center" wrapText="1"/>
    </xf>
    <xf numFmtId="0" fontId="17" fillId="0" borderId="5" xfId="45" applyFont="1" applyFill="1" applyBorder="1" applyAlignment="1">
      <alignment horizontal="center" vertical="center" wrapText="1"/>
    </xf>
    <xf numFmtId="167" fontId="14" fillId="0" borderId="5" xfId="15" applyNumberFormat="1" applyFont="1" applyFill="1" applyBorder="1" applyAlignment="1">
      <alignment horizontal="center" vertical="center" wrapText="1"/>
    </xf>
    <xf numFmtId="2" fontId="14" fillId="0" borderId="5" xfId="56" applyNumberFormat="1" applyFont="1" applyFill="1" applyBorder="1" applyAlignment="1">
      <alignment horizontal="center" vertical="center" wrapText="1"/>
    </xf>
    <xf numFmtId="2" fontId="15" fillId="0" borderId="5" xfId="50" applyNumberFormat="1" applyFont="1" applyFill="1" applyBorder="1" applyAlignment="1">
      <alignment horizontal="center" vertical="center" wrapText="1"/>
    </xf>
    <xf numFmtId="2" fontId="15" fillId="0" borderId="5" xfId="51" applyNumberFormat="1" applyFont="1" applyFill="1" applyBorder="1" applyAlignment="1">
      <alignment horizontal="center" vertical="center" wrapText="1"/>
    </xf>
    <xf numFmtId="0" fontId="14" fillId="0" borderId="5" xfId="15" applyNumberFormat="1" applyFont="1" applyFill="1" applyBorder="1" applyAlignment="1">
      <alignment horizontal="center" vertical="center" wrapText="1"/>
    </xf>
    <xf numFmtId="167" fontId="17" fillId="0" borderId="5" xfId="0" applyNumberFormat="1" applyFont="1" applyFill="1" applyBorder="1" applyAlignment="1">
      <alignment horizontal="center" vertical="center"/>
    </xf>
    <xf numFmtId="2" fontId="18" fillId="0" borderId="5" xfId="50" applyNumberFormat="1" applyFont="1" applyFill="1" applyBorder="1" applyAlignment="1">
      <alignment horizontal="center" vertical="center" wrapText="1"/>
    </xf>
    <xf numFmtId="0" fontId="14" fillId="0" borderId="5" xfId="45" applyFont="1" applyFill="1" applyBorder="1" applyAlignment="1">
      <alignment horizontal="center" vertical="center" wrapText="1"/>
    </xf>
    <xf numFmtId="2" fontId="14" fillId="0" borderId="5" xfId="45" applyNumberFormat="1" applyFont="1" applyFill="1" applyBorder="1" applyAlignment="1">
      <alignment horizontal="center" vertical="center" wrapText="1"/>
    </xf>
    <xf numFmtId="0" fontId="14" fillId="0" borderId="5" xfId="0" applyNumberFormat="1" applyFont="1" applyFill="1" applyBorder="1" applyAlignment="1">
      <alignment horizontal="center" vertical="center"/>
    </xf>
    <xf numFmtId="2" fontId="14" fillId="0" borderId="5" xfId="0" applyNumberFormat="1" applyFont="1" applyFill="1" applyBorder="1" applyAlignment="1">
      <alignment horizontal="center" vertical="center"/>
    </xf>
    <xf numFmtId="2" fontId="20" fillId="0" borderId="5" xfId="14" applyNumberFormat="1" applyFont="1" applyFill="1" applyBorder="1" applyAlignment="1">
      <alignment horizontal="center" vertical="center" wrapText="1"/>
    </xf>
    <xf numFmtId="167" fontId="17" fillId="0" borderId="5" xfId="0" applyNumberFormat="1" applyFont="1" applyFill="1" applyBorder="1" applyAlignment="1">
      <alignment horizontal="center" vertical="center" wrapText="1"/>
    </xf>
    <xf numFmtId="167" fontId="14" fillId="0" borderId="0" xfId="0" applyNumberFormat="1" applyFont="1" applyFill="1" applyBorder="1" applyAlignment="1">
      <alignment horizontal="center" vertical="center"/>
    </xf>
    <xf numFmtId="2" fontId="14" fillId="0" borderId="0" xfId="50" applyNumberFormat="1" applyFont="1" applyFill="1" applyBorder="1" applyAlignment="1">
      <alignment horizontal="center" vertical="center" wrapText="1"/>
    </xf>
    <xf numFmtId="172" fontId="148" fillId="0" borderId="5" xfId="0" applyNumberFormat="1" applyFont="1" applyFill="1" applyBorder="1" applyAlignment="1">
      <alignment horizontal="right" vertical="center" wrapText="1"/>
    </xf>
    <xf numFmtId="0" fontId="127" fillId="13" borderId="1" xfId="0" applyNumberFormat="1" applyFont="1" applyFill="1" applyBorder="1" applyAlignment="1">
      <alignment horizontal="right" vertical="center" wrapText="1"/>
    </xf>
    <xf numFmtId="0" fontId="125" fillId="13" borderId="1" xfId="0" applyNumberFormat="1" applyFont="1" applyFill="1" applyBorder="1" applyAlignment="1">
      <alignment vertical="top" wrapText="1"/>
    </xf>
    <xf numFmtId="171" fontId="127" fillId="13" borderId="1" xfId="0" applyNumberFormat="1" applyFont="1" applyFill="1" applyBorder="1" applyAlignment="1">
      <alignment horizontal="center" vertical="center" wrapText="1"/>
    </xf>
    <xf numFmtId="180" fontId="127" fillId="13" borderId="1" xfId="0" applyNumberFormat="1" applyFont="1" applyFill="1" applyBorder="1" applyAlignment="1">
      <alignment horizontal="center" vertical="center" wrapText="1"/>
    </xf>
    <xf numFmtId="2" fontId="127" fillId="13" borderId="1" xfId="0" applyNumberFormat="1" applyFont="1" applyFill="1" applyBorder="1" applyAlignment="1">
      <alignment horizontal="center" vertical="center" wrapText="1"/>
    </xf>
    <xf numFmtId="2" fontId="127" fillId="13" borderId="1" xfId="0" applyNumberFormat="1" applyFont="1" applyFill="1" applyBorder="1" applyAlignment="1">
      <alignment horizontal="right" vertical="center" wrapText="1"/>
    </xf>
    <xf numFmtId="0" fontId="125" fillId="13" borderId="1" xfId="0" applyNumberFormat="1" applyFont="1" applyFill="1" applyBorder="1" applyAlignment="1">
      <alignment horizontal="left" vertical="center" wrapText="1"/>
    </xf>
    <xf numFmtId="0" fontId="127" fillId="13" borderId="0" xfId="0" applyNumberFormat="1" applyFont="1" applyFill="1" applyBorder="1"/>
    <xf numFmtId="167" fontId="0" fillId="13" borderId="0" xfId="0" applyNumberFormat="1" applyFont="1" applyFill="1" applyBorder="1" applyAlignment="1"/>
    <xf numFmtId="173" fontId="127" fillId="13" borderId="1" xfId="0" applyNumberFormat="1" applyFont="1" applyFill="1" applyBorder="1" applyAlignment="1">
      <alignment horizontal="right" vertical="center"/>
    </xf>
    <xf numFmtId="0" fontId="10" fillId="13" borderId="1" xfId="0" applyNumberFormat="1" applyFont="1" applyFill="1" applyBorder="1" applyAlignment="1">
      <alignment vertical="top" wrapText="1"/>
    </xf>
    <xf numFmtId="1" fontId="127" fillId="13" borderId="1" xfId="0" applyNumberFormat="1" applyFont="1" applyFill="1" applyBorder="1" applyAlignment="1">
      <alignment horizontal="center" vertical="center"/>
    </xf>
    <xf numFmtId="180" fontId="127" fillId="13" borderId="1" xfId="0" applyNumberFormat="1" applyFont="1" applyFill="1" applyBorder="1" applyAlignment="1">
      <alignment horizontal="center" vertical="center"/>
    </xf>
    <xf numFmtId="2" fontId="127" fillId="13" borderId="1" xfId="0" applyNumberFormat="1" applyFont="1" applyFill="1" applyBorder="1" applyAlignment="1">
      <alignment horizontal="center" vertical="center"/>
    </xf>
    <xf numFmtId="2" fontId="127" fillId="13" borderId="1" xfId="0" applyNumberFormat="1" applyFont="1" applyFill="1" applyBorder="1" applyAlignment="1">
      <alignment horizontal="right" vertical="center"/>
    </xf>
    <xf numFmtId="2" fontId="125" fillId="13" borderId="1" xfId="0" applyNumberFormat="1" applyFont="1" applyFill="1" applyBorder="1" applyAlignment="1">
      <alignment horizontal="left" vertical="center"/>
    </xf>
    <xf numFmtId="167" fontId="14" fillId="13" borderId="5" xfId="0" applyNumberFormat="1" applyFont="1" applyFill="1" applyBorder="1" applyAlignment="1">
      <alignment horizontal="left" vertical="center"/>
    </xf>
    <xf numFmtId="173" fontId="14" fillId="13" borderId="5" xfId="50" applyNumberFormat="1" applyFont="1" applyFill="1" applyBorder="1" applyAlignment="1">
      <alignment horizontal="left" vertical="top" wrapText="1"/>
    </xf>
    <xf numFmtId="2" fontId="14" fillId="13" borderId="5" xfId="50" applyNumberFormat="1" applyFont="1" applyFill="1" applyBorder="1" applyAlignment="1">
      <alignment horizontal="left" vertical="top" wrapText="1"/>
    </xf>
    <xf numFmtId="167" fontId="148" fillId="13" borderId="5" xfId="0" applyNumberFormat="1" applyFont="1" applyFill="1" applyBorder="1" applyAlignment="1">
      <alignment horizontal="left" vertical="center" wrapText="1"/>
    </xf>
    <xf numFmtId="2" fontId="14" fillId="13" borderId="5" xfId="50" applyNumberFormat="1" applyFont="1" applyFill="1" applyBorder="1" applyAlignment="1">
      <alignment horizontal="left" vertical="center" wrapText="1"/>
    </xf>
    <xf numFmtId="167" fontId="15" fillId="0" borderId="5" xfId="0" applyNumberFormat="1" applyFont="1" applyFill="1" applyBorder="1" applyAlignment="1">
      <alignment horizontal="center" vertical="center" wrapText="1"/>
    </xf>
    <xf numFmtId="173" fontId="16" fillId="0" borderId="1" xfId="51" applyNumberFormat="1" applyFont="1" applyBorder="1" applyAlignment="1">
      <alignment horizontal="center" vertical="center" wrapText="1"/>
    </xf>
    <xf numFmtId="0" fontId="49" fillId="0" borderId="1" xfId="51" applyFont="1" applyBorder="1" applyAlignment="1">
      <alignment horizontal="center" vertical="center" wrapText="1"/>
    </xf>
    <xf numFmtId="167" fontId="2" fillId="0" borderId="0" xfId="0" applyNumberFormat="1" applyFont="1" applyAlignment="1">
      <alignment horizontal="center" wrapText="1"/>
    </xf>
    <xf numFmtId="167" fontId="138" fillId="0" borderId="0" xfId="0" applyNumberFormat="1" applyFont="1" applyAlignment="1">
      <alignment horizontal="left"/>
    </xf>
    <xf numFmtId="171" fontId="138" fillId="0" borderId="0" xfId="0" applyNumberFormat="1" applyFont="1" applyAlignment="1">
      <alignment horizontal="center"/>
    </xf>
    <xf numFmtId="167" fontId="139" fillId="8" borderId="6" xfId="0" applyNumberFormat="1" applyFont="1" applyFill="1" applyBorder="1" applyAlignment="1">
      <alignment horizontal="center" vertical="center" wrapText="1"/>
    </xf>
    <xf numFmtId="167" fontId="139" fillId="8" borderId="28" xfId="0" applyNumberFormat="1" applyFont="1" applyFill="1" applyBorder="1" applyAlignment="1">
      <alignment horizontal="center" vertical="center" wrapText="1"/>
    </xf>
    <xf numFmtId="167" fontId="139" fillId="8" borderId="26" xfId="0" applyNumberFormat="1" applyFont="1" applyFill="1" applyBorder="1" applyAlignment="1">
      <alignment horizontal="center" vertical="center" wrapText="1"/>
    </xf>
    <xf numFmtId="167" fontId="15" fillId="8" borderId="5" xfId="0" applyNumberFormat="1" applyFont="1" applyFill="1" applyBorder="1" applyAlignment="1">
      <alignment horizontal="center" vertical="center" wrapText="1"/>
    </xf>
    <xf numFmtId="167" fontId="15" fillId="8" borderId="5" xfId="0" applyNumberFormat="1" applyFont="1" applyFill="1" applyBorder="1" applyAlignment="1">
      <alignment horizontal="left" vertical="top" wrapText="1"/>
    </xf>
    <xf numFmtId="167" fontId="15" fillId="8" borderId="5" xfId="0" applyNumberFormat="1" applyFont="1" applyFill="1" applyBorder="1" applyAlignment="1">
      <alignment horizontal="left" vertical="center" wrapText="1"/>
    </xf>
    <xf numFmtId="167" fontId="15" fillId="8" borderId="1" xfId="0" applyNumberFormat="1" applyFont="1" applyFill="1" applyBorder="1" applyAlignment="1">
      <alignment horizontal="center" vertical="center" wrapText="1"/>
    </xf>
    <xf numFmtId="167" fontId="15" fillId="0" borderId="5" xfId="0" applyNumberFormat="1" applyFont="1" applyFill="1" applyBorder="1" applyAlignment="1">
      <alignment horizontal="center" vertical="center" wrapText="1"/>
    </xf>
    <xf numFmtId="167" fontId="139" fillId="0" borderId="0" xfId="0" applyNumberFormat="1" applyFont="1" applyFill="1" applyBorder="1" applyAlignment="1">
      <alignment horizontal="center" vertical="center" wrapText="1"/>
    </xf>
    <xf numFmtId="2" fontId="11" fillId="24" borderId="27" xfId="0" applyNumberFormat="1" applyFont="1" applyFill="1" applyBorder="1" applyAlignment="1">
      <alignment horizontal="center" vertical="top" wrapText="1"/>
    </xf>
    <xf numFmtId="2" fontId="125" fillId="24" borderId="29" xfId="0" applyNumberFormat="1" applyFont="1" applyFill="1" applyBorder="1" applyAlignment="1">
      <alignment horizontal="center" vertical="top" wrapText="1"/>
    </xf>
    <xf numFmtId="2" fontId="125" fillId="24" borderId="25" xfId="0" applyNumberFormat="1" applyFont="1" applyFill="1" applyBorder="1" applyAlignment="1">
      <alignment horizontal="center" vertical="top" wrapText="1"/>
    </xf>
    <xf numFmtId="1" fontId="125" fillId="24" borderId="1" xfId="0" applyNumberFormat="1" applyFont="1" applyFill="1" applyBorder="1" applyAlignment="1">
      <alignment horizontal="center" vertical="center"/>
    </xf>
    <xf numFmtId="0" fontId="126" fillId="24" borderId="1" xfId="0" applyNumberFormat="1" applyFont="1" applyFill="1" applyBorder="1"/>
    <xf numFmtId="1" fontId="127" fillId="24" borderId="1" xfId="0" applyNumberFormat="1" applyFont="1" applyFill="1" applyBorder="1" applyAlignment="1">
      <alignment horizontal="right" vertical="center" wrapText="1"/>
    </xf>
    <xf numFmtId="2" fontId="125" fillId="24" borderId="1" xfId="0" applyNumberFormat="1" applyFont="1" applyFill="1" applyBorder="1" applyAlignment="1">
      <alignment horizontal="center" vertical="top" wrapText="1"/>
    </xf>
    <xf numFmtId="0" fontId="126" fillId="24" borderId="1" xfId="0" applyNumberFormat="1" applyFont="1" applyFill="1" applyBorder="1" applyAlignment="1">
      <alignment vertical="top" wrapText="1"/>
    </xf>
    <xf numFmtId="1" fontId="125" fillId="24" borderId="1" xfId="0" applyNumberFormat="1" applyFont="1" applyFill="1" applyBorder="1" applyAlignment="1">
      <alignment horizontal="center" vertical="center" wrapText="1"/>
    </xf>
    <xf numFmtId="180" fontId="125" fillId="24" borderId="1" xfId="0" applyNumberFormat="1" applyFont="1" applyFill="1" applyBorder="1" applyAlignment="1">
      <alignment horizontal="center" vertical="center" wrapText="1"/>
    </xf>
    <xf numFmtId="2" fontId="11" fillId="24" borderId="1" xfId="0" applyNumberFormat="1" applyFont="1" applyFill="1" applyBorder="1" applyAlignment="1">
      <alignment horizontal="right" vertical="center" wrapText="1"/>
    </xf>
    <xf numFmtId="2" fontId="125" fillId="24" borderId="1" xfId="0" applyNumberFormat="1" applyFont="1" applyFill="1" applyBorder="1" applyAlignment="1">
      <alignment horizontal="left" vertical="center" wrapText="1"/>
    </xf>
    <xf numFmtId="0" fontId="41" fillId="0" borderId="0" xfId="0" applyNumberFormat="1" applyFont="1" applyFill="1" applyBorder="1" applyAlignment="1">
      <alignment horizontal="center" vertical="center" wrapText="1"/>
    </xf>
    <xf numFmtId="167" fontId="41" fillId="0" borderId="0" xfId="0" applyNumberFormat="1" applyFont="1" applyFill="1" applyAlignment="1">
      <alignment horizontal="center" vertical="center" wrapText="1"/>
    </xf>
    <xf numFmtId="167" fontId="41" fillId="0" borderId="0" xfId="0" applyNumberFormat="1" applyFont="1" applyFill="1" applyAlignment="1">
      <alignment horizontal="center" vertical="center"/>
    </xf>
    <xf numFmtId="0" fontId="34" fillId="0" borderId="0" xfId="0" applyNumberFormat="1" applyFont="1" applyFill="1" applyAlignment="1">
      <alignment horizontal="left" vertical="top" wrapText="1"/>
    </xf>
    <xf numFmtId="0" fontId="38" fillId="0" borderId="0" xfId="0" applyNumberFormat="1" applyFont="1" applyFill="1" applyAlignment="1">
      <alignment horizontal="left" vertical="top" wrapText="1"/>
    </xf>
    <xf numFmtId="0" fontId="41" fillId="0" borderId="0" xfId="0" applyNumberFormat="1" applyFont="1" applyFill="1" applyAlignment="1">
      <alignment horizontal="center" vertical="top" wrapText="1"/>
    </xf>
    <xf numFmtId="0" fontId="27" fillId="0" borderId="0" xfId="0" applyNumberFormat="1" applyFont="1" applyFill="1" applyAlignment="1">
      <alignment horizontal="left" wrapText="1"/>
    </xf>
    <xf numFmtId="167" fontId="41" fillId="0" borderId="0" xfId="0" applyNumberFormat="1" applyFont="1" applyFill="1" applyAlignment="1">
      <alignment horizontal="left" vertical="center" wrapText="1"/>
    </xf>
    <xf numFmtId="167" fontId="0" fillId="0" borderId="0" xfId="0" applyNumberFormat="1" applyBorder="1" applyAlignment="1">
      <alignment horizontal="center" vertical="top" wrapText="1"/>
    </xf>
    <xf numFmtId="167" fontId="62" fillId="0" borderId="0" xfId="0" applyNumberFormat="1" applyFont="1" applyBorder="1" applyAlignment="1">
      <alignment horizontal="center" vertical="center"/>
    </xf>
    <xf numFmtId="167" fontId="2" fillId="0" borderId="0" xfId="0" applyNumberFormat="1" applyFont="1" applyBorder="1" applyAlignment="1">
      <alignment horizontal="center" vertical="center" wrapText="1"/>
    </xf>
    <xf numFmtId="167" fontId="2" fillId="0" borderId="0" xfId="0" applyNumberFormat="1" applyFont="1" applyBorder="1" applyAlignment="1">
      <alignment horizontal="center" vertical="top"/>
    </xf>
    <xf numFmtId="167" fontId="61" fillId="0" borderId="0" xfId="0" applyNumberFormat="1" applyFont="1" applyBorder="1" applyAlignment="1">
      <alignment horizontal="center" wrapText="1"/>
    </xf>
    <xf numFmtId="167" fontId="63" fillId="0" borderId="0" xfId="0" applyNumberFormat="1" applyFont="1" applyBorder="1" applyAlignment="1">
      <alignment horizontal="center" vertical="center"/>
    </xf>
    <xf numFmtId="2" fontId="63" fillId="0" borderId="0" xfId="0" applyNumberFormat="1" applyFont="1" applyBorder="1" applyAlignment="1">
      <alignment horizontal="center"/>
    </xf>
    <xf numFmtId="167" fontId="0" fillId="0" borderId="0" xfId="0" applyNumberFormat="1" applyFont="1" applyAlignment="1">
      <alignment horizontal="left" vertical="top" wrapText="1"/>
    </xf>
    <xf numFmtId="167" fontId="36" fillId="0" borderId="0" xfId="0" applyNumberFormat="1" applyFont="1" applyBorder="1" applyAlignment="1">
      <alignment horizontal="center" vertical="center" wrapText="1"/>
    </xf>
    <xf numFmtId="167" fontId="10" fillId="0" borderId="0" xfId="0" applyNumberFormat="1" applyFont="1" applyBorder="1" applyAlignment="1">
      <alignment horizontal="center" vertical="top"/>
    </xf>
    <xf numFmtId="167" fontId="10" fillId="0" borderId="0" xfId="0" applyNumberFormat="1" applyFont="1" applyBorder="1" applyAlignment="1">
      <alignment horizontal="center" vertical="top" wrapText="1"/>
    </xf>
    <xf numFmtId="167" fontId="47" fillId="0" borderId="0" xfId="0" applyNumberFormat="1" applyFont="1" applyBorder="1" applyAlignment="1">
      <alignment horizontal="center" vertical="center"/>
    </xf>
    <xf numFmtId="167" fontId="10" fillId="0" borderId="0" xfId="0" applyNumberFormat="1" applyFont="1" applyBorder="1" applyAlignment="1">
      <alignment horizontal="center" vertical="center" wrapText="1"/>
    </xf>
    <xf numFmtId="167" fontId="58" fillId="0" borderId="0" xfId="0" applyNumberFormat="1" applyFont="1" applyAlignment="1">
      <alignment horizontal="center"/>
    </xf>
    <xf numFmtId="167" fontId="1" fillId="0" borderId="0" xfId="0" applyNumberFormat="1" applyFont="1" applyAlignment="1">
      <alignment horizontal="center"/>
    </xf>
    <xf numFmtId="0" fontId="144" fillId="0" borderId="0" xfId="0" applyNumberFormat="1" applyFont="1" applyAlignment="1">
      <alignment horizontal="center" vertical="center" wrapText="1"/>
    </xf>
    <xf numFmtId="167" fontId="58" fillId="0" borderId="0" xfId="0" applyNumberFormat="1" applyFont="1" applyAlignment="1">
      <alignment horizontal="left"/>
    </xf>
    <xf numFmtId="167" fontId="57" fillId="0" borderId="0" xfId="0" applyNumberFormat="1" applyFont="1" applyAlignment="1">
      <alignment horizontal="center"/>
    </xf>
    <xf numFmtId="167" fontId="16" fillId="0" borderId="1" xfId="0" applyNumberFormat="1" applyFont="1" applyBorder="1" applyAlignment="1">
      <alignment vertical="center"/>
    </xf>
    <xf numFmtId="0" fontId="49" fillId="0" borderId="1" xfId="51" applyFont="1" applyBorder="1" applyAlignment="1">
      <alignment horizontal="center" vertical="center" wrapText="1"/>
    </xf>
    <xf numFmtId="173" fontId="16" fillId="0" borderId="1" xfId="51" applyNumberFormat="1" applyFont="1" applyBorder="1" applyAlignment="1">
      <alignment horizontal="center" vertical="center" wrapText="1"/>
    </xf>
    <xf numFmtId="173" fontId="16" fillId="0" borderId="1" xfId="51" applyNumberFormat="1" applyFont="1" applyFill="1" applyBorder="1" applyAlignment="1">
      <alignment horizontal="center" vertical="center" wrapText="1"/>
    </xf>
    <xf numFmtId="2" fontId="190" fillId="8" borderId="0" xfId="23" applyNumberFormat="1" applyFont="1" applyFill="1" applyBorder="1" applyAlignment="1">
      <alignment horizontal="center" vertical="center" wrapText="1"/>
    </xf>
    <xf numFmtId="0" fontId="190" fillId="8" borderId="0" xfId="23" applyNumberFormat="1" applyFont="1" applyFill="1" applyBorder="1" applyAlignment="1">
      <alignment horizontal="left" vertical="top" wrapText="1"/>
    </xf>
    <xf numFmtId="0" fontId="190" fillId="8" borderId="0" xfId="23" applyNumberFormat="1" applyFont="1" applyFill="1" applyBorder="1" applyAlignment="1">
      <alignment horizontal="center" vertical="center" wrapText="1"/>
    </xf>
    <xf numFmtId="2" fontId="190" fillId="8" borderId="1" xfId="23" applyNumberFormat="1" applyFont="1" applyFill="1" applyBorder="1" applyAlignment="1">
      <alignment horizontal="center" vertical="center" wrapText="1"/>
    </xf>
    <xf numFmtId="2" fontId="190" fillId="8" borderId="1" xfId="23" applyNumberFormat="1" applyFont="1" applyFill="1" applyBorder="1" applyAlignment="1">
      <alignment horizontal="left" vertical="top" wrapText="1"/>
    </xf>
    <xf numFmtId="0" fontId="190" fillId="8" borderId="1" xfId="23" applyNumberFormat="1" applyFont="1" applyFill="1" applyBorder="1" applyAlignment="1">
      <alignment horizontal="center" vertical="center"/>
    </xf>
    <xf numFmtId="0" fontId="190" fillId="8" borderId="27" xfId="23" applyNumberFormat="1" applyFont="1" applyFill="1" applyBorder="1" applyAlignment="1">
      <alignment horizontal="center" vertical="center" wrapText="1"/>
    </xf>
    <xf numFmtId="0" fontId="190" fillId="8" borderId="25" xfId="23" applyNumberFormat="1" applyFont="1" applyFill="1" applyBorder="1" applyAlignment="1">
      <alignment horizontal="center" vertical="center" wrapText="1"/>
    </xf>
    <xf numFmtId="0" fontId="51" fillId="0" borderId="27" xfId="0" applyNumberFormat="1" applyFont="1" applyFill="1" applyBorder="1" applyAlignment="1">
      <alignment horizontal="center" wrapText="1"/>
    </xf>
    <xf numFmtId="0" fontId="51" fillId="0" borderId="29" xfId="0" applyNumberFormat="1" applyFont="1" applyFill="1" applyBorder="1" applyAlignment="1">
      <alignment horizontal="center" wrapText="1"/>
    </xf>
    <xf numFmtId="0" fontId="51" fillId="0" borderId="25" xfId="0" applyNumberFormat="1" applyFont="1" applyFill="1" applyBorder="1" applyAlignment="1">
      <alignment horizontal="center" wrapText="1"/>
    </xf>
    <xf numFmtId="2" fontId="50" fillId="14" borderId="1" xfId="0" applyNumberFormat="1" applyFont="1" applyFill="1" applyBorder="1" applyAlignment="1">
      <alignment horizontal="center" vertical="center"/>
    </xf>
    <xf numFmtId="0" fontId="50" fillId="14" borderId="1" xfId="0" applyNumberFormat="1" applyFont="1" applyFill="1" applyBorder="1" applyAlignment="1">
      <alignment horizontal="center" vertical="center"/>
    </xf>
    <xf numFmtId="0" fontId="51" fillId="14" borderId="1" xfId="0" applyNumberFormat="1" applyFont="1" applyFill="1" applyBorder="1" applyAlignment="1">
      <alignment horizontal="center" vertical="center"/>
    </xf>
    <xf numFmtId="0" fontId="51" fillId="8" borderId="1" xfId="0" applyNumberFormat="1" applyFont="1" applyFill="1" applyBorder="1" applyAlignment="1">
      <alignment horizontal="center" vertical="center"/>
    </xf>
    <xf numFmtId="0" fontId="51" fillId="14" borderId="27" xfId="0" applyNumberFormat="1" applyFont="1" applyFill="1" applyBorder="1" applyAlignment="1">
      <alignment horizontal="center" vertical="center" wrapText="1"/>
    </xf>
    <xf numFmtId="0" fontId="51" fillId="14" borderId="29" xfId="0" applyNumberFormat="1" applyFont="1" applyFill="1" applyBorder="1" applyAlignment="1">
      <alignment horizontal="center" vertical="center" wrapText="1"/>
    </xf>
    <xf numFmtId="0" fontId="51" fillId="14" borderId="25" xfId="0" applyNumberFormat="1" applyFont="1" applyFill="1" applyBorder="1" applyAlignment="1">
      <alignment horizontal="center" vertical="center" wrapText="1"/>
    </xf>
    <xf numFmtId="0" fontId="50" fillId="0" borderId="1" xfId="0" applyNumberFormat="1" applyFont="1" applyFill="1" applyBorder="1" applyAlignment="1">
      <alignment horizontal="center" vertical="center"/>
    </xf>
    <xf numFmtId="167" fontId="41" fillId="0" borderId="0" xfId="0" applyNumberFormat="1" applyFont="1" applyAlignment="1">
      <alignment horizontal="center"/>
    </xf>
    <xf numFmtId="167" fontId="10" fillId="0" borderId="0" xfId="0" quotePrefix="1" applyNumberFormat="1" applyFont="1" applyAlignment="1" applyProtection="1">
      <alignment horizontal="center"/>
    </xf>
    <xf numFmtId="167" fontId="10" fillId="0" borderId="0" xfId="0" applyNumberFormat="1" applyFont="1" applyAlignment="1" applyProtection="1">
      <alignment horizontal="center"/>
    </xf>
    <xf numFmtId="167" fontId="10" fillId="0" borderId="0" xfId="0" applyNumberFormat="1" applyFont="1" applyAlignment="1" applyProtection="1">
      <alignment horizontal="center" wrapText="1"/>
    </xf>
    <xf numFmtId="167" fontId="11" fillId="0" borderId="0" xfId="0" applyNumberFormat="1" applyFont="1" applyAlignment="1">
      <alignment horizontal="center"/>
    </xf>
    <xf numFmtId="167" fontId="36" fillId="0" borderId="0" xfId="0" applyNumberFormat="1" applyFont="1" applyAlignment="1">
      <alignment horizontal="center"/>
    </xf>
    <xf numFmtId="167" fontId="11" fillId="0" borderId="0" xfId="0" applyNumberFormat="1" applyFont="1" applyAlignment="1">
      <alignment vertical="top" wrapText="1"/>
    </xf>
    <xf numFmtId="167" fontId="10" fillId="0" borderId="0" xfId="0" applyNumberFormat="1" applyFont="1" applyAlignment="1">
      <alignment vertical="top"/>
    </xf>
    <xf numFmtId="167" fontId="11" fillId="0" borderId="0" xfId="0" applyNumberFormat="1" applyFont="1" applyAlignment="1" applyProtection="1">
      <alignment horizontal="left" vertical="top"/>
    </xf>
    <xf numFmtId="167" fontId="11" fillId="0" borderId="0" xfId="0" applyNumberFormat="1" applyFont="1" applyAlignment="1" applyProtection="1">
      <alignment vertical="top"/>
    </xf>
    <xf numFmtId="0" fontId="43" fillId="0" borderId="0" xfId="0" applyNumberFormat="1" applyFont="1" applyAlignment="1">
      <alignment horizontal="center" wrapText="1"/>
    </xf>
    <xf numFmtId="167" fontId="10" fillId="9" borderId="0" xfId="0" applyNumberFormat="1" applyFont="1" applyFill="1" applyAlignment="1" applyProtection="1">
      <alignment horizontal="left" vertical="top" wrapText="1"/>
    </xf>
    <xf numFmtId="167" fontId="10" fillId="10" borderId="0" xfId="0" applyNumberFormat="1" applyFont="1" applyFill="1" applyAlignment="1" applyProtection="1">
      <alignment horizontal="left" vertical="top" wrapText="1"/>
    </xf>
    <xf numFmtId="0" fontId="10" fillId="0" borderId="0" xfId="0" applyNumberFormat="1" applyFont="1" applyBorder="1" applyAlignment="1">
      <alignment horizontal="center"/>
    </xf>
    <xf numFmtId="0" fontId="212" fillId="0" borderId="0" xfId="0" applyNumberFormat="1" applyFont="1" applyBorder="1" applyAlignment="1">
      <alignment horizontal="center" wrapText="1"/>
    </xf>
    <xf numFmtId="167" fontId="41" fillId="0" borderId="0" xfId="0" applyNumberFormat="1" applyFont="1" applyAlignment="1">
      <alignment horizontal="center" wrapText="1"/>
    </xf>
    <xf numFmtId="167" fontId="11" fillId="0" borderId="0" xfId="0" applyNumberFormat="1" applyFont="1" applyAlignment="1">
      <alignment horizontal="right"/>
    </xf>
    <xf numFmtId="172" fontId="10" fillId="0" borderId="0" xfId="0" applyNumberFormat="1" applyFont="1" applyAlignment="1">
      <alignment horizontal="right"/>
    </xf>
    <xf numFmtId="167" fontId="10" fillId="0" borderId="0" xfId="0" applyNumberFormat="1" applyFont="1" applyAlignment="1">
      <alignment horizontal="center"/>
    </xf>
    <xf numFmtId="167" fontId="19" fillId="0" borderId="27" xfId="0" applyNumberFormat="1" applyFont="1" applyFill="1" applyBorder="1" applyAlignment="1">
      <alignment horizontal="center" wrapText="1"/>
    </xf>
    <xf numFmtId="0" fontId="19" fillId="0" borderId="29" xfId="0" applyNumberFormat="1" applyFont="1" applyFill="1" applyBorder="1" applyAlignment="1">
      <alignment horizontal="center"/>
    </xf>
    <xf numFmtId="0" fontId="19" fillId="0" borderId="25" xfId="0" applyNumberFormat="1" applyFont="1" applyFill="1" applyBorder="1" applyAlignment="1">
      <alignment horizontal="center" vertical="center"/>
    </xf>
    <xf numFmtId="0" fontId="6" fillId="0" borderId="27" xfId="0" applyNumberFormat="1" applyFont="1" applyFill="1" applyBorder="1" applyAlignment="1">
      <alignment horizontal="center"/>
    </xf>
    <xf numFmtId="0" fontId="6" fillId="0" borderId="29" xfId="0" applyNumberFormat="1" applyFont="1" applyFill="1" applyBorder="1" applyAlignment="1">
      <alignment horizontal="center"/>
    </xf>
    <xf numFmtId="0" fontId="6" fillId="0" borderId="25" xfId="0" applyNumberFormat="1" applyFont="1" applyFill="1" applyBorder="1" applyAlignment="1">
      <alignment horizontal="center" vertical="center"/>
    </xf>
    <xf numFmtId="180" fontId="10" fillId="17" borderId="1" xfId="37" applyNumberFormat="1" applyFont="1" applyFill="1" applyBorder="1" applyAlignment="1">
      <alignment horizontal="center" vertical="center"/>
    </xf>
    <xf numFmtId="2" fontId="25" fillId="8" borderId="1" xfId="37" applyNumberFormat="1" applyFont="1" applyFill="1" applyBorder="1" applyAlignment="1">
      <alignment horizontal="center" vertical="top" wrapText="1"/>
    </xf>
    <xf numFmtId="167" fontId="118" fillId="8" borderId="1" xfId="43" applyFont="1" applyFill="1" applyBorder="1" applyAlignment="1">
      <alignment horizontal="center" vertical="center"/>
    </xf>
    <xf numFmtId="174" fontId="119" fillId="8" borderId="1" xfId="43" applyNumberFormat="1" applyFont="1" applyFill="1" applyBorder="1" applyAlignment="1">
      <alignment horizontal="center" vertical="center"/>
    </xf>
    <xf numFmtId="167" fontId="41" fillId="8" borderId="1" xfId="43" applyFont="1" applyFill="1" applyBorder="1" applyAlignment="1">
      <alignment horizontal="center" vertical="top" wrapText="1"/>
    </xf>
    <xf numFmtId="171" fontId="41" fillId="8" borderId="1" xfId="43" applyNumberFormat="1" applyFont="1" applyFill="1" applyBorder="1" applyAlignment="1">
      <alignment horizontal="center" vertical="center"/>
    </xf>
    <xf numFmtId="167" fontId="41" fillId="8" borderId="1" xfId="43" applyFont="1" applyFill="1" applyBorder="1" applyAlignment="1">
      <alignment horizontal="center" vertical="center"/>
    </xf>
    <xf numFmtId="0" fontId="16" fillId="0" borderId="10" xfId="51" applyFont="1" applyBorder="1" applyAlignment="1">
      <alignment horizontal="center" vertical="center" wrapText="1"/>
    </xf>
    <xf numFmtId="167" fontId="16" fillId="0" borderId="10" xfId="0" applyNumberFormat="1" applyFont="1" applyBorder="1"/>
    <xf numFmtId="167" fontId="43" fillId="0" borderId="0" xfId="0" applyNumberFormat="1" applyFont="1" applyBorder="1" applyAlignment="1">
      <alignment horizontal="center" vertical="center"/>
    </xf>
    <xf numFmtId="167" fontId="43" fillId="0" borderId="0" xfId="0" applyNumberFormat="1" applyFont="1" applyBorder="1"/>
    <xf numFmtId="167" fontId="31" fillId="0" borderId="10" xfId="0" applyNumberFormat="1" applyFont="1" applyBorder="1" applyAlignment="1">
      <alignment horizontal="right" vertical="center"/>
    </xf>
    <xf numFmtId="167" fontId="31" fillId="0" borderId="0" xfId="0" applyNumberFormat="1" applyFont="1" applyBorder="1" applyAlignment="1">
      <alignment horizontal="right"/>
    </xf>
    <xf numFmtId="0" fontId="49" fillId="0" borderId="27" xfId="51" applyFont="1" applyBorder="1" applyAlignment="1">
      <alignment horizontal="left" vertical="center" wrapText="1"/>
    </xf>
    <xf numFmtId="0" fontId="49" fillId="0" borderId="29" xfId="51" applyFont="1" applyBorder="1" applyAlignment="1">
      <alignment horizontal="left" vertical="center" wrapText="1"/>
    </xf>
    <xf numFmtId="0" fontId="49" fillId="0" borderId="25" xfId="51" applyFont="1" applyBorder="1" applyAlignment="1">
      <alignment horizontal="left" vertical="center" wrapText="1"/>
    </xf>
    <xf numFmtId="167" fontId="136" fillId="0" borderId="0" xfId="0" applyNumberFormat="1" applyFont="1" applyBorder="1" applyAlignment="1">
      <alignment horizontal="center" vertical="center"/>
    </xf>
    <xf numFmtId="0" fontId="137" fillId="0" borderId="0" xfId="51" applyFont="1" applyBorder="1" applyAlignment="1">
      <alignment horizontal="center" vertical="center" wrapText="1"/>
    </xf>
    <xf numFmtId="167" fontId="25" fillId="0" borderId="0" xfId="51" applyNumberFormat="1" applyFont="1" applyBorder="1" applyAlignment="1">
      <alignment horizontal="center" vertical="center" wrapText="1"/>
    </xf>
    <xf numFmtId="0" fontId="25" fillId="0" borderId="0" xfId="51" applyFont="1" applyBorder="1" applyAlignment="1">
      <alignment horizontal="center" vertical="center" wrapText="1"/>
    </xf>
    <xf numFmtId="167" fontId="49" fillId="0" borderId="10" xfId="0" applyNumberFormat="1" applyFont="1" applyBorder="1" applyAlignment="1">
      <alignment vertical="center" wrapText="1"/>
    </xf>
    <xf numFmtId="173" fontId="14" fillId="0" borderId="5" xfId="50" applyNumberFormat="1" applyFont="1" applyFill="1" applyBorder="1" applyAlignment="1">
      <alignment horizontal="center" vertical="center" wrapText="1"/>
    </xf>
    <xf numFmtId="173" fontId="14" fillId="0" borderId="5" xfId="0" applyNumberFormat="1" applyFont="1" applyFill="1" applyBorder="1" applyAlignment="1">
      <alignment horizontal="center" vertical="center" wrapText="1"/>
    </xf>
    <xf numFmtId="173" fontId="14" fillId="0" borderId="5" xfId="0" applyNumberFormat="1" applyFont="1" applyFill="1" applyBorder="1" applyAlignment="1">
      <alignment horizontal="center" vertical="center"/>
    </xf>
    <xf numFmtId="174" fontId="14" fillId="0" borderId="5" xfId="50" applyNumberFormat="1" applyFont="1" applyFill="1" applyBorder="1" applyAlignment="1">
      <alignment horizontal="center" vertical="center" wrapText="1"/>
    </xf>
    <xf numFmtId="174" fontId="14" fillId="0" borderId="5" xfId="0" applyNumberFormat="1" applyFont="1" applyFill="1" applyBorder="1" applyAlignment="1">
      <alignment horizontal="center" vertical="center"/>
    </xf>
    <xf numFmtId="175" fontId="14" fillId="0" borderId="5" xfId="50" applyNumberFormat="1" applyFont="1" applyFill="1" applyBorder="1" applyAlignment="1">
      <alignment horizontal="center" vertical="center" wrapText="1"/>
    </xf>
    <xf numFmtId="167" fontId="15" fillId="0" borderId="5" xfId="0" applyNumberFormat="1" applyFont="1" applyFill="1" applyBorder="1" applyAlignment="1">
      <alignment horizontal="center" vertical="center"/>
    </xf>
    <xf numFmtId="2" fontId="16" fillId="0" borderId="5" xfId="51" applyNumberFormat="1" applyFont="1" applyFill="1" applyBorder="1" applyAlignment="1">
      <alignment horizontal="center" vertical="center" wrapText="1"/>
    </xf>
    <xf numFmtId="173" fontId="15" fillId="0" borderId="5" xfId="50" applyNumberFormat="1" applyFont="1" applyFill="1" applyBorder="1" applyAlignment="1">
      <alignment horizontal="center" vertical="center" wrapText="1"/>
    </xf>
    <xf numFmtId="2" fontId="14" fillId="0" borderId="5" xfId="50" applyNumberFormat="1" applyFont="1" applyFill="1" applyBorder="1" applyAlignment="1">
      <alignment horizontal="justify" vertical="center" wrapText="1"/>
    </xf>
    <xf numFmtId="2" fontId="15" fillId="0" borderId="5" xfId="50" applyNumberFormat="1" applyFont="1" applyFill="1" applyBorder="1" applyAlignment="1">
      <alignment horizontal="justify" vertical="center" wrapText="1"/>
    </xf>
    <xf numFmtId="167" fontId="15" fillId="0" borderId="5" xfId="0" applyNumberFormat="1" applyFont="1" applyFill="1" applyBorder="1" applyAlignment="1">
      <alignment horizontal="justify" vertical="center" wrapText="1"/>
    </xf>
    <xf numFmtId="2" fontId="14" fillId="0" borderId="5" xfId="51" applyNumberFormat="1" applyFont="1" applyFill="1" applyBorder="1" applyAlignment="1">
      <alignment horizontal="justify" vertical="center" wrapText="1"/>
    </xf>
    <xf numFmtId="167" fontId="14" fillId="0" borderId="5" xfId="0" applyNumberFormat="1" applyFont="1" applyFill="1" applyBorder="1" applyAlignment="1">
      <alignment horizontal="justify" vertical="center" wrapText="1"/>
    </xf>
    <xf numFmtId="0" fontId="14" fillId="0" borderId="5" xfId="0" applyNumberFormat="1" applyFont="1" applyFill="1" applyBorder="1" applyAlignment="1">
      <alignment horizontal="justify" vertical="center" wrapText="1"/>
    </xf>
    <xf numFmtId="167" fontId="17" fillId="0" borderId="5" xfId="0" applyNumberFormat="1" applyFont="1" applyFill="1" applyBorder="1" applyAlignment="1">
      <alignment horizontal="justify" vertical="center" wrapText="1"/>
    </xf>
    <xf numFmtId="2" fontId="15" fillId="0" borderId="5" xfId="51" applyNumberFormat="1" applyFont="1" applyFill="1" applyBorder="1" applyAlignment="1">
      <alignment horizontal="justify" vertical="center" wrapText="1"/>
    </xf>
    <xf numFmtId="0" fontId="14" fillId="0" borderId="5" xfId="15" applyNumberFormat="1" applyFont="1" applyFill="1" applyBorder="1" applyAlignment="1">
      <alignment horizontal="justify" vertical="center" wrapText="1"/>
    </xf>
    <xf numFmtId="2" fontId="17" fillId="0" borderId="5" xfId="51" applyNumberFormat="1" applyFont="1" applyFill="1" applyBorder="1" applyAlignment="1">
      <alignment horizontal="justify" vertical="center" wrapText="1"/>
    </xf>
    <xf numFmtId="167" fontId="18" fillId="0" borderId="5" xfId="0" applyNumberFormat="1" applyFont="1" applyFill="1" applyBorder="1" applyAlignment="1">
      <alignment horizontal="justify" vertical="center" wrapText="1"/>
    </xf>
    <xf numFmtId="167" fontId="14" fillId="0" borderId="0" xfId="0" applyNumberFormat="1" applyFont="1" applyFill="1" applyBorder="1" applyAlignment="1">
      <alignment horizontal="justify" vertical="center" wrapText="1"/>
    </xf>
    <xf numFmtId="2" fontId="14" fillId="0" borderId="5" xfId="52" applyNumberFormat="1" applyFont="1" applyFill="1" applyBorder="1" applyAlignment="1">
      <alignment horizontal="justify" vertical="center" wrapText="1"/>
    </xf>
    <xf numFmtId="167" fontId="19" fillId="0" borderId="5" xfId="0" applyNumberFormat="1" applyFont="1" applyFill="1" applyBorder="1" applyAlignment="1">
      <alignment horizontal="justify" vertical="center" wrapText="1"/>
    </xf>
    <xf numFmtId="0" fontId="15" fillId="0" borderId="5" xfId="45" applyFont="1" applyFill="1" applyBorder="1" applyAlignment="1">
      <alignment horizontal="justify" vertical="center" wrapText="1"/>
    </xf>
    <xf numFmtId="167" fontId="61" fillId="0" borderId="5" xfId="0" applyNumberFormat="1" applyFont="1" applyFill="1" applyBorder="1" applyAlignment="1">
      <alignment horizontal="justify" vertical="center" wrapText="1"/>
    </xf>
    <xf numFmtId="0" fontId="15" fillId="0" borderId="5" xfId="0" applyNumberFormat="1" applyFont="1" applyFill="1" applyBorder="1" applyAlignment="1">
      <alignment horizontal="justify" vertical="center" wrapText="1"/>
    </xf>
    <xf numFmtId="0" fontId="17" fillId="0" borderId="5" xfId="0" applyNumberFormat="1" applyFont="1" applyFill="1" applyBorder="1" applyAlignment="1">
      <alignment horizontal="justify" vertical="center" wrapText="1"/>
    </xf>
    <xf numFmtId="2" fontId="20" fillId="0" borderId="5" xfId="14" applyNumberFormat="1" applyFont="1" applyFill="1" applyBorder="1" applyAlignment="1">
      <alignment horizontal="justify" vertical="center" wrapText="1"/>
    </xf>
    <xf numFmtId="167" fontId="15" fillId="0" borderId="0" xfId="0" applyNumberFormat="1" applyFont="1" applyFill="1" applyBorder="1" applyAlignment="1">
      <alignment horizontal="justify" vertical="center" wrapText="1"/>
    </xf>
    <xf numFmtId="2" fontId="14" fillId="0" borderId="0" xfId="50" applyNumberFormat="1" applyFont="1" applyFill="1" applyBorder="1" applyAlignment="1">
      <alignment horizontal="justify" vertical="center" wrapText="1"/>
    </xf>
    <xf numFmtId="2" fontId="15" fillId="0" borderId="0" xfId="50" applyNumberFormat="1" applyFont="1" applyFill="1" applyBorder="1" applyAlignment="1">
      <alignment horizontal="justify" vertical="center" wrapText="1"/>
    </xf>
    <xf numFmtId="167" fontId="14" fillId="0" borderId="0" xfId="0" applyNumberFormat="1" applyFont="1" applyFill="1" applyAlignment="1">
      <alignment horizontal="justify" vertical="center" wrapText="1"/>
    </xf>
    <xf numFmtId="167" fontId="15" fillId="0" borderId="24" xfId="0" applyNumberFormat="1" applyFont="1" applyFill="1" applyBorder="1" applyAlignment="1">
      <alignment horizontal="center" vertical="center" wrapText="1"/>
    </xf>
    <xf numFmtId="167" fontId="15" fillId="0" borderId="30" xfId="0" applyNumberFormat="1" applyFont="1" applyFill="1" applyBorder="1" applyAlignment="1">
      <alignment horizontal="center" vertical="center" wrapText="1"/>
    </xf>
  </cellXfs>
  <cellStyles count="62">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xfId="11"/>
    <cellStyle name="Normal 11 2" xfId="12"/>
    <cellStyle name="Normal 13" xfId="13"/>
    <cellStyle name="Normal 15 5" xfId="14"/>
    <cellStyle name="Normal 2" xfId="15"/>
    <cellStyle name="Normal 2 13" xfId="16"/>
    <cellStyle name="Normal 2 2" xfId="17"/>
    <cellStyle name="Normal 2 2 2" xfId="18"/>
    <cellStyle name="Normal 2 3" xfId="19"/>
    <cellStyle name="Normal 2 3 2" xfId="20"/>
    <cellStyle name="Normal 2 4" xfId="21"/>
    <cellStyle name="Normal 2 5" xfId="22"/>
    <cellStyle name="Normal 3" xfId="23"/>
    <cellStyle name="Normal 3 2" xfId="24"/>
    <cellStyle name="Normal 3 2 2" xfId="25"/>
    <cellStyle name="Normal 3 2 2 2" xfId="26"/>
    <cellStyle name="Normal 3 2 2 2 4" xfId="27"/>
    <cellStyle name="Normal 3 2 2 4" xfId="28"/>
    <cellStyle name="Normal 3 2 3" xfId="29"/>
    <cellStyle name="Normal 3 4" xfId="30"/>
    <cellStyle name="Normal 4" xfId="31"/>
    <cellStyle name="Normal 5" xfId="32"/>
    <cellStyle name="Normal 5 2" xfId="33"/>
    <cellStyle name="Normal 5 3" xfId="34"/>
    <cellStyle name="Normal 5 4" xfId="35"/>
    <cellStyle name="Normal 5 5" xfId="36"/>
    <cellStyle name="Normal 5 6" xfId="37"/>
    <cellStyle name="Normal 6" xfId="38"/>
    <cellStyle name="Normal 7" xfId="39"/>
    <cellStyle name="Normal 7 2" xfId="40"/>
    <cellStyle name="Normal 8" xfId="41"/>
    <cellStyle name="Normal 8 2" xfId="42"/>
    <cellStyle name="Normal 9" xfId="43"/>
    <cellStyle name="Normal_Alandur Detail" xfId="44"/>
    <cellStyle name="Normal_Alandur Detail 2" xfId="45"/>
    <cellStyle name="Normal_Alandur Detail 2 2" xfId="46"/>
    <cellStyle name="Normal_chengai" xfId="47"/>
    <cellStyle name="Normal_June-2004" xfId="48"/>
    <cellStyle name="Normal_June-2004 2" xfId="49"/>
    <cellStyle name="Normal_Phase XI QS" xfId="50"/>
    <cellStyle name="Normal_Phase XI QS 2" xfId="51"/>
    <cellStyle name="Normal_Phase XI QS 3" xfId="52"/>
    <cellStyle name="Normal_Phase XI QS 4" xfId="53"/>
    <cellStyle name="Normal_test-1" xfId="54"/>
    <cellStyle name="Normal_Triplicane qtrs " xfId="55"/>
    <cellStyle name="Percent" xfId="56" builtinId="5"/>
    <cellStyle name="Percent [2]" xfId="57"/>
    <cellStyle name="Percent 2" xfId="58"/>
    <cellStyle name="Percent 3" xfId="59"/>
    <cellStyle name="Style 1" xfId="60"/>
    <cellStyle name="Times New Roman" xfId="6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25728" name="Text Box 1"/>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457200</xdr:colOff>
      <xdr:row>4912</xdr:row>
      <xdr:rowOff>190500</xdr:rowOff>
    </xdr:from>
    <xdr:to>
      <xdr:col>14</xdr:col>
      <xdr:colOff>552450</xdr:colOff>
      <xdr:row>4913</xdr:row>
      <xdr:rowOff>19050</xdr:rowOff>
    </xdr:to>
    <xdr:sp macro="" textlink="">
      <xdr:nvSpPr>
        <xdr:cNvPr id="126752" name="Text Box 1"/>
        <xdr:cNvSpPr txBox="1">
          <a:spLocks noChangeArrowheads="1"/>
        </xdr:cNvSpPr>
      </xdr:nvSpPr>
      <xdr:spPr bwMode="auto">
        <a:xfrm>
          <a:off x="10839450" y="1143638175"/>
          <a:ext cx="95250" cy="28575"/>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552450</xdr:colOff>
      <xdr:row>7793</xdr:row>
      <xdr:rowOff>200025</xdr:rowOff>
    </xdr:to>
    <xdr:sp macro="" textlink="">
      <xdr:nvSpPr>
        <xdr:cNvPr id="148384" name="Text Box 1"/>
        <xdr:cNvSpPr txBox="1">
          <a:spLocks noChangeArrowheads="1"/>
        </xdr:cNvSpPr>
      </xdr:nvSpPr>
      <xdr:spPr bwMode="auto">
        <a:xfrm>
          <a:off x="21678900" y="2416683000"/>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48385" name="Text Box 2"/>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48386" name="Text Box 2"/>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48387" name="Text Box 1"/>
        <xdr:cNvSpPr txBox="1">
          <a:spLocks noChangeArrowheads="1"/>
        </xdr:cNvSpPr>
      </xdr:nvSpPr>
      <xdr:spPr bwMode="auto">
        <a:xfrm>
          <a:off x="21678900" y="2416378200"/>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48388" name="Text Box 2"/>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5%20Harbour/Final%20Esti/Vepery%20DC%20office%20Estimat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c%20office/final%20Vepery%20DC%20office%20%20%202021-2022%2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ata%202021-2022/Revised%20Data%202021-2022%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ata%202022-2023/Madurai%20city%20AR%20%20%2022-23%20%20%20%2025.07.2022.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ile data ( M30 grade) (2)"/>
      <sheetName val="abs"/>
      <sheetName val="Main work detail"/>
      <sheetName val="Abstract "/>
      <sheetName val="steel (2)"/>
      <sheetName val="C.WALL"/>
      <sheetName val="G. Abstract"/>
      <sheetName val="pile data "/>
      <sheetName val="  Coastal  Elec.Data "/>
      <sheetName val="lead  charge"/>
      <sheetName val="Elec.Data"/>
      <sheetName val="Data"/>
      <sheetName val="Sliding and french window"/>
      <sheetName val="Main work detaile"/>
      <sheetName val="building"/>
      <sheetName val="building (3)"/>
      <sheetName val="building (2)"/>
      <sheetName val="BORE"/>
      <sheetName val="sump"/>
      <sheetName val="joanu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
          <cell r="G2" t="str">
            <v>Borewell &amp; External water Supply</v>
          </cell>
          <cell r="I2" t="str">
            <v>Sump</v>
          </cell>
        </row>
      </sheetData>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Sheet2"/>
      <sheetName val="Main work detaile"/>
      <sheetName val="Sump"/>
      <sheetName val="BORE"/>
      <sheetName val="Sheet1"/>
      <sheetName val="G. Abstract"/>
      <sheetName val="genset"/>
      <sheetName val="building (2)"/>
      <sheetName val="building"/>
      <sheetName val="open (coac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
      <sheetName val="G. Abstract"/>
      <sheetName val="pile data "/>
      <sheetName val="  Coastal  Elec.Data "/>
      <sheetName val="Chart1"/>
      <sheetName val="lead  charge"/>
      <sheetName val="Elec.Data"/>
      <sheetName val="Data"/>
      <sheetName val="building"/>
      <sheetName val="Sliding and french window"/>
    </sheetNames>
    <sheetDataSet>
      <sheetData sheetId="0"/>
      <sheetData sheetId="1"/>
      <sheetData sheetId="2"/>
      <sheetData sheetId="3"/>
      <sheetData sheetId="4"/>
      <sheetData sheetId="5"/>
      <sheetData sheetId="6"/>
      <sheetData sheetId="7"/>
      <sheetData sheetId="8">
        <row r="31">
          <cell r="Y31">
            <v>5960</v>
          </cell>
        </row>
      </sheetData>
      <sheetData sheetId="9"/>
      <sheetData sheetId="10"/>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sheetData sheetId="1"/>
      <sheetData sheetId="2"/>
      <sheetData sheetId="3"/>
      <sheetData sheetId="4"/>
      <sheetData sheetId="5"/>
      <sheetData sheetId="6">
        <row r="3597">
          <cell r="X3597">
            <v>213.6</v>
          </cell>
        </row>
      </sheetData>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Sheet18"/>
  <dimension ref="A1:J9834"/>
  <sheetViews>
    <sheetView showZeros="0" view="pageBreakPreview" topLeftCell="A538" zoomScale="90" workbookViewId="0">
      <selection activeCell="C464" sqref="C464"/>
    </sheetView>
  </sheetViews>
  <sheetFormatPr defaultColWidth="6.77734375" defaultRowHeight="15"/>
  <cols>
    <col min="1" max="1" width="9.21875" style="2" bestFit="1" customWidth="1"/>
    <col min="2" max="2" width="7.88671875" style="2" bestFit="1" customWidth="1"/>
    <col min="3" max="3" width="44.88671875" style="2" customWidth="1"/>
    <col min="4" max="4" width="12.109375" style="2" customWidth="1"/>
    <col min="5" max="5" width="10.33203125" style="2" customWidth="1"/>
    <col min="6" max="6" width="13.109375" style="2" customWidth="1"/>
    <col min="7" max="7" width="9.44140625" style="2" bestFit="1" customWidth="1"/>
    <col min="8" max="16384" width="6.77734375" style="2"/>
  </cols>
  <sheetData>
    <row r="1" spans="1:6" s="1225" customFormat="1" ht="17.25" customHeight="1"/>
    <row r="2" spans="1:6" s="1225" customFormat="1" ht="17.25" customHeight="1">
      <c r="A2" s="1632">
        <f>Data!F1</f>
        <v>0</v>
      </c>
      <c r="B2" s="1632">
        <f>Data!G1</f>
        <v>0</v>
      </c>
      <c r="C2" s="1632" t="str">
        <f>Data!H1</f>
        <v>TAMIL NADU POLICE HOUSING CORPORATION</v>
      </c>
      <c r="D2" s="1632">
        <f>Data!I1</f>
        <v>0</v>
      </c>
      <c r="E2" s="1632">
        <f>Data!J1</f>
        <v>0</v>
      </c>
      <c r="F2" s="1632">
        <f>Data!K1</f>
        <v>0</v>
      </c>
    </row>
    <row r="3" spans="1:6" s="1225" customFormat="1" ht="17.25" customHeight="1">
      <c r="A3" s="1632">
        <f>Data!F2</f>
        <v>0</v>
      </c>
      <c r="B3" s="1632">
        <f>Data!G2</f>
        <v>0</v>
      </c>
      <c r="C3" s="1632" t="str">
        <f>Data!H2</f>
        <v>======================================</v>
      </c>
      <c r="D3" s="1632">
        <f>Data!I2</f>
        <v>0</v>
      </c>
      <c r="E3" s="1632">
        <f>Data!J2</f>
        <v>0</v>
      </c>
      <c r="F3" s="1632">
        <f>Data!K2</f>
        <v>0</v>
      </c>
    </row>
    <row r="4" spans="1:6" s="1225" customFormat="1" ht="17.25" customHeight="1">
      <c r="A4" s="1632" t="s">
        <v>91</v>
      </c>
      <c r="B4" s="1632" t="s">
        <v>85</v>
      </c>
      <c r="C4" s="1632" t="s">
        <v>7382</v>
      </c>
      <c r="D4" s="1632"/>
      <c r="E4" s="1632" t="s">
        <v>3877</v>
      </c>
      <c r="F4" s="1632"/>
    </row>
    <row r="5" spans="1:6" s="1225" customFormat="1" ht="17.25" customHeight="1">
      <c r="A5" s="1632" t="s">
        <v>95</v>
      </c>
      <c r="B5" s="1632" t="s">
        <v>85</v>
      </c>
      <c r="C5" s="1632" t="s">
        <v>96</v>
      </c>
      <c r="D5" s="1632" t="s">
        <v>97</v>
      </c>
      <c r="E5" s="1632" t="s">
        <v>98</v>
      </c>
      <c r="F5" s="1632" t="s">
        <v>99</v>
      </c>
    </row>
    <row r="6" spans="1:6" s="1225" customFormat="1" ht="17.25" customHeight="1"/>
    <row r="7" spans="1:6" s="1225" customFormat="1" ht="17.25" customHeight="1">
      <c r="B7" s="1225" t="s">
        <v>111</v>
      </c>
      <c r="C7" s="1632" t="s">
        <v>112</v>
      </c>
    </row>
    <row r="8" spans="1:6" s="1225" customFormat="1" ht="17.25" customHeight="1">
      <c r="C8" s="1225" t="s">
        <v>52</v>
      </c>
    </row>
    <row r="9" spans="1:6" s="1225" customFormat="1" ht="17.25" customHeight="1">
      <c r="A9" s="1225">
        <v>0.96</v>
      </c>
      <c r="B9" s="1225" t="s">
        <v>122</v>
      </c>
      <c r="C9" s="1225" t="s">
        <v>123</v>
      </c>
      <c r="D9" s="1225">
        <v>6040</v>
      </c>
      <c r="E9" s="1225" t="s">
        <v>122</v>
      </c>
      <c r="F9" s="1225">
        <v>5798.4</v>
      </c>
    </row>
    <row r="10" spans="1:6" s="1225" customFormat="1" ht="17.25" customHeight="1">
      <c r="A10" s="1225">
        <v>1</v>
      </c>
      <c r="B10" s="1225" t="s">
        <v>132</v>
      </c>
      <c r="C10" s="1225" t="s">
        <v>133</v>
      </c>
      <c r="D10" s="1225">
        <v>1642.42</v>
      </c>
      <c r="E10" s="1225" t="s">
        <v>132</v>
      </c>
      <c r="F10" s="1225">
        <v>1642.42</v>
      </c>
    </row>
    <row r="11" spans="1:6" s="1225" customFormat="1" ht="17.25" customHeight="1">
      <c r="A11" s="1225">
        <v>1</v>
      </c>
      <c r="B11" s="1225" t="s">
        <v>132</v>
      </c>
      <c r="C11" s="1225" t="s">
        <v>138</v>
      </c>
      <c r="D11" s="1225">
        <v>121</v>
      </c>
      <c r="E11" s="1225" t="s">
        <v>132</v>
      </c>
      <c r="F11" s="1225">
        <v>121</v>
      </c>
    </row>
    <row r="12" spans="1:6" s="1225" customFormat="1" ht="17.25" customHeight="1">
      <c r="B12" s="1225" t="s">
        <v>145</v>
      </c>
      <c r="C12" s="1225" t="s">
        <v>146</v>
      </c>
      <c r="D12" s="1225" t="s">
        <v>85</v>
      </c>
      <c r="E12" s="1225" t="s">
        <v>145</v>
      </c>
    </row>
    <row r="13" spans="1:6" s="1225" customFormat="1" ht="17.25" customHeight="1">
      <c r="F13" s="1225" t="s">
        <v>52</v>
      </c>
    </row>
    <row r="14" spans="1:6" s="1225" customFormat="1" ht="17.25" customHeight="1">
      <c r="C14" s="1225" t="s">
        <v>155</v>
      </c>
      <c r="F14" s="1225">
        <v>7561.82</v>
      </c>
    </row>
    <row r="15" spans="1:6" s="1225" customFormat="1" ht="17.25" customHeight="1">
      <c r="F15" s="1225" t="s">
        <v>52</v>
      </c>
    </row>
    <row r="16" spans="1:6" s="1225" customFormat="1" ht="17.25" customHeight="1">
      <c r="B16" s="1225" t="s">
        <v>111</v>
      </c>
      <c r="C16" s="1632" t="s">
        <v>164</v>
      </c>
    </row>
    <row r="17" spans="1:6" s="1225" customFormat="1" ht="17.25" customHeight="1">
      <c r="C17" s="1225" t="s">
        <v>52</v>
      </c>
    </row>
    <row r="18" spans="1:6" s="1225" customFormat="1" ht="17.25" customHeight="1">
      <c r="A18" s="1225">
        <v>0.72</v>
      </c>
      <c r="B18" s="1225" t="s">
        <v>122</v>
      </c>
      <c r="C18" s="1225" t="s">
        <v>123</v>
      </c>
      <c r="D18" s="1225">
        <v>6040</v>
      </c>
      <c r="E18" s="1225" t="s">
        <v>122</v>
      </c>
      <c r="F18" s="1225">
        <v>4348.8</v>
      </c>
    </row>
    <row r="19" spans="1:6" s="1225" customFormat="1" ht="17.25" customHeight="1">
      <c r="A19" s="1225">
        <v>1</v>
      </c>
      <c r="B19" s="1225" t="s">
        <v>132</v>
      </c>
      <c r="C19" s="1225" t="s">
        <v>133</v>
      </c>
      <c r="D19" s="1225">
        <v>1642.42</v>
      </c>
      <c r="E19" s="1225" t="s">
        <v>132</v>
      </c>
      <c r="F19" s="1225">
        <v>1642.42</v>
      </c>
    </row>
    <row r="20" spans="1:6" s="1225" customFormat="1" ht="17.25" customHeight="1">
      <c r="A20" s="1225">
        <v>1</v>
      </c>
      <c r="B20" s="1225" t="s">
        <v>132</v>
      </c>
      <c r="C20" s="1225" t="s">
        <v>138</v>
      </c>
      <c r="D20" s="1225">
        <v>121</v>
      </c>
      <c r="E20" s="1225" t="s">
        <v>132</v>
      </c>
      <c r="F20" s="1225">
        <v>121</v>
      </c>
    </row>
    <row r="21" spans="1:6" s="1225" customFormat="1" ht="17.25" customHeight="1">
      <c r="B21" s="1225" t="s">
        <v>145</v>
      </c>
      <c r="C21" s="1225" t="s">
        <v>146</v>
      </c>
      <c r="D21" s="1225" t="s">
        <v>85</v>
      </c>
      <c r="E21" s="1225" t="s">
        <v>145</v>
      </c>
    </row>
    <row r="22" spans="1:6" s="1225" customFormat="1" ht="17.25" customHeight="1">
      <c r="F22" s="1225" t="s">
        <v>52</v>
      </c>
    </row>
    <row r="23" spans="1:6" s="1225" customFormat="1" ht="17.25" customHeight="1">
      <c r="C23" s="1225" t="s">
        <v>155</v>
      </c>
      <c r="F23" s="1225">
        <v>6112.22</v>
      </c>
    </row>
    <row r="24" spans="1:6" s="1225" customFormat="1" ht="17.25" customHeight="1">
      <c r="F24" s="1225" t="s">
        <v>52</v>
      </c>
    </row>
    <row r="25" spans="1:6" s="1225" customFormat="1" ht="17.25" customHeight="1">
      <c r="B25" s="1225" t="s">
        <v>111</v>
      </c>
      <c r="C25" s="1632" t="s">
        <v>217</v>
      </c>
    </row>
    <row r="26" spans="1:6" s="1225" customFormat="1" ht="17.25" customHeight="1">
      <c r="C26" s="1225" t="s">
        <v>52</v>
      </c>
    </row>
    <row r="27" spans="1:6" s="1225" customFormat="1" ht="17.25" customHeight="1">
      <c r="A27" s="1225">
        <v>0.48</v>
      </c>
      <c r="B27" s="1225" t="s">
        <v>122</v>
      </c>
      <c r="C27" s="1225" t="s">
        <v>123</v>
      </c>
      <c r="D27" s="1225">
        <v>6040</v>
      </c>
      <c r="E27" s="1225" t="s">
        <v>122</v>
      </c>
      <c r="F27" s="1225">
        <v>2899.2</v>
      </c>
    </row>
    <row r="28" spans="1:6" s="1225" customFormat="1" ht="17.25" customHeight="1">
      <c r="A28" s="1225">
        <v>1</v>
      </c>
      <c r="B28" s="1225" t="s">
        <v>132</v>
      </c>
      <c r="C28" s="1225" t="s">
        <v>133</v>
      </c>
      <c r="D28" s="1225">
        <v>1642.42</v>
      </c>
      <c r="E28" s="1225" t="s">
        <v>132</v>
      </c>
      <c r="F28" s="1225">
        <v>1642.42</v>
      </c>
    </row>
    <row r="29" spans="1:6" s="1225" customFormat="1" ht="17.25" customHeight="1">
      <c r="A29" s="1225">
        <v>1</v>
      </c>
      <c r="B29" s="1225" t="s">
        <v>132</v>
      </c>
      <c r="C29" s="1225" t="s">
        <v>138</v>
      </c>
      <c r="D29" s="1225">
        <v>121</v>
      </c>
      <c r="E29" s="1225" t="s">
        <v>132</v>
      </c>
      <c r="F29" s="1225">
        <v>121</v>
      </c>
    </row>
    <row r="30" spans="1:6" s="1225" customFormat="1" ht="17.25" customHeight="1">
      <c r="B30" s="1225" t="s">
        <v>145</v>
      </c>
      <c r="C30" s="1225" t="s">
        <v>146</v>
      </c>
      <c r="D30" s="1225" t="s">
        <v>85</v>
      </c>
      <c r="E30" s="1225" t="s">
        <v>145</v>
      </c>
    </row>
    <row r="31" spans="1:6" s="1225" customFormat="1" ht="17.25" customHeight="1">
      <c r="F31" s="1225" t="s">
        <v>52</v>
      </c>
    </row>
    <row r="32" spans="1:6" s="1225" customFormat="1" ht="17.25" customHeight="1">
      <c r="C32" s="1225" t="s">
        <v>155</v>
      </c>
      <c r="F32" s="1225">
        <v>4662.62</v>
      </c>
    </row>
    <row r="33" spans="1:6" s="1225" customFormat="1" ht="17.25" customHeight="1">
      <c r="F33" s="1225" t="s">
        <v>52</v>
      </c>
    </row>
    <row r="34" spans="1:6" s="1225" customFormat="1" ht="17.25" customHeight="1">
      <c r="B34" s="1225" t="s">
        <v>111</v>
      </c>
      <c r="C34" s="1632" t="s">
        <v>259</v>
      </c>
    </row>
    <row r="35" spans="1:6" s="1225" customFormat="1" ht="17.25" customHeight="1">
      <c r="A35" s="1225">
        <v>0.36</v>
      </c>
      <c r="B35" s="1225" t="s">
        <v>122</v>
      </c>
      <c r="C35" s="1225" t="s">
        <v>123</v>
      </c>
      <c r="D35" s="1225">
        <v>6040</v>
      </c>
      <c r="E35" s="1225" t="s">
        <v>122</v>
      </c>
      <c r="F35" s="1225">
        <v>2174.4</v>
      </c>
    </row>
    <row r="36" spans="1:6" s="1225" customFormat="1" ht="17.25" customHeight="1">
      <c r="A36" s="1225">
        <v>1</v>
      </c>
      <c r="B36" s="1225" t="s">
        <v>132</v>
      </c>
      <c r="C36" s="1225" t="s">
        <v>133</v>
      </c>
      <c r="D36" s="1225">
        <v>1642.42</v>
      </c>
      <c r="E36" s="1225" t="s">
        <v>132</v>
      </c>
      <c r="F36" s="1225">
        <v>1642.42</v>
      </c>
    </row>
    <row r="37" spans="1:6" s="1225" customFormat="1" ht="17.25" customHeight="1">
      <c r="A37" s="1225">
        <v>1</v>
      </c>
      <c r="B37" s="1225" t="s">
        <v>132</v>
      </c>
      <c r="C37" s="1225" t="s">
        <v>138</v>
      </c>
      <c r="D37" s="1225">
        <v>121</v>
      </c>
      <c r="E37" s="1225" t="s">
        <v>132</v>
      </c>
      <c r="F37" s="1225">
        <v>121</v>
      </c>
    </row>
    <row r="38" spans="1:6" s="1225" customFormat="1" ht="17.25" customHeight="1">
      <c r="B38" s="1225" t="s">
        <v>145</v>
      </c>
      <c r="C38" s="1225" t="s">
        <v>146</v>
      </c>
      <c r="D38" s="1225" t="s">
        <v>85</v>
      </c>
      <c r="E38" s="1225" t="s">
        <v>145</v>
      </c>
    </row>
    <row r="39" spans="1:6" s="1225" customFormat="1" ht="17.25" customHeight="1">
      <c r="F39" s="1225" t="s">
        <v>52</v>
      </c>
    </row>
    <row r="40" spans="1:6" s="1225" customFormat="1" ht="17.25" customHeight="1">
      <c r="C40" s="1225" t="s">
        <v>155</v>
      </c>
      <c r="F40" s="1225">
        <v>3937.82</v>
      </c>
    </row>
    <row r="41" spans="1:6" s="1225" customFormat="1" ht="17.25" customHeight="1">
      <c r="F41" s="1225" t="s">
        <v>52</v>
      </c>
    </row>
    <row r="42" spans="1:6" s="1225" customFormat="1" ht="17.25" customHeight="1">
      <c r="B42" s="1225" t="s">
        <v>111</v>
      </c>
      <c r="C42" s="1632" t="s">
        <v>283</v>
      </c>
    </row>
    <row r="43" spans="1:6" s="1225" customFormat="1" ht="17.25" customHeight="1">
      <c r="C43" s="1225" t="s">
        <v>52</v>
      </c>
    </row>
    <row r="44" spans="1:6" s="1225" customFormat="1" ht="17.25" customHeight="1">
      <c r="A44" s="1225">
        <v>0.28799999999999998</v>
      </c>
      <c r="B44" s="1225" t="s">
        <v>122</v>
      </c>
      <c r="C44" s="1225" t="s">
        <v>123</v>
      </c>
      <c r="D44" s="1225">
        <v>6040</v>
      </c>
      <c r="E44" s="1225" t="s">
        <v>122</v>
      </c>
      <c r="F44" s="1225">
        <v>1739.52</v>
      </c>
    </row>
    <row r="45" spans="1:6" s="1225" customFormat="1" ht="17.25" customHeight="1">
      <c r="A45" s="1225">
        <v>1</v>
      </c>
      <c r="B45" s="1225" t="s">
        <v>132</v>
      </c>
      <c r="C45" s="1225" t="s">
        <v>133</v>
      </c>
      <c r="D45" s="1225">
        <v>1642.42</v>
      </c>
      <c r="E45" s="1225" t="s">
        <v>132</v>
      </c>
      <c r="F45" s="1225">
        <v>1642.42</v>
      </c>
    </row>
    <row r="46" spans="1:6" s="1225" customFormat="1" ht="17.25" customHeight="1">
      <c r="A46" s="1225">
        <v>1</v>
      </c>
      <c r="B46" s="1225" t="s">
        <v>132</v>
      </c>
      <c r="C46" s="1225" t="s">
        <v>138</v>
      </c>
      <c r="D46" s="1225">
        <v>121</v>
      </c>
      <c r="E46" s="1225" t="s">
        <v>132</v>
      </c>
      <c r="F46" s="1225">
        <v>121</v>
      </c>
    </row>
    <row r="47" spans="1:6" s="1225" customFormat="1" ht="17.25" customHeight="1">
      <c r="B47" s="1225" t="s">
        <v>145</v>
      </c>
      <c r="C47" s="1225" t="s">
        <v>146</v>
      </c>
      <c r="D47" s="1225" t="s">
        <v>85</v>
      </c>
      <c r="E47" s="1225" t="s">
        <v>145</v>
      </c>
    </row>
    <row r="48" spans="1:6" s="1225" customFormat="1" ht="17.25" customHeight="1">
      <c r="F48" s="1225" t="s">
        <v>52</v>
      </c>
    </row>
    <row r="49" spans="1:6" s="1225" customFormat="1" ht="17.25" customHeight="1">
      <c r="C49" s="1225" t="s">
        <v>155</v>
      </c>
      <c r="F49" s="1225">
        <v>3502.94</v>
      </c>
    </row>
    <row r="50" spans="1:6" s="1225" customFormat="1" ht="17.25" customHeight="1">
      <c r="F50" s="1225" t="s">
        <v>52</v>
      </c>
    </row>
    <row r="51" spans="1:6" s="1225" customFormat="1" ht="17.25" customHeight="1">
      <c r="B51" s="1225" t="s">
        <v>111</v>
      </c>
      <c r="C51" s="1632" t="s">
        <v>299</v>
      </c>
    </row>
    <row r="52" spans="1:6" s="1225" customFormat="1" ht="17.25" customHeight="1">
      <c r="C52" s="1225" t="s">
        <v>52</v>
      </c>
    </row>
    <row r="53" spans="1:6" s="1225" customFormat="1" ht="17.25" customHeight="1">
      <c r="A53" s="1225">
        <v>0.24</v>
      </c>
      <c r="B53" s="1225" t="s">
        <v>122</v>
      </c>
      <c r="C53" s="1225" t="s">
        <v>123</v>
      </c>
      <c r="D53" s="1225">
        <v>6040</v>
      </c>
      <c r="E53" s="1225" t="s">
        <v>122</v>
      </c>
      <c r="F53" s="1225">
        <v>1449.6</v>
      </c>
    </row>
    <row r="54" spans="1:6" s="1225" customFormat="1" ht="17.25" customHeight="1">
      <c r="A54" s="1225">
        <v>1</v>
      </c>
      <c r="B54" s="1225" t="s">
        <v>132</v>
      </c>
      <c r="C54" s="1225" t="s">
        <v>133</v>
      </c>
      <c r="D54" s="1225">
        <v>1642.42</v>
      </c>
      <c r="E54" s="1225" t="s">
        <v>132</v>
      </c>
      <c r="F54" s="1225">
        <v>1642.42</v>
      </c>
    </row>
    <row r="55" spans="1:6" s="1225" customFormat="1" ht="17.25" customHeight="1">
      <c r="A55" s="1225">
        <v>1</v>
      </c>
      <c r="B55" s="1225" t="s">
        <v>132</v>
      </c>
      <c r="C55" s="1225" t="s">
        <v>138</v>
      </c>
      <c r="D55" s="1225">
        <v>121</v>
      </c>
      <c r="E55" s="1225" t="s">
        <v>132</v>
      </c>
      <c r="F55" s="1225">
        <v>121</v>
      </c>
    </row>
    <row r="56" spans="1:6" s="1225" customFormat="1" ht="17.25" customHeight="1">
      <c r="B56" s="1225" t="s">
        <v>145</v>
      </c>
      <c r="C56" s="1225" t="s">
        <v>146</v>
      </c>
      <c r="D56" s="1225" t="s">
        <v>85</v>
      </c>
      <c r="E56" s="1225" t="s">
        <v>145</v>
      </c>
    </row>
    <row r="57" spans="1:6" s="1225" customFormat="1" ht="17.25" customHeight="1">
      <c r="F57" s="1225" t="s">
        <v>52</v>
      </c>
    </row>
    <row r="58" spans="1:6" s="1225" customFormat="1" ht="17.25" customHeight="1">
      <c r="C58" s="1225" t="s">
        <v>155</v>
      </c>
      <c r="F58" s="1225">
        <v>3213.02</v>
      </c>
    </row>
    <row r="59" spans="1:6" s="1225" customFormat="1" ht="17.25" customHeight="1">
      <c r="A59" s="1225" t="s">
        <v>85</v>
      </c>
    </row>
    <row r="60" spans="1:6" s="1225" customFormat="1" ht="17.25" customHeight="1">
      <c r="F60" s="1225" t="s">
        <v>52</v>
      </c>
    </row>
    <row r="61" spans="1:6" s="1225" customFormat="1" ht="17.25" customHeight="1">
      <c r="B61" s="1225" t="s">
        <v>111</v>
      </c>
      <c r="C61" s="1632" t="s">
        <v>316</v>
      </c>
    </row>
    <row r="62" spans="1:6" s="1225" customFormat="1" ht="17.25" customHeight="1">
      <c r="C62" s="1225" t="s">
        <v>52</v>
      </c>
    </row>
    <row r="63" spans="1:6" s="1225" customFormat="1" ht="17.25" customHeight="1">
      <c r="A63" s="1225">
        <v>0.20599999999999999</v>
      </c>
      <c r="B63" s="1225" t="s">
        <v>122</v>
      </c>
      <c r="C63" s="1225" t="s">
        <v>123</v>
      </c>
      <c r="D63" s="1225">
        <v>6040</v>
      </c>
      <c r="E63" s="1225" t="s">
        <v>122</v>
      </c>
      <c r="F63" s="1225">
        <v>1244.24</v>
      </c>
    </row>
    <row r="64" spans="1:6" s="1225" customFormat="1" ht="17.25" customHeight="1">
      <c r="A64" s="1225">
        <v>1</v>
      </c>
      <c r="B64" s="1225" t="s">
        <v>132</v>
      </c>
      <c r="C64" s="1225" t="s">
        <v>133</v>
      </c>
      <c r="D64" s="1225">
        <v>1642.42</v>
      </c>
      <c r="E64" s="1225" t="s">
        <v>132</v>
      </c>
      <c r="F64" s="1225">
        <v>1642.42</v>
      </c>
    </row>
    <row r="65" spans="1:6" s="1225" customFormat="1" ht="17.25" customHeight="1">
      <c r="A65" s="1225">
        <v>1</v>
      </c>
      <c r="B65" s="1225" t="s">
        <v>132</v>
      </c>
      <c r="C65" s="1225" t="s">
        <v>138</v>
      </c>
      <c r="D65" s="1225">
        <v>121</v>
      </c>
      <c r="E65" s="1225" t="s">
        <v>132</v>
      </c>
      <c r="F65" s="1225">
        <v>121</v>
      </c>
    </row>
    <row r="66" spans="1:6" s="1225" customFormat="1" ht="17.25" customHeight="1">
      <c r="B66" s="1225" t="s">
        <v>145</v>
      </c>
      <c r="C66" s="1225" t="s">
        <v>146</v>
      </c>
      <c r="D66" s="1225" t="s">
        <v>85</v>
      </c>
      <c r="E66" s="1225" t="s">
        <v>145</v>
      </c>
    </row>
    <row r="67" spans="1:6" s="1225" customFormat="1" ht="17.25" customHeight="1">
      <c r="F67" s="1225" t="s">
        <v>52</v>
      </c>
    </row>
    <row r="68" spans="1:6" s="1225" customFormat="1" ht="17.25" customHeight="1">
      <c r="C68" s="1225" t="s">
        <v>155</v>
      </c>
      <c r="F68" s="1225">
        <v>3007.66</v>
      </c>
    </row>
    <row r="69" spans="1:6" s="1225" customFormat="1" ht="17.25" customHeight="1">
      <c r="F69" s="1225" t="s">
        <v>52</v>
      </c>
    </row>
    <row r="70" spans="1:6" s="1225" customFormat="1" ht="17.25" customHeight="1">
      <c r="B70" s="1225" t="s">
        <v>111</v>
      </c>
      <c r="C70" s="1632" t="s">
        <v>300</v>
      </c>
    </row>
    <row r="71" spans="1:6" s="1225" customFormat="1" ht="17.25" customHeight="1">
      <c r="C71" s="1225" t="s">
        <v>52</v>
      </c>
    </row>
    <row r="72" spans="1:6" s="1225" customFormat="1" ht="17.25" customHeight="1">
      <c r="A72" s="1225">
        <v>0.18</v>
      </c>
      <c r="B72" s="1225" t="s">
        <v>122</v>
      </c>
      <c r="C72" s="1225" t="s">
        <v>123</v>
      </c>
      <c r="D72" s="1225">
        <v>6040</v>
      </c>
      <c r="E72" s="1225" t="s">
        <v>122</v>
      </c>
      <c r="F72" s="1225">
        <v>1087.2</v>
      </c>
    </row>
    <row r="73" spans="1:6" s="1225" customFormat="1" ht="17.25" customHeight="1">
      <c r="A73" s="1225">
        <v>1</v>
      </c>
      <c r="B73" s="1225" t="s">
        <v>132</v>
      </c>
      <c r="C73" s="1225" t="s">
        <v>133</v>
      </c>
      <c r="D73" s="1225">
        <v>1642.42</v>
      </c>
      <c r="E73" s="1225" t="s">
        <v>132</v>
      </c>
      <c r="F73" s="1225">
        <v>1642.42</v>
      </c>
    </row>
    <row r="74" spans="1:6" s="1225" customFormat="1" ht="17.25" customHeight="1">
      <c r="A74" s="1225">
        <v>1</v>
      </c>
      <c r="B74" s="1225" t="s">
        <v>132</v>
      </c>
      <c r="C74" s="1225" t="s">
        <v>138</v>
      </c>
      <c r="D74" s="1225">
        <v>121</v>
      </c>
      <c r="E74" s="1225" t="s">
        <v>132</v>
      </c>
      <c r="F74" s="1225">
        <v>121</v>
      </c>
    </row>
    <row r="75" spans="1:6" s="1225" customFormat="1" ht="17.25" customHeight="1">
      <c r="B75" s="1225" t="s">
        <v>145</v>
      </c>
      <c r="C75" s="1225" t="s">
        <v>146</v>
      </c>
      <c r="D75" s="1225" t="s">
        <v>85</v>
      </c>
      <c r="E75" s="1225" t="s">
        <v>145</v>
      </c>
    </row>
    <row r="76" spans="1:6" s="1225" customFormat="1" ht="17.25" customHeight="1">
      <c r="F76" s="1225" t="s">
        <v>52</v>
      </c>
    </row>
    <row r="77" spans="1:6" s="1225" customFormat="1" ht="17.25" customHeight="1">
      <c r="C77" s="1225" t="s">
        <v>155</v>
      </c>
      <c r="F77" s="1225">
        <v>2850.62</v>
      </c>
    </row>
    <row r="78" spans="1:6" s="1225" customFormat="1" ht="17.25" customHeight="1">
      <c r="F78" s="1225" t="s">
        <v>52</v>
      </c>
    </row>
    <row r="79" spans="1:6" s="1225" customFormat="1" ht="17.25" customHeight="1">
      <c r="A79" s="1632">
        <v>1.1000000000000001</v>
      </c>
      <c r="B79" s="1632" t="s">
        <v>85</v>
      </c>
      <c r="C79" s="1632" t="s">
        <v>337</v>
      </c>
    </row>
    <row r="80" spans="1:6" s="1225" customFormat="1" ht="17.25" customHeight="1">
      <c r="A80" s="1225" t="s">
        <v>85</v>
      </c>
      <c r="C80" s="1225" t="s">
        <v>342</v>
      </c>
    </row>
    <row r="81" spans="1:6" s="1225" customFormat="1" ht="17.25" customHeight="1">
      <c r="A81" s="1225">
        <v>10</v>
      </c>
      <c r="B81" s="1225" t="s">
        <v>132</v>
      </c>
      <c r="C81" s="1225" t="s">
        <v>344</v>
      </c>
      <c r="D81" s="1225">
        <v>116.88</v>
      </c>
      <c r="E81" s="1225" t="s">
        <v>132</v>
      </c>
      <c r="F81" s="1225">
        <v>1168.8</v>
      </c>
    </row>
    <row r="82" spans="1:6" s="1225" customFormat="1" ht="17.25" customHeight="1">
      <c r="A82" s="1225">
        <v>10</v>
      </c>
      <c r="B82" s="1225" t="s">
        <v>132</v>
      </c>
      <c r="C82" s="1225" t="s">
        <v>347</v>
      </c>
      <c r="D82" s="1225">
        <v>116.88</v>
      </c>
      <c r="E82" s="1225" t="s">
        <v>132</v>
      </c>
      <c r="F82" s="1225">
        <v>1168.8</v>
      </c>
    </row>
    <row r="83" spans="1:6" s="1225" customFormat="1" ht="17.25" customHeight="1">
      <c r="A83" s="1225">
        <v>10</v>
      </c>
      <c r="B83" s="1225" t="s">
        <v>132</v>
      </c>
      <c r="C83" s="1225" t="s">
        <v>349</v>
      </c>
      <c r="D83" s="1225">
        <v>13.55</v>
      </c>
      <c r="E83" s="1225" t="s">
        <v>132</v>
      </c>
      <c r="F83" s="1225">
        <v>135.5</v>
      </c>
    </row>
    <row r="84" spans="1:6" s="1225" customFormat="1" ht="17.25" customHeight="1">
      <c r="B84" s="1225" t="s">
        <v>145</v>
      </c>
      <c r="C84" s="1225" t="s">
        <v>146</v>
      </c>
      <c r="E84" s="1225" t="s">
        <v>145</v>
      </c>
      <c r="F84" s="1225">
        <v>0</v>
      </c>
    </row>
    <row r="85" spans="1:6" s="1225" customFormat="1" ht="17.25" customHeight="1">
      <c r="F85" s="1225" t="s">
        <v>52</v>
      </c>
    </row>
    <row r="86" spans="1:6" s="1225" customFormat="1" ht="17.25" customHeight="1">
      <c r="C86" s="1225" t="s">
        <v>311</v>
      </c>
      <c r="F86" s="1225">
        <v>2473.1</v>
      </c>
    </row>
    <row r="87" spans="1:6" s="1225" customFormat="1" ht="17.25" customHeight="1">
      <c r="F87" s="1225" t="s">
        <v>52</v>
      </c>
    </row>
    <row r="88" spans="1:6" s="1225" customFormat="1" ht="17.25" customHeight="1">
      <c r="C88" s="1225" t="s">
        <v>354</v>
      </c>
      <c r="D88" s="1225" t="s">
        <v>355</v>
      </c>
      <c r="F88" s="1225">
        <v>247.31</v>
      </c>
    </row>
    <row r="89" spans="1:6" s="1225" customFormat="1" ht="17.25" customHeight="1">
      <c r="D89" s="1225" t="s">
        <v>357</v>
      </c>
      <c r="F89" s="1225">
        <v>258.52999999999997</v>
      </c>
    </row>
    <row r="90" spans="1:6" s="1225" customFormat="1" ht="16.5">
      <c r="A90" s="1632">
        <v>1.5</v>
      </c>
      <c r="B90" s="1632"/>
      <c r="C90" s="1632" t="s">
        <v>367</v>
      </c>
      <c r="D90" s="1225" t="s">
        <v>355</v>
      </c>
      <c r="F90" s="1225">
        <v>116.88</v>
      </c>
    </row>
    <row r="91" spans="1:6" s="1225" customFormat="1" ht="17.25" customHeight="1">
      <c r="D91" s="1225" t="s">
        <v>357</v>
      </c>
      <c r="F91" s="1225">
        <v>128.1</v>
      </c>
    </row>
    <row r="92" spans="1:6" s="1225" customFormat="1" ht="17.25" customHeight="1">
      <c r="A92" s="1632" t="s">
        <v>374</v>
      </c>
      <c r="B92" s="1632" t="s">
        <v>111</v>
      </c>
      <c r="C92" s="1632" t="s">
        <v>375</v>
      </c>
    </row>
    <row r="93" spans="1:6" s="1225" customFormat="1" ht="17.25" customHeight="1">
      <c r="A93" s="1632"/>
      <c r="B93" s="1632"/>
      <c r="C93" s="1632" t="s">
        <v>7017</v>
      </c>
    </row>
    <row r="94" spans="1:6" s="1225" customFormat="1" ht="17.25" customHeight="1">
      <c r="C94" s="1225" t="s">
        <v>52</v>
      </c>
    </row>
    <row r="95" spans="1:6" s="1225" customFormat="1" ht="17.25" customHeight="1">
      <c r="A95" s="1225">
        <v>1</v>
      </c>
      <c r="B95" s="1225" t="s">
        <v>132</v>
      </c>
      <c r="C95" s="1225" t="s">
        <v>383</v>
      </c>
      <c r="D95" s="1225">
        <v>1642.42</v>
      </c>
      <c r="E95" s="1225" t="s">
        <v>132</v>
      </c>
      <c r="F95" s="1225">
        <v>1642.42</v>
      </c>
    </row>
    <row r="96" spans="1:6" s="1225" customFormat="1" ht="17.25" customHeight="1">
      <c r="A96" s="1225">
        <v>1</v>
      </c>
      <c r="B96" s="1225" t="s">
        <v>132</v>
      </c>
      <c r="C96" s="1225" t="s">
        <v>218</v>
      </c>
      <c r="D96" s="1225">
        <v>35.700000000000003</v>
      </c>
      <c r="E96" s="1225" t="s">
        <v>132</v>
      </c>
      <c r="F96" s="1225">
        <v>35.700000000000003</v>
      </c>
    </row>
    <row r="97" spans="1:6" s="1225" customFormat="1" ht="17.25" customHeight="1">
      <c r="B97" s="1225" t="s">
        <v>145</v>
      </c>
      <c r="C97" s="1225" t="s">
        <v>146</v>
      </c>
      <c r="D97" s="1225" t="s">
        <v>85</v>
      </c>
      <c r="E97" s="1225" t="s">
        <v>145</v>
      </c>
      <c r="F97" s="1225">
        <v>0</v>
      </c>
    </row>
    <row r="98" spans="1:6" s="1225" customFormat="1" ht="17.25" customHeight="1">
      <c r="F98" s="1225" t="s">
        <v>52</v>
      </c>
    </row>
    <row r="99" spans="1:6" s="1225" customFormat="1" ht="17.25" customHeight="1">
      <c r="C99" s="1225" t="s">
        <v>390</v>
      </c>
      <c r="F99" s="1225">
        <v>1678.12</v>
      </c>
    </row>
    <row r="100" spans="1:6" s="1225" customFormat="1" ht="17.25" customHeight="1"/>
    <row r="101" spans="1:6" s="1225" customFormat="1" ht="17.25" customHeight="1">
      <c r="A101" s="1632" t="s">
        <v>415</v>
      </c>
      <c r="B101" s="1632" t="s">
        <v>111</v>
      </c>
      <c r="C101" s="1632" t="s">
        <v>416</v>
      </c>
    </row>
    <row r="102" spans="1:6" s="1225" customFormat="1" ht="17.25" customHeight="1">
      <c r="A102" s="1632"/>
      <c r="B102" s="1632"/>
      <c r="C102" s="1632" t="s">
        <v>418</v>
      </c>
    </row>
    <row r="103" spans="1:6" s="1225" customFormat="1" ht="17.25" customHeight="1">
      <c r="C103" s="1225" t="s">
        <v>52</v>
      </c>
    </row>
    <row r="104" spans="1:6" s="1225" customFormat="1" ht="17.25" customHeight="1">
      <c r="A104" s="1225">
        <v>9</v>
      </c>
      <c r="B104" s="1225" t="s">
        <v>132</v>
      </c>
      <c r="C104" s="1225" t="s">
        <v>421</v>
      </c>
      <c r="D104" s="1225">
        <v>1316.98</v>
      </c>
      <c r="E104" s="1225" t="s">
        <v>132</v>
      </c>
      <c r="F104" s="1225">
        <v>11852.82</v>
      </c>
    </row>
    <row r="105" spans="1:6" s="1225" customFormat="1" ht="17.25" customHeight="1">
      <c r="A105" s="1225">
        <v>4.5</v>
      </c>
      <c r="B105" s="1225" t="s">
        <v>132</v>
      </c>
      <c r="C105" s="1225" t="s">
        <v>283</v>
      </c>
      <c r="D105" s="1225">
        <v>3502.94</v>
      </c>
      <c r="E105" s="1225" t="s">
        <v>132</v>
      </c>
      <c r="F105" s="1225">
        <v>15763.23</v>
      </c>
    </row>
    <row r="106" spans="1:6" s="1225" customFormat="1" ht="17.25" customHeight="1">
      <c r="A106" s="1225">
        <v>1.8</v>
      </c>
      <c r="B106" s="1225" t="s">
        <v>131</v>
      </c>
      <c r="C106" s="1225" t="s">
        <v>302</v>
      </c>
      <c r="D106" s="1225">
        <v>972.4</v>
      </c>
      <c r="E106" s="1225" t="s">
        <v>131</v>
      </c>
      <c r="F106" s="1225">
        <v>1750.32</v>
      </c>
    </row>
    <row r="107" spans="1:6" s="1225" customFormat="1" ht="17.25" customHeight="1">
      <c r="A107" s="1225">
        <v>17.7</v>
      </c>
      <c r="B107" s="1225" t="s">
        <v>131</v>
      </c>
      <c r="C107" s="1225" t="s">
        <v>304</v>
      </c>
      <c r="D107" s="1225">
        <v>679.8</v>
      </c>
      <c r="E107" s="1225" t="s">
        <v>131</v>
      </c>
      <c r="F107" s="1225">
        <v>12032.46</v>
      </c>
    </row>
    <row r="108" spans="1:6" s="1225" customFormat="1" ht="17.25" customHeight="1">
      <c r="A108" s="1225">
        <v>14.1</v>
      </c>
      <c r="B108" s="1225" t="s">
        <v>131</v>
      </c>
      <c r="C108" s="1225" t="s">
        <v>306</v>
      </c>
      <c r="D108" s="1225">
        <v>557.70000000000005</v>
      </c>
      <c r="E108" s="1225" t="s">
        <v>131</v>
      </c>
      <c r="F108" s="1225">
        <v>7863.57</v>
      </c>
    </row>
    <row r="109" spans="1:6" s="1225" customFormat="1" ht="17.25" customHeight="1">
      <c r="B109" s="1225" t="s">
        <v>145</v>
      </c>
      <c r="C109" s="1225" t="s">
        <v>146</v>
      </c>
      <c r="E109" s="1225" t="s">
        <v>145</v>
      </c>
      <c r="F109" s="1225">
        <v>0</v>
      </c>
    </row>
    <row r="110" spans="1:6" s="1225" customFormat="1" ht="17.25" customHeight="1">
      <c r="F110" s="1225" t="s">
        <v>52</v>
      </c>
    </row>
    <row r="111" spans="1:6" s="1225" customFormat="1" ht="17.25" customHeight="1">
      <c r="F111" s="1225">
        <v>49262.400000000001</v>
      </c>
    </row>
    <row r="112" spans="1:6" s="1225" customFormat="1" ht="17.25" customHeight="1">
      <c r="C112" s="1225" t="s">
        <v>311</v>
      </c>
      <c r="F112" s="1225" t="s">
        <v>52</v>
      </c>
    </row>
    <row r="113" spans="1:6" s="1225" customFormat="1" ht="17.25" customHeight="1">
      <c r="F113" s="1225">
        <v>4926.24</v>
      </c>
    </row>
    <row r="114" spans="1:6" s="1225" customFormat="1" ht="17.25" customHeight="1"/>
    <row r="115" spans="1:6" s="1225" customFormat="1" ht="17.25" customHeight="1">
      <c r="A115" s="1632" t="s">
        <v>440</v>
      </c>
      <c r="B115" s="1632" t="s">
        <v>111</v>
      </c>
      <c r="C115" s="1632" t="s">
        <v>6415</v>
      </c>
    </row>
    <row r="116" spans="1:6" s="1225" customFormat="1" ht="17.25" customHeight="1">
      <c r="A116" s="1632"/>
      <c r="B116" s="1632"/>
      <c r="C116" s="1632" t="s">
        <v>320</v>
      </c>
    </row>
    <row r="117" spans="1:6" s="1225" customFormat="1" ht="17.25" customHeight="1">
      <c r="C117" s="1225" t="s">
        <v>52</v>
      </c>
    </row>
    <row r="118" spans="1:6" s="1225" customFormat="1" ht="17.25" customHeight="1">
      <c r="A118" s="1225">
        <v>9</v>
      </c>
      <c r="B118" s="1225" t="s">
        <v>132</v>
      </c>
      <c r="C118" s="1225" t="s">
        <v>445</v>
      </c>
      <c r="D118" s="1225">
        <v>1729.98</v>
      </c>
      <c r="E118" s="1225" t="s">
        <v>132</v>
      </c>
      <c r="F118" s="1225">
        <v>15569.82</v>
      </c>
    </row>
    <row r="119" spans="1:6" s="1225" customFormat="1" ht="17.25" customHeight="1">
      <c r="A119" s="1225">
        <v>4.5</v>
      </c>
      <c r="B119" s="1225" t="s">
        <v>132</v>
      </c>
      <c r="C119" s="1225" t="s">
        <v>164</v>
      </c>
      <c r="D119" s="1225">
        <v>6112.22</v>
      </c>
      <c r="E119" s="1225" t="s">
        <v>132</v>
      </c>
      <c r="F119" s="1225">
        <v>27504.99</v>
      </c>
    </row>
    <row r="120" spans="1:6" s="1225" customFormat="1" ht="17.25" customHeight="1">
      <c r="A120" s="1225">
        <v>1.8</v>
      </c>
      <c r="B120" s="1225" t="s">
        <v>131</v>
      </c>
      <c r="C120" s="1225" t="s">
        <v>302</v>
      </c>
      <c r="D120" s="1225">
        <v>972.4</v>
      </c>
      <c r="E120" s="1225" t="s">
        <v>131</v>
      </c>
      <c r="F120" s="1225">
        <v>1750.32</v>
      </c>
    </row>
    <row r="121" spans="1:6" s="1225" customFormat="1" ht="17.25" customHeight="1">
      <c r="A121" s="1225">
        <v>17.7</v>
      </c>
      <c r="B121" s="1225" t="s">
        <v>131</v>
      </c>
      <c r="C121" s="1225" t="s">
        <v>304</v>
      </c>
      <c r="D121" s="1225">
        <v>679.8</v>
      </c>
      <c r="E121" s="1225" t="s">
        <v>131</v>
      </c>
      <c r="F121" s="1225">
        <v>12032.46</v>
      </c>
    </row>
    <row r="122" spans="1:6" s="1225" customFormat="1" ht="17.25" customHeight="1">
      <c r="A122" s="1225">
        <v>14.1</v>
      </c>
      <c r="B122" s="1225" t="s">
        <v>131</v>
      </c>
      <c r="C122" s="1225" t="s">
        <v>306</v>
      </c>
      <c r="D122" s="1225">
        <v>557.70000000000005</v>
      </c>
      <c r="E122" s="1225" t="s">
        <v>131</v>
      </c>
      <c r="F122" s="1225">
        <v>7863.57</v>
      </c>
    </row>
    <row r="123" spans="1:6" s="1225" customFormat="1" ht="17.25" customHeight="1">
      <c r="B123" s="1225" t="s">
        <v>145</v>
      </c>
      <c r="C123" s="1225" t="s">
        <v>146</v>
      </c>
      <c r="E123" s="1225" t="s">
        <v>145</v>
      </c>
      <c r="F123" s="1225">
        <v>0</v>
      </c>
    </row>
    <row r="124" spans="1:6" s="1225" customFormat="1" ht="17.25" customHeight="1">
      <c r="F124" s="1225" t="s">
        <v>52</v>
      </c>
    </row>
    <row r="125" spans="1:6" s="1225" customFormat="1" ht="17.25" customHeight="1">
      <c r="F125" s="1225">
        <v>64721.16</v>
      </c>
    </row>
    <row r="126" spans="1:6" s="1225" customFormat="1" ht="17.25" customHeight="1">
      <c r="C126" s="1225" t="s">
        <v>311</v>
      </c>
      <c r="F126" s="1225" t="s">
        <v>52</v>
      </c>
    </row>
    <row r="127" spans="1:6" s="1225" customFormat="1" ht="17.25" customHeight="1">
      <c r="F127" s="1225">
        <v>6472.12</v>
      </c>
    </row>
    <row r="128" spans="1:6" s="1225" customFormat="1" ht="17.25" customHeight="1"/>
    <row r="129" spans="1:6" s="1225" customFormat="1" ht="17.25" customHeight="1">
      <c r="A129" s="1632">
        <v>6</v>
      </c>
      <c r="B129" s="1632" t="s">
        <v>111</v>
      </c>
      <c r="C129" s="1632" t="s">
        <v>4069</v>
      </c>
    </row>
    <row r="130" spans="1:6" s="1225" customFormat="1" ht="17.25" customHeight="1">
      <c r="A130" s="1632"/>
      <c r="B130" s="1632"/>
      <c r="C130" s="1632" t="s">
        <v>4071</v>
      </c>
    </row>
    <row r="131" spans="1:6" s="1225" customFormat="1" ht="17.25" customHeight="1">
      <c r="C131" s="1225" t="s">
        <v>52</v>
      </c>
    </row>
    <row r="132" spans="1:6" s="1225" customFormat="1" ht="17.25" customHeight="1">
      <c r="A132" s="1225">
        <v>4240</v>
      </c>
      <c r="B132" s="1225" t="s">
        <v>338</v>
      </c>
      <c r="C132" s="1225" t="s">
        <v>4071</v>
      </c>
      <c r="D132" s="1225">
        <v>7024.8</v>
      </c>
      <c r="E132" s="1225" t="s">
        <v>339</v>
      </c>
      <c r="F132" s="1225">
        <v>29785.15</v>
      </c>
    </row>
    <row r="133" spans="1:6" s="1225" customFormat="1" ht="17.25" customHeight="1">
      <c r="A133" s="1225">
        <v>2</v>
      </c>
      <c r="B133" s="1225" t="s">
        <v>132</v>
      </c>
      <c r="C133" s="1225" t="s">
        <v>283</v>
      </c>
      <c r="D133" s="1225">
        <v>3502.94</v>
      </c>
      <c r="E133" s="1225" t="s">
        <v>132</v>
      </c>
      <c r="F133" s="1225">
        <v>7005.88</v>
      </c>
    </row>
    <row r="134" spans="1:6" s="1225" customFormat="1" ht="17.25" customHeight="1">
      <c r="A134" s="1225">
        <v>3.5</v>
      </c>
      <c r="B134" s="1225" t="s">
        <v>131</v>
      </c>
      <c r="C134" s="1225" t="s">
        <v>345</v>
      </c>
      <c r="D134" s="1225">
        <v>1041.7</v>
      </c>
      <c r="E134" s="1225" t="s">
        <v>131</v>
      </c>
      <c r="F134" s="1225">
        <v>3645.95</v>
      </c>
    </row>
    <row r="135" spans="1:6" s="1225" customFormat="1" ht="17.25" customHeight="1">
      <c r="A135" s="1225">
        <v>10.6</v>
      </c>
      <c r="B135" s="1225" t="s">
        <v>131</v>
      </c>
      <c r="C135" s="1225" t="s">
        <v>302</v>
      </c>
      <c r="D135" s="1225">
        <v>972.4</v>
      </c>
      <c r="E135" s="1225" t="s">
        <v>131</v>
      </c>
      <c r="F135" s="1225">
        <v>10307.44</v>
      </c>
    </row>
    <row r="136" spans="1:6" s="1225" customFormat="1" ht="17.25" customHeight="1">
      <c r="A136" s="1225">
        <v>7.1</v>
      </c>
      <c r="B136" s="1225" t="s">
        <v>131</v>
      </c>
      <c r="C136" s="1225" t="s">
        <v>304</v>
      </c>
      <c r="D136" s="1225">
        <v>679.8</v>
      </c>
      <c r="E136" s="1225" t="s">
        <v>131</v>
      </c>
      <c r="F136" s="1225">
        <v>4826.58</v>
      </c>
    </row>
    <row r="137" spans="1:6" s="1225" customFormat="1" ht="17.25" customHeight="1">
      <c r="A137" s="1225">
        <v>21.2</v>
      </c>
      <c r="B137" s="1225" t="s">
        <v>131</v>
      </c>
      <c r="C137" s="1225" t="s">
        <v>306</v>
      </c>
      <c r="D137" s="1225">
        <v>557.70000000000005</v>
      </c>
      <c r="E137" s="1225" t="s">
        <v>131</v>
      </c>
      <c r="F137" s="1225">
        <v>11823.24</v>
      </c>
    </row>
    <row r="138" spans="1:6" s="1225" customFormat="1" ht="17.25" customHeight="1">
      <c r="B138" s="1225" t="s">
        <v>145</v>
      </c>
      <c r="C138" s="1225" t="s">
        <v>146</v>
      </c>
      <c r="E138" s="1225" t="s">
        <v>145</v>
      </c>
      <c r="F138" s="1225">
        <v>5</v>
      </c>
    </row>
    <row r="139" spans="1:6" s="1225" customFormat="1" ht="17.25" customHeight="1">
      <c r="F139" s="1225" t="s">
        <v>52</v>
      </c>
    </row>
    <row r="140" spans="1:6" s="1225" customFormat="1" ht="17.25" customHeight="1">
      <c r="C140" s="1225" t="s">
        <v>311</v>
      </c>
      <c r="F140" s="1225">
        <v>67399.240000000005</v>
      </c>
    </row>
    <row r="141" spans="1:6" s="1225" customFormat="1" ht="17.25" customHeight="1">
      <c r="F141" s="1225" t="s">
        <v>52</v>
      </c>
    </row>
    <row r="142" spans="1:6" s="1225" customFormat="1" ht="17.25" customHeight="1">
      <c r="C142" s="1225" t="s">
        <v>242</v>
      </c>
      <c r="F142" s="1225">
        <v>6739.92</v>
      </c>
    </row>
    <row r="143" spans="1:6" s="1225" customFormat="1" ht="17.25" customHeight="1"/>
    <row r="144" spans="1:6" s="1225" customFormat="1" ht="17.25" customHeight="1">
      <c r="A144" s="1632" t="s">
        <v>555</v>
      </c>
      <c r="B144" s="1632"/>
      <c r="C144" s="1632" t="s">
        <v>6416</v>
      </c>
      <c r="F144" s="1225">
        <v>719</v>
      </c>
    </row>
    <row r="145" spans="1:6" s="1225" customFormat="1" ht="17.25" customHeight="1"/>
    <row r="146" spans="1:6" s="1225" customFormat="1" ht="17.25" customHeight="1">
      <c r="A146" s="1632">
        <v>9</v>
      </c>
      <c r="B146" s="1632" t="s">
        <v>111</v>
      </c>
      <c r="C146" s="1632" t="s">
        <v>4078</v>
      </c>
    </row>
    <row r="147" spans="1:6" s="1225" customFormat="1" ht="17.25" customHeight="1">
      <c r="A147" s="1632"/>
      <c r="B147" s="1632"/>
      <c r="C147" s="1632" t="s">
        <v>4071</v>
      </c>
    </row>
    <row r="148" spans="1:6" s="1225" customFormat="1" ht="17.25" customHeight="1">
      <c r="C148" s="1225" t="s">
        <v>52</v>
      </c>
    </row>
    <row r="149" spans="1:6" s="1225" customFormat="1" ht="17.25" customHeight="1">
      <c r="A149" s="1225">
        <v>4240</v>
      </c>
      <c r="B149" s="1225" t="s">
        <v>338</v>
      </c>
      <c r="C149" s="1225" t="s">
        <v>4071</v>
      </c>
      <c r="D149" s="1225">
        <v>7024.8</v>
      </c>
      <c r="E149" s="1225" t="s">
        <v>339</v>
      </c>
      <c r="F149" s="1225">
        <v>29785.15</v>
      </c>
    </row>
    <row r="150" spans="1:6" s="1225" customFormat="1" ht="17.25" customHeight="1">
      <c r="A150" s="1225">
        <v>2</v>
      </c>
      <c r="B150" s="1225" t="s">
        <v>132</v>
      </c>
      <c r="C150" s="1225" t="s">
        <v>299</v>
      </c>
      <c r="D150" s="1225">
        <v>3213.02</v>
      </c>
      <c r="E150" s="1225" t="s">
        <v>132</v>
      </c>
      <c r="F150" s="1225">
        <v>6426.04</v>
      </c>
    </row>
    <row r="151" spans="1:6" s="1225" customFormat="1" ht="17.25" customHeight="1">
      <c r="A151" s="1225">
        <v>3.5</v>
      </c>
      <c r="B151" s="1225" t="s">
        <v>131</v>
      </c>
      <c r="C151" s="1225" t="s">
        <v>345</v>
      </c>
      <c r="D151" s="1225">
        <v>1041.7</v>
      </c>
      <c r="E151" s="1225" t="s">
        <v>131</v>
      </c>
      <c r="F151" s="1225">
        <v>3645.95</v>
      </c>
    </row>
    <row r="152" spans="1:6" s="1225" customFormat="1" ht="17.25" customHeight="1">
      <c r="A152" s="1225">
        <v>10.6</v>
      </c>
      <c r="B152" s="1225" t="s">
        <v>131</v>
      </c>
      <c r="C152" s="1225" t="s">
        <v>302</v>
      </c>
      <c r="D152" s="1225">
        <v>972.4</v>
      </c>
      <c r="E152" s="1225" t="s">
        <v>131</v>
      </c>
      <c r="F152" s="1225">
        <v>10307.44</v>
      </c>
    </row>
    <row r="153" spans="1:6" s="1225" customFormat="1" ht="17.25" customHeight="1">
      <c r="A153" s="1225">
        <v>7.1</v>
      </c>
      <c r="B153" s="1225" t="s">
        <v>131</v>
      </c>
      <c r="C153" s="1225" t="s">
        <v>304</v>
      </c>
      <c r="D153" s="1225">
        <v>679.8</v>
      </c>
      <c r="E153" s="1225" t="s">
        <v>131</v>
      </c>
      <c r="F153" s="1225">
        <v>4826.58</v>
      </c>
    </row>
    <row r="154" spans="1:6" s="1225" customFormat="1" ht="17.25" customHeight="1">
      <c r="A154" s="1225">
        <v>21.2</v>
      </c>
      <c r="B154" s="1225" t="s">
        <v>131</v>
      </c>
      <c r="C154" s="1225" t="s">
        <v>306</v>
      </c>
      <c r="D154" s="1225">
        <v>557.70000000000005</v>
      </c>
      <c r="E154" s="1225" t="s">
        <v>131</v>
      </c>
      <c r="F154" s="1225">
        <v>11823.24</v>
      </c>
    </row>
    <row r="155" spans="1:6" s="1225" customFormat="1" ht="17.25" customHeight="1">
      <c r="B155" s="1225" t="s">
        <v>145</v>
      </c>
      <c r="C155" s="1225" t="s">
        <v>146</v>
      </c>
      <c r="E155" s="1225" t="s">
        <v>145</v>
      </c>
      <c r="F155" s="1225">
        <v>5</v>
      </c>
    </row>
    <row r="156" spans="1:6" s="1225" customFormat="1" ht="17.25" customHeight="1">
      <c r="F156" s="1225" t="s">
        <v>52</v>
      </c>
    </row>
    <row r="157" spans="1:6" s="1225" customFormat="1" ht="17.25" customHeight="1">
      <c r="C157" s="1225" t="s">
        <v>311</v>
      </c>
      <c r="F157" s="1225">
        <v>66819.399999999994</v>
      </c>
    </row>
    <row r="158" spans="1:6" s="1225" customFormat="1" ht="17.25" customHeight="1">
      <c r="F158" s="1225" t="s">
        <v>52</v>
      </c>
    </row>
    <row r="159" spans="1:6" s="1225" customFormat="1" ht="17.25" customHeight="1">
      <c r="C159" s="1225" t="s">
        <v>242</v>
      </c>
      <c r="F159" s="1225">
        <v>6681.94</v>
      </c>
    </row>
    <row r="160" spans="1:6" s="1225" customFormat="1" ht="17.25" customHeight="1">
      <c r="F160" s="1225" t="s">
        <v>89</v>
      </c>
    </row>
    <row r="161" spans="1:6" s="1225" customFormat="1" ht="17.25" customHeight="1">
      <c r="C161" s="1225" t="s">
        <v>53</v>
      </c>
      <c r="F161" s="1225">
        <v>6764.22</v>
      </c>
    </row>
    <row r="162" spans="1:6" s="1225" customFormat="1" ht="17.25" customHeight="1">
      <c r="C162" s="1225" t="s">
        <v>54</v>
      </c>
      <c r="F162" s="1225">
        <v>6930.21</v>
      </c>
    </row>
    <row r="163" spans="1:6" s="1225" customFormat="1" ht="17.25" customHeight="1">
      <c r="C163" s="1437" t="s">
        <v>55</v>
      </c>
      <c r="F163" s="1225">
        <v>7096.2</v>
      </c>
    </row>
    <row r="164" spans="1:6" s="1225" customFormat="1" ht="17.25" customHeight="1">
      <c r="C164" s="1225" t="s">
        <v>56</v>
      </c>
      <c r="F164" s="1225">
        <v>7262.19</v>
      </c>
    </row>
    <row r="165" spans="1:6" s="1225" customFormat="1" ht="17.25" customHeight="1">
      <c r="A165" s="1225" t="s">
        <v>85</v>
      </c>
      <c r="C165" s="1225" t="s">
        <v>526</v>
      </c>
      <c r="F165" s="1225">
        <v>7428.18</v>
      </c>
    </row>
    <row r="166" spans="1:6" s="1225" customFormat="1" ht="17.25" customHeight="1">
      <c r="C166" s="1225">
        <v>5</v>
      </c>
      <c r="F166" s="1225">
        <v>7594.17</v>
      </c>
    </row>
    <row r="167" spans="1:6" s="1225" customFormat="1" ht="17.25" customHeight="1"/>
    <row r="168" spans="1:6" s="1632" customFormat="1" ht="17.25" customHeight="1">
      <c r="B168" s="1632" t="s">
        <v>483</v>
      </c>
      <c r="C168" s="1632" t="s">
        <v>4093</v>
      </c>
    </row>
    <row r="169" spans="1:6" s="1225" customFormat="1" ht="17.25" customHeight="1">
      <c r="C169" s="1225" t="s">
        <v>52</v>
      </c>
    </row>
    <row r="170" spans="1:6" s="1225" customFormat="1" ht="17.25" customHeight="1">
      <c r="A170" s="1225">
        <v>1.1399999999999999</v>
      </c>
      <c r="B170" s="1225" t="s">
        <v>132</v>
      </c>
      <c r="C170" s="1225" t="s">
        <v>593</v>
      </c>
      <c r="D170" s="1225">
        <v>6563.69</v>
      </c>
      <c r="E170" s="1225" t="s">
        <v>132</v>
      </c>
      <c r="F170" s="1225">
        <v>7482.61</v>
      </c>
    </row>
    <row r="171" spans="1:6" s="1225" customFormat="1" ht="17.25" customHeight="1">
      <c r="A171" s="1225">
        <v>1</v>
      </c>
      <c r="B171" s="1225" t="s">
        <v>237</v>
      </c>
      <c r="C171" s="1225" t="s">
        <v>345</v>
      </c>
      <c r="D171" s="1225">
        <v>1041.7</v>
      </c>
      <c r="E171" s="1225" t="s">
        <v>131</v>
      </c>
      <c r="F171" s="1225">
        <v>1041.7</v>
      </c>
    </row>
    <row r="172" spans="1:6" s="1225" customFormat="1" ht="17.25" customHeight="1">
      <c r="B172" s="1225" t="s">
        <v>145</v>
      </c>
      <c r="C172" s="1225" t="s">
        <v>146</v>
      </c>
      <c r="D172" s="1225" t="s">
        <v>85</v>
      </c>
      <c r="E172" s="1225" t="s">
        <v>145</v>
      </c>
      <c r="F172" s="1225">
        <v>0</v>
      </c>
    </row>
    <row r="173" spans="1:6" s="1225" customFormat="1" ht="17.25" customHeight="1">
      <c r="F173" s="1225" t="s">
        <v>52</v>
      </c>
    </row>
    <row r="174" spans="1:6" s="1225" customFormat="1" ht="17.25" customHeight="1">
      <c r="C174" s="1225" t="s">
        <v>495</v>
      </c>
      <c r="F174" s="1225">
        <v>8524.31</v>
      </c>
    </row>
    <row r="175" spans="1:6" s="1225" customFormat="1" ht="17.25" customHeight="1">
      <c r="F175" s="1225" t="s">
        <v>52</v>
      </c>
    </row>
    <row r="176" spans="1:6" s="1225" customFormat="1" ht="17.25" customHeight="1">
      <c r="C176" s="1225" t="s">
        <v>460</v>
      </c>
      <c r="F176" s="1225">
        <v>852.43</v>
      </c>
    </row>
    <row r="177" spans="1:6" s="1225" customFormat="1" ht="17.25" customHeight="1">
      <c r="F177" s="1225" t="s">
        <v>89</v>
      </c>
    </row>
    <row r="178" spans="1:6" s="1225" customFormat="1" ht="17.25" customHeight="1">
      <c r="C178" s="1225" t="s">
        <v>53</v>
      </c>
      <c r="E178" s="1225">
        <v>9.3800000000000008</v>
      </c>
      <c r="F178" s="1225">
        <v>861.81</v>
      </c>
    </row>
    <row r="179" spans="1:6" s="1225" customFormat="1" ht="17.25" customHeight="1">
      <c r="C179" s="1225" t="s">
        <v>54</v>
      </c>
      <c r="E179" s="1225">
        <v>18.920000000000002</v>
      </c>
      <c r="F179" s="1225">
        <v>880.73</v>
      </c>
    </row>
    <row r="180" spans="1:6" s="1225" customFormat="1" ht="17.25" customHeight="1">
      <c r="C180" s="1225" t="s">
        <v>55</v>
      </c>
      <c r="E180" s="1225">
        <v>18.920000000000002</v>
      </c>
      <c r="F180" s="1225">
        <v>899.65</v>
      </c>
    </row>
    <row r="181" spans="1:6" s="1225" customFormat="1" ht="17.25" customHeight="1">
      <c r="C181" s="1225" t="s">
        <v>56</v>
      </c>
      <c r="E181" s="1225">
        <v>18.920000000000002</v>
      </c>
      <c r="F181" s="1225">
        <v>918.57</v>
      </c>
    </row>
    <row r="182" spans="1:6" s="1225" customFormat="1" ht="17.25" customHeight="1">
      <c r="C182" s="1225" t="s">
        <v>57</v>
      </c>
      <c r="E182" s="1225">
        <v>18.920000000000002</v>
      </c>
      <c r="F182" s="1225">
        <v>937.49</v>
      </c>
    </row>
    <row r="183" spans="1:6" s="1225" customFormat="1" ht="17.25" customHeight="1">
      <c r="C183" s="1225" t="s">
        <v>4095</v>
      </c>
      <c r="E183" s="1225">
        <v>18.920000000000002</v>
      </c>
      <c r="F183" s="1225">
        <v>956.41</v>
      </c>
    </row>
    <row r="184" spans="1:6" s="1225" customFormat="1" ht="17.25" customHeight="1"/>
    <row r="185" spans="1:6" s="1225" customFormat="1" ht="17.25" customHeight="1">
      <c r="A185" s="1632"/>
      <c r="B185" s="1632" t="s">
        <v>607</v>
      </c>
      <c r="C185" s="1632" t="s">
        <v>4108</v>
      </c>
    </row>
    <row r="186" spans="1:6" s="1225" customFormat="1" ht="17.25" customHeight="1">
      <c r="A186" s="1632"/>
      <c r="B186" s="1632"/>
      <c r="C186" s="1632" t="s">
        <v>52</v>
      </c>
    </row>
    <row r="187" spans="1:6" s="1225" customFormat="1" ht="17.25" customHeight="1">
      <c r="A187" s="1225">
        <v>0.75</v>
      </c>
      <c r="B187" s="1225" t="s">
        <v>132</v>
      </c>
      <c r="C187" s="1225" t="s">
        <v>488</v>
      </c>
      <c r="D187" s="1225">
        <v>6563.69</v>
      </c>
      <c r="E187" s="1225" t="s">
        <v>131</v>
      </c>
      <c r="F187" s="1225">
        <v>4922.7700000000004</v>
      </c>
    </row>
    <row r="188" spans="1:6" s="1225" customFormat="1" ht="17.25" customHeight="1">
      <c r="A188" s="1225">
        <v>1</v>
      </c>
      <c r="B188" s="1225" t="s">
        <v>237</v>
      </c>
      <c r="C188" s="1225" t="s">
        <v>345</v>
      </c>
      <c r="D188" s="1225">
        <v>1041.7</v>
      </c>
      <c r="E188" s="1225" t="s">
        <v>131</v>
      </c>
      <c r="F188" s="1225">
        <v>1041.7</v>
      </c>
    </row>
    <row r="189" spans="1:6" s="1225" customFormat="1" ht="17.25" customHeight="1">
      <c r="B189" s="1225" t="s">
        <v>145</v>
      </c>
      <c r="C189" s="1225" t="s">
        <v>146</v>
      </c>
      <c r="D189" s="1225" t="s">
        <v>85</v>
      </c>
      <c r="E189" s="1225" t="s">
        <v>145</v>
      </c>
      <c r="F189" s="1225">
        <v>0</v>
      </c>
    </row>
    <row r="190" spans="1:6" s="1225" customFormat="1" ht="17.25" customHeight="1">
      <c r="F190" s="1225" t="s">
        <v>52</v>
      </c>
    </row>
    <row r="191" spans="1:6" s="1225" customFormat="1" ht="17.25" customHeight="1">
      <c r="C191" s="1225" t="s">
        <v>495</v>
      </c>
      <c r="F191" s="1225">
        <v>5964.47</v>
      </c>
    </row>
    <row r="192" spans="1:6" s="1225" customFormat="1" ht="17.25" customHeight="1">
      <c r="F192" s="1225" t="s">
        <v>52</v>
      </c>
    </row>
    <row r="193" spans="1:6" s="1225" customFormat="1" ht="17.25" customHeight="1">
      <c r="C193" s="1225" t="s">
        <v>460</v>
      </c>
      <c r="F193" s="1225">
        <v>596.45000000000005</v>
      </c>
    </row>
    <row r="194" spans="1:6" s="1225" customFormat="1" ht="17.25" customHeight="1">
      <c r="F194" s="1225" t="s">
        <v>89</v>
      </c>
    </row>
    <row r="195" spans="1:6" s="1225" customFormat="1" ht="17.25" customHeight="1">
      <c r="C195" s="1225" t="s">
        <v>53</v>
      </c>
      <c r="E195" s="1225">
        <v>6.17</v>
      </c>
      <c r="F195" s="1225">
        <v>602.62</v>
      </c>
    </row>
    <row r="196" spans="1:6" s="1225" customFormat="1" ht="17.25" customHeight="1">
      <c r="C196" s="1225" t="s">
        <v>54</v>
      </c>
      <c r="E196" s="1225">
        <v>12.45</v>
      </c>
      <c r="F196" s="1225">
        <v>615.07000000000005</v>
      </c>
    </row>
    <row r="197" spans="1:6" s="1225" customFormat="1" ht="17.25" customHeight="1">
      <c r="C197" s="1225" t="s">
        <v>55</v>
      </c>
      <c r="E197" s="1225">
        <v>12.45</v>
      </c>
      <c r="F197" s="1225">
        <v>627.52</v>
      </c>
    </row>
    <row r="198" spans="1:6" s="1225" customFormat="1" ht="17.25" customHeight="1">
      <c r="C198" s="1225" t="s">
        <v>56</v>
      </c>
      <c r="E198" s="1225">
        <v>12.45</v>
      </c>
      <c r="F198" s="1225">
        <v>639.97</v>
      </c>
    </row>
    <row r="199" spans="1:6" s="1225" customFormat="1" ht="17.25" customHeight="1">
      <c r="C199" s="1225" t="s">
        <v>622</v>
      </c>
      <c r="E199" s="1225">
        <v>12.45</v>
      </c>
      <c r="F199" s="1225">
        <v>652.41999999999996</v>
      </c>
    </row>
    <row r="200" spans="1:6" s="1225" customFormat="1" ht="17.25" customHeight="1"/>
    <row r="201" spans="1:6" s="1225" customFormat="1" ht="17.25" customHeight="1">
      <c r="A201" s="1632" t="s">
        <v>648</v>
      </c>
      <c r="B201" s="1632" t="s">
        <v>111</v>
      </c>
      <c r="C201" s="1632" t="s">
        <v>649</v>
      </c>
      <c r="F201" s="1225">
        <v>508.65</v>
      </c>
    </row>
    <row r="202" spans="1:6" s="1225" customFormat="1" ht="17.25" customHeight="1">
      <c r="A202" s="1632"/>
      <c r="B202" s="1632"/>
      <c r="C202" s="1632" t="s">
        <v>650</v>
      </c>
    </row>
    <row r="203" spans="1:6" s="1225" customFormat="1" ht="17.25" customHeight="1">
      <c r="C203" s="1225" t="s">
        <v>52</v>
      </c>
    </row>
    <row r="204" spans="1:6" s="1225" customFormat="1" ht="17.25" customHeight="1">
      <c r="A204" s="1225">
        <v>1</v>
      </c>
      <c r="B204" s="1225" t="s">
        <v>132</v>
      </c>
      <c r="C204" s="1225" t="s">
        <v>651</v>
      </c>
      <c r="D204" s="1225">
        <v>40.65</v>
      </c>
      <c r="E204" s="1225" t="s">
        <v>132</v>
      </c>
      <c r="F204" s="1225">
        <v>40.65</v>
      </c>
    </row>
    <row r="205" spans="1:6" s="1225" customFormat="1" ht="17.25" customHeight="1"/>
    <row r="206" spans="1:6" s="1225" customFormat="1" ht="17.25" customHeight="1">
      <c r="B206" s="1632" t="s">
        <v>85</v>
      </c>
      <c r="C206" s="1632" t="s">
        <v>707</v>
      </c>
    </row>
    <row r="207" spans="1:6" s="1225" customFormat="1" ht="17.25" customHeight="1">
      <c r="B207" s="1632"/>
      <c r="C207" s="1632" t="s">
        <v>709</v>
      </c>
    </row>
    <row r="208" spans="1:6" s="1225" customFormat="1" ht="17.25" customHeight="1">
      <c r="B208" s="1632"/>
      <c r="C208" s="1632" t="s">
        <v>710</v>
      </c>
    </row>
    <row r="209" spans="1:6" s="1225" customFormat="1" ht="17.25" customHeight="1">
      <c r="B209" s="1632"/>
      <c r="C209" s="1632" t="s">
        <v>712</v>
      </c>
    </row>
    <row r="210" spans="1:6" s="1225" customFormat="1" ht="17.25" customHeight="1">
      <c r="B210" s="1632"/>
      <c r="C210" s="1632" t="s">
        <v>713</v>
      </c>
    </row>
    <row r="211" spans="1:6" s="1225" customFormat="1" ht="17.25" customHeight="1">
      <c r="B211" s="1632"/>
      <c r="C211" s="1632" t="s">
        <v>714</v>
      </c>
    </row>
    <row r="212" spans="1:6" s="1225" customFormat="1" ht="17.25" customHeight="1">
      <c r="B212" s="1632"/>
      <c r="C212" s="1632" t="s">
        <v>4144</v>
      </c>
    </row>
    <row r="213" spans="1:6" s="1225" customFormat="1" ht="17.25" customHeight="1">
      <c r="B213" s="1632"/>
      <c r="C213" s="1632" t="s">
        <v>52</v>
      </c>
      <c r="D213" s="1225" t="s">
        <v>52</v>
      </c>
    </row>
    <row r="214" spans="1:6" s="1225" customFormat="1" ht="17.25" customHeight="1">
      <c r="B214" s="1632" t="s">
        <v>443</v>
      </c>
      <c r="C214" s="1632" t="s">
        <v>720</v>
      </c>
    </row>
    <row r="215" spans="1:6" s="1225" customFormat="1" ht="17.25" customHeight="1">
      <c r="C215" s="1225" t="s">
        <v>722</v>
      </c>
    </row>
    <row r="216" spans="1:6" s="1225" customFormat="1" ht="17.25" customHeight="1">
      <c r="A216" s="1225">
        <v>10</v>
      </c>
      <c r="B216" s="1225" t="s">
        <v>724</v>
      </c>
      <c r="C216" s="1225" t="s">
        <v>725</v>
      </c>
      <c r="D216" s="1225">
        <v>376.7</v>
      </c>
      <c r="E216" s="1225" t="s">
        <v>724</v>
      </c>
      <c r="F216" s="1225">
        <v>3767</v>
      </c>
    </row>
    <row r="217" spans="1:6" s="1225" customFormat="1" ht="17.25" customHeight="1">
      <c r="A217" s="1225">
        <v>1</v>
      </c>
      <c r="B217" s="1225" t="s">
        <v>727</v>
      </c>
      <c r="C217" s="1225" t="s">
        <v>728</v>
      </c>
      <c r="D217" s="1225">
        <v>1041.7</v>
      </c>
      <c r="E217" s="1225" t="s">
        <v>729</v>
      </c>
      <c r="F217" s="1225">
        <v>1041.7</v>
      </c>
    </row>
    <row r="218" spans="1:6" s="1225" customFormat="1" ht="17.25" customHeight="1">
      <c r="A218" s="1225">
        <v>1</v>
      </c>
      <c r="B218" s="1225" t="s">
        <v>727</v>
      </c>
      <c r="C218" s="1225" t="s">
        <v>731</v>
      </c>
      <c r="D218" s="1225">
        <v>679.8</v>
      </c>
      <c r="E218" s="1225" t="s">
        <v>729</v>
      </c>
      <c r="F218" s="1225">
        <v>679.8</v>
      </c>
    </row>
    <row r="219" spans="1:6" s="1225" customFormat="1" ht="17.25" customHeight="1">
      <c r="B219" s="1225" t="s">
        <v>145</v>
      </c>
      <c r="C219" s="1225" t="s">
        <v>733</v>
      </c>
      <c r="E219" s="1225" t="s">
        <v>145</v>
      </c>
      <c r="F219" s="1225">
        <v>120</v>
      </c>
    </row>
    <row r="220" spans="1:6" s="1225" customFormat="1" ht="17.25" customHeight="1">
      <c r="C220" s="1225" t="s">
        <v>735</v>
      </c>
      <c r="F220" s="1225" t="s">
        <v>52</v>
      </c>
    </row>
    <row r="221" spans="1:6" s="1225" customFormat="1" ht="17.25" customHeight="1">
      <c r="C221" s="1225" t="s">
        <v>737</v>
      </c>
      <c r="F221" s="1225">
        <v>5608.5</v>
      </c>
    </row>
    <row r="222" spans="1:6" s="1225" customFormat="1" ht="17.25" customHeight="1">
      <c r="F222" s="1225" t="s">
        <v>52</v>
      </c>
    </row>
    <row r="223" spans="1:6" s="1225" customFormat="1" ht="17.25" customHeight="1">
      <c r="C223" s="1225" t="s">
        <v>740</v>
      </c>
      <c r="F223" s="1225">
        <v>560.85</v>
      </c>
    </row>
    <row r="224" spans="1:6" s="1225" customFormat="1" ht="17.25" customHeight="1">
      <c r="C224" s="1225" t="s">
        <v>53</v>
      </c>
      <c r="D224" s="1225">
        <v>560.85</v>
      </c>
      <c r="E224" s="1225">
        <v>2.5</v>
      </c>
      <c r="F224" s="1225">
        <v>563.35</v>
      </c>
    </row>
    <row r="225" spans="1:6" s="1225" customFormat="1" ht="17.25" customHeight="1">
      <c r="C225" s="1225" t="s">
        <v>54</v>
      </c>
      <c r="D225" s="1225">
        <v>563.35</v>
      </c>
      <c r="E225" s="1225">
        <v>4.92</v>
      </c>
      <c r="F225" s="1225">
        <v>568.27</v>
      </c>
    </row>
    <row r="226" spans="1:6" s="1225" customFormat="1" ht="17.25" customHeight="1">
      <c r="C226" s="1225" t="s">
        <v>55</v>
      </c>
      <c r="D226" s="1225">
        <v>568.27</v>
      </c>
      <c r="E226" s="1225">
        <v>4.92</v>
      </c>
      <c r="F226" s="1225">
        <v>573.19000000000005</v>
      </c>
    </row>
    <row r="227" spans="1:6" s="1225" customFormat="1" ht="17.25" customHeight="1">
      <c r="C227" s="1225" t="s">
        <v>56</v>
      </c>
      <c r="D227" s="1225">
        <v>573.19000000000005</v>
      </c>
      <c r="E227" s="1225">
        <v>4.92</v>
      </c>
      <c r="F227" s="1225">
        <v>578.11</v>
      </c>
    </row>
    <row r="228" spans="1:6" s="1225" customFormat="1" ht="17.25" customHeight="1">
      <c r="C228" s="1225" t="s">
        <v>747</v>
      </c>
      <c r="D228" s="1225">
        <v>578.11</v>
      </c>
      <c r="E228" s="1225">
        <v>4.92</v>
      </c>
      <c r="F228" s="1225">
        <v>583.03</v>
      </c>
    </row>
    <row r="229" spans="1:6" s="1225" customFormat="1" ht="17.25" customHeight="1"/>
    <row r="230" spans="1:6" s="1225" customFormat="1" ht="17.25" customHeight="1">
      <c r="B230" s="1632" t="s">
        <v>85</v>
      </c>
      <c r="C230" s="1632" t="s">
        <v>707</v>
      </c>
    </row>
    <row r="231" spans="1:6" s="1225" customFormat="1" ht="17.25" customHeight="1">
      <c r="B231" s="1632"/>
      <c r="C231" s="1632" t="s">
        <v>709</v>
      </c>
    </row>
    <row r="232" spans="1:6" s="1225" customFormat="1" ht="17.25" customHeight="1">
      <c r="B232" s="1632"/>
      <c r="C232" s="1632" t="s">
        <v>710</v>
      </c>
    </row>
    <row r="233" spans="1:6" s="1225" customFormat="1" ht="17.25" customHeight="1">
      <c r="B233" s="1632"/>
      <c r="C233" s="1632" t="s">
        <v>712</v>
      </c>
    </row>
    <row r="234" spans="1:6" s="1225" customFormat="1" ht="17.25" customHeight="1">
      <c r="B234" s="1632"/>
      <c r="C234" s="1632" t="s">
        <v>713</v>
      </c>
    </row>
    <row r="235" spans="1:6" s="1225" customFormat="1" ht="17.25" customHeight="1">
      <c r="B235" s="1632"/>
      <c r="C235" s="1632" t="s">
        <v>714</v>
      </c>
    </row>
    <row r="236" spans="1:6" s="1225" customFormat="1" ht="17.25" customHeight="1">
      <c r="B236" s="1632"/>
      <c r="C236" s="1632" t="s">
        <v>4144</v>
      </c>
    </row>
    <row r="237" spans="1:6" s="1225" customFormat="1" ht="17.25" customHeight="1">
      <c r="B237" s="1632"/>
      <c r="C237" s="1632" t="s">
        <v>52</v>
      </c>
      <c r="D237" s="1225" t="s">
        <v>52</v>
      </c>
    </row>
    <row r="238" spans="1:6" s="1225" customFormat="1" ht="17.25" customHeight="1">
      <c r="B238" s="1632" t="s">
        <v>443</v>
      </c>
      <c r="C238" s="1632" t="s">
        <v>4145</v>
      </c>
    </row>
    <row r="239" spans="1:6" s="1225" customFormat="1" ht="17.25" customHeight="1">
      <c r="C239" s="1225" t="s">
        <v>722</v>
      </c>
    </row>
    <row r="240" spans="1:6" s="1225" customFormat="1" ht="17.25" customHeight="1">
      <c r="A240" s="1225">
        <v>10</v>
      </c>
      <c r="B240" s="1225" t="s">
        <v>724</v>
      </c>
      <c r="C240" s="1225" t="s">
        <v>725</v>
      </c>
      <c r="D240" s="1225">
        <v>408</v>
      </c>
      <c r="E240" s="1225" t="s">
        <v>724</v>
      </c>
      <c r="F240" s="1225">
        <v>4080</v>
      </c>
    </row>
    <row r="241" spans="1:6" s="1225" customFormat="1" ht="17.25" customHeight="1">
      <c r="A241" s="1225">
        <v>1</v>
      </c>
      <c r="B241" s="1225" t="s">
        <v>727</v>
      </c>
      <c r="C241" s="1225" t="s">
        <v>728</v>
      </c>
      <c r="D241" s="1225">
        <v>1041.7</v>
      </c>
      <c r="E241" s="1225" t="s">
        <v>729</v>
      </c>
      <c r="F241" s="1225">
        <v>1041.7</v>
      </c>
    </row>
    <row r="242" spans="1:6" s="1225" customFormat="1" ht="17.25" customHeight="1">
      <c r="A242" s="1225">
        <v>1</v>
      </c>
      <c r="B242" s="1225" t="s">
        <v>727</v>
      </c>
      <c r="C242" s="1225" t="s">
        <v>731</v>
      </c>
      <c r="D242" s="1225">
        <v>679.8</v>
      </c>
      <c r="E242" s="1225" t="s">
        <v>729</v>
      </c>
      <c r="F242" s="1225">
        <v>679.8</v>
      </c>
    </row>
    <row r="243" spans="1:6" s="1225" customFormat="1" ht="17.25" customHeight="1">
      <c r="B243" s="1225" t="s">
        <v>145</v>
      </c>
      <c r="C243" s="1225" t="s">
        <v>733</v>
      </c>
      <c r="D243" s="1225">
        <v>0</v>
      </c>
      <c r="E243" s="1225" t="s">
        <v>145</v>
      </c>
      <c r="F243" s="1225">
        <v>120</v>
      </c>
    </row>
    <row r="244" spans="1:6" s="1225" customFormat="1" ht="17.25" customHeight="1">
      <c r="C244" s="1225" t="s">
        <v>735</v>
      </c>
      <c r="F244" s="1225" t="s">
        <v>52</v>
      </c>
    </row>
    <row r="245" spans="1:6" s="1225" customFormat="1" ht="17.25" customHeight="1">
      <c r="C245" s="1225" t="s">
        <v>737</v>
      </c>
      <c r="F245" s="1225">
        <v>5921.5</v>
      </c>
    </row>
    <row r="246" spans="1:6" s="1225" customFormat="1" ht="17.25" customHeight="1">
      <c r="F246" s="1225" t="s">
        <v>52</v>
      </c>
    </row>
    <row r="247" spans="1:6" s="1225" customFormat="1" ht="17.25" customHeight="1">
      <c r="C247" s="1225" t="s">
        <v>740</v>
      </c>
      <c r="F247" s="1225">
        <v>592.15</v>
      </c>
    </row>
    <row r="248" spans="1:6" s="1225" customFormat="1" ht="17.25" customHeight="1">
      <c r="C248" s="1225" t="s">
        <v>53</v>
      </c>
      <c r="D248" s="1225">
        <v>5</v>
      </c>
      <c r="E248" s="1225">
        <v>32.85</v>
      </c>
      <c r="F248" s="1225">
        <v>597.15</v>
      </c>
    </row>
    <row r="249" spans="1:6" s="1225" customFormat="1" ht="17.25" customHeight="1">
      <c r="C249" s="1225" t="s">
        <v>54</v>
      </c>
      <c r="D249" s="1225">
        <v>9.85</v>
      </c>
      <c r="E249" s="1225">
        <v>20.329999999999998</v>
      </c>
      <c r="F249" s="1225">
        <v>607</v>
      </c>
    </row>
    <row r="250" spans="1:6" s="1225" customFormat="1" ht="17.25" customHeight="1">
      <c r="C250" s="1225" t="s">
        <v>55</v>
      </c>
      <c r="D250" s="1225">
        <v>9.85</v>
      </c>
      <c r="E250" s="1225">
        <v>20.329999999999998</v>
      </c>
      <c r="F250" s="1225">
        <v>616.85</v>
      </c>
    </row>
    <row r="251" spans="1:6" s="1225" customFormat="1" ht="17.25" customHeight="1">
      <c r="C251" s="1225" t="s">
        <v>56</v>
      </c>
      <c r="D251" s="1225">
        <v>9.85</v>
      </c>
      <c r="E251" s="1225">
        <v>20.329999999999998</v>
      </c>
      <c r="F251" s="1225">
        <v>626.70000000000005</v>
      </c>
    </row>
    <row r="252" spans="1:6" s="1225" customFormat="1" ht="17.25" customHeight="1">
      <c r="C252" s="1225" t="s">
        <v>747</v>
      </c>
      <c r="D252" s="1225">
        <v>9.85</v>
      </c>
      <c r="E252" s="1225">
        <v>20.329999999999998</v>
      </c>
      <c r="F252" s="1225">
        <v>636.54999999999995</v>
      </c>
    </row>
    <row r="253" spans="1:6" s="1225" customFormat="1" ht="17.25" customHeight="1"/>
    <row r="254" spans="1:6" s="1225" customFormat="1" ht="17.25" customHeight="1">
      <c r="A254" s="1632">
        <v>21.2</v>
      </c>
      <c r="B254" s="1632"/>
      <c r="C254" s="1632" t="s">
        <v>1283</v>
      </c>
    </row>
    <row r="255" spans="1:6" s="1225" customFormat="1" ht="17.25" customHeight="1">
      <c r="A255" s="1632"/>
      <c r="B255" s="1632"/>
      <c r="C255" s="1632" t="s">
        <v>52</v>
      </c>
    </row>
    <row r="256" spans="1:6" s="1225" customFormat="1" ht="17.25" customHeight="1">
      <c r="A256" s="1632"/>
      <c r="B256" s="1632" t="s">
        <v>612</v>
      </c>
      <c r="C256" s="1632" t="s">
        <v>1286</v>
      </c>
      <c r="F256" s="1225" t="s">
        <v>85</v>
      </c>
    </row>
    <row r="257" spans="1:6" s="1225" customFormat="1" ht="17.25" customHeight="1">
      <c r="C257" s="1225" t="s">
        <v>52</v>
      </c>
      <c r="F257" s="1225" t="s">
        <v>85</v>
      </c>
    </row>
    <row r="258" spans="1:6" s="1225" customFormat="1" ht="17.25" customHeight="1">
      <c r="A258" s="1225">
        <v>1</v>
      </c>
      <c r="B258" s="1225" t="s">
        <v>132</v>
      </c>
      <c r="C258" s="1225" t="s">
        <v>1289</v>
      </c>
      <c r="D258" s="1225">
        <v>14278</v>
      </c>
      <c r="E258" s="1225" t="s">
        <v>132</v>
      </c>
      <c r="F258" s="1225">
        <v>14278</v>
      </c>
    </row>
    <row r="259" spans="1:6" s="1225" customFormat="1" ht="17.25" customHeight="1">
      <c r="A259" s="1225">
        <v>1</v>
      </c>
      <c r="B259" s="1225" t="s">
        <v>132</v>
      </c>
      <c r="C259" s="1225" t="s">
        <v>1286</v>
      </c>
      <c r="D259" s="1225">
        <v>111600</v>
      </c>
      <c r="E259" s="1225" t="s">
        <v>132</v>
      </c>
      <c r="F259" s="1225">
        <v>111600</v>
      </c>
    </row>
    <row r="260" spans="1:6" s="1225" customFormat="1" ht="17.25" customHeight="1">
      <c r="F260" s="1225" t="s">
        <v>89</v>
      </c>
    </row>
    <row r="261" spans="1:6" s="1225" customFormat="1" ht="17.25" customHeight="1">
      <c r="C261" s="1225" t="s">
        <v>1293</v>
      </c>
      <c r="F261" s="1225">
        <v>125878</v>
      </c>
    </row>
    <row r="262" spans="1:6" s="1225" customFormat="1" ht="17.25" customHeight="1"/>
    <row r="263" spans="1:6" s="1225" customFormat="1" ht="17.25" customHeight="1"/>
    <row r="264" spans="1:6" s="1225" customFormat="1" ht="17.25" customHeight="1">
      <c r="A264" s="1632"/>
      <c r="B264" s="1632" t="s">
        <v>634</v>
      </c>
      <c r="C264" s="1632" t="s">
        <v>1296</v>
      </c>
      <c r="F264" s="1225" t="s">
        <v>85</v>
      </c>
    </row>
    <row r="265" spans="1:6" s="1225" customFormat="1" ht="17.25" customHeight="1">
      <c r="C265" s="1225" t="s">
        <v>52</v>
      </c>
    </row>
    <row r="266" spans="1:6" s="1225" customFormat="1" ht="17.25" customHeight="1">
      <c r="A266" s="1225">
        <v>1</v>
      </c>
      <c r="B266" s="1225" t="s">
        <v>132</v>
      </c>
      <c r="C266" s="1225" t="s">
        <v>1289</v>
      </c>
      <c r="D266" s="1225">
        <v>14278</v>
      </c>
      <c r="E266" s="1225" t="s">
        <v>132</v>
      </c>
      <c r="F266" s="1225">
        <v>14278</v>
      </c>
    </row>
    <row r="267" spans="1:6" s="1225" customFormat="1" ht="17.25" customHeight="1">
      <c r="A267" s="1225">
        <v>1</v>
      </c>
      <c r="B267" s="1225" t="s">
        <v>132</v>
      </c>
      <c r="C267" s="1225" t="s">
        <v>1286</v>
      </c>
      <c r="D267" s="1225">
        <v>99400</v>
      </c>
      <c r="E267" s="1225" t="s">
        <v>132</v>
      </c>
      <c r="F267" s="1225">
        <v>99400</v>
      </c>
    </row>
    <row r="268" spans="1:6" s="1225" customFormat="1" ht="17.25" customHeight="1">
      <c r="F268" s="1225" t="s">
        <v>89</v>
      </c>
    </row>
    <row r="269" spans="1:6" s="1225" customFormat="1" ht="17.25" customHeight="1">
      <c r="C269" s="1225" t="s">
        <v>1302</v>
      </c>
      <c r="F269" s="1225">
        <v>113678</v>
      </c>
    </row>
    <row r="270" spans="1:6" s="1225" customFormat="1" ht="17.25" customHeight="1"/>
    <row r="271" spans="1:6" s="1225" customFormat="1" ht="17.25" customHeight="1">
      <c r="A271" s="1632" t="s">
        <v>1306</v>
      </c>
      <c r="B271" s="1632" t="s">
        <v>111</v>
      </c>
      <c r="C271" s="1632" t="s">
        <v>1307</v>
      </c>
    </row>
    <row r="272" spans="1:6" s="1225" customFormat="1" ht="17.25" customHeight="1">
      <c r="A272" s="1632"/>
      <c r="B272" s="1632"/>
      <c r="C272" s="1632" t="s">
        <v>1309</v>
      </c>
    </row>
    <row r="273" spans="1:6" s="1225" customFormat="1" ht="17.25" customHeight="1">
      <c r="A273" s="1632"/>
      <c r="B273" s="1632"/>
      <c r="C273" s="1632" t="s">
        <v>1311</v>
      </c>
    </row>
    <row r="274" spans="1:6" s="1225" customFormat="1" ht="17.25" customHeight="1">
      <c r="C274" s="1225" t="s">
        <v>52</v>
      </c>
    </row>
    <row r="275" spans="1:6" s="1225" customFormat="1" ht="17.25" customHeight="1">
      <c r="C275" s="1225" t="s">
        <v>1314</v>
      </c>
    </row>
    <row r="276" spans="1:6" s="1225" customFormat="1" ht="17.25" customHeight="1">
      <c r="C276" s="1225" t="s">
        <v>1316</v>
      </c>
    </row>
    <row r="277" spans="1:6" s="1225" customFormat="1" ht="17.25" customHeight="1">
      <c r="E277" s="1225" t="s">
        <v>52</v>
      </c>
    </row>
    <row r="278" spans="1:6" s="1225" customFormat="1" ht="17.25" customHeight="1">
      <c r="C278" s="1225" t="s">
        <v>1319</v>
      </c>
    </row>
    <row r="279" spans="1:6" s="1225" customFormat="1" ht="17.25" customHeight="1">
      <c r="C279" s="1225" t="s">
        <v>1321</v>
      </c>
      <c r="F279" s="1225">
        <v>2.4299999999999999E-2</v>
      </c>
    </row>
    <row r="280" spans="1:6" s="1225" customFormat="1" ht="17.25" customHeight="1">
      <c r="E280" s="1225" t="s">
        <v>85</v>
      </c>
      <c r="F280" s="1225" t="s">
        <v>52</v>
      </c>
    </row>
    <row r="281" spans="1:6" s="1225" customFormat="1" ht="17.25" customHeight="1">
      <c r="C281" s="1225" t="s">
        <v>1324</v>
      </c>
      <c r="E281" s="1225" t="s">
        <v>85</v>
      </c>
      <c r="F281" s="1225">
        <v>1.47E-2</v>
      </c>
    </row>
    <row r="282" spans="1:6" s="1225" customFormat="1" ht="17.25" customHeight="1">
      <c r="C282" s="1225" t="s">
        <v>1326</v>
      </c>
      <c r="E282" s="1225" t="s">
        <v>85</v>
      </c>
      <c r="F282" s="1225">
        <v>4.5999999999999999E-3</v>
      </c>
    </row>
    <row r="283" spans="1:6" s="1225" customFormat="1" ht="17.25" customHeight="1">
      <c r="F283" s="1225" t="s">
        <v>52</v>
      </c>
    </row>
    <row r="284" spans="1:6" s="1225" customFormat="1" ht="17.25" customHeight="1">
      <c r="F284" s="1225">
        <v>1.9300000000000001E-2</v>
      </c>
    </row>
    <row r="285" spans="1:6" s="1225" customFormat="1" ht="17.25" customHeight="1">
      <c r="F285" s="1225" t="s">
        <v>52</v>
      </c>
    </row>
    <row r="286" spans="1:6" s="1225" customFormat="1" ht="17.25" customHeight="1"/>
    <row r="287" spans="1:6" s="1225" customFormat="1" ht="17.25" customHeight="1"/>
    <row r="288" spans="1:6" s="1225" customFormat="1" ht="17.25" customHeight="1">
      <c r="A288" s="1225">
        <v>1.14E-2</v>
      </c>
      <c r="B288" s="1225" t="s">
        <v>132</v>
      </c>
      <c r="C288" s="1225" t="s">
        <v>1332</v>
      </c>
      <c r="D288" s="1225">
        <v>111600</v>
      </c>
      <c r="E288" s="1225" t="s">
        <v>132</v>
      </c>
      <c r="F288" s="1225">
        <v>1272.24</v>
      </c>
    </row>
    <row r="289" spans="1:6" s="1225" customFormat="1" ht="17.25" customHeight="1">
      <c r="A289" s="1225">
        <v>2.4299999999999999E-2</v>
      </c>
      <c r="B289" s="1225" t="s">
        <v>132</v>
      </c>
      <c r="C289" s="1225" t="s">
        <v>1334</v>
      </c>
      <c r="D289" s="1225">
        <v>99400</v>
      </c>
      <c r="E289" s="1225" t="s">
        <v>132</v>
      </c>
      <c r="F289" s="1225">
        <v>2415.42</v>
      </c>
    </row>
    <row r="290" spans="1:6" s="1225" customFormat="1" ht="17.25" customHeight="1">
      <c r="A290" s="1225">
        <v>1.9300000000000001E-2</v>
      </c>
      <c r="B290" s="1225" t="s">
        <v>132</v>
      </c>
      <c r="C290" s="1225" t="s">
        <v>1336</v>
      </c>
      <c r="D290" s="1225">
        <v>95000</v>
      </c>
      <c r="E290" s="1225" t="s">
        <v>132</v>
      </c>
      <c r="F290" s="1225">
        <v>1833.5</v>
      </c>
    </row>
    <row r="291" spans="1:6" s="1225" customFormat="1" ht="17.25" customHeight="1">
      <c r="C291" s="1225" t="s">
        <v>1338</v>
      </c>
      <c r="D291" s="1225" t="s">
        <v>85</v>
      </c>
      <c r="F291" s="1225" t="s">
        <v>85</v>
      </c>
    </row>
    <row r="292" spans="1:6" s="1225" customFormat="1" ht="17.25" customHeight="1">
      <c r="A292" s="1225">
        <v>1.823</v>
      </c>
      <c r="B292" s="1225" t="s">
        <v>425</v>
      </c>
      <c r="C292" s="1225" t="s">
        <v>1340</v>
      </c>
      <c r="D292" s="1225">
        <v>1602.7</v>
      </c>
      <c r="E292" s="1225" t="s">
        <v>425</v>
      </c>
      <c r="F292" s="1225">
        <v>2921.72</v>
      </c>
    </row>
    <row r="293" spans="1:6" s="1225" customFormat="1" ht="17.25" customHeight="1">
      <c r="A293" s="1225">
        <v>1</v>
      </c>
      <c r="B293" s="1225" t="s">
        <v>237</v>
      </c>
      <c r="C293" s="1225" t="s">
        <v>4238</v>
      </c>
      <c r="D293" s="1225">
        <v>57.65</v>
      </c>
      <c r="E293" s="1225" t="s">
        <v>131</v>
      </c>
      <c r="F293" s="1225">
        <v>57.65</v>
      </c>
    </row>
    <row r="294" spans="1:6" s="1225" customFormat="1" ht="17.25" customHeight="1">
      <c r="A294" s="1225">
        <v>3</v>
      </c>
      <c r="B294" s="1225" t="s">
        <v>131</v>
      </c>
      <c r="C294" s="1225" t="s">
        <v>1344</v>
      </c>
      <c r="D294" s="1225">
        <v>89.6</v>
      </c>
      <c r="E294" s="1225" t="s">
        <v>131</v>
      </c>
      <c r="F294" s="1225">
        <v>268.8</v>
      </c>
    </row>
    <row r="295" spans="1:6" s="1225" customFormat="1" ht="17.25" customHeight="1">
      <c r="A295" s="1225">
        <v>2</v>
      </c>
      <c r="B295" s="1225" t="s">
        <v>131</v>
      </c>
      <c r="C295" s="1225" t="s">
        <v>1346</v>
      </c>
      <c r="D295" s="1225">
        <v>64.8</v>
      </c>
      <c r="E295" s="1225" t="s">
        <v>131</v>
      </c>
      <c r="F295" s="1225">
        <v>129.6</v>
      </c>
    </row>
    <row r="296" spans="1:6" s="1225" customFormat="1" ht="17.25" customHeight="1">
      <c r="A296" s="1225">
        <v>1</v>
      </c>
      <c r="B296" s="1225" t="s">
        <v>131</v>
      </c>
      <c r="C296" s="1225" t="s">
        <v>1348</v>
      </c>
      <c r="D296" s="1225">
        <v>181</v>
      </c>
      <c r="E296" s="1225" t="s">
        <v>131</v>
      </c>
      <c r="F296" s="1225">
        <v>181</v>
      </c>
    </row>
    <row r="297" spans="1:6" s="1225" customFormat="1" ht="17.25" customHeight="1">
      <c r="A297" s="1225">
        <v>1</v>
      </c>
      <c r="B297" s="1225" t="s">
        <v>131</v>
      </c>
      <c r="C297" s="1225" t="s">
        <v>1350</v>
      </c>
      <c r="D297" s="1225">
        <v>7.3</v>
      </c>
      <c r="E297" s="1225" t="s">
        <v>131</v>
      </c>
      <c r="F297" s="1225">
        <v>7.3</v>
      </c>
    </row>
    <row r="298" spans="1:6" s="1225" customFormat="1" ht="17.25" customHeight="1">
      <c r="A298" s="1225">
        <v>1</v>
      </c>
      <c r="B298" s="1225" t="s">
        <v>131</v>
      </c>
      <c r="C298" s="1225" t="s">
        <v>455</v>
      </c>
      <c r="D298" s="1225">
        <v>49.55</v>
      </c>
      <c r="E298" s="1225" t="s">
        <v>131</v>
      </c>
      <c r="F298" s="1225">
        <v>49.55</v>
      </c>
    </row>
    <row r="299" spans="1:6" s="1225" customFormat="1" ht="17.25" customHeight="1">
      <c r="A299" s="1225">
        <v>64</v>
      </c>
      <c r="B299" s="1225" t="s">
        <v>3081</v>
      </c>
      <c r="C299" s="1225" t="s">
        <v>4239</v>
      </c>
      <c r="D299" s="1225">
        <v>2.41</v>
      </c>
      <c r="E299" s="1225" t="s">
        <v>4240</v>
      </c>
      <c r="F299" s="1225">
        <v>154.24</v>
      </c>
    </row>
    <row r="300" spans="1:6" s="1225" customFormat="1" ht="17.25" customHeight="1">
      <c r="C300" s="1225" t="s">
        <v>1354</v>
      </c>
      <c r="F300" s="1225">
        <v>9291.02</v>
      </c>
    </row>
    <row r="301" spans="1:6" s="1225" customFormat="1" ht="17.25" customHeight="1">
      <c r="F301" s="1225" t="s">
        <v>52</v>
      </c>
    </row>
    <row r="302" spans="1:6" s="1225" customFormat="1" ht="17.25" customHeight="1">
      <c r="C302" s="1225" t="s">
        <v>460</v>
      </c>
      <c r="F302" s="1225">
        <v>5096.5600000000004</v>
      </c>
    </row>
    <row r="303" spans="1:6" s="1225" customFormat="1" ht="17.25" customHeight="1"/>
    <row r="304" spans="1:6" s="1225" customFormat="1" ht="17.25" customHeight="1">
      <c r="A304" s="1632">
        <v>23.3</v>
      </c>
      <c r="B304" s="1632"/>
      <c r="C304" s="1632" t="s">
        <v>1549</v>
      </c>
      <c r="D304" s="1225" t="s">
        <v>3986</v>
      </c>
      <c r="F304" s="1225">
        <v>52</v>
      </c>
    </row>
    <row r="305" spans="1:6" s="1225" customFormat="1" ht="17.25" customHeight="1">
      <c r="A305" s="1632"/>
      <c r="B305" s="1632"/>
      <c r="C305" s="1632"/>
    </row>
    <row r="306" spans="1:6" s="1225" customFormat="1" ht="17.25" customHeight="1">
      <c r="A306" s="1632" t="s">
        <v>255</v>
      </c>
      <c r="B306" s="1632" t="s">
        <v>111</v>
      </c>
      <c r="C306" s="1632" t="s">
        <v>4288</v>
      </c>
      <c r="D306" s="1225" t="s">
        <v>85</v>
      </c>
      <c r="E306" s="1225" t="s">
        <v>972</v>
      </c>
      <c r="F306" s="1225">
        <v>9.6</v>
      </c>
    </row>
    <row r="307" spans="1:6" s="1225" customFormat="1" ht="17.25" customHeight="1">
      <c r="A307" s="1632"/>
      <c r="B307" s="1632"/>
      <c r="C307" s="1632"/>
    </row>
    <row r="308" spans="1:6" s="1225" customFormat="1" ht="17.25" customHeight="1">
      <c r="A308" s="1632" t="s">
        <v>415</v>
      </c>
      <c r="B308" s="1632" t="s">
        <v>111</v>
      </c>
      <c r="C308" s="1632" t="s">
        <v>416</v>
      </c>
    </row>
    <row r="309" spans="1:6" s="1225" customFormat="1" ht="17.25" customHeight="1">
      <c r="C309" s="1225" t="s">
        <v>418</v>
      </c>
    </row>
    <row r="310" spans="1:6" s="1225" customFormat="1" ht="17.25" customHeight="1">
      <c r="C310" s="1225" t="s">
        <v>52</v>
      </c>
    </row>
    <row r="311" spans="1:6" s="1225" customFormat="1" ht="17.25" customHeight="1">
      <c r="A311" s="1225">
        <v>9</v>
      </c>
      <c r="B311" s="1225" t="s">
        <v>132</v>
      </c>
      <c r="C311" s="1225" t="s">
        <v>421</v>
      </c>
      <c r="D311" s="1225">
        <v>1316.98</v>
      </c>
      <c r="E311" s="1225" t="s">
        <v>132</v>
      </c>
      <c r="F311" s="1225">
        <v>11852.82</v>
      </c>
    </row>
    <row r="312" spans="1:6" s="1225" customFormat="1" ht="17.25" customHeight="1">
      <c r="A312" s="1225">
        <v>4.5</v>
      </c>
      <c r="B312" s="1225" t="s">
        <v>132</v>
      </c>
      <c r="C312" s="1225" t="s">
        <v>283</v>
      </c>
      <c r="D312" s="1225">
        <v>3502.94</v>
      </c>
      <c r="E312" s="1225" t="s">
        <v>132</v>
      </c>
      <c r="F312" s="1225">
        <v>15763.23</v>
      </c>
    </row>
    <row r="313" spans="1:6" s="1225" customFormat="1" ht="17.25" customHeight="1">
      <c r="A313" s="1225">
        <v>1.8</v>
      </c>
      <c r="B313" s="1225" t="s">
        <v>131</v>
      </c>
      <c r="C313" s="1225" t="s">
        <v>302</v>
      </c>
      <c r="D313" s="1225">
        <v>972.4</v>
      </c>
      <c r="E313" s="1225" t="s">
        <v>131</v>
      </c>
      <c r="F313" s="1225">
        <v>1750.32</v>
      </c>
    </row>
    <row r="314" spans="1:6" s="1225" customFormat="1" ht="17.25" customHeight="1">
      <c r="A314" s="1225">
        <v>17.7</v>
      </c>
      <c r="B314" s="1225" t="s">
        <v>131</v>
      </c>
      <c r="C314" s="1225" t="s">
        <v>304</v>
      </c>
      <c r="D314" s="1225">
        <v>679.8</v>
      </c>
      <c r="E314" s="1225" t="s">
        <v>131</v>
      </c>
      <c r="F314" s="1225">
        <v>12032.46</v>
      </c>
    </row>
    <row r="315" spans="1:6" s="1225" customFormat="1" ht="17.25" customHeight="1">
      <c r="A315" s="1225">
        <v>14.1</v>
      </c>
      <c r="B315" s="1225" t="s">
        <v>131</v>
      </c>
      <c r="C315" s="1225" t="s">
        <v>306</v>
      </c>
      <c r="D315" s="1225">
        <v>557.70000000000005</v>
      </c>
      <c r="E315" s="1225" t="s">
        <v>131</v>
      </c>
      <c r="F315" s="1225">
        <v>7863.57</v>
      </c>
    </row>
    <row r="316" spans="1:6" s="1225" customFormat="1" ht="17.25" customHeight="1">
      <c r="B316" s="1225" t="s">
        <v>145</v>
      </c>
      <c r="C316" s="1225" t="s">
        <v>146</v>
      </c>
      <c r="E316" s="1225" t="s">
        <v>145</v>
      </c>
      <c r="F316" s="1225">
        <v>0</v>
      </c>
    </row>
    <row r="317" spans="1:6" s="1225" customFormat="1" ht="17.25" customHeight="1">
      <c r="F317" s="1225" t="s">
        <v>52</v>
      </c>
    </row>
    <row r="318" spans="1:6" s="1225" customFormat="1" ht="17.25" customHeight="1">
      <c r="F318" s="1225">
        <v>49262.400000000001</v>
      </c>
    </row>
    <row r="319" spans="1:6" s="1225" customFormat="1" ht="17.25" customHeight="1">
      <c r="C319" s="1225" t="s">
        <v>311</v>
      </c>
      <c r="F319" s="1225" t="s">
        <v>52</v>
      </c>
    </row>
    <row r="320" spans="1:6" s="1225" customFormat="1" ht="17.25" customHeight="1">
      <c r="F320" s="1225">
        <v>4926.24</v>
      </c>
    </row>
    <row r="321" spans="1:6" s="1225" customFormat="1" ht="17.25" customHeight="1"/>
    <row r="322" spans="1:6" s="1225" customFormat="1" ht="17.25" customHeight="1">
      <c r="A322" s="1632" t="s">
        <v>268</v>
      </c>
      <c r="B322" s="1632" t="s">
        <v>111</v>
      </c>
      <c r="C322" s="1632" t="s">
        <v>1566</v>
      </c>
    </row>
    <row r="323" spans="1:6" s="1225" customFormat="1" ht="17.25" customHeight="1">
      <c r="A323" s="1632"/>
      <c r="B323" s="1632"/>
      <c r="C323" s="1632" t="s">
        <v>1567</v>
      </c>
    </row>
    <row r="324" spans="1:6" s="1225" customFormat="1" ht="17.25" customHeight="1">
      <c r="C324" s="1225" t="s">
        <v>52</v>
      </c>
    </row>
    <row r="325" spans="1:6" s="1225" customFormat="1" ht="17.25" customHeight="1">
      <c r="A325" s="1225">
        <v>0.22</v>
      </c>
      <c r="B325" s="1225" t="s">
        <v>132</v>
      </c>
      <c r="C325" s="1225" t="s">
        <v>259</v>
      </c>
      <c r="D325" s="1225">
        <v>3937.82</v>
      </c>
      <c r="E325" s="1225" t="s">
        <v>132</v>
      </c>
      <c r="F325" s="1225">
        <v>866.32</v>
      </c>
    </row>
    <row r="326" spans="1:6" s="1225" customFormat="1" ht="17.25" customHeight="1">
      <c r="A326" s="1225">
        <v>2.2000000000000002</v>
      </c>
      <c r="B326" s="1225" t="s">
        <v>237</v>
      </c>
      <c r="C326" s="1225" t="s">
        <v>345</v>
      </c>
      <c r="D326" s="1225">
        <v>1041.7</v>
      </c>
      <c r="E326" s="1225" t="s">
        <v>237</v>
      </c>
      <c r="F326" s="1225">
        <v>2291.7399999999998</v>
      </c>
    </row>
    <row r="327" spans="1:6" s="1225" customFormat="1" ht="17.25" customHeight="1">
      <c r="A327" s="1225">
        <v>0.5</v>
      </c>
      <c r="B327" s="1225" t="s">
        <v>237</v>
      </c>
      <c r="C327" s="1225" t="s">
        <v>1568</v>
      </c>
      <c r="D327" s="1225">
        <v>679.8</v>
      </c>
      <c r="E327" s="1225" t="s">
        <v>237</v>
      </c>
      <c r="F327" s="1225">
        <v>339.9</v>
      </c>
    </row>
    <row r="328" spans="1:6" s="1225" customFormat="1" ht="17.25" customHeight="1">
      <c r="A328" s="1225">
        <v>3.2</v>
      </c>
      <c r="B328" s="1225" t="s">
        <v>237</v>
      </c>
      <c r="C328" s="1225" t="s">
        <v>306</v>
      </c>
      <c r="D328" s="1225">
        <v>557.70000000000005</v>
      </c>
      <c r="E328" s="1225" t="s">
        <v>237</v>
      </c>
      <c r="F328" s="1225">
        <v>1784.64</v>
      </c>
    </row>
    <row r="329" spans="1:6" s="1225" customFormat="1" ht="17.25" customHeight="1"/>
    <row r="330" spans="1:6" s="1225" customFormat="1" ht="17.25" customHeight="1"/>
    <row r="331" spans="1:6" s="1225" customFormat="1" ht="17.25" customHeight="1"/>
    <row r="332" spans="1:6" s="1225" customFormat="1" ht="17.25" customHeight="1"/>
    <row r="333" spans="1:6" s="1225" customFormat="1" ht="17.25" customHeight="1"/>
    <row r="334" spans="1:6" s="1225" customFormat="1" ht="17.25" customHeight="1">
      <c r="B334" s="1225" t="s">
        <v>145</v>
      </c>
      <c r="C334" s="1225" t="s">
        <v>146</v>
      </c>
      <c r="D334" s="1225" t="s">
        <v>85</v>
      </c>
      <c r="E334" s="1225" t="s">
        <v>145</v>
      </c>
      <c r="F334" s="1225">
        <v>5</v>
      </c>
    </row>
    <row r="335" spans="1:6" s="1225" customFormat="1" ht="17.25" customHeight="1">
      <c r="F335" s="1225" t="s">
        <v>52</v>
      </c>
    </row>
    <row r="336" spans="1:6" s="1225" customFormat="1" ht="17.25" customHeight="1">
      <c r="C336" s="1225" t="s">
        <v>495</v>
      </c>
      <c r="F336" s="1225">
        <v>5287.6</v>
      </c>
    </row>
    <row r="337" spans="1:6" s="1225" customFormat="1" ht="17.25" customHeight="1">
      <c r="A337" s="1225" t="s">
        <v>85</v>
      </c>
      <c r="F337" s="1225" t="s">
        <v>52</v>
      </c>
    </row>
    <row r="338" spans="1:6" s="1225" customFormat="1" ht="17.25" customHeight="1">
      <c r="C338" s="1225" t="s">
        <v>460</v>
      </c>
      <c r="F338" s="1225">
        <v>528.76</v>
      </c>
    </row>
    <row r="339" spans="1:6" s="1225" customFormat="1" ht="17.25" customHeight="1"/>
    <row r="340" spans="1:6" s="1225" customFormat="1" ht="17.25" customHeight="1"/>
    <row r="341" spans="1:6" s="1225" customFormat="1" ht="17.25" customHeight="1">
      <c r="A341" s="1632" t="s">
        <v>275</v>
      </c>
      <c r="B341" s="1632" t="s">
        <v>111</v>
      </c>
      <c r="C341" s="1632" t="s">
        <v>1566</v>
      </c>
    </row>
    <row r="342" spans="1:6" s="1225" customFormat="1" ht="17.25" customHeight="1">
      <c r="A342" s="1632"/>
      <c r="B342" s="1632"/>
      <c r="C342" s="1632" t="s">
        <v>4322</v>
      </c>
    </row>
    <row r="343" spans="1:6" s="1225" customFormat="1" ht="17.25" customHeight="1">
      <c r="A343" s="1632"/>
      <c r="B343" s="1632"/>
      <c r="C343" s="1632" t="s">
        <v>1595</v>
      </c>
    </row>
    <row r="344" spans="1:6" s="1225" customFormat="1" ht="17.25" customHeight="1">
      <c r="A344" s="1632"/>
      <c r="B344" s="1632"/>
      <c r="C344" s="1632" t="s">
        <v>6417</v>
      </c>
    </row>
    <row r="345" spans="1:6" s="1225" customFormat="1" ht="17.25" customHeight="1">
      <c r="C345" s="1225" t="s">
        <v>52</v>
      </c>
    </row>
    <row r="346" spans="1:6" s="1225" customFormat="1" ht="17.25" customHeight="1">
      <c r="A346" s="1225">
        <v>0.24</v>
      </c>
      <c r="B346" s="1225" t="s">
        <v>132</v>
      </c>
      <c r="C346" s="1225" t="s">
        <v>1597</v>
      </c>
      <c r="D346" s="1225">
        <v>1025.31</v>
      </c>
      <c r="E346" s="1225" t="s">
        <v>132</v>
      </c>
      <c r="F346" s="1225">
        <v>246.07</v>
      </c>
    </row>
    <row r="347" spans="1:6" s="1225" customFormat="1" ht="17.25" customHeight="1">
      <c r="A347" s="1225">
        <v>0.11700000000000001</v>
      </c>
      <c r="B347" s="1225" t="s">
        <v>122</v>
      </c>
      <c r="C347" s="1225" t="s">
        <v>123</v>
      </c>
      <c r="D347" s="1225">
        <v>6040</v>
      </c>
      <c r="E347" s="1225" t="s">
        <v>122</v>
      </c>
      <c r="F347" s="1225">
        <v>706.68</v>
      </c>
    </row>
    <row r="348" spans="1:6" s="1225" customFormat="1" ht="17.25" customHeight="1">
      <c r="A348" s="1225">
        <v>0.5</v>
      </c>
      <c r="B348" s="1225" t="s">
        <v>237</v>
      </c>
      <c r="C348" s="1225" t="s">
        <v>345</v>
      </c>
      <c r="D348" s="1225">
        <v>1041.7</v>
      </c>
      <c r="E348" s="1225" t="s">
        <v>237</v>
      </c>
      <c r="F348" s="1225">
        <v>520.85</v>
      </c>
    </row>
    <row r="349" spans="1:6" s="1225" customFormat="1" ht="17.25" customHeight="1">
      <c r="A349" s="1225">
        <v>1.1000000000000001</v>
      </c>
      <c r="B349" s="1225" t="s">
        <v>237</v>
      </c>
      <c r="C349" s="1225" t="s">
        <v>1568</v>
      </c>
      <c r="D349" s="1225">
        <v>679.8</v>
      </c>
      <c r="E349" s="1225" t="s">
        <v>237</v>
      </c>
      <c r="F349" s="1225">
        <v>747.78</v>
      </c>
    </row>
    <row r="350" spans="1:6" s="1225" customFormat="1" ht="17.25" customHeight="1">
      <c r="A350" s="1225">
        <v>4.3</v>
      </c>
      <c r="B350" s="1225" t="s">
        <v>237</v>
      </c>
      <c r="C350" s="1225" t="s">
        <v>306</v>
      </c>
      <c r="D350" s="1225">
        <v>557.70000000000005</v>
      </c>
      <c r="E350" s="1225" t="s">
        <v>237</v>
      </c>
      <c r="F350" s="1225">
        <v>2398.11</v>
      </c>
    </row>
    <row r="351" spans="1:6" s="1225" customFormat="1" ht="17.25" customHeight="1">
      <c r="B351" s="1225" t="s">
        <v>145</v>
      </c>
      <c r="C351" s="1225" t="s">
        <v>146</v>
      </c>
      <c r="E351" s="1225" t="s">
        <v>145</v>
      </c>
      <c r="F351" s="1225">
        <v>0</v>
      </c>
    </row>
    <row r="352" spans="1:6" s="1225" customFormat="1" ht="17.25" customHeight="1">
      <c r="F352" s="1225" t="s">
        <v>52</v>
      </c>
    </row>
    <row r="353" spans="1:6" s="1225" customFormat="1" ht="17.25" customHeight="1">
      <c r="C353" s="1225" t="s">
        <v>495</v>
      </c>
      <c r="F353" s="1225">
        <v>4619.49</v>
      </c>
    </row>
    <row r="354" spans="1:6" s="1225" customFormat="1" ht="17.25" customHeight="1">
      <c r="F354" s="1225" t="s">
        <v>52</v>
      </c>
    </row>
    <row r="355" spans="1:6" s="1225" customFormat="1" ht="17.25" customHeight="1">
      <c r="C355" s="1225" t="s">
        <v>460</v>
      </c>
      <c r="F355" s="1225">
        <v>461.95</v>
      </c>
    </row>
    <row r="356" spans="1:6" s="1225" customFormat="1" ht="17.25" customHeight="1"/>
    <row r="357" spans="1:6" s="1225" customFormat="1" ht="17.25" customHeight="1">
      <c r="A357" s="1632" t="s">
        <v>1598</v>
      </c>
      <c r="B357" s="1632" t="s">
        <v>111</v>
      </c>
      <c r="C357" s="1632" t="s">
        <v>6418</v>
      </c>
    </row>
    <row r="358" spans="1:6" s="1225" customFormat="1" ht="17.25" customHeight="1">
      <c r="A358" s="1632"/>
      <c r="B358" s="1632"/>
      <c r="C358" s="1632" t="s">
        <v>1600</v>
      </c>
    </row>
    <row r="359" spans="1:6" s="1225" customFormat="1" ht="17.25" customHeight="1">
      <c r="A359" s="1632"/>
      <c r="B359" s="1632"/>
      <c r="C359" s="1632" t="s">
        <v>1601</v>
      </c>
    </row>
    <row r="360" spans="1:6" s="1225" customFormat="1" ht="17.25" customHeight="1">
      <c r="A360" s="1632"/>
      <c r="B360" s="1632"/>
      <c r="C360" s="1632" t="s">
        <v>1602</v>
      </c>
    </row>
    <row r="361" spans="1:6" s="1225" customFormat="1" ht="17.25" customHeight="1">
      <c r="A361" s="1632"/>
      <c r="B361" s="1632"/>
      <c r="C361" s="1632" t="s">
        <v>1603</v>
      </c>
    </row>
    <row r="362" spans="1:6" s="1225" customFormat="1" ht="17.25" customHeight="1">
      <c r="C362" s="1225" t="s">
        <v>52</v>
      </c>
    </row>
    <row r="363" spans="1:6" s="1225" customFormat="1" ht="17.25" customHeight="1">
      <c r="A363" s="1225">
        <v>12.8</v>
      </c>
      <c r="B363" s="1225" t="s">
        <v>132</v>
      </c>
      <c r="C363" s="1225" t="s">
        <v>1604</v>
      </c>
      <c r="D363" s="1225">
        <v>898.25</v>
      </c>
      <c r="E363" s="1225" t="s">
        <v>132</v>
      </c>
      <c r="F363" s="1225">
        <v>11497.6</v>
      </c>
    </row>
    <row r="364" spans="1:6" s="1225" customFormat="1" ht="17.25" customHeight="1">
      <c r="A364" s="1225">
        <v>5</v>
      </c>
      <c r="B364" s="1225" t="s">
        <v>132</v>
      </c>
      <c r="C364" s="1225" t="s">
        <v>1605</v>
      </c>
      <c r="D364" s="1225">
        <v>993</v>
      </c>
      <c r="E364" s="1225" t="s">
        <v>132</v>
      </c>
      <c r="F364" s="1225">
        <v>4965</v>
      </c>
    </row>
    <row r="365" spans="1:6" s="1225" customFormat="1" ht="17.25" customHeight="1">
      <c r="A365" s="1225">
        <v>1.8</v>
      </c>
      <c r="B365" s="1225" t="s">
        <v>237</v>
      </c>
      <c r="C365" s="1225" t="s">
        <v>345</v>
      </c>
      <c r="D365" s="1225">
        <v>1041.7</v>
      </c>
      <c r="E365" s="1225" t="s">
        <v>237</v>
      </c>
      <c r="F365" s="1225">
        <v>1875.06</v>
      </c>
    </row>
    <row r="366" spans="1:6" s="1225" customFormat="1" ht="17.25" customHeight="1">
      <c r="A366" s="1225">
        <v>17.7</v>
      </c>
      <c r="B366" s="1225" t="s">
        <v>237</v>
      </c>
      <c r="C366" s="1225" t="s">
        <v>1568</v>
      </c>
      <c r="D366" s="1225">
        <v>679.8</v>
      </c>
      <c r="E366" s="1225" t="s">
        <v>237</v>
      </c>
      <c r="F366" s="1225">
        <v>12032.46</v>
      </c>
    </row>
    <row r="367" spans="1:6" s="1225" customFormat="1" ht="17.25" customHeight="1">
      <c r="A367" s="1225">
        <v>14.1</v>
      </c>
      <c r="B367" s="1225" t="s">
        <v>237</v>
      </c>
      <c r="C367" s="1225" t="s">
        <v>306</v>
      </c>
      <c r="D367" s="1225">
        <v>557.70000000000005</v>
      </c>
      <c r="E367" s="1225" t="s">
        <v>237</v>
      </c>
      <c r="F367" s="1225">
        <v>7863.57</v>
      </c>
    </row>
    <row r="368" spans="1:6" s="1225" customFormat="1" ht="17.25" customHeight="1">
      <c r="B368" s="1225" t="s">
        <v>145</v>
      </c>
      <c r="C368" s="1225" t="s">
        <v>146</v>
      </c>
      <c r="E368" s="1225" t="s">
        <v>145</v>
      </c>
      <c r="F368" s="1225">
        <v>0</v>
      </c>
    </row>
    <row r="369" spans="1:6" s="1225" customFormat="1" ht="17.25" customHeight="1">
      <c r="F369" s="1225" t="s">
        <v>52</v>
      </c>
    </row>
    <row r="370" spans="1:6" s="1225" customFormat="1" ht="17.25" customHeight="1">
      <c r="C370" s="1225" t="s">
        <v>311</v>
      </c>
      <c r="F370" s="1225">
        <v>38233.69</v>
      </c>
    </row>
    <row r="371" spans="1:6" s="1225" customFormat="1" ht="17.25" customHeight="1">
      <c r="F371" s="1225" t="s">
        <v>52</v>
      </c>
    </row>
    <row r="372" spans="1:6" s="1225" customFormat="1" ht="17.25" customHeight="1">
      <c r="C372" s="1225" t="s">
        <v>242</v>
      </c>
      <c r="F372" s="1225">
        <v>3823.37</v>
      </c>
    </row>
    <row r="373" spans="1:6" s="1225" customFormat="1" ht="17.25" customHeight="1"/>
    <row r="374" spans="1:6" s="1225" customFormat="1" ht="17.25" customHeight="1">
      <c r="A374" s="1632">
        <v>32.1</v>
      </c>
      <c r="B374" s="1632" t="s">
        <v>111</v>
      </c>
      <c r="C374" s="1632" t="s">
        <v>1609</v>
      </c>
    </row>
    <row r="375" spans="1:6" s="1225" customFormat="1" ht="17.25" customHeight="1">
      <c r="A375" s="1632"/>
      <c r="B375" s="1632"/>
      <c r="C375" s="1632" t="s">
        <v>1610</v>
      </c>
    </row>
    <row r="376" spans="1:6" s="1225" customFormat="1" ht="17.25" customHeight="1">
      <c r="A376" s="1632"/>
      <c r="B376" s="1632"/>
      <c r="C376" s="1632" t="s">
        <v>1611</v>
      </c>
    </row>
    <row r="377" spans="1:6" s="1225" customFormat="1" ht="17.25" customHeight="1">
      <c r="A377" s="1632"/>
      <c r="B377" s="1632"/>
      <c r="C377" s="1632" t="s">
        <v>4347</v>
      </c>
    </row>
    <row r="378" spans="1:6" s="1225" customFormat="1" ht="17.25" customHeight="1">
      <c r="A378" s="1632"/>
      <c r="B378" s="1632"/>
      <c r="C378" s="1632" t="s">
        <v>1613</v>
      </c>
    </row>
    <row r="379" spans="1:6" s="1225" customFormat="1" ht="17.25" customHeight="1">
      <c r="C379" s="1225" t="s">
        <v>52</v>
      </c>
    </row>
    <row r="380" spans="1:6" s="1225" customFormat="1" ht="17.25" customHeight="1">
      <c r="A380" s="1225">
        <v>190</v>
      </c>
      <c r="B380" s="1225" t="s">
        <v>1572</v>
      </c>
      <c r="C380" s="1225" t="s">
        <v>4350</v>
      </c>
      <c r="D380" s="1225">
        <v>16106</v>
      </c>
      <c r="E380" s="1225" t="s">
        <v>341</v>
      </c>
      <c r="F380" s="1225">
        <v>3060.14</v>
      </c>
    </row>
    <row r="381" spans="1:6" s="1225" customFormat="1" ht="17.25" customHeight="1">
      <c r="A381" s="1225">
        <v>0.12</v>
      </c>
      <c r="B381" s="1225" t="s">
        <v>132</v>
      </c>
      <c r="C381" s="1225" t="s">
        <v>1575</v>
      </c>
      <c r="D381" s="1225">
        <v>4662.62</v>
      </c>
      <c r="E381" s="1225" t="s">
        <v>132</v>
      </c>
      <c r="F381" s="1225">
        <v>559.51</v>
      </c>
    </row>
    <row r="382" spans="1:6" s="1225" customFormat="1" ht="17.25" customHeight="1">
      <c r="A382" s="1225">
        <v>10</v>
      </c>
      <c r="B382" s="1225" t="s">
        <v>425</v>
      </c>
      <c r="C382" s="1225" t="s">
        <v>1614</v>
      </c>
      <c r="D382" s="1225">
        <v>327.92</v>
      </c>
      <c r="E382" s="1225" t="s">
        <v>425</v>
      </c>
      <c r="F382" s="1225">
        <v>3279.2</v>
      </c>
    </row>
    <row r="383" spans="1:6" s="1225" customFormat="1" ht="17.25" customHeight="1">
      <c r="A383" s="1225">
        <v>1.54</v>
      </c>
      <c r="B383" s="1225" t="s">
        <v>39</v>
      </c>
      <c r="C383" s="1225" t="s">
        <v>1615</v>
      </c>
      <c r="D383" s="1225">
        <v>42.7</v>
      </c>
      <c r="E383" s="1225" t="s">
        <v>39</v>
      </c>
      <c r="F383" s="1225">
        <v>65.760000000000005</v>
      </c>
    </row>
    <row r="384" spans="1:6" s="1225" customFormat="1" ht="17.25" customHeight="1">
      <c r="A384" s="1225">
        <v>1.1000000000000001</v>
      </c>
      <c r="B384" s="1225" t="s">
        <v>237</v>
      </c>
      <c r="C384" s="1225" t="s">
        <v>345</v>
      </c>
      <c r="D384" s="1225">
        <v>1041.7</v>
      </c>
      <c r="E384" s="1225" t="s">
        <v>237</v>
      </c>
      <c r="F384" s="1225">
        <v>1145.8699999999999</v>
      </c>
    </row>
    <row r="385" spans="1:6" s="1225" customFormat="1" ht="17.25" customHeight="1">
      <c r="A385" s="1225">
        <v>2.1</v>
      </c>
      <c r="B385" s="1225" t="s">
        <v>237</v>
      </c>
      <c r="C385" s="1225" t="s">
        <v>302</v>
      </c>
      <c r="D385" s="1225">
        <v>972.4</v>
      </c>
      <c r="E385" s="1225" t="s">
        <v>237</v>
      </c>
      <c r="F385" s="1225">
        <v>2042.04</v>
      </c>
    </row>
    <row r="386" spans="1:6" s="1225" customFormat="1" ht="17.25" customHeight="1">
      <c r="A386" s="1225">
        <v>2.2000000000000002</v>
      </c>
      <c r="B386" s="1225" t="s">
        <v>237</v>
      </c>
      <c r="C386" s="1225" t="s">
        <v>304</v>
      </c>
      <c r="D386" s="1225">
        <v>679.8</v>
      </c>
      <c r="E386" s="1225" t="s">
        <v>237</v>
      </c>
      <c r="F386" s="1225">
        <v>1495.56</v>
      </c>
    </row>
    <row r="387" spans="1:6" s="1225" customFormat="1" ht="17.25" customHeight="1">
      <c r="A387" s="1225">
        <v>1.1000000000000001</v>
      </c>
      <c r="B387" s="1225" t="s">
        <v>237</v>
      </c>
      <c r="C387" s="1225" t="s">
        <v>306</v>
      </c>
      <c r="D387" s="1225">
        <v>557.70000000000005</v>
      </c>
      <c r="E387" s="1225" t="s">
        <v>237</v>
      </c>
      <c r="F387" s="1225">
        <v>613.47</v>
      </c>
    </row>
    <row r="388" spans="1:6" s="1225" customFormat="1" ht="17.25" customHeight="1">
      <c r="B388" s="1225" t="s">
        <v>145</v>
      </c>
      <c r="C388" s="1225" t="s">
        <v>146</v>
      </c>
      <c r="E388" s="1225" t="s">
        <v>145</v>
      </c>
      <c r="F388" s="1225">
        <v>0</v>
      </c>
    </row>
    <row r="389" spans="1:6" s="1225" customFormat="1" ht="17.25" customHeight="1">
      <c r="F389" s="1225" t="s">
        <v>52</v>
      </c>
    </row>
    <row r="390" spans="1:6" s="1225" customFormat="1" ht="17.25" customHeight="1">
      <c r="C390" s="1225" t="s">
        <v>495</v>
      </c>
      <c r="F390" s="1225">
        <v>12261.55</v>
      </c>
    </row>
    <row r="391" spans="1:6" s="1225" customFormat="1" ht="17.25" customHeight="1">
      <c r="F391" s="1225" t="s">
        <v>52</v>
      </c>
    </row>
    <row r="392" spans="1:6" s="1225" customFormat="1" ht="17.25" customHeight="1">
      <c r="C392" s="1225" t="s">
        <v>460</v>
      </c>
      <c r="F392" s="1225">
        <v>1226.1600000000001</v>
      </c>
    </row>
    <row r="393" spans="1:6" s="1225" customFormat="1" ht="17.25" customHeight="1"/>
    <row r="394" spans="1:6" s="1225" customFormat="1" ht="17.25" customHeight="1"/>
    <row r="395" spans="1:6" s="1225" customFormat="1" ht="17.25" customHeight="1">
      <c r="A395" s="1632" t="s">
        <v>1617</v>
      </c>
      <c r="B395" s="1632" t="s">
        <v>111</v>
      </c>
      <c r="C395" s="1632" t="s">
        <v>1618</v>
      </c>
    </row>
    <row r="396" spans="1:6" s="1225" customFormat="1" ht="17.25" customHeight="1">
      <c r="C396" s="1225" t="s">
        <v>52</v>
      </c>
    </row>
    <row r="397" spans="1:6" s="1225" customFormat="1" ht="17.25" customHeight="1">
      <c r="A397" s="1225">
        <v>0.14000000000000001</v>
      </c>
      <c r="B397" s="1225" t="s">
        <v>132</v>
      </c>
      <c r="C397" s="1225" t="s">
        <v>283</v>
      </c>
      <c r="D397" s="1225">
        <v>3502.94</v>
      </c>
      <c r="E397" s="1225" t="s">
        <v>132</v>
      </c>
      <c r="F397" s="1225">
        <v>490.41</v>
      </c>
    </row>
    <row r="398" spans="1:6" s="1225" customFormat="1" ht="17.25" customHeight="1">
      <c r="A398" s="1225">
        <v>1.1000000000000001</v>
      </c>
      <c r="B398" s="1225" t="s">
        <v>131</v>
      </c>
      <c r="C398" s="1225" t="s">
        <v>345</v>
      </c>
      <c r="D398" s="1225">
        <v>1041.7</v>
      </c>
      <c r="E398" s="1225" t="s">
        <v>131</v>
      </c>
      <c r="F398" s="1225">
        <v>1145.8699999999999</v>
      </c>
    </row>
    <row r="399" spans="1:6" s="1225" customFormat="1" ht="17.25" customHeight="1">
      <c r="A399" s="1225">
        <v>0.5</v>
      </c>
      <c r="B399" s="1225" t="s">
        <v>131</v>
      </c>
      <c r="C399" s="1225" t="s">
        <v>304</v>
      </c>
      <c r="D399" s="1225">
        <v>679.8</v>
      </c>
      <c r="E399" s="1225" t="s">
        <v>131</v>
      </c>
      <c r="F399" s="1225">
        <v>339.9</v>
      </c>
    </row>
    <row r="400" spans="1:6" s="1225" customFormat="1" ht="17.25" customHeight="1">
      <c r="A400" s="1225">
        <v>1.1000000000000001</v>
      </c>
      <c r="B400" s="1225" t="s">
        <v>131</v>
      </c>
      <c r="C400" s="1225" t="s">
        <v>306</v>
      </c>
      <c r="D400" s="1225">
        <v>557.70000000000005</v>
      </c>
      <c r="E400" s="1225" t="s">
        <v>131</v>
      </c>
      <c r="F400" s="1225">
        <v>613.47</v>
      </c>
    </row>
    <row r="401" spans="1:6" s="1225" customFormat="1" ht="17.25" customHeight="1">
      <c r="B401" s="1225" t="s">
        <v>145</v>
      </c>
      <c r="C401" s="1225" t="s">
        <v>146</v>
      </c>
      <c r="D401" s="1225" t="s">
        <v>85</v>
      </c>
      <c r="E401" s="1225" t="s">
        <v>145</v>
      </c>
      <c r="F401" s="1225">
        <v>5</v>
      </c>
    </row>
    <row r="402" spans="1:6" s="1225" customFormat="1" ht="17.25" customHeight="1">
      <c r="F402" s="1225" t="s">
        <v>52</v>
      </c>
    </row>
    <row r="403" spans="1:6" s="1225" customFormat="1" ht="17.25" customHeight="1">
      <c r="C403" s="1225" t="s">
        <v>495</v>
      </c>
      <c r="F403" s="1225">
        <v>2594.65</v>
      </c>
    </row>
    <row r="404" spans="1:6" s="1225" customFormat="1" ht="17.25" customHeight="1">
      <c r="F404" s="1225" t="s">
        <v>52</v>
      </c>
    </row>
    <row r="405" spans="1:6" s="1225" customFormat="1" ht="17.25" customHeight="1">
      <c r="C405" s="1225" t="s">
        <v>460</v>
      </c>
      <c r="F405" s="1225">
        <v>259.47000000000003</v>
      </c>
    </row>
    <row r="406" spans="1:6" s="1225" customFormat="1" ht="17.25" customHeight="1"/>
    <row r="407" spans="1:6" s="1225" customFormat="1" ht="17.25" customHeight="1">
      <c r="A407" s="1632" t="s">
        <v>1619</v>
      </c>
      <c r="B407" s="1632" t="s">
        <v>111</v>
      </c>
      <c r="C407" s="1632" t="s">
        <v>1620</v>
      </c>
    </row>
    <row r="408" spans="1:6" s="1225" customFormat="1" ht="17.25" customHeight="1">
      <c r="C408" s="1225" t="s">
        <v>52</v>
      </c>
    </row>
    <row r="409" spans="1:6" s="1225" customFormat="1" ht="17.25" customHeight="1">
      <c r="A409" s="1225">
        <v>0.14000000000000001</v>
      </c>
      <c r="B409" s="1225" t="s">
        <v>132</v>
      </c>
      <c r="C409" s="1225" t="s">
        <v>259</v>
      </c>
      <c r="D409" s="1225">
        <v>3937.82</v>
      </c>
      <c r="E409" s="1225" t="s">
        <v>132</v>
      </c>
      <c r="F409" s="1225">
        <v>551.29</v>
      </c>
    </row>
    <row r="410" spans="1:6" s="1225" customFormat="1" ht="17.25" customHeight="1">
      <c r="A410" s="1225">
        <v>1.1000000000000001</v>
      </c>
      <c r="B410" s="1225" t="s">
        <v>131</v>
      </c>
      <c r="C410" s="1225" t="s">
        <v>345</v>
      </c>
      <c r="D410" s="1225">
        <v>1041.7</v>
      </c>
      <c r="E410" s="1225" t="s">
        <v>131</v>
      </c>
      <c r="F410" s="1225">
        <v>1145.8699999999999</v>
      </c>
    </row>
    <row r="411" spans="1:6" s="1225" customFormat="1" ht="17.25" customHeight="1">
      <c r="A411" s="1225">
        <v>0.5</v>
      </c>
      <c r="B411" s="1225" t="s">
        <v>131</v>
      </c>
      <c r="C411" s="1225" t="s">
        <v>304</v>
      </c>
      <c r="D411" s="1225">
        <v>679.8</v>
      </c>
      <c r="E411" s="1225" t="s">
        <v>131</v>
      </c>
      <c r="F411" s="1225">
        <v>339.9</v>
      </c>
    </row>
    <row r="412" spans="1:6" s="1225" customFormat="1" ht="17.25" customHeight="1">
      <c r="A412" s="1225">
        <v>1.1000000000000001</v>
      </c>
      <c r="B412" s="1225" t="s">
        <v>131</v>
      </c>
      <c r="C412" s="1225" t="s">
        <v>306</v>
      </c>
      <c r="D412" s="1225">
        <v>557.70000000000005</v>
      </c>
      <c r="E412" s="1225" t="s">
        <v>131</v>
      </c>
      <c r="F412" s="1225">
        <v>613.47</v>
      </c>
    </row>
    <row r="413" spans="1:6" s="1225" customFormat="1" ht="17.25" customHeight="1">
      <c r="B413" s="1225" t="s">
        <v>145</v>
      </c>
      <c r="C413" s="1225" t="s">
        <v>146</v>
      </c>
      <c r="D413" s="1225" t="s">
        <v>85</v>
      </c>
      <c r="E413" s="1225" t="s">
        <v>145</v>
      </c>
      <c r="F413" s="1225">
        <v>5</v>
      </c>
    </row>
    <row r="414" spans="1:6" s="1225" customFormat="1" ht="17.25" customHeight="1"/>
    <row r="415" spans="1:6" s="1225" customFormat="1" ht="17.25" customHeight="1">
      <c r="F415" s="1225" t="s">
        <v>52</v>
      </c>
    </row>
    <row r="416" spans="1:6" s="1225" customFormat="1" ht="17.25" customHeight="1">
      <c r="C416" s="1225" t="s">
        <v>495</v>
      </c>
      <c r="F416" s="1225">
        <v>2655.53</v>
      </c>
    </row>
    <row r="417" spans="1:6" s="1225" customFormat="1" ht="17.25" customHeight="1">
      <c r="F417" s="1225" t="s">
        <v>52</v>
      </c>
    </row>
    <row r="418" spans="1:6" s="1225" customFormat="1" ht="17.25" customHeight="1">
      <c r="C418" s="1225" t="s">
        <v>460</v>
      </c>
      <c r="F418" s="1225">
        <v>265.55</v>
      </c>
    </row>
    <row r="419" spans="1:6" s="1225" customFormat="1" ht="17.25" customHeight="1"/>
    <row r="420" spans="1:6" s="1225" customFormat="1" ht="17.25" customHeight="1">
      <c r="A420" s="1632" t="s">
        <v>1621</v>
      </c>
      <c r="B420" s="1632" t="s">
        <v>111</v>
      </c>
      <c r="C420" s="1632" t="s">
        <v>1622</v>
      </c>
    </row>
    <row r="421" spans="1:6" s="1225" customFormat="1" ht="17.25" customHeight="1">
      <c r="C421" s="1225" t="s">
        <v>52</v>
      </c>
    </row>
    <row r="422" spans="1:6" s="1225" customFormat="1" ht="17.25" customHeight="1">
      <c r="A422" s="1225">
        <v>0.1</v>
      </c>
      <c r="B422" s="1225" t="s">
        <v>132</v>
      </c>
      <c r="C422" s="1225" t="s">
        <v>217</v>
      </c>
      <c r="D422" s="1225">
        <v>4662.62</v>
      </c>
      <c r="E422" s="1225" t="s">
        <v>132</v>
      </c>
      <c r="F422" s="1225">
        <v>466.26</v>
      </c>
    </row>
    <row r="423" spans="1:6" s="1225" customFormat="1" ht="17.25" customHeight="1">
      <c r="A423" s="1225">
        <v>1.1000000000000001</v>
      </c>
      <c r="B423" s="1225" t="s">
        <v>131</v>
      </c>
      <c r="C423" s="1225" t="s">
        <v>345</v>
      </c>
      <c r="D423" s="1225">
        <v>1041.7</v>
      </c>
      <c r="E423" s="1225" t="s">
        <v>131</v>
      </c>
      <c r="F423" s="1225">
        <v>1145.8699999999999</v>
      </c>
    </row>
    <row r="424" spans="1:6" s="1225" customFormat="1" ht="17.25" customHeight="1">
      <c r="A424" s="1225">
        <v>1.1000000000000001</v>
      </c>
      <c r="B424" s="1225" t="s">
        <v>131</v>
      </c>
      <c r="C424" s="1225" t="s">
        <v>304</v>
      </c>
      <c r="D424" s="1225">
        <v>679.8</v>
      </c>
      <c r="E424" s="1225" t="s">
        <v>131</v>
      </c>
      <c r="F424" s="1225">
        <v>747.78</v>
      </c>
    </row>
    <row r="425" spans="1:6" s="1225" customFormat="1" ht="17.25" customHeight="1">
      <c r="A425" s="1225">
        <v>1.1000000000000001</v>
      </c>
      <c r="B425" s="1225" t="s">
        <v>131</v>
      </c>
      <c r="C425" s="1225" t="s">
        <v>306</v>
      </c>
      <c r="D425" s="1225">
        <v>557.70000000000005</v>
      </c>
      <c r="E425" s="1225" t="s">
        <v>131</v>
      </c>
      <c r="F425" s="1225">
        <v>613.47</v>
      </c>
    </row>
    <row r="426" spans="1:6" s="1225" customFormat="1" ht="17.25" customHeight="1">
      <c r="B426" s="1225" t="s">
        <v>145</v>
      </c>
      <c r="C426" s="1225" t="s">
        <v>146</v>
      </c>
      <c r="D426" s="1225" t="s">
        <v>85</v>
      </c>
      <c r="E426" s="1225" t="s">
        <v>145</v>
      </c>
      <c r="F426" s="1225">
        <v>5</v>
      </c>
    </row>
    <row r="427" spans="1:6" s="1225" customFormat="1" ht="17.25" customHeight="1">
      <c r="F427" s="1225" t="s">
        <v>52</v>
      </c>
    </row>
    <row r="428" spans="1:6" s="1225" customFormat="1" ht="17.25" customHeight="1">
      <c r="C428" s="1225" t="s">
        <v>495</v>
      </c>
      <c r="F428" s="1225">
        <v>2978.38</v>
      </c>
    </row>
    <row r="429" spans="1:6" s="1225" customFormat="1" ht="17.25" customHeight="1">
      <c r="F429" s="1225" t="s">
        <v>52</v>
      </c>
    </row>
    <row r="430" spans="1:6" s="1225" customFormat="1" ht="17.25" customHeight="1">
      <c r="C430" s="1225" t="s">
        <v>460</v>
      </c>
      <c r="F430" s="1225">
        <v>297.83999999999997</v>
      </c>
    </row>
    <row r="431" spans="1:6" s="1225" customFormat="1" ht="17.25" customHeight="1"/>
    <row r="432" spans="1:6" s="1225" customFormat="1" ht="17.25" customHeight="1">
      <c r="A432" s="1632" t="s">
        <v>1627</v>
      </c>
      <c r="B432" s="1632" t="s">
        <v>111</v>
      </c>
      <c r="C432" s="1632" t="s">
        <v>1628</v>
      </c>
    </row>
    <row r="433" spans="1:6" s="1225" customFormat="1" ht="17.25" customHeight="1">
      <c r="A433" s="1632"/>
      <c r="B433" s="1632"/>
      <c r="C433" s="1632" t="s">
        <v>1629</v>
      </c>
    </row>
    <row r="434" spans="1:6" s="1225" customFormat="1" ht="17.25" customHeight="1">
      <c r="A434" s="1632"/>
      <c r="B434" s="1632"/>
      <c r="C434" s="1632" t="s">
        <v>1630</v>
      </c>
    </row>
    <row r="435" spans="1:6" s="1225" customFormat="1" ht="17.25" customHeight="1">
      <c r="A435" s="1632"/>
      <c r="B435" s="1632"/>
      <c r="C435" s="1632" t="s">
        <v>1631</v>
      </c>
    </row>
    <row r="436" spans="1:6" s="1225" customFormat="1" ht="17.25" customHeight="1">
      <c r="A436" s="1632"/>
      <c r="B436" s="1632"/>
      <c r="C436" s="1632" t="s">
        <v>52</v>
      </c>
      <c r="D436" s="1225" t="s">
        <v>52</v>
      </c>
    </row>
    <row r="437" spans="1:6" s="1225" customFormat="1" ht="17.25" customHeight="1">
      <c r="A437" s="1632"/>
      <c r="B437" s="1632" t="s">
        <v>956</v>
      </c>
      <c r="C437" s="1632" t="s">
        <v>1632</v>
      </c>
    </row>
    <row r="438" spans="1:6" s="1225" customFormat="1" ht="17.25" customHeight="1">
      <c r="B438" s="1225" t="s">
        <v>52</v>
      </c>
      <c r="C438" s="1225" t="s">
        <v>52</v>
      </c>
    </row>
    <row r="439" spans="1:6" s="1225" customFormat="1" ht="17.25" customHeight="1">
      <c r="A439" s="1225">
        <v>1.4E-2</v>
      </c>
      <c r="B439" s="1225" t="s">
        <v>5</v>
      </c>
      <c r="C439" s="1225" t="s">
        <v>1633</v>
      </c>
      <c r="D439" s="1225">
        <v>3502.94</v>
      </c>
      <c r="E439" s="1225" t="s">
        <v>5</v>
      </c>
      <c r="F439" s="1225">
        <v>49.04</v>
      </c>
    </row>
    <row r="440" spans="1:6" s="1225" customFormat="1" ht="17.25" customHeight="1">
      <c r="A440" s="1225">
        <v>0.3</v>
      </c>
      <c r="B440" s="1225" t="s">
        <v>727</v>
      </c>
      <c r="C440" s="1225" t="s">
        <v>1634</v>
      </c>
      <c r="D440" s="1225">
        <v>1041.7</v>
      </c>
      <c r="E440" s="1225" t="s">
        <v>727</v>
      </c>
      <c r="F440" s="1225">
        <v>312.51</v>
      </c>
    </row>
    <row r="441" spans="1:6" s="1225" customFormat="1" ht="17.25" customHeight="1">
      <c r="A441" s="1225">
        <v>0.3</v>
      </c>
      <c r="B441" s="1225" t="s">
        <v>727</v>
      </c>
      <c r="C441" s="1225" t="s">
        <v>731</v>
      </c>
      <c r="D441" s="1225">
        <v>679.8</v>
      </c>
      <c r="E441" s="1225" t="s">
        <v>727</v>
      </c>
      <c r="F441" s="1225">
        <v>203.94</v>
      </c>
    </row>
    <row r="442" spans="1:6" s="1225" customFormat="1" ht="17.25" customHeight="1">
      <c r="B442" s="1225" t="s">
        <v>145</v>
      </c>
      <c r="C442" s="1225" t="s">
        <v>1557</v>
      </c>
      <c r="E442" s="1225" t="s">
        <v>145</v>
      </c>
      <c r="F442" s="1225">
        <v>5</v>
      </c>
    </row>
    <row r="443" spans="1:6" s="1225" customFormat="1" ht="17.25" customHeight="1">
      <c r="F443" s="1225" t="s">
        <v>52</v>
      </c>
    </row>
    <row r="444" spans="1:6" s="1225" customFormat="1" ht="17.25" customHeight="1">
      <c r="C444" s="1225" t="s">
        <v>1635</v>
      </c>
      <c r="F444" s="1225">
        <v>570.49</v>
      </c>
    </row>
    <row r="445" spans="1:6" s="1225" customFormat="1" ht="17.25" customHeight="1">
      <c r="F445" s="1225" t="s">
        <v>52</v>
      </c>
    </row>
    <row r="446" spans="1:6" s="1225" customFormat="1" ht="17.25" customHeight="1">
      <c r="C446" s="1225" t="s">
        <v>1636</v>
      </c>
      <c r="F446" s="1225">
        <v>84.27</v>
      </c>
    </row>
    <row r="447" spans="1:6" s="1225" customFormat="1" ht="17.25" customHeight="1">
      <c r="A447" s="1225" t="s">
        <v>85</v>
      </c>
    </row>
    <row r="448" spans="1:6" s="1225" customFormat="1" ht="17.25" customHeight="1">
      <c r="F448" s="1225" t="s">
        <v>89</v>
      </c>
    </row>
    <row r="449" spans="1:6" s="1632" customFormat="1" ht="17.25" customHeight="1">
      <c r="B449" s="1632" t="s">
        <v>986</v>
      </c>
      <c r="C449" s="1632" t="s">
        <v>1637</v>
      </c>
    </row>
    <row r="450" spans="1:6" s="1225" customFormat="1" ht="17.25" customHeight="1">
      <c r="B450" s="1225" t="s">
        <v>52</v>
      </c>
      <c r="C450" s="1225" t="s">
        <v>52</v>
      </c>
    </row>
    <row r="451" spans="1:6" s="1225" customFormat="1" ht="17.25" customHeight="1">
      <c r="A451" s="1225">
        <v>7.0000000000000001E-3</v>
      </c>
      <c r="B451" s="1225" t="s">
        <v>5</v>
      </c>
      <c r="C451" s="1225" t="s">
        <v>1633</v>
      </c>
      <c r="D451" s="1225">
        <v>3502.94</v>
      </c>
      <c r="E451" s="1225" t="s">
        <v>5</v>
      </c>
      <c r="F451" s="1225">
        <v>24.52</v>
      </c>
    </row>
    <row r="452" spans="1:6" s="1225" customFormat="1" ht="17.25" customHeight="1">
      <c r="A452" s="1225">
        <v>0.2</v>
      </c>
      <c r="B452" s="1225" t="s">
        <v>727</v>
      </c>
      <c r="C452" s="1225" t="s">
        <v>1634</v>
      </c>
      <c r="D452" s="1225">
        <v>1041.7</v>
      </c>
      <c r="E452" s="1225" t="s">
        <v>727</v>
      </c>
      <c r="F452" s="1225">
        <v>208.34</v>
      </c>
    </row>
    <row r="453" spans="1:6" s="1225" customFormat="1" ht="17.25" customHeight="1">
      <c r="A453" s="1225">
        <v>0.2</v>
      </c>
      <c r="B453" s="1225" t="s">
        <v>727</v>
      </c>
      <c r="C453" s="1225" t="s">
        <v>731</v>
      </c>
      <c r="D453" s="1225">
        <v>679.8</v>
      </c>
      <c r="E453" s="1225" t="s">
        <v>727</v>
      </c>
      <c r="F453" s="1225">
        <v>135.96</v>
      </c>
    </row>
    <row r="454" spans="1:6" s="1225" customFormat="1" ht="17.25" customHeight="1">
      <c r="C454" s="1225" t="s">
        <v>1557</v>
      </c>
      <c r="F454" s="1225">
        <v>5</v>
      </c>
    </row>
    <row r="455" spans="1:6" s="1225" customFormat="1" ht="17.25" customHeight="1">
      <c r="F455" s="1225" t="s">
        <v>52</v>
      </c>
    </row>
    <row r="456" spans="1:6" s="1225" customFormat="1" ht="17.25" customHeight="1">
      <c r="C456" s="1225" t="s">
        <v>1635</v>
      </c>
      <c r="F456" s="1225">
        <v>373.82</v>
      </c>
    </row>
    <row r="457" spans="1:6" s="1225" customFormat="1" ht="17.25" customHeight="1">
      <c r="F457" s="1225" t="s">
        <v>52</v>
      </c>
    </row>
    <row r="458" spans="1:6" s="1225" customFormat="1" ht="17.25" customHeight="1">
      <c r="C458" s="1225" t="s">
        <v>1636</v>
      </c>
      <c r="F458" s="1225">
        <v>55.22</v>
      </c>
    </row>
    <row r="459" spans="1:6" s="1225" customFormat="1" ht="17.25" customHeight="1">
      <c r="F459" s="1225" t="s">
        <v>89</v>
      </c>
    </row>
    <row r="460" spans="1:6" s="1225" customFormat="1" ht="17.25" customHeight="1"/>
    <row r="461" spans="1:6" s="1225" customFormat="1" ht="17.25" customHeight="1"/>
    <row r="462" spans="1:6" s="1225" customFormat="1" ht="17.25" customHeight="1">
      <c r="B462" s="1225" t="s">
        <v>7577</v>
      </c>
      <c r="C462" s="1225" t="s">
        <v>1638</v>
      </c>
    </row>
    <row r="463" spans="1:6" s="1225" customFormat="1" ht="17.25" customHeight="1">
      <c r="B463" s="1225" t="s">
        <v>52</v>
      </c>
      <c r="C463" s="1225" t="s">
        <v>52</v>
      </c>
    </row>
    <row r="464" spans="1:6" s="1225" customFormat="1" ht="17.25" customHeight="1">
      <c r="A464" s="1225">
        <v>4.7000000000000002E-3</v>
      </c>
      <c r="B464" s="1225" t="s">
        <v>5</v>
      </c>
      <c r="C464" s="1225" t="s">
        <v>1633</v>
      </c>
      <c r="D464" s="1225">
        <v>3502.94</v>
      </c>
      <c r="E464" s="1225" t="s">
        <v>5</v>
      </c>
      <c r="F464" s="1225">
        <v>16.46</v>
      </c>
    </row>
    <row r="465" spans="1:6" s="1225" customFormat="1" ht="17.25" customHeight="1">
      <c r="A465" s="1225">
        <v>0.15</v>
      </c>
      <c r="B465" s="1225" t="s">
        <v>727</v>
      </c>
      <c r="C465" s="1225" t="s">
        <v>1634</v>
      </c>
      <c r="D465" s="1225">
        <v>1041.7</v>
      </c>
      <c r="E465" s="1225" t="s">
        <v>727</v>
      </c>
      <c r="F465" s="1225">
        <v>156.26</v>
      </c>
    </row>
    <row r="466" spans="1:6" s="1225" customFormat="1" ht="17.25" customHeight="1">
      <c r="A466" s="1225">
        <v>0.15</v>
      </c>
      <c r="B466" s="1225" t="s">
        <v>727</v>
      </c>
      <c r="C466" s="1225" t="s">
        <v>731</v>
      </c>
      <c r="D466" s="1225">
        <v>679.8</v>
      </c>
      <c r="E466" s="1225" t="s">
        <v>727</v>
      </c>
      <c r="F466" s="1225">
        <v>101.97</v>
      </c>
    </row>
    <row r="467" spans="1:6" s="1225" customFormat="1" ht="17.25" customHeight="1">
      <c r="C467" s="1225" t="s">
        <v>1557</v>
      </c>
      <c r="F467" s="1225">
        <v>5</v>
      </c>
    </row>
    <row r="468" spans="1:6" s="1225" customFormat="1" ht="17.25" customHeight="1">
      <c r="F468" s="1225" t="s">
        <v>52</v>
      </c>
    </row>
    <row r="469" spans="1:6" s="1225" customFormat="1" ht="17.25" customHeight="1">
      <c r="C469" s="1225" t="s">
        <v>1635</v>
      </c>
      <c r="F469" s="1225">
        <v>279.69</v>
      </c>
    </row>
    <row r="470" spans="1:6" s="1225" customFormat="1" ht="17.25" customHeight="1">
      <c r="F470" s="1225" t="s">
        <v>52</v>
      </c>
    </row>
    <row r="471" spans="1:6" s="1225" customFormat="1" ht="17.25" customHeight="1">
      <c r="C471" s="1225" t="s">
        <v>1636</v>
      </c>
      <c r="F471" s="1225">
        <v>41.31</v>
      </c>
    </row>
    <row r="472" spans="1:6" s="1225" customFormat="1" ht="17.25" customHeight="1"/>
    <row r="473" spans="1:6" s="1225" customFormat="1" ht="17.25" customHeight="1">
      <c r="A473" s="1225">
        <v>37.1</v>
      </c>
      <c r="B473" s="1225" t="s">
        <v>111</v>
      </c>
      <c r="C473" s="1225" t="s">
        <v>1639</v>
      </c>
    </row>
    <row r="474" spans="1:6" s="1225" customFormat="1" ht="17.25" customHeight="1">
      <c r="C474" s="1225" t="s">
        <v>52</v>
      </c>
    </row>
    <row r="475" spans="1:6" s="1225" customFormat="1" ht="17.25" customHeight="1">
      <c r="A475" s="1225">
        <v>0.09</v>
      </c>
      <c r="B475" s="1225" t="s">
        <v>132</v>
      </c>
      <c r="C475" s="1225" t="s">
        <v>202</v>
      </c>
      <c r="D475" s="1225">
        <v>1348</v>
      </c>
      <c r="E475" s="1225" t="s">
        <v>132</v>
      </c>
      <c r="F475" s="1225">
        <v>121.32</v>
      </c>
    </row>
    <row r="476" spans="1:6" s="1225" customFormat="1" ht="17.25" customHeight="1">
      <c r="A476" s="1225">
        <v>2.2000000000000002</v>
      </c>
      <c r="B476" s="1225" t="s">
        <v>131</v>
      </c>
      <c r="C476" s="1225" t="s">
        <v>302</v>
      </c>
      <c r="D476" s="1225">
        <v>972.4</v>
      </c>
      <c r="E476" s="1225" t="s">
        <v>131</v>
      </c>
      <c r="F476" s="1225">
        <v>2139.2800000000002</v>
      </c>
    </row>
    <row r="477" spans="1:6" s="1225" customFormat="1" ht="17.25" customHeight="1">
      <c r="A477" s="1225">
        <v>0.5</v>
      </c>
      <c r="B477" s="1225" t="s">
        <v>131</v>
      </c>
      <c r="C477" s="1225" t="s">
        <v>304</v>
      </c>
      <c r="D477" s="1225">
        <v>679.8</v>
      </c>
      <c r="E477" s="1225" t="s">
        <v>131</v>
      </c>
      <c r="F477" s="1225">
        <v>339.9</v>
      </c>
    </row>
    <row r="478" spans="1:6" s="1225" customFormat="1" ht="17.25" customHeight="1">
      <c r="A478" s="1225">
        <v>3.8</v>
      </c>
      <c r="B478" s="1225" t="s">
        <v>131</v>
      </c>
      <c r="C478" s="1225" t="s">
        <v>306</v>
      </c>
      <c r="D478" s="1225">
        <v>557.70000000000005</v>
      </c>
      <c r="E478" s="1225" t="s">
        <v>131</v>
      </c>
      <c r="F478" s="1225">
        <v>2119.2600000000002</v>
      </c>
    </row>
    <row r="479" spans="1:6" s="1225" customFormat="1" ht="16.5">
      <c r="B479" s="1225" t="s">
        <v>145</v>
      </c>
      <c r="C479" s="1225" t="s">
        <v>1640</v>
      </c>
      <c r="D479" s="1225" t="s">
        <v>85</v>
      </c>
      <c r="E479" s="1225" t="s">
        <v>145</v>
      </c>
      <c r="F479" s="1225">
        <v>1.5</v>
      </c>
    </row>
    <row r="480" spans="1:6" s="1225" customFormat="1" ht="17.25" customHeight="1">
      <c r="F480" s="1225" t="s">
        <v>52</v>
      </c>
    </row>
    <row r="481" spans="1:6" s="1225" customFormat="1" ht="17.25" customHeight="1">
      <c r="C481" s="1225" t="s">
        <v>584</v>
      </c>
      <c r="F481" s="1225">
        <v>4721.26</v>
      </c>
    </row>
    <row r="482" spans="1:6" s="1225" customFormat="1" ht="17.25" customHeight="1">
      <c r="F482" s="1225" t="s">
        <v>52</v>
      </c>
    </row>
    <row r="483" spans="1:6" s="1225" customFormat="1" ht="17.25" customHeight="1">
      <c r="C483" s="1225" t="s">
        <v>460</v>
      </c>
      <c r="F483" s="1225">
        <v>47.21</v>
      </c>
    </row>
    <row r="484" spans="1:6" s="1225" customFormat="1" ht="17.25" customHeight="1"/>
    <row r="485" spans="1:6" s="1225" customFormat="1" ht="17.25" customHeight="1">
      <c r="A485" s="1225">
        <v>39</v>
      </c>
      <c r="C485" s="1225" t="s">
        <v>4287</v>
      </c>
      <c r="D485" s="1225">
        <v>70.150000000000006</v>
      </c>
      <c r="E485" s="1225" t="s">
        <v>39</v>
      </c>
      <c r="F485" s="1225">
        <v>70.150000000000006</v>
      </c>
    </row>
    <row r="486" spans="1:6" s="1225" customFormat="1" ht="17.25" customHeight="1"/>
    <row r="487" spans="1:6" s="1225" customFormat="1" ht="17.25" customHeight="1">
      <c r="A487" s="1225" t="s">
        <v>1654</v>
      </c>
      <c r="B487" s="1225" t="s">
        <v>111</v>
      </c>
      <c r="C487" s="1225" t="s">
        <v>4400</v>
      </c>
    </row>
    <row r="488" spans="1:6" s="1225" customFormat="1" ht="17.25" customHeight="1">
      <c r="C488" s="1225" t="s">
        <v>1656</v>
      </c>
    </row>
    <row r="489" spans="1:6" s="1225" customFormat="1" ht="17.25" customHeight="1">
      <c r="C489" s="1225" t="s">
        <v>4401</v>
      </c>
    </row>
    <row r="490" spans="1:6" s="1225" customFormat="1" ht="17.25" customHeight="1">
      <c r="C490" s="1225" t="s">
        <v>52</v>
      </c>
    </row>
    <row r="491" spans="1:6" s="1225" customFormat="1" ht="17.25" customHeight="1">
      <c r="A491" s="1225">
        <v>1.44</v>
      </c>
      <c r="B491" s="1225" t="s">
        <v>1658</v>
      </c>
      <c r="C491" s="1225" t="s">
        <v>1659</v>
      </c>
      <c r="D491" s="1225">
        <v>147.5</v>
      </c>
      <c r="E491" s="1225" t="s">
        <v>1658</v>
      </c>
      <c r="F491" s="1225">
        <v>212.4</v>
      </c>
    </row>
    <row r="492" spans="1:6" s="1225" customFormat="1" ht="17.25" customHeight="1">
      <c r="A492" s="1225">
        <v>0.7</v>
      </c>
      <c r="B492" s="1225" t="s">
        <v>237</v>
      </c>
      <c r="C492" s="1225" t="s">
        <v>1660</v>
      </c>
      <c r="D492" s="1225">
        <v>831.6</v>
      </c>
      <c r="E492" s="1225" t="s">
        <v>237</v>
      </c>
      <c r="F492" s="1225">
        <v>582.12</v>
      </c>
    </row>
    <row r="493" spans="1:6" s="1225" customFormat="1" ht="17.25" customHeight="1">
      <c r="A493" s="1225">
        <v>2.5499999999999998</v>
      </c>
      <c r="B493" s="1225" t="s">
        <v>1658</v>
      </c>
      <c r="C493" s="1225" t="s">
        <v>1661</v>
      </c>
      <c r="D493" s="1225">
        <v>238.9</v>
      </c>
      <c r="E493" s="1225" t="s">
        <v>1658</v>
      </c>
      <c r="F493" s="1225">
        <v>609.20000000000005</v>
      </c>
    </row>
    <row r="494" spans="1:6" s="1225" customFormat="1" ht="17.25" customHeight="1">
      <c r="A494" s="1225">
        <v>1.2</v>
      </c>
      <c r="B494" s="1225" t="s">
        <v>237</v>
      </c>
      <c r="C494" s="1225" t="s">
        <v>1660</v>
      </c>
      <c r="D494" s="1225">
        <v>831.6</v>
      </c>
      <c r="E494" s="1225" t="s">
        <v>237</v>
      </c>
      <c r="F494" s="1225">
        <v>997.92</v>
      </c>
    </row>
    <row r="495" spans="1:6" s="1225" customFormat="1" ht="17.25" customHeight="1">
      <c r="B495" s="1225" t="s">
        <v>145</v>
      </c>
      <c r="C495" s="1225" t="s">
        <v>1546</v>
      </c>
      <c r="D495" s="1225" t="s">
        <v>85</v>
      </c>
      <c r="E495" s="1225" t="s">
        <v>145</v>
      </c>
      <c r="F495" s="1225">
        <v>1.5</v>
      </c>
    </row>
    <row r="496" spans="1:6" s="1225" customFormat="1" ht="17.25" customHeight="1">
      <c r="F496" s="1225" t="s">
        <v>52</v>
      </c>
    </row>
    <row r="497" spans="1:6" s="1225" customFormat="1" ht="17.25" customHeight="1">
      <c r="C497" s="1225" t="s">
        <v>495</v>
      </c>
      <c r="F497" s="1225">
        <v>2403.14</v>
      </c>
    </row>
    <row r="498" spans="1:6" s="1225" customFormat="1" ht="17.25" customHeight="1">
      <c r="F498" s="1225" t="s">
        <v>52</v>
      </c>
    </row>
    <row r="499" spans="1:6" s="1225" customFormat="1" ht="17.25" customHeight="1">
      <c r="C499" s="1225" t="s">
        <v>460</v>
      </c>
      <c r="F499" s="1225">
        <v>240.31</v>
      </c>
    </row>
    <row r="500" spans="1:6" s="1225" customFormat="1" ht="17.25" customHeight="1"/>
    <row r="501" spans="1:6" s="1225" customFormat="1" ht="17.25" customHeight="1">
      <c r="A501" s="1225">
        <v>41</v>
      </c>
      <c r="B501" s="1225" t="s">
        <v>111</v>
      </c>
      <c r="C501" s="1225" t="s">
        <v>1655</v>
      </c>
    </row>
    <row r="502" spans="1:6" s="1225" customFormat="1" ht="17.25" customHeight="1">
      <c r="C502" s="1225" t="s">
        <v>1662</v>
      </c>
    </row>
    <row r="503" spans="1:6" s="1225" customFormat="1" ht="17.25" customHeight="1">
      <c r="C503" s="1225" t="s">
        <v>1657</v>
      </c>
    </row>
    <row r="504" spans="1:6" s="1225" customFormat="1" ht="17.25" customHeight="1">
      <c r="C504" s="1225" t="s">
        <v>52</v>
      </c>
    </row>
    <row r="505" spans="1:6" s="1225" customFormat="1" ht="17.25" customHeight="1">
      <c r="A505" s="1225">
        <v>2.2200000000000002</v>
      </c>
      <c r="B505" s="1225" t="s">
        <v>1658</v>
      </c>
      <c r="C505" s="1225" t="s">
        <v>1661</v>
      </c>
      <c r="D505" s="1225">
        <v>227.6</v>
      </c>
      <c r="E505" s="1225" t="s">
        <v>1658</v>
      </c>
      <c r="F505" s="1225">
        <v>505.27</v>
      </c>
    </row>
    <row r="506" spans="1:6" s="1225" customFormat="1" ht="17.25" customHeight="1">
      <c r="A506" s="1225">
        <v>1.1000000000000001</v>
      </c>
      <c r="B506" s="1225" t="s">
        <v>237</v>
      </c>
      <c r="C506" s="1225" t="s">
        <v>1660</v>
      </c>
      <c r="D506" s="1225">
        <v>831.6</v>
      </c>
      <c r="E506" s="1225" t="s">
        <v>237</v>
      </c>
      <c r="F506" s="1225">
        <v>914.76</v>
      </c>
    </row>
    <row r="507" spans="1:6" s="1225" customFormat="1" ht="17.25" customHeight="1">
      <c r="B507" s="1225" t="s">
        <v>145</v>
      </c>
      <c r="C507" s="1225" t="s">
        <v>1546</v>
      </c>
      <c r="D507" s="1225" t="s">
        <v>85</v>
      </c>
      <c r="E507" s="1225" t="s">
        <v>145</v>
      </c>
      <c r="F507" s="1225">
        <v>1.5</v>
      </c>
    </row>
    <row r="508" spans="1:6" s="1225" customFormat="1" ht="17.25" customHeight="1">
      <c r="F508" s="1225" t="s">
        <v>52</v>
      </c>
    </row>
    <row r="509" spans="1:6" s="1225" customFormat="1" ht="17.25" customHeight="1">
      <c r="C509" s="1225" t="s">
        <v>495</v>
      </c>
      <c r="F509" s="1225">
        <v>1421.53</v>
      </c>
    </row>
    <row r="510" spans="1:6" s="1225" customFormat="1" ht="17.25" customHeight="1">
      <c r="F510" s="1225" t="s">
        <v>52</v>
      </c>
    </row>
    <row r="511" spans="1:6" s="1225" customFormat="1" ht="17.25" customHeight="1">
      <c r="C511" s="1225" t="s">
        <v>460</v>
      </c>
      <c r="F511" s="1225">
        <v>142.15</v>
      </c>
    </row>
    <row r="512" spans="1:6" s="1225" customFormat="1" ht="17.25" customHeight="1"/>
    <row r="513" spans="1:6" s="1225" customFormat="1" ht="17.25" customHeight="1">
      <c r="A513" s="1225" t="s">
        <v>1704</v>
      </c>
      <c r="B513" s="1225" t="s">
        <v>111</v>
      </c>
      <c r="C513" s="1225" t="s">
        <v>1705</v>
      </c>
    </row>
    <row r="514" spans="1:6" s="1225" customFormat="1" ht="17.25" customHeight="1">
      <c r="C514" s="1225" t="s">
        <v>1706</v>
      </c>
    </row>
    <row r="515" spans="1:6" s="1225" customFormat="1" ht="17.25" customHeight="1">
      <c r="C515" s="1225" t="s">
        <v>1707</v>
      </c>
      <c r="E515" s="1225" t="s">
        <v>85</v>
      </c>
    </row>
    <row r="516" spans="1:6" s="1225" customFormat="1" ht="17.25" customHeight="1">
      <c r="C516" s="1225" t="s">
        <v>1708</v>
      </c>
    </row>
    <row r="517" spans="1:6" s="1225" customFormat="1" ht="17.25" customHeight="1">
      <c r="C517" s="1225" t="s">
        <v>1709</v>
      </c>
    </row>
    <row r="518" spans="1:6" s="1225" customFormat="1" ht="17.25" customHeight="1">
      <c r="C518" s="1225" t="s">
        <v>1710</v>
      </c>
    </row>
    <row r="519" spans="1:6" s="1225" customFormat="1" ht="17.25" customHeight="1">
      <c r="C519" s="1225" t="s">
        <v>1711</v>
      </c>
    </row>
    <row r="520" spans="1:6" s="1225" customFormat="1" ht="17.25" customHeight="1">
      <c r="C520" s="1225" t="s">
        <v>1712</v>
      </c>
    </row>
    <row r="521" spans="1:6" s="1225" customFormat="1" ht="17.25" customHeight="1">
      <c r="C521" s="1225" t="s">
        <v>1713</v>
      </c>
    </row>
    <row r="522" spans="1:6" s="1225" customFormat="1" ht="17.25" customHeight="1">
      <c r="C522" s="1225" t="s">
        <v>89</v>
      </c>
    </row>
    <row r="523" spans="1:6" s="1225" customFormat="1" ht="17.25" customHeight="1"/>
    <row r="524" spans="1:6" s="1225" customFormat="1" ht="17.25" customHeight="1">
      <c r="A524" s="1225">
        <v>1</v>
      </c>
      <c r="B524" s="1225" t="s">
        <v>13</v>
      </c>
      <c r="C524" s="1225" t="s">
        <v>4414</v>
      </c>
      <c r="D524" s="1225">
        <v>45.72</v>
      </c>
      <c r="E524" s="1225" t="s">
        <v>13</v>
      </c>
      <c r="F524" s="1225">
        <v>45.72</v>
      </c>
    </row>
    <row r="525" spans="1:6" s="1225" customFormat="1" ht="17.25" customHeight="1">
      <c r="A525" s="1225">
        <v>1</v>
      </c>
      <c r="B525" s="1225" t="s">
        <v>1715</v>
      </c>
      <c r="C525" s="1225" t="s">
        <v>1716</v>
      </c>
      <c r="D525" s="1225">
        <v>5</v>
      </c>
      <c r="E525" s="1225" t="s">
        <v>1715</v>
      </c>
      <c r="F525" s="1225">
        <v>5</v>
      </c>
    </row>
    <row r="526" spans="1:6" s="1225" customFormat="1" ht="17.25" customHeight="1">
      <c r="B526" s="1225" t="s">
        <v>145</v>
      </c>
      <c r="C526" s="1225" t="s">
        <v>1717</v>
      </c>
      <c r="E526" s="1225" t="s">
        <v>145</v>
      </c>
      <c r="F526" s="1225">
        <v>7.28</v>
      </c>
    </row>
    <row r="527" spans="1:6" s="1225" customFormat="1" ht="17.25" customHeight="1">
      <c r="F527" s="1225" t="s">
        <v>52</v>
      </c>
    </row>
    <row r="528" spans="1:6" s="1225" customFormat="1" ht="17.25" customHeight="1">
      <c r="C528" s="1225" t="s">
        <v>16</v>
      </c>
      <c r="F528" s="1225">
        <v>58</v>
      </c>
    </row>
    <row r="529" spans="1:6" s="1225" customFormat="1" ht="17.25" customHeight="1"/>
    <row r="530" spans="1:6" s="1225" customFormat="1" ht="17.25" customHeight="1">
      <c r="A530" s="1225" t="s">
        <v>1718</v>
      </c>
      <c r="B530" s="1225" t="s">
        <v>111</v>
      </c>
      <c r="C530" s="1225" t="s">
        <v>6420</v>
      </c>
    </row>
    <row r="531" spans="1:6" s="1225" customFormat="1" ht="17.25" customHeight="1">
      <c r="C531" s="1225" t="s">
        <v>1720</v>
      </c>
    </row>
    <row r="532" spans="1:6" s="1225" customFormat="1" ht="17.25" customHeight="1">
      <c r="C532" s="1225" t="s">
        <v>1721</v>
      </c>
    </row>
    <row r="533" spans="1:6" s="1225" customFormat="1" ht="17.25" customHeight="1">
      <c r="C533" s="1225" t="s">
        <v>1722</v>
      </c>
    </row>
    <row r="534" spans="1:6" s="1225" customFormat="1" ht="17.25" customHeight="1">
      <c r="C534" s="1225" t="s">
        <v>1723</v>
      </c>
    </row>
    <row r="535" spans="1:6" s="1225" customFormat="1" ht="17.25" customHeight="1">
      <c r="C535" s="1225" t="s">
        <v>52</v>
      </c>
      <c r="D535" s="1225" t="s">
        <v>52</v>
      </c>
    </row>
    <row r="536" spans="1:6" s="1225" customFormat="1" ht="17.25" customHeight="1">
      <c r="A536" s="1225">
        <v>1</v>
      </c>
      <c r="B536" s="1225" t="s">
        <v>1724</v>
      </c>
      <c r="C536" s="1225" t="s">
        <v>1725</v>
      </c>
      <c r="D536" s="1225">
        <v>85</v>
      </c>
      <c r="E536" s="1225" t="s">
        <v>729</v>
      </c>
      <c r="F536" s="1225">
        <v>85</v>
      </c>
    </row>
    <row r="537" spans="1:6" s="1225" customFormat="1" ht="17.25" customHeight="1">
      <c r="B537" s="1225" t="s">
        <v>145</v>
      </c>
      <c r="C537" s="1225" t="s">
        <v>1726</v>
      </c>
      <c r="E537" s="1225" t="s">
        <v>145</v>
      </c>
      <c r="F537" s="1225">
        <v>7.5</v>
      </c>
    </row>
    <row r="538" spans="1:6" s="1225" customFormat="1" ht="17.25" customHeight="1">
      <c r="B538" s="1225" t="s">
        <v>145</v>
      </c>
      <c r="C538" s="1225" t="s">
        <v>1727</v>
      </c>
      <c r="E538" s="1225" t="s">
        <v>145</v>
      </c>
      <c r="F538" s="1225">
        <v>2.5</v>
      </c>
    </row>
    <row r="539" spans="1:6" s="1225" customFormat="1" ht="17.25" customHeight="1">
      <c r="C539" s="1225" t="s">
        <v>1728</v>
      </c>
      <c r="F539" s="1225" t="s">
        <v>52</v>
      </c>
    </row>
    <row r="540" spans="1:6" s="1225" customFormat="1" ht="17.25" customHeight="1">
      <c r="C540" s="1225" t="s">
        <v>16</v>
      </c>
      <c r="F540" s="1225">
        <v>95</v>
      </c>
    </row>
    <row r="541" spans="1:6" s="1225" customFormat="1" ht="17.25" customHeight="1"/>
    <row r="542" spans="1:6" s="1225" customFormat="1" ht="17.25" customHeight="1">
      <c r="A542" s="1225" t="s">
        <v>1729</v>
      </c>
      <c r="B542" s="1225" t="s">
        <v>111</v>
      </c>
      <c r="C542" s="1225" t="s">
        <v>6421</v>
      </c>
    </row>
    <row r="543" spans="1:6" s="1225" customFormat="1" ht="17.25" customHeight="1">
      <c r="C543" s="1225" t="s">
        <v>1731</v>
      </c>
      <c r="F543" s="1225" t="s">
        <v>85</v>
      </c>
    </row>
    <row r="544" spans="1:6" s="1225" customFormat="1" ht="17.25" customHeight="1">
      <c r="C544" s="1225" t="s">
        <v>52</v>
      </c>
    </row>
    <row r="545" spans="1:6" s="1225" customFormat="1" ht="17.25" customHeight="1">
      <c r="A545" s="1225">
        <v>1</v>
      </c>
      <c r="B545" s="1225" t="s">
        <v>1724</v>
      </c>
      <c r="C545" s="1225" t="s">
        <v>1732</v>
      </c>
      <c r="D545" s="1225">
        <v>50</v>
      </c>
      <c r="E545" s="1225" t="s">
        <v>729</v>
      </c>
      <c r="F545" s="1225">
        <v>50</v>
      </c>
    </row>
    <row r="546" spans="1:6" s="1225" customFormat="1" ht="17.25" customHeight="1">
      <c r="B546" s="1225" t="s">
        <v>145</v>
      </c>
      <c r="C546" s="1225" t="s">
        <v>1733</v>
      </c>
      <c r="E546" s="1225" t="s">
        <v>145</v>
      </c>
      <c r="F546" s="1225">
        <v>5</v>
      </c>
    </row>
    <row r="547" spans="1:6" s="1225" customFormat="1" ht="17.25" customHeight="1">
      <c r="F547" s="1225" t="s">
        <v>52</v>
      </c>
    </row>
    <row r="548" spans="1:6" s="1225" customFormat="1" ht="17.25" customHeight="1">
      <c r="C548" s="1225" t="s">
        <v>1734</v>
      </c>
      <c r="F548" s="1225">
        <v>55</v>
      </c>
    </row>
    <row r="549" spans="1:6" s="1225" customFormat="1" ht="17.25" customHeight="1"/>
    <row r="550" spans="1:6" s="1225" customFormat="1" ht="17.25" customHeight="1">
      <c r="A550" s="1225" t="s">
        <v>1735</v>
      </c>
      <c r="B550" s="1225" t="s">
        <v>111</v>
      </c>
      <c r="C550" s="1225" t="s">
        <v>6422</v>
      </c>
    </row>
    <row r="551" spans="1:6" s="1225" customFormat="1" ht="17.25" customHeight="1">
      <c r="C551" s="1225" t="s">
        <v>52</v>
      </c>
      <c r="D551" s="1225" t="s">
        <v>52</v>
      </c>
    </row>
    <row r="552" spans="1:6" s="1225" customFormat="1" ht="17.25" customHeight="1">
      <c r="A552" s="1225">
        <v>1</v>
      </c>
      <c r="B552" s="1225" t="s">
        <v>1724</v>
      </c>
      <c r="C552" s="1225" t="s">
        <v>1737</v>
      </c>
      <c r="D552" s="1225">
        <v>1.2</v>
      </c>
      <c r="E552" s="1225" t="s">
        <v>729</v>
      </c>
      <c r="F552" s="1225">
        <v>1.2</v>
      </c>
    </row>
    <row r="553" spans="1:6" s="1225" customFormat="1" ht="17.25" customHeight="1">
      <c r="B553" s="1225" t="s">
        <v>145</v>
      </c>
      <c r="C553" s="1225" t="s">
        <v>1733</v>
      </c>
      <c r="E553" s="1225" t="s">
        <v>145</v>
      </c>
      <c r="F553" s="1225">
        <v>0.3</v>
      </c>
    </row>
    <row r="554" spans="1:6" s="1225" customFormat="1" ht="17.25" customHeight="1">
      <c r="F554" s="1225" t="s">
        <v>52</v>
      </c>
    </row>
    <row r="555" spans="1:6" s="1225" customFormat="1" ht="17.25" customHeight="1">
      <c r="C555" s="1225" t="s">
        <v>1734</v>
      </c>
      <c r="F555" s="1225">
        <v>1.5</v>
      </c>
    </row>
    <row r="556" spans="1:6" s="1225" customFormat="1" ht="17.25" customHeight="1"/>
    <row r="557" spans="1:6" s="1225" customFormat="1" ht="17.25" customHeight="1">
      <c r="A557" s="1225" t="s">
        <v>1760</v>
      </c>
      <c r="B557" s="1225" t="s">
        <v>483</v>
      </c>
      <c r="C557" s="1225" t="s">
        <v>1748</v>
      </c>
    </row>
    <row r="558" spans="1:6" s="1225" customFormat="1" ht="17.25" customHeight="1">
      <c r="C558" s="1225" t="s">
        <v>6423</v>
      </c>
    </row>
    <row r="559" spans="1:6" s="1225" customFormat="1" ht="17.25" customHeight="1">
      <c r="C559" s="1225" t="s">
        <v>52</v>
      </c>
      <c r="D559" s="1225" t="s">
        <v>52</v>
      </c>
    </row>
    <row r="560" spans="1:6" s="1225" customFormat="1" ht="17.25" customHeight="1">
      <c r="A560" s="1225">
        <v>0.40500000000000003</v>
      </c>
      <c r="B560" s="1225" t="s">
        <v>5</v>
      </c>
      <c r="C560" s="1225" t="s">
        <v>1750</v>
      </c>
      <c r="D560" s="1225">
        <v>5940</v>
      </c>
      <c r="E560" s="1225" t="s">
        <v>5</v>
      </c>
      <c r="F560" s="1225">
        <v>2405.6999999999998</v>
      </c>
    </row>
    <row r="561" spans="1:6" s="1225" customFormat="1" ht="17.25" customHeight="1">
      <c r="A561" s="1225" t="s">
        <v>85</v>
      </c>
      <c r="B561" s="1225" t="s">
        <v>85</v>
      </c>
      <c r="C561" s="1225" t="s">
        <v>1762</v>
      </c>
      <c r="D561" s="1225" t="s">
        <v>49</v>
      </c>
      <c r="F561" s="1225" t="s">
        <v>85</v>
      </c>
    </row>
    <row r="562" spans="1:6" s="1225" customFormat="1" ht="17.25" customHeight="1">
      <c r="F562" s="1225" t="s">
        <v>52</v>
      </c>
    </row>
    <row r="563" spans="1:6" s="1225" customFormat="1" ht="17.25" customHeight="1">
      <c r="C563" s="1225" t="s">
        <v>1763</v>
      </c>
      <c r="F563" s="1225">
        <v>2405.6999999999998</v>
      </c>
    </row>
    <row r="564" spans="1:6" s="1225" customFormat="1" ht="17.25" customHeight="1">
      <c r="F564" s="1225" t="s">
        <v>52</v>
      </c>
    </row>
    <row r="565" spans="1:6" s="1225" customFormat="1" ht="17.25" customHeight="1">
      <c r="C565" s="1225" t="s">
        <v>1764</v>
      </c>
      <c r="F565" s="1225">
        <v>267.3</v>
      </c>
    </row>
    <row r="566" spans="1:6" s="1225" customFormat="1" ht="17.25" customHeight="1"/>
    <row r="567" spans="1:6" s="1225" customFormat="1" ht="17.25" customHeight="1">
      <c r="A567" s="1225" t="s">
        <v>1765</v>
      </c>
      <c r="C567" s="1225" t="s">
        <v>1766</v>
      </c>
    </row>
    <row r="568" spans="1:6" s="1225" customFormat="1" ht="17.25" customHeight="1">
      <c r="C568" s="1225" t="s">
        <v>52</v>
      </c>
    </row>
    <row r="569" spans="1:6" s="1225" customFormat="1" ht="17.25" customHeight="1">
      <c r="A569" s="1225">
        <v>4.32</v>
      </c>
      <c r="B569" s="1225" t="s">
        <v>132</v>
      </c>
      <c r="C569" s="1225" t="s">
        <v>1767</v>
      </c>
      <c r="D569" s="1225">
        <v>116.88</v>
      </c>
      <c r="E569" s="1225" t="s">
        <v>132</v>
      </c>
      <c r="F569" s="1225">
        <v>504.92</v>
      </c>
    </row>
    <row r="570" spans="1:6" s="1225" customFormat="1" ht="17.25" customHeight="1">
      <c r="A570" s="1225">
        <v>1.44</v>
      </c>
      <c r="B570" s="1225" t="s">
        <v>132</v>
      </c>
      <c r="C570" s="1225" t="s">
        <v>1768</v>
      </c>
      <c r="D570" s="1225">
        <v>69.099999999999994</v>
      </c>
      <c r="E570" s="1225" t="s">
        <v>132</v>
      </c>
      <c r="F570" s="1225">
        <v>99.5</v>
      </c>
    </row>
    <row r="571" spans="1:6" s="1225" customFormat="1" ht="17.25" customHeight="1">
      <c r="A571" s="1225">
        <v>1.44</v>
      </c>
      <c r="B571" s="1225" t="s">
        <v>132</v>
      </c>
      <c r="C571" s="1225" t="s">
        <v>1769</v>
      </c>
      <c r="D571" s="1225">
        <v>356.78</v>
      </c>
      <c r="E571" s="1225" t="s">
        <v>132</v>
      </c>
      <c r="F571" s="1225">
        <v>513.76</v>
      </c>
    </row>
    <row r="572" spans="1:6" s="1225" customFormat="1" ht="17.25" customHeight="1">
      <c r="A572" s="1225">
        <v>1.44</v>
      </c>
      <c r="B572" s="1225" t="s">
        <v>132</v>
      </c>
      <c r="C572" s="1225" t="s">
        <v>1770</v>
      </c>
      <c r="D572" s="1225">
        <v>1642.42</v>
      </c>
      <c r="E572" s="1225" t="s">
        <v>132</v>
      </c>
      <c r="F572" s="1225">
        <v>2365.08</v>
      </c>
    </row>
    <row r="573" spans="1:6" s="1225" customFormat="1" ht="17.25" customHeight="1">
      <c r="A573" s="1225">
        <v>2.88</v>
      </c>
      <c r="B573" s="1225" t="s">
        <v>132</v>
      </c>
      <c r="C573" s="1225" t="s">
        <v>1771</v>
      </c>
      <c r="D573" s="1225">
        <v>10</v>
      </c>
      <c r="E573" s="1225" t="s">
        <v>132</v>
      </c>
      <c r="F573" s="1225">
        <v>28.8</v>
      </c>
    </row>
    <row r="574" spans="1:6" s="1225" customFormat="1" ht="17.25" customHeight="1">
      <c r="A574" s="1225">
        <v>20</v>
      </c>
      <c r="B574" s="1225" t="s">
        <v>1772</v>
      </c>
      <c r="C574" s="1225" t="s">
        <v>1773</v>
      </c>
      <c r="D574" s="1225">
        <v>46.1</v>
      </c>
      <c r="E574" s="1225" t="s">
        <v>1772</v>
      </c>
      <c r="F574" s="1225">
        <v>922</v>
      </c>
    </row>
    <row r="575" spans="1:6" s="1225" customFormat="1" ht="17.25" customHeight="1">
      <c r="A575" s="1225">
        <v>42</v>
      </c>
      <c r="B575" s="1225" t="s">
        <v>1774</v>
      </c>
      <c r="C575" s="1225" t="s">
        <v>4421</v>
      </c>
      <c r="D575" s="1225">
        <v>17.5</v>
      </c>
      <c r="E575" s="1225" t="s">
        <v>1774</v>
      </c>
      <c r="F575" s="1225">
        <v>735</v>
      </c>
    </row>
    <row r="576" spans="1:6" s="1225" customFormat="1" ht="17.25" customHeight="1">
      <c r="A576" s="1225">
        <v>4.32</v>
      </c>
      <c r="B576" s="1225" t="s">
        <v>132</v>
      </c>
      <c r="C576" s="1225" t="s">
        <v>1776</v>
      </c>
      <c r="D576" s="1225">
        <v>40.65</v>
      </c>
      <c r="E576" s="1225" t="s">
        <v>132</v>
      </c>
      <c r="F576" s="1225">
        <v>175.61</v>
      </c>
    </row>
    <row r="577" spans="1:6" s="1225" customFormat="1" ht="17.25" customHeight="1">
      <c r="A577" s="1225" t="s">
        <v>1777</v>
      </c>
      <c r="C577" s="1225" t="s">
        <v>1778</v>
      </c>
      <c r="F577" s="1225">
        <v>2000</v>
      </c>
    </row>
    <row r="578" spans="1:6" s="1225" customFormat="1" ht="17.25" customHeight="1">
      <c r="F578" s="1225" t="s">
        <v>52</v>
      </c>
    </row>
    <row r="579" spans="1:6" s="1225" customFormat="1" ht="17.25" customHeight="1">
      <c r="C579" s="1225" t="s">
        <v>1779</v>
      </c>
      <c r="F579" s="1225">
        <v>7344.67</v>
      </c>
    </row>
    <row r="580" spans="1:6" s="1225" customFormat="1" ht="17.25" customHeight="1">
      <c r="F580" s="1225" t="s">
        <v>52</v>
      </c>
    </row>
    <row r="581" spans="1:6" s="1225" customFormat="1" ht="17.25" customHeight="1">
      <c r="C581" s="1225" t="s">
        <v>1780</v>
      </c>
      <c r="F581" s="1225">
        <v>367.23</v>
      </c>
    </row>
    <row r="582" spans="1:6" s="1225" customFormat="1" ht="17.25" customHeight="1"/>
    <row r="583" spans="1:6" s="1225" customFormat="1" ht="17.25" customHeight="1"/>
    <row r="584" spans="1:6" s="1225" customFormat="1" ht="17.25" customHeight="1">
      <c r="A584" s="1225" t="s">
        <v>1781</v>
      </c>
      <c r="C584" s="1225" t="s">
        <v>1782</v>
      </c>
    </row>
    <row r="585" spans="1:6" s="1225" customFormat="1" ht="17.25" customHeight="1">
      <c r="C585" s="1225" t="s">
        <v>52</v>
      </c>
    </row>
    <row r="586" spans="1:6" s="1225" customFormat="1" ht="17.25" customHeight="1">
      <c r="A586" s="1225">
        <v>0.1</v>
      </c>
      <c r="B586" s="1225" t="s">
        <v>132</v>
      </c>
      <c r="C586" s="1225" t="s">
        <v>1767</v>
      </c>
      <c r="D586" s="1225">
        <v>233.76</v>
      </c>
      <c r="E586" s="1225" t="s">
        <v>132</v>
      </c>
      <c r="F586" s="1225">
        <v>23.38</v>
      </c>
    </row>
    <row r="587" spans="1:6" s="1225" customFormat="1" ht="17.25" customHeight="1">
      <c r="A587" s="1225">
        <v>6.3</v>
      </c>
      <c r="B587" s="1225" t="s">
        <v>1774</v>
      </c>
      <c r="C587" s="1225" t="s">
        <v>4422</v>
      </c>
      <c r="D587" s="1225">
        <v>34.6</v>
      </c>
      <c r="E587" s="1225" t="s">
        <v>1774</v>
      </c>
      <c r="F587" s="1225">
        <v>217.98</v>
      </c>
    </row>
    <row r="588" spans="1:6" s="1225" customFormat="1" ht="17.25" customHeight="1">
      <c r="A588" s="1225">
        <v>6.3</v>
      </c>
      <c r="B588" s="1225" t="s">
        <v>1774</v>
      </c>
      <c r="C588" s="1225" t="s">
        <v>4423</v>
      </c>
      <c r="D588" s="1225">
        <v>17.5</v>
      </c>
      <c r="E588" s="1225" t="s">
        <v>1774</v>
      </c>
      <c r="F588" s="1225">
        <v>110.25</v>
      </c>
    </row>
    <row r="589" spans="1:6" s="1225" customFormat="1" ht="17.25" customHeight="1">
      <c r="A589" s="1225">
        <v>3.15</v>
      </c>
      <c r="B589" s="1225" t="s">
        <v>468</v>
      </c>
      <c r="C589" s="1225" t="s">
        <v>1784</v>
      </c>
      <c r="D589" s="1225">
        <v>40.65</v>
      </c>
      <c r="E589" s="1225" t="s">
        <v>468</v>
      </c>
      <c r="F589" s="1225">
        <v>128.05000000000001</v>
      </c>
    </row>
    <row r="590" spans="1:6" s="1225" customFormat="1" ht="17.25" customHeight="1">
      <c r="A590" s="1225">
        <v>0.25</v>
      </c>
      <c r="B590" s="1225" t="s">
        <v>1724</v>
      </c>
      <c r="C590" s="1225" t="s">
        <v>1785</v>
      </c>
      <c r="D590" s="1225">
        <v>972.4</v>
      </c>
      <c r="E590" s="1225" t="s">
        <v>1724</v>
      </c>
      <c r="F590" s="1225">
        <v>243.1</v>
      </c>
    </row>
    <row r="591" spans="1:6" s="1225" customFormat="1" ht="17.25" customHeight="1">
      <c r="A591" s="1225">
        <v>0.2</v>
      </c>
      <c r="B591" s="1225" t="s">
        <v>1724</v>
      </c>
      <c r="C591" s="1225" t="s">
        <v>1786</v>
      </c>
      <c r="D591" s="1225">
        <v>903.1</v>
      </c>
      <c r="E591" s="1225" t="s">
        <v>1724</v>
      </c>
      <c r="F591" s="1225">
        <v>180.62</v>
      </c>
    </row>
    <row r="592" spans="1:6" s="1225" customFormat="1" ht="17.25" customHeight="1">
      <c r="C592" s="1225" t="s">
        <v>1787</v>
      </c>
      <c r="D592" s="1225" t="s">
        <v>85</v>
      </c>
      <c r="E592" s="1225" t="s">
        <v>85</v>
      </c>
      <c r="F592" s="1225">
        <v>0</v>
      </c>
    </row>
    <row r="593" spans="1:6" s="1225" customFormat="1" ht="17.25" customHeight="1">
      <c r="E593" s="1225" t="s">
        <v>85</v>
      </c>
      <c r="F593" s="1225" t="s">
        <v>52</v>
      </c>
    </row>
    <row r="594" spans="1:6" s="1225" customFormat="1" ht="17.25" customHeight="1">
      <c r="A594" s="1225" t="s">
        <v>85</v>
      </c>
      <c r="B594" s="1225" t="s">
        <v>85</v>
      </c>
      <c r="C594" s="1225" t="s">
        <v>1780</v>
      </c>
      <c r="F594" s="1225">
        <v>903.38</v>
      </c>
    </row>
    <row r="595" spans="1:6" s="1225" customFormat="1" ht="17.25" customHeight="1"/>
    <row r="596" spans="1:6" s="1225" customFormat="1" ht="17.25" customHeight="1">
      <c r="A596" s="1225" t="s">
        <v>1788</v>
      </c>
      <c r="C596" s="1225" t="s">
        <v>1789</v>
      </c>
    </row>
    <row r="597" spans="1:6" s="1225" customFormat="1" ht="17.25" customHeight="1">
      <c r="C597" s="1225" t="s">
        <v>52</v>
      </c>
    </row>
    <row r="598" spans="1:6" s="1225" customFormat="1" ht="17.25" customHeight="1">
      <c r="A598" s="1225">
        <v>0.48599999999999999</v>
      </c>
      <c r="B598" s="1225" t="s">
        <v>34</v>
      </c>
      <c r="C598" s="1225" t="s">
        <v>1767</v>
      </c>
      <c r="D598" s="1225">
        <v>116.88</v>
      </c>
      <c r="E598" s="1225" t="s">
        <v>34</v>
      </c>
      <c r="F598" s="1225">
        <v>56.8</v>
      </c>
    </row>
    <row r="599" spans="1:6" s="1225" customFormat="1" ht="17.25" customHeight="1">
      <c r="A599" s="1225">
        <v>0.48599999999999999</v>
      </c>
      <c r="B599" s="1225" t="s">
        <v>34</v>
      </c>
      <c r="C599" s="1225" t="s">
        <v>1790</v>
      </c>
      <c r="D599" s="1225">
        <v>4926.24</v>
      </c>
      <c r="E599" s="1225" t="s">
        <v>34</v>
      </c>
      <c r="F599" s="1225">
        <v>2394.15</v>
      </c>
    </row>
    <row r="600" spans="1:6" s="1225" customFormat="1" ht="17.25" customHeight="1">
      <c r="A600" s="1225">
        <v>81.75</v>
      </c>
      <c r="B600" s="1225" t="s">
        <v>1791</v>
      </c>
      <c r="C600" s="1225" t="s">
        <v>1792</v>
      </c>
      <c r="D600" s="1225">
        <v>53</v>
      </c>
      <c r="E600" s="1225" t="s">
        <v>1791</v>
      </c>
      <c r="F600" s="1225">
        <v>4332.75</v>
      </c>
    </row>
    <row r="601" spans="1:6" s="1225" customFormat="1" ht="17.25" customHeight="1">
      <c r="A601" s="1225">
        <v>7.2</v>
      </c>
      <c r="B601" s="1225" t="s">
        <v>1791</v>
      </c>
      <c r="C601" s="1225" t="s">
        <v>1793</v>
      </c>
      <c r="D601" s="1225">
        <v>53</v>
      </c>
      <c r="E601" s="1225" t="s">
        <v>1791</v>
      </c>
      <c r="F601" s="1225">
        <v>381.6</v>
      </c>
    </row>
    <row r="602" spans="1:6" s="1225" customFormat="1" ht="17.25" customHeight="1">
      <c r="A602" s="1225">
        <v>43.68</v>
      </c>
      <c r="B602" s="1225" t="s">
        <v>1791</v>
      </c>
      <c r="C602" s="1225" t="s">
        <v>1794</v>
      </c>
      <c r="D602" s="1225">
        <v>53</v>
      </c>
      <c r="E602" s="1225" t="s">
        <v>1791</v>
      </c>
      <c r="F602" s="1225">
        <v>2315.04</v>
      </c>
    </row>
    <row r="603" spans="1:6" s="1225" customFormat="1" ht="17.25" customHeight="1">
      <c r="A603" s="1225">
        <v>132.63</v>
      </c>
      <c r="B603" s="1225" t="s">
        <v>1791</v>
      </c>
      <c r="C603" s="1225" t="s">
        <v>1795</v>
      </c>
      <c r="D603" s="1225">
        <v>57.75</v>
      </c>
      <c r="E603" s="1225" t="s">
        <v>1791</v>
      </c>
      <c r="F603" s="1225">
        <v>7659.38</v>
      </c>
    </row>
    <row r="604" spans="1:6" s="1225" customFormat="1" ht="17.25" customHeight="1">
      <c r="A604" s="1225">
        <v>2.2000000000000002</v>
      </c>
      <c r="B604" s="1225" t="s">
        <v>468</v>
      </c>
      <c r="C604" s="1225" t="s">
        <v>6424</v>
      </c>
      <c r="D604" s="1225">
        <v>970</v>
      </c>
      <c r="E604" s="1225" t="s">
        <v>468</v>
      </c>
      <c r="F604" s="1225">
        <v>2134</v>
      </c>
    </row>
    <row r="605" spans="1:6" s="1225" customFormat="1" ht="17.25" customHeight="1">
      <c r="A605" s="1225" t="s">
        <v>49</v>
      </c>
      <c r="C605" s="1225" t="s">
        <v>1797</v>
      </c>
      <c r="D605" s="1225" t="s">
        <v>49</v>
      </c>
      <c r="F605" s="1225">
        <v>250</v>
      </c>
    </row>
    <row r="606" spans="1:6" s="1225" customFormat="1" ht="17.25" customHeight="1">
      <c r="A606" s="1225" t="s">
        <v>49</v>
      </c>
      <c r="C606" s="1225" t="s">
        <v>1798</v>
      </c>
      <c r="D606" s="1225" t="s">
        <v>49</v>
      </c>
      <c r="F606" s="1225">
        <v>20.47</v>
      </c>
    </row>
    <row r="607" spans="1:6" s="1225" customFormat="1" ht="17.25" customHeight="1">
      <c r="F607" s="1225" t="s">
        <v>52</v>
      </c>
    </row>
    <row r="608" spans="1:6" s="1225" customFormat="1" ht="17.25" customHeight="1">
      <c r="F608" s="1225">
        <v>19544.189999999999</v>
      </c>
    </row>
    <row r="609" spans="1:6" s="1225" customFormat="1" ht="17.25" customHeight="1"/>
    <row r="610" spans="1:6" s="1225" customFormat="1" ht="17.25" customHeight="1">
      <c r="A610" s="1225">
        <v>52</v>
      </c>
      <c r="B610" s="1225" t="s">
        <v>111</v>
      </c>
      <c r="C610" s="1225" t="s">
        <v>1810</v>
      </c>
    </row>
    <row r="611" spans="1:6" s="1225" customFormat="1" ht="17.25" customHeight="1">
      <c r="C611" s="1225" t="s">
        <v>1811</v>
      </c>
    </row>
    <row r="612" spans="1:6" s="1225" customFormat="1" ht="17.25" customHeight="1">
      <c r="C612" s="1225" t="s">
        <v>1812</v>
      </c>
    </row>
    <row r="613" spans="1:6" s="1225" customFormat="1" ht="17.25" customHeight="1">
      <c r="C613" s="1225" t="s">
        <v>1813</v>
      </c>
    </row>
    <row r="614" spans="1:6" s="1225" customFormat="1" ht="17.25" customHeight="1">
      <c r="C614" s="1225" t="s">
        <v>1814</v>
      </c>
    </row>
    <row r="615" spans="1:6" s="1225" customFormat="1" ht="17.25" customHeight="1">
      <c r="C615" s="1225" t="s">
        <v>1815</v>
      </c>
    </row>
    <row r="616" spans="1:6" s="1225" customFormat="1" ht="17.25" customHeight="1">
      <c r="C616" s="1225" t="s">
        <v>1816</v>
      </c>
    </row>
    <row r="617" spans="1:6" s="1225" customFormat="1" ht="17.25" customHeight="1">
      <c r="C617" s="1225" t="s">
        <v>1817</v>
      </c>
    </row>
    <row r="618" spans="1:6" s="1225" customFormat="1" ht="17.25" customHeight="1">
      <c r="C618" s="1225" t="s">
        <v>89</v>
      </c>
      <c r="D618" s="1225" t="s">
        <v>89</v>
      </c>
    </row>
    <row r="619" spans="1:6" s="1225" customFormat="1" ht="17.25" customHeight="1">
      <c r="B619" s="1225" t="s">
        <v>111</v>
      </c>
      <c r="C619" s="1225" t="s">
        <v>1818</v>
      </c>
    </row>
    <row r="620" spans="1:6" s="1225" customFormat="1" ht="17.25" customHeight="1">
      <c r="C620" s="1225" t="s">
        <v>1819</v>
      </c>
    </row>
    <row r="621" spans="1:6" s="1225" customFormat="1" ht="17.25" customHeight="1">
      <c r="B621" s="1225" t="s">
        <v>1018</v>
      </c>
      <c r="C621" s="1225" t="s">
        <v>1820</v>
      </c>
    </row>
    <row r="622" spans="1:6" s="1225" customFormat="1" ht="17.25" customHeight="1">
      <c r="C622" s="1225" t="s">
        <v>52</v>
      </c>
    </row>
    <row r="623" spans="1:6" s="1225" customFormat="1" ht="17.25" customHeight="1">
      <c r="A623" s="1225">
        <v>1</v>
      </c>
      <c r="B623" s="1225" t="s">
        <v>13</v>
      </c>
      <c r="C623" s="1225" t="s">
        <v>1821</v>
      </c>
      <c r="D623" s="1225">
        <v>26</v>
      </c>
      <c r="E623" s="1225" t="s">
        <v>13</v>
      </c>
      <c r="F623" s="1225">
        <v>26</v>
      </c>
    </row>
    <row r="624" spans="1:6" s="1225" customFormat="1" ht="17.25" customHeight="1">
      <c r="A624" s="1225">
        <v>1</v>
      </c>
      <c r="B624" s="1225" t="s">
        <v>145</v>
      </c>
      <c r="C624" s="1225" t="s">
        <v>1822</v>
      </c>
      <c r="D624" s="1225">
        <v>18.2</v>
      </c>
      <c r="E624" s="1225" t="s">
        <v>145</v>
      </c>
      <c r="F624" s="1225">
        <v>18.2</v>
      </c>
    </row>
    <row r="625" spans="1:6" s="1225" customFormat="1" ht="17.25" customHeight="1">
      <c r="A625" s="1225">
        <v>1</v>
      </c>
      <c r="B625" s="1225" t="s">
        <v>13</v>
      </c>
      <c r="C625" s="1225" t="s">
        <v>1823</v>
      </c>
      <c r="D625" s="1225">
        <v>191.75</v>
      </c>
      <c r="E625" s="1225" t="s">
        <v>13</v>
      </c>
      <c r="F625" s="1225">
        <v>191.75</v>
      </c>
    </row>
    <row r="626" spans="1:6" s="1225" customFormat="1" ht="17.25" customHeight="1">
      <c r="D626" s="1225" t="s">
        <v>85</v>
      </c>
      <c r="F626" s="1225" t="s">
        <v>52</v>
      </c>
    </row>
    <row r="627" spans="1:6" s="1225" customFormat="1" ht="17.25" customHeight="1">
      <c r="C627" s="1225" t="s">
        <v>1824</v>
      </c>
      <c r="F627" s="1225">
        <v>235.95</v>
      </c>
    </row>
    <row r="628" spans="1:6" s="1225" customFormat="1" ht="17.25" customHeight="1">
      <c r="C628" s="1225" t="s">
        <v>85</v>
      </c>
      <c r="D628" s="1225" t="s">
        <v>85</v>
      </c>
      <c r="F628" s="1225" t="s">
        <v>89</v>
      </c>
    </row>
    <row r="629" spans="1:6" s="1225" customFormat="1" ht="17.25" customHeight="1">
      <c r="B629" s="1225" t="s">
        <v>986</v>
      </c>
      <c r="C629" s="1225" t="s">
        <v>1825</v>
      </c>
    </row>
    <row r="630" spans="1:6" s="1225" customFormat="1" ht="17.25" customHeight="1">
      <c r="C630" s="1225" t="s">
        <v>52</v>
      </c>
    </row>
    <row r="631" spans="1:6" s="1225" customFormat="1" ht="17.25" customHeight="1">
      <c r="A631" s="1225">
        <v>1</v>
      </c>
      <c r="B631" s="1225" t="s">
        <v>13</v>
      </c>
      <c r="C631" s="1225" t="s">
        <v>1826</v>
      </c>
      <c r="D631" s="1225">
        <v>35</v>
      </c>
      <c r="E631" s="1225" t="s">
        <v>13</v>
      </c>
      <c r="F631" s="1225">
        <v>35</v>
      </c>
    </row>
    <row r="632" spans="1:6" s="1225" customFormat="1" ht="17.25" customHeight="1">
      <c r="A632" s="1225">
        <v>1</v>
      </c>
      <c r="B632" s="1225" t="s">
        <v>145</v>
      </c>
      <c r="C632" s="1225" t="s">
        <v>1827</v>
      </c>
      <c r="D632" s="1225">
        <v>14</v>
      </c>
      <c r="E632" s="1225" t="s">
        <v>145</v>
      </c>
      <c r="F632" s="1225">
        <v>14</v>
      </c>
    </row>
    <row r="633" spans="1:6" s="1225" customFormat="1" ht="17.25" customHeight="1">
      <c r="A633" s="1225">
        <v>1</v>
      </c>
      <c r="B633" s="1225" t="s">
        <v>13</v>
      </c>
      <c r="C633" s="1225" t="s">
        <v>1823</v>
      </c>
      <c r="D633" s="1225">
        <v>191.73</v>
      </c>
      <c r="E633" s="1225" t="s">
        <v>13</v>
      </c>
      <c r="F633" s="1225">
        <v>191.73</v>
      </c>
    </row>
    <row r="634" spans="1:6" s="1225" customFormat="1" ht="17.25" customHeight="1">
      <c r="D634" s="1225" t="s">
        <v>85</v>
      </c>
      <c r="F634" s="1225" t="s">
        <v>52</v>
      </c>
    </row>
    <row r="635" spans="1:6" s="1225" customFormat="1" ht="17.25" customHeight="1">
      <c r="C635" s="1225" t="s">
        <v>1824</v>
      </c>
      <c r="F635" s="1225">
        <v>240.73</v>
      </c>
    </row>
    <row r="636" spans="1:6" s="1225" customFormat="1" ht="17.25" customHeight="1">
      <c r="D636" s="1225" t="s">
        <v>85</v>
      </c>
      <c r="F636" s="1225" t="s">
        <v>89</v>
      </c>
    </row>
    <row r="637" spans="1:6" s="1225" customFormat="1" ht="17.25" customHeight="1">
      <c r="B637" s="1225" t="s">
        <v>956</v>
      </c>
      <c r="C637" s="1225" t="s">
        <v>1828</v>
      </c>
    </row>
    <row r="638" spans="1:6" s="1225" customFormat="1" ht="17.25" customHeight="1">
      <c r="C638" s="1225" t="s">
        <v>52</v>
      </c>
    </row>
    <row r="639" spans="1:6" s="1225" customFormat="1" ht="17.25" customHeight="1">
      <c r="A639" s="1225">
        <v>1</v>
      </c>
      <c r="B639" s="1225" t="s">
        <v>13</v>
      </c>
      <c r="C639" s="1225" t="s">
        <v>1829</v>
      </c>
      <c r="D639" s="1225">
        <v>52</v>
      </c>
      <c r="E639" s="1225" t="s">
        <v>13</v>
      </c>
      <c r="F639" s="1225">
        <v>52</v>
      </c>
    </row>
    <row r="640" spans="1:6" s="1225" customFormat="1" ht="17.25" customHeight="1">
      <c r="A640" s="1225">
        <v>1</v>
      </c>
      <c r="B640" s="1225" t="s">
        <v>145</v>
      </c>
      <c r="C640" s="1225" t="s">
        <v>1830</v>
      </c>
      <c r="D640" s="1225">
        <v>10.4</v>
      </c>
      <c r="E640" s="1225" t="s">
        <v>145</v>
      </c>
      <c r="F640" s="1225">
        <v>10.4</v>
      </c>
    </row>
    <row r="641" spans="1:6" s="1225" customFormat="1" ht="17.25" customHeight="1">
      <c r="A641" s="1225">
        <v>1</v>
      </c>
      <c r="B641" s="1225" t="s">
        <v>13</v>
      </c>
      <c r="C641" s="1225" t="s">
        <v>1823</v>
      </c>
      <c r="D641" s="1225">
        <v>195.94</v>
      </c>
      <c r="E641" s="1225" t="s">
        <v>13</v>
      </c>
      <c r="F641" s="1225">
        <v>195.94</v>
      </c>
    </row>
    <row r="642" spans="1:6" s="1225" customFormat="1" ht="17.25" customHeight="1">
      <c r="D642" s="1225" t="s">
        <v>85</v>
      </c>
      <c r="F642" s="1225" t="s">
        <v>52</v>
      </c>
    </row>
    <row r="643" spans="1:6" s="1225" customFormat="1" ht="17.25" customHeight="1">
      <c r="C643" s="1225" t="s">
        <v>1824</v>
      </c>
      <c r="F643" s="1225">
        <v>258.33999999999997</v>
      </c>
    </row>
    <row r="644" spans="1:6" s="1225" customFormat="1" ht="17.25" customHeight="1"/>
    <row r="645" spans="1:6" s="1225" customFormat="1" ht="17.25" customHeight="1">
      <c r="C645" s="1225" t="s">
        <v>1834</v>
      </c>
    </row>
    <row r="646" spans="1:6" s="1225" customFormat="1" ht="17.25" customHeight="1">
      <c r="C646" s="1225" t="s">
        <v>52</v>
      </c>
    </row>
    <row r="647" spans="1:6" s="1225" customFormat="1" ht="17.25" customHeight="1">
      <c r="A647" s="1225">
        <v>1</v>
      </c>
      <c r="B647" s="1225" t="s">
        <v>13</v>
      </c>
      <c r="C647" s="1225" t="s">
        <v>1835</v>
      </c>
      <c r="D647" s="1225">
        <v>98.6</v>
      </c>
      <c r="E647" s="1225" t="s">
        <v>13</v>
      </c>
      <c r="F647" s="1225">
        <v>98.6</v>
      </c>
    </row>
    <row r="648" spans="1:6" s="1225" customFormat="1" ht="17.25" customHeight="1">
      <c r="A648" s="1225">
        <v>1</v>
      </c>
      <c r="B648" s="1225" t="s">
        <v>145</v>
      </c>
      <c r="C648" s="1225" t="s">
        <v>1836</v>
      </c>
      <c r="D648" s="1225">
        <v>19.72</v>
      </c>
      <c r="E648" s="1225" t="s">
        <v>145</v>
      </c>
      <c r="F648" s="1225">
        <v>19.72</v>
      </c>
    </row>
    <row r="649" spans="1:6" s="1225" customFormat="1" ht="17.25" customHeight="1">
      <c r="A649" s="1225">
        <v>1</v>
      </c>
      <c r="B649" s="1225" t="s">
        <v>13</v>
      </c>
      <c r="C649" s="1225" t="s">
        <v>1823</v>
      </c>
      <c r="D649" s="1225">
        <v>198.73</v>
      </c>
      <c r="E649" s="1225" t="s">
        <v>13</v>
      </c>
      <c r="F649" s="1225">
        <v>198.73</v>
      </c>
    </row>
    <row r="650" spans="1:6" s="1225" customFormat="1" ht="17.25" customHeight="1">
      <c r="C650" s="1225" t="s">
        <v>1837</v>
      </c>
      <c r="E650" s="1225" t="s">
        <v>145</v>
      </c>
      <c r="F650" s="1225">
        <v>1.72</v>
      </c>
    </row>
    <row r="651" spans="1:6" s="1225" customFormat="1" ht="17.25" customHeight="1">
      <c r="F651" s="1225" t="s">
        <v>52</v>
      </c>
    </row>
    <row r="652" spans="1:6" s="1225" customFormat="1" ht="17.25" customHeight="1">
      <c r="C652" s="1225" t="s">
        <v>1824</v>
      </c>
      <c r="F652" s="1225">
        <v>318.77</v>
      </c>
    </row>
    <row r="653" spans="1:6" s="1225" customFormat="1" ht="17.25" customHeight="1"/>
    <row r="654" spans="1:6" s="1225" customFormat="1" ht="17.25" customHeight="1">
      <c r="A654" s="1225">
        <v>53.1</v>
      </c>
      <c r="B654" s="1225" t="s">
        <v>111</v>
      </c>
      <c r="C654" s="1225" t="s">
        <v>1838</v>
      </c>
    </row>
    <row r="655" spans="1:6" s="1225" customFormat="1" ht="17.25" customHeight="1">
      <c r="C655" s="1225" t="s">
        <v>7019</v>
      </c>
    </row>
    <row r="656" spans="1:6" s="1225" customFormat="1" ht="17.25" customHeight="1">
      <c r="C656" s="1225" t="s">
        <v>1840</v>
      </c>
    </row>
    <row r="657" spans="1:6" s="1225" customFormat="1" ht="17.25" customHeight="1">
      <c r="C657" s="1225" t="s">
        <v>1841</v>
      </c>
    </row>
    <row r="658" spans="1:6" s="1225" customFormat="1" ht="17.25" customHeight="1">
      <c r="C658" s="1225" t="s">
        <v>52</v>
      </c>
    </row>
    <row r="659" spans="1:6" s="1225" customFormat="1" ht="17.25" customHeight="1">
      <c r="A659" s="1225">
        <v>1</v>
      </c>
      <c r="B659" s="1225" t="s">
        <v>131</v>
      </c>
      <c r="C659" s="1225" t="s">
        <v>4441</v>
      </c>
      <c r="D659" s="1225">
        <v>1672</v>
      </c>
      <c r="E659" s="1225" t="s">
        <v>131</v>
      </c>
      <c r="F659" s="1225">
        <v>1672</v>
      </c>
    </row>
    <row r="660" spans="1:6" s="1225" customFormat="1" ht="17.25" customHeight="1"/>
    <row r="661" spans="1:6" s="1225" customFormat="1" ht="17.25" customHeight="1"/>
    <row r="662" spans="1:6" s="1225" customFormat="1" ht="17.25" customHeight="1">
      <c r="A662" s="1225">
        <v>1</v>
      </c>
      <c r="B662" s="1225" t="s">
        <v>131</v>
      </c>
      <c r="C662" s="1225" t="s">
        <v>7018</v>
      </c>
      <c r="D662" s="1225">
        <v>-168</v>
      </c>
      <c r="E662" s="1225" t="s">
        <v>131</v>
      </c>
      <c r="F662" s="1225">
        <v>-168</v>
      </c>
    </row>
    <row r="663" spans="1:6" s="1225" customFormat="1" ht="17.25" customHeight="1"/>
    <row r="664" spans="1:6" s="1225" customFormat="1" ht="17.25" customHeight="1">
      <c r="A664" s="1225">
        <v>1</v>
      </c>
      <c r="B664" s="1225" t="s">
        <v>131</v>
      </c>
      <c r="C664" s="1225" t="s">
        <v>4443</v>
      </c>
      <c r="D664" s="1225">
        <v>250</v>
      </c>
      <c r="E664" s="1225" t="s">
        <v>131</v>
      </c>
      <c r="F664" s="1225">
        <v>250</v>
      </c>
    </row>
    <row r="665" spans="1:6" s="1225" customFormat="1" ht="17.25" customHeight="1"/>
    <row r="666" spans="1:6" s="1225" customFormat="1" ht="17.25" customHeight="1">
      <c r="A666" s="1225">
        <v>0.5</v>
      </c>
      <c r="B666" s="1225" t="s">
        <v>131</v>
      </c>
      <c r="C666" s="1225" t="s">
        <v>1695</v>
      </c>
      <c r="D666" s="1225">
        <v>903.1</v>
      </c>
      <c r="E666" s="1225" t="s">
        <v>131</v>
      </c>
      <c r="F666" s="1225">
        <v>451.55</v>
      </c>
    </row>
    <row r="667" spans="1:6" s="1225" customFormat="1" ht="17.25" customHeight="1">
      <c r="A667" s="1225">
        <v>1</v>
      </c>
      <c r="B667" s="1225" t="s">
        <v>131</v>
      </c>
      <c r="C667" s="1225" t="s">
        <v>304</v>
      </c>
      <c r="D667" s="1225">
        <v>679.8</v>
      </c>
      <c r="E667" s="1225" t="s">
        <v>131</v>
      </c>
      <c r="F667" s="1225">
        <v>679.8</v>
      </c>
    </row>
    <row r="668" spans="1:6" s="1225" customFormat="1" ht="17.25" customHeight="1">
      <c r="A668" s="1225">
        <v>0.5</v>
      </c>
      <c r="B668" s="1225" t="s">
        <v>131</v>
      </c>
      <c r="C668" s="1225" t="s">
        <v>345</v>
      </c>
      <c r="D668" s="1225">
        <v>1041.7</v>
      </c>
      <c r="E668" s="1225" t="s">
        <v>131</v>
      </c>
      <c r="F668" s="1225">
        <v>520.85</v>
      </c>
    </row>
    <row r="669" spans="1:6" s="1225" customFormat="1" ht="17.25" customHeight="1">
      <c r="B669" s="1225" t="s">
        <v>145</v>
      </c>
      <c r="C669" s="1225" t="s">
        <v>1843</v>
      </c>
      <c r="E669" s="1225" t="s">
        <v>145</v>
      </c>
      <c r="F669" s="1225">
        <v>0.82</v>
      </c>
    </row>
    <row r="670" spans="1:6" s="1225" customFormat="1" ht="17.25" customHeight="1">
      <c r="F670" s="1225" t="s">
        <v>52</v>
      </c>
    </row>
    <row r="671" spans="1:6" s="1225" customFormat="1" ht="17.25" customHeight="1">
      <c r="C671" s="1225" t="s">
        <v>767</v>
      </c>
      <c r="F671" s="1225">
        <v>3407.02</v>
      </c>
    </row>
    <row r="672" spans="1:6" s="1225" customFormat="1" ht="17.25" customHeight="1"/>
    <row r="673" spans="1:6" s="1225" customFormat="1" ht="17.25" customHeight="1">
      <c r="A673" s="1225" t="s">
        <v>1847</v>
      </c>
      <c r="C673" s="1225" t="s">
        <v>4445</v>
      </c>
      <c r="E673" s="1225" t="s">
        <v>729</v>
      </c>
      <c r="F673" s="1225">
        <v>30</v>
      </c>
    </row>
    <row r="674" spans="1:6" s="1225" customFormat="1" ht="17.25" customHeight="1"/>
    <row r="675" spans="1:6" s="1225" customFormat="1" ht="17.25" customHeight="1">
      <c r="A675" s="1225" t="s">
        <v>1877</v>
      </c>
      <c r="B675" s="1225" t="s">
        <v>111</v>
      </c>
      <c r="C675" s="1225" t="s">
        <v>1878</v>
      </c>
    </row>
    <row r="676" spans="1:6" s="1225" customFormat="1" ht="17.25" customHeight="1">
      <c r="C676" s="1225" t="s">
        <v>1879</v>
      </c>
    </row>
    <row r="677" spans="1:6" s="1225" customFormat="1" ht="17.25" customHeight="1">
      <c r="C677" s="1225" t="s">
        <v>52</v>
      </c>
    </row>
    <row r="678" spans="1:6" s="1225" customFormat="1" ht="17.25" customHeight="1">
      <c r="B678" s="1225" t="s">
        <v>443</v>
      </c>
      <c r="C678" s="1225" t="s">
        <v>1880</v>
      </c>
    </row>
    <row r="679" spans="1:6" s="1225" customFormat="1" ht="17.25" customHeight="1">
      <c r="C679" s="1225" t="s">
        <v>6438</v>
      </c>
    </row>
    <row r="680" spans="1:6" s="1225" customFormat="1" ht="17.25" customHeight="1">
      <c r="C680" s="1225" t="s">
        <v>1882</v>
      </c>
    </row>
    <row r="681" spans="1:6" s="1225" customFormat="1" ht="17.25" customHeight="1">
      <c r="C681" s="1225" t="s">
        <v>1883</v>
      </c>
    </row>
    <row r="682" spans="1:6" s="1225" customFormat="1" ht="17.25" customHeight="1">
      <c r="C682" s="1225" t="s">
        <v>1884</v>
      </c>
    </row>
    <row r="683" spans="1:6" s="1225" customFormat="1" ht="17.25" customHeight="1">
      <c r="C683" s="1225" t="s">
        <v>1885</v>
      </c>
    </row>
    <row r="684" spans="1:6" s="1225" customFormat="1" ht="17.25" customHeight="1">
      <c r="C684" s="1225" t="s">
        <v>4455</v>
      </c>
    </row>
    <row r="685" spans="1:6" s="1225" customFormat="1" ht="17.25" customHeight="1">
      <c r="C685" s="1225" t="s">
        <v>52</v>
      </c>
    </row>
    <row r="686" spans="1:6" s="1225" customFormat="1" ht="17.25" customHeight="1">
      <c r="A686" s="1225">
        <v>3</v>
      </c>
      <c r="B686" s="1225" t="s">
        <v>282</v>
      </c>
      <c r="C686" s="1225" t="s">
        <v>1887</v>
      </c>
      <c r="D686" s="1225">
        <v>193.05</v>
      </c>
      <c r="E686" s="1225" t="s">
        <v>282</v>
      </c>
      <c r="F686" s="1225">
        <v>579.15</v>
      </c>
    </row>
    <row r="687" spans="1:6" s="1225" customFormat="1" ht="17.25" customHeight="1">
      <c r="A687" s="1225">
        <v>1</v>
      </c>
      <c r="B687" s="1225" t="s">
        <v>237</v>
      </c>
      <c r="C687" s="1225" t="s">
        <v>1888</v>
      </c>
      <c r="D687" s="1225">
        <v>76</v>
      </c>
      <c r="E687" s="1225" t="s">
        <v>972</v>
      </c>
      <c r="F687" s="1225">
        <v>76</v>
      </c>
    </row>
    <row r="688" spans="1:6" s="1225" customFormat="1" ht="17.25" customHeight="1">
      <c r="A688" s="1225">
        <v>1</v>
      </c>
      <c r="B688" s="1225" t="s">
        <v>237</v>
      </c>
      <c r="C688" s="1225" t="s">
        <v>1889</v>
      </c>
      <c r="D688" s="1225">
        <v>82.3</v>
      </c>
      <c r="E688" s="1225" t="s">
        <v>972</v>
      </c>
      <c r="F688" s="1225">
        <v>82.3</v>
      </c>
    </row>
    <row r="689" spans="1:6" s="1225" customFormat="1" ht="17.25" customHeight="1">
      <c r="A689" s="1225">
        <v>1</v>
      </c>
      <c r="B689" s="1225" t="s">
        <v>237</v>
      </c>
      <c r="C689" s="1225" t="s">
        <v>4460</v>
      </c>
      <c r="D689" s="1225">
        <v>187.8</v>
      </c>
      <c r="E689" s="1225" t="s">
        <v>972</v>
      </c>
      <c r="F689" s="1225">
        <v>187.8</v>
      </c>
    </row>
    <row r="690" spans="1:6" s="1225" customFormat="1" ht="17.25" customHeight="1">
      <c r="A690" s="1225">
        <v>0.5</v>
      </c>
      <c r="B690" s="1225" t="s">
        <v>131</v>
      </c>
      <c r="C690" s="1225" t="s">
        <v>1695</v>
      </c>
      <c r="D690" s="1225">
        <v>903.1</v>
      </c>
      <c r="E690" s="1225" t="s">
        <v>972</v>
      </c>
      <c r="F690" s="1225">
        <v>451.55</v>
      </c>
    </row>
    <row r="691" spans="1:6" s="1225" customFormat="1" ht="17.25" customHeight="1">
      <c r="A691" s="1225">
        <v>0.5</v>
      </c>
      <c r="B691" s="1225" t="s">
        <v>131</v>
      </c>
      <c r="C691" s="1225" t="s">
        <v>302</v>
      </c>
      <c r="D691" s="1225">
        <v>972.4</v>
      </c>
      <c r="E691" s="1225" t="s">
        <v>972</v>
      </c>
      <c r="F691" s="1225">
        <v>486.2</v>
      </c>
    </row>
    <row r="692" spans="1:6" s="1225" customFormat="1" ht="17.25" customHeight="1">
      <c r="A692" s="1225">
        <v>0.5</v>
      </c>
      <c r="B692" s="1225" t="s">
        <v>131</v>
      </c>
      <c r="C692" s="1225" t="s">
        <v>304</v>
      </c>
      <c r="D692" s="1225">
        <v>679.8</v>
      </c>
      <c r="E692" s="1225" t="s">
        <v>972</v>
      </c>
      <c r="F692" s="1225">
        <v>339.9</v>
      </c>
    </row>
    <row r="693" spans="1:6" s="1225" customFormat="1" ht="17.25" customHeight="1">
      <c r="B693" s="1225" t="s">
        <v>145</v>
      </c>
      <c r="C693" s="1225" t="s">
        <v>1891</v>
      </c>
      <c r="D693" s="1225">
        <v>2.79</v>
      </c>
      <c r="E693" s="1225" t="s">
        <v>145</v>
      </c>
      <c r="F693" s="1225">
        <v>2.79</v>
      </c>
    </row>
    <row r="694" spans="1:6" s="1225" customFormat="1" ht="17.25" customHeight="1">
      <c r="C694" s="1225" t="s">
        <v>1892</v>
      </c>
    </row>
    <row r="695" spans="1:6" s="1225" customFormat="1" ht="17.25" customHeight="1">
      <c r="C695" s="1225" t="s">
        <v>1893</v>
      </c>
    </row>
    <row r="696" spans="1:6" s="1225" customFormat="1" ht="17.25" customHeight="1">
      <c r="C696" s="1225" t="s">
        <v>1894</v>
      </c>
      <c r="E696" s="1225" t="s">
        <v>145</v>
      </c>
      <c r="F696" s="1225">
        <v>0.12</v>
      </c>
    </row>
    <row r="697" spans="1:6" s="1225" customFormat="1" ht="17.25" customHeight="1">
      <c r="F697" s="1225" t="s">
        <v>52</v>
      </c>
    </row>
    <row r="698" spans="1:6" s="1225" customFormat="1" ht="17.25" customHeight="1">
      <c r="C698" s="1225" t="s">
        <v>1698</v>
      </c>
      <c r="F698" s="1225">
        <v>2205.81</v>
      </c>
    </row>
    <row r="699" spans="1:6" s="1225" customFormat="1" ht="17.25" customHeight="1">
      <c r="F699" s="1225" t="s">
        <v>52</v>
      </c>
    </row>
    <row r="700" spans="1:6" s="1225" customFormat="1" ht="17.25" customHeight="1">
      <c r="C700" s="1225" t="s">
        <v>632</v>
      </c>
      <c r="F700" s="1225">
        <v>735.27</v>
      </c>
    </row>
    <row r="701" spans="1:6" s="1225" customFormat="1" ht="17.25" customHeight="1">
      <c r="F701" s="1225" t="s">
        <v>52</v>
      </c>
    </row>
    <row r="702" spans="1:6" s="1225" customFormat="1" ht="17.25" customHeight="1">
      <c r="A702" s="1225" t="s">
        <v>1895</v>
      </c>
      <c r="B702" s="1225" t="s">
        <v>1896</v>
      </c>
      <c r="C702" s="1225" t="s">
        <v>1897</v>
      </c>
    </row>
    <row r="703" spans="1:6" s="1225" customFormat="1" ht="17.25" customHeight="1">
      <c r="C703" s="1225" t="s">
        <v>6439</v>
      </c>
    </row>
    <row r="704" spans="1:6" s="1225" customFormat="1" ht="17.25" customHeight="1">
      <c r="C704" s="1225" t="s">
        <v>1882</v>
      </c>
    </row>
    <row r="705" spans="1:6" s="1225" customFormat="1" ht="17.25" customHeight="1">
      <c r="C705" s="1225" t="s">
        <v>1899</v>
      </c>
    </row>
    <row r="706" spans="1:6" s="1225" customFormat="1" ht="17.25" customHeight="1">
      <c r="C706" s="1225" t="s">
        <v>1900</v>
      </c>
    </row>
    <row r="707" spans="1:6" s="1225" customFormat="1" ht="17.25" customHeight="1">
      <c r="C707" s="1225" t="s">
        <v>1885</v>
      </c>
    </row>
    <row r="708" spans="1:6" s="1225" customFormat="1" ht="17.25" customHeight="1">
      <c r="C708" s="1225" t="s">
        <v>4455</v>
      </c>
    </row>
    <row r="709" spans="1:6" s="1225" customFormat="1" ht="17.25" customHeight="1">
      <c r="C709" s="1225" t="s">
        <v>52</v>
      </c>
    </row>
    <row r="710" spans="1:6" s="1225" customFormat="1" ht="17.25" customHeight="1">
      <c r="A710" s="1225">
        <v>3</v>
      </c>
      <c r="B710" s="1225" t="s">
        <v>282</v>
      </c>
      <c r="C710" s="1225" t="s">
        <v>1901</v>
      </c>
      <c r="D710" s="1225">
        <v>115.85</v>
      </c>
      <c r="E710" s="1225" t="s">
        <v>282</v>
      </c>
      <c r="F710" s="1225">
        <v>347.55</v>
      </c>
    </row>
    <row r="711" spans="1:6" s="1225" customFormat="1" ht="17.25" customHeight="1">
      <c r="A711" s="1225">
        <v>1</v>
      </c>
      <c r="B711" s="1225" t="s">
        <v>237</v>
      </c>
      <c r="C711" s="1225" t="s">
        <v>1902</v>
      </c>
      <c r="D711" s="1225">
        <v>45</v>
      </c>
      <c r="E711" s="1225" t="s">
        <v>972</v>
      </c>
      <c r="F711" s="1225">
        <v>45</v>
      </c>
    </row>
    <row r="712" spans="1:6" s="1225" customFormat="1" ht="17.25" customHeight="1">
      <c r="A712" s="1225">
        <v>1</v>
      </c>
      <c r="B712" s="1225" t="s">
        <v>237</v>
      </c>
      <c r="C712" s="1225" t="s">
        <v>1903</v>
      </c>
      <c r="D712" s="1225">
        <v>55.5</v>
      </c>
      <c r="E712" s="1225" t="s">
        <v>972</v>
      </c>
      <c r="F712" s="1225">
        <v>55.5</v>
      </c>
    </row>
    <row r="713" spans="1:6" s="1225" customFormat="1" ht="17.25" customHeight="1">
      <c r="A713" s="1225">
        <v>1</v>
      </c>
      <c r="B713" s="1225" t="s">
        <v>237</v>
      </c>
      <c r="C713" s="1225" t="s">
        <v>1904</v>
      </c>
      <c r="D713" s="1225">
        <v>125.2</v>
      </c>
      <c r="E713" s="1225" t="s">
        <v>972</v>
      </c>
      <c r="F713" s="1225">
        <v>125.2</v>
      </c>
    </row>
    <row r="714" spans="1:6" s="1225" customFormat="1" ht="17.25" customHeight="1">
      <c r="A714" s="1225">
        <v>0.5</v>
      </c>
      <c r="B714" s="1225" t="s">
        <v>131</v>
      </c>
      <c r="C714" s="1225" t="s">
        <v>1695</v>
      </c>
      <c r="D714" s="1225">
        <v>903.1</v>
      </c>
      <c r="E714" s="1225" t="s">
        <v>972</v>
      </c>
      <c r="F714" s="1225">
        <v>451.55</v>
      </c>
    </row>
    <row r="715" spans="1:6" s="1225" customFormat="1" ht="17.25" customHeight="1">
      <c r="A715" s="1225">
        <v>0.5</v>
      </c>
      <c r="B715" s="1225" t="s">
        <v>131</v>
      </c>
      <c r="C715" s="1225" t="s">
        <v>302</v>
      </c>
      <c r="D715" s="1225">
        <v>972.4</v>
      </c>
      <c r="E715" s="1225" t="s">
        <v>972</v>
      </c>
      <c r="F715" s="1225">
        <v>486.2</v>
      </c>
    </row>
    <row r="716" spans="1:6" s="1225" customFormat="1" ht="17.25" customHeight="1">
      <c r="A716" s="1225">
        <v>0.5</v>
      </c>
      <c r="B716" s="1225" t="s">
        <v>131</v>
      </c>
      <c r="C716" s="1225" t="s">
        <v>304</v>
      </c>
      <c r="D716" s="1225">
        <v>679.8</v>
      </c>
      <c r="E716" s="1225" t="s">
        <v>972</v>
      </c>
      <c r="F716" s="1225">
        <v>339.9</v>
      </c>
    </row>
    <row r="717" spans="1:6" s="1225" customFormat="1" ht="17.25" customHeight="1">
      <c r="B717" s="1225" t="s">
        <v>145</v>
      </c>
      <c r="C717" s="1225" t="s">
        <v>1891</v>
      </c>
      <c r="D717" s="1225" t="s">
        <v>85</v>
      </c>
      <c r="E717" s="1225" t="s">
        <v>145</v>
      </c>
      <c r="F717" s="1225">
        <v>2.73</v>
      </c>
    </row>
    <row r="718" spans="1:6" s="1225" customFormat="1" ht="17.25" customHeight="1">
      <c r="C718" s="1225" t="s">
        <v>1892</v>
      </c>
    </row>
    <row r="719" spans="1:6" s="1225" customFormat="1" ht="17.25" customHeight="1">
      <c r="C719" s="1225" t="s">
        <v>1893</v>
      </c>
    </row>
    <row r="720" spans="1:6" s="1225" customFormat="1" ht="17.25" customHeight="1">
      <c r="C720" s="1225" t="s">
        <v>1894</v>
      </c>
      <c r="E720" s="1225" t="s">
        <v>145</v>
      </c>
      <c r="F720" s="1225">
        <v>0.27</v>
      </c>
    </row>
    <row r="721" spans="1:6" s="1225" customFormat="1" ht="17.25" customHeight="1">
      <c r="F721" s="1225" t="s">
        <v>52</v>
      </c>
    </row>
    <row r="722" spans="1:6" s="1225" customFormat="1" ht="17.25" customHeight="1">
      <c r="C722" s="1225" t="s">
        <v>1698</v>
      </c>
      <c r="F722" s="1225">
        <v>1853.9</v>
      </c>
    </row>
    <row r="723" spans="1:6" s="1225" customFormat="1" ht="17.25" customHeight="1">
      <c r="F723" s="1225" t="s">
        <v>52</v>
      </c>
    </row>
    <row r="724" spans="1:6" s="1225" customFormat="1" ht="17.25" customHeight="1">
      <c r="C724" s="1225" t="s">
        <v>632</v>
      </c>
      <c r="F724" s="1225">
        <v>617.97</v>
      </c>
    </row>
    <row r="725" spans="1:6" s="1225" customFormat="1" ht="17.25" customHeight="1"/>
    <row r="726" spans="1:6" s="1225" customFormat="1" ht="17.25" customHeight="1">
      <c r="A726" s="1225" t="s">
        <v>1914</v>
      </c>
      <c r="B726" s="1225" t="s">
        <v>111</v>
      </c>
      <c r="C726" s="1225" t="s">
        <v>1915</v>
      </c>
    </row>
    <row r="727" spans="1:6" s="1225" customFormat="1" ht="17.25" customHeight="1">
      <c r="C727" s="1225" t="s">
        <v>1916</v>
      </c>
    </row>
    <row r="728" spans="1:6" s="1225" customFormat="1" ht="17.25" customHeight="1">
      <c r="C728" s="1225" t="s">
        <v>52</v>
      </c>
    </row>
    <row r="729" spans="1:6" s="1225" customFormat="1" ht="17.25" customHeight="1">
      <c r="A729" s="1225">
        <v>1</v>
      </c>
      <c r="B729" s="1225" t="s">
        <v>131</v>
      </c>
      <c r="C729" s="1225" t="s">
        <v>1916</v>
      </c>
      <c r="D729" s="1225">
        <v>170.35</v>
      </c>
      <c r="E729" s="1225" t="s">
        <v>131</v>
      </c>
      <c r="F729" s="1225">
        <v>170.35</v>
      </c>
    </row>
    <row r="730" spans="1:6" s="1225" customFormat="1" ht="17.25" customHeight="1">
      <c r="A730" s="1225">
        <v>0.05</v>
      </c>
      <c r="B730" s="1225" t="s">
        <v>132</v>
      </c>
      <c r="C730" s="1225" t="s">
        <v>1917</v>
      </c>
      <c r="D730" s="1225">
        <v>4185.1899999999996</v>
      </c>
      <c r="E730" s="1225" t="s">
        <v>132</v>
      </c>
      <c r="F730" s="1225">
        <v>209.26</v>
      </c>
    </row>
    <row r="731" spans="1:6" s="1225" customFormat="1" ht="17.25" customHeight="1">
      <c r="A731" s="1225">
        <v>0.5</v>
      </c>
      <c r="B731" s="1225" t="s">
        <v>131</v>
      </c>
      <c r="C731" s="1225" t="s">
        <v>1695</v>
      </c>
      <c r="D731" s="1225">
        <v>903.1</v>
      </c>
      <c r="E731" s="1225" t="s">
        <v>131</v>
      </c>
      <c r="F731" s="1225">
        <v>451.55</v>
      </c>
    </row>
    <row r="732" spans="1:6" s="1225" customFormat="1" ht="17.25" customHeight="1">
      <c r="A732" s="1225">
        <v>1</v>
      </c>
      <c r="B732" s="1225" t="s">
        <v>131</v>
      </c>
      <c r="C732" s="1225" t="s">
        <v>304</v>
      </c>
      <c r="D732" s="1225">
        <v>679.8</v>
      </c>
      <c r="E732" s="1225" t="s">
        <v>131</v>
      </c>
      <c r="F732" s="1225">
        <v>679.8</v>
      </c>
    </row>
    <row r="733" spans="1:6" s="1225" customFormat="1" ht="17.25" customHeight="1">
      <c r="A733" s="1225">
        <v>1</v>
      </c>
      <c r="B733" s="1225" t="s">
        <v>131</v>
      </c>
      <c r="C733" s="1225" t="s">
        <v>306</v>
      </c>
      <c r="D733" s="1225">
        <v>557.70000000000005</v>
      </c>
      <c r="E733" s="1225" t="s">
        <v>131</v>
      </c>
      <c r="F733" s="1225">
        <v>557.70000000000005</v>
      </c>
    </row>
    <row r="734" spans="1:6" s="1225" customFormat="1" ht="17.25" customHeight="1">
      <c r="B734" s="1225" t="s">
        <v>145</v>
      </c>
      <c r="C734" s="1225" t="s">
        <v>146</v>
      </c>
      <c r="D734" s="1225" t="s">
        <v>85</v>
      </c>
      <c r="E734" s="1225" t="s">
        <v>145</v>
      </c>
      <c r="F734" s="1225">
        <v>0.54</v>
      </c>
    </row>
    <row r="735" spans="1:6" s="1225" customFormat="1" ht="17.25" customHeight="1">
      <c r="C735" s="1225" t="s">
        <v>85</v>
      </c>
      <c r="F735" s="1225" t="s">
        <v>52</v>
      </c>
    </row>
    <row r="736" spans="1:6" s="1225" customFormat="1" ht="17.25" customHeight="1">
      <c r="C736" s="1225" t="s">
        <v>767</v>
      </c>
      <c r="F736" s="1225">
        <v>2069.1999999999998</v>
      </c>
    </row>
    <row r="737" spans="1:6" s="1225" customFormat="1" ht="17.25" customHeight="1"/>
    <row r="738" spans="1:6" s="1225" customFormat="1" ht="17.25" customHeight="1">
      <c r="A738" s="1225" t="s">
        <v>1918</v>
      </c>
      <c r="B738" s="1225" t="s">
        <v>111</v>
      </c>
      <c r="C738" s="1225" t="s">
        <v>1919</v>
      </c>
    </row>
    <row r="739" spans="1:6" s="1225" customFormat="1" ht="17.25" customHeight="1">
      <c r="C739" s="1225" t="s">
        <v>4485</v>
      </c>
    </row>
    <row r="740" spans="1:6" s="1225" customFormat="1" ht="17.25" customHeight="1">
      <c r="C740" s="1225" t="s">
        <v>52</v>
      </c>
    </row>
    <row r="741" spans="1:6" s="1225" customFormat="1" ht="17.25" customHeight="1">
      <c r="A741" s="1225">
        <v>1</v>
      </c>
      <c r="B741" s="1225" t="s">
        <v>131</v>
      </c>
      <c r="C741" s="1225" t="s">
        <v>1921</v>
      </c>
      <c r="D741" s="1225">
        <v>156</v>
      </c>
      <c r="E741" s="1225" t="s">
        <v>131</v>
      </c>
      <c r="F741" s="1225">
        <v>156</v>
      </c>
    </row>
    <row r="742" spans="1:6" s="1225" customFormat="1" ht="17.25" customHeight="1">
      <c r="B742" s="1225" t="s">
        <v>145</v>
      </c>
      <c r="C742" s="1225" t="s">
        <v>1922</v>
      </c>
      <c r="E742" s="1225" t="s">
        <v>145</v>
      </c>
      <c r="F742" s="1225">
        <v>4</v>
      </c>
    </row>
    <row r="743" spans="1:6" s="1225" customFormat="1" ht="17.25" customHeight="1">
      <c r="E743" s="1225" t="s">
        <v>85</v>
      </c>
      <c r="F743" s="1225" t="s">
        <v>52</v>
      </c>
    </row>
    <row r="744" spans="1:6" s="1225" customFormat="1" ht="17.25" customHeight="1">
      <c r="C744" s="1225" t="s">
        <v>767</v>
      </c>
      <c r="F744" s="1225">
        <v>160</v>
      </c>
    </row>
    <row r="745" spans="1:6" s="1225" customFormat="1" ht="17.25" customHeight="1"/>
    <row r="746" spans="1:6" s="1225" customFormat="1" ht="17.25" customHeight="1">
      <c r="A746" s="1225">
        <v>72</v>
      </c>
      <c r="C746" s="1225" t="s">
        <v>1995</v>
      </c>
      <c r="F746" s="1225">
        <v>33.9</v>
      </c>
    </row>
    <row r="747" spans="1:6" s="1225" customFormat="1" ht="17.25" customHeight="1"/>
    <row r="748" spans="1:6" s="1225" customFormat="1" ht="17.25" customHeight="1">
      <c r="C748" s="1225" t="s">
        <v>2501</v>
      </c>
    </row>
    <row r="749" spans="1:6" s="1225" customFormat="1" ht="17.25" customHeight="1"/>
    <row r="750" spans="1:6" s="1225" customFormat="1" ht="17.25" customHeight="1">
      <c r="C750" s="1225" t="s">
        <v>2502</v>
      </c>
    </row>
    <row r="751" spans="1:6" s="1225" customFormat="1" ht="17.25" customHeight="1"/>
    <row r="752" spans="1:6" s="1225" customFormat="1" ht="17.25" customHeight="1">
      <c r="C752" s="1225" t="s">
        <v>2503</v>
      </c>
      <c r="F752" s="1225">
        <v>3430</v>
      </c>
    </row>
    <row r="753" spans="1:6" s="1225" customFormat="1" ht="17.25" customHeight="1">
      <c r="A753" s="1225">
        <v>1</v>
      </c>
      <c r="B753" s="1225" t="s">
        <v>1034</v>
      </c>
      <c r="C753" s="1225" t="s">
        <v>2897</v>
      </c>
      <c r="D753" s="1225">
        <v>3093</v>
      </c>
      <c r="E753" s="1225" t="s">
        <v>1034</v>
      </c>
      <c r="F753" s="1225">
        <v>3093</v>
      </c>
    </row>
    <row r="754" spans="1:6" s="1225" customFormat="1" ht="17.25" customHeight="1">
      <c r="A754" s="1225">
        <v>1</v>
      </c>
      <c r="B754" s="1225" t="s">
        <v>1034</v>
      </c>
      <c r="C754" s="1225" t="s">
        <v>2898</v>
      </c>
      <c r="D754" s="1225">
        <v>2311</v>
      </c>
      <c r="E754" s="1225" t="s">
        <v>1034</v>
      </c>
      <c r="F754" s="1225">
        <v>2311</v>
      </c>
    </row>
    <row r="755" spans="1:6" s="1225" customFormat="1" ht="17.25" customHeight="1">
      <c r="C755" s="1225" t="s">
        <v>1557</v>
      </c>
    </row>
    <row r="756" spans="1:6" s="1225" customFormat="1" ht="17.25" customHeight="1">
      <c r="C756" s="1225" t="s">
        <v>2400</v>
      </c>
      <c r="F756" s="1225">
        <v>4212</v>
      </c>
    </row>
    <row r="757" spans="1:6" s="1225" customFormat="1" ht="17.25" customHeight="1"/>
    <row r="758" spans="1:6" s="1225" customFormat="1" ht="17.25" customHeight="1">
      <c r="C758" s="1225" t="s">
        <v>2493</v>
      </c>
    </row>
    <row r="759" spans="1:6" s="1225" customFormat="1" ht="17.25" customHeight="1"/>
    <row r="760" spans="1:6" s="1225" customFormat="1" ht="17.25" customHeight="1">
      <c r="C760" s="1225" t="s">
        <v>2494</v>
      </c>
    </row>
    <row r="761" spans="1:6" s="1225" customFormat="1" ht="17.25" customHeight="1">
      <c r="C761" s="1225" t="s">
        <v>2495</v>
      </c>
    </row>
    <row r="762" spans="1:6" s="1225" customFormat="1" ht="17.25" customHeight="1"/>
    <row r="763" spans="1:6" s="1225" customFormat="1" ht="17.25" customHeight="1">
      <c r="A763" s="1225">
        <v>1</v>
      </c>
      <c r="B763" s="1225" t="s">
        <v>1034</v>
      </c>
      <c r="C763" s="1225" t="s">
        <v>2895</v>
      </c>
      <c r="D763" s="1225">
        <v>2311</v>
      </c>
      <c r="E763" s="1225" t="s">
        <v>1034</v>
      </c>
      <c r="F763" s="1225">
        <v>2311</v>
      </c>
    </row>
    <row r="764" spans="1:6" s="1225" customFormat="1" ht="17.25" customHeight="1">
      <c r="A764" s="1225">
        <v>1</v>
      </c>
      <c r="B764" s="1225" t="s">
        <v>1034</v>
      </c>
      <c r="C764" s="1225" t="s">
        <v>2497</v>
      </c>
      <c r="D764" s="1225">
        <v>422.33</v>
      </c>
      <c r="E764" s="1225" t="s">
        <v>1034</v>
      </c>
      <c r="F764" s="1225">
        <v>422.33</v>
      </c>
    </row>
    <row r="765" spans="1:6" s="1225" customFormat="1" ht="17.25" customHeight="1">
      <c r="C765" s="1225" t="s">
        <v>2498</v>
      </c>
      <c r="F765" s="1225">
        <v>28.34</v>
      </c>
    </row>
    <row r="766" spans="1:6" s="1225" customFormat="1" ht="17.25" customHeight="1">
      <c r="C766" s="1225" t="s">
        <v>478</v>
      </c>
      <c r="F766" s="1225">
        <v>668.33</v>
      </c>
    </row>
    <row r="767" spans="1:6" s="1225" customFormat="1" ht="17.25" customHeight="1">
      <c r="C767" s="1225" t="s">
        <v>2400</v>
      </c>
      <c r="F767" s="1225">
        <v>3430</v>
      </c>
    </row>
    <row r="768" spans="1:6" s="1225" customFormat="1" ht="17.25" customHeight="1"/>
    <row r="769" spans="1:6" s="1225" customFormat="1" ht="17.25" customHeight="1">
      <c r="C769" s="1225" t="s">
        <v>2500</v>
      </c>
    </row>
    <row r="770" spans="1:6" s="1225" customFormat="1" ht="17.25" customHeight="1">
      <c r="C770" s="1225" t="s">
        <v>2522</v>
      </c>
    </row>
    <row r="771" spans="1:6" s="1225" customFormat="1" ht="17.25" customHeight="1"/>
    <row r="772" spans="1:6" s="1225" customFormat="1" ht="17.25" customHeight="1">
      <c r="A772" s="1225">
        <v>1</v>
      </c>
      <c r="B772" s="1225" t="s">
        <v>13</v>
      </c>
      <c r="C772" s="1225" t="s">
        <v>2509</v>
      </c>
      <c r="D772" s="1225">
        <v>914.1</v>
      </c>
      <c r="E772" s="1225" t="s">
        <v>2523</v>
      </c>
      <c r="F772" s="1225">
        <v>9.14</v>
      </c>
    </row>
    <row r="773" spans="1:6" s="1225" customFormat="1" ht="17.25" customHeight="1">
      <c r="C773" s="1225" t="s">
        <v>1978</v>
      </c>
      <c r="F773" s="1225">
        <v>556.6</v>
      </c>
    </row>
    <row r="774" spans="1:6" s="1225" customFormat="1" ht="17.25" customHeight="1">
      <c r="C774" s="1225" t="s">
        <v>2161</v>
      </c>
      <c r="F774" s="1225">
        <v>5.26</v>
      </c>
    </row>
    <row r="775" spans="1:6" s="1225" customFormat="1" ht="17.25" customHeight="1">
      <c r="C775" s="1225" t="s">
        <v>2524</v>
      </c>
      <c r="D775" s="1225" t="s">
        <v>2400</v>
      </c>
      <c r="F775" s="1225">
        <v>571</v>
      </c>
    </row>
    <row r="776" spans="1:6" s="1225" customFormat="1" ht="17.25" customHeight="1"/>
    <row r="777" spans="1:6" s="1225" customFormat="1" ht="17.25" customHeight="1"/>
    <row r="778" spans="1:6" s="1225" customFormat="1" ht="17.25" customHeight="1"/>
    <row r="779" spans="1:6" s="1225" customFormat="1" ht="17.25" customHeight="1">
      <c r="C779" s="1225" t="s">
        <v>2527</v>
      </c>
    </row>
    <row r="780" spans="1:6" s="1225" customFormat="1" ht="17.25" customHeight="1">
      <c r="C780" s="1225" t="s">
        <v>2528</v>
      </c>
    </row>
    <row r="781" spans="1:6" s="1225" customFormat="1" ht="17.25" customHeight="1">
      <c r="C781" s="1225" t="s">
        <v>2529</v>
      </c>
    </row>
    <row r="782" spans="1:6" s="1225" customFormat="1" ht="17.25" customHeight="1">
      <c r="C782" s="1225" t="s">
        <v>2530</v>
      </c>
    </row>
    <row r="783" spans="1:6" s="1225" customFormat="1" ht="17.25" customHeight="1"/>
    <row r="784" spans="1:6" s="1225" customFormat="1" ht="17.25" customHeight="1">
      <c r="A784" s="1225">
        <v>9.5</v>
      </c>
      <c r="B784" s="1225" t="s">
        <v>39</v>
      </c>
      <c r="C784" s="1225" t="s">
        <v>2907</v>
      </c>
      <c r="D784" s="1225">
        <v>101.5</v>
      </c>
      <c r="E784" s="1225" t="s">
        <v>39</v>
      </c>
      <c r="F784" s="1225">
        <v>964.25</v>
      </c>
    </row>
    <row r="785" spans="1:6" s="1225" customFormat="1" ht="17.25" customHeight="1">
      <c r="A785" s="1225">
        <v>0.5</v>
      </c>
      <c r="B785" s="1225" t="s">
        <v>39</v>
      </c>
      <c r="C785" s="1225" t="s">
        <v>2908</v>
      </c>
      <c r="D785" s="1225">
        <v>21.1</v>
      </c>
      <c r="F785" s="1225">
        <v>10.55</v>
      </c>
    </row>
    <row r="786" spans="1:6" s="1225" customFormat="1" ht="17.25" customHeight="1">
      <c r="C786" s="1225" t="s">
        <v>2234</v>
      </c>
      <c r="F786" s="1225">
        <v>1389</v>
      </c>
    </row>
    <row r="787" spans="1:6" s="1225" customFormat="1" ht="17.25" customHeight="1">
      <c r="C787" s="1225" t="s">
        <v>1557</v>
      </c>
      <c r="F787" s="1225">
        <v>3.2</v>
      </c>
    </row>
    <row r="788" spans="1:6" s="1225" customFormat="1" ht="17.25" customHeight="1">
      <c r="C788" s="1225" t="s">
        <v>2533</v>
      </c>
      <c r="F788" s="1225">
        <v>2367</v>
      </c>
    </row>
    <row r="789" spans="1:6" s="1225" customFormat="1" ht="17.25" customHeight="1">
      <c r="C789" s="1225" t="s">
        <v>2534</v>
      </c>
      <c r="F789" s="1225">
        <v>26.3</v>
      </c>
    </row>
    <row r="790" spans="1:6" s="1225" customFormat="1" ht="17.25" customHeight="1"/>
    <row r="791" spans="1:6" s="1225" customFormat="1" ht="17.25" customHeight="1">
      <c r="C791" s="1225" t="s">
        <v>2718</v>
      </c>
    </row>
    <row r="792" spans="1:6" s="1225" customFormat="1" ht="17.25" customHeight="1"/>
    <row r="793" spans="1:6" s="1225" customFormat="1" ht="17.25" customHeight="1">
      <c r="C793" s="1225" t="s">
        <v>6425</v>
      </c>
    </row>
    <row r="794" spans="1:6" s="1225" customFormat="1" ht="17.25" customHeight="1"/>
    <row r="795" spans="1:6" s="1225" customFormat="1" ht="17.25" customHeight="1">
      <c r="A795" s="1225">
        <v>1</v>
      </c>
      <c r="B795" s="1225" t="s">
        <v>1034</v>
      </c>
      <c r="C795" s="1225" t="s">
        <v>2992</v>
      </c>
      <c r="D795" s="1225">
        <v>13.8</v>
      </c>
      <c r="E795" s="1225" t="s">
        <v>1034</v>
      </c>
      <c r="F795" s="1225">
        <v>13.8</v>
      </c>
    </row>
    <row r="796" spans="1:6" s="1225" customFormat="1" ht="17.25" customHeight="1">
      <c r="A796" s="1225">
        <v>0.01</v>
      </c>
      <c r="B796" s="1225" t="s">
        <v>2720</v>
      </c>
      <c r="C796" s="1225" t="s">
        <v>2716</v>
      </c>
      <c r="D796" s="1225">
        <v>661</v>
      </c>
      <c r="E796" s="1225" t="s">
        <v>724</v>
      </c>
      <c r="F796" s="1225">
        <v>6.61</v>
      </c>
    </row>
    <row r="797" spans="1:6" s="1225" customFormat="1" ht="17.25" customHeight="1">
      <c r="A797" s="1225">
        <v>1</v>
      </c>
      <c r="B797" s="1225" t="s">
        <v>1034</v>
      </c>
      <c r="C797" s="1225" t="s">
        <v>2721</v>
      </c>
      <c r="D797" s="1225">
        <v>49.5</v>
      </c>
      <c r="E797" s="1225" t="s">
        <v>1034</v>
      </c>
      <c r="F797" s="1225">
        <v>49.5</v>
      </c>
    </row>
    <row r="798" spans="1:6" s="1225" customFormat="1" ht="17.25" customHeight="1">
      <c r="C798" s="1225" t="s">
        <v>2722</v>
      </c>
      <c r="D798" s="1225" t="s">
        <v>49</v>
      </c>
      <c r="F798" s="1225">
        <v>7.1</v>
      </c>
    </row>
    <row r="799" spans="1:6" s="1225" customFormat="1" ht="17.25" customHeight="1">
      <c r="C799" s="1225" t="s">
        <v>2723</v>
      </c>
      <c r="F799" s="1225">
        <v>77.010000000000005</v>
      </c>
    </row>
    <row r="800" spans="1:6" s="1225" customFormat="1" ht="17.25" customHeight="1"/>
    <row r="801" spans="1:6" s="1225" customFormat="1" ht="17.25" customHeight="1">
      <c r="A801" s="1225">
        <v>77.400000000000006</v>
      </c>
      <c r="C801" s="1225" t="s">
        <v>2006</v>
      </c>
    </row>
    <row r="802" spans="1:6" s="1225" customFormat="1" ht="17.25" customHeight="1">
      <c r="C802" s="1225" t="s">
        <v>1982</v>
      </c>
    </row>
    <row r="803" spans="1:6" s="1225" customFormat="1" ht="17.25" customHeight="1">
      <c r="A803" s="1225">
        <v>90</v>
      </c>
      <c r="B803" s="1225" t="s">
        <v>2007</v>
      </c>
      <c r="C803" s="1225" t="s">
        <v>4495</v>
      </c>
      <c r="D803" s="1225">
        <v>20</v>
      </c>
      <c r="E803" s="1225" t="s">
        <v>2007</v>
      </c>
      <c r="F803" s="1225">
        <v>1800</v>
      </c>
    </row>
    <row r="804" spans="1:6" s="1225" customFormat="1" ht="17.25" customHeight="1">
      <c r="A804" s="1225">
        <v>0.15</v>
      </c>
      <c r="B804" s="1225" t="s">
        <v>11</v>
      </c>
      <c r="C804" s="1225" t="s">
        <v>123</v>
      </c>
      <c r="D804" s="1225">
        <v>6040</v>
      </c>
      <c r="E804" s="1225" t="s">
        <v>11</v>
      </c>
      <c r="F804" s="1225">
        <v>906</v>
      </c>
    </row>
    <row r="805" spans="1:6" s="1225" customFormat="1" ht="17.25" customHeight="1">
      <c r="A805" s="1225">
        <v>1</v>
      </c>
      <c r="B805" s="1225" t="s">
        <v>237</v>
      </c>
      <c r="C805" s="1225" t="s">
        <v>2009</v>
      </c>
      <c r="D805" s="1225">
        <v>783</v>
      </c>
      <c r="E805" s="1225" t="s">
        <v>237</v>
      </c>
      <c r="F805" s="1225">
        <v>783</v>
      </c>
    </row>
    <row r="806" spans="1:6" s="1225" customFormat="1" ht="17.25" customHeight="1">
      <c r="A806" s="1225">
        <v>2</v>
      </c>
      <c r="B806" s="1225" t="s">
        <v>237</v>
      </c>
      <c r="C806" s="1225" t="s">
        <v>302</v>
      </c>
      <c r="D806" s="1225">
        <v>972.4</v>
      </c>
      <c r="E806" s="1225" t="s">
        <v>237</v>
      </c>
      <c r="F806" s="1225">
        <v>1944.8</v>
      </c>
    </row>
    <row r="807" spans="1:6" s="1225" customFormat="1" ht="17.25" customHeight="1">
      <c r="A807" s="1225">
        <v>4</v>
      </c>
      <c r="B807" s="1225" t="s">
        <v>237</v>
      </c>
      <c r="C807" s="1225" t="s">
        <v>4220</v>
      </c>
      <c r="D807" s="1225">
        <v>611</v>
      </c>
      <c r="E807" s="1225" t="s">
        <v>237</v>
      </c>
      <c r="F807" s="1225">
        <v>2444</v>
      </c>
    </row>
    <row r="808" spans="1:6" s="1225" customFormat="1" ht="17.25" customHeight="1">
      <c r="C808" s="1225" t="s">
        <v>2010</v>
      </c>
      <c r="F808" s="1225">
        <v>11.5</v>
      </c>
    </row>
    <row r="809" spans="1:6" s="1225" customFormat="1" ht="17.25" customHeight="1">
      <c r="F809" s="1225" t="s">
        <v>52</v>
      </c>
    </row>
    <row r="810" spans="1:6" s="1225" customFormat="1" ht="17.25" customHeight="1">
      <c r="C810" s="1225" t="s">
        <v>2011</v>
      </c>
      <c r="F810" s="1225">
        <v>7889.3</v>
      </c>
    </row>
    <row r="811" spans="1:6" s="1225" customFormat="1" ht="17.25" customHeight="1">
      <c r="F811" s="1225" t="s">
        <v>52</v>
      </c>
    </row>
    <row r="812" spans="1:6" s="1225" customFormat="1" ht="17.25" customHeight="1">
      <c r="C812" s="1225" t="s">
        <v>1932</v>
      </c>
      <c r="F812" s="1225">
        <v>87.66</v>
      </c>
    </row>
    <row r="813" spans="1:6" s="1225" customFormat="1" ht="17.25" customHeight="1"/>
    <row r="814" spans="1:6" s="1225" customFormat="1" ht="17.25" customHeight="1">
      <c r="C814" s="1225" t="s">
        <v>2593</v>
      </c>
    </row>
    <row r="815" spans="1:6" s="1225" customFormat="1" ht="17.25" customHeight="1"/>
    <row r="816" spans="1:6" s="1225" customFormat="1" ht="17.25" customHeight="1">
      <c r="C816" s="1225" t="s">
        <v>2594</v>
      </c>
    </row>
    <row r="817" spans="1:6" s="1225" customFormat="1" ht="17.25" customHeight="1"/>
    <row r="818" spans="1:6" s="1225" customFormat="1" ht="17.25" customHeight="1">
      <c r="C818" s="1225" t="s">
        <v>2595</v>
      </c>
    </row>
    <row r="819" spans="1:6" s="1225" customFormat="1" ht="17.25" customHeight="1"/>
    <row r="820" spans="1:6" s="1225" customFormat="1" ht="17.25" customHeight="1">
      <c r="A820" s="1225">
        <v>1</v>
      </c>
      <c r="B820" s="1225" t="s">
        <v>1034</v>
      </c>
      <c r="C820" s="1225" t="s">
        <v>2927</v>
      </c>
      <c r="D820" s="1225">
        <v>48.05</v>
      </c>
      <c r="E820" s="1225" t="s">
        <v>1034</v>
      </c>
      <c r="F820" s="1225">
        <v>48.05</v>
      </c>
    </row>
    <row r="821" spans="1:6" s="1225" customFormat="1" ht="17.25" customHeight="1">
      <c r="A821" s="1225">
        <v>1</v>
      </c>
      <c r="B821" s="1225" t="s">
        <v>1034</v>
      </c>
      <c r="C821" s="1225" t="s">
        <v>2597</v>
      </c>
      <c r="D821" s="1225">
        <v>234.63</v>
      </c>
      <c r="E821" s="1225" t="s">
        <v>1034</v>
      </c>
      <c r="F821" s="1225">
        <v>234.63</v>
      </c>
    </row>
    <row r="822" spans="1:6" s="1225" customFormat="1" ht="17.25" customHeight="1">
      <c r="A822" s="1225">
        <v>1</v>
      </c>
      <c r="B822" s="1225" t="s">
        <v>1034</v>
      </c>
      <c r="C822" s="1225" t="s">
        <v>2598</v>
      </c>
      <c r="D822" s="1225">
        <v>25</v>
      </c>
      <c r="E822" s="1225" t="s">
        <v>2599</v>
      </c>
      <c r="F822" s="1225">
        <v>25</v>
      </c>
    </row>
    <row r="823" spans="1:6" s="1225" customFormat="1" ht="17.25" customHeight="1">
      <c r="C823" s="1225" t="s">
        <v>1978</v>
      </c>
      <c r="F823" s="1225">
        <v>501.25</v>
      </c>
    </row>
    <row r="824" spans="1:6" s="1225" customFormat="1" ht="17.25" customHeight="1">
      <c r="C824" s="1225" t="s">
        <v>2600</v>
      </c>
      <c r="F824" s="1225">
        <v>9.82</v>
      </c>
    </row>
    <row r="825" spans="1:6" s="1225" customFormat="1" ht="17.25" customHeight="1">
      <c r="C825" s="1225" t="s">
        <v>2601</v>
      </c>
      <c r="F825" s="1225">
        <v>818.75</v>
      </c>
    </row>
    <row r="826" spans="1:6" s="1225" customFormat="1" ht="17.25" customHeight="1"/>
    <row r="827" spans="1:6" s="1225" customFormat="1" ht="17.25" customHeight="1">
      <c r="C827" s="1225" t="s">
        <v>2686</v>
      </c>
      <c r="D827" s="1225">
        <v>104280</v>
      </c>
      <c r="E827" s="1225">
        <v>2.9999999999999997E-4</v>
      </c>
      <c r="F827" s="1225">
        <v>31.28</v>
      </c>
    </row>
    <row r="828" spans="1:6" s="1225" customFormat="1" ht="17.25" customHeight="1"/>
    <row r="829" spans="1:6" s="1225" customFormat="1" ht="17.25" customHeight="1">
      <c r="C829" s="1225" t="s">
        <v>2603</v>
      </c>
    </row>
    <row r="830" spans="1:6" s="1225" customFormat="1" ht="17.25" customHeight="1"/>
    <row r="831" spans="1:6" s="1225" customFormat="1" ht="17.25" customHeight="1">
      <c r="C831" s="1225" t="s">
        <v>2687</v>
      </c>
    </row>
    <row r="832" spans="1:6" s="1225" customFormat="1" ht="17.25" customHeight="1"/>
    <row r="833" spans="1:6" s="1225" customFormat="1" ht="17.25" customHeight="1">
      <c r="A833" s="1225">
        <v>1</v>
      </c>
      <c r="B833" s="1225" t="s">
        <v>1034</v>
      </c>
      <c r="C833" s="1225" t="s">
        <v>2956</v>
      </c>
      <c r="D833" s="1225">
        <v>648</v>
      </c>
      <c r="E833" s="1225" t="s">
        <v>1034</v>
      </c>
      <c r="F833" s="1225">
        <v>648</v>
      </c>
    </row>
    <row r="834" spans="1:6" s="1225" customFormat="1" ht="17.25" customHeight="1">
      <c r="A834" s="1225">
        <v>1</v>
      </c>
      <c r="B834" s="1225" t="s">
        <v>1034</v>
      </c>
      <c r="C834" s="1225" t="s">
        <v>2957</v>
      </c>
      <c r="D834" s="1225">
        <v>36.200000000000003</v>
      </c>
      <c r="E834" s="1225" t="s">
        <v>1034</v>
      </c>
      <c r="F834" s="1225">
        <v>36.200000000000003</v>
      </c>
    </row>
    <row r="835" spans="1:6" s="1225" customFormat="1" ht="17.25" customHeight="1">
      <c r="A835" s="1225">
        <v>1</v>
      </c>
      <c r="B835" s="1225" t="s">
        <v>1034</v>
      </c>
      <c r="C835" s="1225" t="s">
        <v>478</v>
      </c>
      <c r="D835" s="1225">
        <v>2258.33</v>
      </c>
      <c r="E835" s="1225" t="s">
        <v>1034</v>
      </c>
      <c r="F835" s="1225">
        <v>2258.33</v>
      </c>
    </row>
    <row r="836" spans="1:6" s="1225" customFormat="1" ht="17.25" customHeight="1">
      <c r="C836" s="1225" t="s">
        <v>1557</v>
      </c>
      <c r="F836" s="1225">
        <v>3.47</v>
      </c>
    </row>
    <row r="837" spans="1:6" s="1225" customFormat="1" ht="17.25" customHeight="1">
      <c r="C837" s="1225" t="s">
        <v>2400</v>
      </c>
      <c r="F837" s="1225">
        <v>2946</v>
      </c>
    </row>
    <row r="838" spans="1:6" s="1225" customFormat="1" ht="17.25" customHeight="1"/>
    <row r="839" spans="1:6" s="1225" customFormat="1" ht="17.25" customHeight="1">
      <c r="C839" s="1225" t="s">
        <v>2603</v>
      </c>
    </row>
    <row r="840" spans="1:6" s="1225" customFormat="1" ht="17.25" customHeight="1">
      <c r="C840" s="1225" t="s">
        <v>2604</v>
      </c>
    </row>
    <row r="841" spans="1:6" s="1225" customFormat="1" ht="17.25" customHeight="1">
      <c r="C841" s="1225" t="s">
        <v>85</v>
      </c>
    </row>
    <row r="842" spans="1:6" s="1225" customFormat="1" ht="17.25" customHeight="1">
      <c r="A842" s="1225">
        <v>1</v>
      </c>
      <c r="B842" s="1225" t="s">
        <v>1034</v>
      </c>
      <c r="C842" s="1225" t="s">
        <v>7020</v>
      </c>
      <c r="D842" s="1225">
        <v>1771</v>
      </c>
      <c r="E842" s="1225" t="s">
        <v>1034</v>
      </c>
      <c r="F842" s="1225">
        <v>1771</v>
      </c>
    </row>
    <row r="843" spans="1:6" s="1225" customFormat="1" ht="17.25" customHeight="1">
      <c r="A843" s="1225">
        <v>3</v>
      </c>
      <c r="B843" s="1225" t="s">
        <v>1034</v>
      </c>
      <c r="C843" s="1225" t="s">
        <v>2929</v>
      </c>
      <c r="D843" s="1225">
        <v>128</v>
      </c>
      <c r="E843" s="1225" t="s">
        <v>1034</v>
      </c>
      <c r="F843" s="1225">
        <v>384</v>
      </c>
    </row>
    <row r="844" spans="1:6" s="1225" customFormat="1" ht="17.25" customHeight="1">
      <c r="C844" s="1225" t="s">
        <v>2606</v>
      </c>
      <c r="F844" s="1225">
        <v>789.5</v>
      </c>
    </row>
    <row r="845" spans="1:6" s="1225" customFormat="1" ht="17.25" customHeight="1">
      <c r="C845" s="1225" t="s">
        <v>1557</v>
      </c>
      <c r="F845" s="1225">
        <v>2</v>
      </c>
    </row>
    <row r="846" spans="1:6" s="1225" customFormat="1" ht="17.25" customHeight="1">
      <c r="C846" s="1225" t="s">
        <v>2607</v>
      </c>
      <c r="F846" s="1225">
        <v>2946.5</v>
      </c>
    </row>
    <row r="847" spans="1:6" s="1225" customFormat="1" ht="17.25" customHeight="1"/>
    <row r="848" spans="1:6" s="1225" customFormat="1" ht="17.25" customHeight="1"/>
    <row r="849" spans="1:6" s="1225" customFormat="1" ht="17.25" customHeight="1">
      <c r="C849" s="1225" t="s">
        <v>2732</v>
      </c>
    </row>
    <row r="850" spans="1:6" s="1225" customFormat="1" ht="17.25" customHeight="1"/>
    <row r="851" spans="1:6" s="1225" customFormat="1" ht="17.25" customHeight="1">
      <c r="C851" s="1225" t="s">
        <v>2997</v>
      </c>
    </row>
    <row r="852" spans="1:6" s="1225" customFormat="1" ht="17.25" customHeight="1"/>
    <row r="853" spans="1:6" s="1225" customFormat="1" ht="17.25" customHeight="1">
      <c r="A853" s="1225">
        <v>1</v>
      </c>
      <c r="B853" s="1225" t="s">
        <v>1034</v>
      </c>
      <c r="C853" s="1225" t="s">
        <v>2998</v>
      </c>
      <c r="D853" s="1225">
        <v>1447</v>
      </c>
      <c r="E853" s="1225" t="s">
        <v>1034</v>
      </c>
      <c r="F853" s="1225">
        <v>1447</v>
      </c>
    </row>
    <row r="854" spans="1:6" s="1225" customFormat="1" ht="17.25" customHeight="1">
      <c r="C854" s="1225" t="s">
        <v>2277</v>
      </c>
      <c r="D854" s="1225">
        <v>337.6</v>
      </c>
      <c r="E854" s="1225" t="s">
        <v>1034</v>
      </c>
      <c r="F854" s="1225">
        <v>337.6</v>
      </c>
    </row>
    <row r="855" spans="1:6" s="1225" customFormat="1" ht="17.25" customHeight="1">
      <c r="C855" s="1225" t="s">
        <v>6426</v>
      </c>
      <c r="F855" s="1225">
        <v>31.6</v>
      </c>
    </row>
    <row r="856" spans="1:6" s="1225" customFormat="1" ht="17.25" customHeight="1">
      <c r="C856" s="1225" t="s">
        <v>2736</v>
      </c>
      <c r="E856" s="1225">
        <v>1816.2</v>
      </c>
      <c r="F856" s="1225">
        <v>18.55</v>
      </c>
    </row>
    <row r="857" spans="1:6" s="1225" customFormat="1" ht="17.25" customHeight="1">
      <c r="C857" s="1225" t="s">
        <v>2737</v>
      </c>
      <c r="F857" s="1225">
        <v>501.25</v>
      </c>
    </row>
    <row r="858" spans="1:6" s="1225" customFormat="1" ht="17.25" customHeight="1">
      <c r="C858" s="1225" t="s">
        <v>2738</v>
      </c>
      <c r="F858" s="1225">
        <v>2336</v>
      </c>
    </row>
    <row r="859" spans="1:6" s="1225" customFormat="1" ht="17.25" customHeight="1"/>
    <row r="860" spans="1:6" s="1225" customFormat="1" ht="17.25" customHeight="1">
      <c r="A860" s="1225">
        <v>238</v>
      </c>
      <c r="B860" s="1225" t="s">
        <v>111</v>
      </c>
      <c r="C860" s="1225" t="s">
        <v>1663</v>
      </c>
    </row>
    <row r="861" spans="1:6" s="1225" customFormat="1" ht="17.25" customHeight="1">
      <c r="C861" s="1225" t="s">
        <v>4408</v>
      </c>
    </row>
    <row r="862" spans="1:6" s="1225" customFormat="1" ht="17.25" customHeight="1">
      <c r="C862" s="1225" t="s">
        <v>52</v>
      </c>
    </row>
    <row r="863" spans="1:6" s="1225" customFormat="1" ht="17.25" customHeight="1">
      <c r="A863" s="1225">
        <v>20</v>
      </c>
      <c r="B863" s="1225" t="s">
        <v>1658</v>
      </c>
      <c r="C863" s="1225" t="s">
        <v>6419</v>
      </c>
      <c r="D863" s="1225">
        <v>116.2</v>
      </c>
      <c r="E863" s="1225" t="s">
        <v>1658</v>
      </c>
      <c r="F863" s="1225">
        <v>2324</v>
      </c>
    </row>
    <row r="864" spans="1:6" s="1225" customFormat="1" ht="17.25" customHeight="1">
      <c r="C864" s="1225" t="s">
        <v>1666</v>
      </c>
      <c r="F864" s="1225" t="s">
        <v>85</v>
      </c>
    </row>
    <row r="865" spans="1:6" s="1225" customFormat="1" ht="17.25" customHeight="1">
      <c r="A865" s="1225">
        <v>50</v>
      </c>
      <c r="B865" s="1225" t="s">
        <v>39</v>
      </c>
      <c r="C865" s="1225" t="s">
        <v>123</v>
      </c>
      <c r="D865" s="1225">
        <v>6.04</v>
      </c>
      <c r="E865" s="1225" t="s">
        <v>39</v>
      </c>
      <c r="F865" s="1225">
        <v>302</v>
      </c>
    </row>
    <row r="866" spans="1:6" s="1225" customFormat="1" ht="17.25" customHeight="1">
      <c r="A866" s="1225">
        <v>1</v>
      </c>
      <c r="B866" s="1225" t="s">
        <v>145</v>
      </c>
      <c r="C866" s="1225" t="s">
        <v>1667</v>
      </c>
      <c r="D866" s="1225">
        <v>75</v>
      </c>
      <c r="E866" s="1225" t="s">
        <v>145</v>
      </c>
      <c r="F866" s="1225">
        <v>75</v>
      </c>
    </row>
    <row r="867" spans="1:6" s="1225" customFormat="1" ht="17.25" customHeight="1">
      <c r="A867" s="1225">
        <v>1</v>
      </c>
      <c r="B867" s="1225" t="s">
        <v>145</v>
      </c>
      <c r="C867" s="1225" t="s">
        <v>1668</v>
      </c>
      <c r="D867" s="1225">
        <v>40</v>
      </c>
      <c r="E867" s="1225" t="s">
        <v>145</v>
      </c>
      <c r="F867" s="1225">
        <v>40</v>
      </c>
    </row>
    <row r="868" spans="1:6" s="1225" customFormat="1" ht="17.25" customHeight="1">
      <c r="A868" s="1225">
        <v>2.5</v>
      </c>
      <c r="B868" s="1225" t="s">
        <v>145</v>
      </c>
      <c r="C868" s="1225" t="s">
        <v>1669</v>
      </c>
      <c r="D868" s="1225">
        <v>805.2</v>
      </c>
      <c r="E868" s="1225" t="s">
        <v>145</v>
      </c>
      <c r="F868" s="1225">
        <v>2013</v>
      </c>
    </row>
    <row r="869" spans="1:6" s="1225" customFormat="1" ht="17.25" customHeight="1">
      <c r="B869" s="1225" t="s">
        <v>145</v>
      </c>
      <c r="C869" s="1225" t="s">
        <v>1670</v>
      </c>
      <c r="E869" s="1225" t="s">
        <v>145</v>
      </c>
      <c r="F869" s="1225">
        <v>1.5</v>
      </c>
    </row>
    <row r="870" spans="1:6" s="1225" customFormat="1" ht="17.25" customHeight="1">
      <c r="F870" s="1225" t="s">
        <v>52</v>
      </c>
    </row>
    <row r="871" spans="1:6" s="1225" customFormat="1" ht="17.25" customHeight="1">
      <c r="C871" s="1225" t="s">
        <v>1671</v>
      </c>
      <c r="F871" s="1225">
        <v>4755.5</v>
      </c>
    </row>
    <row r="872" spans="1:6" s="1225" customFormat="1" ht="17.25" customHeight="1"/>
    <row r="873" spans="1:6" s="1225" customFormat="1" ht="17.25" customHeight="1">
      <c r="C873" s="1225" t="s">
        <v>5234</v>
      </c>
    </row>
    <row r="874" spans="1:6" s="1225" customFormat="1" ht="17.25" customHeight="1"/>
    <row r="875" spans="1:6" s="1225" customFormat="1" ht="17.25" customHeight="1">
      <c r="C875" s="1225" t="s">
        <v>6452</v>
      </c>
    </row>
    <row r="876" spans="1:6" s="1225" customFormat="1" ht="17.25" customHeight="1"/>
    <row r="877" spans="1:6" s="1225" customFormat="1" ht="17.25" customHeight="1">
      <c r="C877" s="1225" t="s">
        <v>5236</v>
      </c>
    </row>
    <row r="878" spans="1:6" s="1225" customFormat="1" ht="17.25" customHeight="1">
      <c r="A878" s="1225">
        <v>5</v>
      </c>
      <c r="B878" s="1225" t="s">
        <v>39</v>
      </c>
      <c r="C878" s="1225" t="s">
        <v>5237</v>
      </c>
      <c r="D878" s="1225">
        <v>27.45</v>
      </c>
      <c r="E878" s="1225" t="s">
        <v>39</v>
      </c>
      <c r="F878" s="1225">
        <v>137.25</v>
      </c>
    </row>
    <row r="879" spans="1:6" s="1225" customFormat="1" ht="17.25" customHeight="1">
      <c r="A879" s="1225">
        <v>1</v>
      </c>
      <c r="B879" s="1225" t="s">
        <v>1034</v>
      </c>
      <c r="C879" s="1225" t="s">
        <v>5238</v>
      </c>
      <c r="D879" s="1225">
        <v>831.6</v>
      </c>
      <c r="E879" s="1225" t="s">
        <v>1034</v>
      </c>
      <c r="F879" s="1225">
        <v>831.6</v>
      </c>
    </row>
    <row r="880" spans="1:6" s="1225" customFormat="1" ht="17.25" customHeight="1">
      <c r="B880" s="1225" t="s">
        <v>49</v>
      </c>
      <c r="C880" s="1225" t="s">
        <v>4918</v>
      </c>
      <c r="E880" s="1225" t="s">
        <v>49</v>
      </c>
      <c r="F880" s="1225">
        <v>17.670000000000002</v>
      </c>
    </row>
    <row r="881" spans="1:6" s="1225" customFormat="1" ht="17.25" customHeight="1">
      <c r="C881" s="1225" t="s">
        <v>4554</v>
      </c>
      <c r="F881" s="1225">
        <v>986.52</v>
      </c>
    </row>
    <row r="882" spans="1:6" s="1225" customFormat="1" ht="17.25" customHeight="1">
      <c r="C882" s="1225" t="s">
        <v>2137</v>
      </c>
      <c r="F882" s="1225">
        <v>98.65</v>
      </c>
    </row>
    <row r="883" spans="1:6" s="1225" customFormat="1" ht="17.25" customHeight="1"/>
    <row r="884" spans="1:6" s="1225" customFormat="1" ht="17.25" customHeight="1"/>
    <row r="885" spans="1:6" s="1225" customFormat="1" ht="17.25" customHeight="1">
      <c r="B885" s="1225" t="s">
        <v>7021</v>
      </c>
    </row>
    <row r="886" spans="1:6" s="1225" customFormat="1" ht="17.25" customHeight="1"/>
    <row r="887" spans="1:6" s="1225" customFormat="1" ht="17.25" customHeight="1">
      <c r="A887" s="1225">
        <v>1.8</v>
      </c>
      <c r="B887" s="1225" t="s">
        <v>132</v>
      </c>
      <c r="C887" s="1225" t="s">
        <v>5048</v>
      </c>
      <c r="D887" s="1225">
        <v>806.98</v>
      </c>
      <c r="E887" s="1225" t="s">
        <v>132</v>
      </c>
      <c r="F887" s="1225">
        <v>1452.56</v>
      </c>
    </row>
    <row r="888" spans="1:6" s="1225" customFormat="1" ht="17.25" customHeight="1"/>
    <row r="889" spans="1:6" s="1225" customFormat="1" ht="17.25" customHeight="1">
      <c r="A889" s="1225">
        <v>1.2</v>
      </c>
      <c r="B889" s="1225" t="s">
        <v>132</v>
      </c>
      <c r="C889" s="1225" t="s">
        <v>5049</v>
      </c>
      <c r="D889" s="1225">
        <v>1420.98</v>
      </c>
      <c r="E889" s="1225" t="s">
        <v>132</v>
      </c>
      <c r="F889" s="1225">
        <v>1705.18</v>
      </c>
    </row>
    <row r="890" spans="1:6" s="1225" customFormat="1" ht="17.25" customHeight="1"/>
    <row r="891" spans="1:6" s="1225" customFormat="1" ht="17.25" customHeight="1">
      <c r="A891" s="1225">
        <v>0.6</v>
      </c>
      <c r="B891" s="1225" t="s">
        <v>132</v>
      </c>
      <c r="C891" s="1225" t="s">
        <v>5050</v>
      </c>
      <c r="D891" s="1225">
        <v>1642.42</v>
      </c>
      <c r="E891" s="1225" t="s">
        <v>132</v>
      </c>
      <c r="F891" s="1225">
        <v>985.45</v>
      </c>
    </row>
    <row r="892" spans="1:6" s="1225" customFormat="1" ht="17.25" customHeight="1"/>
    <row r="893" spans="1:6" s="1225" customFormat="1" ht="17.25" customHeight="1">
      <c r="A893" s="1225">
        <v>3</v>
      </c>
      <c r="B893" s="1225" t="s">
        <v>132</v>
      </c>
      <c r="C893" s="1225" t="s">
        <v>5052</v>
      </c>
      <c r="D893" s="1225">
        <v>2164.64</v>
      </c>
      <c r="E893" s="1225" t="s">
        <v>132</v>
      </c>
      <c r="F893" s="1225">
        <v>6493.92</v>
      </c>
    </row>
    <row r="894" spans="1:6" s="1225" customFormat="1" ht="17.25" customHeight="1"/>
    <row r="895" spans="1:6" s="1225" customFormat="1" ht="17.25" customHeight="1">
      <c r="A895" s="1225">
        <v>3</v>
      </c>
      <c r="B895" s="1225" t="s">
        <v>132</v>
      </c>
      <c r="C895" s="1225" t="s">
        <v>5053</v>
      </c>
      <c r="D895" s="1225">
        <v>32.229999999999997</v>
      </c>
      <c r="E895" s="1225" t="s">
        <v>132</v>
      </c>
      <c r="F895" s="1225">
        <v>96.69</v>
      </c>
    </row>
    <row r="896" spans="1:6" s="1225" customFormat="1" ht="17.25" customHeight="1"/>
    <row r="897" spans="1:6" s="1225" customFormat="1" ht="17.25" customHeight="1">
      <c r="A897" s="1225">
        <v>3</v>
      </c>
      <c r="B897" s="1225" t="s">
        <v>132</v>
      </c>
      <c r="C897" s="1225" t="s">
        <v>5055</v>
      </c>
      <c r="D897" s="1225">
        <v>72.819999999999993</v>
      </c>
      <c r="E897" s="1225" t="s">
        <v>132</v>
      </c>
      <c r="F897" s="1225">
        <v>218.46</v>
      </c>
    </row>
    <row r="898" spans="1:6" s="1225" customFormat="1" ht="17.25" customHeight="1"/>
    <row r="899" spans="1:6" s="1225" customFormat="1" ht="17.25" customHeight="1">
      <c r="C899" s="1225" t="s">
        <v>5057</v>
      </c>
      <c r="E899" s="1225" t="s">
        <v>145</v>
      </c>
      <c r="F899" s="1225">
        <v>1.84</v>
      </c>
    </row>
    <row r="900" spans="1:6" s="1225" customFormat="1" ht="17.25" customHeight="1"/>
    <row r="901" spans="1:6" s="1225" customFormat="1" ht="17.25" customHeight="1">
      <c r="C901" s="1225" t="s">
        <v>7022</v>
      </c>
      <c r="F901" s="1225">
        <v>10954.1</v>
      </c>
    </row>
    <row r="902" spans="1:6" s="1225" customFormat="1" ht="17.25" customHeight="1">
      <c r="C902" s="1225" t="s">
        <v>5061</v>
      </c>
      <c r="F902" s="1225">
        <v>3651.37</v>
      </c>
    </row>
    <row r="903" spans="1:6" s="1225" customFormat="1" ht="17.25" customHeight="1"/>
    <row r="904" spans="1:6" s="1225" customFormat="1" ht="17.25" customHeight="1">
      <c r="A904" s="1225" t="s">
        <v>374</v>
      </c>
      <c r="B904" s="1225" t="s">
        <v>111</v>
      </c>
      <c r="C904" s="1225" t="s">
        <v>375</v>
      </c>
    </row>
    <row r="905" spans="1:6" s="1225" customFormat="1" ht="17.25" customHeight="1">
      <c r="C905" s="1225" t="s">
        <v>6428</v>
      </c>
    </row>
    <row r="906" spans="1:6" s="1225" customFormat="1" ht="17.25" customHeight="1">
      <c r="C906" s="1225" t="s">
        <v>52</v>
      </c>
    </row>
    <row r="907" spans="1:6" s="1225" customFormat="1" ht="17.25" customHeight="1">
      <c r="A907" s="1225">
        <v>1</v>
      </c>
      <c r="B907" s="1225" t="s">
        <v>132</v>
      </c>
      <c r="C907" s="1225" t="s">
        <v>4017</v>
      </c>
      <c r="D907" s="1225">
        <v>304.39999999999998</v>
      </c>
      <c r="E907" s="1225" t="s">
        <v>132</v>
      </c>
      <c r="F907" s="1225">
        <v>304.39999999999998</v>
      </c>
    </row>
    <row r="908" spans="1:6" s="1225" customFormat="1" ht="17.25" customHeight="1">
      <c r="A908" s="1225">
        <v>1</v>
      </c>
      <c r="B908" s="1225" t="s">
        <v>132</v>
      </c>
      <c r="C908" s="1225" t="s">
        <v>218</v>
      </c>
      <c r="D908" s="1225">
        <v>40.65</v>
      </c>
      <c r="E908" s="1225" t="s">
        <v>132</v>
      </c>
      <c r="F908" s="1225">
        <v>40.65</v>
      </c>
    </row>
    <row r="909" spans="1:6" s="1225" customFormat="1" ht="17.25" customHeight="1">
      <c r="B909" s="1225" t="s">
        <v>145</v>
      </c>
      <c r="C909" s="1225" t="s">
        <v>146</v>
      </c>
      <c r="D909" s="1225" t="s">
        <v>85</v>
      </c>
      <c r="E909" s="1225" t="s">
        <v>145</v>
      </c>
      <c r="F909" s="1225">
        <v>0</v>
      </c>
    </row>
    <row r="910" spans="1:6" s="1225" customFormat="1" ht="17.25" customHeight="1">
      <c r="F910" s="1225" t="s">
        <v>52</v>
      </c>
    </row>
    <row r="911" spans="1:6" s="1225" customFormat="1" ht="17.25" customHeight="1">
      <c r="C911" s="1225" t="s">
        <v>155</v>
      </c>
      <c r="F911" s="1225">
        <v>345.05</v>
      </c>
    </row>
    <row r="912" spans="1:6" s="1225" customFormat="1" ht="17.25" customHeight="1"/>
    <row r="913" spans="1:6" s="1225" customFormat="1" ht="17.25" customHeight="1">
      <c r="B913" s="1225" t="s">
        <v>111</v>
      </c>
      <c r="C913" s="1225" t="s">
        <v>1623</v>
      </c>
    </row>
    <row r="914" spans="1:6" s="1225" customFormat="1" ht="17.25" customHeight="1">
      <c r="C914" s="1225" t="s">
        <v>1624</v>
      </c>
    </row>
    <row r="915" spans="1:6" s="1225" customFormat="1" ht="17.25" customHeight="1">
      <c r="C915" s="1225" t="s">
        <v>1625</v>
      </c>
    </row>
    <row r="916" spans="1:6" s="1225" customFormat="1" ht="17.25" customHeight="1">
      <c r="C916" s="1225" t="s">
        <v>52</v>
      </c>
    </row>
    <row r="917" spans="1:6" s="1225" customFormat="1" ht="17.25" customHeight="1">
      <c r="A917" s="1225">
        <v>0.14000000000000001</v>
      </c>
      <c r="B917" s="1225" t="s">
        <v>132</v>
      </c>
      <c r="C917" s="1225" t="s">
        <v>217</v>
      </c>
      <c r="D917" s="1225">
        <v>4662.62</v>
      </c>
      <c r="E917" s="1225" t="s">
        <v>132</v>
      </c>
      <c r="F917" s="1225">
        <v>652.77</v>
      </c>
    </row>
    <row r="918" spans="1:6" s="1225" customFormat="1" ht="17.25" customHeight="1">
      <c r="A918" s="1225">
        <v>1.1000000000000001</v>
      </c>
      <c r="B918" s="1225" t="s">
        <v>131</v>
      </c>
      <c r="C918" s="1225" t="s">
        <v>345</v>
      </c>
      <c r="D918" s="1225">
        <v>1041.7</v>
      </c>
      <c r="E918" s="1225" t="s">
        <v>131</v>
      </c>
      <c r="F918" s="1225">
        <v>1145.8699999999999</v>
      </c>
    </row>
    <row r="919" spans="1:6" s="1225" customFormat="1" ht="17.25" customHeight="1">
      <c r="A919" s="1225">
        <v>0.5</v>
      </c>
      <c r="B919" s="1225" t="s">
        <v>131</v>
      </c>
      <c r="C919" s="1225" t="s">
        <v>304</v>
      </c>
      <c r="D919" s="1225">
        <v>679.8</v>
      </c>
      <c r="E919" s="1225" t="s">
        <v>131</v>
      </c>
      <c r="F919" s="1225">
        <v>339.9</v>
      </c>
    </row>
    <row r="920" spans="1:6" s="1225" customFormat="1" ht="17.25" customHeight="1">
      <c r="A920" s="1225">
        <v>1.1000000000000001</v>
      </c>
      <c r="B920" s="1225" t="s">
        <v>131</v>
      </c>
      <c r="C920" s="1225" t="s">
        <v>306</v>
      </c>
      <c r="D920" s="1225">
        <v>557.70000000000005</v>
      </c>
      <c r="E920" s="1225" t="s">
        <v>131</v>
      </c>
      <c r="F920" s="1225">
        <v>613.47</v>
      </c>
    </row>
    <row r="921" spans="1:6" s="1225" customFormat="1" ht="17.25" customHeight="1">
      <c r="A921" s="1225">
        <v>2</v>
      </c>
      <c r="B921" s="1225" t="s">
        <v>39</v>
      </c>
      <c r="C921" s="1225" t="s">
        <v>1626</v>
      </c>
      <c r="D921" s="1225">
        <v>42.7</v>
      </c>
      <c r="E921" s="1225" t="s">
        <v>39</v>
      </c>
      <c r="F921" s="1225">
        <v>85.4</v>
      </c>
    </row>
    <row r="922" spans="1:6" s="1225" customFormat="1" ht="17.25" customHeight="1">
      <c r="B922" s="1225" t="s">
        <v>145</v>
      </c>
      <c r="C922" s="1225" t="s">
        <v>146</v>
      </c>
      <c r="D922" s="1225" t="s">
        <v>85</v>
      </c>
      <c r="E922" s="1225" t="s">
        <v>145</v>
      </c>
    </row>
    <row r="923" spans="1:6" s="1225" customFormat="1" ht="17.25" customHeight="1">
      <c r="F923" s="1225" t="s">
        <v>52</v>
      </c>
    </row>
    <row r="924" spans="1:6" s="1225" customFormat="1" ht="17.25" customHeight="1">
      <c r="A924" s="1225" t="s">
        <v>85</v>
      </c>
      <c r="C924" s="1225" t="s">
        <v>495</v>
      </c>
      <c r="F924" s="1225">
        <v>2837.41</v>
      </c>
    </row>
    <row r="925" spans="1:6" s="1225" customFormat="1" ht="17.25" customHeight="1">
      <c r="F925" s="1225" t="s">
        <v>52</v>
      </c>
    </row>
    <row r="926" spans="1:6" s="1225" customFormat="1" ht="17.25" customHeight="1">
      <c r="C926" s="1225" t="s">
        <v>460</v>
      </c>
      <c r="F926" s="1225">
        <v>283.74</v>
      </c>
    </row>
    <row r="927" spans="1:6" s="1225" customFormat="1" ht="17.25" customHeight="1"/>
    <row r="928" spans="1:6" s="1225" customFormat="1" ht="17.25" customHeight="1">
      <c r="A928" s="1225" t="s">
        <v>374</v>
      </c>
      <c r="B928" s="1225" t="s">
        <v>111</v>
      </c>
      <c r="C928" s="1225" t="s">
        <v>375</v>
      </c>
    </row>
    <row r="929" spans="1:6" s="1225" customFormat="1" ht="17.25" customHeight="1">
      <c r="C929" s="1225" t="s">
        <v>7576</v>
      </c>
    </row>
    <row r="930" spans="1:6" s="1225" customFormat="1" ht="17.25" customHeight="1">
      <c r="C930" s="1225" t="s">
        <v>52</v>
      </c>
    </row>
    <row r="931" spans="1:6" s="1225" customFormat="1" ht="17.25" customHeight="1">
      <c r="A931" s="1225">
        <v>1</v>
      </c>
      <c r="B931" s="1225" t="s">
        <v>132</v>
      </c>
      <c r="C931" s="1225" t="s">
        <v>4003</v>
      </c>
      <c r="D931" s="1225">
        <v>356.78</v>
      </c>
      <c r="E931" s="1225" t="s">
        <v>132</v>
      </c>
      <c r="F931" s="1225">
        <v>356.78</v>
      </c>
    </row>
    <row r="932" spans="1:6" s="1225" customFormat="1" ht="17.25" customHeight="1">
      <c r="A932" s="1225">
        <v>1</v>
      </c>
      <c r="B932" s="1225" t="s">
        <v>132</v>
      </c>
      <c r="C932" s="1225" t="s">
        <v>218</v>
      </c>
      <c r="D932" s="1225">
        <v>40.65</v>
      </c>
      <c r="E932" s="1225" t="s">
        <v>132</v>
      </c>
      <c r="F932" s="1225">
        <v>40.65</v>
      </c>
    </row>
    <row r="933" spans="1:6" s="1225" customFormat="1" ht="17.25" customHeight="1">
      <c r="B933" s="1225" t="s">
        <v>145</v>
      </c>
      <c r="C933" s="1225" t="s">
        <v>146</v>
      </c>
      <c r="D933" s="1225" t="s">
        <v>85</v>
      </c>
      <c r="E933" s="1225" t="s">
        <v>145</v>
      </c>
      <c r="F933" s="1225">
        <v>0</v>
      </c>
    </row>
    <row r="934" spans="1:6" s="1225" customFormat="1" ht="17.25" customHeight="1">
      <c r="F934" s="1225" t="s">
        <v>52</v>
      </c>
    </row>
    <row r="935" spans="1:6" s="1225" customFormat="1" ht="17.25" customHeight="1">
      <c r="C935" s="1225" t="s">
        <v>155</v>
      </c>
      <c r="F935" s="1225">
        <v>397.43</v>
      </c>
    </row>
    <row r="936" spans="1:6" s="1225" customFormat="1" ht="17.25" customHeight="1"/>
    <row r="937" spans="1:6" s="1225" customFormat="1" ht="17.25" customHeight="1">
      <c r="B937" s="1225">
        <v>4.2</v>
      </c>
      <c r="C937" s="1225" t="s">
        <v>66</v>
      </c>
    </row>
    <row r="938" spans="1:6" s="1225" customFormat="1" ht="17.25" customHeight="1">
      <c r="A938" s="1225">
        <v>5</v>
      </c>
      <c r="B938" s="1225" t="s">
        <v>34</v>
      </c>
      <c r="C938" s="1225" t="s">
        <v>6429</v>
      </c>
      <c r="D938" s="1225">
        <v>1729.98</v>
      </c>
      <c r="F938" s="1225">
        <v>8649.9</v>
      </c>
    </row>
    <row r="939" spans="1:6" s="1225" customFormat="1" ht="17.25" customHeight="1">
      <c r="A939" s="1225">
        <v>3.3</v>
      </c>
      <c r="B939" s="1225" t="s">
        <v>34</v>
      </c>
      <c r="C939" s="1225" t="s">
        <v>6430</v>
      </c>
      <c r="D939" s="1225">
        <v>1444.48</v>
      </c>
      <c r="F939" s="1225">
        <v>4766.78</v>
      </c>
    </row>
    <row r="940" spans="1:6" s="1225" customFormat="1" ht="17.25" customHeight="1">
      <c r="A940" s="1225">
        <v>4.79</v>
      </c>
      <c r="B940" s="1225" t="s">
        <v>34</v>
      </c>
      <c r="C940" s="1225" t="s">
        <v>6431</v>
      </c>
      <c r="D940" s="1225">
        <v>1642.42</v>
      </c>
      <c r="F940" s="1225">
        <v>7867.19</v>
      </c>
    </row>
    <row r="941" spans="1:6" s="1225" customFormat="1" ht="17.25" customHeight="1">
      <c r="A941" s="1225">
        <v>4</v>
      </c>
      <c r="B941" s="1225" t="s">
        <v>11</v>
      </c>
      <c r="C941" s="1225" t="s">
        <v>38</v>
      </c>
      <c r="D941" s="1225">
        <v>6040</v>
      </c>
      <c r="F941" s="1225">
        <v>24160</v>
      </c>
    </row>
    <row r="942" spans="1:6" s="1225" customFormat="1" ht="17.25" customHeight="1">
      <c r="A942" s="1225">
        <v>40</v>
      </c>
      <c r="B942" s="1225" t="s">
        <v>39</v>
      </c>
      <c r="C942" s="1225" t="s">
        <v>67</v>
      </c>
      <c r="D942" s="1225">
        <v>43.2</v>
      </c>
      <c r="F942" s="1225">
        <v>1728</v>
      </c>
    </row>
    <row r="943" spans="1:6" s="1225" customFormat="1" ht="17.25" customHeight="1">
      <c r="A943" s="1225">
        <v>3.5</v>
      </c>
      <c r="B943" s="1225" t="s">
        <v>41</v>
      </c>
      <c r="C943" s="1225" t="s">
        <v>42</v>
      </c>
      <c r="D943" s="1225">
        <v>972.4</v>
      </c>
      <c r="F943" s="1225">
        <v>3403.4</v>
      </c>
    </row>
    <row r="944" spans="1:6" s="1225" customFormat="1" ht="17.25" customHeight="1">
      <c r="A944" s="1225">
        <v>21.2</v>
      </c>
      <c r="B944" s="1225" t="s">
        <v>41</v>
      </c>
      <c r="C944" s="1225" t="s">
        <v>43</v>
      </c>
      <c r="D944" s="1225">
        <v>679.8</v>
      </c>
      <c r="F944" s="1225">
        <v>14411.76</v>
      </c>
    </row>
    <row r="945" spans="1:6" s="1225" customFormat="1" ht="17.25" customHeight="1">
      <c r="A945" s="1225">
        <v>35.299999999999997</v>
      </c>
      <c r="B945" s="1225" t="s">
        <v>41</v>
      </c>
      <c r="C945" s="1225" t="s">
        <v>44</v>
      </c>
      <c r="D945" s="1225">
        <v>557.70000000000005</v>
      </c>
      <c r="F945" s="1225">
        <v>19686.810000000001</v>
      </c>
    </row>
    <row r="946" spans="1:6" s="1225" customFormat="1" ht="17.25" customHeight="1">
      <c r="C946" s="1225" t="s">
        <v>45</v>
      </c>
      <c r="F946" s="1225">
        <v>84673.84</v>
      </c>
    </row>
    <row r="947" spans="1:6" s="1225" customFormat="1" ht="17.25" customHeight="1">
      <c r="C947" s="1225" t="s">
        <v>46</v>
      </c>
      <c r="F947" s="1225">
        <v>8467.3799999999992</v>
      </c>
    </row>
    <row r="948" spans="1:6" s="1225" customFormat="1" ht="17.25" customHeight="1">
      <c r="A948" s="1225">
        <v>1</v>
      </c>
      <c r="B948" s="1225" t="s">
        <v>34</v>
      </c>
      <c r="C948" s="1225" t="s">
        <v>47</v>
      </c>
      <c r="D948" s="1225">
        <v>98.34</v>
      </c>
      <c r="F948" s="1225">
        <v>98.34</v>
      </c>
    </row>
    <row r="949" spans="1:6" s="1225" customFormat="1" ht="17.25" customHeight="1">
      <c r="C949" s="1225" t="s">
        <v>48</v>
      </c>
      <c r="F949" s="1225">
        <v>8565.7199999999993</v>
      </c>
    </row>
    <row r="950" spans="1:6" s="1225" customFormat="1" ht="17.25" customHeight="1">
      <c r="A950" s="1225" t="s">
        <v>49</v>
      </c>
      <c r="C950" s="1225" t="s">
        <v>50</v>
      </c>
      <c r="D950" s="1225" t="s">
        <v>49</v>
      </c>
      <c r="F950" s="1225">
        <v>42.83</v>
      </c>
    </row>
    <row r="951" spans="1:6" s="1225" customFormat="1" ht="17.25" customHeight="1">
      <c r="C951" s="1225" t="s">
        <v>51</v>
      </c>
      <c r="F951" s="1225">
        <v>8608.5499999999993</v>
      </c>
    </row>
    <row r="952" spans="1:6" s="1225" customFormat="1" ht="17.25" customHeight="1">
      <c r="F952" s="1225" t="s">
        <v>52</v>
      </c>
    </row>
    <row r="953" spans="1:6" s="1225" customFormat="1" ht="17.25" customHeight="1">
      <c r="C953" s="1225" t="s">
        <v>53</v>
      </c>
      <c r="F953" s="1225">
        <v>8733.51</v>
      </c>
    </row>
    <row r="954" spans="1:6" s="1225" customFormat="1" ht="17.25" customHeight="1">
      <c r="C954" s="1225" t="s">
        <v>54</v>
      </c>
      <c r="F954" s="1225">
        <v>8979.69</v>
      </c>
    </row>
    <row r="955" spans="1:6" s="1225" customFormat="1" ht="17.25" customHeight="1">
      <c r="C955" s="1225" t="s">
        <v>55</v>
      </c>
      <c r="F955" s="1225">
        <v>9225.8700000000008</v>
      </c>
    </row>
    <row r="956" spans="1:6" s="1225" customFormat="1" ht="17.25" customHeight="1">
      <c r="C956" s="1225" t="s">
        <v>56</v>
      </c>
      <c r="F956" s="1225">
        <v>9472.0499999999993</v>
      </c>
    </row>
    <row r="957" spans="1:6" s="1225" customFormat="1" ht="17.25" customHeight="1">
      <c r="C957" s="1225" t="s">
        <v>57</v>
      </c>
      <c r="F957" s="1225">
        <v>9718.23</v>
      </c>
    </row>
    <row r="958" spans="1:6" s="1225" customFormat="1" ht="17.25" customHeight="1">
      <c r="F958" s="1225">
        <v>9964.41</v>
      </c>
    </row>
    <row r="959" spans="1:6" s="1225" customFormat="1" ht="17.25" customHeight="1"/>
    <row r="960" spans="1:6" s="1225" customFormat="1" ht="17.25" customHeight="1">
      <c r="B960" s="1225" t="s">
        <v>4533</v>
      </c>
      <c r="C960" s="1225" t="s">
        <v>4534</v>
      </c>
      <c r="D960" s="1225">
        <v>881.39</v>
      </c>
    </row>
    <row r="961" spans="1:4" s="1225" customFormat="1" ht="17.25" customHeight="1"/>
    <row r="962" spans="1:4" s="1225" customFormat="1" ht="17.25" customHeight="1">
      <c r="B962" s="1225" t="s">
        <v>986</v>
      </c>
      <c r="C962" s="1225" t="s">
        <v>4535</v>
      </c>
      <c r="D962" s="1225">
        <v>982.08</v>
      </c>
    </row>
    <row r="963" spans="1:4" s="1225" customFormat="1" ht="17.25" customHeight="1"/>
    <row r="964" spans="1:4" s="1225" customFormat="1" ht="17.25" customHeight="1">
      <c r="B964" s="1225" t="s">
        <v>1018</v>
      </c>
      <c r="C964" s="1225" t="s">
        <v>4536</v>
      </c>
      <c r="D964" s="1225">
        <v>1178.5</v>
      </c>
    </row>
    <row r="965" spans="1:4" s="1225" customFormat="1" ht="17.25" customHeight="1"/>
    <row r="966" spans="1:4" s="1225" customFormat="1" ht="17.25" customHeight="1">
      <c r="B966" s="1225" t="s">
        <v>4538</v>
      </c>
      <c r="C966" s="1225" t="s">
        <v>4539</v>
      </c>
      <c r="D966" s="1225">
        <v>1080.29</v>
      </c>
    </row>
    <row r="967" spans="1:4" s="1225" customFormat="1" ht="17.25" customHeight="1"/>
    <row r="968" spans="1:4" s="1225" customFormat="1" ht="17.25" customHeight="1"/>
    <row r="969" spans="1:4" s="1225" customFormat="1" ht="17.25" customHeight="1"/>
    <row r="970" spans="1:4" s="1225" customFormat="1" ht="16.5">
      <c r="A970" s="1225" t="s">
        <v>1164</v>
      </c>
      <c r="B970" s="1225" t="s">
        <v>111</v>
      </c>
      <c r="C970" s="1225" t="s">
        <v>1165</v>
      </c>
    </row>
    <row r="971" spans="1:4" s="1225" customFormat="1" ht="16.5">
      <c r="C971" s="1225" t="s">
        <v>1167</v>
      </c>
    </row>
    <row r="972" spans="1:4" s="1225" customFormat="1" ht="33">
      <c r="C972" s="1225" t="s">
        <v>1169</v>
      </c>
    </row>
    <row r="973" spans="1:4" s="1225" customFormat="1" ht="33">
      <c r="C973" s="1225" t="s">
        <v>1171</v>
      </c>
    </row>
    <row r="974" spans="1:4" s="1225" customFormat="1" ht="33">
      <c r="C974" s="1225" t="s">
        <v>1173</v>
      </c>
    </row>
    <row r="975" spans="1:4" s="1225" customFormat="1" ht="33">
      <c r="C975" s="1225" t="s">
        <v>1175</v>
      </c>
    </row>
    <row r="976" spans="1:4" s="1225" customFormat="1" ht="33">
      <c r="C976" s="1225" t="s">
        <v>1178</v>
      </c>
    </row>
    <row r="977" spans="1:6" s="1225" customFormat="1" ht="16.5">
      <c r="C977" s="1225" t="s">
        <v>1180</v>
      </c>
    </row>
    <row r="978" spans="1:6" s="1225" customFormat="1" ht="33">
      <c r="C978" s="1225" t="s">
        <v>1182</v>
      </c>
    </row>
    <row r="979" spans="1:6" s="1225" customFormat="1" ht="33">
      <c r="C979" s="1225" t="s">
        <v>1184</v>
      </c>
    </row>
    <row r="980" spans="1:6" s="1225" customFormat="1" ht="33">
      <c r="C980" s="1225" t="s">
        <v>1186</v>
      </c>
    </row>
    <row r="981" spans="1:6" s="1225" customFormat="1" ht="33">
      <c r="C981" s="1225" t="s">
        <v>1188</v>
      </c>
    </row>
    <row r="982" spans="1:6" s="1225" customFormat="1" ht="33">
      <c r="C982" s="1225" t="s">
        <v>1190</v>
      </c>
    </row>
    <row r="983" spans="1:6" s="1225" customFormat="1" ht="16.5">
      <c r="C983" s="1225" t="s">
        <v>1192</v>
      </c>
    </row>
    <row r="984" spans="1:6" s="1225" customFormat="1" ht="16.5"/>
    <row r="985" spans="1:6" s="1225" customFormat="1" ht="17.25" customHeight="1"/>
    <row r="986" spans="1:6" s="1225" customFormat="1" ht="17.25" customHeight="1">
      <c r="B986" s="1225" t="s">
        <v>1018</v>
      </c>
      <c r="C986" s="1225" t="s">
        <v>1197</v>
      </c>
    </row>
    <row r="987" spans="1:6" s="1225" customFormat="1" ht="17.25" customHeight="1">
      <c r="C987" s="1225" t="s">
        <v>1199</v>
      </c>
    </row>
    <row r="988" spans="1:6" s="1225" customFormat="1" ht="17.25" customHeight="1">
      <c r="A988" s="1225">
        <v>3.8100000000000002E-2</v>
      </c>
      <c r="B988" s="1225" t="s">
        <v>132</v>
      </c>
      <c r="C988" s="1225" t="s">
        <v>1201</v>
      </c>
      <c r="D988" s="1225">
        <v>7965.45</v>
      </c>
      <c r="E988" s="1225" t="s">
        <v>132</v>
      </c>
      <c r="F988" s="1225">
        <v>303.48</v>
      </c>
    </row>
    <row r="989" spans="1:6" s="1225" customFormat="1" ht="17.25" customHeight="1">
      <c r="A989" s="1225">
        <v>5.01</v>
      </c>
      <c r="B989" s="1225" t="s">
        <v>39</v>
      </c>
      <c r="C989" s="1225" t="s">
        <v>1203</v>
      </c>
      <c r="D989" s="1225">
        <v>90172</v>
      </c>
      <c r="E989" s="1225" t="s">
        <v>122</v>
      </c>
      <c r="F989" s="1225">
        <v>451.76</v>
      </c>
    </row>
    <row r="990" spans="1:6" s="1225" customFormat="1" ht="17.25" customHeight="1">
      <c r="A990" s="1225">
        <v>3</v>
      </c>
      <c r="B990" s="1225" t="s">
        <v>131</v>
      </c>
      <c r="C990" s="1225" t="s">
        <v>1205</v>
      </c>
      <c r="D990" s="1225">
        <v>14.8</v>
      </c>
      <c r="E990" s="1225" t="s">
        <v>131</v>
      </c>
      <c r="F990" s="1225">
        <v>44.4</v>
      </c>
    </row>
    <row r="991" spans="1:6" s="1225" customFormat="1" ht="17.25" customHeight="1">
      <c r="A991" s="1225">
        <v>12</v>
      </c>
      <c r="B991" s="1225" t="s">
        <v>131</v>
      </c>
      <c r="C991" s="1225" t="s">
        <v>1207</v>
      </c>
      <c r="D991" s="1225">
        <v>2</v>
      </c>
      <c r="E991" s="1225" t="s">
        <v>131</v>
      </c>
      <c r="F991" s="1225">
        <v>24</v>
      </c>
    </row>
    <row r="992" spans="1:6" s="1225" customFormat="1" ht="17.25" customHeight="1">
      <c r="A992" s="1225">
        <v>2</v>
      </c>
      <c r="B992" s="1225" t="s">
        <v>131</v>
      </c>
      <c r="C992" s="1225" t="s">
        <v>1209</v>
      </c>
      <c r="D992" s="1225">
        <v>4.9000000000000004</v>
      </c>
      <c r="E992" s="1225" t="s">
        <v>131</v>
      </c>
      <c r="F992" s="1225">
        <v>9.8000000000000007</v>
      </c>
    </row>
    <row r="993" spans="1:6" s="1225" customFormat="1" ht="17.25" customHeight="1">
      <c r="A993" s="1225">
        <v>6</v>
      </c>
      <c r="B993" s="1225" t="s">
        <v>131</v>
      </c>
      <c r="C993" s="1225" t="s">
        <v>1211</v>
      </c>
      <c r="D993" s="1225">
        <v>4.45</v>
      </c>
      <c r="E993" s="1225" t="s">
        <v>131</v>
      </c>
      <c r="F993" s="1225">
        <v>26.7</v>
      </c>
    </row>
    <row r="994" spans="1:6" s="1225" customFormat="1" ht="17.25" customHeight="1">
      <c r="A994" s="1225">
        <v>1</v>
      </c>
      <c r="B994" s="1225" t="s">
        <v>131</v>
      </c>
      <c r="C994" s="1225" t="s">
        <v>1213</v>
      </c>
      <c r="D994" s="1225">
        <v>1041.7</v>
      </c>
      <c r="E994" s="1225" t="s">
        <v>131</v>
      </c>
      <c r="F994" s="1225">
        <v>1041.7</v>
      </c>
    </row>
    <row r="995" spans="1:6" s="1225" customFormat="1" ht="17.25" customHeight="1">
      <c r="A995" s="1225">
        <v>1</v>
      </c>
      <c r="B995" s="1225" t="s">
        <v>131</v>
      </c>
      <c r="C995" s="1225" t="s">
        <v>1215</v>
      </c>
      <c r="D995" s="1225">
        <v>679.8</v>
      </c>
      <c r="E995" s="1225" t="s">
        <v>131</v>
      </c>
      <c r="F995" s="1225">
        <v>679.8</v>
      </c>
    </row>
    <row r="996" spans="1:6" s="1225" customFormat="1" ht="17.25" customHeight="1">
      <c r="A996" s="1225">
        <v>1</v>
      </c>
      <c r="B996" s="1225" t="s">
        <v>131</v>
      </c>
      <c r="C996" s="1225" t="s">
        <v>1217</v>
      </c>
      <c r="D996" s="1225">
        <v>25</v>
      </c>
      <c r="E996" s="1225" t="s">
        <v>131</v>
      </c>
      <c r="F996" s="1225">
        <v>25</v>
      </c>
    </row>
    <row r="997" spans="1:6" s="1225" customFormat="1" ht="17.25" customHeight="1">
      <c r="A997" s="1225">
        <v>0.5</v>
      </c>
      <c r="B997" s="1225" t="s">
        <v>131</v>
      </c>
      <c r="C997" s="1225" t="s">
        <v>1219</v>
      </c>
      <c r="D997" s="1225">
        <v>557.70000000000005</v>
      </c>
      <c r="E997" s="1225" t="s">
        <v>131</v>
      </c>
      <c r="F997" s="1225">
        <v>278.85000000000002</v>
      </c>
    </row>
    <row r="998" spans="1:6" s="1225" customFormat="1" ht="17.25" customHeight="1">
      <c r="B998" s="1225" t="s">
        <v>145</v>
      </c>
      <c r="C998" s="1225" t="s">
        <v>1221</v>
      </c>
      <c r="E998" s="1225" t="s">
        <v>145</v>
      </c>
      <c r="F998" s="1225">
        <v>1.1299999999999999</v>
      </c>
    </row>
    <row r="999" spans="1:6" s="1225" customFormat="1" ht="17.25" customHeight="1">
      <c r="F999" s="1225" t="s">
        <v>52</v>
      </c>
    </row>
    <row r="1000" spans="1:6" s="1225" customFormat="1" ht="17.25" customHeight="1">
      <c r="C1000" s="1225" t="s">
        <v>1224</v>
      </c>
      <c r="F1000" s="1225">
        <v>2886.62</v>
      </c>
    </row>
    <row r="1001" spans="1:6" s="1225" customFormat="1" ht="17.25" customHeight="1"/>
    <row r="1002" spans="1:6" s="1225" customFormat="1" ht="17.25" customHeight="1">
      <c r="B1002" s="1225" t="s">
        <v>956</v>
      </c>
      <c r="C1002" s="1225" t="s">
        <v>1227</v>
      </c>
    </row>
    <row r="1003" spans="1:6" s="1225" customFormat="1" ht="17.25" customHeight="1">
      <c r="C1003" s="1225" t="s">
        <v>1199</v>
      </c>
    </row>
    <row r="1004" spans="1:6" s="1225" customFormat="1" ht="17.25" customHeight="1">
      <c r="A1004" s="1225">
        <v>3.6799999999999999E-2</v>
      </c>
      <c r="B1004" s="1225" t="s">
        <v>132</v>
      </c>
      <c r="C1004" s="1225" t="s">
        <v>6434</v>
      </c>
      <c r="D1004" s="1225">
        <v>7965.45</v>
      </c>
      <c r="E1004" s="1225" t="s">
        <v>132</v>
      </c>
      <c r="F1004" s="1225">
        <v>293.13</v>
      </c>
    </row>
    <row r="1005" spans="1:6" s="1225" customFormat="1" ht="17.25" customHeight="1">
      <c r="A1005" s="1225">
        <v>4.87</v>
      </c>
      <c r="B1005" s="1225" t="s">
        <v>39</v>
      </c>
      <c r="C1005" s="1225" t="s">
        <v>1203</v>
      </c>
      <c r="D1005" s="1225">
        <v>90172</v>
      </c>
      <c r="E1005" s="1225" t="s">
        <v>122</v>
      </c>
      <c r="F1005" s="1225">
        <v>439.14</v>
      </c>
    </row>
    <row r="1006" spans="1:6" s="1225" customFormat="1" ht="17.25" customHeight="1">
      <c r="A1006" s="1225">
        <v>3</v>
      </c>
      <c r="B1006" s="1225" t="s">
        <v>131</v>
      </c>
      <c r="C1006" s="1225" t="s">
        <v>1205</v>
      </c>
      <c r="D1006" s="1225">
        <v>14.8</v>
      </c>
      <c r="E1006" s="1225" t="s">
        <v>131</v>
      </c>
      <c r="F1006" s="1225">
        <v>44.4</v>
      </c>
    </row>
    <row r="1007" spans="1:6" s="1225" customFormat="1" ht="17.25" customHeight="1">
      <c r="A1007" s="1225">
        <v>12</v>
      </c>
      <c r="B1007" s="1225" t="s">
        <v>131</v>
      </c>
      <c r="C1007" s="1225" t="s">
        <v>1207</v>
      </c>
      <c r="D1007" s="1225">
        <v>2</v>
      </c>
      <c r="E1007" s="1225" t="s">
        <v>131</v>
      </c>
      <c r="F1007" s="1225">
        <v>24</v>
      </c>
    </row>
    <row r="1008" spans="1:6" s="1225" customFormat="1" ht="17.25" customHeight="1">
      <c r="A1008" s="1225">
        <v>2</v>
      </c>
      <c r="B1008" s="1225" t="s">
        <v>131</v>
      </c>
      <c r="C1008" s="1225" t="s">
        <v>1209</v>
      </c>
      <c r="D1008" s="1225">
        <v>4.9000000000000004</v>
      </c>
      <c r="E1008" s="1225" t="s">
        <v>131</v>
      </c>
      <c r="F1008" s="1225">
        <v>9.8000000000000007</v>
      </c>
    </row>
    <row r="1009" spans="1:6" s="1225" customFormat="1" ht="17.25" customHeight="1">
      <c r="A1009" s="1225">
        <v>6</v>
      </c>
      <c r="B1009" s="1225" t="s">
        <v>131</v>
      </c>
      <c r="C1009" s="1225" t="s">
        <v>1211</v>
      </c>
      <c r="D1009" s="1225">
        <v>4.45</v>
      </c>
      <c r="E1009" s="1225" t="s">
        <v>131</v>
      </c>
      <c r="F1009" s="1225">
        <v>26.7</v>
      </c>
    </row>
    <row r="1010" spans="1:6" s="1225" customFormat="1" ht="17.25" customHeight="1">
      <c r="A1010" s="1225">
        <v>1</v>
      </c>
      <c r="B1010" s="1225" t="s">
        <v>131</v>
      </c>
      <c r="C1010" s="1225" t="s">
        <v>1213</v>
      </c>
      <c r="D1010" s="1225">
        <v>1041.7</v>
      </c>
      <c r="E1010" s="1225" t="s">
        <v>131</v>
      </c>
      <c r="F1010" s="1225">
        <v>1041.7</v>
      </c>
    </row>
    <row r="1011" spans="1:6" s="1225" customFormat="1" ht="17.25" customHeight="1">
      <c r="A1011" s="1225">
        <v>1</v>
      </c>
      <c r="B1011" s="1225" t="s">
        <v>131</v>
      </c>
      <c r="C1011" s="1225" t="s">
        <v>1215</v>
      </c>
      <c r="D1011" s="1225">
        <v>679.8</v>
      </c>
      <c r="E1011" s="1225" t="s">
        <v>131</v>
      </c>
      <c r="F1011" s="1225">
        <v>679.8</v>
      </c>
    </row>
    <row r="1012" spans="1:6" s="1225" customFormat="1" ht="17.25" customHeight="1">
      <c r="A1012" s="1225">
        <v>1</v>
      </c>
      <c r="B1012" s="1225" t="s">
        <v>131</v>
      </c>
      <c r="C1012" s="1225" t="s">
        <v>1217</v>
      </c>
      <c r="D1012" s="1225">
        <v>25</v>
      </c>
      <c r="E1012" s="1225" t="s">
        <v>131</v>
      </c>
      <c r="F1012" s="1225">
        <v>25</v>
      </c>
    </row>
    <row r="1013" spans="1:6" s="1225" customFormat="1" ht="17.25" customHeight="1">
      <c r="A1013" s="1225">
        <v>0.5</v>
      </c>
      <c r="B1013" s="1225" t="s">
        <v>131</v>
      </c>
      <c r="C1013" s="1225" t="s">
        <v>1219</v>
      </c>
      <c r="D1013" s="1225">
        <v>557.70000000000005</v>
      </c>
      <c r="E1013" s="1225" t="s">
        <v>131</v>
      </c>
      <c r="F1013" s="1225">
        <v>278.85000000000002</v>
      </c>
    </row>
    <row r="1014" spans="1:6" s="1225" customFormat="1" ht="17.25" customHeight="1">
      <c r="B1014" s="1225" t="s">
        <v>145</v>
      </c>
      <c r="C1014" s="1225" t="s">
        <v>1221</v>
      </c>
      <c r="E1014" s="1225" t="s">
        <v>145</v>
      </c>
      <c r="F1014" s="1225">
        <v>1.98</v>
      </c>
    </row>
    <row r="1015" spans="1:6" s="1225" customFormat="1" ht="17.25" customHeight="1">
      <c r="F1015" s="1225" t="s">
        <v>52</v>
      </c>
    </row>
    <row r="1016" spans="1:6" s="1225" customFormat="1" ht="17.25" customHeight="1">
      <c r="C1016" s="1225" t="s">
        <v>1224</v>
      </c>
      <c r="F1016" s="1225">
        <v>2864.5</v>
      </c>
    </row>
    <row r="1017" spans="1:6" s="1225" customFormat="1" ht="17.25" customHeight="1"/>
    <row r="1018" spans="1:6" s="1225" customFormat="1" ht="17.25" customHeight="1">
      <c r="C1018" s="1225" t="s">
        <v>4227</v>
      </c>
    </row>
    <row r="1019" spans="1:6" s="1225" customFormat="1" ht="17.25" customHeight="1"/>
    <row r="1020" spans="1:6" s="1225" customFormat="1" ht="17.25" customHeight="1">
      <c r="A1020" s="1225">
        <v>6.5000000000000002E-2</v>
      </c>
      <c r="B1020" s="1225" t="s">
        <v>132</v>
      </c>
      <c r="C1020" s="1225" t="s">
        <v>1201</v>
      </c>
      <c r="D1020" s="1225">
        <v>7965.45</v>
      </c>
      <c r="E1020" s="1225" t="s">
        <v>132</v>
      </c>
      <c r="F1020" s="1225">
        <v>517.75</v>
      </c>
    </row>
    <row r="1021" spans="1:6" s="1225" customFormat="1" ht="17.25" customHeight="1">
      <c r="A1021" s="1225">
        <v>8.4499999999999993</v>
      </c>
      <c r="B1021" s="1225" t="s">
        <v>39</v>
      </c>
      <c r="C1021" s="1225" t="s">
        <v>1203</v>
      </c>
      <c r="D1021" s="1225">
        <v>90172</v>
      </c>
      <c r="E1021" s="1225" t="s">
        <v>122</v>
      </c>
      <c r="F1021" s="1225">
        <v>761.95</v>
      </c>
    </row>
    <row r="1022" spans="1:6" s="1225" customFormat="1" ht="17.25" customHeight="1">
      <c r="A1022" s="1225">
        <v>3</v>
      </c>
      <c r="B1022" s="1225" t="s">
        <v>131</v>
      </c>
      <c r="C1022" s="1225" t="s">
        <v>1205</v>
      </c>
      <c r="D1022" s="1225">
        <v>14.8</v>
      </c>
      <c r="E1022" s="1225" t="s">
        <v>131</v>
      </c>
      <c r="F1022" s="1225">
        <v>44.4</v>
      </c>
    </row>
    <row r="1023" spans="1:6" s="1225" customFormat="1" ht="17.25" customHeight="1">
      <c r="A1023" s="1225">
        <v>12</v>
      </c>
      <c r="B1023" s="1225" t="s">
        <v>131</v>
      </c>
      <c r="C1023" s="1225" t="s">
        <v>1207</v>
      </c>
      <c r="D1023" s="1225">
        <v>2</v>
      </c>
      <c r="E1023" s="1225" t="s">
        <v>131</v>
      </c>
      <c r="F1023" s="1225">
        <v>24</v>
      </c>
    </row>
    <row r="1024" spans="1:6" s="1225" customFormat="1" ht="17.25" customHeight="1">
      <c r="A1024" s="1225">
        <v>2</v>
      </c>
      <c r="B1024" s="1225" t="s">
        <v>131</v>
      </c>
      <c r="C1024" s="1225" t="s">
        <v>1209</v>
      </c>
      <c r="D1024" s="1225">
        <v>4.9000000000000004</v>
      </c>
      <c r="E1024" s="1225" t="s">
        <v>131</v>
      </c>
      <c r="F1024" s="1225">
        <v>9.8000000000000007</v>
      </c>
    </row>
    <row r="1025" spans="1:6" s="1225" customFormat="1" ht="17.25" customHeight="1">
      <c r="A1025" s="1225">
        <v>6</v>
      </c>
      <c r="B1025" s="1225" t="s">
        <v>131</v>
      </c>
      <c r="C1025" s="1225" t="s">
        <v>1211</v>
      </c>
      <c r="D1025" s="1225">
        <v>4.45</v>
      </c>
      <c r="E1025" s="1225" t="s">
        <v>131</v>
      </c>
      <c r="F1025" s="1225">
        <v>26.7</v>
      </c>
    </row>
    <row r="1026" spans="1:6" s="1225" customFormat="1" ht="17.25" customHeight="1">
      <c r="A1026" s="1225">
        <v>1</v>
      </c>
      <c r="B1026" s="1225" t="s">
        <v>131</v>
      </c>
      <c r="C1026" s="1225" t="s">
        <v>1213</v>
      </c>
      <c r="D1026" s="1225">
        <v>1041.7</v>
      </c>
      <c r="E1026" s="1225" t="s">
        <v>131</v>
      </c>
      <c r="F1026" s="1225">
        <v>1041.7</v>
      </c>
    </row>
    <row r="1027" spans="1:6" s="1225" customFormat="1" ht="17.25" customHeight="1">
      <c r="A1027" s="1225">
        <v>1</v>
      </c>
      <c r="B1027" s="1225" t="s">
        <v>131</v>
      </c>
      <c r="C1027" s="1225" t="s">
        <v>1215</v>
      </c>
      <c r="D1027" s="1225">
        <v>679.8</v>
      </c>
      <c r="E1027" s="1225" t="s">
        <v>131</v>
      </c>
      <c r="F1027" s="1225">
        <v>679.8</v>
      </c>
    </row>
    <row r="1028" spans="1:6" s="1225" customFormat="1" ht="17.25" customHeight="1">
      <c r="A1028" s="1225">
        <v>1</v>
      </c>
      <c r="B1028" s="1225" t="s">
        <v>131</v>
      </c>
      <c r="C1028" s="1225" t="s">
        <v>1217</v>
      </c>
      <c r="D1028" s="1225">
        <v>25</v>
      </c>
      <c r="E1028" s="1225" t="s">
        <v>131</v>
      </c>
      <c r="F1028" s="1225">
        <v>25</v>
      </c>
    </row>
    <row r="1029" spans="1:6" s="1225" customFormat="1" ht="17.25" customHeight="1">
      <c r="A1029" s="1225">
        <v>0.5</v>
      </c>
      <c r="B1029" s="1225" t="s">
        <v>131</v>
      </c>
      <c r="C1029" s="1225" t="s">
        <v>1219</v>
      </c>
      <c r="D1029" s="1225">
        <v>557.70000000000005</v>
      </c>
      <c r="E1029" s="1225" t="s">
        <v>131</v>
      </c>
      <c r="F1029" s="1225">
        <v>278.85000000000002</v>
      </c>
    </row>
    <row r="1030" spans="1:6" s="1225" customFormat="1" ht="17.25" customHeight="1">
      <c r="B1030" s="1225" t="s">
        <v>145</v>
      </c>
      <c r="C1030" s="1225" t="s">
        <v>1221</v>
      </c>
      <c r="D1030" s="1225">
        <v>0</v>
      </c>
      <c r="E1030" s="1225" t="s">
        <v>145</v>
      </c>
      <c r="F1030" s="1225">
        <v>2.1</v>
      </c>
    </row>
    <row r="1031" spans="1:6" s="1225" customFormat="1" ht="17.25" customHeight="1">
      <c r="F1031" s="1225" t="s">
        <v>52</v>
      </c>
    </row>
    <row r="1032" spans="1:6" s="1225" customFormat="1" ht="17.25" customHeight="1">
      <c r="C1032" s="1225" t="s">
        <v>1224</v>
      </c>
      <c r="F1032" s="1225">
        <v>3412.05</v>
      </c>
    </row>
    <row r="1033" spans="1:6" s="1225" customFormat="1" ht="17.25" customHeight="1"/>
    <row r="1034" spans="1:6" s="1225" customFormat="1" ht="17.25" customHeight="1">
      <c r="A1034" s="1225" t="s">
        <v>3554</v>
      </c>
      <c r="C1034" s="1225" t="s">
        <v>4850</v>
      </c>
    </row>
    <row r="1035" spans="1:6" s="1225" customFormat="1" ht="17.25" customHeight="1">
      <c r="C1035" s="1225" t="s">
        <v>52</v>
      </c>
      <c r="D1035" s="1225" t="s">
        <v>52</v>
      </c>
      <c r="E1035" s="1225" t="s">
        <v>52</v>
      </c>
    </row>
    <row r="1036" spans="1:6" s="1225" customFormat="1" ht="17.25" customHeight="1"/>
    <row r="1037" spans="1:6" s="1225" customFormat="1" ht="17.25" customHeight="1">
      <c r="C1037" s="1225" t="s">
        <v>1526</v>
      </c>
    </row>
    <row r="1038" spans="1:6" s="1225" customFormat="1" ht="17.25" customHeight="1"/>
    <row r="1039" spans="1:6" s="1225" customFormat="1" ht="17.25" customHeight="1">
      <c r="C1039" s="1225" t="s">
        <v>1527</v>
      </c>
    </row>
    <row r="1040" spans="1:6" s="1225" customFormat="1" ht="17.25" customHeight="1">
      <c r="C1040" s="1225" t="s">
        <v>1528</v>
      </c>
    </row>
    <row r="1041" spans="1:6" s="1225" customFormat="1" ht="17.25" customHeight="1">
      <c r="C1041" s="1225" t="s">
        <v>1529</v>
      </c>
    </row>
    <row r="1042" spans="1:6" s="1225" customFormat="1" ht="17.25" customHeight="1">
      <c r="C1042" s="1225" t="s">
        <v>1530</v>
      </c>
    </row>
    <row r="1043" spans="1:6" s="1225" customFormat="1" ht="17.25" customHeight="1">
      <c r="C1043" s="1225" t="s">
        <v>2214</v>
      </c>
      <c r="E1043" s="1225" t="s">
        <v>85</v>
      </c>
      <c r="F1043" s="1225">
        <v>3.7699999999999997E-2</v>
      </c>
    </row>
    <row r="1044" spans="1:6" s="1225" customFormat="1" ht="17.25" customHeight="1">
      <c r="C1044" s="1225" t="s">
        <v>4851</v>
      </c>
      <c r="E1044" s="1225" t="s">
        <v>85</v>
      </c>
      <c r="F1044" s="1225" t="s">
        <v>85</v>
      </c>
    </row>
    <row r="1045" spans="1:6" s="1225" customFormat="1" ht="17.25" customHeight="1">
      <c r="C1045" s="1225" t="s">
        <v>1532</v>
      </c>
      <c r="F1045" s="1225" t="s">
        <v>85</v>
      </c>
    </row>
    <row r="1046" spans="1:6" s="1225" customFormat="1" ht="17.25" customHeight="1"/>
    <row r="1047" spans="1:6" s="1225" customFormat="1" ht="16.5">
      <c r="A1047" s="1225">
        <v>1.18E-2</v>
      </c>
      <c r="B1047" s="1225" t="s">
        <v>132</v>
      </c>
      <c r="C1047" s="1225" t="s">
        <v>446</v>
      </c>
      <c r="D1047" s="1225">
        <v>111600</v>
      </c>
      <c r="E1047" s="1225" t="s">
        <v>132</v>
      </c>
      <c r="F1047" s="1225">
        <v>1316.88</v>
      </c>
    </row>
    <row r="1048" spans="1:6" s="1225" customFormat="1" ht="17.25" customHeight="1">
      <c r="A1048" s="1225">
        <v>3.7699999999999997E-2</v>
      </c>
      <c r="B1048" s="1225" t="s">
        <v>132</v>
      </c>
      <c r="C1048" s="1225" t="s">
        <v>447</v>
      </c>
      <c r="D1048" s="1225">
        <v>99400</v>
      </c>
      <c r="E1048" s="1225" t="s">
        <v>132</v>
      </c>
      <c r="F1048" s="1225">
        <v>3747.38</v>
      </c>
    </row>
    <row r="1049" spans="1:6" s="1225" customFormat="1" ht="17.25" customHeight="1">
      <c r="A1049" s="1225">
        <v>1.8550000000000001E-2</v>
      </c>
      <c r="B1049" s="1225" t="s">
        <v>132</v>
      </c>
      <c r="C1049" s="1225" t="s">
        <v>1533</v>
      </c>
      <c r="D1049" s="1225">
        <v>14278</v>
      </c>
      <c r="E1049" s="1225" t="s">
        <v>132</v>
      </c>
      <c r="F1049" s="1225">
        <v>264.86</v>
      </c>
    </row>
    <row r="1050" spans="1:6" s="1225" customFormat="1" ht="17.25" customHeight="1">
      <c r="A1050" s="1225">
        <v>1.36</v>
      </c>
      <c r="B1050" s="1225" t="s">
        <v>425</v>
      </c>
      <c r="C1050" s="1225" t="s">
        <v>4857</v>
      </c>
      <c r="D1050" s="1225">
        <v>387.4</v>
      </c>
      <c r="E1050" s="1225" t="s">
        <v>425</v>
      </c>
      <c r="F1050" s="1225">
        <v>526.86</v>
      </c>
    </row>
    <row r="1051" spans="1:6" s="1225" customFormat="1" ht="17.25" customHeight="1">
      <c r="A1051" s="1225">
        <v>2.0499999999999998</v>
      </c>
      <c r="B1051" s="1225" t="s">
        <v>425</v>
      </c>
      <c r="C1051" s="1225" t="s">
        <v>1535</v>
      </c>
      <c r="D1051" s="1225">
        <v>1336.5</v>
      </c>
      <c r="E1051" s="1225" t="s">
        <v>425</v>
      </c>
      <c r="F1051" s="1225">
        <v>2739.83</v>
      </c>
    </row>
    <row r="1052" spans="1:6" s="1225" customFormat="1" ht="17.25" customHeight="1">
      <c r="A1052" s="1225">
        <v>2</v>
      </c>
      <c r="B1052" s="1225" t="s">
        <v>131</v>
      </c>
      <c r="C1052" s="1225" t="s">
        <v>4860</v>
      </c>
      <c r="D1052" s="1225">
        <v>57</v>
      </c>
      <c r="E1052" s="1225" t="s">
        <v>131</v>
      </c>
      <c r="F1052" s="1225">
        <v>114</v>
      </c>
    </row>
    <row r="1053" spans="1:6" s="1225" customFormat="1" ht="17.25" customHeight="1">
      <c r="A1053" s="1225">
        <v>6</v>
      </c>
      <c r="B1053" s="1225" t="s">
        <v>131</v>
      </c>
      <c r="C1053" s="1225" t="s">
        <v>1502</v>
      </c>
      <c r="D1053" s="1225">
        <v>49.35</v>
      </c>
      <c r="E1053" s="1225" t="s">
        <v>131</v>
      </c>
      <c r="F1053" s="1225">
        <v>296.10000000000002</v>
      </c>
    </row>
    <row r="1054" spans="1:6" s="1225" customFormat="1" ht="17.25" customHeight="1">
      <c r="A1054" s="1225">
        <v>2</v>
      </c>
      <c r="B1054" s="1225" t="s">
        <v>131</v>
      </c>
      <c r="C1054" s="1225" t="s">
        <v>2216</v>
      </c>
      <c r="D1054" s="1225">
        <v>60.9</v>
      </c>
      <c r="E1054" s="1225" t="s">
        <v>131</v>
      </c>
      <c r="F1054" s="1225">
        <v>121.8</v>
      </c>
    </row>
    <row r="1055" spans="1:6" s="1225" customFormat="1" ht="17.25" customHeight="1">
      <c r="A1055" s="1225">
        <v>1</v>
      </c>
      <c r="B1055" s="1225" t="s">
        <v>131</v>
      </c>
      <c r="C1055" s="1225" t="s">
        <v>1538</v>
      </c>
      <c r="D1055" s="1225">
        <v>63.2</v>
      </c>
      <c r="E1055" s="1225" t="s">
        <v>131</v>
      </c>
      <c r="F1055" s="1225">
        <v>63.2</v>
      </c>
    </row>
    <row r="1056" spans="1:6" s="1225" customFormat="1" ht="17.25" customHeight="1">
      <c r="A1056" s="1225">
        <v>6.55</v>
      </c>
      <c r="B1056" s="1225" t="s">
        <v>425</v>
      </c>
      <c r="C1056" s="1225" t="s">
        <v>4870</v>
      </c>
      <c r="D1056" s="1225">
        <v>240.31</v>
      </c>
      <c r="E1056" s="1225" t="s">
        <v>425</v>
      </c>
      <c r="F1056" s="1225">
        <v>1574.03</v>
      </c>
    </row>
    <row r="1057" spans="1:6" s="1225" customFormat="1" ht="17.25" customHeight="1">
      <c r="A1057" s="1225">
        <v>50</v>
      </c>
      <c r="B1057" s="1225" t="s">
        <v>41</v>
      </c>
      <c r="C1057" s="1225" t="s">
        <v>4872</v>
      </c>
      <c r="D1057" s="1225">
        <v>2.41</v>
      </c>
      <c r="F1057" s="1225">
        <v>120.5</v>
      </c>
    </row>
    <row r="1058" spans="1:6" s="1225" customFormat="1" ht="17.25" customHeight="1">
      <c r="F1058" s="1225" t="s">
        <v>52</v>
      </c>
    </row>
    <row r="1059" spans="1:6" s="1225" customFormat="1" ht="17.25" customHeight="1">
      <c r="C1059" s="1225" t="s">
        <v>1541</v>
      </c>
      <c r="F1059" s="1225">
        <v>10885.44</v>
      </c>
    </row>
    <row r="1060" spans="1:6" s="1225" customFormat="1" ht="17.25" customHeight="1">
      <c r="B1060" s="1225" t="s">
        <v>85</v>
      </c>
      <c r="F1060" s="1225" t="s">
        <v>52</v>
      </c>
    </row>
    <row r="1061" spans="1:6" s="1225" customFormat="1" ht="17.25" customHeight="1">
      <c r="C1061" s="1225" t="s">
        <v>460</v>
      </c>
      <c r="F1061" s="1225">
        <v>4319.62</v>
      </c>
    </row>
    <row r="1062" spans="1:6" s="1225" customFormat="1" ht="17.25" customHeight="1"/>
    <row r="1063" spans="1:6" s="1225" customFormat="1" ht="17.25" customHeight="1">
      <c r="C1063" s="1225" t="s">
        <v>4195</v>
      </c>
      <c r="D1063" s="1225">
        <v>3325</v>
      </c>
      <c r="E1063" s="1225" t="s">
        <v>425</v>
      </c>
    </row>
    <row r="1064" spans="1:6" s="1225" customFormat="1" ht="17.25" customHeight="1"/>
    <row r="1065" spans="1:6" s="1225" customFormat="1" ht="17.25" customHeight="1">
      <c r="A1065" s="1225">
        <v>29.4</v>
      </c>
      <c r="B1065" s="1225" t="s">
        <v>111</v>
      </c>
      <c r="C1065" s="1225" t="s">
        <v>1588</v>
      </c>
    </row>
    <row r="1066" spans="1:6" s="1225" customFormat="1" ht="17.25" customHeight="1">
      <c r="C1066" s="1225" t="s">
        <v>1589</v>
      </c>
    </row>
    <row r="1067" spans="1:6" s="1225" customFormat="1" ht="17.25" customHeight="1">
      <c r="C1067" s="1225" t="s">
        <v>52</v>
      </c>
    </row>
    <row r="1068" spans="1:6" s="1225" customFormat="1" ht="17.25" customHeight="1">
      <c r="A1068" s="1225">
        <v>1.86</v>
      </c>
      <c r="B1068" s="1225" t="s">
        <v>425</v>
      </c>
      <c r="C1068" s="1225" t="s">
        <v>1590</v>
      </c>
      <c r="D1068" s="1225">
        <v>415</v>
      </c>
      <c r="E1068" s="1225" t="s">
        <v>425</v>
      </c>
      <c r="F1068" s="1225">
        <v>771.9</v>
      </c>
    </row>
    <row r="1069" spans="1:6" s="1225" customFormat="1" ht="17.25" customHeight="1">
      <c r="A1069" s="1225">
        <v>0.4</v>
      </c>
      <c r="B1069" s="1225" t="s">
        <v>39</v>
      </c>
      <c r="C1069" s="1225" t="s">
        <v>4296</v>
      </c>
      <c r="D1069" s="1225">
        <v>36.1</v>
      </c>
      <c r="E1069" s="1225" t="s">
        <v>39</v>
      </c>
      <c r="F1069" s="1225">
        <v>14.44</v>
      </c>
    </row>
    <row r="1070" spans="1:6" s="1225" customFormat="1" ht="17.25" customHeight="1">
      <c r="A1070" s="1225">
        <v>0.02</v>
      </c>
      <c r="B1070" s="1225" t="s">
        <v>132</v>
      </c>
      <c r="C1070" s="1225" t="s">
        <v>1592</v>
      </c>
      <c r="D1070" s="1225">
        <v>6117.22</v>
      </c>
      <c r="E1070" s="1225" t="s">
        <v>132</v>
      </c>
      <c r="F1070" s="1225">
        <v>122.34</v>
      </c>
    </row>
    <row r="1071" spans="1:6" s="1225" customFormat="1" ht="17.25" customHeight="1">
      <c r="A1071" s="1225">
        <v>1</v>
      </c>
      <c r="B1071" s="1225" t="s">
        <v>237</v>
      </c>
      <c r="C1071" s="1225" t="s">
        <v>345</v>
      </c>
      <c r="D1071" s="1225">
        <v>1041.7</v>
      </c>
      <c r="E1071" s="1225" t="s">
        <v>237</v>
      </c>
      <c r="F1071" s="1225">
        <v>1041.7</v>
      </c>
    </row>
    <row r="1072" spans="1:6" s="1225" customFormat="1" ht="17.25" customHeight="1">
      <c r="A1072" s="1225">
        <v>1</v>
      </c>
      <c r="B1072" s="1225" t="s">
        <v>237</v>
      </c>
      <c r="C1072" s="1225" t="s">
        <v>1593</v>
      </c>
      <c r="D1072" s="1225">
        <v>679.8</v>
      </c>
      <c r="E1072" s="1225" t="s">
        <v>237</v>
      </c>
      <c r="F1072" s="1225">
        <v>679.8</v>
      </c>
    </row>
    <row r="1073" spans="1:6" s="1225" customFormat="1" ht="17.25" customHeight="1">
      <c r="B1073" s="1225" t="s">
        <v>145</v>
      </c>
      <c r="C1073" s="1225" t="s">
        <v>146</v>
      </c>
      <c r="E1073" s="1225" t="s">
        <v>145</v>
      </c>
    </row>
    <row r="1074" spans="1:6" s="1225" customFormat="1" ht="17.25" customHeight="1">
      <c r="F1074" s="1225" t="s">
        <v>52</v>
      </c>
    </row>
    <row r="1075" spans="1:6" s="1225" customFormat="1" ht="17.25" customHeight="1">
      <c r="C1075" s="1225" t="s">
        <v>1594</v>
      </c>
      <c r="F1075" s="1225">
        <v>2630.18</v>
      </c>
    </row>
    <row r="1076" spans="1:6" s="1225" customFormat="1" ht="17.25" customHeight="1">
      <c r="F1076" s="1225" t="s">
        <v>52</v>
      </c>
    </row>
    <row r="1077" spans="1:6" s="1225" customFormat="1" ht="17.25" customHeight="1">
      <c r="C1077" s="1225" t="s">
        <v>460</v>
      </c>
      <c r="F1077" s="1225">
        <v>1414.08</v>
      </c>
    </row>
    <row r="1078" spans="1:6" s="1225" customFormat="1" ht="17.25" customHeight="1"/>
    <row r="1079" spans="1:6" s="1225" customFormat="1" ht="17.25" customHeight="1">
      <c r="A1079" s="1225">
        <v>29.4</v>
      </c>
      <c r="B1079" s="1225" t="s">
        <v>111</v>
      </c>
      <c r="C1079" s="1225" t="s">
        <v>1588</v>
      </c>
    </row>
    <row r="1080" spans="1:6" s="1225" customFormat="1" ht="17.25" customHeight="1">
      <c r="C1080" s="1225" t="s">
        <v>1589</v>
      </c>
    </row>
    <row r="1081" spans="1:6" s="1225" customFormat="1" ht="17.25" customHeight="1">
      <c r="C1081" s="1225" t="s">
        <v>52</v>
      </c>
    </row>
    <row r="1082" spans="1:6" s="1225" customFormat="1" ht="17.25" customHeight="1">
      <c r="A1082" s="1225">
        <v>1.86</v>
      </c>
      <c r="B1082" s="1225" t="s">
        <v>425</v>
      </c>
      <c r="C1082" s="1225" t="s">
        <v>1590</v>
      </c>
      <c r="D1082" s="1225">
        <v>415</v>
      </c>
      <c r="E1082" s="1225" t="s">
        <v>425</v>
      </c>
      <c r="F1082" s="1225">
        <v>771.9</v>
      </c>
    </row>
    <row r="1083" spans="1:6" s="1225" customFormat="1" ht="17.25" customHeight="1">
      <c r="A1083" s="1225">
        <v>0.4</v>
      </c>
      <c r="B1083" s="1225" t="s">
        <v>39</v>
      </c>
      <c r="C1083" s="1225" t="s">
        <v>4296</v>
      </c>
      <c r="D1083" s="1225">
        <v>36.1</v>
      </c>
      <c r="E1083" s="1225" t="s">
        <v>39</v>
      </c>
      <c r="F1083" s="1225">
        <v>14.44</v>
      </c>
    </row>
    <row r="1084" spans="1:6" s="1225" customFormat="1" ht="17.25" customHeight="1">
      <c r="A1084" s="1225">
        <v>0.02</v>
      </c>
      <c r="B1084" s="1225" t="s">
        <v>132</v>
      </c>
      <c r="C1084" s="1225" t="s">
        <v>1592</v>
      </c>
      <c r="D1084" s="1225">
        <v>6112.22</v>
      </c>
      <c r="E1084" s="1225" t="s">
        <v>132</v>
      </c>
      <c r="F1084" s="1225">
        <v>122.24</v>
      </c>
    </row>
    <row r="1085" spans="1:6" s="1225" customFormat="1" ht="17.25" customHeight="1">
      <c r="A1085" s="1225">
        <v>1</v>
      </c>
      <c r="B1085" s="1225" t="s">
        <v>237</v>
      </c>
      <c r="C1085" s="1225" t="s">
        <v>345</v>
      </c>
      <c r="D1085" s="1225">
        <v>1041.7</v>
      </c>
      <c r="E1085" s="1225" t="s">
        <v>237</v>
      </c>
      <c r="F1085" s="1225">
        <v>1041.7</v>
      </c>
    </row>
    <row r="1086" spans="1:6" s="1225" customFormat="1" ht="17.25" customHeight="1">
      <c r="A1086" s="1225">
        <v>1</v>
      </c>
      <c r="B1086" s="1225" t="s">
        <v>237</v>
      </c>
      <c r="C1086" s="1225" t="s">
        <v>1593</v>
      </c>
      <c r="D1086" s="1225">
        <v>679.8</v>
      </c>
      <c r="E1086" s="1225" t="s">
        <v>237</v>
      </c>
      <c r="F1086" s="1225">
        <v>679.8</v>
      </c>
    </row>
    <row r="1087" spans="1:6" s="1225" customFormat="1" ht="17.25" customHeight="1">
      <c r="B1087" s="1225" t="s">
        <v>145</v>
      </c>
      <c r="C1087" s="1225" t="s">
        <v>146</v>
      </c>
      <c r="E1087" s="1225" t="s">
        <v>145</v>
      </c>
    </row>
    <row r="1088" spans="1:6" s="1225" customFormat="1" ht="17.25" customHeight="1">
      <c r="F1088" s="1225" t="s">
        <v>52</v>
      </c>
    </row>
    <row r="1089" spans="1:6" s="1225" customFormat="1" ht="17.25" customHeight="1">
      <c r="C1089" s="1225" t="s">
        <v>1594</v>
      </c>
      <c r="F1089" s="1225">
        <v>2630.08</v>
      </c>
    </row>
    <row r="1090" spans="1:6" s="1225" customFormat="1" ht="17.25" customHeight="1">
      <c r="F1090" s="1225" t="s">
        <v>52</v>
      </c>
    </row>
    <row r="1091" spans="1:6" s="1225" customFormat="1" ht="17.25" customHeight="1">
      <c r="C1091" s="1225" t="s">
        <v>460</v>
      </c>
      <c r="F1091" s="1225">
        <v>1414.02</v>
      </c>
    </row>
    <row r="1092" spans="1:6" s="1225" customFormat="1" ht="17.25" customHeight="1"/>
    <row r="1093" spans="1:6" s="1225" customFormat="1" ht="17.25" customHeight="1"/>
    <row r="1094" spans="1:6" s="1225" customFormat="1" ht="33">
      <c r="A1094" s="1225">
        <v>29.5</v>
      </c>
      <c r="B1094" s="1225" t="s">
        <v>111</v>
      </c>
      <c r="C1094" s="1225" t="s">
        <v>1583</v>
      </c>
    </row>
    <row r="1095" spans="1:6" s="1225" customFormat="1" ht="16.5">
      <c r="C1095" s="1225" t="s">
        <v>1584</v>
      </c>
    </row>
    <row r="1096" spans="1:6" s="1225" customFormat="1" ht="16.5">
      <c r="C1096" s="1225" t="s">
        <v>1585</v>
      </c>
    </row>
    <row r="1097" spans="1:6" s="1225" customFormat="1" ht="16.5">
      <c r="C1097" s="1225" t="s">
        <v>52</v>
      </c>
      <c r="D1097" s="1225" t="s">
        <v>52</v>
      </c>
    </row>
    <row r="1098" spans="1:6" s="1225" customFormat="1" ht="17.25" customHeight="1">
      <c r="A1098" s="1225">
        <v>10</v>
      </c>
      <c r="B1098" s="1225" t="s">
        <v>425</v>
      </c>
      <c r="C1098" s="1225" t="s">
        <v>1586</v>
      </c>
      <c r="D1098" s="1225">
        <v>526.74</v>
      </c>
      <c r="E1098" s="1225" t="s">
        <v>425</v>
      </c>
      <c r="F1098" s="1225">
        <v>5267.4</v>
      </c>
    </row>
    <row r="1099" spans="1:6" s="1225" customFormat="1" ht="17.25" customHeight="1">
      <c r="A1099" s="1225">
        <v>0.21</v>
      </c>
      <c r="B1099" s="1225" t="s">
        <v>132</v>
      </c>
      <c r="C1099" s="1225" t="s">
        <v>1575</v>
      </c>
      <c r="D1099" s="1225">
        <v>4667.62</v>
      </c>
      <c r="E1099" s="1225" t="s">
        <v>132</v>
      </c>
      <c r="F1099" s="1225">
        <v>980.2</v>
      </c>
    </row>
    <row r="1100" spans="1:6" s="1225" customFormat="1" ht="17.25" customHeight="1">
      <c r="C1100" s="1225" t="s">
        <v>1576</v>
      </c>
      <c r="D1100" s="1225" t="s">
        <v>85</v>
      </c>
      <c r="F1100" s="1225" t="s">
        <v>85</v>
      </c>
    </row>
    <row r="1101" spans="1:6" s="1225" customFormat="1" ht="17.25" customHeight="1">
      <c r="A1101" s="1225">
        <v>1.1000000000000001</v>
      </c>
      <c r="B1101" s="1225" t="s">
        <v>237</v>
      </c>
      <c r="C1101" s="1225" t="s">
        <v>345</v>
      </c>
      <c r="D1101" s="1225">
        <v>1041.7</v>
      </c>
      <c r="E1101" s="1225" t="s">
        <v>237</v>
      </c>
      <c r="F1101" s="1225">
        <v>1145.8699999999999</v>
      </c>
    </row>
    <row r="1102" spans="1:6" s="1225" customFormat="1" ht="17.25" customHeight="1">
      <c r="A1102" s="1225">
        <v>1.1000000000000001</v>
      </c>
      <c r="B1102" s="1225" t="s">
        <v>237</v>
      </c>
      <c r="C1102" s="1225" t="s">
        <v>302</v>
      </c>
      <c r="D1102" s="1225">
        <v>972.4</v>
      </c>
      <c r="E1102" s="1225" t="s">
        <v>237</v>
      </c>
      <c r="F1102" s="1225">
        <v>1069.6400000000001</v>
      </c>
    </row>
    <row r="1103" spans="1:6" s="1225" customFormat="1" ht="17.25" customHeight="1">
      <c r="A1103" s="1225">
        <v>2.2000000000000002</v>
      </c>
      <c r="B1103" s="1225" t="s">
        <v>237</v>
      </c>
      <c r="C1103" s="1225" t="s">
        <v>304</v>
      </c>
      <c r="D1103" s="1225">
        <v>679.8</v>
      </c>
      <c r="E1103" s="1225" t="s">
        <v>237</v>
      </c>
      <c r="F1103" s="1225">
        <v>1495.56</v>
      </c>
    </row>
    <row r="1104" spans="1:6" s="1225" customFormat="1" ht="17.25" customHeight="1">
      <c r="A1104" s="1225">
        <v>2.2000000000000002</v>
      </c>
      <c r="B1104" s="1225" t="s">
        <v>237</v>
      </c>
      <c r="C1104" s="1225" t="s">
        <v>306</v>
      </c>
      <c r="D1104" s="1225">
        <v>557.70000000000005</v>
      </c>
      <c r="E1104" s="1225" t="s">
        <v>237</v>
      </c>
      <c r="F1104" s="1225">
        <v>1226.94</v>
      </c>
    </row>
    <row r="1105" spans="1:6" s="1225" customFormat="1" ht="17.25" customHeight="1">
      <c r="A1105" s="1225">
        <v>20</v>
      </c>
      <c r="B1105" s="1225" t="s">
        <v>39</v>
      </c>
      <c r="C1105" s="1225" t="s">
        <v>123</v>
      </c>
      <c r="D1105" s="1225">
        <v>6040</v>
      </c>
      <c r="E1105" s="1225" t="s">
        <v>122</v>
      </c>
      <c r="F1105" s="1225">
        <v>120.8</v>
      </c>
    </row>
    <row r="1106" spans="1:6" s="1225" customFormat="1" ht="17.25" customHeight="1">
      <c r="A1106" s="1225">
        <v>2</v>
      </c>
      <c r="B1106" s="1225" t="s">
        <v>39</v>
      </c>
      <c r="C1106" s="1225" t="s">
        <v>4307</v>
      </c>
      <c r="D1106" s="1225">
        <v>36.1</v>
      </c>
      <c r="E1106" s="1225" t="s">
        <v>39</v>
      </c>
      <c r="F1106" s="1225">
        <v>72.2</v>
      </c>
    </row>
    <row r="1107" spans="1:6" s="1225" customFormat="1" ht="17.25" customHeight="1">
      <c r="A1107" s="1225">
        <v>1.6</v>
      </c>
      <c r="B1107" s="1225" t="s">
        <v>237</v>
      </c>
      <c r="C1107" s="1225" t="s">
        <v>302</v>
      </c>
      <c r="D1107" s="1225">
        <v>972.4</v>
      </c>
      <c r="E1107" s="1225" t="s">
        <v>237</v>
      </c>
      <c r="F1107" s="1225">
        <v>1555.84</v>
      </c>
    </row>
    <row r="1108" spans="1:6" s="1225" customFormat="1" ht="17.25" customHeight="1">
      <c r="A1108" s="1225">
        <v>0.5</v>
      </c>
      <c r="B1108" s="1225" t="s">
        <v>237</v>
      </c>
      <c r="C1108" s="1225" t="s">
        <v>304</v>
      </c>
      <c r="D1108" s="1225">
        <v>679.8</v>
      </c>
      <c r="E1108" s="1225" t="s">
        <v>237</v>
      </c>
      <c r="F1108" s="1225">
        <v>339.9</v>
      </c>
    </row>
    <row r="1109" spans="1:6" s="1225" customFormat="1" ht="17.25" customHeight="1">
      <c r="A1109" s="1225">
        <v>1.1000000000000001</v>
      </c>
      <c r="B1109" s="1225" t="s">
        <v>237</v>
      </c>
      <c r="C1109" s="1225" t="s">
        <v>306</v>
      </c>
      <c r="D1109" s="1225">
        <v>557.70000000000005</v>
      </c>
      <c r="E1109" s="1225" t="s">
        <v>237</v>
      </c>
      <c r="F1109" s="1225">
        <v>613.47</v>
      </c>
    </row>
    <row r="1110" spans="1:6" s="1225" customFormat="1" ht="17.25" customHeight="1">
      <c r="B1110" s="1225" t="s">
        <v>145</v>
      </c>
      <c r="C1110" s="1225" t="s">
        <v>146</v>
      </c>
      <c r="E1110" s="1225" t="s">
        <v>145</v>
      </c>
      <c r="F1110" s="1225">
        <v>0</v>
      </c>
    </row>
    <row r="1111" spans="1:6" s="1225" customFormat="1" ht="17.25" customHeight="1">
      <c r="F1111" s="1225" t="s">
        <v>52</v>
      </c>
    </row>
    <row r="1112" spans="1:6" s="1225" customFormat="1" ht="17.25" customHeight="1">
      <c r="C1112" s="1225" t="s">
        <v>495</v>
      </c>
      <c r="F1112" s="1225">
        <v>13887.82</v>
      </c>
    </row>
    <row r="1113" spans="1:6" s="1225" customFormat="1" ht="17.25" customHeight="1">
      <c r="F1113" s="1225" t="s">
        <v>52</v>
      </c>
    </row>
    <row r="1114" spans="1:6" s="1225" customFormat="1" ht="17.25" customHeight="1">
      <c r="C1114" s="1225" t="s">
        <v>460</v>
      </c>
      <c r="F1114" s="1225">
        <v>1388.78</v>
      </c>
    </row>
    <row r="1115" spans="1:6" s="1225" customFormat="1" ht="17.25" customHeight="1"/>
    <row r="1116" spans="1:6" s="1225" customFormat="1" ht="16.5">
      <c r="A1116" s="1225" t="s">
        <v>1641</v>
      </c>
      <c r="B1116" s="1225" t="s">
        <v>111</v>
      </c>
      <c r="C1116" s="1225" t="s">
        <v>1642</v>
      </c>
    </row>
    <row r="1117" spans="1:6" s="1225" customFormat="1" ht="16.5">
      <c r="C1117" s="1225" t="s">
        <v>1643</v>
      </c>
    </row>
    <row r="1118" spans="1:6" s="1225" customFormat="1" ht="16.5">
      <c r="C1118" s="1225" t="s">
        <v>1644</v>
      </c>
    </row>
    <row r="1119" spans="1:6" s="1225" customFormat="1" ht="16.5">
      <c r="C1119" s="1225" t="s">
        <v>1645</v>
      </c>
    </row>
    <row r="1120" spans="1:6" s="1225" customFormat="1" ht="16.5">
      <c r="C1120" s="1225" t="s">
        <v>52</v>
      </c>
    </row>
    <row r="1121" spans="1:6" s="1225" customFormat="1" ht="17.25" customHeight="1">
      <c r="A1121" s="1225">
        <v>1.8</v>
      </c>
      <c r="B1121" s="1225" t="s">
        <v>39</v>
      </c>
      <c r="C1121" s="1225" t="s">
        <v>4725</v>
      </c>
      <c r="D1121" s="1225">
        <v>22.6</v>
      </c>
      <c r="E1121" s="1225" t="s">
        <v>39</v>
      </c>
      <c r="F1121" s="1225">
        <v>40.68</v>
      </c>
    </row>
    <row r="1122" spans="1:6" s="1225" customFormat="1" ht="17.25" customHeight="1">
      <c r="A1122" s="1225">
        <v>0.25</v>
      </c>
      <c r="B1122" s="1225" t="s">
        <v>131</v>
      </c>
      <c r="C1122" s="1225" t="s">
        <v>1646</v>
      </c>
      <c r="D1122" s="1225">
        <v>831.6</v>
      </c>
      <c r="E1122" s="1225" t="s">
        <v>131</v>
      </c>
      <c r="F1122" s="1225">
        <v>207.9</v>
      </c>
    </row>
    <row r="1123" spans="1:6" s="1225" customFormat="1" ht="17.25" customHeight="1">
      <c r="A1123" s="1225">
        <v>0.25</v>
      </c>
      <c r="B1123" s="1225" t="s">
        <v>131</v>
      </c>
      <c r="C1123" s="1225" t="s">
        <v>1568</v>
      </c>
      <c r="D1123" s="1225">
        <v>679.8</v>
      </c>
      <c r="E1123" s="1225" t="s">
        <v>131</v>
      </c>
      <c r="F1123" s="1225">
        <v>169.95</v>
      </c>
    </row>
    <row r="1124" spans="1:6" s="1225" customFormat="1" ht="17.25" customHeight="1">
      <c r="A1124" s="1225">
        <v>0.4</v>
      </c>
      <c r="B1124" s="1225" t="s">
        <v>131</v>
      </c>
      <c r="C1124" s="1225" t="s">
        <v>306</v>
      </c>
      <c r="D1124" s="1225">
        <v>557.70000000000005</v>
      </c>
      <c r="E1124" s="1225" t="s">
        <v>131</v>
      </c>
      <c r="F1124" s="1225">
        <v>223.08</v>
      </c>
    </row>
    <row r="1125" spans="1:6" s="1225" customFormat="1" ht="17.25" customHeight="1">
      <c r="D1125" s="1225" t="s">
        <v>85</v>
      </c>
      <c r="F1125" s="1225">
        <v>641.61</v>
      </c>
    </row>
    <row r="1126" spans="1:6" s="1225" customFormat="1" ht="17.25" customHeight="1">
      <c r="F1126" s="1225">
        <v>64.16</v>
      </c>
    </row>
    <row r="1127" spans="1:6" s="1225" customFormat="1" ht="17.25" customHeight="1"/>
    <row r="1128" spans="1:6" s="1225" customFormat="1" ht="16.5">
      <c r="A1128" s="1225">
        <v>44.1</v>
      </c>
      <c r="B1128" s="1225" t="s">
        <v>111</v>
      </c>
      <c r="C1128" s="1225" t="s">
        <v>1687</v>
      </c>
    </row>
    <row r="1129" spans="1:6" s="1225" customFormat="1" ht="16.5">
      <c r="C1129" s="1225" t="s">
        <v>1688</v>
      </c>
    </row>
    <row r="1130" spans="1:6" s="1225" customFormat="1" ht="16.5">
      <c r="C1130" s="1225" t="s">
        <v>6436</v>
      </c>
    </row>
    <row r="1131" spans="1:6" s="1225" customFormat="1" ht="16.5">
      <c r="C1131" s="1225" t="s">
        <v>52</v>
      </c>
    </row>
    <row r="1132" spans="1:6" s="1225" customFormat="1" ht="17.25" customHeight="1">
      <c r="A1132" s="1225">
        <v>3</v>
      </c>
      <c r="B1132" s="1225" t="s">
        <v>282</v>
      </c>
      <c r="C1132" s="1225" t="s">
        <v>1690</v>
      </c>
      <c r="D1132" s="1225">
        <v>120.54</v>
      </c>
      <c r="E1132" s="1225" t="s">
        <v>282</v>
      </c>
      <c r="F1132" s="1225">
        <v>361.62</v>
      </c>
    </row>
    <row r="1133" spans="1:6" s="1225" customFormat="1" ht="17.25" customHeight="1">
      <c r="A1133" s="1225">
        <v>1</v>
      </c>
      <c r="B1133" s="1225" t="s">
        <v>131</v>
      </c>
      <c r="C1133" s="1225" t="s">
        <v>1691</v>
      </c>
      <c r="D1133" s="1225">
        <v>76</v>
      </c>
      <c r="E1133" s="1225" t="s">
        <v>131</v>
      </c>
      <c r="F1133" s="1225">
        <v>76</v>
      </c>
    </row>
    <row r="1134" spans="1:6" s="1225" customFormat="1" ht="17.25" customHeight="1">
      <c r="A1134" s="1225">
        <v>1</v>
      </c>
      <c r="B1134" s="1225" t="s">
        <v>131</v>
      </c>
      <c r="C1134" s="1225" t="s">
        <v>1692</v>
      </c>
      <c r="D1134" s="1225">
        <v>83.4</v>
      </c>
      <c r="E1134" s="1225" t="s">
        <v>131</v>
      </c>
      <c r="F1134" s="1225">
        <v>83.4</v>
      </c>
    </row>
    <row r="1135" spans="1:6" s="1225" customFormat="1" ht="17.25" customHeight="1">
      <c r="A1135" s="1225">
        <v>2</v>
      </c>
      <c r="B1135" s="1225" t="s">
        <v>131</v>
      </c>
      <c r="C1135" s="1225" t="s">
        <v>1693</v>
      </c>
      <c r="D1135" s="1225">
        <v>21.6</v>
      </c>
      <c r="E1135" s="1225" t="s">
        <v>131</v>
      </c>
      <c r="F1135" s="1225">
        <v>43.2</v>
      </c>
    </row>
    <row r="1136" spans="1:6" s="1225" customFormat="1" ht="17.25" customHeight="1">
      <c r="A1136" s="1225">
        <v>1</v>
      </c>
      <c r="B1136" s="1225" t="s">
        <v>131</v>
      </c>
      <c r="C1136" s="1225" t="s">
        <v>1694</v>
      </c>
      <c r="D1136" s="1225">
        <v>32.1</v>
      </c>
      <c r="E1136" s="1225" t="s">
        <v>131</v>
      </c>
      <c r="F1136" s="1225">
        <v>32.1</v>
      </c>
    </row>
    <row r="1137" spans="1:6" s="1225" customFormat="1" ht="17.25" customHeight="1">
      <c r="A1137" s="1225">
        <v>0.5</v>
      </c>
      <c r="B1137" s="1225" t="s">
        <v>131</v>
      </c>
      <c r="C1137" s="1225" t="s">
        <v>1695</v>
      </c>
      <c r="D1137" s="1225">
        <v>903.1</v>
      </c>
      <c r="E1137" s="1225" t="s">
        <v>131</v>
      </c>
      <c r="F1137" s="1225">
        <v>451.55</v>
      </c>
    </row>
    <row r="1138" spans="1:6" s="1225" customFormat="1" ht="17.25" customHeight="1">
      <c r="B1138" s="1225" t="s">
        <v>145</v>
      </c>
      <c r="C1138" s="1225" t="s">
        <v>1696</v>
      </c>
      <c r="E1138" s="1225" t="s">
        <v>145</v>
      </c>
    </row>
    <row r="1139" spans="1:6" s="1225" customFormat="1" ht="17.25" customHeight="1">
      <c r="C1139" s="1225" t="s">
        <v>1697</v>
      </c>
    </row>
    <row r="1140" spans="1:6" s="1225" customFormat="1" ht="17.25" customHeight="1">
      <c r="F1140" s="1225" t="s">
        <v>52</v>
      </c>
    </row>
    <row r="1141" spans="1:6" s="1225" customFormat="1" ht="17.25" customHeight="1">
      <c r="C1141" s="1225" t="s">
        <v>1698</v>
      </c>
      <c r="F1141" s="1225">
        <v>1047.8699999999999</v>
      </c>
    </row>
    <row r="1142" spans="1:6" s="1225" customFormat="1" ht="17.25" customHeight="1">
      <c r="A1142" s="1225" t="s">
        <v>85</v>
      </c>
    </row>
    <row r="1143" spans="1:6" s="1225" customFormat="1" ht="17.25" customHeight="1">
      <c r="F1143" s="1225" t="s">
        <v>52</v>
      </c>
    </row>
    <row r="1144" spans="1:6" s="1225" customFormat="1" ht="17.25" customHeight="1">
      <c r="C1144" s="1225" t="s">
        <v>632</v>
      </c>
      <c r="F1144" s="1225">
        <v>349.29</v>
      </c>
    </row>
    <row r="1145" spans="1:6" s="1225" customFormat="1" ht="17.25" customHeight="1"/>
    <row r="1146" spans="1:6" s="1225" customFormat="1" ht="17.25" customHeight="1"/>
    <row r="1147" spans="1:6" s="1225" customFormat="1" ht="17.25" customHeight="1">
      <c r="A1147" s="1225">
        <v>52</v>
      </c>
      <c r="B1147" s="1225" t="s">
        <v>111</v>
      </c>
      <c r="C1147" s="1225" t="s">
        <v>1810</v>
      </c>
    </row>
    <row r="1148" spans="1:6" s="1225" customFormat="1" ht="17.25" customHeight="1">
      <c r="C1148" s="1225" t="s">
        <v>1811</v>
      </c>
    </row>
    <row r="1149" spans="1:6" s="1225" customFormat="1" ht="17.25" customHeight="1">
      <c r="C1149" s="1225" t="s">
        <v>1812</v>
      </c>
    </row>
    <row r="1150" spans="1:6" s="1225" customFormat="1" ht="17.25" customHeight="1">
      <c r="C1150" s="1225" t="s">
        <v>1813</v>
      </c>
    </row>
    <row r="1151" spans="1:6" s="1225" customFormat="1" ht="17.25" customHeight="1">
      <c r="C1151" s="1225" t="s">
        <v>1814</v>
      </c>
    </row>
    <row r="1152" spans="1:6" s="1225" customFormat="1" ht="17.25" customHeight="1">
      <c r="C1152" s="1225" t="s">
        <v>4728</v>
      </c>
    </row>
    <row r="1153" spans="1:6" s="1225" customFormat="1" ht="17.25" customHeight="1">
      <c r="C1153" s="1225" t="s">
        <v>1816</v>
      </c>
    </row>
    <row r="1154" spans="1:6" s="1225" customFormat="1" ht="17.25" customHeight="1">
      <c r="C1154" s="1225" t="s">
        <v>1817</v>
      </c>
    </row>
    <row r="1155" spans="1:6" s="1225" customFormat="1" ht="17.25" customHeight="1">
      <c r="C1155" s="1225" t="s">
        <v>89</v>
      </c>
      <c r="D1155" s="1225" t="s">
        <v>89</v>
      </c>
    </row>
    <row r="1156" spans="1:6" s="1225" customFormat="1" ht="17.25" customHeight="1">
      <c r="B1156" s="1225" t="s">
        <v>111</v>
      </c>
      <c r="C1156" s="1225" t="s">
        <v>1818</v>
      </c>
    </row>
    <row r="1157" spans="1:6" s="1225" customFormat="1" ht="17.25" customHeight="1">
      <c r="C1157" s="1225" t="s">
        <v>1819</v>
      </c>
    </row>
    <row r="1158" spans="1:6" s="1225" customFormat="1" ht="17.25" customHeight="1">
      <c r="B1158" s="1225" t="s">
        <v>1018</v>
      </c>
      <c r="C1158" s="1225" t="s">
        <v>1820</v>
      </c>
    </row>
    <row r="1159" spans="1:6" s="1225" customFormat="1" ht="17.25" customHeight="1">
      <c r="C1159" s="1225" t="s">
        <v>52</v>
      </c>
    </row>
    <row r="1160" spans="1:6" s="1225" customFormat="1" ht="17.25" customHeight="1">
      <c r="A1160" s="1225">
        <v>1</v>
      </c>
      <c r="B1160" s="1225" t="s">
        <v>13</v>
      </c>
      <c r="C1160" s="1225" t="s">
        <v>1821</v>
      </c>
      <c r="D1160" s="1225">
        <v>26</v>
      </c>
      <c r="E1160" s="1225" t="s">
        <v>13</v>
      </c>
      <c r="F1160" s="1225">
        <v>26</v>
      </c>
    </row>
    <row r="1161" spans="1:6" s="1225" customFormat="1" ht="17.25" customHeight="1">
      <c r="A1161" s="1225">
        <v>1</v>
      </c>
      <c r="B1161" s="1225" t="s">
        <v>145</v>
      </c>
      <c r="C1161" s="1225" t="s">
        <v>1822</v>
      </c>
      <c r="D1161" s="1225">
        <v>18.2</v>
      </c>
      <c r="E1161" s="1225" t="s">
        <v>145</v>
      </c>
      <c r="F1161" s="1225">
        <v>18.2</v>
      </c>
    </row>
    <row r="1162" spans="1:6" s="1225" customFormat="1" ht="17.25" customHeight="1">
      <c r="A1162" s="1225">
        <v>1</v>
      </c>
      <c r="B1162" s="1225" t="s">
        <v>13</v>
      </c>
      <c r="C1162" s="1225" t="s">
        <v>1823</v>
      </c>
      <c r="D1162" s="1225">
        <v>193.74</v>
      </c>
      <c r="E1162" s="1225" t="s">
        <v>13</v>
      </c>
      <c r="F1162" s="1225">
        <v>193.74</v>
      </c>
    </row>
    <row r="1163" spans="1:6" s="1225" customFormat="1" ht="17.25" customHeight="1">
      <c r="D1163" s="1225" t="s">
        <v>85</v>
      </c>
    </row>
    <row r="1164" spans="1:6" s="1225" customFormat="1" ht="17.25" customHeight="1">
      <c r="C1164" s="1225" t="s">
        <v>1824</v>
      </c>
      <c r="F1164" s="1225">
        <v>237.94</v>
      </c>
    </row>
    <row r="1165" spans="1:6" s="1225" customFormat="1" ht="17.25" customHeight="1"/>
    <row r="1166" spans="1:6" s="1225" customFormat="1" ht="17.25" customHeight="1">
      <c r="A1166" s="1225" t="s">
        <v>1844</v>
      </c>
      <c r="C1166" s="1225" t="s">
        <v>1845</v>
      </c>
      <c r="E1166" s="1225" t="s">
        <v>729</v>
      </c>
      <c r="F1166" s="1225">
        <v>967.5</v>
      </c>
    </row>
    <row r="1167" spans="1:6" s="1225" customFormat="1" ht="17.25" customHeight="1">
      <c r="C1167" s="1225" t="s">
        <v>4444</v>
      </c>
      <c r="E1167" s="1225" t="s">
        <v>729</v>
      </c>
      <c r="F1167" s="1225">
        <v>1864</v>
      </c>
    </row>
    <row r="1168" spans="1:6" s="1225" customFormat="1" ht="17.25" customHeight="1"/>
    <row r="1169" spans="1:6" s="1225" customFormat="1" ht="17.25" customHeight="1">
      <c r="C1169" s="1225" t="s">
        <v>4792</v>
      </c>
    </row>
    <row r="1170" spans="1:6" s="1225" customFormat="1" ht="17.25" customHeight="1">
      <c r="C1170" s="1225" t="s">
        <v>4793</v>
      </c>
    </row>
    <row r="1171" spans="1:6" s="1225" customFormat="1" ht="17.25" customHeight="1"/>
    <row r="1172" spans="1:6" s="1225" customFormat="1" ht="17.25" customHeight="1">
      <c r="A1172" s="1225">
        <v>2</v>
      </c>
      <c r="B1172" s="1225" t="s">
        <v>13</v>
      </c>
      <c r="C1172" s="1225" t="s">
        <v>4794</v>
      </c>
      <c r="D1172" s="1225">
        <v>101.4</v>
      </c>
      <c r="E1172" s="1225" t="s">
        <v>13</v>
      </c>
      <c r="F1172" s="1225">
        <v>202.8</v>
      </c>
    </row>
    <row r="1173" spans="1:6" s="1225" customFormat="1" ht="17.25" customHeight="1">
      <c r="A1173" s="1225">
        <v>1</v>
      </c>
      <c r="B1173" s="1225" t="s">
        <v>727</v>
      </c>
      <c r="C1173" s="1225" t="s">
        <v>4795</v>
      </c>
      <c r="D1173" s="1225">
        <v>34.299999999999997</v>
      </c>
      <c r="E1173" s="1225" t="s">
        <v>729</v>
      </c>
      <c r="F1173" s="1225">
        <v>34.299999999999997</v>
      </c>
    </row>
    <row r="1174" spans="1:6" s="1225" customFormat="1" ht="17.25" customHeight="1">
      <c r="C1174" s="1225" t="s">
        <v>4796</v>
      </c>
      <c r="E1174" s="1225" t="s">
        <v>145</v>
      </c>
      <c r="F1174" s="1225">
        <v>1.4</v>
      </c>
    </row>
    <row r="1175" spans="1:6" s="1225" customFormat="1" ht="17.25" customHeight="1">
      <c r="C1175" s="1225" t="s">
        <v>4797</v>
      </c>
      <c r="F1175" s="1225">
        <v>238.5</v>
      </c>
    </row>
    <row r="1176" spans="1:6" s="1225" customFormat="1" ht="17.25" customHeight="1"/>
    <row r="1177" spans="1:6" s="1225" customFormat="1" ht="17.25" customHeight="1">
      <c r="C1177" s="1225" t="s">
        <v>4798</v>
      </c>
      <c r="F1177" s="1225">
        <v>119.25</v>
      </c>
    </row>
    <row r="1178" spans="1:6" s="1225" customFormat="1" ht="17.25" customHeight="1"/>
    <row r="1179" spans="1:6" s="1225" customFormat="1" ht="17.25" customHeight="1">
      <c r="C1179" s="1225" t="s">
        <v>2740</v>
      </c>
    </row>
    <row r="1180" spans="1:6" s="1225" customFormat="1" ht="17.25" customHeight="1"/>
    <row r="1181" spans="1:6" s="1225" customFormat="1" ht="18" customHeight="1">
      <c r="C1181" s="1225" t="s">
        <v>2741</v>
      </c>
    </row>
    <row r="1182" spans="1:6" s="1225" customFormat="1" ht="17.25" customHeight="1"/>
    <row r="1183" spans="1:6" s="1225" customFormat="1" ht="17.25" customHeight="1">
      <c r="C1183" s="1225" t="s">
        <v>3000</v>
      </c>
      <c r="D1183" s="1225">
        <v>1265</v>
      </c>
      <c r="E1183" s="1225" t="s">
        <v>1034</v>
      </c>
      <c r="F1183" s="1225">
        <v>1265</v>
      </c>
    </row>
    <row r="1184" spans="1:6" s="1225" customFormat="1" ht="17.25" customHeight="1">
      <c r="C1184" s="1225" t="s">
        <v>2277</v>
      </c>
      <c r="D1184" s="1225">
        <v>337.6</v>
      </c>
      <c r="E1184" s="1225" t="s">
        <v>1034</v>
      </c>
      <c r="F1184" s="1225">
        <v>337.6</v>
      </c>
    </row>
    <row r="1185" spans="1:6" s="1225" customFormat="1" ht="17.25" customHeight="1">
      <c r="C1185" s="1225" t="s">
        <v>6426</v>
      </c>
      <c r="F1185" s="1225">
        <v>31.6</v>
      </c>
    </row>
    <row r="1186" spans="1:6" s="1225" customFormat="1" ht="17.25" customHeight="1">
      <c r="C1186" s="1225" t="s">
        <v>2736</v>
      </c>
      <c r="F1186" s="1225">
        <v>13.7</v>
      </c>
    </row>
    <row r="1187" spans="1:6" s="1225" customFormat="1" ht="17.25" customHeight="1">
      <c r="C1187" s="1225" t="s">
        <v>2737</v>
      </c>
      <c r="F1187" s="1225">
        <v>501.25</v>
      </c>
    </row>
    <row r="1188" spans="1:6" s="1225" customFormat="1" ht="17.25" customHeight="1">
      <c r="C1188" s="1225" t="s">
        <v>2738</v>
      </c>
      <c r="F1188" s="1225">
        <v>2149.15</v>
      </c>
    </row>
    <row r="1189" spans="1:6" s="1225" customFormat="1" ht="17.25" customHeight="1"/>
    <row r="1190" spans="1:6" s="1225" customFormat="1" ht="17.25" customHeight="1">
      <c r="C1190" s="1225" t="s">
        <v>2744</v>
      </c>
    </row>
    <row r="1191" spans="1:6" s="1225" customFormat="1" ht="17.25" customHeight="1">
      <c r="A1191" s="1225">
        <v>1</v>
      </c>
      <c r="B1191" s="1225" t="s">
        <v>1034</v>
      </c>
      <c r="C1191" s="1225" t="s">
        <v>3001</v>
      </c>
      <c r="D1191" s="1225">
        <v>1366</v>
      </c>
      <c r="E1191" s="1225" t="s">
        <v>1034</v>
      </c>
      <c r="F1191" s="1225">
        <v>1366</v>
      </c>
    </row>
    <row r="1192" spans="1:6" s="1225" customFormat="1" ht="17.25" customHeight="1">
      <c r="A1192" s="1225">
        <v>1</v>
      </c>
      <c r="B1192" s="1225" t="s">
        <v>1034</v>
      </c>
      <c r="C1192" s="1225" t="s">
        <v>3002</v>
      </c>
      <c r="D1192" s="1225">
        <v>185.9</v>
      </c>
      <c r="E1192" s="1225" t="s">
        <v>1034</v>
      </c>
      <c r="F1192" s="1225">
        <v>185.9</v>
      </c>
    </row>
    <row r="1193" spans="1:6" s="1225" customFormat="1" ht="17.25" customHeight="1">
      <c r="C1193" s="1225" t="s">
        <v>2738</v>
      </c>
      <c r="F1193" s="1225">
        <v>1552.7</v>
      </c>
    </row>
    <row r="1194" spans="1:6" s="1225" customFormat="1" ht="17.25" customHeight="1"/>
    <row r="1195" spans="1:6" s="1225" customFormat="1" ht="17.25" customHeight="1"/>
    <row r="1196" spans="1:6" s="1225" customFormat="1" ht="17.25" customHeight="1">
      <c r="C1196" s="1225" t="s">
        <v>2425</v>
      </c>
    </row>
    <row r="1197" spans="1:6" s="1225" customFormat="1" ht="17.25" customHeight="1">
      <c r="C1197" s="1225" t="s">
        <v>2441</v>
      </c>
    </row>
    <row r="1198" spans="1:6" s="1225" customFormat="1" ht="17.25" customHeight="1"/>
    <row r="1199" spans="1:6" s="1225" customFormat="1" ht="17.25" customHeight="1">
      <c r="C1199" s="1225" t="s">
        <v>2429</v>
      </c>
    </row>
    <row r="1200" spans="1:6" s="1225" customFormat="1" ht="17.25" customHeight="1">
      <c r="A1200" s="1225">
        <v>180</v>
      </c>
      <c r="B1200" s="1225" t="s">
        <v>13</v>
      </c>
      <c r="C1200" s="1225" t="s">
        <v>2872</v>
      </c>
      <c r="D1200" s="1225">
        <v>40.950000000000003</v>
      </c>
      <c r="E1200" s="1225" t="s">
        <v>2306</v>
      </c>
      <c r="F1200" s="1225">
        <v>7371</v>
      </c>
    </row>
    <row r="1201" spans="1:6" s="1225" customFormat="1" ht="17.25" customHeight="1">
      <c r="A1201" s="1225">
        <v>90</v>
      </c>
      <c r="B1201" s="1225" t="s">
        <v>13</v>
      </c>
      <c r="C1201" s="1225" t="s">
        <v>2313</v>
      </c>
      <c r="D1201" s="1225">
        <v>20</v>
      </c>
      <c r="E1201" s="1225" t="s">
        <v>13</v>
      </c>
      <c r="F1201" s="1225">
        <v>1800</v>
      </c>
    </row>
    <row r="1202" spans="1:6" s="1225" customFormat="1" ht="17.25" customHeight="1">
      <c r="A1202" s="1225">
        <v>3</v>
      </c>
      <c r="B1202" s="1225" t="s">
        <v>2324</v>
      </c>
      <c r="C1202" s="1225" t="s">
        <v>38</v>
      </c>
      <c r="D1202" s="1225">
        <v>302</v>
      </c>
      <c r="E1202" s="1225" t="s">
        <v>2324</v>
      </c>
      <c r="F1202" s="1225">
        <v>906</v>
      </c>
    </row>
    <row r="1203" spans="1:6" s="1225" customFormat="1" ht="17.25" customHeight="1">
      <c r="A1203" s="1225">
        <v>90</v>
      </c>
      <c r="B1203" s="1225" t="s">
        <v>13</v>
      </c>
      <c r="C1203" s="1225" t="s">
        <v>2873</v>
      </c>
      <c r="D1203" s="1225">
        <v>25.75</v>
      </c>
      <c r="E1203" s="1225" t="s">
        <v>2306</v>
      </c>
      <c r="F1203" s="1225">
        <v>2317.5</v>
      </c>
    </row>
    <row r="1204" spans="1:6" s="1225" customFormat="1" ht="17.25" customHeight="1">
      <c r="C1204" s="1225" t="s">
        <v>478</v>
      </c>
      <c r="F1204" s="1225">
        <v>11454</v>
      </c>
    </row>
    <row r="1205" spans="1:6" s="1225" customFormat="1" ht="17.25" customHeight="1">
      <c r="C1205" s="1225" t="s">
        <v>1557</v>
      </c>
      <c r="F1205" s="1225">
        <v>106</v>
      </c>
    </row>
    <row r="1206" spans="1:6" s="1225" customFormat="1" ht="17.25" customHeight="1">
      <c r="C1206" s="1225" t="s">
        <v>2432</v>
      </c>
      <c r="F1206" s="1225">
        <v>23954.5</v>
      </c>
    </row>
    <row r="1207" spans="1:6" s="1225" customFormat="1" ht="17.25" customHeight="1">
      <c r="C1207" s="1225" t="s">
        <v>2433</v>
      </c>
      <c r="F1207" s="1225">
        <v>266.16000000000003</v>
      </c>
    </row>
    <row r="1208" spans="1:6" s="1225" customFormat="1" ht="17.25" customHeight="1"/>
    <row r="1209" spans="1:6" s="1225" customFormat="1" ht="17.25" customHeight="1"/>
    <row r="1210" spans="1:6" s="1225" customFormat="1" ht="17.25" customHeight="1"/>
    <row r="1211" spans="1:6" s="1225" customFormat="1" ht="17.25" customHeight="1">
      <c r="C1211" s="1225" t="s">
        <v>2424</v>
      </c>
    </row>
    <row r="1212" spans="1:6" s="1225" customFormat="1" ht="17.25" customHeight="1">
      <c r="C1212" s="1225" t="s">
        <v>2426</v>
      </c>
    </row>
    <row r="1213" spans="1:6" s="1225" customFormat="1" ht="17.25" customHeight="1"/>
    <row r="1214" spans="1:6" s="1225" customFormat="1" ht="17.25" customHeight="1">
      <c r="C1214" s="1225" t="s">
        <v>2428</v>
      </c>
    </row>
    <row r="1215" spans="1:6" s="1225" customFormat="1" ht="17.25" customHeight="1"/>
    <row r="1216" spans="1:6" s="1225" customFormat="1" ht="17.25" customHeight="1">
      <c r="A1216" s="1225">
        <v>180</v>
      </c>
      <c r="B1216" s="1225" t="s">
        <v>13</v>
      </c>
      <c r="C1216" s="1225" t="s">
        <v>2311</v>
      </c>
      <c r="D1216" s="1225">
        <v>16.55</v>
      </c>
      <c r="E1216" s="1225" t="s">
        <v>13</v>
      </c>
      <c r="F1216" s="1225">
        <v>2979</v>
      </c>
    </row>
    <row r="1217" spans="1:6" s="1225" customFormat="1" ht="17.25" customHeight="1">
      <c r="A1217" s="1225">
        <v>90</v>
      </c>
      <c r="B1217" s="1225" t="s">
        <v>13</v>
      </c>
      <c r="C1217" s="1225" t="s">
        <v>2313</v>
      </c>
      <c r="D1217" s="1225">
        <v>20</v>
      </c>
      <c r="E1217" s="1225" t="s">
        <v>13</v>
      </c>
      <c r="F1217" s="1225">
        <v>1800</v>
      </c>
    </row>
    <row r="1218" spans="1:6" s="1225" customFormat="1" ht="17.25" customHeight="1">
      <c r="A1218" s="1225">
        <v>3</v>
      </c>
      <c r="B1218" s="1225" t="s">
        <v>2324</v>
      </c>
      <c r="C1218" s="1225" t="s">
        <v>38</v>
      </c>
      <c r="D1218" s="1225">
        <v>302</v>
      </c>
      <c r="E1218" s="1225" t="s">
        <v>2324</v>
      </c>
      <c r="F1218" s="1225">
        <v>906</v>
      </c>
    </row>
    <row r="1219" spans="1:6" s="1225" customFormat="1" ht="17.25" customHeight="1">
      <c r="A1219" s="1225">
        <v>90</v>
      </c>
      <c r="B1219" s="1225" t="s">
        <v>13</v>
      </c>
      <c r="C1219" s="1225" t="s">
        <v>2333</v>
      </c>
      <c r="D1219" s="1225">
        <v>16.55</v>
      </c>
      <c r="E1219" s="1225" t="s">
        <v>2306</v>
      </c>
      <c r="F1219" s="1225">
        <v>1489.5</v>
      </c>
    </row>
    <row r="1220" spans="1:6" s="1225" customFormat="1" ht="17.25" customHeight="1">
      <c r="C1220" s="1225" t="s">
        <v>478</v>
      </c>
      <c r="F1220" s="1225">
        <v>11454</v>
      </c>
    </row>
    <row r="1221" spans="1:6" s="1225" customFormat="1" ht="17.25" customHeight="1">
      <c r="F1221" s="1225">
        <v>18628.5</v>
      </c>
    </row>
    <row r="1222" spans="1:6" s="1225" customFormat="1" ht="17.25" customHeight="1">
      <c r="C1222" s="1225" t="s">
        <v>1557</v>
      </c>
      <c r="F1222" s="1225">
        <v>115</v>
      </c>
    </row>
    <row r="1223" spans="1:6" s="1225" customFormat="1" ht="17.25" customHeight="1">
      <c r="C1223" s="1225" t="s">
        <v>2432</v>
      </c>
      <c r="F1223" s="1225">
        <v>18743.5</v>
      </c>
    </row>
    <row r="1224" spans="1:6" s="1225" customFormat="1" ht="17.25" customHeight="1">
      <c r="C1224" s="1225" t="s">
        <v>2433</v>
      </c>
      <c r="F1224" s="1225">
        <v>208.26</v>
      </c>
    </row>
    <row r="1225" spans="1:6" s="1225" customFormat="1" ht="17.25" customHeight="1"/>
    <row r="1226" spans="1:6" s="1225" customFormat="1" ht="17.25" customHeight="1">
      <c r="C1226" s="1225" t="s">
        <v>2434</v>
      </c>
    </row>
    <row r="1227" spans="1:6" s="1225" customFormat="1" ht="17.25" customHeight="1">
      <c r="C1227" s="1225" t="s">
        <v>2435</v>
      </c>
    </row>
    <row r="1228" spans="1:6" s="1225" customFormat="1" ht="17.25" customHeight="1"/>
    <row r="1229" spans="1:6" s="1225" customFormat="1" ht="17.25" customHeight="1">
      <c r="C1229" s="1225" t="s">
        <v>2436</v>
      </c>
    </row>
    <row r="1230" spans="1:6" s="1225" customFormat="1" ht="17.25" customHeight="1"/>
    <row r="1231" spans="1:6" s="1225" customFormat="1" ht="17.25" customHeight="1">
      <c r="C1231" s="1225" t="s">
        <v>2437</v>
      </c>
      <c r="F1231" s="1225">
        <v>18628.5</v>
      </c>
    </row>
    <row r="1232" spans="1:6" s="1225" customFormat="1" ht="17.25" customHeight="1">
      <c r="A1232" s="1225">
        <v>180</v>
      </c>
      <c r="B1232" s="1225" t="s">
        <v>13</v>
      </c>
      <c r="C1232" s="1225" t="s">
        <v>2871</v>
      </c>
      <c r="D1232" s="1225">
        <v>25.75</v>
      </c>
      <c r="E1232" s="1225" t="s">
        <v>13</v>
      </c>
      <c r="F1232" s="1225">
        <v>4635</v>
      </c>
    </row>
    <row r="1233" spans="1:6" s="1225" customFormat="1" ht="17.25" customHeight="1">
      <c r="A1233" s="1225">
        <v>180</v>
      </c>
      <c r="B1233" s="1225" t="s">
        <v>13</v>
      </c>
      <c r="C1233" s="1225" t="s">
        <v>2439</v>
      </c>
      <c r="D1233" s="1225">
        <v>16.55</v>
      </c>
      <c r="E1233" s="1225" t="s">
        <v>2306</v>
      </c>
      <c r="F1233" s="1225">
        <v>2979</v>
      </c>
    </row>
    <row r="1234" spans="1:6" s="1225" customFormat="1" ht="17.25" customHeight="1">
      <c r="C1234" s="1225" t="s">
        <v>1557</v>
      </c>
      <c r="F1234" s="1225">
        <v>115</v>
      </c>
    </row>
    <row r="1235" spans="1:6" s="1225" customFormat="1" ht="17.25" customHeight="1">
      <c r="C1235" s="1225" t="s">
        <v>2440</v>
      </c>
      <c r="F1235" s="1225">
        <v>20399.5</v>
      </c>
    </row>
    <row r="1236" spans="1:6" s="1225" customFormat="1" ht="17.25" customHeight="1">
      <c r="C1236" s="1225" t="s">
        <v>2433</v>
      </c>
      <c r="F1236" s="1225">
        <v>226.66</v>
      </c>
    </row>
    <row r="1237" spans="1:6" s="1225" customFormat="1" ht="17.25" customHeight="1"/>
    <row r="1238" spans="1:6" s="1225" customFormat="1" ht="17.25" customHeight="1">
      <c r="C1238" s="1225" t="s">
        <v>2443</v>
      </c>
    </row>
    <row r="1239" spans="1:6" s="1225" customFormat="1" ht="17.25" customHeight="1">
      <c r="C1239" s="1225" t="s">
        <v>2445</v>
      </c>
    </row>
    <row r="1240" spans="1:6" s="1225" customFormat="1" ht="17.25" customHeight="1"/>
    <row r="1241" spans="1:6" s="1225" customFormat="1" ht="17.25" customHeight="1">
      <c r="C1241" s="1225" t="s">
        <v>2447</v>
      </c>
    </row>
    <row r="1242" spans="1:6" s="1225" customFormat="1" ht="17.25" customHeight="1">
      <c r="A1242" s="1225">
        <v>360</v>
      </c>
      <c r="C1242" s="1225" t="s">
        <v>2875</v>
      </c>
      <c r="D1242" s="1225">
        <v>56.7</v>
      </c>
      <c r="E1242" s="1225" t="s">
        <v>2306</v>
      </c>
      <c r="F1242" s="1225">
        <v>20412</v>
      </c>
    </row>
    <row r="1243" spans="1:6" s="1225" customFormat="1" ht="17.25" customHeight="1">
      <c r="A1243" s="1225">
        <v>90</v>
      </c>
      <c r="C1243" s="1225" t="s">
        <v>2877</v>
      </c>
      <c r="D1243" s="1225">
        <v>29.8</v>
      </c>
      <c r="E1243" s="1225" t="s">
        <v>13</v>
      </c>
      <c r="F1243" s="1225">
        <v>2682</v>
      </c>
    </row>
    <row r="1244" spans="1:6" s="1225" customFormat="1" ht="17.25" customHeight="1">
      <c r="A1244" s="1225">
        <v>3</v>
      </c>
      <c r="C1244" s="1225" t="s">
        <v>38</v>
      </c>
      <c r="D1244" s="1225">
        <v>302</v>
      </c>
      <c r="E1244" s="1225" t="s">
        <v>2324</v>
      </c>
      <c r="F1244" s="1225">
        <v>906</v>
      </c>
    </row>
    <row r="1245" spans="1:6" s="1225" customFormat="1" ht="17.25" customHeight="1">
      <c r="A1245" s="1225">
        <v>90</v>
      </c>
      <c r="C1245" s="1225" t="s">
        <v>2879</v>
      </c>
      <c r="D1245" s="1225">
        <v>38.299999999999997</v>
      </c>
      <c r="E1245" s="1225" t="s">
        <v>2306</v>
      </c>
      <c r="F1245" s="1225">
        <v>3447</v>
      </c>
    </row>
    <row r="1246" spans="1:6" s="1225" customFormat="1" ht="17.25" customHeight="1">
      <c r="C1246" s="1225" t="s">
        <v>478</v>
      </c>
      <c r="F1246" s="1225">
        <v>15075</v>
      </c>
    </row>
    <row r="1247" spans="1:6" s="1225" customFormat="1" ht="17.25" customHeight="1">
      <c r="C1247" s="1225" t="s">
        <v>1557</v>
      </c>
      <c r="F1247" s="1225">
        <v>195.27</v>
      </c>
    </row>
    <row r="1248" spans="1:6" s="1225" customFormat="1" ht="17.25" customHeight="1">
      <c r="C1248" s="1225" t="s">
        <v>2432</v>
      </c>
      <c r="F1248" s="1225">
        <v>42717.27</v>
      </c>
    </row>
    <row r="1249" spans="1:6" s="1225" customFormat="1" ht="16.5">
      <c r="C1249" s="1225" t="s">
        <v>2433</v>
      </c>
      <c r="F1249" s="1225">
        <v>474.64</v>
      </c>
    </row>
    <row r="1250" spans="1:6" s="1225" customFormat="1" ht="17.25" customHeight="1"/>
    <row r="1251" spans="1:6" s="1225" customFormat="1" ht="17.25" customHeight="1">
      <c r="C1251" s="1225" t="s">
        <v>2443</v>
      </c>
    </row>
    <row r="1252" spans="1:6" s="1225" customFormat="1" ht="17.25" customHeight="1">
      <c r="C1252" s="1225" t="s">
        <v>2453</v>
      </c>
    </row>
    <row r="1253" spans="1:6" s="1225" customFormat="1" ht="17.25" customHeight="1"/>
    <row r="1254" spans="1:6" s="1225" customFormat="1" ht="17.25" customHeight="1">
      <c r="C1254" s="1225" t="s">
        <v>2455</v>
      </c>
    </row>
    <row r="1255" spans="1:6" s="1225" customFormat="1" ht="17.25" customHeight="1">
      <c r="A1255" s="1225">
        <v>360</v>
      </c>
      <c r="C1255" s="1225" t="s">
        <v>2881</v>
      </c>
      <c r="D1255" s="1225">
        <v>91.25</v>
      </c>
      <c r="E1255" s="1225" t="s">
        <v>2306</v>
      </c>
      <c r="F1255" s="1225">
        <v>32850</v>
      </c>
    </row>
    <row r="1256" spans="1:6" s="1225" customFormat="1" ht="17.25" customHeight="1">
      <c r="A1256" s="1225">
        <v>90</v>
      </c>
      <c r="C1256" s="1225" t="s">
        <v>2882</v>
      </c>
      <c r="D1256" s="1225">
        <v>29.8</v>
      </c>
      <c r="E1256" s="1225" t="s">
        <v>13</v>
      </c>
      <c r="F1256" s="1225">
        <v>2682</v>
      </c>
    </row>
    <row r="1257" spans="1:6" s="1225" customFormat="1" ht="17.25" customHeight="1">
      <c r="A1257" s="1225">
        <v>3</v>
      </c>
      <c r="C1257" s="1225" t="s">
        <v>38</v>
      </c>
      <c r="D1257" s="1225">
        <v>302</v>
      </c>
      <c r="E1257" s="1225" t="s">
        <v>2324</v>
      </c>
      <c r="F1257" s="1225">
        <v>906</v>
      </c>
    </row>
    <row r="1258" spans="1:6" s="1225" customFormat="1" ht="17.25" customHeight="1">
      <c r="A1258" s="1225">
        <v>90</v>
      </c>
      <c r="C1258" s="1225" t="s">
        <v>2884</v>
      </c>
      <c r="D1258" s="1225">
        <v>60.65</v>
      </c>
      <c r="E1258" s="1225" t="s">
        <v>2306</v>
      </c>
      <c r="F1258" s="1225">
        <v>5458.5</v>
      </c>
    </row>
    <row r="1259" spans="1:6" s="1225" customFormat="1" ht="17.25" customHeight="1">
      <c r="C1259" s="1225" t="s">
        <v>478</v>
      </c>
      <c r="F1259" s="1225">
        <v>15075</v>
      </c>
    </row>
    <row r="1260" spans="1:6" s="1225" customFormat="1" ht="17.25" customHeight="1">
      <c r="C1260" s="1225" t="s">
        <v>1557</v>
      </c>
      <c r="F1260" s="1225">
        <v>60.5</v>
      </c>
    </row>
    <row r="1261" spans="1:6" s="1225" customFormat="1" ht="17.25" customHeight="1">
      <c r="C1261" s="1225" t="s">
        <v>2432</v>
      </c>
      <c r="F1261" s="1225">
        <v>57032</v>
      </c>
    </row>
    <row r="1262" spans="1:6" s="1225" customFormat="1" ht="17.25" customHeight="1">
      <c r="C1262" s="1225" t="s">
        <v>2433</v>
      </c>
      <c r="F1262" s="1225">
        <v>633.69000000000005</v>
      </c>
    </row>
    <row r="1263" spans="1:6" s="1225" customFormat="1" ht="17.25" customHeight="1"/>
    <row r="1264" spans="1:6" s="1225" customFormat="1" ht="17.25" customHeight="1">
      <c r="C1264" s="1225" t="s">
        <v>4523</v>
      </c>
    </row>
    <row r="1265" spans="1:6" s="1225" customFormat="1" ht="17.25" customHeight="1">
      <c r="A1265" s="1225">
        <v>0.47</v>
      </c>
      <c r="B1265" s="1225" t="s">
        <v>5</v>
      </c>
      <c r="C1265" s="1225" t="s">
        <v>1767</v>
      </c>
      <c r="D1265" s="1225">
        <v>233.76</v>
      </c>
      <c r="E1265" s="1225" t="s">
        <v>729</v>
      </c>
      <c r="F1265" s="1225">
        <v>109.87</v>
      </c>
    </row>
    <row r="1266" spans="1:6" s="1225" customFormat="1" ht="17.25" customHeight="1">
      <c r="A1266" s="1225">
        <v>2</v>
      </c>
      <c r="F1266" s="1225">
        <v>0</v>
      </c>
    </row>
    <row r="1267" spans="1:6" s="1225" customFormat="1" ht="17.25" customHeight="1">
      <c r="A1267" s="1225">
        <v>0.24</v>
      </c>
      <c r="B1267" s="1225" t="s">
        <v>5</v>
      </c>
      <c r="C1267" s="1225" t="s">
        <v>2195</v>
      </c>
      <c r="D1267" s="1225">
        <v>1316.98</v>
      </c>
      <c r="E1267" s="1225" t="s">
        <v>729</v>
      </c>
      <c r="F1267" s="1225">
        <v>316.08</v>
      </c>
    </row>
    <row r="1268" spans="1:6" s="1225" customFormat="1" ht="17.25" customHeight="1">
      <c r="A1268" s="1225">
        <v>0.79</v>
      </c>
      <c r="B1268" s="1225" t="s">
        <v>724</v>
      </c>
      <c r="C1268" s="1225" t="s">
        <v>4526</v>
      </c>
      <c r="D1268" s="1225">
        <v>1688.92</v>
      </c>
      <c r="E1268" s="1225" t="s">
        <v>145</v>
      </c>
      <c r="F1268" s="1225">
        <v>1334.25</v>
      </c>
    </row>
    <row r="1269" spans="1:6" s="1225" customFormat="1" ht="17.25" customHeight="1">
      <c r="A1269" s="1225">
        <v>0.24</v>
      </c>
      <c r="B1269" s="1225" t="s">
        <v>5</v>
      </c>
      <c r="C1269" s="1225" t="s">
        <v>475</v>
      </c>
      <c r="D1269" s="1225">
        <v>1642.42</v>
      </c>
      <c r="F1269" s="1225">
        <v>394.18</v>
      </c>
    </row>
    <row r="1270" spans="1:6" s="1225" customFormat="1" ht="17.25" customHeight="1">
      <c r="C1270" s="1225" t="s">
        <v>1557</v>
      </c>
      <c r="F1270" s="1225" t="s">
        <v>4527</v>
      </c>
    </row>
    <row r="1271" spans="1:6" s="1225" customFormat="1" ht="17.25" customHeight="1">
      <c r="F1271" s="1225">
        <v>2154.38</v>
      </c>
    </row>
    <row r="1272" spans="1:6" s="1225" customFormat="1" ht="17.25" customHeight="1">
      <c r="F1272" s="1225" t="s">
        <v>3617</v>
      </c>
    </row>
    <row r="1273" spans="1:6" s="1225" customFormat="1" ht="17.25" customHeight="1">
      <c r="F1273" s="1225">
        <v>0</v>
      </c>
    </row>
    <row r="1274" spans="1:6" s="1225" customFormat="1" ht="16.5">
      <c r="C1274" s="1225" t="s">
        <v>4532</v>
      </c>
    </row>
    <row r="1275" spans="1:6" s="1225" customFormat="1" ht="17.25" customHeight="1">
      <c r="A1275" s="1225">
        <v>1</v>
      </c>
      <c r="B1275" s="1225" t="s">
        <v>5</v>
      </c>
      <c r="C1275" s="1225" t="s">
        <v>478</v>
      </c>
      <c r="D1275" s="1225">
        <v>416.06</v>
      </c>
      <c r="E1275" s="1225" t="s">
        <v>729</v>
      </c>
      <c r="F1275" s="1225">
        <v>416.06</v>
      </c>
    </row>
    <row r="1276" spans="1:6" s="1225" customFormat="1" ht="17.25" customHeight="1">
      <c r="A1276" s="1225">
        <v>7.0000000000000007E-2</v>
      </c>
      <c r="B1276" s="1225" t="s">
        <v>5</v>
      </c>
      <c r="C1276" s="1225" t="s">
        <v>2195</v>
      </c>
      <c r="D1276" s="1225">
        <v>1316.98</v>
      </c>
      <c r="E1276" s="1225" t="s">
        <v>729</v>
      </c>
      <c r="F1276" s="1225">
        <v>93.51</v>
      </c>
    </row>
    <row r="1277" spans="1:6" s="1225" customFormat="1" ht="17.25" customHeight="1">
      <c r="F1277" s="1225" t="s">
        <v>4527</v>
      </c>
    </row>
    <row r="1278" spans="1:6" s="1225" customFormat="1" ht="17.25" customHeight="1">
      <c r="F1278" s="1225">
        <v>509.57</v>
      </c>
    </row>
    <row r="1279" spans="1:6" s="1225" customFormat="1" ht="17.25" customHeight="1"/>
    <row r="1280" spans="1:6" s="1225" customFormat="1" ht="17.25" customHeight="1">
      <c r="C1280" s="1225" t="s">
        <v>4831</v>
      </c>
      <c r="D1280" s="1225">
        <v>398.3</v>
      </c>
      <c r="E1280" s="1225" t="s">
        <v>2847</v>
      </c>
    </row>
    <row r="1281" spans="1:6" s="1225" customFormat="1" ht="17.25" customHeight="1"/>
    <row r="1282" spans="1:6" s="1225" customFormat="1" ht="17.25" customHeight="1"/>
    <row r="1283" spans="1:6" s="1225" customFormat="1" ht="17.25" customHeight="1">
      <c r="C1283" s="1225" t="s">
        <v>4730</v>
      </c>
    </row>
    <row r="1284" spans="1:6" s="1225" customFormat="1" ht="17.25" customHeight="1"/>
    <row r="1285" spans="1:6" s="1225" customFormat="1" ht="17.25" customHeight="1">
      <c r="A1285" s="1225">
        <v>5</v>
      </c>
      <c r="B1285" s="1225" t="s">
        <v>4732</v>
      </c>
      <c r="C1285" s="1225" t="s">
        <v>4733</v>
      </c>
      <c r="D1285" s="1225">
        <v>160</v>
      </c>
      <c r="E1285" s="1225" t="s">
        <v>4734</v>
      </c>
      <c r="F1285" s="1225">
        <v>800</v>
      </c>
    </row>
    <row r="1286" spans="1:6" s="1225" customFormat="1" ht="17.25" customHeight="1">
      <c r="A1286" s="1225">
        <v>1</v>
      </c>
      <c r="B1286" s="1225" t="s">
        <v>1034</v>
      </c>
      <c r="C1286" s="1225" t="s">
        <v>4736</v>
      </c>
      <c r="D1286" s="1225">
        <v>75</v>
      </c>
      <c r="E1286" s="1225" t="s">
        <v>729</v>
      </c>
      <c r="F1286" s="1225">
        <v>75</v>
      </c>
    </row>
    <row r="1287" spans="1:6" s="1225" customFormat="1" ht="17.25" customHeight="1">
      <c r="A1287" s="1225">
        <v>2.5</v>
      </c>
      <c r="B1287" s="1225" t="s">
        <v>1034</v>
      </c>
      <c r="C1287" s="1225" t="s">
        <v>4737</v>
      </c>
      <c r="D1287" s="1225">
        <v>831.6</v>
      </c>
      <c r="E1287" s="1225" t="s">
        <v>1034</v>
      </c>
      <c r="F1287" s="1225">
        <v>2079</v>
      </c>
    </row>
    <row r="1288" spans="1:6" s="1225" customFormat="1" ht="17.25" customHeight="1">
      <c r="C1288" s="1225" t="s">
        <v>1557</v>
      </c>
      <c r="D1288" s="1225" t="s">
        <v>145</v>
      </c>
      <c r="F1288" s="1225">
        <v>0.25</v>
      </c>
    </row>
    <row r="1289" spans="1:6" s="1225" customFormat="1" ht="17.25" customHeight="1">
      <c r="F1289" s="1225" t="s">
        <v>89</v>
      </c>
    </row>
    <row r="1290" spans="1:6" s="1225" customFormat="1" ht="17.25" customHeight="1">
      <c r="D1290" s="1225" t="s">
        <v>4740</v>
      </c>
      <c r="E1290" s="1225" t="s">
        <v>89</v>
      </c>
      <c r="F1290" s="1225">
        <v>2954.25</v>
      </c>
    </row>
    <row r="1291" spans="1:6" s="1225" customFormat="1" ht="17.25" customHeight="1"/>
    <row r="1292" spans="1:6" s="1225" customFormat="1" ht="33">
      <c r="A1292" s="1225" t="s">
        <v>1654</v>
      </c>
      <c r="B1292" s="1225" t="s">
        <v>111</v>
      </c>
      <c r="C1292" s="1225" t="s">
        <v>6444</v>
      </c>
    </row>
    <row r="1293" spans="1:6" s="1225" customFormat="1" ht="16.5">
      <c r="C1293" s="1225" t="s">
        <v>4319</v>
      </c>
    </row>
    <row r="1294" spans="1:6" s="1225" customFormat="1" ht="16.5">
      <c r="C1294" s="1225" t="s">
        <v>4334</v>
      </c>
    </row>
    <row r="1295" spans="1:6" s="1225" customFormat="1" ht="17.25" customHeight="1">
      <c r="C1295" s="1225" t="s">
        <v>52</v>
      </c>
    </row>
    <row r="1296" spans="1:6" s="1225" customFormat="1" ht="17.25" customHeight="1">
      <c r="A1296" s="1225">
        <v>1.4</v>
      </c>
      <c r="B1296" s="1225" t="s">
        <v>1658</v>
      </c>
      <c r="C1296" s="1225" t="s">
        <v>4336</v>
      </c>
      <c r="D1296" s="1225">
        <v>295.60000000000002</v>
      </c>
      <c r="E1296" s="1225" t="s">
        <v>1658</v>
      </c>
      <c r="F1296" s="1225">
        <v>413.84</v>
      </c>
    </row>
    <row r="1297" spans="1:6" s="1225" customFormat="1" ht="17.25" customHeight="1">
      <c r="A1297" s="1225">
        <v>0.98</v>
      </c>
      <c r="B1297" s="1225" t="s">
        <v>1658</v>
      </c>
      <c r="C1297" s="1225" t="s">
        <v>4337</v>
      </c>
      <c r="D1297" s="1225">
        <v>147.5</v>
      </c>
      <c r="E1297" s="1225" t="s">
        <v>1658</v>
      </c>
      <c r="F1297" s="1225">
        <v>144.55000000000001</v>
      </c>
    </row>
    <row r="1298" spans="1:6" s="1225" customFormat="1" ht="17.25" customHeight="1">
      <c r="A1298" s="1225">
        <v>2.2000000000000002</v>
      </c>
      <c r="B1298" s="1225" t="s">
        <v>237</v>
      </c>
      <c r="C1298" s="1225" t="s">
        <v>1660</v>
      </c>
      <c r="D1298" s="1225">
        <v>831.6</v>
      </c>
      <c r="E1298" s="1225" t="s">
        <v>237</v>
      </c>
      <c r="F1298" s="1225">
        <v>1829.52</v>
      </c>
    </row>
    <row r="1299" spans="1:6" s="1225" customFormat="1" ht="17.25" customHeight="1">
      <c r="B1299" s="1225" t="s">
        <v>145</v>
      </c>
      <c r="C1299" s="1225" t="s">
        <v>1546</v>
      </c>
      <c r="D1299" s="1225" t="s">
        <v>85</v>
      </c>
      <c r="E1299" s="1225" t="s">
        <v>145</v>
      </c>
      <c r="F1299" s="1225">
        <v>2.5499999999999998</v>
      </c>
    </row>
    <row r="1300" spans="1:6" s="1225" customFormat="1" ht="17.25" customHeight="1"/>
    <row r="1301" spans="1:6" s="1225" customFormat="1" ht="17.25" customHeight="1">
      <c r="C1301" s="1225" t="s">
        <v>495</v>
      </c>
      <c r="F1301" s="1225">
        <v>2390.46</v>
      </c>
    </row>
    <row r="1302" spans="1:6" s="1225" customFormat="1" ht="17.25" customHeight="1">
      <c r="F1302" s="1225" t="s">
        <v>52</v>
      </c>
    </row>
    <row r="1303" spans="1:6" s="1225" customFormat="1" ht="17.25" customHeight="1">
      <c r="C1303" s="1225" t="s">
        <v>460</v>
      </c>
      <c r="F1303" s="1225">
        <v>239.05</v>
      </c>
    </row>
    <row r="1304" spans="1:6" s="1225" customFormat="1" ht="17.25" customHeight="1"/>
    <row r="1305" spans="1:6" s="1225" customFormat="1" ht="17.25" customHeight="1">
      <c r="B1305" s="1225" t="s">
        <v>111</v>
      </c>
      <c r="C1305" s="1225" t="s">
        <v>6445</v>
      </c>
    </row>
    <row r="1306" spans="1:6" s="1225" customFormat="1" ht="17.25" customHeight="1">
      <c r="C1306" s="1225" t="s">
        <v>4319</v>
      </c>
    </row>
    <row r="1307" spans="1:6" s="1225" customFormat="1" ht="17.25" customHeight="1">
      <c r="C1307" s="1225" t="s">
        <v>4996</v>
      </c>
    </row>
    <row r="1308" spans="1:6" s="1225" customFormat="1" ht="17.25" customHeight="1">
      <c r="C1308" s="1225" t="s">
        <v>52</v>
      </c>
    </row>
    <row r="1309" spans="1:6" s="1225" customFormat="1" ht="17.25" customHeight="1">
      <c r="A1309" s="1225">
        <v>1.34</v>
      </c>
      <c r="B1309" s="1225" t="s">
        <v>39</v>
      </c>
      <c r="C1309" s="1225" t="s">
        <v>4997</v>
      </c>
      <c r="D1309" s="1225">
        <v>73.8</v>
      </c>
      <c r="E1309" s="1225" t="s">
        <v>39</v>
      </c>
      <c r="F1309" s="1225">
        <v>98.89</v>
      </c>
    </row>
    <row r="1310" spans="1:6" s="1225" customFormat="1" ht="17.25" customHeight="1">
      <c r="A1310" s="1225">
        <v>0.5</v>
      </c>
      <c r="B1310" s="1225" t="s">
        <v>237</v>
      </c>
      <c r="C1310" s="1225" t="s">
        <v>1660</v>
      </c>
      <c r="D1310" s="1225">
        <v>831.6</v>
      </c>
      <c r="E1310" s="1225" t="s">
        <v>237</v>
      </c>
      <c r="F1310" s="1225">
        <v>415.8</v>
      </c>
    </row>
    <row r="1311" spans="1:6" s="1225" customFormat="1" ht="17.25" customHeight="1">
      <c r="A1311" s="1225">
        <v>0.5</v>
      </c>
      <c r="B1311" s="1225" t="s">
        <v>237</v>
      </c>
      <c r="C1311" s="1225" t="s">
        <v>304</v>
      </c>
      <c r="D1311" s="1225">
        <v>679.8</v>
      </c>
      <c r="E1311" s="1225" t="s">
        <v>237</v>
      </c>
      <c r="F1311" s="1225">
        <v>339.9</v>
      </c>
    </row>
    <row r="1312" spans="1:6" s="1225" customFormat="1" ht="17.25" customHeight="1">
      <c r="A1312" s="1225">
        <v>0.8</v>
      </c>
      <c r="B1312" s="1225" t="s">
        <v>237</v>
      </c>
      <c r="C1312" s="1225" t="s">
        <v>306</v>
      </c>
      <c r="D1312" s="1225">
        <v>557.70000000000005</v>
      </c>
      <c r="E1312" s="1225" t="s">
        <v>237</v>
      </c>
      <c r="F1312" s="1225">
        <v>446.16</v>
      </c>
    </row>
    <row r="1313" spans="1:6" s="1225" customFormat="1" ht="17.25" customHeight="1">
      <c r="B1313" s="1225" t="s">
        <v>145</v>
      </c>
      <c r="C1313" s="1225" t="s">
        <v>1546</v>
      </c>
      <c r="D1313" s="1225" t="s">
        <v>85</v>
      </c>
      <c r="E1313" s="1225" t="s">
        <v>145</v>
      </c>
      <c r="F1313" s="1225">
        <v>2.6</v>
      </c>
    </row>
    <row r="1314" spans="1:6" s="1225" customFormat="1" ht="17.25" customHeight="1">
      <c r="F1314" s="1225" t="s">
        <v>52</v>
      </c>
    </row>
    <row r="1315" spans="1:6" s="1225" customFormat="1" ht="17.25" customHeight="1">
      <c r="C1315" s="1225" t="s">
        <v>495</v>
      </c>
      <c r="F1315" s="1225">
        <v>1303.3499999999999</v>
      </c>
    </row>
    <row r="1316" spans="1:6" s="1225" customFormat="1" ht="17.25" customHeight="1">
      <c r="F1316" s="1225" t="s">
        <v>52</v>
      </c>
    </row>
    <row r="1317" spans="1:6" s="1225" customFormat="1" ht="17.25" customHeight="1">
      <c r="C1317" s="1225" t="s">
        <v>460</v>
      </c>
      <c r="F1317" s="1225">
        <v>130.34</v>
      </c>
    </row>
    <row r="1318" spans="1:6" s="1225" customFormat="1" ht="17.25" customHeight="1"/>
    <row r="1319" spans="1:6" s="1225" customFormat="1" ht="17.25" customHeight="1">
      <c r="C1319" s="1225" t="s">
        <v>4882</v>
      </c>
    </row>
    <row r="1320" spans="1:6" s="1225" customFormat="1" ht="17.25" customHeight="1">
      <c r="A1320" s="1225">
        <v>1</v>
      </c>
      <c r="C1320" s="1225" t="s">
        <v>4884</v>
      </c>
      <c r="D1320" s="1225">
        <v>17.2</v>
      </c>
      <c r="E1320" s="1225" t="s">
        <v>729</v>
      </c>
      <c r="F1320" s="1225">
        <v>17.2</v>
      </c>
    </row>
    <row r="1321" spans="1:6" s="1225" customFormat="1" ht="17.25" customHeight="1">
      <c r="A1321" s="1225">
        <v>1</v>
      </c>
      <c r="C1321" s="1225" t="s">
        <v>4886</v>
      </c>
      <c r="D1321" s="1225">
        <v>8.5</v>
      </c>
      <c r="E1321" s="1225" t="s">
        <v>729</v>
      </c>
      <c r="F1321" s="1225">
        <v>8.5</v>
      </c>
    </row>
    <row r="1322" spans="1:6" s="1225" customFormat="1" ht="17.25" customHeight="1">
      <c r="A1322" s="1225">
        <v>0.125</v>
      </c>
      <c r="C1322" s="1225" t="s">
        <v>4887</v>
      </c>
      <c r="D1322" s="1225">
        <v>903.1</v>
      </c>
      <c r="E1322" s="1225" t="s">
        <v>729</v>
      </c>
      <c r="F1322" s="1225">
        <v>112.89</v>
      </c>
    </row>
    <row r="1323" spans="1:6" s="1225" customFormat="1" ht="17.25" customHeight="1">
      <c r="C1323" s="1225" t="s">
        <v>1557</v>
      </c>
      <c r="F1323" s="1225">
        <v>4.37</v>
      </c>
    </row>
    <row r="1324" spans="1:6" s="1225" customFormat="1" ht="17.25" customHeight="1">
      <c r="C1324" s="1225" t="s">
        <v>1557</v>
      </c>
      <c r="F1324" s="1225">
        <v>142.96</v>
      </c>
    </row>
    <row r="1325" spans="1:6" s="1225" customFormat="1" ht="17.25" customHeight="1"/>
    <row r="1326" spans="1:6" s="1225" customFormat="1" ht="17.25" customHeight="1"/>
    <row r="1327" spans="1:6" s="1225" customFormat="1" ht="17.25" customHeight="1"/>
    <row r="1328" spans="1:6" s="1225" customFormat="1" ht="33">
      <c r="A1328" s="1225">
        <v>29.5</v>
      </c>
      <c r="B1328" s="1225" t="s">
        <v>111</v>
      </c>
      <c r="C1328" s="1225" t="s">
        <v>4302</v>
      </c>
    </row>
    <row r="1329" spans="1:6" s="1225" customFormat="1" ht="17.25" customHeight="1"/>
    <row r="1330" spans="1:6" s="1225" customFormat="1" ht="17.25" customHeight="1"/>
    <row r="1331" spans="1:6" s="1225" customFormat="1" ht="17.25" customHeight="1">
      <c r="C1331" s="1225" t="s">
        <v>52</v>
      </c>
      <c r="D1331" s="1225" t="s">
        <v>52</v>
      </c>
    </row>
    <row r="1332" spans="1:6" s="1225" customFormat="1" ht="17.25" customHeight="1">
      <c r="A1332" s="1225">
        <v>10</v>
      </c>
      <c r="B1332" s="1225" t="s">
        <v>425</v>
      </c>
      <c r="C1332" s="1225" t="s">
        <v>4304</v>
      </c>
      <c r="D1332" s="1225">
        <v>793</v>
      </c>
      <c r="E1332" s="1225" t="s">
        <v>425</v>
      </c>
      <c r="F1332" s="1225">
        <v>7930</v>
      </c>
    </row>
    <row r="1333" spans="1:6" s="1225" customFormat="1" ht="17.25" customHeight="1">
      <c r="A1333" s="1225">
        <v>0.21</v>
      </c>
      <c r="B1333" s="1225" t="s">
        <v>132</v>
      </c>
      <c r="C1333" s="1225" t="s">
        <v>1575</v>
      </c>
      <c r="D1333" s="1225">
        <v>4667.62</v>
      </c>
      <c r="E1333" s="1225" t="s">
        <v>132</v>
      </c>
      <c r="F1333" s="1225">
        <v>980.2</v>
      </c>
    </row>
    <row r="1334" spans="1:6" s="1225" customFormat="1" ht="17.25" customHeight="1">
      <c r="C1334" s="1225" t="s">
        <v>1576</v>
      </c>
      <c r="D1334" s="1225" t="s">
        <v>85</v>
      </c>
      <c r="F1334" s="1225" t="s">
        <v>85</v>
      </c>
    </row>
    <row r="1335" spans="1:6" s="1225" customFormat="1" ht="17.25" customHeight="1">
      <c r="A1335" s="1225">
        <v>1.1000000000000001</v>
      </c>
      <c r="B1335" s="1225" t="s">
        <v>237</v>
      </c>
      <c r="C1335" s="1225" t="s">
        <v>345</v>
      </c>
      <c r="D1335" s="1225">
        <v>1041.7</v>
      </c>
      <c r="E1335" s="1225" t="s">
        <v>237</v>
      </c>
      <c r="F1335" s="1225">
        <v>1145.8699999999999</v>
      </c>
    </row>
    <row r="1336" spans="1:6" s="1225" customFormat="1" ht="17.25" customHeight="1">
      <c r="A1336" s="1225">
        <v>1.1000000000000001</v>
      </c>
      <c r="B1336" s="1225" t="s">
        <v>237</v>
      </c>
      <c r="C1336" s="1225" t="s">
        <v>302</v>
      </c>
      <c r="D1336" s="1225">
        <v>972.4</v>
      </c>
      <c r="E1336" s="1225" t="s">
        <v>237</v>
      </c>
      <c r="F1336" s="1225">
        <v>1069.6400000000001</v>
      </c>
    </row>
    <row r="1337" spans="1:6" s="1225" customFormat="1" ht="17.25" customHeight="1">
      <c r="A1337" s="1225">
        <v>2.2000000000000002</v>
      </c>
      <c r="B1337" s="1225" t="s">
        <v>237</v>
      </c>
      <c r="C1337" s="1225" t="s">
        <v>304</v>
      </c>
      <c r="D1337" s="1225">
        <v>679.8</v>
      </c>
      <c r="E1337" s="1225" t="s">
        <v>237</v>
      </c>
      <c r="F1337" s="1225">
        <v>1495.56</v>
      </c>
    </row>
    <row r="1338" spans="1:6" s="1225" customFormat="1" ht="17.25" customHeight="1">
      <c r="A1338" s="1225">
        <v>2.2000000000000002</v>
      </c>
      <c r="B1338" s="1225" t="s">
        <v>237</v>
      </c>
      <c r="C1338" s="1225" t="s">
        <v>306</v>
      </c>
      <c r="D1338" s="1225">
        <v>557.70000000000005</v>
      </c>
      <c r="E1338" s="1225" t="s">
        <v>237</v>
      </c>
      <c r="F1338" s="1225">
        <v>1226.94</v>
      </c>
    </row>
    <row r="1339" spans="1:6" s="1225" customFormat="1" ht="17.25" customHeight="1">
      <c r="A1339" s="1225">
        <v>20</v>
      </c>
      <c r="B1339" s="1225" t="s">
        <v>39</v>
      </c>
      <c r="C1339" s="1225" t="s">
        <v>123</v>
      </c>
      <c r="D1339" s="1225">
        <v>6040</v>
      </c>
      <c r="E1339" s="1225" t="s">
        <v>122</v>
      </c>
      <c r="F1339" s="1225">
        <v>120.8</v>
      </c>
    </row>
    <row r="1340" spans="1:6" s="1225" customFormat="1" ht="17.25" customHeight="1">
      <c r="A1340" s="1225">
        <v>2</v>
      </c>
      <c r="B1340" s="1225" t="s">
        <v>39</v>
      </c>
      <c r="C1340" s="1225" t="s">
        <v>4296</v>
      </c>
      <c r="D1340" s="1225">
        <v>36.1</v>
      </c>
      <c r="E1340" s="1225" t="s">
        <v>39</v>
      </c>
      <c r="F1340" s="1225">
        <v>72.2</v>
      </c>
    </row>
    <row r="1341" spans="1:6" s="1225" customFormat="1" ht="17.25" customHeight="1">
      <c r="A1341" s="1225">
        <v>1.6</v>
      </c>
      <c r="B1341" s="1225" t="s">
        <v>237</v>
      </c>
      <c r="C1341" s="1225" t="s">
        <v>302</v>
      </c>
      <c r="D1341" s="1225">
        <v>972.4</v>
      </c>
      <c r="E1341" s="1225" t="s">
        <v>237</v>
      </c>
      <c r="F1341" s="1225">
        <v>1555.84</v>
      </c>
    </row>
    <row r="1342" spans="1:6" s="1225" customFormat="1" ht="17.25" customHeight="1">
      <c r="A1342" s="1225">
        <v>0.5</v>
      </c>
      <c r="B1342" s="1225" t="s">
        <v>237</v>
      </c>
      <c r="C1342" s="1225" t="s">
        <v>304</v>
      </c>
      <c r="D1342" s="1225">
        <v>679.8</v>
      </c>
      <c r="E1342" s="1225" t="s">
        <v>237</v>
      </c>
      <c r="F1342" s="1225">
        <v>339.9</v>
      </c>
    </row>
    <row r="1343" spans="1:6" s="1225" customFormat="1" ht="17.25" customHeight="1">
      <c r="A1343" s="1225">
        <v>1.1000000000000001</v>
      </c>
      <c r="B1343" s="1225" t="s">
        <v>237</v>
      </c>
      <c r="C1343" s="1225" t="s">
        <v>306</v>
      </c>
      <c r="D1343" s="1225">
        <v>557.70000000000005</v>
      </c>
      <c r="E1343" s="1225" t="s">
        <v>237</v>
      </c>
      <c r="F1343" s="1225">
        <v>613.47</v>
      </c>
    </row>
    <row r="1344" spans="1:6" s="1225" customFormat="1" ht="17.25" customHeight="1">
      <c r="B1344" s="1225" t="s">
        <v>145</v>
      </c>
      <c r="C1344" s="1225" t="s">
        <v>146</v>
      </c>
      <c r="D1344" s="1225">
        <v>0</v>
      </c>
      <c r="E1344" s="1225" t="s">
        <v>145</v>
      </c>
      <c r="F1344" s="1225">
        <v>0</v>
      </c>
    </row>
    <row r="1345" spans="1:6" s="1225" customFormat="1" ht="17.25" customHeight="1">
      <c r="F1345" s="1225" t="s">
        <v>52</v>
      </c>
    </row>
    <row r="1346" spans="1:6" s="1225" customFormat="1" ht="17.25" customHeight="1">
      <c r="C1346" s="1225" t="s">
        <v>495</v>
      </c>
      <c r="F1346" s="1225">
        <v>16550.419999999998</v>
      </c>
    </row>
    <row r="1347" spans="1:6" s="1225" customFormat="1" ht="17.25" customHeight="1">
      <c r="F1347" s="1225" t="s">
        <v>52</v>
      </c>
    </row>
    <row r="1348" spans="1:6" s="1225" customFormat="1" ht="17.25" customHeight="1">
      <c r="C1348" s="1225" t="s">
        <v>460</v>
      </c>
      <c r="F1348" s="1225">
        <v>1655.04</v>
      </c>
    </row>
    <row r="1349" spans="1:6" s="1225" customFormat="1" ht="17.25" customHeight="1"/>
    <row r="1350" spans="1:6" s="1225" customFormat="1" ht="29.25" customHeight="1">
      <c r="A1350" s="1225">
        <v>29.4</v>
      </c>
      <c r="B1350" s="1225" t="s">
        <v>111</v>
      </c>
      <c r="C1350" s="1225" t="s">
        <v>4310</v>
      </c>
    </row>
    <row r="1351" spans="1:6" s="1225" customFormat="1" ht="17.25" customHeight="1">
      <c r="C1351" s="1225" t="s">
        <v>4311</v>
      </c>
    </row>
    <row r="1352" spans="1:6" s="1225" customFormat="1" ht="17.25" customHeight="1">
      <c r="C1352" s="1225" t="s">
        <v>52</v>
      </c>
    </row>
    <row r="1353" spans="1:6" s="1225" customFormat="1" ht="17.25" customHeight="1">
      <c r="A1353" s="1225">
        <v>1.86</v>
      </c>
      <c r="B1353" s="1225" t="s">
        <v>425</v>
      </c>
      <c r="C1353" s="1225" t="s">
        <v>4312</v>
      </c>
      <c r="D1353" s="1225">
        <v>793</v>
      </c>
      <c r="E1353" s="1225" t="s">
        <v>425</v>
      </c>
      <c r="F1353" s="1225">
        <v>1474.98</v>
      </c>
    </row>
    <row r="1354" spans="1:6" s="1225" customFormat="1" ht="17.25" customHeight="1">
      <c r="A1354" s="1225">
        <v>0.4</v>
      </c>
      <c r="B1354" s="1225" t="s">
        <v>39</v>
      </c>
      <c r="C1354" s="1225" t="s">
        <v>4296</v>
      </c>
      <c r="D1354" s="1225">
        <v>36.1</v>
      </c>
      <c r="E1354" s="1225" t="s">
        <v>39</v>
      </c>
      <c r="F1354" s="1225">
        <v>14.44</v>
      </c>
    </row>
    <row r="1355" spans="1:6" s="1225" customFormat="1" ht="17.25" customHeight="1">
      <c r="A1355" s="1225">
        <v>0.02</v>
      </c>
      <c r="B1355" s="1225" t="s">
        <v>132</v>
      </c>
      <c r="C1355" s="1225" t="s">
        <v>1592</v>
      </c>
      <c r="D1355" s="1225">
        <v>6117.22</v>
      </c>
      <c r="E1355" s="1225" t="s">
        <v>132</v>
      </c>
      <c r="F1355" s="1225">
        <v>122.34</v>
      </c>
    </row>
    <row r="1356" spans="1:6" s="1225" customFormat="1" ht="17.25" customHeight="1">
      <c r="A1356" s="1225">
        <v>1</v>
      </c>
      <c r="B1356" s="1225" t="s">
        <v>237</v>
      </c>
      <c r="C1356" s="1225" t="s">
        <v>345</v>
      </c>
      <c r="D1356" s="1225">
        <v>1041.7</v>
      </c>
      <c r="E1356" s="1225" t="s">
        <v>237</v>
      </c>
      <c r="F1356" s="1225">
        <v>1041.7</v>
      </c>
    </row>
    <row r="1357" spans="1:6" s="1225" customFormat="1" ht="17.25" customHeight="1">
      <c r="A1357" s="1225">
        <v>1</v>
      </c>
      <c r="B1357" s="1225" t="s">
        <v>237</v>
      </c>
      <c r="C1357" s="1225" t="s">
        <v>1593</v>
      </c>
      <c r="D1357" s="1225">
        <v>679.8</v>
      </c>
      <c r="E1357" s="1225" t="s">
        <v>237</v>
      </c>
      <c r="F1357" s="1225">
        <v>679.8</v>
      </c>
    </row>
    <row r="1358" spans="1:6" s="1225" customFormat="1" ht="17.25" customHeight="1">
      <c r="B1358" s="1225" t="s">
        <v>145</v>
      </c>
      <c r="C1358" s="1225" t="s">
        <v>146</v>
      </c>
      <c r="E1358" s="1225" t="s">
        <v>145</v>
      </c>
      <c r="F1358" s="1225">
        <v>0</v>
      </c>
    </row>
    <row r="1359" spans="1:6" s="1225" customFormat="1" ht="17.25" customHeight="1">
      <c r="F1359" s="1225" t="s">
        <v>52</v>
      </c>
    </row>
    <row r="1360" spans="1:6" s="1225" customFormat="1" ht="17.25" customHeight="1">
      <c r="C1360" s="1225" t="s">
        <v>1594</v>
      </c>
      <c r="F1360" s="1225">
        <v>3333.26</v>
      </c>
    </row>
    <row r="1361" spans="1:6" s="1225" customFormat="1" ht="17.25" customHeight="1">
      <c r="F1361" s="1225" t="s">
        <v>52</v>
      </c>
    </row>
    <row r="1362" spans="1:6" s="1225" customFormat="1" ht="17.25" customHeight="1">
      <c r="C1362" s="1225" t="s">
        <v>460</v>
      </c>
      <c r="F1362" s="1225">
        <v>1792.08</v>
      </c>
    </row>
    <row r="1363" spans="1:6" s="1225" customFormat="1" ht="17.25" customHeight="1"/>
    <row r="1364" spans="1:6" s="1225" customFormat="1" ht="17.25" customHeight="1">
      <c r="C1364" s="1225" t="s">
        <v>6446</v>
      </c>
    </row>
    <row r="1365" spans="1:6" s="1225" customFormat="1" ht="17.25" customHeight="1">
      <c r="C1365" s="1225" t="s">
        <v>4564</v>
      </c>
    </row>
    <row r="1366" spans="1:6" s="1225" customFormat="1" ht="17.25" customHeight="1">
      <c r="C1366" s="1225" t="s">
        <v>4566</v>
      </c>
    </row>
    <row r="1367" spans="1:6" s="1225" customFormat="1" ht="17.25" customHeight="1">
      <c r="C1367" s="1225" t="s">
        <v>4567</v>
      </c>
    </row>
    <row r="1368" spans="1:6" s="1225" customFormat="1" ht="17.25" customHeight="1">
      <c r="C1368" s="1225" t="s">
        <v>52</v>
      </c>
      <c r="D1368" s="1225" t="s">
        <v>52</v>
      </c>
    </row>
    <row r="1369" spans="1:6" s="1225" customFormat="1" ht="17.25" customHeight="1">
      <c r="A1369" s="1225">
        <v>8</v>
      </c>
      <c r="B1369" s="1225" t="s">
        <v>1572</v>
      </c>
      <c r="C1369" s="1225" t="s">
        <v>4569</v>
      </c>
      <c r="D1369" s="1225">
        <v>4.0999999999999996</v>
      </c>
      <c r="E1369" s="1225" t="s">
        <v>729</v>
      </c>
      <c r="F1369" s="1225">
        <v>32.799999999999997</v>
      </c>
    </row>
    <row r="1370" spans="1:6" s="1225" customFormat="1" ht="17.25" customHeight="1">
      <c r="A1370" s="1225">
        <v>8</v>
      </c>
      <c r="B1370" s="1225" t="s">
        <v>1572</v>
      </c>
      <c r="C1370" s="1225" t="s">
        <v>4570</v>
      </c>
      <c r="D1370" s="1225">
        <v>3.69</v>
      </c>
      <c r="E1370" s="1225" t="s">
        <v>729</v>
      </c>
      <c r="F1370" s="1225">
        <v>29.52</v>
      </c>
    </row>
    <row r="1371" spans="1:6" s="1225" customFormat="1" ht="17.25" customHeight="1">
      <c r="A1371" s="1225">
        <v>8</v>
      </c>
      <c r="B1371" s="1225" t="s">
        <v>1572</v>
      </c>
      <c r="C1371" s="1225" t="s">
        <v>4571</v>
      </c>
      <c r="D1371" s="1225">
        <v>4.0999999999999996</v>
      </c>
      <c r="E1371" s="1225" t="s">
        <v>729</v>
      </c>
      <c r="F1371" s="1225">
        <v>32.799999999999997</v>
      </c>
    </row>
    <row r="1372" spans="1:6" s="1225" customFormat="1" ht="17.25" customHeight="1">
      <c r="A1372" s="1225">
        <v>0.75</v>
      </c>
      <c r="B1372" s="1225" t="s">
        <v>39</v>
      </c>
      <c r="C1372" s="1225" t="s">
        <v>4572</v>
      </c>
      <c r="D1372" s="1225">
        <v>176.4</v>
      </c>
      <c r="E1372" s="1225" t="s">
        <v>729</v>
      </c>
      <c r="F1372" s="1225">
        <v>132.30000000000001</v>
      </c>
    </row>
    <row r="1373" spans="1:6" s="1225" customFormat="1" ht="17.25" customHeight="1">
      <c r="A1373" s="1225">
        <v>2.25</v>
      </c>
      <c r="B1373" s="1225" t="s">
        <v>4573</v>
      </c>
      <c r="C1373" s="1225" t="s">
        <v>4574</v>
      </c>
      <c r="D1373" s="1225">
        <v>140.41</v>
      </c>
      <c r="E1373" s="1225" t="s">
        <v>4573</v>
      </c>
      <c r="F1373" s="1225">
        <v>315.92</v>
      </c>
    </row>
    <row r="1374" spans="1:6" s="1225" customFormat="1" ht="17.25" customHeight="1">
      <c r="A1374" s="1225">
        <v>4.5</v>
      </c>
      <c r="B1374" s="1225" t="s">
        <v>4573</v>
      </c>
      <c r="C1374" s="1225" t="s">
        <v>4575</v>
      </c>
      <c r="D1374" s="1225">
        <v>65</v>
      </c>
      <c r="E1374" s="1225" t="s">
        <v>4573</v>
      </c>
      <c r="F1374" s="1225">
        <v>292.5</v>
      </c>
    </row>
    <row r="1375" spans="1:6" s="1225" customFormat="1" ht="17.25" customHeight="1">
      <c r="A1375" s="1225">
        <v>6</v>
      </c>
      <c r="B1375" s="1225" t="s">
        <v>1572</v>
      </c>
      <c r="C1375" s="1225" t="s">
        <v>4577</v>
      </c>
      <c r="D1375" s="1225">
        <v>8</v>
      </c>
      <c r="E1375" s="1225" t="s">
        <v>729</v>
      </c>
      <c r="F1375" s="1225">
        <v>48</v>
      </c>
    </row>
    <row r="1376" spans="1:6" s="1225" customFormat="1" ht="17.25" customHeight="1">
      <c r="A1376" s="1225">
        <v>6</v>
      </c>
      <c r="B1376" s="1225" t="s">
        <v>1572</v>
      </c>
      <c r="C1376" s="1225" t="s">
        <v>4578</v>
      </c>
      <c r="D1376" s="1225">
        <v>8.61</v>
      </c>
      <c r="E1376" s="1225" t="s">
        <v>729</v>
      </c>
      <c r="F1376" s="1225">
        <v>51.66</v>
      </c>
    </row>
    <row r="1377" spans="1:6" s="1225" customFormat="1" ht="17.25" customHeight="1">
      <c r="A1377" s="1225">
        <v>4</v>
      </c>
      <c r="B1377" s="1225" t="s">
        <v>1572</v>
      </c>
      <c r="C1377" s="1225" t="s">
        <v>4579</v>
      </c>
      <c r="D1377" s="1225">
        <v>8.61</v>
      </c>
      <c r="E1377" s="1225" t="s">
        <v>729</v>
      </c>
      <c r="F1377" s="1225">
        <v>34.44</v>
      </c>
    </row>
    <row r="1378" spans="1:6" s="1225" customFormat="1" ht="17.25" customHeight="1">
      <c r="A1378" s="1225">
        <v>300</v>
      </c>
      <c r="B1378" s="1225" t="s">
        <v>4580</v>
      </c>
      <c r="C1378" s="1225" t="s">
        <v>4581</v>
      </c>
      <c r="D1378" s="1225">
        <v>30</v>
      </c>
      <c r="E1378" s="1225" t="s">
        <v>4582</v>
      </c>
      <c r="F1378" s="1225">
        <v>90</v>
      </c>
    </row>
    <row r="1379" spans="1:6" s="1225" customFormat="1" ht="17.25" customHeight="1">
      <c r="A1379" s="1225">
        <v>300</v>
      </c>
      <c r="B1379" s="1225" t="s">
        <v>4580</v>
      </c>
      <c r="C1379" s="1225" t="s">
        <v>4583</v>
      </c>
      <c r="D1379" s="1225">
        <v>44.99</v>
      </c>
      <c r="E1379" s="1225" t="s">
        <v>4584</v>
      </c>
      <c r="F1379" s="1225">
        <v>26.99</v>
      </c>
    </row>
    <row r="1380" spans="1:6" s="1225" customFormat="1" ht="17.25" customHeight="1">
      <c r="A1380" s="1225">
        <v>1.5</v>
      </c>
      <c r="B1380" s="1225" t="s">
        <v>39</v>
      </c>
      <c r="C1380" s="1225" t="s">
        <v>4585</v>
      </c>
      <c r="D1380" s="1225">
        <v>20.95</v>
      </c>
      <c r="E1380" s="1225" t="s">
        <v>39</v>
      </c>
      <c r="F1380" s="1225">
        <v>31.43</v>
      </c>
    </row>
    <row r="1381" spans="1:6" s="1225" customFormat="1" ht="17.25" customHeight="1">
      <c r="A1381" s="1225">
        <v>2.25</v>
      </c>
      <c r="B1381" s="1225" t="s">
        <v>4573</v>
      </c>
      <c r="C1381" s="1225" t="s">
        <v>4586</v>
      </c>
      <c r="D1381" s="1225">
        <v>212.41</v>
      </c>
      <c r="E1381" s="1225" t="s">
        <v>4573</v>
      </c>
      <c r="F1381" s="1225">
        <v>477.92</v>
      </c>
    </row>
    <row r="1382" spans="1:6" s="1225" customFormat="1" ht="17.25" customHeight="1">
      <c r="A1382" s="1225">
        <v>0.75</v>
      </c>
      <c r="B1382" s="1225" t="s">
        <v>4573</v>
      </c>
      <c r="C1382" s="1225" t="s">
        <v>4587</v>
      </c>
      <c r="D1382" s="1225">
        <v>205.21</v>
      </c>
      <c r="E1382" s="1225" t="s">
        <v>4573</v>
      </c>
      <c r="F1382" s="1225">
        <v>153.91</v>
      </c>
    </row>
    <row r="1383" spans="1:6" s="1225" customFormat="1" ht="17.25" customHeight="1">
      <c r="A1383" s="1225">
        <v>2.25</v>
      </c>
      <c r="B1383" s="1225" t="s">
        <v>4573</v>
      </c>
      <c r="C1383" s="1225" t="s">
        <v>4588</v>
      </c>
      <c r="D1383" s="1225">
        <v>185.21</v>
      </c>
      <c r="E1383" s="1225" t="s">
        <v>4573</v>
      </c>
      <c r="F1383" s="1225">
        <v>416.72</v>
      </c>
    </row>
    <row r="1384" spans="1:6" s="1225" customFormat="1" ht="17.25" customHeight="1">
      <c r="A1384" s="1225">
        <v>500</v>
      </c>
      <c r="B1384" s="1225" t="s">
        <v>4580</v>
      </c>
      <c r="C1384" s="1225" t="s">
        <v>4589</v>
      </c>
      <c r="D1384" s="1225">
        <v>52.25</v>
      </c>
      <c r="E1384" s="1225" t="s">
        <v>39</v>
      </c>
      <c r="F1384" s="1225">
        <v>26.13</v>
      </c>
    </row>
    <row r="1385" spans="1:6" s="1225" customFormat="1" ht="17.25" customHeight="1">
      <c r="A1385" s="1225">
        <v>1</v>
      </c>
      <c r="B1385" s="1225" t="s">
        <v>1572</v>
      </c>
      <c r="C1385" s="1225" t="s">
        <v>4591</v>
      </c>
      <c r="D1385" s="1225">
        <v>131.21</v>
      </c>
      <c r="E1385" s="1225" t="s">
        <v>4592</v>
      </c>
      <c r="F1385" s="1225">
        <v>131.21</v>
      </c>
    </row>
    <row r="1386" spans="1:6" s="1225" customFormat="1" ht="17.25" customHeight="1">
      <c r="A1386" s="1225">
        <v>1</v>
      </c>
      <c r="B1386" s="1225" t="s">
        <v>1572</v>
      </c>
      <c r="C1386" s="1225" t="s">
        <v>4594</v>
      </c>
      <c r="D1386" s="1225">
        <v>12.3</v>
      </c>
      <c r="E1386" s="1225" t="s">
        <v>4592</v>
      </c>
      <c r="F1386" s="1225">
        <v>12.3</v>
      </c>
    </row>
    <row r="1387" spans="1:6" s="1225" customFormat="1" ht="17.25" customHeight="1">
      <c r="A1387" s="1225">
        <v>4</v>
      </c>
      <c r="B1387" s="1225" t="s">
        <v>1572</v>
      </c>
      <c r="C1387" s="1225" t="s">
        <v>4595</v>
      </c>
      <c r="D1387" s="1225">
        <v>831.6</v>
      </c>
      <c r="E1387" s="1225" t="s">
        <v>729</v>
      </c>
      <c r="F1387" s="1225">
        <v>3326.4</v>
      </c>
    </row>
    <row r="1388" spans="1:6" s="1225" customFormat="1" ht="17.25" customHeight="1">
      <c r="A1388" s="1225">
        <v>2</v>
      </c>
      <c r="B1388" s="1225" t="s">
        <v>1572</v>
      </c>
      <c r="C1388" s="1225" t="s">
        <v>4596</v>
      </c>
      <c r="D1388" s="1225">
        <v>805.2</v>
      </c>
      <c r="E1388" s="1225" t="s">
        <v>729</v>
      </c>
      <c r="F1388" s="1225">
        <v>1610.4</v>
      </c>
    </row>
    <row r="1389" spans="1:6" s="1225" customFormat="1" ht="17.25" customHeight="1">
      <c r="A1389" s="1225">
        <v>2</v>
      </c>
      <c r="B1389" s="1225" t="s">
        <v>1572</v>
      </c>
      <c r="C1389" s="1225" t="s">
        <v>4597</v>
      </c>
      <c r="D1389" s="1225">
        <v>557.70000000000005</v>
      </c>
      <c r="E1389" s="1225" t="s">
        <v>729</v>
      </c>
      <c r="F1389" s="1225">
        <v>1115.4000000000001</v>
      </c>
    </row>
    <row r="1390" spans="1:6" s="1225" customFormat="1" ht="17.25" customHeight="1">
      <c r="C1390" s="1225" t="s">
        <v>4599</v>
      </c>
      <c r="F1390" s="1225">
        <v>20</v>
      </c>
    </row>
    <row r="1391" spans="1:6" s="1225" customFormat="1" ht="17.25" customHeight="1">
      <c r="F1391" s="1225" t="s">
        <v>4600</v>
      </c>
    </row>
    <row r="1392" spans="1:6" s="1225" customFormat="1" ht="17.25" customHeight="1">
      <c r="C1392" s="1225" t="s">
        <v>6447</v>
      </c>
      <c r="F1392" s="1225">
        <v>8408.75</v>
      </c>
    </row>
    <row r="1393" spans="1:6" s="1225" customFormat="1" ht="17.25" customHeight="1">
      <c r="F1393" s="1225" t="s">
        <v>89</v>
      </c>
    </row>
    <row r="1394" spans="1:6" s="1225" customFormat="1" ht="17.25" customHeight="1">
      <c r="C1394" s="1225" t="s">
        <v>2137</v>
      </c>
      <c r="F1394" s="1225">
        <v>1483.02</v>
      </c>
    </row>
    <row r="1395" spans="1:6" s="1225" customFormat="1" ht="17.25" customHeight="1"/>
    <row r="1396" spans="1:6" s="1225" customFormat="1" ht="17.25" customHeight="1">
      <c r="C1396" s="1225" t="s">
        <v>4305</v>
      </c>
      <c r="E1396" s="1225" t="s">
        <v>4306</v>
      </c>
    </row>
    <row r="1397" spans="1:6" s="1225" customFormat="1" ht="17.25" customHeight="1"/>
    <row r="1398" spans="1:6" s="1225" customFormat="1" ht="17.25" customHeight="1"/>
    <row r="1399" spans="1:6" s="1225" customFormat="1" ht="17.25" customHeight="1">
      <c r="A1399" s="1225">
        <v>10</v>
      </c>
      <c r="B1399" s="1225" t="s">
        <v>425</v>
      </c>
      <c r="C1399" s="1225" t="s">
        <v>6448</v>
      </c>
      <c r="D1399" s="1225">
        <v>421.3</v>
      </c>
      <c r="E1399" s="1225" t="s">
        <v>425</v>
      </c>
      <c r="F1399" s="1225">
        <v>4213</v>
      </c>
    </row>
    <row r="1400" spans="1:6" s="1225" customFormat="1" ht="17.25" customHeight="1">
      <c r="A1400" s="1225">
        <v>0.21</v>
      </c>
      <c r="B1400" s="1225" t="s">
        <v>132</v>
      </c>
      <c r="C1400" s="1225" t="s">
        <v>1575</v>
      </c>
      <c r="D1400" s="1225">
        <v>4667.62</v>
      </c>
      <c r="E1400" s="1225" t="s">
        <v>132</v>
      </c>
      <c r="F1400" s="1225">
        <v>980.2</v>
      </c>
    </row>
    <row r="1401" spans="1:6" s="1225" customFormat="1" ht="17.25" customHeight="1">
      <c r="A1401" s="1225">
        <v>1.1000000000000001</v>
      </c>
      <c r="B1401" s="1225" t="s">
        <v>237</v>
      </c>
      <c r="C1401" s="1225" t="s">
        <v>345</v>
      </c>
      <c r="D1401" s="1225">
        <v>1041.7</v>
      </c>
      <c r="E1401" s="1225" t="s">
        <v>237</v>
      </c>
      <c r="F1401" s="1225">
        <v>1145.8699999999999</v>
      </c>
    </row>
    <row r="1402" spans="1:6" s="1225" customFormat="1" ht="17.25" customHeight="1">
      <c r="A1402" s="1225">
        <v>1.1000000000000001</v>
      </c>
      <c r="B1402" s="1225" t="s">
        <v>237</v>
      </c>
      <c r="C1402" s="1225" t="s">
        <v>302</v>
      </c>
      <c r="D1402" s="1225">
        <v>972.4</v>
      </c>
      <c r="E1402" s="1225" t="s">
        <v>237</v>
      </c>
      <c r="F1402" s="1225">
        <v>1069.6400000000001</v>
      </c>
    </row>
    <row r="1403" spans="1:6" s="1225" customFormat="1" ht="17.25" customHeight="1">
      <c r="A1403" s="1225">
        <v>2.2000000000000002</v>
      </c>
      <c r="B1403" s="1225" t="s">
        <v>237</v>
      </c>
      <c r="C1403" s="1225" t="s">
        <v>304</v>
      </c>
      <c r="D1403" s="1225">
        <v>679.8</v>
      </c>
      <c r="E1403" s="1225" t="s">
        <v>237</v>
      </c>
      <c r="F1403" s="1225">
        <v>1495.56</v>
      </c>
    </row>
    <row r="1404" spans="1:6" s="1225" customFormat="1" ht="17.25" customHeight="1">
      <c r="A1404" s="1225">
        <v>2.2000000000000002</v>
      </c>
      <c r="B1404" s="1225" t="s">
        <v>237</v>
      </c>
      <c r="C1404" s="1225" t="s">
        <v>306</v>
      </c>
      <c r="D1404" s="1225">
        <v>557.70000000000005</v>
      </c>
      <c r="E1404" s="1225" t="s">
        <v>237</v>
      </c>
      <c r="F1404" s="1225">
        <v>1226.94</v>
      </c>
    </row>
    <row r="1405" spans="1:6" s="1225" customFormat="1" ht="17.25" customHeight="1">
      <c r="A1405" s="1225">
        <v>20</v>
      </c>
      <c r="B1405" s="1225" t="s">
        <v>39</v>
      </c>
      <c r="C1405" s="1225" t="s">
        <v>123</v>
      </c>
      <c r="D1405" s="1225">
        <v>6040</v>
      </c>
      <c r="E1405" s="1225" t="s">
        <v>122</v>
      </c>
      <c r="F1405" s="1225">
        <v>120.8</v>
      </c>
    </row>
    <row r="1406" spans="1:6" s="1225" customFormat="1" ht="17.25" customHeight="1">
      <c r="A1406" s="1225">
        <v>2</v>
      </c>
      <c r="B1406" s="1225" t="s">
        <v>39</v>
      </c>
      <c r="C1406" s="1225" t="s">
        <v>4303</v>
      </c>
      <c r="D1406" s="1225">
        <v>36.1</v>
      </c>
      <c r="E1406" s="1225" t="s">
        <v>39</v>
      </c>
      <c r="F1406" s="1225">
        <v>72.2</v>
      </c>
    </row>
    <row r="1407" spans="1:6" s="1225" customFormat="1" ht="17.25" customHeight="1">
      <c r="A1407" s="1225">
        <v>1.6</v>
      </c>
      <c r="B1407" s="1225" t="s">
        <v>237</v>
      </c>
      <c r="C1407" s="1225" t="s">
        <v>302</v>
      </c>
      <c r="D1407" s="1225">
        <v>972.4</v>
      </c>
      <c r="E1407" s="1225" t="s">
        <v>237</v>
      </c>
      <c r="F1407" s="1225">
        <v>1555.84</v>
      </c>
    </row>
    <row r="1408" spans="1:6" s="1225" customFormat="1" ht="17.25" customHeight="1">
      <c r="A1408" s="1225">
        <v>0.5</v>
      </c>
      <c r="B1408" s="1225" t="s">
        <v>237</v>
      </c>
      <c r="C1408" s="1225" t="s">
        <v>304</v>
      </c>
      <c r="D1408" s="1225">
        <v>679.8</v>
      </c>
      <c r="E1408" s="1225" t="s">
        <v>237</v>
      </c>
      <c r="F1408" s="1225">
        <v>339.9</v>
      </c>
    </row>
    <row r="1409" spans="1:6" s="1225" customFormat="1" ht="17.25" customHeight="1">
      <c r="A1409" s="1225">
        <v>1.1000000000000001</v>
      </c>
      <c r="B1409" s="1225" t="s">
        <v>237</v>
      </c>
      <c r="C1409" s="1225" t="s">
        <v>306</v>
      </c>
      <c r="D1409" s="1225">
        <v>557.70000000000005</v>
      </c>
      <c r="E1409" s="1225" t="s">
        <v>237</v>
      </c>
      <c r="F1409" s="1225">
        <v>613.47</v>
      </c>
    </row>
    <row r="1410" spans="1:6" s="1225" customFormat="1" ht="17.25" customHeight="1">
      <c r="B1410" s="1225" t="s">
        <v>145</v>
      </c>
      <c r="C1410" s="1225" t="s">
        <v>146</v>
      </c>
      <c r="E1410" s="1225" t="s">
        <v>145</v>
      </c>
      <c r="F1410" s="1225">
        <v>0</v>
      </c>
    </row>
    <row r="1411" spans="1:6" s="1225" customFormat="1" ht="17.25" customHeight="1">
      <c r="A1411" s="1225">
        <v>465</v>
      </c>
    </row>
    <row r="1412" spans="1:6" s="1225" customFormat="1" ht="17.25" customHeight="1">
      <c r="C1412" s="1225" t="s">
        <v>495</v>
      </c>
      <c r="F1412" s="1225">
        <v>12833.42</v>
      </c>
    </row>
    <row r="1413" spans="1:6" s="1225" customFormat="1" ht="17.25" customHeight="1">
      <c r="F1413" s="1225" t="s">
        <v>52</v>
      </c>
    </row>
    <row r="1414" spans="1:6" s="1225" customFormat="1" ht="17.25" customHeight="1">
      <c r="C1414" s="1225" t="s">
        <v>460</v>
      </c>
      <c r="F1414" s="1225">
        <v>1283.3399999999999</v>
      </c>
    </row>
    <row r="1415" spans="1:6" s="1225" customFormat="1" ht="17.25" customHeight="1"/>
    <row r="1416" spans="1:6" s="1225" customFormat="1" ht="17.25" customHeight="1"/>
    <row r="1417" spans="1:6" s="1225" customFormat="1" ht="17.25" customHeight="1">
      <c r="C1417" s="1225" t="s">
        <v>4292</v>
      </c>
    </row>
    <row r="1418" spans="1:6" s="1225" customFormat="1" ht="17.25" customHeight="1"/>
    <row r="1419" spans="1:6" s="1225" customFormat="1" ht="17.25" customHeight="1"/>
    <row r="1420" spans="1:6" s="1225" customFormat="1" ht="17.25" customHeight="1">
      <c r="A1420" s="1225">
        <v>10</v>
      </c>
      <c r="B1420" s="1225" t="s">
        <v>425</v>
      </c>
      <c r="C1420" s="1225" t="s">
        <v>6449</v>
      </c>
      <c r="D1420" s="1225">
        <v>653</v>
      </c>
      <c r="E1420" s="1225" t="s">
        <v>425</v>
      </c>
      <c r="F1420" s="1225">
        <v>6530</v>
      </c>
    </row>
    <row r="1421" spans="1:6" s="1225" customFormat="1" ht="17.25" customHeight="1">
      <c r="A1421" s="1225">
        <v>0.21</v>
      </c>
      <c r="B1421" s="1225" t="s">
        <v>132</v>
      </c>
      <c r="C1421" s="1225" t="s">
        <v>1575</v>
      </c>
      <c r="D1421" s="1225">
        <v>4667.62</v>
      </c>
      <c r="E1421" s="1225" t="s">
        <v>132</v>
      </c>
      <c r="F1421" s="1225">
        <v>980.2</v>
      </c>
    </row>
    <row r="1422" spans="1:6" s="1225" customFormat="1" ht="17.25" customHeight="1">
      <c r="A1422" s="1225">
        <v>1.1000000000000001</v>
      </c>
      <c r="B1422" s="1225" t="s">
        <v>237</v>
      </c>
      <c r="C1422" s="1225" t="s">
        <v>345</v>
      </c>
      <c r="D1422" s="1225">
        <v>1041.7</v>
      </c>
      <c r="E1422" s="1225" t="s">
        <v>237</v>
      </c>
      <c r="F1422" s="1225">
        <v>1145.8699999999999</v>
      </c>
    </row>
    <row r="1423" spans="1:6" s="1225" customFormat="1" ht="17.25" customHeight="1">
      <c r="A1423" s="1225">
        <v>1.1000000000000001</v>
      </c>
      <c r="B1423" s="1225" t="s">
        <v>237</v>
      </c>
      <c r="C1423" s="1225" t="s">
        <v>302</v>
      </c>
      <c r="D1423" s="1225">
        <v>972.4</v>
      </c>
      <c r="E1423" s="1225" t="s">
        <v>237</v>
      </c>
      <c r="F1423" s="1225">
        <v>1069.6400000000001</v>
      </c>
    </row>
    <row r="1424" spans="1:6" s="1225" customFormat="1" ht="17.25" customHeight="1">
      <c r="A1424" s="1225">
        <v>2.2000000000000002</v>
      </c>
      <c r="B1424" s="1225" t="s">
        <v>237</v>
      </c>
      <c r="C1424" s="1225" t="s">
        <v>304</v>
      </c>
      <c r="D1424" s="1225">
        <v>679.8</v>
      </c>
      <c r="E1424" s="1225" t="s">
        <v>237</v>
      </c>
      <c r="F1424" s="1225">
        <v>1495.56</v>
      </c>
    </row>
    <row r="1425" spans="1:6" s="1225" customFormat="1" ht="17.25" customHeight="1">
      <c r="A1425" s="1225">
        <v>2.2000000000000002</v>
      </c>
      <c r="B1425" s="1225" t="s">
        <v>237</v>
      </c>
      <c r="C1425" s="1225" t="s">
        <v>306</v>
      </c>
      <c r="D1425" s="1225">
        <v>557.70000000000005</v>
      </c>
      <c r="E1425" s="1225" t="s">
        <v>237</v>
      </c>
      <c r="F1425" s="1225">
        <v>1226.94</v>
      </c>
    </row>
    <row r="1426" spans="1:6" s="1225" customFormat="1" ht="17.25" customHeight="1">
      <c r="A1426" s="1225">
        <v>20</v>
      </c>
      <c r="B1426" s="1225" t="s">
        <v>39</v>
      </c>
      <c r="C1426" s="1225" t="s">
        <v>123</v>
      </c>
      <c r="D1426" s="1225">
        <v>6040</v>
      </c>
      <c r="E1426" s="1225" t="s">
        <v>122</v>
      </c>
      <c r="F1426" s="1225">
        <v>120.8</v>
      </c>
    </row>
    <row r="1427" spans="1:6" s="1225" customFormat="1" ht="17.25" customHeight="1">
      <c r="A1427" s="1225">
        <v>2</v>
      </c>
      <c r="B1427" s="1225" t="s">
        <v>39</v>
      </c>
      <c r="C1427" s="1225" t="s">
        <v>4297</v>
      </c>
      <c r="D1427" s="1225">
        <v>24.93</v>
      </c>
      <c r="E1427" s="1225" t="s">
        <v>39</v>
      </c>
      <c r="F1427" s="1225">
        <v>49.86</v>
      </c>
    </row>
    <row r="1428" spans="1:6" s="1225" customFormat="1" ht="17.25" customHeight="1">
      <c r="A1428" s="1225">
        <v>1.6</v>
      </c>
      <c r="B1428" s="1225" t="s">
        <v>237</v>
      </c>
      <c r="C1428" s="1225" t="s">
        <v>302</v>
      </c>
      <c r="D1428" s="1225">
        <v>972.4</v>
      </c>
      <c r="E1428" s="1225" t="s">
        <v>237</v>
      </c>
      <c r="F1428" s="1225">
        <v>1555.84</v>
      </c>
    </row>
    <row r="1429" spans="1:6" s="1225" customFormat="1" ht="17.25" customHeight="1">
      <c r="A1429" s="1225">
        <v>0.5</v>
      </c>
      <c r="B1429" s="1225" t="s">
        <v>237</v>
      </c>
      <c r="C1429" s="1225" t="s">
        <v>304</v>
      </c>
      <c r="D1429" s="1225">
        <v>679.8</v>
      </c>
      <c r="E1429" s="1225" t="s">
        <v>237</v>
      </c>
      <c r="F1429" s="1225">
        <v>339.9</v>
      </c>
    </row>
    <row r="1430" spans="1:6" s="1225" customFormat="1" ht="17.25" customHeight="1">
      <c r="A1430" s="1225">
        <v>1.1000000000000001</v>
      </c>
      <c r="B1430" s="1225" t="s">
        <v>237</v>
      </c>
      <c r="C1430" s="1225" t="s">
        <v>306</v>
      </c>
      <c r="D1430" s="1225">
        <v>557.70000000000005</v>
      </c>
      <c r="E1430" s="1225" t="s">
        <v>237</v>
      </c>
      <c r="F1430" s="1225">
        <v>613.47</v>
      </c>
    </row>
    <row r="1431" spans="1:6" s="1225" customFormat="1" ht="17.25" customHeight="1">
      <c r="B1431" s="1225" t="s">
        <v>145</v>
      </c>
      <c r="C1431" s="1225" t="s">
        <v>146</v>
      </c>
      <c r="E1431" s="1225" t="s">
        <v>145</v>
      </c>
      <c r="F1431" s="1225">
        <v>4.5999999999999996</v>
      </c>
    </row>
    <row r="1432" spans="1:6" s="1225" customFormat="1" ht="17.25" customHeight="1">
      <c r="F1432" s="1225" t="s">
        <v>52</v>
      </c>
    </row>
    <row r="1433" spans="1:6" s="1225" customFormat="1" ht="17.25" customHeight="1">
      <c r="C1433" s="1225" t="s">
        <v>495</v>
      </c>
      <c r="F1433" s="1225">
        <v>15132.68</v>
      </c>
    </row>
    <row r="1434" spans="1:6" s="1225" customFormat="1" ht="17.25" customHeight="1">
      <c r="F1434" s="1225" t="s">
        <v>52</v>
      </c>
    </row>
    <row r="1435" spans="1:6" s="1225" customFormat="1" ht="17.25" customHeight="1">
      <c r="C1435" s="1225" t="s">
        <v>460</v>
      </c>
      <c r="F1435" s="1225">
        <v>1513.27</v>
      </c>
    </row>
    <row r="1436" spans="1:6" s="1225" customFormat="1" ht="17.25" customHeight="1"/>
    <row r="1437" spans="1:6" s="1225" customFormat="1" ht="17.25" customHeight="1">
      <c r="C1437" s="1225" t="s">
        <v>3980</v>
      </c>
      <c r="D1437" s="1225" t="s">
        <v>3981</v>
      </c>
      <c r="E1437" s="1225">
        <v>8106</v>
      </c>
    </row>
    <row r="1438" spans="1:6" s="1225" customFormat="1" ht="17.25" customHeight="1">
      <c r="C1438" s="1225" t="s">
        <v>3983</v>
      </c>
      <c r="D1438" s="1225" t="s">
        <v>3981</v>
      </c>
      <c r="E1438" s="1225">
        <v>7482</v>
      </c>
    </row>
    <row r="1439" spans="1:6" s="1225" customFormat="1" ht="17.25" customHeight="1"/>
    <row r="1440" spans="1:6" s="1225" customFormat="1" ht="17.25" customHeight="1">
      <c r="C1440" s="1225" t="s">
        <v>5155</v>
      </c>
    </row>
    <row r="1441" spans="1:6" s="1225" customFormat="1" ht="17.25" customHeight="1">
      <c r="C1441" s="1225" t="s">
        <v>5156</v>
      </c>
      <c r="E1441" s="1225">
        <v>2.23</v>
      </c>
    </row>
    <row r="1442" spans="1:6" s="1225" customFormat="1" ht="17.25" customHeight="1">
      <c r="A1442" s="1225">
        <v>2.23</v>
      </c>
      <c r="B1442" s="1225" t="s">
        <v>425</v>
      </c>
      <c r="C1442" s="1225" t="s">
        <v>5065</v>
      </c>
      <c r="D1442" s="1225">
        <v>2255</v>
      </c>
      <c r="E1442" s="1225" t="s">
        <v>425</v>
      </c>
      <c r="F1442" s="1225">
        <v>5028.6499999999996</v>
      </c>
    </row>
    <row r="1443" spans="1:6" s="1225" customFormat="1" ht="17.25" customHeight="1">
      <c r="A1443" s="1225">
        <v>2.23</v>
      </c>
      <c r="B1443" s="1225" t="s">
        <v>425</v>
      </c>
      <c r="C1443" s="1225" t="s">
        <v>5066</v>
      </c>
      <c r="D1443" s="1225">
        <v>344.3</v>
      </c>
      <c r="E1443" s="1225" t="s">
        <v>425</v>
      </c>
      <c r="F1443" s="1225">
        <v>767.79</v>
      </c>
    </row>
    <row r="1444" spans="1:6" s="1225" customFormat="1" ht="17.25" customHeight="1">
      <c r="A1444" s="1225">
        <v>4</v>
      </c>
      <c r="B1444" s="1225" t="s">
        <v>237</v>
      </c>
      <c r="C1444" s="1225" t="s">
        <v>5068</v>
      </c>
      <c r="D1444" s="1225">
        <v>57.65</v>
      </c>
      <c r="E1444" s="1225" t="s">
        <v>237</v>
      </c>
      <c r="F1444" s="1225">
        <v>230.6</v>
      </c>
    </row>
    <row r="1445" spans="1:6" s="1225" customFormat="1" ht="17.25" customHeight="1">
      <c r="A1445" s="1225">
        <v>6</v>
      </c>
      <c r="B1445" s="1225" t="s">
        <v>237</v>
      </c>
      <c r="C1445" s="1225" t="s">
        <v>5071</v>
      </c>
      <c r="D1445" s="1225">
        <v>89.6</v>
      </c>
      <c r="E1445" s="1225" t="s">
        <v>237</v>
      </c>
      <c r="F1445" s="1225">
        <v>537.6</v>
      </c>
    </row>
    <row r="1446" spans="1:6" s="1225" customFormat="1" ht="17.25" customHeight="1">
      <c r="A1446" s="1225">
        <v>4</v>
      </c>
      <c r="B1446" s="1225" t="s">
        <v>237</v>
      </c>
      <c r="C1446" s="1225" t="s">
        <v>5073</v>
      </c>
      <c r="D1446" s="1225">
        <v>64.8</v>
      </c>
      <c r="E1446" s="1225" t="s">
        <v>237</v>
      </c>
      <c r="F1446" s="1225">
        <v>259.2</v>
      </c>
    </row>
    <row r="1447" spans="1:6" s="1225" customFormat="1" ht="17.25" customHeight="1">
      <c r="A1447" s="1225">
        <v>1</v>
      </c>
      <c r="B1447" s="1225" t="s">
        <v>237</v>
      </c>
      <c r="C1447" s="1225" t="s">
        <v>5041</v>
      </c>
      <c r="D1447" s="1225">
        <v>181</v>
      </c>
      <c r="E1447" s="1225" t="s">
        <v>237</v>
      </c>
      <c r="F1447" s="1225">
        <v>181</v>
      </c>
    </row>
    <row r="1448" spans="1:6" s="1225" customFormat="1" ht="17.25" customHeight="1">
      <c r="A1448" s="1225">
        <v>118</v>
      </c>
      <c r="B1448" s="1225" t="s">
        <v>237</v>
      </c>
      <c r="C1448" s="1225" t="s">
        <v>5077</v>
      </c>
      <c r="D1448" s="1225">
        <v>2.41</v>
      </c>
      <c r="E1448" s="1225" t="s">
        <v>237</v>
      </c>
      <c r="F1448" s="1225">
        <v>284.38</v>
      </c>
    </row>
    <row r="1449" spans="1:6" s="1225" customFormat="1" ht="17.25" customHeight="1">
      <c r="A1449" s="1225">
        <v>2</v>
      </c>
      <c r="B1449" s="1225" t="s">
        <v>237</v>
      </c>
      <c r="C1449" s="1225" t="s">
        <v>5080</v>
      </c>
      <c r="D1449" s="1225">
        <v>23.1</v>
      </c>
      <c r="E1449" s="1225" t="s">
        <v>237</v>
      </c>
      <c r="F1449" s="1225">
        <v>46.2</v>
      </c>
    </row>
    <row r="1450" spans="1:6" s="1225" customFormat="1" ht="17.25" customHeight="1">
      <c r="A1450" s="1225">
        <v>2</v>
      </c>
      <c r="B1450" s="1225" t="s">
        <v>237</v>
      </c>
      <c r="C1450" s="1225" t="s">
        <v>5083</v>
      </c>
      <c r="D1450" s="1225">
        <v>49.55</v>
      </c>
      <c r="E1450" s="1225" t="s">
        <v>237</v>
      </c>
      <c r="F1450" s="1225">
        <v>99.1</v>
      </c>
    </row>
    <row r="1451" spans="1:6" s="1225" customFormat="1" ht="17.25" customHeight="1">
      <c r="B1451" s="1225" t="s">
        <v>425</v>
      </c>
      <c r="E1451" s="1225" t="s">
        <v>425</v>
      </c>
      <c r="F1451" s="1225">
        <v>0</v>
      </c>
    </row>
    <row r="1452" spans="1:6" s="1225" customFormat="1" ht="17.25" customHeight="1">
      <c r="C1452" s="1225" t="s">
        <v>5160</v>
      </c>
      <c r="F1452" s="1225">
        <v>7434.52</v>
      </c>
    </row>
    <row r="1453" spans="1:6" s="1225" customFormat="1" ht="17.25" customHeight="1">
      <c r="C1453" s="1225" t="s">
        <v>2137</v>
      </c>
      <c r="F1453" s="1225">
        <v>3333.87</v>
      </c>
    </row>
    <row r="1454" spans="1:6" s="1225" customFormat="1" ht="17.25" customHeight="1"/>
    <row r="1455" spans="1:6" s="1225" customFormat="1" ht="17.25" customHeight="1"/>
    <row r="1456" spans="1:6" s="1225" customFormat="1" ht="17.25" customHeight="1">
      <c r="C1456" s="1225" t="s">
        <v>5091</v>
      </c>
    </row>
    <row r="1457" spans="1:6" s="1225" customFormat="1" ht="17.25" customHeight="1">
      <c r="C1457" s="1225" t="s">
        <v>5094</v>
      </c>
      <c r="D1457" s="1225">
        <v>1.82</v>
      </c>
    </row>
    <row r="1458" spans="1:6" s="1225" customFormat="1" ht="17.25" customHeight="1">
      <c r="A1458" s="1225">
        <v>1.82</v>
      </c>
      <c r="B1458" s="1225" t="s">
        <v>425</v>
      </c>
      <c r="C1458" s="1225" t="s">
        <v>5065</v>
      </c>
      <c r="D1458" s="1225">
        <v>2255</v>
      </c>
      <c r="E1458" s="1225" t="s">
        <v>425</v>
      </c>
      <c r="F1458" s="1225">
        <v>4104.1000000000004</v>
      </c>
    </row>
    <row r="1459" spans="1:6" s="1225" customFormat="1" ht="17.25" customHeight="1">
      <c r="A1459" s="1225">
        <v>1.82</v>
      </c>
      <c r="B1459" s="1225" t="s">
        <v>425</v>
      </c>
      <c r="C1459" s="1225" t="s">
        <v>5098</v>
      </c>
      <c r="D1459" s="1225">
        <v>223.3</v>
      </c>
      <c r="E1459" s="1225" t="s">
        <v>425</v>
      </c>
      <c r="F1459" s="1225">
        <v>406.41</v>
      </c>
    </row>
    <row r="1460" spans="1:6" s="1225" customFormat="1" ht="17.25" customHeight="1">
      <c r="A1460" s="1225">
        <v>2</v>
      </c>
      <c r="B1460" s="1225" t="s">
        <v>237</v>
      </c>
      <c r="C1460" s="1225" t="s">
        <v>5068</v>
      </c>
      <c r="D1460" s="1225">
        <v>57.65</v>
      </c>
      <c r="E1460" s="1225" t="s">
        <v>237</v>
      </c>
      <c r="F1460" s="1225">
        <v>115.3</v>
      </c>
    </row>
    <row r="1461" spans="1:6" s="1225" customFormat="1" ht="17.25" customHeight="1">
      <c r="A1461" s="1225">
        <v>3</v>
      </c>
      <c r="B1461" s="1225" t="s">
        <v>237</v>
      </c>
      <c r="C1461" s="1225" t="s">
        <v>5071</v>
      </c>
      <c r="D1461" s="1225">
        <v>89.6</v>
      </c>
      <c r="E1461" s="1225" t="s">
        <v>237</v>
      </c>
      <c r="F1461" s="1225">
        <v>268.8</v>
      </c>
    </row>
    <row r="1462" spans="1:6" s="1225" customFormat="1" ht="17.25" customHeight="1">
      <c r="A1462" s="1225">
        <v>2</v>
      </c>
      <c r="B1462" s="1225" t="s">
        <v>237</v>
      </c>
      <c r="C1462" s="1225" t="s">
        <v>5073</v>
      </c>
      <c r="D1462" s="1225">
        <v>64.8</v>
      </c>
      <c r="E1462" s="1225" t="s">
        <v>237</v>
      </c>
      <c r="F1462" s="1225">
        <v>129.6</v>
      </c>
    </row>
    <row r="1463" spans="1:6" s="1225" customFormat="1" ht="17.25" customHeight="1">
      <c r="A1463" s="1225">
        <v>1</v>
      </c>
      <c r="B1463" s="1225" t="s">
        <v>237</v>
      </c>
      <c r="C1463" s="1225" t="s">
        <v>5041</v>
      </c>
      <c r="D1463" s="1225">
        <v>181</v>
      </c>
      <c r="E1463" s="1225" t="s">
        <v>237</v>
      </c>
      <c r="F1463" s="1225">
        <v>181</v>
      </c>
    </row>
    <row r="1464" spans="1:6" s="1225" customFormat="1" ht="17.25" customHeight="1">
      <c r="A1464" s="1225">
        <v>92</v>
      </c>
      <c r="B1464" s="1225" t="s">
        <v>237</v>
      </c>
      <c r="C1464" s="1225" t="s">
        <v>5077</v>
      </c>
      <c r="D1464" s="1225">
        <v>2.41</v>
      </c>
      <c r="E1464" s="1225" t="s">
        <v>237</v>
      </c>
      <c r="F1464" s="1225">
        <v>221.72</v>
      </c>
    </row>
    <row r="1465" spans="1:6" s="1225" customFormat="1" ht="17.25" customHeight="1">
      <c r="A1465" s="1225">
        <v>1</v>
      </c>
      <c r="B1465" s="1225" t="s">
        <v>237</v>
      </c>
      <c r="C1465" s="1225" t="s">
        <v>5080</v>
      </c>
      <c r="D1465" s="1225">
        <v>23.1</v>
      </c>
      <c r="E1465" s="1225" t="s">
        <v>237</v>
      </c>
      <c r="F1465" s="1225">
        <v>23.1</v>
      </c>
    </row>
    <row r="1466" spans="1:6" s="1225" customFormat="1" ht="17.25" customHeight="1">
      <c r="A1466" s="1225">
        <v>1</v>
      </c>
      <c r="B1466" s="1225" t="s">
        <v>237</v>
      </c>
      <c r="C1466" s="1225" t="s">
        <v>5083</v>
      </c>
      <c r="D1466" s="1225">
        <v>49.55</v>
      </c>
      <c r="E1466" s="1225" t="s">
        <v>237</v>
      </c>
      <c r="F1466" s="1225">
        <v>49.55</v>
      </c>
    </row>
    <row r="1467" spans="1:6" s="1225" customFormat="1" ht="17.25" customHeight="1">
      <c r="A1467" s="1225">
        <v>0.35</v>
      </c>
      <c r="B1467" s="1225" t="s">
        <v>425</v>
      </c>
      <c r="C1467" s="1225" t="s">
        <v>5086</v>
      </c>
      <c r="D1467" s="1225">
        <v>240.31</v>
      </c>
      <c r="E1467" s="1225" t="s">
        <v>425</v>
      </c>
    </row>
    <row r="1468" spans="1:6" s="1225" customFormat="1" ht="17.25" customHeight="1">
      <c r="C1468" s="1225" t="s">
        <v>5103</v>
      </c>
      <c r="F1468" s="1225">
        <v>5499.58</v>
      </c>
    </row>
    <row r="1469" spans="1:6" s="1225" customFormat="1" ht="17.25" customHeight="1">
      <c r="C1469" s="1225" t="s">
        <v>2137</v>
      </c>
      <c r="F1469" s="1225">
        <v>3021.75</v>
      </c>
    </row>
    <row r="1470" spans="1:6" s="1225" customFormat="1" ht="17.25" customHeight="1"/>
    <row r="1471" spans="1:6" s="1225" customFormat="1" ht="17.25" customHeight="1">
      <c r="C1471" s="1225" t="s">
        <v>5093</v>
      </c>
    </row>
    <row r="1472" spans="1:6" s="1225" customFormat="1" ht="17.25" customHeight="1">
      <c r="C1472" s="1225" t="s">
        <v>5096</v>
      </c>
      <c r="D1472" s="1225">
        <v>1.62</v>
      </c>
    </row>
    <row r="1473" spans="1:6" s="1225" customFormat="1" ht="17.25" customHeight="1">
      <c r="A1473" s="1225">
        <v>1.62</v>
      </c>
      <c r="B1473" s="1225" t="s">
        <v>425</v>
      </c>
      <c r="C1473" s="1225" t="s">
        <v>5097</v>
      </c>
      <c r="D1473" s="1225">
        <v>2255</v>
      </c>
      <c r="E1473" s="1225" t="s">
        <v>425</v>
      </c>
      <c r="F1473" s="1225">
        <v>3653.1</v>
      </c>
    </row>
    <row r="1474" spans="1:6" s="1225" customFormat="1" ht="17.25" customHeight="1">
      <c r="A1474" s="1225">
        <v>1.62</v>
      </c>
      <c r="B1474" s="1225" t="s">
        <v>425</v>
      </c>
      <c r="C1474" s="1225" t="s">
        <v>5099</v>
      </c>
      <c r="D1474" s="1225">
        <v>223.3</v>
      </c>
      <c r="E1474" s="1225" t="s">
        <v>425</v>
      </c>
      <c r="F1474" s="1225">
        <v>361.75</v>
      </c>
    </row>
    <row r="1475" spans="1:6" s="1225" customFormat="1" ht="17.25" customHeight="1">
      <c r="A1475" s="1225">
        <v>2</v>
      </c>
      <c r="B1475" s="1225" t="s">
        <v>237</v>
      </c>
      <c r="C1475" s="1225" t="s">
        <v>5068</v>
      </c>
      <c r="D1475" s="1225">
        <v>57.65</v>
      </c>
      <c r="E1475" s="1225" t="s">
        <v>237</v>
      </c>
      <c r="F1475" s="1225">
        <v>115.3</v>
      </c>
    </row>
    <row r="1476" spans="1:6" s="1225" customFormat="1" ht="17.25" customHeight="1">
      <c r="A1476" s="1225">
        <v>3</v>
      </c>
      <c r="B1476" s="1225" t="s">
        <v>237</v>
      </c>
      <c r="C1476" s="1225" t="s">
        <v>5071</v>
      </c>
      <c r="D1476" s="1225">
        <v>89.6</v>
      </c>
      <c r="E1476" s="1225" t="s">
        <v>237</v>
      </c>
      <c r="F1476" s="1225">
        <v>268.8</v>
      </c>
    </row>
    <row r="1477" spans="1:6" s="1225" customFormat="1" ht="17.25" customHeight="1">
      <c r="A1477" s="1225">
        <v>2</v>
      </c>
      <c r="B1477" s="1225" t="s">
        <v>237</v>
      </c>
      <c r="C1477" s="1225" t="s">
        <v>5073</v>
      </c>
      <c r="D1477" s="1225">
        <v>64.8</v>
      </c>
      <c r="E1477" s="1225" t="s">
        <v>237</v>
      </c>
      <c r="F1477" s="1225">
        <v>129.6</v>
      </c>
    </row>
    <row r="1478" spans="1:6" s="1225" customFormat="1" ht="17.25" customHeight="1">
      <c r="A1478" s="1225">
        <v>1</v>
      </c>
      <c r="B1478" s="1225" t="s">
        <v>237</v>
      </c>
      <c r="C1478" s="1225" t="s">
        <v>5041</v>
      </c>
      <c r="D1478" s="1225">
        <v>181</v>
      </c>
      <c r="E1478" s="1225" t="s">
        <v>237</v>
      </c>
      <c r="F1478" s="1225">
        <v>181</v>
      </c>
    </row>
    <row r="1479" spans="1:6" s="1225" customFormat="1" ht="17.25" customHeight="1">
      <c r="A1479" s="1225">
        <v>92</v>
      </c>
      <c r="B1479" s="1225" t="s">
        <v>237</v>
      </c>
      <c r="C1479" s="1225" t="s">
        <v>5077</v>
      </c>
      <c r="D1479" s="1225">
        <v>2.41</v>
      </c>
      <c r="E1479" s="1225" t="s">
        <v>237</v>
      </c>
      <c r="F1479" s="1225">
        <v>221.72</v>
      </c>
    </row>
    <row r="1480" spans="1:6" s="1225" customFormat="1" ht="17.25" customHeight="1">
      <c r="A1480" s="1225">
        <v>1</v>
      </c>
      <c r="B1480" s="1225" t="s">
        <v>237</v>
      </c>
      <c r="C1480" s="1225" t="s">
        <v>5080</v>
      </c>
      <c r="D1480" s="1225">
        <v>23.1</v>
      </c>
      <c r="E1480" s="1225" t="s">
        <v>237</v>
      </c>
      <c r="F1480" s="1225">
        <v>23.1</v>
      </c>
    </row>
    <row r="1481" spans="1:6" s="1225" customFormat="1" ht="17.25" customHeight="1">
      <c r="A1481" s="1225">
        <v>1</v>
      </c>
      <c r="B1481" s="1225" t="s">
        <v>237</v>
      </c>
      <c r="C1481" s="1225" t="s">
        <v>5083</v>
      </c>
      <c r="D1481" s="1225">
        <v>49.55</v>
      </c>
      <c r="E1481" s="1225" t="s">
        <v>237</v>
      </c>
      <c r="F1481" s="1225">
        <v>49.55</v>
      </c>
    </row>
    <row r="1482" spans="1:6" s="1225" customFormat="1" ht="17.25" customHeight="1">
      <c r="A1482" s="1225">
        <v>0.35</v>
      </c>
      <c r="B1482" s="1225" t="s">
        <v>425</v>
      </c>
      <c r="C1482" s="1225" t="s">
        <v>5086</v>
      </c>
      <c r="D1482" s="1225">
        <v>240.31</v>
      </c>
      <c r="E1482" s="1225" t="s">
        <v>425</v>
      </c>
    </row>
    <row r="1483" spans="1:6" s="1225" customFormat="1" ht="17.25" customHeight="1">
      <c r="C1483" s="1225" t="s">
        <v>5104</v>
      </c>
      <c r="F1483" s="1225">
        <v>5003.92</v>
      </c>
    </row>
    <row r="1484" spans="1:6" s="1225" customFormat="1" ht="17.25" customHeight="1">
      <c r="C1484" s="1225" t="s">
        <v>2137</v>
      </c>
      <c r="F1484" s="1225">
        <v>3088.84</v>
      </c>
    </row>
    <row r="1485" spans="1:6" s="1225" customFormat="1" ht="17.25" customHeight="1"/>
    <row r="1486" spans="1:6" s="1225" customFormat="1" ht="17.25" customHeight="1"/>
    <row r="1487" spans="1:6" s="1225" customFormat="1" ht="33">
      <c r="C1487" s="1632" t="s">
        <v>4856</v>
      </c>
    </row>
    <row r="1488" spans="1:6" s="1225" customFormat="1" ht="17.25" customHeight="1">
      <c r="C1488" s="1225" t="s">
        <v>2138</v>
      </c>
    </row>
    <row r="1489" spans="1:6" s="1225" customFormat="1" ht="17.25" customHeight="1">
      <c r="A1489" s="1225">
        <v>0.1</v>
      </c>
      <c r="B1489" s="1225" t="s">
        <v>41</v>
      </c>
      <c r="C1489" s="1225" t="s">
        <v>4859</v>
      </c>
    </row>
    <row r="1490" spans="1:6" s="1225" customFormat="1" ht="17.25" customHeight="1">
      <c r="A1490" s="1225">
        <v>0.1</v>
      </c>
      <c r="B1490" s="1225" t="s">
        <v>4861</v>
      </c>
      <c r="C1490" s="1225" t="s">
        <v>4501</v>
      </c>
      <c r="D1490" s="1225">
        <v>919.6</v>
      </c>
      <c r="E1490" s="1225" t="s">
        <v>729</v>
      </c>
      <c r="F1490" s="1225">
        <v>91.96</v>
      </c>
    </row>
    <row r="1491" spans="1:6" s="1225" customFormat="1" ht="17.25" customHeight="1">
      <c r="A1491" s="1225">
        <v>10</v>
      </c>
      <c r="B1491" s="1225" t="s">
        <v>4863</v>
      </c>
      <c r="C1491" s="1225" t="s">
        <v>2199</v>
      </c>
      <c r="D1491" s="1225">
        <v>679.8</v>
      </c>
      <c r="E1491" s="1225" t="s">
        <v>729</v>
      </c>
      <c r="F1491" s="1225">
        <v>67.98</v>
      </c>
    </row>
    <row r="1492" spans="1:6" s="1225" customFormat="1" ht="17.25" customHeight="1">
      <c r="A1492" s="1225">
        <v>0.25</v>
      </c>
      <c r="B1492" s="1225" t="s">
        <v>41</v>
      </c>
      <c r="C1492" s="1225" t="s">
        <v>4866</v>
      </c>
      <c r="D1492" s="1225">
        <v>18.45</v>
      </c>
      <c r="E1492" s="1225" t="s">
        <v>4865</v>
      </c>
      <c r="F1492" s="1225">
        <v>1.85</v>
      </c>
    </row>
    <row r="1493" spans="1:6" s="1225" customFormat="1" ht="17.25" customHeight="1">
      <c r="C1493" s="1225" t="s">
        <v>4869</v>
      </c>
      <c r="D1493" s="1225">
        <v>3.6</v>
      </c>
      <c r="E1493" s="1225" t="s">
        <v>729</v>
      </c>
      <c r="F1493" s="1225">
        <v>0.9</v>
      </c>
    </row>
    <row r="1494" spans="1:6" s="1225" customFormat="1" ht="17.25" customHeight="1">
      <c r="D1494" s="1225" t="s">
        <v>4871</v>
      </c>
      <c r="F1494" s="1225">
        <v>162.69</v>
      </c>
    </row>
    <row r="1495" spans="1:6" s="1225" customFormat="1" ht="17.25" customHeight="1"/>
    <row r="1496" spans="1:6" s="1225" customFormat="1" ht="17.25" customHeight="1">
      <c r="C1496" s="1225" t="s">
        <v>4749</v>
      </c>
      <c r="D1496" s="1225" t="s">
        <v>4873</v>
      </c>
      <c r="E1496" s="1225" t="s">
        <v>4874</v>
      </c>
    </row>
    <row r="1497" spans="1:6" s="1225" customFormat="1" ht="17.25" customHeight="1"/>
    <row r="1498" spans="1:6" s="1225" customFormat="1" ht="17.25" customHeight="1">
      <c r="C1498" s="1225" t="s">
        <v>4876</v>
      </c>
      <c r="D1498" s="1225">
        <v>96</v>
      </c>
      <c r="E1498" s="1225">
        <v>85</v>
      </c>
      <c r="F1498" s="1225">
        <v>85</v>
      </c>
    </row>
    <row r="1499" spans="1:6" s="1225" customFormat="1" ht="17.25" customHeight="1">
      <c r="C1499" s="1225" t="s">
        <v>2234</v>
      </c>
      <c r="D1499" s="1225">
        <v>162.69</v>
      </c>
      <c r="E1499" s="1225">
        <v>162.69</v>
      </c>
    </row>
    <row r="1500" spans="1:6" s="1225" customFormat="1" ht="17.25" customHeight="1">
      <c r="D1500" s="1225">
        <v>258.69</v>
      </c>
      <c r="E1500" s="1225">
        <v>247.69</v>
      </c>
    </row>
    <row r="1501" spans="1:6" s="1225" customFormat="1" ht="17.25" customHeight="1">
      <c r="D1501" s="1225">
        <v>259</v>
      </c>
      <c r="E1501" s="1225">
        <v>248</v>
      </c>
    </row>
    <row r="1502" spans="1:6" s="1225" customFormat="1" ht="17.25" customHeight="1">
      <c r="C1502" s="1632" t="s">
        <v>4338</v>
      </c>
    </row>
    <row r="1503" spans="1:6" s="1225" customFormat="1" ht="17.25" customHeight="1">
      <c r="A1503" s="1225">
        <v>10</v>
      </c>
      <c r="B1503" s="1225" t="s">
        <v>425</v>
      </c>
      <c r="C1503" s="1225" t="s">
        <v>4339</v>
      </c>
      <c r="D1503" s="1225">
        <v>506</v>
      </c>
      <c r="E1503" s="1225" t="s">
        <v>425</v>
      </c>
      <c r="F1503" s="1225">
        <v>5060</v>
      </c>
    </row>
    <row r="1504" spans="1:6" s="1225" customFormat="1" ht="17.25" customHeight="1">
      <c r="A1504" s="1225">
        <v>0.21</v>
      </c>
      <c r="B1504" s="1225" t="s">
        <v>132</v>
      </c>
      <c r="C1504" s="1225" t="s">
        <v>1575</v>
      </c>
      <c r="D1504" s="1225">
        <v>4667.62</v>
      </c>
      <c r="E1504" s="1225" t="s">
        <v>132</v>
      </c>
      <c r="F1504" s="1225">
        <v>980.2</v>
      </c>
    </row>
    <row r="1505" spans="1:6" s="1225" customFormat="1" ht="17.25" customHeight="1">
      <c r="A1505" s="1225">
        <v>10</v>
      </c>
      <c r="C1505" s="1225" t="s">
        <v>4342</v>
      </c>
      <c r="D1505" s="1225">
        <v>327.94</v>
      </c>
      <c r="F1505" s="1225">
        <v>3279.4</v>
      </c>
    </row>
    <row r="1506" spans="1:6" s="1225" customFormat="1" ht="17.25" customHeight="1">
      <c r="A1506" s="1225">
        <v>1.1000000000000001</v>
      </c>
      <c r="B1506" s="1225" t="s">
        <v>237</v>
      </c>
      <c r="C1506" s="1225" t="s">
        <v>345</v>
      </c>
      <c r="D1506" s="1225">
        <v>1041.7</v>
      </c>
      <c r="E1506" s="1225" t="s">
        <v>237</v>
      </c>
      <c r="F1506" s="1225">
        <v>1145.8699999999999</v>
      </c>
    </row>
    <row r="1507" spans="1:6" s="1225" customFormat="1" ht="17.25" customHeight="1">
      <c r="A1507" s="1225">
        <v>2.1</v>
      </c>
      <c r="B1507" s="1225" t="s">
        <v>237</v>
      </c>
      <c r="C1507" s="1225" t="s">
        <v>302</v>
      </c>
      <c r="D1507" s="1225">
        <v>972.4</v>
      </c>
      <c r="E1507" s="1225" t="s">
        <v>237</v>
      </c>
      <c r="F1507" s="1225">
        <v>2042.04</v>
      </c>
    </row>
    <row r="1508" spans="1:6" s="1225" customFormat="1" ht="17.25" customHeight="1">
      <c r="A1508" s="1225">
        <v>2.2000000000000002</v>
      </c>
      <c r="B1508" s="1225" t="s">
        <v>237</v>
      </c>
      <c r="C1508" s="1225" t="s">
        <v>304</v>
      </c>
      <c r="D1508" s="1225">
        <v>679.8</v>
      </c>
      <c r="E1508" s="1225" t="s">
        <v>237</v>
      </c>
      <c r="F1508" s="1225">
        <v>1495.56</v>
      </c>
    </row>
    <row r="1509" spans="1:6" s="1225" customFormat="1" ht="17.25" customHeight="1">
      <c r="A1509" s="1225">
        <v>1.1000000000000001</v>
      </c>
      <c r="B1509" s="1225" t="s">
        <v>237</v>
      </c>
      <c r="C1509" s="1225" t="s">
        <v>306</v>
      </c>
      <c r="D1509" s="1225">
        <v>557.70000000000005</v>
      </c>
      <c r="E1509" s="1225" t="s">
        <v>237</v>
      </c>
      <c r="F1509" s="1225">
        <v>613.47</v>
      </c>
    </row>
    <row r="1510" spans="1:6" s="1225" customFormat="1" ht="17.25" customHeight="1">
      <c r="A1510" s="1225">
        <v>6.5</v>
      </c>
      <c r="B1510" s="1225" t="s">
        <v>39</v>
      </c>
      <c r="C1510" s="1225" t="s">
        <v>4343</v>
      </c>
      <c r="D1510" s="1225">
        <v>17.18</v>
      </c>
      <c r="E1510" s="1225" t="s">
        <v>122</v>
      </c>
      <c r="F1510" s="1225">
        <v>111.67</v>
      </c>
    </row>
    <row r="1511" spans="1:6" s="1225" customFormat="1" ht="17.25" customHeight="1">
      <c r="A1511" s="1225">
        <v>3</v>
      </c>
      <c r="B1511" s="1225" t="s">
        <v>39</v>
      </c>
      <c r="C1511" s="1225" t="s">
        <v>4344</v>
      </c>
      <c r="D1511" s="1225">
        <v>27.25</v>
      </c>
      <c r="E1511" s="1225" t="s">
        <v>39</v>
      </c>
      <c r="F1511" s="1225">
        <v>81.75</v>
      </c>
    </row>
    <row r="1512" spans="1:6" s="1225" customFormat="1" ht="17.25" customHeight="1">
      <c r="A1512" s="1225">
        <v>2.15</v>
      </c>
      <c r="B1512" s="1225" t="s">
        <v>237</v>
      </c>
      <c r="C1512" s="1225" t="s">
        <v>4345</v>
      </c>
      <c r="D1512" s="1225">
        <v>45.8</v>
      </c>
      <c r="E1512" s="1225" t="s">
        <v>237</v>
      </c>
      <c r="F1512" s="1225">
        <v>98.47</v>
      </c>
    </row>
    <row r="1513" spans="1:6" s="1225" customFormat="1" ht="17.25" customHeight="1">
      <c r="A1513" s="1225">
        <v>0.4</v>
      </c>
      <c r="B1513" s="1225" t="s">
        <v>237</v>
      </c>
      <c r="C1513" s="1225" t="s">
        <v>4346</v>
      </c>
      <c r="D1513" s="1225">
        <v>5909.17</v>
      </c>
      <c r="E1513" s="1225" t="s">
        <v>237</v>
      </c>
      <c r="F1513" s="1225">
        <v>2363.67</v>
      </c>
    </row>
    <row r="1514" spans="1:6" s="1225" customFormat="1" ht="17.25" customHeight="1">
      <c r="E1514" s="1225" t="s">
        <v>237</v>
      </c>
      <c r="F1514" s="1225">
        <v>0</v>
      </c>
    </row>
    <row r="1515" spans="1:6" s="1225" customFormat="1" ht="17.25" customHeight="1">
      <c r="B1515" s="1225" t="s">
        <v>145</v>
      </c>
      <c r="C1515" s="1225" t="s">
        <v>146</v>
      </c>
      <c r="E1515" s="1225" t="s">
        <v>145</v>
      </c>
      <c r="F1515" s="1225">
        <v>0.8</v>
      </c>
    </row>
    <row r="1516" spans="1:6" s="1225" customFormat="1" ht="17.25" customHeight="1">
      <c r="F1516" s="1225" t="s">
        <v>52</v>
      </c>
    </row>
    <row r="1517" spans="1:6" s="1225" customFormat="1" ht="17.25" customHeight="1">
      <c r="C1517" s="1225" t="s">
        <v>495</v>
      </c>
      <c r="F1517" s="1225">
        <v>17272.900000000001</v>
      </c>
    </row>
    <row r="1518" spans="1:6" s="1225" customFormat="1" ht="17.25" customHeight="1">
      <c r="F1518" s="1225" t="s">
        <v>52</v>
      </c>
    </row>
    <row r="1519" spans="1:6" s="1225" customFormat="1" ht="17.25" customHeight="1">
      <c r="C1519" s="1225" t="s">
        <v>460</v>
      </c>
      <c r="F1519" s="1225">
        <v>1727.29</v>
      </c>
    </row>
    <row r="1520" spans="1:6" s="1225" customFormat="1" ht="17.25" customHeight="1"/>
    <row r="1521" spans="1:6" s="1225" customFormat="1" ht="17.25" customHeight="1">
      <c r="C1521" s="1225" t="s">
        <v>52</v>
      </c>
    </row>
    <row r="1522" spans="1:6" s="1225" customFormat="1" ht="17.25" customHeight="1">
      <c r="B1522" s="1225" t="s">
        <v>111</v>
      </c>
      <c r="C1522" s="1632" t="s">
        <v>5169</v>
      </c>
    </row>
    <row r="1523" spans="1:6" s="1225" customFormat="1" ht="17.25" customHeight="1">
      <c r="C1523" s="1632" t="s">
        <v>5171</v>
      </c>
    </row>
    <row r="1524" spans="1:6" s="1225" customFormat="1" ht="17.25" customHeight="1">
      <c r="C1524" s="1632" t="s">
        <v>611</v>
      </c>
    </row>
    <row r="1525" spans="1:6" s="1225" customFormat="1" ht="17.25" customHeight="1">
      <c r="C1525" s="1225" t="s">
        <v>52</v>
      </c>
    </row>
    <row r="1526" spans="1:6" s="1225" customFormat="1" ht="17.25" customHeight="1">
      <c r="B1526" s="1225" t="s">
        <v>612</v>
      </c>
      <c r="C1526" s="1632" t="s">
        <v>5175</v>
      </c>
    </row>
    <row r="1527" spans="1:6" s="1225" customFormat="1" ht="17.25" customHeight="1">
      <c r="C1527" s="1225" t="s">
        <v>52</v>
      </c>
    </row>
    <row r="1528" spans="1:6" s="1225" customFormat="1" ht="17.25" customHeight="1">
      <c r="A1528" s="1225">
        <v>18.899999999999999</v>
      </c>
      <c r="B1528" s="1225" t="s">
        <v>132</v>
      </c>
      <c r="C1528" s="1225" t="s">
        <v>615</v>
      </c>
      <c r="D1528" s="1225">
        <v>233.76</v>
      </c>
      <c r="E1528" s="1225" t="s">
        <v>132</v>
      </c>
      <c r="F1528" s="1225">
        <v>4418.0600000000004</v>
      </c>
    </row>
    <row r="1529" spans="1:6" s="1225" customFormat="1" ht="17.25" customHeight="1">
      <c r="A1529" s="1225">
        <v>18.63</v>
      </c>
      <c r="B1529" s="1225" t="s">
        <v>132</v>
      </c>
      <c r="C1529" s="1225" t="s">
        <v>616</v>
      </c>
      <c r="D1529" s="1225">
        <v>40.65</v>
      </c>
      <c r="E1529" s="1225" t="s">
        <v>132</v>
      </c>
      <c r="F1529" s="1225">
        <v>757.31</v>
      </c>
    </row>
    <row r="1530" spans="1:6" s="1225" customFormat="1" ht="17.25" customHeight="1">
      <c r="A1530" s="1225">
        <v>30</v>
      </c>
      <c r="B1530" s="1225" t="s">
        <v>282</v>
      </c>
      <c r="C1530" s="1225" t="s">
        <v>5182</v>
      </c>
      <c r="D1530" s="1225">
        <v>277</v>
      </c>
      <c r="E1530" s="1225" t="s">
        <v>282</v>
      </c>
      <c r="F1530" s="1225">
        <v>8310</v>
      </c>
    </row>
    <row r="1531" spans="1:6" s="1225" customFormat="1" ht="17.25" customHeight="1"/>
    <row r="1532" spans="1:6" s="1225" customFormat="1" ht="17.25" customHeight="1">
      <c r="A1532" s="1225">
        <v>30</v>
      </c>
      <c r="B1532" s="1225" t="s">
        <v>282</v>
      </c>
      <c r="C1532" s="1225" t="s">
        <v>617</v>
      </c>
      <c r="D1532" s="1225">
        <v>17.399999999999999</v>
      </c>
      <c r="E1532" s="1225" t="s">
        <v>282</v>
      </c>
      <c r="F1532" s="1225">
        <v>522</v>
      </c>
    </row>
    <row r="1533" spans="1:6" s="1225" customFormat="1" ht="17.25" customHeight="1">
      <c r="C1533" s="1225" t="s">
        <v>618</v>
      </c>
    </row>
    <row r="1534" spans="1:6" s="1225" customFormat="1" ht="17.25" customHeight="1">
      <c r="C1534" s="1225" t="s">
        <v>619</v>
      </c>
    </row>
    <row r="1535" spans="1:6" s="1225" customFormat="1" ht="17.25" customHeight="1">
      <c r="C1535" s="1225" t="s">
        <v>620</v>
      </c>
    </row>
    <row r="1536" spans="1:6" s="1225" customFormat="1" ht="17.25" customHeight="1">
      <c r="C1536" s="1225" t="s">
        <v>5184</v>
      </c>
    </row>
    <row r="1537" spans="1:6" s="1225" customFormat="1" ht="17.25" customHeight="1"/>
    <row r="1538" spans="1:6" s="1225" customFormat="1" ht="17.25" customHeight="1">
      <c r="A1538" s="1225">
        <v>5</v>
      </c>
      <c r="B1538" s="1225" t="s">
        <v>237</v>
      </c>
      <c r="C1538" s="1225" t="s">
        <v>5185</v>
      </c>
      <c r="D1538" s="1225">
        <v>44.9</v>
      </c>
      <c r="E1538" s="1225" t="s">
        <v>237</v>
      </c>
      <c r="F1538" s="1225">
        <v>224.5</v>
      </c>
    </row>
    <row r="1539" spans="1:6" s="1225" customFormat="1" ht="17.25" customHeight="1">
      <c r="A1539" s="1225">
        <v>1</v>
      </c>
      <c r="B1539" s="1225" t="s">
        <v>145</v>
      </c>
      <c r="C1539" s="1225" t="s">
        <v>629</v>
      </c>
      <c r="D1539" s="1225">
        <v>12.1</v>
      </c>
      <c r="E1539" s="1225" t="s">
        <v>145</v>
      </c>
      <c r="F1539" s="1225">
        <v>12.1</v>
      </c>
    </row>
    <row r="1540" spans="1:6" s="1225" customFormat="1" ht="17.25" customHeight="1">
      <c r="B1540" s="1225" t="s">
        <v>145</v>
      </c>
      <c r="C1540" s="1225" t="s">
        <v>146</v>
      </c>
      <c r="E1540" s="1225" t="s">
        <v>145</v>
      </c>
      <c r="F1540" s="1225">
        <v>17.100000000000001</v>
      </c>
    </row>
    <row r="1541" spans="1:6" s="1225" customFormat="1" ht="17.25" customHeight="1"/>
    <row r="1542" spans="1:6" s="1225" customFormat="1" ht="17.25" customHeight="1">
      <c r="F1542" s="1225" t="s">
        <v>52</v>
      </c>
    </row>
    <row r="1543" spans="1:6" s="1225" customFormat="1" ht="17.25" customHeight="1">
      <c r="C1543" s="1225" t="s">
        <v>631</v>
      </c>
      <c r="F1543" s="1225">
        <v>14261.07</v>
      </c>
    </row>
    <row r="1544" spans="1:6" s="1225" customFormat="1" ht="17.25" customHeight="1">
      <c r="F1544" s="1225" t="s">
        <v>52</v>
      </c>
    </row>
    <row r="1545" spans="1:6" s="1225" customFormat="1" ht="17.25" customHeight="1">
      <c r="C1545" s="1225" t="s">
        <v>632</v>
      </c>
      <c r="F1545" s="1225">
        <v>475.37</v>
      </c>
    </row>
    <row r="1546" spans="1:6" s="1225" customFormat="1" ht="17.25" customHeight="1">
      <c r="F1546" s="1225" t="s">
        <v>52</v>
      </c>
    </row>
    <row r="1547" spans="1:6" s="1225" customFormat="1" ht="17.25" customHeight="1">
      <c r="B1547" s="1632" t="s">
        <v>634</v>
      </c>
      <c r="C1547" s="1632" t="s">
        <v>5186</v>
      </c>
    </row>
    <row r="1548" spans="1:6" s="1225" customFormat="1" ht="17.25" customHeight="1">
      <c r="C1548" s="1225" t="s">
        <v>52</v>
      </c>
    </row>
    <row r="1549" spans="1:6" s="1225" customFormat="1" ht="17.25" customHeight="1">
      <c r="A1549" s="1225">
        <v>18.899999999999999</v>
      </c>
      <c r="B1549" s="1225" t="s">
        <v>132</v>
      </c>
      <c r="C1549" s="1225" t="s">
        <v>615</v>
      </c>
      <c r="D1549" s="1225">
        <v>233.76</v>
      </c>
      <c r="E1549" s="1225" t="s">
        <v>132</v>
      </c>
      <c r="F1549" s="1225">
        <v>4418.0600000000004</v>
      </c>
    </row>
    <row r="1550" spans="1:6" s="1225" customFormat="1" ht="17.25" customHeight="1">
      <c r="A1550" s="1225">
        <v>18.3</v>
      </c>
      <c r="B1550" s="1225" t="s">
        <v>132</v>
      </c>
      <c r="C1550" s="1225" t="s">
        <v>616</v>
      </c>
      <c r="D1550" s="1225">
        <v>40.65</v>
      </c>
      <c r="E1550" s="1225" t="s">
        <v>132</v>
      </c>
      <c r="F1550" s="1225">
        <v>743.9</v>
      </c>
    </row>
    <row r="1551" spans="1:6" s="1225" customFormat="1" ht="17.25" customHeight="1">
      <c r="A1551" s="1225">
        <v>30</v>
      </c>
      <c r="B1551" s="1225" t="s">
        <v>282</v>
      </c>
      <c r="C1551" s="1225" t="s">
        <v>5188</v>
      </c>
      <c r="D1551" s="1225">
        <v>581</v>
      </c>
      <c r="E1551" s="1225" t="s">
        <v>282</v>
      </c>
      <c r="F1551" s="1225">
        <v>17430</v>
      </c>
    </row>
    <row r="1552" spans="1:6" s="1225" customFormat="1" ht="17.25" customHeight="1"/>
    <row r="1553" spans="1:6" s="1225" customFormat="1" ht="17.25" customHeight="1">
      <c r="A1553" s="1225">
        <v>30</v>
      </c>
      <c r="C1553" s="1225" t="s">
        <v>617</v>
      </c>
      <c r="D1553" s="1225">
        <v>24.6</v>
      </c>
      <c r="E1553" s="1225" t="s">
        <v>282</v>
      </c>
      <c r="F1553" s="1225">
        <v>738</v>
      </c>
    </row>
    <row r="1554" spans="1:6" s="1225" customFormat="1" ht="17.25" customHeight="1">
      <c r="C1554" s="1225" t="s">
        <v>618</v>
      </c>
    </row>
    <row r="1555" spans="1:6" s="1225" customFormat="1" ht="17.25" customHeight="1">
      <c r="C1555" s="1225" t="s">
        <v>619</v>
      </c>
    </row>
    <row r="1556" spans="1:6" s="1225" customFormat="1" ht="17.25" customHeight="1">
      <c r="C1556" s="1225" t="s">
        <v>620</v>
      </c>
    </row>
    <row r="1557" spans="1:6" s="1225" customFormat="1" ht="17.25" customHeight="1">
      <c r="C1557" s="1225" t="s">
        <v>5184</v>
      </c>
    </row>
    <row r="1558" spans="1:6" s="1225" customFormat="1" ht="17.25" customHeight="1"/>
    <row r="1559" spans="1:6" s="1225" customFormat="1" ht="17.25" customHeight="1">
      <c r="A1559" s="1225">
        <v>5</v>
      </c>
      <c r="B1559" s="1225" t="s">
        <v>145</v>
      </c>
      <c r="C1559" s="1225" t="s">
        <v>5185</v>
      </c>
      <c r="D1559" s="1225">
        <v>44.9</v>
      </c>
      <c r="E1559" s="1225" t="s">
        <v>237</v>
      </c>
      <c r="F1559" s="1225">
        <v>224.5</v>
      </c>
    </row>
    <row r="1560" spans="1:6" s="1225" customFormat="1" ht="17.25" customHeight="1">
      <c r="A1560" s="1225">
        <v>1</v>
      </c>
      <c r="C1560" s="1225" t="s">
        <v>629</v>
      </c>
      <c r="D1560" s="1225">
        <v>12.1</v>
      </c>
      <c r="E1560" s="1225" t="s">
        <v>145</v>
      </c>
      <c r="F1560" s="1225">
        <v>12.1</v>
      </c>
    </row>
    <row r="1561" spans="1:6" s="1225" customFormat="1" ht="17.25" customHeight="1">
      <c r="C1561" s="1225" t="s">
        <v>146</v>
      </c>
      <c r="E1561" s="1225" t="s">
        <v>145</v>
      </c>
      <c r="F1561" s="1225">
        <v>24.3</v>
      </c>
    </row>
    <row r="1562" spans="1:6" s="1225" customFormat="1" ht="17.25" customHeight="1"/>
    <row r="1563" spans="1:6" s="1225" customFormat="1" ht="17.25" customHeight="1">
      <c r="C1563" s="1225" t="s">
        <v>631</v>
      </c>
      <c r="F1563" s="1225">
        <v>23590.86</v>
      </c>
    </row>
    <row r="1564" spans="1:6" s="1225" customFormat="1" ht="17.25" customHeight="1">
      <c r="F1564" s="1225" t="s">
        <v>52</v>
      </c>
    </row>
    <row r="1565" spans="1:6" s="1225" customFormat="1" ht="17.25" customHeight="1">
      <c r="C1565" s="1225" t="s">
        <v>632</v>
      </c>
      <c r="F1565" s="1225">
        <v>786.36</v>
      </c>
    </row>
    <row r="1566" spans="1:6" s="1225" customFormat="1" ht="17.25" customHeight="1"/>
    <row r="1567" spans="1:6" s="1225" customFormat="1" ht="17.25" customHeight="1">
      <c r="A1567" s="1632" t="s">
        <v>1853</v>
      </c>
      <c r="B1567" s="1632" t="s">
        <v>111</v>
      </c>
      <c r="C1567" s="1632" t="s">
        <v>1854</v>
      </c>
    </row>
    <row r="1568" spans="1:6" s="1225" customFormat="1" ht="17.25" customHeight="1">
      <c r="A1568" s="1632"/>
      <c r="B1568" s="1632"/>
      <c r="C1568" s="1632" t="s">
        <v>1855</v>
      </c>
    </row>
    <row r="1569" spans="1:6" s="1225" customFormat="1" ht="17.25" customHeight="1">
      <c r="A1569" s="1632"/>
      <c r="B1569" s="1632"/>
      <c r="C1569" s="1632" t="s">
        <v>1856</v>
      </c>
    </row>
    <row r="1570" spans="1:6" s="1225" customFormat="1" ht="17.25" customHeight="1">
      <c r="A1570" s="1632"/>
      <c r="B1570" s="1632"/>
      <c r="C1570" s="1632" t="s">
        <v>1857</v>
      </c>
    </row>
    <row r="1571" spans="1:6" s="1225" customFormat="1" ht="17.25" customHeight="1">
      <c r="C1571" s="1225" t="s">
        <v>52</v>
      </c>
    </row>
    <row r="1572" spans="1:6" s="1225" customFormat="1" ht="17.25" customHeight="1">
      <c r="A1572" s="1225">
        <v>1</v>
      </c>
      <c r="B1572" s="1225" t="s">
        <v>131</v>
      </c>
      <c r="C1572" s="1225" t="s">
        <v>1858</v>
      </c>
      <c r="D1572" s="1225">
        <v>1201</v>
      </c>
      <c r="E1572" s="1225" t="s">
        <v>131</v>
      </c>
      <c r="F1572" s="1225">
        <v>1201</v>
      </c>
    </row>
    <row r="1573" spans="1:6" s="1225" customFormat="1" ht="17.25" customHeight="1">
      <c r="A1573" s="1225">
        <v>0.65</v>
      </c>
      <c r="B1573" s="1225" t="s">
        <v>132</v>
      </c>
      <c r="C1573" s="1225" t="s">
        <v>1859</v>
      </c>
      <c r="D1573" s="1225">
        <v>233.76</v>
      </c>
      <c r="E1573" s="1225" t="s">
        <v>132</v>
      </c>
      <c r="F1573" s="1225">
        <v>151.94</v>
      </c>
    </row>
    <row r="1574" spans="1:6" s="1225" customFormat="1" ht="17.25" customHeight="1">
      <c r="A1574" s="1225">
        <v>0.56999999999999995</v>
      </c>
      <c r="B1574" s="1225" t="s">
        <v>132</v>
      </c>
      <c r="C1574" s="1225" t="s">
        <v>1860</v>
      </c>
      <c r="D1574" s="1225">
        <v>40.65</v>
      </c>
      <c r="E1574" s="1225" t="s">
        <v>132</v>
      </c>
      <c r="F1574" s="1225">
        <v>23.17</v>
      </c>
    </row>
    <row r="1575" spans="1:6" s="1225" customFormat="1" ht="17.25" customHeight="1">
      <c r="A1575" s="1225">
        <v>8.1000000000000003E-2</v>
      </c>
      <c r="B1575" s="1225" t="s">
        <v>132</v>
      </c>
      <c r="C1575" s="1225" t="s">
        <v>1861</v>
      </c>
      <c r="D1575" s="1225">
        <v>4185.1899999999996</v>
      </c>
      <c r="E1575" s="1225" t="s">
        <v>132</v>
      </c>
      <c r="F1575" s="1225">
        <v>339</v>
      </c>
    </row>
    <row r="1576" spans="1:6" s="1225" customFormat="1" ht="17.25" customHeight="1">
      <c r="A1576" s="1225">
        <v>1</v>
      </c>
      <c r="B1576" s="1225" t="s">
        <v>131</v>
      </c>
      <c r="C1576" s="1225" t="s">
        <v>1695</v>
      </c>
      <c r="D1576" s="1225">
        <v>903.1</v>
      </c>
      <c r="E1576" s="1225" t="s">
        <v>131</v>
      </c>
      <c r="F1576" s="1225">
        <v>903.1</v>
      </c>
    </row>
    <row r="1577" spans="1:6" s="1225" customFormat="1" ht="17.25" customHeight="1">
      <c r="A1577" s="1225">
        <v>0.5</v>
      </c>
      <c r="B1577" s="1225" t="s">
        <v>131</v>
      </c>
      <c r="C1577" s="1225" t="s">
        <v>302</v>
      </c>
      <c r="D1577" s="1225">
        <v>972.4</v>
      </c>
      <c r="E1577" s="1225" t="s">
        <v>131</v>
      </c>
      <c r="F1577" s="1225">
        <v>486.2</v>
      </c>
    </row>
    <row r="1578" spans="1:6" s="1225" customFormat="1" ht="17.25" customHeight="1">
      <c r="A1578" s="1225">
        <v>0.5</v>
      </c>
      <c r="B1578" s="1225" t="s">
        <v>131</v>
      </c>
      <c r="C1578" s="1225" t="s">
        <v>304</v>
      </c>
      <c r="D1578" s="1225">
        <v>679.8</v>
      </c>
      <c r="E1578" s="1225" t="s">
        <v>131</v>
      </c>
      <c r="F1578" s="1225">
        <v>339.9</v>
      </c>
    </row>
    <row r="1579" spans="1:6" s="1225" customFormat="1" ht="17.25" customHeight="1">
      <c r="C1579" s="1225" t="s">
        <v>4447</v>
      </c>
      <c r="D1579" s="1225" t="s">
        <v>85</v>
      </c>
      <c r="F1579" s="1225">
        <v>-164</v>
      </c>
    </row>
    <row r="1580" spans="1:6" s="1225" customFormat="1" ht="17.25" customHeight="1">
      <c r="C1580" s="1225" t="s">
        <v>4448</v>
      </c>
      <c r="F1580" s="1225">
        <v>134.1</v>
      </c>
    </row>
    <row r="1581" spans="1:6" s="1225" customFormat="1" ht="17.25" customHeight="1">
      <c r="B1581" s="1225" t="s">
        <v>49</v>
      </c>
      <c r="C1581" s="1225" t="s">
        <v>1557</v>
      </c>
      <c r="F1581" s="1225">
        <v>0.39</v>
      </c>
    </row>
    <row r="1582" spans="1:6" s="1225" customFormat="1" ht="17.25" customHeight="1">
      <c r="C1582" s="1225" t="s">
        <v>767</v>
      </c>
      <c r="F1582" s="1225">
        <v>3414.8</v>
      </c>
    </row>
    <row r="1583" spans="1:6" s="1225" customFormat="1" ht="17.25" customHeight="1"/>
    <row r="1584" spans="1:6" s="1225" customFormat="1" ht="17.25" customHeight="1"/>
    <row r="1585" spans="1:6" s="1225" customFormat="1" ht="17.25" customHeight="1">
      <c r="A1585" s="1632" t="s">
        <v>1862</v>
      </c>
      <c r="B1585" s="1632" t="s">
        <v>111</v>
      </c>
      <c r="C1585" s="1632" t="s">
        <v>1854</v>
      </c>
    </row>
    <row r="1586" spans="1:6" s="1225" customFormat="1" ht="17.25" customHeight="1">
      <c r="A1586" s="1632"/>
      <c r="B1586" s="1632"/>
      <c r="C1586" s="1632" t="s">
        <v>1855</v>
      </c>
    </row>
    <row r="1587" spans="1:6" s="1225" customFormat="1" ht="17.25" customHeight="1">
      <c r="A1587" s="1632"/>
      <c r="B1587" s="1632"/>
      <c r="C1587" s="1632" t="s">
        <v>1856</v>
      </c>
    </row>
    <row r="1588" spans="1:6" s="1225" customFormat="1" ht="17.25" customHeight="1">
      <c r="A1588" s="1632"/>
      <c r="B1588" s="1632"/>
      <c r="C1588" s="1632" t="s">
        <v>1863</v>
      </c>
    </row>
    <row r="1589" spans="1:6" s="1225" customFormat="1" ht="17.25" customHeight="1">
      <c r="C1589" s="1225" t="s">
        <v>52</v>
      </c>
    </row>
    <row r="1590" spans="1:6" s="1225" customFormat="1" ht="17.25" customHeight="1">
      <c r="A1590" s="1225">
        <v>1</v>
      </c>
      <c r="B1590" s="1225" t="s">
        <v>131</v>
      </c>
      <c r="C1590" s="1225" t="s">
        <v>1858</v>
      </c>
      <c r="D1590" s="1225">
        <v>1201</v>
      </c>
      <c r="E1590" s="1225" t="s">
        <v>131</v>
      </c>
      <c r="F1590" s="1225">
        <v>1201</v>
      </c>
    </row>
    <row r="1591" spans="1:6" s="1225" customFormat="1" ht="17.25" customHeight="1">
      <c r="A1591" s="1225">
        <v>0.40500000000000003</v>
      </c>
      <c r="B1591" s="1225" t="s">
        <v>132</v>
      </c>
      <c r="C1591" s="1225" t="s">
        <v>4449</v>
      </c>
      <c r="D1591" s="1225">
        <v>3835.16</v>
      </c>
      <c r="E1591" s="1225" t="s">
        <v>132</v>
      </c>
      <c r="F1591" s="1225">
        <v>1553.24</v>
      </c>
    </row>
    <row r="1592" spans="1:6" s="1225" customFormat="1" ht="17.25" customHeight="1">
      <c r="C1592" s="1225" t="s">
        <v>1865</v>
      </c>
      <c r="D1592" s="1225" t="s">
        <v>85</v>
      </c>
      <c r="F1592" s="1225" t="s">
        <v>85</v>
      </c>
    </row>
    <row r="1593" spans="1:6" s="1225" customFormat="1" ht="17.25" customHeight="1">
      <c r="A1593" s="1225">
        <v>1.89</v>
      </c>
      <c r="B1593" s="1225" t="s">
        <v>425</v>
      </c>
      <c r="C1593" s="1225" t="s">
        <v>1866</v>
      </c>
      <c r="D1593" s="1225">
        <v>284.31</v>
      </c>
      <c r="E1593" s="1225" t="s">
        <v>425</v>
      </c>
      <c r="F1593" s="1225">
        <v>537.35</v>
      </c>
    </row>
    <row r="1594" spans="1:6" s="1225" customFormat="1" ht="17.25" customHeight="1">
      <c r="C1594" s="1225" t="s">
        <v>1867</v>
      </c>
      <c r="D1594" s="1225" t="s">
        <v>85</v>
      </c>
      <c r="F1594" s="1225" t="s">
        <v>85</v>
      </c>
    </row>
    <row r="1595" spans="1:6" s="1225" customFormat="1" ht="17.25" customHeight="1">
      <c r="A1595" s="1225">
        <v>0.08</v>
      </c>
      <c r="B1595" s="1225" t="s">
        <v>132</v>
      </c>
      <c r="C1595" s="1225" t="s">
        <v>1868</v>
      </c>
      <c r="D1595" s="1225">
        <v>4185.1899999999996</v>
      </c>
      <c r="E1595" s="1225" t="s">
        <v>132</v>
      </c>
      <c r="F1595" s="1225">
        <v>339</v>
      </c>
    </row>
    <row r="1596" spans="1:6" s="1225" customFormat="1" ht="17.25" customHeight="1">
      <c r="C1596" s="1225" t="s">
        <v>1869</v>
      </c>
    </row>
    <row r="1597" spans="1:6" s="1225" customFormat="1" ht="17.25" customHeight="1">
      <c r="A1597" s="1225">
        <v>1</v>
      </c>
      <c r="B1597" s="1225" t="s">
        <v>237</v>
      </c>
      <c r="C1597" s="1225" t="s">
        <v>1695</v>
      </c>
      <c r="D1597" s="1225">
        <v>903.1</v>
      </c>
      <c r="E1597" s="1225" t="s">
        <v>237</v>
      </c>
      <c r="F1597" s="1225">
        <v>903.1</v>
      </c>
    </row>
    <row r="1598" spans="1:6" s="1225" customFormat="1" ht="17.25" customHeight="1">
      <c r="A1598" s="1225">
        <v>0.5</v>
      </c>
      <c r="B1598" s="1225" t="s">
        <v>131</v>
      </c>
      <c r="C1598" s="1225" t="s">
        <v>302</v>
      </c>
      <c r="D1598" s="1225">
        <v>972.4</v>
      </c>
      <c r="E1598" s="1225" t="s">
        <v>131</v>
      </c>
      <c r="F1598" s="1225">
        <v>486.2</v>
      </c>
    </row>
    <row r="1599" spans="1:6" s="1225" customFormat="1" ht="17.25" customHeight="1">
      <c r="A1599" s="1225">
        <v>0.5</v>
      </c>
      <c r="B1599" s="1225" t="s">
        <v>131</v>
      </c>
      <c r="C1599" s="1225" t="s">
        <v>304</v>
      </c>
      <c r="D1599" s="1225">
        <v>679.8</v>
      </c>
      <c r="E1599" s="1225" t="s">
        <v>131</v>
      </c>
      <c r="F1599" s="1225">
        <v>339.9</v>
      </c>
    </row>
    <row r="1600" spans="1:6" s="1225" customFormat="1" ht="17.25" customHeight="1">
      <c r="C1600" s="1225" t="s">
        <v>4447</v>
      </c>
      <c r="D1600" s="1225" t="s">
        <v>85</v>
      </c>
      <c r="F1600" s="1225">
        <v>-164</v>
      </c>
    </row>
    <row r="1601" spans="1:6" s="1225" customFormat="1" ht="17.25" customHeight="1">
      <c r="C1601" s="1225" t="s">
        <v>4448</v>
      </c>
      <c r="F1601" s="1225">
        <v>134.1</v>
      </c>
    </row>
    <row r="1602" spans="1:6" s="1225" customFormat="1" ht="17.25" customHeight="1">
      <c r="B1602" s="1225" t="s">
        <v>49</v>
      </c>
      <c r="C1602" s="1225" t="s">
        <v>1557</v>
      </c>
      <c r="F1602" s="1225">
        <v>0.47</v>
      </c>
    </row>
    <row r="1603" spans="1:6" s="1225" customFormat="1" ht="17.25" customHeight="1">
      <c r="C1603" s="1225" t="s">
        <v>767</v>
      </c>
      <c r="F1603" s="1225">
        <v>5330.36</v>
      </c>
    </row>
    <row r="1604" spans="1:6" s="1225" customFormat="1" ht="17.25" customHeight="1"/>
    <row r="1605" spans="1:6" s="1225" customFormat="1" ht="17.25" customHeight="1"/>
    <row r="1606" spans="1:6" s="1225" customFormat="1" ht="33">
      <c r="A1606" s="1632">
        <v>57</v>
      </c>
      <c r="B1606" s="1632" t="s">
        <v>111</v>
      </c>
      <c r="C1606" s="1632" t="s">
        <v>6450</v>
      </c>
    </row>
    <row r="1607" spans="1:6" s="1225" customFormat="1" ht="16.5">
      <c r="A1607" s="1632"/>
      <c r="B1607" s="1632"/>
      <c r="C1607" s="1632" t="s">
        <v>1871</v>
      </c>
    </row>
    <row r="1608" spans="1:6" s="1225" customFormat="1" ht="16.5">
      <c r="A1608" s="1632"/>
      <c r="B1608" s="1632"/>
      <c r="C1608" s="1632" t="s">
        <v>1872</v>
      </c>
    </row>
    <row r="1609" spans="1:6" s="1225" customFormat="1" ht="17.25" customHeight="1">
      <c r="C1609" s="1225" t="s">
        <v>52</v>
      </c>
    </row>
    <row r="1610" spans="1:6" s="1225" customFormat="1" ht="17.25" customHeight="1">
      <c r="A1610" s="1225">
        <v>1</v>
      </c>
      <c r="B1610" s="1225" t="s">
        <v>781</v>
      </c>
      <c r="C1610" s="1225" t="s">
        <v>1873</v>
      </c>
      <c r="D1610" s="1225">
        <v>3090</v>
      </c>
      <c r="E1610" s="1225" t="s">
        <v>781</v>
      </c>
      <c r="F1610" s="1225">
        <v>3090</v>
      </c>
    </row>
    <row r="1611" spans="1:6" s="1225" customFormat="1" ht="17.25" customHeight="1">
      <c r="C1611" s="1225" t="s">
        <v>1874</v>
      </c>
    </row>
    <row r="1612" spans="1:6" s="1225" customFormat="1" ht="17.25" customHeight="1">
      <c r="A1612" s="1225">
        <v>1</v>
      </c>
      <c r="B1612" s="1225" t="s">
        <v>131</v>
      </c>
      <c r="C1612" s="1225" t="s">
        <v>345</v>
      </c>
      <c r="D1612" s="1225">
        <v>1041.7</v>
      </c>
      <c r="E1612" s="1225" t="s">
        <v>131</v>
      </c>
      <c r="F1612" s="1225">
        <v>1041.7</v>
      </c>
    </row>
    <row r="1613" spans="1:6" s="1225" customFormat="1" ht="17.25" customHeight="1">
      <c r="A1613" s="1225">
        <v>2</v>
      </c>
      <c r="B1613" s="1225" t="s">
        <v>131</v>
      </c>
      <c r="C1613" s="1225" t="s">
        <v>1695</v>
      </c>
      <c r="D1613" s="1225">
        <v>903.1</v>
      </c>
      <c r="E1613" s="1225" t="s">
        <v>131</v>
      </c>
      <c r="F1613" s="1225">
        <v>1806.2</v>
      </c>
    </row>
    <row r="1614" spans="1:6" s="1225" customFormat="1" ht="17.25" customHeight="1">
      <c r="A1614" s="1225">
        <v>1</v>
      </c>
      <c r="B1614" s="1225" t="s">
        <v>131</v>
      </c>
      <c r="C1614" s="1225" t="s">
        <v>306</v>
      </c>
      <c r="D1614" s="1225">
        <v>557.70000000000005</v>
      </c>
      <c r="E1614" s="1225" t="s">
        <v>131</v>
      </c>
      <c r="F1614" s="1225">
        <v>557.70000000000005</v>
      </c>
    </row>
    <row r="1615" spans="1:6" s="1225" customFormat="1" ht="17.25" customHeight="1">
      <c r="C1615" s="1225" t="s">
        <v>1875</v>
      </c>
    </row>
    <row r="1616" spans="1:6" s="1225" customFormat="1" ht="17.25" customHeight="1">
      <c r="A1616" s="1225">
        <v>0.5</v>
      </c>
      <c r="B1616" s="1225" t="s">
        <v>131</v>
      </c>
      <c r="C1616" s="1225" t="s">
        <v>1695</v>
      </c>
      <c r="D1616" s="1225">
        <v>903.1</v>
      </c>
      <c r="E1616" s="1225" t="s">
        <v>131</v>
      </c>
      <c r="F1616" s="1225">
        <v>451.55</v>
      </c>
    </row>
    <row r="1617" spans="1:6" s="1225" customFormat="1" ht="17.25" customHeight="1">
      <c r="A1617" s="1225">
        <v>0.5</v>
      </c>
      <c r="B1617" s="1225" t="s">
        <v>131</v>
      </c>
      <c r="C1617" s="1225" t="s">
        <v>304</v>
      </c>
      <c r="D1617" s="1225">
        <v>679.8</v>
      </c>
      <c r="E1617" s="1225" t="s">
        <v>131</v>
      </c>
      <c r="F1617" s="1225">
        <v>339.9</v>
      </c>
    </row>
    <row r="1618" spans="1:6" s="1225" customFormat="1" ht="17.25" customHeight="1">
      <c r="C1618" s="1225" t="s">
        <v>4447</v>
      </c>
      <c r="D1618" s="1225">
        <v>0</v>
      </c>
      <c r="F1618" s="1225">
        <v>-164</v>
      </c>
    </row>
    <row r="1619" spans="1:6" s="1225" customFormat="1" ht="17.25" customHeight="1">
      <c r="C1619" s="1225" t="s">
        <v>4448</v>
      </c>
      <c r="F1619" s="1225">
        <v>134.1</v>
      </c>
    </row>
    <row r="1620" spans="1:6" s="1225" customFormat="1" ht="17.25" customHeight="1">
      <c r="B1620" s="1225" t="s">
        <v>145</v>
      </c>
      <c r="C1620" s="1225" t="s">
        <v>146</v>
      </c>
      <c r="E1620" s="1225" t="s">
        <v>145</v>
      </c>
      <c r="F1620" s="1225">
        <v>0.7</v>
      </c>
    </row>
    <row r="1621" spans="1:6" s="1225" customFormat="1" ht="17.25" customHeight="1">
      <c r="C1621" s="1225" t="s">
        <v>767</v>
      </c>
    </row>
    <row r="1622" spans="1:6" s="1225" customFormat="1" ht="17.25" customHeight="1">
      <c r="F1622" s="1225">
        <v>7257.85</v>
      </c>
    </row>
    <row r="1623" spans="1:6" s="1225" customFormat="1" ht="17.25" customHeight="1">
      <c r="C1623" s="1632"/>
    </row>
    <row r="1624" spans="1:6" s="1225" customFormat="1" ht="17.25" customHeight="1">
      <c r="C1624" s="1632" t="s">
        <v>2299</v>
      </c>
    </row>
    <row r="1625" spans="1:6" s="1225" customFormat="1" ht="17.25" customHeight="1">
      <c r="C1625" s="1632" t="s">
        <v>2301</v>
      </c>
    </row>
    <row r="1626" spans="1:6" s="1225" customFormat="1" ht="17.25" customHeight="1">
      <c r="C1626" s="1632"/>
    </row>
    <row r="1627" spans="1:6" s="1225" customFormat="1" ht="16.5">
      <c r="C1627" s="1632" t="s">
        <v>2302</v>
      </c>
    </row>
    <row r="1628" spans="1:6" s="1225" customFormat="1" ht="17.25" customHeight="1"/>
    <row r="1629" spans="1:6" s="1225" customFormat="1" ht="17.25" customHeight="1">
      <c r="C1629" s="1225" t="s">
        <v>2303</v>
      </c>
    </row>
    <row r="1630" spans="1:6" s="1225" customFormat="1" ht="17.25" customHeight="1">
      <c r="A1630" s="1225">
        <v>90</v>
      </c>
      <c r="B1630" s="1225" t="s">
        <v>13</v>
      </c>
      <c r="C1630" s="1225" t="s">
        <v>2305</v>
      </c>
      <c r="D1630" s="1225">
        <v>16.55</v>
      </c>
      <c r="E1630" s="1225" t="s">
        <v>2306</v>
      </c>
      <c r="F1630" s="1225">
        <v>1489.5</v>
      </c>
    </row>
    <row r="1631" spans="1:6" s="1225" customFormat="1" ht="17.25" customHeight="1">
      <c r="A1631" s="1225">
        <v>45</v>
      </c>
      <c r="B1631" s="1225" t="s">
        <v>13</v>
      </c>
      <c r="C1631" s="1225" t="s">
        <v>2307</v>
      </c>
      <c r="D1631" s="1225">
        <v>20</v>
      </c>
      <c r="E1631" s="1225" t="s">
        <v>2308</v>
      </c>
      <c r="F1631" s="1225">
        <v>900</v>
      </c>
    </row>
    <row r="1632" spans="1:6" s="1225" customFormat="1" ht="17.25" customHeight="1">
      <c r="A1632" s="1225">
        <v>20</v>
      </c>
      <c r="B1632" s="1225" t="s">
        <v>1034</v>
      </c>
      <c r="C1632" s="1225" t="s">
        <v>2309</v>
      </c>
      <c r="D1632" s="1225">
        <v>3.15</v>
      </c>
      <c r="E1632" s="1225" t="s">
        <v>1034</v>
      </c>
      <c r="F1632" s="1225">
        <v>63</v>
      </c>
    </row>
    <row r="1633" spans="1:6" s="1225" customFormat="1" ht="17.25" customHeight="1">
      <c r="A1633" s="1225">
        <v>10</v>
      </c>
      <c r="B1633" s="1225" t="s">
        <v>1034</v>
      </c>
      <c r="C1633" s="1225" t="s">
        <v>2310</v>
      </c>
      <c r="D1633" s="1225">
        <v>1.34</v>
      </c>
      <c r="E1633" s="1225" t="s">
        <v>1034</v>
      </c>
      <c r="F1633" s="1225">
        <v>13.4</v>
      </c>
    </row>
    <row r="1634" spans="1:6" s="1225" customFormat="1" ht="17.25" customHeight="1">
      <c r="A1634" s="1225">
        <v>1</v>
      </c>
      <c r="B1634" s="1225" t="s">
        <v>1034</v>
      </c>
      <c r="C1634" s="1225" t="s">
        <v>2312</v>
      </c>
      <c r="D1634" s="1225">
        <v>58</v>
      </c>
      <c r="E1634" s="1225" t="s">
        <v>1034</v>
      </c>
      <c r="F1634" s="1225">
        <v>58</v>
      </c>
    </row>
    <row r="1635" spans="1:6" s="1225" customFormat="1" ht="17.25" customHeight="1"/>
    <row r="1636" spans="1:6" s="1225" customFormat="1" ht="17.25" customHeight="1">
      <c r="A1636" s="1225">
        <v>1.4999999999999999E-2</v>
      </c>
      <c r="B1636" s="1225" t="s">
        <v>724</v>
      </c>
      <c r="C1636" s="1225" t="s">
        <v>2316</v>
      </c>
      <c r="D1636" s="1225">
        <v>661</v>
      </c>
      <c r="E1636" s="1225" t="s">
        <v>724</v>
      </c>
      <c r="F1636" s="1225">
        <v>9.92</v>
      </c>
    </row>
    <row r="1637" spans="1:6" s="1225" customFormat="1" ht="17.25" customHeight="1">
      <c r="A1637" s="1225">
        <v>10</v>
      </c>
      <c r="B1637" s="1225" t="s">
        <v>1034</v>
      </c>
      <c r="C1637" s="1225" t="s">
        <v>2318</v>
      </c>
      <c r="D1637" s="1225">
        <v>16.21</v>
      </c>
      <c r="E1637" s="1225" t="s">
        <v>1034</v>
      </c>
      <c r="F1637" s="1225">
        <v>162.1</v>
      </c>
    </row>
    <row r="1638" spans="1:6" s="1225" customFormat="1" ht="17.25" customHeight="1">
      <c r="A1638" s="1225">
        <v>10</v>
      </c>
      <c r="B1638" s="1225" t="s">
        <v>1034</v>
      </c>
      <c r="C1638" s="1225" t="s">
        <v>2320</v>
      </c>
      <c r="D1638" s="1225">
        <v>13.8</v>
      </c>
      <c r="E1638" s="1225" t="s">
        <v>1034</v>
      </c>
      <c r="F1638" s="1225">
        <v>138</v>
      </c>
    </row>
    <row r="1639" spans="1:6" s="1225" customFormat="1" ht="17.25" customHeight="1">
      <c r="A1639" s="1225">
        <v>10</v>
      </c>
      <c r="B1639" s="1225" t="s">
        <v>1034</v>
      </c>
      <c r="C1639" s="1225" t="s">
        <v>2322</v>
      </c>
      <c r="D1639" s="1225">
        <v>3.6</v>
      </c>
      <c r="E1639" s="1225" t="s">
        <v>1034</v>
      </c>
      <c r="F1639" s="1225">
        <v>36</v>
      </c>
    </row>
    <row r="1640" spans="1:6" s="1225" customFormat="1" ht="17.25" customHeight="1">
      <c r="A1640" s="1225">
        <v>1.25</v>
      </c>
      <c r="B1640" s="1225" t="s">
        <v>2324</v>
      </c>
      <c r="C1640" s="1225" t="s">
        <v>38</v>
      </c>
      <c r="D1640" s="1225">
        <v>302</v>
      </c>
      <c r="E1640" s="1225" t="s">
        <v>2324</v>
      </c>
      <c r="F1640" s="1225">
        <v>377.5</v>
      </c>
    </row>
    <row r="1641" spans="1:6" s="1225" customFormat="1" ht="17.25" customHeight="1">
      <c r="A1641" s="1225">
        <v>10</v>
      </c>
      <c r="B1641" s="1225" t="s">
        <v>1034</v>
      </c>
      <c r="C1641" s="1225" t="s">
        <v>2312</v>
      </c>
      <c r="D1641" s="1225">
        <v>58</v>
      </c>
      <c r="E1641" s="1225" t="s">
        <v>1034</v>
      </c>
      <c r="F1641" s="1225">
        <v>580</v>
      </c>
    </row>
    <row r="1642" spans="1:6" s="1225" customFormat="1" ht="17.25" customHeight="1">
      <c r="A1642" s="1225">
        <v>0.15</v>
      </c>
      <c r="B1642" s="1225" t="s">
        <v>724</v>
      </c>
      <c r="C1642" s="1225" t="s">
        <v>2316</v>
      </c>
      <c r="D1642" s="1225">
        <v>661</v>
      </c>
      <c r="E1642" s="1225" t="s">
        <v>724</v>
      </c>
      <c r="F1642" s="1225">
        <v>99.15</v>
      </c>
    </row>
    <row r="1643" spans="1:6" s="1225" customFormat="1" ht="17.25" customHeight="1">
      <c r="A1643" s="1225">
        <v>45</v>
      </c>
      <c r="B1643" s="1225" t="s">
        <v>13</v>
      </c>
      <c r="C1643" s="1225" t="s">
        <v>2329</v>
      </c>
      <c r="D1643" s="1225">
        <v>16.55</v>
      </c>
      <c r="E1643" s="1225" t="s">
        <v>2330</v>
      </c>
      <c r="F1643" s="1225">
        <v>744.75</v>
      </c>
    </row>
    <row r="1644" spans="1:6" s="1225" customFormat="1" ht="17.25" customHeight="1">
      <c r="A1644" s="1225" t="s">
        <v>49</v>
      </c>
      <c r="C1644" s="1225" t="s">
        <v>478</v>
      </c>
      <c r="E1644" s="1225" t="s">
        <v>49</v>
      </c>
      <c r="F1644" s="1225">
        <v>11454</v>
      </c>
    </row>
    <row r="1645" spans="1:6" s="1225" customFormat="1" ht="17.25" customHeight="1">
      <c r="A1645" s="1225" t="s">
        <v>49</v>
      </c>
      <c r="C1645" s="1225" t="s">
        <v>1557</v>
      </c>
      <c r="E1645" s="1225" t="s">
        <v>49</v>
      </c>
      <c r="F1645" s="1225">
        <v>40.6</v>
      </c>
    </row>
    <row r="1646" spans="1:6" s="1225" customFormat="1" ht="17.25" customHeight="1">
      <c r="C1646" s="1225" t="s">
        <v>2334</v>
      </c>
      <c r="F1646" s="1225">
        <v>16165.92</v>
      </c>
    </row>
    <row r="1647" spans="1:6" s="1225" customFormat="1" ht="17.25" customHeight="1">
      <c r="C1647" s="1225" t="s">
        <v>2336</v>
      </c>
      <c r="F1647" s="1225">
        <v>1616.59</v>
      </c>
    </row>
    <row r="1648" spans="1:6" s="1225" customFormat="1" ht="17.25" customHeight="1"/>
    <row r="1649" spans="3:5" s="1225" customFormat="1" ht="17.25" customHeight="1">
      <c r="C1649" s="1632" t="s">
        <v>2345</v>
      </c>
    </row>
    <row r="1650" spans="3:5" s="1225" customFormat="1" ht="33">
      <c r="C1650" s="1632" t="s">
        <v>2347</v>
      </c>
    </row>
    <row r="1651" spans="3:5" s="1225" customFormat="1" ht="17.25" customHeight="1"/>
    <row r="1652" spans="3:5" s="1225" customFormat="1" ht="17.25" customHeight="1">
      <c r="C1652" s="1225" t="s">
        <v>2349</v>
      </c>
    </row>
    <row r="1653" spans="3:5" s="1225" customFormat="1" ht="17.25" customHeight="1">
      <c r="C1653" s="1225" t="s">
        <v>2351</v>
      </c>
      <c r="E1653" s="1225">
        <v>16125.32</v>
      </c>
    </row>
    <row r="1654" spans="3:5" s="1225" customFormat="1" ht="17.25" customHeight="1">
      <c r="C1654" s="1225" t="s">
        <v>2352</v>
      </c>
      <c r="E1654" s="1225">
        <v>138</v>
      </c>
    </row>
    <row r="1655" spans="3:5" s="1225" customFormat="1" ht="17.25" customHeight="1">
      <c r="C1655" s="1225" t="s">
        <v>2353</v>
      </c>
      <c r="E1655" s="1225">
        <v>166.5</v>
      </c>
    </row>
    <row r="1656" spans="3:5" s="1225" customFormat="1" ht="17.25" customHeight="1">
      <c r="C1656" s="1225" t="s">
        <v>1557</v>
      </c>
      <c r="E1656" s="1225">
        <v>43.1</v>
      </c>
    </row>
    <row r="1657" spans="3:5" s="1225" customFormat="1" ht="17.25" customHeight="1">
      <c r="C1657" s="1225" t="s">
        <v>2355</v>
      </c>
      <c r="E1657" s="1225">
        <v>16196.92</v>
      </c>
    </row>
    <row r="1658" spans="3:5" s="1225" customFormat="1" ht="17.25" customHeight="1">
      <c r="C1658" s="1225" t="s">
        <v>2356</v>
      </c>
      <c r="E1658" s="1225">
        <v>1619.69</v>
      </c>
    </row>
    <row r="1659" spans="3:5" s="1225" customFormat="1" ht="17.25" customHeight="1"/>
    <row r="1660" spans="3:5" s="1225" customFormat="1" ht="17.25" customHeight="1"/>
    <row r="1661" spans="3:5" s="1225" customFormat="1" ht="17.25" customHeight="1">
      <c r="C1661" s="1632" t="s">
        <v>2357</v>
      </c>
    </row>
    <row r="1662" spans="3:5" s="1225" customFormat="1" ht="49.5">
      <c r="C1662" s="1632" t="s">
        <v>2358</v>
      </c>
    </row>
    <row r="1663" spans="3:5" s="1225" customFormat="1" ht="17.25" customHeight="1">
      <c r="C1663" s="1632"/>
    </row>
    <row r="1664" spans="3:5" s="1225" customFormat="1" ht="17.25" customHeight="1">
      <c r="C1664" s="1225" t="s">
        <v>2359</v>
      </c>
    </row>
    <row r="1665" spans="3:6" s="1225" customFormat="1" ht="17.25" customHeight="1">
      <c r="C1665" s="1225" t="s">
        <v>2361</v>
      </c>
      <c r="F1665" s="1225">
        <v>16125.32</v>
      </c>
    </row>
    <row r="1666" spans="3:6" s="1225" customFormat="1" ht="17.25" customHeight="1">
      <c r="C1666" s="1225" t="s">
        <v>2362</v>
      </c>
      <c r="F1666" s="1225">
        <v>138</v>
      </c>
    </row>
    <row r="1667" spans="3:6" s="1225" customFormat="1" ht="17.25" customHeight="1">
      <c r="C1667" s="1225" t="s">
        <v>2363</v>
      </c>
      <c r="F1667" s="1225">
        <v>36</v>
      </c>
    </row>
    <row r="1668" spans="3:6" s="1225" customFormat="1" ht="17.25" customHeight="1">
      <c r="C1668" s="1225" t="s">
        <v>2364</v>
      </c>
      <c r="F1668" s="1225">
        <v>162.1</v>
      </c>
    </row>
    <row r="1669" spans="3:6" s="1225" customFormat="1" ht="17.25" customHeight="1">
      <c r="C1669" s="1225" t="s">
        <v>2365</v>
      </c>
      <c r="F1669" s="1225">
        <v>417</v>
      </c>
    </row>
    <row r="1670" spans="3:6" s="1225" customFormat="1" ht="17.25" customHeight="1">
      <c r="C1670" s="1225" t="s">
        <v>2366</v>
      </c>
      <c r="F1670" s="1225">
        <v>90</v>
      </c>
    </row>
    <row r="1671" spans="3:6" s="1225" customFormat="1" ht="17.25" customHeight="1">
      <c r="C1671" s="1225" t="s">
        <v>2367</v>
      </c>
      <c r="F1671" s="1225">
        <v>165</v>
      </c>
    </row>
    <row r="1672" spans="3:6" s="1225" customFormat="1" ht="17.25" customHeight="1">
      <c r="C1672" s="1225" t="s">
        <v>1557</v>
      </c>
      <c r="F1672" s="1225">
        <v>32.200000000000003</v>
      </c>
    </row>
    <row r="1673" spans="3:6" s="1225" customFormat="1" ht="17.25" customHeight="1">
      <c r="C1673" s="1225" t="s">
        <v>2355</v>
      </c>
      <c r="F1673" s="1225">
        <v>16493.419999999998</v>
      </c>
    </row>
    <row r="1674" spans="3:6" s="1225" customFormat="1" ht="17.25" customHeight="1">
      <c r="C1674" s="1225" t="s">
        <v>2368</v>
      </c>
      <c r="F1674" s="1225">
        <v>1649.34</v>
      </c>
    </row>
    <row r="1675" spans="3:6" s="1225" customFormat="1" ht="17.25" customHeight="1"/>
    <row r="1676" spans="3:6" s="1225" customFormat="1" ht="17.25" customHeight="1"/>
    <row r="1677" spans="3:6" s="1225" customFormat="1" ht="17.25" customHeight="1">
      <c r="C1677" s="1632" t="s">
        <v>2369</v>
      </c>
    </row>
    <row r="1678" spans="3:6" s="1225" customFormat="1" ht="16.5">
      <c r="C1678" s="1632" t="s">
        <v>2370</v>
      </c>
    </row>
    <row r="1679" spans="3:6" s="1225" customFormat="1" ht="198">
      <c r="C1679" s="1632" t="s">
        <v>2371</v>
      </c>
    </row>
    <row r="1680" spans="3:6" s="1225" customFormat="1" ht="17.25" customHeight="1"/>
    <row r="1681" spans="1:6" s="1225" customFormat="1" ht="17.25" customHeight="1">
      <c r="A1681" s="1225">
        <v>90</v>
      </c>
      <c r="B1681" s="1225" t="s">
        <v>13</v>
      </c>
      <c r="C1681" s="1225" t="s">
        <v>2305</v>
      </c>
      <c r="D1681" s="1225">
        <v>16.55</v>
      </c>
      <c r="E1681" s="1225" t="s">
        <v>2330</v>
      </c>
      <c r="F1681" s="1225">
        <v>1489.5</v>
      </c>
    </row>
    <row r="1682" spans="1:6" s="1225" customFormat="1" ht="17.25" customHeight="1">
      <c r="A1682" s="1225">
        <v>45</v>
      </c>
      <c r="B1682" s="1225" t="s">
        <v>13</v>
      </c>
      <c r="C1682" s="1225" t="s">
        <v>2307</v>
      </c>
      <c r="D1682" s="1225">
        <v>20</v>
      </c>
      <c r="E1682" s="1225" t="s">
        <v>13</v>
      </c>
      <c r="F1682" s="1225">
        <v>900</v>
      </c>
    </row>
    <row r="1683" spans="1:6" s="1225" customFormat="1" ht="17.25" customHeight="1">
      <c r="A1683" s="1225">
        <v>20</v>
      </c>
      <c r="B1683" s="1225" t="s">
        <v>1034</v>
      </c>
      <c r="C1683" s="1225" t="s">
        <v>2309</v>
      </c>
      <c r="D1683" s="1225">
        <v>3.15</v>
      </c>
      <c r="E1683" s="1225" t="s">
        <v>1034</v>
      </c>
      <c r="F1683" s="1225">
        <v>63</v>
      </c>
    </row>
    <row r="1684" spans="1:6" s="1225" customFormat="1" ht="17.25" customHeight="1">
      <c r="A1684" s="1225">
        <v>10</v>
      </c>
      <c r="B1684" s="1225" t="s">
        <v>1034</v>
      </c>
      <c r="C1684" s="1225" t="s">
        <v>2310</v>
      </c>
      <c r="D1684" s="1225">
        <v>1.34</v>
      </c>
      <c r="E1684" s="1225" t="s">
        <v>1034</v>
      </c>
      <c r="F1684" s="1225">
        <v>13.4</v>
      </c>
    </row>
    <row r="1685" spans="1:6" s="1225" customFormat="1" ht="17.25" customHeight="1">
      <c r="A1685" s="1225">
        <v>10</v>
      </c>
      <c r="B1685" s="1225" t="s">
        <v>1034</v>
      </c>
      <c r="C1685" s="1225" t="s">
        <v>2322</v>
      </c>
      <c r="D1685" s="1225">
        <v>3.6</v>
      </c>
      <c r="E1685" s="1225" t="s">
        <v>1034</v>
      </c>
      <c r="F1685" s="1225">
        <v>36</v>
      </c>
    </row>
    <row r="1686" spans="1:6" s="1225" customFormat="1" ht="17.25" customHeight="1">
      <c r="A1686" s="1225">
        <v>10</v>
      </c>
      <c r="B1686" s="1225" t="s">
        <v>1034</v>
      </c>
      <c r="C1686" s="1225" t="s">
        <v>2320</v>
      </c>
      <c r="D1686" s="1225">
        <v>13.8</v>
      </c>
      <c r="E1686" s="1225" t="s">
        <v>1034</v>
      </c>
      <c r="F1686" s="1225">
        <v>138</v>
      </c>
    </row>
    <row r="1687" spans="1:6" s="1225" customFormat="1" ht="17.25" customHeight="1">
      <c r="A1687" s="1225">
        <v>10</v>
      </c>
      <c r="B1687" s="1225" t="s">
        <v>1034</v>
      </c>
      <c r="C1687" s="1225" t="s">
        <v>2318</v>
      </c>
      <c r="D1687" s="1225">
        <v>16.21</v>
      </c>
      <c r="E1687" s="1225" t="s">
        <v>1034</v>
      </c>
      <c r="F1687" s="1225">
        <v>162.1</v>
      </c>
    </row>
    <row r="1688" spans="1:6" s="1225" customFormat="1" ht="17.25" customHeight="1">
      <c r="A1688" s="1225">
        <v>10</v>
      </c>
      <c r="B1688" s="1225" t="s">
        <v>1034</v>
      </c>
      <c r="C1688" s="1225" t="s">
        <v>2372</v>
      </c>
      <c r="D1688" s="1225">
        <v>85</v>
      </c>
      <c r="E1688" s="1225" t="s">
        <v>1034</v>
      </c>
      <c r="F1688" s="1225">
        <v>850</v>
      </c>
    </row>
    <row r="1689" spans="1:6" s="1225" customFormat="1" ht="17.25" customHeight="1">
      <c r="A1689" s="1225">
        <v>0.6</v>
      </c>
      <c r="B1689" s="1225" t="s">
        <v>724</v>
      </c>
      <c r="C1689" s="1225" t="s">
        <v>2373</v>
      </c>
      <c r="D1689" s="1225">
        <v>661</v>
      </c>
      <c r="E1689" s="1225" t="s">
        <v>724</v>
      </c>
      <c r="F1689" s="1225">
        <v>396.6</v>
      </c>
    </row>
    <row r="1690" spans="1:6" s="1225" customFormat="1" ht="17.25" customHeight="1">
      <c r="A1690" s="1225">
        <v>1</v>
      </c>
      <c r="B1690" s="1225" t="s">
        <v>1034</v>
      </c>
      <c r="C1690" s="1225" t="s">
        <v>2312</v>
      </c>
      <c r="D1690" s="1225">
        <v>58</v>
      </c>
      <c r="E1690" s="1225" t="s">
        <v>1034</v>
      </c>
      <c r="F1690" s="1225">
        <v>58</v>
      </c>
    </row>
    <row r="1691" spans="1:6" s="1225" customFormat="1" ht="17.25" customHeight="1">
      <c r="A1691" s="1225">
        <v>1.4999999999999999E-2</v>
      </c>
      <c r="B1691" s="1225" t="s">
        <v>724</v>
      </c>
      <c r="C1691" s="1225" t="s">
        <v>2316</v>
      </c>
      <c r="D1691" s="1225">
        <v>661</v>
      </c>
      <c r="E1691" s="1225" t="s">
        <v>724</v>
      </c>
      <c r="F1691" s="1225">
        <v>9.92</v>
      </c>
    </row>
    <row r="1692" spans="1:6" s="1225" customFormat="1" ht="17.25" customHeight="1">
      <c r="A1692" s="1225">
        <v>1.25</v>
      </c>
      <c r="B1692" s="1225" t="s">
        <v>2324</v>
      </c>
      <c r="C1692" s="1225" t="s">
        <v>38</v>
      </c>
      <c r="D1692" s="1225">
        <v>302</v>
      </c>
      <c r="E1692" s="1225" t="s">
        <v>2324</v>
      </c>
      <c r="F1692" s="1225">
        <v>377.5</v>
      </c>
    </row>
    <row r="1693" spans="1:6" s="1225" customFormat="1" ht="17.25" customHeight="1">
      <c r="A1693" s="1225">
        <v>45</v>
      </c>
      <c r="B1693" s="1225" t="s">
        <v>13</v>
      </c>
      <c r="C1693" s="1225" t="s">
        <v>2329</v>
      </c>
      <c r="D1693" s="1225">
        <v>16.55</v>
      </c>
      <c r="E1693" s="1225" t="s">
        <v>2330</v>
      </c>
      <c r="F1693" s="1225">
        <v>744.75</v>
      </c>
    </row>
    <row r="1694" spans="1:6" s="1225" customFormat="1" ht="17.25" customHeight="1">
      <c r="A1694" s="1225" t="s">
        <v>49</v>
      </c>
      <c r="C1694" s="1225" t="s">
        <v>478</v>
      </c>
      <c r="F1694" s="1225">
        <v>11454</v>
      </c>
    </row>
    <row r="1695" spans="1:6" s="1225" customFormat="1" ht="17.25" customHeight="1">
      <c r="A1695" s="1225" t="s">
        <v>49</v>
      </c>
      <c r="C1695" s="1225" t="s">
        <v>1557</v>
      </c>
      <c r="F1695" s="1225">
        <v>27.25</v>
      </c>
    </row>
    <row r="1696" spans="1:6" s="1225" customFormat="1" ht="17.25" customHeight="1">
      <c r="C1696" s="1225" t="s">
        <v>2355</v>
      </c>
      <c r="F1696" s="1225">
        <v>16720.02</v>
      </c>
    </row>
    <row r="1697" spans="1:10" s="1225" customFormat="1" ht="17.25" customHeight="1">
      <c r="C1697" s="1225" t="s">
        <v>2368</v>
      </c>
      <c r="F1697" s="1225">
        <v>1672</v>
      </c>
    </row>
    <row r="1698" spans="1:10" s="1225" customFormat="1" ht="17.25" customHeight="1"/>
    <row r="1699" spans="1:10" s="1225" customFormat="1" ht="17.25" customHeight="1">
      <c r="C1699" s="1632" t="s">
        <v>2378</v>
      </c>
    </row>
    <row r="1700" spans="1:10" s="1225" customFormat="1" ht="16.5">
      <c r="C1700" s="1632" t="s">
        <v>2379</v>
      </c>
    </row>
    <row r="1701" spans="1:10" s="1225" customFormat="1" ht="198">
      <c r="C1701" s="1632" t="s">
        <v>2380</v>
      </c>
    </row>
    <row r="1702" spans="1:10" s="1225" customFormat="1" ht="17.25" customHeight="1">
      <c r="A1702" s="1225">
        <v>90</v>
      </c>
      <c r="B1702" s="1225" t="s">
        <v>13</v>
      </c>
      <c r="C1702" s="1225" t="s">
        <v>2305</v>
      </c>
      <c r="D1702" s="1225">
        <v>16.55</v>
      </c>
      <c r="E1702" s="1225" t="s">
        <v>2306</v>
      </c>
      <c r="F1702" s="1225">
        <v>1489.5</v>
      </c>
    </row>
    <row r="1703" spans="1:10" s="1225" customFormat="1" ht="17.25" customHeight="1">
      <c r="A1703" s="1225">
        <v>30</v>
      </c>
      <c r="B1703" s="1225" t="s">
        <v>13</v>
      </c>
      <c r="C1703" s="1225" t="s">
        <v>2307</v>
      </c>
      <c r="D1703" s="1225">
        <v>20</v>
      </c>
      <c r="E1703" s="1225" t="s">
        <v>13</v>
      </c>
      <c r="F1703" s="1225">
        <v>600</v>
      </c>
    </row>
    <row r="1704" spans="1:10" s="1225" customFormat="1" ht="17.25" customHeight="1">
      <c r="A1704" s="1225">
        <v>10</v>
      </c>
      <c r="B1704" s="1225" t="s">
        <v>1034</v>
      </c>
      <c r="C1704" s="1225" t="s">
        <v>2309</v>
      </c>
      <c r="D1704" s="1225">
        <v>3.15</v>
      </c>
      <c r="E1704" s="1225" t="s">
        <v>1034</v>
      </c>
      <c r="F1704" s="1225">
        <v>31.5</v>
      </c>
    </row>
    <row r="1705" spans="1:10" s="1225" customFormat="1" ht="17.25" customHeight="1">
      <c r="A1705" s="1225">
        <v>5</v>
      </c>
      <c r="B1705" s="1225" t="s">
        <v>1034</v>
      </c>
      <c r="C1705" s="1225" t="s">
        <v>2310</v>
      </c>
      <c r="D1705" s="1225">
        <v>1.34</v>
      </c>
      <c r="E1705" s="1225" t="s">
        <v>1034</v>
      </c>
      <c r="F1705" s="1225">
        <v>6.7</v>
      </c>
    </row>
    <row r="1706" spans="1:10" s="1225" customFormat="1" ht="17.25" customHeight="1">
      <c r="A1706" s="1225">
        <v>10</v>
      </c>
      <c r="B1706" s="1225" t="s">
        <v>1034</v>
      </c>
      <c r="C1706" s="1225" t="s">
        <v>2381</v>
      </c>
      <c r="D1706" s="1225">
        <v>19.75</v>
      </c>
      <c r="E1706" s="1225" t="s">
        <v>1034</v>
      </c>
      <c r="F1706" s="1225">
        <v>197.5</v>
      </c>
    </row>
    <row r="1707" spans="1:10" s="1225" customFormat="1" ht="17.25" customHeight="1">
      <c r="A1707" s="1225">
        <v>5</v>
      </c>
      <c r="B1707" s="1225" t="s">
        <v>1034</v>
      </c>
      <c r="C1707" s="1225" t="s">
        <v>2320</v>
      </c>
      <c r="D1707" s="1225">
        <v>13.8</v>
      </c>
      <c r="E1707" s="1225" t="s">
        <v>1034</v>
      </c>
      <c r="F1707" s="1225">
        <v>69</v>
      </c>
    </row>
    <row r="1708" spans="1:10" s="1225" customFormat="1" ht="17.25" customHeight="1">
      <c r="A1708" s="1225">
        <v>5</v>
      </c>
      <c r="B1708" s="1225" t="s">
        <v>1034</v>
      </c>
      <c r="C1708" s="1225" t="s">
        <v>2322</v>
      </c>
      <c r="D1708" s="1225">
        <v>3.6</v>
      </c>
      <c r="E1708" s="1225" t="s">
        <v>1034</v>
      </c>
      <c r="F1708" s="1225">
        <v>18</v>
      </c>
    </row>
    <row r="1709" spans="1:10" s="1225" customFormat="1" ht="17.25" customHeight="1">
      <c r="A1709" s="1225">
        <v>6</v>
      </c>
      <c r="B1709" s="1225" t="s">
        <v>1034</v>
      </c>
      <c r="C1709" s="1225" t="s">
        <v>2312</v>
      </c>
      <c r="D1709" s="1225">
        <v>58</v>
      </c>
      <c r="E1709" s="1225" t="s">
        <v>1034</v>
      </c>
      <c r="F1709" s="1225">
        <v>348</v>
      </c>
    </row>
    <row r="1710" spans="1:10" s="1225" customFormat="1" ht="17.25" customHeight="1">
      <c r="A1710" s="1225">
        <v>0.09</v>
      </c>
      <c r="B1710" s="1225" t="s">
        <v>724</v>
      </c>
      <c r="C1710" s="1225" t="s">
        <v>2316</v>
      </c>
      <c r="D1710" s="1225">
        <v>661</v>
      </c>
      <c r="E1710" s="1225" t="s">
        <v>724</v>
      </c>
      <c r="F1710" s="1225">
        <v>59.49</v>
      </c>
    </row>
    <row r="1711" spans="1:10" s="1225" customFormat="1" ht="17.25" customHeight="1">
      <c r="A1711" s="2">
        <v>1.25</v>
      </c>
      <c r="B1711" s="2" t="s">
        <v>2324</v>
      </c>
      <c r="C1711" s="2" t="s">
        <v>38</v>
      </c>
      <c r="D1711" s="2">
        <v>302</v>
      </c>
      <c r="E1711" s="2" t="s">
        <v>2324</v>
      </c>
      <c r="F1711" s="2">
        <v>377.5</v>
      </c>
      <c r="G1711" s="2"/>
      <c r="H1711" s="2"/>
      <c r="I1711" s="2"/>
      <c r="J1711" s="2"/>
    </row>
    <row r="1712" spans="1:10" ht="30">
      <c r="A1712" s="2">
        <v>30</v>
      </c>
      <c r="B1712" s="2" t="s">
        <v>13</v>
      </c>
      <c r="C1712" s="2" t="s">
        <v>2329</v>
      </c>
      <c r="D1712" s="2">
        <v>16.55</v>
      </c>
      <c r="E1712" s="2" t="s">
        <v>2330</v>
      </c>
      <c r="F1712" s="2">
        <v>496.5</v>
      </c>
    </row>
    <row r="1713" spans="1:6">
      <c r="C1713" s="2" t="s">
        <v>478</v>
      </c>
      <c r="F1713" s="2">
        <v>11454</v>
      </c>
    </row>
    <row r="1714" spans="1:6">
      <c r="C1714" s="2" t="s">
        <v>1557</v>
      </c>
      <c r="F1714" s="2">
        <v>24.28</v>
      </c>
    </row>
    <row r="1715" spans="1:6">
      <c r="C1715" s="2" t="s">
        <v>2382</v>
      </c>
      <c r="F1715" s="2">
        <v>15171.97</v>
      </c>
    </row>
    <row r="1716" spans="1:6">
      <c r="C1716" s="2" t="s">
        <v>2368</v>
      </c>
      <c r="F1716" s="2">
        <v>3034.39</v>
      </c>
    </row>
    <row r="1719" spans="1:6" ht="15.75">
      <c r="C1719" s="1" t="s">
        <v>2390</v>
      </c>
    </row>
    <row r="1720" spans="1:6" ht="31.5">
      <c r="C1720" s="1" t="s">
        <v>2391</v>
      </c>
    </row>
    <row r="1721" spans="1:6" ht="15.75">
      <c r="C1721" s="1"/>
    </row>
    <row r="1722" spans="1:6" ht="189">
      <c r="C1722" s="1" t="s">
        <v>2392</v>
      </c>
    </row>
    <row r="1724" spans="1:6" ht="30">
      <c r="A1724" s="2">
        <v>5</v>
      </c>
      <c r="B1724" s="2" t="s">
        <v>13</v>
      </c>
      <c r="C1724" s="2" t="s">
        <v>2311</v>
      </c>
      <c r="D1724" s="2">
        <v>16.55</v>
      </c>
      <c r="E1724" s="2" t="s">
        <v>2308</v>
      </c>
      <c r="F1724" s="2">
        <v>82.75</v>
      </c>
    </row>
    <row r="1725" spans="1:6" ht="30">
      <c r="A1725" s="2">
        <v>2.5</v>
      </c>
      <c r="B1725" s="2" t="s">
        <v>13</v>
      </c>
      <c r="C1725" s="2" t="s">
        <v>2313</v>
      </c>
      <c r="D1725" s="2">
        <v>20</v>
      </c>
      <c r="E1725" s="2" t="s">
        <v>13</v>
      </c>
      <c r="F1725" s="2">
        <v>50</v>
      </c>
    </row>
    <row r="1726" spans="1:6" ht="30">
      <c r="A1726" s="2">
        <v>1</v>
      </c>
      <c r="B1726" s="2" t="s">
        <v>1034</v>
      </c>
      <c r="C1726" s="2" t="s">
        <v>2393</v>
      </c>
      <c r="D1726" s="2">
        <v>40.31</v>
      </c>
      <c r="E1726" s="2" t="s">
        <v>1034</v>
      </c>
      <c r="F1726" s="2">
        <v>40.31</v>
      </c>
    </row>
    <row r="1727" spans="1:6">
      <c r="C1727" s="2" t="s">
        <v>478</v>
      </c>
      <c r="F1727" s="2">
        <v>636.33000000000004</v>
      </c>
    </row>
    <row r="1728" spans="1:6">
      <c r="C1728" s="2" t="s">
        <v>1557</v>
      </c>
      <c r="F1728" s="2">
        <v>20.77</v>
      </c>
    </row>
    <row r="1729" spans="1:7">
      <c r="C1729" s="2" t="s">
        <v>2368</v>
      </c>
      <c r="F1729" s="2">
        <v>830.16</v>
      </c>
    </row>
    <row r="1731" spans="1:7">
      <c r="C1731" s="2" t="s">
        <v>2383</v>
      </c>
    </row>
    <row r="1732" spans="1:7" ht="30">
      <c r="C1732" s="2" t="s">
        <v>2384</v>
      </c>
    </row>
    <row r="1734" spans="1:7" ht="189">
      <c r="C1734" s="1" t="s">
        <v>2385</v>
      </c>
    </row>
    <row r="1735" spans="1:7" ht="30">
      <c r="A1735" s="2">
        <v>90</v>
      </c>
      <c r="B1735" s="2" t="s">
        <v>13</v>
      </c>
      <c r="C1735" s="2" t="s">
        <v>2311</v>
      </c>
      <c r="D1735" s="2">
        <v>16.55</v>
      </c>
      <c r="E1735" s="2" t="s">
        <v>2330</v>
      </c>
      <c r="F1735" s="2">
        <v>1489.5</v>
      </c>
    </row>
    <row r="1736" spans="1:7" ht="30">
      <c r="A1736" s="2">
        <v>45</v>
      </c>
      <c r="B1736" s="2" t="s">
        <v>13</v>
      </c>
      <c r="C1736" s="2" t="s">
        <v>2313</v>
      </c>
      <c r="D1736" s="2">
        <v>20</v>
      </c>
      <c r="E1736" s="2" t="s">
        <v>13</v>
      </c>
      <c r="F1736" s="2">
        <v>900</v>
      </c>
    </row>
    <row r="1737" spans="1:7">
      <c r="A1737" s="2">
        <v>20</v>
      </c>
      <c r="B1737" s="2" t="s">
        <v>1034</v>
      </c>
      <c r="C1737" s="2" t="s">
        <v>2317</v>
      </c>
      <c r="D1737" s="2">
        <v>3.15</v>
      </c>
      <c r="E1737" s="2" t="s">
        <v>2315</v>
      </c>
      <c r="F1737" s="2">
        <v>63</v>
      </c>
    </row>
    <row r="1738" spans="1:7">
      <c r="A1738" s="2">
        <v>10</v>
      </c>
      <c r="B1738" s="2" t="s">
        <v>1034</v>
      </c>
      <c r="C1738" s="2" t="s">
        <v>2319</v>
      </c>
      <c r="D1738" s="2">
        <v>1.34</v>
      </c>
      <c r="E1738" s="2" t="s">
        <v>2315</v>
      </c>
      <c r="F1738" s="2">
        <v>13.4</v>
      </c>
    </row>
    <row r="1739" spans="1:7">
      <c r="A1739" s="2">
        <v>1</v>
      </c>
      <c r="B1739" s="2" t="s">
        <v>1034</v>
      </c>
      <c r="C1739" s="2" t="s">
        <v>2312</v>
      </c>
      <c r="D1739" s="2">
        <v>58</v>
      </c>
      <c r="E1739" s="2" t="s">
        <v>1034</v>
      </c>
      <c r="F1739" s="2">
        <v>58</v>
      </c>
    </row>
    <row r="1740" spans="1:7">
      <c r="A1740" s="2">
        <v>1.4999999999999999E-2</v>
      </c>
      <c r="B1740" s="2" t="s">
        <v>724</v>
      </c>
      <c r="C1740" s="2" t="s">
        <v>2386</v>
      </c>
      <c r="D1740" s="2">
        <v>661</v>
      </c>
      <c r="E1740" s="2" t="s">
        <v>724</v>
      </c>
      <c r="F1740" s="2">
        <v>9.92</v>
      </c>
    </row>
    <row r="1741" spans="1:7" ht="30">
      <c r="A1741" s="2">
        <v>15</v>
      </c>
      <c r="B1741" s="2" t="s">
        <v>1034</v>
      </c>
      <c r="C1741" s="2" t="s">
        <v>2387</v>
      </c>
      <c r="D1741" s="2">
        <v>40.31</v>
      </c>
      <c r="E1741" s="2" t="s">
        <v>1034</v>
      </c>
      <c r="F1741" s="2">
        <v>604.65</v>
      </c>
    </row>
    <row r="1742" spans="1:7">
      <c r="A1742" s="2">
        <v>15</v>
      </c>
      <c r="B1742" s="2" t="s">
        <v>1034</v>
      </c>
      <c r="C1742" s="2" t="s">
        <v>2312</v>
      </c>
      <c r="D1742" s="2">
        <v>58</v>
      </c>
      <c r="E1742" s="2" t="s">
        <v>1034</v>
      </c>
      <c r="F1742" s="2">
        <v>870</v>
      </c>
    </row>
    <row r="1743" spans="1:7">
      <c r="A1743" s="2">
        <v>0.22500000000000001</v>
      </c>
      <c r="B1743" s="2" t="s">
        <v>724</v>
      </c>
      <c r="C1743" s="2" t="s">
        <v>2316</v>
      </c>
      <c r="D1743" s="2">
        <v>661</v>
      </c>
      <c r="E1743" s="2" t="s">
        <v>2388</v>
      </c>
      <c r="F1743" s="2">
        <v>148.72999999999999</v>
      </c>
      <c r="G1743" s="2" t="s">
        <v>52</v>
      </c>
    </row>
    <row r="1744" spans="1:7">
      <c r="A1744" s="2">
        <v>1.25</v>
      </c>
      <c r="B1744" s="2" t="s">
        <v>2324</v>
      </c>
      <c r="C1744" s="2" t="s">
        <v>38</v>
      </c>
      <c r="D1744" s="2">
        <v>302</v>
      </c>
      <c r="E1744" s="2" t="s">
        <v>2324</v>
      </c>
      <c r="F1744" s="2">
        <v>377.5</v>
      </c>
    </row>
    <row r="1745" spans="1:6" ht="30">
      <c r="A1745" s="2">
        <v>45</v>
      </c>
      <c r="B1745" s="2" t="s">
        <v>724</v>
      </c>
      <c r="C1745" s="2" t="s">
        <v>2329</v>
      </c>
      <c r="D1745" s="2">
        <v>16.55</v>
      </c>
      <c r="E1745" s="2" t="s">
        <v>2330</v>
      </c>
      <c r="F1745" s="2">
        <v>744.75</v>
      </c>
    </row>
    <row r="1746" spans="1:6">
      <c r="C1746" s="2" t="s">
        <v>478</v>
      </c>
      <c r="F1746" s="2">
        <v>11454</v>
      </c>
    </row>
    <row r="1747" spans="1:6">
      <c r="C1747" s="2" t="s">
        <v>1557</v>
      </c>
      <c r="F1747" s="2">
        <v>65.12</v>
      </c>
    </row>
    <row r="1748" spans="1:6">
      <c r="C1748" s="2" t="s">
        <v>2389</v>
      </c>
      <c r="F1748" s="2">
        <v>16798.57</v>
      </c>
    </row>
    <row r="1749" spans="1:6">
      <c r="C1749" s="2" t="s">
        <v>2368</v>
      </c>
      <c r="F1749" s="2">
        <v>1119.9000000000001</v>
      </c>
    </row>
    <row r="1752" spans="1:6" ht="15.75">
      <c r="C1752" s="1" t="s">
        <v>2394</v>
      </c>
    </row>
    <row r="1753" spans="1:6" ht="15.75">
      <c r="C1753" s="1" t="s">
        <v>2395</v>
      </c>
    </row>
    <row r="1754" spans="1:6" ht="15.75">
      <c r="C1754" s="1"/>
    </row>
    <row r="1755" spans="1:6" ht="60">
      <c r="C1755" s="2" t="s">
        <v>6442</v>
      </c>
    </row>
    <row r="1757" spans="1:6">
      <c r="A1757" s="2">
        <v>1</v>
      </c>
      <c r="B1757" s="2" t="s">
        <v>1034</v>
      </c>
      <c r="C1757" s="2" t="s">
        <v>2397</v>
      </c>
      <c r="D1757" s="2">
        <v>54.5</v>
      </c>
      <c r="E1757" s="2" t="s">
        <v>1034</v>
      </c>
      <c r="F1757" s="2">
        <v>54.5</v>
      </c>
    </row>
    <row r="1758" spans="1:6">
      <c r="A1758" s="2">
        <v>1</v>
      </c>
      <c r="B1758" s="2" t="s">
        <v>1034</v>
      </c>
      <c r="C1758" s="2" t="s">
        <v>2312</v>
      </c>
      <c r="D1758" s="2">
        <v>58</v>
      </c>
      <c r="E1758" s="2" t="s">
        <v>1034</v>
      </c>
      <c r="F1758" s="2">
        <v>58</v>
      </c>
    </row>
    <row r="1759" spans="1:6">
      <c r="A1759" s="2">
        <v>1.4999999999999999E-2</v>
      </c>
      <c r="B1759" s="2" t="s">
        <v>724</v>
      </c>
      <c r="C1759" s="2" t="s">
        <v>2398</v>
      </c>
      <c r="D1759" s="2">
        <v>661</v>
      </c>
      <c r="E1759" s="2" t="s">
        <v>724</v>
      </c>
      <c r="F1759" s="2">
        <v>9.92</v>
      </c>
    </row>
    <row r="1760" spans="1:6" ht="30">
      <c r="A1760" s="2" t="s">
        <v>49</v>
      </c>
      <c r="C1760" s="2" t="s">
        <v>2399</v>
      </c>
      <c r="F1760" s="2">
        <v>12.05</v>
      </c>
    </row>
    <row r="1761" spans="1:6">
      <c r="C1761" s="2" t="s">
        <v>2400</v>
      </c>
      <c r="F1761" s="2">
        <v>134.47</v>
      </c>
    </row>
    <row r="1763" spans="1:6" ht="15.75">
      <c r="C1763" s="1"/>
    </row>
    <row r="1764" spans="1:6" ht="15.75">
      <c r="C1764" s="1" t="s">
        <v>4410</v>
      </c>
    </row>
    <row r="1765" spans="1:6" ht="15.75">
      <c r="A1765" s="1" t="s">
        <v>1684</v>
      </c>
      <c r="B1765" s="1" t="s">
        <v>956</v>
      </c>
      <c r="C1765" s="1" t="s">
        <v>1673</v>
      </c>
    </row>
    <row r="1766" spans="1:6" ht="31.5">
      <c r="A1766" s="1"/>
      <c r="B1766" s="1"/>
      <c r="C1766" s="1" t="s">
        <v>1685</v>
      </c>
    </row>
    <row r="1767" spans="1:6">
      <c r="A1767" s="2">
        <v>393.72</v>
      </c>
      <c r="D1767" s="2" t="s">
        <v>52</v>
      </c>
    </row>
    <row r="1768" spans="1:6">
      <c r="A1768" s="2">
        <v>131.24</v>
      </c>
      <c r="B1768" s="2">
        <v>1</v>
      </c>
      <c r="C1768" s="2" t="s">
        <v>1676</v>
      </c>
      <c r="D1768" s="2">
        <v>58000</v>
      </c>
      <c r="E1768" s="2" t="s">
        <v>11</v>
      </c>
      <c r="F1768" s="2">
        <v>5800</v>
      </c>
    </row>
    <row r="1769" spans="1:6">
      <c r="A1769" s="2">
        <v>0.01</v>
      </c>
      <c r="B1769" s="2" t="s">
        <v>1675</v>
      </c>
      <c r="C1769" s="2" t="s">
        <v>4411</v>
      </c>
      <c r="D1769" s="2">
        <v>71428.570000000007</v>
      </c>
      <c r="E1769" s="2" t="s">
        <v>11</v>
      </c>
      <c r="F1769" s="2">
        <v>71.430000000000007</v>
      </c>
    </row>
    <row r="1770" spans="1:6">
      <c r="A1770" s="2">
        <v>3.5</v>
      </c>
      <c r="B1770" s="2" t="s">
        <v>237</v>
      </c>
      <c r="C1770" s="2" t="s">
        <v>1677</v>
      </c>
      <c r="D1770" s="2">
        <v>903.1</v>
      </c>
      <c r="E1770" s="2" t="s">
        <v>237</v>
      </c>
      <c r="F1770" s="2">
        <v>3160.85</v>
      </c>
    </row>
    <row r="1771" spans="1:6">
      <c r="B1771" s="2" t="s">
        <v>145</v>
      </c>
      <c r="C1771" s="2" t="s">
        <v>146</v>
      </c>
      <c r="E1771" s="2" t="s">
        <v>145</v>
      </c>
      <c r="F1771" s="2">
        <v>0</v>
      </c>
    </row>
    <row r="1772" spans="1:6">
      <c r="F1772" s="2" t="s">
        <v>52</v>
      </c>
    </row>
    <row r="1773" spans="1:6">
      <c r="C1773" s="2" t="s">
        <v>1680</v>
      </c>
      <c r="F1773" s="2">
        <v>9032.2800000000007</v>
      </c>
    </row>
    <row r="1775" spans="1:6">
      <c r="C1775" s="2" t="s">
        <v>1681</v>
      </c>
      <c r="F1775" s="2">
        <v>90322.8</v>
      </c>
    </row>
    <row r="1777" spans="1:6" ht="15.75">
      <c r="A1777" s="1">
        <v>44.1</v>
      </c>
      <c r="B1777" s="1" t="s">
        <v>111</v>
      </c>
      <c r="C1777" s="1" t="s">
        <v>1687</v>
      </c>
    </row>
    <row r="1778" spans="1:6" ht="15.75">
      <c r="A1778" s="1"/>
      <c r="B1778" s="1"/>
      <c r="C1778" s="1" t="s">
        <v>1688</v>
      </c>
    </row>
    <row r="1779" spans="1:6" ht="15.75">
      <c r="A1779" s="1"/>
      <c r="B1779" s="1"/>
      <c r="C1779" s="1" t="s">
        <v>6436</v>
      </c>
    </row>
    <row r="1780" spans="1:6" ht="15.75">
      <c r="A1780" s="1"/>
      <c r="B1780" s="1"/>
      <c r="C1780" s="1" t="s">
        <v>52</v>
      </c>
    </row>
    <row r="1781" spans="1:6">
      <c r="A1781" s="2">
        <v>3</v>
      </c>
      <c r="B1781" s="2" t="s">
        <v>282</v>
      </c>
      <c r="C1781" s="2" t="s">
        <v>1690</v>
      </c>
      <c r="D1781" s="2">
        <v>120.54</v>
      </c>
      <c r="E1781" s="2" t="s">
        <v>131</v>
      </c>
      <c r="F1781" s="2">
        <v>361.62</v>
      </c>
    </row>
    <row r="1782" spans="1:6">
      <c r="A1782" s="2">
        <v>1</v>
      </c>
      <c r="B1782" s="2" t="s">
        <v>131</v>
      </c>
      <c r="C1782" s="2" t="s">
        <v>1691</v>
      </c>
      <c r="D1782" s="2">
        <v>76.78</v>
      </c>
      <c r="E1782" s="2" t="s">
        <v>131</v>
      </c>
      <c r="F1782" s="2">
        <v>76.78</v>
      </c>
    </row>
    <row r="1783" spans="1:6">
      <c r="A1783" s="2">
        <v>1</v>
      </c>
      <c r="B1783" s="2" t="s">
        <v>131</v>
      </c>
      <c r="C1783" s="2" t="s">
        <v>1692</v>
      </c>
      <c r="D1783" s="2">
        <v>83.4</v>
      </c>
      <c r="E1783" s="2" t="s">
        <v>131</v>
      </c>
      <c r="F1783" s="2">
        <v>83.4</v>
      </c>
    </row>
    <row r="1784" spans="1:6">
      <c r="A1784" s="2">
        <v>2</v>
      </c>
      <c r="B1784" s="2" t="s">
        <v>3081</v>
      </c>
      <c r="C1784" s="2" t="s">
        <v>4413</v>
      </c>
      <c r="D1784" s="2">
        <v>12</v>
      </c>
      <c r="E1784" s="2" t="s">
        <v>131</v>
      </c>
      <c r="F1784" s="2">
        <v>24</v>
      </c>
    </row>
    <row r="1785" spans="1:6">
      <c r="A1785" s="2">
        <v>1</v>
      </c>
      <c r="B1785" s="2" t="s">
        <v>3081</v>
      </c>
      <c r="C1785" s="2" t="s">
        <v>1694</v>
      </c>
      <c r="D1785" s="2">
        <v>32.1</v>
      </c>
      <c r="E1785" s="2" t="s">
        <v>145</v>
      </c>
      <c r="F1785" s="2">
        <v>32.1</v>
      </c>
    </row>
    <row r="1786" spans="1:6">
      <c r="A1786" s="2">
        <v>0.5</v>
      </c>
      <c r="B1786" s="2" t="s">
        <v>3081</v>
      </c>
      <c r="C1786" s="2" t="s">
        <v>1695</v>
      </c>
      <c r="D1786" s="2">
        <v>903.1</v>
      </c>
      <c r="F1786" s="2">
        <v>451.55</v>
      </c>
    </row>
    <row r="1787" spans="1:6">
      <c r="B1787" s="2" t="s">
        <v>3081</v>
      </c>
      <c r="C1787" s="2" t="s">
        <v>1696</v>
      </c>
      <c r="D1787" s="2">
        <v>0</v>
      </c>
    </row>
    <row r="1788" spans="1:6">
      <c r="C1788" s="2" t="s">
        <v>1697</v>
      </c>
      <c r="F1788" s="2">
        <v>31.68</v>
      </c>
    </row>
    <row r="1790" spans="1:6">
      <c r="C1790" s="2" t="s">
        <v>1698</v>
      </c>
      <c r="F1790" s="2">
        <v>1061.1300000000001</v>
      </c>
    </row>
    <row r="1792" spans="1:6">
      <c r="F1792" s="2" t="s">
        <v>52</v>
      </c>
    </row>
    <row r="1793" spans="1:6">
      <c r="C1793" s="2" t="s">
        <v>632</v>
      </c>
      <c r="F1793" s="2">
        <v>353.71</v>
      </c>
    </row>
    <row r="1796" spans="1:6" ht="63">
      <c r="A1796" s="1">
        <v>45</v>
      </c>
      <c r="B1796" s="1"/>
      <c r="C1796" s="1" t="s">
        <v>5161</v>
      </c>
    </row>
    <row r="1799" spans="1:6" ht="30">
      <c r="A1799" s="2">
        <v>0.15</v>
      </c>
      <c r="B1799" s="2" t="s">
        <v>132</v>
      </c>
      <c r="C1799" s="2" t="s">
        <v>5162</v>
      </c>
      <c r="D1799" s="2">
        <v>2573.4499999999998</v>
      </c>
      <c r="E1799" s="2" t="s">
        <v>132</v>
      </c>
      <c r="F1799" s="2">
        <v>386.02</v>
      </c>
    </row>
    <row r="1800" spans="1:6">
      <c r="A1800" s="2">
        <v>7.1999999999999995E-2</v>
      </c>
      <c r="B1800" s="2" t="s">
        <v>122</v>
      </c>
      <c r="C1800" s="2" t="s">
        <v>123</v>
      </c>
      <c r="D1800" s="2">
        <v>6040</v>
      </c>
      <c r="E1800" s="2" t="s">
        <v>122</v>
      </c>
      <c r="F1800" s="2">
        <v>434.88</v>
      </c>
    </row>
    <row r="1801" spans="1:6">
      <c r="A1801" s="2">
        <v>1.6</v>
      </c>
      <c r="B1801" s="2" t="s">
        <v>237</v>
      </c>
      <c r="C1801" s="2" t="s">
        <v>345</v>
      </c>
      <c r="D1801" s="2">
        <v>1041.7</v>
      </c>
      <c r="E1801" s="2" t="s">
        <v>237</v>
      </c>
      <c r="F1801" s="2">
        <v>1666.72</v>
      </c>
    </row>
    <row r="1802" spans="1:6">
      <c r="A1802" s="2">
        <v>0.5</v>
      </c>
      <c r="B1802" s="2" t="s">
        <v>237</v>
      </c>
      <c r="C1802" s="2" t="s">
        <v>304</v>
      </c>
      <c r="D1802" s="2">
        <v>679.8</v>
      </c>
      <c r="E1802" s="2" t="s">
        <v>237</v>
      </c>
      <c r="F1802" s="2">
        <v>339.9</v>
      </c>
    </row>
    <row r="1803" spans="1:6">
      <c r="A1803" s="2">
        <v>1.1000000000000001</v>
      </c>
      <c r="B1803" s="2" t="s">
        <v>237</v>
      </c>
      <c r="C1803" s="2" t="s">
        <v>306</v>
      </c>
      <c r="D1803" s="2">
        <v>557.70000000000005</v>
      </c>
      <c r="E1803" s="2" t="s">
        <v>237</v>
      </c>
      <c r="F1803" s="2">
        <v>613.47</v>
      </c>
    </row>
    <row r="1804" spans="1:6">
      <c r="A1804" s="2">
        <v>14.5</v>
      </c>
      <c r="B1804" s="2" t="s">
        <v>1791</v>
      </c>
      <c r="C1804" s="2" t="s">
        <v>5163</v>
      </c>
      <c r="D1804" s="2">
        <v>24.93</v>
      </c>
      <c r="E1804" s="2" t="s">
        <v>1791</v>
      </c>
      <c r="F1804" s="2">
        <v>361.49</v>
      </c>
    </row>
    <row r="1805" spans="1:6">
      <c r="B1805" s="2" t="s">
        <v>49</v>
      </c>
      <c r="C1805" s="2" t="s">
        <v>146</v>
      </c>
      <c r="E1805" s="2" t="s">
        <v>49</v>
      </c>
      <c r="F1805" s="2">
        <v>7</v>
      </c>
    </row>
    <row r="1807" spans="1:6">
      <c r="C1807" s="2" t="s">
        <v>495</v>
      </c>
      <c r="F1807" s="2">
        <v>3809.48</v>
      </c>
    </row>
    <row r="1808" spans="1:6">
      <c r="C1808" s="2" t="s">
        <v>460</v>
      </c>
      <c r="F1808" s="2">
        <v>380.95</v>
      </c>
    </row>
    <row r="1810" spans="1:6" ht="15.75">
      <c r="C1810" s="1" t="s">
        <v>2960</v>
      </c>
    </row>
    <row r="1811" spans="1:6">
      <c r="A1811" s="2">
        <v>1</v>
      </c>
      <c r="B1811" s="2" t="s">
        <v>1034</v>
      </c>
      <c r="C1811" s="2" t="s">
        <v>2961</v>
      </c>
      <c r="D1811" s="2">
        <v>7000</v>
      </c>
      <c r="E1811" s="2" t="s">
        <v>2962</v>
      </c>
      <c r="F1811" s="2">
        <v>7000</v>
      </c>
    </row>
    <row r="1812" spans="1:6">
      <c r="A1812" s="2">
        <v>2</v>
      </c>
      <c r="B1812" s="2" t="s">
        <v>1521</v>
      </c>
      <c r="C1812" s="2" t="s">
        <v>2678</v>
      </c>
      <c r="D1812" s="2">
        <v>35</v>
      </c>
      <c r="E1812" s="2" t="s">
        <v>1521</v>
      </c>
      <c r="F1812" s="2">
        <v>70</v>
      </c>
    </row>
    <row r="1813" spans="1:6" ht="45">
      <c r="A1813" s="2">
        <v>1</v>
      </c>
      <c r="B1813" s="2" t="s">
        <v>1034</v>
      </c>
      <c r="C1813" s="2" t="s">
        <v>2683</v>
      </c>
      <c r="D1813" s="2">
        <v>1690</v>
      </c>
      <c r="E1813" s="2" t="s">
        <v>729</v>
      </c>
      <c r="F1813" s="2">
        <v>1690</v>
      </c>
    </row>
    <row r="1814" spans="1:6" ht="30">
      <c r="C1814" s="2" t="s">
        <v>2684</v>
      </c>
      <c r="D1814" s="2" t="s">
        <v>49</v>
      </c>
      <c r="F1814" s="2">
        <v>17.329999999999998</v>
      </c>
    </row>
    <row r="1815" spans="1:6">
      <c r="C1815" s="2" t="s">
        <v>2058</v>
      </c>
      <c r="F1815" s="2">
        <v>8777.33</v>
      </c>
    </row>
    <row r="4048" s="1" customFormat="1" ht="15.75"/>
    <row r="9701" spans="3:3" ht="15.75">
      <c r="C9701" s="1"/>
    </row>
    <row r="9702" spans="3:3" ht="15.75">
      <c r="C9702" s="1"/>
    </row>
    <row r="9703" spans="3:3" ht="15.75">
      <c r="C9703" s="1"/>
    </row>
    <row r="9815" spans="1:7">
      <c r="A9815" s="1735"/>
      <c r="B9815" s="1735"/>
      <c r="C9815" s="1735"/>
      <c r="D9815" s="1735"/>
      <c r="E9815" s="1735"/>
      <c r="F9815" s="1735"/>
      <c r="G9815" s="1735"/>
    </row>
    <row r="9817" spans="1:7">
      <c r="A9817" s="1735"/>
      <c r="B9817" s="1735"/>
      <c r="C9817" s="1735"/>
      <c r="D9817" s="1735"/>
      <c r="E9817" s="1735"/>
      <c r="F9817" s="1735"/>
      <c r="G9817" s="1735"/>
    </row>
    <row r="9834" spans="1:7">
      <c r="A9834" s="2">
        <f>'pile data '!A265</f>
        <v>0</v>
      </c>
      <c r="B9834" s="2">
        <f>'pile data '!B265</f>
        <v>0</v>
      </c>
      <c r="C9834" s="2">
        <f>'pile data '!C265</f>
        <v>0</v>
      </c>
      <c r="D9834" s="2">
        <f>'pile data '!D265</f>
        <v>0</v>
      </c>
      <c r="E9834" s="2">
        <f>'pile data '!E265</f>
        <v>0</v>
      </c>
      <c r="F9834" s="2">
        <f>'pile data '!F265</f>
        <v>0</v>
      </c>
      <c r="G9834" s="2">
        <f>'pile data '!G265</f>
        <v>0</v>
      </c>
    </row>
  </sheetData>
  <mergeCells count="2">
    <mergeCell ref="A9815:G9815"/>
    <mergeCell ref="A9817:G9817"/>
  </mergeCells>
  <printOptions horizontalCentered="1"/>
  <pageMargins left="0.5" right="0.5" top="0.5" bottom="0.5" header="0.3" footer="0.3"/>
  <pageSetup paperSize="9" scale="70" orientation="portrait" r:id="rId1"/>
</worksheet>
</file>

<file path=xl/worksheets/sheet2.xml><?xml version="1.0" encoding="utf-8"?>
<worksheet xmlns="http://schemas.openxmlformats.org/spreadsheetml/2006/main" xmlns:r="http://schemas.openxmlformats.org/officeDocument/2006/relationships">
  <sheetPr codeName="Sheet1"/>
  <dimension ref="A1:K38"/>
  <sheetViews>
    <sheetView workbookViewId="0">
      <pane ySplit="1" topLeftCell="A13" activePane="bottomLeft" state="frozen"/>
      <selection pane="bottomLeft" activeCell="D2" sqref="D2:D15"/>
    </sheetView>
  </sheetViews>
  <sheetFormatPr defaultRowHeight="15.75"/>
  <cols>
    <col min="1" max="1" width="7.33203125" style="1206" customWidth="1"/>
    <col min="2" max="2" width="19.33203125" customWidth="1"/>
    <col min="5" max="8" width="8.88671875" style="1207" customWidth="1"/>
    <col min="9" max="9" width="8.88671875" bestFit="1" customWidth="1"/>
    <col min="10" max="10" width="8.88671875" style="1418" customWidth="1"/>
    <col min="11" max="11" width="8.88671875" style="1208" bestFit="1" customWidth="1"/>
  </cols>
  <sheetData>
    <row r="1" spans="1:11" ht="19.5">
      <c r="A1" s="1419" t="s">
        <v>6453</v>
      </c>
      <c r="B1" s="1420" t="s">
        <v>7418</v>
      </c>
      <c r="C1" s="1420"/>
      <c r="D1" s="1420"/>
      <c r="E1" s="1421" t="s">
        <v>6970</v>
      </c>
      <c r="F1" s="1421" t="s">
        <v>54</v>
      </c>
      <c r="G1" s="1421" t="s">
        <v>55</v>
      </c>
      <c r="H1" s="1421" t="s">
        <v>56</v>
      </c>
      <c r="I1" s="1420" t="s">
        <v>54</v>
      </c>
      <c r="J1" s="1422" t="s">
        <v>7414</v>
      </c>
      <c r="K1" s="1423" t="s">
        <v>7415</v>
      </c>
    </row>
    <row r="2" spans="1:11" ht="27" customHeight="1">
      <c r="A2" s="1419">
        <v>1</v>
      </c>
      <c r="B2" s="1420" t="s">
        <v>3396</v>
      </c>
      <c r="C2" s="1420">
        <v>1.2</v>
      </c>
      <c r="D2" s="1420">
        <v>2.1</v>
      </c>
      <c r="E2" s="1421">
        <v>1</v>
      </c>
      <c r="F2" s="1421"/>
      <c r="G2" s="1421"/>
      <c r="H2" s="1421">
        <v>3</v>
      </c>
      <c r="I2" s="1421">
        <v>3</v>
      </c>
      <c r="J2" s="1421"/>
      <c r="K2" s="1424">
        <f>SUM(E2:J2)</f>
        <v>7</v>
      </c>
    </row>
    <row r="3" spans="1:11" ht="19.5">
      <c r="A3" s="1419">
        <v>2</v>
      </c>
      <c r="B3" s="1420" t="s">
        <v>3363</v>
      </c>
      <c r="C3" s="1420">
        <v>1</v>
      </c>
      <c r="D3" s="1420">
        <v>2.1</v>
      </c>
      <c r="E3" s="1421">
        <v>1</v>
      </c>
      <c r="F3" s="1421">
        <v>5</v>
      </c>
      <c r="G3" s="1421">
        <v>9</v>
      </c>
      <c r="H3" s="1421">
        <v>9</v>
      </c>
      <c r="I3" s="1421">
        <v>6</v>
      </c>
      <c r="J3" s="1421">
        <v>1</v>
      </c>
      <c r="K3" s="1424">
        <f>SUM(E3:J3)</f>
        <v>31</v>
      </c>
    </row>
    <row r="4" spans="1:11" ht="27" customHeight="1">
      <c r="A4" s="1419">
        <v>3</v>
      </c>
      <c r="B4" s="1420" t="s">
        <v>3398</v>
      </c>
      <c r="C4" s="1420">
        <v>0.9</v>
      </c>
      <c r="D4" s="1420">
        <v>2.1</v>
      </c>
      <c r="E4" s="1421">
        <v>1</v>
      </c>
      <c r="F4" s="1421">
        <v>1</v>
      </c>
      <c r="G4" s="1421">
        <v>1</v>
      </c>
      <c r="H4" s="1421">
        <v>1</v>
      </c>
      <c r="I4" s="1421"/>
      <c r="J4" s="1421"/>
      <c r="K4" s="1424">
        <f>SUM(E4:J4)</f>
        <v>4</v>
      </c>
    </row>
    <row r="5" spans="1:11" ht="27" customHeight="1">
      <c r="A5" s="1419">
        <v>4</v>
      </c>
      <c r="B5" s="1420" t="s">
        <v>3407</v>
      </c>
      <c r="C5" s="1420">
        <v>0.75</v>
      </c>
      <c r="D5" s="1420">
        <v>2.1</v>
      </c>
      <c r="E5" s="1421">
        <v>2</v>
      </c>
      <c r="F5" s="1421">
        <v>6</v>
      </c>
      <c r="G5" s="1421">
        <v>14</v>
      </c>
      <c r="H5" s="1421">
        <v>13</v>
      </c>
      <c r="I5" s="1421">
        <v>9</v>
      </c>
      <c r="J5" s="1421"/>
      <c r="K5" s="1424">
        <f t="shared" ref="K5:K15" si="0">SUM(E5:J5)</f>
        <v>44</v>
      </c>
    </row>
    <row r="6" spans="1:11" ht="27" customHeight="1">
      <c r="A6" s="1419">
        <v>5</v>
      </c>
      <c r="B6" s="1420" t="s">
        <v>3497</v>
      </c>
      <c r="C6" s="1420">
        <v>1.8</v>
      </c>
      <c r="D6" s="1420">
        <v>2</v>
      </c>
      <c r="E6" s="1421">
        <v>1</v>
      </c>
      <c r="F6" s="1421">
        <v>1</v>
      </c>
      <c r="G6" s="1421">
        <v>1</v>
      </c>
      <c r="H6" s="1421">
        <v>1</v>
      </c>
      <c r="I6" s="1421">
        <v>1</v>
      </c>
      <c r="J6" s="1421">
        <v>1</v>
      </c>
      <c r="K6" s="1424">
        <f t="shared" si="0"/>
        <v>6</v>
      </c>
    </row>
    <row r="7" spans="1:11" ht="27" customHeight="1">
      <c r="A7" s="1419">
        <v>6</v>
      </c>
      <c r="B7" s="1420" t="s">
        <v>3414</v>
      </c>
      <c r="C7" s="1420">
        <v>1.8</v>
      </c>
      <c r="D7" s="1420">
        <v>1.35</v>
      </c>
      <c r="E7" s="1421">
        <v>7</v>
      </c>
      <c r="F7" s="1421">
        <v>8</v>
      </c>
      <c r="G7" s="1421">
        <v>15</v>
      </c>
      <c r="H7" s="1421">
        <v>13</v>
      </c>
      <c r="I7" s="1421">
        <v>14</v>
      </c>
      <c r="J7" s="1421">
        <v>1</v>
      </c>
      <c r="K7" s="1424">
        <f t="shared" si="0"/>
        <v>58</v>
      </c>
    </row>
    <row r="8" spans="1:11" ht="27" customHeight="1">
      <c r="A8" s="1419">
        <v>7</v>
      </c>
      <c r="B8" s="1420" t="s">
        <v>3400</v>
      </c>
      <c r="C8" s="1420">
        <v>1.5</v>
      </c>
      <c r="D8" s="1420">
        <v>0.6</v>
      </c>
      <c r="E8" s="1421">
        <v>1</v>
      </c>
      <c r="F8" s="1421"/>
      <c r="G8" s="1421"/>
      <c r="H8" s="1421"/>
      <c r="I8" s="1421"/>
      <c r="J8" s="1421"/>
      <c r="K8" s="1424">
        <f t="shared" si="0"/>
        <v>1</v>
      </c>
    </row>
    <row r="9" spans="1:11" ht="27" customHeight="1">
      <c r="A9" s="1419">
        <v>8</v>
      </c>
      <c r="B9" s="1420" t="s">
        <v>6964</v>
      </c>
      <c r="C9" s="1420">
        <v>0.9</v>
      </c>
      <c r="D9" s="1420">
        <v>0.6</v>
      </c>
      <c r="E9" s="1421">
        <v>2</v>
      </c>
      <c r="F9" s="1421"/>
      <c r="G9" s="1421">
        <v>2</v>
      </c>
      <c r="H9" s="1421">
        <v>3</v>
      </c>
      <c r="I9" s="1421">
        <v>3</v>
      </c>
      <c r="J9" s="1421"/>
      <c r="K9" s="1424">
        <f t="shared" si="0"/>
        <v>10</v>
      </c>
    </row>
    <row r="10" spans="1:11" ht="27" customHeight="1">
      <c r="A10" s="1419">
        <v>9</v>
      </c>
      <c r="B10" s="1420" t="s">
        <v>3401</v>
      </c>
      <c r="C10" s="1420">
        <v>0.75</v>
      </c>
      <c r="D10" s="1420">
        <v>0.6</v>
      </c>
      <c r="E10" s="1421">
        <v>2</v>
      </c>
      <c r="F10" s="1421">
        <v>7</v>
      </c>
      <c r="G10" s="1421">
        <v>12</v>
      </c>
      <c r="H10" s="1421">
        <v>9</v>
      </c>
      <c r="I10" s="1421">
        <v>12</v>
      </c>
      <c r="J10" s="1421"/>
      <c r="K10" s="1424">
        <f>SUM(E10:J10)</f>
        <v>42</v>
      </c>
    </row>
    <row r="11" spans="1:11" ht="27" customHeight="1">
      <c r="A11" s="1419">
        <v>10</v>
      </c>
      <c r="B11" s="1420" t="s">
        <v>7412</v>
      </c>
      <c r="C11" s="1420">
        <v>0.9</v>
      </c>
      <c r="D11" s="1420">
        <v>2.1</v>
      </c>
      <c r="E11" s="1421">
        <v>1</v>
      </c>
      <c r="F11" s="1421"/>
      <c r="G11" s="1421"/>
      <c r="H11" s="1421"/>
      <c r="I11" s="1421"/>
      <c r="J11" s="1421"/>
      <c r="K11" s="1424">
        <f t="shared" si="0"/>
        <v>1</v>
      </c>
    </row>
    <row r="12" spans="1:11" ht="27" customHeight="1">
      <c r="A12" s="1419">
        <v>11</v>
      </c>
      <c r="B12" s="1420" t="s">
        <v>6968</v>
      </c>
      <c r="C12" s="1420">
        <v>1.5</v>
      </c>
      <c r="D12" s="1420">
        <v>1.05</v>
      </c>
      <c r="E12" s="1421"/>
      <c r="F12" s="1421"/>
      <c r="G12" s="1421"/>
      <c r="H12" s="1421">
        <v>1</v>
      </c>
      <c r="I12" s="1421"/>
      <c r="J12" s="1421"/>
      <c r="K12" s="1424">
        <f t="shared" si="0"/>
        <v>1</v>
      </c>
    </row>
    <row r="13" spans="1:11" ht="27" customHeight="1">
      <c r="A13" s="1419">
        <v>12</v>
      </c>
      <c r="B13" s="1420" t="s">
        <v>7413</v>
      </c>
      <c r="C13" s="1420">
        <v>0.9</v>
      </c>
      <c r="D13" s="1420">
        <v>2</v>
      </c>
      <c r="E13" s="1421"/>
      <c r="F13" s="1421">
        <v>1</v>
      </c>
      <c r="G13" s="1421">
        <v>1</v>
      </c>
      <c r="H13" s="1421">
        <v>1</v>
      </c>
      <c r="I13" s="1421">
        <v>1</v>
      </c>
      <c r="J13" s="1421"/>
      <c r="K13" s="1424">
        <f t="shared" si="0"/>
        <v>4</v>
      </c>
    </row>
    <row r="14" spans="1:11" ht="27" customHeight="1">
      <c r="A14" s="1419">
        <v>13</v>
      </c>
      <c r="B14" s="1420" t="s">
        <v>6969</v>
      </c>
      <c r="C14" s="1420">
        <v>0.9</v>
      </c>
      <c r="D14" s="1420">
        <v>1.35</v>
      </c>
      <c r="E14" s="1421"/>
      <c r="F14" s="1421"/>
      <c r="G14" s="1421"/>
      <c r="H14" s="1421"/>
      <c r="I14" s="1421"/>
      <c r="J14" s="1421"/>
      <c r="K14" s="1424">
        <f t="shared" si="0"/>
        <v>0</v>
      </c>
    </row>
    <row r="15" spans="1:11" ht="27" customHeight="1">
      <c r="A15" s="1419">
        <v>14</v>
      </c>
      <c r="B15" s="1420" t="s">
        <v>3399</v>
      </c>
      <c r="C15" s="1420">
        <v>1</v>
      </c>
      <c r="D15" s="1420">
        <v>2.1</v>
      </c>
      <c r="E15" s="1421"/>
      <c r="F15" s="1421"/>
      <c r="G15" s="1421"/>
      <c r="H15" s="1421"/>
      <c r="I15" s="1421"/>
      <c r="J15" s="1421"/>
      <c r="K15" s="1424">
        <f t="shared" si="0"/>
        <v>0</v>
      </c>
    </row>
    <row r="16" spans="1:11" ht="27" customHeight="1">
      <c r="A16" s="1419"/>
      <c r="B16" s="1420"/>
      <c r="C16" s="1420"/>
      <c r="D16" s="1420"/>
      <c r="E16" s="1421"/>
      <c r="F16" s="1421"/>
      <c r="G16" s="1421"/>
      <c r="H16" s="1421"/>
      <c r="I16" s="1421"/>
      <c r="J16" s="1421"/>
      <c r="K16" s="1424"/>
    </row>
    <row r="17" spans="1:11" ht="27" customHeight="1">
      <c r="A17" s="1737" t="s">
        <v>7419</v>
      </c>
      <c r="B17" s="1737"/>
      <c r="C17" s="1737"/>
      <c r="D17" s="1737"/>
      <c r="E17" s="1421"/>
      <c r="F17" s="1421"/>
      <c r="G17" s="1421"/>
      <c r="H17" s="1421"/>
      <c r="I17" s="1421"/>
      <c r="J17" s="1421"/>
      <c r="K17" s="1424"/>
    </row>
    <row r="18" spans="1:11" ht="27" customHeight="1">
      <c r="A18" s="1419">
        <v>1</v>
      </c>
      <c r="B18" s="1736" t="s">
        <v>6984</v>
      </c>
      <c r="C18" s="1736"/>
      <c r="D18" s="1736"/>
      <c r="E18" s="1421">
        <v>1</v>
      </c>
      <c r="F18" s="1421">
        <v>2</v>
      </c>
      <c r="G18" s="1421">
        <v>2</v>
      </c>
      <c r="H18" s="1421">
        <v>2</v>
      </c>
      <c r="I18" s="1421">
        <v>2</v>
      </c>
      <c r="J18" s="1421"/>
      <c r="K18" s="1424">
        <f>SUM(E18:J18)</f>
        <v>9</v>
      </c>
    </row>
    <row r="19" spans="1:11" ht="27" customHeight="1">
      <c r="A19" s="1419">
        <v>2</v>
      </c>
      <c r="B19" s="1736" t="s">
        <v>6985</v>
      </c>
      <c r="C19" s="1736"/>
      <c r="D19" s="1736"/>
      <c r="E19" s="1421"/>
      <c r="F19" s="1421">
        <v>4</v>
      </c>
      <c r="G19" s="1421">
        <v>9</v>
      </c>
      <c r="H19" s="1421">
        <v>6</v>
      </c>
      <c r="I19" s="1421">
        <v>3</v>
      </c>
      <c r="J19" s="1421"/>
      <c r="K19" s="1424">
        <f t="shared" ref="K19:K24" si="1">SUM(E19:J19)</f>
        <v>22</v>
      </c>
    </row>
    <row r="20" spans="1:11" ht="27" customHeight="1">
      <c r="A20" s="1419">
        <v>3</v>
      </c>
      <c r="B20" s="1736" t="s">
        <v>6986</v>
      </c>
      <c r="C20" s="1736"/>
      <c r="D20" s="1736"/>
      <c r="E20" s="1421">
        <v>1</v>
      </c>
      <c r="F20" s="1421">
        <v>5</v>
      </c>
      <c r="G20" s="1421">
        <v>10</v>
      </c>
      <c r="H20" s="1421">
        <v>8</v>
      </c>
      <c r="I20" s="1421">
        <v>5</v>
      </c>
      <c r="J20" s="1421"/>
      <c r="K20" s="1424">
        <f t="shared" si="1"/>
        <v>29</v>
      </c>
    </row>
    <row r="21" spans="1:11" ht="27" customHeight="1">
      <c r="A21" s="1419">
        <v>4</v>
      </c>
      <c r="B21" s="1736" t="s">
        <v>7416</v>
      </c>
      <c r="C21" s="1736"/>
      <c r="D21" s="1736"/>
      <c r="E21" s="1421">
        <v>1</v>
      </c>
      <c r="F21" s="1421"/>
      <c r="G21" s="1421"/>
      <c r="H21" s="1421">
        <v>1</v>
      </c>
      <c r="I21" s="1421">
        <v>1</v>
      </c>
      <c r="J21" s="1421"/>
      <c r="K21" s="1424">
        <f t="shared" si="1"/>
        <v>3</v>
      </c>
    </row>
    <row r="22" spans="1:11" ht="27" customHeight="1">
      <c r="A22" s="1419">
        <v>5</v>
      </c>
      <c r="B22" s="1736" t="s">
        <v>7417</v>
      </c>
      <c r="C22" s="1736"/>
      <c r="D22" s="1736"/>
      <c r="E22" s="1421"/>
      <c r="F22" s="1421">
        <v>3</v>
      </c>
      <c r="G22" s="1421">
        <v>3</v>
      </c>
      <c r="H22" s="1421">
        <v>3</v>
      </c>
      <c r="I22" s="1421">
        <v>3</v>
      </c>
      <c r="J22" s="1421"/>
      <c r="K22" s="1424">
        <f t="shared" si="1"/>
        <v>12</v>
      </c>
    </row>
    <row r="23" spans="1:11" ht="27" customHeight="1">
      <c r="A23" s="1419">
        <v>6</v>
      </c>
      <c r="B23" s="1736" t="s">
        <v>7420</v>
      </c>
      <c r="C23" s="1736"/>
      <c r="D23" s="1736"/>
      <c r="E23" s="1421">
        <v>3</v>
      </c>
      <c r="F23" s="1421">
        <v>6</v>
      </c>
      <c r="G23" s="1421">
        <v>15</v>
      </c>
      <c r="H23" s="1421">
        <v>14</v>
      </c>
      <c r="I23" s="1421">
        <v>10</v>
      </c>
      <c r="J23" s="1421">
        <v>1</v>
      </c>
      <c r="K23" s="1424">
        <f t="shared" si="1"/>
        <v>49</v>
      </c>
    </row>
    <row r="24" spans="1:11" ht="27" customHeight="1">
      <c r="A24" s="1419">
        <v>7</v>
      </c>
      <c r="B24" s="1736" t="s">
        <v>7421</v>
      </c>
      <c r="C24" s="1736"/>
      <c r="D24" s="1736"/>
      <c r="E24" s="1421">
        <v>2</v>
      </c>
      <c r="F24" s="1421">
        <v>6</v>
      </c>
      <c r="G24" s="1421">
        <v>14</v>
      </c>
      <c r="H24" s="1421">
        <v>13</v>
      </c>
      <c r="I24" s="1421">
        <v>9</v>
      </c>
      <c r="J24" s="1421">
        <v>1</v>
      </c>
      <c r="K24" s="1424">
        <f t="shared" si="1"/>
        <v>45</v>
      </c>
    </row>
    <row r="25" spans="1:11" ht="27" customHeight="1">
      <c r="A25" s="1419">
        <v>8</v>
      </c>
      <c r="B25" s="1420"/>
      <c r="C25" s="1420"/>
      <c r="D25" s="1420"/>
      <c r="E25" s="1421">
        <f t="shared" ref="E25:J25" si="2">SUM(E23:E24)</f>
        <v>5</v>
      </c>
      <c r="F25" s="1421">
        <f t="shared" si="2"/>
        <v>12</v>
      </c>
      <c r="G25" s="1421">
        <f t="shared" si="2"/>
        <v>29</v>
      </c>
      <c r="H25" s="1421">
        <f t="shared" si="2"/>
        <v>27</v>
      </c>
      <c r="I25" s="1421">
        <f t="shared" si="2"/>
        <v>19</v>
      </c>
      <c r="J25" s="1421">
        <f t="shared" si="2"/>
        <v>2</v>
      </c>
      <c r="K25" s="1424"/>
    </row>
    <row r="26" spans="1:11" ht="27" customHeight="1">
      <c r="A26" s="1419">
        <v>9</v>
      </c>
      <c r="B26" s="1420"/>
      <c r="C26" s="1420"/>
      <c r="D26" s="1420"/>
      <c r="E26" s="1421"/>
      <c r="F26" s="1421"/>
      <c r="G26" s="1421"/>
      <c r="H26" s="1421"/>
      <c r="I26" s="1421"/>
      <c r="J26" s="1421"/>
      <c r="K26" s="1424"/>
    </row>
    <row r="27" spans="1:11" ht="27" customHeight="1">
      <c r="A27" s="1419">
        <v>10</v>
      </c>
      <c r="B27" s="1420"/>
      <c r="C27" s="1420"/>
      <c r="D27" s="1420"/>
      <c r="E27" s="1421"/>
      <c r="F27" s="1421"/>
      <c r="G27" s="1421"/>
      <c r="H27" s="1421"/>
      <c r="I27" s="1421"/>
      <c r="J27" s="1421"/>
      <c r="K27" s="1424"/>
    </row>
    <row r="28" spans="1:11" ht="27" customHeight="1">
      <c r="A28" s="1419">
        <v>11</v>
      </c>
      <c r="B28" s="1420"/>
      <c r="C28" s="1420"/>
      <c r="D28" s="1420"/>
      <c r="E28" s="1421"/>
      <c r="F28" s="1421"/>
      <c r="G28" s="1421"/>
      <c r="H28" s="1421"/>
      <c r="I28" s="1421"/>
      <c r="J28" s="1421"/>
      <c r="K28" s="1424"/>
    </row>
    <row r="29" spans="1:11" ht="27" customHeight="1">
      <c r="A29" s="1419">
        <v>12</v>
      </c>
      <c r="B29" s="1420"/>
      <c r="C29" s="1420"/>
      <c r="D29" s="1420"/>
      <c r="E29" s="1421"/>
      <c r="F29" s="1421"/>
      <c r="G29" s="1421"/>
      <c r="H29" s="1421"/>
      <c r="I29" s="1421"/>
      <c r="J29" s="1421"/>
      <c r="K29" s="1424"/>
    </row>
    <row r="30" spans="1:11" ht="27" customHeight="1">
      <c r="A30" s="1419">
        <v>13</v>
      </c>
      <c r="B30" s="1420"/>
      <c r="C30" s="1420"/>
      <c r="D30" s="1420"/>
      <c r="E30" s="1421"/>
      <c r="F30" s="1421"/>
      <c r="G30" s="1421"/>
      <c r="H30" s="1421"/>
      <c r="I30" s="1421"/>
      <c r="J30" s="1421"/>
      <c r="K30" s="1424"/>
    </row>
    <row r="31" spans="1:11" ht="27" customHeight="1">
      <c r="A31" s="1419">
        <v>14</v>
      </c>
      <c r="B31" s="1420"/>
      <c r="C31" s="1420"/>
      <c r="D31" s="1420"/>
      <c r="E31" s="1421"/>
      <c r="F31" s="1421"/>
      <c r="G31" s="1421"/>
      <c r="H31" s="1421"/>
      <c r="I31" s="1421"/>
      <c r="J31" s="1421"/>
      <c r="K31" s="1424"/>
    </row>
    <row r="32" spans="1:11" ht="27" customHeight="1">
      <c r="A32" s="1419">
        <v>15</v>
      </c>
      <c r="B32" s="1420"/>
      <c r="C32" s="1420"/>
      <c r="D32" s="1420"/>
      <c r="E32" s="1421"/>
      <c r="F32" s="1421"/>
      <c r="G32" s="1421"/>
      <c r="H32" s="1421"/>
      <c r="I32" s="1421"/>
      <c r="J32" s="1421"/>
      <c r="K32" s="1424"/>
    </row>
    <row r="33" spans="1:11" ht="27" customHeight="1">
      <c r="A33" s="1419">
        <v>16</v>
      </c>
      <c r="B33" s="1420"/>
      <c r="C33" s="1420"/>
      <c r="D33" s="1420"/>
      <c r="E33" s="1421"/>
      <c r="F33" s="1421"/>
      <c r="G33" s="1421"/>
      <c r="H33" s="1421"/>
      <c r="I33" s="1421"/>
      <c r="J33" s="1421"/>
      <c r="K33" s="1424"/>
    </row>
    <row r="34" spans="1:11" ht="27" customHeight="1">
      <c r="A34" s="1419">
        <v>17</v>
      </c>
      <c r="B34" s="1420"/>
      <c r="C34" s="1420"/>
      <c r="D34" s="1420"/>
      <c r="E34" s="1421"/>
      <c r="F34" s="1421"/>
      <c r="G34" s="1421"/>
      <c r="H34" s="1421"/>
      <c r="I34" s="1421"/>
      <c r="J34" s="1421"/>
      <c r="K34" s="1424"/>
    </row>
    <row r="35" spans="1:11" ht="27" customHeight="1">
      <c r="A35" s="1419">
        <v>18</v>
      </c>
      <c r="B35" s="1420"/>
      <c r="C35" s="1420"/>
      <c r="D35" s="1420"/>
      <c r="E35" s="1421"/>
      <c r="F35" s="1421"/>
      <c r="G35" s="1421"/>
      <c r="H35" s="1421"/>
      <c r="I35" s="1421"/>
      <c r="J35" s="1421"/>
      <c r="K35" s="1424"/>
    </row>
    <row r="36" spans="1:11" ht="27" customHeight="1">
      <c r="A36" s="1419">
        <v>19</v>
      </c>
      <c r="B36" s="1420"/>
      <c r="C36" s="1420"/>
      <c r="D36" s="1420"/>
      <c r="E36" s="1421"/>
      <c r="F36" s="1421"/>
      <c r="G36" s="1421"/>
      <c r="H36" s="1421"/>
      <c r="I36" s="1421"/>
      <c r="J36" s="1421"/>
      <c r="K36" s="1424"/>
    </row>
    <row r="37" spans="1:11" ht="27" customHeight="1">
      <c r="A37" s="1419">
        <v>20</v>
      </c>
      <c r="B37" s="1420"/>
      <c r="C37" s="1420"/>
      <c r="D37" s="1420"/>
      <c r="E37" s="1421"/>
      <c r="F37" s="1421"/>
      <c r="G37" s="1421"/>
      <c r="H37" s="1421"/>
      <c r="I37" s="1421"/>
      <c r="J37" s="1421"/>
      <c r="K37" s="1424"/>
    </row>
    <row r="38" spans="1:11" ht="27" customHeight="1">
      <c r="A38" s="1419"/>
      <c r="B38" s="1420"/>
      <c r="C38" s="1420"/>
      <c r="D38" s="1420"/>
      <c r="E38" s="1421"/>
      <c r="F38" s="1421"/>
      <c r="G38" s="1421"/>
      <c r="H38" s="1421"/>
      <c r="I38" s="1421"/>
      <c r="J38" s="1421"/>
      <c r="K38" s="1424"/>
    </row>
  </sheetData>
  <mergeCells count="8">
    <mergeCell ref="B23:D23"/>
    <mergeCell ref="B24:D24"/>
    <mergeCell ref="A17:D17"/>
    <mergeCell ref="B18:D18"/>
    <mergeCell ref="B19:D19"/>
    <mergeCell ref="B20:D20"/>
    <mergeCell ref="B21:D21"/>
    <mergeCell ref="B22:D22"/>
  </mergeCells>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Sheet2">
    <tabColor rgb="FF00B050"/>
  </sheetPr>
  <dimension ref="A1:Q1834"/>
  <sheetViews>
    <sheetView showZeros="0" view="pageBreakPreview" zoomScale="70" zoomScaleNormal="50" zoomScaleSheetLayoutView="70" workbookViewId="0">
      <pane xSplit="4" ySplit="3" topLeftCell="E1465" activePane="bottomRight" state="frozen"/>
      <selection pane="topRight"/>
      <selection pane="bottomLeft"/>
      <selection pane="bottomRight" activeCell="F136" sqref="F136"/>
    </sheetView>
  </sheetViews>
  <sheetFormatPr defaultRowHeight="23.25"/>
  <cols>
    <col min="1" max="1" width="10" style="54" customWidth="1"/>
    <col min="2" max="2" width="17.88671875" style="1636" customWidth="1"/>
    <col min="3" max="3" width="60.109375" style="66" customWidth="1"/>
    <col min="4" max="4" width="16.6640625" style="67" customWidth="1"/>
    <col min="5" max="5" width="9.109375" style="67" bestFit="1" customWidth="1"/>
    <col min="6" max="6" width="13.77734375" style="68" bestFit="1" customWidth="1"/>
    <col min="7" max="7" width="17.77734375" style="68" bestFit="1" customWidth="1"/>
    <col min="8" max="8" width="9.21875" style="69" bestFit="1" customWidth="1"/>
    <col min="9" max="9" width="14.6640625" style="69" hidden="1" customWidth="1"/>
    <col min="10" max="10" width="9.21875" style="69" hidden="1" customWidth="1"/>
    <col min="11" max="11" width="14.6640625" style="69" hidden="1" customWidth="1"/>
    <col min="12" max="12" width="9.77734375" style="70" hidden="1" customWidth="1"/>
    <col min="13" max="13" width="16.21875" style="69" hidden="1" customWidth="1"/>
    <col min="14" max="14" width="9.77734375" style="70" hidden="1" customWidth="1"/>
    <col min="15" max="15" width="17.77734375" style="69" hidden="1" customWidth="1"/>
    <col min="16" max="16" width="11.33203125" style="70" bestFit="1" customWidth="1"/>
    <col min="17" max="17" width="29.77734375" style="69" bestFit="1" customWidth="1"/>
    <col min="18" max="16384" width="8.88671875" style="54"/>
  </cols>
  <sheetData>
    <row r="1" spans="1:17" ht="101.25" customHeight="1">
      <c r="A1" s="1738" t="str">
        <f>'Detail '!A1:J1</f>
        <v>NAME OF WORK :  CONSTRUCTION OF  NEW BUILDING FOR FIRE AND RESCUE SERVICE STATION WITH DEVELOPMENT WORKS AT VANNIYAMPATHY  IN CHENNAI CITY</v>
      </c>
      <c r="B1" s="1739"/>
      <c r="C1" s="1739"/>
      <c r="D1" s="1739"/>
      <c r="E1" s="1739"/>
      <c r="F1" s="1739"/>
      <c r="G1" s="1739"/>
      <c r="H1" s="1739"/>
      <c r="I1" s="1739"/>
      <c r="J1" s="1739"/>
      <c r="K1" s="1739"/>
      <c r="L1" s="1739"/>
      <c r="M1" s="1739"/>
      <c r="N1" s="1739"/>
      <c r="O1" s="1739"/>
      <c r="P1" s="1739"/>
      <c r="Q1" s="1740"/>
    </row>
    <row r="2" spans="1:17" s="53" customFormat="1" ht="96" customHeight="1">
      <c r="A2" s="1741" t="s">
        <v>5288</v>
      </c>
      <c r="B2" s="1633" t="s">
        <v>5294</v>
      </c>
      <c r="C2" s="1741" t="s">
        <v>2061</v>
      </c>
      <c r="D2" s="1741" t="s">
        <v>5289</v>
      </c>
      <c r="E2" s="1741" t="s">
        <v>3199</v>
      </c>
      <c r="F2" s="1741" t="s">
        <v>5290</v>
      </c>
      <c r="G2" s="1741"/>
      <c r="H2" s="1741" t="s">
        <v>5291</v>
      </c>
      <c r="I2" s="1741"/>
      <c r="J2" s="1741" t="s">
        <v>3653</v>
      </c>
      <c r="K2" s="1741"/>
      <c r="L2" s="1741" t="s">
        <v>5292</v>
      </c>
      <c r="M2" s="1741"/>
      <c r="N2" s="1744" t="s">
        <v>5293</v>
      </c>
      <c r="O2" s="1744"/>
      <c r="P2" s="1610"/>
      <c r="Q2" s="1610" t="s">
        <v>5294</v>
      </c>
    </row>
    <row r="3" spans="1:17" ht="52.5" customHeight="1">
      <c r="A3" s="1742"/>
      <c r="B3" s="1634" t="s">
        <v>2060</v>
      </c>
      <c r="C3" s="1742"/>
      <c r="D3" s="1743"/>
      <c r="E3" s="1743"/>
      <c r="F3" s="1243" t="s">
        <v>2060</v>
      </c>
      <c r="G3" s="1436" t="s">
        <v>2064</v>
      </c>
      <c r="H3" s="1243" t="s">
        <v>2060</v>
      </c>
      <c r="I3" s="1436" t="s">
        <v>2064</v>
      </c>
      <c r="J3" s="1243" t="s">
        <v>2060</v>
      </c>
      <c r="K3" s="1436" t="s">
        <v>2064</v>
      </c>
      <c r="L3" s="1243" t="s">
        <v>2060</v>
      </c>
      <c r="M3" s="1436" t="s">
        <v>2064</v>
      </c>
      <c r="N3" s="1244" t="s">
        <v>2060</v>
      </c>
      <c r="O3" s="1245" t="s">
        <v>2064</v>
      </c>
      <c r="P3" s="1244"/>
      <c r="Q3" s="1245" t="s">
        <v>2064</v>
      </c>
    </row>
    <row r="4" spans="1:17" ht="50.25" customHeight="1">
      <c r="A4" s="71">
        <v>1.1000000000000001</v>
      </c>
      <c r="B4" s="72">
        <f>P4</f>
        <v>0</v>
      </c>
      <c r="C4" s="72" t="s">
        <v>5295</v>
      </c>
      <c r="D4" s="73"/>
      <c r="E4" s="74" t="s">
        <v>85</v>
      </c>
      <c r="F4" s="74"/>
      <c r="G4" s="74"/>
      <c r="H4" s="74"/>
      <c r="I4" s="74"/>
      <c r="J4" s="74"/>
      <c r="K4" s="74"/>
      <c r="L4" s="74"/>
      <c r="M4" s="74"/>
      <c r="N4" s="74"/>
      <c r="O4" s="74"/>
      <c r="P4" s="74"/>
      <c r="Q4" s="74"/>
    </row>
    <row r="5" spans="1:17" ht="36" customHeight="1">
      <c r="A5" s="71"/>
      <c r="B5" s="72">
        <f t="shared" ref="B5:B68" si="0">P5</f>
        <v>776.3</v>
      </c>
      <c r="C5" s="72" t="s">
        <v>3368</v>
      </c>
      <c r="D5" s="75">
        <f>ROUND(Data!K88,2)</f>
        <v>247.31</v>
      </c>
      <c r="E5" s="74" t="s">
        <v>5296</v>
      </c>
      <c r="F5" s="1425">
        <f>'Detail '!I29</f>
        <v>776.3</v>
      </c>
      <c r="G5" s="74">
        <f>F5*D5</f>
        <v>191986.75</v>
      </c>
      <c r="H5" s="74"/>
      <c r="I5" s="74">
        <f>H5*D5</f>
        <v>0</v>
      </c>
      <c r="K5" s="74">
        <f>J17*D5</f>
        <v>5613.94</v>
      </c>
      <c r="L5" s="74"/>
      <c r="M5" s="74">
        <f>L5*D5</f>
        <v>0</v>
      </c>
      <c r="N5" s="74">
        <f>H5+J5+L5</f>
        <v>0</v>
      </c>
      <c r="O5" s="74">
        <f>N5*D5</f>
        <v>0</v>
      </c>
      <c r="P5" s="74">
        <f>N5+F5</f>
        <v>776.3</v>
      </c>
      <c r="Q5" s="74">
        <f>P5*D5</f>
        <v>191986.75</v>
      </c>
    </row>
    <row r="6" spans="1:17" s="55" customFormat="1">
      <c r="A6" s="71"/>
      <c r="B6" s="72">
        <f t="shared" si="0"/>
        <v>356.4</v>
      </c>
      <c r="C6" s="72" t="s">
        <v>5297</v>
      </c>
      <c r="D6" s="75">
        <f>ROUND(Data!K89,2)</f>
        <v>258.52999999999997</v>
      </c>
      <c r="E6" s="74" t="s">
        <v>5296</v>
      </c>
      <c r="F6" s="1425">
        <f>'Detail '!I39</f>
        <v>356.4</v>
      </c>
      <c r="G6" s="74">
        <f t="shared" ref="G6:G69" si="1">F6*D6</f>
        <v>92140.09</v>
      </c>
      <c r="H6" s="74"/>
      <c r="I6" s="74">
        <f t="shared" ref="I6:I69" si="2">H6*D6</f>
        <v>0</v>
      </c>
      <c r="K6" s="74">
        <f>J18*D6</f>
        <v>2662.86</v>
      </c>
      <c r="L6" s="74"/>
      <c r="M6" s="74">
        <f t="shared" ref="M6:M69" si="3">L6*D6</f>
        <v>0</v>
      </c>
      <c r="N6" s="74">
        <f>H6+J6+L6</f>
        <v>0</v>
      </c>
      <c r="O6" s="74">
        <f>N6*D6</f>
        <v>0</v>
      </c>
      <c r="P6" s="74">
        <f>N6+F6</f>
        <v>356.4</v>
      </c>
      <c r="Q6" s="74">
        <f>P6*D6</f>
        <v>92140.09</v>
      </c>
    </row>
    <row r="7" spans="1:17" ht="46.5" hidden="1">
      <c r="A7" s="71">
        <v>1.2</v>
      </c>
      <c r="B7" s="72">
        <f t="shared" si="0"/>
        <v>0</v>
      </c>
      <c r="C7" s="72" t="s">
        <v>5298</v>
      </c>
      <c r="D7" s="75"/>
      <c r="E7" s="74"/>
      <c r="F7" s="75"/>
      <c r="G7" s="74">
        <f t="shared" si="1"/>
        <v>0</v>
      </c>
      <c r="H7" s="74"/>
      <c r="I7" s="74">
        <f t="shared" si="2"/>
        <v>0</v>
      </c>
      <c r="J7" s="74"/>
      <c r="K7" s="74">
        <f t="shared" ref="K7:K69" si="4">J7*D7</f>
        <v>0</v>
      </c>
      <c r="L7" s="74"/>
      <c r="M7" s="74">
        <f t="shared" si="3"/>
        <v>0</v>
      </c>
      <c r="N7" s="74">
        <f>H7+J7+L7</f>
        <v>0</v>
      </c>
      <c r="O7" s="74">
        <f>N7*D7</f>
        <v>0</v>
      </c>
      <c r="P7" s="74">
        <f>N7+F7</f>
        <v>0</v>
      </c>
      <c r="Q7" s="74">
        <f>P7*D7</f>
        <v>0</v>
      </c>
    </row>
    <row r="8" spans="1:17" hidden="1">
      <c r="A8" s="71"/>
      <c r="B8" s="72">
        <f t="shared" si="0"/>
        <v>0</v>
      </c>
      <c r="C8" s="72" t="s">
        <v>3368</v>
      </c>
      <c r="D8" s="75">
        <f>ROUND(Data!K90,2)</f>
        <v>233.76</v>
      </c>
      <c r="E8" s="74" t="s">
        <v>5296</v>
      </c>
      <c r="F8" s="75"/>
      <c r="G8" s="74">
        <f t="shared" si="1"/>
        <v>0</v>
      </c>
      <c r="H8" s="74"/>
      <c r="I8" s="74">
        <f t="shared" si="2"/>
        <v>0</v>
      </c>
      <c r="J8" s="74"/>
      <c r="K8" s="74">
        <f t="shared" si="4"/>
        <v>0</v>
      </c>
      <c r="L8" s="74"/>
      <c r="M8" s="74">
        <f t="shared" si="3"/>
        <v>0</v>
      </c>
      <c r="N8" s="74">
        <f t="shared" ref="N8:N69" si="5">H8+J8+L8</f>
        <v>0</v>
      </c>
      <c r="O8" s="74">
        <f t="shared" ref="O8:O69" si="6">N8*D8</f>
        <v>0</v>
      </c>
      <c r="P8" s="74">
        <f t="shared" ref="P8:P69" si="7">N8+F8</f>
        <v>0</v>
      </c>
      <c r="Q8" s="74">
        <f t="shared" ref="Q8:Q69" si="8">P8*D8</f>
        <v>0</v>
      </c>
    </row>
    <row r="9" spans="1:17" hidden="1">
      <c r="A9" s="71"/>
      <c r="B9" s="72">
        <f t="shared" si="0"/>
        <v>0</v>
      </c>
      <c r="C9" s="72" t="s">
        <v>5297</v>
      </c>
      <c r="D9" s="75">
        <f>ROUND(Data!K91,2)</f>
        <v>244.98</v>
      </c>
      <c r="E9" s="74" t="s">
        <v>5296</v>
      </c>
      <c r="F9" s="75"/>
      <c r="G9" s="74">
        <f t="shared" si="1"/>
        <v>0</v>
      </c>
      <c r="H9" s="74"/>
      <c r="I9" s="74">
        <f t="shared" si="2"/>
        <v>0</v>
      </c>
      <c r="J9" s="74"/>
      <c r="K9" s="74">
        <f t="shared" si="4"/>
        <v>0</v>
      </c>
      <c r="L9" s="74"/>
      <c r="M9" s="74">
        <f t="shared" si="3"/>
        <v>0</v>
      </c>
      <c r="N9" s="74">
        <f t="shared" si="5"/>
        <v>0</v>
      </c>
      <c r="O9" s="74">
        <f t="shared" si="6"/>
        <v>0</v>
      </c>
      <c r="P9" s="74">
        <f t="shared" si="7"/>
        <v>0</v>
      </c>
      <c r="Q9" s="74">
        <f t="shared" si="8"/>
        <v>0</v>
      </c>
    </row>
    <row r="10" spans="1:17" s="55" customFormat="1" hidden="1">
      <c r="A10" s="71">
        <v>1.3</v>
      </c>
      <c r="B10" s="72">
        <f t="shared" si="0"/>
        <v>0</v>
      </c>
      <c r="C10" s="72"/>
      <c r="D10" s="75"/>
      <c r="E10" s="74" t="s">
        <v>85</v>
      </c>
      <c r="F10" s="75"/>
      <c r="G10" s="74">
        <f t="shared" si="1"/>
        <v>0</v>
      </c>
      <c r="H10" s="74"/>
      <c r="I10" s="74">
        <f t="shared" si="2"/>
        <v>0</v>
      </c>
      <c r="J10" s="74"/>
      <c r="K10" s="74">
        <f t="shared" si="4"/>
        <v>0</v>
      </c>
      <c r="L10" s="74"/>
      <c r="M10" s="74">
        <f t="shared" si="3"/>
        <v>0</v>
      </c>
      <c r="N10" s="74">
        <f t="shared" si="5"/>
        <v>0</v>
      </c>
      <c r="O10" s="74">
        <f t="shared" si="6"/>
        <v>0</v>
      </c>
      <c r="P10" s="74">
        <f t="shared" si="7"/>
        <v>0</v>
      </c>
      <c r="Q10" s="74">
        <f t="shared" si="8"/>
        <v>0</v>
      </c>
    </row>
    <row r="11" spans="1:17" s="55" customFormat="1" hidden="1">
      <c r="A11" s="71"/>
      <c r="B11" s="72">
        <f t="shared" si="0"/>
        <v>0</v>
      </c>
      <c r="C11" s="72" t="s">
        <v>3368</v>
      </c>
      <c r="D11" s="75">
        <f>ROUND(Data!K101,2)</f>
        <v>361.59</v>
      </c>
      <c r="E11" s="74" t="s">
        <v>5296</v>
      </c>
      <c r="F11" s="75"/>
      <c r="G11" s="74">
        <f t="shared" si="1"/>
        <v>0</v>
      </c>
      <c r="H11" s="74"/>
      <c r="I11" s="74">
        <f t="shared" si="2"/>
        <v>0</v>
      </c>
      <c r="J11" s="74"/>
      <c r="K11" s="74">
        <f t="shared" si="4"/>
        <v>0</v>
      </c>
      <c r="L11" s="74"/>
      <c r="M11" s="74">
        <f t="shared" si="3"/>
        <v>0</v>
      </c>
      <c r="N11" s="74">
        <f t="shared" si="5"/>
        <v>0</v>
      </c>
      <c r="O11" s="74">
        <f t="shared" si="6"/>
        <v>0</v>
      </c>
      <c r="P11" s="74">
        <f t="shared" si="7"/>
        <v>0</v>
      </c>
      <c r="Q11" s="74">
        <f t="shared" si="8"/>
        <v>0</v>
      </c>
    </row>
    <row r="12" spans="1:17" hidden="1">
      <c r="A12" s="71"/>
      <c r="B12" s="72">
        <f t="shared" si="0"/>
        <v>0</v>
      </c>
      <c r="C12" s="72" t="s">
        <v>5297</v>
      </c>
      <c r="D12" s="75">
        <f>ROUND(Data!K102,2)</f>
        <v>372.81</v>
      </c>
      <c r="E12" s="74" t="s">
        <v>5296</v>
      </c>
      <c r="F12" s="75"/>
      <c r="G12" s="74">
        <f t="shared" si="1"/>
        <v>0</v>
      </c>
      <c r="H12" s="74"/>
      <c r="I12" s="74">
        <f t="shared" si="2"/>
        <v>0</v>
      </c>
      <c r="J12" s="74"/>
      <c r="K12" s="74">
        <f t="shared" si="4"/>
        <v>0</v>
      </c>
      <c r="L12" s="74"/>
      <c r="M12" s="74">
        <f t="shared" si="3"/>
        <v>0</v>
      </c>
      <c r="N12" s="74">
        <f t="shared" si="5"/>
        <v>0</v>
      </c>
      <c r="O12" s="74">
        <f t="shared" si="6"/>
        <v>0</v>
      </c>
      <c r="P12" s="74">
        <f t="shared" si="7"/>
        <v>0</v>
      </c>
      <c r="Q12" s="74">
        <f t="shared" si="8"/>
        <v>0</v>
      </c>
    </row>
    <row r="13" spans="1:17" ht="46.5" hidden="1">
      <c r="A13" s="71">
        <v>1.4</v>
      </c>
      <c r="B13" s="72">
        <f t="shared" si="0"/>
        <v>0</v>
      </c>
      <c r="C13" s="72" t="s">
        <v>5299</v>
      </c>
      <c r="D13" s="75"/>
      <c r="E13" s="74"/>
      <c r="F13" s="75"/>
      <c r="G13" s="74">
        <f t="shared" si="1"/>
        <v>0</v>
      </c>
      <c r="H13" s="74"/>
      <c r="I13" s="74">
        <f t="shared" si="2"/>
        <v>0</v>
      </c>
      <c r="J13" s="74"/>
      <c r="K13" s="74">
        <f t="shared" si="4"/>
        <v>0</v>
      </c>
      <c r="L13" s="74"/>
      <c r="M13" s="74">
        <f t="shared" si="3"/>
        <v>0</v>
      </c>
      <c r="N13" s="74">
        <f t="shared" si="5"/>
        <v>0</v>
      </c>
      <c r="O13" s="74">
        <f t="shared" si="6"/>
        <v>0</v>
      </c>
      <c r="P13" s="74">
        <f t="shared" si="7"/>
        <v>0</v>
      </c>
      <c r="Q13" s="74">
        <f t="shared" si="8"/>
        <v>0</v>
      </c>
    </row>
    <row r="14" spans="1:17" hidden="1">
      <c r="A14" s="71"/>
      <c r="B14" s="72">
        <f t="shared" si="0"/>
        <v>0</v>
      </c>
      <c r="C14" s="72" t="s">
        <v>3368</v>
      </c>
      <c r="D14" s="75">
        <f>ROUND(Data!K116,2)</f>
        <v>130.43</v>
      </c>
      <c r="E14" s="74" t="s">
        <v>5296</v>
      </c>
      <c r="F14" s="75"/>
      <c r="G14" s="74">
        <f t="shared" si="1"/>
        <v>0</v>
      </c>
      <c r="H14" s="74"/>
      <c r="I14" s="74">
        <f t="shared" si="2"/>
        <v>0</v>
      </c>
      <c r="J14" s="74"/>
      <c r="K14" s="74">
        <f t="shared" si="4"/>
        <v>0</v>
      </c>
      <c r="L14" s="74"/>
      <c r="M14" s="74">
        <f t="shared" si="3"/>
        <v>0</v>
      </c>
      <c r="N14" s="74">
        <f t="shared" si="5"/>
        <v>0</v>
      </c>
      <c r="O14" s="74">
        <f t="shared" si="6"/>
        <v>0</v>
      </c>
      <c r="P14" s="74">
        <f t="shared" si="7"/>
        <v>0</v>
      </c>
      <c r="Q14" s="74">
        <f t="shared" si="8"/>
        <v>0</v>
      </c>
    </row>
    <row r="15" spans="1:17" hidden="1">
      <c r="A15" s="71"/>
      <c r="B15" s="72">
        <f t="shared" si="0"/>
        <v>0</v>
      </c>
      <c r="C15" s="72" t="s">
        <v>5297</v>
      </c>
      <c r="D15" s="75">
        <f>ROUND(Data!L116,2)</f>
        <v>141.65</v>
      </c>
      <c r="E15" s="74" t="s">
        <v>5296</v>
      </c>
      <c r="F15" s="75"/>
      <c r="G15" s="74">
        <f t="shared" si="1"/>
        <v>0</v>
      </c>
      <c r="H15" s="74"/>
      <c r="I15" s="74">
        <f t="shared" si="2"/>
        <v>0</v>
      </c>
      <c r="J15" s="74"/>
      <c r="K15" s="74">
        <f t="shared" si="4"/>
        <v>0</v>
      </c>
      <c r="L15" s="74"/>
      <c r="M15" s="74">
        <f t="shared" si="3"/>
        <v>0</v>
      </c>
      <c r="N15" s="74">
        <f t="shared" si="5"/>
        <v>0</v>
      </c>
      <c r="O15" s="74">
        <f t="shared" si="6"/>
        <v>0</v>
      </c>
      <c r="P15" s="74">
        <f t="shared" si="7"/>
        <v>0</v>
      </c>
      <c r="Q15" s="74">
        <f t="shared" si="8"/>
        <v>0</v>
      </c>
    </row>
    <row r="16" spans="1:17" ht="46.5">
      <c r="A16" s="71">
        <v>1.5</v>
      </c>
      <c r="B16" s="72">
        <f t="shared" si="0"/>
        <v>0</v>
      </c>
      <c r="C16" s="72" t="s">
        <v>5300</v>
      </c>
      <c r="D16" s="75"/>
      <c r="E16" s="74" t="s">
        <v>85</v>
      </c>
      <c r="F16" s="75"/>
      <c r="G16" s="74">
        <f t="shared" si="1"/>
        <v>0</v>
      </c>
      <c r="H16" s="74"/>
      <c r="I16" s="74">
        <f t="shared" si="2"/>
        <v>0</v>
      </c>
      <c r="J16" s="74"/>
      <c r="K16" s="74">
        <f t="shared" si="4"/>
        <v>0</v>
      </c>
      <c r="L16" s="74"/>
      <c r="M16" s="74">
        <f t="shared" si="3"/>
        <v>0</v>
      </c>
      <c r="N16" s="74">
        <f t="shared" si="5"/>
        <v>0</v>
      </c>
      <c r="O16" s="74">
        <f t="shared" si="6"/>
        <v>0</v>
      </c>
      <c r="P16" s="74">
        <f t="shared" si="7"/>
        <v>0</v>
      </c>
      <c r="Q16" s="74">
        <f t="shared" si="8"/>
        <v>0</v>
      </c>
    </row>
    <row r="17" spans="1:17">
      <c r="A17" s="71"/>
      <c r="B17" s="72">
        <f t="shared" si="0"/>
        <v>22.7</v>
      </c>
      <c r="C17" s="72" t="s">
        <v>3368</v>
      </c>
      <c r="D17" s="75">
        <f>ROUND(Data!K118,2)</f>
        <v>116.88</v>
      </c>
      <c r="E17" s="74" t="s">
        <v>5296</v>
      </c>
      <c r="F17" s="75"/>
      <c r="G17" s="74">
        <f t="shared" si="1"/>
        <v>0</v>
      </c>
      <c r="H17" s="74"/>
      <c r="I17" s="74">
        <f t="shared" si="2"/>
        <v>0</v>
      </c>
      <c r="J17" s="74">
        <f>Sump!I6</f>
        <v>22.7</v>
      </c>
      <c r="K17" s="74">
        <f t="shared" si="4"/>
        <v>2653.18</v>
      </c>
      <c r="L17" s="74"/>
      <c r="M17" s="74">
        <f t="shared" si="3"/>
        <v>0</v>
      </c>
      <c r="N17" s="74">
        <f>H17+J17+L17</f>
        <v>22.7</v>
      </c>
      <c r="O17" s="74">
        <f>N17*D17</f>
        <v>2653.18</v>
      </c>
      <c r="P17" s="74">
        <f>N17+F17</f>
        <v>22.7</v>
      </c>
      <c r="Q17" s="74">
        <f>P17*D17</f>
        <v>2653.18</v>
      </c>
    </row>
    <row r="18" spans="1:17">
      <c r="A18" s="71"/>
      <c r="B18" s="72">
        <f t="shared" si="0"/>
        <v>10.3</v>
      </c>
      <c r="C18" s="72" t="s">
        <v>5297</v>
      </c>
      <c r="D18" s="75">
        <f>ROUND(Data!K119,2)</f>
        <v>128.1</v>
      </c>
      <c r="E18" s="74" t="s">
        <v>5296</v>
      </c>
      <c r="F18" s="75"/>
      <c r="G18" s="74">
        <f t="shared" si="1"/>
        <v>0</v>
      </c>
      <c r="H18" s="74"/>
      <c r="I18" s="74">
        <f t="shared" si="2"/>
        <v>0</v>
      </c>
      <c r="J18" s="74">
        <f>Sump!I8</f>
        <v>10.3</v>
      </c>
      <c r="K18" s="74">
        <f t="shared" si="4"/>
        <v>1319.43</v>
      </c>
      <c r="L18" s="74"/>
      <c r="M18" s="74">
        <f t="shared" si="3"/>
        <v>0</v>
      </c>
      <c r="N18" s="74">
        <f>H18+J18+L18</f>
        <v>10.3</v>
      </c>
      <c r="O18" s="74">
        <f>N18*D18</f>
        <v>1319.43</v>
      </c>
      <c r="P18" s="74">
        <f>N18+F18</f>
        <v>10.3</v>
      </c>
      <c r="Q18" s="74">
        <f>P18*D18</f>
        <v>1319.43</v>
      </c>
    </row>
    <row r="19" spans="1:17" hidden="1">
      <c r="A19" s="71"/>
      <c r="B19" s="72">
        <f t="shared" si="0"/>
        <v>0</v>
      </c>
      <c r="C19" s="72" t="s">
        <v>5301</v>
      </c>
      <c r="D19" s="75">
        <f>ROUND(Data!K120,2)</f>
        <v>139.32</v>
      </c>
      <c r="E19" s="74" t="s">
        <v>5296</v>
      </c>
      <c r="F19" s="75"/>
      <c r="G19" s="74">
        <f t="shared" si="1"/>
        <v>0</v>
      </c>
      <c r="H19" s="74"/>
      <c r="I19" s="74">
        <f t="shared" si="2"/>
        <v>0</v>
      </c>
      <c r="J19" s="74"/>
      <c r="K19" s="74">
        <f t="shared" si="4"/>
        <v>0</v>
      </c>
      <c r="L19" s="74"/>
      <c r="M19" s="74">
        <f t="shared" si="3"/>
        <v>0</v>
      </c>
      <c r="N19" s="74">
        <f t="shared" si="5"/>
        <v>0</v>
      </c>
      <c r="O19" s="74">
        <f t="shared" si="6"/>
        <v>0</v>
      </c>
      <c r="P19" s="74">
        <f t="shared" si="7"/>
        <v>0</v>
      </c>
      <c r="Q19" s="74">
        <f t="shared" si="8"/>
        <v>0</v>
      </c>
    </row>
    <row r="20" spans="1:17" hidden="1">
      <c r="A20" s="71"/>
      <c r="B20" s="72">
        <f t="shared" si="0"/>
        <v>0</v>
      </c>
      <c r="C20" s="72" t="s">
        <v>5302</v>
      </c>
      <c r="D20" s="75">
        <f>ROUND(Data!K121,2)</f>
        <v>150.54</v>
      </c>
      <c r="E20" s="74" t="s">
        <v>5296</v>
      </c>
      <c r="F20" s="75"/>
      <c r="G20" s="74">
        <f t="shared" si="1"/>
        <v>0</v>
      </c>
      <c r="H20" s="74"/>
      <c r="I20" s="74">
        <f t="shared" si="2"/>
        <v>0</v>
      </c>
      <c r="J20" s="74"/>
      <c r="K20" s="74">
        <f t="shared" si="4"/>
        <v>0</v>
      </c>
      <c r="L20" s="74"/>
      <c r="M20" s="74">
        <f t="shared" si="3"/>
        <v>0</v>
      </c>
      <c r="N20" s="74">
        <f t="shared" si="5"/>
        <v>0</v>
      </c>
      <c r="O20" s="74">
        <f t="shared" si="6"/>
        <v>0</v>
      </c>
      <c r="P20" s="74">
        <f t="shared" si="7"/>
        <v>0</v>
      </c>
      <c r="Q20" s="74">
        <f t="shared" si="8"/>
        <v>0</v>
      </c>
    </row>
    <row r="21" spans="1:17" ht="46.5" hidden="1">
      <c r="A21" s="71">
        <v>1.6</v>
      </c>
      <c r="B21" s="72">
        <f t="shared" si="0"/>
        <v>0</v>
      </c>
      <c r="C21" s="72" t="s">
        <v>5303</v>
      </c>
      <c r="D21" s="75"/>
      <c r="E21" s="74"/>
      <c r="F21" s="75"/>
      <c r="G21" s="74">
        <f t="shared" si="1"/>
        <v>0</v>
      </c>
      <c r="H21" s="74"/>
      <c r="I21" s="74">
        <f t="shared" si="2"/>
        <v>0</v>
      </c>
      <c r="J21" s="74"/>
      <c r="K21" s="74">
        <f t="shared" si="4"/>
        <v>0</v>
      </c>
      <c r="L21" s="74"/>
      <c r="M21" s="74">
        <f t="shared" si="3"/>
        <v>0</v>
      </c>
      <c r="N21" s="74">
        <f t="shared" si="5"/>
        <v>0</v>
      </c>
      <c r="O21" s="74">
        <f t="shared" si="6"/>
        <v>0</v>
      </c>
      <c r="P21" s="74">
        <f t="shared" si="7"/>
        <v>0</v>
      </c>
      <c r="Q21" s="74">
        <f t="shared" si="8"/>
        <v>0</v>
      </c>
    </row>
    <row r="22" spans="1:17" hidden="1">
      <c r="A22" s="71"/>
      <c r="B22" s="72">
        <f t="shared" si="0"/>
        <v>0</v>
      </c>
      <c r="C22" s="72" t="s">
        <v>3368</v>
      </c>
      <c r="D22" s="75">
        <f>ROUND(Data!K133,2)</f>
        <v>175.32</v>
      </c>
      <c r="E22" s="74" t="s">
        <v>5296</v>
      </c>
      <c r="F22" s="75"/>
      <c r="G22" s="74">
        <f t="shared" si="1"/>
        <v>0</v>
      </c>
      <c r="H22" s="74"/>
      <c r="I22" s="74">
        <f t="shared" si="2"/>
        <v>0</v>
      </c>
      <c r="J22" s="74"/>
      <c r="K22" s="74">
        <f t="shared" si="4"/>
        <v>0</v>
      </c>
      <c r="L22" s="74"/>
      <c r="M22" s="74">
        <f t="shared" si="3"/>
        <v>0</v>
      </c>
      <c r="N22" s="74">
        <f t="shared" si="5"/>
        <v>0</v>
      </c>
      <c r="O22" s="74">
        <f t="shared" si="6"/>
        <v>0</v>
      </c>
      <c r="P22" s="74">
        <f t="shared" si="7"/>
        <v>0</v>
      </c>
      <c r="Q22" s="74">
        <f t="shared" si="8"/>
        <v>0</v>
      </c>
    </row>
    <row r="23" spans="1:17" hidden="1">
      <c r="A23" s="71"/>
      <c r="B23" s="72">
        <f t="shared" si="0"/>
        <v>0</v>
      </c>
      <c r="C23" s="72" t="s">
        <v>5297</v>
      </c>
      <c r="D23" s="75">
        <f>ROUND(Data!K134,2)</f>
        <v>186.54</v>
      </c>
      <c r="E23" s="74" t="s">
        <v>5296</v>
      </c>
      <c r="F23" s="75"/>
      <c r="G23" s="74">
        <f t="shared" si="1"/>
        <v>0</v>
      </c>
      <c r="H23" s="74"/>
      <c r="I23" s="74">
        <f t="shared" si="2"/>
        <v>0</v>
      </c>
      <c r="J23" s="74"/>
      <c r="K23" s="74">
        <f t="shared" si="4"/>
        <v>0</v>
      </c>
      <c r="L23" s="74"/>
      <c r="M23" s="74">
        <f t="shared" si="3"/>
        <v>0</v>
      </c>
      <c r="N23" s="74">
        <f t="shared" si="5"/>
        <v>0</v>
      </c>
      <c r="O23" s="74">
        <f t="shared" si="6"/>
        <v>0</v>
      </c>
      <c r="P23" s="74">
        <f t="shared" si="7"/>
        <v>0</v>
      </c>
      <c r="Q23" s="74">
        <f t="shared" si="8"/>
        <v>0</v>
      </c>
    </row>
    <row r="24" spans="1:17" ht="69.75" hidden="1">
      <c r="A24" s="71">
        <v>1.7</v>
      </c>
      <c r="B24" s="72">
        <f t="shared" si="0"/>
        <v>0</v>
      </c>
      <c r="C24" s="72" t="s">
        <v>5304</v>
      </c>
      <c r="D24" s="75"/>
      <c r="E24" s="74" t="s">
        <v>85</v>
      </c>
      <c r="F24" s="75"/>
      <c r="G24" s="74">
        <f t="shared" si="1"/>
        <v>0</v>
      </c>
      <c r="H24" s="74"/>
      <c r="I24" s="74">
        <f t="shared" si="2"/>
        <v>0</v>
      </c>
      <c r="J24" s="74"/>
      <c r="K24" s="74">
        <f t="shared" si="4"/>
        <v>0</v>
      </c>
      <c r="L24" s="74"/>
      <c r="M24" s="74">
        <f t="shared" si="3"/>
        <v>0</v>
      </c>
      <c r="N24" s="74">
        <f t="shared" si="5"/>
        <v>0</v>
      </c>
      <c r="O24" s="74">
        <f t="shared" si="6"/>
        <v>0</v>
      </c>
      <c r="P24" s="74">
        <f t="shared" si="7"/>
        <v>0</v>
      </c>
      <c r="Q24" s="74">
        <f t="shared" si="8"/>
        <v>0</v>
      </c>
    </row>
    <row r="25" spans="1:17" hidden="1">
      <c r="A25" s="71"/>
      <c r="B25" s="72">
        <f t="shared" si="0"/>
        <v>0</v>
      </c>
      <c r="C25" s="72" t="s">
        <v>3368</v>
      </c>
      <c r="D25" s="75">
        <f>ROUND(Data!K104,2)</f>
        <v>348.04</v>
      </c>
      <c r="E25" s="74" t="s">
        <v>5296</v>
      </c>
      <c r="F25" s="75"/>
      <c r="G25" s="74">
        <f t="shared" si="1"/>
        <v>0</v>
      </c>
      <c r="H25" s="74"/>
      <c r="I25" s="74">
        <f t="shared" si="2"/>
        <v>0</v>
      </c>
      <c r="J25" s="74"/>
      <c r="K25" s="74">
        <f t="shared" si="4"/>
        <v>0</v>
      </c>
      <c r="L25" s="74"/>
      <c r="M25" s="74">
        <f t="shared" si="3"/>
        <v>0</v>
      </c>
      <c r="N25" s="74">
        <f t="shared" si="5"/>
        <v>0</v>
      </c>
      <c r="O25" s="74">
        <f t="shared" si="6"/>
        <v>0</v>
      </c>
      <c r="P25" s="74">
        <f t="shared" si="7"/>
        <v>0</v>
      </c>
      <c r="Q25" s="74">
        <f t="shared" si="8"/>
        <v>0</v>
      </c>
    </row>
    <row r="26" spans="1:17" hidden="1">
      <c r="A26" s="71"/>
      <c r="B26" s="72">
        <f t="shared" si="0"/>
        <v>0</v>
      </c>
      <c r="C26" s="72" t="s">
        <v>5297</v>
      </c>
      <c r="D26" s="75">
        <f>ROUND(Data!K105,2)</f>
        <v>359.26</v>
      </c>
      <c r="E26" s="74" t="s">
        <v>5296</v>
      </c>
      <c r="F26" s="75"/>
      <c r="G26" s="74">
        <f t="shared" si="1"/>
        <v>0</v>
      </c>
      <c r="H26" s="74"/>
      <c r="I26" s="74">
        <f t="shared" si="2"/>
        <v>0</v>
      </c>
      <c r="J26" s="74"/>
      <c r="K26" s="74">
        <f t="shared" si="4"/>
        <v>0</v>
      </c>
      <c r="L26" s="74"/>
      <c r="M26" s="74">
        <f t="shared" si="3"/>
        <v>0</v>
      </c>
      <c r="N26" s="74">
        <f t="shared" si="5"/>
        <v>0</v>
      </c>
      <c r="O26" s="74">
        <f t="shared" si="6"/>
        <v>0</v>
      </c>
      <c r="P26" s="74">
        <f t="shared" si="7"/>
        <v>0</v>
      </c>
      <c r="Q26" s="74">
        <f t="shared" si="8"/>
        <v>0</v>
      </c>
    </row>
    <row r="27" spans="1:17" ht="46.5" hidden="1">
      <c r="A27" s="71">
        <v>1.8</v>
      </c>
      <c r="B27" s="72">
        <f t="shared" si="0"/>
        <v>0</v>
      </c>
      <c r="C27" s="72" t="s">
        <v>5305</v>
      </c>
      <c r="D27" s="75"/>
      <c r="E27" s="74" t="s">
        <v>85</v>
      </c>
      <c r="F27" s="75"/>
      <c r="G27" s="74">
        <f t="shared" si="1"/>
        <v>0</v>
      </c>
      <c r="H27" s="74"/>
      <c r="I27" s="74">
        <f t="shared" si="2"/>
        <v>0</v>
      </c>
      <c r="J27" s="74"/>
      <c r="K27" s="74">
        <f t="shared" si="4"/>
        <v>0</v>
      </c>
      <c r="L27" s="74"/>
      <c r="M27" s="74">
        <f t="shared" si="3"/>
        <v>0</v>
      </c>
      <c r="N27" s="74">
        <f t="shared" si="5"/>
        <v>0</v>
      </c>
      <c r="O27" s="74">
        <f t="shared" si="6"/>
        <v>0</v>
      </c>
      <c r="P27" s="74">
        <f t="shared" si="7"/>
        <v>0</v>
      </c>
      <c r="Q27" s="74">
        <f t="shared" si="8"/>
        <v>0</v>
      </c>
    </row>
    <row r="28" spans="1:17" s="56" customFormat="1" hidden="1">
      <c r="A28" s="71"/>
      <c r="B28" s="72">
        <f t="shared" si="0"/>
        <v>0</v>
      </c>
      <c r="C28" s="72" t="s">
        <v>3368</v>
      </c>
      <c r="D28" s="75">
        <f>ROUND(Data!K129,2)</f>
        <v>174.02</v>
      </c>
      <c r="E28" s="74" t="s">
        <v>5296</v>
      </c>
      <c r="F28" s="75"/>
      <c r="G28" s="74">
        <f t="shared" si="1"/>
        <v>0</v>
      </c>
      <c r="H28" s="74"/>
      <c r="I28" s="74">
        <f t="shared" si="2"/>
        <v>0</v>
      </c>
      <c r="J28" s="74"/>
      <c r="K28" s="74">
        <f t="shared" si="4"/>
        <v>0</v>
      </c>
      <c r="L28" s="74"/>
      <c r="M28" s="74">
        <f t="shared" si="3"/>
        <v>0</v>
      </c>
      <c r="N28" s="74">
        <f t="shared" si="5"/>
        <v>0</v>
      </c>
      <c r="O28" s="74">
        <f t="shared" si="6"/>
        <v>0</v>
      </c>
      <c r="P28" s="74">
        <f t="shared" si="7"/>
        <v>0</v>
      </c>
      <c r="Q28" s="74">
        <f t="shared" si="8"/>
        <v>0</v>
      </c>
    </row>
    <row r="29" spans="1:17" hidden="1">
      <c r="A29" s="71"/>
      <c r="B29" s="72">
        <f t="shared" si="0"/>
        <v>0</v>
      </c>
      <c r="C29" s="72" t="s">
        <v>5297</v>
      </c>
      <c r="D29" s="75">
        <f>ROUND(Data!K130,2)</f>
        <v>185.24</v>
      </c>
      <c r="E29" s="74" t="s">
        <v>5296</v>
      </c>
      <c r="F29" s="75"/>
      <c r="G29" s="74">
        <f t="shared" si="1"/>
        <v>0</v>
      </c>
      <c r="H29" s="74"/>
      <c r="I29" s="74">
        <f t="shared" si="2"/>
        <v>0</v>
      </c>
      <c r="J29" s="74"/>
      <c r="K29" s="74">
        <f t="shared" si="4"/>
        <v>0</v>
      </c>
      <c r="L29" s="74"/>
      <c r="M29" s="74">
        <f t="shared" si="3"/>
        <v>0</v>
      </c>
      <c r="N29" s="74">
        <f t="shared" si="5"/>
        <v>0</v>
      </c>
      <c r="O29" s="74">
        <f t="shared" si="6"/>
        <v>0</v>
      </c>
      <c r="P29" s="74">
        <f t="shared" si="7"/>
        <v>0</v>
      </c>
      <c r="Q29" s="74">
        <f t="shared" si="8"/>
        <v>0</v>
      </c>
    </row>
    <row r="30" spans="1:17" hidden="1">
      <c r="A30" s="71">
        <v>1.9</v>
      </c>
      <c r="B30" s="72">
        <f t="shared" si="0"/>
        <v>0</v>
      </c>
      <c r="C30" s="72" t="s">
        <v>5306</v>
      </c>
      <c r="D30" s="75"/>
      <c r="E30" s="74"/>
      <c r="F30" s="75"/>
      <c r="G30" s="74">
        <f t="shared" si="1"/>
        <v>0</v>
      </c>
      <c r="H30" s="74"/>
      <c r="I30" s="74">
        <f t="shared" si="2"/>
        <v>0</v>
      </c>
      <c r="J30" s="74"/>
      <c r="K30" s="74">
        <f t="shared" si="4"/>
        <v>0</v>
      </c>
      <c r="L30" s="74"/>
      <c r="M30" s="74">
        <f t="shared" si="3"/>
        <v>0</v>
      </c>
      <c r="N30" s="74">
        <f t="shared" si="5"/>
        <v>0</v>
      </c>
      <c r="O30" s="74">
        <f t="shared" si="6"/>
        <v>0</v>
      </c>
      <c r="P30" s="74">
        <f t="shared" si="7"/>
        <v>0</v>
      </c>
      <c r="Q30" s="74">
        <f t="shared" si="8"/>
        <v>0</v>
      </c>
    </row>
    <row r="31" spans="1:17" hidden="1">
      <c r="A31" s="71"/>
      <c r="B31" s="72">
        <f t="shared" si="0"/>
        <v>0</v>
      </c>
      <c r="C31" s="72" t="s">
        <v>5307</v>
      </c>
      <c r="D31" s="75"/>
      <c r="E31" s="74" t="s">
        <v>13</v>
      </c>
      <c r="F31" s="75"/>
      <c r="G31" s="74">
        <f t="shared" si="1"/>
        <v>0</v>
      </c>
      <c r="H31" s="74"/>
      <c r="I31" s="74">
        <f t="shared" si="2"/>
        <v>0</v>
      </c>
      <c r="J31" s="74"/>
      <c r="K31" s="74">
        <f t="shared" si="4"/>
        <v>0</v>
      </c>
      <c r="L31" s="74"/>
      <c r="M31" s="74">
        <f t="shared" si="3"/>
        <v>0</v>
      </c>
      <c r="N31" s="74">
        <f t="shared" si="5"/>
        <v>0</v>
      </c>
      <c r="O31" s="74">
        <f t="shared" si="6"/>
        <v>0</v>
      </c>
      <c r="P31" s="74">
        <f t="shared" si="7"/>
        <v>0</v>
      </c>
      <c r="Q31" s="74">
        <f t="shared" si="8"/>
        <v>0</v>
      </c>
    </row>
    <row r="32" spans="1:17" hidden="1">
      <c r="A32" s="71"/>
      <c r="B32" s="72">
        <f t="shared" si="0"/>
        <v>0</v>
      </c>
      <c r="C32" s="72" t="s">
        <v>5308</v>
      </c>
      <c r="D32" s="75"/>
      <c r="E32" s="74" t="s">
        <v>13</v>
      </c>
      <c r="F32" s="75"/>
      <c r="G32" s="74">
        <f t="shared" si="1"/>
        <v>0</v>
      </c>
      <c r="H32" s="74"/>
      <c r="I32" s="74">
        <f t="shared" si="2"/>
        <v>0</v>
      </c>
      <c r="J32" s="74"/>
      <c r="K32" s="74">
        <f t="shared" si="4"/>
        <v>0</v>
      </c>
      <c r="L32" s="74"/>
      <c r="M32" s="74">
        <f t="shared" si="3"/>
        <v>0</v>
      </c>
      <c r="N32" s="74">
        <f t="shared" si="5"/>
        <v>0</v>
      </c>
      <c r="O32" s="74">
        <f t="shared" si="6"/>
        <v>0</v>
      </c>
      <c r="P32" s="74">
        <f t="shared" si="7"/>
        <v>0</v>
      </c>
      <c r="Q32" s="74">
        <f t="shared" si="8"/>
        <v>0</v>
      </c>
    </row>
    <row r="33" spans="1:17" hidden="1">
      <c r="A33" s="71"/>
      <c r="B33" s="72">
        <f t="shared" si="0"/>
        <v>0</v>
      </c>
      <c r="C33" s="72" t="s">
        <v>5309</v>
      </c>
      <c r="D33" s="75"/>
      <c r="E33" s="74" t="s">
        <v>13</v>
      </c>
      <c r="F33" s="75"/>
      <c r="G33" s="74">
        <f t="shared" si="1"/>
        <v>0</v>
      </c>
      <c r="H33" s="74"/>
      <c r="I33" s="74">
        <f t="shared" si="2"/>
        <v>0</v>
      </c>
      <c r="J33" s="74"/>
      <c r="K33" s="74">
        <f t="shared" si="4"/>
        <v>0</v>
      </c>
      <c r="L33" s="74"/>
      <c r="M33" s="74">
        <f t="shared" si="3"/>
        <v>0</v>
      </c>
      <c r="N33" s="74">
        <f t="shared" si="5"/>
        <v>0</v>
      </c>
      <c r="O33" s="74">
        <f t="shared" si="6"/>
        <v>0</v>
      </c>
      <c r="P33" s="74">
        <f t="shared" si="7"/>
        <v>0</v>
      </c>
      <c r="Q33" s="74">
        <f t="shared" si="8"/>
        <v>0</v>
      </c>
    </row>
    <row r="34" spans="1:17" hidden="1">
      <c r="A34" s="71"/>
      <c r="B34" s="72">
        <f t="shared" si="0"/>
        <v>0</v>
      </c>
      <c r="C34" s="72" t="s">
        <v>5310</v>
      </c>
      <c r="D34" s="75"/>
      <c r="E34" s="74" t="s">
        <v>13</v>
      </c>
      <c r="F34" s="75"/>
      <c r="G34" s="74">
        <f t="shared" si="1"/>
        <v>0</v>
      </c>
      <c r="H34" s="74"/>
      <c r="I34" s="74">
        <f t="shared" si="2"/>
        <v>0</v>
      </c>
      <c r="J34" s="74"/>
      <c r="K34" s="74">
        <f t="shared" si="4"/>
        <v>0</v>
      </c>
      <c r="L34" s="74"/>
      <c r="M34" s="74">
        <f t="shared" si="3"/>
        <v>0</v>
      </c>
      <c r="N34" s="74">
        <f t="shared" si="5"/>
        <v>0</v>
      </c>
      <c r="O34" s="74">
        <f t="shared" si="6"/>
        <v>0</v>
      </c>
      <c r="P34" s="74">
        <f t="shared" si="7"/>
        <v>0</v>
      </c>
      <c r="Q34" s="74">
        <f t="shared" si="8"/>
        <v>0</v>
      </c>
    </row>
    <row r="35" spans="1:17" hidden="1">
      <c r="A35" s="71"/>
      <c r="B35" s="72">
        <f t="shared" si="0"/>
        <v>0</v>
      </c>
      <c r="C35" s="72" t="s">
        <v>5311</v>
      </c>
      <c r="D35" s="75"/>
      <c r="E35" s="74" t="s">
        <v>13</v>
      </c>
      <c r="F35" s="75"/>
      <c r="G35" s="74">
        <f t="shared" si="1"/>
        <v>0</v>
      </c>
      <c r="H35" s="74"/>
      <c r="I35" s="74">
        <f t="shared" si="2"/>
        <v>0</v>
      </c>
      <c r="J35" s="74"/>
      <c r="K35" s="74">
        <f t="shared" si="4"/>
        <v>0</v>
      </c>
      <c r="L35" s="74"/>
      <c r="M35" s="74">
        <f t="shared" si="3"/>
        <v>0</v>
      </c>
      <c r="N35" s="74">
        <f t="shared" si="5"/>
        <v>0</v>
      </c>
      <c r="O35" s="74">
        <f t="shared" si="6"/>
        <v>0</v>
      </c>
      <c r="P35" s="74">
        <f t="shared" si="7"/>
        <v>0</v>
      </c>
      <c r="Q35" s="74">
        <f t="shared" si="8"/>
        <v>0</v>
      </c>
    </row>
    <row r="36" spans="1:17" hidden="1">
      <c r="A36" s="71"/>
      <c r="B36" s="72">
        <f t="shared" si="0"/>
        <v>0</v>
      </c>
      <c r="C36" s="72" t="s">
        <v>5312</v>
      </c>
      <c r="D36" s="75"/>
      <c r="E36" s="74" t="s">
        <v>13</v>
      </c>
      <c r="F36" s="75"/>
      <c r="G36" s="74">
        <f t="shared" si="1"/>
        <v>0</v>
      </c>
      <c r="H36" s="74"/>
      <c r="I36" s="74">
        <f t="shared" si="2"/>
        <v>0</v>
      </c>
      <c r="J36" s="74"/>
      <c r="K36" s="74">
        <f t="shared" si="4"/>
        <v>0</v>
      </c>
      <c r="L36" s="74"/>
      <c r="M36" s="74">
        <f t="shared" si="3"/>
        <v>0</v>
      </c>
      <c r="N36" s="74">
        <f t="shared" si="5"/>
        <v>0</v>
      </c>
      <c r="O36" s="74">
        <f t="shared" si="6"/>
        <v>0</v>
      </c>
      <c r="P36" s="74">
        <f t="shared" si="7"/>
        <v>0</v>
      </c>
      <c r="Q36" s="74">
        <f t="shared" si="8"/>
        <v>0</v>
      </c>
    </row>
    <row r="37" spans="1:17" s="56" customFormat="1">
      <c r="A37" s="71">
        <v>2.1</v>
      </c>
      <c r="B37" s="72">
        <f t="shared" si="0"/>
        <v>71.3</v>
      </c>
      <c r="C37" s="72" t="s">
        <v>5313</v>
      </c>
      <c r="D37" s="75">
        <f>ROUND(Data!K144,2)</f>
        <v>1678.12</v>
      </c>
      <c r="E37" s="74" t="s">
        <v>5296</v>
      </c>
      <c r="F37" s="1425">
        <f>'Detail '!I49</f>
        <v>71.3</v>
      </c>
      <c r="G37" s="74">
        <f t="shared" si="1"/>
        <v>119649.96</v>
      </c>
      <c r="H37" s="74"/>
      <c r="I37" s="74">
        <f t="shared" si="2"/>
        <v>0</v>
      </c>
      <c r="J37" s="74"/>
      <c r="K37" s="74">
        <f t="shared" si="4"/>
        <v>0</v>
      </c>
      <c r="L37" s="74"/>
      <c r="M37" s="74">
        <f t="shared" si="3"/>
        <v>0</v>
      </c>
      <c r="N37" s="74">
        <f t="shared" si="5"/>
        <v>0</v>
      </c>
      <c r="O37" s="74">
        <f t="shared" si="6"/>
        <v>0</v>
      </c>
      <c r="P37" s="74">
        <f t="shared" si="7"/>
        <v>71.3</v>
      </c>
      <c r="Q37" s="74">
        <f t="shared" si="8"/>
        <v>119649.96</v>
      </c>
    </row>
    <row r="38" spans="1:17" ht="43.9" hidden="1" customHeight="1">
      <c r="A38" s="71">
        <v>2.2000000000000002</v>
      </c>
      <c r="B38" s="72">
        <f t="shared" si="0"/>
        <v>0</v>
      </c>
      <c r="C38" s="72" t="s">
        <v>5314</v>
      </c>
      <c r="D38" s="75">
        <f>ROUND(Data!K161,2)</f>
        <v>1547.55</v>
      </c>
      <c r="E38" s="74" t="s">
        <v>5296</v>
      </c>
      <c r="F38" s="75"/>
      <c r="G38" s="74">
        <f t="shared" si="1"/>
        <v>0</v>
      </c>
      <c r="H38" s="74"/>
      <c r="I38" s="74">
        <f t="shared" si="2"/>
        <v>0</v>
      </c>
      <c r="J38" s="74"/>
      <c r="K38" s="74">
        <f t="shared" si="4"/>
        <v>0</v>
      </c>
      <c r="L38" s="74"/>
      <c r="M38" s="74">
        <f t="shared" si="3"/>
        <v>0</v>
      </c>
      <c r="N38" s="74">
        <f t="shared" si="5"/>
        <v>0</v>
      </c>
      <c r="O38" s="74">
        <f t="shared" si="6"/>
        <v>0</v>
      </c>
      <c r="P38" s="74">
        <f t="shared" si="7"/>
        <v>0</v>
      </c>
      <c r="Q38" s="74">
        <f t="shared" si="8"/>
        <v>0</v>
      </c>
    </row>
    <row r="39" spans="1:17" s="55" customFormat="1" ht="46.5" hidden="1" customHeight="1">
      <c r="A39" s="71">
        <v>2.2999999999999998</v>
      </c>
      <c r="B39" s="72">
        <f t="shared" si="0"/>
        <v>0</v>
      </c>
      <c r="C39" s="72" t="s">
        <v>5315</v>
      </c>
      <c r="D39" s="75">
        <f>ROUND(Data!C165,2)</f>
        <v>857.9</v>
      </c>
      <c r="E39" s="74" t="s">
        <v>5296</v>
      </c>
      <c r="F39" s="75"/>
      <c r="G39" s="74">
        <f t="shared" si="1"/>
        <v>0</v>
      </c>
      <c r="H39" s="74"/>
      <c r="I39" s="74">
        <f t="shared" si="2"/>
        <v>0</v>
      </c>
      <c r="J39" s="74"/>
      <c r="K39" s="74">
        <f t="shared" si="4"/>
        <v>0</v>
      </c>
      <c r="L39" s="74"/>
      <c r="M39" s="74">
        <f t="shared" si="3"/>
        <v>0</v>
      </c>
      <c r="N39" s="74">
        <f t="shared" si="5"/>
        <v>0</v>
      </c>
      <c r="O39" s="74">
        <f t="shared" si="6"/>
        <v>0</v>
      </c>
      <c r="P39" s="74">
        <f t="shared" si="7"/>
        <v>0</v>
      </c>
      <c r="Q39" s="74">
        <f t="shared" si="8"/>
        <v>0</v>
      </c>
    </row>
    <row r="40" spans="1:17" s="55" customFormat="1" ht="46.5" hidden="1" customHeight="1">
      <c r="A40" s="71">
        <v>2.4</v>
      </c>
      <c r="B40" s="72">
        <f t="shared" si="0"/>
        <v>0</v>
      </c>
      <c r="C40" s="72" t="s">
        <v>5316</v>
      </c>
      <c r="D40" s="75">
        <f>ROUND(Data!C166,2)</f>
        <v>938.9</v>
      </c>
      <c r="E40" s="74" t="s">
        <v>5296</v>
      </c>
      <c r="F40" s="75"/>
      <c r="G40" s="74">
        <f t="shared" si="1"/>
        <v>0</v>
      </c>
      <c r="H40" s="74"/>
      <c r="I40" s="74">
        <f t="shared" si="2"/>
        <v>0</v>
      </c>
      <c r="J40" s="74"/>
      <c r="K40" s="74">
        <f t="shared" si="4"/>
        <v>0</v>
      </c>
      <c r="L40" s="74"/>
      <c r="M40" s="74">
        <f t="shared" si="3"/>
        <v>0</v>
      </c>
      <c r="N40" s="74">
        <f t="shared" si="5"/>
        <v>0</v>
      </c>
      <c r="O40" s="74">
        <f t="shared" si="6"/>
        <v>0</v>
      </c>
      <c r="P40" s="74">
        <f t="shared" si="7"/>
        <v>0</v>
      </c>
      <c r="Q40" s="74">
        <f t="shared" si="8"/>
        <v>0</v>
      </c>
    </row>
    <row r="41" spans="1:17" ht="22.5" hidden="1" customHeight="1">
      <c r="A41" s="71">
        <v>2.5</v>
      </c>
      <c r="B41" s="72">
        <f t="shared" si="0"/>
        <v>0</v>
      </c>
      <c r="C41" s="72" t="s">
        <v>5317</v>
      </c>
      <c r="D41" s="75">
        <f>ROUND(Data!K189,2)</f>
        <v>375.43</v>
      </c>
      <c r="E41" s="74" t="s">
        <v>5296</v>
      </c>
      <c r="F41" s="75"/>
      <c r="G41" s="74">
        <f t="shared" si="1"/>
        <v>0</v>
      </c>
      <c r="H41" s="74"/>
      <c r="I41" s="74">
        <f t="shared" si="2"/>
        <v>0</v>
      </c>
      <c r="J41" s="74"/>
      <c r="K41" s="74">
        <f t="shared" si="4"/>
        <v>0</v>
      </c>
      <c r="L41" s="74"/>
      <c r="M41" s="74">
        <f t="shared" si="3"/>
        <v>0</v>
      </c>
      <c r="N41" s="74">
        <f t="shared" si="5"/>
        <v>0</v>
      </c>
      <c r="O41" s="74">
        <f t="shared" si="6"/>
        <v>0</v>
      </c>
      <c r="P41" s="74">
        <f t="shared" si="7"/>
        <v>0</v>
      </c>
      <c r="Q41" s="74">
        <f t="shared" si="8"/>
        <v>0</v>
      </c>
    </row>
    <row r="42" spans="1:17" ht="48" hidden="1" customHeight="1">
      <c r="A42" s="71">
        <v>2.6</v>
      </c>
      <c r="B42" s="72">
        <f t="shared" si="0"/>
        <v>0</v>
      </c>
      <c r="C42" s="72" t="s">
        <v>5318</v>
      </c>
      <c r="D42" s="75">
        <f>ROUND(Data!K171,2)</f>
        <v>1357.63</v>
      </c>
      <c r="E42" s="74" t="s">
        <v>5296</v>
      </c>
      <c r="F42" s="75"/>
      <c r="G42" s="74">
        <f t="shared" si="1"/>
        <v>0</v>
      </c>
      <c r="H42" s="74"/>
      <c r="I42" s="74">
        <f t="shared" si="2"/>
        <v>0</v>
      </c>
      <c r="J42" s="74"/>
      <c r="K42" s="74">
        <f t="shared" si="4"/>
        <v>0</v>
      </c>
      <c r="L42" s="74"/>
      <c r="M42" s="74">
        <f t="shared" si="3"/>
        <v>0</v>
      </c>
      <c r="N42" s="74">
        <f t="shared" si="5"/>
        <v>0</v>
      </c>
      <c r="O42" s="74">
        <f t="shared" si="6"/>
        <v>0</v>
      </c>
      <c r="P42" s="74">
        <f t="shared" si="7"/>
        <v>0</v>
      </c>
      <c r="Q42" s="74">
        <f t="shared" si="8"/>
        <v>0</v>
      </c>
    </row>
    <row r="43" spans="1:17" ht="48" hidden="1" customHeight="1">
      <c r="A43" s="71">
        <v>2.7</v>
      </c>
      <c r="B43" s="72">
        <f t="shared" si="0"/>
        <v>0</v>
      </c>
      <c r="C43" s="72" t="s">
        <v>5319</v>
      </c>
      <c r="D43" s="75">
        <f>ROUND(Data!K179,2)</f>
        <v>1770.63</v>
      </c>
      <c r="E43" s="74" t="s">
        <v>5296</v>
      </c>
      <c r="F43" s="75"/>
      <c r="G43" s="74">
        <f t="shared" si="1"/>
        <v>0</v>
      </c>
      <c r="H43" s="74"/>
      <c r="I43" s="74">
        <f t="shared" si="2"/>
        <v>0</v>
      </c>
      <c r="J43" s="74"/>
      <c r="K43" s="74">
        <f t="shared" si="4"/>
        <v>0</v>
      </c>
      <c r="L43" s="74"/>
      <c r="M43" s="74">
        <f t="shared" si="3"/>
        <v>0</v>
      </c>
      <c r="N43" s="74">
        <f t="shared" si="5"/>
        <v>0</v>
      </c>
      <c r="O43" s="74">
        <f t="shared" si="6"/>
        <v>0</v>
      </c>
      <c r="P43" s="74">
        <f t="shared" si="7"/>
        <v>0</v>
      </c>
      <c r="Q43" s="74">
        <f t="shared" si="8"/>
        <v>0</v>
      </c>
    </row>
    <row r="44" spans="1:17" s="56" customFormat="1" ht="48" customHeight="1">
      <c r="A44" s="71">
        <v>3.1</v>
      </c>
      <c r="B44" s="72">
        <f t="shared" si="0"/>
        <v>133.19999999999999</v>
      </c>
      <c r="C44" s="72" t="s">
        <v>5320</v>
      </c>
      <c r="D44" s="75">
        <f>ROUND(Data!K204,2)</f>
        <v>4926.24</v>
      </c>
      <c r="E44" s="74" t="s">
        <v>5296</v>
      </c>
      <c r="F44" s="1425">
        <f>'Detail '!I93</f>
        <v>131.4</v>
      </c>
      <c r="G44" s="74">
        <f t="shared" si="1"/>
        <v>647307.93999999994</v>
      </c>
      <c r="H44" s="74"/>
      <c r="I44" s="74">
        <f t="shared" si="2"/>
        <v>0</v>
      </c>
      <c r="J44" s="74">
        <f>Sump!I12</f>
        <v>1.8</v>
      </c>
      <c r="K44" s="74">
        <f t="shared" si="4"/>
        <v>8867.23</v>
      </c>
      <c r="L44" s="74"/>
      <c r="M44" s="74">
        <f t="shared" si="3"/>
        <v>0</v>
      </c>
      <c r="N44" s="74">
        <f t="shared" si="5"/>
        <v>1.8</v>
      </c>
      <c r="O44" s="74">
        <f t="shared" si="6"/>
        <v>8867.23</v>
      </c>
      <c r="P44" s="74">
        <f t="shared" si="7"/>
        <v>133.19999999999999</v>
      </c>
      <c r="Q44" s="74">
        <f t="shared" si="8"/>
        <v>656175.17000000004</v>
      </c>
    </row>
    <row r="45" spans="1:17" ht="60" customHeight="1">
      <c r="A45" s="71">
        <v>3.2</v>
      </c>
      <c r="B45" s="72">
        <f t="shared" si="0"/>
        <v>145.1</v>
      </c>
      <c r="C45" s="72" t="s">
        <v>5321</v>
      </c>
      <c r="D45" s="75">
        <f>ROUND(Data!K219,2)</f>
        <v>6472.62</v>
      </c>
      <c r="E45" s="74" t="s">
        <v>5296</v>
      </c>
      <c r="F45" s="1425">
        <f>'Detail '!I99</f>
        <v>145.1</v>
      </c>
      <c r="G45" s="74">
        <f t="shared" si="1"/>
        <v>939177.16</v>
      </c>
      <c r="H45" s="74"/>
      <c r="I45" s="74">
        <f t="shared" si="2"/>
        <v>0</v>
      </c>
      <c r="J45" s="74"/>
      <c r="K45" s="74">
        <f t="shared" si="4"/>
        <v>0</v>
      </c>
      <c r="L45" s="74"/>
      <c r="M45" s="74">
        <f t="shared" si="3"/>
        <v>0</v>
      </c>
      <c r="N45" s="74">
        <f t="shared" si="5"/>
        <v>0</v>
      </c>
      <c r="O45" s="74">
        <f t="shared" si="6"/>
        <v>0</v>
      </c>
      <c r="P45" s="74">
        <f t="shared" si="7"/>
        <v>145.1</v>
      </c>
      <c r="Q45" s="74">
        <f t="shared" si="8"/>
        <v>939177.16</v>
      </c>
    </row>
    <row r="46" spans="1:17" ht="56.25" hidden="1" customHeight="1">
      <c r="A46" s="71">
        <v>3.3</v>
      </c>
      <c r="B46" s="72">
        <f t="shared" si="0"/>
        <v>0</v>
      </c>
      <c r="C46" s="72" t="s">
        <v>5322</v>
      </c>
      <c r="D46" s="75">
        <f>ROUND(Data!K234,2)</f>
        <v>4255.84</v>
      </c>
      <c r="E46" s="74" t="s">
        <v>5296</v>
      </c>
      <c r="F46" s="75"/>
      <c r="G46" s="74">
        <f t="shared" si="1"/>
        <v>0</v>
      </c>
      <c r="H46" s="74"/>
      <c r="I46" s="74">
        <f t="shared" si="2"/>
        <v>0</v>
      </c>
      <c r="J46" s="74"/>
      <c r="K46" s="74">
        <f t="shared" si="4"/>
        <v>0</v>
      </c>
      <c r="L46" s="74"/>
      <c r="M46" s="74">
        <f t="shared" si="3"/>
        <v>0</v>
      </c>
      <c r="N46" s="74">
        <f t="shared" si="5"/>
        <v>0</v>
      </c>
      <c r="O46" s="74">
        <f t="shared" si="6"/>
        <v>0</v>
      </c>
      <c r="P46" s="74">
        <f t="shared" si="7"/>
        <v>0</v>
      </c>
      <c r="Q46" s="74">
        <f t="shared" si="8"/>
        <v>0</v>
      </c>
    </row>
    <row r="47" spans="1:17" ht="59.25" hidden="1" customHeight="1">
      <c r="A47" s="71">
        <v>3.4</v>
      </c>
      <c r="B47" s="72">
        <f t="shared" si="0"/>
        <v>0</v>
      </c>
      <c r="C47" s="72" t="s">
        <v>5323</v>
      </c>
      <c r="D47" s="75"/>
      <c r="E47" s="74" t="s">
        <v>5324</v>
      </c>
      <c r="F47" s="75"/>
      <c r="G47" s="74">
        <f t="shared" si="1"/>
        <v>0</v>
      </c>
      <c r="H47" s="74"/>
      <c r="I47" s="74">
        <f t="shared" si="2"/>
        <v>0</v>
      </c>
      <c r="J47" s="74"/>
      <c r="K47" s="74">
        <f t="shared" si="4"/>
        <v>0</v>
      </c>
      <c r="L47" s="74"/>
      <c r="M47" s="74">
        <f t="shared" si="3"/>
        <v>0</v>
      </c>
      <c r="N47" s="74">
        <f t="shared" si="5"/>
        <v>0</v>
      </c>
      <c r="O47" s="74">
        <f t="shared" si="6"/>
        <v>0</v>
      </c>
      <c r="P47" s="74">
        <f t="shared" si="7"/>
        <v>0</v>
      </c>
      <c r="Q47" s="74">
        <f t="shared" si="8"/>
        <v>0</v>
      </c>
    </row>
    <row r="48" spans="1:17" ht="46.5" hidden="1" customHeight="1">
      <c r="A48" s="71">
        <v>3.5</v>
      </c>
      <c r="B48" s="72">
        <f t="shared" si="0"/>
        <v>0</v>
      </c>
      <c r="C48" s="72" t="s">
        <v>5325</v>
      </c>
      <c r="D48" s="75"/>
      <c r="E48" s="74" t="s">
        <v>5324</v>
      </c>
      <c r="F48" s="75"/>
      <c r="G48" s="74">
        <f t="shared" si="1"/>
        <v>0</v>
      </c>
      <c r="H48" s="74"/>
      <c r="I48" s="74">
        <f t="shared" si="2"/>
        <v>0</v>
      </c>
      <c r="J48" s="74"/>
      <c r="K48" s="74">
        <f t="shared" si="4"/>
        <v>0</v>
      </c>
      <c r="L48" s="74"/>
      <c r="M48" s="74">
        <f t="shared" si="3"/>
        <v>0</v>
      </c>
      <c r="N48" s="74">
        <f t="shared" si="5"/>
        <v>0</v>
      </c>
      <c r="O48" s="74">
        <f t="shared" si="6"/>
        <v>0</v>
      </c>
      <c r="P48" s="74">
        <f t="shared" si="7"/>
        <v>0</v>
      </c>
      <c r="Q48" s="74">
        <f t="shared" si="8"/>
        <v>0</v>
      </c>
    </row>
    <row r="49" spans="1:17" ht="93" hidden="1" customHeight="1">
      <c r="A49" s="71">
        <v>3.6</v>
      </c>
      <c r="B49" s="72">
        <f t="shared" si="0"/>
        <v>0</v>
      </c>
      <c r="C49" s="72" t="s">
        <v>5326</v>
      </c>
      <c r="D49" s="75">
        <f>ROUND(Data!K249,2)</f>
        <v>188.14</v>
      </c>
      <c r="E49" s="74" t="s">
        <v>5324</v>
      </c>
      <c r="F49" s="75"/>
      <c r="G49" s="74">
        <f t="shared" si="1"/>
        <v>0</v>
      </c>
      <c r="H49" s="74"/>
      <c r="I49" s="74">
        <f t="shared" si="2"/>
        <v>0</v>
      </c>
      <c r="J49" s="74"/>
      <c r="K49" s="74">
        <f t="shared" si="4"/>
        <v>0</v>
      </c>
      <c r="L49" s="74"/>
      <c r="M49" s="74">
        <f t="shared" si="3"/>
        <v>0</v>
      </c>
      <c r="N49" s="74">
        <f t="shared" si="5"/>
        <v>0</v>
      </c>
      <c r="O49" s="74">
        <f t="shared" si="6"/>
        <v>0</v>
      </c>
      <c r="P49" s="74">
        <f t="shared" si="7"/>
        <v>0</v>
      </c>
      <c r="Q49" s="74">
        <f t="shared" si="8"/>
        <v>0</v>
      </c>
    </row>
    <row r="50" spans="1:17" ht="46.5" hidden="1" customHeight="1">
      <c r="A50" s="71">
        <v>3.7</v>
      </c>
      <c r="B50" s="72">
        <f t="shared" si="0"/>
        <v>0</v>
      </c>
      <c r="C50" s="72" t="s">
        <v>5327</v>
      </c>
      <c r="D50" s="75">
        <f>ROUND(Data!K261,2)</f>
        <v>144.66999999999999</v>
      </c>
      <c r="E50" s="74" t="s">
        <v>5324</v>
      </c>
      <c r="F50" s="75"/>
      <c r="G50" s="74">
        <f t="shared" si="1"/>
        <v>0</v>
      </c>
      <c r="H50" s="74"/>
      <c r="I50" s="74">
        <f t="shared" si="2"/>
        <v>0</v>
      </c>
      <c r="J50" s="74"/>
      <c r="K50" s="74">
        <f t="shared" si="4"/>
        <v>0</v>
      </c>
      <c r="L50" s="74"/>
      <c r="M50" s="74">
        <f t="shared" si="3"/>
        <v>0</v>
      </c>
      <c r="N50" s="74">
        <f t="shared" si="5"/>
        <v>0</v>
      </c>
      <c r="O50" s="74">
        <f t="shared" si="6"/>
        <v>0</v>
      </c>
      <c r="P50" s="74">
        <f t="shared" si="7"/>
        <v>0</v>
      </c>
      <c r="Q50" s="74">
        <f t="shared" si="8"/>
        <v>0</v>
      </c>
    </row>
    <row r="51" spans="1:17" ht="25.5" hidden="1" customHeight="1">
      <c r="A51" s="71">
        <v>4.0999999999999996</v>
      </c>
      <c r="B51" s="72">
        <f t="shared" si="0"/>
        <v>0</v>
      </c>
      <c r="C51" s="76" t="s">
        <v>5328</v>
      </c>
      <c r="D51" s="75">
        <f>ROUND(Data!K285,2)</f>
        <v>8096.13</v>
      </c>
      <c r="E51" s="74" t="s">
        <v>5296</v>
      </c>
      <c r="F51" s="75"/>
      <c r="G51" s="74">
        <f t="shared" si="1"/>
        <v>0</v>
      </c>
      <c r="H51" s="74"/>
      <c r="I51" s="74">
        <f t="shared" si="2"/>
        <v>0</v>
      </c>
      <c r="J51" s="74"/>
      <c r="K51" s="74">
        <f t="shared" si="4"/>
        <v>0</v>
      </c>
      <c r="L51" s="74"/>
      <c r="M51" s="74">
        <f t="shared" si="3"/>
        <v>0</v>
      </c>
      <c r="N51" s="74">
        <f t="shared" si="5"/>
        <v>0</v>
      </c>
      <c r="O51" s="74">
        <f t="shared" si="6"/>
        <v>0</v>
      </c>
      <c r="P51" s="74">
        <f t="shared" si="7"/>
        <v>0</v>
      </c>
      <c r="Q51" s="74">
        <f t="shared" si="8"/>
        <v>0</v>
      </c>
    </row>
    <row r="52" spans="1:17" ht="18.75" hidden="1" customHeight="1">
      <c r="A52" s="71">
        <v>4.2</v>
      </c>
      <c r="B52" s="72">
        <f t="shared" si="0"/>
        <v>0</v>
      </c>
      <c r="C52" s="76" t="s">
        <v>5329</v>
      </c>
      <c r="D52" s="75">
        <f>Data!K821</f>
        <v>8746.64</v>
      </c>
      <c r="E52" s="74" t="s">
        <v>5296</v>
      </c>
      <c r="F52" s="75"/>
      <c r="G52" s="74">
        <f t="shared" si="1"/>
        <v>0</v>
      </c>
      <c r="H52" s="74"/>
      <c r="I52" s="74">
        <f t="shared" si="2"/>
        <v>0</v>
      </c>
      <c r="J52" s="74"/>
      <c r="K52" s="74">
        <f t="shared" si="4"/>
        <v>0</v>
      </c>
      <c r="L52" s="74"/>
      <c r="M52" s="74">
        <f t="shared" si="3"/>
        <v>0</v>
      </c>
      <c r="N52" s="74">
        <f t="shared" si="5"/>
        <v>0</v>
      </c>
      <c r="O52" s="74">
        <f t="shared" si="6"/>
        <v>0</v>
      </c>
      <c r="P52" s="74">
        <f t="shared" si="7"/>
        <v>0</v>
      </c>
      <c r="Q52" s="74">
        <f t="shared" si="8"/>
        <v>0</v>
      </c>
    </row>
    <row r="53" spans="1:17" s="55" customFormat="1" ht="71.25" hidden="1" customHeight="1">
      <c r="A53" s="71">
        <v>5</v>
      </c>
      <c r="B53" s="72">
        <f t="shared" si="0"/>
        <v>0</v>
      </c>
      <c r="C53" s="72" t="s">
        <v>5330</v>
      </c>
      <c r="D53" s="75">
        <f>ROUND(Data!K306,2)</f>
        <v>5752.68</v>
      </c>
      <c r="E53" s="74" t="s">
        <v>5296</v>
      </c>
      <c r="F53" s="75"/>
      <c r="G53" s="74">
        <f t="shared" si="1"/>
        <v>0</v>
      </c>
      <c r="H53" s="74"/>
      <c r="I53" s="74">
        <f t="shared" si="2"/>
        <v>0</v>
      </c>
      <c r="J53" s="74"/>
      <c r="K53" s="74">
        <f t="shared" si="4"/>
        <v>0</v>
      </c>
      <c r="L53" s="74"/>
      <c r="M53" s="74">
        <f t="shared" si="3"/>
        <v>0</v>
      </c>
      <c r="N53" s="74">
        <f t="shared" si="5"/>
        <v>0</v>
      </c>
      <c r="O53" s="74">
        <f t="shared" si="6"/>
        <v>0</v>
      </c>
      <c r="P53" s="74">
        <f t="shared" si="7"/>
        <v>0</v>
      </c>
      <c r="Q53" s="74">
        <f t="shared" si="8"/>
        <v>0</v>
      </c>
    </row>
    <row r="54" spans="1:17" ht="69.75" hidden="1" customHeight="1">
      <c r="A54" s="71">
        <v>6.1</v>
      </c>
      <c r="B54" s="72">
        <f t="shared" si="0"/>
        <v>0</v>
      </c>
      <c r="C54" s="76" t="s">
        <v>5331</v>
      </c>
      <c r="D54" s="75">
        <f>Data!X321</f>
        <v>7075.46</v>
      </c>
      <c r="E54" s="74" t="s">
        <v>5296</v>
      </c>
      <c r="F54" s="75"/>
      <c r="G54" s="74">
        <f t="shared" si="1"/>
        <v>0</v>
      </c>
      <c r="H54" s="74"/>
      <c r="I54" s="74">
        <f t="shared" si="2"/>
        <v>0</v>
      </c>
      <c r="J54" s="74"/>
      <c r="K54" s="74">
        <f t="shared" si="4"/>
        <v>0</v>
      </c>
      <c r="L54" s="74"/>
      <c r="M54" s="74">
        <f t="shared" si="3"/>
        <v>0</v>
      </c>
      <c r="N54" s="74">
        <f t="shared" si="5"/>
        <v>0</v>
      </c>
      <c r="O54" s="74">
        <f t="shared" si="6"/>
        <v>0</v>
      </c>
      <c r="P54" s="74">
        <f t="shared" si="7"/>
        <v>0</v>
      </c>
      <c r="Q54" s="74">
        <f t="shared" si="8"/>
        <v>0</v>
      </c>
    </row>
    <row r="55" spans="1:17" ht="69.75">
      <c r="A55" s="71">
        <v>6.2</v>
      </c>
      <c r="B55" s="72">
        <f t="shared" si="0"/>
        <v>58</v>
      </c>
      <c r="C55" s="76" t="s">
        <v>5332</v>
      </c>
      <c r="D55" s="75">
        <f>ROUND(Data!AG321,2)</f>
        <v>6739.92</v>
      </c>
      <c r="E55" s="74" t="s">
        <v>5296</v>
      </c>
      <c r="F55" s="1425">
        <f>'Detail '!I436</f>
        <v>58</v>
      </c>
      <c r="G55" s="74">
        <f t="shared" si="1"/>
        <v>390915.36</v>
      </c>
      <c r="H55" s="74"/>
      <c r="I55" s="74">
        <f t="shared" si="2"/>
        <v>0</v>
      </c>
      <c r="J55" s="74"/>
      <c r="K55" s="74">
        <f t="shared" si="4"/>
        <v>0</v>
      </c>
      <c r="L55" s="74"/>
      <c r="M55" s="74">
        <f t="shared" si="3"/>
        <v>0</v>
      </c>
      <c r="N55" s="74">
        <f t="shared" si="5"/>
        <v>0</v>
      </c>
      <c r="O55" s="74">
        <f t="shared" si="6"/>
        <v>0</v>
      </c>
      <c r="P55" s="74">
        <f t="shared" si="7"/>
        <v>58</v>
      </c>
      <c r="Q55" s="74">
        <f t="shared" si="8"/>
        <v>390915.36</v>
      </c>
    </row>
    <row r="56" spans="1:17" ht="69.75" hidden="1" customHeight="1">
      <c r="A56" s="71">
        <v>6.3</v>
      </c>
      <c r="B56" s="72">
        <f t="shared" si="0"/>
        <v>0</v>
      </c>
      <c r="C56" s="76" t="s">
        <v>5333</v>
      </c>
      <c r="D56" s="75"/>
      <c r="E56" s="74" t="s">
        <v>5296</v>
      </c>
      <c r="F56" s="75"/>
      <c r="G56" s="74">
        <f t="shared" si="1"/>
        <v>0</v>
      </c>
      <c r="H56" s="74"/>
      <c r="I56" s="74">
        <f t="shared" si="2"/>
        <v>0</v>
      </c>
      <c r="J56" s="74"/>
      <c r="K56" s="74">
        <f t="shared" si="4"/>
        <v>0</v>
      </c>
      <c r="L56" s="74"/>
      <c r="M56" s="74">
        <f t="shared" si="3"/>
        <v>0</v>
      </c>
      <c r="N56" s="74">
        <f t="shared" si="5"/>
        <v>0</v>
      </c>
      <c r="O56" s="74">
        <f t="shared" si="6"/>
        <v>0</v>
      </c>
      <c r="P56" s="74">
        <f t="shared" si="7"/>
        <v>0</v>
      </c>
      <c r="Q56" s="74">
        <f t="shared" si="8"/>
        <v>0</v>
      </c>
    </row>
    <row r="57" spans="1:17" ht="13.5" hidden="1" customHeight="1">
      <c r="A57" s="71">
        <v>6.4</v>
      </c>
      <c r="B57" s="72">
        <f t="shared" si="0"/>
        <v>0</v>
      </c>
      <c r="C57" s="76" t="s">
        <v>5334</v>
      </c>
      <c r="D57" s="75"/>
      <c r="E57" s="74" t="s">
        <v>5296</v>
      </c>
      <c r="F57" s="75"/>
      <c r="G57" s="74">
        <f t="shared" si="1"/>
        <v>0</v>
      </c>
      <c r="H57" s="74"/>
      <c r="I57" s="74">
        <f t="shared" si="2"/>
        <v>0</v>
      </c>
      <c r="J57" s="74"/>
      <c r="K57" s="74">
        <f t="shared" si="4"/>
        <v>0</v>
      </c>
      <c r="L57" s="74"/>
      <c r="M57" s="74">
        <f t="shared" si="3"/>
        <v>0</v>
      </c>
      <c r="N57" s="74">
        <f t="shared" si="5"/>
        <v>0</v>
      </c>
      <c r="O57" s="74">
        <f t="shared" si="6"/>
        <v>0</v>
      </c>
      <c r="P57" s="74">
        <f t="shared" si="7"/>
        <v>0</v>
      </c>
      <c r="Q57" s="74">
        <f t="shared" si="8"/>
        <v>0</v>
      </c>
    </row>
    <row r="58" spans="1:17" s="55" customFormat="1" ht="80.25" hidden="1" customHeight="1">
      <c r="A58" s="71">
        <v>6.5</v>
      </c>
      <c r="B58" s="72">
        <f t="shared" si="0"/>
        <v>0</v>
      </c>
      <c r="C58" s="76" t="s">
        <v>5335</v>
      </c>
      <c r="D58" s="75">
        <f>Data!K321</f>
        <v>6743.09</v>
      </c>
      <c r="E58" s="74" t="s">
        <v>5296</v>
      </c>
      <c r="F58" s="75"/>
      <c r="G58" s="74">
        <f t="shared" si="1"/>
        <v>0</v>
      </c>
      <c r="H58" s="74"/>
      <c r="I58" s="74">
        <f t="shared" si="2"/>
        <v>0</v>
      </c>
      <c r="J58" s="74"/>
      <c r="K58" s="74">
        <f t="shared" si="4"/>
        <v>0</v>
      </c>
      <c r="L58" s="74"/>
      <c r="M58" s="74">
        <f t="shared" si="3"/>
        <v>0</v>
      </c>
      <c r="N58" s="74">
        <f t="shared" si="5"/>
        <v>0</v>
      </c>
      <c r="O58" s="74">
        <f t="shared" si="6"/>
        <v>0</v>
      </c>
      <c r="P58" s="74">
        <f t="shared" si="7"/>
        <v>0</v>
      </c>
      <c r="Q58" s="74">
        <f t="shared" si="8"/>
        <v>0</v>
      </c>
    </row>
    <row r="59" spans="1:17" ht="69.75" hidden="1" customHeight="1">
      <c r="A59" s="71">
        <v>6.6</v>
      </c>
      <c r="B59" s="72">
        <f t="shared" si="0"/>
        <v>0</v>
      </c>
      <c r="C59" s="76" t="s">
        <v>5336</v>
      </c>
      <c r="D59" s="75"/>
      <c r="E59" s="74" t="s">
        <v>5296</v>
      </c>
      <c r="F59" s="75"/>
      <c r="G59" s="74">
        <f t="shared" si="1"/>
        <v>0</v>
      </c>
      <c r="H59" s="74"/>
      <c r="I59" s="74">
        <f t="shared" si="2"/>
        <v>0</v>
      </c>
      <c r="J59" s="74"/>
      <c r="K59" s="74">
        <f t="shared" si="4"/>
        <v>0</v>
      </c>
      <c r="L59" s="74"/>
      <c r="M59" s="74">
        <f t="shared" si="3"/>
        <v>0</v>
      </c>
      <c r="N59" s="74">
        <f t="shared" si="5"/>
        <v>0</v>
      </c>
      <c r="O59" s="74">
        <f t="shared" si="6"/>
        <v>0</v>
      </c>
      <c r="P59" s="74">
        <f t="shared" si="7"/>
        <v>0</v>
      </c>
      <c r="Q59" s="74">
        <f t="shared" si="8"/>
        <v>0</v>
      </c>
    </row>
    <row r="60" spans="1:17" ht="46.5" hidden="1" customHeight="1">
      <c r="A60" s="71">
        <v>7.1</v>
      </c>
      <c r="B60" s="72">
        <f t="shared" si="0"/>
        <v>0</v>
      </c>
      <c r="C60" s="76" t="s">
        <v>5337</v>
      </c>
      <c r="D60" s="75"/>
      <c r="E60" s="74" t="s">
        <v>5324</v>
      </c>
      <c r="F60" s="75"/>
      <c r="G60" s="74">
        <f t="shared" si="1"/>
        <v>0</v>
      </c>
      <c r="H60" s="74"/>
      <c r="I60" s="74">
        <f t="shared" si="2"/>
        <v>0</v>
      </c>
      <c r="J60" s="74"/>
      <c r="K60" s="74">
        <f t="shared" si="4"/>
        <v>0</v>
      </c>
      <c r="L60" s="74"/>
      <c r="M60" s="74">
        <f t="shared" si="3"/>
        <v>0</v>
      </c>
      <c r="N60" s="74">
        <f t="shared" si="5"/>
        <v>0</v>
      </c>
      <c r="O60" s="74">
        <f t="shared" si="6"/>
        <v>0</v>
      </c>
      <c r="P60" s="74">
        <f t="shared" si="7"/>
        <v>0</v>
      </c>
      <c r="Q60" s="74">
        <f t="shared" si="8"/>
        <v>0</v>
      </c>
    </row>
    <row r="61" spans="1:17" ht="72" customHeight="1">
      <c r="A61" s="71">
        <v>7.2</v>
      </c>
      <c r="B61" s="72">
        <f t="shared" si="0"/>
        <v>36</v>
      </c>
      <c r="C61" s="72" t="s">
        <v>5338</v>
      </c>
      <c r="D61" s="75">
        <f>ROUND(Data!K329,2)</f>
        <v>719</v>
      </c>
      <c r="E61" s="74" t="s">
        <v>5324</v>
      </c>
      <c r="F61" s="1425">
        <f>'Detail '!I102</f>
        <v>36</v>
      </c>
      <c r="G61" s="74">
        <f t="shared" si="1"/>
        <v>25884</v>
      </c>
      <c r="H61" s="74"/>
      <c r="I61" s="74">
        <f t="shared" si="2"/>
        <v>0</v>
      </c>
      <c r="J61" s="74"/>
      <c r="K61" s="74">
        <f t="shared" si="4"/>
        <v>0</v>
      </c>
      <c r="L61" s="74"/>
      <c r="M61" s="74">
        <f t="shared" si="3"/>
        <v>0</v>
      </c>
      <c r="N61" s="74">
        <f t="shared" si="5"/>
        <v>0</v>
      </c>
      <c r="O61" s="74">
        <f t="shared" si="6"/>
        <v>0</v>
      </c>
      <c r="P61" s="74">
        <f t="shared" si="7"/>
        <v>36</v>
      </c>
      <c r="Q61" s="74">
        <f t="shared" si="8"/>
        <v>25884</v>
      </c>
    </row>
    <row r="62" spans="1:17" ht="46.5" hidden="1" customHeight="1">
      <c r="A62" s="71">
        <v>7.3</v>
      </c>
      <c r="B62" s="72">
        <f t="shared" si="0"/>
        <v>0</v>
      </c>
      <c r="C62" s="76" t="s">
        <v>5339</v>
      </c>
      <c r="D62" s="75">
        <f>ROUND(Data!K497,2)</f>
        <v>326.05</v>
      </c>
      <c r="E62" s="74" t="s">
        <v>5324</v>
      </c>
      <c r="F62" s="1425"/>
      <c r="G62" s="74">
        <f t="shared" si="1"/>
        <v>0</v>
      </c>
      <c r="H62" s="74"/>
      <c r="I62" s="74">
        <f t="shared" si="2"/>
        <v>0</v>
      </c>
      <c r="J62" s="74"/>
      <c r="K62" s="74">
        <f t="shared" si="4"/>
        <v>0</v>
      </c>
      <c r="L62" s="74"/>
      <c r="M62" s="74">
        <f t="shared" si="3"/>
        <v>0</v>
      </c>
      <c r="N62" s="74">
        <f t="shared" si="5"/>
        <v>0</v>
      </c>
      <c r="O62" s="74">
        <f t="shared" si="6"/>
        <v>0</v>
      </c>
      <c r="P62" s="74">
        <f t="shared" si="7"/>
        <v>0</v>
      </c>
      <c r="Q62" s="74">
        <f t="shared" si="8"/>
        <v>0</v>
      </c>
    </row>
    <row r="63" spans="1:17" s="56" customFormat="1" ht="25.5" hidden="1" customHeight="1">
      <c r="A63" s="71">
        <v>8.1</v>
      </c>
      <c r="B63" s="72">
        <f t="shared" si="0"/>
        <v>0</v>
      </c>
      <c r="C63" s="76" t="s">
        <v>5340</v>
      </c>
      <c r="D63" s="75"/>
      <c r="E63" s="74"/>
      <c r="F63" s="1425"/>
      <c r="G63" s="74">
        <f t="shared" si="1"/>
        <v>0</v>
      </c>
      <c r="H63" s="74"/>
      <c r="I63" s="74">
        <f t="shared" si="2"/>
        <v>0</v>
      </c>
      <c r="J63" s="74"/>
      <c r="K63" s="74">
        <f t="shared" si="4"/>
        <v>0</v>
      </c>
      <c r="L63" s="74"/>
      <c r="M63" s="74">
        <f t="shared" si="3"/>
        <v>0</v>
      </c>
      <c r="N63" s="74">
        <f t="shared" si="5"/>
        <v>0</v>
      </c>
      <c r="O63" s="74">
        <f t="shared" si="6"/>
        <v>0</v>
      </c>
      <c r="P63" s="74">
        <f t="shared" si="7"/>
        <v>0</v>
      </c>
      <c r="Q63" s="74">
        <f t="shared" si="8"/>
        <v>0</v>
      </c>
    </row>
    <row r="64" spans="1:17" s="56" customFormat="1" ht="25.5" hidden="1" customHeight="1">
      <c r="A64" s="71"/>
      <c r="B64" s="72">
        <f t="shared" si="0"/>
        <v>0</v>
      </c>
      <c r="C64" s="72" t="s">
        <v>5341</v>
      </c>
      <c r="D64" s="75">
        <f>ROUND(Data!K287,2)</f>
        <v>8221.09</v>
      </c>
      <c r="E64" s="74" t="s">
        <v>5296</v>
      </c>
      <c r="F64" s="1425"/>
      <c r="G64" s="74">
        <f t="shared" si="1"/>
        <v>0</v>
      </c>
      <c r="H64" s="74"/>
      <c r="I64" s="74">
        <f t="shared" si="2"/>
        <v>0</v>
      </c>
      <c r="J64" s="74"/>
      <c r="K64" s="74">
        <f t="shared" si="4"/>
        <v>0</v>
      </c>
      <c r="L64" s="74"/>
      <c r="M64" s="74">
        <f t="shared" si="3"/>
        <v>0</v>
      </c>
      <c r="N64" s="74">
        <f t="shared" si="5"/>
        <v>0</v>
      </c>
      <c r="O64" s="74">
        <f t="shared" si="6"/>
        <v>0</v>
      </c>
      <c r="P64" s="74">
        <f t="shared" si="7"/>
        <v>0</v>
      </c>
      <c r="Q64" s="74">
        <f t="shared" si="8"/>
        <v>0</v>
      </c>
    </row>
    <row r="65" spans="1:17" s="56" customFormat="1" ht="25.5" hidden="1" customHeight="1">
      <c r="A65" s="71"/>
      <c r="B65" s="72">
        <f t="shared" si="0"/>
        <v>0</v>
      </c>
      <c r="C65" s="72" t="s">
        <v>5342</v>
      </c>
      <c r="D65" s="75">
        <f>ROUND(Data!K288,2)</f>
        <v>8467.27</v>
      </c>
      <c r="E65" s="74" t="s">
        <v>5296</v>
      </c>
      <c r="F65" s="1425"/>
      <c r="G65" s="74">
        <f t="shared" si="1"/>
        <v>0</v>
      </c>
      <c r="H65" s="74"/>
      <c r="I65" s="74">
        <f t="shared" si="2"/>
        <v>0</v>
      </c>
      <c r="J65" s="74"/>
      <c r="K65" s="74">
        <f t="shared" si="4"/>
        <v>0</v>
      </c>
      <c r="L65" s="74"/>
      <c r="M65" s="74">
        <f t="shared" si="3"/>
        <v>0</v>
      </c>
      <c r="N65" s="74">
        <f t="shared" si="5"/>
        <v>0</v>
      </c>
      <c r="O65" s="74">
        <f t="shared" si="6"/>
        <v>0</v>
      </c>
      <c r="P65" s="74">
        <f t="shared" si="7"/>
        <v>0</v>
      </c>
      <c r="Q65" s="74">
        <f t="shared" si="8"/>
        <v>0</v>
      </c>
    </row>
    <row r="66" spans="1:17" s="56" customFormat="1" ht="25.5" hidden="1" customHeight="1">
      <c r="A66" s="71"/>
      <c r="B66" s="72">
        <f t="shared" si="0"/>
        <v>0</v>
      </c>
      <c r="C66" s="72" t="s">
        <v>5343</v>
      </c>
      <c r="D66" s="75">
        <f>ROUND(Data!K289,2)</f>
        <v>8713.4500000000007</v>
      </c>
      <c r="E66" s="74" t="s">
        <v>5296</v>
      </c>
      <c r="F66" s="1425"/>
      <c r="G66" s="74">
        <f t="shared" si="1"/>
        <v>0</v>
      </c>
      <c r="H66" s="74"/>
      <c r="I66" s="74">
        <f t="shared" si="2"/>
        <v>0</v>
      </c>
      <c r="J66" s="74"/>
      <c r="K66" s="74">
        <f t="shared" si="4"/>
        <v>0</v>
      </c>
      <c r="L66" s="74"/>
      <c r="M66" s="74">
        <f t="shared" si="3"/>
        <v>0</v>
      </c>
      <c r="N66" s="74">
        <f t="shared" si="5"/>
        <v>0</v>
      </c>
      <c r="O66" s="74">
        <f t="shared" si="6"/>
        <v>0</v>
      </c>
      <c r="P66" s="74">
        <f t="shared" si="7"/>
        <v>0</v>
      </c>
      <c r="Q66" s="74">
        <f t="shared" si="8"/>
        <v>0</v>
      </c>
    </row>
    <row r="67" spans="1:17" s="56" customFormat="1" ht="25.5" hidden="1" customHeight="1">
      <c r="A67" s="71"/>
      <c r="B67" s="72">
        <f t="shared" si="0"/>
        <v>0</v>
      </c>
      <c r="C67" s="72" t="s">
        <v>5344</v>
      </c>
      <c r="D67" s="75">
        <f>ROUND(Data!K290,2)</f>
        <v>8959.6299999999992</v>
      </c>
      <c r="E67" s="74" t="s">
        <v>5296</v>
      </c>
      <c r="F67" s="1425"/>
      <c r="G67" s="74">
        <f t="shared" si="1"/>
        <v>0</v>
      </c>
      <c r="H67" s="74"/>
      <c r="I67" s="74">
        <f t="shared" si="2"/>
        <v>0</v>
      </c>
      <c r="J67" s="74"/>
      <c r="K67" s="74">
        <f t="shared" si="4"/>
        <v>0</v>
      </c>
      <c r="L67" s="74"/>
      <c r="M67" s="74">
        <f t="shared" si="3"/>
        <v>0</v>
      </c>
      <c r="N67" s="74">
        <f t="shared" si="5"/>
        <v>0</v>
      </c>
      <c r="O67" s="74">
        <f t="shared" si="6"/>
        <v>0</v>
      </c>
      <c r="P67" s="74">
        <f t="shared" si="7"/>
        <v>0</v>
      </c>
      <c r="Q67" s="74">
        <f t="shared" si="8"/>
        <v>0</v>
      </c>
    </row>
    <row r="68" spans="1:17" s="56" customFormat="1" ht="25.5" hidden="1" customHeight="1">
      <c r="A68" s="77"/>
      <c r="B68" s="72">
        <f t="shared" si="0"/>
        <v>0</v>
      </c>
      <c r="C68" s="72" t="s">
        <v>5345</v>
      </c>
      <c r="D68" s="75">
        <f>ROUND(Data!K291,2)</f>
        <v>9205.81</v>
      </c>
      <c r="E68" s="74" t="s">
        <v>5296</v>
      </c>
      <c r="F68" s="1425"/>
      <c r="G68" s="74">
        <f t="shared" si="1"/>
        <v>0</v>
      </c>
      <c r="H68" s="74"/>
      <c r="I68" s="74">
        <f t="shared" si="2"/>
        <v>0</v>
      </c>
      <c r="J68" s="74"/>
      <c r="K68" s="74">
        <f t="shared" si="4"/>
        <v>0</v>
      </c>
      <c r="L68" s="74"/>
      <c r="M68" s="74">
        <f t="shared" si="3"/>
        <v>0</v>
      </c>
      <c r="N68" s="74">
        <f t="shared" si="5"/>
        <v>0</v>
      </c>
      <c r="O68" s="74">
        <f t="shared" si="6"/>
        <v>0</v>
      </c>
      <c r="P68" s="74">
        <f t="shared" si="7"/>
        <v>0</v>
      </c>
      <c r="Q68" s="74">
        <f t="shared" si="8"/>
        <v>0</v>
      </c>
    </row>
    <row r="69" spans="1:17" ht="25.5" hidden="1" customHeight="1">
      <c r="A69" s="71">
        <v>8.1999999999999993</v>
      </c>
      <c r="B69" s="72">
        <f t="shared" ref="B69:B132" si="9">P69</f>
        <v>0</v>
      </c>
      <c r="C69" s="76" t="s">
        <v>5346</v>
      </c>
      <c r="D69" s="75"/>
      <c r="E69" s="74"/>
      <c r="F69" s="1425"/>
      <c r="G69" s="74">
        <f t="shared" si="1"/>
        <v>0</v>
      </c>
      <c r="H69" s="74"/>
      <c r="I69" s="74">
        <f t="shared" si="2"/>
        <v>0</v>
      </c>
      <c r="J69" s="74"/>
      <c r="K69" s="74">
        <f t="shared" si="4"/>
        <v>0</v>
      </c>
      <c r="L69" s="74"/>
      <c r="M69" s="74">
        <f t="shared" si="3"/>
        <v>0</v>
      </c>
      <c r="N69" s="74">
        <f t="shared" si="5"/>
        <v>0</v>
      </c>
      <c r="O69" s="74">
        <f t="shared" si="6"/>
        <v>0</v>
      </c>
      <c r="P69" s="74">
        <f t="shared" si="7"/>
        <v>0</v>
      </c>
      <c r="Q69" s="74">
        <f t="shared" si="8"/>
        <v>0</v>
      </c>
    </row>
    <row r="70" spans="1:17" ht="25.5" hidden="1" customHeight="1">
      <c r="A70" s="72"/>
      <c r="B70" s="72">
        <f t="shared" si="9"/>
        <v>0</v>
      </c>
      <c r="C70" s="72" t="s">
        <v>5341</v>
      </c>
      <c r="D70" s="75">
        <f>ROUND(Data!K823,2)</f>
        <v>8871.6</v>
      </c>
      <c r="E70" s="74" t="s">
        <v>5296</v>
      </c>
      <c r="F70" s="1425"/>
      <c r="G70" s="74">
        <f t="shared" ref="G70:G133" si="10">F70*D70</f>
        <v>0</v>
      </c>
      <c r="H70" s="74"/>
      <c r="I70" s="74">
        <f t="shared" ref="I70:I133" si="11">H70*D70</f>
        <v>0</v>
      </c>
      <c r="J70" s="74"/>
      <c r="K70" s="74">
        <f t="shared" ref="K70:K133" si="12">J70*D70</f>
        <v>0</v>
      </c>
      <c r="L70" s="74"/>
      <c r="M70" s="74">
        <f t="shared" ref="M70:M133" si="13">L70*D70</f>
        <v>0</v>
      </c>
      <c r="N70" s="74">
        <f t="shared" ref="N70:N133" si="14">H70+J70+L70</f>
        <v>0</v>
      </c>
      <c r="O70" s="74">
        <f t="shared" ref="O70:O133" si="15">N70*D70</f>
        <v>0</v>
      </c>
      <c r="P70" s="74">
        <f t="shared" ref="P70:P133" si="16">N70+F70</f>
        <v>0</v>
      </c>
      <c r="Q70" s="74">
        <f t="shared" ref="Q70:Q133" si="17">P70*D70</f>
        <v>0</v>
      </c>
    </row>
    <row r="71" spans="1:17" ht="25.5" hidden="1" customHeight="1">
      <c r="A71" s="72"/>
      <c r="B71" s="72">
        <f t="shared" si="9"/>
        <v>0</v>
      </c>
      <c r="C71" s="72" t="s">
        <v>5342</v>
      </c>
      <c r="D71" s="75">
        <f>ROUND(Data!K824,2)</f>
        <v>9117.7800000000007</v>
      </c>
      <c r="E71" s="74" t="s">
        <v>5296</v>
      </c>
      <c r="F71" s="1425"/>
      <c r="G71" s="74">
        <f t="shared" si="10"/>
        <v>0</v>
      </c>
      <c r="H71" s="74"/>
      <c r="I71" s="74">
        <f t="shared" si="11"/>
        <v>0</v>
      </c>
      <c r="J71" s="74"/>
      <c r="K71" s="74">
        <f t="shared" si="12"/>
        <v>0</v>
      </c>
      <c r="L71" s="74"/>
      <c r="M71" s="74">
        <f t="shared" si="13"/>
        <v>0</v>
      </c>
      <c r="N71" s="74">
        <f t="shared" si="14"/>
        <v>0</v>
      </c>
      <c r="O71" s="74">
        <f t="shared" si="15"/>
        <v>0</v>
      </c>
      <c r="P71" s="74">
        <f t="shared" si="16"/>
        <v>0</v>
      </c>
      <c r="Q71" s="74">
        <f t="shared" si="17"/>
        <v>0</v>
      </c>
    </row>
    <row r="72" spans="1:17" ht="25.5" hidden="1" customHeight="1">
      <c r="A72" s="72"/>
      <c r="B72" s="72">
        <f t="shared" si="9"/>
        <v>0</v>
      </c>
      <c r="C72" s="72" t="s">
        <v>5343</v>
      </c>
      <c r="D72" s="75">
        <f>ROUND(Data!K825,2)</f>
        <v>9363.9599999999991</v>
      </c>
      <c r="E72" s="74" t="s">
        <v>5296</v>
      </c>
      <c r="F72" s="1425"/>
      <c r="G72" s="74">
        <f t="shared" si="10"/>
        <v>0</v>
      </c>
      <c r="H72" s="74"/>
      <c r="I72" s="74">
        <f t="shared" si="11"/>
        <v>0</v>
      </c>
      <c r="J72" s="74"/>
      <c r="K72" s="74">
        <f t="shared" si="12"/>
        <v>0</v>
      </c>
      <c r="L72" s="74"/>
      <c r="M72" s="74">
        <f t="shared" si="13"/>
        <v>0</v>
      </c>
      <c r="N72" s="74">
        <f t="shared" si="14"/>
        <v>0</v>
      </c>
      <c r="O72" s="74">
        <f t="shared" si="15"/>
        <v>0</v>
      </c>
      <c r="P72" s="74">
        <f t="shared" si="16"/>
        <v>0</v>
      </c>
      <c r="Q72" s="74">
        <f t="shared" si="17"/>
        <v>0</v>
      </c>
    </row>
    <row r="73" spans="1:17" ht="25.5" hidden="1" customHeight="1">
      <c r="A73" s="72"/>
      <c r="B73" s="72">
        <f t="shared" si="9"/>
        <v>0</v>
      </c>
      <c r="C73" s="72" t="s">
        <v>5344</v>
      </c>
      <c r="D73" s="75">
        <f>ROUND(Data!K826,2)</f>
        <v>9610.14</v>
      </c>
      <c r="E73" s="74" t="s">
        <v>5296</v>
      </c>
      <c r="F73" s="1425"/>
      <c r="G73" s="74">
        <f t="shared" si="10"/>
        <v>0</v>
      </c>
      <c r="H73" s="74"/>
      <c r="I73" s="74">
        <f t="shared" si="11"/>
        <v>0</v>
      </c>
      <c r="J73" s="74"/>
      <c r="K73" s="74">
        <f t="shared" si="12"/>
        <v>0</v>
      </c>
      <c r="L73" s="74"/>
      <c r="M73" s="74">
        <f t="shared" si="13"/>
        <v>0</v>
      </c>
      <c r="N73" s="74">
        <f t="shared" si="14"/>
        <v>0</v>
      </c>
      <c r="O73" s="74">
        <f t="shared" si="15"/>
        <v>0</v>
      </c>
      <c r="P73" s="74">
        <f t="shared" si="16"/>
        <v>0</v>
      </c>
      <c r="Q73" s="74">
        <f t="shared" si="17"/>
        <v>0</v>
      </c>
    </row>
    <row r="74" spans="1:17" ht="25.5" hidden="1" customHeight="1">
      <c r="A74" s="71"/>
      <c r="B74" s="72">
        <f t="shared" si="9"/>
        <v>0</v>
      </c>
      <c r="C74" s="72" t="s">
        <v>5345</v>
      </c>
      <c r="D74" s="75">
        <f>ROUND(Data!K827,2)</f>
        <v>9856.32</v>
      </c>
      <c r="E74" s="74" t="s">
        <v>5296</v>
      </c>
      <c r="F74" s="1425"/>
      <c r="G74" s="74">
        <f t="shared" si="10"/>
        <v>0</v>
      </c>
      <c r="H74" s="74"/>
      <c r="I74" s="74">
        <f t="shared" si="11"/>
        <v>0</v>
      </c>
      <c r="J74" s="74"/>
      <c r="K74" s="74">
        <f t="shared" si="12"/>
        <v>0</v>
      </c>
      <c r="L74" s="74"/>
      <c r="M74" s="74">
        <f t="shared" si="13"/>
        <v>0</v>
      </c>
      <c r="N74" s="74">
        <f t="shared" si="14"/>
        <v>0</v>
      </c>
      <c r="O74" s="74">
        <f t="shared" si="15"/>
        <v>0</v>
      </c>
      <c r="P74" s="74">
        <f t="shared" si="16"/>
        <v>0</v>
      </c>
      <c r="Q74" s="74">
        <f t="shared" si="17"/>
        <v>0</v>
      </c>
    </row>
    <row r="75" spans="1:17" ht="25.5" hidden="1" customHeight="1">
      <c r="A75" s="71"/>
      <c r="B75" s="72">
        <f t="shared" si="9"/>
        <v>0</v>
      </c>
      <c r="C75" s="72" t="s">
        <v>5347</v>
      </c>
      <c r="D75" s="75">
        <f>ROUND(Data!K828,2)</f>
        <v>10102.5</v>
      </c>
      <c r="E75" s="74" t="s">
        <v>5296</v>
      </c>
      <c r="F75" s="1425"/>
      <c r="G75" s="74">
        <f t="shared" si="10"/>
        <v>0</v>
      </c>
      <c r="H75" s="74"/>
      <c r="I75" s="74">
        <f t="shared" si="11"/>
        <v>0</v>
      </c>
      <c r="J75" s="74"/>
      <c r="K75" s="74">
        <f t="shared" si="12"/>
        <v>0</v>
      </c>
      <c r="L75" s="74"/>
      <c r="M75" s="74">
        <f t="shared" si="13"/>
        <v>0</v>
      </c>
      <c r="N75" s="74">
        <f t="shared" si="14"/>
        <v>0</v>
      </c>
      <c r="O75" s="74">
        <f t="shared" si="15"/>
        <v>0</v>
      </c>
      <c r="P75" s="74">
        <f t="shared" si="16"/>
        <v>0</v>
      </c>
      <c r="Q75" s="74">
        <f t="shared" si="17"/>
        <v>0</v>
      </c>
    </row>
    <row r="76" spans="1:17" ht="25.5" hidden="1" customHeight="1">
      <c r="A76" s="71"/>
      <c r="B76" s="72">
        <f t="shared" si="9"/>
        <v>0</v>
      </c>
      <c r="C76" s="72" t="s">
        <v>5348</v>
      </c>
      <c r="D76" s="75">
        <f>ROUND(Data!K829,2)</f>
        <v>10348.68</v>
      </c>
      <c r="E76" s="74" t="s">
        <v>5296</v>
      </c>
      <c r="F76" s="1425"/>
      <c r="G76" s="74">
        <f t="shared" si="10"/>
        <v>0</v>
      </c>
      <c r="H76" s="74"/>
      <c r="I76" s="74">
        <f t="shared" si="11"/>
        <v>0</v>
      </c>
      <c r="J76" s="74"/>
      <c r="K76" s="74">
        <f t="shared" si="12"/>
        <v>0</v>
      </c>
      <c r="L76" s="74"/>
      <c r="M76" s="74">
        <f t="shared" si="13"/>
        <v>0</v>
      </c>
      <c r="N76" s="74">
        <f t="shared" si="14"/>
        <v>0</v>
      </c>
      <c r="O76" s="74">
        <f t="shared" si="15"/>
        <v>0</v>
      </c>
      <c r="P76" s="74">
        <f t="shared" si="16"/>
        <v>0</v>
      </c>
      <c r="Q76" s="74">
        <f t="shared" si="17"/>
        <v>0</v>
      </c>
    </row>
    <row r="77" spans="1:17" ht="25.5" hidden="1" customHeight="1">
      <c r="A77" s="71"/>
      <c r="B77" s="72">
        <f t="shared" si="9"/>
        <v>0</v>
      </c>
      <c r="C77" s="72" t="s">
        <v>5349</v>
      </c>
      <c r="D77" s="75">
        <f>ROUND(Data!K830,2)</f>
        <v>10594.86</v>
      </c>
      <c r="E77" s="74" t="s">
        <v>5296</v>
      </c>
      <c r="F77" s="1425"/>
      <c r="G77" s="74">
        <f t="shared" si="10"/>
        <v>0</v>
      </c>
      <c r="H77" s="74"/>
      <c r="I77" s="74">
        <f t="shared" si="11"/>
        <v>0</v>
      </c>
      <c r="J77" s="74"/>
      <c r="K77" s="74">
        <f t="shared" si="12"/>
        <v>0</v>
      </c>
      <c r="L77" s="74"/>
      <c r="M77" s="74">
        <f t="shared" si="13"/>
        <v>0</v>
      </c>
      <c r="N77" s="74">
        <f t="shared" si="14"/>
        <v>0</v>
      </c>
      <c r="O77" s="74">
        <f t="shared" si="15"/>
        <v>0</v>
      </c>
      <c r="P77" s="74">
        <f t="shared" si="16"/>
        <v>0</v>
      </c>
      <c r="Q77" s="74">
        <f t="shared" si="17"/>
        <v>0</v>
      </c>
    </row>
    <row r="78" spans="1:17" ht="25.5" hidden="1" customHeight="1">
      <c r="A78" s="71"/>
      <c r="B78" s="72">
        <f t="shared" si="9"/>
        <v>0</v>
      </c>
      <c r="C78" s="72" t="s">
        <v>5350</v>
      </c>
      <c r="D78" s="75">
        <f>ROUND(Data!K831,2)</f>
        <v>10841.04</v>
      </c>
      <c r="E78" s="74" t="s">
        <v>5296</v>
      </c>
      <c r="F78" s="1425"/>
      <c r="G78" s="74">
        <f t="shared" si="10"/>
        <v>0</v>
      </c>
      <c r="H78" s="74"/>
      <c r="I78" s="74">
        <f t="shared" si="11"/>
        <v>0</v>
      </c>
      <c r="J78" s="74"/>
      <c r="K78" s="74">
        <f t="shared" si="12"/>
        <v>0</v>
      </c>
      <c r="L78" s="74"/>
      <c r="M78" s="74">
        <f t="shared" si="13"/>
        <v>0</v>
      </c>
      <c r="N78" s="74">
        <f t="shared" si="14"/>
        <v>0</v>
      </c>
      <c r="O78" s="74">
        <f t="shared" si="15"/>
        <v>0</v>
      </c>
      <c r="P78" s="74">
        <f t="shared" si="16"/>
        <v>0</v>
      </c>
      <c r="Q78" s="74">
        <f t="shared" si="17"/>
        <v>0</v>
      </c>
    </row>
    <row r="79" spans="1:17" ht="25.5" hidden="1" customHeight="1">
      <c r="A79" s="71"/>
      <c r="B79" s="72">
        <f t="shared" si="9"/>
        <v>0</v>
      </c>
      <c r="C79" s="72" t="s">
        <v>5351</v>
      </c>
      <c r="D79" s="75">
        <f>ROUND(Data!K832,2)</f>
        <v>11087.22</v>
      </c>
      <c r="E79" s="74" t="s">
        <v>5296</v>
      </c>
      <c r="F79" s="1425"/>
      <c r="G79" s="74">
        <f t="shared" si="10"/>
        <v>0</v>
      </c>
      <c r="H79" s="74"/>
      <c r="I79" s="74">
        <f t="shared" si="11"/>
        <v>0</v>
      </c>
      <c r="J79" s="74"/>
      <c r="K79" s="74">
        <f t="shared" si="12"/>
        <v>0</v>
      </c>
      <c r="L79" s="74"/>
      <c r="M79" s="74">
        <f t="shared" si="13"/>
        <v>0</v>
      </c>
      <c r="N79" s="74">
        <f t="shared" si="14"/>
        <v>0</v>
      </c>
      <c r="O79" s="74">
        <f t="shared" si="15"/>
        <v>0</v>
      </c>
      <c r="P79" s="74">
        <f t="shared" si="16"/>
        <v>0</v>
      </c>
      <c r="Q79" s="74">
        <f t="shared" si="17"/>
        <v>0</v>
      </c>
    </row>
    <row r="80" spans="1:17" ht="25.5" hidden="1" customHeight="1">
      <c r="A80" s="71"/>
      <c r="B80" s="72">
        <f t="shared" si="9"/>
        <v>0</v>
      </c>
      <c r="C80" s="72" t="s">
        <v>5352</v>
      </c>
      <c r="D80" s="75">
        <f>ROUND(Data!K833,2)</f>
        <v>11333.4</v>
      </c>
      <c r="E80" s="74" t="s">
        <v>5296</v>
      </c>
      <c r="F80" s="1425"/>
      <c r="G80" s="74">
        <f t="shared" si="10"/>
        <v>0</v>
      </c>
      <c r="H80" s="74"/>
      <c r="I80" s="74">
        <f t="shared" si="11"/>
        <v>0</v>
      </c>
      <c r="J80" s="74"/>
      <c r="K80" s="74">
        <f t="shared" si="12"/>
        <v>0</v>
      </c>
      <c r="L80" s="74"/>
      <c r="M80" s="74">
        <f t="shared" si="13"/>
        <v>0</v>
      </c>
      <c r="N80" s="74">
        <f t="shared" si="14"/>
        <v>0</v>
      </c>
      <c r="O80" s="74">
        <f t="shared" si="15"/>
        <v>0</v>
      </c>
      <c r="P80" s="74">
        <f t="shared" si="16"/>
        <v>0</v>
      </c>
      <c r="Q80" s="74">
        <f t="shared" si="17"/>
        <v>0</v>
      </c>
    </row>
    <row r="81" spans="1:17" ht="25.5" hidden="1" customHeight="1">
      <c r="A81" s="71"/>
      <c r="B81" s="72">
        <f t="shared" si="9"/>
        <v>0</v>
      </c>
      <c r="C81" s="72" t="s">
        <v>5353</v>
      </c>
      <c r="D81" s="75">
        <f>ROUND(Data!K834,2)</f>
        <v>11579.58</v>
      </c>
      <c r="E81" s="74" t="s">
        <v>5296</v>
      </c>
      <c r="F81" s="1425"/>
      <c r="G81" s="74">
        <f t="shared" si="10"/>
        <v>0</v>
      </c>
      <c r="H81" s="74"/>
      <c r="I81" s="74">
        <f t="shared" si="11"/>
        <v>0</v>
      </c>
      <c r="J81" s="74"/>
      <c r="K81" s="74">
        <f t="shared" si="12"/>
        <v>0</v>
      </c>
      <c r="L81" s="74"/>
      <c r="M81" s="74">
        <f t="shared" si="13"/>
        <v>0</v>
      </c>
      <c r="N81" s="74">
        <f t="shared" si="14"/>
        <v>0</v>
      </c>
      <c r="O81" s="74">
        <f t="shared" si="15"/>
        <v>0</v>
      </c>
      <c r="P81" s="74">
        <f t="shared" si="16"/>
        <v>0</v>
      </c>
      <c r="Q81" s="74">
        <f t="shared" si="17"/>
        <v>0</v>
      </c>
    </row>
    <row r="82" spans="1:17" ht="25.5" hidden="1" customHeight="1">
      <c r="A82" s="71"/>
      <c r="B82" s="72">
        <f t="shared" si="9"/>
        <v>0</v>
      </c>
      <c r="C82" s="72" t="s">
        <v>5354</v>
      </c>
      <c r="D82" s="75">
        <f>ROUND(Data!K835,2)</f>
        <v>11825.76</v>
      </c>
      <c r="E82" s="74" t="s">
        <v>5296</v>
      </c>
      <c r="F82" s="1425"/>
      <c r="G82" s="74">
        <f t="shared" si="10"/>
        <v>0</v>
      </c>
      <c r="H82" s="74"/>
      <c r="I82" s="74">
        <f t="shared" si="11"/>
        <v>0</v>
      </c>
      <c r="J82" s="74"/>
      <c r="K82" s="74">
        <f t="shared" si="12"/>
        <v>0</v>
      </c>
      <c r="L82" s="74"/>
      <c r="M82" s="74">
        <f t="shared" si="13"/>
        <v>0</v>
      </c>
      <c r="N82" s="74">
        <f t="shared" si="14"/>
        <v>0</v>
      </c>
      <c r="O82" s="74">
        <f t="shared" si="15"/>
        <v>0</v>
      </c>
      <c r="P82" s="74">
        <f t="shared" si="16"/>
        <v>0</v>
      </c>
      <c r="Q82" s="74">
        <f t="shared" si="17"/>
        <v>0</v>
      </c>
    </row>
    <row r="83" spans="1:17" ht="46.5" hidden="1" customHeight="1">
      <c r="A83" s="71">
        <v>9.1</v>
      </c>
      <c r="B83" s="72">
        <f t="shared" si="9"/>
        <v>0</v>
      </c>
      <c r="C83" s="72" t="s">
        <v>5355</v>
      </c>
      <c r="D83" s="75"/>
      <c r="E83" s="74"/>
      <c r="F83" s="1425"/>
      <c r="G83" s="74">
        <f t="shared" si="10"/>
        <v>0</v>
      </c>
      <c r="H83" s="74"/>
      <c r="I83" s="74">
        <f t="shared" si="11"/>
        <v>0</v>
      </c>
      <c r="J83" s="74"/>
      <c r="K83" s="74">
        <f t="shared" si="12"/>
        <v>0</v>
      </c>
      <c r="L83" s="74"/>
      <c r="M83" s="74">
        <f t="shared" si="13"/>
        <v>0</v>
      </c>
      <c r="N83" s="74">
        <f t="shared" si="14"/>
        <v>0</v>
      </c>
      <c r="O83" s="74">
        <f t="shared" si="15"/>
        <v>0</v>
      </c>
      <c r="P83" s="74">
        <f t="shared" si="16"/>
        <v>0</v>
      </c>
      <c r="Q83" s="74">
        <f t="shared" si="17"/>
        <v>0</v>
      </c>
    </row>
    <row r="84" spans="1:17" ht="25.5" hidden="1" customHeight="1">
      <c r="A84" s="71"/>
      <c r="B84" s="72">
        <f t="shared" si="9"/>
        <v>0</v>
      </c>
      <c r="C84" s="72" t="s">
        <v>3380</v>
      </c>
      <c r="D84" s="75">
        <f>Data!X347</f>
        <v>7085.26</v>
      </c>
      <c r="E84" s="74" t="s">
        <v>5296</v>
      </c>
      <c r="F84" s="1425"/>
      <c r="G84" s="74">
        <f t="shared" si="10"/>
        <v>0</v>
      </c>
      <c r="H84" s="74"/>
      <c r="I84" s="74">
        <f t="shared" si="11"/>
        <v>0</v>
      </c>
      <c r="J84" s="74"/>
      <c r="K84" s="74">
        <f t="shared" si="12"/>
        <v>0</v>
      </c>
      <c r="L84" s="74"/>
      <c r="M84" s="74">
        <f t="shared" si="13"/>
        <v>0</v>
      </c>
      <c r="N84" s="74">
        <f t="shared" si="14"/>
        <v>0</v>
      </c>
      <c r="O84" s="74">
        <f t="shared" si="15"/>
        <v>0</v>
      </c>
      <c r="P84" s="74">
        <f t="shared" si="16"/>
        <v>0</v>
      </c>
      <c r="Q84" s="74">
        <f t="shared" si="17"/>
        <v>0</v>
      </c>
    </row>
    <row r="85" spans="1:17" ht="25.5" hidden="1" customHeight="1">
      <c r="A85" s="71"/>
      <c r="B85" s="72">
        <f t="shared" si="9"/>
        <v>0</v>
      </c>
      <c r="C85" s="72" t="s">
        <v>4812</v>
      </c>
      <c r="D85" s="75">
        <f>Data!X348</f>
        <v>7251.25</v>
      </c>
      <c r="E85" s="74" t="s">
        <v>5296</v>
      </c>
      <c r="F85" s="1425"/>
      <c r="G85" s="74">
        <f t="shared" si="10"/>
        <v>0</v>
      </c>
      <c r="H85" s="74"/>
      <c r="I85" s="74">
        <f t="shared" si="11"/>
        <v>0</v>
      </c>
      <c r="J85" s="74"/>
      <c r="K85" s="74">
        <f t="shared" si="12"/>
        <v>0</v>
      </c>
      <c r="L85" s="74"/>
      <c r="M85" s="74">
        <f t="shared" si="13"/>
        <v>0</v>
      </c>
      <c r="N85" s="74">
        <f t="shared" si="14"/>
        <v>0</v>
      </c>
      <c r="O85" s="74">
        <f t="shared" si="15"/>
        <v>0</v>
      </c>
      <c r="P85" s="74">
        <f t="shared" si="16"/>
        <v>0</v>
      </c>
      <c r="Q85" s="74">
        <f t="shared" si="17"/>
        <v>0</v>
      </c>
    </row>
    <row r="86" spans="1:17" ht="25.5" hidden="1" customHeight="1">
      <c r="A86" s="71"/>
      <c r="B86" s="72">
        <f t="shared" si="9"/>
        <v>0</v>
      </c>
      <c r="C86" s="72" t="s">
        <v>5356</v>
      </c>
      <c r="D86" s="75">
        <f>Data!X349</f>
        <v>7417.24</v>
      </c>
      <c r="E86" s="74" t="s">
        <v>5296</v>
      </c>
      <c r="F86" s="1425"/>
      <c r="G86" s="74">
        <f t="shared" si="10"/>
        <v>0</v>
      </c>
      <c r="H86" s="74"/>
      <c r="I86" s="74">
        <f t="shared" si="11"/>
        <v>0</v>
      </c>
      <c r="J86" s="74"/>
      <c r="K86" s="74">
        <f t="shared" si="12"/>
        <v>0</v>
      </c>
      <c r="L86" s="74"/>
      <c r="M86" s="74">
        <f t="shared" si="13"/>
        <v>0</v>
      </c>
      <c r="N86" s="74">
        <f t="shared" si="14"/>
        <v>0</v>
      </c>
      <c r="O86" s="74">
        <f t="shared" si="15"/>
        <v>0</v>
      </c>
      <c r="P86" s="74">
        <f t="shared" si="16"/>
        <v>0</v>
      </c>
      <c r="Q86" s="74">
        <f t="shared" si="17"/>
        <v>0</v>
      </c>
    </row>
    <row r="87" spans="1:17" ht="25.5" hidden="1" customHeight="1">
      <c r="A87" s="71"/>
      <c r="B87" s="72">
        <f t="shared" si="9"/>
        <v>0</v>
      </c>
      <c r="C87" s="72" t="s">
        <v>5357</v>
      </c>
      <c r="D87" s="75">
        <f>Data!X350</f>
        <v>7583.23</v>
      </c>
      <c r="E87" s="74" t="s">
        <v>5296</v>
      </c>
      <c r="F87" s="1425"/>
      <c r="G87" s="74">
        <f t="shared" si="10"/>
        <v>0</v>
      </c>
      <c r="H87" s="74"/>
      <c r="I87" s="74">
        <f t="shared" si="11"/>
        <v>0</v>
      </c>
      <c r="J87" s="74"/>
      <c r="K87" s="74">
        <f t="shared" si="12"/>
        <v>0</v>
      </c>
      <c r="L87" s="74"/>
      <c r="M87" s="74">
        <f t="shared" si="13"/>
        <v>0</v>
      </c>
      <c r="N87" s="74">
        <f t="shared" si="14"/>
        <v>0</v>
      </c>
      <c r="O87" s="74">
        <f t="shared" si="15"/>
        <v>0</v>
      </c>
      <c r="P87" s="74">
        <f t="shared" si="16"/>
        <v>0</v>
      </c>
      <c r="Q87" s="74">
        <f t="shared" si="17"/>
        <v>0</v>
      </c>
    </row>
    <row r="88" spans="1:17" ht="25.5" hidden="1" customHeight="1">
      <c r="A88" s="71"/>
      <c r="B88" s="72">
        <f t="shared" si="9"/>
        <v>0</v>
      </c>
      <c r="C88" s="72" t="s">
        <v>5358</v>
      </c>
      <c r="D88" s="75">
        <f>Data!X351</f>
        <v>7749.22</v>
      </c>
      <c r="E88" s="74" t="s">
        <v>5296</v>
      </c>
      <c r="F88" s="1425"/>
      <c r="G88" s="74">
        <f t="shared" si="10"/>
        <v>0</v>
      </c>
      <c r="H88" s="74"/>
      <c r="I88" s="74">
        <f t="shared" si="11"/>
        <v>0</v>
      </c>
      <c r="J88" s="74"/>
      <c r="K88" s="74">
        <f t="shared" si="12"/>
        <v>0</v>
      </c>
      <c r="L88" s="74"/>
      <c r="M88" s="74">
        <f t="shared" si="13"/>
        <v>0</v>
      </c>
      <c r="N88" s="74">
        <f t="shared" si="14"/>
        <v>0</v>
      </c>
      <c r="O88" s="74">
        <f t="shared" si="15"/>
        <v>0</v>
      </c>
      <c r="P88" s="74">
        <f t="shared" si="16"/>
        <v>0</v>
      </c>
      <c r="Q88" s="74">
        <f t="shared" si="17"/>
        <v>0</v>
      </c>
    </row>
    <row r="89" spans="1:17" ht="48.75" customHeight="1">
      <c r="A89" s="71">
        <v>9.1999999999999993</v>
      </c>
      <c r="B89" s="72">
        <f t="shared" si="9"/>
        <v>0</v>
      </c>
      <c r="C89" s="76" t="s">
        <v>5359</v>
      </c>
      <c r="D89" s="75"/>
      <c r="E89" s="74"/>
      <c r="F89" s="1425"/>
      <c r="G89" s="74">
        <f t="shared" si="10"/>
        <v>0</v>
      </c>
      <c r="H89" s="74"/>
      <c r="I89" s="74">
        <f t="shared" si="11"/>
        <v>0</v>
      </c>
      <c r="J89" s="74"/>
      <c r="K89" s="74">
        <f t="shared" si="12"/>
        <v>0</v>
      </c>
      <c r="L89" s="74"/>
      <c r="M89" s="74">
        <f t="shared" si="13"/>
        <v>0</v>
      </c>
      <c r="N89" s="74">
        <f t="shared" si="14"/>
        <v>0</v>
      </c>
      <c r="O89" s="74">
        <f t="shared" si="15"/>
        <v>0</v>
      </c>
      <c r="P89" s="74">
        <f t="shared" si="16"/>
        <v>0</v>
      </c>
      <c r="Q89" s="74">
        <f t="shared" si="17"/>
        <v>0</v>
      </c>
    </row>
    <row r="90" spans="1:17" ht="32.25" customHeight="1">
      <c r="A90" s="71"/>
      <c r="B90" s="72">
        <f t="shared" si="9"/>
        <v>42</v>
      </c>
      <c r="C90" s="72" t="s">
        <v>5360</v>
      </c>
      <c r="D90" s="75">
        <f>ROUND(Data!AG347,2)</f>
        <v>6764.22</v>
      </c>
      <c r="E90" s="74" t="s">
        <v>5296</v>
      </c>
      <c r="F90" s="1425">
        <f>'Detail '!I482</f>
        <v>42</v>
      </c>
      <c r="G90" s="74">
        <f t="shared" si="10"/>
        <v>284097.24</v>
      </c>
      <c r="H90" s="74"/>
      <c r="I90" s="74">
        <f t="shared" si="11"/>
        <v>0</v>
      </c>
      <c r="J90" s="74"/>
      <c r="K90" s="74">
        <f t="shared" si="12"/>
        <v>0</v>
      </c>
      <c r="L90" s="74"/>
      <c r="M90" s="74">
        <f t="shared" si="13"/>
        <v>0</v>
      </c>
      <c r="N90" s="74">
        <f t="shared" si="14"/>
        <v>0</v>
      </c>
      <c r="O90" s="74">
        <f t="shared" si="15"/>
        <v>0</v>
      </c>
      <c r="P90" s="74">
        <f t="shared" si="16"/>
        <v>42</v>
      </c>
      <c r="Q90" s="74">
        <f t="shared" si="17"/>
        <v>284097.24</v>
      </c>
    </row>
    <row r="91" spans="1:17" ht="33" customHeight="1">
      <c r="A91" s="71"/>
      <c r="B91" s="72">
        <f t="shared" si="9"/>
        <v>95.8</v>
      </c>
      <c r="C91" s="72" t="s">
        <v>4812</v>
      </c>
      <c r="D91" s="75">
        <f>ROUND(Data!AG348,2)</f>
        <v>6930.21</v>
      </c>
      <c r="E91" s="74" t="s">
        <v>5296</v>
      </c>
      <c r="F91" s="1425">
        <f>'Detail '!I526</f>
        <v>95.8</v>
      </c>
      <c r="G91" s="74">
        <f t="shared" si="10"/>
        <v>663914.12</v>
      </c>
      <c r="H91" s="74"/>
      <c r="I91" s="74">
        <f t="shared" si="11"/>
        <v>0</v>
      </c>
      <c r="J91" s="74"/>
      <c r="K91" s="74">
        <f t="shared" si="12"/>
        <v>0</v>
      </c>
      <c r="L91" s="74"/>
      <c r="M91" s="74">
        <f t="shared" si="13"/>
        <v>0</v>
      </c>
      <c r="N91" s="74">
        <f t="shared" si="14"/>
        <v>0</v>
      </c>
      <c r="O91" s="74">
        <f t="shared" si="15"/>
        <v>0</v>
      </c>
      <c r="P91" s="74">
        <f t="shared" si="16"/>
        <v>95.8</v>
      </c>
      <c r="Q91" s="74">
        <f t="shared" si="17"/>
        <v>663914.12</v>
      </c>
    </row>
    <row r="92" spans="1:17" ht="34.5" customHeight="1">
      <c r="A92" s="71"/>
      <c r="B92" s="72">
        <f t="shared" si="9"/>
        <v>100.4</v>
      </c>
      <c r="C92" s="72" t="s">
        <v>5356</v>
      </c>
      <c r="D92" s="75">
        <f>ROUND(Data!AG349,2)</f>
        <v>7096.2</v>
      </c>
      <c r="E92" s="74" t="s">
        <v>5296</v>
      </c>
      <c r="F92" s="1425">
        <f>'Detail '!I569</f>
        <v>100.4</v>
      </c>
      <c r="G92" s="74">
        <f t="shared" si="10"/>
        <v>712458.48</v>
      </c>
      <c r="H92" s="74"/>
      <c r="I92" s="74">
        <f t="shared" si="11"/>
        <v>0</v>
      </c>
      <c r="J92" s="74"/>
      <c r="K92" s="74">
        <f t="shared" si="12"/>
        <v>0</v>
      </c>
      <c r="L92" s="74"/>
      <c r="M92" s="74">
        <f t="shared" si="13"/>
        <v>0</v>
      </c>
      <c r="N92" s="74">
        <f t="shared" si="14"/>
        <v>0</v>
      </c>
      <c r="O92" s="74">
        <f t="shared" si="15"/>
        <v>0</v>
      </c>
      <c r="P92" s="74">
        <f t="shared" si="16"/>
        <v>100.4</v>
      </c>
      <c r="Q92" s="74">
        <f t="shared" si="17"/>
        <v>712458.48</v>
      </c>
    </row>
    <row r="93" spans="1:17" ht="42" customHeight="1">
      <c r="A93" s="71"/>
      <c r="B93" s="72">
        <f t="shared" si="9"/>
        <v>99.2</v>
      </c>
      <c r="C93" s="72" t="s">
        <v>5357</v>
      </c>
      <c r="D93" s="75">
        <f>ROUND(Data!AG350,2)</f>
        <v>7262.19</v>
      </c>
      <c r="E93" s="74" t="s">
        <v>5296</v>
      </c>
      <c r="F93" s="1425">
        <f>'Detail '!I620</f>
        <v>99.2</v>
      </c>
      <c r="G93" s="74">
        <f t="shared" si="10"/>
        <v>720409.25</v>
      </c>
      <c r="H93" s="74"/>
      <c r="I93" s="74">
        <f t="shared" si="11"/>
        <v>0</v>
      </c>
      <c r="J93" s="74"/>
      <c r="K93" s="74">
        <f t="shared" si="12"/>
        <v>0</v>
      </c>
      <c r="L93" s="74"/>
      <c r="M93" s="74">
        <f t="shared" si="13"/>
        <v>0</v>
      </c>
      <c r="N93" s="74">
        <f t="shared" si="14"/>
        <v>0</v>
      </c>
      <c r="O93" s="74">
        <f t="shared" si="15"/>
        <v>0</v>
      </c>
      <c r="P93" s="74">
        <f t="shared" si="16"/>
        <v>99.2</v>
      </c>
      <c r="Q93" s="74">
        <f t="shared" si="17"/>
        <v>720409.25</v>
      </c>
    </row>
    <row r="94" spans="1:17" ht="40.5" hidden="1" customHeight="1">
      <c r="A94" s="71"/>
      <c r="B94" s="72">
        <f t="shared" si="9"/>
        <v>0</v>
      </c>
      <c r="C94" s="72" t="s">
        <v>5358</v>
      </c>
      <c r="D94" s="75">
        <f>ROUND(Data!AG351,2)</f>
        <v>7428.18</v>
      </c>
      <c r="E94" s="74" t="s">
        <v>5296</v>
      </c>
      <c r="F94" s="1425"/>
      <c r="G94" s="74">
        <f t="shared" si="10"/>
        <v>0</v>
      </c>
      <c r="H94" s="74"/>
      <c r="I94" s="74">
        <f t="shared" si="11"/>
        <v>0</v>
      </c>
      <c r="J94" s="74"/>
      <c r="K94" s="74">
        <f t="shared" si="12"/>
        <v>0</v>
      </c>
      <c r="L94" s="74"/>
      <c r="M94" s="74">
        <f t="shared" si="13"/>
        <v>0</v>
      </c>
      <c r="N94" s="74">
        <f t="shared" si="14"/>
        <v>0</v>
      </c>
      <c r="O94" s="74">
        <f t="shared" si="15"/>
        <v>0</v>
      </c>
      <c r="P94" s="74">
        <f t="shared" si="16"/>
        <v>0</v>
      </c>
      <c r="Q94" s="74">
        <f t="shared" si="17"/>
        <v>0</v>
      </c>
    </row>
    <row r="95" spans="1:17" ht="40.5" hidden="1" customHeight="1">
      <c r="A95" s="71"/>
      <c r="B95" s="72">
        <f t="shared" si="9"/>
        <v>0</v>
      </c>
      <c r="C95" s="72" t="s">
        <v>5347</v>
      </c>
      <c r="D95" s="75">
        <f>ROUND(Data!AG352,2)</f>
        <v>7594.17</v>
      </c>
      <c r="E95" s="74" t="s">
        <v>5296</v>
      </c>
      <c r="F95" s="1425"/>
      <c r="G95" s="74">
        <f t="shared" si="10"/>
        <v>0</v>
      </c>
      <c r="H95" s="74"/>
      <c r="I95" s="74">
        <f t="shared" si="11"/>
        <v>0</v>
      </c>
      <c r="J95" s="74"/>
      <c r="K95" s="74">
        <f t="shared" si="12"/>
        <v>0</v>
      </c>
      <c r="L95" s="74"/>
      <c r="M95" s="74">
        <f t="shared" si="13"/>
        <v>0</v>
      </c>
      <c r="N95" s="74">
        <f t="shared" si="14"/>
        <v>0</v>
      </c>
      <c r="O95" s="74">
        <f t="shared" si="15"/>
        <v>0</v>
      </c>
      <c r="P95" s="74">
        <f t="shared" si="16"/>
        <v>0</v>
      </c>
      <c r="Q95" s="74">
        <f t="shared" si="17"/>
        <v>0</v>
      </c>
    </row>
    <row r="96" spans="1:17" ht="40.5" hidden="1" customHeight="1">
      <c r="A96" s="71"/>
      <c r="B96" s="72">
        <f t="shared" si="9"/>
        <v>0</v>
      </c>
      <c r="C96" s="72" t="s">
        <v>5348</v>
      </c>
      <c r="D96" s="75">
        <f>ROUND(Data!AG353,2)</f>
        <v>7760.16</v>
      </c>
      <c r="E96" s="74" t="s">
        <v>5296</v>
      </c>
      <c r="F96" s="1425"/>
      <c r="G96" s="74">
        <f t="shared" si="10"/>
        <v>0</v>
      </c>
      <c r="H96" s="74"/>
      <c r="I96" s="74">
        <f t="shared" si="11"/>
        <v>0</v>
      </c>
      <c r="J96" s="74"/>
      <c r="K96" s="74">
        <f t="shared" si="12"/>
        <v>0</v>
      </c>
      <c r="L96" s="74"/>
      <c r="M96" s="74">
        <f t="shared" si="13"/>
        <v>0</v>
      </c>
      <c r="N96" s="74">
        <f t="shared" si="14"/>
        <v>0</v>
      </c>
      <c r="O96" s="74">
        <f t="shared" si="15"/>
        <v>0</v>
      </c>
      <c r="P96" s="74">
        <f t="shared" si="16"/>
        <v>0</v>
      </c>
      <c r="Q96" s="74">
        <f t="shared" si="17"/>
        <v>0</v>
      </c>
    </row>
    <row r="97" spans="1:17" ht="40.5" hidden="1" customHeight="1">
      <c r="A97" s="71"/>
      <c r="B97" s="72">
        <f t="shared" si="9"/>
        <v>0</v>
      </c>
      <c r="C97" s="72" t="s">
        <v>5349</v>
      </c>
      <c r="D97" s="75">
        <f>ROUND(Data!AG354,2)</f>
        <v>7926.15</v>
      </c>
      <c r="E97" s="74" t="s">
        <v>5296</v>
      </c>
      <c r="F97" s="1425"/>
      <c r="G97" s="74">
        <f t="shared" si="10"/>
        <v>0</v>
      </c>
      <c r="H97" s="74"/>
      <c r="I97" s="74">
        <f t="shared" si="11"/>
        <v>0</v>
      </c>
      <c r="J97" s="74"/>
      <c r="K97" s="74">
        <f t="shared" si="12"/>
        <v>0</v>
      </c>
      <c r="L97" s="74"/>
      <c r="M97" s="74">
        <f t="shared" si="13"/>
        <v>0</v>
      </c>
      <c r="N97" s="74">
        <f t="shared" si="14"/>
        <v>0</v>
      </c>
      <c r="O97" s="74">
        <f t="shared" si="15"/>
        <v>0</v>
      </c>
      <c r="P97" s="74">
        <f t="shared" si="16"/>
        <v>0</v>
      </c>
      <c r="Q97" s="74">
        <f t="shared" si="17"/>
        <v>0</v>
      </c>
    </row>
    <row r="98" spans="1:17" ht="40.5" hidden="1" customHeight="1">
      <c r="A98" s="71"/>
      <c r="B98" s="72">
        <f t="shared" si="9"/>
        <v>0</v>
      </c>
      <c r="C98" s="72" t="s">
        <v>5350</v>
      </c>
      <c r="D98" s="75">
        <f>ROUND(Data!AG355,2)</f>
        <v>8092.14</v>
      </c>
      <c r="E98" s="74" t="s">
        <v>5296</v>
      </c>
      <c r="F98" s="1425"/>
      <c r="G98" s="74">
        <f t="shared" si="10"/>
        <v>0</v>
      </c>
      <c r="H98" s="74"/>
      <c r="I98" s="74">
        <f t="shared" si="11"/>
        <v>0</v>
      </c>
      <c r="J98" s="74"/>
      <c r="K98" s="74">
        <f t="shared" si="12"/>
        <v>0</v>
      </c>
      <c r="L98" s="74"/>
      <c r="M98" s="74">
        <f t="shared" si="13"/>
        <v>0</v>
      </c>
      <c r="N98" s="74">
        <f t="shared" si="14"/>
        <v>0</v>
      </c>
      <c r="O98" s="74">
        <f t="shared" si="15"/>
        <v>0</v>
      </c>
      <c r="P98" s="74">
        <f t="shared" si="16"/>
        <v>0</v>
      </c>
      <c r="Q98" s="74">
        <f t="shared" si="17"/>
        <v>0</v>
      </c>
    </row>
    <row r="99" spans="1:17" ht="40.5" hidden="1" customHeight="1">
      <c r="A99" s="71"/>
      <c r="B99" s="72">
        <f t="shared" si="9"/>
        <v>0</v>
      </c>
      <c r="C99" s="72" t="s">
        <v>5351</v>
      </c>
      <c r="D99" s="75">
        <f>ROUND(Data!AG356,2)</f>
        <v>8258.1299999999992</v>
      </c>
      <c r="E99" s="74" t="s">
        <v>5296</v>
      </c>
      <c r="F99" s="1425"/>
      <c r="G99" s="74">
        <f t="shared" si="10"/>
        <v>0</v>
      </c>
      <c r="H99" s="74"/>
      <c r="I99" s="74">
        <f t="shared" si="11"/>
        <v>0</v>
      </c>
      <c r="J99" s="74"/>
      <c r="K99" s="74">
        <f t="shared" si="12"/>
        <v>0</v>
      </c>
      <c r="L99" s="74"/>
      <c r="M99" s="74">
        <f t="shared" si="13"/>
        <v>0</v>
      </c>
      <c r="N99" s="74">
        <f t="shared" si="14"/>
        <v>0</v>
      </c>
      <c r="O99" s="74">
        <f t="shared" si="15"/>
        <v>0</v>
      </c>
      <c r="P99" s="74">
        <f t="shared" si="16"/>
        <v>0</v>
      </c>
      <c r="Q99" s="74">
        <f t="shared" si="17"/>
        <v>0</v>
      </c>
    </row>
    <row r="100" spans="1:17" ht="40.5" hidden="1" customHeight="1">
      <c r="A100" s="71"/>
      <c r="B100" s="72">
        <f t="shared" si="9"/>
        <v>0</v>
      </c>
      <c r="C100" s="72" t="s">
        <v>5352</v>
      </c>
      <c r="D100" s="75">
        <f>ROUND(Data!AG357,2)</f>
        <v>8424.1200000000008</v>
      </c>
      <c r="E100" s="74" t="s">
        <v>5296</v>
      </c>
      <c r="F100" s="1425"/>
      <c r="G100" s="74">
        <f t="shared" si="10"/>
        <v>0</v>
      </c>
      <c r="H100" s="74"/>
      <c r="I100" s="74">
        <f t="shared" si="11"/>
        <v>0</v>
      </c>
      <c r="J100" s="74"/>
      <c r="K100" s="74">
        <f t="shared" si="12"/>
        <v>0</v>
      </c>
      <c r="L100" s="74"/>
      <c r="M100" s="74">
        <f t="shared" si="13"/>
        <v>0</v>
      </c>
      <c r="N100" s="74">
        <f t="shared" si="14"/>
        <v>0</v>
      </c>
      <c r="O100" s="74">
        <f t="shared" si="15"/>
        <v>0</v>
      </c>
      <c r="P100" s="74">
        <f t="shared" si="16"/>
        <v>0</v>
      </c>
      <c r="Q100" s="74">
        <f t="shared" si="17"/>
        <v>0</v>
      </c>
    </row>
    <row r="101" spans="1:17" ht="40.5" hidden="1" customHeight="1">
      <c r="A101" s="71"/>
      <c r="B101" s="72">
        <f t="shared" si="9"/>
        <v>0</v>
      </c>
      <c r="C101" s="72" t="s">
        <v>5353</v>
      </c>
      <c r="D101" s="75">
        <f>ROUND(Data!AG358,2)</f>
        <v>8590.11</v>
      </c>
      <c r="E101" s="74" t="s">
        <v>5296</v>
      </c>
      <c r="F101" s="1425"/>
      <c r="G101" s="74">
        <f t="shared" si="10"/>
        <v>0</v>
      </c>
      <c r="H101" s="74"/>
      <c r="I101" s="74">
        <f t="shared" si="11"/>
        <v>0</v>
      </c>
      <c r="J101" s="74"/>
      <c r="K101" s="74">
        <f t="shared" si="12"/>
        <v>0</v>
      </c>
      <c r="L101" s="74"/>
      <c r="M101" s="74">
        <f t="shared" si="13"/>
        <v>0</v>
      </c>
      <c r="N101" s="74">
        <f t="shared" si="14"/>
        <v>0</v>
      </c>
      <c r="O101" s="74">
        <f t="shared" si="15"/>
        <v>0</v>
      </c>
      <c r="P101" s="74">
        <f t="shared" si="16"/>
        <v>0</v>
      </c>
      <c r="Q101" s="74">
        <f t="shared" si="17"/>
        <v>0</v>
      </c>
    </row>
    <row r="102" spans="1:17" ht="40.5" hidden="1" customHeight="1">
      <c r="A102" s="71"/>
      <c r="B102" s="72">
        <f t="shared" si="9"/>
        <v>0</v>
      </c>
      <c r="C102" s="72" t="s">
        <v>5354</v>
      </c>
      <c r="D102" s="75">
        <f>ROUND(Data!AG359,2)</f>
        <v>8756.1</v>
      </c>
      <c r="E102" s="74" t="s">
        <v>5296</v>
      </c>
      <c r="F102" s="1425"/>
      <c r="G102" s="74">
        <f t="shared" si="10"/>
        <v>0</v>
      </c>
      <c r="H102" s="74"/>
      <c r="I102" s="74">
        <f t="shared" si="11"/>
        <v>0</v>
      </c>
      <c r="J102" s="74"/>
      <c r="K102" s="74">
        <f t="shared" si="12"/>
        <v>0</v>
      </c>
      <c r="L102" s="74"/>
      <c r="M102" s="74">
        <f t="shared" si="13"/>
        <v>0</v>
      </c>
      <c r="N102" s="74">
        <f t="shared" si="14"/>
        <v>0</v>
      </c>
      <c r="O102" s="74">
        <f t="shared" si="15"/>
        <v>0</v>
      </c>
      <c r="P102" s="74">
        <f t="shared" si="16"/>
        <v>0</v>
      </c>
      <c r="Q102" s="74">
        <f t="shared" si="17"/>
        <v>0</v>
      </c>
    </row>
    <row r="103" spans="1:17" ht="40.5" hidden="1" customHeight="1">
      <c r="A103" s="71"/>
      <c r="B103" s="72">
        <f t="shared" si="9"/>
        <v>0</v>
      </c>
      <c r="C103" s="72" t="s">
        <v>5361</v>
      </c>
      <c r="D103" s="75">
        <f>ROUND(Data!AG360,2)</f>
        <v>8922.09</v>
      </c>
      <c r="E103" s="74" t="s">
        <v>5296</v>
      </c>
      <c r="F103" s="1425"/>
      <c r="G103" s="74">
        <f t="shared" si="10"/>
        <v>0</v>
      </c>
      <c r="H103" s="74"/>
      <c r="I103" s="74">
        <f t="shared" si="11"/>
        <v>0</v>
      </c>
      <c r="J103" s="74"/>
      <c r="K103" s="74">
        <f t="shared" si="12"/>
        <v>0</v>
      </c>
      <c r="L103" s="74"/>
      <c r="M103" s="74">
        <f t="shared" si="13"/>
        <v>0</v>
      </c>
      <c r="N103" s="74">
        <f t="shared" si="14"/>
        <v>0</v>
      </c>
      <c r="O103" s="74">
        <f t="shared" si="15"/>
        <v>0</v>
      </c>
      <c r="P103" s="74">
        <f t="shared" si="16"/>
        <v>0</v>
      </c>
      <c r="Q103" s="74">
        <f t="shared" si="17"/>
        <v>0</v>
      </c>
    </row>
    <row r="104" spans="1:17" ht="40.5" hidden="1" customHeight="1">
      <c r="A104" s="71">
        <v>9.3000000000000007</v>
      </c>
      <c r="B104" s="72">
        <f t="shared" si="9"/>
        <v>0</v>
      </c>
      <c r="C104" s="72" t="s">
        <v>5362</v>
      </c>
      <c r="D104" s="75">
        <f>ROUND(Data!AG361,2)</f>
        <v>0</v>
      </c>
      <c r="E104" s="74" t="s">
        <v>5296</v>
      </c>
      <c r="F104" s="1425"/>
      <c r="G104" s="74">
        <f t="shared" si="10"/>
        <v>0</v>
      </c>
      <c r="H104" s="74"/>
      <c r="I104" s="74">
        <f t="shared" si="11"/>
        <v>0</v>
      </c>
      <c r="J104" s="74"/>
      <c r="K104" s="74">
        <f t="shared" si="12"/>
        <v>0</v>
      </c>
      <c r="L104" s="74"/>
      <c r="M104" s="74">
        <f t="shared" si="13"/>
        <v>0</v>
      </c>
      <c r="N104" s="74">
        <f t="shared" si="14"/>
        <v>0</v>
      </c>
      <c r="O104" s="74">
        <f t="shared" si="15"/>
        <v>0</v>
      </c>
      <c r="P104" s="74">
        <f t="shared" si="16"/>
        <v>0</v>
      </c>
      <c r="Q104" s="74">
        <f t="shared" si="17"/>
        <v>0</v>
      </c>
    </row>
    <row r="105" spans="1:17" ht="40.5" hidden="1" customHeight="1">
      <c r="A105" s="71"/>
      <c r="B105" s="72">
        <f t="shared" si="9"/>
        <v>0</v>
      </c>
      <c r="C105" s="72" t="s">
        <v>3380</v>
      </c>
      <c r="D105" s="75">
        <f>ROUND(Data!AG362,2)</f>
        <v>0</v>
      </c>
      <c r="E105" s="74" t="s">
        <v>5296</v>
      </c>
      <c r="F105" s="1425"/>
      <c r="G105" s="74">
        <f t="shared" si="10"/>
        <v>0</v>
      </c>
      <c r="H105" s="74"/>
      <c r="I105" s="74">
        <f t="shared" si="11"/>
        <v>0</v>
      </c>
      <c r="J105" s="74"/>
      <c r="K105" s="74">
        <f t="shared" si="12"/>
        <v>0</v>
      </c>
      <c r="L105" s="74"/>
      <c r="M105" s="74">
        <f t="shared" si="13"/>
        <v>0</v>
      </c>
      <c r="N105" s="74">
        <f t="shared" si="14"/>
        <v>0</v>
      </c>
      <c r="O105" s="74">
        <f t="shared" si="15"/>
        <v>0</v>
      </c>
      <c r="P105" s="74">
        <f t="shared" si="16"/>
        <v>0</v>
      </c>
      <c r="Q105" s="74">
        <f t="shared" si="17"/>
        <v>0</v>
      </c>
    </row>
    <row r="106" spans="1:17" ht="40.5" hidden="1" customHeight="1">
      <c r="A106" s="71"/>
      <c r="B106" s="72">
        <f t="shared" si="9"/>
        <v>0</v>
      </c>
      <c r="C106" s="72" t="s">
        <v>4812</v>
      </c>
      <c r="D106" s="75">
        <f>ROUND(Data!AG363,2)</f>
        <v>0</v>
      </c>
      <c r="E106" s="74" t="s">
        <v>5296</v>
      </c>
      <c r="F106" s="1425"/>
      <c r="G106" s="74">
        <f t="shared" si="10"/>
        <v>0</v>
      </c>
      <c r="H106" s="74"/>
      <c r="I106" s="74">
        <f t="shared" si="11"/>
        <v>0</v>
      </c>
      <c r="J106" s="74"/>
      <c r="K106" s="74">
        <f t="shared" si="12"/>
        <v>0</v>
      </c>
      <c r="L106" s="74"/>
      <c r="M106" s="74">
        <f t="shared" si="13"/>
        <v>0</v>
      </c>
      <c r="N106" s="74">
        <f t="shared" si="14"/>
        <v>0</v>
      </c>
      <c r="O106" s="74">
        <f t="shared" si="15"/>
        <v>0</v>
      </c>
      <c r="P106" s="74">
        <f t="shared" si="16"/>
        <v>0</v>
      </c>
      <c r="Q106" s="74">
        <f t="shared" si="17"/>
        <v>0</v>
      </c>
    </row>
    <row r="107" spans="1:17" ht="40.5" hidden="1" customHeight="1">
      <c r="A107" s="71"/>
      <c r="B107" s="72">
        <f t="shared" si="9"/>
        <v>0</v>
      </c>
      <c r="C107" s="72" t="s">
        <v>5356</v>
      </c>
      <c r="D107" s="75">
        <f>ROUND(Data!AG364,2)</f>
        <v>29785.15</v>
      </c>
      <c r="E107" s="74" t="s">
        <v>5296</v>
      </c>
      <c r="F107" s="1425"/>
      <c r="G107" s="74">
        <f t="shared" si="10"/>
        <v>0</v>
      </c>
      <c r="H107" s="74"/>
      <c r="I107" s="74">
        <f t="shared" si="11"/>
        <v>0</v>
      </c>
      <c r="J107" s="74"/>
      <c r="K107" s="74">
        <f t="shared" si="12"/>
        <v>0</v>
      </c>
      <c r="L107" s="74"/>
      <c r="M107" s="74">
        <f t="shared" si="13"/>
        <v>0</v>
      </c>
      <c r="N107" s="74">
        <f t="shared" si="14"/>
        <v>0</v>
      </c>
      <c r="O107" s="74">
        <f t="shared" si="15"/>
        <v>0</v>
      </c>
      <c r="P107" s="74">
        <f t="shared" si="16"/>
        <v>0</v>
      </c>
      <c r="Q107" s="74">
        <f t="shared" si="17"/>
        <v>0</v>
      </c>
    </row>
    <row r="108" spans="1:17" ht="40.5" hidden="1" customHeight="1">
      <c r="A108" s="71"/>
      <c r="B108" s="72">
        <f t="shared" si="9"/>
        <v>0</v>
      </c>
      <c r="C108" s="72" t="s">
        <v>5357</v>
      </c>
      <c r="D108" s="75">
        <f>ROUND(Data!AG365,2)</f>
        <v>7875.64</v>
      </c>
      <c r="E108" s="74" t="s">
        <v>5296</v>
      </c>
      <c r="F108" s="1425"/>
      <c r="G108" s="74">
        <f t="shared" si="10"/>
        <v>0</v>
      </c>
      <c r="H108" s="74"/>
      <c r="I108" s="74">
        <f t="shared" si="11"/>
        <v>0</v>
      </c>
      <c r="J108" s="74"/>
      <c r="K108" s="74">
        <f t="shared" si="12"/>
        <v>0</v>
      </c>
      <c r="L108" s="74"/>
      <c r="M108" s="74">
        <f t="shared" si="13"/>
        <v>0</v>
      </c>
      <c r="N108" s="74">
        <f t="shared" si="14"/>
        <v>0</v>
      </c>
      <c r="O108" s="74">
        <f t="shared" si="15"/>
        <v>0</v>
      </c>
      <c r="P108" s="74">
        <f t="shared" si="16"/>
        <v>0</v>
      </c>
      <c r="Q108" s="74">
        <f t="shared" si="17"/>
        <v>0</v>
      </c>
    </row>
    <row r="109" spans="1:17" ht="40.5" hidden="1" customHeight="1">
      <c r="A109" s="78"/>
      <c r="B109" s="72">
        <f t="shared" si="9"/>
        <v>0</v>
      </c>
      <c r="C109" s="72" t="s">
        <v>5358</v>
      </c>
      <c r="D109" s="75">
        <f>ROUND(Data!AG366,2)</f>
        <v>3645.95</v>
      </c>
      <c r="E109" s="74" t="s">
        <v>5296</v>
      </c>
      <c r="F109" s="1425"/>
      <c r="G109" s="74">
        <f t="shared" si="10"/>
        <v>0</v>
      </c>
      <c r="H109" s="74"/>
      <c r="I109" s="74">
        <f t="shared" si="11"/>
        <v>0</v>
      </c>
      <c r="J109" s="74"/>
      <c r="K109" s="74">
        <f t="shared" si="12"/>
        <v>0</v>
      </c>
      <c r="L109" s="74"/>
      <c r="M109" s="74">
        <f t="shared" si="13"/>
        <v>0</v>
      </c>
      <c r="N109" s="74">
        <f t="shared" si="14"/>
        <v>0</v>
      </c>
      <c r="O109" s="74">
        <f t="shared" si="15"/>
        <v>0</v>
      </c>
      <c r="P109" s="74">
        <f t="shared" si="16"/>
        <v>0</v>
      </c>
      <c r="Q109" s="74">
        <f t="shared" si="17"/>
        <v>0</v>
      </c>
    </row>
    <row r="110" spans="1:17" ht="40.5" hidden="1" customHeight="1">
      <c r="A110" s="71">
        <v>9.4</v>
      </c>
      <c r="B110" s="72">
        <f t="shared" si="9"/>
        <v>0</v>
      </c>
      <c r="C110" s="72" t="s">
        <v>5363</v>
      </c>
      <c r="D110" s="75">
        <f>ROUND(Data!AG367,2)</f>
        <v>10307.44</v>
      </c>
      <c r="E110" s="74" t="s">
        <v>5296</v>
      </c>
      <c r="F110" s="1425"/>
      <c r="G110" s="74">
        <f t="shared" si="10"/>
        <v>0</v>
      </c>
      <c r="H110" s="74"/>
      <c r="I110" s="74">
        <f t="shared" si="11"/>
        <v>0</v>
      </c>
      <c r="J110" s="74"/>
      <c r="K110" s="74">
        <f t="shared" si="12"/>
        <v>0</v>
      </c>
      <c r="L110" s="74"/>
      <c r="M110" s="74">
        <f t="shared" si="13"/>
        <v>0</v>
      </c>
      <c r="N110" s="74">
        <f t="shared" si="14"/>
        <v>0</v>
      </c>
      <c r="O110" s="74">
        <f t="shared" si="15"/>
        <v>0</v>
      </c>
      <c r="P110" s="74">
        <f t="shared" si="16"/>
        <v>0</v>
      </c>
      <c r="Q110" s="74">
        <f t="shared" si="17"/>
        <v>0</v>
      </c>
    </row>
    <row r="111" spans="1:17" ht="40.5" hidden="1" customHeight="1">
      <c r="A111" s="71"/>
      <c r="B111" s="72">
        <f t="shared" si="9"/>
        <v>0</v>
      </c>
      <c r="C111" s="72" t="s">
        <v>3380</v>
      </c>
      <c r="D111" s="75">
        <f>ROUND(Data!AG368,2)</f>
        <v>4826.58</v>
      </c>
      <c r="E111" s="74" t="s">
        <v>5296</v>
      </c>
      <c r="F111" s="1425"/>
      <c r="G111" s="74">
        <f t="shared" si="10"/>
        <v>0</v>
      </c>
      <c r="H111" s="74"/>
      <c r="I111" s="74">
        <f t="shared" si="11"/>
        <v>0</v>
      </c>
      <c r="J111" s="74"/>
      <c r="K111" s="74">
        <f t="shared" si="12"/>
        <v>0</v>
      </c>
      <c r="L111" s="74"/>
      <c r="M111" s="74">
        <f t="shared" si="13"/>
        <v>0</v>
      </c>
      <c r="N111" s="74">
        <f t="shared" si="14"/>
        <v>0</v>
      </c>
      <c r="O111" s="74">
        <f t="shared" si="15"/>
        <v>0</v>
      </c>
      <c r="P111" s="74">
        <f t="shared" si="16"/>
        <v>0</v>
      </c>
      <c r="Q111" s="74">
        <f t="shared" si="17"/>
        <v>0</v>
      </c>
    </row>
    <row r="112" spans="1:17" ht="40.5" hidden="1" customHeight="1">
      <c r="A112" s="71"/>
      <c r="B112" s="72">
        <f t="shared" si="9"/>
        <v>0</v>
      </c>
      <c r="C112" s="72" t="s">
        <v>4812</v>
      </c>
      <c r="D112" s="75">
        <f>ROUND(Data!AG369,2)</f>
        <v>11823.24</v>
      </c>
      <c r="E112" s="74" t="s">
        <v>5296</v>
      </c>
      <c r="F112" s="1425"/>
      <c r="G112" s="74">
        <f t="shared" si="10"/>
        <v>0</v>
      </c>
      <c r="H112" s="74"/>
      <c r="I112" s="74">
        <f t="shared" si="11"/>
        <v>0</v>
      </c>
      <c r="J112" s="74"/>
      <c r="K112" s="74">
        <f t="shared" si="12"/>
        <v>0</v>
      </c>
      <c r="L112" s="74"/>
      <c r="M112" s="74">
        <f t="shared" si="13"/>
        <v>0</v>
      </c>
      <c r="N112" s="74">
        <f t="shared" si="14"/>
        <v>0</v>
      </c>
      <c r="O112" s="74">
        <f t="shared" si="15"/>
        <v>0</v>
      </c>
      <c r="P112" s="74">
        <f t="shared" si="16"/>
        <v>0</v>
      </c>
      <c r="Q112" s="74">
        <f t="shared" si="17"/>
        <v>0</v>
      </c>
    </row>
    <row r="113" spans="1:17" ht="40.5" hidden="1" customHeight="1">
      <c r="A113" s="71"/>
      <c r="B113" s="72">
        <f t="shared" si="9"/>
        <v>0</v>
      </c>
      <c r="C113" s="72" t="s">
        <v>5356</v>
      </c>
      <c r="D113" s="75">
        <f>ROUND(Data!AG370,2)</f>
        <v>5</v>
      </c>
      <c r="E113" s="74" t="s">
        <v>5296</v>
      </c>
      <c r="F113" s="1425"/>
      <c r="G113" s="74">
        <f t="shared" si="10"/>
        <v>0</v>
      </c>
      <c r="H113" s="74"/>
      <c r="I113" s="74">
        <f t="shared" si="11"/>
        <v>0</v>
      </c>
      <c r="J113" s="74"/>
      <c r="K113" s="74">
        <f t="shared" si="12"/>
        <v>0</v>
      </c>
      <c r="L113" s="74"/>
      <c r="M113" s="74">
        <f t="shared" si="13"/>
        <v>0</v>
      </c>
      <c r="N113" s="74">
        <f t="shared" si="14"/>
        <v>0</v>
      </c>
      <c r="O113" s="74">
        <f t="shared" si="15"/>
        <v>0</v>
      </c>
      <c r="P113" s="74">
        <f t="shared" si="16"/>
        <v>0</v>
      </c>
      <c r="Q113" s="74">
        <f t="shared" si="17"/>
        <v>0</v>
      </c>
    </row>
    <row r="114" spans="1:17" ht="40.5" hidden="1" customHeight="1">
      <c r="A114" s="71"/>
      <c r="B114" s="72">
        <f t="shared" si="9"/>
        <v>0</v>
      </c>
      <c r="C114" s="72" t="s">
        <v>5357</v>
      </c>
      <c r="D114" s="75"/>
      <c r="E114" s="74" t="s">
        <v>5296</v>
      </c>
      <c r="F114" s="1425"/>
      <c r="G114" s="74">
        <f t="shared" si="10"/>
        <v>0</v>
      </c>
      <c r="H114" s="74"/>
      <c r="I114" s="74">
        <f t="shared" si="11"/>
        <v>0</v>
      </c>
      <c r="J114" s="74"/>
      <c r="K114" s="74">
        <f t="shared" si="12"/>
        <v>0</v>
      </c>
      <c r="L114" s="74"/>
      <c r="M114" s="74">
        <f t="shared" si="13"/>
        <v>0</v>
      </c>
      <c r="N114" s="74">
        <f t="shared" si="14"/>
        <v>0</v>
      </c>
      <c r="O114" s="74">
        <f t="shared" si="15"/>
        <v>0</v>
      </c>
      <c r="P114" s="74">
        <f t="shared" si="16"/>
        <v>0</v>
      </c>
      <c r="Q114" s="74">
        <f t="shared" si="17"/>
        <v>0</v>
      </c>
    </row>
    <row r="115" spans="1:17" ht="40.5" hidden="1" customHeight="1">
      <c r="A115" s="78"/>
      <c r="B115" s="72">
        <f t="shared" si="9"/>
        <v>0</v>
      </c>
      <c r="C115" s="72" t="s">
        <v>5358</v>
      </c>
      <c r="D115" s="75">
        <f>ROUND(Data!AG372,2)</f>
        <v>68269</v>
      </c>
      <c r="E115" s="74" t="s">
        <v>5296</v>
      </c>
      <c r="F115" s="1425"/>
      <c r="G115" s="74">
        <f t="shared" si="10"/>
        <v>0</v>
      </c>
      <c r="H115" s="74"/>
      <c r="I115" s="74">
        <f t="shared" si="11"/>
        <v>0</v>
      </c>
      <c r="J115" s="74"/>
      <c r="K115" s="74">
        <f t="shared" si="12"/>
        <v>0</v>
      </c>
      <c r="L115" s="74"/>
      <c r="M115" s="74">
        <f t="shared" si="13"/>
        <v>0</v>
      </c>
      <c r="N115" s="74">
        <f t="shared" si="14"/>
        <v>0</v>
      </c>
      <c r="O115" s="74">
        <f t="shared" si="15"/>
        <v>0</v>
      </c>
      <c r="P115" s="74">
        <f t="shared" si="16"/>
        <v>0</v>
      </c>
      <c r="Q115" s="74">
        <f t="shared" si="17"/>
        <v>0</v>
      </c>
    </row>
    <row r="116" spans="1:17" s="55" customFormat="1" ht="40.5" hidden="1" customHeight="1">
      <c r="A116" s="71">
        <v>9.5</v>
      </c>
      <c r="B116" s="72">
        <f t="shared" si="9"/>
        <v>0</v>
      </c>
      <c r="C116" s="76" t="s">
        <v>5364</v>
      </c>
      <c r="D116" s="75"/>
      <c r="E116" s="74" t="s">
        <v>5296</v>
      </c>
      <c r="F116" s="1425"/>
      <c r="G116" s="74">
        <f t="shared" si="10"/>
        <v>0</v>
      </c>
      <c r="H116" s="74"/>
      <c r="I116" s="74">
        <f t="shared" si="11"/>
        <v>0</v>
      </c>
      <c r="J116" s="74"/>
      <c r="K116" s="74">
        <f t="shared" si="12"/>
        <v>0</v>
      </c>
      <c r="L116" s="74"/>
      <c r="M116" s="74">
        <f t="shared" si="13"/>
        <v>0</v>
      </c>
      <c r="N116" s="74">
        <f t="shared" si="14"/>
        <v>0</v>
      </c>
      <c r="O116" s="74">
        <f t="shared" si="15"/>
        <v>0</v>
      </c>
      <c r="P116" s="74">
        <f t="shared" si="16"/>
        <v>0</v>
      </c>
      <c r="Q116" s="74">
        <f t="shared" si="17"/>
        <v>0</v>
      </c>
    </row>
    <row r="117" spans="1:17" s="55" customFormat="1" ht="40.5" hidden="1" customHeight="1">
      <c r="A117" s="71"/>
      <c r="B117" s="72">
        <f t="shared" si="9"/>
        <v>0</v>
      </c>
      <c r="C117" s="72" t="s">
        <v>3380</v>
      </c>
      <c r="D117" s="75">
        <f>ROUND(Data!AG374,2)</f>
        <v>6826.9</v>
      </c>
      <c r="E117" s="74" t="s">
        <v>5296</v>
      </c>
      <c r="F117" s="1425"/>
      <c r="G117" s="74">
        <f t="shared" si="10"/>
        <v>0</v>
      </c>
      <c r="H117" s="74"/>
      <c r="I117" s="74">
        <f t="shared" si="11"/>
        <v>0</v>
      </c>
      <c r="J117" s="74"/>
      <c r="K117" s="74">
        <f t="shared" si="12"/>
        <v>0</v>
      </c>
      <c r="L117" s="74"/>
      <c r="M117" s="74">
        <f t="shared" si="13"/>
        <v>0</v>
      </c>
      <c r="N117" s="74">
        <f t="shared" si="14"/>
        <v>0</v>
      </c>
      <c r="O117" s="74">
        <f t="shared" si="15"/>
        <v>0</v>
      </c>
      <c r="P117" s="74">
        <f t="shared" si="16"/>
        <v>0</v>
      </c>
      <c r="Q117" s="74">
        <f t="shared" si="17"/>
        <v>0</v>
      </c>
    </row>
    <row r="118" spans="1:17" s="55" customFormat="1" ht="40.5" hidden="1" customHeight="1">
      <c r="A118" s="71"/>
      <c r="B118" s="72">
        <f t="shared" si="9"/>
        <v>0</v>
      </c>
      <c r="C118" s="72" t="s">
        <v>4812</v>
      </c>
      <c r="D118" s="75"/>
      <c r="E118" s="74" t="s">
        <v>5296</v>
      </c>
      <c r="F118" s="1425"/>
      <c r="G118" s="74">
        <f t="shared" si="10"/>
        <v>0</v>
      </c>
      <c r="H118" s="74"/>
      <c r="I118" s="74">
        <f t="shared" si="11"/>
        <v>0</v>
      </c>
      <c r="J118" s="74"/>
      <c r="K118" s="74">
        <f t="shared" si="12"/>
        <v>0</v>
      </c>
      <c r="L118" s="74"/>
      <c r="M118" s="74">
        <f t="shared" si="13"/>
        <v>0</v>
      </c>
      <c r="N118" s="74">
        <f t="shared" si="14"/>
        <v>0</v>
      </c>
      <c r="O118" s="74">
        <f t="shared" si="15"/>
        <v>0</v>
      </c>
      <c r="P118" s="74">
        <f t="shared" si="16"/>
        <v>0</v>
      </c>
      <c r="Q118" s="74">
        <f t="shared" si="17"/>
        <v>0</v>
      </c>
    </row>
    <row r="119" spans="1:17" s="55" customFormat="1" ht="40.5" hidden="1" customHeight="1">
      <c r="A119" s="71"/>
      <c r="B119" s="72">
        <f t="shared" si="9"/>
        <v>0</v>
      </c>
      <c r="C119" s="72" t="s">
        <v>5356</v>
      </c>
      <c r="D119" s="75">
        <f>ROUND(Data!AG376,2)</f>
        <v>6909.18</v>
      </c>
      <c r="E119" s="74" t="s">
        <v>5296</v>
      </c>
      <c r="F119" s="1425"/>
      <c r="G119" s="74">
        <f t="shared" si="10"/>
        <v>0</v>
      </c>
      <c r="H119" s="74"/>
      <c r="I119" s="74">
        <f t="shared" si="11"/>
        <v>0</v>
      </c>
      <c r="J119" s="74"/>
      <c r="K119" s="74">
        <f t="shared" si="12"/>
        <v>0</v>
      </c>
      <c r="L119" s="74"/>
      <c r="M119" s="74">
        <f t="shared" si="13"/>
        <v>0</v>
      </c>
      <c r="N119" s="74">
        <f t="shared" si="14"/>
        <v>0</v>
      </c>
      <c r="O119" s="74">
        <f t="shared" si="15"/>
        <v>0</v>
      </c>
      <c r="P119" s="74">
        <f t="shared" si="16"/>
        <v>0</v>
      </c>
      <c r="Q119" s="74">
        <f t="shared" si="17"/>
        <v>0</v>
      </c>
    </row>
    <row r="120" spans="1:17" s="55" customFormat="1" ht="40.5" hidden="1" customHeight="1">
      <c r="A120" s="71"/>
      <c r="B120" s="72">
        <f t="shared" si="9"/>
        <v>0</v>
      </c>
      <c r="C120" s="72" t="s">
        <v>5357</v>
      </c>
      <c r="D120" s="75">
        <f>ROUND(Data!AG377,2)</f>
        <v>7075.17</v>
      </c>
      <c r="E120" s="74" t="s">
        <v>5296</v>
      </c>
      <c r="F120" s="1425"/>
      <c r="G120" s="74">
        <f t="shared" si="10"/>
        <v>0</v>
      </c>
      <c r="H120" s="74"/>
      <c r="I120" s="74">
        <f t="shared" si="11"/>
        <v>0</v>
      </c>
      <c r="J120" s="74"/>
      <c r="K120" s="74">
        <f t="shared" si="12"/>
        <v>0</v>
      </c>
      <c r="L120" s="74"/>
      <c r="M120" s="74">
        <f t="shared" si="13"/>
        <v>0</v>
      </c>
      <c r="N120" s="74">
        <f t="shared" si="14"/>
        <v>0</v>
      </c>
      <c r="O120" s="74">
        <f t="shared" si="15"/>
        <v>0</v>
      </c>
      <c r="P120" s="74">
        <f t="shared" si="16"/>
        <v>0</v>
      </c>
      <c r="Q120" s="74">
        <f t="shared" si="17"/>
        <v>0</v>
      </c>
    </row>
    <row r="121" spans="1:17" s="55" customFormat="1" ht="40.5" hidden="1" customHeight="1">
      <c r="A121" s="77"/>
      <c r="B121" s="72">
        <f t="shared" si="9"/>
        <v>0</v>
      </c>
      <c r="C121" s="72" t="s">
        <v>5358</v>
      </c>
      <c r="D121" s="75">
        <f>ROUND(Data!AG378,2)</f>
        <v>7241.16</v>
      </c>
      <c r="E121" s="74" t="s">
        <v>5296</v>
      </c>
      <c r="F121" s="1425"/>
      <c r="G121" s="74">
        <f t="shared" si="10"/>
        <v>0</v>
      </c>
      <c r="H121" s="74"/>
      <c r="I121" s="74">
        <f t="shared" si="11"/>
        <v>0</v>
      </c>
      <c r="J121" s="74"/>
      <c r="K121" s="74">
        <f t="shared" si="12"/>
        <v>0</v>
      </c>
      <c r="L121" s="74"/>
      <c r="M121" s="74">
        <f t="shared" si="13"/>
        <v>0</v>
      </c>
      <c r="N121" s="74">
        <f t="shared" si="14"/>
        <v>0</v>
      </c>
      <c r="O121" s="74">
        <f t="shared" si="15"/>
        <v>0</v>
      </c>
      <c r="P121" s="74">
        <f t="shared" si="16"/>
        <v>0</v>
      </c>
      <c r="Q121" s="74">
        <f t="shared" si="17"/>
        <v>0</v>
      </c>
    </row>
    <row r="122" spans="1:17" ht="40.5" hidden="1" customHeight="1">
      <c r="A122" s="71">
        <v>9.6</v>
      </c>
      <c r="B122" s="72">
        <f t="shared" si="9"/>
        <v>0</v>
      </c>
      <c r="C122" s="72" t="s">
        <v>5365</v>
      </c>
      <c r="D122" s="75">
        <f>ROUND(Data!AG379,2)</f>
        <v>7407.15</v>
      </c>
      <c r="E122" s="74" t="s">
        <v>5296</v>
      </c>
      <c r="F122" s="1425"/>
      <c r="G122" s="74">
        <f t="shared" si="10"/>
        <v>0</v>
      </c>
      <c r="H122" s="74"/>
      <c r="I122" s="74">
        <f t="shared" si="11"/>
        <v>0</v>
      </c>
      <c r="J122" s="74"/>
      <c r="K122" s="74">
        <f t="shared" si="12"/>
        <v>0</v>
      </c>
      <c r="L122" s="74"/>
      <c r="M122" s="74">
        <f t="shared" si="13"/>
        <v>0</v>
      </c>
      <c r="N122" s="74">
        <f t="shared" si="14"/>
        <v>0</v>
      </c>
      <c r="O122" s="74">
        <f t="shared" si="15"/>
        <v>0</v>
      </c>
      <c r="P122" s="74">
        <f t="shared" si="16"/>
        <v>0</v>
      </c>
      <c r="Q122" s="74">
        <f t="shared" si="17"/>
        <v>0</v>
      </c>
    </row>
    <row r="123" spans="1:17" ht="40.5" hidden="1" customHeight="1">
      <c r="A123" s="71"/>
      <c r="B123" s="72">
        <f t="shared" si="9"/>
        <v>0</v>
      </c>
      <c r="C123" s="72" t="s">
        <v>3380</v>
      </c>
      <c r="D123" s="75">
        <f>ROUND(Data!AG380,2)</f>
        <v>7573.14</v>
      </c>
      <c r="E123" s="74" t="s">
        <v>5296</v>
      </c>
      <c r="F123" s="1425"/>
      <c r="G123" s="74">
        <f t="shared" si="10"/>
        <v>0</v>
      </c>
      <c r="H123" s="74"/>
      <c r="I123" s="74">
        <f t="shared" si="11"/>
        <v>0</v>
      </c>
      <c r="J123" s="74"/>
      <c r="K123" s="74">
        <f t="shared" si="12"/>
        <v>0</v>
      </c>
      <c r="L123" s="74"/>
      <c r="M123" s="74">
        <f t="shared" si="13"/>
        <v>0</v>
      </c>
      <c r="N123" s="74">
        <f t="shared" si="14"/>
        <v>0</v>
      </c>
      <c r="O123" s="74">
        <f t="shared" si="15"/>
        <v>0</v>
      </c>
      <c r="P123" s="74">
        <f t="shared" si="16"/>
        <v>0</v>
      </c>
      <c r="Q123" s="74">
        <f t="shared" si="17"/>
        <v>0</v>
      </c>
    </row>
    <row r="124" spans="1:17" ht="40.5" hidden="1" customHeight="1">
      <c r="A124" s="71"/>
      <c r="B124" s="72">
        <f t="shared" si="9"/>
        <v>0</v>
      </c>
      <c r="C124" s="72" t="s">
        <v>4812</v>
      </c>
      <c r="D124" s="75">
        <f>ROUND(Data!AG381,2)</f>
        <v>7158.17</v>
      </c>
      <c r="E124" s="74" t="s">
        <v>5296</v>
      </c>
      <c r="F124" s="1425"/>
      <c r="G124" s="74">
        <f t="shared" si="10"/>
        <v>0</v>
      </c>
      <c r="H124" s="74"/>
      <c r="I124" s="74">
        <f t="shared" si="11"/>
        <v>0</v>
      </c>
      <c r="J124" s="74"/>
      <c r="K124" s="74">
        <f t="shared" si="12"/>
        <v>0</v>
      </c>
      <c r="L124" s="74"/>
      <c r="M124" s="74">
        <f t="shared" si="13"/>
        <v>0</v>
      </c>
      <c r="N124" s="74">
        <f t="shared" si="14"/>
        <v>0</v>
      </c>
      <c r="O124" s="74">
        <f t="shared" si="15"/>
        <v>0</v>
      </c>
      <c r="P124" s="74">
        <f t="shared" si="16"/>
        <v>0</v>
      </c>
      <c r="Q124" s="74">
        <f t="shared" si="17"/>
        <v>0</v>
      </c>
    </row>
    <row r="125" spans="1:17" ht="40.5" hidden="1" customHeight="1">
      <c r="A125" s="71"/>
      <c r="B125" s="72">
        <f t="shared" si="9"/>
        <v>0</v>
      </c>
      <c r="C125" s="72" t="s">
        <v>5356</v>
      </c>
      <c r="D125" s="75">
        <f>ROUND(Data!AG382,2)</f>
        <v>0</v>
      </c>
      <c r="E125" s="74" t="s">
        <v>5296</v>
      </c>
      <c r="F125" s="1425"/>
      <c r="G125" s="74">
        <f t="shared" si="10"/>
        <v>0</v>
      </c>
      <c r="H125" s="74"/>
      <c r="I125" s="74">
        <f t="shared" si="11"/>
        <v>0</v>
      </c>
      <c r="J125" s="74"/>
      <c r="K125" s="74">
        <f t="shared" si="12"/>
        <v>0</v>
      </c>
      <c r="L125" s="74"/>
      <c r="M125" s="74">
        <f t="shared" si="13"/>
        <v>0</v>
      </c>
      <c r="N125" s="74">
        <f t="shared" si="14"/>
        <v>0</v>
      </c>
      <c r="O125" s="74">
        <f t="shared" si="15"/>
        <v>0</v>
      </c>
      <c r="P125" s="74">
        <f t="shared" si="16"/>
        <v>0</v>
      </c>
      <c r="Q125" s="74">
        <f t="shared" si="17"/>
        <v>0</v>
      </c>
    </row>
    <row r="126" spans="1:17" ht="40.5" hidden="1" customHeight="1">
      <c r="A126" s="71"/>
      <c r="B126" s="72">
        <f t="shared" si="9"/>
        <v>0</v>
      </c>
      <c r="C126" s="72" t="s">
        <v>5357</v>
      </c>
      <c r="D126" s="75">
        <f>ROUND(Data!AG383,2)</f>
        <v>0</v>
      </c>
      <c r="E126" s="74" t="s">
        <v>5296</v>
      </c>
      <c r="F126" s="1425"/>
      <c r="G126" s="74">
        <f t="shared" si="10"/>
        <v>0</v>
      </c>
      <c r="H126" s="74"/>
      <c r="I126" s="74">
        <f t="shared" si="11"/>
        <v>0</v>
      </c>
      <c r="J126" s="74"/>
      <c r="K126" s="74">
        <f t="shared" si="12"/>
        <v>0</v>
      </c>
      <c r="L126" s="74"/>
      <c r="M126" s="74">
        <f t="shared" si="13"/>
        <v>0</v>
      </c>
      <c r="N126" s="74">
        <f t="shared" si="14"/>
        <v>0</v>
      </c>
      <c r="O126" s="74">
        <f t="shared" si="15"/>
        <v>0</v>
      </c>
      <c r="P126" s="74">
        <f t="shared" si="16"/>
        <v>0</v>
      </c>
      <c r="Q126" s="74">
        <f t="shared" si="17"/>
        <v>0</v>
      </c>
    </row>
    <row r="127" spans="1:17" ht="40.5" hidden="1" customHeight="1">
      <c r="A127" s="78"/>
      <c r="B127" s="72">
        <f t="shared" si="9"/>
        <v>0</v>
      </c>
      <c r="C127" s="72" t="s">
        <v>5358</v>
      </c>
      <c r="D127" s="75">
        <f>ROUND(Data!AG384,2)</f>
        <v>0</v>
      </c>
      <c r="E127" s="74" t="s">
        <v>5296</v>
      </c>
      <c r="F127" s="1425"/>
      <c r="G127" s="74">
        <f t="shared" si="10"/>
        <v>0</v>
      </c>
      <c r="H127" s="74"/>
      <c r="I127" s="74">
        <f t="shared" si="11"/>
        <v>0</v>
      </c>
      <c r="J127" s="74"/>
      <c r="K127" s="74">
        <f t="shared" si="12"/>
        <v>0</v>
      </c>
      <c r="L127" s="74"/>
      <c r="M127" s="74">
        <f t="shared" si="13"/>
        <v>0</v>
      </c>
      <c r="N127" s="74">
        <f t="shared" si="14"/>
        <v>0</v>
      </c>
      <c r="O127" s="74">
        <f t="shared" si="15"/>
        <v>0</v>
      </c>
      <c r="P127" s="74">
        <f t="shared" si="16"/>
        <v>0</v>
      </c>
      <c r="Q127" s="74">
        <f t="shared" si="17"/>
        <v>0</v>
      </c>
    </row>
    <row r="128" spans="1:17" ht="40.5" hidden="1" customHeight="1">
      <c r="A128" s="71">
        <v>10.1</v>
      </c>
      <c r="B128" s="72">
        <f t="shared" si="9"/>
        <v>0</v>
      </c>
      <c r="C128" s="76" t="s">
        <v>5366</v>
      </c>
      <c r="D128" s="75">
        <f>ROUND(Data!AG385,2)</f>
        <v>0</v>
      </c>
      <c r="E128" s="74" t="s">
        <v>5296</v>
      </c>
      <c r="F128" s="1425"/>
      <c r="G128" s="74">
        <f t="shared" si="10"/>
        <v>0</v>
      </c>
      <c r="H128" s="74"/>
      <c r="I128" s="74">
        <f t="shared" si="11"/>
        <v>0</v>
      </c>
      <c r="J128" s="74"/>
      <c r="K128" s="74">
        <f t="shared" si="12"/>
        <v>0</v>
      </c>
      <c r="L128" s="74"/>
      <c r="M128" s="74">
        <f t="shared" si="13"/>
        <v>0</v>
      </c>
      <c r="N128" s="74">
        <f t="shared" si="14"/>
        <v>0</v>
      </c>
      <c r="O128" s="74">
        <f t="shared" si="15"/>
        <v>0</v>
      </c>
      <c r="P128" s="74">
        <f t="shared" si="16"/>
        <v>0</v>
      </c>
      <c r="Q128" s="74">
        <f t="shared" si="17"/>
        <v>0</v>
      </c>
    </row>
    <row r="129" spans="1:17" ht="40.5" hidden="1" customHeight="1">
      <c r="A129" s="71"/>
      <c r="B129" s="72">
        <f t="shared" si="9"/>
        <v>0</v>
      </c>
      <c r="C129" s="72" t="s">
        <v>5367</v>
      </c>
      <c r="D129" s="75">
        <f>ROUND(Data!AG386,2)</f>
        <v>0</v>
      </c>
      <c r="E129" s="74" t="s">
        <v>5296</v>
      </c>
      <c r="F129" s="1425"/>
      <c r="G129" s="74">
        <f t="shared" si="10"/>
        <v>0</v>
      </c>
      <c r="H129" s="74"/>
      <c r="I129" s="74">
        <f t="shared" si="11"/>
        <v>0</v>
      </c>
      <c r="J129" s="74"/>
      <c r="K129" s="74">
        <f t="shared" si="12"/>
        <v>0</v>
      </c>
      <c r="L129" s="74"/>
      <c r="M129" s="74">
        <f t="shared" si="13"/>
        <v>0</v>
      </c>
      <c r="N129" s="74">
        <f t="shared" si="14"/>
        <v>0</v>
      </c>
      <c r="O129" s="74">
        <f t="shared" si="15"/>
        <v>0</v>
      </c>
      <c r="P129" s="74">
        <f t="shared" si="16"/>
        <v>0</v>
      </c>
      <c r="Q129" s="74">
        <f t="shared" si="17"/>
        <v>0</v>
      </c>
    </row>
    <row r="130" spans="1:17" ht="40.5" hidden="1" customHeight="1">
      <c r="A130" s="71"/>
      <c r="B130" s="72">
        <f t="shared" si="9"/>
        <v>0</v>
      </c>
      <c r="C130" s="72" t="s">
        <v>5368</v>
      </c>
      <c r="D130" s="75">
        <f>ROUND(Data!AG387,2)</f>
        <v>0</v>
      </c>
      <c r="E130" s="74" t="s">
        <v>5296</v>
      </c>
      <c r="F130" s="1425"/>
      <c r="G130" s="74">
        <f t="shared" si="10"/>
        <v>0</v>
      </c>
      <c r="H130" s="74"/>
      <c r="I130" s="74">
        <f t="shared" si="11"/>
        <v>0</v>
      </c>
      <c r="J130" s="74"/>
      <c r="K130" s="74">
        <f t="shared" si="12"/>
        <v>0</v>
      </c>
      <c r="L130" s="74"/>
      <c r="M130" s="74">
        <f t="shared" si="13"/>
        <v>0</v>
      </c>
      <c r="N130" s="74">
        <f t="shared" si="14"/>
        <v>0</v>
      </c>
      <c r="O130" s="74">
        <f t="shared" si="15"/>
        <v>0</v>
      </c>
      <c r="P130" s="74">
        <f t="shared" si="16"/>
        <v>0</v>
      </c>
      <c r="Q130" s="74">
        <f t="shared" si="17"/>
        <v>0</v>
      </c>
    </row>
    <row r="131" spans="1:17" ht="40.5" hidden="1" customHeight="1">
      <c r="A131" s="71"/>
      <c r="B131" s="72">
        <f t="shared" si="9"/>
        <v>0</v>
      </c>
      <c r="C131" s="72" t="s">
        <v>5369</v>
      </c>
      <c r="D131" s="75">
        <f>ROUND(Data!AG388,2)</f>
        <v>29785.15</v>
      </c>
      <c r="E131" s="74" t="s">
        <v>5296</v>
      </c>
      <c r="F131" s="1425"/>
      <c r="G131" s="74">
        <f t="shared" si="10"/>
        <v>0</v>
      </c>
      <c r="H131" s="74"/>
      <c r="I131" s="74">
        <f t="shared" si="11"/>
        <v>0</v>
      </c>
      <c r="J131" s="74"/>
      <c r="K131" s="74">
        <f t="shared" si="12"/>
        <v>0</v>
      </c>
      <c r="L131" s="74"/>
      <c r="M131" s="74">
        <f t="shared" si="13"/>
        <v>0</v>
      </c>
      <c r="N131" s="74">
        <f t="shared" si="14"/>
        <v>0</v>
      </c>
      <c r="O131" s="74">
        <f t="shared" si="15"/>
        <v>0</v>
      </c>
      <c r="P131" s="74">
        <f t="shared" si="16"/>
        <v>0</v>
      </c>
      <c r="Q131" s="74">
        <f t="shared" si="17"/>
        <v>0</v>
      </c>
    </row>
    <row r="132" spans="1:17" ht="40.5" hidden="1" customHeight="1">
      <c r="A132" s="71"/>
      <c r="B132" s="72">
        <f t="shared" si="9"/>
        <v>0</v>
      </c>
      <c r="C132" s="72" t="s">
        <v>5370</v>
      </c>
      <c r="D132" s="75">
        <f>ROUND(Data!AG389,2)</f>
        <v>5001.03</v>
      </c>
      <c r="E132" s="74" t="s">
        <v>5296</v>
      </c>
      <c r="F132" s="1425"/>
      <c r="G132" s="74">
        <f t="shared" si="10"/>
        <v>0</v>
      </c>
      <c r="H132" s="74"/>
      <c r="I132" s="74">
        <f t="shared" si="11"/>
        <v>0</v>
      </c>
      <c r="J132" s="74"/>
      <c r="K132" s="74">
        <f t="shared" si="12"/>
        <v>0</v>
      </c>
      <c r="L132" s="74"/>
      <c r="M132" s="74">
        <f t="shared" si="13"/>
        <v>0</v>
      </c>
      <c r="N132" s="74">
        <f t="shared" si="14"/>
        <v>0</v>
      </c>
      <c r="O132" s="74">
        <f t="shared" si="15"/>
        <v>0</v>
      </c>
      <c r="P132" s="74">
        <f t="shared" si="16"/>
        <v>0</v>
      </c>
      <c r="Q132" s="74">
        <f t="shared" si="17"/>
        <v>0</v>
      </c>
    </row>
    <row r="133" spans="1:17" ht="40.5" hidden="1" customHeight="1">
      <c r="A133" s="71"/>
      <c r="B133" s="72">
        <f t="shared" ref="B133:B196" si="18">P133</f>
        <v>0</v>
      </c>
      <c r="C133" s="72" t="s">
        <v>5371</v>
      </c>
      <c r="D133" s="75">
        <f>ROUND(Data!AG390,2)</f>
        <v>7291.9</v>
      </c>
      <c r="E133" s="74" t="s">
        <v>5296</v>
      </c>
      <c r="F133" s="1425"/>
      <c r="G133" s="74">
        <f t="shared" si="10"/>
        <v>0</v>
      </c>
      <c r="H133" s="74"/>
      <c r="I133" s="74">
        <f t="shared" si="11"/>
        <v>0</v>
      </c>
      <c r="J133" s="74"/>
      <c r="K133" s="74">
        <f t="shared" si="12"/>
        <v>0</v>
      </c>
      <c r="L133" s="74"/>
      <c r="M133" s="74">
        <f t="shared" si="13"/>
        <v>0</v>
      </c>
      <c r="N133" s="74">
        <f t="shared" si="14"/>
        <v>0</v>
      </c>
      <c r="O133" s="74">
        <f t="shared" si="15"/>
        <v>0</v>
      </c>
      <c r="P133" s="74">
        <f t="shared" si="16"/>
        <v>0</v>
      </c>
      <c r="Q133" s="74">
        <f t="shared" si="17"/>
        <v>0</v>
      </c>
    </row>
    <row r="134" spans="1:17" ht="40.5" hidden="1" customHeight="1">
      <c r="A134" s="78"/>
      <c r="B134" s="72">
        <f t="shared" si="18"/>
        <v>0</v>
      </c>
      <c r="C134" s="72" t="s">
        <v>5372</v>
      </c>
      <c r="D134" s="75">
        <f>ROUND(Data!AG391,2)</f>
        <v>6904.04</v>
      </c>
      <c r="E134" s="74" t="s">
        <v>5296</v>
      </c>
      <c r="F134" s="1425"/>
      <c r="G134" s="74">
        <f t="shared" ref="G134:G197" si="19">F134*D134</f>
        <v>0</v>
      </c>
      <c r="H134" s="74"/>
      <c r="I134" s="74">
        <f t="shared" ref="I134:I197" si="20">H134*D134</f>
        <v>0</v>
      </c>
      <c r="J134" s="74"/>
      <c r="K134" s="74">
        <f t="shared" ref="K134:K197" si="21">J134*D134</f>
        <v>0</v>
      </c>
      <c r="L134" s="74"/>
      <c r="M134" s="74">
        <f t="shared" ref="M134:M197" si="22">L134*D134</f>
        <v>0</v>
      </c>
      <c r="N134" s="74">
        <f t="shared" ref="N134:N197" si="23">H134+J134+L134</f>
        <v>0</v>
      </c>
      <c r="O134" s="74">
        <f t="shared" ref="O134:O197" si="24">N134*D134</f>
        <v>0</v>
      </c>
      <c r="P134" s="74">
        <f t="shared" ref="P134:P197" si="25">N134+F134</f>
        <v>0</v>
      </c>
      <c r="Q134" s="74">
        <f t="shared" ref="Q134:Q197" si="26">P134*D134</f>
        <v>0</v>
      </c>
    </row>
    <row r="135" spans="1:17" ht="40.5" customHeight="1">
      <c r="A135" s="78"/>
      <c r="B135" s="72">
        <f t="shared" si="18"/>
        <v>128.9</v>
      </c>
      <c r="C135" s="72" t="s">
        <v>7561</v>
      </c>
      <c r="D135" s="75">
        <f>Data!AG351</f>
        <v>7428.18</v>
      </c>
      <c r="E135" s="74" t="s">
        <v>5296</v>
      </c>
      <c r="F135" s="1425">
        <f>'Detail '!I673</f>
        <v>128.9</v>
      </c>
      <c r="G135" s="74">
        <f t="shared" si="19"/>
        <v>957492.4</v>
      </c>
      <c r="H135" s="74"/>
      <c r="I135" s="74">
        <f t="shared" si="20"/>
        <v>0</v>
      </c>
      <c r="J135" s="74"/>
      <c r="K135" s="74">
        <f t="shared" si="21"/>
        <v>0</v>
      </c>
      <c r="L135" s="74"/>
      <c r="M135" s="74">
        <f t="shared" si="22"/>
        <v>0</v>
      </c>
      <c r="N135" s="74">
        <f t="shared" si="23"/>
        <v>0</v>
      </c>
      <c r="O135" s="74">
        <f t="shared" si="24"/>
        <v>0</v>
      </c>
      <c r="P135" s="74">
        <f t="shared" si="25"/>
        <v>128.9</v>
      </c>
      <c r="Q135" s="74">
        <f t="shared" si="26"/>
        <v>957492.4</v>
      </c>
    </row>
    <row r="136" spans="1:17" ht="36" customHeight="1">
      <c r="A136" s="78"/>
      <c r="B136" s="72">
        <f t="shared" si="18"/>
        <v>11.4</v>
      </c>
      <c r="C136" s="72" t="s">
        <v>5593</v>
      </c>
      <c r="D136" s="75">
        <f>Data!AG352</f>
        <v>7594.17</v>
      </c>
      <c r="E136" s="74" t="s">
        <v>5296</v>
      </c>
      <c r="F136" s="1425">
        <f>'Detail '!I684</f>
        <v>11.4</v>
      </c>
      <c r="G136" s="74">
        <f t="shared" si="19"/>
        <v>86573.54</v>
      </c>
      <c r="H136" s="74"/>
      <c r="I136" s="74">
        <f t="shared" si="20"/>
        <v>0</v>
      </c>
      <c r="J136" s="74"/>
      <c r="K136" s="74">
        <f t="shared" si="21"/>
        <v>0</v>
      </c>
      <c r="L136" s="74"/>
      <c r="M136" s="74">
        <f t="shared" si="22"/>
        <v>0</v>
      </c>
      <c r="N136" s="74">
        <f t="shared" si="23"/>
        <v>0</v>
      </c>
      <c r="O136" s="74">
        <f t="shared" si="24"/>
        <v>0</v>
      </c>
      <c r="P136" s="74">
        <f t="shared" si="25"/>
        <v>11.4</v>
      </c>
      <c r="Q136" s="74">
        <f t="shared" si="26"/>
        <v>86573.54</v>
      </c>
    </row>
    <row r="137" spans="1:17" ht="77.25" customHeight="1">
      <c r="A137" s="71">
        <v>10.199999999999999</v>
      </c>
      <c r="B137" s="72">
        <f t="shared" si="18"/>
        <v>0</v>
      </c>
      <c r="C137" s="76" t="s">
        <v>5373</v>
      </c>
      <c r="D137" s="75"/>
      <c r="E137" s="74"/>
      <c r="F137" s="1425"/>
      <c r="G137" s="74">
        <f t="shared" si="19"/>
        <v>0</v>
      </c>
      <c r="H137" s="74"/>
      <c r="I137" s="74">
        <f t="shared" si="20"/>
        <v>0</v>
      </c>
      <c r="J137" s="74"/>
      <c r="K137" s="74">
        <f t="shared" si="21"/>
        <v>0</v>
      </c>
      <c r="L137" s="74"/>
      <c r="M137" s="74">
        <f t="shared" si="22"/>
        <v>0</v>
      </c>
      <c r="N137" s="74">
        <f t="shared" si="23"/>
        <v>0</v>
      </c>
      <c r="O137" s="74">
        <f t="shared" si="24"/>
        <v>0</v>
      </c>
      <c r="P137" s="74">
        <f t="shared" si="25"/>
        <v>0</v>
      </c>
      <c r="Q137" s="74">
        <f t="shared" si="26"/>
        <v>0</v>
      </c>
    </row>
    <row r="138" spans="1:17" ht="39" customHeight="1">
      <c r="A138" s="71"/>
      <c r="B138" s="72">
        <f t="shared" si="18"/>
        <v>0</v>
      </c>
      <c r="C138" s="72" t="s">
        <v>5367</v>
      </c>
      <c r="D138" s="75">
        <f>ROUND(Data!AG409,2)</f>
        <v>852.87</v>
      </c>
      <c r="E138" s="74" t="s">
        <v>5324</v>
      </c>
      <c r="F138" s="1426"/>
      <c r="G138" s="74">
        <f t="shared" si="19"/>
        <v>0</v>
      </c>
      <c r="H138" s="74"/>
      <c r="I138" s="74">
        <f t="shared" si="20"/>
        <v>0</v>
      </c>
      <c r="J138" s="74"/>
      <c r="K138" s="74">
        <f t="shared" si="21"/>
        <v>0</v>
      </c>
      <c r="L138" s="74"/>
      <c r="M138" s="74">
        <f t="shared" si="22"/>
        <v>0</v>
      </c>
      <c r="N138" s="74">
        <f t="shared" si="23"/>
        <v>0</v>
      </c>
      <c r="O138" s="74">
        <f t="shared" si="24"/>
        <v>0</v>
      </c>
      <c r="P138" s="74">
        <f t="shared" si="25"/>
        <v>0</v>
      </c>
      <c r="Q138" s="74">
        <f t="shared" si="26"/>
        <v>0</v>
      </c>
    </row>
    <row r="139" spans="1:17" ht="36.75" customHeight="1">
      <c r="A139" s="71"/>
      <c r="B139" s="72">
        <f t="shared" si="18"/>
        <v>14.2</v>
      </c>
      <c r="C139" s="72" t="s">
        <v>5374</v>
      </c>
      <c r="D139" s="75">
        <f>ROUND(Data!AG411,2)</f>
        <v>862.25</v>
      </c>
      <c r="E139" s="74" t="s">
        <v>5324</v>
      </c>
      <c r="F139" s="1425">
        <f>'Detail '!I689</f>
        <v>14.2</v>
      </c>
      <c r="G139" s="74">
        <f t="shared" si="19"/>
        <v>12243.95</v>
      </c>
      <c r="H139" s="74"/>
      <c r="I139" s="74">
        <f t="shared" si="20"/>
        <v>0</v>
      </c>
      <c r="J139" s="74"/>
      <c r="K139" s="74">
        <f t="shared" si="21"/>
        <v>0</v>
      </c>
      <c r="L139" s="74"/>
      <c r="M139" s="74">
        <f t="shared" si="22"/>
        <v>0</v>
      </c>
      <c r="N139" s="74">
        <f t="shared" si="23"/>
        <v>0</v>
      </c>
      <c r="O139" s="74">
        <f t="shared" si="24"/>
        <v>0</v>
      </c>
      <c r="P139" s="74">
        <f t="shared" si="25"/>
        <v>14.2</v>
      </c>
      <c r="Q139" s="74">
        <f t="shared" si="26"/>
        <v>12243.95</v>
      </c>
    </row>
    <row r="140" spans="1:17" ht="40.5" customHeight="1">
      <c r="A140" s="71"/>
      <c r="B140" s="72">
        <f t="shared" si="18"/>
        <v>52.5</v>
      </c>
      <c r="C140" s="72" t="s">
        <v>5369</v>
      </c>
      <c r="D140" s="75">
        <f>ROUND(Data!AG412,2)</f>
        <v>881.17</v>
      </c>
      <c r="E140" s="74" t="s">
        <v>5324</v>
      </c>
      <c r="F140" s="1425">
        <f>'Detail '!I696</f>
        <v>52.5</v>
      </c>
      <c r="G140" s="74">
        <f t="shared" si="19"/>
        <v>46261.43</v>
      </c>
      <c r="H140" s="74"/>
      <c r="I140" s="74">
        <f t="shared" si="20"/>
        <v>0</v>
      </c>
      <c r="J140" s="74"/>
      <c r="K140" s="74">
        <f t="shared" si="21"/>
        <v>0</v>
      </c>
      <c r="L140" s="74"/>
      <c r="M140" s="74">
        <f t="shared" si="22"/>
        <v>0</v>
      </c>
      <c r="N140" s="74">
        <f t="shared" si="23"/>
        <v>0</v>
      </c>
      <c r="O140" s="74">
        <f t="shared" si="24"/>
        <v>0</v>
      </c>
      <c r="P140" s="74">
        <f t="shared" si="25"/>
        <v>52.5</v>
      </c>
      <c r="Q140" s="74">
        <f t="shared" si="26"/>
        <v>46261.43</v>
      </c>
    </row>
    <row r="141" spans="1:17" ht="34.5" customHeight="1">
      <c r="A141" s="71"/>
      <c r="B141" s="72">
        <f t="shared" si="18"/>
        <v>113</v>
      </c>
      <c r="C141" s="72" t="s">
        <v>5370</v>
      </c>
      <c r="D141" s="75">
        <f>ROUND(Data!AG413,2)</f>
        <v>900.09</v>
      </c>
      <c r="E141" s="74" t="s">
        <v>5324</v>
      </c>
      <c r="F141" s="1425">
        <f>'Detail '!I706</f>
        <v>113</v>
      </c>
      <c r="G141" s="74">
        <f t="shared" si="19"/>
        <v>101710.17</v>
      </c>
      <c r="H141" s="74"/>
      <c r="I141" s="74">
        <f t="shared" si="20"/>
        <v>0</v>
      </c>
      <c r="J141" s="74"/>
      <c r="K141" s="74">
        <f t="shared" si="21"/>
        <v>0</v>
      </c>
      <c r="L141" s="74"/>
      <c r="M141" s="74">
        <f t="shared" si="22"/>
        <v>0</v>
      </c>
      <c r="N141" s="74">
        <f t="shared" si="23"/>
        <v>0</v>
      </c>
      <c r="O141" s="74">
        <f t="shared" si="24"/>
        <v>0</v>
      </c>
      <c r="P141" s="74">
        <f t="shared" si="25"/>
        <v>113</v>
      </c>
      <c r="Q141" s="74">
        <f t="shared" si="26"/>
        <v>101710.17</v>
      </c>
    </row>
    <row r="142" spans="1:17" ht="25.5" customHeight="1">
      <c r="A142" s="71"/>
      <c r="B142" s="72">
        <f t="shared" si="18"/>
        <v>117.4</v>
      </c>
      <c r="C142" s="72" t="s">
        <v>5371</v>
      </c>
      <c r="D142" s="75">
        <f>ROUND(Data!AG414,2)</f>
        <v>919.01</v>
      </c>
      <c r="E142" s="74" t="s">
        <v>5324</v>
      </c>
      <c r="F142" s="1425">
        <f>'Detail '!I717</f>
        <v>117.4</v>
      </c>
      <c r="G142" s="74">
        <f t="shared" si="19"/>
        <v>107891.77</v>
      </c>
      <c r="H142" s="74"/>
      <c r="I142" s="74">
        <f t="shared" si="20"/>
        <v>0</v>
      </c>
      <c r="J142" s="74"/>
      <c r="K142" s="74">
        <f t="shared" si="21"/>
        <v>0</v>
      </c>
      <c r="L142" s="74"/>
      <c r="M142" s="74">
        <f t="shared" si="22"/>
        <v>0</v>
      </c>
      <c r="N142" s="74">
        <f t="shared" si="23"/>
        <v>0</v>
      </c>
      <c r="O142" s="74">
        <f t="shared" si="24"/>
        <v>0</v>
      </c>
      <c r="P142" s="74">
        <f t="shared" si="25"/>
        <v>117.4</v>
      </c>
      <c r="Q142" s="74">
        <f t="shared" si="26"/>
        <v>107891.77</v>
      </c>
    </row>
    <row r="143" spans="1:17" ht="25.5" hidden="1" customHeight="1">
      <c r="A143" s="78"/>
      <c r="B143" s="72">
        <f t="shared" si="18"/>
        <v>0</v>
      </c>
      <c r="C143" s="72" t="s">
        <v>5372</v>
      </c>
      <c r="D143" s="75">
        <f>ROUND(Data!AG415,2)</f>
        <v>937.93</v>
      </c>
      <c r="E143" s="74" t="s">
        <v>5324</v>
      </c>
      <c r="F143" s="1425"/>
      <c r="G143" s="74">
        <f t="shared" si="19"/>
        <v>0</v>
      </c>
      <c r="H143" s="74"/>
      <c r="I143" s="74">
        <f t="shared" si="20"/>
        <v>0</v>
      </c>
      <c r="J143" s="74"/>
      <c r="K143" s="74">
        <f t="shared" si="21"/>
        <v>0</v>
      </c>
      <c r="L143" s="74"/>
      <c r="M143" s="74">
        <f t="shared" si="22"/>
        <v>0</v>
      </c>
      <c r="N143" s="74">
        <f t="shared" si="23"/>
        <v>0</v>
      </c>
      <c r="O143" s="74">
        <f t="shared" si="24"/>
        <v>0</v>
      </c>
      <c r="P143" s="74">
        <f t="shared" si="25"/>
        <v>0</v>
      </c>
      <c r="Q143" s="74">
        <f t="shared" si="26"/>
        <v>0</v>
      </c>
    </row>
    <row r="144" spans="1:17" ht="25.5" hidden="1" customHeight="1">
      <c r="A144" s="78"/>
      <c r="B144" s="72">
        <f t="shared" si="18"/>
        <v>0</v>
      </c>
      <c r="C144" s="72" t="s">
        <v>5347</v>
      </c>
      <c r="D144" s="75">
        <f>ROUND(Data!AG416,2)</f>
        <v>956.85</v>
      </c>
      <c r="E144" s="74" t="s">
        <v>5324</v>
      </c>
      <c r="F144" s="1425"/>
      <c r="G144" s="74">
        <f t="shared" si="19"/>
        <v>0</v>
      </c>
      <c r="H144" s="74"/>
      <c r="I144" s="74">
        <f t="shared" si="20"/>
        <v>0</v>
      </c>
      <c r="J144" s="74"/>
      <c r="K144" s="74">
        <f t="shared" si="21"/>
        <v>0</v>
      </c>
      <c r="L144" s="74"/>
      <c r="M144" s="74">
        <f t="shared" si="22"/>
        <v>0</v>
      </c>
      <c r="N144" s="74">
        <f t="shared" si="23"/>
        <v>0</v>
      </c>
      <c r="O144" s="74">
        <f t="shared" si="24"/>
        <v>0</v>
      </c>
      <c r="P144" s="74">
        <f t="shared" si="25"/>
        <v>0</v>
      </c>
      <c r="Q144" s="74">
        <f t="shared" si="26"/>
        <v>0</v>
      </c>
    </row>
    <row r="145" spans="1:17" ht="25.5" hidden="1" customHeight="1">
      <c r="A145" s="78"/>
      <c r="B145" s="72">
        <f t="shared" si="18"/>
        <v>0</v>
      </c>
      <c r="C145" s="72" t="s">
        <v>5348</v>
      </c>
      <c r="D145" s="75">
        <f>ROUND(Data!AG417,2)</f>
        <v>975.77</v>
      </c>
      <c r="E145" s="74" t="s">
        <v>5324</v>
      </c>
      <c r="F145" s="1425"/>
      <c r="G145" s="74">
        <f t="shared" si="19"/>
        <v>0</v>
      </c>
      <c r="H145" s="74"/>
      <c r="I145" s="74">
        <f t="shared" si="20"/>
        <v>0</v>
      </c>
      <c r="J145" s="74"/>
      <c r="K145" s="74">
        <f t="shared" si="21"/>
        <v>0</v>
      </c>
      <c r="L145" s="74"/>
      <c r="M145" s="74">
        <f t="shared" si="22"/>
        <v>0</v>
      </c>
      <c r="N145" s="74">
        <f t="shared" si="23"/>
        <v>0</v>
      </c>
      <c r="O145" s="74">
        <f t="shared" si="24"/>
        <v>0</v>
      </c>
      <c r="P145" s="74">
        <f t="shared" si="25"/>
        <v>0</v>
      </c>
      <c r="Q145" s="74">
        <f t="shared" si="26"/>
        <v>0</v>
      </c>
    </row>
    <row r="146" spans="1:17" ht="25.5" hidden="1" customHeight="1">
      <c r="A146" s="78"/>
      <c r="B146" s="72">
        <f t="shared" si="18"/>
        <v>0</v>
      </c>
      <c r="C146" s="72" t="s">
        <v>5349</v>
      </c>
      <c r="D146" s="75">
        <f>ROUND(Data!AG418,2)</f>
        <v>994.69</v>
      </c>
      <c r="E146" s="74" t="s">
        <v>5324</v>
      </c>
      <c r="F146" s="1425"/>
      <c r="G146" s="74">
        <f t="shared" si="19"/>
        <v>0</v>
      </c>
      <c r="H146" s="74"/>
      <c r="I146" s="74">
        <f t="shared" si="20"/>
        <v>0</v>
      </c>
      <c r="J146" s="74"/>
      <c r="K146" s="74">
        <f t="shared" si="21"/>
        <v>0</v>
      </c>
      <c r="L146" s="74"/>
      <c r="M146" s="74">
        <f t="shared" si="22"/>
        <v>0</v>
      </c>
      <c r="N146" s="74">
        <f t="shared" si="23"/>
        <v>0</v>
      </c>
      <c r="O146" s="74">
        <f t="shared" si="24"/>
        <v>0</v>
      </c>
      <c r="P146" s="74">
        <f t="shared" si="25"/>
        <v>0</v>
      </c>
      <c r="Q146" s="74">
        <f t="shared" si="26"/>
        <v>0</v>
      </c>
    </row>
    <row r="147" spans="1:17" ht="25.5" hidden="1" customHeight="1">
      <c r="A147" s="78"/>
      <c r="B147" s="72">
        <f t="shared" si="18"/>
        <v>0</v>
      </c>
      <c r="C147" s="72" t="s">
        <v>5350</v>
      </c>
      <c r="D147" s="75">
        <f>ROUND(Data!AG419,2)</f>
        <v>1013.61</v>
      </c>
      <c r="E147" s="74" t="s">
        <v>5324</v>
      </c>
      <c r="F147" s="1425"/>
      <c r="G147" s="74">
        <f t="shared" si="19"/>
        <v>0</v>
      </c>
      <c r="H147" s="74"/>
      <c r="I147" s="74">
        <f t="shared" si="20"/>
        <v>0</v>
      </c>
      <c r="J147" s="74"/>
      <c r="K147" s="74">
        <f t="shared" si="21"/>
        <v>0</v>
      </c>
      <c r="L147" s="74"/>
      <c r="M147" s="74">
        <f t="shared" si="22"/>
        <v>0</v>
      </c>
      <c r="N147" s="74">
        <f t="shared" si="23"/>
        <v>0</v>
      </c>
      <c r="O147" s="74">
        <f t="shared" si="24"/>
        <v>0</v>
      </c>
      <c r="P147" s="74">
        <f t="shared" si="25"/>
        <v>0</v>
      </c>
      <c r="Q147" s="74">
        <f t="shared" si="26"/>
        <v>0</v>
      </c>
    </row>
    <row r="148" spans="1:17" ht="25.5" hidden="1" customHeight="1">
      <c r="A148" s="78"/>
      <c r="B148" s="72">
        <f t="shared" si="18"/>
        <v>0</v>
      </c>
      <c r="C148" s="72" t="s">
        <v>5351</v>
      </c>
      <c r="D148" s="75">
        <f>ROUND(Data!AG420,2)</f>
        <v>1032.53</v>
      </c>
      <c r="E148" s="74" t="s">
        <v>5324</v>
      </c>
      <c r="F148" s="1425"/>
      <c r="G148" s="74">
        <f t="shared" si="19"/>
        <v>0</v>
      </c>
      <c r="H148" s="74"/>
      <c r="I148" s="74">
        <f t="shared" si="20"/>
        <v>0</v>
      </c>
      <c r="J148" s="74"/>
      <c r="K148" s="74">
        <f t="shared" si="21"/>
        <v>0</v>
      </c>
      <c r="L148" s="74"/>
      <c r="M148" s="74">
        <f t="shared" si="22"/>
        <v>0</v>
      </c>
      <c r="N148" s="74">
        <f t="shared" si="23"/>
        <v>0</v>
      </c>
      <c r="O148" s="74">
        <f t="shared" si="24"/>
        <v>0</v>
      </c>
      <c r="P148" s="74">
        <f t="shared" si="25"/>
        <v>0</v>
      </c>
      <c r="Q148" s="74">
        <f t="shared" si="26"/>
        <v>0</v>
      </c>
    </row>
    <row r="149" spans="1:17" ht="26.25" hidden="1" customHeight="1">
      <c r="A149" s="78"/>
      <c r="B149" s="72">
        <f t="shared" si="18"/>
        <v>0</v>
      </c>
      <c r="C149" s="72" t="s">
        <v>5352</v>
      </c>
      <c r="D149" s="75">
        <f>ROUND(Data!AG421,2)</f>
        <v>1051.45</v>
      </c>
      <c r="E149" s="74" t="s">
        <v>5324</v>
      </c>
      <c r="F149" s="1425"/>
      <c r="G149" s="74">
        <f t="shared" si="19"/>
        <v>0</v>
      </c>
      <c r="H149" s="74"/>
      <c r="I149" s="74">
        <f t="shared" si="20"/>
        <v>0</v>
      </c>
      <c r="J149" s="74"/>
      <c r="K149" s="74">
        <f t="shared" si="21"/>
        <v>0</v>
      </c>
      <c r="L149" s="74"/>
      <c r="M149" s="74">
        <f t="shared" si="22"/>
        <v>0</v>
      </c>
      <c r="N149" s="74">
        <f t="shared" si="23"/>
        <v>0</v>
      </c>
      <c r="O149" s="74">
        <f t="shared" si="24"/>
        <v>0</v>
      </c>
      <c r="P149" s="74">
        <f t="shared" si="25"/>
        <v>0</v>
      </c>
      <c r="Q149" s="74">
        <f t="shared" si="26"/>
        <v>0</v>
      </c>
    </row>
    <row r="150" spans="1:17" ht="25.5" hidden="1" customHeight="1">
      <c r="A150" s="78"/>
      <c r="B150" s="72">
        <f t="shared" si="18"/>
        <v>0</v>
      </c>
      <c r="C150" s="72" t="s">
        <v>5353</v>
      </c>
      <c r="D150" s="75">
        <f>ROUND(Data!AG422,2)</f>
        <v>1070.3699999999999</v>
      </c>
      <c r="E150" s="74" t="s">
        <v>5324</v>
      </c>
      <c r="F150" s="1425"/>
      <c r="G150" s="74">
        <f t="shared" si="19"/>
        <v>0</v>
      </c>
      <c r="H150" s="74"/>
      <c r="I150" s="74">
        <f t="shared" si="20"/>
        <v>0</v>
      </c>
      <c r="J150" s="74"/>
      <c r="K150" s="74">
        <f t="shared" si="21"/>
        <v>0</v>
      </c>
      <c r="L150" s="74"/>
      <c r="M150" s="74">
        <f t="shared" si="22"/>
        <v>0</v>
      </c>
      <c r="N150" s="74">
        <f t="shared" si="23"/>
        <v>0</v>
      </c>
      <c r="O150" s="74">
        <f t="shared" si="24"/>
        <v>0</v>
      </c>
      <c r="P150" s="74">
        <f t="shared" si="25"/>
        <v>0</v>
      </c>
      <c r="Q150" s="74">
        <f t="shared" si="26"/>
        <v>0</v>
      </c>
    </row>
    <row r="151" spans="1:17" ht="25.5" hidden="1" customHeight="1">
      <c r="A151" s="78"/>
      <c r="B151" s="72">
        <f t="shared" si="18"/>
        <v>0</v>
      </c>
      <c r="C151" s="72" t="s">
        <v>5354</v>
      </c>
      <c r="D151" s="75">
        <f>ROUND(Data!AG423,2)</f>
        <v>0</v>
      </c>
      <c r="E151" s="74" t="s">
        <v>5324</v>
      </c>
      <c r="F151" s="1425"/>
      <c r="G151" s="74">
        <f t="shared" si="19"/>
        <v>0</v>
      </c>
      <c r="H151" s="74"/>
      <c r="I151" s="74">
        <f t="shared" si="20"/>
        <v>0</v>
      </c>
      <c r="J151" s="74"/>
      <c r="K151" s="74">
        <f t="shared" si="21"/>
        <v>0</v>
      </c>
      <c r="L151" s="74"/>
      <c r="M151" s="74">
        <f t="shared" si="22"/>
        <v>0</v>
      </c>
      <c r="N151" s="74">
        <f t="shared" si="23"/>
        <v>0</v>
      </c>
      <c r="O151" s="74">
        <f t="shared" si="24"/>
        <v>0</v>
      </c>
      <c r="P151" s="74">
        <f t="shared" si="25"/>
        <v>0</v>
      </c>
      <c r="Q151" s="74">
        <f t="shared" si="26"/>
        <v>0</v>
      </c>
    </row>
    <row r="152" spans="1:17" ht="25.5" hidden="1" customHeight="1">
      <c r="A152" s="78"/>
      <c r="B152" s="72">
        <f t="shared" si="18"/>
        <v>0</v>
      </c>
      <c r="C152" s="72" t="s">
        <v>5361</v>
      </c>
      <c r="D152" s="75">
        <f>ROUND(Data!AG424,2)</f>
        <v>29785.15</v>
      </c>
      <c r="E152" s="74" t="s">
        <v>5324</v>
      </c>
      <c r="F152" s="1425"/>
      <c r="G152" s="74">
        <f t="shared" si="19"/>
        <v>0</v>
      </c>
      <c r="H152" s="74"/>
      <c r="I152" s="74">
        <f t="shared" si="20"/>
        <v>0</v>
      </c>
      <c r="J152" s="74"/>
      <c r="K152" s="74">
        <f t="shared" si="21"/>
        <v>0</v>
      </c>
      <c r="L152" s="74"/>
      <c r="M152" s="74">
        <f t="shared" si="22"/>
        <v>0</v>
      </c>
      <c r="N152" s="74">
        <f t="shared" si="23"/>
        <v>0</v>
      </c>
      <c r="O152" s="74">
        <f t="shared" si="24"/>
        <v>0</v>
      </c>
      <c r="P152" s="74">
        <f t="shared" si="25"/>
        <v>0</v>
      </c>
      <c r="Q152" s="74">
        <f t="shared" si="26"/>
        <v>0</v>
      </c>
    </row>
    <row r="153" spans="1:17" ht="69.75" hidden="1" customHeight="1">
      <c r="A153" s="71">
        <v>10.3</v>
      </c>
      <c r="B153" s="72">
        <f t="shared" si="18"/>
        <v>0</v>
      </c>
      <c r="C153" s="76" t="s">
        <v>5375</v>
      </c>
      <c r="D153" s="75">
        <f>ROUND(Data!AG425,2)</f>
        <v>5001.03</v>
      </c>
      <c r="E153" s="74" t="s">
        <v>5324</v>
      </c>
      <c r="F153" s="1425"/>
      <c r="G153" s="74">
        <f t="shared" si="19"/>
        <v>0</v>
      </c>
      <c r="H153" s="74"/>
      <c r="I153" s="74">
        <f t="shared" si="20"/>
        <v>0</v>
      </c>
      <c r="J153" s="74"/>
      <c r="K153" s="74">
        <f t="shared" si="21"/>
        <v>0</v>
      </c>
      <c r="L153" s="74"/>
      <c r="M153" s="74">
        <f t="shared" si="22"/>
        <v>0</v>
      </c>
      <c r="N153" s="74">
        <f t="shared" si="23"/>
        <v>0</v>
      </c>
      <c r="O153" s="74">
        <f t="shared" si="24"/>
        <v>0</v>
      </c>
      <c r="P153" s="74">
        <f t="shared" si="25"/>
        <v>0</v>
      </c>
      <c r="Q153" s="74">
        <f t="shared" si="26"/>
        <v>0</v>
      </c>
    </row>
    <row r="154" spans="1:17" ht="25.5" hidden="1" customHeight="1">
      <c r="A154" s="71"/>
      <c r="B154" s="72">
        <f t="shared" si="18"/>
        <v>0</v>
      </c>
      <c r="C154" s="72" t="s">
        <v>5367</v>
      </c>
      <c r="D154" s="75">
        <f>ROUND(Data!AG426,2)</f>
        <v>7291.9</v>
      </c>
      <c r="E154" s="74" t="s">
        <v>5324</v>
      </c>
      <c r="F154" s="1425"/>
      <c r="G154" s="74">
        <f t="shared" si="19"/>
        <v>0</v>
      </c>
      <c r="H154" s="74"/>
      <c r="I154" s="74">
        <f t="shared" si="20"/>
        <v>0</v>
      </c>
      <c r="J154" s="74"/>
      <c r="K154" s="74">
        <f t="shared" si="21"/>
        <v>0</v>
      </c>
      <c r="L154" s="74"/>
      <c r="M154" s="74">
        <f t="shared" si="22"/>
        <v>0</v>
      </c>
      <c r="N154" s="74">
        <f t="shared" si="23"/>
        <v>0</v>
      </c>
      <c r="O154" s="74">
        <f t="shared" si="24"/>
        <v>0</v>
      </c>
      <c r="P154" s="74">
        <f t="shared" si="25"/>
        <v>0</v>
      </c>
      <c r="Q154" s="74">
        <f t="shared" si="26"/>
        <v>0</v>
      </c>
    </row>
    <row r="155" spans="1:17" ht="25.5" hidden="1" customHeight="1">
      <c r="A155" s="71"/>
      <c r="B155" s="72">
        <f t="shared" si="18"/>
        <v>0</v>
      </c>
      <c r="C155" s="72" t="s">
        <v>5368</v>
      </c>
      <c r="D155" s="75">
        <f>ROUND(Data!AG427,2)</f>
        <v>6904.04</v>
      </c>
      <c r="E155" s="74" t="s">
        <v>5324</v>
      </c>
      <c r="F155" s="1425"/>
      <c r="G155" s="74">
        <f t="shared" si="19"/>
        <v>0</v>
      </c>
      <c r="H155" s="74"/>
      <c r="I155" s="74">
        <f t="shared" si="20"/>
        <v>0</v>
      </c>
      <c r="J155" s="74"/>
      <c r="K155" s="74">
        <f t="shared" si="21"/>
        <v>0</v>
      </c>
      <c r="L155" s="74"/>
      <c r="M155" s="74">
        <f t="shared" si="22"/>
        <v>0</v>
      </c>
      <c r="N155" s="74">
        <f t="shared" si="23"/>
        <v>0</v>
      </c>
      <c r="O155" s="74">
        <f t="shared" si="24"/>
        <v>0</v>
      </c>
      <c r="P155" s="74">
        <f t="shared" si="25"/>
        <v>0</v>
      </c>
      <c r="Q155" s="74">
        <f t="shared" si="26"/>
        <v>0</v>
      </c>
    </row>
    <row r="156" spans="1:17" ht="25.5" hidden="1" customHeight="1">
      <c r="A156" s="71"/>
      <c r="B156" s="72">
        <f t="shared" si="18"/>
        <v>0</v>
      </c>
      <c r="C156" s="72" t="s">
        <v>5369</v>
      </c>
      <c r="D156" s="75">
        <f>ROUND(Data!AG428,2)</f>
        <v>4826.58</v>
      </c>
      <c r="E156" s="74" t="s">
        <v>5324</v>
      </c>
      <c r="F156" s="1425"/>
      <c r="G156" s="74">
        <f t="shared" si="19"/>
        <v>0</v>
      </c>
      <c r="H156" s="74"/>
      <c r="I156" s="74">
        <f t="shared" si="20"/>
        <v>0</v>
      </c>
      <c r="J156" s="74"/>
      <c r="K156" s="74">
        <f t="shared" si="21"/>
        <v>0</v>
      </c>
      <c r="L156" s="74"/>
      <c r="M156" s="74">
        <f t="shared" si="22"/>
        <v>0</v>
      </c>
      <c r="N156" s="74">
        <f t="shared" si="23"/>
        <v>0</v>
      </c>
      <c r="O156" s="74">
        <f t="shared" si="24"/>
        <v>0</v>
      </c>
      <c r="P156" s="74">
        <f t="shared" si="25"/>
        <v>0</v>
      </c>
      <c r="Q156" s="74">
        <f t="shared" si="26"/>
        <v>0</v>
      </c>
    </row>
    <row r="157" spans="1:17" ht="25.5" hidden="1" customHeight="1">
      <c r="A157" s="71"/>
      <c r="B157" s="72">
        <f t="shared" si="18"/>
        <v>0</v>
      </c>
      <c r="C157" s="72" t="s">
        <v>5370</v>
      </c>
      <c r="D157" s="75">
        <f>ROUND(Data!AG429,2)</f>
        <v>11823.24</v>
      </c>
      <c r="E157" s="74" t="s">
        <v>5324</v>
      </c>
      <c r="F157" s="1425"/>
      <c r="G157" s="74">
        <f t="shared" si="19"/>
        <v>0</v>
      </c>
      <c r="H157" s="74"/>
      <c r="I157" s="74">
        <f t="shared" si="20"/>
        <v>0</v>
      </c>
      <c r="J157" s="74"/>
      <c r="K157" s="74">
        <f t="shared" si="21"/>
        <v>0</v>
      </c>
      <c r="L157" s="74"/>
      <c r="M157" s="74">
        <f t="shared" si="22"/>
        <v>0</v>
      </c>
      <c r="N157" s="74">
        <f t="shared" si="23"/>
        <v>0</v>
      </c>
      <c r="O157" s="74">
        <f t="shared" si="24"/>
        <v>0</v>
      </c>
      <c r="P157" s="74">
        <f t="shared" si="25"/>
        <v>0</v>
      </c>
      <c r="Q157" s="74">
        <f t="shared" si="26"/>
        <v>0</v>
      </c>
    </row>
    <row r="158" spans="1:17" ht="25.5" hidden="1" customHeight="1">
      <c r="A158" s="71"/>
      <c r="B158" s="72">
        <f t="shared" si="18"/>
        <v>0</v>
      </c>
      <c r="C158" s="72" t="s">
        <v>5371</v>
      </c>
      <c r="D158" s="75">
        <f>ROUND(Data!AG430,2)</f>
        <v>0</v>
      </c>
      <c r="E158" s="74" t="s">
        <v>5324</v>
      </c>
      <c r="F158" s="1425"/>
      <c r="G158" s="74">
        <f t="shared" si="19"/>
        <v>0</v>
      </c>
      <c r="H158" s="74"/>
      <c r="I158" s="74">
        <f t="shared" si="20"/>
        <v>0</v>
      </c>
      <c r="J158" s="74"/>
      <c r="K158" s="74">
        <f t="shared" si="21"/>
        <v>0</v>
      </c>
      <c r="L158" s="74"/>
      <c r="M158" s="74">
        <f t="shared" si="22"/>
        <v>0</v>
      </c>
      <c r="N158" s="74">
        <f t="shared" si="23"/>
        <v>0</v>
      </c>
      <c r="O158" s="74">
        <f t="shared" si="24"/>
        <v>0</v>
      </c>
      <c r="P158" s="74">
        <f t="shared" si="25"/>
        <v>0</v>
      </c>
      <c r="Q158" s="74">
        <f t="shared" si="26"/>
        <v>0</v>
      </c>
    </row>
    <row r="159" spans="1:17" ht="25.5" hidden="1" customHeight="1">
      <c r="A159" s="78"/>
      <c r="B159" s="72">
        <f t="shared" si="18"/>
        <v>0</v>
      </c>
      <c r="C159" s="72" t="s">
        <v>5372</v>
      </c>
      <c r="D159" s="75"/>
      <c r="E159" s="74" t="s">
        <v>5324</v>
      </c>
      <c r="F159" s="1425"/>
      <c r="G159" s="74">
        <f t="shared" si="19"/>
        <v>0</v>
      </c>
      <c r="H159" s="74"/>
      <c r="I159" s="74">
        <f t="shared" si="20"/>
        <v>0</v>
      </c>
      <c r="J159" s="74"/>
      <c r="K159" s="74">
        <f t="shared" si="21"/>
        <v>0</v>
      </c>
      <c r="L159" s="74"/>
      <c r="M159" s="74">
        <f t="shared" si="22"/>
        <v>0</v>
      </c>
      <c r="N159" s="74">
        <f t="shared" si="23"/>
        <v>0</v>
      </c>
      <c r="O159" s="74">
        <f t="shared" si="24"/>
        <v>0</v>
      </c>
      <c r="P159" s="74">
        <f t="shared" si="25"/>
        <v>0</v>
      </c>
      <c r="Q159" s="74">
        <f t="shared" si="26"/>
        <v>0</v>
      </c>
    </row>
    <row r="160" spans="1:17" ht="69.75" hidden="1" customHeight="1">
      <c r="A160" s="71">
        <v>10.4</v>
      </c>
      <c r="B160" s="72">
        <f t="shared" si="18"/>
        <v>0</v>
      </c>
      <c r="C160" s="76" t="s">
        <v>5376</v>
      </c>
      <c r="D160" s="75">
        <f>ROUND(Data!AG432,2)</f>
        <v>65631.94</v>
      </c>
      <c r="E160" s="74" t="s">
        <v>5324</v>
      </c>
      <c r="F160" s="1425"/>
      <c r="G160" s="74">
        <f t="shared" si="19"/>
        <v>0</v>
      </c>
      <c r="H160" s="74"/>
      <c r="I160" s="74">
        <f t="shared" si="20"/>
        <v>0</v>
      </c>
      <c r="J160" s="74"/>
      <c r="K160" s="74">
        <f t="shared" si="21"/>
        <v>0</v>
      </c>
      <c r="L160" s="74"/>
      <c r="M160" s="74">
        <f t="shared" si="22"/>
        <v>0</v>
      </c>
      <c r="N160" s="74">
        <f t="shared" si="23"/>
        <v>0</v>
      </c>
      <c r="O160" s="74">
        <f t="shared" si="24"/>
        <v>0</v>
      </c>
      <c r="P160" s="74">
        <f t="shared" si="25"/>
        <v>0</v>
      </c>
      <c r="Q160" s="74">
        <f t="shared" si="26"/>
        <v>0</v>
      </c>
    </row>
    <row r="161" spans="1:17" ht="25.5" hidden="1" customHeight="1">
      <c r="A161" s="71"/>
      <c r="B161" s="72">
        <f t="shared" si="18"/>
        <v>0</v>
      </c>
      <c r="C161" s="72" t="s">
        <v>5367</v>
      </c>
      <c r="D161" s="75"/>
      <c r="E161" s="74" t="s">
        <v>5324</v>
      </c>
      <c r="F161" s="1425"/>
      <c r="G161" s="74">
        <f t="shared" si="19"/>
        <v>0</v>
      </c>
      <c r="H161" s="74"/>
      <c r="I161" s="74">
        <f t="shared" si="20"/>
        <v>0</v>
      </c>
      <c r="J161" s="74"/>
      <c r="K161" s="74">
        <f t="shared" si="21"/>
        <v>0</v>
      </c>
      <c r="L161" s="74"/>
      <c r="M161" s="74">
        <f t="shared" si="22"/>
        <v>0</v>
      </c>
      <c r="N161" s="74">
        <f t="shared" si="23"/>
        <v>0</v>
      </c>
      <c r="O161" s="74">
        <f t="shared" si="24"/>
        <v>0</v>
      </c>
      <c r="P161" s="74">
        <f t="shared" si="25"/>
        <v>0</v>
      </c>
      <c r="Q161" s="74">
        <f t="shared" si="26"/>
        <v>0</v>
      </c>
    </row>
    <row r="162" spans="1:17" ht="25.5" hidden="1" customHeight="1">
      <c r="A162" s="71"/>
      <c r="B162" s="72">
        <f t="shared" si="18"/>
        <v>0</v>
      </c>
      <c r="C162" s="72" t="s">
        <v>5368</v>
      </c>
      <c r="D162" s="75">
        <f>ROUND(Data!AG434,2)</f>
        <v>6563.19</v>
      </c>
      <c r="E162" s="74" t="s">
        <v>5324</v>
      </c>
      <c r="F162" s="1425"/>
      <c r="G162" s="74">
        <f t="shared" si="19"/>
        <v>0</v>
      </c>
      <c r="H162" s="74"/>
      <c r="I162" s="74">
        <f t="shared" si="20"/>
        <v>0</v>
      </c>
      <c r="J162" s="74"/>
      <c r="K162" s="74">
        <f t="shared" si="21"/>
        <v>0</v>
      </c>
      <c r="L162" s="74"/>
      <c r="M162" s="74">
        <f t="shared" si="22"/>
        <v>0</v>
      </c>
      <c r="N162" s="74">
        <f t="shared" si="23"/>
        <v>0</v>
      </c>
      <c r="O162" s="74">
        <f t="shared" si="24"/>
        <v>0</v>
      </c>
      <c r="P162" s="74">
        <f t="shared" si="25"/>
        <v>0</v>
      </c>
      <c r="Q162" s="74">
        <f t="shared" si="26"/>
        <v>0</v>
      </c>
    </row>
    <row r="163" spans="1:17" ht="25.5" hidden="1" customHeight="1">
      <c r="A163" s="71"/>
      <c r="B163" s="72">
        <f t="shared" si="18"/>
        <v>0</v>
      </c>
      <c r="C163" s="72" t="s">
        <v>5369</v>
      </c>
      <c r="D163" s="75"/>
      <c r="E163" s="74" t="s">
        <v>5324</v>
      </c>
      <c r="F163" s="1425"/>
      <c r="G163" s="74">
        <f t="shared" si="19"/>
        <v>0</v>
      </c>
      <c r="H163" s="74"/>
      <c r="I163" s="74">
        <f t="shared" si="20"/>
        <v>0</v>
      </c>
      <c r="J163" s="74"/>
      <c r="K163" s="74">
        <f t="shared" si="21"/>
        <v>0</v>
      </c>
      <c r="L163" s="74"/>
      <c r="M163" s="74">
        <f t="shared" si="22"/>
        <v>0</v>
      </c>
      <c r="N163" s="74">
        <f t="shared" si="23"/>
        <v>0</v>
      </c>
      <c r="O163" s="74">
        <f t="shared" si="24"/>
        <v>0</v>
      </c>
      <c r="P163" s="74">
        <f t="shared" si="25"/>
        <v>0</v>
      </c>
      <c r="Q163" s="74">
        <f t="shared" si="26"/>
        <v>0</v>
      </c>
    </row>
    <row r="164" spans="1:17" ht="25.5" hidden="1" customHeight="1">
      <c r="A164" s="71"/>
      <c r="B164" s="72">
        <f t="shared" si="18"/>
        <v>0</v>
      </c>
      <c r="C164" s="72" t="s">
        <v>5370</v>
      </c>
      <c r="D164" s="75">
        <f>ROUND(Data!AG436,2)</f>
        <v>0</v>
      </c>
      <c r="E164" s="74" t="s">
        <v>5324</v>
      </c>
      <c r="F164" s="1425"/>
      <c r="G164" s="74">
        <f t="shared" si="19"/>
        <v>0</v>
      </c>
      <c r="H164" s="74"/>
      <c r="I164" s="74">
        <f t="shared" si="20"/>
        <v>0</v>
      </c>
      <c r="J164" s="74"/>
      <c r="K164" s="74">
        <f t="shared" si="21"/>
        <v>0</v>
      </c>
      <c r="L164" s="74"/>
      <c r="M164" s="74">
        <f t="shared" si="22"/>
        <v>0</v>
      </c>
      <c r="N164" s="74">
        <f t="shared" si="23"/>
        <v>0</v>
      </c>
      <c r="O164" s="74">
        <f t="shared" si="24"/>
        <v>0</v>
      </c>
      <c r="P164" s="74">
        <f t="shared" si="25"/>
        <v>0</v>
      </c>
      <c r="Q164" s="74">
        <f t="shared" si="26"/>
        <v>0</v>
      </c>
    </row>
    <row r="165" spans="1:17" ht="25.5" hidden="1" customHeight="1">
      <c r="A165" s="71"/>
      <c r="B165" s="72">
        <f t="shared" si="18"/>
        <v>0</v>
      </c>
      <c r="C165" s="72" t="s">
        <v>5371</v>
      </c>
      <c r="D165" s="75">
        <f>ROUND(Data!AG437,2)</f>
        <v>0</v>
      </c>
      <c r="E165" s="74" t="s">
        <v>5324</v>
      </c>
      <c r="F165" s="1425"/>
      <c r="G165" s="74">
        <f t="shared" si="19"/>
        <v>0</v>
      </c>
      <c r="H165" s="74"/>
      <c r="I165" s="74">
        <f t="shared" si="20"/>
        <v>0</v>
      </c>
      <c r="J165" s="74"/>
      <c r="K165" s="74">
        <f t="shared" si="21"/>
        <v>0</v>
      </c>
      <c r="L165" s="74"/>
      <c r="M165" s="74">
        <f t="shared" si="22"/>
        <v>0</v>
      </c>
      <c r="N165" s="74">
        <f t="shared" si="23"/>
        <v>0</v>
      </c>
      <c r="O165" s="74">
        <f t="shared" si="24"/>
        <v>0</v>
      </c>
      <c r="P165" s="74">
        <f t="shared" si="25"/>
        <v>0</v>
      </c>
      <c r="Q165" s="74">
        <f t="shared" si="26"/>
        <v>0</v>
      </c>
    </row>
    <row r="166" spans="1:17" ht="25.5" hidden="1" customHeight="1">
      <c r="A166" s="78"/>
      <c r="B166" s="72">
        <f t="shared" si="18"/>
        <v>0</v>
      </c>
      <c r="C166" s="72" t="s">
        <v>5372</v>
      </c>
      <c r="D166" s="75">
        <f>ROUND(Data!AG438,2)</f>
        <v>0</v>
      </c>
      <c r="E166" s="74" t="s">
        <v>5324</v>
      </c>
      <c r="F166" s="1425"/>
      <c r="G166" s="74">
        <f t="shared" si="19"/>
        <v>0</v>
      </c>
      <c r="H166" s="74"/>
      <c r="I166" s="74">
        <f t="shared" si="20"/>
        <v>0</v>
      </c>
      <c r="J166" s="74"/>
      <c r="K166" s="74">
        <f t="shared" si="21"/>
        <v>0</v>
      </c>
      <c r="L166" s="74"/>
      <c r="M166" s="74">
        <f t="shared" si="22"/>
        <v>0</v>
      </c>
      <c r="N166" s="74">
        <f t="shared" si="23"/>
        <v>0</v>
      </c>
      <c r="O166" s="74">
        <f t="shared" si="24"/>
        <v>0</v>
      </c>
      <c r="P166" s="74">
        <f t="shared" si="25"/>
        <v>0</v>
      </c>
      <c r="Q166" s="74">
        <f t="shared" si="26"/>
        <v>0</v>
      </c>
    </row>
    <row r="167" spans="1:17" s="55" customFormat="1" ht="84.75" hidden="1" customHeight="1">
      <c r="A167" s="71">
        <v>10.5</v>
      </c>
      <c r="B167" s="72">
        <f t="shared" si="18"/>
        <v>0</v>
      </c>
      <c r="C167" s="76" t="s">
        <v>5377</v>
      </c>
      <c r="D167" s="75">
        <f>ROUND(Data!AG439,2)</f>
        <v>0</v>
      </c>
      <c r="E167" s="74" t="s">
        <v>5324</v>
      </c>
      <c r="F167" s="1425"/>
      <c r="G167" s="74">
        <f t="shared" si="19"/>
        <v>0</v>
      </c>
      <c r="H167" s="74"/>
      <c r="I167" s="74">
        <f t="shared" si="20"/>
        <v>0</v>
      </c>
      <c r="J167" s="74"/>
      <c r="K167" s="74">
        <f t="shared" si="21"/>
        <v>0</v>
      </c>
      <c r="L167" s="74"/>
      <c r="M167" s="74">
        <f t="shared" si="22"/>
        <v>0</v>
      </c>
      <c r="N167" s="74">
        <f t="shared" si="23"/>
        <v>0</v>
      </c>
      <c r="O167" s="74">
        <f t="shared" si="24"/>
        <v>0</v>
      </c>
      <c r="P167" s="74">
        <f t="shared" si="25"/>
        <v>0</v>
      </c>
      <c r="Q167" s="74">
        <f t="shared" si="26"/>
        <v>0</v>
      </c>
    </row>
    <row r="168" spans="1:17" s="55" customFormat="1" ht="49.5" hidden="1" customHeight="1">
      <c r="A168" s="71"/>
      <c r="B168" s="72">
        <f t="shared" si="18"/>
        <v>0</v>
      </c>
      <c r="C168" s="72" t="s">
        <v>5367</v>
      </c>
      <c r="D168" s="75">
        <f>ROUND(Data!AG440,2)</f>
        <v>4922.3900000000003</v>
      </c>
      <c r="E168" s="74" t="s">
        <v>5324</v>
      </c>
      <c r="F168" s="1425"/>
      <c r="G168" s="74">
        <f t="shared" si="19"/>
        <v>0</v>
      </c>
      <c r="H168" s="74"/>
      <c r="I168" s="74">
        <f t="shared" si="20"/>
        <v>0</v>
      </c>
      <c r="J168" s="74"/>
      <c r="K168" s="74">
        <f t="shared" si="21"/>
        <v>0</v>
      </c>
      <c r="L168" s="74"/>
      <c r="M168" s="74">
        <f t="shared" si="22"/>
        <v>0</v>
      </c>
      <c r="N168" s="74">
        <f t="shared" si="23"/>
        <v>0</v>
      </c>
      <c r="O168" s="74">
        <f t="shared" si="24"/>
        <v>0</v>
      </c>
      <c r="P168" s="74">
        <f t="shared" si="25"/>
        <v>0</v>
      </c>
      <c r="Q168" s="74">
        <f t="shared" si="26"/>
        <v>0</v>
      </c>
    </row>
    <row r="169" spans="1:17" s="55" customFormat="1" ht="49.5" hidden="1" customHeight="1">
      <c r="A169" s="71"/>
      <c r="B169" s="72">
        <f t="shared" si="18"/>
        <v>0</v>
      </c>
      <c r="C169" s="72" t="s">
        <v>5368</v>
      </c>
      <c r="D169" s="75">
        <f>ROUND(Data!AG441,2)</f>
        <v>1041.7</v>
      </c>
      <c r="E169" s="74" t="s">
        <v>5324</v>
      </c>
      <c r="F169" s="1425"/>
      <c r="G169" s="74">
        <f t="shared" si="19"/>
        <v>0</v>
      </c>
      <c r="H169" s="74"/>
      <c r="I169" s="74">
        <f t="shared" si="20"/>
        <v>0</v>
      </c>
      <c r="J169" s="74"/>
      <c r="K169" s="74">
        <f t="shared" si="21"/>
        <v>0</v>
      </c>
      <c r="L169" s="74"/>
      <c r="M169" s="74">
        <f t="shared" si="22"/>
        <v>0</v>
      </c>
      <c r="N169" s="74">
        <f t="shared" si="23"/>
        <v>0</v>
      </c>
      <c r="O169" s="74">
        <f t="shared" si="24"/>
        <v>0</v>
      </c>
      <c r="P169" s="74">
        <f t="shared" si="25"/>
        <v>0</v>
      </c>
      <c r="Q169" s="74">
        <f t="shared" si="26"/>
        <v>0</v>
      </c>
    </row>
    <row r="170" spans="1:17" s="55" customFormat="1" ht="49.5" hidden="1" customHeight="1">
      <c r="A170" s="71"/>
      <c r="B170" s="72">
        <f t="shared" si="18"/>
        <v>0</v>
      </c>
      <c r="C170" s="72" t="s">
        <v>5369</v>
      </c>
      <c r="D170" s="75">
        <f>ROUND(Data!AG442,2)</f>
        <v>5</v>
      </c>
      <c r="E170" s="74" t="s">
        <v>5324</v>
      </c>
      <c r="F170" s="1425"/>
      <c r="G170" s="74">
        <f t="shared" si="19"/>
        <v>0</v>
      </c>
      <c r="H170" s="74"/>
      <c r="I170" s="74">
        <f t="shared" si="20"/>
        <v>0</v>
      </c>
      <c r="J170" s="74"/>
      <c r="K170" s="74">
        <f t="shared" si="21"/>
        <v>0</v>
      </c>
      <c r="L170" s="74"/>
      <c r="M170" s="74">
        <f t="shared" si="22"/>
        <v>0</v>
      </c>
      <c r="N170" s="74">
        <f t="shared" si="23"/>
        <v>0</v>
      </c>
      <c r="O170" s="74">
        <f t="shared" si="24"/>
        <v>0</v>
      </c>
      <c r="P170" s="74">
        <f t="shared" si="25"/>
        <v>0</v>
      </c>
      <c r="Q170" s="74">
        <f t="shared" si="26"/>
        <v>0</v>
      </c>
    </row>
    <row r="171" spans="1:17" s="55" customFormat="1" ht="43.5" hidden="1" customHeight="1">
      <c r="A171" s="71"/>
      <c r="B171" s="72">
        <f t="shared" si="18"/>
        <v>0</v>
      </c>
      <c r="C171" s="72" t="s">
        <v>5370</v>
      </c>
      <c r="D171" s="75"/>
      <c r="E171" s="74" t="s">
        <v>5324</v>
      </c>
      <c r="F171" s="1425"/>
      <c r="G171" s="74">
        <f t="shared" si="19"/>
        <v>0</v>
      </c>
      <c r="H171" s="74"/>
      <c r="I171" s="74">
        <f t="shared" si="20"/>
        <v>0</v>
      </c>
      <c r="J171" s="74"/>
      <c r="K171" s="74">
        <f t="shared" si="21"/>
        <v>0</v>
      </c>
      <c r="L171" s="74"/>
      <c r="M171" s="74">
        <f t="shared" si="22"/>
        <v>0</v>
      </c>
      <c r="N171" s="74">
        <f t="shared" si="23"/>
        <v>0</v>
      </c>
      <c r="O171" s="74">
        <f t="shared" si="24"/>
        <v>0</v>
      </c>
      <c r="P171" s="74">
        <f t="shared" si="25"/>
        <v>0</v>
      </c>
      <c r="Q171" s="74">
        <f t="shared" si="26"/>
        <v>0</v>
      </c>
    </row>
    <row r="172" spans="1:17" s="55" customFormat="1" ht="43.5" hidden="1" customHeight="1">
      <c r="A172" s="71"/>
      <c r="B172" s="72">
        <f t="shared" si="18"/>
        <v>0</v>
      </c>
      <c r="C172" s="72" t="s">
        <v>5371</v>
      </c>
      <c r="D172" s="75">
        <f>ROUND(Data!AG444,2)</f>
        <v>5969.09</v>
      </c>
      <c r="E172" s="74" t="s">
        <v>5324</v>
      </c>
      <c r="F172" s="1425"/>
      <c r="G172" s="74">
        <f t="shared" si="19"/>
        <v>0</v>
      </c>
      <c r="H172" s="74"/>
      <c r="I172" s="74">
        <f t="shared" si="20"/>
        <v>0</v>
      </c>
      <c r="J172" s="74"/>
      <c r="K172" s="74">
        <f t="shared" si="21"/>
        <v>0</v>
      </c>
      <c r="L172" s="74"/>
      <c r="M172" s="74">
        <f t="shared" si="22"/>
        <v>0</v>
      </c>
      <c r="N172" s="74">
        <f t="shared" si="23"/>
        <v>0</v>
      </c>
      <c r="O172" s="74">
        <f t="shared" si="24"/>
        <v>0</v>
      </c>
      <c r="P172" s="74">
        <f t="shared" si="25"/>
        <v>0</v>
      </c>
      <c r="Q172" s="74">
        <f t="shared" si="26"/>
        <v>0</v>
      </c>
    </row>
    <row r="173" spans="1:17" ht="36" hidden="1" customHeight="1">
      <c r="A173" s="77"/>
      <c r="B173" s="72">
        <f t="shared" si="18"/>
        <v>0</v>
      </c>
      <c r="C173" s="72" t="s">
        <v>5372</v>
      </c>
      <c r="D173" s="75"/>
      <c r="E173" s="74" t="s">
        <v>5324</v>
      </c>
      <c r="F173" s="1425"/>
      <c r="G173" s="74">
        <f t="shared" si="19"/>
        <v>0</v>
      </c>
      <c r="H173" s="74"/>
      <c r="I173" s="74">
        <f t="shared" si="20"/>
        <v>0</v>
      </c>
      <c r="J173" s="74"/>
      <c r="K173" s="74">
        <f t="shared" si="21"/>
        <v>0</v>
      </c>
      <c r="L173" s="74"/>
      <c r="M173" s="74">
        <f t="shared" si="22"/>
        <v>0</v>
      </c>
      <c r="N173" s="74">
        <f t="shared" si="23"/>
        <v>0</v>
      </c>
      <c r="O173" s="74">
        <f t="shared" si="24"/>
        <v>0</v>
      </c>
      <c r="P173" s="74">
        <f t="shared" si="25"/>
        <v>0</v>
      </c>
      <c r="Q173" s="74">
        <f t="shared" si="26"/>
        <v>0</v>
      </c>
    </row>
    <row r="174" spans="1:17" ht="69.75" hidden="1" customHeight="1">
      <c r="A174" s="71">
        <v>10.6</v>
      </c>
      <c r="B174" s="72">
        <f t="shared" si="18"/>
        <v>0</v>
      </c>
      <c r="C174" s="76" t="s">
        <v>5378</v>
      </c>
      <c r="D174" s="75">
        <f>ROUND(Data!AG446,2)</f>
        <v>596.91</v>
      </c>
      <c r="E174" s="74" t="s">
        <v>5324</v>
      </c>
      <c r="F174" s="1425"/>
      <c r="G174" s="74">
        <f t="shared" si="19"/>
        <v>0</v>
      </c>
      <c r="H174" s="74"/>
      <c r="I174" s="74">
        <f t="shared" si="20"/>
        <v>0</v>
      </c>
      <c r="J174" s="74"/>
      <c r="K174" s="74">
        <f t="shared" si="21"/>
        <v>0</v>
      </c>
      <c r="L174" s="74"/>
      <c r="M174" s="74">
        <f t="shared" si="22"/>
        <v>0</v>
      </c>
      <c r="N174" s="74">
        <f t="shared" si="23"/>
        <v>0</v>
      </c>
      <c r="O174" s="74">
        <f t="shared" si="24"/>
        <v>0</v>
      </c>
      <c r="P174" s="74">
        <f t="shared" si="25"/>
        <v>0</v>
      </c>
      <c r="Q174" s="74">
        <f t="shared" si="26"/>
        <v>0</v>
      </c>
    </row>
    <row r="175" spans="1:17" ht="25.5" hidden="1" customHeight="1">
      <c r="A175" s="71"/>
      <c r="B175" s="72">
        <f t="shared" si="18"/>
        <v>0</v>
      </c>
      <c r="C175" s="72" t="s">
        <v>5367</v>
      </c>
      <c r="D175" s="75">
        <f>Data!AG446</f>
        <v>596.91</v>
      </c>
      <c r="E175" s="74" t="s">
        <v>5324</v>
      </c>
      <c r="F175" s="1425"/>
      <c r="G175" s="74">
        <f t="shared" si="19"/>
        <v>0</v>
      </c>
      <c r="H175" s="74"/>
      <c r="I175" s="74">
        <f t="shared" si="20"/>
        <v>0</v>
      </c>
      <c r="J175" s="74"/>
      <c r="K175" s="74">
        <f t="shared" si="21"/>
        <v>0</v>
      </c>
      <c r="L175" s="74"/>
      <c r="M175" s="74">
        <f t="shared" si="22"/>
        <v>0</v>
      </c>
      <c r="N175" s="74">
        <f t="shared" si="23"/>
        <v>0</v>
      </c>
      <c r="O175" s="74">
        <f t="shared" si="24"/>
        <v>0</v>
      </c>
      <c r="P175" s="74">
        <f t="shared" si="25"/>
        <v>0</v>
      </c>
      <c r="Q175" s="74">
        <f t="shared" si="26"/>
        <v>0</v>
      </c>
    </row>
    <row r="176" spans="1:17" ht="25.5" hidden="1" customHeight="1">
      <c r="A176" s="71"/>
      <c r="B176" s="72">
        <f t="shared" si="18"/>
        <v>0</v>
      </c>
      <c r="C176" s="72" t="s">
        <v>5368</v>
      </c>
      <c r="D176" s="75">
        <f>ROUND(Data!AG448,2)</f>
        <v>603.08000000000004</v>
      </c>
      <c r="E176" s="74" t="s">
        <v>5324</v>
      </c>
      <c r="F176" s="1425"/>
      <c r="G176" s="74">
        <f t="shared" si="19"/>
        <v>0</v>
      </c>
      <c r="H176" s="74"/>
      <c r="I176" s="74">
        <f t="shared" si="20"/>
        <v>0</v>
      </c>
      <c r="J176" s="74"/>
      <c r="K176" s="74">
        <f t="shared" si="21"/>
        <v>0</v>
      </c>
      <c r="L176" s="74"/>
      <c r="M176" s="74">
        <f t="shared" si="22"/>
        <v>0</v>
      </c>
      <c r="N176" s="74">
        <f t="shared" si="23"/>
        <v>0</v>
      </c>
      <c r="O176" s="74">
        <f t="shared" si="24"/>
        <v>0</v>
      </c>
      <c r="P176" s="74">
        <f t="shared" si="25"/>
        <v>0</v>
      </c>
      <c r="Q176" s="74">
        <f t="shared" si="26"/>
        <v>0</v>
      </c>
    </row>
    <row r="177" spans="1:17" ht="25.5" hidden="1" customHeight="1">
      <c r="A177" s="71"/>
      <c r="B177" s="72">
        <f t="shared" si="18"/>
        <v>0</v>
      </c>
      <c r="C177" s="72" t="s">
        <v>5369</v>
      </c>
      <c r="D177" s="75">
        <f>ROUND(Data!AG449,2)</f>
        <v>615.53</v>
      </c>
      <c r="E177" s="74" t="s">
        <v>5324</v>
      </c>
      <c r="F177" s="1425"/>
      <c r="G177" s="74">
        <f t="shared" si="19"/>
        <v>0</v>
      </c>
      <c r="H177" s="74"/>
      <c r="I177" s="74">
        <f t="shared" si="20"/>
        <v>0</v>
      </c>
      <c r="J177" s="74"/>
      <c r="K177" s="74">
        <f t="shared" si="21"/>
        <v>0</v>
      </c>
      <c r="L177" s="74"/>
      <c r="M177" s="74">
        <f t="shared" si="22"/>
        <v>0</v>
      </c>
      <c r="N177" s="74">
        <f t="shared" si="23"/>
        <v>0</v>
      </c>
      <c r="O177" s="74">
        <f t="shared" si="24"/>
        <v>0</v>
      </c>
      <c r="P177" s="74">
        <f t="shared" si="25"/>
        <v>0</v>
      </c>
      <c r="Q177" s="74">
        <f t="shared" si="26"/>
        <v>0</v>
      </c>
    </row>
    <row r="178" spans="1:17" ht="26.25" hidden="1" customHeight="1">
      <c r="A178" s="71"/>
      <c r="B178" s="72">
        <f t="shared" si="18"/>
        <v>0</v>
      </c>
      <c r="C178" s="72" t="s">
        <v>5370</v>
      </c>
      <c r="D178" s="75">
        <f>ROUND(Data!AG450,2)</f>
        <v>627.98</v>
      </c>
      <c r="E178" s="74" t="s">
        <v>5324</v>
      </c>
      <c r="F178" s="1425"/>
      <c r="G178" s="74">
        <f t="shared" si="19"/>
        <v>0</v>
      </c>
      <c r="H178" s="74"/>
      <c r="I178" s="74">
        <f t="shared" si="20"/>
        <v>0</v>
      </c>
      <c r="J178" s="74"/>
      <c r="K178" s="74">
        <f t="shared" si="21"/>
        <v>0</v>
      </c>
      <c r="L178" s="74"/>
      <c r="M178" s="74">
        <f t="shared" si="22"/>
        <v>0</v>
      </c>
      <c r="N178" s="74">
        <f t="shared" si="23"/>
        <v>0</v>
      </c>
      <c r="O178" s="74">
        <f t="shared" si="24"/>
        <v>0</v>
      </c>
      <c r="P178" s="74">
        <f t="shared" si="25"/>
        <v>0</v>
      </c>
      <c r="Q178" s="74">
        <f t="shared" si="26"/>
        <v>0</v>
      </c>
    </row>
    <row r="179" spans="1:17" ht="25.5" hidden="1" customHeight="1">
      <c r="A179" s="71"/>
      <c r="B179" s="72">
        <f t="shared" si="18"/>
        <v>0</v>
      </c>
      <c r="C179" s="72" t="s">
        <v>5371</v>
      </c>
      <c r="D179" s="75">
        <f>ROUND(Data!AG451,2)</f>
        <v>640.42999999999995</v>
      </c>
      <c r="E179" s="74" t="s">
        <v>5324</v>
      </c>
      <c r="F179" s="1425"/>
      <c r="G179" s="74">
        <f t="shared" si="19"/>
        <v>0</v>
      </c>
      <c r="H179" s="74"/>
      <c r="I179" s="74">
        <f t="shared" si="20"/>
        <v>0</v>
      </c>
      <c r="J179" s="74"/>
      <c r="K179" s="74">
        <f t="shared" si="21"/>
        <v>0</v>
      </c>
      <c r="L179" s="74"/>
      <c r="M179" s="74">
        <f t="shared" si="22"/>
        <v>0</v>
      </c>
      <c r="N179" s="74">
        <f t="shared" si="23"/>
        <v>0</v>
      </c>
      <c r="O179" s="74">
        <f t="shared" si="24"/>
        <v>0</v>
      </c>
      <c r="P179" s="74">
        <f t="shared" si="25"/>
        <v>0</v>
      </c>
      <c r="Q179" s="74">
        <f t="shared" si="26"/>
        <v>0</v>
      </c>
    </row>
    <row r="180" spans="1:17" ht="25.5" hidden="1" customHeight="1">
      <c r="A180" s="78"/>
      <c r="B180" s="72">
        <f t="shared" si="18"/>
        <v>0</v>
      </c>
      <c r="C180" s="72" t="s">
        <v>5372</v>
      </c>
      <c r="D180" s="75">
        <f>ROUND(Data!AG452,2)</f>
        <v>652.88</v>
      </c>
      <c r="E180" s="74" t="s">
        <v>5324</v>
      </c>
      <c r="F180" s="1425"/>
      <c r="G180" s="74">
        <f t="shared" si="19"/>
        <v>0</v>
      </c>
      <c r="H180" s="74"/>
      <c r="I180" s="74">
        <f t="shared" si="20"/>
        <v>0</v>
      </c>
      <c r="J180" s="74"/>
      <c r="K180" s="74">
        <f t="shared" si="21"/>
        <v>0</v>
      </c>
      <c r="L180" s="74"/>
      <c r="M180" s="74">
        <f t="shared" si="22"/>
        <v>0</v>
      </c>
      <c r="N180" s="74">
        <f t="shared" si="23"/>
        <v>0</v>
      </c>
      <c r="O180" s="74">
        <f t="shared" si="24"/>
        <v>0</v>
      </c>
      <c r="P180" s="74">
        <f t="shared" si="25"/>
        <v>0</v>
      </c>
      <c r="Q180" s="74">
        <f t="shared" si="26"/>
        <v>0</v>
      </c>
    </row>
    <row r="181" spans="1:17" ht="69.75" hidden="1" customHeight="1">
      <c r="A181" s="71">
        <v>11.1</v>
      </c>
      <c r="B181" s="72">
        <f t="shared" si="18"/>
        <v>0</v>
      </c>
      <c r="C181" s="76" t="s">
        <v>5379</v>
      </c>
      <c r="D181" s="75">
        <f>ROUND(Data!AG453,2)</f>
        <v>665.33</v>
      </c>
      <c r="E181" s="74" t="s">
        <v>5324</v>
      </c>
      <c r="F181" s="1425"/>
      <c r="G181" s="74">
        <f t="shared" si="19"/>
        <v>0</v>
      </c>
      <c r="H181" s="74"/>
      <c r="I181" s="74">
        <f t="shared" si="20"/>
        <v>0</v>
      </c>
      <c r="J181" s="74"/>
      <c r="K181" s="74">
        <f t="shared" si="21"/>
        <v>0</v>
      </c>
      <c r="L181" s="74"/>
      <c r="M181" s="74">
        <f t="shared" si="22"/>
        <v>0</v>
      </c>
      <c r="N181" s="74">
        <f t="shared" si="23"/>
        <v>0</v>
      </c>
      <c r="O181" s="74">
        <f t="shared" si="24"/>
        <v>0</v>
      </c>
      <c r="P181" s="74">
        <f t="shared" si="25"/>
        <v>0</v>
      </c>
      <c r="Q181" s="74">
        <f t="shared" si="26"/>
        <v>0</v>
      </c>
    </row>
    <row r="182" spans="1:17" ht="25.5" hidden="1" customHeight="1">
      <c r="A182" s="71"/>
      <c r="B182" s="72">
        <f t="shared" si="18"/>
        <v>0</v>
      </c>
      <c r="C182" s="72" t="s">
        <v>3380</v>
      </c>
      <c r="D182" s="75">
        <f>ROUND(Data!AG454,2)</f>
        <v>677.78</v>
      </c>
      <c r="E182" s="74" t="s">
        <v>5324</v>
      </c>
      <c r="F182" s="1425"/>
      <c r="G182" s="74">
        <f t="shared" si="19"/>
        <v>0</v>
      </c>
      <c r="H182" s="74"/>
      <c r="I182" s="74">
        <f t="shared" si="20"/>
        <v>0</v>
      </c>
      <c r="J182" s="74"/>
      <c r="K182" s="74">
        <f t="shared" si="21"/>
        <v>0</v>
      </c>
      <c r="L182" s="74"/>
      <c r="M182" s="74">
        <f t="shared" si="22"/>
        <v>0</v>
      </c>
      <c r="N182" s="74">
        <f t="shared" si="23"/>
        <v>0</v>
      </c>
      <c r="O182" s="74">
        <f t="shared" si="24"/>
        <v>0</v>
      </c>
      <c r="P182" s="74">
        <f t="shared" si="25"/>
        <v>0</v>
      </c>
      <c r="Q182" s="74">
        <f t="shared" si="26"/>
        <v>0</v>
      </c>
    </row>
    <row r="183" spans="1:17" ht="25.5" hidden="1" customHeight="1">
      <c r="A183" s="71"/>
      <c r="B183" s="72">
        <f t="shared" si="18"/>
        <v>0</v>
      </c>
      <c r="C183" s="72" t="s">
        <v>4812</v>
      </c>
      <c r="D183" s="75">
        <f>ROUND(Data!AG455,2)</f>
        <v>690.23</v>
      </c>
      <c r="E183" s="74" t="s">
        <v>5324</v>
      </c>
      <c r="F183" s="1425"/>
      <c r="G183" s="74">
        <f t="shared" si="19"/>
        <v>0</v>
      </c>
      <c r="H183" s="74"/>
      <c r="I183" s="74">
        <f t="shared" si="20"/>
        <v>0</v>
      </c>
      <c r="J183" s="74"/>
      <c r="K183" s="74">
        <f t="shared" si="21"/>
        <v>0</v>
      </c>
      <c r="L183" s="74"/>
      <c r="M183" s="74">
        <f t="shared" si="22"/>
        <v>0</v>
      </c>
      <c r="N183" s="74">
        <f t="shared" si="23"/>
        <v>0</v>
      </c>
      <c r="O183" s="74">
        <f t="shared" si="24"/>
        <v>0</v>
      </c>
      <c r="P183" s="74">
        <f t="shared" si="25"/>
        <v>0</v>
      </c>
      <c r="Q183" s="74">
        <f t="shared" si="26"/>
        <v>0</v>
      </c>
    </row>
    <row r="184" spans="1:17" ht="25.5" hidden="1" customHeight="1">
      <c r="A184" s="71"/>
      <c r="B184" s="72">
        <f t="shared" si="18"/>
        <v>0</v>
      </c>
      <c r="C184" s="72" t="s">
        <v>5356</v>
      </c>
      <c r="D184" s="75">
        <f>ROUND(Data!AG456,2)</f>
        <v>702.68</v>
      </c>
      <c r="E184" s="74" t="s">
        <v>5324</v>
      </c>
      <c r="F184" s="1425"/>
      <c r="G184" s="74">
        <f t="shared" si="19"/>
        <v>0</v>
      </c>
      <c r="H184" s="74"/>
      <c r="I184" s="74">
        <f t="shared" si="20"/>
        <v>0</v>
      </c>
      <c r="J184" s="74"/>
      <c r="K184" s="74">
        <f t="shared" si="21"/>
        <v>0</v>
      </c>
      <c r="L184" s="74"/>
      <c r="M184" s="74">
        <f t="shared" si="22"/>
        <v>0</v>
      </c>
      <c r="N184" s="74">
        <f t="shared" si="23"/>
        <v>0</v>
      </c>
      <c r="O184" s="74">
        <f t="shared" si="24"/>
        <v>0</v>
      </c>
      <c r="P184" s="74">
        <f t="shared" si="25"/>
        <v>0</v>
      </c>
      <c r="Q184" s="74">
        <f t="shared" si="26"/>
        <v>0</v>
      </c>
    </row>
    <row r="185" spans="1:17" ht="25.5" hidden="1" customHeight="1">
      <c r="A185" s="71"/>
      <c r="B185" s="72">
        <f t="shared" si="18"/>
        <v>0</v>
      </c>
      <c r="C185" s="72" t="s">
        <v>5357</v>
      </c>
      <c r="D185" s="75">
        <f>ROUND(Data!AG457,2)</f>
        <v>715.13</v>
      </c>
      <c r="E185" s="74" t="s">
        <v>5324</v>
      </c>
      <c r="F185" s="1425"/>
      <c r="G185" s="74">
        <f t="shared" si="19"/>
        <v>0</v>
      </c>
      <c r="H185" s="74"/>
      <c r="I185" s="74">
        <f t="shared" si="20"/>
        <v>0</v>
      </c>
      <c r="J185" s="74"/>
      <c r="K185" s="74">
        <f t="shared" si="21"/>
        <v>0</v>
      </c>
      <c r="L185" s="74"/>
      <c r="M185" s="74">
        <f t="shared" si="22"/>
        <v>0</v>
      </c>
      <c r="N185" s="74">
        <f t="shared" si="23"/>
        <v>0</v>
      </c>
      <c r="O185" s="74">
        <f t="shared" si="24"/>
        <v>0</v>
      </c>
      <c r="P185" s="74">
        <f t="shared" si="25"/>
        <v>0</v>
      </c>
      <c r="Q185" s="74">
        <f t="shared" si="26"/>
        <v>0</v>
      </c>
    </row>
    <row r="186" spans="1:17" ht="4.5" hidden="1" customHeight="1">
      <c r="A186" s="78"/>
      <c r="B186" s="72">
        <f t="shared" si="18"/>
        <v>0</v>
      </c>
      <c r="C186" s="72" t="s">
        <v>5358</v>
      </c>
      <c r="D186" s="75">
        <f>ROUND(Data!AG458,2)</f>
        <v>727.58</v>
      </c>
      <c r="E186" s="74" t="s">
        <v>5324</v>
      </c>
      <c r="F186" s="1425"/>
      <c r="G186" s="74">
        <f t="shared" si="19"/>
        <v>0</v>
      </c>
      <c r="H186" s="74"/>
      <c r="I186" s="74">
        <f t="shared" si="20"/>
        <v>0</v>
      </c>
      <c r="J186" s="74"/>
      <c r="K186" s="74">
        <f t="shared" si="21"/>
        <v>0</v>
      </c>
      <c r="L186" s="74"/>
      <c r="M186" s="74">
        <f t="shared" si="22"/>
        <v>0</v>
      </c>
      <c r="N186" s="74">
        <f t="shared" si="23"/>
        <v>0</v>
      </c>
      <c r="O186" s="74">
        <f t="shared" si="24"/>
        <v>0</v>
      </c>
      <c r="P186" s="74">
        <f t="shared" si="25"/>
        <v>0</v>
      </c>
      <c r="Q186" s="74">
        <f t="shared" si="26"/>
        <v>0</v>
      </c>
    </row>
    <row r="187" spans="1:17" ht="40.5" customHeight="1">
      <c r="A187" s="78"/>
      <c r="B187" s="72">
        <f t="shared" si="18"/>
        <v>50.3</v>
      </c>
      <c r="C187" s="72" t="s">
        <v>7561</v>
      </c>
      <c r="D187" s="75">
        <f>Data!AG415</f>
        <v>937.93</v>
      </c>
      <c r="E187" s="74" t="s">
        <v>5324</v>
      </c>
      <c r="F187" s="1425">
        <f>'Detail '!I725</f>
        <v>50.3</v>
      </c>
      <c r="G187" s="74">
        <f t="shared" si="19"/>
        <v>47177.88</v>
      </c>
      <c r="H187" s="74"/>
      <c r="I187" s="74">
        <f t="shared" si="20"/>
        <v>0</v>
      </c>
      <c r="J187" s="74"/>
      <c r="K187" s="74">
        <f t="shared" si="21"/>
        <v>0</v>
      </c>
      <c r="L187" s="74"/>
      <c r="M187" s="74">
        <f t="shared" si="22"/>
        <v>0</v>
      </c>
      <c r="N187" s="74">
        <f t="shared" si="23"/>
        <v>0</v>
      </c>
      <c r="O187" s="74">
        <f t="shared" si="24"/>
        <v>0</v>
      </c>
      <c r="P187" s="74">
        <f t="shared" si="25"/>
        <v>50.3</v>
      </c>
      <c r="Q187" s="74">
        <f t="shared" si="26"/>
        <v>47177.88</v>
      </c>
    </row>
    <row r="188" spans="1:17" ht="37.5" customHeight="1">
      <c r="A188" s="78"/>
      <c r="B188" s="72">
        <f t="shared" si="18"/>
        <v>0</v>
      </c>
      <c r="C188" s="72" t="s">
        <v>5593</v>
      </c>
      <c r="D188" s="1438">
        <f>Data!AG416</f>
        <v>956.85</v>
      </c>
      <c r="E188" s="74" t="s">
        <v>5324</v>
      </c>
      <c r="F188" s="1425"/>
      <c r="G188" s="74">
        <f t="shared" si="19"/>
        <v>0</v>
      </c>
      <c r="H188" s="74"/>
      <c r="I188" s="74">
        <f t="shared" si="20"/>
        <v>0</v>
      </c>
      <c r="J188" s="74"/>
      <c r="K188" s="74">
        <f t="shared" si="21"/>
        <v>0</v>
      </c>
      <c r="L188" s="74"/>
      <c r="M188" s="74">
        <f t="shared" si="22"/>
        <v>0</v>
      </c>
      <c r="N188" s="74">
        <f t="shared" si="23"/>
        <v>0</v>
      </c>
      <c r="O188" s="74">
        <f t="shared" si="24"/>
        <v>0</v>
      </c>
      <c r="P188" s="74">
        <f t="shared" si="25"/>
        <v>0</v>
      </c>
      <c r="Q188" s="74">
        <f t="shared" si="26"/>
        <v>0</v>
      </c>
    </row>
    <row r="189" spans="1:17" ht="74.25" customHeight="1">
      <c r="A189" s="71">
        <v>11.2</v>
      </c>
      <c r="B189" s="72">
        <f t="shared" si="18"/>
        <v>0</v>
      </c>
      <c r="C189" s="76" t="s">
        <v>5380</v>
      </c>
      <c r="D189" s="75"/>
      <c r="E189" s="74"/>
      <c r="F189" s="1425"/>
      <c r="G189" s="74">
        <f t="shared" si="19"/>
        <v>0</v>
      </c>
      <c r="H189" s="74"/>
      <c r="I189" s="74">
        <f t="shared" si="20"/>
        <v>0</v>
      </c>
      <c r="J189" s="74"/>
      <c r="K189" s="74">
        <f t="shared" si="21"/>
        <v>0</v>
      </c>
      <c r="L189" s="74"/>
      <c r="M189" s="74">
        <f t="shared" si="22"/>
        <v>0</v>
      </c>
      <c r="N189" s="74">
        <f t="shared" si="23"/>
        <v>0</v>
      </c>
      <c r="O189" s="74">
        <f t="shared" si="24"/>
        <v>0</v>
      </c>
      <c r="P189" s="74">
        <f t="shared" si="25"/>
        <v>0</v>
      </c>
      <c r="Q189" s="74">
        <f t="shared" si="26"/>
        <v>0</v>
      </c>
    </row>
    <row r="190" spans="1:17" ht="41.25" customHeight="1">
      <c r="A190" s="71"/>
      <c r="B190" s="72">
        <f t="shared" si="18"/>
        <v>10.1</v>
      </c>
      <c r="C190" s="72" t="s">
        <v>3380</v>
      </c>
      <c r="D190" s="75">
        <f>ROUND(Data!AG448,2)</f>
        <v>603.08000000000004</v>
      </c>
      <c r="E190" s="74" t="s">
        <v>5324</v>
      </c>
      <c r="F190" s="1425">
        <f>'Detail '!I731</f>
        <v>10.1</v>
      </c>
      <c r="G190" s="74">
        <f t="shared" si="19"/>
        <v>6091.11</v>
      </c>
      <c r="H190" s="74"/>
      <c r="I190" s="74">
        <f t="shared" si="20"/>
        <v>0</v>
      </c>
      <c r="J190" s="74"/>
      <c r="K190" s="74">
        <f t="shared" si="21"/>
        <v>0</v>
      </c>
      <c r="L190" s="74"/>
      <c r="M190" s="74">
        <f t="shared" si="22"/>
        <v>0</v>
      </c>
      <c r="N190" s="74">
        <f t="shared" si="23"/>
        <v>0</v>
      </c>
      <c r="O190" s="74">
        <f t="shared" si="24"/>
        <v>0</v>
      </c>
      <c r="P190" s="74">
        <f t="shared" si="25"/>
        <v>10.1</v>
      </c>
      <c r="Q190" s="74">
        <f t="shared" si="26"/>
        <v>6091.11</v>
      </c>
    </row>
    <row r="191" spans="1:17" ht="41.25" customHeight="1">
      <c r="A191" s="71"/>
      <c r="B191" s="72">
        <f t="shared" si="18"/>
        <v>37.799999999999997</v>
      </c>
      <c r="C191" s="72" t="s">
        <v>4812</v>
      </c>
      <c r="D191" s="75">
        <f>ROUND(Data!AG449,2)</f>
        <v>615.53</v>
      </c>
      <c r="E191" s="74" t="s">
        <v>5324</v>
      </c>
      <c r="F191" s="1425">
        <f>'Detail '!I739</f>
        <v>37.799999999999997</v>
      </c>
      <c r="G191" s="74">
        <f t="shared" si="19"/>
        <v>23267.03</v>
      </c>
      <c r="H191" s="74"/>
      <c r="I191" s="74">
        <f t="shared" si="20"/>
        <v>0</v>
      </c>
      <c r="J191" s="74"/>
      <c r="K191" s="74">
        <f t="shared" si="21"/>
        <v>0</v>
      </c>
      <c r="L191" s="74"/>
      <c r="M191" s="74">
        <f t="shared" si="22"/>
        <v>0</v>
      </c>
      <c r="N191" s="74">
        <f t="shared" si="23"/>
        <v>0</v>
      </c>
      <c r="O191" s="74">
        <f t="shared" si="24"/>
        <v>0</v>
      </c>
      <c r="P191" s="74">
        <f t="shared" si="25"/>
        <v>37.799999999999997</v>
      </c>
      <c r="Q191" s="74">
        <f t="shared" si="26"/>
        <v>23267.03</v>
      </c>
    </row>
    <row r="192" spans="1:17" ht="41.25" customHeight="1">
      <c r="A192" s="71"/>
      <c r="B192" s="72">
        <f t="shared" si="18"/>
        <v>26.5</v>
      </c>
      <c r="C192" s="72" t="s">
        <v>5356</v>
      </c>
      <c r="D192" s="75">
        <f>ROUND(Data!AG450,2)</f>
        <v>627.98</v>
      </c>
      <c r="E192" s="74" t="s">
        <v>5324</v>
      </c>
      <c r="F192" s="1425">
        <f>'Detail '!I751</f>
        <v>26.5</v>
      </c>
      <c r="G192" s="74">
        <f t="shared" si="19"/>
        <v>16641.47</v>
      </c>
      <c r="H192" s="74"/>
      <c r="I192" s="74">
        <f t="shared" si="20"/>
        <v>0</v>
      </c>
      <c r="J192" s="74"/>
      <c r="K192" s="74">
        <f t="shared" si="21"/>
        <v>0</v>
      </c>
      <c r="L192" s="74"/>
      <c r="M192" s="74">
        <f t="shared" si="22"/>
        <v>0</v>
      </c>
      <c r="N192" s="74">
        <f t="shared" si="23"/>
        <v>0</v>
      </c>
      <c r="O192" s="74">
        <f t="shared" si="24"/>
        <v>0</v>
      </c>
      <c r="P192" s="74">
        <f t="shared" si="25"/>
        <v>26.5</v>
      </c>
      <c r="Q192" s="74">
        <f t="shared" si="26"/>
        <v>16641.47</v>
      </c>
    </row>
    <row r="193" spans="1:17" ht="41.25" customHeight="1">
      <c r="A193" s="71"/>
      <c r="B193" s="72">
        <f t="shared" si="18"/>
        <v>26</v>
      </c>
      <c r="C193" s="72" t="s">
        <v>5357</v>
      </c>
      <c r="D193" s="75">
        <f>ROUND(Data!AG451,2)</f>
        <v>640.42999999999995</v>
      </c>
      <c r="E193" s="74" t="s">
        <v>5324</v>
      </c>
      <c r="F193" s="1425">
        <f>'Detail '!I759</f>
        <v>26</v>
      </c>
      <c r="G193" s="74">
        <f t="shared" si="19"/>
        <v>16651.18</v>
      </c>
      <c r="H193" s="74"/>
      <c r="I193" s="74">
        <f t="shared" si="20"/>
        <v>0</v>
      </c>
      <c r="J193" s="74"/>
      <c r="K193" s="74">
        <f t="shared" si="21"/>
        <v>0</v>
      </c>
      <c r="L193" s="74"/>
      <c r="M193" s="74">
        <f t="shared" si="22"/>
        <v>0</v>
      </c>
      <c r="N193" s="74">
        <f t="shared" si="23"/>
        <v>0</v>
      </c>
      <c r="O193" s="74">
        <f t="shared" si="24"/>
        <v>0</v>
      </c>
      <c r="P193" s="74">
        <f t="shared" si="25"/>
        <v>26</v>
      </c>
      <c r="Q193" s="74">
        <f t="shared" si="26"/>
        <v>16651.18</v>
      </c>
    </row>
    <row r="194" spans="1:17" ht="41.25" hidden="1" customHeight="1">
      <c r="A194" s="78"/>
      <c r="B194" s="72">
        <f t="shared" si="18"/>
        <v>0</v>
      </c>
      <c r="C194" s="72" t="s">
        <v>5358</v>
      </c>
      <c r="D194" s="75">
        <f>ROUND(Data!AG452,2)</f>
        <v>652.88</v>
      </c>
      <c r="E194" s="74" t="s">
        <v>5324</v>
      </c>
      <c r="F194" s="1425"/>
      <c r="G194" s="74">
        <f t="shared" si="19"/>
        <v>0</v>
      </c>
      <c r="H194" s="74"/>
      <c r="I194" s="74">
        <f t="shared" si="20"/>
        <v>0</v>
      </c>
      <c r="J194" s="74"/>
      <c r="K194" s="74">
        <f t="shared" si="21"/>
        <v>0</v>
      </c>
      <c r="L194" s="74"/>
      <c r="M194" s="74">
        <f t="shared" si="22"/>
        <v>0</v>
      </c>
      <c r="N194" s="74">
        <f t="shared" si="23"/>
        <v>0</v>
      </c>
      <c r="O194" s="74">
        <f t="shared" si="24"/>
        <v>0</v>
      </c>
      <c r="P194" s="74">
        <f t="shared" si="25"/>
        <v>0</v>
      </c>
      <c r="Q194" s="74">
        <f t="shared" si="26"/>
        <v>0</v>
      </c>
    </row>
    <row r="195" spans="1:17" ht="69.75" hidden="1" customHeight="1">
      <c r="A195" s="71">
        <v>11.3</v>
      </c>
      <c r="B195" s="72">
        <f t="shared" si="18"/>
        <v>0</v>
      </c>
      <c r="C195" s="76" t="s">
        <v>5381</v>
      </c>
      <c r="D195" s="75"/>
      <c r="E195" s="74" t="s">
        <v>5324</v>
      </c>
      <c r="F195" s="1425"/>
      <c r="G195" s="74">
        <f t="shared" si="19"/>
        <v>0</v>
      </c>
      <c r="H195" s="74"/>
      <c r="I195" s="74">
        <f t="shared" si="20"/>
        <v>0</v>
      </c>
      <c r="J195" s="74"/>
      <c r="K195" s="74">
        <f t="shared" si="21"/>
        <v>0</v>
      </c>
      <c r="L195" s="74"/>
      <c r="M195" s="74">
        <f t="shared" si="22"/>
        <v>0</v>
      </c>
      <c r="N195" s="74">
        <f t="shared" si="23"/>
        <v>0</v>
      </c>
      <c r="O195" s="74">
        <f t="shared" si="24"/>
        <v>0</v>
      </c>
      <c r="P195" s="74">
        <f t="shared" si="25"/>
        <v>0</v>
      </c>
      <c r="Q195" s="74">
        <f t="shared" si="26"/>
        <v>0</v>
      </c>
    </row>
    <row r="196" spans="1:17" ht="25.5" hidden="1" customHeight="1">
      <c r="A196" s="71"/>
      <c r="B196" s="72">
        <f t="shared" si="18"/>
        <v>0</v>
      </c>
      <c r="C196" s="72" t="s">
        <v>3380</v>
      </c>
      <c r="D196" s="75"/>
      <c r="E196" s="74" t="s">
        <v>5324</v>
      </c>
      <c r="F196" s="1425"/>
      <c r="G196" s="74">
        <f t="shared" si="19"/>
        <v>0</v>
      </c>
      <c r="H196" s="74"/>
      <c r="I196" s="74">
        <f t="shared" si="20"/>
        <v>0</v>
      </c>
      <c r="J196" s="74"/>
      <c r="K196" s="74">
        <f t="shared" si="21"/>
        <v>0</v>
      </c>
      <c r="L196" s="74"/>
      <c r="M196" s="74">
        <f t="shared" si="22"/>
        <v>0</v>
      </c>
      <c r="N196" s="74">
        <f t="shared" si="23"/>
        <v>0</v>
      </c>
      <c r="O196" s="74">
        <f t="shared" si="24"/>
        <v>0</v>
      </c>
      <c r="P196" s="74">
        <f t="shared" si="25"/>
        <v>0</v>
      </c>
      <c r="Q196" s="74">
        <f t="shared" si="26"/>
        <v>0</v>
      </c>
    </row>
    <row r="197" spans="1:17" ht="25.5" hidden="1" customHeight="1">
      <c r="A197" s="71"/>
      <c r="B197" s="72">
        <f t="shared" ref="B197:B260" si="27">P197</f>
        <v>0</v>
      </c>
      <c r="C197" s="72" t="s">
        <v>4812</v>
      </c>
      <c r="D197" s="75"/>
      <c r="E197" s="74" t="s">
        <v>5324</v>
      </c>
      <c r="F197" s="1425"/>
      <c r="G197" s="74">
        <f t="shared" si="19"/>
        <v>0</v>
      </c>
      <c r="H197" s="74"/>
      <c r="I197" s="74">
        <f t="shared" si="20"/>
        <v>0</v>
      </c>
      <c r="J197" s="74"/>
      <c r="K197" s="74">
        <f t="shared" si="21"/>
        <v>0</v>
      </c>
      <c r="L197" s="74"/>
      <c r="M197" s="74">
        <f t="shared" si="22"/>
        <v>0</v>
      </c>
      <c r="N197" s="74">
        <f t="shared" si="23"/>
        <v>0</v>
      </c>
      <c r="O197" s="74">
        <f t="shared" si="24"/>
        <v>0</v>
      </c>
      <c r="P197" s="74">
        <f t="shared" si="25"/>
        <v>0</v>
      </c>
      <c r="Q197" s="74">
        <f t="shared" si="26"/>
        <v>0</v>
      </c>
    </row>
    <row r="198" spans="1:17" ht="25.5" hidden="1" customHeight="1">
      <c r="A198" s="71"/>
      <c r="B198" s="72">
        <f t="shared" si="27"/>
        <v>0</v>
      </c>
      <c r="C198" s="72" t="s">
        <v>5356</v>
      </c>
      <c r="D198" s="75"/>
      <c r="E198" s="74" t="s">
        <v>5324</v>
      </c>
      <c r="F198" s="1425"/>
      <c r="G198" s="74">
        <f t="shared" ref="G198:G261" si="28">F198*D198</f>
        <v>0</v>
      </c>
      <c r="H198" s="74"/>
      <c r="I198" s="74">
        <f t="shared" ref="I198:I261" si="29">H198*D198</f>
        <v>0</v>
      </c>
      <c r="J198" s="74"/>
      <c r="K198" s="74">
        <f t="shared" ref="K198:K261" si="30">J198*D198</f>
        <v>0</v>
      </c>
      <c r="L198" s="74"/>
      <c r="M198" s="74">
        <f t="shared" ref="M198:M261" si="31">L198*D198</f>
        <v>0</v>
      </c>
      <c r="N198" s="74">
        <f t="shared" ref="N198:N261" si="32">H198+J198+L198</f>
        <v>0</v>
      </c>
      <c r="O198" s="74">
        <f t="shared" ref="O198:O261" si="33">N198*D198</f>
        <v>0</v>
      </c>
      <c r="P198" s="74">
        <f t="shared" ref="P198:P261" si="34">N198+F198</f>
        <v>0</v>
      </c>
      <c r="Q198" s="74">
        <f t="shared" ref="Q198:Q261" si="35">P198*D198</f>
        <v>0</v>
      </c>
    </row>
    <row r="199" spans="1:17" ht="25.5" hidden="1" customHeight="1">
      <c r="A199" s="71"/>
      <c r="B199" s="72">
        <f t="shared" si="27"/>
        <v>0</v>
      </c>
      <c r="C199" s="72" t="s">
        <v>5357</v>
      </c>
      <c r="D199" s="75"/>
      <c r="E199" s="74" t="s">
        <v>5324</v>
      </c>
      <c r="F199" s="1425"/>
      <c r="G199" s="74">
        <f t="shared" si="28"/>
        <v>0</v>
      </c>
      <c r="H199" s="74"/>
      <c r="I199" s="74">
        <f t="shared" si="29"/>
        <v>0</v>
      </c>
      <c r="J199" s="74"/>
      <c r="K199" s="74">
        <f t="shared" si="30"/>
        <v>0</v>
      </c>
      <c r="L199" s="74"/>
      <c r="M199" s="74">
        <f t="shared" si="31"/>
        <v>0</v>
      </c>
      <c r="N199" s="74">
        <f t="shared" si="32"/>
        <v>0</v>
      </c>
      <c r="O199" s="74">
        <f t="shared" si="33"/>
        <v>0</v>
      </c>
      <c r="P199" s="74">
        <f t="shared" si="34"/>
        <v>0</v>
      </c>
      <c r="Q199" s="74">
        <f t="shared" si="35"/>
        <v>0</v>
      </c>
    </row>
    <row r="200" spans="1:17" ht="25.5" hidden="1" customHeight="1">
      <c r="A200" s="78"/>
      <c r="B200" s="72">
        <f t="shared" si="27"/>
        <v>0</v>
      </c>
      <c r="C200" s="72" t="s">
        <v>5358</v>
      </c>
      <c r="D200" s="75"/>
      <c r="E200" s="74" t="s">
        <v>5324</v>
      </c>
      <c r="F200" s="1425"/>
      <c r="G200" s="74">
        <f t="shared" si="28"/>
        <v>0</v>
      </c>
      <c r="H200" s="74"/>
      <c r="I200" s="74">
        <f t="shared" si="29"/>
        <v>0</v>
      </c>
      <c r="J200" s="74"/>
      <c r="K200" s="74">
        <f t="shared" si="30"/>
        <v>0</v>
      </c>
      <c r="L200" s="74"/>
      <c r="M200" s="74">
        <f t="shared" si="31"/>
        <v>0</v>
      </c>
      <c r="N200" s="74">
        <f t="shared" si="32"/>
        <v>0</v>
      </c>
      <c r="O200" s="74">
        <f t="shared" si="33"/>
        <v>0</v>
      </c>
      <c r="P200" s="74">
        <f t="shared" si="34"/>
        <v>0</v>
      </c>
      <c r="Q200" s="74">
        <f t="shared" si="35"/>
        <v>0</v>
      </c>
    </row>
    <row r="201" spans="1:17" ht="69.75" hidden="1" customHeight="1">
      <c r="A201" s="71">
        <v>11.4</v>
      </c>
      <c r="B201" s="72">
        <f t="shared" si="27"/>
        <v>0</v>
      </c>
      <c r="C201" s="76" t="s">
        <v>5382</v>
      </c>
      <c r="D201" s="75"/>
      <c r="E201" s="74" t="s">
        <v>5324</v>
      </c>
      <c r="F201" s="1425"/>
      <c r="G201" s="74">
        <f t="shared" si="28"/>
        <v>0</v>
      </c>
      <c r="H201" s="74"/>
      <c r="I201" s="74">
        <f t="shared" si="29"/>
        <v>0</v>
      </c>
      <c r="J201" s="74"/>
      <c r="K201" s="74">
        <f t="shared" si="30"/>
        <v>0</v>
      </c>
      <c r="L201" s="74"/>
      <c r="M201" s="74">
        <f t="shared" si="31"/>
        <v>0</v>
      </c>
      <c r="N201" s="74">
        <f t="shared" si="32"/>
        <v>0</v>
      </c>
      <c r="O201" s="74">
        <f t="shared" si="33"/>
        <v>0</v>
      </c>
      <c r="P201" s="74">
        <f t="shared" si="34"/>
        <v>0</v>
      </c>
      <c r="Q201" s="74">
        <f t="shared" si="35"/>
        <v>0</v>
      </c>
    </row>
    <row r="202" spans="1:17" ht="25.5" hidden="1" customHeight="1">
      <c r="A202" s="72"/>
      <c r="B202" s="72">
        <f t="shared" si="27"/>
        <v>0</v>
      </c>
      <c r="C202" s="72" t="s">
        <v>3380</v>
      </c>
      <c r="D202" s="75"/>
      <c r="E202" s="74" t="s">
        <v>5324</v>
      </c>
      <c r="F202" s="1425"/>
      <c r="G202" s="74">
        <f t="shared" si="28"/>
        <v>0</v>
      </c>
      <c r="H202" s="74"/>
      <c r="I202" s="74">
        <f t="shared" si="29"/>
        <v>0</v>
      </c>
      <c r="J202" s="74"/>
      <c r="K202" s="74">
        <f t="shared" si="30"/>
        <v>0</v>
      </c>
      <c r="L202" s="74"/>
      <c r="M202" s="74">
        <f t="shared" si="31"/>
        <v>0</v>
      </c>
      <c r="N202" s="74">
        <f t="shared" si="32"/>
        <v>0</v>
      </c>
      <c r="O202" s="74">
        <f t="shared" si="33"/>
        <v>0</v>
      </c>
      <c r="P202" s="74">
        <f t="shared" si="34"/>
        <v>0</v>
      </c>
      <c r="Q202" s="74">
        <f t="shared" si="35"/>
        <v>0</v>
      </c>
    </row>
    <row r="203" spans="1:17" ht="25.5" hidden="1" customHeight="1">
      <c r="A203" s="72"/>
      <c r="B203" s="72">
        <f t="shared" si="27"/>
        <v>0</v>
      </c>
      <c r="C203" s="72" t="s">
        <v>4812</v>
      </c>
      <c r="D203" s="75"/>
      <c r="E203" s="74" t="s">
        <v>5324</v>
      </c>
      <c r="F203" s="1425"/>
      <c r="G203" s="74">
        <f t="shared" si="28"/>
        <v>0</v>
      </c>
      <c r="H203" s="74"/>
      <c r="I203" s="74">
        <f t="shared" si="29"/>
        <v>0</v>
      </c>
      <c r="J203" s="74"/>
      <c r="K203" s="74">
        <f t="shared" si="30"/>
        <v>0</v>
      </c>
      <c r="L203" s="74"/>
      <c r="M203" s="74">
        <f t="shared" si="31"/>
        <v>0</v>
      </c>
      <c r="N203" s="74">
        <f t="shared" si="32"/>
        <v>0</v>
      </c>
      <c r="O203" s="74">
        <f t="shared" si="33"/>
        <v>0</v>
      </c>
      <c r="P203" s="74">
        <f t="shared" si="34"/>
        <v>0</v>
      </c>
      <c r="Q203" s="74">
        <f t="shared" si="35"/>
        <v>0</v>
      </c>
    </row>
    <row r="204" spans="1:17" ht="25.5" hidden="1" customHeight="1">
      <c r="A204" s="72"/>
      <c r="B204" s="72">
        <f t="shared" si="27"/>
        <v>0</v>
      </c>
      <c r="C204" s="72" t="s">
        <v>5356</v>
      </c>
      <c r="D204" s="75"/>
      <c r="E204" s="74" t="s">
        <v>5324</v>
      </c>
      <c r="F204" s="1425"/>
      <c r="G204" s="74">
        <f t="shared" si="28"/>
        <v>0</v>
      </c>
      <c r="H204" s="74"/>
      <c r="I204" s="74">
        <f t="shared" si="29"/>
        <v>0</v>
      </c>
      <c r="J204" s="74"/>
      <c r="K204" s="74">
        <f t="shared" si="30"/>
        <v>0</v>
      </c>
      <c r="L204" s="74"/>
      <c r="M204" s="74">
        <f t="shared" si="31"/>
        <v>0</v>
      </c>
      <c r="N204" s="74">
        <f t="shared" si="32"/>
        <v>0</v>
      </c>
      <c r="O204" s="74">
        <f t="shared" si="33"/>
        <v>0</v>
      </c>
      <c r="P204" s="74">
        <f t="shared" si="34"/>
        <v>0</v>
      </c>
      <c r="Q204" s="74">
        <f t="shared" si="35"/>
        <v>0</v>
      </c>
    </row>
    <row r="205" spans="1:17" ht="25.5" hidden="1" customHeight="1">
      <c r="A205" s="72"/>
      <c r="B205" s="72">
        <f t="shared" si="27"/>
        <v>0</v>
      </c>
      <c r="C205" s="72" t="s">
        <v>5357</v>
      </c>
      <c r="D205" s="75"/>
      <c r="E205" s="74" t="s">
        <v>5324</v>
      </c>
      <c r="F205" s="1425"/>
      <c r="G205" s="74">
        <f t="shared" si="28"/>
        <v>0</v>
      </c>
      <c r="H205" s="74"/>
      <c r="I205" s="74">
        <f t="shared" si="29"/>
        <v>0</v>
      </c>
      <c r="J205" s="74"/>
      <c r="K205" s="74">
        <f t="shared" si="30"/>
        <v>0</v>
      </c>
      <c r="L205" s="74"/>
      <c r="M205" s="74">
        <f t="shared" si="31"/>
        <v>0</v>
      </c>
      <c r="N205" s="74">
        <f t="shared" si="32"/>
        <v>0</v>
      </c>
      <c r="O205" s="74">
        <f t="shared" si="33"/>
        <v>0</v>
      </c>
      <c r="P205" s="74">
        <f t="shared" si="34"/>
        <v>0</v>
      </c>
      <c r="Q205" s="74">
        <f t="shared" si="35"/>
        <v>0</v>
      </c>
    </row>
    <row r="206" spans="1:17" ht="25.5" hidden="1" customHeight="1">
      <c r="A206" s="56"/>
      <c r="B206" s="72">
        <f t="shared" si="27"/>
        <v>0</v>
      </c>
      <c r="C206" s="72" t="s">
        <v>5358</v>
      </c>
      <c r="D206" s="75"/>
      <c r="E206" s="74" t="s">
        <v>5324</v>
      </c>
      <c r="F206" s="1425"/>
      <c r="G206" s="74">
        <f t="shared" si="28"/>
        <v>0</v>
      </c>
      <c r="H206" s="74"/>
      <c r="I206" s="74">
        <f t="shared" si="29"/>
        <v>0</v>
      </c>
      <c r="J206" s="74"/>
      <c r="K206" s="74">
        <f t="shared" si="30"/>
        <v>0</v>
      </c>
      <c r="L206" s="74"/>
      <c r="M206" s="74">
        <f t="shared" si="31"/>
        <v>0</v>
      </c>
      <c r="N206" s="74">
        <f t="shared" si="32"/>
        <v>0</v>
      </c>
      <c r="O206" s="74">
        <f t="shared" si="33"/>
        <v>0</v>
      </c>
      <c r="P206" s="74">
        <f t="shared" si="34"/>
        <v>0</v>
      </c>
      <c r="Q206" s="74">
        <f t="shared" si="35"/>
        <v>0</v>
      </c>
    </row>
    <row r="207" spans="1:17" s="55" customFormat="1" ht="87.75" hidden="1" customHeight="1">
      <c r="A207" s="80">
        <v>11.5</v>
      </c>
      <c r="B207" s="72">
        <f t="shared" si="27"/>
        <v>0</v>
      </c>
      <c r="C207" s="76" t="s">
        <v>5383</v>
      </c>
      <c r="D207" s="75"/>
      <c r="E207" s="74" t="s">
        <v>5324</v>
      </c>
      <c r="F207" s="1425"/>
      <c r="G207" s="74">
        <f t="shared" si="28"/>
        <v>0</v>
      </c>
      <c r="H207" s="74"/>
      <c r="I207" s="74">
        <f t="shared" si="29"/>
        <v>0</v>
      </c>
      <c r="J207" s="74"/>
      <c r="K207" s="74">
        <f t="shared" si="30"/>
        <v>0</v>
      </c>
      <c r="L207" s="74"/>
      <c r="M207" s="74">
        <f t="shared" si="31"/>
        <v>0</v>
      </c>
      <c r="N207" s="74">
        <f t="shared" si="32"/>
        <v>0</v>
      </c>
      <c r="O207" s="74">
        <f t="shared" si="33"/>
        <v>0</v>
      </c>
      <c r="P207" s="74">
        <f t="shared" si="34"/>
        <v>0</v>
      </c>
      <c r="Q207" s="74">
        <f t="shared" si="35"/>
        <v>0</v>
      </c>
    </row>
    <row r="208" spans="1:17" s="55" customFormat="1" ht="48.75" hidden="1" customHeight="1">
      <c r="A208" s="80"/>
      <c r="B208" s="72">
        <f t="shared" si="27"/>
        <v>0</v>
      </c>
      <c r="C208" s="72" t="s">
        <v>3380</v>
      </c>
      <c r="D208" s="75">
        <f>ROUND(Data!K434,2)</f>
        <v>566.14</v>
      </c>
      <c r="E208" s="74" t="s">
        <v>5324</v>
      </c>
      <c r="F208" s="1425"/>
      <c r="G208" s="74">
        <f t="shared" si="28"/>
        <v>0</v>
      </c>
      <c r="H208" s="74"/>
      <c r="I208" s="74">
        <f t="shared" si="29"/>
        <v>0</v>
      </c>
      <c r="J208" s="74"/>
      <c r="K208" s="74">
        <f t="shared" si="30"/>
        <v>0</v>
      </c>
      <c r="L208" s="74"/>
      <c r="M208" s="74">
        <f t="shared" si="31"/>
        <v>0</v>
      </c>
      <c r="N208" s="74">
        <f t="shared" si="32"/>
        <v>0</v>
      </c>
      <c r="O208" s="74">
        <f t="shared" si="33"/>
        <v>0</v>
      </c>
      <c r="P208" s="74">
        <f t="shared" si="34"/>
        <v>0</v>
      </c>
      <c r="Q208" s="74">
        <f t="shared" si="35"/>
        <v>0</v>
      </c>
    </row>
    <row r="209" spans="1:17" s="55" customFormat="1" ht="42" hidden="1" customHeight="1">
      <c r="A209" s="80"/>
      <c r="B209" s="72">
        <f t="shared" si="27"/>
        <v>0</v>
      </c>
      <c r="C209" s="72" t="s">
        <v>4812</v>
      </c>
      <c r="D209" s="75">
        <f>ROUND(Data!K435,2)</f>
        <v>577.76</v>
      </c>
      <c r="E209" s="74" t="s">
        <v>5324</v>
      </c>
      <c r="F209" s="1425"/>
      <c r="G209" s="74">
        <f t="shared" si="28"/>
        <v>0</v>
      </c>
      <c r="H209" s="74"/>
      <c r="I209" s="74">
        <f t="shared" si="29"/>
        <v>0</v>
      </c>
      <c r="J209" s="74"/>
      <c r="K209" s="74">
        <f t="shared" si="30"/>
        <v>0</v>
      </c>
      <c r="L209" s="74"/>
      <c r="M209" s="74">
        <f t="shared" si="31"/>
        <v>0</v>
      </c>
      <c r="N209" s="74">
        <f t="shared" si="32"/>
        <v>0</v>
      </c>
      <c r="O209" s="74">
        <f t="shared" si="33"/>
        <v>0</v>
      </c>
      <c r="P209" s="74">
        <f t="shared" si="34"/>
        <v>0</v>
      </c>
      <c r="Q209" s="74">
        <f t="shared" si="35"/>
        <v>0</v>
      </c>
    </row>
    <row r="210" spans="1:17" s="55" customFormat="1" ht="42" hidden="1" customHeight="1">
      <c r="A210" s="80"/>
      <c r="B210" s="72">
        <f t="shared" si="27"/>
        <v>0</v>
      </c>
      <c r="C210" s="72" t="s">
        <v>5356</v>
      </c>
      <c r="D210" s="75">
        <f>ROUND(Data!K436,2)</f>
        <v>589.38</v>
      </c>
      <c r="E210" s="74" t="s">
        <v>5324</v>
      </c>
      <c r="F210" s="1425"/>
      <c r="G210" s="74">
        <f t="shared" si="28"/>
        <v>0</v>
      </c>
      <c r="H210" s="74"/>
      <c r="I210" s="74">
        <f t="shared" si="29"/>
        <v>0</v>
      </c>
      <c r="J210" s="74"/>
      <c r="K210" s="74">
        <f t="shared" si="30"/>
        <v>0</v>
      </c>
      <c r="L210" s="74"/>
      <c r="M210" s="74">
        <f t="shared" si="31"/>
        <v>0</v>
      </c>
      <c r="N210" s="74">
        <f t="shared" si="32"/>
        <v>0</v>
      </c>
      <c r="O210" s="74">
        <f t="shared" si="33"/>
        <v>0</v>
      </c>
      <c r="P210" s="74">
        <f t="shared" si="34"/>
        <v>0</v>
      </c>
      <c r="Q210" s="74">
        <f t="shared" si="35"/>
        <v>0</v>
      </c>
    </row>
    <row r="211" spans="1:17" s="55" customFormat="1" ht="42" hidden="1" customHeight="1">
      <c r="A211" s="80"/>
      <c r="B211" s="72">
        <f t="shared" si="27"/>
        <v>0</v>
      </c>
      <c r="C211" s="72" t="s">
        <v>5357</v>
      </c>
      <c r="D211" s="75">
        <f>ROUND(Data!K437,2)</f>
        <v>601</v>
      </c>
      <c r="E211" s="74" t="s">
        <v>5324</v>
      </c>
      <c r="F211" s="1425"/>
      <c r="G211" s="74">
        <f t="shared" si="28"/>
        <v>0</v>
      </c>
      <c r="H211" s="74"/>
      <c r="I211" s="74">
        <f t="shared" si="29"/>
        <v>0</v>
      </c>
      <c r="J211" s="74"/>
      <c r="K211" s="74">
        <f t="shared" si="30"/>
        <v>0</v>
      </c>
      <c r="L211" s="74"/>
      <c r="M211" s="74">
        <f t="shared" si="31"/>
        <v>0</v>
      </c>
      <c r="N211" s="74">
        <f t="shared" si="32"/>
        <v>0</v>
      </c>
      <c r="O211" s="74">
        <f t="shared" si="33"/>
        <v>0</v>
      </c>
      <c r="P211" s="74">
        <f t="shared" si="34"/>
        <v>0</v>
      </c>
      <c r="Q211" s="74">
        <f t="shared" si="35"/>
        <v>0</v>
      </c>
    </row>
    <row r="212" spans="1:17" ht="25.5" hidden="1" customHeight="1">
      <c r="A212" s="79"/>
      <c r="B212" s="72">
        <f t="shared" si="27"/>
        <v>0</v>
      </c>
      <c r="C212" s="72" t="s">
        <v>5358</v>
      </c>
      <c r="D212" s="75">
        <f>ROUND(Data!K438,2)</f>
        <v>612.62</v>
      </c>
      <c r="E212" s="74" t="s">
        <v>5324</v>
      </c>
      <c r="F212" s="1425"/>
      <c r="G212" s="74">
        <f t="shared" si="28"/>
        <v>0</v>
      </c>
      <c r="H212" s="74"/>
      <c r="I212" s="74">
        <f t="shared" si="29"/>
        <v>0</v>
      </c>
      <c r="J212" s="74"/>
      <c r="K212" s="74">
        <f t="shared" si="30"/>
        <v>0</v>
      </c>
      <c r="L212" s="74"/>
      <c r="M212" s="74">
        <f t="shared" si="31"/>
        <v>0</v>
      </c>
      <c r="N212" s="74">
        <f t="shared" si="32"/>
        <v>0</v>
      </c>
      <c r="O212" s="74">
        <f t="shared" si="33"/>
        <v>0</v>
      </c>
      <c r="P212" s="74">
        <f t="shared" si="34"/>
        <v>0</v>
      </c>
      <c r="Q212" s="74">
        <f t="shared" si="35"/>
        <v>0</v>
      </c>
    </row>
    <row r="213" spans="1:17" ht="69.75" hidden="1" customHeight="1">
      <c r="A213" s="80">
        <v>11.6</v>
      </c>
      <c r="B213" s="72">
        <f t="shared" si="27"/>
        <v>0</v>
      </c>
      <c r="C213" s="76" t="s">
        <v>5384</v>
      </c>
      <c r="D213" s="75"/>
      <c r="E213" s="74" t="s">
        <v>5324</v>
      </c>
      <c r="F213" s="1425"/>
      <c r="G213" s="74">
        <f t="shared" si="28"/>
        <v>0</v>
      </c>
      <c r="H213" s="74"/>
      <c r="I213" s="74">
        <f t="shared" si="29"/>
        <v>0</v>
      </c>
      <c r="J213" s="74"/>
      <c r="K213" s="74">
        <f t="shared" si="30"/>
        <v>0</v>
      </c>
      <c r="L213" s="74"/>
      <c r="M213" s="74">
        <f t="shared" si="31"/>
        <v>0</v>
      </c>
      <c r="N213" s="74">
        <f t="shared" si="32"/>
        <v>0</v>
      </c>
      <c r="O213" s="74">
        <f t="shared" si="33"/>
        <v>0</v>
      </c>
      <c r="P213" s="74">
        <f t="shared" si="34"/>
        <v>0</v>
      </c>
      <c r="Q213" s="74">
        <f t="shared" si="35"/>
        <v>0</v>
      </c>
    </row>
    <row r="214" spans="1:17" ht="25.5" hidden="1" customHeight="1">
      <c r="A214" s="80"/>
      <c r="B214" s="72">
        <f t="shared" si="27"/>
        <v>0</v>
      </c>
      <c r="C214" s="72" t="s">
        <v>3380</v>
      </c>
      <c r="D214" s="75"/>
      <c r="E214" s="74" t="s">
        <v>5324</v>
      </c>
      <c r="F214" s="1425"/>
      <c r="G214" s="74">
        <f t="shared" si="28"/>
        <v>0</v>
      </c>
      <c r="H214" s="74"/>
      <c r="I214" s="74">
        <f t="shared" si="29"/>
        <v>0</v>
      </c>
      <c r="J214" s="74"/>
      <c r="K214" s="74">
        <f t="shared" si="30"/>
        <v>0</v>
      </c>
      <c r="L214" s="74"/>
      <c r="M214" s="74">
        <f t="shared" si="31"/>
        <v>0</v>
      </c>
      <c r="N214" s="74">
        <f t="shared" si="32"/>
        <v>0</v>
      </c>
      <c r="O214" s="74">
        <f t="shared" si="33"/>
        <v>0</v>
      </c>
      <c r="P214" s="74">
        <f t="shared" si="34"/>
        <v>0</v>
      </c>
      <c r="Q214" s="74">
        <f t="shared" si="35"/>
        <v>0</v>
      </c>
    </row>
    <row r="215" spans="1:17" ht="25.5" hidden="1" customHeight="1">
      <c r="A215" s="80"/>
      <c r="B215" s="72">
        <f t="shared" si="27"/>
        <v>0</v>
      </c>
      <c r="C215" s="72" t="s">
        <v>4812</v>
      </c>
      <c r="D215" s="75"/>
      <c r="E215" s="74" t="s">
        <v>5324</v>
      </c>
      <c r="F215" s="1425"/>
      <c r="G215" s="74">
        <f t="shared" si="28"/>
        <v>0</v>
      </c>
      <c r="H215" s="74"/>
      <c r="I215" s="74">
        <f t="shared" si="29"/>
        <v>0</v>
      </c>
      <c r="J215" s="74"/>
      <c r="K215" s="74">
        <f t="shared" si="30"/>
        <v>0</v>
      </c>
      <c r="L215" s="74"/>
      <c r="M215" s="74">
        <f t="shared" si="31"/>
        <v>0</v>
      </c>
      <c r="N215" s="74">
        <f t="shared" si="32"/>
        <v>0</v>
      </c>
      <c r="O215" s="74">
        <f t="shared" si="33"/>
        <v>0</v>
      </c>
      <c r="P215" s="74">
        <f t="shared" si="34"/>
        <v>0</v>
      </c>
      <c r="Q215" s="74">
        <f t="shared" si="35"/>
        <v>0</v>
      </c>
    </row>
    <row r="216" spans="1:17" ht="25.5" hidden="1" customHeight="1">
      <c r="A216" s="80"/>
      <c r="B216" s="72">
        <f t="shared" si="27"/>
        <v>0</v>
      </c>
      <c r="C216" s="72" t="s">
        <v>5356</v>
      </c>
      <c r="D216" s="75"/>
      <c r="E216" s="74" t="s">
        <v>5324</v>
      </c>
      <c r="F216" s="1425"/>
      <c r="G216" s="74">
        <f t="shared" si="28"/>
        <v>0</v>
      </c>
      <c r="H216" s="74"/>
      <c r="I216" s="74">
        <f t="shared" si="29"/>
        <v>0</v>
      </c>
      <c r="J216" s="74"/>
      <c r="K216" s="74">
        <f t="shared" si="30"/>
        <v>0</v>
      </c>
      <c r="L216" s="74"/>
      <c r="M216" s="74">
        <f t="shared" si="31"/>
        <v>0</v>
      </c>
      <c r="N216" s="74">
        <f t="shared" si="32"/>
        <v>0</v>
      </c>
      <c r="O216" s="74">
        <f t="shared" si="33"/>
        <v>0</v>
      </c>
      <c r="P216" s="74">
        <f t="shared" si="34"/>
        <v>0</v>
      </c>
      <c r="Q216" s="74">
        <f t="shared" si="35"/>
        <v>0</v>
      </c>
    </row>
    <row r="217" spans="1:17" ht="25.5" hidden="1" customHeight="1">
      <c r="A217" s="80"/>
      <c r="B217" s="72">
        <f t="shared" si="27"/>
        <v>0</v>
      </c>
      <c r="C217" s="72" t="s">
        <v>5357</v>
      </c>
      <c r="D217" s="75"/>
      <c r="E217" s="74" t="s">
        <v>5324</v>
      </c>
      <c r="F217" s="1425"/>
      <c r="G217" s="74">
        <f t="shared" si="28"/>
        <v>0</v>
      </c>
      <c r="H217" s="74"/>
      <c r="I217" s="74">
        <f t="shared" si="29"/>
        <v>0</v>
      </c>
      <c r="J217" s="74"/>
      <c r="K217" s="74">
        <f t="shared" si="30"/>
        <v>0</v>
      </c>
      <c r="L217" s="74"/>
      <c r="M217" s="74">
        <f t="shared" si="31"/>
        <v>0</v>
      </c>
      <c r="N217" s="74">
        <f t="shared" si="32"/>
        <v>0</v>
      </c>
      <c r="O217" s="74">
        <f t="shared" si="33"/>
        <v>0</v>
      </c>
      <c r="P217" s="74">
        <f t="shared" si="34"/>
        <v>0</v>
      </c>
      <c r="Q217" s="74">
        <f t="shared" si="35"/>
        <v>0</v>
      </c>
    </row>
    <row r="218" spans="1:17" ht="7.5" hidden="1" customHeight="1">
      <c r="A218" s="79"/>
      <c r="B218" s="72">
        <f t="shared" si="27"/>
        <v>0</v>
      </c>
      <c r="C218" s="72" t="s">
        <v>5358</v>
      </c>
      <c r="D218" s="75"/>
      <c r="E218" s="74" t="s">
        <v>5324</v>
      </c>
      <c r="F218" s="1425"/>
      <c r="G218" s="74">
        <f t="shared" si="28"/>
        <v>0</v>
      </c>
      <c r="H218" s="74"/>
      <c r="I218" s="74">
        <f t="shared" si="29"/>
        <v>0</v>
      </c>
      <c r="J218" s="74"/>
      <c r="K218" s="74">
        <f t="shared" si="30"/>
        <v>0</v>
      </c>
      <c r="L218" s="74"/>
      <c r="M218" s="74">
        <f t="shared" si="31"/>
        <v>0</v>
      </c>
      <c r="N218" s="74">
        <f t="shared" si="32"/>
        <v>0</v>
      </c>
      <c r="O218" s="74">
        <f t="shared" si="33"/>
        <v>0</v>
      </c>
      <c r="P218" s="74">
        <f t="shared" si="34"/>
        <v>0</v>
      </c>
      <c r="Q218" s="74">
        <f t="shared" si="35"/>
        <v>0</v>
      </c>
    </row>
    <row r="219" spans="1:17" ht="57.75" hidden="1" customHeight="1">
      <c r="A219" s="71">
        <v>12.1</v>
      </c>
      <c r="B219" s="72">
        <f t="shared" si="27"/>
        <v>0</v>
      </c>
      <c r="C219" s="76" t="s">
        <v>5385</v>
      </c>
      <c r="D219" s="75"/>
      <c r="E219" s="74" t="s">
        <v>5324</v>
      </c>
      <c r="F219" s="1425"/>
      <c r="G219" s="74">
        <f t="shared" si="28"/>
        <v>0</v>
      </c>
      <c r="H219" s="74"/>
      <c r="I219" s="74">
        <f t="shared" si="29"/>
        <v>0</v>
      </c>
      <c r="J219" s="74"/>
      <c r="K219" s="74">
        <f t="shared" si="30"/>
        <v>0</v>
      </c>
      <c r="L219" s="74"/>
      <c r="M219" s="74">
        <f t="shared" si="31"/>
        <v>0</v>
      </c>
      <c r="N219" s="74">
        <f t="shared" si="32"/>
        <v>0</v>
      </c>
      <c r="O219" s="74">
        <f t="shared" si="33"/>
        <v>0</v>
      </c>
      <c r="P219" s="74">
        <f t="shared" si="34"/>
        <v>0</v>
      </c>
      <c r="Q219" s="74">
        <f t="shared" si="35"/>
        <v>0</v>
      </c>
    </row>
    <row r="220" spans="1:17" s="56" customFormat="1" ht="34.5" hidden="1" customHeight="1">
      <c r="A220" s="72"/>
      <c r="B220" s="72">
        <f t="shared" si="27"/>
        <v>0</v>
      </c>
      <c r="C220" s="72" t="s">
        <v>3380</v>
      </c>
      <c r="D220" s="75">
        <f>ROUND(Data!K467,2)</f>
        <v>409.05</v>
      </c>
      <c r="E220" s="74" t="s">
        <v>5324</v>
      </c>
      <c r="F220" s="1425"/>
      <c r="G220" s="74">
        <f t="shared" si="28"/>
        <v>0</v>
      </c>
      <c r="H220" s="74"/>
      <c r="I220" s="74">
        <f t="shared" si="29"/>
        <v>0</v>
      </c>
      <c r="J220" s="74"/>
      <c r="K220" s="74">
        <f t="shared" si="30"/>
        <v>0</v>
      </c>
      <c r="L220" s="74"/>
      <c r="M220" s="74">
        <f t="shared" si="31"/>
        <v>0</v>
      </c>
      <c r="N220" s="74">
        <f t="shared" si="32"/>
        <v>0</v>
      </c>
      <c r="O220" s="74">
        <f t="shared" si="33"/>
        <v>0</v>
      </c>
      <c r="P220" s="74">
        <f t="shared" si="34"/>
        <v>0</v>
      </c>
      <c r="Q220" s="74">
        <f t="shared" si="35"/>
        <v>0</v>
      </c>
    </row>
    <row r="221" spans="1:17" s="56" customFormat="1" ht="43.5" hidden="1" customHeight="1">
      <c r="A221" s="72"/>
      <c r="B221" s="72">
        <f t="shared" si="27"/>
        <v>0</v>
      </c>
      <c r="C221" s="72" t="s">
        <v>4812</v>
      </c>
      <c r="D221" s="75">
        <f>ROUND(Data!K468,2)</f>
        <v>417.35</v>
      </c>
      <c r="E221" s="74" t="s">
        <v>5324</v>
      </c>
      <c r="F221" s="1425"/>
      <c r="G221" s="74">
        <f t="shared" si="28"/>
        <v>0</v>
      </c>
      <c r="H221" s="74"/>
      <c r="I221" s="74">
        <f t="shared" si="29"/>
        <v>0</v>
      </c>
      <c r="J221" s="74"/>
      <c r="K221" s="74">
        <f t="shared" si="30"/>
        <v>0</v>
      </c>
      <c r="L221" s="74"/>
      <c r="M221" s="74">
        <f t="shared" si="31"/>
        <v>0</v>
      </c>
      <c r="N221" s="74">
        <f t="shared" si="32"/>
        <v>0</v>
      </c>
      <c r="O221" s="74">
        <f t="shared" si="33"/>
        <v>0</v>
      </c>
      <c r="P221" s="74">
        <f t="shared" si="34"/>
        <v>0</v>
      </c>
      <c r="Q221" s="74">
        <f t="shared" si="35"/>
        <v>0</v>
      </c>
    </row>
    <row r="222" spans="1:17" s="57" customFormat="1" ht="43.5" hidden="1" customHeight="1">
      <c r="A222" s="72"/>
      <c r="B222" s="72">
        <f t="shared" si="27"/>
        <v>0</v>
      </c>
      <c r="C222" s="72" t="s">
        <v>5356</v>
      </c>
      <c r="D222" s="75">
        <f>ROUND(Data!K469,2)</f>
        <v>425.65</v>
      </c>
      <c r="E222" s="74" t="s">
        <v>5324</v>
      </c>
      <c r="F222" s="1425"/>
      <c r="G222" s="74">
        <f t="shared" si="28"/>
        <v>0</v>
      </c>
      <c r="H222" s="74"/>
      <c r="I222" s="74">
        <f t="shared" si="29"/>
        <v>0</v>
      </c>
      <c r="J222" s="74"/>
      <c r="K222" s="74">
        <f t="shared" si="30"/>
        <v>0</v>
      </c>
      <c r="L222" s="74"/>
      <c r="M222" s="74">
        <f t="shared" si="31"/>
        <v>0</v>
      </c>
      <c r="N222" s="74">
        <f t="shared" si="32"/>
        <v>0</v>
      </c>
      <c r="O222" s="74">
        <f t="shared" si="33"/>
        <v>0</v>
      </c>
      <c r="P222" s="74">
        <f t="shared" si="34"/>
        <v>0</v>
      </c>
      <c r="Q222" s="74">
        <f t="shared" si="35"/>
        <v>0</v>
      </c>
    </row>
    <row r="223" spans="1:17" s="57" customFormat="1" ht="43.5" hidden="1" customHeight="1">
      <c r="A223" s="72"/>
      <c r="B223" s="72">
        <f t="shared" si="27"/>
        <v>0</v>
      </c>
      <c r="C223" s="72" t="s">
        <v>5357</v>
      </c>
      <c r="D223" s="75">
        <f>ROUND(Data!K470,2)</f>
        <v>433.95</v>
      </c>
      <c r="E223" s="74" t="s">
        <v>5324</v>
      </c>
      <c r="F223" s="1425"/>
      <c r="G223" s="74">
        <f t="shared" si="28"/>
        <v>0</v>
      </c>
      <c r="H223" s="74"/>
      <c r="I223" s="74">
        <f t="shared" si="29"/>
        <v>0</v>
      </c>
      <c r="J223" s="74"/>
      <c r="K223" s="74">
        <f t="shared" si="30"/>
        <v>0</v>
      </c>
      <c r="L223" s="74"/>
      <c r="M223" s="74">
        <f t="shared" si="31"/>
        <v>0</v>
      </c>
      <c r="N223" s="74">
        <f t="shared" si="32"/>
        <v>0</v>
      </c>
      <c r="O223" s="74">
        <f t="shared" si="33"/>
        <v>0</v>
      </c>
      <c r="P223" s="74">
        <f t="shared" si="34"/>
        <v>0</v>
      </c>
      <c r="Q223" s="74">
        <f t="shared" si="35"/>
        <v>0</v>
      </c>
    </row>
    <row r="224" spans="1:17" ht="43.5" hidden="1" customHeight="1">
      <c r="A224" s="56"/>
      <c r="B224" s="72">
        <f t="shared" si="27"/>
        <v>0</v>
      </c>
      <c r="C224" s="72" t="s">
        <v>5358</v>
      </c>
      <c r="D224" s="75">
        <f>ROUND(Data!K471,2)</f>
        <v>442.25</v>
      </c>
      <c r="E224" s="74" t="s">
        <v>5324</v>
      </c>
      <c r="F224" s="1425"/>
      <c r="G224" s="74">
        <f t="shared" si="28"/>
        <v>0</v>
      </c>
      <c r="H224" s="74"/>
      <c r="I224" s="74">
        <f t="shared" si="29"/>
        <v>0</v>
      </c>
      <c r="J224" s="74"/>
      <c r="K224" s="74">
        <f t="shared" si="30"/>
        <v>0</v>
      </c>
      <c r="L224" s="74"/>
      <c r="M224" s="74">
        <f t="shared" si="31"/>
        <v>0</v>
      </c>
      <c r="N224" s="74">
        <f t="shared" si="32"/>
        <v>0</v>
      </c>
      <c r="O224" s="74">
        <f t="shared" si="33"/>
        <v>0</v>
      </c>
      <c r="P224" s="74">
        <f t="shared" si="34"/>
        <v>0</v>
      </c>
      <c r="Q224" s="74">
        <f t="shared" si="35"/>
        <v>0</v>
      </c>
    </row>
    <row r="225" spans="1:17" ht="69.75" hidden="1" customHeight="1">
      <c r="A225" s="71">
        <v>12.2</v>
      </c>
      <c r="B225" s="72">
        <f t="shared" si="27"/>
        <v>0</v>
      </c>
      <c r="C225" s="72" t="s">
        <v>5386</v>
      </c>
      <c r="D225" s="75"/>
      <c r="E225" s="74" t="s">
        <v>5324</v>
      </c>
      <c r="F225" s="1425"/>
      <c r="G225" s="74">
        <f t="shared" si="28"/>
        <v>0</v>
      </c>
      <c r="H225" s="74"/>
      <c r="I225" s="74">
        <f t="shared" si="29"/>
        <v>0</v>
      </c>
      <c r="J225" s="74"/>
      <c r="K225" s="74">
        <f t="shared" si="30"/>
        <v>0</v>
      </c>
      <c r="L225" s="74"/>
      <c r="M225" s="74">
        <f t="shared" si="31"/>
        <v>0</v>
      </c>
      <c r="N225" s="74">
        <f t="shared" si="32"/>
        <v>0</v>
      </c>
      <c r="O225" s="74">
        <f t="shared" si="33"/>
        <v>0</v>
      </c>
      <c r="P225" s="74">
        <f t="shared" si="34"/>
        <v>0</v>
      </c>
      <c r="Q225" s="74">
        <f t="shared" si="35"/>
        <v>0</v>
      </c>
    </row>
    <row r="226" spans="1:17" ht="25.5" hidden="1" customHeight="1">
      <c r="A226" s="72"/>
      <c r="B226" s="72">
        <f t="shared" si="27"/>
        <v>0</v>
      </c>
      <c r="C226" s="72" t="s">
        <v>3380</v>
      </c>
      <c r="D226" s="75"/>
      <c r="E226" s="74" t="s">
        <v>5324</v>
      </c>
      <c r="F226" s="1425"/>
      <c r="G226" s="74">
        <f t="shared" si="28"/>
        <v>0</v>
      </c>
      <c r="H226" s="74"/>
      <c r="I226" s="74">
        <f t="shared" si="29"/>
        <v>0</v>
      </c>
      <c r="J226" s="74"/>
      <c r="K226" s="74">
        <f t="shared" si="30"/>
        <v>0</v>
      </c>
      <c r="L226" s="74"/>
      <c r="M226" s="74">
        <f t="shared" si="31"/>
        <v>0</v>
      </c>
      <c r="N226" s="74">
        <f t="shared" si="32"/>
        <v>0</v>
      </c>
      <c r="O226" s="74">
        <f t="shared" si="33"/>
        <v>0</v>
      </c>
      <c r="P226" s="74">
        <f t="shared" si="34"/>
        <v>0</v>
      </c>
      <c r="Q226" s="74">
        <f t="shared" si="35"/>
        <v>0</v>
      </c>
    </row>
    <row r="227" spans="1:17" ht="25.5" hidden="1" customHeight="1">
      <c r="A227" s="72"/>
      <c r="B227" s="72">
        <f t="shared" si="27"/>
        <v>0</v>
      </c>
      <c r="C227" s="72" t="s">
        <v>4812</v>
      </c>
      <c r="D227" s="75"/>
      <c r="E227" s="74" t="s">
        <v>5324</v>
      </c>
      <c r="F227" s="1425"/>
      <c r="G227" s="74">
        <f t="shared" si="28"/>
        <v>0</v>
      </c>
      <c r="H227" s="74"/>
      <c r="I227" s="74">
        <f t="shared" si="29"/>
        <v>0</v>
      </c>
      <c r="J227" s="74"/>
      <c r="K227" s="74">
        <f t="shared" si="30"/>
        <v>0</v>
      </c>
      <c r="L227" s="74"/>
      <c r="M227" s="74">
        <f t="shared" si="31"/>
        <v>0</v>
      </c>
      <c r="N227" s="74">
        <f t="shared" si="32"/>
        <v>0</v>
      </c>
      <c r="O227" s="74">
        <f t="shared" si="33"/>
        <v>0</v>
      </c>
      <c r="P227" s="74">
        <f t="shared" si="34"/>
        <v>0</v>
      </c>
      <c r="Q227" s="74">
        <f t="shared" si="35"/>
        <v>0</v>
      </c>
    </row>
    <row r="228" spans="1:17" ht="25.5" hidden="1" customHeight="1">
      <c r="A228" s="72"/>
      <c r="B228" s="72">
        <f t="shared" si="27"/>
        <v>0</v>
      </c>
      <c r="C228" s="72" t="s">
        <v>5356</v>
      </c>
      <c r="D228" s="75"/>
      <c r="E228" s="74" t="s">
        <v>5324</v>
      </c>
      <c r="F228" s="1425"/>
      <c r="G228" s="74">
        <f t="shared" si="28"/>
        <v>0</v>
      </c>
      <c r="H228" s="74"/>
      <c r="I228" s="74">
        <f t="shared" si="29"/>
        <v>0</v>
      </c>
      <c r="J228" s="74"/>
      <c r="K228" s="74">
        <f t="shared" si="30"/>
        <v>0</v>
      </c>
      <c r="L228" s="74"/>
      <c r="M228" s="74">
        <f t="shared" si="31"/>
        <v>0</v>
      </c>
      <c r="N228" s="74">
        <f t="shared" si="32"/>
        <v>0</v>
      </c>
      <c r="O228" s="74">
        <f t="shared" si="33"/>
        <v>0</v>
      </c>
      <c r="P228" s="74">
        <f t="shared" si="34"/>
        <v>0</v>
      </c>
      <c r="Q228" s="74">
        <f t="shared" si="35"/>
        <v>0</v>
      </c>
    </row>
    <row r="229" spans="1:17" ht="25.5" hidden="1" customHeight="1">
      <c r="A229" s="72"/>
      <c r="B229" s="72">
        <f t="shared" si="27"/>
        <v>0</v>
      </c>
      <c r="C229" s="72" t="s">
        <v>5357</v>
      </c>
      <c r="D229" s="75"/>
      <c r="E229" s="74" t="s">
        <v>5324</v>
      </c>
      <c r="F229" s="1425"/>
      <c r="G229" s="74">
        <f t="shared" si="28"/>
        <v>0</v>
      </c>
      <c r="H229" s="74"/>
      <c r="I229" s="74">
        <f t="shared" si="29"/>
        <v>0</v>
      </c>
      <c r="J229" s="74"/>
      <c r="K229" s="74">
        <f t="shared" si="30"/>
        <v>0</v>
      </c>
      <c r="L229" s="74"/>
      <c r="M229" s="74">
        <f t="shared" si="31"/>
        <v>0</v>
      </c>
      <c r="N229" s="74">
        <f t="shared" si="32"/>
        <v>0</v>
      </c>
      <c r="O229" s="74">
        <f t="shared" si="33"/>
        <v>0</v>
      </c>
      <c r="P229" s="74">
        <f t="shared" si="34"/>
        <v>0</v>
      </c>
      <c r="Q229" s="74">
        <f t="shared" si="35"/>
        <v>0</v>
      </c>
    </row>
    <row r="230" spans="1:17" ht="25.5" hidden="1" customHeight="1">
      <c r="A230" s="56"/>
      <c r="B230" s="72">
        <f t="shared" si="27"/>
        <v>0</v>
      </c>
      <c r="C230" s="72" t="s">
        <v>5358</v>
      </c>
      <c r="D230" s="75"/>
      <c r="E230" s="74" t="s">
        <v>5324</v>
      </c>
      <c r="F230" s="1425"/>
      <c r="G230" s="74">
        <f t="shared" si="28"/>
        <v>0</v>
      </c>
      <c r="H230" s="74"/>
      <c r="I230" s="74">
        <f t="shared" si="29"/>
        <v>0</v>
      </c>
      <c r="J230" s="74"/>
      <c r="K230" s="74">
        <f t="shared" si="30"/>
        <v>0</v>
      </c>
      <c r="L230" s="74"/>
      <c r="M230" s="74">
        <f t="shared" si="31"/>
        <v>0</v>
      </c>
      <c r="N230" s="74">
        <f t="shared" si="32"/>
        <v>0</v>
      </c>
      <c r="O230" s="74">
        <f t="shared" si="33"/>
        <v>0</v>
      </c>
      <c r="P230" s="74">
        <f t="shared" si="34"/>
        <v>0</v>
      </c>
      <c r="Q230" s="74">
        <f t="shared" si="35"/>
        <v>0</v>
      </c>
    </row>
    <row r="231" spans="1:17" ht="25.5" hidden="1" customHeight="1">
      <c r="A231" s="56"/>
      <c r="B231" s="72">
        <f t="shared" si="27"/>
        <v>0</v>
      </c>
      <c r="C231" s="72"/>
      <c r="D231" s="75"/>
      <c r="E231" s="74" t="s">
        <v>5324</v>
      </c>
      <c r="F231" s="1425"/>
      <c r="G231" s="74">
        <f t="shared" si="28"/>
        <v>0</v>
      </c>
      <c r="H231" s="74"/>
      <c r="I231" s="74">
        <f t="shared" si="29"/>
        <v>0</v>
      </c>
      <c r="J231" s="74"/>
      <c r="K231" s="74">
        <f t="shared" si="30"/>
        <v>0</v>
      </c>
      <c r="L231" s="74"/>
      <c r="M231" s="74">
        <f t="shared" si="31"/>
        <v>0</v>
      </c>
      <c r="N231" s="74">
        <f t="shared" si="32"/>
        <v>0</v>
      </c>
      <c r="O231" s="74">
        <f t="shared" si="33"/>
        <v>0</v>
      </c>
      <c r="P231" s="74">
        <f t="shared" si="34"/>
        <v>0</v>
      </c>
      <c r="Q231" s="74">
        <f t="shared" si="35"/>
        <v>0</v>
      </c>
    </row>
    <row r="232" spans="1:17" ht="43.5" customHeight="1">
      <c r="A232" s="56"/>
      <c r="B232" s="72">
        <f t="shared" si="27"/>
        <v>23.1</v>
      </c>
      <c r="C232" s="72" t="s">
        <v>7561</v>
      </c>
      <c r="D232" s="75">
        <f>Data!AG452</f>
        <v>652.88</v>
      </c>
      <c r="E232" s="74" t="s">
        <v>5324</v>
      </c>
      <c r="F232" s="1425">
        <f>'Detail '!I766</f>
        <v>23.1</v>
      </c>
      <c r="G232" s="74">
        <f t="shared" si="28"/>
        <v>15081.53</v>
      </c>
      <c r="H232" s="74"/>
      <c r="I232" s="74">
        <f t="shared" si="29"/>
        <v>0</v>
      </c>
      <c r="J232" s="74"/>
      <c r="K232" s="74">
        <f t="shared" si="30"/>
        <v>0</v>
      </c>
      <c r="L232" s="74"/>
      <c r="M232" s="74">
        <f t="shared" si="31"/>
        <v>0</v>
      </c>
      <c r="N232" s="74">
        <f t="shared" si="32"/>
        <v>0</v>
      </c>
      <c r="O232" s="74">
        <f t="shared" si="33"/>
        <v>0</v>
      </c>
      <c r="P232" s="74">
        <f t="shared" si="34"/>
        <v>23.1</v>
      </c>
      <c r="Q232" s="74">
        <f t="shared" si="35"/>
        <v>15081.53</v>
      </c>
    </row>
    <row r="233" spans="1:17" s="58" customFormat="1" ht="46.5" customHeight="1">
      <c r="A233" s="71">
        <v>13.1</v>
      </c>
      <c r="B233" s="72">
        <f t="shared" si="27"/>
        <v>130.80000000000001</v>
      </c>
      <c r="C233" s="72" t="s">
        <v>5387</v>
      </c>
      <c r="D233" s="75">
        <f>ROUND(Data!K482,2)</f>
        <v>40.65</v>
      </c>
      <c r="E233" s="74" t="s">
        <v>5296</v>
      </c>
      <c r="F233" s="1425">
        <f>'Detail '!I790</f>
        <v>130.80000000000001</v>
      </c>
      <c r="G233" s="74">
        <f t="shared" si="28"/>
        <v>5317.02</v>
      </c>
      <c r="H233" s="74"/>
      <c r="I233" s="74">
        <f t="shared" si="29"/>
        <v>0</v>
      </c>
      <c r="J233" s="74"/>
      <c r="K233" s="74">
        <f t="shared" si="30"/>
        <v>0</v>
      </c>
      <c r="L233" s="74"/>
      <c r="M233" s="74">
        <f t="shared" si="31"/>
        <v>0</v>
      </c>
      <c r="N233" s="74">
        <f t="shared" si="32"/>
        <v>0</v>
      </c>
      <c r="O233" s="74">
        <f t="shared" si="33"/>
        <v>0</v>
      </c>
      <c r="P233" s="74">
        <f t="shared" si="34"/>
        <v>130.80000000000001</v>
      </c>
      <c r="Q233" s="74">
        <f t="shared" si="35"/>
        <v>5317.02</v>
      </c>
    </row>
    <row r="234" spans="1:17" ht="62.25" hidden="1" customHeight="1">
      <c r="A234" s="71">
        <v>13.2</v>
      </c>
      <c r="B234" s="72">
        <f t="shared" si="27"/>
        <v>0</v>
      </c>
      <c r="C234" s="72" t="s">
        <v>5388</v>
      </c>
      <c r="D234" s="75"/>
      <c r="E234" s="74" t="s">
        <v>5296</v>
      </c>
      <c r="F234" s="1425"/>
      <c r="G234" s="74">
        <f t="shared" si="28"/>
        <v>0</v>
      </c>
      <c r="H234" s="74"/>
      <c r="I234" s="74">
        <f t="shared" si="29"/>
        <v>0</v>
      </c>
      <c r="J234" s="74"/>
      <c r="K234" s="74">
        <f t="shared" si="30"/>
        <v>0</v>
      </c>
      <c r="L234" s="74"/>
      <c r="M234" s="74">
        <f t="shared" si="31"/>
        <v>0</v>
      </c>
      <c r="N234" s="74">
        <f t="shared" si="32"/>
        <v>0</v>
      </c>
      <c r="O234" s="74">
        <f t="shared" si="33"/>
        <v>0</v>
      </c>
      <c r="P234" s="74">
        <f t="shared" si="34"/>
        <v>0</v>
      </c>
      <c r="Q234" s="74">
        <f t="shared" si="35"/>
        <v>0</v>
      </c>
    </row>
    <row r="235" spans="1:17" s="56" customFormat="1" ht="38.25" hidden="1" customHeight="1">
      <c r="A235" s="72" t="s">
        <v>691</v>
      </c>
      <c r="B235" s="72">
        <f t="shared" si="27"/>
        <v>0</v>
      </c>
      <c r="C235" s="76" t="s">
        <v>5389</v>
      </c>
      <c r="D235" s="75"/>
      <c r="E235" s="74"/>
      <c r="F235" s="1425"/>
      <c r="G235" s="74">
        <f t="shared" si="28"/>
        <v>0</v>
      </c>
      <c r="H235" s="74"/>
      <c r="I235" s="74">
        <f t="shared" si="29"/>
        <v>0</v>
      </c>
      <c r="J235" s="74"/>
      <c r="K235" s="74">
        <f t="shared" si="30"/>
        <v>0</v>
      </c>
      <c r="L235" s="74"/>
      <c r="M235" s="74">
        <f t="shared" si="31"/>
        <v>0</v>
      </c>
      <c r="N235" s="74">
        <f t="shared" si="32"/>
        <v>0</v>
      </c>
      <c r="O235" s="74">
        <f t="shared" si="33"/>
        <v>0</v>
      </c>
      <c r="P235" s="74">
        <f t="shared" si="34"/>
        <v>0</v>
      </c>
      <c r="Q235" s="74">
        <f t="shared" si="35"/>
        <v>0</v>
      </c>
    </row>
    <row r="236" spans="1:17" s="56" customFormat="1" ht="50.25" hidden="1" customHeight="1">
      <c r="A236" s="72"/>
      <c r="B236" s="72">
        <f t="shared" si="27"/>
        <v>0</v>
      </c>
      <c r="C236" s="72" t="s">
        <v>5341</v>
      </c>
      <c r="D236" s="75">
        <f>ROUND(Data!K535,2)</f>
        <v>1538.39</v>
      </c>
      <c r="E236" s="74" t="s">
        <v>5324</v>
      </c>
      <c r="F236" s="1425"/>
      <c r="G236" s="74">
        <f t="shared" si="28"/>
        <v>0</v>
      </c>
      <c r="H236" s="74"/>
      <c r="I236" s="74">
        <f t="shared" si="29"/>
        <v>0</v>
      </c>
      <c r="J236" s="74"/>
      <c r="K236" s="74">
        <f t="shared" si="30"/>
        <v>0</v>
      </c>
      <c r="L236" s="74"/>
      <c r="M236" s="74">
        <f t="shared" si="31"/>
        <v>0</v>
      </c>
      <c r="N236" s="74">
        <f t="shared" si="32"/>
        <v>0</v>
      </c>
      <c r="O236" s="74">
        <f t="shared" si="33"/>
        <v>0</v>
      </c>
      <c r="P236" s="74">
        <f t="shared" si="34"/>
        <v>0</v>
      </c>
      <c r="Q236" s="74">
        <f t="shared" si="35"/>
        <v>0</v>
      </c>
    </row>
    <row r="237" spans="1:17" s="56" customFormat="1" ht="50.25" hidden="1" customHeight="1">
      <c r="A237" s="72"/>
      <c r="B237" s="72">
        <f t="shared" si="27"/>
        <v>0</v>
      </c>
      <c r="C237" s="72" t="s">
        <v>5342</v>
      </c>
      <c r="D237" s="75">
        <f>ROUND(Data!K536,2)</f>
        <v>1543.36</v>
      </c>
      <c r="E237" s="74" t="s">
        <v>5324</v>
      </c>
      <c r="F237" s="1425"/>
      <c r="G237" s="74">
        <f t="shared" si="28"/>
        <v>0</v>
      </c>
      <c r="H237" s="74"/>
      <c r="I237" s="74">
        <f t="shared" si="29"/>
        <v>0</v>
      </c>
      <c r="J237" s="74"/>
      <c r="K237" s="74">
        <f t="shared" si="30"/>
        <v>0</v>
      </c>
      <c r="L237" s="74"/>
      <c r="M237" s="74">
        <f t="shared" si="31"/>
        <v>0</v>
      </c>
      <c r="N237" s="74">
        <f t="shared" si="32"/>
        <v>0</v>
      </c>
      <c r="O237" s="74">
        <f t="shared" si="33"/>
        <v>0</v>
      </c>
      <c r="P237" s="74">
        <f t="shared" si="34"/>
        <v>0</v>
      </c>
      <c r="Q237" s="74">
        <f t="shared" si="35"/>
        <v>0</v>
      </c>
    </row>
    <row r="238" spans="1:17" s="56" customFormat="1" ht="50.25" hidden="1" customHeight="1">
      <c r="A238" s="72"/>
      <c r="B238" s="72">
        <f t="shared" si="27"/>
        <v>0</v>
      </c>
      <c r="C238" s="72" t="s">
        <v>5343</v>
      </c>
      <c r="D238" s="75">
        <f>ROUND(Data!K537,2)</f>
        <v>1548.33</v>
      </c>
      <c r="E238" s="74" t="s">
        <v>5324</v>
      </c>
      <c r="F238" s="1425"/>
      <c r="G238" s="74">
        <f t="shared" si="28"/>
        <v>0</v>
      </c>
      <c r="H238" s="74"/>
      <c r="I238" s="74">
        <f t="shared" si="29"/>
        <v>0</v>
      </c>
      <c r="J238" s="74"/>
      <c r="K238" s="74">
        <f t="shared" si="30"/>
        <v>0</v>
      </c>
      <c r="L238" s="74"/>
      <c r="M238" s="74">
        <f t="shared" si="31"/>
        <v>0</v>
      </c>
      <c r="N238" s="74">
        <f t="shared" si="32"/>
        <v>0</v>
      </c>
      <c r="O238" s="74">
        <f t="shared" si="33"/>
        <v>0</v>
      </c>
      <c r="P238" s="74">
        <f t="shared" si="34"/>
        <v>0</v>
      </c>
      <c r="Q238" s="74">
        <f t="shared" si="35"/>
        <v>0</v>
      </c>
    </row>
    <row r="239" spans="1:17" s="56" customFormat="1" ht="50.25" hidden="1" customHeight="1">
      <c r="A239" s="72"/>
      <c r="B239" s="72">
        <f t="shared" si="27"/>
        <v>0</v>
      </c>
      <c r="C239" s="72" t="s">
        <v>5344</v>
      </c>
      <c r="D239" s="75">
        <f>ROUND(Data!K538,2)</f>
        <v>1553.3</v>
      </c>
      <c r="E239" s="74" t="s">
        <v>5324</v>
      </c>
      <c r="F239" s="1425"/>
      <c r="G239" s="74">
        <f t="shared" si="28"/>
        <v>0</v>
      </c>
      <c r="H239" s="74"/>
      <c r="I239" s="74">
        <f t="shared" si="29"/>
        <v>0</v>
      </c>
      <c r="J239" s="74"/>
      <c r="K239" s="74">
        <f t="shared" si="30"/>
        <v>0</v>
      </c>
      <c r="L239" s="74"/>
      <c r="M239" s="74">
        <f t="shared" si="31"/>
        <v>0</v>
      </c>
      <c r="N239" s="74">
        <f t="shared" si="32"/>
        <v>0</v>
      </c>
      <c r="O239" s="74">
        <f t="shared" si="33"/>
        <v>0</v>
      </c>
      <c r="P239" s="74">
        <f t="shared" si="34"/>
        <v>0</v>
      </c>
      <c r="Q239" s="74">
        <f t="shared" si="35"/>
        <v>0</v>
      </c>
    </row>
    <row r="240" spans="1:17" ht="41.25" hidden="1" customHeight="1">
      <c r="A240" s="56"/>
      <c r="B240" s="72">
        <f t="shared" si="27"/>
        <v>0</v>
      </c>
      <c r="C240" s="72" t="s">
        <v>5345</v>
      </c>
      <c r="D240" s="75">
        <f>ROUND(Data!K539,2)</f>
        <v>1558.27</v>
      </c>
      <c r="E240" s="74" t="s">
        <v>5324</v>
      </c>
      <c r="F240" s="1425"/>
      <c r="G240" s="74">
        <f t="shared" si="28"/>
        <v>0</v>
      </c>
      <c r="H240" s="74"/>
      <c r="I240" s="74">
        <f t="shared" si="29"/>
        <v>0</v>
      </c>
      <c r="J240" s="74"/>
      <c r="K240" s="74">
        <f t="shared" si="30"/>
        <v>0</v>
      </c>
      <c r="L240" s="74"/>
      <c r="M240" s="74">
        <f t="shared" si="31"/>
        <v>0</v>
      </c>
      <c r="N240" s="74">
        <f t="shared" si="32"/>
        <v>0</v>
      </c>
      <c r="O240" s="74">
        <f t="shared" si="33"/>
        <v>0</v>
      </c>
      <c r="P240" s="74">
        <f t="shared" si="34"/>
        <v>0</v>
      </c>
      <c r="Q240" s="74">
        <f t="shared" si="35"/>
        <v>0</v>
      </c>
    </row>
    <row r="241" spans="1:17" ht="41.25" hidden="1" customHeight="1">
      <c r="A241" s="56"/>
      <c r="B241" s="72">
        <f t="shared" si="27"/>
        <v>0</v>
      </c>
      <c r="C241" s="72" t="s">
        <v>5347</v>
      </c>
      <c r="D241" s="75">
        <f>ROUND(Data!K540,2)</f>
        <v>1563.24</v>
      </c>
      <c r="E241" s="74" t="s">
        <v>5324</v>
      </c>
      <c r="F241" s="1425"/>
      <c r="G241" s="74">
        <f t="shared" si="28"/>
        <v>0</v>
      </c>
      <c r="H241" s="74"/>
      <c r="I241" s="74">
        <f t="shared" si="29"/>
        <v>0</v>
      </c>
      <c r="J241" s="74"/>
      <c r="K241" s="74">
        <f t="shared" si="30"/>
        <v>0</v>
      </c>
      <c r="L241" s="74"/>
      <c r="M241" s="74">
        <f t="shared" si="31"/>
        <v>0</v>
      </c>
      <c r="N241" s="74">
        <f t="shared" si="32"/>
        <v>0</v>
      </c>
      <c r="O241" s="74">
        <f t="shared" si="33"/>
        <v>0</v>
      </c>
      <c r="P241" s="74">
        <f t="shared" si="34"/>
        <v>0</v>
      </c>
      <c r="Q241" s="74">
        <f t="shared" si="35"/>
        <v>0</v>
      </c>
    </row>
    <row r="242" spans="1:17" ht="41.25" hidden="1" customHeight="1">
      <c r="A242" s="56"/>
      <c r="B242" s="72">
        <f t="shared" si="27"/>
        <v>0</v>
      </c>
      <c r="C242" s="72" t="s">
        <v>5348</v>
      </c>
      <c r="D242" s="75">
        <f>ROUND(Data!K541,2)</f>
        <v>1568.21</v>
      </c>
      <c r="E242" s="74" t="s">
        <v>5324</v>
      </c>
      <c r="F242" s="1425"/>
      <c r="G242" s="74">
        <f t="shared" si="28"/>
        <v>0</v>
      </c>
      <c r="H242" s="74"/>
      <c r="I242" s="74">
        <f t="shared" si="29"/>
        <v>0</v>
      </c>
      <c r="J242" s="74"/>
      <c r="K242" s="74">
        <f t="shared" si="30"/>
        <v>0</v>
      </c>
      <c r="L242" s="74"/>
      <c r="M242" s="74">
        <f t="shared" si="31"/>
        <v>0</v>
      </c>
      <c r="N242" s="74">
        <f t="shared" si="32"/>
        <v>0</v>
      </c>
      <c r="O242" s="74">
        <f t="shared" si="33"/>
        <v>0</v>
      </c>
      <c r="P242" s="74">
        <f t="shared" si="34"/>
        <v>0</v>
      </c>
      <c r="Q242" s="74">
        <f t="shared" si="35"/>
        <v>0</v>
      </c>
    </row>
    <row r="243" spans="1:17" ht="41.25" hidden="1" customHeight="1">
      <c r="A243" s="56"/>
      <c r="B243" s="72">
        <f t="shared" si="27"/>
        <v>0</v>
      </c>
      <c r="C243" s="72" t="s">
        <v>5349</v>
      </c>
      <c r="D243" s="75">
        <f>ROUND(Data!K542,2)</f>
        <v>1573.18</v>
      </c>
      <c r="E243" s="74" t="s">
        <v>5324</v>
      </c>
      <c r="F243" s="1425"/>
      <c r="G243" s="74">
        <f t="shared" si="28"/>
        <v>0</v>
      </c>
      <c r="H243" s="74"/>
      <c r="I243" s="74">
        <f t="shared" si="29"/>
        <v>0</v>
      </c>
      <c r="J243" s="74"/>
      <c r="K243" s="74">
        <f t="shared" si="30"/>
        <v>0</v>
      </c>
      <c r="L243" s="74"/>
      <c r="M243" s="74">
        <f t="shared" si="31"/>
        <v>0</v>
      </c>
      <c r="N243" s="74">
        <f t="shared" si="32"/>
        <v>0</v>
      </c>
      <c r="O243" s="74">
        <f t="shared" si="33"/>
        <v>0</v>
      </c>
      <c r="P243" s="74">
        <f t="shared" si="34"/>
        <v>0</v>
      </c>
      <c r="Q243" s="74">
        <f t="shared" si="35"/>
        <v>0</v>
      </c>
    </row>
    <row r="244" spans="1:17" ht="41.25" hidden="1" customHeight="1">
      <c r="A244" s="56"/>
      <c r="B244" s="72">
        <f t="shared" si="27"/>
        <v>0</v>
      </c>
      <c r="C244" s="72" t="s">
        <v>5350</v>
      </c>
      <c r="D244" s="75">
        <f>ROUND(Data!K543,2)</f>
        <v>1578.15</v>
      </c>
      <c r="E244" s="74" t="s">
        <v>5324</v>
      </c>
      <c r="F244" s="1425"/>
      <c r="G244" s="74">
        <f t="shared" si="28"/>
        <v>0</v>
      </c>
      <c r="H244" s="74"/>
      <c r="I244" s="74">
        <f t="shared" si="29"/>
        <v>0</v>
      </c>
      <c r="J244" s="74"/>
      <c r="K244" s="74">
        <f t="shared" si="30"/>
        <v>0</v>
      </c>
      <c r="L244" s="74"/>
      <c r="M244" s="74">
        <f t="shared" si="31"/>
        <v>0</v>
      </c>
      <c r="N244" s="74">
        <f t="shared" si="32"/>
        <v>0</v>
      </c>
      <c r="O244" s="74">
        <f t="shared" si="33"/>
        <v>0</v>
      </c>
      <c r="P244" s="74">
        <f t="shared" si="34"/>
        <v>0</v>
      </c>
      <c r="Q244" s="74">
        <f t="shared" si="35"/>
        <v>0</v>
      </c>
    </row>
    <row r="245" spans="1:17" ht="41.25" hidden="1" customHeight="1">
      <c r="A245" s="56"/>
      <c r="B245" s="72">
        <f t="shared" si="27"/>
        <v>0</v>
      </c>
      <c r="C245" s="72" t="s">
        <v>5351</v>
      </c>
      <c r="D245" s="75">
        <f>ROUND(Data!K544,2)</f>
        <v>1583.12</v>
      </c>
      <c r="E245" s="74" t="s">
        <v>5324</v>
      </c>
      <c r="F245" s="1425"/>
      <c r="G245" s="74">
        <f t="shared" si="28"/>
        <v>0</v>
      </c>
      <c r="H245" s="74"/>
      <c r="I245" s="74">
        <f t="shared" si="29"/>
        <v>0</v>
      </c>
      <c r="J245" s="74"/>
      <c r="K245" s="74">
        <f t="shared" si="30"/>
        <v>0</v>
      </c>
      <c r="L245" s="74"/>
      <c r="M245" s="74">
        <f t="shared" si="31"/>
        <v>0</v>
      </c>
      <c r="N245" s="74">
        <f t="shared" si="32"/>
        <v>0</v>
      </c>
      <c r="O245" s="74">
        <f t="shared" si="33"/>
        <v>0</v>
      </c>
      <c r="P245" s="74">
        <f t="shared" si="34"/>
        <v>0</v>
      </c>
      <c r="Q245" s="74">
        <f t="shared" si="35"/>
        <v>0</v>
      </c>
    </row>
    <row r="246" spans="1:17" ht="41.25" hidden="1" customHeight="1">
      <c r="A246" s="56"/>
      <c r="B246" s="72">
        <f t="shared" si="27"/>
        <v>0</v>
      </c>
      <c r="C246" s="72" t="s">
        <v>5352</v>
      </c>
      <c r="D246" s="75">
        <f>ROUND(Data!K545,2)</f>
        <v>1588.09</v>
      </c>
      <c r="E246" s="74" t="s">
        <v>5324</v>
      </c>
      <c r="F246" s="1425"/>
      <c r="G246" s="74">
        <f t="shared" si="28"/>
        <v>0</v>
      </c>
      <c r="H246" s="74"/>
      <c r="I246" s="74">
        <f t="shared" si="29"/>
        <v>0</v>
      </c>
      <c r="J246" s="74"/>
      <c r="K246" s="74">
        <f t="shared" si="30"/>
        <v>0</v>
      </c>
      <c r="L246" s="74"/>
      <c r="M246" s="74">
        <f t="shared" si="31"/>
        <v>0</v>
      </c>
      <c r="N246" s="74">
        <f t="shared" si="32"/>
        <v>0</v>
      </c>
      <c r="O246" s="74">
        <f t="shared" si="33"/>
        <v>0</v>
      </c>
      <c r="P246" s="74">
        <f t="shared" si="34"/>
        <v>0</v>
      </c>
      <c r="Q246" s="74">
        <f t="shared" si="35"/>
        <v>0</v>
      </c>
    </row>
    <row r="247" spans="1:17" ht="41.25" hidden="1" customHeight="1">
      <c r="A247" s="56"/>
      <c r="B247" s="72">
        <f t="shared" si="27"/>
        <v>0</v>
      </c>
      <c r="C247" s="72" t="s">
        <v>5353</v>
      </c>
      <c r="D247" s="75">
        <f>ROUND(Data!K546,2)</f>
        <v>1593.06</v>
      </c>
      <c r="E247" s="74" t="s">
        <v>5324</v>
      </c>
      <c r="F247" s="1425"/>
      <c r="G247" s="74">
        <f t="shared" si="28"/>
        <v>0</v>
      </c>
      <c r="H247" s="74"/>
      <c r="I247" s="74">
        <f t="shared" si="29"/>
        <v>0</v>
      </c>
      <c r="J247" s="74"/>
      <c r="K247" s="74">
        <f t="shared" si="30"/>
        <v>0</v>
      </c>
      <c r="L247" s="74"/>
      <c r="M247" s="74">
        <f t="shared" si="31"/>
        <v>0</v>
      </c>
      <c r="N247" s="74">
        <f t="shared" si="32"/>
        <v>0</v>
      </c>
      <c r="O247" s="74">
        <f t="shared" si="33"/>
        <v>0</v>
      </c>
      <c r="P247" s="74">
        <f t="shared" si="34"/>
        <v>0</v>
      </c>
      <c r="Q247" s="74">
        <f t="shared" si="35"/>
        <v>0</v>
      </c>
    </row>
    <row r="248" spans="1:17" s="56" customFormat="1" ht="60.75" hidden="1" customHeight="1">
      <c r="A248" s="72" t="s">
        <v>698</v>
      </c>
      <c r="B248" s="72">
        <f t="shared" si="27"/>
        <v>0</v>
      </c>
      <c r="C248" s="76" t="s">
        <v>5390</v>
      </c>
      <c r="D248" s="75"/>
      <c r="E248" s="74"/>
      <c r="F248" s="1425"/>
      <c r="G248" s="74">
        <f t="shared" si="28"/>
        <v>0</v>
      </c>
      <c r="H248" s="74"/>
      <c r="I248" s="74">
        <f t="shared" si="29"/>
        <v>0</v>
      </c>
      <c r="J248" s="74"/>
      <c r="K248" s="74">
        <f t="shared" si="30"/>
        <v>0</v>
      </c>
      <c r="L248" s="74"/>
      <c r="M248" s="74">
        <f t="shared" si="31"/>
        <v>0</v>
      </c>
      <c r="N248" s="74">
        <f t="shared" si="32"/>
        <v>0</v>
      </c>
      <c r="O248" s="74">
        <f t="shared" si="33"/>
        <v>0</v>
      </c>
      <c r="P248" s="74">
        <f t="shared" si="34"/>
        <v>0</v>
      </c>
      <c r="Q248" s="74">
        <f t="shared" si="35"/>
        <v>0</v>
      </c>
    </row>
    <row r="249" spans="1:17" s="56" customFormat="1" ht="48.75" hidden="1" customHeight="1">
      <c r="A249" s="72"/>
      <c r="B249" s="72">
        <f t="shared" si="27"/>
        <v>0</v>
      </c>
      <c r="C249" s="72" t="s">
        <v>5391</v>
      </c>
      <c r="D249" s="75">
        <f>ROUND(Data!K557,2)</f>
        <v>1684.54</v>
      </c>
      <c r="E249" s="74" t="s">
        <v>5324</v>
      </c>
      <c r="F249" s="1425"/>
      <c r="G249" s="74">
        <f t="shared" si="28"/>
        <v>0</v>
      </c>
      <c r="H249" s="74"/>
      <c r="I249" s="74">
        <f t="shared" si="29"/>
        <v>0</v>
      </c>
      <c r="J249" s="74"/>
      <c r="K249" s="74">
        <f t="shared" si="30"/>
        <v>0</v>
      </c>
      <c r="L249" s="74"/>
      <c r="M249" s="74">
        <f t="shared" si="31"/>
        <v>0</v>
      </c>
      <c r="N249" s="74">
        <f t="shared" si="32"/>
        <v>0</v>
      </c>
      <c r="O249" s="74">
        <f t="shared" si="33"/>
        <v>0</v>
      </c>
      <c r="P249" s="74">
        <f t="shared" si="34"/>
        <v>0</v>
      </c>
      <c r="Q249" s="74">
        <f t="shared" si="35"/>
        <v>0</v>
      </c>
    </row>
    <row r="250" spans="1:17" s="56" customFormat="1" ht="50.25" hidden="1" customHeight="1">
      <c r="A250" s="72"/>
      <c r="B250" s="72">
        <f t="shared" si="27"/>
        <v>0</v>
      </c>
      <c r="C250" s="72" t="s">
        <v>5392</v>
      </c>
      <c r="D250" s="75">
        <f>ROUND(Data!K559,2)</f>
        <v>1689.59</v>
      </c>
      <c r="E250" s="74" t="s">
        <v>5324</v>
      </c>
      <c r="F250" s="1425"/>
      <c r="G250" s="74">
        <f t="shared" si="28"/>
        <v>0</v>
      </c>
      <c r="H250" s="74"/>
      <c r="I250" s="74">
        <f t="shared" si="29"/>
        <v>0</v>
      </c>
      <c r="J250" s="74"/>
      <c r="K250" s="74">
        <f t="shared" si="30"/>
        <v>0</v>
      </c>
      <c r="L250" s="74"/>
      <c r="M250" s="74">
        <f t="shared" si="31"/>
        <v>0</v>
      </c>
      <c r="N250" s="74">
        <f t="shared" si="32"/>
        <v>0</v>
      </c>
      <c r="O250" s="74">
        <f t="shared" si="33"/>
        <v>0</v>
      </c>
      <c r="P250" s="74">
        <f t="shared" si="34"/>
        <v>0</v>
      </c>
      <c r="Q250" s="74">
        <f t="shared" si="35"/>
        <v>0</v>
      </c>
    </row>
    <row r="251" spans="1:17" s="56" customFormat="1" ht="50.25" hidden="1" customHeight="1">
      <c r="A251" s="72"/>
      <c r="B251" s="72">
        <f t="shared" si="27"/>
        <v>0</v>
      </c>
      <c r="C251" s="72" t="s">
        <v>5393</v>
      </c>
      <c r="D251" s="75">
        <f>ROUND(Data!K560,2)</f>
        <v>1699.53</v>
      </c>
      <c r="E251" s="74" t="s">
        <v>5324</v>
      </c>
      <c r="F251" s="1425"/>
      <c r="G251" s="74">
        <f t="shared" si="28"/>
        <v>0</v>
      </c>
      <c r="H251" s="74"/>
      <c r="I251" s="74">
        <f t="shared" si="29"/>
        <v>0</v>
      </c>
      <c r="J251" s="74"/>
      <c r="K251" s="74">
        <f t="shared" si="30"/>
        <v>0</v>
      </c>
      <c r="L251" s="74"/>
      <c r="M251" s="74">
        <f t="shared" si="31"/>
        <v>0</v>
      </c>
      <c r="N251" s="74">
        <f t="shared" si="32"/>
        <v>0</v>
      </c>
      <c r="O251" s="74">
        <f t="shared" si="33"/>
        <v>0</v>
      </c>
      <c r="P251" s="74">
        <f t="shared" si="34"/>
        <v>0</v>
      </c>
      <c r="Q251" s="74">
        <f t="shared" si="35"/>
        <v>0</v>
      </c>
    </row>
    <row r="252" spans="1:17" s="56" customFormat="1" ht="50.25" hidden="1" customHeight="1">
      <c r="A252" s="72"/>
      <c r="B252" s="72">
        <f t="shared" si="27"/>
        <v>0</v>
      </c>
      <c r="C252" s="72" t="s">
        <v>5394</v>
      </c>
      <c r="D252" s="75">
        <f>ROUND(Data!K561,2)</f>
        <v>1709.47</v>
      </c>
      <c r="E252" s="74" t="s">
        <v>5324</v>
      </c>
      <c r="F252" s="1425"/>
      <c r="G252" s="74">
        <f t="shared" si="28"/>
        <v>0</v>
      </c>
      <c r="H252" s="74"/>
      <c r="I252" s="74">
        <f t="shared" si="29"/>
        <v>0</v>
      </c>
      <c r="J252" s="74"/>
      <c r="K252" s="74">
        <f t="shared" si="30"/>
        <v>0</v>
      </c>
      <c r="L252" s="74"/>
      <c r="M252" s="74">
        <f t="shared" si="31"/>
        <v>0</v>
      </c>
      <c r="N252" s="74">
        <f t="shared" si="32"/>
        <v>0</v>
      </c>
      <c r="O252" s="74">
        <f t="shared" si="33"/>
        <v>0</v>
      </c>
      <c r="P252" s="74">
        <f t="shared" si="34"/>
        <v>0</v>
      </c>
      <c r="Q252" s="74">
        <f t="shared" si="35"/>
        <v>0</v>
      </c>
    </row>
    <row r="253" spans="1:17" s="56" customFormat="1" ht="50.25" hidden="1" customHeight="1">
      <c r="A253" s="72"/>
      <c r="B253" s="72">
        <f t="shared" si="27"/>
        <v>0</v>
      </c>
      <c r="C253" s="72" t="s">
        <v>5395</v>
      </c>
      <c r="D253" s="75">
        <f>ROUND(Data!K562,2)</f>
        <v>1719.41</v>
      </c>
      <c r="E253" s="74" t="s">
        <v>5324</v>
      </c>
      <c r="F253" s="1425"/>
      <c r="G253" s="74">
        <f t="shared" si="28"/>
        <v>0</v>
      </c>
      <c r="H253" s="74"/>
      <c r="I253" s="74">
        <f t="shared" si="29"/>
        <v>0</v>
      </c>
      <c r="J253" s="74"/>
      <c r="K253" s="74">
        <f t="shared" si="30"/>
        <v>0</v>
      </c>
      <c r="L253" s="74"/>
      <c r="M253" s="74">
        <f t="shared" si="31"/>
        <v>0</v>
      </c>
      <c r="N253" s="74">
        <f t="shared" si="32"/>
        <v>0</v>
      </c>
      <c r="O253" s="74">
        <f t="shared" si="33"/>
        <v>0</v>
      </c>
      <c r="P253" s="74">
        <f t="shared" si="34"/>
        <v>0</v>
      </c>
      <c r="Q253" s="74">
        <f t="shared" si="35"/>
        <v>0</v>
      </c>
    </row>
    <row r="254" spans="1:17" ht="41.25" hidden="1" customHeight="1">
      <c r="A254" s="56"/>
      <c r="B254" s="72">
        <f t="shared" si="27"/>
        <v>0</v>
      </c>
      <c r="C254" s="72" t="s">
        <v>5396</v>
      </c>
      <c r="D254" s="75">
        <f>ROUND(Data!K563,2)</f>
        <v>1729.35</v>
      </c>
      <c r="E254" s="74" t="s">
        <v>5324</v>
      </c>
      <c r="F254" s="1425"/>
      <c r="G254" s="74">
        <f t="shared" si="28"/>
        <v>0</v>
      </c>
      <c r="H254" s="74"/>
      <c r="I254" s="74">
        <f t="shared" si="29"/>
        <v>0</v>
      </c>
      <c r="J254" s="74"/>
      <c r="K254" s="74">
        <f t="shared" si="30"/>
        <v>0</v>
      </c>
      <c r="L254" s="74"/>
      <c r="M254" s="74">
        <f t="shared" si="31"/>
        <v>0</v>
      </c>
      <c r="N254" s="74">
        <f t="shared" si="32"/>
        <v>0</v>
      </c>
      <c r="O254" s="74">
        <f t="shared" si="33"/>
        <v>0</v>
      </c>
      <c r="P254" s="74">
        <f t="shared" si="34"/>
        <v>0</v>
      </c>
      <c r="Q254" s="74">
        <f t="shared" si="35"/>
        <v>0</v>
      </c>
    </row>
    <row r="255" spans="1:17" ht="25.5" customHeight="1">
      <c r="A255" s="71">
        <v>15.1</v>
      </c>
      <c r="B255" s="72">
        <f t="shared" si="27"/>
        <v>0</v>
      </c>
      <c r="C255" s="76" t="s">
        <v>5397</v>
      </c>
      <c r="D255" s="75"/>
      <c r="E255" s="74"/>
      <c r="F255" s="1425"/>
      <c r="G255" s="74">
        <f t="shared" si="28"/>
        <v>0</v>
      </c>
      <c r="H255" s="74"/>
      <c r="I255" s="74">
        <f t="shared" si="29"/>
        <v>0</v>
      </c>
      <c r="J255" s="74"/>
      <c r="K255" s="74">
        <f t="shared" si="30"/>
        <v>0</v>
      </c>
      <c r="L255" s="74"/>
      <c r="M255" s="74">
        <f t="shared" si="31"/>
        <v>0</v>
      </c>
      <c r="N255" s="74">
        <f t="shared" si="32"/>
        <v>0</v>
      </c>
      <c r="O255" s="74">
        <f t="shared" si="33"/>
        <v>0</v>
      </c>
      <c r="P255" s="74">
        <f t="shared" si="34"/>
        <v>0</v>
      </c>
      <c r="Q255" s="74">
        <f t="shared" si="35"/>
        <v>0</v>
      </c>
    </row>
    <row r="256" spans="1:17" ht="31.5" customHeight="1">
      <c r="A256" s="71"/>
      <c r="B256" s="72">
        <f t="shared" si="27"/>
        <v>5.8</v>
      </c>
      <c r="C256" s="72" t="s">
        <v>5341</v>
      </c>
      <c r="D256" s="75">
        <f>ROUND(Data!K590,2)</f>
        <v>563.35</v>
      </c>
      <c r="E256" s="74" t="s">
        <v>5324</v>
      </c>
      <c r="F256" s="1425">
        <f>'Detail '!I797</f>
        <v>5.8</v>
      </c>
      <c r="G256" s="74">
        <f t="shared" si="28"/>
        <v>3267.43</v>
      </c>
      <c r="H256" s="74"/>
      <c r="I256" s="74">
        <f t="shared" si="29"/>
        <v>0</v>
      </c>
      <c r="J256" s="74"/>
      <c r="K256" s="74">
        <f t="shared" si="30"/>
        <v>0</v>
      </c>
      <c r="L256" s="74"/>
      <c r="M256" s="74">
        <f t="shared" si="31"/>
        <v>0</v>
      </c>
      <c r="N256" s="74">
        <f t="shared" si="32"/>
        <v>0</v>
      </c>
      <c r="O256" s="74">
        <f t="shared" si="33"/>
        <v>0</v>
      </c>
      <c r="P256" s="74">
        <f t="shared" si="34"/>
        <v>5.8</v>
      </c>
      <c r="Q256" s="74">
        <f t="shared" si="35"/>
        <v>3267.43</v>
      </c>
    </row>
    <row r="257" spans="1:17" ht="31.5" customHeight="1">
      <c r="A257" s="71"/>
      <c r="B257" s="72">
        <f t="shared" si="27"/>
        <v>21.6</v>
      </c>
      <c r="C257" s="72" t="s">
        <v>5342</v>
      </c>
      <c r="D257" s="75">
        <f>ROUND(Data!K591,2)</f>
        <v>568.27</v>
      </c>
      <c r="E257" s="74" t="s">
        <v>5324</v>
      </c>
      <c r="F257" s="1425">
        <f>'Detail '!I805</f>
        <v>21.6</v>
      </c>
      <c r="G257" s="74">
        <f t="shared" si="28"/>
        <v>12274.63</v>
      </c>
      <c r="H257" s="74"/>
      <c r="I257" s="74">
        <f t="shared" si="29"/>
        <v>0</v>
      </c>
      <c r="J257" s="74"/>
      <c r="K257" s="74">
        <f t="shared" si="30"/>
        <v>0</v>
      </c>
      <c r="L257" s="74"/>
      <c r="M257" s="74">
        <f t="shared" si="31"/>
        <v>0</v>
      </c>
      <c r="N257" s="74">
        <f t="shared" si="32"/>
        <v>0</v>
      </c>
      <c r="O257" s="74">
        <f t="shared" si="33"/>
        <v>0</v>
      </c>
      <c r="P257" s="74">
        <f t="shared" si="34"/>
        <v>21.6</v>
      </c>
      <c r="Q257" s="74">
        <f t="shared" si="35"/>
        <v>12274.63</v>
      </c>
    </row>
    <row r="258" spans="1:17" ht="31.5" customHeight="1">
      <c r="A258" s="71"/>
      <c r="B258" s="72">
        <f t="shared" si="27"/>
        <v>24.5</v>
      </c>
      <c r="C258" s="72" t="s">
        <v>5343</v>
      </c>
      <c r="D258" s="75">
        <f>ROUND(Data!K592,2)</f>
        <v>573.19000000000005</v>
      </c>
      <c r="E258" s="74" t="s">
        <v>5324</v>
      </c>
      <c r="F258" s="1425">
        <f>'Detail '!I817</f>
        <v>24.5</v>
      </c>
      <c r="G258" s="74">
        <f t="shared" si="28"/>
        <v>14043.16</v>
      </c>
      <c r="H258" s="74"/>
      <c r="I258" s="74">
        <f t="shared" si="29"/>
        <v>0</v>
      </c>
      <c r="J258" s="74"/>
      <c r="K258" s="74">
        <f t="shared" si="30"/>
        <v>0</v>
      </c>
      <c r="L258" s="74"/>
      <c r="M258" s="74">
        <f t="shared" si="31"/>
        <v>0</v>
      </c>
      <c r="N258" s="74">
        <f t="shared" si="32"/>
        <v>0</v>
      </c>
      <c r="O258" s="74">
        <f t="shared" si="33"/>
        <v>0</v>
      </c>
      <c r="P258" s="74">
        <f t="shared" si="34"/>
        <v>24.5</v>
      </c>
      <c r="Q258" s="74">
        <f t="shared" si="35"/>
        <v>14043.16</v>
      </c>
    </row>
    <row r="259" spans="1:17" ht="31.5" customHeight="1">
      <c r="A259" s="71"/>
      <c r="B259" s="72">
        <f t="shared" si="27"/>
        <v>15.9</v>
      </c>
      <c r="C259" s="72" t="s">
        <v>5344</v>
      </c>
      <c r="D259" s="75">
        <f>ROUND(Data!K593,2)</f>
        <v>578.11</v>
      </c>
      <c r="E259" s="74" t="s">
        <v>5324</v>
      </c>
      <c r="F259" s="1425">
        <f>'Detail '!I825</f>
        <v>15.9</v>
      </c>
      <c r="G259" s="74">
        <f t="shared" si="28"/>
        <v>9191.9500000000007</v>
      </c>
      <c r="H259" s="74"/>
      <c r="I259" s="74">
        <f t="shared" si="29"/>
        <v>0</v>
      </c>
      <c r="J259" s="74"/>
      <c r="K259" s="74">
        <f t="shared" si="30"/>
        <v>0</v>
      </c>
      <c r="L259" s="74"/>
      <c r="M259" s="74">
        <f t="shared" si="31"/>
        <v>0</v>
      </c>
      <c r="N259" s="74">
        <f t="shared" si="32"/>
        <v>0</v>
      </c>
      <c r="O259" s="74">
        <f t="shared" si="33"/>
        <v>0</v>
      </c>
      <c r="P259" s="74">
        <f t="shared" si="34"/>
        <v>15.9</v>
      </c>
      <c r="Q259" s="74">
        <f t="shared" si="35"/>
        <v>9191.9500000000007</v>
      </c>
    </row>
    <row r="260" spans="1:17" ht="31.5" customHeight="1">
      <c r="A260" s="78"/>
      <c r="B260" s="72">
        <f t="shared" si="27"/>
        <v>13.7</v>
      </c>
      <c r="C260" s="72" t="s">
        <v>5345</v>
      </c>
      <c r="D260" s="75">
        <f>ROUND(Data!K594,2)</f>
        <v>583.03</v>
      </c>
      <c r="E260" s="74" t="s">
        <v>5324</v>
      </c>
      <c r="F260" s="1425">
        <f>'Detail '!I832</f>
        <v>13.7</v>
      </c>
      <c r="G260" s="74">
        <f t="shared" si="28"/>
        <v>7987.51</v>
      </c>
      <c r="H260" s="74"/>
      <c r="I260" s="74">
        <f t="shared" si="29"/>
        <v>0</v>
      </c>
      <c r="J260" s="74"/>
      <c r="K260" s="74">
        <f t="shared" si="30"/>
        <v>0</v>
      </c>
      <c r="L260" s="74"/>
      <c r="M260" s="74">
        <f t="shared" si="31"/>
        <v>0</v>
      </c>
      <c r="N260" s="74">
        <f t="shared" si="32"/>
        <v>0</v>
      </c>
      <c r="O260" s="74">
        <f t="shared" si="33"/>
        <v>0</v>
      </c>
      <c r="P260" s="74">
        <f t="shared" si="34"/>
        <v>13.7</v>
      </c>
      <c r="Q260" s="74">
        <f t="shared" si="35"/>
        <v>7987.51</v>
      </c>
    </row>
    <row r="261" spans="1:17" ht="25.5" customHeight="1">
      <c r="A261" s="71">
        <v>15.2</v>
      </c>
      <c r="B261" s="72">
        <f t="shared" ref="B261:B324" si="36">P261</f>
        <v>0</v>
      </c>
      <c r="C261" s="76" t="s">
        <v>5398</v>
      </c>
      <c r="D261" s="75"/>
      <c r="E261" s="74"/>
      <c r="F261" s="1425"/>
      <c r="G261" s="74">
        <f t="shared" si="28"/>
        <v>0</v>
      </c>
      <c r="H261" s="74"/>
      <c r="I261" s="74">
        <f t="shared" si="29"/>
        <v>0</v>
      </c>
      <c r="J261" s="74"/>
      <c r="K261" s="74">
        <f t="shared" si="30"/>
        <v>0</v>
      </c>
      <c r="L261" s="74"/>
      <c r="M261" s="74">
        <f t="shared" si="31"/>
        <v>0</v>
      </c>
      <c r="N261" s="74">
        <f t="shared" si="32"/>
        <v>0</v>
      </c>
      <c r="O261" s="74">
        <f t="shared" si="33"/>
        <v>0</v>
      </c>
      <c r="P261" s="74">
        <f t="shared" si="34"/>
        <v>0</v>
      </c>
      <c r="Q261" s="74">
        <f t="shared" si="35"/>
        <v>0</v>
      </c>
    </row>
    <row r="262" spans="1:17" ht="25.5" customHeight="1">
      <c r="A262" s="72"/>
      <c r="B262" s="72">
        <f t="shared" si="36"/>
        <v>2.9</v>
      </c>
      <c r="C262" s="72" t="s">
        <v>5341</v>
      </c>
      <c r="D262" s="75">
        <f>Data!X590</f>
        <v>597.15</v>
      </c>
      <c r="E262" s="74" t="s">
        <v>5324</v>
      </c>
      <c r="F262" s="1425">
        <f>'Detail '!I838</f>
        <v>2.9</v>
      </c>
      <c r="G262" s="74">
        <f t="shared" ref="G262:G325" si="37">F262*D262</f>
        <v>1731.74</v>
      </c>
      <c r="H262" s="74"/>
      <c r="I262" s="74">
        <f t="shared" ref="I262:I325" si="38">H262*D262</f>
        <v>0</v>
      </c>
      <c r="J262" s="74"/>
      <c r="K262" s="74">
        <f t="shared" ref="K262:K325" si="39">J262*D262</f>
        <v>0</v>
      </c>
      <c r="L262" s="74"/>
      <c r="M262" s="74">
        <f t="shared" ref="M262:M325" si="40">L262*D262</f>
        <v>0</v>
      </c>
      <c r="N262" s="74">
        <f t="shared" ref="N262:N325" si="41">H262+J262+L262</f>
        <v>0</v>
      </c>
      <c r="O262" s="74">
        <f t="shared" ref="O262:O325" si="42">N262*D262</f>
        <v>0</v>
      </c>
      <c r="P262" s="74">
        <f t="shared" ref="P262:P325" si="43">N262+F262</f>
        <v>2.9</v>
      </c>
      <c r="Q262" s="74">
        <f t="shared" ref="Q262:Q325" si="44">P262*D262</f>
        <v>1731.74</v>
      </c>
    </row>
    <row r="263" spans="1:17" ht="25.5" customHeight="1">
      <c r="A263" s="72"/>
      <c r="B263" s="72">
        <f t="shared" si="36"/>
        <v>7.2</v>
      </c>
      <c r="C263" s="72" t="s">
        <v>5342</v>
      </c>
      <c r="D263" s="75">
        <f>Data!X591</f>
        <v>607</v>
      </c>
      <c r="E263" s="74" t="s">
        <v>5324</v>
      </c>
      <c r="F263" s="1425">
        <f>'Detail '!I846</f>
        <v>7.2</v>
      </c>
      <c r="G263" s="74">
        <f t="shared" si="37"/>
        <v>4370.3999999999996</v>
      </c>
      <c r="H263" s="74"/>
      <c r="I263" s="74">
        <f t="shared" si="38"/>
        <v>0</v>
      </c>
      <c r="J263" s="74"/>
      <c r="K263" s="74">
        <f t="shared" si="39"/>
        <v>0</v>
      </c>
      <c r="L263" s="74"/>
      <c r="M263" s="74">
        <f t="shared" si="40"/>
        <v>0</v>
      </c>
      <c r="N263" s="74">
        <f t="shared" si="41"/>
        <v>0</v>
      </c>
      <c r="O263" s="74">
        <f t="shared" si="42"/>
        <v>0</v>
      </c>
      <c r="P263" s="74">
        <f t="shared" si="43"/>
        <v>7.2</v>
      </c>
      <c r="Q263" s="74">
        <f t="shared" si="44"/>
        <v>4370.3999999999996</v>
      </c>
    </row>
    <row r="264" spans="1:17" ht="25.5" customHeight="1">
      <c r="A264" s="72"/>
      <c r="B264" s="72">
        <f t="shared" si="36"/>
        <v>13</v>
      </c>
      <c r="C264" s="72" t="s">
        <v>5343</v>
      </c>
      <c r="D264" s="75">
        <f>Data!X592</f>
        <v>616.85</v>
      </c>
      <c r="E264" s="74" t="s">
        <v>5324</v>
      </c>
      <c r="F264" s="1425">
        <f>'Detail '!I858</f>
        <v>13</v>
      </c>
      <c r="G264" s="74">
        <f t="shared" si="37"/>
        <v>8019.05</v>
      </c>
      <c r="H264" s="74"/>
      <c r="I264" s="74">
        <f t="shared" si="38"/>
        <v>0</v>
      </c>
      <c r="J264" s="74"/>
      <c r="K264" s="74">
        <f t="shared" si="39"/>
        <v>0</v>
      </c>
      <c r="L264" s="74"/>
      <c r="M264" s="74">
        <f t="shared" si="40"/>
        <v>0</v>
      </c>
      <c r="N264" s="74">
        <f t="shared" si="41"/>
        <v>0</v>
      </c>
      <c r="O264" s="74">
        <f t="shared" si="42"/>
        <v>0</v>
      </c>
      <c r="P264" s="74">
        <f t="shared" si="43"/>
        <v>13</v>
      </c>
      <c r="Q264" s="74">
        <f t="shared" si="44"/>
        <v>8019.05</v>
      </c>
    </row>
    <row r="265" spans="1:17" ht="25.5" customHeight="1">
      <c r="A265" s="72"/>
      <c r="B265" s="72">
        <f t="shared" si="36"/>
        <v>8.6999999999999993</v>
      </c>
      <c r="C265" s="72" t="s">
        <v>5344</v>
      </c>
      <c r="D265" s="75">
        <f>Data!X593</f>
        <v>626.70000000000005</v>
      </c>
      <c r="E265" s="74" t="s">
        <v>5324</v>
      </c>
      <c r="F265" s="1425">
        <f>'Detail '!I866</f>
        <v>8.6999999999999993</v>
      </c>
      <c r="G265" s="74">
        <f t="shared" si="37"/>
        <v>5452.29</v>
      </c>
      <c r="H265" s="74"/>
      <c r="I265" s="74">
        <f t="shared" si="38"/>
        <v>0</v>
      </c>
      <c r="J265" s="74"/>
      <c r="K265" s="74">
        <f t="shared" si="39"/>
        <v>0</v>
      </c>
      <c r="L265" s="74"/>
      <c r="M265" s="74">
        <f t="shared" si="40"/>
        <v>0</v>
      </c>
      <c r="N265" s="74">
        <f t="shared" si="41"/>
        <v>0</v>
      </c>
      <c r="O265" s="74">
        <f t="shared" si="42"/>
        <v>0</v>
      </c>
      <c r="P265" s="74">
        <f t="shared" si="43"/>
        <v>8.6999999999999993</v>
      </c>
      <c r="Q265" s="74">
        <f t="shared" si="44"/>
        <v>5452.29</v>
      </c>
    </row>
    <row r="266" spans="1:17" ht="31.5" hidden="1" customHeight="1">
      <c r="A266" s="56"/>
      <c r="B266" s="72">
        <f t="shared" si="36"/>
        <v>0</v>
      </c>
      <c r="C266" s="72" t="s">
        <v>5345</v>
      </c>
      <c r="D266" s="75">
        <f>Data!X594</f>
        <v>636.54999999999995</v>
      </c>
      <c r="E266" s="74" t="s">
        <v>5324</v>
      </c>
      <c r="F266" s="1425">
        <f>'Detail '!I867</f>
        <v>0</v>
      </c>
      <c r="G266" s="74">
        <f t="shared" si="37"/>
        <v>0</v>
      </c>
      <c r="H266" s="74"/>
      <c r="I266" s="74">
        <f t="shared" si="38"/>
        <v>0</v>
      </c>
      <c r="J266" s="74"/>
      <c r="K266" s="74">
        <f t="shared" si="39"/>
        <v>0</v>
      </c>
      <c r="L266" s="74"/>
      <c r="M266" s="74">
        <f t="shared" si="40"/>
        <v>0</v>
      </c>
      <c r="N266" s="74">
        <f t="shared" si="41"/>
        <v>0</v>
      </c>
      <c r="O266" s="74">
        <f t="shared" si="42"/>
        <v>0</v>
      </c>
      <c r="P266" s="74">
        <f t="shared" si="43"/>
        <v>0</v>
      </c>
      <c r="Q266" s="74">
        <f t="shared" si="44"/>
        <v>0</v>
      </c>
    </row>
    <row r="267" spans="1:17" s="56" customFormat="1" ht="31.5" hidden="1" customHeight="1">
      <c r="A267" s="71">
        <v>16.100000000000001</v>
      </c>
      <c r="B267" s="72">
        <f t="shared" si="36"/>
        <v>2.88</v>
      </c>
      <c r="C267" s="72" t="s">
        <v>5399</v>
      </c>
      <c r="D267" s="75">
        <f>Data!X595</f>
        <v>646.4</v>
      </c>
      <c r="E267" s="74" t="s">
        <v>5324</v>
      </c>
      <c r="F267" s="1425">
        <f>'Detail '!I868</f>
        <v>2.88</v>
      </c>
      <c r="G267" s="74">
        <f t="shared" si="37"/>
        <v>1861.63</v>
      </c>
      <c r="H267" s="74"/>
      <c r="I267" s="74">
        <f t="shared" si="38"/>
        <v>0</v>
      </c>
      <c r="J267" s="74"/>
      <c r="K267" s="74">
        <f t="shared" si="39"/>
        <v>0</v>
      </c>
      <c r="L267" s="74"/>
      <c r="M267" s="74">
        <f t="shared" si="40"/>
        <v>0</v>
      </c>
      <c r="N267" s="74">
        <f t="shared" si="41"/>
        <v>0</v>
      </c>
      <c r="O267" s="74">
        <f t="shared" si="42"/>
        <v>0</v>
      </c>
      <c r="P267" s="74">
        <f t="shared" si="43"/>
        <v>2.88</v>
      </c>
      <c r="Q267" s="74">
        <f t="shared" si="44"/>
        <v>1861.63</v>
      </c>
    </row>
    <row r="268" spans="1:17" s="56" customFormat="1" ht="31.5" hidden="1" customHeight="1">
      <c r="A268" s="71"/>
      <c r="B268" s="72">
        <f t="shared" si="36"/>
        <v>2.88</v>
      </c>
      <c r="C268" s="72" t="s">
        <v>3380</v>
      </c>
      <c r="D268" s="75">
        <f>Data!X596</f>
        <v>0</v>
      </c>
      <c r="E268" s="74" t="s">
        <v>5324</v>
      </c>
      <c r="F268" s="1425">
        <f>'Detail '!I869</f>
        <v>2.88</v>
      </c>
      <c r="G268" s="74">
        <f t="shared" si="37"/>
        <v>0</v>
      </c>
      <c r="H268" s="74"/>
      <c r="I268" s="74">
        <f t="shared" si="38"/>
        <v>0</v>
      </c>
      <c r="J268" s="74"/>
      <c r="K268" s="74">
        <f t="shared" si="39"/>
        <v>0</v>
      </c>
      <c r="L268" s="74"/>
      <c r="M268" s="74">
        <f t="shared" si="40"/>
        <v>0</v>
      </c>
      <c r="N268" s="74">
        <f t="shared" si="41"/>
        <v>0</v>
      </c>
      <c r="O268" s="74">
        <f t="shared" si="42"/>
        <v>0</v>
      </c>
      <c r="P268" s="74">
        <f t="shared" si="43"/>
        <v>2.88</v>
      </c>
      <c r="Q268" s="74">
        <f t="shared" si="44"/>
        <v>0</v>
      </c>
    </row>
    <row r="269" spans="1:17" s="56" customFormat="1" ht="31.5" hidden="1" customHeight="1">
      <c r="A269" s="71"/>
      <c r="B269" s="72">
        <f t="shared" si="36"/>
        <v>1.44</v>
      </c>
      <c r="C269" s="72" t="s">
        <v>5342</v>
      </c>
      <c r="D269" s="75">
        <f>Data!X597</f>
        <v>0</v>
      </c>
      <c r="E269" s="74" t="s">
        <v>5324</v>
      </c>
      <c r="F269" s="1425">
        <f>'Detail '!I870</f>
        <v>1.44</v>
      </c>
      <c r="G269" s="74">
        <f t="shared" si="37"/>
        <v>0</v>
      </c>
      <c r="H269" s="74"/>
      <c r="I269" s="74">
        <f t="shared" si="38"/>
        <v>0</v>
      </c>
      <c r="J269" s="74"/>
      <c r="K269" s="74">
        <f t="shared" si="39"/>
        <v>0</v>
      </c>
      <c r="L269" s="74"/>
      <c r="M269" s="74">
        <f t="shared" si="40"/>
        <v>0</v>
      </c>
      <c r="N269" s="74">
        <f t="shared" si="41"/>
        <v>0</v>
      </c>
      <c r="O269" s="74">
        <f t="shared" si="42"/>
        <v>0</v>
      </c>
      <c r="P269" s="74">
        <f t="shared" si="43"/>
        <v>1.44</v>
      </c>
      <c r="Q269" s="74">
        <f t="shared" si="44"/>
        <v>0</v>
      </c>
    </row>
    <row r="270" spans="1:17" s="56" customFormat="1" ht="31.5" hidden="1" customHeight="1">
      <c r="A270" s="71"/>
      <c r="B270" s="72">
        <f t="shared" si="36"/>
        <v>0.72</v>
      </c>
      <c r="C270" s="72" t="s">
        <v>5343</v>
      </c>
      <c r="D270" s="75">
        <f>Data!X598</f>
        <v>0</v>
      </c>
      <c r="E270" s="74" t="s">
        <v>5324</v>
      </c>
      <c r="F270" s="1425">
        <f>'Detail '!I871</f>
        <v>0.72</v>
      </c>
      <c r="G270" s="74">
        <f t="shared" si="37"/>
        <v>0</v>
      </c>
      <c r="H270" s="74"/>
      <c r="I270" s="74">
        <f t="shared" si="38"/>
        <v>0</v>
      </c>
      <c r="J270" s="74"/>
      <c r="K270" s="74">
        <f t="shared" si="39"/>
        <v>0</v>
      </c>
      <c r="L270" s="74"/>
      <c r="M270" s="74">
        <f t="shared" si="40"/>
        <v>0</v>
      </c>
      <c r="N270" s="74">
        <f t="shared" si="41"/>
        <v>0</v>
      </c>
      <c r="O270" s="74">
        <f t="shared" si="42"/>
        <v>0</v>
      </c>
      <c r="P270" s="74">
        <f t="shared" si="43"/>
        <v>0.72</v>
      </c>
      <c r="Q270" s="74">
        <f t="shared" si="44"/>
        <v>0</v>
      </c>
    </row>
    <row r="271" spans="1:17" s="56" customFormat="1" ht="31.5" hidden="1" customHeight="1">
      <c r="A271" s="71"/>
      <c r="B271" s="72">
        <f t="shared" si="36"/>
        <v>7.92</v>
      </c>
      <c r="C271" s="72" t="s">
        <v>5344</v>
      </c>
      <c r="D271" s="75">
        <f>Data!X599</f>
        <v>0</v>
      </c>
      <c r="E271" s="74" t="s">
        <v>5324</v>
      </c>
      <c r="F271" s="1425">
        <f>'Detail '!I872</f>
        <v>7.92</v>
      </c>
      <c r="G271" s="74">
        <f t="shared" si="37"/>
        <v>0</v>
      </c>
      <c r="H271" s="74"/>
      <c r="I271" s="74">
        <f t="shared" si="38"/>
        <v>0</v>
      </c>
      <c r="J271" s="74"/>
      <c r="K271" s="74">
        <f t="shared" si="39"/>
        <v>0</v>
      </c>
      <c r="L271" s="74"/>
      <c r="M271" s="74">
        <f t="shared" si="40"/>
        <v>0</v>
      </c>
      <c r="N271" s="74">
        <f t="shared" si="41"/>
        <v>0</v>
      </c>
      <c r="O271" s="74">
        <f t="shared" si="42"/>
        <v>0</v>
      </c>
      <c r="P271" s="74">
        <f t="shared" si="43"/>
        <v>7.92</v>
      </c>
      <c r="Q271" s="74">
        <f t="shared" si="44"/>
        <v>0</v>
      </c>
    </row>
    <row r="272" spans="1:17" s="56" customFormat="1" ht="31.5" hidden="1" customHeight="1">
      <c r="A272" s="77"/>
      <c r="B272" s="72">
        <f t="shared" si="36"/>
        <v>8</v>
      </c>
      <c r="C272" s="72" t="s">
        <v>5345</v>
      </c>
      <c r="D272" s="75">
        <f>Data!X600</f>
        <v>0</v>
      </c>
      <c r="E272" s="74" t="s">
        <v>5324</v>
      </c>
      <c r="F272" s="1425">
        <f>'Detail '!I873</f>
        <v>8</v>
      </c>
      <c r="G272" s="74">
        <f t="shared" si="37"/>
        <v>0</v>
      </c>
      <c r="H272" s="74"/>
      <c r="I272" s="74">
        <f t="shared" si="38"/>
        <v>0</v>
      </c>
      <c r="J272" s="74"/>
      <c r="K272" s="74">
        <f t="shared" si="39"/>
        <v>0</v>
      </c>
      <c r="L272" s="74"/>
      <c r="M272" s="74">
        <f t="shared" si="40"/>
        <v>0</v>
      </c>
      <c r="N272" s="74">
        <f t="shared" si="41"/>
        <v>0</v>
      </c>
      <c r="O272" s="74">
        <f t="shared" si="42"/>
        <v>0</v>
      </c>
      <c r="P272" s="74">
        <f t="shared" si="43"/>
        <v>8</v>
      </c>
      <c r="Q272" s="74">
        <f t="shared" si="44"/>
        <v>0</v>
      </c>
    </row>
    <row r="273" spans="1:17" ht="31.5" hidden="1" customHeight="1">
      <c r="A273" s="71">
        <v>16.2</v>
      </c>
      <c r="B273" s="72">
        <f t="shared" si="36"/>
        <v>0</v>
      </c>
      <c r="C273" s="72" t="s">
        <v>5400</v>
      </c>
      <c r="D273" s="75">
        <f>Data!X601</f>
        <v>0</v>
      </c>
      <c r="E273" s="74" t="s">
        <v>5324</v>
      </c>
      <c r="F273" s="1425">
        <f>'Detail '!I874</f>
        <v>0</v>
      </c>
      <c r="G273" s="74">
        <f t="shared" si="37"/>
        <v>0</v>
      </c>
      <c r="H273" s="74"/>
      <c r="I273" s="74">
        <f t="shared" si="38"/>
        <v>0</v>
      </c>
      <c r="J273" s="74"/>
      <c r="K273" s="74">
        <f t="shared" si="39"/>
        <v>0</v>
      </c>
      <c r="L273" s="74"/>
      <c r="M273" s="74">
        <f t="shared" si="40"/>
        <v>0</v>
      </c>
      <c r="N273" s="74">
        <f t="shared" si="41"/>
        <v>0</v>
      </c>
      <c r="O273" s="74">
        <f t="shared" si="42"/>
        <v>0</v>
      </c>
      <c r="P273" s="74">
        <f t="shared" si="43"/>
        <v>0</v>
      </c>
      <c r="Q273" s="74">
        <f t="shared" si="44"/>
        <v>0</v>
      </c>
    </row>
    <row r="274" spans="1:17" ht="31.5" hidden="1" customHeight="1">
      <c r="A274" s="72"/>
      <c r="B274" s="72">
        <f t="shared" si="36"/>
        <v>0</v>
      </c>
      <c r="C274" s="72" t="s">
        <v>3380</v>
      </c>
      <c r="D274" s="75">
        <f>Data!X602</f>
        <v>0</v>
      </c>
      <c r="E274" s="74" t="s">
        <v>5324</v>
      </c>
      <c r="F274" s="1425">
        <f>'Detail '!I875</f>
        <v>0</v>
      </c>
      <c r="G274" s="74">
        <f t="shared" si="37"/>
        <v>0</v>
      </c>
      <c r="H274" s="74"/>
      <c r="I274" s="74">
        <f t="shared" si="38"/>
        <v>0</v>
      </c>
      <c r="J274" s="74"/>
      <c r="K274" s="74">
        <f t="shared" si="39"/>
        <v>0</v>
      </c>
      <c r="L274" s="74"/>
      <c r="M274" s="74">
        <f t="shared" si="40"/>
        <v>0</v>
      </c>
      <c r="N274" s="74">
        <f t="shared" si="41"/>
        <v>0</v>
      </c>
      <c r="O274" s="74">
        <f t="shared" si="42"/>
        <v>0</v>
      </c>
      <c r="P274" s="74">
        <f t="shared" si="43"/>
        <v>0</v>
      </c>
      <c r="Q274" s="74">
        <f t="shared" si="44"/>
        <v>0</v>
      </c>
    </row>
    <row r="275" spans="1:17" ht="31.5" hidden="1" customHeight="1">
      <c r="A275" s="72"/>
      <c r="B275" s="72">
        <f t="shared" si="36"/>
        <v>0.44</v>
      </c>
      <c r="C275" s="72" t="s">
        <v>4812</v>
      </c>
      <c r="D275" s="75">
        <f>Data!X603</f>
        <v>0</v>
      </c>
      <c r="E275" s="74" t="s">
        <v>5324</v>
      </c>
      <c r="F275" s="1425">
        <f>'Detail '!I876</f>
        <v>0.44</v>
      </c>
      <c r="G275" s="74">
        <f t="shared" si="37"/>
        <v>0</v>
      </c>
      <c r="H275" s="74"/>
      <c r="I275" s="74">
        <f t="shared" si="38"/>
        <v>0</v>
      </c>
      <c r="J275" s="74"/>
      <c r="K275" s="74">
        <f t="shared" si="39"/>
        <v>0</v>
      </c>
      <c r="L275" s="74"/>
      <c r="M275" s="74">
        <f t="shared" si="40"/>
        <v>0</v>
      </c>
      <c r="N275" s="74">
        <f t="shared" si="41"/>
        <v>0</v>
      </c>
      <c r="O275" s="74">
        <f t="shared" si="42"/>
        <v>0</v>
      </c>
      <c r="P275" s="74">
        <f t="shared" si="43"/>
        <v>0.44</v>
      </c>
      <c r="Q275" s="74">
        <f t="shared" si="44"/>
        <v>0</v>
      </c>
    </row>
    <row r="276" spans="1:17" ht="31.5" hidden="1" customHeight="1">
      <c r="A276" s="72"/>
      <c r="B276" s="72">
        <f t="shared" si="36"/>
        <v>0</v>
      </c>
      <c r="C276" s="72" t="s">
        <v>5356</v>
      </c>
      <c r="D276" s="75">
        <f>Data!X604</f>
        <v>0</v>
      </c>
      <c r="E276" s="74" t="s">
        <v>5324</v>
      </c>
      <c r="F276" s="1425">
        <f>'Detail '!I877</f>
        <v>0</v>
      </c>
      <c r="G276" s="74">
        <f t="shared" si="37"/>
        <v>0</v>
      </c>
      <c r="H276" s="74"/>
      <c r="I276" s="74">
        <f t="shared" si="38"/>
        <v>0</v>
      </c>
      <c r="J276" s="74"/>
      <c r="K276" s="74">
        <f t="shared" si="39"/>
        <v>0</v>
      </c>
      <c r="L276" s="74"/>
      <c r="M276" s="74">
        <f t="shared" si="40"/>
        <v>0</v>
      </c>
      <c r="N276" s="74">
        <f t="shared" si="41"/>
        <v>0</v>
      </c>
      <c r="O276" s="74">
        <f t="shared" si="42"/>
        <v>0</v>
      </c>
      <c r="P276" s="74">
        <f t="shared" si="43"/>
        <v>0</v>
      </c>
      <c r="Q276" s="74">
        <f t="shared" si="44"/>
        <v>0</v>
      </c>
    </row>
    <row r="277" spans="1:17" ht="31.5" hidden="1" customHeight="1">
      <c r="A277" s="72"/>
      <c r="B277" s="72">
        <f t="shared" si="36"/>
        <v>0.44</v>
      </c>
      <c r="C277" s="72" t="s">
        <v>5357</v>
      </c>
      <c r="D277" s="75">
        <f>Data!X605</f>
        <v>0</v>
      </c>
      <c r="E277" s="74" t="s">
        <v>5324</v>
      </c>
      <c r="F277" s="1425">
        <f>'Detail '!I878</f>
        <v>0.44</v>
      </c>
      <c r="G277" s="74">
        <f t="shared" si="37"/>
        <v>0</v>
      </c>
      <c r="H277" s="74"/>
      <c r="I277" s="74">
        <f t="shared" si="38"/>
        <v>0</v>
      </c>
      <c r="J277" s="74"/>
      <c r="K277" s="74">
        <f t="shared" si="39"/>
        <v>0</v>
      </c>
      <c r="L277" s="74"/>
      <c r="M277" s="74">
        <f t="shared" si="40"/>
        <v>0</v>
      </c>
      <c r="N277" s="74">
        <f t="shared" si="41"/>
        <v>0</v>
      </c>
      <c r="O277" s="74">
        <f t="shared" si="42"/>
        <v>0</v>
      </c>
      <c r="P277" s="74">
        <f t="shared" si="43"/>
        <v>0.44</v>
      </c>
      <c r="Q277" s="74">
        <f t="shared" si="44"/>
        <v>0</v>
      </c>
    </row>
    <row r="278" spans="1:17" ht="31.5" hidden="1" customHeight="1">
      <c r="A278" s="56"/>
      <c r="B278" s="72">
        <f t="shared" si="36"/>
        <v>0.44</v>
      </c>
      <c r="C278" s="72" t="s">
        <v>5358</v>
      </c>
      <c r="D278" s="75">
        <f>Data!X606</f>
        <v>0</v>
      </c>
      <c r="E278" s="74" t="s">
        <v>5324</v>
      </c>
      <c r="F278" s="1425">
        <f>'Detail '!I879</f>
        <v>0.44</v>
      </c>
      <c r="G278" s="74">
        <f t="shared" si="37"/>
        <v>0</v>
      </c>
      <c r="H278" s="74"/>
      <c r="I278" s="74">
        <f t="shared" si="38"/>
        <v>0</v>
      </c>
      <c r="J278" s="74"/>
      <c r="K278" s="74">
        <f t="shared" si="39"/>
        <v>0</v>
      </c>
      <c r="L278" s="74"/>
      <c r="M278" s="74">
        <f t="shared" si="40"/>
        <v>0</v>
      </c>
      <c r="N278" s="74">
        <f t="shared" si="41"/>
        <v>0</v>
      </c>
      <c r="O278" s="74">
        <f t="shared" si="42"/>
        <v>0</v>
      </c>
      <c r="P278" s="74">
        <f t="shared" si="43"/>
        <v>0.44</v>
      </c>
      <c r="Q278" s="74">
        <f t="shared" si="44"/>
        <v>0</v>
      </c>
    </row>
    <row r="279" spans="1:17" ht="31.5" hidden="1" customHeight="1">
      <c r="A279" s="71">
        <v>16.3</v>
      </c>
      <c r="B279" s="72">
        <f t="shared" si="36"/>
        <v>0</v>
      </c>
      <c r="C279" s="72" t="s">
        <v>5401</v>
      </c>
      <c r="D279" s="75">
        <f>Data!X607</f>
        <v>0</v>
      </c>
      <c r="E279" s="74" t="s">
        <v>5324</v>
      </c>
      <c r="F279" s="1425">
        <f>'Detail '!I880</f>
        <v>0</v>
      </c>
      <c r="G279" s="74">
        <f t="shared" si="37"/>
        <v>0</v>
      </c>
      <c r="H279" s="74"/>
      <c r="I279" s="74">
        <f t="shared" si="38"/>
        <v>0</v>
      </c>
      <c r="J279" s="74"/>
      <c r="K279" s="74">
        <f t="shared" si="39"/>
        <v>0</v>
      </c>
      <c r="L279" s="74"/>
      <c r="M279" s="74">
        <f t="shared" si="40"/>
        <v>0</v>
      </c>
      <c r="N279" s="74">
        <f t="shared" si="41"/>
        <v>0</v>
      </c>
      <c r="O279" s="74">
        <f t="shared" si="42"/>
        <v>0</v>
      </c>
      <c r="P279" s="74">
        <f t="shared" si="43"/>
        <v>0</v>
      </c>
      <c r="Q279" s="74">
        <f t="shared" si="44"/>
        <v>0</v>
      </c>
    </row>
    <row r="280" spans="1:17" ht="31.5" hidden="1" customHeight="1">
      <c r="A280" s="71"/>
      <c r="B280" s="72">
        <f t="shared" si="36"/>
        <v>0.25</v>
      </c>
      <c r="C280" s="72" t="s">
        <v>3380</v>
      </c>
      <c r="D280" s="75">
        <f>Data!X608</f>
        <v>0</v>
      </c>
      <c r="E280" s="74" t="s">
        <v>5324</v>
      </c>
      <c r="F280" s="1425">
        <f>'Detail '!I881</f>
        <v>0.25</v>
      </c>
      <c r="G280" s="74">
        <f t="shared" si="37"/>
        <v>0</v>
      </c>
      <c r="H280" s="74"/>
      <c r="I280" s="74">
        <f t="shared" si="38"/>
        <v>0</v>
      </c>
      <c r="J280" s="74"/>
      <c r="K280" s="74">
        <f t="shared" si="39"/>
        <v>0</v>
      </c>
      <c r="L280" s="74"/>
      <c r="M280" s="74">
        <f t="shared" si="40"/>
        <v>0</v>
      </c>
      <c r="N280" s="74">
        <f t="shared" si="41"/>
        <v>0</v>
      </c>
      <c r="O280" s="74">
        <f t="shared" si="42"/>
        <v>0</v>
      </c>
      <c r="P280" s="74">
        <f t="shared" si="43"/>
        <v>0.25</v>
      </c>
      <c r="Q280" s="74">
        <f t="shared" si="44"/>
        <v>0</v>
      </c>
    </row>
    <row r="281" spans="1:17" ht="31.5" hidden="1" customHeight="1">
      <c r="A281" s="71"/>
      <c r="B281" s="72">
        <f t="shared" si="36"/>
        <v>0</v>
      </c>
      <c r="C281" s="72" t="s">
        <v>4812</v>
      </c>
      <c r="D281" s="75">
        <f>Data!X609</f>
        <v>0</v>
      </c>
      <c r="E281" s="74" t="s">
        <v>5324</v>
      </c>
      <c r="F281" s="1425">
        <f>'Detail '!I882</f>
        <v>0</v>
      </c>
      <c r="G281" s="74">
        <f t="shared" si="37"/>
        <v>0</v>
      </c>
      <c r="H281" s="74"/>
      <c r="I281" s="74">
        <f t="shared" si="38"/>
        <v>0</v>
      </c>
      <c r="J281" s="74"/>
      <c r="K281" s="74">
        <f t="shared" si="39"/>
        <v>0</v>
      </c>
      <c r="L281" s="74"/>
      <c r="M281" s="74">
        <f t="shared" si="40"/>
        <v>0</v>
      </c>
      <c r="N281" s="74">
        <f t="shared" si="41"/>
        <v>0</v>
      </c>
      <c r="O281" s="74">
        <f t="shared" si="42"/>
        <v>0</v>
      </c>
      <c r="P281" s="74">
        <f t="shared" si="43"/>
        <v>0</v>
      </c>
      <c r="Q281" s="74">
        <f t="shared" si="44"/>
        <v>0</v>
      </c>
    </row>
    <row r="282" spans="1:17" ht="31.5" hidden="1" customHeight="1">
      <c r="A282" s="71"/>
      <c r="B282" s="72">
        <f t="shared" si="36"/>
        <v>0.25</v>
      </c>
      <c r="C282" s="72" t="s">
        <v>5356</v>
      </c>
      <c r="D282" s="75">
        <f>Data!X610</f>
        <v>0</v>
      </c>
      <c r="E282" s="74" t="s">
        <v>5324</v>
      </c>
      <c r="F282" s="1425">
        <f>'Detail '!I884</f>
        <v>0.25</v>
      </c>
      <c r="G282" s="74">
        <f t="shared" si="37"/>
        <v>0</v>
      </c>
      <c r="H282" s="74"/>
      <c r="I282" s="74">
        <f t="shared" si="38"/>
        <v>0</v>
      </c>
      <c r="J282" s="74"/>
      <c r="K282" s="74">
        <f t="shared" si="39"/>
        <v>0</v>
      </c>
      <c r="L282" s="74"/>
      <c r="M282" s="74">
        <f t="shared" si="40"/>
        <v>0</v>
      </c>
      <c r="N282" s="74">
        <f t="shared" si="41"/>
        <v>0</v>
      </c>
      <c r="O282" s="74">
        <f t="shared" si="42"/>
        <v>0</v>
      </c>
      <c r="P282" s="74">
        <f t="shared" si="43"/>
        <v>0.25</v>
      </c>
      <c r="Q282" s="74">
        <f t="shared" si="44"/>
        <v>0</v>
      </c>
    </row>
    <row r="283" spans="1:17" ht="31.5" hidden="1" customHeight="1">
      <c r="A283" s="72"/>
      <c r="B283" s="72">
        <f t="shared" si="36"/>
        <v>0</v>
      </c>
      <c r="C283" s="72" t="s">
        <v>5357</v>
      </c>
      <c r="D283" s="75">
        <f>Data!X611</f>
        <v>0</v>
      </c>
      <c r="E283" s="74" t="s">
        <v>5324</v>
      </c>
      <c r="F283" s="1425">
        <f>'Detail '!I885</f>
        <v>0</v>
      </c>
      <c r="G283" s="74">
        <f t="shared" si="37"/>
        <v>0</v>
      </c>
      <c r="H283" s="74"/>
      <c r="I283" s="74">
        <f t="shared" si="38"/>
        <v>0</v>
      </c>
      <c r="J283" s="74"/>
      <c r="K283" s="74">
        <f t="shared" si="39"/>
        <v>0</v>
      </c>
      <c r="L283" s="74"/>
      <c r="M283" s="74">
        <f t="shared" si="40"/>
        <v>0</v>
      </c>
      <c r="N283" s="74">
        <f t="shared" si="41"/>
        <v>0</v>
      </c>
      <c r="O283" s="74">
        <f t="shared" si="42"/>
        <v>0</v>
      </c>
      <c r="P283" s="74">
        <f t="shared" si="43"/>
        <v>0</v>
      </c>
      <c r="Q283" s="74">
        <f t="shared" si="44"/>
        <v>0</v>
      </c>
    </row>
    <row r="284" spans="1:17" ht="31.5" hidden="1" customHeight="1">
      <c r="A284" s="56"/>
      <c r="B284" s="72">
        <f t="shared" si="36"/>
        <v>0</v>
      </c>
      <c r="C284" s="72" t="s">
        <v>5358</v>
      </c>
      <c r="D284" s="75">
        <f>Data!X612</f>
        <v>0</v>
      </c>
      <c r="E284" s="74" t="s">
        <v>5324</v>
      </c>
      <c r="F284" s="1425">
        <f>'Detail '!I886</f>
        <v>0</v>
      </c>
      <c r="G284" s="74">
        <f t="shared" si="37"/>
        <v>0</v>
      </c>
      <c r="H284" s="74"/>
      <c r="I284" s="74">
        <f t="shared" si="38"/>
        <v>0</v>
      </c>
      <c r="J284" s="74"/>
      <c r="K284" s="74">
        <f t="shared" si="39"/>
        <v>0</v>
      </c>
      <c r="L284" s="74"/>
      <c r="M284" s="74">
        <f t="shared" si="40"/>
        <v>0</v>
      </c>
      <c r="N284" s="74">
        <f t="shared" si="41"/>
        <v>0</v>
      </c>
      <c r="O284" s="74">
        <f t="shared" si="42"/>
        <v>0</v>
      </c>
      <c r="P284" s="74">
        <f t="shared" si="43"/>
        <v>0</v>
      </c>
      <c r="Q284" s="74">
        <f t="shared" si="44"/>
        <v>0</v>
      </c>
    </row>
    <row r="285" spans="1:17" ht="31.5" hidden="1" customHeight="1">
      <c r="A285" s="71">
        <v>17</v>
      </c>
      <c r="B285" s="72">
        <f t="shared" si="36"/>
        <v>17.64</v>
      </c>
      <c r="C285" s="72" t="s">
        <v>5402</v>
      </c>
      <c r="D285" s="75">
        <f>Data!X613</f>
        <v>0</v>
      </c>
      <c r="E285" s="74" t="s">
        <v>5324</v>
      </c>
      <c r="F285" s="1425">
        <f>'Detail '!I887</f>
        <v>17.64</v>
      </c>
      <c r="G285" s="74">
        <f t="shared" si="37"/>
        <v>0</v>
      </c>
      <c r="H285" s="74"/>
      <c r="I285" s="74">
        <f t="shared" si="38"/>
        <v>0</v>
      </c>
      <c r="J285" s="74"/>
      <c r="K285" s="74">
        <f t="shared" si="39"/>
        <v>0</v>
      </c>
      <c r="L285" s="74"/>
      <c r="M285" s="74">
        <f t="shared" si="40"/>
        <v>0</v>
      </c>
      <c r="N285" s="74">
        <f t="shared" si="41"/>
        <v>0</v>
      </c>
      <c r="O285" s="74">
        <f t="shared" si="42"/>
        <v>0</v>
      </c>
      <c r="P285" s="74">
        <f t="shared" si="43"/>
        <v>17.64</v>
      </c>
      <c r="Q285" s="74">
        <f t="shared" si="44"/>
        <v>0</v>
      </c>
    </row>
    <row r="286" spans="1:17" ht="31.5" hidden="1" customHeight="1">
      <c r="A286" s="71">
        <v>18</v>
      </c>
      <c r="B286" s="72">
        <f t="shared" si="36"/>
        <v>17.64</v>
      </c>
      <c r="C286" s="72" t="s">
        <v>5403</v>
      </c>
      <c r="D286" s="75">
        <f>Data!X614</f>
        <v>0</v>
      </c>
      <c r="E286" s="74" t="s">
        <v>5324</v>
      </c>
      <c r="F286" s="1425">
        <f>'Detail '!I888</f>
        <v>17.64</v>
      </c>
      <c r="G286" s="74">
        <f t="shared" si="37"/>
        <v>0</v>
      </c>
      <c r="H286" s="74"/>
      <c r="I286" s="74">
        <f t="shared" si="38"/>
        <v>0</v>
      </c>
      <c r="J286" s="74"/>
      <c r="K286" s="74">
        <f t="shared" si="39"/>
        <v>0</v>
      </c>
      <c r="L286" s="74"/>
      <c r="M286" s="74">
        <f t="shared" si="40"/>
        <v>0</v>
      </c>
      <c r="N286" s="74">
        <f t="shared" si="41"/>
        <v>0</v>
      </c>
      <c r="O286" s="74">
        <f t="shared" si="42"/>
        <v>0</v>
      </c>
      <c r="P286" s="74">
        <f t="shared" si="43"/>
        <v>17.64</v>
      </c>
      <c r="Q286" s="74">
        <f t="shared" si="44"/>
        <v>0</v>
      </c>
    </row>
    <row r="287" spans="1:17" ht="31.5" hidden="1" customHeight="1">
      <c r="A287" s="71">
        <v>19</v>
      </c>
      <c r="B287" s="72">
        <f t="shared" si="36"/>
        <v>0</v>
      </c>
      <c r="C287" s="72" t="s">
        <v>5404</v>
      </c>
      <c r="D287" s="75">
        <f>Data!X615</f>
        <v>0</v>
      </c>
      <c r="E287" s="74" t="s">
        <v>5324</v>
      </c>
      <c r="F287" s="1425">
        <f>'Detail '!I889</f>
        <v>0</v>
      </c>
      <c r="G287" s="74">
        <f t="shared" si="37"/>
        <v>0</v>
      </c>
      <c r="H287" s="74"/>
      <c r="I287" s="74">
        <f t="shared" si="38"/>
        <v>0</v>
      </c>
      <c r="J287" s="74"/>
      <c r="K287" s="74">
        <f t="shared" si="39"/>
        <v>0</v>
      </c>
      <c r="L287" s="74"/>
      <c r="M287" s="74">
        <f t="shared" si="40"/>
        <v>0</v>
      </c>
      <c r="N287" s="74">
        <f t="shared" si="41"/>
        <v>0</v>
      </c>
      <c r="O287" s="74">
        <f t="shared" si="42"/>
        <v>0</v>
      </c>
      <c r="P287" s="74">
        <f t="shared" si="43"/>
        <v>0</v>
      </c>
      <c r="Q287" s="74">
        <f t="shared" si="44"/>
        <v>0</v>
      </c>
    </row>
    <row r="288" spans="1:17" ht="31.5" hidden="1" customHeight="1">
      <c r="A288" s="71">
        <v>20</v>
      </c>
      <c r="B288" s="72">
        <f t="shared" si="36"/>
        <v>65.099999999999994</v>
      </c>
      <c r="C288" s="72" t="s">
        <v>5405</v>
      </c>
      <c r="D288" s="75">
        <f>Data!X616</f>
        <v>0</v>
      </c>
      <c r="E288" s="74" t="s">
        <v>5324</v>
      </c>
      <c r="F288" s="1425">
        <f>'Detail '!I890</f>
        <v>65.099999999999994</v>
      </c>
      <c r="G288" s="74">
        <f t="shared" si="37"/>
        <v>0</v>
      </c>
      <c r="H288" s="74"/>
      <c r="I288" s="74">
        <f t="shared" si="38"/>
        <v>0</v>
      </c>
      <c r="J288" s="74"/>
      <c r="K288" s="74">
        <f t="shared" si="39"/>
        <v>0</v>
      </c>
      <c r="L288" s="74"/>
      <c r="M288" s="74">
        <f t="shared" si="40"/>
        <v>0</v>
      </c>
      <c r="N288" s="74">
        <f t="shared" si="41"/>
        <v>0</v>
      </c>
      <c r="O288" s="74">
        <f t="shared" si="42"/>
        <v>0</v>
      </c>
      <c r="P288" s="74">
        <f t="shared" si="43"/>
        <v>65.099999999999994</v>
      </c>
      <c r="Q288" s="74">
        <f t="shared" si="44"/>
        <v>0</v>
      </c>
    </row>
    <row r="289" spans="1:17" ht="31.5" hidden="1" customHeight="1">
      <c r="A289" s="71">
        <v>21.1</v>
      </c>
      <c r="B289" s="72">
        <f t="shared" si="36"/>
        <v>65.099999999999994</v>
      </c>
      <c r="C289" s="76" t="s">
        <v>5406</v>
      </c>
      <c r="D289" s="75">
        <f>Data!X617</f>
        <v>0</v>
      </c>
      <c r="E289" s="74" t="s">
        <v>5324</v>
      </c>
      <c r="F289" s="1425">
        <f>'Detail '!I891</f>
        <v>65.099999999999994</v>
      </c>
      <c r="G289" s="74">
        <f t="shared" si="37"/>
        <v>0</v>
      </c>
      <c r="H289" s="74"/>
      <c r="I289" s="74">
        <f t="shared" si="38"/>
        <v>0</v>
      </c>
      <c r="J289" s="74"/>
      <c r="K289" s="74">
        <f t="shared" si="39"/>
        <v>0</v>
      </c>
      <c r="L289" s="74"/>
      <c r="M289" s="74">
        <f t="shared" si="40"/>
        <v>0</v>
      </c>
      <c r="N289" s="74">
        <f t="shared" si="41"/>
        <v>0</v>
      </c>
      <c r="O289" s="74">
        <f t="shared" si="42"/>
        <v>0</v>
      </c>
      <c r="P289" s="74">
        <f t="shared" si="43"/>
        <v>65.099999999999994</v>
      </c>
      <c r="Q289" s="74">
        <f t="shared" si="44"/>
        <v>0</v>
      </c>
    </row>
    <row r="290" spans="1:17" ht="31.5" hidden="1" customHeight="1">
      <c r="A290" s="71"/>
      <c r="B290" s="72">
        <f t="shared" si="36"/>
        <v>0</v>
      </c>
      <c r="C290" s="72" t="s">
        <v>5407</v>
      </c>
      <c r="D290" s="75">
        <f>Data!X618</f>
        <v>0</v>
      </c>
      <c r="E290" s="74" t="s">
        <v>5324</v>
      </c>
      <c r="F290" s="1425">
        <f>'Detail '!I892</f>
        <v>0</v>
      </c>
      <c r="G290" s="74">
        <f t="shared" si="37"/>
        <v>0</v>
      </c>
      <c r="H290" s="74"/>
      <c r="I290" s="74">
        <f t="shared" si="38"/>
        <v>0</v>
      </c>
      <c r="J290" s="74"/>
      <c r="K290" s="74">
        <f t="shared" si="39"/>
        <v>0</v>
      </c>
      <c r="L290" s="74"/>
      <c r="M290" s="74">
        <f t="shared" si="40"/>
        <v>0</v>
      </c>
      <c r="N290" s="74">
        <f t="shared" si="41"/>
        <v>0</v>
      </c>
      <c r="O290" s="74">
        <f t="shared" si="42"/>
        <v>0</v>
      </c>
      <c r="P290" s="74">
        <f t="shared" si="43"/>
        <v>0</v>
      </c>
      <c r="Q290" s="74">
        <f t="shared" si="44"/>
        <v>0</v>
      </c>
    </row>
    <row r="291" spans="1:17" ht="31.5" hidden="1" customHeight="1">
      <c r="A291" s="71"/>
      <c r="B291" s="72">
        <f t="shared" si="36"/>
        <v>0</v>
      </c>
      <c r="C291" s="72" t="s">
        <v>5408</v>
      </c>
      <c r="D291" s="75">
        <f>Data!X619</f>
        <v>0</v>
      </c>
      <c r="E291" s="74" t="s">
        <v>5324</v>
      </c>
      <c r="F291" s="1425">
        <f>'Detail '!I893</f>
        <v>0</v>
      </c>
      <c r="G291" s="74">
        <f t="shared" si="37"/>
        <v>0</v>
      </c>
      <c r="H291" s="74"/>
      <c r="I291" s="74">
        <f t="shared" si="38"/>
        <v>0</v>
      </c>
      <c r="J291" s="74"/>
      <c r="K291" s="74">
        <f t="shared" si="39"/>
        <v>0</v>
      </c>
      <c r="L291" s="74"/>
      <c r="M291" s="74">
        <f t="shared" si="40"/>
        <v>0</v>
      </c>
      <c r="N291" s="74">
        <f t="shared" si="41"/>
        <v>0</v>
      </c>
      <c r="O291" s="74">
        <f t="shared" si="42"/>
        <v>0</v>
      </c>
      <c r="P291" s="74">
        <f t="shared" si="43"/>
        <v>0</v>
      </c>
      <c r="Q291" s="74">
        <f t="shared" si="44"/>
        <v>0</v>
      </c>
    </row>
    <row r="292" spans="1:17" ht="31.5" hidden="1" customHeight="1">
      <c r="A292" s="78"/>
      <c r="B292" s="72">
        <f t="shared" si="36"/>
        <v>7.56</v>
      </c>
      <c r="C292" s="72" t="s">
        <v>5409</v>
      </c>
      <c r="D292" s="75">
        <f>Data!X620</f>
        <v>0</v>
      </c>
      <c r="E292" s="74" t="s">
        <v>5324</v>
      </c>
      <c r="F292" s="1425">
        <f>'Detail '!I894</f>
        <v>7.56</v>
      </c>
      <c r="G292" s="74">
        <f t="shared" si="37"/>
        <v>0</v>
      </c>
      <c r="H292" s="74"/>
      <c r="I292" s="74">
        <f t="shared" si="38"/>
        <v>0</v>
      </c>
      <c r="J292" s="74"/>
      <c r="K292" s="74">
        <f t="shared" si="39"/>
        <v>0</v>
      </c>
      <c r="L292" s="74"/>
      <c r="M292" s="74">
        <f t="shared" si="40"/>
        <v>0</v>
      </c>
      <c r="N292" s="74">
        <f t="shared" si="41"/>
        <v>0</v>
      </c>
      <c r="O292" s="74">
        <f t="shared" si="42"/>
        <v>0</v>
      </c>
      <c r="P292" s="74">
        <f t="shared" si="43"/>
        <v>7.56</v>
      </c>
      <c r="Q292" s="74">
        <f t="shared" si="44"/>
        <v>0</v>
      </c>
    </row>
    <row r="293" spans="1:17" ht="25.5" customHeight="1">
      <c r="A293" s="78"/>
      <c r="B293" s="72">
        <f t="shared" si="36"/>
        <v>8</v>
      </c>
      <c r="C293" s="72" t="s">
        <v>5345</v>
      </c>
      <c r="D293" s="75">
        <f>Data!X594</f>
        <v>636.54999999999995</v>
      </c>
      <c r="E293" s="74" t="s">
        <v>5324</v>
      </c>
      <c r="F293" s="1425">
        <f>'Detail '!I873</f>
        <v>8</v>
      </c>
      <c r="G293" s="74">
        <f t="shared" si="37"/>
        <v>5092.3999999999996</v>
      </c>
      <c r="H293" s="74"/>
      <c r="I293" s="74">
        <f t="shared" si="38"/>
        <v>0</v>
      </c>
      <c r="J293" s="74"/>
      <c r="K293" s="74">
        <f t="shared" si="39"/>
        <v>0</v>
      </c>
      <c r="L293" s="74"/>
      <c r="M293" s="74">
        <f t="shared" si="40"/>
        <v>0</v>
      </c>
      <c r="N293" s="74">
        <f t="shared" si="41"/>
        <v>0</v>
      </c>
      <c r="O293" s="74">
        <f t="shared" si="42"/>
        <v>0</v>
      </c>
      <c r="P293" s="74">
        <f t="shared" si="43"/>
        <v>8</v>
      </c>
      <c r="Q293" s="74">
        <f t="shared" si="44"/>
        <v>5092.3999999999996</v>
      </c>
    </row>
    <row r="294" spans="1:17" ht="46.5" customHeight="1">
      <c r="A294" s="71">
        <v>21.2</v>
      </c>
      <c r="B294" s="72">
        <f t="shared" si="36"/>
        <v>0</v>
      </c>
      <c r="C294" s="76" t="s">
        <v>3467</v>
      </c>
      <c r="D294" s="75"/>
      <c r="E294" s="74"/>
      <c r="F294" s="75"/>
      <c r="G294" s="74">
        <f t="shared" si="37"/>
        <v>0</v>
      </c>
      <c r="H294" s="74"/>
      <c r="I294" s="74">
        <f t="shared" si="38"/>
        <v>0</v>
      </c>
      <c r="J294" s="74"/>
      <c r="K294" s="74">
        <f t="shared" si="39"/>
        <v>0</v>
      </c>
      <c r="L294" s="74"/>
      <c r="M294" s="74">
        <f t="shared" si="40"/>
        <v>0</v>
      </c>
      <c r="N294" s="74">
        <f t="shared" si="41"/>
        <v>0</v>
      </c>
      <c r="O294" s="74">
        <f t="shared" si="42"/>
        <v>0</v>
      </c>
      <c r="P294" s="74">
        <f t="shared" si="43"/>
        <v>0</v>
      </c>
      <c r="Q294" s="74">
        <f t="shared" si="44"/>
        <v>0</v>
      </c>
    </row>
    <row r="295" spans="1:17" ht="46.5" customHeight="1">
      <c r="A295" s="71"/>
      <c r="B295" s="72">
        <v>2.39</v>
      </c>
      <c r="C295" s="72" t="s">
        <v>3468</v>
      </c>
      <c r="D295" s="75">
        <f>ROUND(Data!K923,2)</f>
        <v>125878</v>
      </c>
      <c r="E295" s="74" t="s">
        <v>5296</v>
      </c>
      <c r="F295" s="1427">
        <f>'Detail '!I879</f>
        <v>0.441</v>
      </c>
      <c r="G295" s="74">
        <f t="shared" si="37"/>
        <v>55512.2</v>
      </c>
      <c r="H295" s="74"/>
      <c r="I295" s="74">
        <f t="shared" si="38"/>
        <v>0</v>
      </c>
      <c r="J295" s="74"/>
      <c r="K295" s="74">
        <f t="shared" si="39"/>
        <v>0</v>
      </c>
      <c r="L295" s="74"/>
      <c r="M295" s="74">
        <f t="shared" si="40"/>
        <v>0</v>
      </c>
      <c r="N295" s="74">
        <f t="shared" si="41"/>
        <v>0</v>
      </c>
      <c r="O295" s="74">
        <f t="shared" si="42"/>
        <v>0</v>
      </c>
      <c r="P295" s="1630">
        <f t="shared" si="43"/>
        <v>0.441</v>
      </c>
      <c r="Q295" s="74">
        <f>P295*D295</f>
        <v>55512.2</v>
      </c>
    </row>
    <row r="296" spans="1:17" ht="33.75" customHeight="1">
      <c r="A296" s="77"/>
      <c r="B296" s="72">
        <v>1.18</v>
      </c>
      <c r="C296" s="72" t="s">
        <v>3469</v>
      </c>
      <c r="D296" s="75">
        <f>ROUND(Data!K930,2)</f>
        <v>113678</v>
      </c>
      <c r="E296" s="74" t="s">
        <v>5296</v>
      </c>
      <c r="F296" s="1427">
        <f>'Detail '!I884</f>
        <v>0.252</v>
      </c>
      <c r="G296" s="74">
        <f t="shared" si="37"/>
        <v>28646.86</v>
      </c>
      <c r="H296" s="74"/>
      <c r="I296" s="74">
        <f t="shared" si="38"/>
        <v>0</v>
      </c>
      <c r="J296" s="74"/>
      <c r="K296" s="74">
        <f t="shared" si="39"/>
        <v>0</v>
      </c>
      <c r="L296" s="74"/>
      <c r="M296" s="74">
        <f t="shared" si="40"/>
        <v>0</v>
      </c>
      <c r="N296" s="74">
        <f t="shared" si="41"/>
        <v>0</v>
      </c>
      <c r="O296" s="74">
        <f t="shared" si="42"/>
        <v>0</v>
      </c>
      <c r="P296" s="1630">
        <f t="shared" si="43"/>
        <v>0.252</v>
      </c>
      <c r="Q296" s="74">
        <f t="shared" si="44"/>
        <v>28646.86</v>
      </c>
    </row>
    <row r="297" spans="1:17" ht="37.5" hidden="1" customHeight="1">
      <c r="A297" s="71">
        <v>21.3</v>
      </c>
      <c r="B297" s="72">
        <f t="shared" si="36"/>
        <v>0</v>
      </c>
      <c r="C297" s="72" t="s">
        <v>5410</v>
      </c>
      <c r="D297" s="75">
        <f>ROUND(Data!K912,2)</f>
        <v>2135</v>
      </c>
      <c r="E297" s="74" t="s">
        <v>5324</v>
      </c>
      <c r="F297" s="75"/>
      <c r="G297" s="74">
        <f t="shared" si="37"/>
        <v>0</v>
      </c>
      <c r="H297" s="74"/>
      <c r="I297" s="74">
        <f t="shared" si="38"/>
        <v>0</v>
      </c>
      <c r="J297" s="74"/>
      <c r="K297" s="74">
        <f t="shared" si="39"/>
        <v>0</v>
      </c>
      <c r="L297" s="74"/>
      <c r="M297" s="74">
        <f t="shared" si="40"/>
        <v>0</v>
      </c>
      <c r="N297" s="74">
        <f t="shared" si="41"/>
        <v>0</v>
      </c>
      <c r="O297" s="74">
        <f t="shared" si="42"/>
        <v>0</v>
      </c>
      <c r="P297" s="74">
        <f t="shared" si="43"/>
        <v>0</v>
      </c>
      <c r="Q297" s="74">
        <f t="shared" si="44"/>
        <v>0</v>
      </c>
    </row>
    <row r="298" spans="1:17" ht="25.5" customHeight="1">
      <c r="A298" s="71">
        <v>22.1</v>
      </c>
      <c r="B298" s="72">
        <f t="shared" si="36"/>
        <v>0</v>
      </c>
      <c r="C298" s="72" t="s">
        <v>5411</v>
      </c>
      <c r="D298" s="75"/>
      <c r="E298" s="74"/>
      <c r="F298" s="75"/>
      <c r="G298" s="74">
        <f t="shared" si="37"/>
        <v>0</v>
      </c>
      <c r="H298" s="74"/>
      <c r="I298" s="74">
        <f t="shared" si="38"/>
        <v>0</v>
      </c>
      <c r="J298" s="74"/>
      <c r="K298" s="74">
        <f t="shared" si="39"/>
        <v>0</v>
      </c>
      <c r="L298" s="74"/>
      <c r="M298" s="74">
        <f t="shared" si="40"/>
        <v>0</v>
      </c>
      <c r="N298" s="74">
        <f t="shared" si="41"/>
        <v>0</v>
      </c>
      <c r="O298" s="74">
        <f t="shared" si="42"/>
        <v>0</v>
      </c>
      <c r="P298" s="74">
        <f t="shared" si="43"/>
        <v>0</v>
      </c>
      <c r="Q298" s="74">
        <f t="shared" si="44"/>
        <v>0</v>
      </c>
    </row>
    <row r="299" spans="1:17" ht="35.25" customHeight="1">
      <c r="A299" s="72"/>
      <c r="B299" s="72">
        <f t="shared" si="36"/>
        <v>65.099999999999994</v>
      </c>
      <c r="C299" s="72" t="s">
        <v>3632</v>
      </c>
      <c r="D299" s="1637">
        <v>6752.88</v>
      </c>
      <c r="E299" s="74" t="s">
        <v>5324</v>
      </c>
      <c r="F299" s="1425">
        <f>'Detail '!I891</f>
        <v>65.099999999999994</v>
      </c>
      <c r="G299" s="74">
        <f t="shared" si="37"/>
        <v>439612.49</v>
      </c>
      <c r="H299" s="74"/>
      <c r="I299" s="74">
        <f t="shared" si="38"/>
        <v>0</v>
      </c>
      <c r="J299" s="74"/>
      <c r="K299" s="74">
        <f t="shared" si="39"/>
        <v>0</v>
      </c>
      <c r="L299" s="74"/>
      <c r="M299" s="74">
        <f t="shared" si="40"/>
        <v>0</v>
      </c>
      <c r="N299" s="74">
        <f t="shared" si="41"/>
        <v>0</v>
      </c>
      <c r="O299" s="74">
        <f t="shared" si="42"/>
        <v>0</v>
      </c>
      <c r="P299" s="74">
        <f t="shared" si="43"/>
        <v>65.099999999999994</v>
      </c>
      <c r="Q299" s="74">
        <f t="shared" si="44"/>
        <v>439612.49</v>
      </c>
    </row>
    <row r="300" spans="1:17" ht="25.5" hidden="1" customHeight="1">
      <c r="A300" s="72"/>
      <c r="B300" s="72">
        <f t="shared" si="36"/>
        <v>0</v>
      </c>
      <c r="C300" s="72" t="s">
        <v>5412</v>
      </c>
      <c r="D300" s="75">
        <f>ROUND(Data!K1000,2)</f>
        <v>5112.2700000000004</v>
      </c>
      <c r="E300" s="74" t="s">
        <v>5324</v>
      </c>
      <c r="F300" s="75"/>
      <c r="G300" s="74">
        <f t="shared" si="37"/>
        <v>0</v>
      </c>
      <c r="H300" s="74"/>
      <c r="I300" s="74">
        <f t="shared" si="38"/>
        <v>0</v>
      </c>
      <c r="J300" s="74"/>
      <c r="K300" s="74">
        <f t="shared" si="39"/>
        <v>0</v>
      </c>
      <c r="L300" s="74"/>
      <c r="M300" s="74">
        <f t="shared" si="40"/>
        <v>0</v>
      </c>
      <c r="N300" s="74">
        <f t="shared" si="41"/>
        <v>0</v>
      </c>
      <c r="O300" s="74">
        <f t="shared" si="42"/>
        <v>0</v>
      </c>
      <c r="P300" s="74">
        <f t="shared" si="43"/>
        <v>0</v>
      </c>
      <c r="Q300" s="74">
        <f t="shared" si="44"/>
        <v>0</v>
      </c>
    </row>
    <row r="301" spans="1:17" ht="25.5" hidden="1" customHeight="1">
      <c r="A301" s="56"/>
      <c r="B301" s="72">
        <f t="shared" si="36"/>
        <v>0</v>
      </c>
      <c r="C301" s="72" t="s">
        <v>5413</v>
      </c>
      <c r="D301" s="75">
        <f>ROUND(Data!K1030,2)</f>
        <v>5136.9399999999996</v>
      </c>
      <c r="E301" s="74" t="s">
        <v>5324</v>
      </c>
      <c r="F301" s="75"/>
      <c r="G301" s="74">
        <f t="shared" si="37"/>
        <v>0</v>
      </c>
      <c r="H301" s="74"/>
      <c r="I301" s="74">
        <f t="shared" si="38"/>
        <v>0</v>
      </c>
      <c r="J301" s="74"/>
      <c r="K301" s="74">
        <f t="shared" si="39"/>
        <v>0</v>
      </c>
      <c r="L301" s="74"/>
      <c r="M301" s="74">
        <f t="shared" si="40"/>
        <v>0</v>
      </c>
      <c r="N301" s="74">
        <f t="shared" si="41"/>
        <v>0</v>
      </c>
      <c r="O301" s="74">
        <f t="shared" si="42"/>
        <v>0</v>
      </c>
      <c r="P301" s="74">
        <f t="shared" si="43"/>
        <v>0</v>
      </c>
      <c r="Q301" s="74">
        <f t="shared" si="44"/>
        <v>0</v>
      </c>
    </row>
    <row r="302" spans="1:17" ht="25.5" hidden="1" customHeight="1">
      <c r="A302" s="56"/>
      <c r="B302" s="72">
        <f t="shared" si="36"/>
        <v>0</v>
      </c>
      <c r="C302" s="72" t="s">
        <v>5414</v>
      </c>
      <c r="D302" s="75">
        <f>Data!R2834</f>
        <v>5257.76</v>
      </c>
      <c r="E302" s="74" t="s">
        <v>5324</v>
      </c>
      <c r="F302" s="75"/>
      <c r="G302" s="74">
        <f t="shared" si="37"/>
        <v>0</v>
      </c>
      <c r="H302" s="74"/>
      <c r="I302" s="74">
        <f t="shared" si="38"/>
        <v>0</v>
      </c>
      <c r="J302" s="74"/>
      <c r="K302" s="74">
        <f t="shared" si="39"/>
        <v>0</v>
      </c>
      <c r="L302" s="74"/>
      <c r="M302" s="74">
        <f t="shared" si="40"/>
        <v>0</v>
      </c>
      <c r="N302" s="74">
        <f t="shared" si="41"/>
        <v>0</v>
      </c>
      <c r="O302" s="74">
        <f t="shared" si="42"/>
        <v>0</v>
      </c>
      <c r="P302" s="74">
        <f t="shared" si="43"/>
        <v>0</v>
      </c>
      <c r="Q302" s="74">
        <f t="shared" si="44"/>
        <v>0</v>
      </c>
    </row>
    <row r="303" spans="1:17" ht="25.5" hidden="1" customHeight="1">
      <c r="A303" s="71">
        <v>22.2</v>
      </c>
      <c r="B303" s="72">
        <f t="shared" si="36"/>
        <v>0</v>
      </c>
      <c r="C303" s="76" t="s">
        <v>5415</v>
      </c>
      <c r="D303" s="75"/>
      <c r="E303" s="74"/>
      <c r="F303" s="75"/>
      <c r="G303" s="74">
        <f t="shared" si="37"/>
        <v>0</v>
      </c>
      <c r="H303" s="74"/>
      <c r="I303" s="74">
        <f t="shared" si="38"/>
        <v>0</v>
      </c>
      <c r="J303" s="74"/>
      <c r="K303" s="74">
        <f t="shared" si="39"/>
        <v>0</v>
      </c>
      <c r="L303" s="74"/>
      <c r="M303" s="74">
        <f t="shared" si="40"/>
        <v>0</v>
      </c>
      <c r="N303" s="74">
        <f t="shared" si="41"/>
        <v>0</v>
      </c>
      <c r="O303" s="74">
        <f t="shared" si="42"/>
        <v>0</v>
      </c>
      <c r="P303" s="74">
        <f t="shared" si="43"/>
        <v>0</v>
      </c>
      <c r="Q303" s="74">
        <f t="shared" si="44"/>
        <v>0</v>
      </c>
    </row>
    <row r="304" spans="1:17" ht="25.5" hidden="1" customHeight="1">
      <c r="A304" s="72"/>
      <c r="B304" s="72">
        <f t="shared" si="36"/>
        <v>0</v>
      </c>
      <c r="C304" s="72" t="s">
        <v>5416</v>
      </c>
      <c r="D304" s="75">
        <f>ROUND(Data!K1081,2)</f>
        <v>3659.42</v>
      </c>
      <c r="E304" s="74" t="s">
        <v>5324</v>
      </c>
      <c r="F304" s="75"/>
      <c r="G304" s="74">
        <f t="shared" si="37"/>
        <v>0</v>
      </c>
      <c r="H304" s="74"/>
      <c r="I304" s="74">
        <f t="shared" si="38"/>
        <v>0</v>
      </c>
      <c r="J304" s="74"/>
      <c r="K304" s="74">
        <f t="shared" si="39"/>
        <v>0</v>
      </c>
      <c r="L304" s="74"/>
      <c r="M304" s="74">
        <f t="shared" si="40"/>
        <v>0</v>
      </c>
      <c r="N304" s="74">
        <f t="shared" si="41"/>
        <v>0</v>
      </c>
      <c r="O304" s="74">
        <f t="shared" si="42"/>
        <v>0</v>
      </c>
      <c r="P304" s="74">
        <f t="shared" si="43"/>
        <v>0</v>
      </c>
      <c r="Q304" s="74">
        <f t="shared" si="44"/>
        <v>0</v>
      </c>
    </row>
    <row r="305" spans="1:17" ht="25.5" hidden="1" customHeight="1">
      <c r="A305" s="72"/>
      <c r="B305" s="72">
        <f t="shared" si="36"/>
        <v>0</v>
      </c>
      <c r="C305" s="72" t="s">
        <v>5417</v>
      </c>
      <c r="D305" s="75"/>
      <c r="E305" s="74" t="s">
        <v>5324</v>
      </c>
      <c r="F305" s="75"/>
      <c r="G305" s="74">
        <f t="shared" si="37"/>
        <v>0</v>
      </c>
      <c r="H305" s="74"/>
      <c r="I305" s="74">
        <f t="shared" si="38"/>
        <v>0</v>
      </c>
      <c r="J305" s="74"/>
      <c r="K305" s="74">
        <f t="shared" si="39"/>
        <v>0</v>
      </c>
      <c r="L305" s="74"/>
      <c r="M305" s="74">
        <f t="shared" si="40"/>
        <v>0</v>
      </c>
      <c r="N305" s="74">
        <f t="shared" si="41"/>
        <v>0</v>
      </c>
      <c r="O305" s="74">
        <f t="shared" si="42"/>
        <v>0</v>
      </c>
      <c r="P305" s="74">
        <f t="shared" si="43"/>
        <v>0</v>
      </c>
      <c r="Q305" s="74">
        <f t="shared" si="44"/>
        <v>0</v>
      </c>
    </row>
    <row r="306" spans="1:17" ht="25.5" hidden="1" customHeight="1">
      <c r="A306" s="72"/>
      <c r="B306" s="72">
        <f t="shared" si="36"/>
        <v>0</v>
      </c>
      <c r="C306" s="72" t="s">
        <v>5418</v>
      </c>
      <c r="D306" s="75">
        <f>ROUND(Data!K1097,2)</f>
        <v>3858.29</v>
      </c>
      <c r="E306" s="74" t="s">
        <v>5324</v>
      </c>
      <c r="F306" s="75"/>
      <c r="G306" s="74">
        <f t="shared" si="37"/>
        <v>0</v>
      </c>
      <c r="H306" s="74"/>
      <c r="I306" s="74">
        <f t="shared" si="38"/>
        <v>0</v>
      </c>
      <c r="J306" s="74"/>
      <c r="K306" s="74">
        <f t="shared" si="39"/>
        <v>0</v>
      </c>
      <c r="L306" s="74"/>
      <c r="M306" s="74">
        <f t="shared" si="40"/>
        <v>0</v>
      </c>
      <c r="N306" s="74">
        <f t="shared" si="41"/>
        <v>0</v>
      </c>
      <c r="O306" s="74">
        <f t="shared" si="42"/>
        <v>0</v>
      </c>
      <c r="P306" s="74">
        <f t="shared" si="43"/>
        <v>0</v>
      </c>
      <c r="Q306" s="74">
        <f t="shared" si="44"/>
        <v>0</v>
      </c>
    </row>
    <row r="307" spans="1:17" ht="25.5" hidden="1" customHeight="1">
      <c r="A307" s="56"/>
      <c r="B307" s="72">
        <f t="shared" si="36"/>
        <v>0</v>
      </c>
      <c r="C307" s="72" t="s">
        <v>5419</v>
      </c>
      <c r="D307" s="75">
        <f>ROUND(Data!K1112,2)</f>
        <v>2856.35</v>
      </c>
      <c r="E307" s="74" t="s">
        <v>5324</v>
      </c>
      <c r="F307" s="75"/>
      <c r="G307" s="74">
        <f t="shared" si="37"/>
        <v>0</v>
      </c>
      <c r="H307" s="74"/>
      <c r="I307" s="74">
        <f t="shared" si="38"/>
        <v>0</v>
      </c>
      <c r="J307" s="74"/>
      <c r="K307" s="74">
        <f t="shared" si="39"/>
        <v>0</v>
      </c>
      <c r="L307" s="74"/>
      <c r="M307" s="74">
        <f t="shared" si="40"/>
        <v>0</v>
      </c>
      <c r="N307" s="74">
        <f t="shared" si="41"/>
        <v>0</v>
      </c>
      <c r="O307" s="74">
        <f t="shared" si="42"/>
        <v>0</v>
      </c>
      <c r="P307" s="74">
        <f t="shared" si="43"/>
        <v>0</v>
      </c>
      <c r="Q307" s="74">
        <f t="shared" si="44"/>
        <v>0</v>
      </c>
    </row>
    <row r="308" spans="1:17" ht="37.5" hidden="1" customHeight="1">
      <c r="A308" s="71">
        <v>22.3</v>
      </c>
      <c r="B308" s="72">
        <f t="shared" si="36"/>
        <v>0</v>
      </c>
      <c r="C308" s="72" t="s">
        <v>5420</v>
      </c>
      <c r="D308" s="75"/>
      <c r="E308" s="74" t="s">
        <v>5324</v>
      </c>
      <c r="F308" s="75"/>
      <c r="G308" s="74">
        <f t="shared" si="37"/>
        <v>0</v>
      </c>
      <c r="H308" s="74"/>
      <c r="I308" s="74">
        <f t="shared" si="38"/>
        <v>0</v>
      </c>
      <c r="J308" s="74"/>
      <c r="K308" s="74">
        <f t="shared" si="39"/>
        <v>0</v>
      </c>
      <c r="L308" s="74"/>
      <c r="M308" s="74">
        <f t="shared" si="40"/>
        <v>0</v>
      </c>
      <c r="N308" s="74">
        <f t="shared" si="41"/>
        <v>0</v>
      </c>
      <c r="O308" s="74">
        <f t="shared" si="42"/>
        <v>0</v>
      </c>
      <c r="P308" s="74">
        <f t="shared" si="43"/>
        <v>0</v>
      </c>
      <c r="Q308" s="74">
        <f t="shared" si="44"/>
        <v>0</v>
      </c>
    </row>
    <row r="309" spans="1:17" ht="43.5" hidden="1" customHeight="1">
      <c r="A309" s="71">
        <v>23.1</v>
      </c>
      <c r="B309" s="72">
        <f t="shared" si="36"/>
        <v>0</v>
      </c>
      <c r="C309" s="72" t="s">
        <v>5421</v>
      </c>
      <c r="D309" s="75"/>
      <c r="E309" s="74" t="s">
        <v>5324</v>
      </c>
      <c r="F309" s="75"/>
      <c r="G309" s="74">
        <f t="shared" si="37"/>
        <v>0</v>
      </c>
      <c r="H309" s="74"/>
      <c r="I309" s="74">
        <f t="shared" si="38"/>
        <v>0</v>
      </c>
      <c r="J309" s="74"/>
      <c r="K309" s="74">
        <f t="shared" si="39"/>
        <v>0</v>
      </c>
      <c r="L309" s="74"/>
      <c r="M309" s="74">
        <f t="shared" si="40"/>
        <v>0</v>
      </c>
      <c r="N309" s="74">
        <f t="shared" si="41"/>
        <v>0</v>
      </c>
      <c r="O309" s="74">
        <f t="shared" si="42"/>
        <v>0</v>
      </c>
      <c r="P309" s="74">
        <f t="shared" si="43"/>
        <v>0</v>
      </c>
      <c r="Q309" s="74">
        <f t="shared" si="44"/>
        <v>0</v>
      </c>
    </row>
    <row r="310" spans="1:17" ht="25.5" hidden="1" customHeight="1">
      <c r="A310" s="56"/>
      <c r="B310" s="72">
        <f t="shared" si="36"/>
        <v>0</v>
      </c>
      <c r="C310" s="72" t="s">
        <v>5407</v>
      </c>
      <c r="D310" s="75">
        <f>ROUND(Data!K1066,2)</f>
        <v>3687.68</v>
      </c>
      <c r="E310" s="74" t="s">
        <v>5324</v>
      </c>
      <c r="F310" s="75"/>
      <c r="G310" s="74">
        <f t="shared" si="37"/>
        <v>0</v>
      </c>
      <c r="H310" s="74"/>
      <c r="I310" s="74">
        <f t="shared" si="38"/>
        <v>0</v>
      </c>
      <c r="J310" s="74"/>
      <c r="K310" s="74">
        <f t="shared" si="39"/>
        <v>0</v>
      </c>
      <c r="L310" s="74"/>
      <c r="M310" s="74">
        <f t="shared" si="40"/>
        <v>0</v>
      </c>
      <c r="N310" s="74">
        <f t="shared" si="41"/>
        <v>0</v>
      </c>
      <c r="O310" s="74">
        <f t="shared" si="42"/>
        <v>0</v>
      </c>
      <c r="P310" s="74">
        <f t="shared" si="43"/>
        <v>0</v>
      </c>
      <c r="Q310" s="74">
        <f t="shared" si="44"/>
        <v>0</v>
      </c>
    </row>
    <row r="311" spans="1:17" ht="25.5" hidden="1" customHeight="1">
      <c r="A311" s="71">
        <v>23.2</v>
      </c>
      <c r="B311" s="72">
        <f t="shared" si="36"/>
        <v>0</v>
      </c>
      <c r="C311" s="72" t="s">
        <v>5422</v>
      </c>
      <c r="D311" s="75">
        <f>ROUND(Data!K1185,2)</f>
        <v>747</v>
      </c>
      <c r="E311" s="74" t="s">
        <v>5324</v>
      </c>
      <c r="F311" s="75"/>
      <c r="G311" s="74">
        <f t="shared" si="37"/>
        <v>0</v>
      </c>
      <c r="H311" s="74"/>
      <c r="I311" s="74">
        <f t="shared" si="38"/>
        <v>0</v>
      </c>
      <c r="J311" s="74"/>
      <c r="K311" s="74">
        <f t="shared" si="39"/>
        <v>0</v>
      </c>
      <c r="L311" s="74"/>
      <c r="M311" s="74">
        <f t="shared" si="40"/>
        <v>0</v>
      </c>
      <c r="N311" s="74">
        <f t="shared" si="41"/>
        <v>0</v>
      </c>
      <c r="O311" s="74">
        <f t="shared" si="42"/>
        <v>0</v>
      </c>
      <c r="P311" s="74">
        <f t="shared" si="43"/>
        <v>0</v>
      </c>
      <c r="Q311" s="74">
        <f t="shared" si="44"/>
        <v>0</v>
      </c>
    </row>
    <row r="312" spans="1:17" s="56" customFormat="1" ht="51" customHeight="1">
      <c r="A312" s="71">
        <v>23.3</v>
      </c>
      <c r="B312" s="72">
        <f t="shared" si="36"/>
        <v>49</v>
      </c>
      <c r="C312" s="72" t="s">
        <v>5423</v>
      </c>
      <c r="D312" s="75">
        <f>Data!K1170</f>
        <v>52</v>
      </c>
      <c r="E312" s="74" t="s">
        <v>729</v>
      </c>
      <c r="F312" s="1425">
        <f>'Detail '!I900</f>
        <v>49</v>
      </c>
      <c r="G312" s="74">
        <f t="shared" si="37"/>
        <v>2548</v>
      </c>
      <c r="H312" s="74"/>
      <c r="I312" s="74">
        <f t="shared" si="38"/>
        <v>0</v>
      </c>
      <c r="J312" s="74"/>
      <c r="K312" s="74">
        <f t="shared" si="39"/>
        <v>0</v>
      </c>
      <c r="L312" s="74"/>
      <c r="M312" s="74">
        <f t="shared" si="40"/>
        <v>0</v>
      </c>
      <c r="N312" s="74">
        <f t="shared" si="41"/>
        <v>0</v>
      </c>
      <c r="O312" s="74">
        <f t="shared" si="42"/>
        <v>0</v>
      </c>
      <c r="P312" s="74">
        <f t="shared" si="43"/>
        <v>49</v>
      </c>
      <c r="Q312" s="74">
        <f t="shared" si="44"/>
        <v>2548</v>
      </c>
    </row>
    <row r="313" spans="1:17" ht="46.5" hidden="1" customHeight="1">
      <c r="A313" s="71">
        <v>23.4</v>
      </c>
      <c r="B313" s="72">
        <f t="shared" si="36"/>
        <v>0</v>
      </c>
      <c r="C313" s="72" t="s">
        <v>5424</v>
      </c>
      <c r="D313" s="75"/>
      <c r="E313" s="74"/>
      <c r="F313" s="75"/>
      <c r="G313" s="74">
        <f t="shared" si="37"/>
        <v>0</v>
      </c>
      <c r="H313" s="74"/>
      <c r="I313" s="74">
        <f t="shared" si="38"/>
        <v>0</v>
      </c>
      <c r="J313" s="74"/>
      <c r="K313" s="74">
        <f t="shared" si="39"/>
        <v>0</v>
      </c>
      <c r="L313" s="74"/>
      <c r="M313" s="74">
        <f t="shared" si="40"/>
        <v>0</v>
      </c>
      <c r="N313" s="74">
        <f t="shared" si="41"/>
        <v>0</v>
      </c>
      <c r="O313" s="74">
        <f t="shared" si="42"/>
        <v>0</v>
      </c>
      <c r="P313" s="74">
        <f t="shared" si="43"/>
        <v>0</v>
      </c>
      <c r="Q313" s="74">
        <f t="shared" si="44"/>
        <v>0</v>
      </c>
    </row>
    <row r="314" spans="1:17" ht="33" hidden="1" customHeight="1">
      <c r="A314" s="72"/>
      <c r="B314" s="72">
        <f t="shared" si="36"/>
        <v>0</v>
      </c>
      <c r="C314" s="72" t="s">
        <v>5425</v>
      </c>
      <c r="D314" s="75">
        <f>Data!X1399</f>
        <v>16343.94</v>
      </c>
      <c r="E314" s="74" t="s">
        <v>729</v>
      </c>
      <c r="F314" s="75"/>
      <c r="G314" s="74">
        <f t="shared" si="37"/>
        <v>0</v>
      </c>
      <c r="H314" s="74"/>
      <c r="I314" s="74">
        <f t="shared" si="38"/>
        <v>0</v>
      </c>
      <c r="J314" s="74"/>
      <c r="K314" s="74">
        <f t="shared" si="39"/>
        <v>0</v>
      </c>
      <c r="L314" s="74"/>
      <c r="M314" s="74">
        <f t="shared" si="40"/>
        <v>0</v>
      </c>
      <c r="N314" s="74">
        <f t="shared" si="41"/>
        <v>0</v>
      </c>
      <c r="O314" s="74">
        <f t="shared" si="42"/>
        <v>0</v>
      </c>
      <c r="P314" s="74">
        <f t="shared" si="43"/>
        <v>0</v>
      </c>
      <c r="Q314" s="74">
        <f t="shared" si="44"/>
        <v>0</v>
      </c>
    </row>
    <row r="315" spans="1:17" ht="33" hidden="1" customHeight="1">
      <c r="A315" s="72"/>
      <c r="B315" s="72">
        <f t="shared" si="36"/>
        <v>0</v>
      </c>
      <c r="C315" s="72" t="s">
        <v>5426</v>
      </c>
      <c r="D315" s="75">
        <f>Data!R1404</f>
        <v>12316.86</v>
      </c>
      <c r="E315" s="74" t="s">
        <v>729</v>
      </c>
      <c r="F315" s="75"/>
      <c r="G315" s="74">
        <f t="shared" si="37"/>
        <v>0</v>
      </c>
      <c r="H315" s="74"/>
      <c r="I315" s="74">
        <f t="shared" si="38"/>
        <v>0</v>
      </c>
      <c r="J315" s="74"/>
      <c r="K315" s="74">
        <f t="shared" si="39"/>
        <v>0</v>
      </c>
      <c r="L315" s="74"/>
      <c r="M315" s="74">
        <f t="shared" si="40"/>
        <v>0</v>
      </c>
      <c r="N315" s="74">
        <f t="shared" si="41"/>
        <v>0</v>
      </c>
      <c r="O315" s="74">
        <f t="shared" si="42"/>
        <v>0</v>
      </c>
      <c r="P315" s="74">
        <f t="shared" si="43"/>
        <v>0</v>
      </c>
      <c r="Q315" s="74">
        <f t="shared" si="44"/>
        <v>0</v>
      </c>
    </row>
    <row r="316" spans="1:17" ht="33" hidden="1" customHeight="1">
      <c r="A316" s="72"/>
      <c r="B316" s="72">
        <f t="shared" si="36"/>
        <v>0</v>
      </c>
      <c r="C316" s="72" t="s">
        <v>5427</v>
      </c>
      <c r="D316" s="75">
        <f>Data!X1365</f>
        <v>10473.56</v>
      </c>
      <c r="E316" s="74" t="s">
        <v>729</v>
      </c>
      <c r="F316" s="75"/>
      <c r="G316" s="74">
        <f t="shared" si="37"/>
        <v>0</v>
      </c>
      <c r="H316" s="74"/>
      <c r="I316" s="74">
        <f t="shared" si="38"/>
        <v>0</v>
      </c>
      <c r="J316" s="74"/>
      <c r="K316" s="74">
        <f t="shared" si="39"/>
        <v>0</v>
      </c>
      <c r="L316" s="74"/>
      <c r="M316" s="74">
        <f t="shared" si="40"/>
        <v>0</v>
      </c>
      <c r="N316" s="74">
        <f t="shared" si="41"/>
        <v>0</v>
      </c>
      <c r="O316" s="74">
        <f t="shared" si="42"/>
        <v>0</v>
      </c>
      <c r="P316" s="74">
        <f t="shared" si="43"/>
        <v>0</v>
      </c>
      <c r="Q316" s="74">
        <f t="shared" si="44"/>
        <v>0</v>
      </c>
    </row>
    <row r="317" spans="1:17" ht="33" hidden="1" customHeight="1">
      <c r="A317" s="72"/>
      <c r="B317" s="72">
        <f t="shared" si="36"/>
        <v>0</v>
      </c>
      <c r="C317" s="72" t="s">
        <v>5428</v>
      </c>
      <c r="D317" s="75">
        <f>Data!R1421</f>
        <v>9840.4500000000007</v>
      </c>
      <c r="E317" s="74" t="s">
        <v>729</v>
      </c>
      <c r="F317" s="75"/>
      <c r="G317" s="74">
        <f t="shared" si="37"/>
        <v>0</v>
      </c>
      <c r="H317" s="74"/>
      <c r="I317" s="74">
        <f t="shared" si="38"/>
        <v>0</v>
      </c>
      <c r="J317" s="74"/>
      <c r="K317" s="74">
        <f t="shared" si="39"/>
        <v>0</v>
      </c>
      <c r="L317" s="74"/>
      <c r="M317" s="74">
        <f t="shared" si="40"/>
        <v>0</v>
      </c>
      <c r="N317" s="74">
        <f t="shared" si="41"/>
        <v>0</v>
      </c>
      <c r="O317" s="74">
        <f t="shared" si="42"/>
        <v>0</v>
      </c>
      <c r="P317" s="74">
        <f t="shared" si="43"/>
        <v>0</v>
      </c>
      <c r="Q317" s="74">
        <f t="shared" si="44"/>
        <v>0</v>
      </c>
    </row>
    <row r="318" spans="1:17" ht="33" hidden="1" customHeight="1">
      <c r="A318" s="72"/>
      <c r="B318" s="72">
        <f t="shared" si="36"/>
        <v>0</v>
      </c>
      <c r="C318" s="72" t="s">
        <v>5429</v>
      </c>
      <c r="D318" s="75"/>
      <c r="E318" s="74" t="s">
        <v>729</v>
      </c>
      <c r="F318" s="75"/>
      <c r="G318" s="74">
        <f t="shared" si="37"/>
        <v>0</v>
      </c>
      <c r="H318" s="74"/>
      <c r="I318" s="74">
        <f t="shared" si="38"/>
        <v>0</v>
      </c>
      <c r="J318" s="74"/>
      <c r="K318" s="74">
        <f t="shared" si="39"/>
        <v>0</v>
      </c>
      <c r="L318" s="74"/>
      <c r="M318" s="74">
        <f t="shared" si="40"/>
        <v>0</v>
      </c>
      <c r="N318" s="74">
        <f t="shared" si="41"/>
        <v>0</v>
      </c>
      <c r="O318" s="74">
        <f t="shared" si="42"/>
        <v>0</v>
      </c>
      <c r="P318" s="74">
        <f t="shared" si="43"/>
        <v>0</v>
      </c>
      <c r="Q318" s="74">
        <f t="shared" si="44"/>
        <v>0</v>
      </c>
    </row>
    <row r="319" spans="1:17" ht="33" hidden="1" customHeight="1">
      <c r="A319" s="72"/>
      <c r="B319" s="72">
        <f t="shared" si="36"/>
        <v>0</v>
      </c>
      <c r="C319" s="72" t="s">
        <v>5430</v>
      </c>
      <c r="D319" s="75">
        <f>Data!AD1380</f>
        <v>9063.73</v>
      </c>
      <c r="E319" s="74" t="s">
        <v>729</v>
      </c>
      <c r="F319" s="75"/>
      <c r="G319" s="74">
        <f t="shared" si="37"/>
        <v>0</v>
      </c>
      <c r="H319" s="74"/>
      <c r="I319" s="74">
        <f t="shared" si="38"/>
        <v>0</v>
      </c>
      <c r="J319" s="74"/>
      <c r="K319" s="74">
        <f t="shared" si="39"/>
        <v>0</v>
      </c>
      <c r="L319" s="74"/>
      <c r="M319" s="74">
        <f t="shared" si="40"/>
        <v>0</v>
      </c>
      <c r="N319" s="74">
        <f t="shared" si="41"/>
        <v>0</v>
      </c>
      <c r="O319" s="74">
        <f t="shared" si="42"/>
        <v>0</v>
      </c>
      <c r="P319" s="74">
        <f t="shared" si="43"/>
        <v>0</v>
      </c>
      <c r="Q319" s="74">
        <f t="shared" si="44"/>
        <v>0</v>
      </c>
    </row>
    <row r="320" spans="1:17" ht="33" hidden="1" customHeight="1">
      <c r="A320" s="72"/>
      <c r="B320" s="72">
        <f t="shared" si="36"/>
        <v>0</v>
      </c>
      <c r="C320" s="72" t="s">
        <v>5431</v>
      </c>
      <c r="D320" s="75">
        <f>Data!X1382</f>
        <v>8281.5400000000009</v>
      </c>
      <c r="E320" s="74" t="s">
        <v>729</v>
      </c>
      <c r="F320" s="75"/>
      <c r="G320" s="74">
        <f t="shared" si="37"/>
        <v>0</v>
      </c>
      <c r="H320" s="74"/>
      <c r="I320" s="74">
        <f t="shared" si="38"/>
        <v>0</v>
      </c>
      <c r="J320" s="74"/>
      <c r="K320" s="74">
        <f t="shared" si="39"/>
        <v>0</v>
      </c>
      <c r="L320" s="74"/>
      <c r="M320" s="74">
        <f t="shared" si="40"/>
        <v>0</v>
      </c>
      <c r="N320" s="74">
        <f t="shared" si="41"/>
        <v>0</v>
      </c>
      <c r="O320" s="74">
        <f t="shared" si="42"/>
        <v>0</v>
      </c>
      <c r="P320" s="74">
        <f t="shared" si="43"/>
        <v>0</v>
      </c>
      <c r="Q320" s="74">
        <f t="shared" si="44"/>
        <v>0</v>
      </c>
    </row>
    <row r="321" spans="1:17" ht="33" hidden="1" customHeight="1">
      <c r="A321" s="72"/>
      <c r="B321" s="72">
        <f t="shared" si="36"/>
        <v>0</v>
      </c>
      <c r="C321" s="72" t="s">
        <v>5432</v>
      </c>
      <c r="D321" s="75">
        <f>Data!AD1363</f>
        <v>7043.28</v>
      </c>
      <c r="E321" s="74" t="s">
        <v>729</v>
      </c>
      <c r="F321" s="75"/>
      <c r="G321" s="74">
        <f t="shared" si="37"/>
        <v>0</v>
      </c>
      <c r="H321" s="74"/>
      <c r="I321" s="74">
        <f t="shared" si="38"/>
        <v>0</v>
      </c>
      <c r="J321" s="74"/>
      <c r="K321" s="74">
        <f t="shared" si="39"/>
        <v>0</v>
      </c>
      <c r="L321" s="74"/>
      <c r="M321" s="74">
        <f t="shared" si="40"/>
        <v>0</v>
      </c>
      <c r="N321" s="74">
        <f t="shared" si="41"/>
        <v>0</v>
      </c>
      <c r="O321" s="74">
        <f t="shared" si="42"/>
        <v>0</v>
      </c>
      <c r="P321" s="74">
        <f t="shared" si="43"/>
        <v>0</v>
      </c>
      <c r="Q321" s="74">
        <f t="shared" si="44"/>
        <v>0</v>
      </c>
    </row>
    <row r="322" spans="1:17" ht="33" hidden="1" customHeight="1">
      <c r="A322" s="72"/>
      <c r="B322" s="72">
        <f t="shared" si="36"/>
        <v>0</v>
      </c>
      <c r="C322" s="72" t="s">
        <v>5433</v>
      </c>
      <c r="D322" s="75">
        <f>Data!AD1397</f>
        <v>4508.79</v>
      </c>
      <c r="E322" s="74" t="s">
        <v>729</v>
      </c>
      <c r="F322" s="75"/>
      <c r="G322" s="74">
        <f t="shared" si="37"/>
        <v>0</v>
      </c>
      <c r="H322" s="74"/>
      <c r="I322" s="74">
        <f t="shared" si="38"/>
        <v>0</v>
      </c>
      <c r="J322" s="74"/>
      <c r="K322" s="74">
        <f t="shared" si="39"/>
        <v>0</v>
      </c>
      <c r="L322" s="74"/>
      <c r="M322" s="74">
        <f t="shared" si="40"/>
        <v>0</v>
      </c>
      <c r="N322" s="74">
        <f t="shared" si="41"/>
        <v>0</v>
      </c>
      <c r="O322" s="74">
        <f t="shared" si="42"/>
        <v>0</v>
      </c>
      <c r="P322" s="74">
        <f t="shared" si="43"/>
        <v>0</v>
      </c>
      <c r="Q322" s="74">
        <f t="shared" si="44"/>
        <v>0</v>
      </c>
    </row>
    <row r="323" spans="1:17" ht="33" hidden="1" customHeight="1">
      <c r="A323" s="72"/>
      <c r="B323" s="72">
        <f t="shared" si="36"/>
        <v>0</v>
      </c>
      <c r="C323" s="72" t="s">
        <v>5434</v>
      </c>
      <c r="D323" s="75">
        <f>Data!R1438</f>
        <v>4250.1499999999996</v>
      </c>
      <c r="E323" s="74" t="s">
        <v>729</v>
      </c>
      <c r="F323" s="75"/>
      <c r="G323" s="74">
        <f t="shared" si="37"/>
        <v>0</v>
      </c>
      <c r="H323" s="74"/>
      <c r="I323" s="74">
        <f t="shared" si="38"/>
        <v>0</v>
      </c>
      <c r="J323" s="74"/>
      <c r="K323" s="74">
        <f t="shared" si="39"/>
        <v>0</v>
      </c>
      <c r="L323" s="74"/>
      <c r="M323" s="74">
        <f t="shared" si="40"/>
        <v>0</v>
      </c>
      <c r="N323" s="74">
        <f t="shared" si="41"/>
        <v>0</v>
      </c>
      <c r="O323" s="74">
        <f t="shared" si="42"/>
        <v>0</v>
      </c>
      <c r="P323" s="74">
        <f t="shared" si="43"/>
        <v>0</v>
      </c>
      <c r="Q323" s="74">
        <f t="shared" si="44"/>
        <v>0</v>
      </c>
    </row>
    <row r="324" spans="1:17" ht="33" hidden="1" customHeight="1">
      <c r="A324" s="72"/>
      <c r="B324" s="72">
        <f t="shared" si="36"/>
        <v>0</v>
      </c>
      <c r="C324" s="72" t="s">
        <v>5435</v>
      </c>
      <c r="D324" s="75">
        <f>Data!R1479</f>
        <v>5203.1499999999996</v>
      </c>
      <c r="E324" s="74" t="s">
        <v>729</v>
      </c>
      <c r="F324" s="75"/>
      <c r="G324" s="74">
        <f t="shared" si="37"/>
        <v>0</v>
      </c>
      <c r="H324" s="74"/>
      <c r="I324" s="74">
        <f t="shared" si="38"/>
        <v>0</v>
      </c>
      <c r="J324" s="74"/>
      <c r="K324" s="74">
        <f t="shared" si="39"/>
        <v>0</v>
      </c>
      <c r="L324" s="74"/>
      <c r="M324" s="74">
        <f t="shared" si="40"/>
        <v>0</v>
      </c>
      <c r="N324" s="74">
        <f t="shared" si="41"/>
        <v>0</v>
      </c>
      <c r="O324" s="74">
        <f t="shared" si="42"/>
        <v>0</v>
      </c>
      <c r="P324" s="74">
        <f t="shared" si="43"/>
        <v>0</v>
      </c>
      <c r="Q324" s="74">
        <f t="shared" si="44"/>
        <v>0</v>
      </c>
    </row>
    <row r="325" spans="1:17" ht="18" hidden="1" customHeight="1">
      <c r="A325" s="56"/>
      <c r="B325" s="72">
        <f t="shared" ref="B325:B388" si="45">P325</f>
        <v>0</v>
      </c>
      <c r="C325" s="72" t="s">
        <v>5436</v>
      </c>
      <c r="D325" s="75">
        <f>Data!X1440</f>
        <v>5768</v>
      </c>
      <c r="E325" s="74" t="s">
        <v>729</v>
      </c>
      <c r="F325" s="75"/>
      <c r="G325" s="74">
        <f t="shared" si="37"/>
        <v>0</v>
      </c>
      <c r="H325" s="74"/>
      <c r="I325" s="74">
        <f t="shared" si="38"/>
        <v>0</v>
      </c>
      <c r="J325" s="74"/>
      <c r="K325" s="74">
        <f t="shared" si="39"/>
        <v>0</v>
      </c>
      <c r="L325" s="74"/>
      <c r="M325" s="74">
        <f t="shared" si="40"/>
        <v>0</v>
      </c>
      <c r="N325" s="74">
        <f t="shared" si="41"/>
        <v>0</v>
      </c>
      <c r="O325" s="74">
        <f t="shared" si="42"/>
        <v>0</v>
      </c>
      <c r="P325" s="74">
        <f t="shared" si="43"/>
        <v>0</v>
      </c>
      <c r="Q325" s="74">
        <f t="shared" si="44"/>
        <v>0</v>
      </c>
    </row>
    <row r="326" spans="1:17" s="55" customFormat="1" ht="56.25" hidden="1" customHeight="1">
      <c r="A326" s="71">
        <v>24</v>
      </c>
      <c r="B326" s="72">
        <f t="shared" si="45"/>
        <v>0</v>
      </c>
      <c r="C326" s="72" t="s">
        <v>5437</v>
      </c>
      <c r="D326" s="75">
        <f>Data!K1191</f>
        <v>69.599999999999994</v>
      </c>
      <c r="E326" s="74" t="s">
        <v>994</v>
      </c>
      <c r="F326" s="75"/>
      <c r="G326" s="74">
        <f t="shared" ref="G326:G389" si="46">F326*D326</f>
        <v>0</v>
      </c>
      <c r="H326" s="74"/>
      <c r="I326" s="74">
        <f t="shared" ref="I326:I389" si="47">H326*D326</f>
        <v>0</v>
      </c>
      <c r="J326" s="74"/>
      <c r="K326" s="74">
        <f t="shared" ref="K326:K389" si="48">J326*D326</f>
        <v>0</v>
      </c>
      <c r="L326" s="74"/>
      <c r="M326" s="74">
        <f t="shared" ref="M326:M389" si="49">L326*D326</f>
        <v>0</v>
      </c>
      <c r="N326" s="74">
        <f t="shared" ref="N326:N389" si="50">H326+J326+L326</f>
        <v>0</v>
      </c>
      <c r="O326" s="74">
        <f t="shared" ref="O326:O389" si="51">N326*D326</f>
        <v>0</v>
      </c>
      <c r="P326" s="74">
        <f t="shared" ref="P326:P389" si="52">N326+F326</f>
        <v>0</v>
      </c>
      <c r="Q326" s="74">
        <f t="shared" ref="Q326:Q389" si="53">P326*D326</f>
        <v>0</v>
      </c>
    </row>
    <row r="327" spans="1:17" ht="45.75" customHeight="1">
      <c r="A327" s="71">
        <v>25</v>
      </c>
      <c r="B327" s="72">
        <f t="shared" si="45"/>
        <v>252</v>
      </c>
      <c r="C327" s="72" t="s">
        <v>5438</v>
      </c>
      <c r="D327" s="75">
        <f>ROUND(Data!K1194,2)</f>
        <v>9.6</v>
      </c>
      <c r="E327" s="74" t="s">
        <v>729</v>
      </c>
      <c r="F327" s="1425">
        <f>'Detail '!I903</f>
        <v>252</v>
      </c>
      <c r="G327" s="74">
        <f t="shared" si="46"/>
        <v>2419.1999999999998</v>
      </c>
      <c r="H327" s="74"/>
      <c r="I327" s="74">
        <f t="shared" si="47"/>
        <v>0</v>
      </c>
      <c r="J327" s="74"/>
      <c r="K327" s="74">
        <f t="shared" si="48"/>
        <v>0</v>
      </c>
      <c r="L327" s="74"/>
      <c r="M327" s="74">
        <f t="shared" si="49"/>
        <v>0</v>
      </c>
      <c r="N327" s="74">
        <f t="shared" si="50"/>
        <v>0</v>
      </c>
      <c r="O327" s="74">
        <f t="shared" si="51"/>
        <v>0</v>
      </c>
      <c r="P327" s="74">
        <f t="shared" si="52"/>
        <v>252</v>
      </c>
      <c r="Q327" s="74">
        <f t="shared" si="53"/>
        <v>2419.1999999999998</v>
      </c>
    </row>
    <row r="328" spans="1:17" ht="45.75" customHeight="1">
      <c r="A328" s="71">
        <v>26</v>
      </c>
      <c r="B328" s="72">
        <f t="shared" si="45"/>
        <v>62.7</v>
      </c>
      <c r="C328" s="72" t="s">
        <v>5439</v>
      </c>
      <c r="D328" s="75">
        <f>ROUND(Data!K204,2)</f>
        <v>4926.24</v>
      </c>
      <c r="E328" s="74" t="s">
        <v>5296</v>
      </c>
      <c r="F328" s="1425">
        <f>'Detail '!I913</f>
        <v>62.7</v>
      </c>
      <c r="G328" s="74">
        <f t="shared" si="46"/>
        <v>308875.25</v>
      </c>
      <c r="H328" s="74"/>
      <c r="I328" s="74">
        <f t="shared" si="47"/>
        <v>0</v>
      </c>
      <c r="J328" s="74"/>
      <c r="K328" s="74">
        <f t="shared" si="48"/>
        <v>0</v>
      </c>
      <c r="L328" s="74"/>
      <c r="M328" s="74">
        <f t="shared" si="49"/>
        <v>0</v>
      </c>
      <c r="N328" s="74">
        <f t="shared" si="50"/>
        <v>0</v>
      </c>
      <c r="O328" s="74">
        <f t="shared" si="51"/>
        <v>0</v>
      </c>
      <c r="P328" s="74">
        <f t="shared" si="52"/>
        <v>62.7</v>
      </c>
      <c r="Q328" s="74">
        <f t="shared" si="53"/>
        <v>308875.25</v>
      </c>
    </row>
    <row r="329" spans="1:17" ht="57" hidden="1" customHeight="1">
      <c r="A329" s="71">
        <v>27.1</v>
      </c>
      <c r="B329" s="72">
        <f t="shared" si="45"/>
        <v>0</v>
      </c>
      <c r="C329" s="72" t="s">
        <v>5440</v>
      </c>
      <c r="D329" s="75">
        <f>ROUND(Data!Y368,2)</f>
        <v>7349.46</v>
      </c>
      <c r="E329" s="74" t="s">
        <v>5296</v>
      </c>
      <c r="F329" s="75"/>
      <c r="G329" s="74">
        <f t="shared" si="46"/>
        <v>0</v>
      </c>
      <c r="H329" s="74"/>
      <c r="I329" s="74">
        <f t="shared" si="47"/>
        <v>0</v>
      </c>
      <c r="J329" s="74"/>
      <c r="K329" s="74">
        <f t="shared" si="48"/>
        <v>0</v>
      </c>
      <c r="L329" s="74"/>
      <c r="M329" s="74">
        <f t="shared" si="49"/>
        <v>0</v>
      </c>
      <c r="N329" s="74">
        <f t="shared" si="50"/>
        <v>0</v>
      </c>
      <c r="O329" s="74">
        <f t="shared" si="51"/>
        <v>0</v>
      </c>
      <c r="P329" s="74">
        <f t="shared" si="52"/>
        <v>0</v>
      </c>
      <c r="Q329" s="74">
        <f t="shared" si="53"/>
        <v>0</v>
      </c>
    </row>
    <row r="330" spans="1:17" ht="63" hidden="1" customHeight="1">
      <c r="A330" s="71">
        <v>27.2</v>
      </c>
      <c r="B330" s="72">
        <f t="shared" si="45"/>
        <v>0</v>
      </c>
      <c r="C330" s="72" t="s">
        <v>5441</v>
      </c>
      <c r="D330" s="75">
        <f>ROUND(Data!AG381,2)</f>
        <v>7158.17</v>
      </c>
      <c r="E330" s="74" t="s">
        <v>5296</v>
      </c>
      <c r="F330" s="75"/>
      <c r="G330" s="74">
        <f t="shared" si="46"/>
        <v>0</v>
      </c>
      <c r="H330" s="74"/>
      <c r="I330" s="74">
        <f t="shared" si="47"/>
        <v>0</v>
      </c>
      <c r="J330" s="74"/>
      <c r="K330" s="74">
        <f t="shared" si="48"/>
        <v>0</v>
      </c>
      <c r="L330" s="74"/>
      <c r="M330" s="74">
        <f t="shared" si="49"/>
        <v>0</v>
      </c>
      <c r="N330" s="74">
        <f t="shared" si="50"/>
        <v>0</v>
      </c>
      <c r="O330" s="74">
        <f t="shared" si="51"/>
        <v>0</v>
      </c>
      <c r="P330" s="74">
        <f t="shared" si="52"/>
        <v>0</v>
      </c>
      <c r="Q330" s="74">
        <f t="shared" si="53"/>
        <v>0</v>
      </c>
    </row>
    <row r="331" spans="1:17" ht="39.950000000000003" hidden="1" customHeight="1">
      <c r="A331" s="71">
        <v>27.3</v>
      </c>
      <c r="B331" s="72">
        <f t="shared" si="45"/>
        <v>0</v>
      </c>
      <c r="C331" s="72" t="s">
        <v>5442</v>
      </c>
      <c r="D331" s="75"/>
      <c r="E331" s="74" t="s">
        <v>5296</v>
      </c>
      <c r="F331" s="75"/>
      <c r="G331" s="74">
        <f t="shared" si="46"/>
        <v>0</v>
      </c>
      <c r="H331" s="74"/>
      <c r="I331" s="74">
        <f t="shared" si="47"/>
        <v>0</v>
      </c>
      <c r="J331" s="74"/>
      <c r="K331" s="74">
        <f t="shared" si="48"/>
        <v>0</v>
      </c>
      <c r="L331" s="74"/>
      <c r="M331" s="74">
        <f t="shared" si="49"/>
        <v>0</v>
      </c>
      <c r="N331" s="74">
        <f t="shared" si="50"/>
        <v>0</v>
      </c>
      <c r="O331" s="74">
        <f t="shared" si="51"/>
        <v>0</v>
      </c>
      <c r="P331" s="74">
        <f t="shared" si="52"/>
        <v>0</v>
      </c>
      <c r="Q331" s="74">
        <f t="shared" si="53"/>
        <v>0</v>
      </c>
    </row>
    <row r="332" spans="1:17" ht="39.950000000000003" hidden="1" customHeight="1">
      <c r="A332" s="71">
        <v>27.4</v>
      </c>
      <c r="B332" s="72">
        <f t="shared" si="45"/>
        <v>0</v>
      </c>
      <c r="C332" s="72" t="s">
        <v>5443</v>
      </c>
      <c r="D332" s="75"/>
      <c r="E332" s="74" t="s">
        <v>5296</v>
      </c>
      <c r="F332" s="75"/>
      <c r="G332" s="74">
        <f t="shared" si="46"/>
        <v>0</v>
      </c>
      <c r="H332" s="74"/>
      <c r="I332" s="74">
        <f t="shared" si="47"/>
        <v>0</v>
      </c>
      <c r="J332" s="74"/>
      <c r="K332" s="74">
        <f t="shared" si="48"/>
        <v>0</v>
      </c>
      <c r="L332" s="74"/>
      <c r="M332" s="74">
        <f t="shared" si="49"/>
        <v>0</v>
      </c>
      <c r="N332" s="74">
        <f t="shared" si="50"/>
        <v>0</v>
      </c>
      <c r="O332" s="74">
        <f t="shared" si="51"/>
        <v>0</v>
      </c>
      <c r="P332" s="74">
        <f t="shared" si="52"/>
        <v>0</v>
      </c>
      <c r="Q332" s="74">
        <f t="shared" si="53"/>
        <v>0</v>
      </c>
    </row>
    <row r="333" spans="1:17" ht="39.950000000000003" hidden="1" customHeight="1">
      <c r="A333" s="71">
        <v>27.5</v>
      </c>
      <c r="B333" s="72">
        <f t="shared" si="45"/>
        <v>0</v>
      </c>
      <c r="C333" s="72" t="s">
        <v>5444</v>
      </c>
      <c r="D333" s="75">
        <f>ROUND(Data!K372,2)</f>
        <v>7182.58</v>
      </c>
      <c r="E333" s="74" t="s">
        <v>5296</v>
      </c>
      <c r="F333" s="75"/>
      <c r="G333" s="74">
        <f t="shared" si="46"/>
        <v>0</v>
      </c>
      <c r="H333" s="74"/>
      <c r="I333" s="74">
        <f t="shared" si="47"/>
        <v>0</v>
      </c>
      <c r="J333" s="74"/>
      <c r="K333" s="74">
        <f t="shared" si="48"/>
        <v>0</v>
      </c>
      <c r="L333" s="74"/>
      <c r="M333" s="74">
        <f t="shared" si="49"/>
        <v>0</v>
      </c>
      <c r="N333" s="74">
        <f t="shared" si="50"/>
        <v>0</v>
      </c>
      <c r="O333" s="74">
        <f t="shared" si="51"/>
        <v>0</v>
      </c>
      <c r="P333" s="74">
        <f t="shared" si="52"/>
        <v>0</v>
      </c>
      <c r="Q333" s="74">
        <f t="shared" si="53"/>
        <v>0</v>
      </c>
    </row>
    <row r="334" spans="1:17" ht="39.950000000000003" hidden="1" customHeight="1">
      <c r="A334" s="71">
        <v>27.6</v>
      </c>
      <c r="B334" s="72">
        <f t="shared" si="45"/>
        <v>0</v>
      </c>
      <c r="C334" s="72" t="s">
        <v>5445</v>
      </c>
      <c r="D334" s="75"/>
      <c r="E334" s="74" t="s">
        <v>5296</v>
      </c>
      <c r="F334" s="75"/>
      <c r="G334" s="74">
        <f t="shared" si="46"/>
        <v>0</v>
      </c>
      <c r="H334" s="74"/>
      <c r="I334" s="74">
        <f t="shared" si="47"/>
        <v>0</v>
      </c>
      <c r="J334" s="74"/>
      <c r="K334" s="74">
        <f t="shared" si="48"/>
        <v>0</v>
      </c>
      <c r="L334" s="74"/>
      <c r="M334" s="74">
        <f t="shared" si="49"/>
        <v>0</v>
      </c>
      <c r="N334" s="74">
        <f t="shared" si="50"/>
        <v>0</v>
      </c>
      <c r="O334" s="74">
        <f t="shared" si="51"/>
        <v>0</v>
      </c>
      <c r="P334" s="74">
        <f t="shared" si="52"/>
        <v>0</v>
      </c>
      <c r="Q334" s="74">
        <f t="shared" si="53"/>
        <v>0</v>
      </c>
    </row>
    <row r="335" spans="1:17" ht="45.75" customHeight="1">
      <c r="A335" s="71">
        <v>28</v>
      </c>
      <c r="B335" s="72">
        <f t="shared" si="45"/>
        <v>16.8</v>
      </c>
      <c r="C335" s="76" t="s">
        <v>5446</v>
      </c>
      <c r="D335" s="1438">
        <f>Data!K1213</f>
        <v>528.76</v>
      </c>
      <c r="E335" s="74" t="s">
        <v>5324</v>
      </c>
      <c r="F335" s="1425">
        <f>'Detail '!I924</f>
        <v>16.8</v>
      </c>
      <c r="G335" s="74">
        <f t="shared" si="46"/>
        <v>8883.17</v>
      </c>
      <c r="H335" s="74"/>
      <c r="I335" s="74">
        <f t="shared" si="47"/>
        <v>0</v>
      </c>
      <c r="J335" s="74"/>
      <c r="K335" s="74">
        <f t="shared" si="48"/>
        <v>0</v>
      </c>
      <c r="L335" s="74"/>
      <c r="M335" s="74">
        <f t="shared" si="49"/>
        <v>0</v>
      </c>
      <c r="N335" s="74">
        <f t="shared" si="50"/>
        <v>0</v>
      </c>
      <c r="O335" s="74">
        <f t="shared" si="51"/>
        <v>0</v>
      </c>
      <c r="P335" s="74">
        <f t="shared" si="52"/>
        <v>16.8</v>
      </c>
      <c r="Q335" s="74">
        <f>P335*D335</f>
        <v>8883.17</v>
      </c>
    </row>
    <row r="336" spans="1:17" ht="25.5" hidden="1" customHeight="1">
      <c r="A336" s="71">
        <v>29.1</v>
      </c>
      <c r="B336" s="72">
        <f t="shared" si="45"/>
        <v>0</v>
      </c>
      <c r="C336" s="76" t="s">
        <v>5447</v>
      </c>
      <c r="D336" s="75"/>
      <c r="E336" s="74" t="s">
        <v>5324</v>
      </c>
      <c r="F336" s="75"/>
      <c r="G336" s="74">
        <f t="shared" si="46"/>
        <v>0</v>
      </c>
      <c r="H336" s="74"/>
      <c r="I336" s="74">
        <f t="shared" si="47"/>
        <v>0</v>
      </c>
      <c r="J336" s="74"/>
      <c r="K336" s="74">
        <f t="shared" si="48"/>
        <v>0</v>
      </c>
      <c r="L336" s="74"/>
      <c r="M336" s="74">
        <f t="shared" si="49"/>
        <v>0</v>
      </c>
      <c r="N336" s="74">
        <f t="shared" si="50"/>
        <v>0</v>
      </c>
      <c r="O336" s="74">
        <f t="shared" si="51"/>
        <v>0</v>
      </c>
      <c r="P336" s="74">
        <f t="shared" si="52"/>
        <v>0</v>
      </c>
      <c r="Q336" s="74">
        <f t="shared" si="53"/>
        <v>0</v>
      </c>
    </row>
    <row r="337" spans="1:17" ht="25.5" hidden="1" customHeight="1">
      <c r="A337" s="71">
        <v>29.2</v>
      </c>
      <c r="B337" s="72">
        <f t="shared" si="45"/>
        <v>0</v>
      </c>
      <c r="C337" s="76" t="s">
        <v>5448</v>
      </c>
      <c r="D337" s="75">
        <f>ROUND(Data!K1241,2)</f>
        <v>1270.03</v>
      </c>
      <c r="E337" s="74" t="s">
        <v>5324</v>
      </c>
      <c r="F337" s="75"/>
      <c r="G337" s="74">
        <f t="shared" si="46"/>
        <v>0</v>
      </c>
      <c r="H337" s="74"/>
      <c r="I337" s="74">
        <f t="shared" si="47"/>
        <v>0</v>
      </c>
      <c r="J337" s="74"/>
      <c r="K337" s="74">
        <f t="shared" si="48"/>
        <v>0</v>
      </c>
      <c r="L337" s="74"/>
      <c r="M337" s="74">
        <f t="shared" si="49"/>
        <v>0</v>
      </c>
      <c r="N337" s="74">
        <f t="shared" si="50"/>
        <v>0</v>
      </c>
      <c r="O337" s="74">
        <f t="shared" si="51"/>
        <v>0</v>
      </c>
      <c r="P337" s="74">
        <f t="shared" si="52"/>
        <v>0</v>
      </c>
      <c r="Q337" s="74">
        <f t="shared" si="53"/>
        <v>0</v>
      </c>
    </row>
    <row r="338" spans="1:17" ht="25.5" hidden="1" customHeight="1">
      <c r="A338" s="71">
        <v>29.3</v>
      </c>
      <c r="B338" s="72">
        <f t="shared" si="45"/>
        <v>0</v>
      </c>
      <c r="C338" s="72" t="s">
        <v>5449</v>
      </c>
      <c r="D338" s="75">
        <f>ROUND(Data!K1264,2)</f>
        <v>1239.8</v>
      </c>
      <c r="E338" s="74" t="s">
        <v>5324</v>
      </c>
      <c r="F338" s="75"/>
      <c r="G338" s="74">
        <f t="shared" si="46"/>
        <v>0</v>
      </c>
      <c r="H338" s="74"/>
      <c r="I338" s="74">
        <f t="shared" si="47"/>
        <v>0</v>
      </c>
      <c r="J338" s="74"/>
      <c r="K338" s="74">
        <f t="shared" si="48"/>
        <v>0</v>
      </c>
      <c r="L338" s="74"/>
      <c r="M338" s="74">
        <f t="shared" si="49"/>
        <v>0</v>
      </c>
      <c r="N338" s="74">
        <f t="shared" si="50"/>
        <v>0</v>
      </c>
      <c r="O338" s="74">
        <f t="shared" si="51"/>
        <v>0</v>
      </c>
      <c r="P338" s="74">
        <f t="shared" si="52"/>
        <v>0</v>
      </c>
      <c r="Q338" s="74">
        <f t="shared" si="53"/>
        <v>0</v>
      </c>
    </row>
    <row r="339" spans="1:17" ht="25.5" hidden="1" customHeight="1">
      <c r="A339" s="71">
        <v>29.4</v>
      </c>
      <c r="B339" s="72">
        <f t="shared" si="45"/>
        <v>0</v>
      </c>
      <c r="C339" s="72" t="s">
        <v>5450</v>
      </c>
      <c r="D339" s="75">
        <f>ROUND(Data!K1278,2)</f>
        <v>1414.02</v>
      </c>
      <c r="E339" s="74" t="s">
        <v>5324</v>
      </c>
      <c r="F339" s="75"/>
      <c r="G339" s="74">
        <f t="shared" si="46"/>
        <v>0</v>
      </c>
      <c r="H339" s="74"/>
      <c r="I339" s="74">
        <f t="shared" si="47"/>
        <v>0</v>
      </c>
      <c r="J339" s="74"/>
      <c r="K339" s="74">
        <f t="shared" si="48"/>
        <v>0</v>
      </c>
      <c r="L339" s="74"/>
      <c r="M339" s="74">
        <f t="shared" si="49"/>
        <v>0</v>
      </c>
      <c r="N339" s="74">
        <f t="shared" si="50"/>
        <v>0</v>
      </c>
      <c r="O339" s="74">
        <f t="shared" si="51"/>
        <v>0</v>
      </c>
      <c r="P339" s="74">
        <f t="shared" si="52"/>
        <v>0</v>
      </c>
      <c r="Q339" s="74">
        <f t="shared" si="53"/>
        <v>0</v>
      </c>
    </row>
    <row r="340" spans="1:17" ht="25.5" hidden="1" customHeight="1">
      <c r="A340" s="71">
        <v>29.5</v>
      </c>
      <c r="B340" s="72">
        <f t="shared" si="45"/>
        <v>0</v>
      </c>
      <c r="C340" s="72" t="s">
        <v>5451</v>
      </c>
      <c r="D340" s="75">
        <f>D338</f>
        <v>1239.8</v>
      </c>
      <c r="E340" s="74" t="s">
        <v>5324</v>
      </c>
      <c r="F340" s="75"/>
      <c r="G340" s="74">
        <f t="shared" si="46"/>
        <v>0</v>
      </c>
      <c r="H340" s="74"/>
      <c r="I340" s="74">
        <f t="shared" si="47"/>
        <v>0</v>
      </c>
      <c r="J340" s="74"/>
      <c r="K340" s="74">
        <f t="shared" si="48"/>
        <v>0</v>
      </c>
      <c r="L340" s="74"/>
      <c r="M340" s="74">
        <f t="shared" si="49"/>
        <v>0</v>
      </c>
      <c r="N340" s="74">
        <f t="shared" si="50"/>
        <v>0</v>
      </c>
      <c r="O340" s="74">
        <f t="shared" si="51"/>
        <v>0</v>
      </c>
      <c r="P340" s="74">
        <f t="shared" si="52"/>
        <v>0</v>
      </c>
      <c r="Q340" s="74">
        <f t="shared" si="53"/>
        <v>0</v>
      </c>
    </row>
    <row r="341" spans="1:17" ht="45.75" customHeight="1">
      <c r="A341" s="71">
        <v>30</v>
      </c>
      <c r="B341" s="72">
        <f t="shared" si="45"/>
        <v>19.7</v>
      </c>
      <c r="C341" s="72" t="s">
        <v>5452</v>
      </c>
      <c r="D341" s="75">
        <f>ROUND(Data!K1312,2)</f>
        <v>461.95</v>
      </c>
      <c r="E341" s="74" t="s">
        <v>5324</v>
      </c>
      <c r="F341" s="1425">
        <f>'Detail '!I938</f>
        <v>19.7</v>
      </c>
      <c r="G341" s="74">
        <f t="shared" si="46"/>
        <v>9100.42</v>
      </c>
      <c r="H341" s="74"/>
      <c r="I341" s="74">
        <f t="shared" si="47"/>
        <v>0</v>
      </c>
      <c r="J341" s="74"/>
      <c r="K341" s="74">
        <f t="shared" si="48"/>
        <v>0</v>
      </c>
      <c r="L341" s="74"/>
      <c r="M341" s="74">
        <f t="shared" si="49"/>
        <v>0</v>
      </c>
      <c r="N341" s="74">
        <f t="shared" si="50"/>
        <v>0</v>
      </c>
      <c r="O341" s="74">
        <f t="shared" si="51"/>
        <v>0</v>
      </c>
      <c r="P341" s="74">
        <f t="shared" si="52"/>
        <v>19.7</v>
      </c>
      <c r="Q341" s="74">
        <f t="shared" si="53"/>
        <v>9100.42</v>
      </c>
    </row>
    <row r="342" spans="1:17" ht="45.75" customHeight="1">
      <c r="A342" s="71">
        <v>31</v>
      </c>
      <c r="B342" s="72">
        <f t="shared" si="45"/>
        <v>71.8</v>
      </c>
      <c r="C342" s="72" t="s">
        <v>3479</v>
      </c>
      <c r="D342" s="1637">
        <f>ROUND(Data!K1330,2)</f>
        <v>3835.16</v>
      </c>
      <c r="E342" s="74" t="s">
        <v>5296</v>
      </c>
      <c r="F342" s="1425">
        <f>'Detail '!I955</f>
        <v>71.8</v>
      </c>
      <c r="G342" s="74">
        <f t="shared" si="46"/>
        <v>275364.49</v>
      </c>
      <c r="H342" s="74"/>
      <c r="I342" s="74">
        <f t="shared" si="47"/>
        <v>0</v>
      </c>
      <c r="J342" s="74"/>
      <c r="K342" s="74">
        <f t="shared" si="48"/>
        <v>0</v>
      </c>
      <c r="L342" s="74"/>
      <c r="M342" s="74">
        <f t="shared" si="49"/>
        <v>0</v>
      </c>
      <c r="N342" s="74">
        <f t="shared" si="50"/>
        <v>0</v>
      </c>
      <c r="O342" s="74">
        <f t="shared" si="51"/>
        <v>0</v>
      </c>
      <c r="P342" s="74">
        <f t="shared" si="52"/>
        <v>71.8</v>
      </c>
      <c r="Q342" s="74">
        <f t="shared" si="53"/>
        <v>275364.49</v>
      </c>
    </row>
    <row r="343" spans="1:17" ht="46.5" hidden="1" customHeight="1">
      <c r="A343" s="71">
        <v>32</v>
      </c>
      <c r="B343" s="72">
        <f t="shared" si="45"/>
        <v>0</v>
      </c>
      <c r="C343" s="72" t="s">
        <v>5453</v>
      </c>
      <c r="D343" s="75"/>
      <c r="E343" s="74" t="s">
        <v>5324</v>
      </c>
      <c r="F343" s="75"/>
      <c r="G343" s="74">
        <f t="shared" si="46"/>
        <v>0</v>
      </c>
      <c r="H343" s="74"/>
      <c r="I343" s="74">
        <f t="shared" si="47"/>
        <v>0</v>
      </c>
      <c r="J343" s="74"/>
      <c r="K343" s="74">
        <f t="shared" si="48"/>
        <v>0</v>
      </c>
      <c r="L343" s="74"/>
      <c r="M343" s="74">
        <f t="shared" si="49"/>
        <v>0</v>
      </c>
      <c r="N343" s="74">
        <f t="shared" si="50"/>
        <v>0</v>
      </c>
      <c r="O343" s="74">
        <f t="shared" si="51"/>
        <v>0</v>
      </c>
      <c r="P343" s="74">
        <f t="shared" si="52"/>
        <v>0</v>
      </c>
      <c r="Q343" s="74">
        <f t="shared" si="53"/>
        <v>0</v>
      </c>
    </row>
    <row r="344" spans="1:17" ht="51" customHeight="1">
      <c r="A344" s="71">
        <v>32.1</v>
      </c>
      <c r="B344" s="72">
        <f t="shared" si="45"/>
        <v>0</v>
      </c>
      <c r="C344" s="72" t="s">
        <v>5454</v>
      </c>
      <c r="D344" s="75">
        <f>ROUND(Data!K1365,2)</f>
        <v>1226.1600000000001</v>
      </c>
      <c r="E344" s="74" t="s">
        <v>5324</v>
      </c>
      <c r="F344" s="75"/>
      <c r="G344" s="74">
        <f t="shared" si="46"/>
        <v>0</v>
      </c>
      <c r="H344" s="74"/>
      <c r="I344" s="74">
        <f t="shared" si="47"/>
        <v>0</v>
      </c>
      <c r="J344" s="74"/>
      <c r="K344" s="74">
        <f t="shared" si="48"/>
        <v>0</v>
      </c>
      <c r="L344" s="74"/>
      <c r="M344" s="74">
        <f t="shared" si="49"/>
        <v>0</v>
      </c>
      <c r="N344" s="74">
        <f t="shared" si="50"/>
        <v>0</v>
      </c>
      <c r="O344" s="74">
        <f t="shared" si="51"/>
        <v>0</v>
      </c>
      <c r="P344" s="74">
        <f t="shared" si="52"/>
        <v>0</v>
      </c>
      <c r="Q344" s="74">
        <f t="shared" si="53"/>
        <v>0</v>
      </c>
    </row>
    <row r="345" spans="1:17" ht="46.5" hidden="1" customHeight="1">
      <c r="A345" s="71">
        <v>32.200000000000003</v>
      </c>
      <c r="B345" s="72">
        <f t="shared" si="45"/>
        <v>0</v>
      </c>
      <c r="C345" s="72" t="s">
        <v>5455</v>
      </c>
      <c r="D345" s="75"/>
      <c r="E345" s="74" t="s">
        <v>5324</v>
      </c>
      <c r="F345" s="75"/>
      <c r="G345" s="74">
        <f t="shared" si="46"/>
        <v>0</v>
      </c>
      <c r="H345" s="74"/>
      <c r="I345" s="74">
        <f t="shared" si="47"/>
        <v>0</v>
      </c>
      <c r="J345" s="74"/>
      <c r="K345" s="74">
        <f t="shared" si="48"/>
        <v>0</v>
      </c>
      <c r="L345" s="74"/>
      <c r="M345" s="74">
        <f t="shared" si="49"/>
        <v>0</v>
      </c>
      <c r="N345" s="74">
        <f t="shared" si="50"/>
        <v>0</v>
      </c>
      <c r="O345" s="74">
        <f t="shared" si="51"/>
        <v>0</v>
      </c>
      <c r="P345" s="74">
        <f t="shared" si="52"/>
        <v>0</v>
      </c>
      <c r="Q345" s="74">
        <f t="shared" si="53"/>
        <v>0</v>
      </c>
    </row>
    <row r="346" spans="1:17" ht="45.75" customHeight="1">
      <c r="A346" s="71">
        <v>33</v>
      </c>
      <c r="B346" s="72">
        <f t="shared" si="45"/>
        <v>5850.6</v>
      </c>
      <c r="C346" s="72" t="s">
        <v>5456</v>
      </c>
      <c r="D346" s="75">
        <f>Data!K1400</f>
        <v>259.47000000000003</v>
      </c>
      <c r="E346" s="74" t="s">
        <v>5324</v>
      </c>
      <c r="F346" s="1425">
        <f>'Detail '!I1059</f>
        <v>5850.6</v>
      </c>
      <c r="G346" s="74">
        <f t="shared" si="46"/>
        <v>1518055.18</v>
      </c>
      <c r="H346" s="74"/>
      <c r="I346" s="74">
        <f t="shared" si="47"/>
        <v>0</v>
      </c>
      <c r="J346" s="74"/>
      <c r="K346" s="74">
        <f t="shared" si="48"/>
        <v>0</v>
      </c>
      <c r="L346" s="74"/>
      <c r="M346" s="74">
        <f t="shared" si="49"/>
        <v>0</v>
      </c>
      <c r="N346" s="74">
        <f t="shared" si="50"/>
        <v>0</v>
      </c>
      <c r="O346" s="74">
        <f t="shared" si="51"/>
        <v>0</v>
      </c>
      <c r="P346" s="74">
        <f t="shared" si="52"/>
        <v>5850.6</v>
      </c>
      <c r="Q346" s="74">
        <f t="shared" si="53"/>
        <v>1518055.18</v>
      </c>
    </row>
    <row r="347" spans="1:17" ht="47.25" customHeight="1">
      <c r="A347" s="71">
        <v>34</v>
      </c>
      <c r="B347" s="72">
        <f t="shared" si="45"/>
        <v>15.8</v>
      </c>
      <c r="C347" s="72" t="s">
        <v>3499</v>
      </c>
      <c r="D347" s="1438">
        <f>Data!K1414</f>
        <v>265.55</v>
      </c>
      <c r="E347" s="74" t="s">
        <v>5324</v>
      </c>
      <c r="F347" s="1425">
        <f>'Detail '!I1063</f>
        <v>15.8</v>
      </c>
      <c r="G347" s="74">
        <f t="shared" si="46"/>
        <v>4195.6899999999996</v>
      </c>
      <c r="H347" s="74"/>
      <c r="I347" s="74">
        <f t="shared" si="47"/>
        <v>0</v>
      </c>
      <c r="J347" s="74"/>
      <c r="K347" s="74">
        <f t="shared" si="48"/>
        <v>0</v>
      </c>
      <c r="L347" s="74"/>
      <c r="M347" s="74">
        <f t="shared" si="49"/>
        <v>0</v>
      </c>
      <c r="N347" s="74">
        <f t="shared" si="50"/>
        <v>0</v>
      </c>
      <c r="O347" s="74">
        <f t="shared" si="51"/>
        <v>0</v>
      </c>
      <c r="P347" s="74">
        <f t="shared" si="52"/>
        <v>15.8</v>
      </c>
      <c r="Q347" s="74">
        <f t="shared" si="53"/>
        <v>4195.6899999999996</v>
      </c>
    </row>
    <row r="348" spans="1:17" ht="57.75" customHeight="1">
      <c r="A348" s="71">
        <v>35</v>
      </c>
      <c r="B348" s="72">
        <f t="shared" si="45"/>
        <v>2189.8000000000002</v>
      </c>
      <c r="C348" s="72" t="s">
        <v>5457</v>
      </c>
      <c r="D348" s="75">
        <f>Data!K1426</f>
        <v>297.83999999999997</v>
      </c>
      <c r="E348" s="74" t="s">
        <v>5324</v>
      </c>
      <c r="F348" s="1425">
        <f>'Detail '!I1175</f>
        <v>2189.8000000000002</v>
      </c>
      <c r="G348" s="74">
        <f t="shared" si="46"/>
        <v>652210.03</v>
      </c>
      <c r="H348" s="74"/>
      <c r="I348" s="74">
        <f t="shared" si="47"/>
        <v>0</v>
      </c>
      <c r="J348" s="74"/>
      <c r="K348" s="74">
        <f t="shared" si="48"/>
        <v>0</v>
      </c>
      <c r="L348" s="74"/>
      <c r="M348" s="74">
        <f t="shared" si="49"/>
        <v>0</v>
      </c>
      <c r="N348" s="74">
        <f t="shared" si="50"/>
        <v>0</v>
      </c>
      <c r="O348" s="74">
        <f t="shared" si="51"/>
        <v>0</v>
      </c>
      <c r="P348" s="74">
        <f t="shared" si="52"/>
        <v>2189.8000000000002</v>
      </c>
      <c r="Q348" s="74">
        <f t="shared" si="53"/>
        <v>652210.03</v>
      </c>
    </row>
    <row r="349" spans="1:17" ht="57.75" customHeight="1">
      <c r="A349" s="71">
        <v>36</v>
      </c>
      <c r="B349" s="72">
        <f t="shared" si="45"/>
        <v>0</v>
      </c>
      <c r="C349" s="76" t="s">
        <v>5458</v>
      </c>
      <c r="D349" s="75"/>
      <c r="E349" s="74"/>
      <c r="F349" s="75"/>
      <c r="G349" s="74">
        <f t="shared" si="46"/>
        <v>0</v>
      </c>
      <c r="H349" s="74"/>
      <c r="I349" s="74">
        <f t="shared" si="47"/>
        <v>0</v>
      </c>
      <c r="J349" s="74"/>
      <c r="K349" s="74">
        <f t="shared" si="48"/>
        <v>0</v>
      </c>
      <c r="L349" s="74"/>
      <c r="M349" s="74">
        <f t="shared" si="49"/>
        <v>0</v>
      </c>
      <c r="N349" s="74">
        <f t="shared" si="50"/>
        <v>0</v>
      </c>
      <c r="O349" s="74">
        <f t="shared" si="51"/>
        <v>0</v>
      </c>
      <c r="P349" s="74">
        <f t="shared" si="52"/>
        <v>0</v>
      </c>
      <c r="Q349" s="74">
        <f t="shared" si="53"/>
        <v>0</v>
      </c>
    </row>
    <row r="350" spans="1:17" ht="43.5" customHeight="1">
      <c r="A350" s="72" t="s">
        <v>85</v>
      </c>
      <c r="B350" s="72">
        <f t="shared" si="45"/>
        <v>308.39999999999998</v>
      </c>
      <c r="C350" s="72" t="s">
        <v>5459</v>
      </c>
      <c r="D350" s="75">
        <f>ROUND(Data!K1460,2)</f>
        <v>84.27</v>
      </c>
      <c r="E350" s="74" t="s">
        <v>13</v>
      </c>
      <c r="F350" s="1425">
        <f>'Detail '!I1181</f>
        <v>308.39999999999998</v>
      </c>
      <c r="G350" s="74">
        <f t="shared" si="46"/>
        <v>25988.87</v>
      </c>
      <c r="H350" s="74"/>
      <c r="I350" s="74">
        <f t="shared" si="47"/>
        <v>0</v>
      </c>
      <c r="J350" s="74"/>
      <c r="K350" s="74">
        <f t="shared" si="48"/>
        <v>0</v>
      </c>
      <c r="L350" s="74"/>
      <c r="M350" s="74">
        <f t="shared" si="49"/>
        <v>0</v>
      </c>
      <c r="N350" s="74">
        <f t="shared" si="50"/>
        <v>0</v>
      </c>
      <c r="O350" s="74">
        <f t="shared" si="51"/>
        <v>0</v>
      </c>
      <c r="P350" s="74">
        <f t="shared" si="52"/>
        <v>308.39999999999998</v>
      </c>
      <c r="Q350" s="74">
        <f t="shared" si="53"/>
        <v>25988.87</v>
      </c>
    </row>
    <row r="351" spans="1:17" ht="43.5" customHeight="1">
      <c r="A351" s="72"/>
      <c r="B351" s="72">
        <f t="shared" si="45"/>
        <v>308.39999999999998</v>
      </c>
      <c r="C351" s="72" t="s">
        <v>5460</v>
      </c>
      <c r="D351" s="75">
        <f>ROUND(Data!K1472,2)</f>
        <v>55.22</v>
      </c>
      <c r="E351" s="74" t="s">
        <v>13</v>
      </c>
      <c r="F351" s="1425">
        <f>'Detail '!I1187</f>
        <v>308.39999999999998</v>
      </c>
      <c r="G351" s="74">
        <f t="shared" si="46"/>
        <v>17029.849999999999</v>
      </c>
      <c r="H351" s="74"/>
      <c r="I351" s="74">
        <f t="shared" si="47"/>
        <v>0</v>
      </c>
      <c r="J351" s="74"/>
      <c r="K351" s="74">
        <f t="shared" si="48"/>
        <v>0</v>
      </c>
      <c r="L351" s="74"/>
      <c r="M351" s="74">
        <f t="shared" si="49"/>
        <v>0</v>
      </c>
      <c r="N351" s="74">
        <f t="shared" si="50"/>
        <v>0</v>
      </c>
      <c r="O351" s="74">
        <f t="shared" si="51"/>
        <v>0</v>
      </c>
      <c r="P351" s="74">
        <f t="shared" si="52"/>
        <v>308.39999999999998</v>
      </c>
      <c r="Q351" s="74">
        <f t="shared" si="53"/>
        <v>17029.849999999999</v>
      </c>
    </row>
    <row r="352" spans="1:17" ht="43.5" customHeight="1">
      <c r="A352" s="82"/>
      <c r="B352" s="72">
        <f t="shared" si="45"/>
        <v>451.8</v>
      </c>
      <c r="C352" s="72" t="s">
        <v>5461</v>
      </c>
      <c r="D352" s="75">
        <f>ROUND(Data!K1485,2)</f>
        <v>41.31</v>
      </c>
      <c r="E352" s="74" t="s">
        <v>13</v>
      </c>
      <c r="F352" s="1425">
        <f>'Detail '!I1195</f>
        <v>451.8</v>
      </c>
      <c r="G352" s="74">
        <f t="shared" si="46"/>
        <v>18663.86</v>
      </c>
      <c r="H352" s="74"/>
      <c r="I352" s="74">
        <f t="shared" si="47"/>
        <v>0</v>
      </c>
      <c r="J352" s="74"/>
      <c r="K352" s="74">
        <f t="shared" si="48"/>
        <v>0</v>
      </c>
      <c r="L352" s="74"/>
      <c r="M352" s="74">
        <f t="shared" si="49"/>
        <v>0</v>
      </c>
      <c r="N352" s="74">
        <f t="shared" si="50"/>
        <v>0</v>
      </c>
      <c r="O352" s="74">
        <f t="shared" si="51"/>
        <v>0</v>
      </c>
      <c r="P352" s="74">
        <f t="shared" si="52"/>
        <v>451.8</v>
      </c>
      <c r="Q352" s="74">
        <f t="shared" si="53"/>
        <v>18663.86</v>
      </c>
    </row>
    <row r="353" spans="1:17" ht="43.5" customHeight="1">
      <c r="A353" s="71">
        <v>37.1</v>
      </c>
      <c r="B353" s="72">
        <f t="shared" si="45"/>
        <v>2189.8000000000002</v>
      </c>
      <c r="C353" s="72" t="s">
        <v>5462</v>
      </c>
      <c r="D353" s="75">
        <f>ROUND(Data!K1498,2)</f>
        <v>47.21</v>
      </c>
      <c r="E353" s="74" t="s">
        <v>5324</v>
      </c>
      <c r="F353" s="1425">
        <f>'Detail '!I1198</f>
        <v>2189.8000000000002</v>
      </c>
      <c r="G353" s="74">
        <f t="shared" si="46"/>
        <v>103380.46</v>
      </c>
      <c r="H353" s="74"/>
      <c r="I353" s="74">
        <f t="shared" si="47"/>
        <v>0</v>
      </c>
      <c r="J353" s="74"/>
      <c r="K353" s="74">
        <f t="shared" si="48"/>
        <v>0</v>
      </c>
      <c r="L353" s="74"/>
      <c r="M353" s="74">
        <f t="shared" si="49"/>
        <v>0</v>
      </c>
      <c r="N353" s="74">
        <f t="shared" si="50"/>
        <v>0</v>
      </c>
      <c r="O353" s="74">
        <f t="shared" si="51"/>
        <v>0</v>
      </c>
      <c r="P353" s="74">
        <f t="shared" si="52"/>
        <v>2189.8000000000002</v>
      </c>
      <c r="Q353" s="74">
        <f t="shared" si="53"/>
        <v>103380.46</v>
      </c>
    </row>
    <row r="354" spans="1:17" ht="78" hidden="1" customHeight="1">
      <c r="A354" s="71">
        <v>37.200000000000003</v>
      </c>
      <c r="B354" s="72">
        <f t="shared" si="45"/>
        <v>0</v>
      </c>
      <c r="C354" s="72" t="s">
        <v>5463</v>
      </c>
      <c r="D354" s="75"/>
      <c r="E354" s="74" t="s">
        <v>5324</v>
      </c>
      <c r="F354" s="1425"/>
      <c r="G354" s="74">
        <f t="shared" si="46"/>
        <v>0</v>
      </c>
      <c r="H354" s="74"/>
      <c r="I354" s="74">
        <f t="shared" si="47"/>
        <v>0</v>
      </c>
      <c r="J354" s="74"/>
      <c r="K354" s="74">
        <f t="shared" si="48"/>
        <v>0</v>
      </c>
      <c r="L354" s="74"/>
      <c r="M354" s="74">
        <f t="shared" si="49"/>
        <v>0</v>
      </c>
      <c r="N354" s="74">
        <f t="shared" si="50"/>
        <v>0</v>
      </c>
      <c r="O354" s="74">
        <f t="shared" si="51"/>
        <v>0</v>
      </c>
      <c r="P354" s="74">
        <f t="shared" si="52"/>
        <v>0</v>
      </c>
      <c r="Q354" s="74">
        <f t="shared" si="53"/>
        <v>0</v>
      </c>
    </row>
    <row r="355" spans="1:17" ht="71.25" hidden="1" customHeight="1">
      <c r="A355" s="71">
        <v>38.1</v>
      </c>
      <c r="B355" s="72">
        <f t="shared" si="45"/>
        <v>0</v>
      </c>
      <c r="C355" s="72" t="s">
        <v>5464</v>
      </c>
      <c r="D355" s="75">
        <f>ROUND(Data!K1513,2)</f>
        <v>204.36</v>
      </c>
      <c r="E355" s="74" t="s">
        <v>5324</v>
      </c>
      <c r="F355" s="1425"/>
      <c r="G355" s="74">
        <f t="shared" si="46"/>
        <v>0</v>
      </c>
      <c r="H355" s="74"/>
      <c r="I355" s="74">
        <f t="shared" si="47"/>
        <v>0</v>
      </c>
      <c r="J355" s="74"/>
      <c r="K355" s="74">
        <f t="shared" si="48"/>
        <v>0</v>
      </c>
      <c r="L355" s="74"/>
      <c r="M355" s="74">
        <f t="shared" si="49"/>
        <v>0</v>
      </c>
      <c r="N355" s="74">
        <f t="shared" si="50"/>
        <v>0</v>
      </c>
      <c r="O355" s="74">
        <f t="shared" si="51"/>
        <v>0</v>
      </c>
      <c r="P355" s="74">
        <f t="shared" si="52"/>
        <v>0</v>
      </c>
      <c r="Q355" s="74">
        <f t="shared" si="53"/>
        <v>0</v>
      </c>
    </row>
    <row r="356" spans="1:17" ht="26.25" hidden="1" customHeight="1">
      <c r="A356" s="71">
        <v>38.200000000000003</v>
      </c>
      <c r="B356" s="72">
        <f t="shared" si="45"/>
        <v>0</v>
      </c>
      <c r="C356" s="72" t="s">
        <v>1648</v>
      </c>
      <c r="D356" s="75">
        <f>ROUND(Data!K1526,2)</f>
        <v>169</v>
      </c>
      <c r="E356" s="74" t="s">
        <v>5324</v>
      </c>
      <c r="F356" s="1425"/>
      <c r="G356" s="74">
        <f t="shared" si="46"/>
        <v>0</v>
      </c>
      <c r="H356" s="74"/>
      <c r="I356" s="74">
        <f t="shared" si="47"/>
        <v>0</v>
      </c>
      <c r="J356" s="74"/>
      <c r="K356" s="74">
        <f t="shared" si="48"/>
        <v>0</v>
      </c>
      <c r="L356" s="74"/>
      <c r="M356" s="74">
        <f t="shared" si="49"/>
        <v>0</v>
      </c>
      <c r="N356" s="74">
        <f t="shared" si="50"/>
        <v>0</v>
      </c>
      <c r="O356" s="74">
        <f t="shared" si="51"/>
        <v>0</v>
      </c>
      <c r="P356" s="74">
        <f t="shared" si="52"/>
        <v>0</v>
      </c>
      <c r="Q356" s="74">
        <f t="shared" si="53"/>
        <v>0</v>
      </c>
    </row>
    <row r="357" spans="1:17" ht="43.5" customHeight="1">
      <c r="A357" s="71">
        <v>39</v>
      </c>
      <c r="B357" s="72">
        <f t="shared" si="45"/>
        <v>5851.2</v>
      </c>
      <c r="C357" s="72" t="s">
        <v>5465</v>
      </c>
      <c r="D357" s="75">
        <f>Data!K1193</f>
        <v>70.150000000000006</v>
      </c>
      <c r="E357" s="74" t="s">
        <v>994</v>
      </c>
      <c r="F357" s="1425">
        <f>'Detail '!I1208</f>
        <v>5851.2</v>
      </c>
      <c r="G357" s="74">
        <f t="shared" si="46"/>
        <v>410461.68</v>
      </c>
      <c r="H357" s="74"/>
      <c r="I357" s="74">
        <f t="shared" si="47"/>
        <v>0</v>
      </c>
      <c r="J357" s="74"/>
      <c r="K357" s="74">
        <f t="shared" si="48"/>
        <v>0</v>
      </c>
      <c r="L357" s="74"/>
      <c r="M357" s="74">
        <f t="shared" si="49"/>
        <v>0</v>
      </c>
      <c r="N357" s="74">
        <f t="shared" si="50"/>
        <v>0</v>
      </c>
      <c r="O357" s="74">
        <f t="shared" si="51"/>
        <v>0</v>
      </c>
      <c r="P357" s="74">
        <f t="shared" si="52"/>
        <v>5851.2</v>
      </c>
      <c r="Q357" s="74">
        <f t="shared" si="53"/>
        <v>410461.68</v>
      </c>
    </row>
    <row r="358" spans="1:17" ht="43.5" customHeight="1">
      <c r="A358" s="71">
        <v>40</v>
      </c>
      <c r="B358" s="72">
        <f t="shared" si="45"/>
        <v>189</v>
      </c>
      <c r="C358" s="72" t="s">
        <v>5466</v>
      </c>
      <c r="D358" s="75">
        <f>ROUND(Data!K1540,2)</f>
        <v>240.31</v>
      </c>
      <c r="E358" s="74" t="s">
        <v>5324</v>
      </c>
      <c r="F358" s="1425">
        <f>'Detail '!I1213</f>
        <v>189</v>
      </c>
      <c r="G358" s="74">
        <f t="shared" si="46"/>
        <v>45418.59</v>
      </c>
      <c r="H358" s="74"/>
      <c r="I358" s="74">
        <f t="shared" si="47"/>
        <v>0</v>
      </c>
      <c r="J358" s="74"/>
      <c r="K358" s="74">
        <f t="shared" si="48"/>
        <v>0</v>
      </c>
      <c r="L358" s="74"/>
      <c r="M358" s="74">
        <f t="shared" si="49"/>
        <v>0</v>
      </c>
      <c r="N358" s="74">
        <f t="shared" si="50"/>
        <v>0</v>
      </c>
      <c r="O358" s="74">
        <f t="shared" si="51"/>
        <v>0</v>
      </c>
      <c r="P358" s="74">
        <f t="shared" si="52"/>
        <v>189</v>
      </c>
      <c r="Q358" s="74">
        <f t="shared" si="53"/>
        <v>45418.59</v>
      </c>
    </row>
    <row r="359" spans="1:17" ht="50.25" customHeight="1">
      <c r="A359" s="71">
        <v>41</v>
      </c>
      <c r="B359" s="72">
        <f t="shared" si="45"/>
        <v>167.2</v>
      </c>
      <c r="C359" s="72" t="s">
        <v>5467</v>
      </c>
      <c r="D359" s="75">
        <f>ROUND(Data!K1553,2)</f>
        <v>142.15</v>
      </c>
      <c r="E359" s="74" t="s">
        <v>5324</v>
      </c>
      <c r="F359" s="1425">
        <f>'Detail '!I1223</f>
        <v>167.2</v>
      </c>
      <c r="G359" s="74">
        <f t="shared" si="46"/>
        <v>23767.48</v>
      </c>
      <c r="H359" s="74"/>
      <c r="I359" s="74">
        <f t="shared" si="47"/>
        <v>0</v>
      </c>
      <c r="J359" s="74"/>
      <c r="K359" s="74">
        <f t="shared" si="48"/>
        <v>0</v>
      </c>
      <c r="L359" s="74"/>
      <c r="M359" s="74">
        <f t="shared" si="49"/>
        <v>0</v>
      </c>
      <c r="N359" s="74">
        <f t="shared" si="50"/>
        <v>0</v>
      </c>
      <c r="O359" s="74">
        <f t="shared" si="51"/>
        <v>0</v>
      </c>
      <c r="P359" s="74">
        <f t="shared" si="52"/>
        <v>167.2</v>
      </c>
      <c r="Q359" s="74">
        <f t="shared" si="53"/>
        <v>23767.48</v>
      </c>
    </row>
    <row r="360" spans="1:17" ht="46.5" hidden="1" customHeight="1">
      <c r="A360" s="71">
        <v>42</v>
      </c>
      <c r="B360" s="72">
        <f t="shared" si="45"/>
        <v>0</v>
      </c>
      <c r="C360" s="72" t="s">
        <v>5468</v>
      </c>
      <c r="D360" s="75"/>
      <c r="E360" s="74"/>
      <c r="F360" s="75"/>
      <c r="G360" s="74">
        <f t="shared" si="46"/>
        <v>0</v>
      </c>
      <c r="H360" s="74"/>
      <c r="I360" s="74">
        <f t="shared" si="47"/>
        <v>0</v>
      </c>
      <c r="J360" s="74"/>
      <c r="K360" s="74">
        <f t="shared" si="48"/>
        <v>0</v>
      </c>
      <c r="L360" s="74"/>
      <c r="M360" s="74">
        <f t="shared" si="49"/>
        <v>0</v>
      </c>
      <c r="N360" s="74">
        <f t="shared" si="50"/>
        <v>0</v>
      </c>
      <c r="O360" s="74">
        <f t="shared" si="51"/>
        <v>0</v>
      </c>
      <c r="P360" s="74">
        <f t="shared" si="52"/>
        <v>0</v>
      </c>
      <c r="Q360" s="74">
        <f t="shared" si="53"/>
        <v>0</v>
      </c>
    </row>
    <row r="361" spans="1:17" ht="25.5" hidden="1" customHeight="1">
      <c r="A361" s="72"/>
      <c r="B361" s="72">
        <f t="shared" si="45"/>
        <v>0</v>
      </c>
      <c r="C361" s="72" t="s">
        <v>5469</v>
      </c>
      <c r="D361" s="75">
        <f>ROUND(Data!K1582,2)</f>
        <v>92263.5</v>
      </c>
      <c r="E361" s="74" t="s">
        <v>11</v>
      </c>
      <c r="F361" s="75"/>
      <c r="G361" s="74">
        <f t="shared" si="46"/>
        <v>0</v>
      </c>
      <c r="H361" s="74"/>
      <c r="I361" s="74">
        <f t="shared" si="47"/>
        <v>0</v>
      </c>
      <c r="J361" s="74"/>
      <c r="K361" s="74">
        <f t="shared" si="48"/>
        <v>0</v>
      </c>
      <c r="L361" s="74"/>
      <c r="M361" s="74">
        <f t="shared" si="49"/>
        <v>0</v>
      </c>
      <c r="N361" s="74">
        <f t="shared" si="50"/>
        <v>0</v>
      </c>
      <c r="O361" s="74">
        <f t="shared" si="51"/>
        <v>0</v>
      </c>
      <c r="P361" s="74">
        <f t="shared" si="52"/>
        <v>0</v>
      </c>
      <c r="Q361" s="74">
        <f t="shared" si="53"/>
        <v>0</v>
      </c>
    </row>
    <row r="362" spans="1:17" ht="25.5" hidden="1" customHeight="1">
      <c r="A362" s="56"/>
      <c r="B362" s="72">
        <f t="shared" si="45"/>
        <v>0</v>
      </c>
      <c r="C362" s="72" t="s">
        <v>5470</v>
      </c>
      <c r="D362" s="75">
        <f>ROUND(Data!K1595,2)</f>
        <v>92263.5</v>
      </c>
      <c r="E362" s="74" t="s">
        <v>11</v>
      </c>
      <c r="F362" s="75"/>
      <c r="G362" s="74">
        <f t="shared" si="46"/>
        <v>0</v>
      </c>
      <c r="H362" s="74"/>
      <c r="I362" s="74">
        <f t="shared" si="47"/>
        <v>0</v>
      </c>
      <c r="J362" s="74"/>
      <c r="K362" s="74">
        <f t="shared" si="48"/>
        <v>0</v>
      </c>
      <c r="L362" s="74"/>
      <c r="M362" s="74">
        <f t="shared" si="49"/>
        <v>0</v>
      </c>
      <c r="N362" s="74">
        <f t="shared" si="50"/>
        <v>0</v>
      </c>
      <c r="O362" s="74">
        <f t="shared" si="51"/>
        <v>0</v>
      </c>
      <c r="P362" s="74">
        <f t="shared" si="52"/>
        <v>0</v>
      </c>
      <c r="Q362" s="74">
        <f t="shared" si="53"/>
        <v>0</v>
      </c>
    </row>
    <row r="363" spans="1:17" ht="46.5" hidden="1" customHeight="1">
      <c r="A363" s="71">
        <v>43</v>
      </c>
      <c r="B363" s="72">
        <f t="shared" si="45"/>
        <v>0</v>
      </c>
      <c r="C363" s="72" t="s">
        <v>5471</v>
      </c>
      <c r="D363" s="75"/>
      <c r="E363" s="74"/>
      <c r="F363" s="75"/>
      <c r="G363" s="74">
        <f t="shared" si="46"/>
        <v>0</v>
      </c>
      <c r="H363" s="74"/>
      <c r="I363" s="74">
        <f t="shared" si="47"/>
        <v>0</v>
      </c>
      <c r="J363" s="74"/>
      <c r="K363" s="74">
        <f t="shared" si="48"/>
        <v>0</v>
      </c>
      <c r="L363" s="74"/>
      <c r="M363" s="74">
        <f t="shared" si="49"/>
        <v>0</v>
      </c>
      <c r="N363" s="74">
        <f t="shared" si="50"/>
        <v>0</v>
      </c>
      <c r="O363" s="74">
        <f t="shared" si="51"/>
        <v>0</v>
      </c>
      <c r="P363" s="74">
        <f t="shared" si="52"/>
        <v>0</v>
      </c>
      <c r="Q363" s="74">
        <f t="shared" si="53"/>
        <v>0</v>
      </c>
    </row>
    <row r="364" spans="1:17" ht="25.5" hidden="1" customHeight="1">
      <c r="A364" s="72"/>
      <c r="B364" s="72">
        <f t="shared" si="45"/>
        <v>0</v>
      </c>
      <c r="C364" s="72" t="s">
        <v>5469</v>
      </c>
      <c r="D364" s="75">
        <f>ROUND(Data!K1608,2)</f>
        <v>90172</v>
      </c>
      <c r="E364" s="74" t="s">
        <v>11</v>
      </c>
      <c r="F364" s="75"/>
      <c r="G364" s="74">
        <f t="shared" si="46"/>
        <v>0</v>
      </c>
      <c r="H364" s="74"/>
      <c r="I364" s="74">
        <f t="shared" si="47"/>
        <v>0</v>
      </c>
      <c r="J364" s="74"/>
      <c r="K364" s="74">
        <f t="shared" si="48"/>
        <v>0</v>
      </c>
      <c r="L364" s="74"/>
      <c r="M364" s="74">
        <f t="shared" si="49"/>
        <v>0</v>
      </c>
      <c r="N364" s="74">
        <f t="shared" si="50"/>
        <v>0</v>
      </c>
      <c r="O364" s="74">
        <f t="shared" si="51"/>
        <v>0</v>
      </c>
      <c r="P364" s="74">
        <f t="shared" si="52"/>
        <v>0</v>
      </c>
      <c r="Q364" s="74">
        <f t="shared" si="53"/>
        <v>0</v>
      </c>
    </row>
    <row r="365" spans="1:17" ht="25.5" hidden="1" customHeight="1">
      <c r="A365" s="56"/>
      <c r="B365" s="72">
        <f t="shared" si="45"/>
        <v>0</v>
      </c>
      <c r="C365" s="72" t="s">
        <v>5470</v>
      </c>
      <c r="D365" s="75">
        <f>ROUND(Data!K1620,2)</f>
        <v>90172</v>
      </c>
      <c r="E365" s="74" t="s">
        <v>11</v>
      </c>
      <c r="F365" s="75"/>
      <c r="G365" s="74">
        <f t="shared" si="46"/>
        <v>0</v>
      </c>
      <c r="H365" s="74"/>
      <c r="I365" s="74">
        <f t="shared" si="47"/>
        <v>0</v>
      </c>
      <c r="J365" s="74"/>
      <c r="K365" s="74">
        <f t="shared" si="48"/>
        <v>0</v>
      </c>
      <c r="L365" s="74"/>
      <c r="M365" s="74">
        <f t="shared" si="49"/>
        <v>0</v>
      </c>
      <c r="N365" s="74">
        <f t="shared" si="50"/>
        <v>0</v>
      </c>
      <c r="O365" s="74">
        <f t="shared" si="51"/>
        <v>0</v>
      </c>
      <c r="P365" s="74">
        <f t="shared" si="52"/>
        <v>0</v>
      </c>
      <c r="Q365" s="74">
        <f t="shared" si="53"/>
        <v>0</v>
      </c>
    </row>
    <row r="366" spans="1:17" ht="25.5" hidden="1" customHeight="1">
      <c r="A366" s="71">
        <v>44.1</v>
      </c>
      <c r="B366" s="72">
        <f t="shared" si="45"/>
        <v>0</v>
      </c>
      <c r="C366" s="72" t="s">
        <v>5472</v>
      </c>
      <c r="D366" s="75">
        <f>ROUND(Data!K1638,2)</f>
        <v>349.29</v>
      </c>
      <c r="E366" s="74" t="s">
        <v>13</v>
      </c>
      <c r="F366" s="75"/>
      <c r="G366" s="74">
        <f t="shared" si="46"/>
        <v>0</v>
      </c>
      <c r="H366" s="74"/>
      <c r="I366" s="74">
        <f t="shared" si="47"/>
        <v>0</v>
      </c>
      <c r="J366" s="74"/>
      <c r="K366" s="74">
        <f t="shared" si="48"/>
        <v>0</v>
      </c>
      <c r="L366" s="74"/>
      <c r="M366" s="74">
        <f t="shared" si="49"/>
        <v>0</v>
      </c>
      <c r="N366" s="74">
        <f t="shared" si="50"/>
        <v>0</v>
      </c>
      <c r="O366" s="74">
        <f t="shared" si="51"/>
        <v>0</v>
      </c>
      <c r="P366" s="74">
        <f t="shared" si="52"/>
        <v>0</v>
      </c>
      <c r="Q366" s="74">
        <f t="shared" si="53"/>
        <v>0</v>
      </c>
    </row>
    <row r="367" spans="1:17" ht="46.5" customHeight="1">
      <c r="A367" s="71">
        <v>44.2</v>
      </c>
      <c r="B367" s="72">
        <f t="shared" si="45"/>
        <v>10</v>
      </c>
      <c r="C367" s="72" t="s">
        <v>5473</v>
      </c>
      <c r="D367" s="75"/>
      <c r="E367" s="74" t="s">
        <v>729</v>
      </c>
      <c r="F367" s="1425">
        <f>'Detail '!I2694</f>
        <v>10</v>
      </c>
      <c r="G367" s="74">
        <f t="shared" si="46"/>
        <v>0</v>
      </c>
      <c r="H367" s="74"/>
      <c r="I367" s="74">
        <f t="shared" si="47"/>
        <v>0</v>
      </c>
      <c r="J367" s="74"/>
      <c r="K367" s="74">
        <f t="shared" si="48"/>
        <v>0</v>
      </c>
      <c r="L367" s="74"/>
      <c r="M367" s="74">
        <f t="shared" si="49"/>
        <v>0</v>
      </c>
      <c r="N367" s="74">
        <f t="shared" si="50"/>
        <v>0</v>
      </c>
      <c r="O367" s="74">
        <f t="shared" si="51"/>
        <v>0</v>
      </c>
      <c r="P367" s="74">
        <f t="shared" si="52"/>
        <v>10</v>
      </c>
      <c r="Q367" s="74">
        <f t="shared" si="53"/>
        <v>0</v>
      </c>
    </row>
    <row r="368" spans="1:17" s="55" customFormat="1" ht="40.5" hidden="1" customHeight="1">
      <c r="A368" s="71">
        <v>45</v>
      </c>
      <c r="B368" s="72">
        <f t="shared" si="45"/>
        <v>0</v>
      </c>
      <c r="C368" s="76" t="s">
        <v>5474</v>
      </c>
      <c r="D368" s="75">
        <f>ROUND(Data!K1653,2)</f>
        <v>329.64</v>
      </c>
      <c r="E368" s="74" t="s">
        <v>5324</v>
      </c>
      <c r="F368" s="75"/>
      <c r="G368" s="74">
        <f t="shared" si="46"/>
        <v>0</v>
      </c>
      <c r="H368" s="74"/>
      <c r="I368" s="74">
        <f t="shared" si="47"/>
        <v>0</v>
      </c>
      <c r="J368" s="74"/>
      <c r="K368" s="74">
        <f t="shared" si="48"/>
        <v>0</v>
      </c>
      <c r="L368" s="74"/>
      <c r="M368" s="74">
        <f t="shared" si="49"/>
        <v>0</v>
      </c>
      <c r="N368" s="74">
        <f t="shared" si="50"/>
        <v>0</v>
      </c>
      <c r="O368" s="74">
        <f t="shared" si="51"/>
        <v>0</v>
      </c>
      <c r="P368" s="74">
        <f t="shared" si="52"/>
        <v>0</v>
      </c>
      <c r="Q368" s="74">
        <f t="shared" si="53"/>
        <v>0</v>
      </c>
    </row>
    <row r="369" spans="1:17" ht="45.75" customHeight="1">
      <c r="A369" s="71">
        <v>46</v>
      </c>
      <c r="B369" s="72">
        <f t="shared" si="45"/>
        <v>34.6</v>
      </c>
      <c r="C369" s="72" t="s">
        <v>5475</v>
      </c>
      <c r="D369" s="75">
        <f>ROUND(Data!K1670,2)</f>
        <v>58</v>
      </c>
      <c r="E369" s="74" t="s">
        <v>13</v>
      </c>
      <c r="F369" s="1425">
        <f>'Detail '!I1260</f>
        <v>34.6</v>
      </c>
      <c r="G369" s="74">
        <f t="shared" si="46"/>
        <v>2006.8</v>
      </c>
      <c r="H369" s="74"/>
      <c r="I369" s="74">
        <f t="shared" si="47"/>
        <v>0</v>
      </c>
      <c r="J369" s="74"/>
      <c r="K369" s="74">
        <f t="shared" si="48"/>
        <v>0</v>
      </c>
      <c r="L369" s="74"/>
      <c r="M369" s="74">
        <f t="shared" si="49"/>
        <v>0</v>
      </c>
      <c r="N369" s="74">
        <f t="shared" si="50"/>
        <v>0</v>
      </c>
      <c r="O369" s="74">
        <f t="shared" si="51"/>
        <v>0</v>
      </c>
      <c r="P369" s="74">
        <f t="shared" si="52"/>
        <v>34.6</v>
      </c>
      <c r="Q369" s="74">
        <f t="shared" si="53"/>
        <v>2006.8</v>
      </c>
    </row>
    <row r="370" spans="1:17" ht="45.75" customHeight="1">
      <c r="A370" s="71">
        <v>47</v>
      </c>
      <c r="B370" s="72">
        <f t="shared" si="45"/>
        <v>47</v>
      </c>
      <c r="C370" s="72" t="s">
        <v>5476</v>
      </c>
      <c r="D370" s="75">
        <f>ROUND(Data!K1682,2)</f>
        <v>95</v>
      </c>
      <c r="E370" s="74" t="s">
        <v>729</v>
      </c>
      <c r="F370" s="1425">
        <f>'Detail '!I1263</f>
        <v>47</v>
      </c>
      <c r="G370" s="74">
        <f t="shared" si="46"/>
        <v>4465</v>
      </c>
      <c r="H370" s="74"/>
      <c r="I370" s="74">
        <f t="shared" si="47"/>
        <v>0</v>
      </c>
      <c r="J370" s="74"/>
      <c r="K370" s="74">
        <f t="shared" si="48"/>
        <v>0</v>
      </c>
      <c r="L370" s="74"/>
      <c r="M370" s="74">
        <f t="shared" si="49"/>
        <v>0</v>
      </c>
      <c r="N370" s="74">
        <f t="shared" si="50"/>
        <v>0</v>
      </c>
      <c r="O370" s="74">
        <f t="shared" si="51"/>
        <v>0</v>
      </c>
      <c r="P370" s="74">
        <f t="shared" si="52"/>
        <v>47</v>
      </c>
      <c r="Q370" s="74">
        <f t="shared" si="53"/>
        <v>4465</v>
      </c>
    </row>
    <row r="371" spans="1:17" ht="45.75" customHeight="1">
      <c r="A371" s="71">
        <v>48</v>
      </c>
      <c r="B371" s="72">
        <f t="shared" si="45"/>
        <v>80</v>
      </c>
      <c r="C371" s="72" t="s">
        <v>5477</v>
      </c>
      <c r="D371" s="75">
        <f>ROUND(Data!K1690,2)</f>
        <v>55</v>
      </c>
      <c r="E371" s="74" t="s">
        <v>729</v>
      </c>
      <c r="F371" s="1425">
        <f>'Detail '!I1267</f>
        <v>80</v>
      </c>
      <c r="G371" s="74">
        <f t="shared" si="46"/>
        <v>4400</v>
      </c>
      <c r="H371" s="74"/>
      <c r="I371" s="74">
        <f t="shared" si="47"/>
        <v>0</v>
      </c>
      <c r="J371" s="74"/>
      <c r="K371" s="74">
        <f t="shared" si="48"/>
        <v>0</v>
      </c>
      <c r="L371" s="74"/>
      <c r="M371" s="74">
        <f t="shared" si="49"/>
        <v>0</v>
      </c>
      <c r="N371" s="74">
        <f t="shared" si="50"/>
        <v>0</v>
      </c>
      <c r="O371" s="74">
        <f t="shared" si="51"/>
        <v>0</v>
      </c>
      <c r="P371" s="74">
        <f t="shared" si="52"/>
        <v>80</v>
      </c>
      <c r="Q371" s="74">
        <f t="shared" si="53"/>
        <v>4400</v>
      </c>
    </row>
    <row r="372" spans="1:17" ht="45.75" customHeight="1">
      <c r="A372" s="71">
        <v>49</v>
      </c>
      <c r="B372" s="72">
        <f t="shared" si="45"/>
        <v>140</v>
      </c>
      <c r="C372" s="72" t="s">
        <v>5478</v>
      </c>
      <c r="D372" s="75">
        <f>ROUND(Data!K1697,2)</f>
        <v>1.5</v>
      </c>
      <c r="E372" s="74" t="s">
        <v>729</v>
      </c>
      <c r="F372" s="1425">
        <f>'Detail '!I1270</f>
        <v>140</v>
      </c>
      <c r="G372" s="74">
        <f t="shared" si="46"/>
        <v>210</v>
      </c>
      <c r="H372" s="74"/>
      <c r="I372" s="74">
        <f t="shared" si="47"/>
        <v>0</v>
      </c>
      <c r="J372" s="74"/>
      <c r="K372" s="74">
        <f t="shared" si="48"/>
        <v>0</v>
      </c>
      <c r="L372" s="74"/>
      <c r="M372" s="74">
        <f t="shared" si="49"/>
        <v>0</v>
      </c>
      <c r="N372" s="74">
        <f t="shared" si="50"/>
        <v>0</v>
      </c>
      <c r="O372" s="74">
        <f t="shared" si="51"/>
        <v>0</v>
      </c>
      <c r="P372" s="74">
        <f t="shared" si="52"/>
        <v>140</v>
      </c>
      <c r="Q372" s="74">
        <f t="shared" si="53"/>
        <v>210</v>
      </c>
    </row>
    <row r="373" spans="1:17" ht="48" hidden="1" customHeight="1">
      <c r="A373" s="71">
        <v>50.1</v>
      </c>
      <c r="B373" s="72">
        <f t="shared" si="45"/>
        <v>0</v>
      </c>
      <c r="C373" s="72" t="s">
        <v>5479</v>
      </c>
      <c r="D373" s="75"/>
      <c r="E373" s="74" t="s">
        <v>5324</v>
      </c>
      <c r="F373" s="75"/>
      <c r="G373" s="74">
        <f t="shared" si="46"/>
        <v>0</v>
      </c>
      <c r="H373" s="74"/>
      <c r="I373" s="74">
        <f t="shared" si="47"/>
        <v>0</v>
      </c>
      <c r="J373" s="74"/>
      <c r="K373" s="74">
        <f t="shared" si="48"/>
        <v>0</v>
      </c>
      <c r="L373" s="74"/>
      <c r="M373" s="74">
        <f t="shared" si="49"/>
        <v>0</v>
      </c>
      <c r="N373" s="74">
        <f t="shared" si="50"/>
        <v>0</v>
      </c>
      <c r="O373" s="74">
        <f t="shared" si="51"/>
        <v>0</v>
      </c>
      <c r="P373" s="74">
        <f t="shared" si="52"/>
        <v>0</v>
      </c>
      <c r="Q373" s="74">
        <f t="shared" si="53"/>
        <v>0</v>
      </c>
    </row>
    <row r="374" spans="1:17" ht="65.25" customHeight="1">
      <c r="A374" s="71">
        <v>50.2</v>
      </c>
      <c r="B374" s="72">
        <f t="shared" si="45"/>
        <v>86</v>
      </c>
      <c r="C374" s="72" t="s">
        <v>3521</v>
      </c>
      <c r="D374" s="75">
        <f>ROUND(Data!K1746,2)</f>
        <v>267.3</v>
      </c>
      <c r="E374" s="74" t="s">
        <v>13</v>
      </c>
      <c r="F374" s="1425">
        <f>'Detail '!I2437</f>
        <v>86</v>
      </c>
      <c r="G374" s="74">
        <f t="shared" si="46"/>
        <v>22987.8</v>
      </c>
      <c r="H374" s="74"/>
      <c r="I374" s="74">
        <f t="shared" si="47"/>
        <v>0</v>
      </c>
      <c r="J374" s="74"/>
      <c r="K374" s="74">
        <f t="shared" si="48"/>
        <v>0</v>
      </c>
      <c r="L374" s="74"/>
      <c r="M374" s="74">
        <f t="shared" si="49"/>
        <v>0</v>
      </c>
      <c r="N374" s="74">
        <f t="shared" si="50"/>
        <v>0</v>
      </c>
      <c r="O374" s="74">
        <f t="shared" si="51"/>
        <v>0</v>
      </c>
      <c r="P374" s="74">
        <f t="shared" si="52"/>
        <v>86</v>
      </c>
      <c r="Q374" s="74">
        <f t="shared" si="53"/>
        <v>22987.8</v>
      </c>
    </row>
    <row r="375" spans="1:17" ht="49.5" customHeight="1">
      <c r="A375" s="71">
        <v>50.3</v>
      </c>
      <c r="B375" s="72">
        <f t="shared" si="45"/>
        <v>5</v>
      </c>
      <c r="C375" s="72" t="s">
        <v>5480</v>
      </c>
      <c r="D375" s="75">
        <f>ROUND(Data!K1762,2)</f>
        <v>367.23</v>
      </c>
      <c r="E375" s="74" t="s">
        <v>729</v>
      </c>
      <c r="F375" s="1425">
        <f>'Detail '!I1274</f>
        <v>5</v>
      </c>
      <c r="G375" s="74">
        <f t="shared" si="46"/>
        <v>1836.15</v>
      </c>
      <c r="H375" s="74"/>
      <c r="I375" s="74">
        <f t="shared" si="47"/>
        <v>0</v>
      </c>
      <c r="J375" s="74"/>
      <c r="K375" s="74">
        <f t="shared" si="48"/>
        <v>0</v>
      </c>
      <c r="L375" s="74"/>
      <c r="M375" s="74">
        <f t="shared" si="49"/>
        <v>0</v>
      </c>
      <c r="N375" s="74">
        <f t="shared" si="50"/>
        <v>0</v>
      </c>
      <c r="O375" s="74">
        <f t="shared" si="51"/>
        <v>0</v>
      </c>
      <c r="P375" s="74">
        <f t="shared" si="52"/>
        <v>5</v>
      </c>
      <c r="Q375" s="74">
        <f t="shared" si="53"/>
        <v>1836.15</v>
      </c>
    </row>
    <row r="376" spans="1:17" ht="43.5" customHeight="1">
      <c r="A376" s="71">
        <v>50.4</v>
      </c>
      <c r="B376" s="72">
        <f t="shared" si="45"/>
        <v>5</v>
      </c>
      <c r="C376" s="72" t="s">
        <v>5481</v>
      </c>
      <c r="D376" s="75">
        <f>ROUND(Data!K1775,2)</f>
        <v>903.38</v>
      </c>
      <c r="E376" s="74" t="s">
        <v>729</v>
      </c>
      <c r="F376" s="1425">
        <f>'Detail '!I1277</f>
        <v>5</v>
      </c>
      <c r="G376" s="74">
        <f t="shared" si="46"/>
        <v>4516.8999999999996</v>
      </c>
      <c r="H376" s="74"/>
      <c r="I376" s="74">
        <f t="shared" si="47"/>
        <v>0</v>
      </c>
      <c r="J376" s="74"/>
      <c r="K376" s="74">
        <f t="shared" si="48"/>
        <v>0</v>
      </c>
      <c r="L376" s="74"/>
      <c r="M376" s="74">
        <f t="shared" si="49"/>
        <v>0</v>
      </c>
      <c r="N376" s="74">
        <f t="shared" si="50"/>
        <v>0</v>
      </c>
      <c r="O376" s="74">
        <f t="shared" si="51"/>
        <v>0</v>
      </c>
      <c r="P376" s="74">
        <f t="shared" si="52"/>
        <v>5</v>
      </c>
      <c r="Q376" s="74">
        <f t="shared" si="53"/>
        <v>4516.8999999999996</v>
      </c>
    </row>
    <row r="377" spans="1:17" ht="62.25" customHeight="1">
      <c r="A377" s="71">
        <v>50.5</v>
      </c>
      <c r="B377" s="72">
        <f t="shared" si="45"/>
        <v>1</v>
      </c>
      <c r="C377" s="72" t="s">
        <v>5482</v>
      </c>
      <c r="D377" s="75">
        <f>ROUND(Data!K1790,2)</f>
        <v>19544.189999999999</v>
      </c>
      <c r="E377" s="74" t="s">
        <v>729</v>
      </c>
      <c r="F377" s="1425">
        <f>'Detail '!I1280</f>
        <v>1</v>
      </c>
      <c r="G377" s="74">
        <f t="shared" si="46"/>
        <v>19544.189999999999</v>
      </c>
      <c r="H377" s="74"/>
      <c r="I377" s="74">
        <f t="shared" si="47"/>
        <v>0</v>
      </c>
      <c r="J377" s="74"/>
      <c r="K377" s="74">
        <f t="shared" si="48"/>
        <v>0</v>
      </c>
      <c r="L377" s="74"/>
      <c r="M377" s="74">
        <f t="shared" si="49"/>
        <v>0</v>
      </c>
      <c r="N377" s="74">
        <f t="shared" si="50"/>
        <v>0</v>
      </c>
      <c r="O377" s="74">
        <f t="shared" si="51"/>
        <v>0</v>
      </c>
      <c r="P377" s="74">
        <f t="shared" si="52"/>
        <v>1</v>
      </c>
      <c r="Q377" s="74">
        <f t="shared" si="53"/>
        <v>19544.189999999999</v>
      </c>
    </row>
    <row r="378" spans="1:17" ht="53.25" hidden="1" customHeight="1">
      <c r="A378" s="71">
        <v>51</v>
      </c>
      <c r="B378" s="72">
        <f t="shared" si="45"/>
        <v>0</v>
      </c>
      <c r="C378" s="72" t="s">
        <v>5483</v>
      </c>
      <c r="D378" s="75">
        <f>ROUND(Data!K1796,2)</f>
        <v>7035</v>
      </c>
      <c r="E378" s="74" t="s">
        <v>729</v>
      </c>
      <c r="F378" s="75"/>
      <c r="G378" s="74">
        <f t="shared" si="46"/>
        <v>0</v>
      </c>
      <c r="H378" s="74"/>
      <c r="I378" s="74">
        <f t="shared" si="47"/>
        <v>0</v>
      </c>
      <c r="J378" s="74"/>
      <c r="K378" s="74">
        <f t="shared" si="48"/>
        <v>0</v>
      </c>
      <c r="L378" s="74"/>
      <c r="M378" s="74">
        <f t="shared" si="49"/>
        <v>0</v>
      </c>
      <c r="N378" s="74">
        <f t="shared" si="50"/>
        <v>0</v>
      </c>
      <c r="O378" s="74">
        <f t="shared" si="51"/>
        <v>0</v>
      </c>
      <c r="P378" s="74">
        <f t="shared" si="52"/>
        <v>0</v>
      </c>
      <c r="Q378" s="74">
        <f t="shared" si="53"/>
        <v>0</v>
      </c>
    </row>
    <row r="379" spans="1:17" s="57" customFormat="1" ht="43.5" customHeight="1">
      <c r="A379" s="71">
        <v>52</v>
      </c>
      <c r="B379" s="72">
        <f t="shared" si="45"/>
        <v>0</v>
      </c>
      <c r="C379" s="76" t="s">
        <v>5484</v>
      </c>
      <c r="D379" s="75"/>
      <c r="E379" s="74"/>
      <c r="F379" s="75"/>
      <c r="G379" s="74">
        <f t="shared" si="46"/>
        <v>0</v>
      </c>
      <c r="H379" s="74"/>
      <c r="I379" s="74">
        <f t="shared" si="47"/>
        <v>0</v>
      </c>
      <c r="J379" s="74"/>
      <c r="K379" s="74">
        <f t="shared" si="48"/>
        <v>0</v>
      </c>
      <c r="L379" s="74"/>
      <c r="M379" s="74">
        <f t="shared" si="49"/>
        <v>0</v>
      </c>
      <c r="N379" s="74">
        <f t="shared" si="50"/>
        <v>0</v>
      </c>
      <c r="O379" s="74">
        <f t="shared" si="51"/>
        <v>0</v>
      </c>
      <c r="P379" s="74">
        <f t="shared" si="52"/>
        <v>0</v>
      </c>
      <c r="Q379" s="74">
        <f t="shared" si="53"/>
        <v>0</v>
      </c>
    </row>
    <row r="380" spans="1:17" s="57" customFormat="1" ht="43.5" customHeight="1">
      <c r="A380" s="72"/>
      <c r="B380" s="72">
        <f t="shared" si="45"/>
        <v>175.3</v>
      </c>
      <c r="C380" s="72" t="s">
        <v>5485</v>
      </c>
      <c r="D380" s="1637">
        <v>261.45999999999998</v>
      </c>
      <c r="E380" s="74" t="s">
        <v>13</v>
      </c>
      <c r="F380" s="1425">
        <f>'Detail '!I1287</f>
        <v>175.3</v>
      </c>
      <c r="G380" s="74">
        <f t="shared" si="46"/>
        <v>45833.94</v>
      </c>
      <c r="H380" s="74"/>
      <c r="I380" s="74">
        <f t="shared" si="47"/>
        <v>0</v>
      </c>
      <c r="J380" s="74"/>
      <c r="K380" s="74">
        <f t="shared" si="48"/>
        <v>0</v>
      </c>
      <c r="L380" s="74"/>
      <c r="M380" s="74">
        <f t="shared" si="49"/>
        <v>0</v>
      </c>
      <c r="N380" s="74">
        <f t="shared" si="50"/>
        <v>0</v>
      </c>
      <c r="O380" s="74">
        <f t="shared" si="51"/>
        <v>0</v>
      </c>
      <c r="P380" s="74">
        <f t="shared" si="52"/>
        <v>175.3</v>
      </c>
      <c r="Q380" s="74">
        <f t="shared" si="53"/>
        <v>45833.94</v>
      </c>
    </row>
    <row r="381" spans="1:17" s="57" customFormat="1" ht="43.5" customHeight="1">
      <c r="A381" s="72"/>
      <c r="B381" s="72">
        <f t="shared" si="45"/>
        <v>158</v>
      </c>
      <c r="C381" s="72" t="s">
        <v>5486</v>
      </c>
      <c r="D381" s="1637">
        <v>243.43</v>
      </c>
      <c r="E381" s="74" t="s">
        <v>13</v>
      </c>
      <c r="F381" s="1425">
        <f>'Detail '!I1296</f>
        <v>158</v>
      </c>
      <c r="G381" s="74">
        <f t="shared" si="46"/>
        <v>38461.94</v>
      </c>
      <c r="H381" s="74"/>
      <c r="I381" s="74">
        <f t="shared" si="47"/>
        <v>0</v>
      </c>
      <c r="J381" s="74"/>
      <c r="K381" s="74">
        <f t="shared" si="48"/>
        <v>0</v>
      </c>
      <c r="L381" s="74"/>
      <c r="M381" s="74">
        <f t="shared" si="49"/>
        <v>0</v>
      </c>
      <c r="N381" s="74">
        <f t="shared" si="50"/>
        <v>0</v>
      </c>
      <c r="O381" s="74">
        <f t="shared" si="51"/>
        <v>0</v>
      </c>
      <c r="P381" s="74">
        <f t="shared" si="52"/>
        <v>158</v>
      </c>
      <c r="Q381" s="74">
        <f t="shared" si="53"/>
        <v>38461.94</v>
      </c>
    </row>
    <row r="382" spans="1:17" s="1224" customFormat="1" ht="41.25" customHeight="1">
      <c r="A382" s="1428"/>
      <c r="B382" s="72">
        <f t="shared" si="45"/>
        <v>0</v>
      </c>
      <c r="C382" s="1429" t="s">
        <v>5487</v>
      </c>
      <c r="D382" s="1425"/>
      <c r="E382" s="1430" t="s">
        <v>13</v>
      </c>
      <c r="F382" s="1425"/>
      <c r="G382" s="74">
        <f t="shared" si="46"/>
        <v>0</v>
      </c>
      <c r="H382" s="1430"/>
      <c r="I382" s="74">
        <f t="shared" si="47"/>
        <v>0</v>
      </c>
      <c r="J382" s="1430"/>
      <c r="K382" s="74">
        <f t="shared" si="48"/>
        <v>0</v>
      </c>
      <c r="L382" s="1430"/>
      <c r="M382" s="74">
        <f t="shared" si="49"/>
        <v>0</v>
      </c>
      <c r="N382" s="74">
        <f t="shared" si="50"/>
        <v>0</v>
      </c>
      <c r="O382" s="74">
        <f t="shared" si="51"/>
        <v>0</v>
      </c>
      <c r="P382" s="74">
        <f t="shared" si="52"/>
        <v>0</v>
      </c>
      <c r="Q382" s="74">
        <f t="shared" si="53"/>
        <v>0</v>
      </c>
    </row>
    <row r="383" spans="1:17" ht="60" customHeight="1">
      <c r="A383" s="71">
        <v>52.1</v>
      </c>
      <c r="B383" s="72">
        <f t="shared" si="45"/>
        <v>94</v>
      </c>
      <c r="C383" s="72" t="s">
        <v>3531</v>
      </c>
      <c r="D383" s="75">
        <v>318.77</v>
      </c>
      <c r="E383" s="74" t="s">
        <v>13</v>
      </c>
      <c r="F383" s="1425">
        <f>'Detail '!I1299</f>
        <v>94</v>
      </c>
      <c r="G383" s="74">
        <f t="shared" si="46"/>
        <v>29964.38</v>
      </c>
      <c r="H383" s="74"/>
      <c r="I383" s="74">
        <f t="shared" si="47"/>
        <v>0</v>
      </c>
      <c r="J383" s="74"/>
      <c r="K383" s="74">
        <f t="shared" si="48"/>
        <v>0</v>
      </c>
      <c r="L383" s="74"/>
      <c r="M383" s="74">
        <f t="shared" si="49"/>
        <v>0</v>
      </c>
      <c r="N383" s="74">
        <f t="shared" si="50"/>
        <v>0</v>
      </c>
      <c r="O383" s="74">
        <f t="shared" si="51"/>
        <v>0</v>
      </c>
      <c r="P383" s="74">
        <f t="shared" si="52"/>
        <v>94</v>
      </c>
      <c r="Q383" s="74">
        <f t="shared" si="53"/>
        <v>29964.38</v>
      </c>
    </row>
    <row r="384" spans="1:17" ht="56.25" customHeight="1">
      <c r="A384" s="71">
        <v>53.1</v>
      </c>
      <c r="B384" s="72">
        <f t="shared" si="45"/>
        <v>29</v>
      </c>
      <c r="C384" s="72" t="s">
        <v>5488</v>
      </c>
      <c r="D384" s="1637">
        <v>3406.02</v>
      </c>
      <c r="E384" s="74" t="s">
        <v>729</v>
      </c>
      <c r="F384" s="1425">
        <f>'Detail '!I2479</f>
        <v>29</v>
      </c>
      <c r="G384" s="74">
        <f t="shared" si="46"/>
        <v>98774.58</v>
      </c>
      <c r="H384" s="74"/>
      <c r="I384" s="74">
        <f t="shared" si="47"/>
        <v>0</v>
      </c>
      <c r="J384" s="74"/>
      <c r="K384" s="74">
        <f t="shared" si="48"/>
        <v>0</v>
      </c>
      <c r="L384" s="74"/>
      <c r="M384" s="74">
        <f t="shared" si="49"/>
        <v>0</v>
      </c>
      <c r="N384" s="74">
        <f t="shared" si="50"/>
        <v>0</v>
      </c>
      <c r="O384" s="74">
        <f t="shared" si="51"/>
        <v>0</v>
      </c>
      <c r="P384" s="74">
        <f t="shared" si="52"/>
        <v>29</v>
      </c>
      <c r="Q384" s="74">
        <f t="shared" si="53"/>
        <v>98774.58</v>
      </c>
    </row>
    <row r="385" spans="1:17" ht="43.5" hidden="1" customHeight="1">
      <c r="A385" s="71">
        <v>53.2</v>
      </c>
      <c r="B385" s="72">
        <f t="shared" si="45"/>
        <v>0</v>
      </c>
      <c r="C385" s="72" t="s">
        <v>5489</v>
      </c>
      <c r="D385" s="75"/>
      <c r="E385" s="74" t="s">
        <v>729</v>
      </c>
      <c r="F385" s="75"/>
      <c r="G385" s="74">
        <f t="shared" si="46"/>
        <v>0</v>
      </c>
      <c r="H385" s="74"/>
      <c r="I385" s="74">
        <f t="shared" si="47"/>
        <v>0</v>
      </c>
      <c r="J385" s="74"/>
      <c r="K385" s="74">
        <f t="shared" si="48"/>
        <v>0</v>
      </c>
      <c r="L385" s="74"/>
      <c r="M385" s="74">
        <f t="shared" si="49"/>
        <v>0</v>
      </c>
      <c r="N385" s="74">
        <f t="shared" si="50"/>
        <v>0</v>
      </c>
      <c r="O385" s="74">
        <f t="shared" si="51"/>
        <v>0</v>
      </c>
      <c r="P385" s="74">
        <f t="shared" si="52"/>
        <v>0</v>
      </c>
      <c r="Q385" s="74">
        <f t="shared" si="53"/>
        <v>0</v>
      </c>
    </row>
    <row r="386" spans="1:17" ht="45.75" customHeight="1">
      <c r="A386" s="71">
        <v>53.3</v>
      </c>
      <c r="B386" s="72">
        <f t="shared" si="45"/>
        <v>14</v>
      </c>
      <c r="C386" s="72" t="s">
        <v>3532</v>
      </c>
      <c r="D386" s="75">
        <f>ROUND(Data!K1952,2)</f>
        <v>30</v>
      </c>
      <c r="E386" s="74" t="s">
        <v>729</v>
      </c>
      <c r="F386" s="1425">
        <f>'Detail '!I1301</f>
        <v>4</v>
      </c>
      <c r="G386" s="74">
        <f t="shared" si="46"/>
        <v>120</v>
      </c>
      <c r="H386" s="74"/>
      <c r="I386" s="74">
        <f t="shared" si="47"/>
        <v>0</v>
      </c>
      <c r="J386" s="74">
        <f>Sump!I40</f>
        <v>10</v>
      </c>
      <c r="K386" s="74">
        <f t="shared" si="48"/>
        <v>300</v>
      </c>
      <c r="L386" s="74"/>
      <c r="M386" s="74">
        <f t="shared" si="49"/>
        <v>0</v>
      </c>
      <c r="N386" s="74">
        <f t="shared" si="50"/>
        <v>10</v>
      </c>
      <c r="O386" s="74">
        <f t="shared" si="51"/>
        <v>300</v>
      </c>
      <c r="P386" s="74">
        <f t="shared" si="52"/>
        <v>14</v>
      </c>
      <c r="Q386" s="74">
        <f t="shared" si="53"/>
        <v>420</v>
      </c>
    </row>
    <row r="387" spans="1:17" ht="25.5" hidden="1" customHeight="1">
      <c r="A387" s="83">
        <v>54</v>
      </c>
      <c r="B387" s="72">
        <f t="shared" si="45"/>
        <v>0</v>
      </c>
      <c r="C387" s="72" t="s">
        <v>5490</v>
      </c>
      <c r="D387" s="75">
        <f>ROUND(Data!K1954,2)</f>
        <v>206</v>
      </c>
      <c r="E387" s="74" t="s">
        <v>729</v>
      </c>
      <c r="F387" s="75"/>
      <c r="G387" s="74">
        <f t="shared" si="46"/>
        <v>0</v>
      </c>
      <c r="H387" s="74"/>
      <c r="I387" s="74">
        <f t="shared" si="47"/>
        <v>0</v>
      </c>
      <c r="J387" s="74"/>
      <c r="K387" s="74">
        <f t="shared" si="48"/>
        <v>0</v>
      </c>
      <c r="L387" s="74"/>
      <c r="M387" s="74">
        <f t="shared" si="49"/>
        <v>0</v>
      </c>
      <c r="N387" s="74">
        <f t="shared" si="50"/>
        <v>0</v>
      </c>
      <c r="O387" s="74">
        <f t="shared" si="51"/>
        <v>0</v>
      </c>
      <c r="P387" s="74">
        <f t="shared" si="52"/>
        <v>0</v>
      </c>
      <c r="Q387" s="74">
        <f t="shared" si="53"/>
        <v>0</v>
      </c>
    </row>
    <row r="388" spans="1:17" ht="36.75" hidden="1" customHeight="1">
      <c r="A388" s="71">
        <v>54.1</v>
      </c>
      <c r="B388" s="72">
        <f t="shared" si="45"/>
        <v>0</v>
      </c>
      <c r="C388" s="72" t="s">
        <v>5491</v>
      </c>
      <c r="D388" s="75">
        <f>ROUND(Data!K1957,2)</f>
        <v>300</v>
      </c>
      <c r="E388" s="74" t="s">
        <v>729</v>
      </c>
      <c r="F388" s="75"/>
      <c r="G388" s="74">
        <f t="shared" si="46"/>
        <v>0</v>
      </c>
      <c r="H388" s="74"/>
      <c r="I388" s="74">
        <f t="shared" si="47"/>
        <v>0</v>
      </c>
      <c r="J388" s="74"/>
      <c r="K388" s="74">
        <f t="shared" si="48"/>
        <v>0</v>
      </c>
      <c r="L388" s="74"/>
      <c r="M388" s="74">
        <f t="shared" si="49"/>
        <v>0</v>
      </c>
      <c r="N388" s="74">
        <f t="shared" si="50"/>
        <v>0</v>
      </c>
      <c r="O388" s="74">
        <f t="shared" si="51"/>
        <v>0</v>
      </c>
      <c r="P388" s="74">
        <f t="shared" si="52"/>
        <v>0</v>
      </c>
      <c r="Q388" s="74">
        <f t="shared" si="53"/>
        <v>0</v>
      </c>
    </row>
    <row r="389" spans="1:17" ht="36.75" hidden="1" customHeight="1">
      <c r="A389" s="71">
        <v>54.2</v>
      </c>
      <c r="B389" s="72">
        <f t="shared" ref="B389:B452" si="54">P389</f>
        <v>0</v>
      </c>
      <c r="C389" s="72" t="s">
        <v>5492</v>
      </c>
      <c r="D389" s="75">
        <f>ROUND(Data!K1960,2)</f>
        <v>250</v>
      </c>
      <c r="E389" s="74" t="s">
        <v>729</v>
      </c>
      <c r="F389" s="75"/>
      <c r="G389" s="74">
        <f t="shared" si="46"/>
        <v>0</v>
      </c>
      <c r="H389" s="74"/>
      <c r="I389" s="74">
        <f t="shared" si="47"/>
        <v>0</v>
      </c>
      <c r="J389" s="74"/>
      <c r="K389" s="74">
        <f t="shared" si="48"/>
        <v>0</v>
      </c>
      <c r="L389" s="74"/>
      <c r="M389" s="74">
        <f t="shared" si="49"/>
        <v>0</v>
      </c>
      <c r="N389" s="74">
        <f t="shared" si="50"/>
        <v>0</v>
      </c>
      <c r="O389" s="74">
        <f t="shared" si="51"/>
        <v>0</v>
      </c>
      <c r="P389" s="74">
        <f t="shared" si="52"/>
        <v>0</v>
      </c>
      <c r="Q389" s="74">
        <f t="shared" si="53"/>
        <v>0</v>
      </c>
    </row>
    <row r="390" spans="1:17" ht="25.5" hidden="1" customHeight="1">
      <c r="A390" s="71">
        <v>55.1</v>
      </c>
      <c r="B390" s="72">
        <f t="shared" si="54"/>
        <v>0</v>
      </c>
      <c r="C390" s="72" t="s">
        <v>5493</v>
      </c>
      <c r="D390" s="75">
        <f>Data!K2403</f>
        <v>905.27</v>
      </c>
      <c r="E390" s="74" t="s">
        <v>729</v>
      </c>
      <c r="F390" s="75"/>
      <c r="G390" s="74">
        <f t="shared" ref="G390:G453" si="55">F390*D390</f>
        <v>0</v>
      </c>
      <c r="H390" s="74"/>
      <c r="I390" s="74">
        <f t="shared" ref="I390:I453" si="56">H390*D390</f>
        <v>0</v>
      </c>
      <c r="J390" s="74"/>
      <c r="K390" s="74">
        <f t="shared" ref="K390:K453" si="57">J390*D390</f>
        <v>0</v>
      </c>
      <c r="L390" s="74"/>
      <c r="M390" s="74">
        <f t="shared" ref="M390:M453" si="58">L390*D390</f>
        <v>0</v>
      </c>
      <c r="N390" s="74">
        <f t="shared" ref="N390:N453" si="59">H390+J390+L390</f>
        <v>0</v>
      </c>
      <c r="O390" s="74">
        <f t="shared" ref="O390:O453" si="60">N390*D390</f>
        <v>0</v>
      </c>
      <c r="P390" s="74">
        <f t="shared" ref="P390:P453" si="61">N390+F390</f>
        <v>0</v>
      </c>
      <c r="Q390" s="74">
        <f t="shared" ref="Q390:Q453" si="62">P390*D390</f>
        <v>0</v>
      </c>
    </row>
    <row r="391" spans="1:17" ht="45.75" hidden="1" customHeight="1">
      <c r="A391" s="71">
        <v>55.2</v>
      </c>
      <c r="B391" s="72">
        <f t="shared" si="54"/>
        <v>0</v>
      </c>
      <c r="C391" s="72" t="s">
        <v>5494</v>
      </c>
      <c r="D391" s="75">
        <f>Data!K2415</f>
        <v>2252.5500000000002</v>
      </c>
      <c r="E391" s="74" t="s">
        <v>729</v>
      </c>
      <c r="F391" s="75"/>
      <c r="G391" s="74">
        <f t="shared" si="55"/>
        <v>0</v>
      </c>
      <c r="H391" s="74"/>
      <c r="I391" s="74">
        <f t="shared" si="56"/>
        <v>0</v>
      </c>
      <c r="J391" s="74"/>
      <c r="K391" s="74">
        <f t="shared" si="57"/>
        <v>0</v>
      </c>
      <c r="L391" s="74"/>
      <c r="M391" s="74">
        <f t="shared" si="58"/>
        <v>0</v>
      </c>
      <c r="N391" s="74">
        <f t="shared" si="59"/>
        <v>0</v>
      </c>
      <c r="O391" s="74">
        <f t="shared" si="60"/>
        <v>0</v>
      </c>
      <c r="P391" s="74">
        <f t="shared" si="61"/>
        <v>0</v>
      </c>
      <c r="Q391" s="74">
        <f t="shared" si="62"/>
        <v>0</v>
      </c>
    </row>
    <row r="392" spans="1:17" ht="25.5" hidden="1" customHeight="1">
      <c r="A392" s="71">
        <v>56.1</v>
      </c>
      <c r="B392" s="72">
        <f t="shared" si="54"/>
        <v>0</v>
      </c>
      <c r="C392" s="72" t="s">
        <v>5495</v>
      </c>
      <c r="D392" s="75">
        <f>ROUND(Data!K1977,2)</f>
        <v>3445.38</v>
      </c>
      <c r="E392" s="74" t="s">
        <v>729</v>
      </c>
      <c r="F392" s="75"/>
      <c r="G392" s="74">
        <f t="shared" si="55"/>
        <v>0</v>
      </c>
      <c r="H392" s="74"/>
      <c r="I392" s="74">
        <f t="shared" si="56"/>
        <v>0</v>
      </c>
      <c r="J392" s="74"/>
      <c r="K392" s="74">
        <f t="shared" si="57"/>
        <v>0</v>
      </c>
      <c r="L392" s="74"/>
      <c r="M392" s="74">
        <f t="shared" si="58"/>
        <v>0</v>
      </c>
      <c r="N392" s="74">
        <f t="shared" si="59"/>
        <v>0</v>
      </c>
      <c r="O392" s="74">
        <f t="shared" si="60"/>
        <v>0</v>
      </c>
      <c r="P392" s="74">
        <f t="shared" si="61"/>
        <v>0</v>
      </c>
      <c r="Q392" s="74">
        <f t="shared" si="62"/>
        <v>0</v>
      </c>
    </row>
    <row r="393" spans="1:17" ht="25.5" hidden="1" customHeight="1">
      <c r="A393" s="71">
        <v>56.2</v>
      </c>
      <c r="B393" s="72">
        <f t="shared" si="54"/>
        <v>0</v>
      </c>
      <c r="C393" s="72" t="s">
        <v>5496</v>
      </c>
      <c r="D393" s="75">
        <f>ROUND(Data!K1998,2)</f>
        <v>5359.56</v>
      </c>
      <c r="E393" s="74" t="s">
        <v>729</v>
      </c>
      <c r="F393" s="75"/>
      <c r="G393" s="74">
        <f t="shared" si="55"/>
        <v>0</v>
      </c>
      <c r="H393" s="74"/>
      <c r="I393" s="74">
        <f t="shared" si="56"/>
        <v>0</v>
      </c>
      <c r="J393" s="74"/>
      <c r="K393" s="74">
        <f t="shared" si="57"/>
        <v>0</v>
      </c>
      <c r="L393" s="74"/>
      <c r="M393" s="74">
        <f t="shared" si="58"/>
        <v>0</v>
      </c>
      <c r="N393" s="74">
        <f t="shared" si="59"/>
        <v>0</v>
      </c>
      <c r="O393" s="74">
        <f t="shared" si="60"/>
        <v>0</v>
      </c>
      <c r="P393" s="74">
        <f t="shared" si="61"/>
        <v>0</v>
      </c>
      <c r="Q393" s="74">
        <f t="shared" si="62"/>
        <v>0</v>
      </c>
    </row>
    <row r="394" spans="1:17" ht="41.25" hidden="1" customHeight="1">
      <c r="A394" s="83">
        <v>57</v>
      </c>
      <c r="B394" s="72">
        <f t="shared" si="54"/>
        <v>0</v>
      </c>
      <c r="C394" s="72" t="s">
        <v>5497</v>
      </c>
      <c r="D394" s="75">
        <f>ROUND(Data!K2015,2)</f>
        <v>7287.75</v>
      </c>
      <c r="E394" s="74" t="s">
        <v>729</v>
      </c>
      <c r="F394" s="75"/>
      <c r="G394" s="74">
        <f t="shared" si="55"/>
        <v>0</v>
      </c>
      <c r="H394" s="74"/>
      <c r="I394" s="74">
        <f t="shared" si="56"/>
        <v>0</v>
      </c>
      <c r="J394" s="74"/>
      <c r="K394" s="74">
        <f t="shared" si="57"/>
        <v>0</v>
      </c>
      <c r="L394" s="74"/>
      <c r="M394" s="74">
        <f t="shared" si="58"/>
        <v>0</v>
      </c>
      <c r="N394" s="74">
        <f t="shared" si="59"/>
        <v>0</v>
      </c>
      <c r="O394" s="74">
        <f t="shared" si="60"/>
        <v>0</v>
      </c>
      <c r="P394" s="74">
        <f t="shared" si="61"/>
        <v>0</v>
      </c>
      <c r="Q394" s="74">
        <f t="shared" si="62"/>
        <v>0</v>
      </c>
    </row>
    <row r="395" spans="1:17" ht="45.75" hidden="1" customHeight="1">
      <c r="A395" s="71">
        <v>57.1</v>
      </c>
      <c r="B395" s="72">
        <f t="shared" si="54"/>
        <v>0</v>
      </c>
      <c r="C395" s="72" t="s">
        <v>5498</v>
      </c>
      <c r="D395" s="75">
        <f>ROUND(Data!K2034,2)</f>
        <v>7681.75</v>
      </c>
      <c r="E395" s="74" t="s">
        <v>729</v>
      </c>
      <c r="F395" s="75"/>
      <c r="G395" s="74">
        <f t="shared" si="55"/>
        <v>0</v>
      </c>
      <c r="H395" s="74"/>
      <c r="I395" s="74">
        <f t="shared" si="56"/>
        <v>0</v>
      </c>
      <c r="J395" s="74"/>
      <c r="K395" s="74">
        <f t="shared" si="57"/>
        <v>0</v>
      </c>
      <c r="L395" s="74"/>
      <c r="M395" s="74">
        <f t="shared" si="58"/>
        <v>0</v>
      </c>
      <c r="N395" s="74">
        <f t="shared" si="59"/>
        <v>0</v>
      </c>
      <c r="O395" s="74">
        <f t="shared" si="60"/>
        <v>0</v>
      </c>
      <c r="P395" s="74">
        <f t="shared" si="61"/>
        <v>0</v>
      </c>
      <c r="Q395" s="74">
        <f t="shared" si="62"/>
        <v>0</v>
      </c>
    </row>
    <row r="396" spans="1:17" ht="40.5" customHeight="1">
      <c r="A396" s="71">
        <v>58.1</v>
      </c>
      <c r="B396" s="72">
        <f t="shared" si="54"/>
        <v>0</v>
      </c>
      <c r="C396" s="72" t="s">
        <v>5499</v>
      </c>
      <c r="D396" s="75"/>
      <c r="E396" s="74"/>
      <c r="F396" s="75"/>
      <c r="G396" s="74">
        <f t="shared" si="55"/>
        <v>0</v>
      </c>
      <c r="H396" s="74"/>
      <c r="I396" s="74">
        <f t="shared" si="56"/>
        <v>0</v>
      </c>
      <c r="J396" s="74"/>
      <c r="K396" s="74">
        <f t="shared" si="57"/>
        <v>0</v>
      </c>
      <c r="L396" s="74"/>
      <c r="M396" s="74">
        <f t="shared" si="58"/>
        <v>0</v>
      </c>
      <c r="N396" s="74">
        <f t="shared" si="59"/>
        <v>0</v>
      </c>
      <c r="O396" s="74">
        <f t="shared" si="60"/>
        <v>0</v>
      </c>
      <c r="P396" s="74">
        <f t="shared" si="61"/>
        <v>0</v>
      </c>
      <c r="Q396" s="74">
        <f t="shared" si="62"/>
        <v>0</v>
      </c>
    </row>
    <row r="397" spans="1:17" ht="40.5" customHeight="1">
      <c r="A397" s="72"/>
      <c r="B397" s="72">
        <f t="shared" si="54"/>
        <v>308.39999999999998</v>
      </c>
      <c r="C397" s="72" t="s">
        <v>5500</v>
      </c>
      <c r="D397" s="75">
        <f>ROUND(Data!K2063,2)</f>
        <v>735.27</v>
      </c>
      <c r="E397" s="74" t="s">
        <v>13</v>
      </c>
      <c r="F397" s="1425">
        <f>'Detail '!I1234</f>
        <v>308.39999999999998</v>
      </c>
      <c r="G397" s="74">
        <f t="shared" si="55"/>
        <v>226757.27</v>
      </c>
      <c r="H397" s="74"/>
      <c r="I397" s="74">
        <f t="shared" si="56"/>
        <v>0</v>
      </c>
      <c r="J397" s="74"/>
      <c r="K397" s="74">
        <f t="shared" si="57"/>
        <v>0</v>
      </c>
      <c r="L397" s="74"/>
      <c r="M397" s="74">
        <f t="shared" si="58"/>
        <v>0</v>
      </c>
      <c r="N397" s="74">
        <f t="shared" si="59"/>
        <v>0</v>
      </c>
      <c r="O397" s="74">
        <f t="shared" si="60"/>
        <v>0</v>
      </c>
      <c r="P397" s="74">
        <f t="shared" si="61"/>
        <v>308.39999999999998</v>
      </c>
      <c r="Q397" s="74">
        <f t="shared" si="62"/>
        <v>226757.27</v>
      </c>
    </row>
    <row r="398" spans="1:17" ht="40.5" customHeight="1">
      <c r="A398" s="56"/>
      <c r="B398" s="72">
        <f t="shared" si="54"/>
        <v>383.3</v>
      </c>
      <c r="C398" s="72" t="s">
        <v>5501</v>
      </c>
      <c r="D398" s="75">
        <f>ROUND(Data!K2087,2)</f>
        <v>617.97</v>
      </c>
      <c r="E398" s="74" t="s">
        <v>13</v>
      </c>
      <c r="F398" s="1425">
        <f>'Detail '!I1256</f>
        <v>383.3</v>
      </c>
      <c r="G398" s="74">
        <f t="shared" si="55"/>
        <v>236867.9</v>
      </c>
      <c r="H398" s="74"/>
      <c r="I398" s="74">
        <f t="shared" si="56"/>
        <v>0</v>
      </c>
      <c r="J398" s="74"/>
      <c r="K398" s="74">
        <f t="shared" si="57"/>
        <v>0</v>
      </c>
      <c r="L398" s="74"/>
      <c r="M398" s="74">
        <f t="shared" si="58"/>
        <v>0</v>
      </c>
      <c r="N398" s="74">
        <f t="shared" si="59"/>
        <v>0</v>
      </c>
      <c r="O398" s="74">
        <f t="shared" si="60"/>
        <v>0</v>
      </c>
      <c r="P398" s="74">
        <f t="shared" si="61"/>
        <v>383.3</v>
      </c>
      <c r="Q398" s="74">
        <f t="shared" si="62"/>
        <v>236867.9</v>
      </c>
    </row>
    <row r="399" spans="1:17" ht="20.100000000000001" hidden="1" customHeight="1">
      <c r="A399" s="71">
        <v>58.2</v>
      </c>
      <c r="B399" s="72">
        <f t="shared" si="54"/>
        <v>0</v>
      </c>
      <c r="C399" s="72" t="s">
        <v>5502</v>
      </c>
      <c r="D399" s="75">
        <f>ROUND(Data!K2098,2)</f>
        <v>454</v>
      </c>
      <c r="E399" s="74" t="s">
        <v>729</v>
      </c>
      <c r="F399" s="75"/>
      <c r="G399" s="74">
        <f t="shared" si="55"/>
        <v>0</v>
      </c>
      <c r="H399" s="74"/>
      <c r="I399" s="74">
        <f t="shared" si="56"/>
        <v>0</v>
      </c>
      <c r="J399" s="74"/>
      <c r="K399" s="74">
        <f t="shared" si="57"/>
        <v>0</v>
      </c>
      <c r="L399" s="74"/>
      <c r="M399" s="74">
        <f t="shared" si="58"/>
        <v>0</v>
      </c>
      <c r="N399" s="74">
        <f t="shared" si="59"/>
        <v>0</v>
      </c>
      <c r="O399" s="74">
        <f t="shared" si="60"/>
        <v>0</v>
      </c>
      <c r="P399" s="74">
        <f t="shared" si="61"/>
        <v>0</v>
      </c>
      <c r="Q399" s="74">
        <f t="shared" si="62"/>
        <v>0</v>
      </c>
    </row>
    <row r="400" spans="1:17" ht="39.950000000000003" hidden="1" customHeight="1">
      <c r="A400" s="71">
        <v>59.1</v>
      </c>
      <c r="B400" s="72">
        <f t="shared" si="54"/>
        <v>0</v>
      </c>
      <c r="C400" s="72" t="s">
        <v>5503</v>
      </c>
      <c r="D400" s="75"/>
      <c r="E400" s="74" t="s">
        <v>729</v>
      </c>
      <c r="F400" s="75"/>
      <c r="G400" s="74">
        <f t="shared" si="55"/>
        <v>0</v>
      </c>
      <c r="H400" s="74"/>
      <c r="I400" s="74">
        <f t="shared" si="56"/>
        <v>0</v>
      </c>
      <c r="J400" s="74"/>
      <c r="K400" s="74">
        <f t="shared" si="57"/>
        <v>0</v>
      </c>
      <c r="L400" s="74"/>
      <c r="M400" s="74">
        <f t="shared" si="58"/>
        <v>0</v>
      </c>
      <c r="N400" s="74">
        <f t="shared" si="59"/>
        <v>0</v>
      </c>
      <c r="O400" s="74">
        <f t="shared" si="60"/>
        <v>0</v>
      </c>
      <c r="P400" s="74">
        <f t="shared" si="61"/>
        <v>0</v>
      </c>
      <c r="Q400" s="74">
        <f t="shared" si="62"/>
        <v>0</v>
      </c>
    </row>
    <row r="401" spans="1:17" ht="60.75" customHeight="1">
      <c r="A401" s="71">
        <v>59.2</v>
      </c>
      <c r="B401" s="72">
        <f t="shared" si="54"/>
        <v>57</v>
      </c>
      <c r="C401" s="72" t="s">
        <v>5504</v>
      </c>
      <c r="D401" s="75">
        <f>ROUND(Data!K2111,2)</f>
        <v>2069.09</v>
      </c>
      <c r="E401" s="74" t="s">
        <v>729</v>
      </c>
      <c r="F401" s="1425">
        <f>'Detail '!I1327</f>
        <v>57</v>
      </c>
      <c r="G401" s="74">
        <f t="shared" si="55"/>
        <v>117938.13</v>
      </c>
      <c r="H401" s="74"/>
      <c r="I401" s="74">
        <f t="shared" si="56"/>
        <v>0</v>
      </c>
      <c r="J401" s="74"/>
      <c r="K401" s="74">
        <f t="shared" si="57"/>
        <v>0</v>
      </c>
      <c r="L401" s="74"/>
      <c r="M401" s="74">
        <f t="shared" si="58"/>
        <v>0</v>
      </c>
      <c r="N401" s="74">
        <f t="shared" si="59"/>
        <v>0</v>
      </c>
      <c r="O401" s="74">
        <f t="shared" si="60"/>
        <v>0</v>
      </c>
      <c r="P401" s="74">
        <f t="shared" si="61"/>
        <v>57</v>
      </c>
      <c r="Q401" s="74">
        <f t="shared" si="62"/>
        <v>117938.13</v>
      </c>
    </row>
    <row r="402" spans="1:17" ht="39.950000000000003" hidden="1" customHeight="1">
      <c r="A402" s="71">
        <v>59.3</v>
      </c>
      <c r="B402" s="72">
        <f t="shared" si="54"/>
        <v>0</v>
      </c>
      <c r="C402" s="72" t="s">
        <v>5505</v>
      </c>
      <c r="D402" s="75"/>
      <c r="E402" s="74" t="s">
        <v>729</v>
      </c>
      <c r="F402" s="75"/>
      <c r="G402" s="74">
        <f t="shared" si="55"/>
        <v>0</v>
      </c>
      <c r="H402" s="74"/>
      <c r="I402" s="74">
        <f t="shared" si="56"/>
        <v>0</v>
      </c>
      <c r="J402" s="74"/>
      <c r="K402" s="74">
        <f t="shared" si="57"/>
        <v>0</v>
      </c>
      <c r="L402" s="74"/>
      <c r="M402" s="74">
        <f t="shared" si="58"/>
        <v>0</v>
      </c>
      <c r="N402" s="74">
        <f t="shared" si="59"/>
        <v>0</v>
      </c>
      <c r="O402" s="74">
        <f t="shared" si="60"/>
        <v>0</v>
      </c>
      <c r="P402" s="74">
        <f t="shared" si="61"/>
        <v>0</v>
      </c>
      <c r="Q402" s="74">
        <f t="shared" si="62"/>
        <v>0</v>
      </c>
    </row>
    <row r="403" spans="1:17" ht="48.75" hidden="1" customHeight="1">
      <c r="A403" s="71">
        <v>59.4</v>
      </c>
      <c r="B403" s="72">
        <f t="shared" si="54"/>
        <v>0</v>
      </c>
      <c r="C403" s="72" t="s">
        <v>5506</v>
      </c>
      <c r="D403" s="75"/>
      <c r="E403" s="74" t="s">
        <v>729</v>
      </c>
      <c r="F403" s="75"/>
      <c r="G403" s="74">
        <f t="shared" si="55"/>
        <v>0</v>
      </c>
      <c r="H403" s="74"/>
      <c r="I403" s="74">
        <f t="shared" si="56"/>
        <v>0</v>
      </c>
      <c r="J403" s="74"/>
      <c r="K403" s="74">
        <f t="shared" si="57"/>
        <v>0</v>
      </c>
      <c r="L403" s="74"/>
      <c r="M403" s="74">
        <f t="shared" si="58"/>
        <v>0</v>
      </c>
      <c r="N403" s="74">
        <f t="shared" si="59"/>
        <v>0</v>
      </c>
      <c r="O403" s="74">
        <f t="shared" si="60"/>
        <v>0</v>
      </c>
      <c r="P403" s="74">
        <f t="shared" si="61"/>
        <v>0</v>
      </c>
      <c r="Q403" s="74">
        <f t="shared" si="62"/>
        <v>0</v>
      </c>
    </row>
    <row r="404" spans="1:17" s="55" customFormat="1" ht="67.5" hidden="1" customHeight="1">
      <c r="A404" s="71">
        <v>59.5</v>
      </c>
      <c r="B404" s="72">
        <f t="shared" si="54"/>
        <v>0</v>
      </c>
      <c r="C404" s="72" t="s">
        <v>5507</v>
      </c>
      <c r="D404" s="75">
        <f>Data!K2111</f>
        <v>2069.09</v>
      </c>
      <c r="E404" s="74" t="s">
        <v>729</v>
      </c>
      <c r="F404" s="75"/>
      <c r="G404" s="74">
        <f t="shared" si="55"/>
        <v>0</v>
      </c>
      <c r="H404" s="74"/>
      <c r="I404" s="74">
        <f t="shared" si="56"/>
        <v>0</v>
      </c>
      <c r="J404" s="74"/>
      <c r="K404" s="74">
        <f t="shared" si="57"/>
        <v>0</v>
      </c>
      <c r="L404" s="74"/>
      <c r="M404" s="74">
        <f t="shared" si="58"/>
        <v>0</v>
      </c>
      <c r="N404" s="74">
        <f t="shared" si="59"/>
        <v>0</v>
      </c>
      <c r="O404" s="74">
        <f t="shared" si="60"/>
        <v>0</v>
      </c>
      <c r="P404" s="74">
        <f t="shared" si="61"/>
        <v>0</v>
      </c>
      <c r="Q404" s="74">
        <f t="shared" si="62"/>
        <v>0</v>
      </c>
    </row>
    <row r="405" spans="1:17" ht="61.5" hidden="1" customHeight="1">
      <c r="A405" s="71">
        <v>59.6</v>
      </c>
      <c r="B405" s="72">
        <f t="shared" si="54"/>
        <v>0</v>
      </c>
      <c r="C405" s="72" t="s">
        <v>5508</v>
      </c>
      <c r="D405" s="75"/>
      <c r="E405" s="74" t="s">
        <v>729</v>
      </c>
      <c r="F405" s="75"/>
      <c r="G405" s="74">
        <f t="shared" si="55"/>
        <v>0</v>
      </c>
      <c r="H405" s="74"/>
      <c r="I405" s="74">
        <f t="shared" si="56"/>
        <v>0</v>
      </c>
      <c r="J405" s="74"/>
      <c r="K405" s="74">
        <f t="shared" si="57"/>
        <v>0</v>
      </c>
      <c r="L405" s="74"/>
      <c r="M405" s="74">
        <f t="shared" si="58"/>
        <v>0</v>
      </c>
      <c r="N405" s="74">
        <f t="shared" si="59"/>
        <v>0</v>
      </c>
      <c r="O405" s="74">
        <f t="shared" si="60"/>
        <v>0</v>
      </c>
      <c r="P405" s="74">
        <f t="shared" si="61"/>
        <v>0</v>
      </c>
      <c r="Q405" s="74">
        <f t="shared" si="62"/>
        <v>0</v>
      </c>
    </row>
    <row r="406" spans="1:17" ht="54.75" customHeight="1">
      <c r="A406" s="71">
        <v>60</v>
      </c>
      <c r="B406" s="72">
        <f t="shared" si="54"/>
        <v>96</v>
      </c>
      <c r="C406" s="72" t="s">
        <v>5509</v>
      </c>
      <c r="D406" s="75">
        <f>ROUND(Data!K2119,2)</f>
        <v>160</v>
      </c>
      <c r="E406" s="74" t="s">
        <v>729</v>
      </c>
      <c r="F406" s="1425">
        <f>'Detail '!I1334</f>
        <v>96</v>
      </c>
      <c r="G406" s="74">
        <f t="shared" si="55"/>
        <v>15360</v>
      </c>
      <c r="H406" s="74"/>
      <c r="I406" s="74">
        <f t="shared" si="56"/>
        <v>0</v>
      </c>
      <c r="J406" s="74"/>
      <c r="K406" s="74">
        <f t="shared" si="57"/>
        <v>0</v>
      </c>
      <c r="L406" s="74"/>
      <c r="M406" s="74">
        <f t="shared" si="58"/>
        <v>0</v>
      </c>
      <c r="N406" s="74">
        <f t="shared" si="59"/>
        <v>0</v>
      </c>
      <c r="O406" s="74">
        <f t="shared" si="60"/>
        <v>0</v>
      </c>
      <c r="P406" s="74">
        <f t="shared" si="61"/>
        <v>96</v>
      </c>
      <c r="Q406" s="74">
        <f t="shared" si="62"/>
        <v>15360</v>
      </c>
    </row>
    <row r="407" spans="1:17" ht="41.25" hidden="1" customHeight="1">
      <c r="A407" s="71">
        <v>61.1</v>
      </c>
      <c r="B407" s="72">
        <f t="shared" si="54"/>
        <v>0</v>
      </c>
      <c r="C407" s="72" t="s">
        <v>5510</v>
      </c>
      <c r="D407" s="75"/>
      <c r="E407" s="74"/>
      <c r="F407" s="75"/>
      <c r="G407" s="74">
        <f t="shared" si="55"/>
        <v>0</v>
      </c>
      <c r="H407" s="74"/>
      <c r="I407" s="74">
        <f t="shared" si="56"/>
        <v>0</v>
      </c>
      <c r="J407" s="74"/>
      <c r="K407" s="74">
        <f t="shared" si="57"/>
        <v>0</v>
      </c>
      <c r="L407" s="74"/>
      <c r="M407" s="74">
        <f t="shared" si="58"/>
        <v>0</v>
      </c>
      <c r="N407" s="74">
        <f t="shared" si="59"/>
        <v>0</v>
      </c>
      <c r="O407" s="74">
        <f t="shared" si="60"/>
        <v>0</v>
      </c>
      <c r="P407" s="74">
        <f t="shared" si="61"/>
        <v>0</v>
      </c>
      <c r="Q407" s="74">
        <f t="shared" si="62"/>
        <v>0</v>
      </c>
    </row>
    <row r="408" spans="1:17" ht="41.25" hidden="1" customHeight="1">
      <c r="A408" s="72"/>
      <c r="B408" s="72">
        <f t="shared" si="54"/>
        <v>0</v>
      </c>
      <c r="C408" s="72" t="s">
        <v>5511</v>
      </c>
      <c r="D408" s="75">
        <f>ROUND(Data!K2138,2)</f>
        <v>590.19000000000005</v>
      </c>
      <c r="E408" s="74" t="s">
        <v>13</v>
      </c>
      <c r="F408" s="75"/>
      <c r="G408" s="74">
        <f t="shared" si="55"/>
        <v>0</v>
      </c>
      <c r="H408" s="74"/>
      <c r="I408" s="74">
        <f t="shared" si="56"/>
        <v>0</v>
      </c>
      <c r="J408" s="74"/>
      <c r="K408" s="74">
        <f t="shared" si="57"/>
        <v>0</v>
      </c>
      <c r="L408" s="74"/>
      <c r="M408" s="74">
        <f t="shared" si="58"/>
        <v>0</v>
      </c>
      <c r="N408" s="74">
        <f t="shared" si="59"/>
        <v>0</v>
      </c>
      <c r="O408" s="74">
        <f t="shared" si="60"/>
        <v>0</v>
      </c>
      <c r="P408" s="74">
        <f t="shared" si="61"/>
        <v>0</v>
      </c>
      <c r="Q408" s="74">
        <f t="shared" si="62"/>
        <v>0</v>
      </c>
    </row>
    <row r="409" spans="1:17" ht="41.25" hidden="1" customHeight="1">
      <c r="A409" s="56"/>
      <c r="B409" s="72">
        <f t="shared" si="54"/>
        <v>0</v>
      </c>
      <c r="C409" s="72" t="s">
        <v>5512</v>
      </c>
      <c r="D409" s="75">
        <f>ROUND(Data!K2158,2)</f>
        <v>777.1</v>
      </c>
      <c r="E409" s="74" t="s">
        <v>13</v>
      </c>
      <c r="F409" s="75"/>
      <c r="G409" s="74">
        <f t="shared" si="55"/>
        <v>0</v>
      </c>
      <c r="H409" s="74"/>
      <c r="I409" s="74">
        <f t="shared" si="56"/>
        <v>0</v>
      </c>
      <c r="J409" s="74"/>
      <c r="K409" s="74">
        <f t="shared" si="57"/>
        <v>0</v>
      </c>
      <c r="L409" s="74"/>
      <c r="M409" s="74">
        <f t="shared" si="58"/>
        <v>0</v>
      </c>
      <c r="N409" s="74">
        <f t="shared" si="59"/>
        <v>0</v>
      </c>
      <c r="O409" s="74">
        <f t="shared" si="60"/>
        <v>0</v>
      </c>
      <c r="P409" s="74">
        <f t="shared" si="61"/>
        <v>0</v>
      </c>
      <c r="Q409" s="74">
        <f t="shared" si="62"/>
        <v>0</v>
      </c>
    </row>
    <row r="410" spans="1:17" ht="45.75" hidden="1" customHeight="1">
      <c r="A410" s="71">
        <v>61.2</v>
      </c>
      <c r="B410" s="72">
        <f t="shared" si="54"/>
        <v>0</v>
      </c>
      <c r="C410" s="76" t="s">
        <v>5513</v>
      </c>
      <c r="D410" s="75"/>
      <c r="E410" s="74"/>
      <c r="F410" s="75"/>
      <c r="G410" s="74">
        <f t="shared" si="55"/>
        <v>0</v>
      </c>
      <c r="H410" s="74"/>
      <c r="I410" s="74">
        <f t="shared" si="56"/>
        <v>0</v>
      </c>
      <c r="J410" s="74"/>
      <c r="K410" s="74">
        <f t="shared" si="57"/>
        <v>0</v>
      </c>
      <c r="L410" s="74"/>
      <c r="M410" s="74">
        <f t="shared" si="58"/>
        <v>0</v>
      </c>
      <c r="N410" s="74">
        <f t="shared" si="59"/>
        <v>0</v>
      </c>
      <c r="O410" s="74">
        <f t="shared" si="60"/>
        <v>0</v>
      </c>
      <c r="P410" s="74">
        <f t="shared" si="61"/>
        <v>0</v>
      </c>
      <c r="Q410" s="74">
        <f t="shared" si="62"/>
        <v>0</v>
      </c>
    </row>
    <row r="411" spans="1:17" ht="45.75" hidden="1" customHeight="1">
      <c r="A411" s="72"/>
      <c r="B411" s="72">
        <f t="shared" si="54"/>
        <v>0</v>
      </c>
      <c r="C411" s="72" t="s">
        <v>5514</v>
      </c>
      <c r="D411" s="75">
        <f>ROUND(Data!K2169,2)</f>
        <v>248.21</v>
      </c>
      <c r="E411" s="74" t="s">
        <v>13</v>
      </c>
      <c r="F411" s="75"/>
      <c r="G411" s="74">
        <f t="shared" si="55"/>
        <v>0</v>
      </c>
      <c r="H411" s="74"/>
      <c r="I411" s="74">
        <f t="shared" si="56"/>
        <v>0</v>
      </c>
      <c r="J411" s="74"/>
      <c r="K411" s="74">
        <f t="shared" si="57"/>
        <v>0</v>
      </c>
      <c r="L411" s="74"/>
      <c r="M411" s="74">
        <f t="shared" si="58"/>
        <v>0</v>
      </c>
      <c r="N411" s="74">
        <f t="shared" si="59"/>
        <v>0</v>
      </c>
      <c r="O411" s="74">
        <f t="shared" si="60"/>
        <v>0</v>
      </c>
      <c r="P411" s="74">
        <f t="shared" si="61"/>
        <v>0</v>
      </c>
      <c r="Q411" s="74">
        <f t="shared" si="62"/>
        <v>0</v>
      </c>
    </row>
    <row r="412" spans="1:17" ht="55.5" hidden="1" customHeight="1">
      <c r="A412" s="56"/>
      <c r="B412" s="72">
        <f t="shared" si="54"/>
        <v>0</v>
      </c>
      <c r="C412" s="72" t="s">
        <v>5515</v>
      </c>
      <c r="D412" s="75">
        <f>ROUND(Data!K2184,2)</f>
        <v>364.35</v>
      </c>
      <c r="E412" s="74" t="s">
        <v>13</v>
      </c>
      <c r="F412" s="75"/>
      <c r="G412" s="74">
        <f t="shared" si="55"/>
        <v>0</v>
      </c>
      <c r="H412" s="74"/>
      <c r="I412" s="74">
        <f t="shared" si="56"/>
        <v>0</v>
      </c>
      <c r="J412" s="74"/>
      <c r="K412" s="74">
        <f t="shared" si="57"/>
        <v>0</v>
      </c>
      <c r="L412" s="74"/>
      <c r="M412" s="74">
        <f t="shared" si="58"/>
        <v>0</v>
      </c>
      <c r="N412" s="74">
        <f t="shared" si="59"/>
        <v>0</v>
      </c>
      <c r="O412" s="74">
        <f t="shared" si="60"/>
        <v>0</v>
      </c>
      <c r="P412" s="74">
        <f t="shared" si="61"/>
        <v>0</v>
      </c>
      <c r="Q412" s="74">
        <f t="shared" si="62"/>
        <v>0</v>
      </c>
    </row>
    <row r="413" spans="1:17" ht="41.25" hidden="1" customHeight="1">
      <c r="A413" s="71">
        <v>62.1</v>
      </c>
      <c r="B413" s="72">
        <f t="shared" si="54"/>
        <v>0</v>
      </c>
      <c r="C413" s="72" t="s">
        <v>5516</v>
      </c>
      <c r="D413" s="75"/>
      <c r="E413" s="74"/>
      <c r="F413" s="75"/>
      <c r="G413" s="74">
        <f t="shared" si="55"/>
        <v>0</v>
      </c>
      <c r="H413" s="74"/>
      <c r="I413" s="74">
        <f t="shared" si="56"/>
        <v>0</v>
      </c>
      <c r="J413" s="74"/>
      <c r="K413" s="74">
        <f t="shared" si="57"/>
        <v>0</v>
      </c>
      <c r="L413" s="74"/>
      <c r="M413" s="74">
        <f t="shared" si="58"/>
        <v>0</v>
      </c>
      <c r="N413" s="74">
        <f t="shared" si="59"/>
        <v>0</v>
      </c>
      <c r="O413" s="74">
        <f t="shared" si="60"/>
        <v>0</v>
      </c>
      <c r="P413" s="74">
        <f t="shared" si="61"/>
        <v>0</v>
      </c>
      <c r="Q413" s="74">
        <f t="shared" si="62"/>
        <v>0</v>
      </c>
    </row>
    <row r="414" spans="1:17" ht="41.25" hidden="1" customHeight="1">
      <c r="A414" s="72"/>
      <c r="B414" s="72">
        <f t="shared" si="54"/>
        <v>0</v>
      </c>
      <c r="C414" s="72" t="s">
        <v>5514</v>
      </c>
      <c r="D414" s="75">
        <f>ROUND(Data!K2193,2)</f>
        <v>104.1</v>
      </c>
      <c r="E414" s="74" t="s">
        <v>729</v>
      </c>
      <c r="F414" s="75"/>
      <c r="G414" s="74">
        <f t="shared" si="55"/>
        <v>0</v>
      </c>
      <c r="H414" s="74"/>
      <c r="I414" s="74">
        <f t="shared" si="56"/>
        <v>0</v>
      </c>
      <c r="J414" s="74"/>
      <c r="K414" s="74">
        <f t="shared" si="57"/>
        <v>0</v>
      </c>
      <c r="L414" s="74"/>
      <c r="M414" s="74">
        <f t="shared" si="58"/>
        <v>0</v>
      </c>
      <c r="N414" s="74">
        <f t="shared" si="59"/>
        <v>0</v>
      </c>
      <c r="O414" s="74">
        <f t="shared" si="60"/>
        <v>0</v>
      </c>
      <c r="P414" s="74">
        <f t="shared" si="61"/>
        <v>0</v>
      </c>
      <c r="Q414" s="74">
        <f t="shared" si="62"/>
        <v>0</v>
      </c>
    </row>
    <row r="415" spans="1:17" ht="49.5" hidden="1" customHeight="1">
      <c r="A415" s="56"/>
      <c r="B415" s="72">
        <f t="shared" si="54"/>
        <v>0</v>
      </c>
      <c r="C415" s="72" t="s">
        <v>5515</v>
      </c>
      <c r="D415" s="75">
        <f>ROUND(Data!K2200,2)</f>
        <v>143.15</v>
      </c>
      <c r="E415" s="74" t="s">
        <v>729</v>
      </c>
      <c r="F415" s="75"/>
      <c r="G415" s="74">
        <f t="shared" si="55"/>
        <v>0</v>
      </c>
      <c r="H415" s="74"/>
      <c r="I415" s="74">
        <f t="shared" si="56"/>
        <v>0</v>
      </c>
      <c r="J415" s="74"/>
      <c r="K415" s="74">
        <f t="shared" si="57"/>
        <v>0</v>
      </c>
      <c r="L415" s="74"/>
      <c r="M415" s="74">
        <f t="shared" si="58"/>
        <v>0</v>
      </c>
      <c r="N415" s="74">
        <f t="shared" si="59"/>
        <v>0</v>
      </c>
      <c r="O415" s="74">
        <f t="shared" si="60"/>
        <v>0</v>
      </c>
      <c r="P415" s="74">
        <f t="shared" si="61"/>
        <v>0</v>
      </c>
      <c r="Q415" s="74">
        <f t="shared" si="62"/>
        <v>0</v>
      </c>
    </row>
    <row r="416" spans="1:17" ht="41.25" hidden="1" customHeight="1">
      <c r="A416" s="71">
        <v>62.2</v>
      </c>
      <c r="B416" s="72">
        <f t="shared" si="54"/>
        <v>0</v>
      </c>
      <c r="C416" s="76" t="s">
        <v>5517</v>
      </c>
      <c r="D416" s="75"/>
      <c r="E416" s="74"/>
      <c r="F416" s="75"/>
      <c r="G416" s="74">
        <f t="shared" si="55"/>
        <v>0</v>
      </c>
      <c r="H416" s="74"/>
      <c r="I416" s="74">
        <f t="shared" si="56"/>
        <v>0</v>
      </c>
      <c r="J416" s="74"/>
      <c r="K416" s="74">
        <f t="shared" si="57"/>
        <v>0</v>
      </c>
      <c r="L416" s="74"/>
      <c r="M416" s="74">
        <f t="shared" si="58"/>
        <v>0</v>
      </c>
      <c r="N416" s="74">
        <f t="shared" si="59"/>
        <v>0</v>
      </c>
      <c r="O416" s="74">
        <f t="shared" si="60"/>
        <v>0</v>
      </c>
      <c r="P416" s="74">
        <f t="shared" si="61"/>
        <v>0</v>
      </c>
      <c r="Q416" s="74">
        <f t="shared" si="62"/>
        <v>0</v>
      </c>
    </row>
    <row r="417" spans="1:17" ht="41.25" hidden="1" customHeight="1">
      <c r="A417" s="72"/>
      <c r="B417" s="72">
        <f t="shared" si="54"/>
        <v>0</v>
      </c>
      <c r="C417" s="72" t="s">
        <v>5514</v>
      </c>
      <c r="D417" s="75">
        <f>ROUND(Data!K2206,2)</f>
        <v>131</v>
      </c>
      <c r="E417" s="74" t="s">
        <v>729</v>
      </c>
      <c r="F417" s="75"/>
      <c r="G417" s="74">
        <f t="shared" si="55"/>
        <v>0</v>
      </c>
      <c r="H417" s="74"/>
      <c r="I417" s="74">
        <f t="shared" si="56"/>
        <v>0</v>
      </c>
      <c r="J417" s="74"/>
      <c r="K417" s="74">
        <f t="shared" si="57"/>
        <v>0</v>
      </c>
      <c r="L417" s="74"/>
      <c r="M417" s="74">
        <f t="shared" si="58"/>
        <v>0</v>
      </c>
      <c r="N417" s="74">
        <f t="shared" si="59"/>
        <v>0</v>
      </c>
      <c r="O417" s="74">
        <f t="shared" si="60"/>
        <v>0</v>
      </c>
      <c r="P417" s="74">
        <f t="shared" si="61"/>
        <v>0</v>
      </c>
      <c r="Q417" s="74">
        <f t="shared" si="62"/>
        <v>0</v>
      </c>
    </row>
    <row r="418" spans="1:17" ht="55.5" hidden="1" customHeight="1">
      <c r="A418" s="56"/>
      <c r="B418" s="72">
        <f t="shared" si="54"/>
        <v>0</v>
      </c>
      <c r="C418" s="72" t="s">
        <v>5515</v>
      </c>
      <c r="D418" s="75">
        <f>ROUND(Data!K2216,2)</f>
        <v>169.15</v>
      </c>
      <c r="E418" s="74" t="s">
        <v>729</v>
      </c>
      <c r="F418" s="75"/>
      <c r="G418" s="74">
        <f t="shared" si="55"/>
        <v>0</v>
      </c>
      <c r="H418" s="74"/>
      <c r="I418" s="74">
        <f t="shared" si="56"/>
        <v>0</v>
      </c>
      <c r="J418" s="74"/>
      <c r="K418" s="74">
        <f t="shared" si="57"/>
        <v>0</v>
      </c>
      <c r="L418" s="74"/>
      <c r="M418" s="74">
        <f t="shared" si="58"/>
        <v>0</v>
      </c>
      <c r="N418" s="74">
        <f t="shared" si="59"/>
        <v>0</v>
      </c>
      <c r="O418" s="74">
        <f t="shared" si="60"/>
        <v>0</v>
      </c>
      <c r="P418" s="74">
        <f t="shared" si="61"/>
        <v>0</v>
      </c>
      <c r="Q418" s="74">
        <f t="shared" si="62"/>
        <v>0</v>
      </c>
    </row>
    <row r="419" spans="1:17" ht="20.100000000000001" hidden="1" customHeight="1">
      <c r="A419" s="71">
        <v>63</v>
      </c>
      <c r="B419" s="72">
        <f t="shared" si="54"/>
        <v>0</v>
      </c>
      <c r="C419" s="72" t="s">
        <v>5518</v>
      </c>
      <c r="D419" s="75">
        <f>ROUND(Data!K2225,2)</f>
        <v>31.87</v>
      </c>
      <c r="E419" s="74" t="s">
        <v>729</v>
      </c>
      <c r="F419" s="75"/>
      <c r="G419" s="74">
        <f t="shared" si="55"/>
        <v>0</v>
      </c>
      <c r="H419" s="74"/>
      <c r="I419" s="74">
        <f t="shared" si="56"/>
        <v>0</v>
      </c>
      <c r="J419" s="74"/>
      <c r="K419" s="74">
        <f t="shared" si="57"/>
        <v>0</v>
      </c>
      <c r="L419" s="74"/>
      <c r="M419" s="74">
        <f t="shared" si="58"/>
        <v>0</v>
      </c>
      <c r="N419" s="74">
        <f t="shared" si="59"/>
        <v>0</v>
      </c>
      <c r="O419" s="74">
        <f t="shared" si="60"/>
        <v>0</v>
      </c>
      <c r="P419" s="74">
        <f t="shared" si="61"/>
        <v>0</v>
      </c>
      <c r="Q419" s="74">
        <f t="shared" si="62"/>
        <v>0</v>
      </c>
    </row>
    <row r="420" spans="1:17" ht="45.75" hidden="1" customHeight="1">
      <c r="A420" s="71"/>
      <c r="B420" s="72">
        <f t="shared" si="54"/>
        <v>0</v>
      </c>
      <c r="C420" s="76" t="s">
        <v>5519</v>
      </c>
      <c r="D420" s="75"/>
      <c r="E420" s="74"/>
      <c r="F420" s="75"/>
      <c r="G420" s="74">
        <f t="shared" si="55"/>
        <v>0</v>
      </c>
      <c r="H420" s="74"/>
      <c r="I420" s="74">
        <f t="shared" si="56"/>
        <v>0</v>
      </c>
      <c r="J420" s="74"/>
      <c r="K420" s="74">
        <f t="shared" si="57"/>
        <v>0</v>
      </c>
      <c r="L420" s="74"/>
      <c r="M420" s="74">
        <f t="shared" si="58"/>
        <v>0</v>
      </c>
      <c r="N420" s="74">
        <f t="shared" si="59"/>
        <v>0</v>
      </c>
      <c r="O420" s="74">
        <f t="shared" si="60"/>
        <v>0</v>
      </c>
      <c r="P420" s="74">
        <f t="shared" si="61"/>
        <v>0</v>
      </c>
      <c r="Q420" s="74">
        <f t="shared" si="62"/>
        <v>0</v>
      </c>
    </row>
    <row r="421" spans="1:17" ht="20.100000000000001" hidden="1" customHeight="1">
      <c r="A421" s="71">
        <v>64</v>
      </c>
      <c r="B421" s="72">
        <f t="shared" si="54"/>
        <v>0</v>
      </c>
      <c r="C421" s="72" t="s">
        <v>5520</v>
      </c>
      <c r="D421" s="75">
        <f>Data!K2261</f>
        <v>1630</v>
      </c>
      <c r="E421" s="74" t="s">
        <v>729</v>
      </c>
      <c r="F421" s="75"/>
      <c r="G421" s="74">
        <f t="shared" si="55"/>
        <v>0</v>
      </c>
      <c r="H421" s="74"/>
      <c r="I421" s="74">
        <f t="shared" si="56"/>
        <v>0</v>
      </c>
      <c r="J421" s="74"/>
      <c r="K421" s="74">
        <f t="shared" si="57"/>
        <v>0</v>
      </c>
      <c r="L421" s="74"/>
      <c r="M421" s="74">
        <f t="shared" si="58"/>
        <v>0</v>
      </c>
      <c r="N421" s="74">
        <f t="shared" si="59"/>
        <v>0</v>
      </c>
      <c r="O421" s="74">
        <f t="shared" si="60"/>
        <v>0</v>
      </c>
      <c r="P421" s="74">
        <f t="shared" si="61"/>
        <v>0</v>
      </c>
      <c r="Q421" s="74">
        <f t="shared" si="62"/>
        <v>0</v>
      </c>
    </row>
    <row r="422" spans="1:17" ht="30.75" hidden="1" customHeight="1">
      <c r="A422" s="72"/>
      <c r="B422" s="72">
        <f t="shared" si="54"/>
        <v>0</v>
      </c>
      <c r="C422" s="72" t="s">
        <v>3669</v>
      </c>
      <c r="D422" s="75">
        <f>Data!K2262</f>
        <v>1633</v>
      </c>
      <c r="E422" s="74" t="s">
        <v>729</v>
      </c>
      <c r="F422" s="75"/>
      <c r="G422" s="74">
        <f t="shared" si="55"/>
        <v>0</v>
      </c>
      <c r="H422" s="74"/>
      <c r="I422" s="74">
        <f t="shared" si="56"/>
        <v>0</v>
      </c>
      <c r="J422" s="74"/>
      <c r="K422" s="74">
        <f t="shared" si="57"/>
        <v>0</v>
      </c>
      <c r="L422" s="74"/>
      <c r="M422" s="74">
        <f t="shared" si="58"/>
        <v>0</v>
      </c>
      <c r="N422" s="74">
        <f t="shared" si="59"/>
        <v>0</v>
      </c>
      <c r="O422" s="74">
        <f t="shared" si="60"/>
        <v>0</v>
      </c>
      <c r="P422" s="74">
        <f t="shared" si="61"/>
        <v>0</v>
      </c>
      <c r="Q422" s="74">
        <f t="shared" si="62"/>
        <v>0</v>
      </c>
    </row>
    <row r="423" spans="1:17" ht="20.100000000000001" hidden="1" customHeight="1">
      <c r="A423" s="56"/>
      <c r="B423" s="72">
        <f t="shared" si="54"/>
        <v>0</v>
      </c>
      <c r="C423" s="72" t="s">
        <v>5521</v>
      </c>
      <c r="D423" s="75">
        <f>Data!K2263</f>
        <v>1670</v>
      </c>
      <c r="E423" s="74" t="s">
        <v>729</v>
      </c>
      <c r="F423" s="75"/>
      <c r="G423" s="74">
        <f t="shared" si="55"/>
        <v>0</v>
      </c>
      <c r="H423" s="74"/>
      <c r="I423" s="74">
        <f t="shared" si="56"/>
        <v>0</v>
      </c>
      <c r="J423" s="74"/>
      <c r="K423" s="74">
        <f t="shared" si="57"/>
        <v>0</v>
      </c>
      <c r="L423" s="74"/>
      <c r="M423" s="74">
        <f t="shared" si="58"/>
        <v>0</v>
      </c>
      <c r="N423" s="74">
        <f t="shared" si="59"/>
        <v>0</v>
      </c>
      <c r="O423" s="74">
        <f t="shared" si="60"/>
        <v>0</v>
      </c>
      <c r="P423" s="74">
        <f t="shared" si="61"/>
        <v>0</v>
      </c>
      <c r="Q423" s="74">
        <f t="shared" si="62"/>
        <v>0</v>
      </c>
    </row>
    <row r="424" spans="1:17" ht="20.100000000000001" hidden="1" customHeight="1">
      <c r="A424" s="71">
        <v>65</v>
      </c>
      <c r="B424" s="72">
        <f t="shared" si="54"/>
        <v>0</v>
      </c>
      <c r="C424" s="72" t="s">
        <v>5522</v>
      </c>
      <c r="D424" s="75">
        <f>Data!K2264</f>
        <v>1705</v>
      </c>
      <c r="E424" s="74" t="s">
        <v>729</v>
      </c>
      <c r="F424" s="75"/>
      <c r="G424" s="74">
        <f t="shared" si="55"/>
        <v>0</v>
      </c>
      <c r="H424" s="74"/>
      <c r="I424" s="74">
        <f t="shared" si="56"/>
        <v>0</v>
      </c>
      <c r="J424" s="74"/>
      <c r="K424" s="74">
        <f t="shared" si="57"/>
        <v>0</v>
      </c>
      <c r="L424" s="74"/>
      <c r="M424" s="74">
        <f t="shared" si="58"/>
        <v>0</v>
      </c>
      <c r="N424" s="74">
        <f t="shared" si="59"/>
        <v>0</v>
      </c>
      <c r="O424" s="74">
        <f t="shared" si="60"/>
        <v>0</v>
      </c>
      <c r="P424" s="74">
        <f t="shared" si="61"/>
        <v>0</v>
      </c>
      <c r="Q424" s="74">
        <f t="shared" si="62"/>
        <v>0</v>
      </c>
    </row>
    <row r="425" spans="1:17" ht="20.100000000000001" hidden="1" customHeight="1">
      <c r="A425" s="71">
        <v>66</v>
      </c>
      <c r="B425" s="72">
        <f t="shared" si="54"/>
        <v>0</v>
      </c>
      <c r="C425" s="72" t="s">
        <v>5523</v>
      </c>
      <c r="D425" s="75">
        <f>Data!K2265</f>
        <v>3052</v>
      </c>
      <c r="E425" s="74" t="s">
        <v>729</v>
      </c>
      <c r="F425" s="75"/>
      <c r="G425" s="74">
        <f t="shared" si="55"/>
        <v>0</v>
      </c>
      <c r="H425" s="74"/>
      <c r="I425" s="74">
        <f t="shared" si="56"/>
        <v>0</v>
      </c>
      <c r="J425" s="74"/>
      <c r="K425" s="74">
        <f t="shared" si="57"/>
        <v>0</v>
      </c>
      <c r="L425" s="74"/>
      <c r="M425" s="74">
        <f t="shared" si="58"/>
        <v>0</v>
      </c>
      <c r="N425" s="74">
        <f t="shared" si="59"/>
        <v>0</v>
      </c>
      <c r="O425" s="74">
        <f t="shared" si="60"/>
        <v>0</v>
      </c>
      <c r="P425" s="74">
        <f t="shared" si="61"/>
        <v>0</v>
      </c>
      <c r="Q425" s="74">
        <f t="shared" si="62"/>
        <v>0</v>
      </c>
    </row>
    <row r="426" spans="1:17" ht="20.100000000000001" hidden="1" customHeight="1">
      <c r="A426" s="71">
        <v>67</v>
      </c>
      <c r="B426" s="72">
        <f t="shared" si="54"/>
        <v>0</v>
      </c>
      <c r="C426" s="72" t="s">
        <v>5524</v>
      </c>
      <c r="D426" s="75">
        <f>Data!K2266</f>
        <v>835</v>
      </c>
      <c r="E426" s="74" t="s">
        <v>729</v>
      </c>
      <c r="F426" s="75"/>
      <c r="G426" s="74">
        <f t="shared" si="55"/>
        <v>0</v>
      </c>
      <c r="H426" s="74"/>
      <c r="I426" s="74">
        <f t="shared" si="56"/>
        <v>0</v>
      </c>
      <c r="J426" s="74"/>
      <c r="K426" s="74">
        <f t="shared" si="57"/>
        <v>0</v>
      </c>
      <c r="L426" s="74"/>
      <c r="M426" s="74">
        <f t="shared" si="58"/>
        <v>0</v>
      </c>
      <c r="N426" s="74">
        <f t="shared" si="59"/>
        <v>0</v>
      </c>
      <c r="O426" s="74">
        <f t="shared" si="60"/>
        <v>0</v>
      </c>
      <c r="P426" s="74">
        <f t="shared" si="61"/>
        <v>0</v>
      </c>
      <c r="Q426" s="74">
        <f t="shared" si="62"/>
        <v>0</v>
      </c>
    </row>
    <row r="427" spans="1:17" ht="20.100000000000001" hidden="1" customHeight="1">
      <c r="A427" s="71">
        <v>68</v>
      </c>
      <c r="B427" s="72">
        <f t="shared" si="54"/>
        <v>0</v>
      </c>
      <c r="C427" s="72" t="s">
        <v>5525</v>
      </c>
      <c r="D427" s="75">
        <f>Data!K2267</f>
        <v>1133</v>
      </c>
      <c r="E427" s="74" t="s">
        <v>729</v>
      </c>
      <c r="F427" s="75"/>
      <c r="G427" s="74">
        <f t="shared" si="55"/>
        <v>0</v>
      </c>
      <c r="H427" s="74"/>
      <c r="I427" s="74">
        <f t="shared" si="56"/>
        <v>0</v>
      </c>
      <c r="J427" s="74"/>
      <c r="K427" s="74">
        <f t="shared" si="57"/>
        <v>0</v>
      </c>
      <c r="L427" s="74"/>
      <c r="M427" s="74">
        <f t="shared" si="58"/>
        <v>0</v>
      </c>
      <c r="N427" s="74">
        <f t="shared" si="59"/>
        <v>0</v>
      </c>
      <c r="O427" s="74">
        <f t="shared" si="60"/>
        <v>0</v>
      </c>
      <c r="P427" s="74">
        <f t="shared" si="61"/>
        <v>0</v>
      </c>
      <c r="Q427" s="74">
        <f t="shared" si="62"/>
        <v>0</v>
      </c>
    </row>
    <row r="428" spans="1:17" s="55" customFormat="1" ht="45.75" hidden="1" customHeight="1">
      <c r="A428" s="71">
        <v>69</v>
      </c>
      <c r="B428" s="72">
        <f t="shared" si="54"/>
        <v>0</v>
      </c>
      <c r="C428" s="72" t="s">
        <v>5526</v>
      </c>
      <c r="D428" s="75">
        <f>Data!K2268</f>
        <v>150</v>
      </c>
      <c r="E428" s="74" t="s">
        <v>729</v>
      </c>
      <c r="F428" s="75"/>
      <c r="G428" s="74">
        <f t="shared" si="55"/>
        <v>0</v>
      </c>
      <c r="H428" s="74"/>
      <c r="I428" s="74">
        <f t="shared" si="56"/>
        <v>0</v>
      </c>
      <c r="J428" s="74"/>
      <c r="K428" s="74">
        <f t="shared" si="57"/>
        <v>0</v>
      </c>
      <c r="L428" s="74"/>
      <c r="M428" s="74">
        <f t="shared" si="58"/>
        <v>0</v>
      </c>
      <c r="N428" s="74">
        <f t="shared" si="59"/>
        <v>0</v>
      </c>
      <c r="O428" s="74">
        <f t="shared" si="60"/>
        <v>0</v>
      </c>
      <c r="P428" s="74">
        <f t="shared" si="61"/>
        <v>0</v>
      </c>
      <c r="Q428" s="74">
        <f t="shared" si="62"/>
        <v>0</v>
      </c>
    </row>
    <row r="429" spans="1:17" ht="29.25" hidden="1" customHeight="1">
      <c r="A429" s="71">
        <v>70.099999999999994</v>
      </c>
      <c r="B429" s="72">
        <f t="shared" si="54"/>
        <v>0</v>
      </c>
      <c r="C429" s="72" t="s">
        <v>5527</v>
      </c>
      <c r="D429" s="75">
        <f>Data!K2269</f>
        <v>517</v>
      </c>
      <c r="E429" s="74" t="s">
        <v>729</v>
      </c>
      <c r="F429" s="75"/>
      <c r="G429" s="74">
        <f t="shared" si="55"/>
        <v>0</v>
      </c>
      <c r="H429" s="74"/>
      <c r="I429" s="74">
        <f t="shared" si="56"/>
        <v>0</v>
      </c>
      <c r="J429" s="74"/>
      <c r="K429" s="74">
        <f t="shared" si="57"/>
        <v>0</v>
      </c>
      <c r="L429" s="74"/>
      <c r="M429" s="74">
        <f t="shared" si="58"/>
        <v>0</v>
      </c>
      <c r="N429" s="74">
        <f t="shared" si="59"/>
        <v>0</v>
      </c>
      <c r="O429" s="74">
        <f t="shared" si="60"/>
        <v>0</v>
      </c>
      <c r="P429" s="74">
        <f t="shared" si="61"/>
        <v>0</v>
      </c>
      <c r="Q429" s="74">
        <f t="shared" si="62"/>
        <v>0</v>
      </c>
    </row>
    <row r="430" spans="1:17" ht="20.100000000000001" hidden="1" customHeight="1">
      <c r="A430" s="71">
        <v>70.2</v>
      </c>
      <c r="B430" s="72">
        <f t="shared" si="54"/>
        <v>0</v>
      </c>
      <c r="C430" s="72" t="s">
        <v>5528</v>
      </c>
      <c r="D430" s="75"/>
      <c r="E430" s="74" t="s">
        <v>729</v>
      </c>
      <c r="F430" s="75"/>
      <c r="G430" s="74">
        <f t="shared" si="55"/>
        <v>0</v>
      </c>
      <c r="H430" s="74"/>
      <c r="I430" s="74">
        <f t="shared" si="56"/>
        <v>0</v>
      </c>
      <c r="J430" s="74"/>
      <c r="K430" s="74">
        <f t="shared" si="57"/>
        <v>0</v>
      </c>
      <c r="L430" s="74"/>
      <c r="M430" s="74">
        <f t="shared" si="58"/>
        <v>0</v>
      </c>
      <c r="N430" s="74">
        <f t="shared" si="59"/>
        <v>0</v>
      </c>
      <c r="O430" s="74">
        <f t="shared" si="60"/>
        <v>0</v>
      </c>
      <c r="P430" s="74">
        <f t="shared" si="61"/>
        <v>0</v>
      </c>
      <c r="Q430" s="74">
        <f t="shared" si="62"/>
        <v>0</v>
      </c>
    </row>
    <row r="431" spans="1:17" ht="20.100000000000001" hidden="1" customHeight="1">
      <c r="A431" s="71">
        <v>70.3</v>
      </c>
      <c r="B431" s="72">
        <f t="shared" si="54"/>
        <v>0</v>
      </c>
      <c r="C431" s="72" t="s">
        <v>5529</v>
      </c>
      <c r="D431" s="75">
        <f>Data!K2271</f>
        <v>9.4</v>
      </c>
      <c r="E431" s="74" t="s">
        <v>729</v>
      </c>
      <c r="F431" s="75"/>
      <c r="G431" s="74">
        <f t="shared" si="55"/>
        <v>0</v>
      </c>
      <c r="H431" s="74"/>
      <c r="I431" s="74">
        <f t="shared" si="56"/>
        <v>0</v>
      </c>
      <c r="J431" s="74"/>
      <c r="K431" s="74">
        <f t="shared" si="57"/>
        <v>0</v>
      </c>
      <c r="L431" s="74"/>
      <c r="M431" s="74">
        <f t="shared" si="58"/>
        <v>0</v>
      </c>
      <c r="N431" s="74">
        <f t="shared" si="59"/>
        <v>0</v>
      </c>
      <c r="O431" s="74">
        <f t="shared" si="60"/>
        <v>0</v>
      </c>
      <c r="P431" s="74">
        <f t="shared" si="61"/>
        <v>0</v>
      </c>
      <c r="Q431" s="74">
        <f t="shared" si="62"/>
        <v>0</v>
      </c>
    </row>
    <row r="432" spans="1:17" ht="20.100000000000001" hidden="1" customHeight="1">
      <c r="A432" s="71">
        <v>70.400000000000006</v>
      </c>
      <c r="B432" s="72">
        <f t="shared" si="54"/>
        <v>0</v>
      </c>
      <c r="C432" s="72" t="s">
        <v>5530</v>
      </c>
      <c r="D432" s="75">
        <f>Data!K2272</f>
        <v>10</v>
      </c>
      <c r="E432" s="74" t="s">
        <v>729</v>
      </c>
      <c r="F432" s="75"/>
      <c r="G432" s="74">
        <f t="shared" si="55"/>
        <v>0</v>
      </c>
      <c r="H432" s="74"/>
      <c r="I432" s="74">
        <f t="shared" si="56"/>
        <v>0</v>
      </c>
      <c r="J432" s="74"/>
      <c r="K432" s="74">
        <f t="shared" si="57"/>
        <v>0</v>
      </c>
      <c r="L432" s="74"/>
      <c r="M432" s="74">
        <f t="shared" si="58"/>
        <v>0</v>
      </c>
      <c r="N432" s="74">
        <f t="shared" si="59"/>
        <v>0</v>
      </c>
      <c r="O432" s="74">
        <f t="shared" si="60"/>
        <v>0</v>
      </c>
      <c r="P432" s="74">
        <f t="shared" si="61"/>
        <v>0</v>
      </c>
      <c r="Q432" s="74">
        <f t="shared" si="62"/>
        <v>0</v>
      </c>
    </row>
    <row r="433" spans="1:17" ht="41.25" hidden="1" customHeight="1">
      <c r="A433" s="71">
        <v>71</v>
      </c>
      <c r="B433" s="72">
        <f t="shared" si="54"/>
        <v>0</v>
      </c>
      <c r="C433" s="72" t="s">
        <v>5531</v>
      </c>
      <c r="D433" s="75">
        <f>Data!K2273</f>
        <v>1345.6</v>
      </c>
      <c r="E433" s="74" t="s">
        <v>729</v>
      </c>
      <c r="F433" s="75"/>
      <c r="G433" s="74">
        <f t="shared" si="55"/>
        <v>0</v>
      </c>
      <c r="H433" s="74"/>
      <c r="I433" s="74">
        <f t="shared" si="56"/>
        <v>0</v>
      </c>
      <c r="J433" s="74"/>
      <c r="K433" s="74">
        <f t="shared" si="57"/>
        <v>0</v>
      </c>
      <c r="L433" s="74"/>
      <c r="M433" s="74">
        <f t="shared" si="58"/>
        <v>0</v>
      </c>
      <c r="N433" s="74">
        <f t="shared" si="59"/>
        <v>0</v>
      </c>
      <c r="O433" s="74">
        <f t="shared" si="60"/>
        <v>0</v>
      </c>
      <c r="P433" s="74">
        <f t="shared" si="61"/>
        <v>0</v>
      </c>
      <c r="Q433" s="74">
        <f t="shared" si="62"/>
        <v>0</v>
      </c>
    </row>
    <row r="434" spans="1:17" ht="60" customHeight="1">
      <c r="A434" s="71">
        <v>72</v>
      </c>
      <c r="B434" s="72">
        <f t="shared" si="54"/>
        <v>163</v>
      </c>
      <c r="C434" s="72" t="s">
        <v>5532</v>
      </c>
      <c r="D434" s="75">
        <f>Data!K2274</f>
        <v>33.9</v>
      </c>
      <c r="E434" s="74" t="s">
        <v>729</v>
      </c>
      <c r="F434" s="1425">
        <f>'Detail '!I1761</f>
        <v>163</v>
      </c>
      <c r="G434" s="74">
        <f t="shared" si="55"/>
        <v>5525.7</v>
      </c>
      <c r="H434" s="74"/>
      <c r="I434" s="74">
        <f t="shared" si="56"/>
        <v>0</v>
      </c>
      <c r="J434" s="74"/>
      <c r="K434" s="74">
        <f t="shared" si="57"/>
        <v>0</v>
      </c>
      <c r="L434" s="74"/>
      <c r="M434" s="74">
        <f t="shared" si="58"/>
        <v>0</v>
      </c>
      <c r="N434" s="74">
        <f t="shared" si="59"/>
        <v>0</v>
      </c>
      <c r="O434" s="74">
        <f t="shared" si="60"/>
        <v>0</v>
      </c>
      <c r="P434" s="74">
        <f t="shared" si="61"/>
        <v>163</v>
      </c>
      <c r="Q434" s="74">
        <f t="shared" si="62"/>
        <v>5525.7</v>
      </c>
    </row>
    <row r="435" spans="1:17" ht="60" customHeight="1">
      <c r="A435" s="72">
        <v>73.099999999999994</v>
      </c>
      <c r="B435" s="72">
        <f t="shared" si="54"/>
        <v>8</v>
      </c>
      <c r="C435" s="72" t="s">
        <v>5533</v>
      </c>
      <c r="D435" s="75">
        <f>Data!K2275</f>
        <v>4212</v>
      </c>
      <c r="E435" s="74" t="s">
        <v>729</v>
      </c>
      <c r="F435" s="75">
        <f>'Detail '!I3052</f>
        <v>8</v>
      </c>
      <c r="G435" s="74">
        <f t="shared" si="55"/>
        <v>33696</v>
      </c>
      <c r="H435" s="74"/>
      <c r="I435" s="74">
        <f t="shared" si="56"/>
        <v>0</v>
      </c>
      <c r="J435" s="74"/>
      <c r="K435" s="74">
        <f t="shared" si="57"/>
        <v>0</v>
      </c>
      <c r="L435" s="74"/>
      <c r="M435" s="74">
        <f t="shared" si="58"/>
        <v>0</v>
      </c>
      <c r="N435" s="74">
        <f t="shared" si="59"/>
        <v>0</v>
      </c>
      <c r="O435" s="74">
        <f t="shared" si="60"/>
        <v>0</v>
      </c>
      <c r="P435" s="74">
        <f t="shared" si="61"/>
        <v>8</v>
      </c>
      <c r="Q435" s="74">
        <f t="shared" si="62"/>
        <v>33696</v>
      </c>
    </row>
    <row r="436" spans="1:17" ht="60" customHeight="1">
      <c r="A436" s="71">
        <v>73.2</v>
      </c>
      <c r="B436" s="72">
        <f t="shared" si="54"/>
        <v>0</v>
      </c>
      <c r="C436" s="72" t="s">
        <v>5534</v>
      </c>
      <c r="D436" s="75">
        <f>Data!K2276</f>
        <v>3430</v>
      </c>
      <c r="E436" s="74" t="s">
        <v>729</v>
      </c>
      <c r="F436" s="75">
        <f>'Detail '!I3059</f>
        <v>0</v>
      </c>
      <c r="G436" s="74">
        <f t="shared" si="55"/>
        <v>0</v>
      </c>
      <c r="H436" s="74"/>
      <c r="I436" s="74">
        <f t="shared" si="56"/>
        <v>0</v>
      </c>
      <c r="J436" s="74"/>
      <c r="K436" s="74">
        <f t="shared" si="57"/>
        <v>0</v>
      </c>
      <c r="L436" s="74"/>
      <c r="M436" s="74">
        <f t="shared" si="58"/>
        <v>0</v>
      </c>
      <c r="N436" s="74">
        <f t="shared" si="59"/>
        <v>0</v>
      </c>
      <c r="O436" s="74">
        <f t="shared" si="60"/>
        <v>0</v>
      </c>
      <c r="P436" s="74">
        <f t="shared" si="61"/>
        <v>0</v>
      </c>
      <c r="Q436" s="74">
        <f t="shared" si="62"/>
        <v>0</v>
      </c>
    </row>
    <row r="437" spans="1:17" ht="45.75" customHeight="1">
      <c r="A437" s="71">
        <v>74</v>
      </c>
      <c r="B437" s="72">
        <f t="shared" si="54"/>
        <v>163</v>
      </c>
      <c r="C437" s="72" t="s">
        <v>5535</v>
      </c>
      <c r="D437" s="75">
        <f>Data!K2277</f>
        <v>571</v>
      </c>
      <c r="E437" s="74" t="s">
        <v>729</v>
      </c>
      <c r="F437" s="1425">
        <f>'Detail '!I1815</f>
        <v>163</v>
      </c>
      <c r="G437" s="74">
        <f t="shared" si="55"/>
        <v>93073</v>
      </c>
      <c r="H437" s="74"/>
      <c r="I437" s="74">
        <f t="shared" si="56"/>
        <v>0</v>
      </c>
      <c r="J437" s="74"/>
      <c r="K437" s="74">
        <f t="shared" si="57"/>
        <v>0</v>
      </c>
      <c r="L437" s="74"/>
      <c r="M437" s="74">
        <f t="shared" si="58"/>
        <v>0</v>
      </c>
      <c r="N437" s="74">
        <f t="shared" si="59"/>
        <v>0</v>
      </c>
      <c r="O437" s="74">
        <f t="shared" si="60"/>
        <v>0</v>
      </c>
      <c r="P437" s="74">
        <f t="shared" si="61"/>
        <v>163</v>
      </c>
      <c r="Q437" s="74">
        <f t="shared" si="62"/>
        <v>93073</v>
      </c>
    </row>
    <row r="438" spans="1:17" ht="27" hidden="1" customHeight="1">
      <c r="A438" s="71">
        <v>75</v>
      </c>
      <c r="B438" s="72">
        <f t="shared" si="54"/>
        <v>0</v>
      </c>
      <c r="C438" s="76" t="s">
        <v>5536</v>
      </c>
      <c r="D438" s="75"/>
      <c r="E438" s="74"/>
      <c r="F438" s="75"/>
      <c r="G438" s="74">
        <f t="shared" si="55"/>
        <v>0</v>
      </c>
      <c r="H438" s="74"/>
      <c r="I438" s="74">
        <f t="shared" si="56"/>
        <v>0</v>
      </c>
      <c r="J438" s="74"/>
      <c r="K438" s="74">
        <f t="shared" si="57"/>
        <v>0</v>
      </c>
      <c r="L438" s="74"/>
      <c r="M438" s="74">
        <f t="shared" si="58"/>
        <v>0</v>
      </c>
      <c r="N438" s="74">
        <f t="shared" si="59"/>
        <v>0</v>
      </c>
      <c r="O438" s="74">
        <f t="shared" si="60"/>
        <v>0</v>
      </c>
      <c r="P438" s="74">
        <f t="shared" si="61"/>
        <v>0</v>
      </c>
      <c r="Q438" s="74">
        <f t="shared" si="62"/>
        <v>0</v>
      </c>
    </row>
    <row r="439" spans="1:17" ht="27" hidden="1" customHeight="1">
      <c r="A439" s="72"/>
      <c r="B439" s="72">
        <f t="shared" si="54"/>
        <v>0</v>
      </c>
      <c r="C439" s="72" t="s">
        <v>5537</v>
      </c>
      <c r="D439" s="75"/>
      <c r="E439" s="74" t="s">
        <v>729</v>
      </c>
      <c r="F439" s="75"/>
      <c r="G439" s="74">
        <f t="shared" si="55"/>
        <v>0</v>
      </c>
      <c r="H439" s="74"/>
      <c r="I439" s="74">
        <f t="shared" si="56"/>
        <v>0</v>
      </c>
      <c r="J439" s="74"/>
      <c r="K439" s="74">
        <f t="shared" si="57"/>
        <v>0</v>
      </c>
      <c r="L439" s="74"/>
      <c r="M439" s="74">
        <f t="shared" si="58"/>
        <v>0</v>
      </c>
      <c r="N439" s="74">
        <f t="shared" si="59"/>
        <v>0</v>
      </c>
      <c r="O439" s="74">
        <f t="shared" si="60"/>
        <v>0</v>
      </c>
      <c r="P439" s="74">
        <f t="shared" si="61"/>
        <v>0</v>
      </c>
      <c r="Q439" s="74">
        <f t="shared" si="62"/>
        <v>0</v>
      </c>
    </row>
    <row r="440" spans="1:17" ht="27" hidden="1" customHeight="1">
      <c r="A440" s="56"/>
      <c r="B440" s="72">
        <f t="shared" si="54"/>
        <v>0</v>
      </c>
      <c r="C440" s="72" t="s">
        <v>5538</v>
      </c>
      <c r="D440" s="75"/>
      <c r="E440" s="74" t="s">
        <v>729</v>
      </c>
      <c r="F440" s="75"/>
      <c r="G440" s="74">
        <f t="shared" si="55"/>
        <v>0</v>
      </c>
      <c r="H440" s="74"/>
      <c r="I440" s="74">
        <f t="shared" si="56"/>
        <v>0</v>
      </c>
      <c r="J440" s="74"/>
      <c r="K440" s="74">
        <f t="shared" si="57"/>
        <v>0</v>
      </c>
      <c r="L440" s="74"/>
      <c r="M440" s="74">
        <f t="shared" si="58"/>
        <v>0</v>
      </c>
      <c r="N440" s="74">
        <f t="shared" si="59"/>
        <v>0</v>
      </c>
      <c r="O440" s="74">
        <f t="shared" si="60"/>
        <v>0</v>
      </c>
      <c r="P440" s="74">
        <f t="shared" si="61"/>
        <v>0</v>
      </c>
      <c r="Q440" s="74">
        <f t="shared" si="62"/>
        <v>0</v>
      </c>
    </row>
    <row r="441" spans="1:17" ht="34.5" customHeight="1">
      <c r="A441" s="71">
        <v>76</v>
      </c>
      <c r="B441" s="72">
        <f t="shared" si="54"/>
        <v>75</v>
      </c>
      <c r="C441" s="72" t="s">
        <v>5539</v>
      </c>
      <c r="D441" s="75">
        <f>Elec.Data!K463</f>
        <v>26.3</v>
      </c>
      <c r="E441" s="74" t="s">
        <v>13</v>
      </c>
      <c r="F441" s="1425">
        <f>'Detail '!I1817</f>
        <v>75</v>
      </c>
      <c r="G441" s="74">
        <f t="shared" si="55"/>
        <v>1972.5</v>
      </c>
      <c r="H441" s="74"/>
      <c r="I441" s="74">
        <f t="shared" si="56"/>
        <v>0</v>
      </c>
      <c r="J441" s="74"/>
      <c r="K441" s="74">
        <f t="shared" si="57"/>
        <v>0</v>
      </c>
      <c r="L441" s="74"/>
      <c r="M441" s="74">
        <f t="shared" si="58"/>
        <v>0</v>
      </c>
      <c r="N441" s="74">
        <f t="shared" si="59"/>
        <v>0</v>
      </c>
      <c r="O441" s="74">
        <f t="shared" si="60"/>
        <v>0</v>
      </c>
      <c r="P441" s="74">
        <f t="shared" si="61"/>
        <v>75</v>
      </c>
      <c r="Q441" s="74">
        <f t="shared" si="62"/>
        <v>1972.5</v>
      </c>
    </row>
    <row r="442" spans="1:17" ht="34.5" customHeight="1">
      <c r="A442" s="71">
        <v>77</v>
      </c>
      <c r="B442" s="72">
        <f t="shared" si="54"/>
        <v>0</v>
      </c>
      <c r="C442" s="72" t="s">
        <v>5540</v>
      </c>
      <c r="D442" s="75">
        <f>ROUND(Data!K2282,2)</f>
        <v>208</v>
      </c>
      <c r="E442" s="74" t="s">
        <v>13</v>
      </c>
      <c r="F442" s="75"/>
      <c r="G442" s="74">
        <f t="shared" si="55"/>
        <v>0</v>
      </c>
      <c r="H442" s="74"/>
      <c r="I442" s="74">
        <f t="shared" si="56"/>
        <v>0</v>
      </c>
      <c r="J442" s="74"/>
      <c r="K442" s="74">
        <f t="shared" si="57"/>
        <v>0</v>
      </c>
      <c r="L442" s="74"/>
      <c r="M442" s="74">
        <f t="shared" si="58"/>
        <v>0</v>
      </c>
      <c r="N442" s="74">
        <f t="shared" si="59"/>
        <v>0</v>
      </c>
      <c r="O442" s="74">
        <f t="shared" si="60"/>
        <v>0</v>
      </c>
      <c r="P442" s="74">
        <f t="shared" si="61"/>
        <v>0</v>
      </c>
      <c r="Q442" s="74">
        <f t="shared" si="62"/>
        <v>0</v>
      </c>
    </row>
    <row r="443" spans="1:17" ht="49.5" hidden="1" customHeight="1">
      <c r="A443" s="71">
        <v>77.099999999999994</v>
      </c>
      <c r="B443" s="72">
        <f t="shared" si="54"/>
        <v>0</v>
      </c>
      <c r="C443" s="72" t="s">
        <v>3679</v>
      </c>
      <c r="D443" s="75">
        <f>ROUND(Data!K2283,2)</f>
        <v>266</v>
      </c>
      <c r="E443" s="74" t="s">
        <v>13</v>
      </c>
      <c r="F443" s="75"/>
      <c r="G443" s="74">
        <f t="shared" si="55"/>
        <v>0</v>
      </c>
      <c r="H443" s="74"/>
      <c r="I443" s="74">
        <f t="shared" si="56"/>
        <v>0</v>
      </c>
      <c r="J443" s="74"/>
      <c r="K443" s="74">
        <f t="shared" si="57"/>
        <v>0</v>
      </c>
      <c r="L443" s="74"/>
      <c r="M443" s="74">
        <f t="shared" si="58"/>
        <v>0</v>
      </c>
      <c r="N443" s="74">
        <f t="shared" si="59"/>
        <v>0</v>
      </c>
      <c r="O443" s="74">
        <f t="shared" si="60"/>
        <v>0</v>
      </c>
      <c r="P443" s="74">
        <f t="shared" si="61"/>
        <v>0</v>
      </c>
      <c r="Q443" s="74">
        <f t="shared" si="62"/>
        <v>0</v>
      </c>
    </row>
    <row r="444" spans="1:17" ht="34.5" customHeight="1">
      <c r="A444" s="71">
        <v>77.2</v>
      </c>
      <c r="B444" s="72">
        <f t="shared" si="54"/>
        <v>18</v>
      </c>
      <c r="C444" s="72" t="s">
        <v>5541</v>
      </c>
      <c r="D444" s="1637">
        <v>1839</v>
      </c>
      <c r="E444" s="74" t="s">
        <v>729</v>
      </c>
      <c r="F444" s="1425">
        <f>'Detail '!I2789</f>
        <v>18</v>
      </c>
      <c r="G444" s="74">
        <f t="shared" si="55"/>
        <v>33102</v>
      </c>
      <c r="H444" s="74"/>
      <c r="I444" s="74">
        <f t="shared" si="56"/>
        <v>0</v>
      </c>
      <c r="J444" s="74"/>
      <c r="K444" s="74">
        <f t="shared" si="57"/>
        <v>0</v>
      </c>
      <c r="L444" s="74"/>
      <c r="M444" s="74">
        <f t="shared" si="58"/>
        <v>0</v>
      </c>
      <c r="N444" s="74">
        <f t="shared" si="59"/>
        <v>0</v>
      </c>
      <c r="O444" s="74">
        <f t="shared" si="60"/>
        <v>0</v>
      </c>
      <c r="P444" s="74">
        <f t="shared" si="61"/>
        <v>18</v>
      </c>
      <c r="Q444" s="74">
        <f t="shared" si="62"/>
        <v>33102</v>
      </c>
    </row>
    <row r="445" spans="1:17" ht="34.5" customHeight="1">
      <c r="A445" s="71">
        <v>77.3</v>
      </c>
      <c r="B445" s="72">
        <f t="shared" si="54"/>
        <v>10</v>
      </c>
      <c r="C445" s="72" t="s">
        <v>5542</v>
      </c>
      <c r="D445" s="75">
        <f>Data!K2285</f>
        <v>77</v>
      </c>
      <c r="E445" s="74" t="s">
        <v>729</v>
      </c>
      <c r="F445" s="1425">
        <f>'Detail '!I1874</f>
        <v>10</v>
      </c>
      <c r="G445" s="74">
        <f t="shared" si="55"/>
        <v>770</v>
      </c>
      <c r="H445" s="74"/>
      <c r="I445" s="74">
        <f t="shared" si="56"/>
        <v>0</v>
      </c>
      <c r="J445" s="74"/>
      <c r="K445" s="74">
        <f t="shared" si="57"/>
        <v>0</v>
      </c>
      <c r="L445" s="74"/>
      <c r="M445" s="74">
        <f t="shared" si="58"/>
        <v>0</v>
      </c>
      <c r="N445" s="74">
        <f t="shared" si="59"/>
        <v>0</v>
      </c>
      <c r="O445" s="74">
        <f t="shared" si="60"/>
        <v>0</v>
      </c>
      <c r="P445" s="74">
        <f t="shared" si="61"/>
        <v>10</v>
      </c>
      <c r="Q445" s="74">
        <f t="shared" si="62"/>
        <v>770</v>
      </c>
    </row>
    <row r="446" spans="1:17" ht="34.5" customHeight="1">
      <c r="A446" s="71">
        <v>77.400000000000006</v>
      </c>
      <c r="B446" s="72">
        <f t="shared" si="54"/>
        <v>45</v>
      </c>
      <c r="C446" s="72" t="s">
        <v>5543</v>
      </c>
      <c r="D446" s="75">
        <f>Data!K2304</f>
        <v>87.66</v>
      </c>
      <c r="E446" s="74" t="s">
        <v>13</v>
      </c>
      <c r="F446" s="1425">
        <f>'Detail '!I1877</f>
        <v>45</v>
      </c>
      <c r="G446" s="74">
        <f t="shared" si="55"/>
        <v>3944.7</v>
      </c>
      <c r="H446" s="74"/>
      <c r="I446" s="74">
        <f t="shared" si="56"/>
        <v>0</v>
      </c>
      <c r="J446" s="74"/>
      <c r="K446" s="74">
        <f t="shared" si="57"/>
        <v>0</v>
      </c>
      <c r="L446" s="74"/>
      <c r="M446" s="74">
        <f t="shared" si="58"/>
        <v>0</v>
      </c>
      <c r="N446" s="74">
        <f t="shared" si="59"/>
        <v>0</v>
      </c>
      <c r="O446" s="74">
        <f t="shared" si="60"/>
        <v>0</v>
      </c>
      <c r="P446" s="74">
        <f t="shared" si="61"/>
        <v>45</v>
      </c>
      <c r="Q446" s="74">
        <f t="shared" si="62"/>
        <v>3944.7</v>
      </c>
    </row>
    <row r="447" spans="1:17" ht="34.5" customHeight="1">
      <c r="A447" s="71">
        <v>78</v>
      </c>
      <c r="B447" s="72">
        <f t="shared" si="54"/>
        <v>2</v>
      </c>
      <c r="C447" s="72" t="s">
        <v>5544</v>
      </c>
      <c r="D447" s="1637">
        <v>2921</v>
      </c>
      <c r="E447" s="74" t="s">
        <v>729</v>
      </c>
      <c r="F447" s="1425">
        <f>'Detail '!I1879</f>
        <v>2</v>
      </c>
      <c r="G447" s="74">
        <f t="shared" si="55"/>
        <v>5842</v>
      </c>
      <c r="H447" s="74"/>
      <c r="I447" s="74">
        <f t="shared" si="56"/>
        <v>0</v>
      </c>
      <c r="J447" s="74"/>
      <c r="K447" s="74">
        <f t="shared" si="57"/>
        <v>0</v>
      </c>
      <c r="L447" s="74"/>
      <c r="M447" s="74">
        <f t="shared" si="58"/>
        <v>0</v>
      </c>
      <c r="N447" s="74">
        <f t="shared" si="59"/>
        <v>0</v>
      </c>
      <c r="O447" s="74">
        <f t="shared" si="60"/>
        <v>0</v>
      </c>
      <c r="P447" s="74">
        <f t="shared" si="61"/>
        <v>2</v>
      </c>
      <c r="Q447" s="74">
        <f t="shared" si="62"/>
        <v>5842</v>
      </c>
    </row>
    <row r="448" spans="1:17" ht="25.5" hidden="1" customHeight="1">
      <c r="A448" s="71">
        <v>78.099999999999994</v>
      </c>
      <c r="B448" s="72">
        <f t="shared" si="54"/>
        <v>0</v>
      </c>
      <c r="C448" s="72" t="s">
        <v>5545</v>
      </c>
      <c r="D448" s="75"/>
      <c r="E448" s="74" t="s">
        <v>729</v>
      </c>
      <c r="F448" s="75"/>
      <c r="G448" s="74">
        <f t="shared" si="55"/>
        <v>0</v>
      </c>
      <c r="H448" s="74"/>
      <c r="I448" s="74">
        <f t="shared" si="56"/>
        <v>0</v>
      </c>
      <c r="J448" s="74"/>
      <c r="K448" s="74">
        <f t="shared" si="57"/>
        <v>0</v>
      </c>
      <c r="L448" s="74"/>
      <c r="M448" s="74">
        <f t="shared" si="58"/>
        <v>0</v>
      </c>
      <c r="N448" s="74">
        <f t="shared" si="59"/>
        <v>0</v>
      </c>
      <c r="O448" s="74">
        <f t="shared" si="60"/>
        <v>0</v>
      </c>
      <c r="P448" s="74">
        <f t="shared" si="61"/>
        <v>0</v>
      </c>
      <c r="Q448" s="74">
        <f t="shared" si="62"/>
        <v>0</v>
      </c>
    </row>
    <row r="449" spans="1:17" ht="46.5" hidden="1" customHeight="1">
      <c r="A449" s="71">
        <v>79.099999999999994</v>
      </c>
      <c r="B449" s="72">
        <f t="shared" si="54"/>
        <v>0</v>
      </c>
      <c r="C449" s="72" t="s">
        <v>5546</v>
      </c>
      <c r="D449" s="75">
        <f>Elec.Data!K569</f>
        <v>550</v>
      </c>
      <c r="E449" s="74" t="s">
        <v>729</v>
      </c>
      <c r="F449" s="75"/>
      <c r="G449" s="74">
        <f t="shared" si="55"/>
        <v>0</v>
      </c>
      <c r="H449" s="74"/>
      <c r="I449" s="74">
        <f t="shared" si="56"/>
        <v>0</v>
      </c>
      <c r="J449" s="74"/>
      <c r="K449" s="74">
        <f t="shared" si="57"/>
        <v>0</v>
      </c>
      <c r="L449" s="74"/>
      <c r="M449" s="74">
        <f t="shared" si="58"/>
        <v>0</v>
      </c>
      <c r="N449" s="74">
        <f t="shared" si="59"/>
        <v>0</v>
      </c>
      <c r="O449" s="74">
        <f t="shared" si="60"/>
        <v>0</v>
      </c>
      <c r="P449" s="74">
        <f t="shared" si="61"/>
        <v>0</v>
      </c>
      <c r="Q449" s="74">
        <f t="shared" si="62"/>
        <v>0</v>
      </c>
    </row>
    <row r="450" spans="1:17" ht="33" hidden="1" customHeight="1">
      <c r="A450" s="71">
        <v>79.2</v>
      </c>
      <c r="B450" s="72">
        <f t="shared" si="54"/>
        <v>0</v>
      </c>
      <c r="C450" s="72" t="s">
        <v>5547</v>
      </c>
      <c r="D450" s="75">
        <f>Elec.Data!K588</f>
        <v>825</v>
      </c>
      <c r="E450" s="74" t="s">
        <v>729</v>
      </c>
      <c r="F450" s="75"/>
      <c r="G450" s="74">
        <f t="shared" si="55"/>
        <v>0</v>
      </c>
      <c r="H450" s="74"/>
      <c r="I450" s="74">
        <f t="shared" si="56"/>
        <v>0</v>
      </c>
      <c r="J450" s="74"/>
      <c r="K450" s="74">
        <f t="shared" si="57"/>
        <v>0</v>
      </c>
      <c r="L450" s="74"/>
      <c r="M450" s="74">
        <f t="shared" si="58"/>
        <v>0</v>
      </c>
      <c r="N450" s="74">
        <f t="shared" si="59"/>
        <v>0</v>
      </c>
      <c r="O450" s="74">
        <f t="shared" si="60"/>
        <v>0</v>
      </c>
      <c r="P450" s="74">
        <f t="shared" si="61"/>
        <v>0</v>
      </c>
      <c r="Q450" s="74">
        <f t="shared" si="62"/>
        <v>0</v>
      </c>
    </row>
    <row r="451" spans="1:17" ht="51.75" customHeight="1">
      <c r="A451" s="71">
        <v>80</v>
      </c>
      <c r="B451" s="72">
        <f t="shared" si="54"/>
        <v>1</v>
      </c>
      <c r="C451" s="72" t="s">
        <v>5548</v>
      </c>
      <c r="D451" s="75">
        <f>Data!K2287</f>
        <v>818.75</v>
      </c>
      <c r="E451" s="74" t="s">
        <v>729</v>
      </c>
      <c r="F451" s="1425">
        <f>'Detail '!I1884</f>
        <v>1</v>
      </c>
      <c r="G451" s="74">
        <f t="shared" si="55"/>
        <v>818.75</v>
      </c>
      <c r="H451" s="74"/>
      <c r="I451" s="74">
        <f t="shared" si="56"/>
        <v>0</v>
      </c>
      <c r="J451" s="74"/>
      <c r="K451" s="74">
        <f t="shared" si="57"/>
        <v>0</v>
      </c>
      <c r="L451" s="74"/>
      <c r="M451" s="74">
        <f t="shared" si="58"/>
        <v>0</v>
      </c>
      <c r="N451" s="74">
        <f t="shared" si="59"/>
        <v>0</v>
      </c>
      <c r="O451" s="74">
        <f t="shared" si="60"/>
        <v>0</v>
      </c>
      <c r="P451" s="74">
        <f t="shared" si="61"/>
        <v>1</v>
      </c>
      <c r="Q451" s="74">
        <f t="shared" si="62"/>
        <v>818.75</v>
      </c>
    </row>
    <row r="452" spans="1:17" s="55" customFormat="1" ht="45.75" hidden="1" customHeight="1">
      <c r="A452" s="71">
        <v>81</v>
      </c>
      <c r="B452" s="72">
        <f t="shared" si="54"/>
        <v>0</v>
      </c>
      <c r="C452" s="72" t="s">
        <v>5549</v>
      </c>
      <c r="D452" s="75">
        <f>ROUND(Data!K2288,2)</f>
        <v>2589.9</v>
      </c>
      <c r="E452" s="74" t="s">
        <v>724</v>
      </c>
      <c r="F452" s="75"/>
      <c r="G452" s="74">
        <f t="shared" si="55"/>
        <v>0</v>
      </c>
      <c r="H452" s="74"/>
      <c r="I452" s="74">
        <f t="shared" si="56"/>
        <v>0</v>
      </c>
      <c r="J452" s="74"/>
      <c r="K452" s="74">
        <f t="shared" si="57"/>
        <v>0</v>
      </c>
      <c r="L452" s="74"/>
      <c r="M452" s="74">
        <f t="shared" si="58"/>
        <v>0</v>
      </c>
      <c r="N452" s="74">
        <f t="shared" si="59"/>
        <v>0</v>
      </c>
      <c r="O452" s="74">
        <f t="shared" si="60"/>
        <v>0</v>
      </c>
      <c r="P452" s="74">
        <f t="shared" si="61"/>
        <v>0</v>
      </c>
      <c r="Q452" s="74">
        <f t="shared" si="62"/>
        <v>0</v>
      </c>
    </row>
    <row r="453" spans="1:17" ht="39" customHeight="1">
      <c r="A453" s="71">
        <v>82</v>
      </c>
      <c r="B453" s="72">
        <f t="shared" ref="B453:B516" si="63">P453</f>
        <v>12</v>
      </c>
      <c r="C453" s="72" t="s">
        <v>5550</v>
      </c>
      <c r="D453" s="1637">
        <v>3367</v>
      </c>
      <c r="E453" s="74" t="s">
        <v>729</v>
      </c>
      <c r="F453" s="1425">
        <f>'Detail '!I2925</f>
        <v>12</v>
      </c>
      <c r="G453" s="74">
        <f t="shared" si="55"/>
        <v>40404</v>
      </c>
      <c r="H453" s="74"/>
      <c r="I453" s="74">
        <f t="shared" si="56"/>
        <v>0</v>
      </c>
      <c r="J453" s="74"/>
      <c r="K453" s="74">
        <f t="shared" si="57"/>
        <v>0</v>
      </c>
      <c r="L453" s="74"/>
      <c r="M453" s="74">
        <f t="shared" si="58"/>
        <v>0</v>
      </c>
      <c r="N453" s="74">
        <f t="shared" si="59"/>
        <v>0</v>
      </c>
      <c r="O453" s="74">
        <f t="shared" si="60"/>
        <v>0</v>
      </c>
      <c r="P453" s="74">
        <f t="shared" si="61"/>
        <v>12</v>
      </c>
      <c r="Q453" s="74">
        <f t="shared" si="62"/>
        <v>40404</v>
      </c>
    </row>
    <row r="454" spans="1:17" ht="40.5" hidden="1" customHeight="1">
      <c r="A454" s="71">
        <v>83</v>
      </c>
      <c r="B454" s="72">
        <f t="shared" si="63"/>
        <v>0</v>
      </c>
      <c r="C454" s="72" t="s">
        <v>2155</v>
      </c>
      <c r="D454" s="75">
        <f>Elec.Data!K725</f>
        <v>190</v>
      </c>
      <c r="E454" s="74" t="s">
        <v>13</v>
      </c>
      <c r="F454" s="75"/>
      <c r="G454" s="74">
        <f t="shared" ref="G454:G517" si="64">F454*D454</f>
        <v>0</v>
      </c>
      <c r="H454" s="74"/>
      <c r="I454" s="74">
        <f t="shared" ref="I454:I517" si="65">H454*D454</f>
        <v>0</v>
      </c>
      <c r="J454" s="74"/>
      <c r="K454" s="74">
        <f t="shared" ref="K454:K517" si="66">J454*D454</f>
        <v>0</v>
      </c>
      <c r="L454" s="74"/>
      <c r="M454" s="74">
        <f t="shared" ref="M454:M517" si="67">L454*D454</f>
        <v>0</v>
      </c>
      <c r="N454" s="74">
        <f t="shared" ref="N454:N517" si="68">H454+J454+L454</f>
        <v>0</v>
      </c>
      <c r="O454" s="74">
        <f t="shared" ref="O454:O517" si="69">N454*D454</f>
        <v>0</v>
      </c>
      <c r="P454" s="74">
        <f t="shared" ref="P454:P517" si="70">N454+F454</f>
        <v>0</v>
      </c>
      <c r="Q454" s="74">
        <f t="shared" ref="Q454:Q517" si="71">P454*D454</f>
        <v>0</v>
      </c>
    </row>
    <row r="455" spans="1:17" ht="20.100000000000001" hidden="1" customHeight="1">
      <c r="A455" s="71">
        <v>84</v>
      </c>
      <c r="B455" s="72">
        <f t="shared" si="63"/>
        <v>0</v>
      </c>
      <c r="C455" s="72" t="s">
        <v>5551</v>
      </c>
      <c r="D455" s="75"/>
      <c r="E455" s="74" t="s">
        <v>13</v>
      </c>
      <c r="F455" s="75"/>
      <c r="G455" s="74">
        <f t="shared" si="64"/>
        <v>0</v>
      </c>
      <c r="H455" s="74"/>
      <c r="I455" s="74">
        <f t="shared" si="65"/>
        <v>0</v>
      </c>
      <c r="J455" s="74"/>
      <c r="K455" s="74">
        <f t="shared" si="66"/>
        <v>0</v>
      </c>
      <c r="L455" s="74"/>
      <c r="M455" s="74">
        <f t="shared" si="67"/>
        <v>0</v>
      </c>
      <c r="N455" s="74">
        <f t="shared" si="68"/>
        <v>0</v>
      </c>
      <c r="O455" s="74">
        <f t="shared" si="69"/>
        <v>0</v>
      </c>
      <c r="P455" s="74">
        <f t="shared" si="70"/>
        <v>0</v>
      </c>
      <c r="Q455" s="74">
        <f t="shared" si="71"/>
        <v>0</v>
      </c>
    </row>
    <row r="456" spans="1:17" ht="20.100000000000001" hidden="1" customHeight="1">
      <c r="A456" s="71">
        <v>85</v>
      </c>
      <c r="B456" s="72">
        <f t="shared" si="63"/>
        <v>0</v>
      </c>
      <c r="C456" s="72" t="s">
        <v>5552</v>
      </c>
      <c r="D456" s="75">
        <f>Elec.Data!K684</f>
        <v>130</v>
      </c>
      <c r="E456" s="74" t="s">
        <v>13</v>
      </c>
      <c r="F456" s="75"/>
      <c r="G456" s="74">
        <f t="shared" si="64"/>
        <v>0</v>
      </c>
      <c r="H456" s="74"/>
      <c r="I456" s="74">
        <f t="shared" si="65"/>
        <v>0</v>
      </c>
      <c r="J456" s="74"/>
      <c r="K456" s="74">
        <f t="shared" si="66"/>
        <v>0</v>
      </c>
      <c r="L456" s="74"/>
      <c r="M456" s="74">
        <f t="shared" si="67"/>
        <v>0</v>
      </c>
      <c r="N456" s="74">
        <f t="shared" si="68"/>
        <v>0</v>
      </c>
      <c r="O456" s="74">
        <f t="shared" si="69"/>
        <v>0</v>
      </c>
      <c r="P456" s="74">
        <f t="shared" si="70"/>
        <v>0</v>
      </c>
      <c r="Q456" s="74">
        <f t="shared" si="71"/>
        <v>0</v>
      </c>
    </row>
    <row r="457" spans="1:17" ht="51.95" customHeight="1">
      <c r="A457" s="71">
        <v>86</v>
      </c>
      <c r="B457" s="72">
        <f t="shared" si="63"/>
        <v>514.1</v>
      </c>
      <c r="C457" s="72" t="s">
        <v>5553</v>
      </c>
      <c r="D457" s="75">
        <v>34</v>
      </c>
      <c r="E457" s="74" t="s">
        <v>5324</v>
      </c>
      <c r="F457" s="1425">
        <f>'Detail '!I1888</f>
        <v>514.1</v>
      </c>
      <c r="G457" s="74">
        <f t="shared" si="64"/>
        <v>17479.400000000001</v>
      </c>
      <c r="H457" s="74"/>
      <c r="I457" s="74">
        <f t="shared" si="65"/>
        <v>0</v>
      </c>
      <c r="J457" s="74"/>
      <c r="K457" s="74">
        <f t="shared" si="66"/>
        <v>0</v>
      </c>
      <c r="L457" s="74"/>
      <c r="M457" s="74">
        <f t="shared" si="67"/>
        <v>0</v>
      </c>
      <c r="N457" s="74">
        <f t="shared" si="68"/>
        <v>0</v>
      </c>
      <c r="O457" s="74">
        <f t="shared" si="69"/>
        <v>0</v>
      </c>
      <c r="P457" s="74">
        <f t="shared" si="70"/>
        <v>514.1</v>
      </c>
      <c r="Q457" s="74">
        <f t="shared" si="71"/>
        <v>17479.400000000001</v>
      </c>
    </row>
    <row r="458" spans="1:17" s="65" customFormat="1" ht="51.75" customHeight="1">
      <c r="A458" s="1728">
        <v>87</v>
      </c>
      <c r="B458" s="1729">
        <f t="shared" si="63"/>
        <v>8</v>
      </c>
      <c r="C458" s="1729" t="s">
        <v>2608</v>
      </c>
      <c r="D458" s="1730">
        <v>3068.5</v>
      </c>
      <c r="E458" s="1731" t="s">
        <v>729</v>
      </c>
      <c r="F458" s="1438">
        <f>'Detail '!I2569</f>
        <v>8</v>
      </c>
      <c r="G458" s="1731">
        <f t="shared" si="64"/>
        <v>24548</v>
      </c>
      <c r="H458" s="1731"/>
      <c r="I458" s="1731">
        <f t="shared" si="65"/>
        <v>0</v>
      </c>
      <c r="J458" s="1731"/>
      <c r="K458" s="1731">
        <f t="shared" si="66"/>
        <v>0</v>
      </c>
      <c r="L458" s="1731"/>
      <c r="M458" s="1731">
        <f t="shared" si="67"/>
        <v>0</v>
      </c>
      <c r="N458" s="1731">
        <f t="shared" si="68"/>
        <v>0</v>
      </c>
      <c r="O458" s="1731">
        <f t="shared" si="69"/>
        <v>0</v>
      </c>
      <c r="P458" s="1731">
        <f t="shared" si="70"/>
        <v>8</v>
      </c>
      <c r="Q458" s="1731">
        <f t="shared" si="71"/>
        <v>24548</v>
      </c>
    </row>
    <row r="459" spans="1:17" ht="60.75" customHeight="1">
      <c r="A459" s="71">
        <v>112</v>
      </c>
      <c r="B459" s="72">
        <f t="shared" si="63"/>
        <v>47</v>
      </c>
      <c r="C459" s="72" t="s">
        <v>5555</v>
      </c>
      <c r="D459" s="75">
        <f>ROUND(Data!K2280,2)</f>
        <v>2336</v>
      </c>
      <c r="E459" s="74" t="s">
        <v>729</v>
      </c>
      <c r="F459" s="1425">
        <f>'Detail '!I1891</f>
        <v>47</v>
      </c>
      <c r="G459" s="74">
        <f t="shared" si="64"/>
        <v>109792</v>
      </c>
      <c r="H459" s="74"/>
      <c r="I459" s="74">
        <f t="shared" si="65"/>
        <v>0</v>
      </c>
      <c r="J459" s="74"/>
      <c r="K459" s="74">
        <f t="shared" si="66"/>
        <v>0</v>
      </c>
      <c r="L459" s="74"/>
      <c r="M459" s="74">
        <f t="shared" si="67"/>
        <v>0</v>
      </c>
      <c r="N459" s="74">
        <f t="shared" si="68"/>
        <v>0</v>
      </c>
      <c r="O459" s="74">
        <f t="shared" si="69"/>
        <v>0</v>
      </c>
      <c r="P459" s="74">
        <f t="shared" si="70"/>
        <v>47</v>
      </c>
      <c r="Q459" s="74">
        <f t="shared" si="71"/>
        <v>109792</v>
      </c>
    </row>
    <row r="460" spans="1:17" ht="57.6" customHeight="1">
      <c r="A460" s="71">
        <v>238</v>
      </c>
      <c r="B460" s="72">
        <f t="shared" si="63"/>
        <v>112.63</v>
      </c>
      <c r="C460" s="72" t="s">
        <v>5556</v>
      </c>
      <c r="D460" s="75">
        <f>ROUND(Data!K1567,2)</f>
        <v>4755.5</v>
      </c>
      <c r="E460" s="74" t="s">
        <v>11</v>
      </c>
      <c r="F460" s="1427">
        <f>'Detail '!I1893</f>
        <v>111.554</v>
      </c>
      <c r="G460" s="74">
        <f t="shared" si="64"/>
        <v>530495.05000000005</v>
      </c>
      <c r="H460" s="74"/>
      <c r="I460" s="74">
        <f t="shared" si="65"/>
        <v>0</v>
      </c>
      <c r="J460" s="74">
        <f>Sump!I46</f>
        <v>1.08</v>
      </c>
      <c r="K460" s="74">
        <f t="shared" si="66"/>
        <v>5135.9399999999996</v>
      </c>
      <c r="L460" s="74"/>
      <c r="M460" s="74">
        <f t="shared" si="67"/>
        <v>0</v>
      </c>
      <c r="N460" s="74">
        <f t="shared" si="68"/>
        <v>1.08</v>
      </c>
      <c r="O460" s="74">
        <f t="shared" si="69"/>
        <v>5135.9399999999996</v>
      </c>
      <c r="P460" s="74">
        <f t="shared" si="70"/>
        <v>112.63</v>
      </c>
      <c r="Q460" s="74">
        <f t="shared" si="71"/>
        <v>535611.97</v>
      </c>
    </row>
    <row r="461" spans="1:17" ht="38.25" customHeight="1">
      <c r="A461" s="71"/>
      <c r="B461" s="72">
        <f t="shared" si="63"/>
        <v>4032</v>
      </c>
      <c r="C461" s="72" t="s">
        <v>7380</v>
      </c>
      <c r="D461" s="75">
        <f>Data!K3738</f>
        <v>98.65</v>
      </c>
      <c r="E461" s="74" t="s">
        <v>7568</v>
      </c>
      <c r="F461" s="1427">
        <f>'Detail '!I3044</f>
        <v>4032</v>
      </c>
      <c r="G461" s="74">
        <f t="shared" si="64"/>
        <v>397756.8</v>
      </c>
      <c r="H461" s="74"/>
      <c r="I461" s="74">
        <f t="shared" si="65"/>
        <v>0</v>
      </c>
      <c r="J461" s="74"/>
      <c r="K461" s="74">
        <f t="shared" si="66"/>
        <v>0</v>
      </c>
      <c r="L461" s="74"/>
      <c r="M461" s="74">
        <f t="shared" si="67"/>
        <v>0</v>
      </c>
      <c r="N461" s="74">
        <f t="shared" si="68"/>
        <v>0</v>
      </c>
      <c r="O461" s="74">
        <f t="shared" si="69"/>
        <v>0</v>
      </c>
      <c r="P461" s="74">
        <f t="shared" si="70"/>
        <v>4032</v>
      </c>
      <c r="Q461" s="74">
        <f t="shared" si="71"/>
        <v>397756.8</v>
      </c>
    </row>
    <row r="462" spans="1:17" ht="45.75" customHeight="1">
      <c r="A462" s="71"/>
      <c r="B462" s="72">
        <f t="shared" si="63"/>
        <v>0</v>
      </c>
      <c r="C462" s="1435" t="s">
        <v>2019</v>
      </c>
      <c r="D462" s="75"/>
      <c r="E462" s="74"/>
      <c r="F462" s="75"/>
      <c r="G462" s="74">
        <f t="shared" si="64"/>
        <v>0</v>
      </c>
      <c r="H462" s="74"/>
      <c r="I462" s="74">
        <f t="shared" si="65"/>
        <v>0</v>
      </c>
      <c r="J462" s="74"/>
      <c r="K462" s="74">
        <f t="shared" si="66"/>
        <v>0</v>
      </c>
      <c r="L462" s="74"/>
      <c r="M462" s="74">
        <f t="shared" si="67"/>
        <v>0</v>
      </c>
      <c r="N462" s="74">
        <f t="shared" si="68"/>
        <v>0</v>
      </c>
      <c r="O462" s="74">
        <f t="shared" si="69"/>
        <v>0</v>
      </c>
      <c r="P462" s="74">
        <f t="shared" si="70"/>
        <v>0</v>
      </c>
      <c r="Q462" s="74">
        <f t="shared" si="71"/>
        <v>0</v>
      </c>
    </row>
    <row r="463" spans="1:17" ht="108" hidden="1" customHeight="1">
      <c r="A463" s="56"/>
      <c r="B463" s="72">
        <f t="shared" si="63"/>
        <v>0</v>
      </c>
      <c r="C463" s="76" t="s">
        <v>5557</v>
      </c>
      <c r="D463" s="84"/>
      <c r="E463" s="84"/>
      <c r="F463" s="75"/>
      <c r="G463" s="74">
        <f t="shared" si="64"/>
        <v>0</v>
      </c>
      <c r="H463" s="74"/>
      <c r="I463" s="74">
        <f t="shared" si="65"/>
        <v>0</v>
      </c>
      <c r="J463" s="74"/>
      <c r="K463" s="74">
        <f t="shared" si="66"/>
        <v>0</v>
      </c>
      <c r="L463" s="74"/>
      <c r="M463" s="74">
        <f t="shared" si="67"/>
        <v>0</v>
      </c>
      <c r="N463" s="74">
        <f t="shared" si="68"/>
        <v>0</v>
      </c>
      <c r="O463" s="74">
        <f t="shared" si="69"/>
        <v>0</v>
      </c>
      <c r="P463" s="74">
        <f t="shared" si="70"/>
        <v>0</v>
      </c>
      <c r="Q463" s="74">
        <f t="shared" si="71"/>
        <v>0</v>
      </c>
    </row>
    <row r="464" spans="1:17" ht="51" hidden="1" customHeight="1">
      <c r="A464" s="56"/>
      <c r="B464" s="72">
        <f t="shared" si="63"/>
        <v>0</v>
      </c>
      <c r="C464" s="76" t="s">
        <v>5558</v>
      </c>
      <c r="D464" s="74">
        <f>'pile data '!F17</f>
        <v>2873.76</v>
      </c>
      <c r="E464" s="74" t="s">
        <v>13</v>
      </c>
      <c r="F464" s="75"/>
      <c r="G464" s="74">
        <f t="shared" si="64"/>
        <v>0</v>
      </c>
      <c r="H464" s="74"/>
      <c r="I464" s="74">
        <f t="shared" si="65"/>
        <v>0</v>
      </c>
      <c r="J464" s="74"/>
      <c r="K464" s="74">
        <f t="shared" si="66"/>
        <v>0</v>
      </c>
      <c r="L464" s="74"/>
      <c r="M464" s="74">
        <f t="shared" si="67"/>
        <v>0</v>
      </c>
      <c r="N464" s="74">
        <f t="shared" si="68"/>
        <v>0</v>
      </c>
      <c r="O464" s="74">
        <f t="shared" si="69"/>
        <v>0</v>
      </c>
      <c r="P464" s="74">
        <f t="shared" si="70"/>
        <v>0</v>
      </c>
      <c r="Q464" s="74">
        <f t="shared" si="71"/>
        <v>0</v>
      </c>
    </row>
    <row r="465" spans="1:17" ht="51" hidden="1" customHeight="1">
      <c r="A465" s="56"/>
      <c r="B465" s="72">
        <f t="shared" si="63"/>
        <v>0</v>
      </c>
      <c r="C465" s="76" t="s">
        <v>5559</v>
      </c>
      <c r="D465" s="74">
        <f>'pile data '!F81</f>
        <v>3602</v>
      </c>
      <c r="E465" s="74" t="s">
        <v>13</v>
      </c>
      <c r="F465" s="75"/>
      <c r="G465" s="74">
        <f t="shared" si="64"/>
        <v>0</v>
      </c>
      <c r="H465" s="74"/>
      <c r="I465" s="74">
        <f t="shared" si="65"/>
        <v>0</v>
      </c>
      <c r="J465" s="74"/>
      <c r="K465" s="74">
        <f t="shared" si="66"/>
        <v>0</v>
      </c>
      <c r="L465" s="74"/>
      <c r="M465" s="74">
        <f t="shared" si="67"/>
        <v>0</v>
      </c>
      <c r="N465" s="74">
        <f t="shared" si="68"/>
        <v>0</v>
      </c>
      <c r="O465" s="74">
        <f t="shared" si="69"/>
        <v>0</v>
      </c>
      <c r="P465" s="74">
        <f t="shared" si="70"/>
        <v>0</v>
      </c>
      <c r="Q465" s="74">
        <f t="shared" si="71"/>
        <v>0</v>
      </c>
    </row>
    <row r="466" spans="1:17" ht="42.75" hidden="1" customHeight="1">
      <c r="A466" s="71"/>
      <c r="B466" s="72">
        <f t="shared" si="63"/>
        <v>0</v>
      </c>
      <c r="C466" s="76" t="s">
        <v>5560</v>
      </c>
      <c r="D466" s="74">
        <f>'pile data '!F141</f>
        <v>2501.3200000000002</v>
      </c>
      <c r="E466" s="74" t="s">
        <v>13</v>
      </c>
      <c r="F466" s="75"/>
      <c r="G466" s="74">
        <f t="shared" si="64"/>
        <v>0</v>
      </c>
      <c r="H466" s="74"/>
      <c r="I466" s="74">
        <f t="shared" si="65"/>
        <v>0</v>
      </c>
      <c r="J466" s="74"/>
      <c r="K466" s="74">
        <f t="shared" si="66"/>
        <v>0</v>
      </c>
      <c r="L466" s="74"/>
      <c r="M466" s="74">
        <f t="shared" si="67"/>
        <v>0</v>
      </c>
      <c r="N466" s="74">
        <f t="shared" si="68"/>
        <v>0</v>
      </c>
      <c r="O466" s="74">
        <f t="shared" si="69"/>
        <v>0</v>
      </c>
      <c r="P466" s="74">
        <f t="shared" si="70"/>
        <v>0</v>
      </c>
      <c r="Q466" s="74">
        <f t="shared" si="71"/>
        <v>0</v>
      </c>
    </row>
    <row r="467" spans="1:17" ht="80.25" hidden="1" customHeight="1">
      <c r="A467" s="71"/>
      <c r="B467" s="72">
        <f t="shared" si="63"/>
        <v>0</v>
      </c>
      <c r="C467" s="85" t="s">
        <v>5561</v>
      </c>
      <c r="D467" s="75"/>
      <c r="E467" s="74"/>
      <c r="F467" s="75"/>
      <c r="G467" s="74">
        <f t="shared" si="64"/>
        <v>0</v>
      </c>
      <c r="H467" s="74"/>
      <c r="I467" s="74">
        <f t="shared" si="65"/>
        <v>0</v>
      </c>
      <c r="J467" s="74"/>
      <c r="K467" s="74">
        <f t="shared" si="66"/>
        <v>0</v>
      </c>
      <c r="L467" s="74"/>
      <c r="M467" s="74">
        <f t="shared" si="67"/>
        <v>0</v>
      </c>
      <c r="N467" s="74">
        <f t="shared" si="68"/>
        <v>0</v>
      </c>
      <c r="O467" s="74">
        <f t="shared" si="69"/>
        <v>0</v>
      </c>
      <c r="P467" s="74">
        <f t="shared" si="70"/>
        <v>0</v>
      </c>
      <c r="Q467" s="74">
        <f t="shared" si="71"/>
        <v>0</v>
      </c>
    </row>
    <row r="468" spans="1:17" ht="80.25" hidden="1" customHeight="1">
      <c r="A468" s="71"/>
      <c r="B468" s="72">
        <f t="shared" si="63"/>
        <v>0</v>
      </c>
      <c r="C468" s="76" t="s">
        <v>5558</v>
      </c>
      <c r="D468" s="86">
        <f>'pile data '!F28</f>
        <v>3125.97</v>
      </c>
      <c r="E468" s="87" t="s">
        <v>13</v>
      </c>
      <c r="F468" s="75"/>
      <c r="G468" s="74">
        <f t="shared" si="64"/>
        <v>0</v>
      </c>
      <c r="H468" s="74"/>
      <c r="I468" s="74">
        <f t="shared" si="65"/>
        <v>0</v>
      </c>
      <c r="J468" s="74"/>
      <c r="K468" s="74">
        <f t="shared" si="66"/>
        <v>0</v>
      </c>
      <c r="L468" s="74"/>
      <c r="M468" s="74">
        <f t="shared" si="67"/>
        <v>0</v>
      </c>
      <c r="N468" s="74">
        <f t="shared" si="68"/>
        <v>0</v>
      </c>
      <c r="O468" s="74">
        <f t="shared" si="69"/>
        <v>0</v>
      </c>
      <c r="P468" s="74">
        <f t="shared" si="70"/>
        <v>0</v>
      </c>
      <c r="Q468" s="74">
        <f t="shared" si="71"/>
        <v>0</v>
      </c>
    </row>
    <row r="469" spans="1:17" ht="80.25" hidden="1" customHeight="1">
      <c r="A469" s="71"/>
      <c r="B469" s="72">
        <f t="shared" si="63"/>
        <v>0</v>
      </c>
      <c r="C469" s="76" t="s">
        <v>5559</v>
      </c>
      <c r="D469" s="75">
        <f>'pile data '!F92</f>
        <v>1989.25</v>
      </c>
      <c r="E469" s="74"/>
      <c r="F469" s="75"/>
      <c r="G469" s="74">
        <f t="shared" si="64"/>
        <v>0</v>
      </c>
      <c r="H469" s="74"/>
      <c r="I469" s="74">
        <f t="shared" si="65"/>
        <v>0</v>
      </c>
      <c r="J469" s="74"/>
      <c r="K469" s="74">
        <f t="shared" si="66"/>
        <v>0</v>
      </c>
      <c r="L469" s="74"/>
      <c r="M469" s="74">
        <f t="shared" si="67"/>
        <v>0</v>
      </c>
      <c r="N469" s="74">
        <f t="shared" si="68"/>
        <v>0</v>
      </c>
      <c r="O469" s="74">
        <f t="shared" si="69"/>
        <v>0</v>
      </c>
      <c r="P469" s="74">
        <f t="shared" si="70"/>
        <v>0</v>
      </c>
      <c r="Q469" s="74">
        <f t="shared" si="71"/>
        <v>0</v>
      </c>
    </row>
    <row r="470" spans="1:17" ht="42" hidden="1" customHeight="1">
      <c r="A470" s="71"/>
      <c r="B470" s="72">
        <f t="shared" si="63"/>
        <v>0</v>
      </c>
      <c r="C470" s="76" t="s">
        <v>5560</v>
      </c>
      <c r="D470" s="86">
        <f>'pile data '!F152</f>
        <v>895.16</v>
      </c>
      <c r="E470" s="87" t="s">
        <v>13</v>
      </c>
      <c r="F470" s="75"/>
      <c r="G470" s="74">
        <f t="shared" si="64"/>
        <v>0</v>
      </c>
      <c r="H470" s="74"/>
      <c r="I470" s="74">
        <f t="shared" si="65"/>
        <v>0</v>
      </c>
      <c r="J470" s="74"/>
      <c r="K470" s="74">
        <f t="shared" si="66"/>
        <v>0</v>
      </c>
      <c r="L470" s="74"/>
      <c r="M470" s="74">
        <f t="shared" si="67"/>
        <v>0</v>
      </c>
      <c r="N470" s="74">
        <f t="shared" si="68"/>
        <v>0</v>
      </c>
      <c r="O470" s="74">
        <f t="shared" si="69"/>
        <v>0</v>
      </c>
      <c r="P470" s="74">
        <f t="shared" si="70"/>
        <v>0</v>
      </c>
      <c r="Q470" s="74">
        <f t="shared" si="71"/>
        <v>0</v>
      </c>
    </row>
    <row r="471" spans="1:17" ht="53.25" hidden="1" customHeight="1">
      <c r="A471" s="71"/>
      <c r="B471" s="72">
        <f t="shared" si="63"/>
        <v>0</v>
      </c>
      <c r="C471" s="85" t="s">
        <v>3365</v>
      </c>
      <c r="D471" s="86">
        <v>70000</v>
      </c>
      <c r="E471" s="88" t="s">
        <v>41</v>
      </c>
      <c r="F471" s="75"/>
      <c r="G471" s="74">
        <f t="shared" si="64"/>
        <v>0</v>
      </c>
      <c r="H471" s="74"/>
      <c r="I471" s="74">
        <f t="shared" si="65"/>
        <v>0</v>
      </c>
      <c r="J471" s="74"/>
      <c r="K471" s="74">
        <f t="shared" si="66"/>
        <v>0</v>
      </c>
      <c r="L471" s="74"/>
      <c r="M471" s="74">
        <f t="shared" si="67"/>
        <v>0</v>
      </c>
      <c r="N471" s="74">
        <f t="shared" si="68"/>
        <v>0</v>
      </c>
      <c r="O471" s="74">
        <f t="shared" si="69"/>
        <v>0</v>
      </c>
      <c r="P471" s="74">
        <f t="shared" si="70"/>
        <v>0</v>
      </c>
      <c r="Q471" s="74">
        <f t="shared" si="71"/>
        <v>0</v>
      </c>
    </row>
    <row r="472" spans="1:17" ht="54.75" hidden="1" customHeight="1">
      <c r="A472" s="71"/>
      <c r="B472" s="72">
        <f t="shared" si="63"/>
        <v>0</v>
      </c>
      <c r="C472" s="85" t="s">
        <v>3366</v>
      </c>
      <c r="D472" s="86">
        <v>50000</v>
      </c>
      <c r="E472" s="88" t="s">
        <v>1715</v>
      </c>
      <c r="F472" s="75"/>
      <c r="G472" s="74">
        <f t="shared" si="64"/>
        <v>0</v>
      </c>
      <c r="H472" s="74"/>
      <c r="I472" s="74">
        <f t="shared" si="65"/>
        <v>0</v>
      </c>
      <c r="J472" s="74"/>
      <c r="K472" s="74">
        <f t="shared" si="66"/>
        <v>0</v>
      </c>
      <c r="L472" s="74"/>
      <c r="M472" s="74">
        <f t="shared" si="67"/>
        <v>0</v>
      </c>
      <c r="N472" s="74">
        <f t="shared" si="68"/>
        <v>0</v>
      </c>
      <c r="O472" s="74">
        <f t="shared" si="69"/>
        <v>0</v>
      </c>
      <c r="P472" s="74">
        <f t="shared" si="70"/>
        <v>0</v>
      </c>
      <c r="Q472" s="74">
        <f t="shared" si="71"/>
        <v>0</v>
      </c>
    </row>
    <row r="473" spans="1:17" ht="45" customHeight="1">
      <c r="A473" s="71"/>
      <c r="B473" s="72">
        <f t="shared" si="63"/>
        <v>71.3</v>
      </c>
      <c r="C473" s="72" t="s">
        <v>5562</v>
      </c>
      <c r="D473" s="1637">
        <v>3656.09</v>
      </c>
      <c r="E473" s="74" t="s">
        <v>5</v>
      </c>
      <c r="F473" s="75">
        <f>'Detail '!I49</f>
        <v>71.3</v>
      </c>
      <c r="G473" s="74">
        <f t="shared" si="64"/>
        <v>260679.22</v>
      </c>
      <c r="H473" s="74"/>
      <c r="I473" s="74">
        <f t="shared" si="65"/>
        <v>0</v>
      </c>
      <c r="J473" s="74"/>
      <c r="K473" s="74">
        <f t="shared" si="66"/>
        <v>0</v>
      </c>
      <c r="L473" s="74"/>
      <c r="M473" s="74">
        <f t="shared" si="67"/>
        <v>0</v>
      </c>
      <c r="N473" s="74">
        <f t="shared" si="68"/>
        <v>0</v>
      </c>
      <c r="O473" s="74">
        <f t="shared" si="69"/>
        <v>0</v>
      </c>
      <c r="P473" s="74">
        <f t="shared" si="70"/>
        <v>71.3</v>
      </c>
      <c r="Q473" s="74">
        <f t="shared" si="71"/>
        <v>260679.22</v>
      </c>
    </row>
    <row r="474" spans="1:17" ht="45" customHeight="1">
      <c r="A474" s="71"/>
      <c r="B474" s="72">
        <f t="shared" si="63"/>
        <v>225.4</v>
      </c>
      <c r="C474" s="82" t="s">
        <v>5563</v>
      </c>
      <c r="D474" s="75">
        <f>Data!R154</f>
        <v>345.05</v>
      </c>
      <c r="E474" s="74" t="s">
        <v>5296</v>
      </c>
      <c r="F474" s="75">
        <f>'Detail '!I68</f>
        <v>223.6</v>
      </c>
      <c r="G474" s="74">
        <f t="shared" si="64"/>
        <v>77153.179999999993</v>
      </c>
      <c r="H474" s="74"/>
      <c r="I474" s="74">
        <f t="shared" si="65"/>
        <v>0</v>
      </c>
      <c r="J474" s="74">
        <f>Sump!I10</f>
        <v>1.8</v>
      </c>
      <c r="K474" s="74">
        <f t="shared" si="66"/>
        <v>621.09</v>
      </c>
      <c r="L474" s="74"/>
      <c r="M474" s="74">
        <f t="shared" si="67"/>
        <v>0</v>
      </c>
      <c r="N474" s="74">
        <f t="shared" si="68"/>
        <v>1.8</v>
      </c>
      <c r="O474" s="74">
        <f t="shared" si="69"/>
        <v>621.09</v>
      </c>
      <c r="P474" s="74">
        <f t="shared" si="70"/>
        <v>225.4</v>
      </c>
      <c r="Q474" s="74">
        <f t="shared" si="71"/>
        <v>77774.27</v>
      </c>
    </row>
    <row r="475" spans="1:17" ht="45" customHeight="1">
      <c r="A475" s="82"/>
      <c r="B475" s="72">
        <f t="shared" si="63"/>
        <v>220.2</v>
      </c>
      <c r="C475" s="72" t="s">
        <v>5564</v>
      </c>
      <c r="D475" s="75">
        <f>Data!K1442</f>
        <v>283.74</v>
      </c>
      <c r="E475" s="74" t="s">
        <v>724</v>
      </c>
      <c r="F475" s="1425">
        <f>'Detail '!I934</f>
        <v>152.5</v>
      </c>
      <c r="G475" s="74">
        <f t="shared" si="64"/>
        <v>43270.35</v>
      </c>
      <c r="H475" s="74"/>
      <c r="I475" s="74">
        <f t="shared" si="65"/>
        <v>0</v>
      </c>
      <c r="J475" s="74">
        <f>Sump!I37</f>
        <v>67.7</v>
      </c>
      <c r="K475" s="74">
        <f t="shared" si="66"/>
        <v>19209.2</v>
      </c>
      <c r="L475" s="74"/>
      <c r="M475" s="74">
        <f t="shared" si="67"/>
        <v>0</v>
      </c>
      <c r="N475" s="74">
        <f t="shared" si="68"/>
        <v>67.7</v>
      </c>
      <c r="O475" s="74">
        <f t="shared" si="69"/>
        <v>19209.2</v>
      </c>
      <c r="P475" s="74">
        <f t="shared" si="70"/>
        <v>220.2</v>
      </c>
      <c r="Q475" s="74">
        <f t="shared" si="71"/>
        <v>62479.55</v>
      </c>
    </row>
    <row r="476" spans="1:17" s="59" customFormat="1" ht="54.75" customHeight="1">
      <c r="A476" s="1435"/>
      <c r="B476" s="72">
        <f t="shared" si="63"/>
        <v>0</v>
      </c>
      <c r="C476" s="72" t="s">
        <v>5565</v>
      </c>
      <c r="D476" s="74">
        <f>Data!R144</f>
        <v>397.43</v>
      </c>
      <c r="E476" s="74" t="s">
        <v>5</v>
      </c>
      <c r="F476" s="75"/>
      <c r="G476" s="74">
        <f t="shared" si="64"/>
        <v>0</v>
      </c>
      <c r="H476" s="74"/>
      <c r="I476" s="74">
        <f t="shared" si="65"/>
        <v>0</v>
      </c>
      <c r="J476" s="74"/>
      <c r="K476" s="74">
        <f t="shared" si="66"/>
        <v>0</v>
      </c>
      <c r="L476" s="74"/>
      <c r="M476" s="74">
        <f t="shared" si="67"/>
        <v>0</v>
      </c>
      <c r="N476" s="74">
        <f t="shared" si="68"/>
        <v>0</v>
      </c>
      <c r="O476" s="74">
        <f t="shared" si="69"/>
        <v>0</v>
      </c>
      <c r="P476" s="74">
        <f t="shared" si="70"/>
        <v>0</v>
      </c>
      <c r="Q476" s="74">
        <f t="shared" si="71"/>
        <v>0</v>
      </c>
    </row>
    <row r="477" spans="1:17" s="59" customFormat="1" ht="54.75" hidden="1" customHeight="1">
      <c r="A477" s="1435"/>
      <c r="B477" s="72">
        <f t="shared" si="63"/>
        <v>0</v>
      </c>
      <c r="C477" s="72"/>
      <c r="D477" s="74"/>
      <c r="E477" s="74"/>
      <c r="F477" s="75"/>
      <c r="G477" s="74">
        <f t="shared" si="64"/>
        <v>0</v>
      </c>
      <c r="H477" s="74"/>
      <c r="I477" s="74">
        <f t="shared" si="65"/>
        <v>0</v>
      </c>
      <c r="J477" s="74"/>
      <c r="K477" s="74">
        <f t="shared" si="66"/>
        <v>0</v>
      </c>
      <c r="L477" s="74"/>
      <c r="M477" s="74">
        <f t="shared" si="67"/>
        <v>0</v>
      </c>
      <c r="N477" s="74">
        <f t="shared" si="68"/>
        <v>0</v>
      </c>
      <c r="O477" s="74">
        <f t="shared" si="69"/>
        <v>0</v>
      </c>
      <c r="P477" s="74">
        <f t="shared" si="70"/>
        <v>0</v>
      </c>
      <c r="Q477" s="74">
        <f t="shared" si="71"/>
        <v>0</v>
      </c>
    </row>
    <row r="478" spans="1:17" s="55" customFormat="1" ht="74.25" hidden="1" customHeight="1">
      <c r="A478" s="71">
        <v>4.0999999999999996</v>
      </c>
      <c r="B478" s="72">
        <f t="shared" si="63"/>
        <v>0</v>
      </c>
      <c r="C478" s="76" t="s">
        <v>33</v>
      </c>
      <c r="D478" s="75"/>
      <c r="E478" s="74"/>
      <c r="F478" s="75"/>
      <c r="G478" s="74">
        <f t="shared" si="64"/>
        <v>0</v>
      </c>
      <c r="H478" s="74"/>
      <c r="I478" s="74">
        <f t="shared" si="65"/>
        <v>0</v>
      </c>
      <c r="J478" s="74"/>
      <c r="K478" s="74">
        <f t="shared" si="66"/>
        <v>0</v>
      </c>
      <c r="L478" s="74"/>
      <c r="M478" s="74">
        <f t="shared" si="67"/>
        <v>0</v>
      </c>
      <c r="N478" s="74">
        <f t="shared" si="68"/>
        <v>0</v>
      </c>
      <c r="O478" s="74">
        <f t="shared" si="69"/>
        <v>0</v>
      </c>
      <c r="P478" s="74">
        <f t="shared" si="70"/>
        <v>0</v>
      </c>
      <c r="Q478" s="74">
        <f t="shared" si="71"/>
        <v>0</v>
      </c>
    </row>
    <row r="479" spans="1:17" s="55" customFormat="1" ht="50.25" hidden="1" customHeight="1">
      <c r="A479" s="71"/>
      <c r="B479" s="72">
        <f t="shared" si="63"/>
        <v>0</v>
      </c>
      <c r="C479" s="72" t="s">
        <v>5367</v>
      </c>
      <c r="D479" s="75">
        <f>Data!X718</f>
        <v>8064.28</v>
      </c>
      <c r="E479" s="74" t="s">
        <v>5</v>
      </c>
      <c r="F479" s="75"/>
      <c r="G479" s="74">
        <f t="shared" si="64"/>
        <v>0</v>
      </c>
      <c r="H479" s="74"/>
      <c r="I479" s="74">
        <f t="shared" si="65"/>
        <v>0</v>
      </c>
      <c r="J479" s="74"/>
      <c r="K479" s="74">
        <f t="shared" si="66"/>
        <v>0</v>
      </c>
      <c r="L479" s="74"/>
      <c r="M479" s="74">
        <f t="shared" si="67"/>
        <v>0</v>
      </c>
      <c r="N479" s="74">
        <f t="shared" si="68"/>
        <v>0</v>
      </c>
      <c r="O479" s="74">
        <f t="shared" si="69"/>
        <v>0</v>
      </c>
      <c r="P479" s="74">
        <f t="shared" si="70"/>
        <v>0</v>
      </c>
      <c r="Q479" s="74">
        <f t="shared" si="71"/>
        <v>0</v>
      </c>
    </row>
    <row r="480" spans="1:17" s="55" customFormat="1" ht="50.25" hidden="1" customHeight="1">
      <c r="A480" s="71">
        <v>8.1</v>
      </c>
      <c r="B480" s="72">
        <f t="shared" si="63"/>
        <v>0</v>
      </c>
      <c r="C480" s="72" t="s">
        <v>5566</v>
      </c>
      <c r="D480" s="75">
        <f>Data!X720</f>
        <v>8189.24</v>
      </c>
      <c r="E480" s="74" t="s">
        <v>5</v>
      </c>
      <c r="F480" s="75"/>
      <c r="G480" s="74">
        <f t="shared" si="64"/>
        <v>0</v>
      </c>
      <c r="H480" s="74"/>
      <c r="I480" s="74">
        <f t="shared" si="65"/>
        <v>0</v>
      </c>
      <c r="J480" s="74"/>
      <c r="K480" s="74">
        <f t="shared" si="66"/>
        <v>0</v>
      </c>
      <c r="L480" s="74"/>
      <c r="M480" s="74">
        <f t="shared" si="67"/>
        <v>0</v>
      </c>
      <c r="N480" s="74">
        <f t="shared" si="68"/>
        <v>0</v>
      </c>
      <c r="O480" s="74">
        <f t="shared" si="69"/>
        <v>0</v>
      </c>
      <c r="P480" s="74">
        <f t="shared" si="70"/>
        <v>0</v>
      </c>
      <c r="Q480" s="74">
        <f t="shared" si="71"/>
        <v>0</v>
      </c>
    </row>
    <row r="481" spans="1:17" s="55" customFormat="1" ht="50.25" hidden="1" customHeight="1">
      <c r="A481" s="71"/>
      <c r="B481" s="72">
        <f t="shared" si="63"/>
        <v>0</v>
      </c>
      <c r="C481" s="72" t="s">
        <v>5369</v>
      </c>
      <c r="D481" s="75">
        <f>Data!X721</f>
        <v>8435.42</v>
      </c>
      <c r="E481" s="74" t="s">
        <v>5</v>
      </c>
      <c r="F481" s="75"/>
      <c r="G481" s="74">
        <f t="shared" si="64"/>
        <v>0</v>
      </c>
      <c r="H481" s="74"/>
      <c r="I481" s="74">
        <f t="shared" si="65"/>
        <v>0</v>
      </c>
      <c r="J481" s="74"/>
      <c r="K481" s="74">
        <f t="shared" si="66"/>
        <v>0</v>
      </c>
      <c r="L481" s="74"/>
      <c r="M481" s="74">
        <f t="shared" si="67"/>
        <v>0</v>
      </c>
      <c r="N481" s="74">
        <f t="shared" si="68"/>
        <v>0</v>
      </c>
      <c r="O481" s="74">
        <f t="shared" si="69"/>
        <v>0</v>
      </c>
      <c r="P481" s="74">
        <f t="shared" si="70"/>
        <v>0</v>
      </c>
      <c r="Q481" s="74">
        <f t="shared" si="71"/>
        <v>0</v>
      </c>
    </row>
    <row r="482" spans="1:17" s="55" customFormat="1" ht="50.25" hidden="1" customHeight="1">
      <c r="A482" s="71"/>
      <c r="B482" s="72">
        <f t="shared" si="63"/>
        <v>0</v>
      </c>
      <c r="C482" s="72" t="s">
        <v>5370</v>
      </c>
      <c r="D482" s="75">
        <f>Data!X722</f>
        <v>8681.6</v>
      </c>
      <c r="E482" s="74" t="s">
        <v>5</v>
      </c>
      <c r="F482" s="75"/>
      <c r="G482" s="74">
        <f t="shared" si="64"/>
        <v>0</v>
      </c>
      <c r="H482" s="74"/>
      <c r="I482" s="74">
        <f t="shared" si="65"/>
        <v>0</v>
      </c>
      <c r="J482" s="74"/>
      <c r="K482" s="74">
        <f t="shared" si="66"/>
        <v>0</v>
      </c>
      <c r="L482" s="74"/>
      <c r="M482" s="74">
        <f t="shared" si="67"/>
        <v>0</v>
      </c>
      <c r="N482" s="74">
        <f t="shared" si="68"/>
        <v>0</v>
      </c>
      <c r="O482" s="74">
        <f t="shared" si="69"/>
        <v>0</v>
      </c>
      <c r="P482" s="74">
        <f t="shared" si="70"/>
        <v>0</v>
      </c>
      <c r="Q482" s="74">
        <f t="shared" si="71"/>
        <v>0</v>
      </c>
    </row>
    <row r="483" spans="1:17" s="55" customFormat="1" ht="50.25" hidden="1" customHeight="1">
      <c r="A483" s="71"/>
      <c r="B483" s="72">
        <f t="shared" si="63"/>
        <v>0</v>
      </c>
      <c r="C483" s="72" t="s">
        <v>5395</v>
      </c>
      <c r="D483" s="75">
        <f>Data!X723</f>
        <v>8927.7800000000007</v>
      </c>
      <c r="E483" s="74" t="s">
        <v>5</v>
      </c>
      <c r="F483" s="75"/>
      <c r="G483" s="74">
        <f t="shared" si="64"/>
        <v>0</v>
      </c>
      <c r="H483" s="74"/>
      <c r="I483" s="74">
        <f t="shared" si="65"/>
        <v>0</v>
      </c>
      <c r="J483" s="74"/>
      <c r="K483" s="74">
        <f t="shared" si="66"/>
        <v>0</v>
      </c>
      <c r="L483" s="74"/>
      <c r="M483" s="74">
        <f t="shared" si="67"/>
        <v>0</v>
      </c>
      <c r="N483" s="74">
        <f t="shared" si="68"/>
        <v>0</v>
      </c>
      <c r="O483" s="74">
        <f t="shared" si="69"/>
        <v>0</v>
      </c>
      <c r="P483" s="74">
        <f t="shared" si="70"/>
        <v>0</v>
      </c>
      <c r="Q483" s="74">
        <f t="shared" si="71"/>
        <v>0</v>
      </c>
    </row>
    <row r="484" spans="1:17" s="55" customFormat="1" ht="51.95" hidden="1" customHeight="1">
      <c r="A484" s="71">
        <v>4.0999999999999996</v>
      </c>
      <c r="B484" s="72">
        <f t="shared" si="63"/>
        <v>0</v>
      </c>
      <c r="C484" s="76" t="s">
        <v>4199</v>
      </c>
      <c r="D484" s="75"/>
      <c r="E484" s="74"/>
      <c r="F484" s="75"/>
      <c r="G484" s="74">
        <f t="shared" si="64"/>
        <v>0</v>
      </c>
      <c r="H484" s="74"/>
      <c r="I484" s="74">
        <f t="shared" si="65"/>
        <v>0</v>
      </c>
      <c r="J484" s="74"/>
      <c r="K484" s="74">
        <f t="shared" si="66"/>
        <v>0</v>
      </c>
      <c r="L484" s="74"/>
      <c r="M484" s="74">
        <f t="shared" si="67"/>
        <v>0</v>
      </c>
      <c r="N484" s="74">
        <f t="shared" si="68"/>
        <v>0</v>
      </c>
      <c r="O484" s="74">
        <f t="shared" si="69"/>
        <v>0</v>
      </c>
      <c r="P484" s="74">
        <f t="shared" si="70"/>
        <v>0</v>
      </c>
      <c r="Q484" s="74">
        <f t="shared" si="71"/>
        <v>0</v>
      </c>
    </row>
    <row r="485" spans="1:17" s="55" customFormat="1" ht="49.5" hidden="1" customHeight="1">
      <c r="A485" s="71"/>
      <c r="B485" s="72">
        <f t="shared" si="63"/>
        <v>0</v>
      </c>
      <c r="C485" s="72" t="s">
        <v>5367</v>
      </c>
      <c r="D485" s="75">
        <f>Data!X742</f>
        <v>8252.94</v>
      </c>
      <c r="E485" s="74" t="s">
        <v>5</v>
      </c>
      <c r="F485" s="75"/>
      <c r="G485" s="74">
        <f t="shared" si="64"/>
        <v>0</v>
      </c>
      <c r="H485" s="74"/>
      <c r="I485" s="74">
        <f t="shared" si="65"/>
        <v>0</v>
      </c>
      <c r="J485" s="74"/>
      <c r="K485" s="74">
        <f t="shared" si="66"/>
        <v>0</v>
      </c>
      <c r="L485" s="74"/>
      <c r="M485" s="74">
        <f t="shared" si="67"/>
        <v>0</v>
      </c>
      <c r="N485" s="74">
        <f t="shared" si="68"/>
        <v>0</v>
      </c>
      <c r="O485" s="74">
        <f t="shared" si="69"/>
        <v>0</v>
      </c>
      <c r="P485" s="74">
        <f t="shared" si="70"/>
        <v>0</v>
      </c>
      <c r="Q485" s="74">
        <f t="shared" si="71"/>
        <v>0</v>
      </c>
    </row>
    <row r="486" spans="1:17" s="55" customFormat="1" ht="50.25" hidden="1" customHeight="1">
      <c r="A486" s="71">
        <v>8.1</v>
      </c>
      <c r="B486" s="72">
        <f t="shared" si="63"/>
        <v>0</v>
      </c>
      <c r="C486" s="72" t="s">
        <v>5566</v>
      </c>
      <c r="D486" s="75">
        <f>Data!X744</f>
        <v>8377.9</v>
      </c>
      <c r="E486" s="74" t="s">
        <v>5</v>
      </c>
      <c r="F486" s="75"/>
      <c r="G486" s="74">
        <f t="shared" si="64"/>
        <v>0</v>
      </c>
      <c r="H486" s="74"/>
      <c r="I486" s="74">
        <f t="shared" si="65"/>
        <v>0</v>
      </c>
      <c r="J486" s="74"/>
      <c r="K486" s="74">
        <f t="shared" si="66"/>
        <v>0</v>
      </c>
      <c r="L486" s="74"/>
      <c r="M486" s="74">
        <f t="shared" si="67"/>
        <v>0</v>
      </c>
      <c r="N486" s="74">
        <f t="shared" si="68"/>
        <v>0</v>
      </c>
      <c r="O486" s="74">
        <f t="shared" si="69"/>
        <v>0</v>
      </c>
      <c r="P486" s="74">
        <f t="shared" si="70"/>
        <v>0</v>
      </c>
      <c r="Q486" s="74">
        <f t="shared" si="71"/>
        <v>0</v>
      </c>
    </row>
    <row r="487" spans="1:17" s="55" customFormat="1" ht="50.25" hidden="1" customHeight="1">
      <c r="A487" s="71"/>
      <c r="B487" s="72">
        <f t="shared" si="63"/>
        <v>0</v>
      </c>
      <c r="C487" s="72" t="s">
        <v>5369</v>
      </c>
      <c r="D487" s="75">
        <f>Data!X745</f>
        <v>8624.08</v>
      </c>
      <c r="E487" s="74" t="s">
        <v>5</v>
      </c>
      <c r="F487" s="75"/>
      <c r="G487" s="74">
        <f t="shared" si="64"/>
        <v>0</v>
      </c>
      <c r="H487" s="74"/>
      <c r="I487" s="74">
        <f t="shared" si="65"/>
        <v>0</v>
      </c>
      <c r="J487" s="74"/>
      <c r="K487" s="74">
        <f t="shared" si="66"/>
        <v>0</v>
      </c>
      <c r="L487" s="74"/>
      <c r="M487" s="74">
        <f t="shared" si="67"/>
        <v>0</v>
      </c>
      <c r="N487" s="74">
        <f t="shared" si="68"/>
        <v>0</v>
      </c>
      <c r="O487" s="74">
        <f t="shared" si="69"/>
        <v>0</v>
      </c>
      <c r="P487" s="74">
        <f t="shared" si="70"/>
        <v>0</v>
      </c>
      <c r="Q487" s="74">
        <f t="shared" si="71"/>
        <v>0</v>
      </c>
    </row>
    <row r="488" spans="1:17" s="55" customFormat="1" ht="50.25" hidden="1" customHeight="1">
      <c r="A488" s="71"/>
      <c r="B488" s="72">
        <f t="shared" si="63"/>
        <v>0</v>
      </c>
      <c r="C488" s="72" t="s">
        <v>5370</v>
      </c>
      <c r="D488" s="75">
        <f>Data!X746</f>
        <v>8870.26</v>
      </c>
      <c r="E488" s="74" t="s">
        <v>5</v>
      </c>
      <c r="F488" s="75"/>
      <c r="G488" s="74">
        <f t="shared" si="64"/>
        <v>0</v>
      </c>
      <c r="H488" s="74"/>
      <c r="I488" s="74">
        <f t="shared" si="65"/>
        <v>0</v>
      </c>
      <c r="J488" s="74"/>
      <c r="K488" s="74">
        <f t="shared" si="66"/>
        <v>0</v>
      </c>
      <c r="L488" s="74"/>
      <c r="M488" s="74">
        <f t="shared" si="67"/>
        <v>0</v>
      </c>
      <c r="N488" s="74">
        <f t="shared" si="68"/>
        <v>0</v>
      </c>
      <c r="O488" s="74">
        <f t="shared" si="69"/>
        <v>0</v>
      </c>
      <c r="P488" s="74">
        <f t="shared" si="70"/>
        <v>0</v>
      </c>
      <c r="Q488" s="74">
        <f t="shared" si="71"/>
        <v>0</v>
      </c>
    </row>
    <row r="489" spans="1:17" s="55" customFormat="1" ht="50.25" hidden="1" customHeight="1">
      <c r="A489" s="71"/>
      <c r="B489" s="72">
        <f t="shared" si="63"/>
        <v>0</v>
      </c>
      <c r="C489" s="72" t="s">
        <v>5395</v>
      </c>
      <c r="D489" s="75">
        <f>Data!X747</f>
        <v>9116.44</v>
      </c>
      <c r="E489" s="74" t="s">
        <v>5</v>
      </c>
      <c r="F489" s="75"/>
      <c r="G489" s="74">
        <f t="shared" si="64"/>
        <v>0</v>
      </c>
      <c r="H489" s="74"/>
      <c r="I489" s="74">
        <f t="shared" si="65"/>
        <v>0</v>
      </c>
      <c r="J489" s="74"/>
      <c r="K489" s="74">
        <f t="shared" si="66"/>
        <v>0</v>
      </c>
      <c r="L489" s="74"/>
      <c r="M489" s="74">
        <f t="shared" si="67"/>
        <v>0</v>
      </c>
      <c r="N489" s="74">
        <f t="shared" si="68"/>
        <v>0</v>
      </c>
      <c r="O489" s="74">
        <f t="shared" si="69"/>
        <v>0</v>
      </c>
      <c r="P489" s="74">
        <f t="shared" si="70"/>
        <v>0</v>
      </c>
      <c r="Q489" s="74">
        <f t="shared" si="71"/>
        <v>0</v>
      </c>
    </row>
    <row r="490" spans="1:17" s="55" customFormat="1" ht="48.75" hidden="1" customHeight="1">
      <c r="A490" s="71"/>
      <c r="B490" s="72">
        <f t="shared" si="63"/>
        <v>0</v>
      </c>
      <c r="C490" s="72" t="s">
        <v>5567</v>
      </c>
      <c r="D490" s="75">
        <f>Data!X748</f>
        <v>9362.6200000000008</v>
      </c>
      <c r="E490" s="74" t="s">
        <v>5</v>
      </c>
      <c r="F490" s="75"/>
      <c r="G490" s="74">
        <f t="shared" si="64"/>
        <v>0</v>
      </c>
      <c r="H490" s="74"/>
      <c r="I490" s="74">
        <f t="shared" si="65"/>
        <v>0</v>
      </c>
      <c r="J490" s="74"/>
      <c r="K490" s="74">
        <f t="shared" si="66"/>
        <v>0</v>
      </c>
      <c r="L490" s="74"/>
      <c r="M490" s="74">
        <f t="shared" si="67"/>
        <v>0</v>
      </c>
      <c r="N490" s="74">
        <f t="shared" si="68"/>
        <v>0</v>
      </c>
      <c r="O490" s="74">
        <f t="shared" si="69"/>
        <v>0</v>
      </c>
      <c r="P490" s="74">
        <f t="shared" si="70"/>
        <v>0</v>
      </c>
      <c r="Q490" s="74">
        <f t="shared" si="71"/>
        <v>0</v>
      </c>
    </row>
    <row r="491" spans="1:17" s="55" customFormat="1" ht="48.75" hidden="1" customHeight="1">
      <c r="A491" s="71"/>
      <c r="B491" s="72">
        <f t="shared" si="63"/>
        <v>0</v>
      </c>
      <c r="C491" s="72" t="s">
        <v>5568</v>
      </c>
      <c r="D491" s="75">
        <f>Data!X749</f>
        <v>9460.9599999999991</v>
      </c>
      <c r="E491" s="74" t="s">
        <v>5</v>
      </c>
      <c r="F491" s="75"/>
      <c r="G491" s="74">
        <f t="shared" si="64"/>
        <v>0</v>
      </c>
      <c r="H491" s="74"/>
      <c r="I491" s="74">
        <f t="shared" si="65"/>
        <v>0</v>
      </c>
      <c r="J491" s="74"/>
      <c r="K491" s="74">
        <f t="shared" si="66"/>
        <v>0</v>
      </c>
      <c r="L491" s="74"/>
      <c r="M491" s="74">
        <f t="shared" si="67"/>
        <v>0</v>
      </c>
      <c r="N491" s="74">
        <f t="shared" si="68"/>
        <v>0</v>
      </c>
      <c r="O491" s="74">
        <f t="shared" si="69"/>
        <v>0</v>
      </c>
      <c r="P491" s="74">
        <f t="shared" si="70"/>
        <v>0</v>
      </c>
      <c r="Q491" s="74">
        <f t="shared" si="71"/>
        <v>0</v>
      </c>
    </row>
    <row r="492" spans="1:17" ht="46.5">
      <c r="A492" s="71" t="s">
        <v>5569</v>
      </c>
      <c r="B492" s="72">
        <f t="shared" si="63"/>
        <v>0</v>
      </c>
      <c r="C492" s="1435" t="s">
        <v>66</v>
      </c>
      <c r="D492" s="75"/>
      <c r="E492" s="74"/>
      <c r="F492" s="75"/>
      <c r="G492" s="74">
        <f t="shared" si="64"/>
        <v>0</v>
      </c>
      <c r="H492" s="74"/>
      <c r="I492" s="74">
        <f t="shared" si="65"/>
        <v>0</v>
      </c>
      <c r="J492" s="74"/>
      <c r="K492" s="74">
        <f t="shared" si="66"/>
        <v>0</v>
      </c>
      <c r="L492" s="74"/>
      <c r="M492" s="74">
        <f t="shared" si="67"/>
        <v>0</v>
      </c>
      <c r="N492" s="74">
        <f t="shared" si="68"/>
        <v>0</v>
      </c>
      <c r="O492" s="74">
        <f t="shared" si="69"/>
        <v>0</v>
      </c>
      <c r="P492" s="74">
        <f t="shared" si="70"/>
        <v>0</v>
      </c>
      <c r="Q492" s="74">
        <f t="shared" si="71"/>
        <v>0</v>
      </c>
    </row>
    <row r="493" spans="1:17" ht="38.25" customHeight="1">
      <c r="A493" s="71"/>
      <c r="B493" s="72">
        <f t="shared" si="63"/>
        <v>267.39999999999998</v>
      </c>
      <c r="C493" s="72" t="s">
        <v>5367</v>
      </c>
      <c r="D493" s="75">
        <f>Data!X688</f>
        <v>8608.5499999999993</v>
      </c>
      <c r="E493" s="74" t="s">
        <v>5</v>
      </c>
      <c r="F493" s="1425">
        <f>'Detail '!I135</f>
        <v>258.39999999999998</v>
      </c>
      <c r="G493" s="74">
        <f t="shared" si="64"/>
        <v>2224449.3199999998</v>
      </c>
      <c r="H493" s="74"/>
      <c r="I493" s="74">
        <f t="shared" si="65"/>
        <v>0</v>
      </c>
      <c r="J493" s="74">
        <f>Sump!I20</f>
        <v>9</v>
      </c>
      <c r="K493" s="74">
        <f t="shared" si="66"/>
        <v>77476.95</v>
      </c>
      <c r="L493" s="74"/>
      <c r="M493" s="74">
        <f t="shared" si="67"/>
        <v>0</v>
      </c>
      <c r="N493" s="74">
        <f t="shared" si="68"/>
        <v>9</v>
      </c>
      <c r="O493" s="74">
        <f t="shared" si="69"/>
        <v>77476.95</v>
      </c>
      <c r="P493" s="74">
        <f t="shared" si="70"/>
        <v>267.39999999999998</v>
      </c>
      <c r="Q493" s="74">
        <f t="shared" si="71"/>
        <v>2301926.27</v>
      </c>
    </row>
    <row r="494" spans="1:17" ht="38.25" customHeight="1">
      <c r="A494" s="71"/>
      <c r="B494" s="72">
        <f t="shared" si="63"/>
        <v>122.7</v>
      </c>
      <c r="C494" s="72" t="s">
        <v>5368</v>
      </c>
      <c r="D494" s="75">
        <f>Data!X690</f>
        <v>8733.51</v>
      </c>
      <c r="E494" s="74" t="s">
        <v>5</v>
      </c>
      <c r="F494" s="1425">
        <f>'Detail '!I187</f>
        <v>122.7</v>
      </c>
      <c r="G494" s="74">
        <f t="shared" si="64"/>
        <v>1071601.68</v>
      </c>
      <c r="H494" s="74"/>
      <c r="I494" s="74">
        <f t="shared" si="65"/>
        <v>0</v>
      </c>
      <c r="J494" s="74"/>
      <c r="K494" s="74">
        <f t="shared" si="66"/>
        <v>0</v>
      </c>
      <c r="L494" s="74"/>
      <c r="M494" s="74">
        <f t="shared" si="67"/>
        <v>0</v>
      </c>
      <c r="N494" s="74">
        <f t="shared" si="68"/>
        <v>0</v>
      </c>
      <c r="O494" s="74">
        <f t="shared" si="69"/>
        <v>0</v>
      </c>
      <c r="P494" s="74">
        <f t="shared" si="70"/>
        <v>122.7</v>
      </c>
      <c r="Q494" s="74">
        <f t="shared" si="71"/>
        <v>1071601.68</v>
      </c>
    </row>
    <row r="495" spans="1:17" ht="38.25" customHeight="1">
      <c r="A495" s="71"/>
      <c r="B495" s="72">
        <f t="shared" si="63"/>
        <v>125.4</v>
      </c>
      <c r="C495" s="72" t="s">
        <v>5369</v>
      </c>
      <c r="D495" s="75">
        <f>Data!X691</f>
        <v>8979.69</v>
      </c>
      <c r="E495" s="74" t="s">
        <v>5</v>
      </c>
      <c r="F495" s="1425">
        <f>'Detail '!I233</f>
        <v>125.4</v>
      </c>
      <c r="G495" s="74">
        <f t="shared" si="64"/>
        <v>1126053.1299999999</v>
      </c>
      <c r="H495" s="74"/>
      <c r="I495" s="74">
        <f t="shared" si="65"/>
        <v>0</v>
      </c>
      <c r="J495" s="74"/>
      <c r="K495" s="74">
        <f t="shared" si="66"/>
        <v>0</v>
      </c>
      <c r="L495" s="74"/>
      <c r="M495" s="74">
        <f t="shared" si="67"/>
        <v>0</v>
      </c>
      <c r="N495" s="74">
        <f t="shared" si="68"/>
        <v>0</v>
      </c>
      <c r="O495" s="74">
        <f t="shared" si="69"/>
        <v>0</v>
      </c>
      <c r="P495" s="74">
        <f t="shared" si="70"/>
        <v>125.4</v>
      </c>
      <c r="Q495" s="74">
        <f t="shared" si="71"/>
        <v>1126053.1299999999</v>
      </c>
    </row>
    <row r="496" spans="1:17" ht="31.5" customHeight="1">
      <c r="A496" s="71"/>
      <c r="B496" s="72">
        <f t="shared" si="63"/>
        <v>158.19999999999999</v>
      </c>
      <c r="C496" s="72" t="s">
        <v>5370</v>
      </c>
      <c r="D496" s="75">
        <f>Data!X692</f>
        <v>9225.8700000000008</v>
      </c>
      <c r="E496" s="74" t="s">
        <v>5</v>
      </c>
      <c r="F496" s="1425">
        <f>'Detail '!I285</f>
        <v>158.19999999999999</v>
      </c>
      <c r="G496" s="74">
        <f t="shared" si="64"/>
        <v>1459532.63</v>
      </c>
      <c r="H496" s="74"/>
      <c r="I496" s="74">
        <f t="shared" si="65"/>
        <v>0</v>
      </c>
      <c r="J496" s="74"/>
      <c r="K496" s="74">
        <f t="shared" si="66"/>
        <v>0</v>
      </c>
      <c r="L496" s="74"/>
      <c r="M496" s="74">
        <f t="shared" si="67"/>
        <v>0</v>
      </c>
      <c r="N496" s="74">
        <f t="shared" si="68"/>
        <v>0</v>
      </c>
      <c r="O496" s="74">
        <f t="shared" si="69"/>
        <v>0</v>
      </c>
      <c r="P496" s="74">
        <f t="shared" si="70"/>
        <v>158.19999999999999</v>
      </c>
      <c r="Q496" s="74">
        <f t="shared" si="71"/>
        <v>1459532.63</v>
      </c>
    </row>
    <row r="497" spans="1:17" ht="50.25" customHeight="1">
      <c r="A497" s="71"/>
      <c r="B497" s="72">
        <f t="shared" si="63"/>
        <v>153.19999999999999</v>
      </c>
      <c r="C497" s="72" t="s">
        <v>5395</v>
      </c>
      <c r="D497" s="75">
        <f>Data!X693</f>
        <v>9472.0499999999993</v>
      </c>
      <c r="E497" s="74" t="s">
        <v>5</v>
      </c>
      <c r="F497" s="1425">
        <f>'Detail '!I340</f>
        <v>153.19999999999999</v>
      </c>
      <c r="G497" s="74">
        <f t="shared" si="64"/>
        <v>1451118.06</v>
      </c>
      <c r="H497" s="74"/>
      <c r="I497" s="74">
        <f t="shared" si="65"/>
        <v>0</v>
      </c>
      <c r="J497" s="74"/>
      <c r="K497" s="74">
        <f t="shared" si="66"/>
        <v>0</v>
      </c>
      <c r="L497" s="74"/>
      <c r="M497" s="74">
        <f t="shared" si="67"/>
        <v>0</v>
      </c>
      <c r="N497" s="74">
        <f t="shared" si="68"/>
        <v>0</v>
      </c>
      <c r="O497" s="74">
        <f t="shared" si="69"/>
        <v>0</v>
      </c>
      <c r="P497" s="74">
        <f t="shared" si="70"/>
        <v>153.19999999999999</v>
      </c>
      <c r="Q497" s="74">
        <f t="shared" si="71"/>
        <v>1451118.06</v>
      </c>
    </row>
    <row r="498" spans="1:17" ht="50.25" customHeight="1">
      <c r="A498" s="71"/>
      <c r="B498" s="72">
        <f t="shared" si="63"/>
        <v>157.9</v>
      </c>
      <c r="C498" s="72" t="s">
        <v>7005</v>
      </c>
      <c r="D498" s="75">
        <f>Data!X694</f>
        <v>9718.23</v>
      </c>
      <c r="E498" s="74" t="s">
        <v>5</v>
      </c>
      <c r="F498" s="1425">
        <f>'Detail '!I390</f>
        <v>157.9</v>
      </c>
      <c r="G498" s="74">
        <f t="shared" si="64"/>
        <v>1534508.52</v>
      </c>
      <c r="H498" s="74"/>
      <c r="I498" s="74">
        <f t="shared" si="65"/>
        <v>0</v>
      </c>
      <c r="J498" s="74"/>
      <c r="K498" s="74">
        <f t="shared" si="66"/>
        <v>0</v>
      </c>
      <c r="L498" s="74"/>
      <c r="M498" s="74">
        <f t="shared" si="67"/>
        <v>0</v>
      </c>
      <c r="N498" s="74">
        <f t="shared" si="68"/>
        <v>0</v>
      </c>
      <c r="O498" s="74">
        <f t="shared" si="69"/>
        <v>0</v>
      </c>
      <c r="P498" s="74">
        <f t="shared" si="70"/>
        <v>157.9</v>
      </c>
      <c r="Q498" s="74">
        <f t="shared" si="71"/>
        <v>1534508.52</v>
      </c>
    </row>
    <row r="499" spans="1:17" ht="48.75" hidden="1" customHeight="1">
      <c r="A499" s="71" t="s">
        <v>5569</v>
      </c>
      <c r="B499" s="72">
        <f t="shared" si="63"/>
        <v>0</v>
      </c>
      <c r="C499" s="1435" t="s">
        <v>4205</v>
      </c>
      <c r="D499" s="75"/>
      <c r="E499" s="74" t="s">
        <v>5</v>
      </c>
      <c r="F499" s="1425"/>
      <c r="G499" s="74">
        <f t="shared" si="64"/>
        <v>0</v>
      </c>
      <c r="H499" s="74"/>
      <c r="I499" s="74">
        <f t="shared" si="65"/>
        <v>0</v>
      </c>
      <c r="J499" s="74"/>
      <c r="K499" s="74">
        <f t="shared" si="66"/>
        <v>0</v>
      </c>
      <c r="L499" s="74"/>
      <c r="M499" s="74">
        <f t="shared" si="67"/>
        <v>0</v>
      </c>
      <c r="N499" s="74">
        <f t="shared" si="68"/>
        <v>0</v>
      </c>
      <c r="O499" s="74">
        <f t="shared" si="69"/>
        <v>0</v>
      </c>
      <c r="P499" s="74">
        <f t="shared" si="70"/>
        <v>0</v>
      </c>
      <c r="Q499" s="74">
        <f t="shared" si="71"/>
        <v>0</v>
      </c>
    </row>
    <row r="500" spans="1:17" ht="48.75" hidden="1" customHeight="1">
      <c r="A500" s="71"/>
      <c r="B500" s="72">
        <f t="shared" si="63"/>
        <v>0</v>
      </c>
      <c r="C500" s="72" t="s">
        <v>5367</v>
      </c>
      <c r="D500" s="75">
        <f>Data!X694</f>
        <v>9718.23</v>
      </c>
      <c r="E500" s="74" t="s">
        <v>5</v>
      </c>
      <c r="F500" s="1425"/>
      <c r="G500" s="74">
        <f t="shared" si="64"/>
        <v>0</v>
      </c>
      <c r="H500" s="74"/>
      <c r="I500" s="74">
        <f t="shared" si="65"/>
        <v>0</v>
      </c>
      <c r="J500" s="74"/>
      <c r="K500" s="74">
        <f t="shared" si="66"/>
        <v>0</v>
      </c>
      <c r="L500" s="74"/>
      <c r="M500" s="74">
        <f t="shared" si="67"/>
        <v>0</v>
      </c>
      <c r="N500" s="74">
        <f t="shared" si="68"/>
        <v>0</v>
      </c>
      <c r="O500" s="74">
        <f t="shared" si="69"/>
        <v>0</v>
      </c>
      <c r="P500" s="74">
        <f t="shared" si="70"/>
        <v>0</v>
      </c>
      <c r="Q500" s="74">
        <f t="shared" si="71"/>
        <v>0</v>
      </c>
    </row>
    <row r="501" spans="1:17" ht="48.75" hidden="1" customHeight="1">
      <c r="A501" s="71"/>
      <c r="B501" s="72">
        <f t="shared" si="63"/>
        <v>0</v>
      </c>
      <c r="C501" s="72" t="s">
        <v>5368</v>
      </c>
      <c r="D501" s="75">
        <f>Data!X696</f>
        <v>10210.59</v>
      </c>
      <c r="E501" s="74" t="s">
        <v>5</v>
      </c>
      <c r="F501" s="1425"/>
      <c r="G501" s="74">
        <f t="shared" si="64"/>
        <v>0</v>
      </c>
      <c r="H501" s="74"/>
      <c r="I501" s="74">
        <f t="shared" si="65"/>
        <v>0</v>
      </c>
      <c r="J501" s="74"/>
      <c r="K501" s="74">
        <f t="shared" si="66"/>
        <v>0</v>
      </c>
      <c r="L501" s="74"/>
      <c r="M501" s="74">
        <f t="shared" si="67"/>
        <v>0</v>
      </c>
      <c r="N501" s="74">
        <f t="shared" si="68"/>
        <v>0</v>
      </c>
      <c r="O501" s="74">
        <f t="shared" si="69"/>
        <v>0</v>
      </c>
      <c r="P501" s="74">
        <f t="shared" si="70"/>
        <v>0</v>
      </c>
      <c r="Q501" s="74">
        <f t="shared" si="71"/>
        <v>0</v>
      </c>
    </row>
    <row r="502" spans="1:17" ht="48.75" hidden="1" customHeight="1">
      <c r="A502" s="71"/>
      <c r="B502" s="72">
        <f t="shared" si="63"/>
        <v>0</v>
      </c>
      <c r="C502" s="72" t="s">
        <v>5369</v>
      </c>
      <c r="D502" s="75">
        <f>Data!X697</f>
        <v>10456.77</v>
      </c>
      <c r="E502" s="74" t="s">
        <v>5</v>
      </c>
      <c r="F502" s="1425"/>
      <c r="G502" s="74">
        <f t="shared" si="64"/>
        <v>0</v>
      </c>
      <c r="H502" s="74"/>
      <c r="I502" s="74">
        <f t="shared" si="65"/>
        <v>0</v>
      </c>
      <c r="J502" s="74"/>
      <c r="K502" s="74">
        <f t="shared" si="66"/>
        <v>0</v>
      </c>
      <c r="L502" s="74"/>
      <c r="M502" s="74">
        <f t="shared" si="67"/>
        <v>0</v>
      </c>
      <c r="N502" s="74">
        <f t="shared" si="68"/>
        <v>0</v>
      </c>
      <c r="O502" s="74">
        <f t="shared" si="69"/>
        <v>0</v>
      </c>
      <c r="P502" s="74">
        <f t="shared" si="70"/>
        <v>0</v>
      </c>
      <c r="Q502" s="74">
        <f t="shared" si="71"/>
        <v>0</v>
      </c>
    </row>
    <row r="503" spans="1:17" ht="48.75" hidden="1" customHeight="1">
      <c r="A503" s="71"/>
      <c r="B503" s="72">
        <f t="shared" si="63"/>
        <v>0</v>
      </c>
      <c r="C503" s="72" t="s">
        <v>5370</v>
      </c>
      <c r="D503" s="75">
        <f>Data!X698</f>
        <v>10702.95</v>
      </c>
      <c r="E503" s="74" t="s">
        <v>5</v>
      </c>
      <c r="F503" s="1425"/>
      <c r="G503" s="74">
        <f t="shared" si="64"/>
        <v>0</v>
      </c>
      <c r="H503" s="74"/>
      <c r="I503" s="74">
        <f t="shared" si="65"/>
        <v>0</v>
      </c>
      <c r="J503" s="74"/>
      <c r="K503" s="74">
        <f t="shared" si="66"/>
        <v>0</v>
      </c>
      <c r="L503" s="74"/>
      <c r="M503" s="74">
        <f t="shared" si="67"/>
        <v>0</v>
      </c>
      <c r="N503" s="74">
        <f t="shared" si="68"/>
        <v>0</v>
      </c>
      <c r="O503" s="74">
        <f t="shared" si="69"/>
        <v>0</v>
      </c>
      <c r="P503" s="74">
        <f t="shared" si="70"/>
        <v>0</v>
      </c>
      <c r="Q503" s="74">
        <f t="shared" si="71"/>
        <v>0</v>
      </c>
    </row>
    <row r="504" spans="1:17" ht="48.75" hidden="1" customHeight="1">
      <c r="A504" s="71"/>
      <c r="B504" s="72">
        <f t="shared" si="63"/>
        <v>0</v>
      </c>
      <c r="C504" s="72" t="s">
        <v>5395</v>
      </c>
      <c r="D504" s="75">
        <f>Data!X699</f>
        <v>10949.13</v>
      </c>
      <c r="E504" s="74" t="s">
        <v>5</v>
      </c>
      <c r="F504" s="1425"/>
      <c r="G504" s="74">
        <f t="shared" si="64"/>
        <v>0</v>
      </c>
      <c r="H504" s="74"/>
      <c r="I504" s="74">
        <f t="shared" si="65"/>
        <v>0</v>
      </c>
      <c r="J504" s="74"/>
      <c r="K504" s="74">
        <f t="shared" si="66"/>
        <v>0</v>
      </c>
      <c r="L504" s="74"/>
      <c r="M504" s="74">
        <f t="shared" si="67"/>
        <v>0</v>
      </c>
      <c r="N504" s="74">
        <f t="shared" si="68"/>
        <v>0</v>
      </c>
      <c r="O504" s="74">
        <f t="shared" si="69"/>
        <v>0</v>
      </c>
      <c r="P504" s="74">
        <f t="shared" si="70"/>
        <v>0</v>
      </c>
      <c r="Q504" s="74">
        <f t="shared" si="71"/>
        <v>0</v>
      </c>
    </row>
    <row r="505" spans="1:17" ht="48.75" hidden="1" customHeight="1">
      <c r="A505" s="71"/>
      <c r="B505" s="72">
        <f t="shared" si="63"/>
        <v>0</v>
      </c>
      <c r="C505" s="76" t="s">
        <v>5570</v>
      </c>
      <c r="D505" s="75"/>
      <c r="E505" s="74" t="s">
        <v>5</v>
      </c>
      <c r="F505" s="1425"/>
      <c r="G505" s="74">
        <f t="shared" si="64"/>
        <v>0</v>
      </c>
      <c r="H505" s="74"/>
      <c r="I505" s="74">
        <f t="shared" si="65"/>
        <v>0</v>
      </c>
      <c r="J505" s="74"/>
      <c r="K505" s="74">
        <f t="shared" si="66"/>
        <v>0</v>
      </c>
      <c r="L505" s="74"/>
      <c r="M505" s="74">
        <f t="shared" si="67"/>
        <v>0</v>
      </c>
      <c r="N505" s="74">
        <f t="shared" si="68"/>
        <v>0</v>
      </c>
      <c r="O505" s="74">
        <f t="shared" si="69"/>
        <v>0</v>
      </c>
      <c r="P505" s="74">
        <f t="shared" si="70"/>
        <v>0</v>
      </c>
      <c r="Q505" s="74">
        <f t="shared" si="71"/>
        <v>0</v>
      </c>
    </row>
    <row r="506" spans="1:17" ht="48.75" hidden="1" customHeight="1">
      <c r="A506" s="71"/>
      <c r="B506" s="72">
        <f t="shared" si="63"/>
        <v>0</v>
      </c>
      <c r="C506" s="82" t="s">
        <v>5571</v>
      </c>
      <c r="D506" s="75">
        <f>Data!R1183</f>
        <v>8470.08</v>
      </c>
      <c r="E506" s="74" t="s">
        <v>5</v>
      </c>
      <c r="F506" s="1425"/>
      <c r="G506" s="74">
        <f t="shared" si="64"/>
        <v>0</v>
      </c>
      <c r="H506" s="74"/>
      <c r="I506" s="74">
        <f t="shared" si="65"/>
        <v>0</v>
      </c>
      <c r="J506" s="74"/>
      <c r="K506" s="74">
        <f t="shared" si="66"/>
        <v>0</v>
      </c>
      <c r="L506" s="74"/>
      <c r="M506" s="74">
        <f t="shared" si="67"/>
        <v>0</v>
      </c>
      <c r="N506" s="74">
        <f t="shared" si="68"/>
        <v>0</v>
      </c>
      <c r="O506" s="74">
        <f t="shared" si="69"/>
        <v>0</v>
      </c>
      <c r="P506" s="74">
        <f t="shared" si="70"/>
        <v>0</v>
      </c>
      <c r="Q506" s="74">
        <f t="shared" si="71"/>
        <v>0</v>
      </c>
    </row>
    <row r="507" spans="1:17" ht="48.75" hidden="1" customHeight="1">
      <c r="A507" s="71"/>
      <c r="B507" s="72">
        <f t="shared" si="63"/>
        <v>0</v>
      </c>
      <c r="C507" s="82" t="s">
        <v>5572</v>
      </c>
      <c r="D507" s="75">
        <f>Data!R1184</f>
        <v>8595.0400000000009</v>
      </c>
      <c r="E507" s="74" t="s">
        <v>5</v>
      </c>
      <c r="F507" s="1425"/>
      <c r="G507" s="74">
        <f t="shared" si="64"/>
        <v>0</v>
      </c>
      <c r="H507" s="74"/>
      <c r="I507" s="74">
        <f t="shared" si="65"/>
        <v>0</v>
      </c>
      <c r="J507" s="74"/>
      <c r="K507" s="74">
        <f t="shared" si="66"/>
        <v>0</v>
      </c>
      <c r="L507" s="74"/>
      <c r="M507" s="74">
        <f t="shared" si="67"/>
        <v>0</v>
      </c>
      <c r="N507" s="74">
        <f t="shared" si="68"/>
        <v>0</v>
      </c>
      <c r="O507" s="74">
        <f t="shared" si="69"/>
        <v>0</v>
      </c>
      <c r="P507" s="74">
        <f t="shared" si="70"/>
        <v>0</v>
      </c>
      <c r="Q507" s="74">
        <f t="shared" si="71"/>
        <v>0</v>
      </c>
    </row>
    <row r="508" spans="1:17" ht="48.75" hidden="1" customHeight="1">
      <c r="A508" s="71"/>
      <c r="B508" s="72">
        <f t="shared" si="63"/>
        <v>0</v>
      </c>
      <c r="C508" s="76" t="s">
        <v>5573</v>
      </c>
      <c r="D508" s="75"/>
      <c r="E508" s="74" t="s">
        <v>5</v>
      </c>
      <c r="F508" s="1425"/>
      <c r="G508" s="74">
        <f t="shared" si="64"/>
        <v>0</v>
      </c>
      <c r="H508" s="74"/>
      <c r="I508" s="74">
        <f t="shared" si="65"/>
        <v>0</v>
      </c>
      <c r="J508" s="74"/>
      <c r="K508" s="74">
        <f t="shared" si="66"/>
        <v>0</v>
      </c>
      <c r="L508" s="74"/>
      <c r="M508" s="74">
        <f t="shared" si="67"/>
        <v>0</v>
      </c>
      <c r="N508" s="74">
        <f t="shared" si="68"/>
        <v>0</v>
      </c>
      <c r="O508" s="74">
        <f t="shared" si="69"/>
        <v>0</v>
      </c>
      <c r="P508" s="74">
        <f t="shared" si="70"/>
        <v>0</v>
      </c>
      <c r="Q508" s="74">
        <f t="shared" si="71"/>
        <v>0</v>
      </c>
    </row>
    <row r="509" spans="1:17" ht="48.75" hidden="1" customHeight="1">
      <c r="A509" s="71"/>
      <c r="B509" s="72">
        <f t="shared" si="63"/>
        <v>0</v>
      </c>
      <c r="C509" s="72" t="s">
        <v>5367</v>
      </c>
      <c r="D509" s="75">
        <f>Data!R1156</f>
        <v>8391.75</v>
      </c>
      <c r="E509" s="74" t="s">
        <v>5</v>
      </c>
      <c r="F509" s="1425"/>
      <c r="G509" s="74">
        <f t="shared" si="64"/>
        <v>0</v>
      </c>
      <c r="H509" s="74"/>
      <c r="I509" s="74">
        <f t="shared" si="65"/>
        <v>0</v>
      </c>
      <c r="J509" s="74"/>
      <c r="K509" s="74">
        <f t="shared" si="66"/>
        <v>0</v>
      </c>
      <c r="L509" s="74"/>
      <c r="M509" s="74">
        <f t="shared" si="67"/>
        <v>0</v>
      </c>
      <c r="N509" s="74">
        <f t="shared" si="68"/>
        <v>0</v>
      </c>
      <c r="O509" s="74">
        <f t="shared" si="69"/>
        <v>0</v>
      </c>
      <c r="P509" s="74">
        <f t="shared" si="70"/>
        <v>0</v>
      </c>
      <c r="Q509" s="74">
        <f t="shared" si="71"/>
        <v>0</v>
      </c>
    </row>
    <row r="510" spans="1:17" ht="48.75" hidden="1" customHeight="1">
      <c r="A510" s="71"/>
      <c r="B510" s="72">
        <f t="shared" si="63"/>
        <v>0</v>
      </c>
      <c r="C510" s="72" t="s">
        <v>5574</v>
      </c>
      <c r="D510" s="75">
        <f>Data!R1158</f>
        <v>8516.7099999999991</v>
      </c>
      <c r="E510" s="74" t="s">
        <v>5</v>
      </c>
      <c r="F510" s="1425"/>
      <c r="G510" s="74">
        <f t="shared" si="64"/>
        <v>0</v>
      </c>
      <c r="H510" s="74"/>
      <c r="I510" s="74">
        <f t="shared" si="65"/>
        <v>0</v>
      </c>
      <c r="J510" s="74"/>
      <c r="K510" s="74">
        <f t="shared" si="66"/>
        <v>0</v>
      </c>
      <c r="L510" s="74"/>
      <c r="M510" s="74">
        <f t="shared" si="67"/>
        <v>0</v>
      </c>
      <c r="N510" s="74">
        <f t="shared" si="68"/>
        <v>0</v>
      </c>
      <c r="O510" s="74">
        <f t="shared" si="69"/>
        <v>0</v>
      </c>
      <c r="P510" s="74">
        <f t="shared" si="70"/>
        <v>0</v>
      </c>
      <c r="Q510" s="74">
        <f t="shared" si="71"/>
        <v>0</v>
      </c>
    </row>
    <row r="511" spans="1:17" ht="48.75" hidden="1" customHeight="1">
      <c r="A511" s="71"/>
      <c r="B511" s="72">
        <f t="shared" si="63"/>
        <v>0</v>
      </c>
      <c r="C511" s="72" t="s">
        <v>5369</v>
      </c>
      <c r="D511" s="75">
        <f>Data!R1159</f>
        <v>8762.89</v>
      </c>
      <c r="E511" s="74" t="s">
        <v>5</v>
      </c>
      <c r="F511" s="1425"/>
      <c r="G511" s="74">
        <f t="shared" si="64"/>
        <v>0</v>
      </c>
      <c r="H511" s="74"/>
      <c r="I511" s="74">
        <f t="shared" si="65"/>
        <v>0</v>
      </c>
      <c r="J511" s="74"/>
      <c r="K511" s="74">
        <f t="shared" si="66"/>
        <v>0</v>
      </c>
      <c r="L511" s="74"/>
      <c r="M511" s="74">
        <f t="shared" si="67"/>
        <v>0</v>
      </c>
      <c r="N511" s="74">
        <f t="shared" si="68"/>
        <v>0</v>
      </c>
      <c r="O511" s="74">
        <f t="shared" si="69"/>
        <v>0</v>
      </c>
      <c r="P511" s="74">
        <f t="shared" si="70"/>
        <v>0</v>
      </c>
      <c r="Q511" s="74">
        <f t="shared" si="71"/>
        <v>0</v>
      </c>
    </row>
    <row r="512" spans="1:17" ht="48.75" hidden="1" customHeight="1">
      <c r="A512" s="71"/>
      <c r="B512" s="72">
        <f t="shared" si="63"/>
        <v>0</v>
      </c>
      <c r="C512" s="72" t="s">
        <v>5370</v>
      </c>
      <c r="D512" s="75">
        <f>Data!R1160</f>
        <v>9009.07</v>
      </c>
      <c r="E512" s="74" t="s">
        <v>5</v>
      </c>
      <c r="F512" s="1425"/>
      <c r="G512" s="74">
        <f t="shared" si="64"/>
        <v>0</v>
      </c>
      <c r="H512" s="74"/>
      <c r="I512" s="74">
        <f t="shared" si="65"/>
        <v>0</v>
      </c>
      <c r="J512" s="74"/>
      <c r="K512" s="74">
        <f t="shared" si="66"/>
        <v>0</v>
      </c>
      <c r="L512" s="74"/>
      <c r="M512" s="74">
        <f t="shared" si="67"/>
        <v>0</v>
      </c>
      <c r="N512" s="74">
        <f t="shared" si="68"/>
        <v>0</v>
      </c>
      <c r="O512" s="74">
        <f t="shared" si="69"/>
        <v>0</v>
      </c>
      <c r="P512" s="74">
        <f t="shared" si="70"/>
        <v>0</v>
      </c>
      <c r="Q512" s="74">
        <f t="shared" si="71"/>
        <v>0</v>
      </c>
    </row>
    <row r="513" spans="1:17" ht="48.75" hidden="1" customHeight="1">
      <c r="A513" s="71"/>
      <c r="B513" s="72">
        <f t="shared" si="63"/>
        <v>0</v>
      </c>
      <c r="C513" s="72" t="s">
        <v>5395</v>
      </c>
      <c r="D513" s="75">
        <f>Data!R1161</f>
        <v>9255.25</v>
      </c>
      <c r="E513" s="74" t="s">
        <v>5</v>
      </c>
      <c r="F513" s="1425"/>
      <c r="G513" s="74">
        <f t="shared" si="64"/>
        <v>0</v>
      </c>
      <c r="H513" s="74"/>
      <c r="I513" s="74">
        <f t="shared" si="65"/>
        <v>0</v>
      </c>
      <c r="J513" s="74"/>
      <c r="K513" s="74">
        <f t="shared" si="66"/>
        <v>0</v>
      </c>
      <c r="L513" s="74"/>
      <c r="M513" s="74">
        <f t="shared" si="67"/>
        <v>0</v>
      </c>
      <c r="N513" s="74">
        <f t="shared" si="68"/>
        <v>0</v>
      </c>
      <c r="O513" s="74">
        <f t="shared" si="69"/>
        <v>0</v>
      </c>
      <c r="P513" s="74">
        <f t="shared" si="70"/>
        <v>0</v>
      </c>
      <c r="Q513" s="74">
        <f t="shared" si="71"/>
        <v>0</v>
      </c>
    </row>
    <row r="514" spans="1:17" ht="48.75" hidden="1" customHeight="1">
      <c r="A514" s="71"/>
      <c r="B514" s="72">
        <f t="shared" si="63"/>
        <v>0</v>
      </c>
      <c r="C514" s="72" t="s">
        <v>5372</v>
      </c>
      <c r="D514" s="75">
        <f>Data!R1162</f>
        <v>9501.43</v>
      </c>
      <c r="E514" s="74" t="s">
        <v>5</v>
      </c>
      <c r="F514" s="1425"/>
      <c r="G514" s="74">
        <f t="shared" si="64"/>
        <v>0</v>
      </c>
      <c r="H514" s="74"/>
      <c r="I514" s="74">
        <f t="shared" si="65"/>
        <v>0</v>
      </c>
      <c r="J514" s="74"/>
      <c r="K514" s="74">
        <f t="shared" si="66"/>
        <v>0</v>
      </c>
      <c r="L514" s="74"/>
      <c r="M514" s="74">
        <f t="shared" si="67"/>
        <v>0</v>
      </c>
      <c r="N514" s="74">
        <f t="shared" si="68"/>
        <v>0</v>
      </c>
      <c r="O514" s="74">
        <f t="shared" si="69"/>
        <v>0</v>
      </c>
      <c r="P514" s="74">
        <f t="shared" si="70"/>
        <v>0</v>
      </c>
      <c r="Q514" s="74">
        <f t="shared" si="71"/>
        <v>0</v>
      </c>
    </row>
    <row r="515" spans="1:17" ht="48.75" hidden="1" customHeight="1">
      <c r="A515" s="71"/>
      <c r="B515" s="72">
        <f t="shared" si="63"/>
        <v>0</v>
      </c>
      <c r="C515" s="72" t="s">
        <v>5575</v>
      </c>
      <c r="D515" s="75">
        <f>Data!R1163</f>
        <v>9747.61</v>
      </c>
      <c r="E515" s="74" t="s">
        <v>5</v>
      </c>
      <c r="F515" s="1425"/>
      <c r="G515" s="74">
        <f t="shared" si="64"/>
        <v>0</v>
      </c>
      <c r="H515" s="74"/>
      <c r="I515" s="74">
        <f t="shared" si="65"/>
        <v>0</v>
      </c>
      <c r="J515" s="74"/>
      <c r="K515" s="74">
        <f t="shared" si="66"/>
        <v>0</v>
      </c>
      <c r="L515" s="74"/>
      <c r="M515" s="74">
        <f t="shared" si="67"/>
        <v>0</v>
      </c>
      <c r="N515" s="74">
        <f t="shared" si="68"/>
        <v>0</v>
      </c>
      <c r="O515" s="74">
        <f t="shared" si="69"/>
        <v>0</v>
      </c>
      <c r="P515" s="74">
        <f t="shared" si="70"/>
        <v>0</v>
      </c>
      <c r="Q515" s="74">
        <f t="shared" si="71"/>
        <v>0</v>
      </c>
    </row>
    <row r="516" spans="1:17" ht="48.75" hidden="1" customHeight="1">
      <c r="A516" s="71"/>
      <c r="B516" s="72">
        <f t="shared" si="63"/>
        <v>0</v>
      </c>
      <c r="C516" s="72" t="s">
        <v>5576</v>
      </c>
      <c r="D516" s="75">
        <f>Data!R1164</f>
        <v>9993.7900000000009</v>
      </c>
      <c r="E516" s="74" t="s">
        <v>5</v>
      </c>
      <c r="F516" s="1425"/>
      <c r="G516" s="74">
        <f t="shared" si="64"/>
        <v>0</v>
      </c>
      <c r="H516" s="74"/>
      <c r="I516" s="74">
        <f t="shared" si="65"/>
        <v>0</v>
      </c>
      <c r="J516" s="74"/>
      <c r="K516" s="74">
        <f t="shared" si="66"/>
        <v>0</v>
      </c>
      <c r="L516" s="74"/>
      <c r="M516" s="74">
        <f t="shared" si="67"/>
        <v>0</v>
      </c>
      <c r="N516" s="74">
        <f t="shared" si="68"/>
        <v>0</v>
      </c>
      <c r="O516" s="74">
        <f t="shared" si="69"/>
        <v>0</v>
      </c>
      <c r="P516" s="74">
        <f t="shared" si="70"/>
        <v>0</v>
      </c>
      <c r="Q516" s="74">
        <f t="shared" si="71"/>
        <v>0</v>
      </c>
    </row>
    <row r="517" spans="1:17" ht="48.75" hidden="1" customHeight="1">
      <c r="A517" s="71"/>
      <c r="B517" s="72">
        <f t="shared" ref="B517:B580" si="72">P517</f>
        <v>0</v>
      </c>
      <c r="C517" s="72" t="s">
        <v>5577</v>
      </c>
      <c r="D517" s="75">
        <f>Data!R1165</f>
        <v>10239.969999999999</v>
      </c>
      <c r="E517" s="74" t="s">
        <v>5</v>
      </c>
      <c r="F517" s="1425"/>
      <c r="G517" s="74">
        <f t="shared" si="64"/>
        <v>0</v>
      </c>
      <c r="H517" s="74"/>
      <c r="I517" s="74">
        <f t="shared" si="65"/>
        <v>0</v>
      </c>
      <c r="J517" s="74"/>
      <c r="K517" s="74">
        <f t="shared" si="66"/>
        <v>0</v>
      </c>
      <c r="L517" s="74"/>
      <c r="M517" s="74">
        <f t="shared" si="67"/>
        <v>0</v>
      </c>
      <c r="N517" s="74">
        <f t="shared" si="68"/>
        <v>0</v>
      </c>
      <c r="O517" s="74">
        <f t="shared" si="69"/>
        <v>0</v>
      </c>
      <c r="P517" s="74">
        <f t="shared" si="70"/>
        <v>0</v>
      </c>
      <c r="Q517" s="74">
        <f t="shared" si="71"/>
        <v>0</v>
      </c>
    </row>
    <row r="518" spans="1:17" ht="48.75" hidden="1" customHeight="1">
      <c r="A518" s="71"/>
      <c r="B518" s="72">
        <f t="shared" si="72"/>
        <v>0</v>
      </c>
      <c r="C518" s="82" t="s">
        <v>5578</v>
      </c>
      <c r="D518" s="75">
        <f>Data!R1166</f>
        <v>10486.15</v>
      </c>
      <c r="E518" s="74" t="s">
        <v>5</v>
      </c>
      <c r="F518" s="1425"/>
      <c r="G518" s="74">
        <f t="shared" ref="G518:G581" si="73">F518*D518</f>
        <v>0</v>
      </c>
      <c r="H518" s="74"/>
      <c r="I518" s="74">
        <f t="shared" ref="I518:I581" si="74">H518*D518</f>
        <v>0</v>
      </c>
      <c r="J518" s="74"/>
      <c r="K518" s="74">
        <f t="shared" ref="K518:K581" si="75">J518*D518</f>
        <v>0</v>
      </c>
      <c r="L518" s="74"/>
      <c r="M518" s="74">
        <f t="shared" ref="M518:M581" si="76">L518*D518</f>
        <v>0</v>
      </c>
      <c r="N518" s="74">
        <f t="shared" ref="N518:N581" si="77">H518+J518+L518</f>
        <v>0</v>
      </c>
      <c r="O518" s="74">
        <f t="shared" ref="O518:O581" si="78">N518*D518</f>
        <v>0</v>
      </c>
      <c r="P518" s="74">
        <f t="shared" ref="P518:P581" si="79">N518+F518</f>
        <v>0</v>
      </c>
      <c r="Q518" s="74">
        <f t="shared" ref="Q518:Q581" si="80">P518*D518</f>
        <v>0</v>
      </c>
    </row>
    <row r="519" spans="1:17" ht="48.75" hidden="1" customHeight="1">
      <c r="A519" s="71"/>
      <c r="B519" s="72">
        <f t="shared" si="72"/>
        <v>0</v>
      </c>
      <c r="C519" s="82" t="s">
        <v>5579</v>
      </c>
      <c r="D519" s="75">
        <f>Data!R1167</f>
        <v>10732.33</v>
      </c>
      <c r="E519" s="74" t="s">
        <v>5</v>
      </c>
      <c r="F519" s="1425"/>
      <c r="G519" s="74">
        <f t="shared" si="73"/>
        <v>0</v>
      </c>
      <c r="H519" s="74"/>
      <c r="I519" s="74">
        <f t="shared" si="74"/>
        <v>0</v>
      </c>
      <c r="J519" s="74"/>
      <c r="K519" s="74">
        <f t="shared" si="75"/>
        <v>0</v>
      </c>
      <c r="L519" s="74"/>
      <c r="M519" s="74">
        <f t="shared" si="76"/>
        <v>0</v>
      </c>
      <c r="N519" s="74">
        <f t="shared" si="77"/>
        <v>0</v>
      </c>
      <c r="O519" s="74">
        <f t="shared" si="78"/>
        <v>0</v>
      </c>
      <c r="P519" s="74">
        <f t="shared" si="79"/>
        <v>0</v>
      </c>
      <c r="Q519" s="74">
        <f t="shared" si="80"/>
        <v>0</v>
      </c>
    </row>
    <row r="520" spans="1:17" ht="48.75" hidden="1" customHeight="1">
      <c r="A520" s="71"/>
      <c r="B520" s="72">
        <f t="shared" si="72"/>
        <v>0</v>
      </c>
      <c r="C520" s="82" t="s">
        <v>5580</v>
      </c>
      <c r="D520" s="75">
        <f>Data!R1168</f>
        <v>10978.51</v>
      </c>
      <c r="E520" s="74" t="s">
        <v>5</v>
      </c>
      <c r="F520" s="1425"/>
      <c r="G520" s="74">
        <f t="shared" si="73"/>
        <v>0</v>
      </c>
      <c r="H520" s="74"/>
      <c r="I520" s="74">
        <f t="shared" si="74"/>
        <v>0</v>
      </c>
      <c r="J520" s="74"/>
      <c r="K520" s="74">
        <f t="shared" si="75"/>
        <v>0</v>
      </c>
      <c r="L520" s="74"/>
      <c r="M520" s="74">
        <f t="shared" si="76"/>
        <v>0</v>
      </c>
      <c r="N520" s="74">
        <f t="shared" si="77"/>
        <v>0</v>
      </c>
      <c r="O520" s="74">
        <f t="shared" si="78"/>
        <v>0</v>
      </c>
      <c r="P520" s="74">
        <f t="shared" si="79"/>
        <v>0</v>
      </c>
      <c r="Q520" s="74">
        <f t="shared" si="80"/>
        <v>0</v>
      </c>
    </row>
    <row r="521" spans="1:17" ht="48.75" hidden="1" customHeight="1">
      <c r="A521" s="71"/>
      <c r="B521" s="72">
        <f t="shared" si="72"/>
        <v>0</v>
      </c>
      <c r="C521" s="72" t="s">
        <v>5353</v>
      </c>
      <c r="D521" s="75">
        <f>Data!R1169</f>
        <v>11224.69</v>
      </c>
      <c r="E521" s="74" t="s">
        <v>5</v>
      </c>
      <c r="F521" s="1425"/>
      <c r="G521" s="74">
        <f t="shared" si="73"/>
        <v>0</v>
      </c>
      <c r="H521" s="74"/>
      <c r="I521" s="74">
        <f t="shared" si="74"/>
        <v>0</v>
      </c>
      <c r="J521" s="74"/>
      <c r="K521" s="74">
        <f t="shared" si="75"/>
        <v>0</v>
      </c>
      <c r="L521" s="74"/>
      <c r="M521" s="74">
        <f t="shared" si="76"/>
        <v>0</v>
      </c>
      <c r="N521" s="74">
        <f t="shared" si="77"/>
        <v>0</v>
      </c>
      <c r="O521" s="74">
        <f t="shared" si="78"/>
        <v>0</v>
      </c>
      <c r="P521" s="74">
        <f t="shared" si="79"/>
        <v>0</v>
      </c>
      <c r="Q521" s="74">
        <f t="shared" si="80"/>
        <v>0</v>
      </c>
    </row>
    <row r="522" spans="1:17" ht="48.75" hidden="1" customHeight="1">
      <c r="A522" s="71"/>
      <c r="B522" s="72">
        <f t="shared" si="72"/>
        <v>0</v>
      </c>
      <c r="C522" s="72" t="s">
        <v>5354</v>
      </c>
      <c r="D522" s="75">
        <f>Data!R1170</f>
        <v>11470.87</v>
      </c>
      <c r="E522" s="74" t="s">
        <v>5</v>
      </c>
      <c r="F522" s="1425"/>
      <c r="G522" s="74">
        <f t="shared" si="73"/>
        <v>0</v>
      </c>
      <c r="H522" s="74"/>
      <c r="I522" s="74">
        <f t="shared" si="74"/>
        <v>0</v>
      </c>
      <c r="J522" s="74"/>
      <c r="K522" s="74">
        <f t="shared" si="75"/>
        <v>0</v>
      </c>
      <c r="L522" s="74"/>
      <c r="M522" s="74">
        <f t="shared" si="76"/>
        <v>0</v>
      </c>
      <c r="N522" s="74">
        <f t="shared" si="77"/>
        <v>0</v>
      </c>
      <c r="O522" s="74">
        <f t="shared" si="78"/>
        <v>0</v>
      </c>
      <c r="P522" s="74">
        <f t="shared" si="79"/>
        <v>0</v>
      </c>
      <c r="Q522" s="74">
        <f t="shared" si="80"/>
        <v>0</v>
      </c>
    </row>
    <row r="523" spans="1:17" ht="48.75" hidden="1" customHeight="1">
      <c r="A523" s="71"/>
      <c r="B523" s="72">
        <f t="shared" si="72"/>
        <v>0</v>
      </c>
      <c r="C523" s="72" t="s">
        <v>5581</v>
      </c>
      <c r="D523" s="75">
        <f>Data!R1171</f>
        <v>11717.05</v>
      </c>
      <c r="E523" s="74" t="s">
        <v>5</v>
      </c>
      <c r="F523" s="1425"/>
      <c r="G523" s="74">
        <f t="shared" si="73"/>
        <v>0</v>
      </c>
      <c r="H523" s="74"/>
      <c r="I523" s="74">
        <f t="shared" si="74"/>
        <v>0</v>
      </c>
      <c r="J523" s="74"/>
      <c r="K523" s="74">
        <f t="shared" si="75"/>
        <v>0</v>
      </c>
      <c r="L523" s="74"/>
      <c r="M523" s="74">
        <f t="shared" si="76"/>
        <v>0</v>
      </c>
      <c r="N523" s="74">
        <f t="shared" si="77"/>
        <v>0</v>
      </c>
      <c r="O523" s="74">
        <f t="shared" si="78"/>
        <v>0</v>
      </c>
      <c r="P523" s="74">
        <f t="shared" si="79"/>
        <v>0</v>
      </c>
      <c r="Q523" s="74">
        <f t="shared" si="80"/>
        <v>0</v>
      </c>
    </row>
    <row r="524" spans="1:17" s="57" customFormat="1" ht="48.75" hidden="1" customHeight="1">
      <c r="A524" s="72" t="s">
        <v>691</v>
      </c>
      <c r="B524" s="72">
        <f t="shared" si="72"/>
        <v>0</v>
      </c>
      <c r="C524" s="76" t="s">
        <v>5582</v>
      </c>
      <c r="D524" s="75"/>
      <c r="E524" s="74" t="s">
        <v>5</v>
      </c>
      <c r="F524" s="1425"/>
      <c r="G524" s="74">
        <f t="shared" si="73"/>
        <v>0</v>
      </c>
      <c r="H524" s="74"/>
      <c r="I524" s="74">
        <f t="shared" si="74"/>
        <v>0</v>
      </c>
      <c r="J524" s="74"/>
      <c r="K524" s="74">
        <f t="shared" si="75"/>
        <v>0</v>
      </c>
      <c r="L524" s="74"/>
      <c r="M524" s="74">
        <f t="shared" si="76"/>
        <v>0</v>
      </c>
      <c r="N524" s="74">
        <f t="shared" si="77"/>
        <v>0</v>
      </c>
      <c r="O524" s="74">
        <f t="shared" si="78"/>
        <v>0</v>
      </c>
      <c r="P524" s="74">
        <f t="shared" si="79"/>
        <v>0</v>
      </c>
      <c r="Q524" s="74">
        <f t="shared" si="80"/>
        <v>0</v>
      </c>
    </row>
    <row r="525" spans="1:17" s="57" customFormat="1" ht="48.75" hidden="1" customHeight="1">
      <c r="A525" s="72"/>
      <c r="B525" s="72">
        <f t="shared" si="72"/>
        <v>0</v>
      </c>
      <c r="C525" s="72" t="s">
        <v>5583</v>
      </c>
      <c r="D525" s="75">
        <f>Data!X537</f>
        <v>1540.6</v>
      </c>
      <c r="E525" s="74" t="s">
        <v>5</v>
      </c>
      <c r="F525" s="1425"/>
      <c r="G525" s="74">
        <f t="shared" si="73"/>
        <v>0</v>
      </c>
      <c r="H525" s="74"/>
      <c r="I525" s="74">
        <f t="shared" si="74"/>
        <v>0</v>
      </c>
      <c r="J525" s="74"/>
      <c r="K525" s="74">
        <f t="shared" si="75"/>
        <v>0</v>
      </c>
      <c r="L525" s="74"/>
      <c r="M525" s="74">
        <f t="shared" si="76"/>
        <v>0</v>
      </c>
      <c r="N525" s="74">
        <f t="shared" si="77"/>
        <v>0</v>
      </c>
      <c r="O525" s="74">
        <f t="shared" si="78"/>
        <v>0</v>
      </c>
      <c r="P525" s="74">
        <f t="shared" si="79"/>
        <v>0</v>
      </c>
      <c r="Q525" s="74">
        <f t="shared" si="80"/>
        <v>0</v>
      </c>
    </row>
    <row r="526" spans="1:17" s="57" customFormat="1" ht="48.75" hidden="1" customHeight="1">
      <c r="A526" s="72"/>
      <c r="B526" s="72">
        <f t="shared" si="72"/>
        <v>0</v>
      </c>
      <c r="C526" s="72" t="s">
        <v>5342</v>
      </c>
      <c r="D526" s="75">
        <f>Data!X538</f>
        <v>1545.57</v>
      </c>
      <c r="E526" s="74" t="s">
        <v>5</v>
      </c>
      <c r="F526" s="1425"/>
      <c r="G526" s="74">
        <f t="shared" si="73"/>
        <v>0</v>
      </c>
      <c r="H526" s="74"/>
      <c r="I526" s="74">
        <f t="shared" si="74"/>
        <v>0</v>
      </c>
      <c r="J526" s="74"/>
      <c r="K526" s="74">
        <f t="shared" si="75"/>
        <v>0</v>
      </c>
      <c r="L526" s="74"/>
      <c r="M526" s="74">
        <f t="shared" si="76"/>
        <v>0</v>
      </c>
      <c r="N526" s="74">
        <f t="shared" si="77"/>
        <v>0</v>
      </c>
      <c r="O526" s="74">
        <f t="shared" si="78"/>
        <v>0</v>
      </c>
      <c r="P526" s="74">
        <f t="shared" si="79"/>
        <v>0</v>
      </c>
      <c r="Q526" s="74">
        <f t="shared" si="80"/>
        <v>0</v>
      </c>
    </row>
    <row r="527" spans="1:17" s="57" customFormat="1" ht="48.75" hidden="1" customHeight="1">
      <c r="A527" s="72"/>
      <c r="B527" s="72">
        <f t="shared" si="72"/>
        <v>0</v>
      </c>
      <c r="C527" s="72" t="s">
        <v>5343</v>
      </c>
      <c r="D527" s="75">
        <f>Data!X539</f>
        <v>1550.54</v>
      </c>
      <c r="E527" s="74" t="s">
        <v>5</v>
      </c>
      <c r="F527" s="1425"/>
      <c r="G527" s="74">
        <f t="shared" si="73"/>
        <v>0</v>
      </c>
      <c r="H527" s="74"/>
      <c r="I527" s="74">
        <f t="shared" si="74"/>
        <v>0</v>
      </c>
      <c r="J527" s="74"/>
      <c r="K527" s="74">
        <f t="shared" si="75"/>
        <v>0</v>
      </c>
      <c r="L527" s="74"/>
      <c r="M527" s="74">
        <f t="shared" si="76"/>
        <v>0</v>
      </c>
      <c r="N527" s="74">
        <f t="shared" si="77"/>
        <v>0</v>
      </c>
      <c r="O527" s="74">
        <f t="shared" si="78"/>
        <v>0</v>
      </c>
      <c r="P527" s="74">
        <f t="shared" si="79"/>
        <v>0</v>
      </c>
      <c r="Q527" s="74">
        <f t="shared" si="80"/>
        <v>0</v>
      </c>
    </row>
    <row r="528" spans="1:17" s="57" customFormat="1" ht="48.75" hidden="1" customHeight="1">
      <c r="A528" s="72"/>
      <c r="B528" s="72">
        <f t="shared" si="72"/>
        <v>0</v>
      </c>
      <c r="C528" s="72" t="s">
        <v>5344</v>
      </c>
      <c r="D528" s="75">
        <f>Data!X540</f>
        <v>1555.51</v>
      </c>
      <c r="E528" s="74" t="s">
        <v>5</v>
      </c>
      <c r="F528" s="1425"/>
      <c r="G528" s="74">
        <f t="shared" si="73"/>
        <v>0</v>
      </c>
      <c r="H528" s="74"/>
      <c r="I528" s="74">
        <f t="shared" si="74"/>
        <v>0</v>
      </c>
      <c r="J528" s="74"/>
      <c r="K528" s="74">
        <f t="shared" si="75"/>
        <v>0</v>
      </c>
      <c r="L528" s="74"/>
      <c r="M528" s="74">
        <f t="shared" si="76"/>
        <v>0</v>
      </c>
      <c r="N528" s="74">
        <f t="shared" si="77"/>
        <v>0</v>
      </c>
      <c r="O528" s="74">
        <f t="shared" si="78"/>
        <v>0</v>
      </c>
      <c r="P528" s="74">
        <f t="shared" si="79"/>
        <v>0</v>
      </c>
      <c r="Q528" s="74">
        <f t="shared" si="80"/>
        <v>0</v>
      </c>
    </row>
    <row r="529" spans="1:17" ht="48.75" hidden="1" customHeight="1">
      <c r="A529" s="56"/>
      <c r="B529" s="72">
        <f t="shared" si="72"/>
        <v>0</v>
      </c>
      <c r="C529" s="72" t="s">
        <v>5345</v>
      </c>
      <c r="D529" s="75">
        <f>Data!X541</f>
        <v>1560.48</v>
      </c>
      <c r="E529" s="74" t="s">
        <v>5</v>
      </c>
      <c r="F529" s="1425"/>
      <c r="G529" s="74">
        <f t="shared" si="73"/>
        <v>0</v>
      </c>
      <c r="H529" s="74"/>
      <c r="I529" s="74">
        <f t="shared" si="74"/>
        <v>0</v>
      </c>
      <c r="J529" s="74"/>
      <c r="K529" s="74">
        <f t="shared" si="75"/>
        <v>0</v>
      </c>
      <c r="L529" s="74"/>
      <c r="M529" s="74">
        <f t="shared" si="76"/>
        <v>0</v>
      </c>
      <c r="N529" s="74">
        <f t="shared" si="77"/>
        <v>0</v>
      </c>
      <c r="O529" s="74">
        <f t="shared" si="78"/>
        <v>0</v>
      </c>
      <c r="P529" s="74">
        <f t="shared" si="79"/>
        <v>0</v>
      </c>
      <c r="Q529" s="74">
        <f t="shared" si="80"/>
        <v>0</v>
      </c>
    </row>
    <row r="530" spans="1:17" s="57" customFormat="1" ht="48.75" hidden="1" customHeight="1">
      <c r="A530" s="72" t="s">
        <v>698</v>
      </c>
      <c r="B530" s="72">
        <f t="shared" si="72"/>
        <v>0</v>
      </c>
      <c r="C530" s="76" t="s">
        <v>5584</v>
      </c>
      <c r="D530" s="75"/>
      <c r="E530" s="74" t="s">
        <v>5</v>
      </c>
      <c r="F530" s="1425"/>
      <c r="G530" s="74">
        <f t="shared" si="73"/>
        <v>0</v>
      </c>
      <c r="H530" s="74"/>
      <c r="I530" s="74">
        <f t="shared" si="74"/>
        <v>0</v>
      </c>
      <c r="J530" s="74"/>
      <c r="K530" s="74">
        <f t="shared" si="75"/>
        <v>0</v>
      </c>
      <c r="L530" s="74"/>
      <c r="M530" s="74">
        <f t="shared" si="76"/>
        <v>0</v>
      </c>
      <c r="N530" s="74">
        <f t="shared" si="77"/>
        <v>0</v>
      </c>
      <c r="O530" s="74">
        <f t="shared" si="78"/>
        <v>0</v>
      </c>
      <c r="P530" s="74">
        <f t="shared" si="79"/>
        <v>0</v>
      </c>
      <c r="Q530" s="74">
        <f t="shared" si="80"/>
        <v>0</v>
      </c>
    </row>
    <row r="531" spans="1:17" s="57" customFormat="1" ht="48.75" hidden="1" customHeight="1">
      <c r="A531" s="72"/>
      <c r="B531" s="72">
        <f t="shared" si="72"/>
        <v>0</v>
      </c>
      <c r="C531" s="72" t="s">
        <v>5391</v>
      </c>
      <c r="D531" s="75">
        <f>Data!X559</f>
        <v>1688.92</v>
      </c>
      <c r="E531" s="74" t="s">
        <v>5</v>
      </c>
      <c r="F531" s="1425"/>
      <c r="G531" s="74">
        <f t="shared" si="73"/>
        <v>0</v>
      </c>
      <c r="H531" s="74"/>
      <c r="I531" s="74">
        <f t="shared" si="74"/>
        <v>0</v>
      </c>
      <c r="J531" s="74"/>
      <c r="K531" s="74">
        <f t="shared" si="75"/>
        <v>0</v>
      </c>
      <c r="L531" s="74"/>
      <c r="M531" s="74">
        <f t="shared" si="76"/>
        <v>0</v>
      </c>
      <c r="N531" s="74">
        <f t="shared" si="77"/>
        <v>0</v>
      </c>
      <c r="O531" s="74">
        <f t="shared" si="78"/>
        <v>0</v>
      </c>
      <c r="P531" s="74">
        <f t="shared" si="79"/>
        <v>0</v>
      </c>
      <c r="Q531" s="74">
        <f t="shared" si="80"/>
        <v>0</v>
      </c>
    </row>
    <row r="532" spans="1:17" s="57" customFormat="1" ht="48.75" hidden="1" customHeight="1">
      <c r="A532" s="72"/>
      <c r="B532" s="72">
        <f t="shared" si="72"/>
        <v>0</v>
      </c>
      <c r="C532" s="72" t="s">
        <v>5585</v>
      </c>
      <c r="D532" s="75">
        <f>Data!X561</f>
        <v>1693.97</v>
      </c>
      <c r="E532" s="74" t="s">
        <v>5</v>
      </c>
      <c r="F532" s="1425"/>
      <c r="G532" s="74">
        <f t="shared" si="73"/>
        <v>0</v>
      </c>
      <c r="H532" s="74"/>
      <c r="I532" s="74">
        <f t="shared" si="74"/>
        <v>0</v>
      </c>
      <c r="J532" s="74"/>
      <c r="K532" s="74">
        <f t="shared" si="75"/>
        <v>0</v>
      </c>
      <c r="L532" s="74"/>
      <c r="M532" s="74">
        <f t="shared" si="76"/>
        <v>0</v>
      </c>
      <c r="N532" s="74">
        <f t="shared" si="77"/>
        <v>0</v>
      </c>
      <c r="O532" s="74">
        <f t="shared" si="78"/>
        <v>0</v>
      </c>
      <c r="P532" s="74">
        <f t="shared" si="79"/>
        <v>0</v>
      </c>
      <c r="Q532" s="74">
        <f t="shared" si="80"/>
        <v>0</v>
      </c>
    </row>
    <row r="533" spans="1:17" s="57" customFormat="1" ht="48.75" hidden="1" customHeight="1">
      <c r="A533" s="72"/>
      <c r="B533" s="72">
        <f t="shared" si="72"/>
        <v>0</v>
      </c>
      <c r="C533" s="72" t="s">
        <v>5393</v>
      </c>
      <c r="D533" s="75">
        <f>Data!X562</f>
        <v>1703.91</v>
      </c>
      <c r="E533" s="74" t="s">
        <v>5</v>
      </c>
      <c r="F533" s="1425"/>
      <c r="G533" s="74">
        <f t="shared" si="73"/>
        <v>0</v>
      </c>
      <c r="H533" s="74"/>
      <c r="I533" s="74">
        <f t="shared" si="74"/>
        <v>0</v>
      </c>
      <c r="J533" s="74"/>
      <c r="K533" s="74">
        <f t="shared" si="75"/>
        <v>0</v>
      </c>
      <c r="L533" s="74"/>
      <c r="M533" s="74">
        <f t="shared" si="76"/>
        <v>0</v>
      </c>
      <c r="N533" s="74">
        <f t="shared" si="77"/>
        <v>0</v>
      </c>
      <c r="O533" s="74">
        <f t="shared" si="78"/>
        <v>0</v>
      </c>
      <c r="P533" s="74">
        <f t="shared" si="79"/>
        <v>0</v>
      </c>
      <c r="Q533" s="74">
        <f t="shared" si="80"/>
        <v>0</v>
      </c>
    </row>
    <row r="534" spans="1:17" s="57" customFormat="1" ht="48.75" hidden="1" customHeight="1">
      <c r="A534" s="72"/>
      <c r="B534" s="72">
        <f t="shared" si="72"/>
        <v>0</v>
      </c>
      <c r="C534" s="72" t="s">
        <v>5394</v>
      </c>
      <c r="D534" s="75">
        <f>Data!X563</f>
        <v>1713.85</v>
      </c>
      <c r="E534" s="74" t="s">
        <v>5</v>
      </c>
      <c r="F534" s="1425"/>
      <c r="G534" s="74">
        <f t="shared" si="73"/>
        <v>0</v>
      </c>
      <c r="H534" s="74"/>
      <c r="I534" s="74">
        <f t="shared" si="74"/>
        <v>0</v>
      </c>
      <c r="J534" s="74"/>
      <c r="K534" s="74">
        <f t="shared" si="75"/>
        <v>0</v>
      </c>
      <c r="L534" s="74"/>
      <c r="M534" s="74">
        <f t="shared" si="76"/>
        <v>0</v>
      </c>
      <c r="N534" s="74">
        <f t="shared" si="77"/>
        <v>0</v>
      </c>
      <c r="O534" s="74">
        <f t="shared" si="78"/>
        <v>0</v>
      </c>
      <c r="P534" s="74">
        <f t="shared" si="79"/>
        <v>0</v>
      </c>
      <c r="Q534" s="74">
        <f t="shared" si="80"/>
        <v>0</v>
      </c>
    </row>
    <row r="535" spans="1:17" s="57" customFormat="1" ht="48.75" hidden="1" customHeight="1">
      <c r="A535" s="72"/>
      <c r="B535" s="72">
        <f t="shared" si="72"/>
        <v>0</v>
      </c>
      <c r="C535" s="72" t="s">
        <v>5395</v>
      </c>
      <c r="D535" s="75">
        <f>Data!X564</f>
        <v>1723.79</v>
      </c>
      <c r="E535" s="74" t="s">
        <v>5</v>
      </c>
      <c r="F535" s="1425"/>
      <c r="G535" s="74">
        <f t="shared" si="73"/>
        <v>0</v>
      </c>
      <c r="H535" s="74"/>
      <c r="I535" s="74">
        <f t="shared" si="74"/>
        <v>0</v>
      </c>
      <c r="J535" s="74"/>
      <c r="K535" s="74">
        <f t="shared" si="75"/>
        <v>0</v>
      </c>
      <c r="L535" s="74"/>
      <c r="M535" s="74">
        <f t="shared" si="76"/>
        <v>0</v>
      </c>
      <c r="N535" s="74">
        <f t="shared" si="77"/>
        <v>0</v>
      </c>
      <c r="O535" s="74">
        <f t="shared" si="78"/>
        <v>0</v>
      </c>
      <c r="P535" s="74">
        <f t="shared" si="79"/>
        <v>0</v>
      </c>
      <c r="Q535" s="74">
        <f t="shared" si="80"/>
        <v>0</v>
      </c>
    </row>
    <row r="536" spans="1:17" ht="48.75" hidden="1" customHeight="1">
      <c r="A536" s="56"/>
      <c r="B536" s="72">
        <f t="shared" si="72"/>
        <v>0</v>
      </c>
      <c r="C536" s="72" t="s">
        <v>5396</v>
      </c>
      <c r="D536" s="75">
        <f>Data!X565</f>
        <v>1733.73</v>
      </c>
      <c r="E536" s="74" t="s">
        <v>5</v>
      </c>
      <c r="F536" s="1425"/>
      <c r="G536" s="74">
        <f t="shared" si="73"/>
        <v>0</v>
      </c>
      <c r="H536" s="74"/>
      <c r="I536" s="74">
        <f t="shared" si="74"/>
        <v>0</v>
      </c>
      <c r="J536" s="74"/>
      <c r="K536" s="74">
        <f t="shared" si="75"/>
        <v>0</v>
      </c>
      <c r="L536" s="74"/>
      <c r="M536" s="74">
        <f t="shared" si="76"/>
        <v>0</v>
      </c>
      <c r="N536" s="74">
        <f t="shared" si="77"/>
        <v>0</v>
      </c>
      <c r="O536" s="74">
        <f t="shared" si="78"/>
        <v>0</v>
      </c>
      <c r="P536" s="74">
        <f t="shared" si="79"/>
        <v>0</v>
      </c>
      <c r="Q536" s="74">
        <f t="shared" si="80"/>
        <v>0</v>
      </c>
    </row>
    <row r="537" spans="1:17" s="57" customFormat="1" ht="48.75" hidden="1" customHeight="1">
      <c r="A537" s="72" t="s">
        <v>691</v>
      </c>
      <c r="B537" s="72">
        <f t="shared" si="72"/>
        <v>0</v>
      </c>
      <c r="C537" s="76" t="s">
        <v>3463</v>
      </c>
      <c r="D537" s="75"/>
      <c r="E537" s="74" t="s">
        <v>5</v>
      </c>
      <c r="F537" s="1425"/>
      <c r="G537" s="74">
        <f t="shared" si="73"/>
        <v>0</v>
      </c>
      <c r="H537" s="74"/>
      <c r="I537" s="74">
        <f t="shared" si="74"/>
        <v>0</v>
      </c>
      <c r="J537" s="74"/>
      <c r="K537" s="74">
        <f t="shared" si="75"/>
        <v>0</v>
      </c>
      <c r="L537" s="74"/>
      <c r="M537" s="74">
        <f t="shared" si="76"/>
        <v>0</v>
      </c>
      <c r="N537" s="74">
        <f t="shared" si="77"/>
        <v>0</v>
      </c>
      <c r="O537" s="74">
        <f t="shared" si="78"/>
        <v>0</v>
      </c>
      <c r="P537" s="74">
        <f t="shared" si="79"/>
        <v>0</v>
      </c>
      <c r="Q537" s="74">
        <f t="shared" si="80"/>
        <v>0</v>
      </c>
    </row>
    <row r="538" spans="1:17" s="57" customFormat="1" ht="48.75" hidden="1" customHeight="1">
      <c r="A538" s="72"/>
      <c r="B538" s="72">
        <f t="shared" si="72"/>
        <v>0</v>
      </c>
      <c r="C538" s="72" t="s">
        <v>5583</v>
      </c>
      <c r="D538" s="75">
        <f>Data!AK537</f>
        <v>1554.35</v>
      </c>
      <c r="E538" s="74" t="s">
        <v>5</v>
      </c>
      <c r="F538" s="1425"/>
      <c r="G538" s="74">
        <f t="shared" si="73"/>
        <v>0</v>
      </c>
      <c r="H538" s="74"/>
      <c r="I538" s="74">
        <f t="shared" si="74"/>
        <v>0</v>
      </c>
      <c r="J538" s="74"/>
      <c r="K538" s="74">
        <f t="shared" si="75"/>
        <v>0</v>
      </c>
      <c r="L538" s="74"/>
      <c r="M538" s="74">
        <f t="shared" si="76"/>
        <v>0</v>
      </c>
      <c r="N538" s="74">
        <f t="shared" si="77"/>
        <v>0</v>
      </c>
      <c r="O538" s="74">
        <f t="shared" si="78"/>
        <v>0</v>
      </c>
      <c r="P538" s="74">
        <f t="shared" si="79"/>
        <v>0</v>
      </c>
      <c r="Q538" s="74">
        <f t="shared" si="80"/>
        <v>0</v>
      </c>
    </row>
    <row r="539" spans="1:17" s="57" customFormat="1" ht="48.75" hidden="1" customHeight="1">
      <c r="A539" s="72"/>
      <c r="B539" s="72">
        <f t="shared" si="72"/>
        <v>0</v>
      </c>
      <c r="C539" s="72" t="s">
        <v>5342</v>
      </c>
      <c r="D539" s="75">
        <f>Data!AK538</f>
        <v>1559.32</v>
      </c>
      <c r="E539" s="74" t="s">
        <v>5</v>
      </c>
      <c r="F539" s="1425"/>
      <c r="G539" s="74">
        <f t="shared" si="73"/>
        <v>0</v>
      </c>
      <c r="H539" s="74"/>
      <c r="I539" s="74">
        <f t="shared" si="74"/>
        <v>0</v>
      </c>
      <c r="J539" s="74"/>
      <c r="K539" s="74">
        <f t="shared" si="75"/>
        <v>0</v>
      </c>
      <c r="L539" s="74"/>
      <c r="M539" s="74">
        <f t="shared" si="76"/>
        <v>0</v>
      </c>
      <c r="N539" s="74">
        <f t="shared" si="77"/>
        <v>0</v>
      </c>
      <c r="O539" s="74">
        <f t="shared" si="78"/>
        <v>0</v>
      </c>
      <c r="P539" s="74">
        <f t="shared" si="79"/>
        <v>0</v>
      </c>
      <c r="Q539" s="74">
        <f t="shared" si="80"/>
        <v>0</v>
      </c>
    </row>
    <row r="540" spans="1:17" s="57" customFormat="1" ht="48.75" hidden="1" customHeight="1">
      <c r="A540" s="72"/>
      <c r="B540" s="72">
        <f t="shared" si="72"/>
        <v>0</v>
      </c>
      <c r="C540" s="72" t="s">
        <v>5343</v>
      </c>
      <c r="D540" s="75">
        <f>Data!AK539</f>
        <v>1564.29</v>
      </c>
      <c r="E540" s="74" t="s">
        <v>5</v>
      </c>
      <c r="F540" s="1425"/>
      <c r="G540" s="74">
        <f t="shared" si="73"/>
        <v>0</v>
      </c>
      <c r="H540" s="74"/>
      <c r="I540" s="74">
        <f t="shared" si="74"/>
        <v>0</v>
      </c>
      <c r="J540" s="74"/>
      <c r="K540" s="74">
        <f t="shared" si="75"/>
        <v>0</v>
      </c>
      <c r="L540" s="74"/>
      <c r="M540" s="74">
        <f t="shared" si="76"/>
        <v>0</v>
      </c>
      <c r="N540" s="74">
        <f t="shared" si="77"/>
        <v>0</v>
      </c>
      <c r="O540" s="74">
        <f t="shared" si="78"/>
        <v>0</v>
      </c>
      <c r="P540" s="74">
        <f t="shared" si="79"/>
        <v>0</v>
      </c>
      <c r="Q540" s="74">
        <f t="shared" si="80"/>
        <v>0</v>
      </c>
    </row>
    <row r="541" spans="1:17" s="57" customFormat="1" ht="48.75" hidden="1" customHeight="1">
      <c r="A541" s="72"/>
      <c r="B541" s="72">
        <f t="shared" si="72"/>
        <v>0</v>
      </c>
      <c r="C541" s="72" t="s">
        <v>5344</v>
      </c>
      <c r="D541" s="75">
        <f>Data!AK540</f>
        <v>1569.26</v>
      </c>
      <c r="E541" s="74" t="s">
        <v>5</v>
      </c>
      <c r="F541" s="1425"/>
      <c r="G541" s="74">
        <f t="shared" si="73"/>
        <v>0</v>
      </c>
      <c r="H541" s="74"/>
      <c r="I541" s="74">
        <f t="shared" si="74"/>
        <v>0</v>
      </c>
      <c r="J541" s="74"/>
      <c r="K541" s="74">
        <f t="shared" si="75"/>
        <v>0</v>
      </c>
      <c r="L541" s="74"/>
      <c r="M541" s="74">
        <f t="shared" si="76"/>
        <v>0</v>
      </c>
      <c r="N541" s="74">
        <f t="shared" si="77"/>
        <v>0</v>
      </c>
      <c r="O541" s="74">
        <f t="shared" si="78"/>
        <v>0</v>
      </c>
      <c r="P541" s="74">
        <f t="shared" si="79"/>
        <v>0</v>
      </c>
      <c r="Q541" s="74">
        <f t="shared" si="80"/>
        <v>0</v>
      </c>
    </row>
    <row r="542" spans="1:17" ht="48.75" hidden="1" customHeight="1">
      <c r="A542" s="56"/>
      <c r="B542" s="72">
        <f t="shared" si="72"/>
        <v>0</v>
      </c>
      <c r="C542" s="72" t="s">
        <v>5345</v>
      </c>
      <c r="D542" s="75">
        <f>Data!AK541</f>
        <v>1574.23</v>
      </c>
      <c r="E542" s="74" t="s">
        <v>5</v>
      </c>
      <c r="F542" s="1425"/>
      <c r="G542" s="74">
        <f t="shared" si="73"/>
        <v>0</v>
      </c>
      <c r="H542" s="74"/>
      <c r="I542" s="74">
        <f t="shared" si="74"/>
        <v>0</v>
      </c>
      <c r="J542" s="74"/>
      <c r="K542" s="74">
        <f t="shared" si="75"/>
        <v>0</v>
      </c>
      <c r="L542" s="74"/>
      <c r="M542" s="74">
        <f t="shared" si="76"/>
        <v>0</v>
      </c>
      <c r="N542" s="74">
        <f t="shared" si="77"/>
        <v>0</v>
      </c>
      <c r="O542" s="74">
        <f t="shared" si="78"/>
        <v>0</v>
      </c>
      <c r="P542" s="74">
        <f t="shared" si="79"/>
        <v>0</v>
      </c>
      <c r="Q542" s="74">
        <f t="shared" si="80"/>
        <v>0</v>
      </c>
    </row>
    <row r="543" spans="1:17" s="57" customFormat="1" ht="48.75" hidden="1" customHeight="1">
      <c r="A543" s="72" t="s">
        <v>698</v>
      </c>
      <c r="B543" s="72">
        <f t="shared" si="72"/>
        <v>0</v>
      </c>
      <c r="C543" s="76" t="s">
        <v>3466</v>
      </c>
      <c r="D543" s="75"/>
      <c r="E543" s="74" t="s">
        <v>5</v>
      </c>
      <c r="F543" s="1425"/>
      <c r="G543" s="74">
        <f t="shared" si="73"/>
        <v>0</v>
      </c>
      <c r="H543" s="74"/>
      <c r="I543" s="74">
        <f t="shared" si="74"/>
        <v>0</v>
      </c>
      <c r="J543" s="74"/>
      <c r="K543" s="74">
        <f t="shared" si="75"/>
        <v>0</v>
      </c>
      <c r="L543" s="74"/>
      <c r="M543" s="74">
        <f t="shared" si="76"/>
        <v>0</v>
      </c>
      <c r="N543" s="74">
        <f t="shared" si="77"/>
        <v>0</v>
      </c>
      <c r="O543" s="74">
        <f t="shared" si="78"/>
        <v>0</v>
      </c>
      <c r="P543" s="74">
        <f t="shared" si="79"/>
        <v>0</v>
      </c>
      <c r="Q543" s="74">
        <f t="shared" si="80"/>
        <v>0</v>
      </c>
    </row>
    <row r="544" spans="1:17" s="57" customFormat="1" ht="48.75" hidden="1" customHeight="1">
      <c r="A544" s="72"/>
      <c r="B544" s="72">
        <f t="shared" si="72"/>
        <v>0</v>
      </c>
      <c r="C544" s="72" t="s">
        <v>5391</v>
      </c>
      <c r="D544" s="75">
        <f>Data!AK559</f>
        <v>1716.45</v>
      </c>
      <c r="E544" s="74" t="s">
        <v>5</v>
      </c>
      <c r="F544" s="1425"/>
      <c r="G544" s="74">
        <f t="shared" si="73"/>
        <v>0</v>
      </c>
      <c r="H544" s="74"/>
      <c r="I544" s="74">
        <f t="shared" si="74"/>
        <v>0</v>
      </c>
      <c r="J544" s="74"/>
      <c r="K544" s="74">
        <f t="shared" si="75"/>
        <v>0</v>
      </c>
      <c r="L544" s="74"/>
      <c r="M544" s="74">
        <f t="shared" si="76"/>
        <v>0</v>
      </c>
      <c r="N544" s="74">
        <f t="shared" si="77"/>
        <v>0</v>
      </c>
      <c r="O544" s="74">
        <f t="shared" si="78"/>
        <v>0</v>
      </c>
      <c r="P544" s="74">
        <f t="shared" si="79"/>
        <v>0</v>
      </c>
      <c r="Q544" s="74">
        <f t="shared" si="80"/>
        <v>0</v>
      </c>
    </row>
    <row r="545" spans="1:17" s="57" customFormat="1" ht="48.75" hidden="1" customHeight="1">
      <c r="A545" s="72"/>
      <c r="B545" s="72">
        <f t="shared" si="72"/>
        <v>0</v>
      </c>
      <c r="C545" s="72" t="s">
        <v>5585</v>
      </c>
      <c r="D545" s="75">
        <f>Data!AK561</f>
        <v>1721.5</v>
      </c>
      <c r="E545" s="74" t="s">
        <v>5</v>
      </c>
      <c r="F545" s="1425"/>
      <c r="G545" s="74">
        <f t="shared" si="73"/>
        <v>0</v>
      </c>
      <c r="H545" s="74"/>
      <c r="I545" s="74">
        <f t="shared" si="74"/>
        <v>0</v>
      </c>
      <c r="J545" s="74"/>
      <c r="K545" s="74">
        <f t="shared" si="75"/>
        <v>0</v>
      </c>
      <c r="L545" s="74"/>
      <c r="M545" s="74">
        <f t="shared" si="76"/>
        <v>0</v>
      </c>
      <c r="N545" s="74">
        <f t="shared" si="77"/>
        <v>0</v>
      </c>
      <c r="O545" s="74">
        <f t="shared" si="78"/>
        <v>0</v>
      </c>
      <c r="P545" s="74">
        <f t="shared" si="79"/>
        <v>0</v>
      </c>
      <c r="Q545" s="74">
        <f t="shared" si="80"/>
        <v>0</v>
      </c>
    </row>
    <row r="546" spans="1:17" s="57" customFormat="1" ht="48.75" hidden="1" customHeight="1">
      <c r="A546" s="72"/>
      <c r="B546" s="72">
        <f t="shared" si="72"/>
        <v>0</v>
      </c>
      <c r="C546" s="72" t="s">
        <v>5393</v>
      </c>
      <c r="D546" s="75">
        <f>Data!AK562</f>
        <v>1731.44</v>
      </c>
      <c r="E546" s="74" t="s">
        <v>5</v>
      </c>
      <c r="F546" s="1425"/>
      <c r="G546" s="74">
        <f t="shared" si="73"/>
        <v>0</v>
      </c>
      <c r="H546" s="74"/>
      <c r="I546" s="74">
        <f t="shared" si="74"/>
        <v>0</v>
      </c>
      <c r="J546" s="74"/>
      <c r="K546" s="74">
        <f t="shared" si="75"/>
        <v>0</v>
      </c>
      <c r="L546" s="74"/>
      <c r="M546" s="74">
        <f t="shared" si="76"/>
        <v>0</v>
      </c>
      <c r="N546" s="74">
        <f t="shared" si="77"/>
        <v>0</v>
      </c>
      <c r="O546" s="74">
        <f t="shared" si="78"/>
        <v>0</v>
      </c>
      <c r="P546" s="74">
        <f t="shared" si="79"/>
        <v>0</v>
      </c>
      <c r="Q546" s="74">
        <f t="shared" si="80"/>
        <v>0</v>
      </c>
    </row>
    <row r="547" spans="1:17" s="57" customFormat="1" ht="48.75" hidden="1" customHeight="1">
      <c r="A547" s="72"/>
      <c r="B547" s="72">
        <f t="shared" si="72"/>
        <v>0</v>
      </c>
      <c r="C547" s="72" t="s">
        <v>5394</v>
      </c>
      <c r="D547" s="75">
        <f>Data!AK563</f>
        <v>1741.38</v>
      </c>
      <c r="E547" s="74" t="s">
        <v>5</v>
      </c>
      <c r="F547" s="1425"/>
      <c r="G547" s="74">
        <f t="shared" si="73"/>
        <v>0</v>
      </c>
      <c r="H547" s="74"/>
      <c r="I547" s="74">
        <f t="shared" si="74"/>
        <v>0</v>
      </c>
      <c r="J547" s="74"/>
      <c r="K547" s="74">
        <f t="shared" si="75"/>
        <v>0</v>
      </c>
      <c r="L547" s="74"/>
      <c r="M547" s="74">
        <f t="shared" si="76"/>
        <v>0</v>
      </c>
      <c r="N547" s="74">
        <f t="shared" si="77"/>
        <v>0</v>
      </c>
      <c r="O547" s="74">
        <f t="shared" si="78"/>
        <v>0</v>
      </c>
      <c r="P547" s="74">
        <f t="shared" si="79"/>
        <v>0</v>
      </c>
      <c r="Q547" s="74">
        <f t="shared" si="80"/>
        <v>0</v>
      </c>
    </row>
    <row r="548" spans="1:17" s="57" customFormat="1" ht="48.75" hidden="1" customHeight="1">
      <c r="A548" s="72"/>
      <c r="B548" s="72">
        <f t="shared" si="72"/>
        <v>0</v>
      </c>
      <c r="C548" s="72" t="s">
        <v>5395</v>
      </c>
      <c r="D548" s="75">
        <f>Data!AK564</f>
        <v>1751.32</v>
      </c>
      <c r="E548" s="74" t="s">
        <v>5</v>
      </c>
      <c r="F548" s="1425"/>
      <c r="G548" s="74">
        <f t="shared" si="73"/>
        <v>0</v>
      </c>
      <c r="H548" s="74"/>
      <c r="I548" s="74">
        <f t="shared" si="74"/>
        <v>0</v>
      </c>
      <c r="J548" s="74"/>
      <c r="K548" s="74">
        <f t="shared" si="75"/>
        <v>0</v>
      </c>
      <c r="L548" s="74"/>
      <c r="M548" s="74">
        <f t="shared" si="76"/>
        <v>0</v>
      </c>
      <c r="N548" s="74">
        <f t="shared" si="77"/>
        <v>0</v>
      </c>
      <c r="O548" s="74">
        <f t="shared" si="78"/>
        <v>0</v>
      </c>
      <c r="P548" s="74">
        <f t="shared" si="79"/>
        <v>0</v>
      </c>
      <c r="Q548" s="74">
        <f t="shared" si="80"/>
        <v>0</v>
      </c>
    </row>
    <row r="549" spans="1:17" ht="48.75" hidden="1" customHeight="1">
      <c r="A549" s="56"/>
      <c r="B549" s="72">
        <f t="shared" si="72"/>
        <v>0</v>
      </c>
      <c r="C549" s="72" t="s">
        <v>5396</v>
      </c>
      <c r="D549" s="75">
        <f>Data!AK565</f>
        <v>1761.26</v>
      </c>
      <c r="E549" s="74" t="s">
        <v>5</v>
      </c>
      <c r="F549" s="1425"/>
      <c r="G549" s="74">
        <f t="shared" si="73"/>
        <v>0</v>
      </c>
      <c r="H549" s="74"/>
      <c r="I549" s="74">
        <f t="shared" si="74"/>
        <v>0</v>
      </c>
      <c r="J549" s="74"/>
      <c r="K549" s="74">
        <f t="shared" si="75"/>
        <v>0</v>
      </c>
      <c r="L549" s="74"/>
      <c r="M549" s="74">
        <f t="shared" si="76"/>
        <v>0</v>
      </c>
      <c r="N549" s="74">
        <f t="shared" si="77"/>
        <v>0</v>
      </c>
      <c r="O549" s="74">
        <f t="shared" si="78"/>
        <v>0</v>
      </c>
      <c r="P549" s="74">
        <f t="shared" si="79"/>
        <v>0</v>
      </c>
      <c r="Q549" s="74">
        <f t="shared" si="80"/>
        <v>0</v>
      </c>
    </row>
    <row r="550" spans="1:17" ht="48.75" hidden="1" customHeight="1">
      <c r="A550" s="72" t="s">
        <v>691</v>
      </c>
      <c r="B550" s="72">
        <f t="shared" si="72"/>
        <v>0</v>
      </c>
      <c r="C550" s="76" t="s">
        <v>5586</v>
      </c>
      <c r="D550" s="75"/>
      <c r="E550" s="74" t="s">
        <v>5</v>
      </c>
      <c r="F550" s="1425"/>
      <c r="G550" s="74">
        <f t="shared" si="73"/>
        <v>0</v>
      </c>
      <c r="H550" s="74"/>
      <c r="I550" s="74">
        <f t="shared" si="74"/>
        <v>0</v>
      </c>
      <c r="J550" s="74"/>
      <c r="K550" s="74">
        <f t="shared" si="75"/>
        <v>0</v>
      </c>
      <c r="L550" s="74"/>
      <c r="M550" s="74">
        <f t="shared" si="76"/>
        <v>0</v>
      </c>
      <c r="N550" s="74">
        <f t="shared" si="77"/>
        <v>0</v>
      </c>
      <c r="O550" s="74">
        <f t="shared" si="78"/>
        <v>0</v>
      </c>
      <c r="P550" s="74">
        <f t="shared" si="79"/>
        <v>0</v>
      </c>
      <c r="Q550" s="74">
        <f t="shared" si="80"/>
        <v>0</v>
      </c>
    </row>
    <row r="551" spans="1:17" ht="48.75" hidden="1" customHeight="1">
      <c r="A551" s="72"/>
      <c r="B551" s="72">
        <f t="shared" si="72"/>
        <v>0</v>
      </c>
      <c r="C551" s="72" t="s">
        <v>5341</v>
      </c>
      <c r="D551" s="75">
        <f>Data!AD537</f>
        <v>1551.58</v>
      </c>
      <c r="E551" s="74" t="s">
        <v>5</v>
      </c>
      <c r="F551" s="1425"/>
      <c r="G551" s="74">
        <f t="shared" si="73"/>
        <v>0</v>
      </c>
      <c r="H551" s="74"/>
      <c r="I551" s="74">
        <f t="shared" si="74"/>
        <v>0</v>
      </c>
      <c r="J551" s="74"/>
      <c r="K551" s="74">
        <f t="shared" si="75"/>
        <v>0</v>
      </c>
      <c r="L551" s="74"/>
      <c r="M551" s="74">
        <f t="shared" si="76"/>
        <v>0</v>
      </c>
      <c r="N551" s="74">
        <f t="shared" si="77"/>
        <v>0</v>
      </c>
      <c r="O551" s="74">
        <f t="shared" si="78"/>
        <v>0</v>
      </c>
      <c r="P551" s="74">
        <f t="shared" si="79"/>
        <v>0</v>
      </c>
      <c r="Q551" s="74">
        <f t="shared" si="80"/>
        <v>0</v>
      </c>
    </row>
    <row r="552" spans="1:17" ht="48.75" hidden="1" customHeight="1">
      <c r="A552" s="72"/>
      <c r="B552" s="72">
        <f t="shared" si="72"/>
        <v>0</v>
      </c>
      <c r="C552" s="72" t="s">
        <v>5342</v>
      </c>
      <c r="D552" s="75">
        <f>Data!AD538</f>
        <v>1556.55</v>
      </c>
      <c r="E552" s="74" t="s">
        <v>5</v>
      </c>
      <c r="F552" s="1425"/>
      <c r="G552" s="74">
        <f t="shared" si="73"/>
        <v>0</v>
      </c>
      <c r="H552" s="74"/>
      <c r="I552" s="74">
        <f t="shared" si="74"/>
        <v>0</v>
      </c>
      <c r="J552" s="74"/>
      <c r="K552" s="74">
        <f t="shared" si="75"/>
        <v>0</v>
      </c>
      <c r="L552" s="74"/>
      <c r="M552" s="74">
        <f t="shared" si="76"/>
        <v>0</v>
      </c>
      <c r="N552" s="74">
        <f t="shared" si="77"/>
        <v>0</v>
      </c>
      <c r="O552" s="74">
        <f t="shared" si="78"/>
        <v>0</v>
      </c>
      <c r="P552" s="74">
        <f t="shared" si="79"/>
        <v>0</v>
      </c>
      <c r="Q552" s="74">
        <f t="shared" si="80"/>
        <v>0</v>
      </c>
    </row>
    <row r="553" spans="1:17" ht="48.75" hidden="1" customHeight="1">
      <c r="A553" s="72"/>
      <c r="B553" s="72">
        <f t="shared" si="72"/>
        <v>0</v>
      </c>
      <c r="C553" s="72" t="s">
        <v>5343</v>
      </c>
      <c r="D553" s="75">
        <f>Data!AD539</f>
        <v>1561.52</v>
      </c>
      <c r="E553" s="74" t="s">
        <v>5</v>
      </c>
      <c r="F553" s="1425"/>
      <c r="G553" s="74">
        <f t="shared" si="73"/>
        <v>0</v>
      </c>
      <c r="H553" s="74"/>
      <c r="I553" s="74">
        <f t="shared" si="74"/>
        <v>0</v>
      </c>
      <c r="J553" s="74"/>
      <c r="K553" s="74">
        <f t="shared" si="75"/>
        <v>0</v>
      </c>
      <c r="L553" s="74"/>
      <c r="M553" s="74">
        <f t="shared" si="76"/>
        <v>0</v>
      </c>
      <c r="N553" s="74">
        <f t="shared" si="77"/>
        <v>0</v>
      </c>
      <c r="O553" s="74">
        <f t="shared" si="78"/>
        <v>0</v>
      </c>
      <c r="P553" s="74">
        <f t="shared" si="79"/>
        <v>0</v>
      </c>
      <c r="Q553" s="74">
        <f t="shared" si="80"/>
        <v>0</v>
      </c>
    </row>
    <row r="554" spans="1:17" ht="48.75" hidden="1" customHeight="1">
      <c r="A554" s="72"/>
      <c r="B554" s="72">
        <f t="shared" si="72"/>
        <v>0</v>
      </c>
      <c r="C554" s="72" t="s">
        <v>5344</v>
      </c>
      <c r="D554" s="75">
        <f>Data!AD540</f>
        <v>1566.49</v>
      </c>
      <c r="E554" s="74" t="s">
        <v>5</v>
      </c>
      <c r="F554" s="1425"/>
      <c r="G554" s="74">
        <f t="shared" si="73"/>
        <v>0</v>
      </c>
      <c r="H554" s="74"/>
      <c r="I554" s="74">
        <f t="shared" si="74"/>
        <v>0</v>
      </c>
      <c r="J554" s="74"/>
      <c r="K554" s="74">
        <f t="shared" si="75"/>
        <v>0</v>
      </c>
      <c r="L554" s="74"/>
      <c r="M554" s="74">
        <f t="shared" si="76"/>
        <v>0</v>
      </c>
      <c r="N554" s="74">
        <f t="shared" si="77"/>
        <v>0</v>
      </c>
      <c r="O554" s="74">
        <f t="shared" si="78"/>
        <v>0</v>
      </c>
      <c r="P554" s="74">
        <f t="shared" si="79"/>
        <v>0</v>
      </c>
      <c r="Q554" s="74">
        <f t="shared" si="80"/>
        <v>0</v>
      </c>
    </row>
    <row r="555" spans="1:17" ht="48.75" hidden="1" customHeight="1">
      <c r="A555" s="56"/>
      <c r="B555" s="72">
        <f t="shared" si="72"/>
        <v>0</v>
      </c>
      <c r="C555" s="72" t="s">
        <v>5345</v>
      </c>
      <c r="D555" s="75">
        <f>Data!AD541</f>
        <v>1571.46</v>
      </c>
      <c r="E555" s="74" t="s">
        <v>5</v>
      </c>
      <c r="F555" s="1425"/>
      <c r="G555" s="74">
        <f t="shared" si="73"/>
        <v>0</v>
      </c>
      <c r="H555" s="74"/>
      <c r="I555" s="74">
        <f t="shared" si="74"/>
        <v>0</v>
      </c>
      <c r="J555" s="74"/>
      <c r="K555" s="74">
        <f t="shared" si="75"/>
        <v>0</v>
      </c>
      <c r="L555" s="74"/>
      <c r="M555" s="74">
        <f t="shared" si="76"/>
        <v>0</v>
      </c>
      <c r="N555" s="74">
        <f t="shared" si="77"/>
        <v>0</v>
      </c>
      <c r="O555" s="74">
        <f t="shared" si="78"/>
        <v>0</v>
      </c>
      <c r="P555" s="74">
        <f t="shared" si="79"/>
        <v>0</v>
      </c>
      <c r="Q555" s="74">
        <f t="shared" si="80"/>
        <v>0</v>
      </c>
    </row>
    <row r="556" spans="1:17" ht="48.75" hidden="1" customHeight="1">
      <c r="A556" s="72" t="s">
        <v>698</v>
      </c>
      <c r="B556" s="72">
        <f t="shared" si="72"/>
        <v>0</v>
      </c>
      <c r="C556" s="76" t="s">
        <v>5587</v>
      </c>
      <c r="D556" s="75"/>
      <c r="E556" s="74" t="s">
        <v>5</v>
      </c>
      <c r="F556" s="1425"/>
      <c r="G556" s="74">
        <f t="shared" si="73"/>
        <v>0</v>
      </c>
      <c r="H556" s="74"/>
      <c r="I556" s="74">
        <f t="shared" si="74"/>
        <v>0</v>
      </c>
      <c r="J556" s="74"/>
      <c r="K556" s="74">
        <f t="shared" si="75"/>
        <v>0</v>
      </c>
      <c r="L556" s="74"/>
      <c r="M556" s="74">
        <f t="shared" si="76"/>
        <v>0</v>
      </c>
      <c r="N556" s="74">
        <f t="shared" si="77"/>
        <v>0</v>
      </c>
      <c r="O556" s="74">
        <f t="shared" si="78"/>
        <v>0</v>
      </c>
      <c r="P556" s="74">
        <f t="shared" si="79"/>
        <v>0</v>
      </c>
      <c r="Q556" s="74">
        <f t="shared" si="80"/>
        <v>0</v>
      </c>
    </row>
    <row r="557" spans="1:17" ht="48.75" hidden="1" customHeight="1">
      <c r="A557" s="72"/>
      <c r="B557" s="72">
        <f t="shared" si="72"/>
        <v>0</v>
      </c>
      <c r="C557" s="72" t="s">
        <v>5391</v>
      </c>
      <c r="D557" s="75">
        <f>Data!AD559</f>
        <v>1710.9</v>
      </c>
      <c r="E557" s="74" t="s">
        <v>5</v>
      </c>
      <c r="F557" s="1425"/>
      <c r="G557" s="74">
        <f t="shared" si="73"/>
        <v>0</v>
      </c>
      <c r="H557" s="74"/>
      <c r="I557" s="74">
        <f t="shared" si="74"/>
        <v>0</v>
      </c>
      <c r="J557" s="74"/>
      <c r="K557" s="74">
        <f t="shared" si="75"/>
        <v>0</v>
      </c>
      <c r="L557" s="74"/>
      <c r="M557" s="74">
        <f t="shared" si="76"/>
        <v>0</v>
      </c>
      <c r="N557" s="74">
        <f t="shared" si="77"/>
        <v>0</v>
      </c>
      <c r="O557" s="74">
        <f t="shared" si="78"/>
        <v>0</v>
      </c>
      <c r="P557" s="74">
        <f t="shared" si="79"/>
        <v>0</v>
      </c>
      <c r="Q557" s="74">
        <f t="shared" si="80"/>
        <v>0</v>
      </c>
    </row>
    <row r="558" spans="1:17" ht="48.75" hidden="1" customHeight="1">
      <c r="A558" s="72"/>
      <c r="B558" s="72">
        <f t="shared" si="72"/>
        <v>0</v>
      </c>
      <c r="C558" s="72" t="s">
        <v>5392</v>
      </c>
      <c r="D558" s="75">
        <f>Data!AD561</f>
        <v>1715.95</v>
      </c>
      <c r="E558" s="74" t="s">
        <v>5</v>
      </c>
      <c r="F558" s="1425"/>
      <c r="G558" s="74">
        <f t="shared" si="73"/>
        <v>0</v>
      </c>
      <c r="H558" s="74"/>
      <c r="I558" s="74">
        <f t="shared" si="74"/>
        <v>0</v>
      </c>
      <c r="J558" s="74"/>
      <c r="K558" s="74">
        <f t="shared" si="75"/>
        <v>0</v>
      </c>
      <c r="L558" s="74"/>
      <c r="M558" s="74">
        <f t="shared" si="76"/>
        <v>0</v>
      </c>
      <c r="N558" s="74">
        <f t="shared" si="77"/>
        <v>0</v>
      </c>
      <c r="O558" s="74">
        <f t="shared" si="78"/>
        <v>0</v>
      </c>
      <c r="P558" s="74">
        <f t="shared" si="79"/>
        <v>0</v>
      </c>
      <c r="Q558" s="74">
        <f t="shared" si="80"/>
        <v>0</v>
      </c>
    </row>
    <row r="559" spans="1:17" ht="48.75" hidden="1" customHeight="1">
      <c r="A559" s="72"/>
      <c r="B559" s="72">
        <f t="shared" si="72"/>
        <v>0</v>
      </c>
      <c r="C559" s="72" t="s">
        <v>5393</v>
      </c>
      <c r="D559" s="75">
        <f>Data!AD562</f>
        <v>1725.89</v>
      </c>
      <c r="E559" s="74" t="s">
        <v>5</v>
      </c>
      <c r="F559" s="1425"/>
      <c r="G559" s="74">
        <f t="shared" si="73"/>
        <v>0</v>
      </c>
      <c r="H559" s="74"/>
      <c r="I559" s="74">
        <f t="shared" si="74"/>
        <v>0</v>
      </c>
      <c r="J559" s="74"/>
      <c r="K559" s="74">
        <f t="shared" si="75"/>
        <v>0</v>
      </c>
      <c r="L559" s="74"/>
      <c r="M559" s="74">
        <f t="shared" si="76"/>
        <v>0</v>
      </c>
      <c r="N559" s="74">
        <f t="shared" si="77"/>
        <v>0</v>
      </c>
      <c r="O559" s="74">
        <f t="shared" si="78"/>
        <v>0</v>
      </c>
      <c r="P559" s="74">
        <f t="shared" si="79"/>
        <v>0</v>
      </c>
      <c r="Q559" s="74">
        <f t="shared" si="80"/>
        <v>0</v>
      </c>
    </row>
    <row r="560" spans="1:17" ht="48.75" hidden="1" customHeight="1">
      <c r="A560" s="72"/>
      <c r="B560" s="72">
        <f t="shared" si="72"/>
        <v>0</v>
      </c>
      <c r="C560" s="72" t="s">
        <v>5394</v>
      </c>
      <c r="D560" s="75">
        <f>Data!AD563</f>
        <v>1735.83</v>
      </c>
      <c r="E560" s="74" t="s">
        <v>5</v>
      </c>
      <c r="F560" s="1425"/>
      <c r="G560" s="74">
        <f t="shared" si="73"/>
        <v>0</v>
      </c>
      <c r="H560" s="74"/>
      <c r="I560" s="74">
        <f t="shared" si="74"/>
        <v>0</v>
      </c>
      <c r="J560" s="74"/>
      <c r="K560" s="74">
        <f t="shared" si="75"/>
        <v>0</v>
      </c>
      <c r="L560" s="74"/>
      <c r="M560" s="74">
        <f t="shared" si="76"/>
        <v>0</v>
      </c>
      <c r="N560" s="74">
        <f t="shared" si="77"/>
        <v>0</v>
      </c>
      <c r="O560" s="74">
        <f t="shared" si="78"/>
        <v>0</v>
      </c>
      <c r="P560" s="74">
        <f t="shared" si="79"/>
        <v>0</v>
      </c>
      <c r="Q560" s="74">
        <f t="shared" si="80"/>
        <v>0</v>
      </c>
    </row>
    <row r="561" spans="1:17" ht="48.75" hidden="1" customHeight="1">
      <c r="A561" s="72"/>
      <c r="B561" s="72">
        <f t="shared" si="72"/>
        <v>0</v>
      </c>
      <c r="C561" s="72" t="s">
        <v>5395</v>
      </c>
      <c r="D561" s="75">
        <f>Data!AD564</f>
        <v>1745.77</v>
      </c>
      <c r="E561" s="74" t="s">
        <v>5</v>
      </c>
      <c r="F561" s="1425"/>
      <c r="G561" s="74">
        <f t="shared" si="73"/>
        <v>0</v>
      </c>
      <c r="H561" s="74"/>
      <c r="I561" s="74">
        <f t="shared" si="74"/>
        <v>0</v>
      </c>
      <c r="J561" s="74"/>
      <c r="K561" s="74">
        <f t="shared" si="75"/>
        <v>0</v>
      </c>
      <c r="L561" s="74"/>
      <c r="M561" s="74">
        <f t="shared" si="76"/>
        <v>0</v>
      </c>
      <c r="N561" s="74">
        <f t="shared" si="77"/>
        <v>0</v>
      </c>
      <c r="O561" s="74">
        <f t="shared" si="78"/>
        <v>0</v>
      </c>
      <c r="P561" s="74">
        <f t="shared" si="79"/>
        <v>0</v>
      </c>
      <c r="Q561" s="74">
        <f t="shared" si="80"/>
        <v>0</v>
      </c>
    </row>
    <row r="562" spans="1:17" ht="48.75" hidden="1" customHeight="1">
      <c r="A562" s="56"/>
      <c r="B562" s="72">
        <f t="shared" si="72"/>
        <v>0</v>
      </c>
      <c r="C562" s="72" t="s">
        <v>5396</v>
      </c>
      <c r="D562" s="75">
        <f>Data!AD565</f>
        <v>1755.71</v>
      </c>
      <c r="E562" s="74" t="s">
        <v>5</v>
      </c>
      <c r="F562" s="1425"/>
      <c r="G562" s="74">
        <f t="shared" si="73"/>
        <v>0</v>
      </c>
      <c r="H562" s="74"/>
      <c r="I562" s="74">
        <f t="shared" si="74"/>
        <v>0</v>
      </c>
      <c r="J562" s="74"/>
      <c r="K562" s="74">
        <f t="shared" si="75"/>
        <v>0</v>
      </c>
      <c r="L562" s="74"/>
      <c r="M562" s="74">
        <f t="shared" si="76"/>
        <v>0</v>
      </c>
      <c r="N562" s="74">
        <f t="shared" si="77"/>
        <v>0</v>
      </c>
      <c r="O562" s="74">
        <f t="shared" si="78"/>
        <v>0</v>
      </c>
      <c r="P562" s="74">
        <f t="shared" si="79"/>
        <v>0</v>
      </c>
      <c r="Q562" s="74">
        <f t="shared" si="80"/>
        <v>0</v>
      </c>
    </row>
    <row r="563" spans="1:17" ht="48.75" hidden="1" customHeight="1">
      <c r="A563" s="56"/>
      <c r="B563" s="72">
        <f t="shared" si="72"/>
        <v>0</v>
      </c>
      <c r="C563" s="85" t="s">
        <v>5588</v>
      </c>
      <c r="D563" s="75"/>
      <c r="E563" s="74" t="s">
        <v>5</v>
      </c>
      <c r="F563" s="1425"/>
      <c r="G563" s="74">
        <f t="shared" si="73"/>
        <v>0</v>
      </c>
      <c r="H563" s="74"/>
      <c r="I563" s="74">
        <f t="shared" si="74"/>
        <v>0</v>
      </c>
      <c r="J563" s="74"/>
      <c r="K563" s="74">
        <f t="shared" si="75"/>
        <v>0</v>
      </c>
      <c r="L563" s="74"/>
      <c r="M563" s="74">
        <f t="shared" si="76"/>
        <v>0</v>
      </c>
      <c r="N563" s="74">
        <f t="shared" si="77"/>
        <v>0</v>
      </c>
      <c r="O563" s="74">
        <f t="shared" si="78"/>
        <v>0</v>
      </c>
      <c r="P563" s="74">
        <f t="shared" si="79"/>
        <v>0</v>
      </c>
      <c r="Q563" s="74">
        <f t="shared" si="80"/>
        <v>0</v>
      </c>
    </row>
    <row r="564" spans="1:17" ht="48.75" hidden="1" customHeight="1">
      <c r="A564" s="56"/>
      <c r="B564" s="72">
        <f t="shared" si="72"/>
        <v>0</v>
      </c>
      <c r="C564" s="72" t="s">
        <v>5589</v>
      </c>
      <c r="D564" s="75">
        <f>Data!AD486</f>
        <v>3100</v>
      </c>
      <c r="E564" s="74" t="s">
        <v>5</v>
      </c>
      <c r="F564" s="1425"/>
      <c r="G564" s="74">
        <f t="shared" si="73"/>
        <v>0</v>
      </c>
      <c r="H564" s="74"/>
      <c r="I564" s="74">
        <f t="shared" si="74"/>
        <v>0</v>
      </c>
      <c r="J564" s="74"/>
      <c r="K564" s="74">
        <f t="shared" si="75"/>
        <v>0</v>
      </c>
      <c r="L564" s="74"/>
      <c r="M564" s="74">
        <f t="shared" si="76"/>
        <v>0</v>
      </c>
      <c r="N564" s="74">
        <f t="shared" si="77"/>
        <v>0</v>
      </c>
      <c r="O564" s="74">
        <f t="shared" si="78"/>
        <v>0</v>
      </c>
      <c r="P564" s="74">
        <f t="shared" si="79"/>
        <v>0</v>
      </c>
      <c r="Q564" s="74">
        <f t="shared" si="80"/>
        <v>0</v>
      </c>
    </row>
    <row r="565" spans="1:17" ht="48.75" hidden="1" customHeight="1">
      <c r="A565" s="56"/>
      <c r="B565" s="72">
        <f t="shared" si="72"/>
        <v>0</v>
      </c>
      <c r="C565" s="72" t="s">
        <v>5342</v>
      </c>
      <c r="D565" s="75">
        <f>Data!AD487</f>
        <v>3109.26</v>
      </c>
      <c r="E565" s="74" t="s">
        <v>5</v>
      </c>
      <c r="F565" s="1425"/>
      <c r="G565" s="74">
        <f t="shared" si="73"/>
        <v>0</v>
      </c>
      <c r="H565" s="74"/>
      <c r="I565" s="74">
        <f t="shared" si="74"/>
        <v>0</v>
      </c>
      <c r="J565" s="74"/>
      <c r="K565" s="74">
        <f t="shared" si="75"/>
        <v>0</v>
      </c>
      <c r="L565" s="74"/>
      <c r="M565" s="74">
        <f t="shared" si="76"/>
        <v>0</v>
      </c>
      <c r="N565" s="74">
        <f t="shared" si="77"/>
        <v>0</v>
      </c>
      <c r="O565" s="74">
        <f t="shared" si="78"/>
        <v>0</v>
      </c>
      <c r="P565" s="74">
        <f t="shared" si="79"/>
        <v>0</v>
      </c>
      <c r="Q565" s="74">
        <f t="shared" si="80"/>
        <v>0</v>
      </c>
    </row>
    <row r="566" spans="1:17" ht="48.75" hidden="1" customHeight="1">
      <c r="A566" s="56"/>
      <c r="B566" s="72">
        <f t="shared" si="72"/>
        <v>0</v>
      </c>
      <c r="C566" s="72" t="s">
        <v>5343</v>
      </c>
      <c r="D566" s="75">
        <f>Data!AD488</f>
        <v>3118.52</v>
      </c>
      <c r="E566" s="74" t="s">
        <v>5</v>
      </c>
      <c r="F566" s="1425"/>
      <c r="G566" s="74">
        <f t="shared" si="73"/>
        <v>0</v>
      </c>
      <c r="H566" s="74"/>
      <c r="I566" s="74">
        <f t="shared" si="74"/>
        <v>0</v>
      </c>
      <c r="J566" s="74"/>
      <c r="K566" s="74">
        <f t="shared" si="75"/>
        <v>0</v>
      </c>
      <c r="L566" s="74"/>
      <c r="M566" s="74">
        <f t="shared" si="76"/>
        <v>0</v>
      </c>
      <c r="N566" s="74">
        <f t="shared" si="77"/>
        <v>0</v>
      </c>
      <c r="O566" s="74">
        <f t="shared" si="78"/>
        <v>0</v>
      </c>
      <c r="P566" s="74">
        <f t="shared" si="79"/>
        <v>0</v>
      </c>
      <c r="Q566" s="74">
        <f t="shared" si="80"/>
        <v>0</v>
      </c>
    </row>
    <row r="567" spans="1:17" ht="48.75" hidden="1" customHeight="1">
      <c r="A567" s="56"/>
      <c r="B567" s="72">
        <f t="shared" si="72"/>
        <v>0</v>
      </c>
      <c r="C567" s="72" t="s">
        <v>5344</v>
      </c>
      <c r="D567" s="75">
        <f>Data!AD489</f>
        <v>3127.78</v>
      </c>
      <c r="E567" s="74" t="s">
        <v>5</v>
      </c>
      <c r="F567" s="1425"/>
      <c r="G567" s="74">
        <f t="shared" si="73"/>
        <v>0</v>
      </c>
      <c r="H567" s="74"/>
      <c r="I567" s="74">
        <f t="shared" si="74"/>
        <v>0</v>
      </c>
      <c r="J567" s="74"/>
      <c r="K567" s="74">
        <f t="shared" si="75"/>
        <v>0</v>
      </c>
      <c r="L567" s="74"/>
      <c r="M567" s="74">
        <f t="shared" si="76"/>
        <v>0</v>
      </c>
      <c r="N567" s="74">
        <f t="shared" si="77"/>
        <v>0</v>
      </c>
      <c r="O567" s="74">
        <f t="shared" si="78"/>
        <v>0</v>
      </c>
      <c r="P567" s="74">
        <f t="shared" si="79"/>
        <v>0</v>
      </c>
      <c r="Q567" s="74">
        <f t="shared" si="80"/>
        <v>0</v>
      </c>
    </row>
    <row r="568" spans="1:17" ht="48.75" hidden="1" customHeight="1">
      <c r="A568" s="56"/>
      <c r="B568" s="72">
        <f t="shared" si="72"/>
        <v>0</v>
      </c>
      <c r="C568" s="72" t="s">
        <v>5345</v>
      </c>
      <c r="D568" s="75">
        <f>Data!AD490</f>
        <v>3137.04</v>
      </c>
      <c r="E568" s="74" t="s">
        <v>5</v>
      </c>
      <c r="F568" s="1425"/>
      <c r="G568" s="74">
        <f t="shared" si="73"/>
        <v>0</v>
      </c>
      <c r="H568" s="74"/>
      <c r="I568" s="74">
        <f t="shared" si="74"/>
        <v>0</v>
      </c>
      <c r="J568" s="74"/>
      <c r="K568" s="74">
        <f t="shared" si="75"/>
        <v>0</v>
      </c>
      <c r="L568" s="74"/>
      <c r="M568" s="74">
        <f t="shared" si="76"/>
        <v>0</v>
      </c>
      <c r="N568" s="74">
        <f t="shared" si="77"/>
        <v>0</v>
      </c>
      <c r="O568" s="74">
        <f t="shared" si="78"/>
        <v>0</v>
      </c>
      <c r="P568" s="74">
        <f t="shared" si="79"/>
        <v>0</v>
      </c>
      <c r="Q568" s="74">
        <f t="shared" si="80"/>
        <v>0</v>
      </c>
    </row>
    <row r="569" spans="1:17" s="57" customFormat="1" ht="48.75" hidden="1" customHeight="1">
      <c r="A569" s="1226"/>
      <c r="B569" s="72">
        <f t="shared" si="72"/>
        <v>0</v>
      </c>
      <c r="C569" s="72" t="s">
        <v>5590</v>
      </c>
      <c r="D569" s="75"/>
      <c r="E569" s="74" t="s">
        <v>5</v>
      </c>
      <c r="F569" s="1425"/>
      <c r="G569" s="74">
        <f t="shared" si="73"/>
        <v>0</v>
      </c>
      <c r="H569" s="74"/>
      <c r="I569" s="74">
        <f t="shared" si="74"/>
        <v>0</v>
      </c>
      <c r="J569" s="74"/>
      <c r="K569" s="74">
        <f t="shared" si="75"/>
        <v>0</v>
      </c>
      <c r="L569" s="74"/>
      <c r="M569" s="74">
        <f t="shared" si="76"/>
        <v>0</v>
      </c>
      <c r="N569" s="74">
        <f t="shared" si="77"/>
        <v>0</v>
      </c>
      <c r="O569" s="74">
        <f t="shared" si="78"/>
        <v>0</v>
      </c>
      <c r="P569" s="74">
        <f t="shared" si="79"/>
        <v>0</v>
      </c>
      <c r="Q569" s="74">
        <f t="shared" si="80"/>
        <v>0</v>
      </c>
    </row>
    <row r="570" spans="1:17" s="57" customFormat="1" ht="48.75" hidden="1" customHeight="1">
      <c r="A570" s="71"/>
      <c r="B570" s="72">
        <f t="shared" si="72"/>
        <v>0</v>
      </c>
      <c r="C570" s="72" t="s">
        <v>3380</v>
      </c>
      <c r="D570" s="75">
        <f>Data!X486</f>
        <v>3079.48</v>
      </c>
      <c r="E570" s="74" t="s">
        <v>5</v>
      </c>
      <c r="F570" s="1425"/>
      <c r="G570" s="74">
        <f t="shared" si="73"/>
        <v>0</v>
      </c>
      <c r="H570" s="74"/>
      <c r="I570" s="74">
        <f t="shared" si="74"/>
        <v>0</v>
      </c>
      <c r="J570" s="74"/>
      <c r="K570" s="74">
        <f t="shared" si="75"/>
        <v>0</v>
      </c>
      <c r="L570" s="74"/>
      <c r="M570" s="74">
        <f t="shared" si="76"/>
        <v>0</v>
      </c>
      <c r="N570" s="74">
        <f t="shared" si="77"/>
        <v>0</v>
      </c>
      <c r="O570" s="74">
        <f t="shared" si="78"/>
        <v>0</v>
      </c>
      <c r="P570" s="74">
        <f t="shared" si="79"/>
        <v>0</v>
      </c>
      <c r="Q570" s="74">
        <f t="shared" si="80"/>
        <v>0</v>
      </c>
    </row>
    <row r="571" spans="1:17" s="57" customFormat="1" ht="48.75" hidden="1" customHeight="1">
      <c r="A571" s="71"/>
      <c r="B571" s="72">
        <f t="shared" si="72"/>
        <v>0</v>
      </c>
      <c r="C571" s="72" t="s">
        <v>5342</v>
      </c>
      <c r="D571" s="75">
        <f>Data!X487</f>
        <v>3088.74</v>
      </c>
      <c r="E571" s="74" t="s">
        <v>5</v>
      </c>
      <c r="F571" s="1425"/>
      <c r="G571" s="74">
        <f t="shared" si="73"/>
        <v>0</v>
      </c>
      <c r="H571" s="74"/>
      <c r="I571" s="74">
        <f t="shared" si="74"/>
        <v>0</v>
      </c>
      <c r="J571" s="74"/>
      <c r="K571" s="74">
        <f t="shared" si="75"/>
        <v>0</v>
      </c>
      <c r="L571" s="74"/>
      <c r="M571" s="74">
        <f t="shared" si="76"/>
        <v>0</v>
      </c>
      <c r="N571" s="74">
        <f t="shared" si="77"/>
        <v>0</v>
      </c>
      <c r="O571" s="74">
        <f t="shared" si="78"/>
        <v>0</v>
      </c>
      <c r="P571" s="74">
        <f t="shared" si="79"/>
        <v>0</v>
      </c>
      <c r="Q571" s="74">
        <f t="shared" si="80"/>
        <v>0</v>
      </c>
    </row>
    <row r="572" spans="1:17" s="57" customFormat="1" ht="48.75" hidden="1" customHeight="1">
      <c r="A572" s="71"/>
      <c r="B572" s="72">
        <f t="shared" si="72"/>
        <v>0</v>
      </c>
      <c r="C572" s="72" t="s">
        <v>5343</v>
      </c>
      <c r="D572" s="75">
        <f>Data!X488</f>
        <v>3098</v>
      </c>
      <c r="E572" s="74" t="s">
        <v>5</v>
      </c>
      <c r="F572" s="1425"/>
      <c r="G572" s="74">
        <f t="shared" si="73"/>
        <v>0</v>
      </c>
      <c r="H572" s="74"/>
      <c r="I572" s="74">
        <f t="shared" si="74"/>
        <v>0</v>
      </c>
      <c r="J572" s="74"/>
      <c r="K572" s="74">
        <f t="shared" si="75"/>
        <v>0</v>
      </c>
      <c r="L572" s="74"/>
      <c r="M572" s="74">
        <f t="shared" si="76"/>
        <v>0</v>
      </c>
      <c r="N572" s="74">
        <f t="shared" si="77"/>
        <v>0</v>
      </c>
      <c r="O572" s="74">
        <f t="shared" si="78"/>
        <v>0</v>
      </c>
      <c r="P572" s="74">
        <f t="shared" si="79"/>
        <v>0</v>
      </c>
      <c r="Q572" s="74">
        <f t="shared" si="80"/>
        <v>0</v>
      </c>
    </row>
    <row r="573" spans="1:17" s="57" customFormat="1" ht="48.75" hidden="1" customHeight="1">
      <c r="A573" s="71"/>
      <c r="B573" s="72">
        <f t="shared" si="72"/>
        <v>0</v>
      </c>
      <c r="C573" s="72" t="s">
        <v>5344</v>
      </c>
      <c r="D573" s="75">
        <f>Data!X489</f>
        <v>3107.26</v>
      </c>
      <c r="E573" s="74" t="s">
        <v>5</v>
      </c>
      <c r="F573" s="1425"/>
      <c r="G573" s="74">
        <f t="shared" si="73"/>
        <v>0</v>
      </c>
      <c r="H573" s="74"/>
      <c r="I573" s="74">
        <f t="shared" si="74"/>
        <v>0</v>
      </c>
      <c r="J573" s="74"/>
      <c r="K573" s="74">
        <f t="shared" si="75"/>
        <v>0</v>
      </c>
      <c r="L573" s="74"/>
      <c r="M573" s="74">
        <f t="shared" si="76"/>
        <v>0</v>
      </c>
      <c r="N573" s="74">
        <f t="shared" si="77"/>
        <v>0</v>
      </c>
      <c r="O573" s="74">
        <f t="shared" si="78"/>
        <v>0</v>
      </c>
      <c r="P573" s="74">
        <f t="shared" si="79"/>
        <v>0</v>
      </c>
      <c r="Q573" s="74">
        <f t="shared" si="80"/>
        <v>0</v>
      </c>
    </row>
    <row r="574" spans="1:17" s="57" customFormat="1" ht="48.75" hidden="1" customHeight="1">
      <c r="A574" s="78"/>
      <c r="B574" s="72">
        <f t="shared" si="72"/>
        <v>0</v>
      </c>
      <c r="C574" s="72" t="s">
        <v>5345</v>
      </c>
      <c r="D574" s="75">
        <f>Data!X490</f>
        <v>3116.52</v>
      </c>
      <c r="E574" s="74" t="s">
        <v>5</v>
      </c>
      <c r="F574" s="1425"/>
      <c r="G574" s="74">
        <f t="shared" si="73"/>
        <v>0</v>
      </c>
      <c r="H574" s="74"/>
      <c r="I574" s="74">
        <f t="shared" si="74"/>
        <v>0</v>
      </c>
      <c r="J574" s="74"/>
      <c r="K574" s="74">
        <f t="shared" si="75"/>
        <v>0</v>
      </c>
      <c r="L574" s="74"/>
      <c r="M574" s="74">
        <f t="shared" si="76"/>
        <v>0</v>
      </c>
      <c r="N574" s="74">
        <f t="shared" si="77"/>
        <v>0</v>
      </c>
      <c r="O574" s="74">
        <f t="shared" si="78"/>
        <v>0</v>
      </c>
      <c r="P574" s="74">
        <f t="shared" si="79"/>
        <v>0</v>
      </c>
      <c r="Q574" s="74">
        <f t="shared" si="80"/>
        <v>0</v>
      </c>
    </row>
    <row r="575" spans="1:17" s="60" customFormat="1" ht="48.75" hidden="1" customHeight="1">
      <c r="A575" s="78"/>
      <c r="B575" s="72">
        <f t="shared" si="72"/>
        <v>0</v>
      </c>
      <c r="C575" s="72" t="s">
        <v>5347</v>
      </c>
      <c r="D575" s="75">
        <f>Data!X491</f>
        <v>0</v>
      </c>
      <c r="E575" s="74" t="s">
        <v>5</v>
      </c>
      <c r="F575" s="1425"/>
      <c r="G575" s="74">
        <f t="shared" si="73"/>
        <v>0</v>
      </c>
      <c r="H575" s="74"/>
      <c r="I575" s="74">
        <f t="shared" si="74"/>
        <v>0</v>
      </c>
      <c r="J575" s="74"/>
      <c r="K575" s="74">
        <f t="shared" si="75"/>
        <v>0</v>
      </c>
      <c r="L575" s="74"/>
      <c r="M575" s="74">
        <f t="shared" si="76"/>
        <v>0</v>
      </c>
      <c r="N575" s="74">
        <f t="shared" si="77"/>
        <v>0</v>
      </c>
      <c r="O575" s="74">
        <f t="shared" si="78"/>
        <v>0</v>
      </c>
      <c r="P575" s="74">
        <f t="shared" si="79"/>
        <v>0</v>
      </c>
      <c r="Q575" s="74">
        <f t="shared" si="80"/>
        <v>0</v>
      </c>
    </row>
    <row r="576" spans="1:17" ht="48.75" hidden="1" customHeight="1">
      <c r="A576" s="71">
        <v>6.2</v>
      </c>
      <c r="B576" s="72">
        <f t="shared" si="72"/>
        <v>0</v>
      </c>
      <c r="C576" s="76" t="s">
        <v>5591</v>
      </c>
      <c r="D576" s="75">
        <f>Data!AS73</f>
        <v>7070.72</v>
      </c>
      <c r="E576" s="74" t="s">
        <v>5</v>
      </c>
      <c r="F576" s="1425"/>
      <c r="G576" s="74">
        <f t="shared" si="73"/>
        <v>0</v>
      </c>
      <c r="H576" s="74"/>
      <c r="I576" s="74">
        <f t="shared" si="74"/>
        <v>0</v>
      </c>
      <c r="J576" s="74"/>
      <c r="K576" s="74">
        <f t="shared" si="75"/>
        <v>0</v>
      </c>
      <c r="L576" s="74"/>
      <c r="M576" s="74">
        <f t="shared" si="76"/>
        <v>0</v>
      </c>
      <c r="N576" s="74">
        <f t="shared" si="77"/>
        <v>0</v>
      </c>
      <c r="O576" s="74">
        <f t="shared" si="78"/>
        <v>0</v>
      </c>
      <c r="P576" s="74">
        <f t="shared" si="79"/>
        <v>0</v>
      </c>
      <c r="Q576" s="74">
        <f t="shared" si="80"/>
        <v>0</v>
      </c>
    </row>
    <row r="577" spans="1:17" ht="48.75" hidden="1" customHeight="1">
      <c r="A577" s="71">
        <v>9.1999999999999993</v>
      </c>
      <c r="B577" s="72">
        <f t="shared" si="72"/>
        <v>0</v>
      </c>
      <c r="C577" s="76" t="s">
        <v>5592</v>
      </c>
      <c r="D577" s="75"/>
      <c r="E577" s="74" t="s">
        <v>5</v>
      </c>
      <c r="F577" s="1425"/>
      <c r="G577" s="74">
        <f t="shared" si="73"/>
        <v>0</v>
      </c>
      <c r="H577" s="74"/>
      <c r="I577" s="74">
        <f t="shared" si="74"/>
        <v>0</v>
      </c>
      <c r="J577" s="74"/>
      <c r="K577" s="74">
        <f t="shared" si="75"/>
        <v>0</v>
      </c>
      <c r="L577" s="74"/>
      <c r="M577" s="74">
        <f t="shared" si="76"/>
        <v>0</v>
      </c>
      <c r="N577" s="74">
        <f t="shared" si="77"/>
        <v>0</v>
      </c>
      <c r="O577" s="74">
        <f t="shared" si="78"/>
        <v>0</v>
      </c>
      <c r="P577" s="74">
        <f t="shared" si="79"/>
        <v>0</v>
      </c>
      <c r="Q577" s="74">
        <f t="shared" si="80"/>
        <v>0</v>
      </c>
    </row>
    <row r="578" spans="1:17" ht="48.75" hidden="1" customHeight="1">
      <c r="A578" s="71"/>
      <c r="B578" s="72">
        <f t="shared" si="72"/>
        <v>0</v>
      </c>
      <c r="C578" s="72" t="s">
        <v>5583</v>
      </c>
      <c r="D578" s="75">
        <f>Data!AS99</f>
        <v>7078.75</v>
      </c>
      <c r="E578" s="74" t="s">
        <v>5</v>
      </c>
      <c r="F578" s="1425"/>
      <c r="G578" s="74">
        <f t="shared" si="73"/>
        <v>0</v>
      </c>
      <c r="H578" s="74"/>
      <c r="I578" s="74">
        <f t="shared" si="74"/>
        <v>0</v>
      </c>
      <c r="J578" s="74"/>
      <c r="K578" s="74">
        <f t="shared" si="75"/>
        <v>0</v>
      </c>
      <c r="L578" s="74"/>
      <c r="M578" s="74">
        <f t="shared" si="76"/>
        <v>0</v>
      </c>
      <c r="N578" s="74">
        <f t="shared" si="77"/>
        <v>0</v>
      </c>
      <c r="O578" s="74">
        <f t="shared" si="78"/>
        <v>0</v>
      </c>
      <c r="P578" s="74">
        <f t="shared" si="79"/>
        <v>0</v>
      </c>
      <c r="Q578" s="74">
        <f t="shared" si="80"/>
        <v>0</v>
      </c>
    </row>
    <row r="579" spans="1:17" ht="48.75" hidden="1" customHeight="1">
      <c r="A579" s="71"/>
      <c r="B579" s="72">
        <f t="shared" si="72"/>
        <v>0</v>
      </c>
      <c r="C579" s="72" t="s">
        <v>4812</v>
      </c>
      <c r="D579" s="75">
        <f>Data!AS100</f>
        <v>7244.74</v>
      </c>
      <c r="E579" s="74" t="s">
        <v>5</v>
      </c>
      <c r="F579" s="1425"/>
      <c r="G579" s="74">
        <f t="shared" si="73"/>
        <v>0</v>
      </c>
      <c r="H579" s="74"/>
      <c r="I579" s="74">
        <f t="shared" si="74"/>
        <v>0</v>
      </c>
      <c r="J579" s="74"/>
      <c r="K579" s="74">
        <f t="shared" si="75"/>
        <v>0</v>
      </c>
      <c r="L579" s="74"/>
      <c r="M579" s="74">
        <f t="shared" si="76"/>
        <v>0</v>
      </c>
      <c r="N579" s="74">
        <f t="shared" si="77"/>
        <v>0</v>
      </c>
      <c r="O579" s="74">
        <f t="shared" si="78"/>
        <v>0</v>
      </c>
      <c r="P579" s="74">
        <f t="shared" si="79"/>
        <v>0</v>
      </c>
      <c r="Q579" s="74">
        <f t="shared" si="80"/>
        <v>0</v>
      </c>
    </row>
    <row r="580" spans="1:17" ht="48.75" hidden="1" customHeight="1">
      <c r="A580" s="71"/>
      <c r="B580" s="72">
        <f t="shared" si="72"/>
        <v>0</v>
      </c>
      <c r="C580" s="72" t="s">
        <v>5356</v>
      </c>
      <c r="D580" s="75">
        <f>Data!AS101</f>
        <v>7410.73</v>
      </c>
      <c r="E580" s="74" t="s">
        <v>5</v>
      </c>
      <c r="F580" s="1425"/>
      <c r="G580" s="74">
        <f t="shared" si="73"/>
        <v>0</v>
      </c>
      <c r="H580" s="74"/>
      <c r="I580" s="74">
        <f t="shared" si="74"/>
        <v>0</v>
      </c>
      <c r="J580" s="74"/>
      <c r="K580" s="74">
        <f t="shared" si="75"/>
        <v>0</v>
      </c>
      <c r="L580" s="74"/>
      <c r="M580" s="74">
        <f t="shared" si="76"/>
        <v>0</v>
      </c>
      <c r="N580" s="74">
        <f t="shared" si="77"/>
        <v>0</v>
      </c>
      <c r="O580" s="74">
        <f t="shared" si="78"/>
        <v>0</v>
      </c>
      <c r="P580" s="74">
        <f t="shared" si="79"/>
        <v>0</v>
      </c>
      <c r="Q580" s="74">
        <f t="shared" si="80"/>
        <v>0</v>
      </c>
    </row>
    <row r="581" spans="1:17" ht="48.75" hidden="1" customHeight="1">
      <c r="A581" s="71"/>
      <c r="B581" s="72">
        <f t="shared" ref="B581:B644" si="81">P581</f>
        <v>0</v>
      </c>
      <c r="C581" s="72" t="s">
        <v>5357</v>
      </c>
      <c r="D581" s="75">
        <f>Data!AS102</f>
        <v>7576.72</v>
      </c>
      <c r="E581" s="74" t="s">
        <v>5</v>
      </c>
      <c r="F581" s="1425"/>
      <c r="G581" s="74">
        <f t="shared" si="73"/>
        <v>0</v>
      </c>
      <c r="H581" s="74"/>
      <c r="I581" s="74">
        <f t="shared" si="74"/>
        <v>0</v>
      </c>
      <c r="J581" s="74"/>
      <c r="K581" s="74">
        <f t="shared" si="75"/>
        <v>0</v>
      </c>
      <c r="L581" s="74"/>
      <c r="M581" s="74">
        <f t="shared" si="76"/>
        <v>0</v>
      </c>
      <c r="N581" s="74">
        <f t="shared" si="77"/>
        <v>0</v>
      </c>
      <c r="O581" s="74">
        <f t="shared" si="78"/>
        <v>0</v>
      </c>
      <c r="P581" s="74">
        <f t="shared" si="79"/>
        <v>0</v>
      </c>
      <c r="Q581" s="74">
        <f t="shared" si="80"/>
        <v>0</v>
      </c>
    </row>
    <row r="582" spans="1:17" ht="48.75" hidden="1" customHeight="1">
      <c r="A582" s="71"/>
      <c r="B582" s="72">
        <f t="shared" si="81"/>
        <v>0</v>
      </c>
      <c r="C582" s="72" t="s">
        <v>5358</v>
      </c>
      <c r="D582" s="75">
        <f>Data!AS103</f>
        <v>7742.71</v>
      </c>
      <c r="E582" s="74" t="s">
        <v>5</v>
      </c>
      <c r="F582" s="1425"/>
      <c r="G582" s="74">
        <f t="shared" ref="G582:G645" si="82">F582*D582</f>
        <v>0</v>
      </c>
      <c r="H582" s="74"/>
      <c r="I582" s="74">
        <f t="shared" ref="I582:I645" si="83">H582*D582</f>
        <v>0</v>
      </c>
      <c r="J582" s="74"/>
      <c r="K582" s="74">
        <f t="shared" ref="K582:K645" si="84">J582*D582</f>
        <v>0</v>
      </c>
      <c r="L582" s="74"/>
      <c r="M582" s="74">
        <f t="shared" ref="M582:M645" si="85">L582*D582</f>
        <v>0</v>
      </c>
      <c r="N582" s="74">
        <f t="shared" ref="N582:N645" si="86">H582+J582+L582</f>
        <v>0</v>
      </c>
      <c r="O582" s="74">
        <f t="shared" ref="O582:O645" si="87">N582*D582</f>
        <v>0</v>
      </c>
      <c r="P582" s="74">
        <f t="shared" ref="P582:P645" si="88">N582+F582</f>
        <v>0</v>
      </c>
      <c r="Q582" s="74">
        <f t="shared" ref="Q582:Q645" si="89">P582*D582</f>
        <v>0</v>
      </c>
    </row>
    <row r="583" spans="1:17" ht="48.75" hidden="1" customHeight="1">
      <c r="A583" s="71"/>
      <c r="B583" s="72">
        <f t="shared" si="81"/>
        <v>0</v>
      </c>
      <c r="C583" s="72" t="s">
        <v>5593</v>
      </c>
      <c r="D583" s="75">
        <f>Data!AS104</f>
        <v>0</v>
      </c>
      <c r="E583" s="74" t="s">
        <v>5</v>
      </c>
      <c r="F583" s="1425"/>
      <c r="G583" s="74">
        <f t="shared" si="82"/>
        <v>0</v>
      </c>
      <c r="H583" s="74"/>
      <c r="I583" s="74">
        <f t="shared" si="83"/>
        <v>0</v>
      </c>
      <c r="J583" s="74"/>
      <c r="K583" s="74">
        <f t="shared" si="84"/>
        <v>0</v>
      </c>
      <c r="L583" s="74"/>
      <c r="M583" s="74">
        <f t="shared" si="85"/>
        <v>0</v>
      </c>
      <c r="N583" s="74">
        <f t="shared" si="86"/>
        <v>0</v>
      </c>
      <c r="O583" s="74">
        <f t="shared" si="87"/>
        <v>0</v>
      </c>
      <c r="P583" s="74">
        <f t="shared" si="88"/>
        <v>0</v>
      </c>
      <c r="Q583" s="74">
        <f t="shared" si="89"/>
        <v>0</v>
      </c>
    </row>
    <row r="584" spans="1:17" ht="48.75" hidden="1" customHeight="1">
      <c r="A584" s="71">
        <v>10.199999999999999</v>
      </c>
      <c r="B584" s="72">
        <f t="shared" si="81"/>
        <v>0</v>
      </c>
      <c r="C584" s="76" t="s">
        <v>5594</v>
      </c>
      <c r="D584" s="75"/>
      <c r="E584" s="74" t="s">
        <v>5</v>
      </c>
      <c r="F584" s="1425"/>
      <c r="G584" s="74">
        <f t="shared" si="82"/>
        <v>0</v>
      </c>
      <c r="H584" s="74"/>
      <c r="I584" s="74">
        <f t="shared" si="83"/>
        <v>0</v>
      </c>
      <c r="J584" s="74"/>
      <c r="K584" s="74">
        <f t="shared" si="84"/>
        <v>0</v>
      </c>
      <c r="L584" s="74"/>
      <c r="M584" s="74">
        <f t="shared" si="85"/>
        <v>0</v>
      </c>
      <c r="N584" s="74">
        <f t="shared" si="86"/>
        <v>0</v>
      </c>
      <c r="O584" s="74">
        <f t="shared" si="87"/>
        <v>0</v>
      </c>
      <c r="P584" s="74">
        <f t="shared" si="88"/>
        <v>0</v>
      </c>
      <c r="Q584" s="74">
        <f t="shared" si="89"/>
        <v>0</v>
      </c>
    </row>
    <row r="585" spans="1:17" ht="48.75" hidden="1" customHeight="1">
      <c r="A585" s="71"/>
      <c r="B585" s="72">
        <f t="shared" si="81"/>
        <v>0</v>
      </c>
      <c r="C585" s="72" t="s">
        <v>5595</v>
      </c>
      <c r="D585" s="75">
        <f>Data!AS153</f>
        <v>893.72</v>
      </c>
      <c r="E585" s="74" t="s">
        <v>5</v>
      </c>
      <c r="F585" s="1425"/>
      <c r="G585" s="74">
        <f t="shared" si="82"/>
        <v>0</v>
      </c>
      <c r="H585" s="74"/>
      <c r="I585" s="74">
        <f t="shared" si="83"/>
        <v>0</v>
      </c>
      <c r="J585" s="74"/>
      <c r="K585" s="74">
        <f t="shared" si="84"/>
        <v>0</v>
      </c>
      <c r="L585" s="74"/>
      <c r="M585" s="74">
        <f t="shared" si="85"/>
        <v>0</v>
      </c>
      <c r="N585" s="74">
        <f t="shared" si="86"/>
        <v>0</v>
      </c>
      <c r="O585" s="74">
        <f t="shared" si="87"/>
        <v>0</v>
      </c>
      <c r="P585" s="74">
        <f t="shared" si="88"/>
        <v>0</v>
      </c>
      <c r="Q585" s="74">
        <f t="shared" si="89"/>
        <v>0</v>
      </c>
    </row>
    <row r="586" spans="1:17" ht="48.75" hidden="1" customHeight="1">
      <c r="A586" s="71"/>
      <c r="B586" s="72">
        <f t="shared" si="81"/>
        <v>0</v>
      </c>
      <c r="C586" s="72" t="s">
        <v>5585</v>
      </c>
      <c r="D586" s="75">
        <f>Data!AS155</f>
        <v>902.77</v>
      </c>
      <c r="E586" s="74" t="s">
        <v>5</v>
      </c>
      <c r="F586" s="1425"/>
      <c r="G586" s="74">
        <f t="shared" si="82"/>
        <v>0</v>
      </c>
      <c r="H586" s="74"/>
      <c r="I586" s="74">
        <f t="shared" si="83"/>
        <v>0</v>
      </c>
      <c r="J586" s="74"/>
      <c r="K586" s="74">
        <f t="shared" si="84"/>
        <v>0</v>
      </c>
      <c r="L586" s="74"/>
      <c r="M586" s="74">
        <f t="shared" si="85"/>
        <v>0</v>
      </c>
      <c r="N586" s="74">
        <f t="shared" si="86"/>
        <v>0</v>
      </c>
      <c r="O586" s="74">
        <f t="shared" si="87"/>
        <v>0</v>
      </c>
      <c r="P586" s="74">
        <f t="shared" si="88"/>
        <v>0</v>
      </c>
      <c r="Q586" s="74">
        <f t="shared" si="89"/>
        <v>0</v>
      </c>
    </row>
    <row r="587" spans="1:17" ht="48.75" hidden="1" customHeight="1">
      <c r="A587" s="71"/>
      <c r="B587" s="72">
        <f t="shared" si="81"/>
        <v>0</v>
      </c>
      <c r="C587" s="72" t="s">
        <v>5369</v>
      </c>
      <c r="D587" s="75">
        <f>Data!AS156</f>
        <v>921.03</v>
      </c>
      <c r="E587" s="74" t="s">
        <v>5</v>
      </c>
      <c r="F587" s="1425"/>
      <c r="G587" s="74">
        <f t="shared" si="82"/>
        <v>0</v>
      </c>
      <c r="H587" s="74"/>
      <c r="I587" s="74">
        <f t="shared" si="83"/>
        <v>0</v>
      </c>
      <c r="J587" s="74"/>
      <c r="K587" s="74">
        <f t="shared" si="84"/>
        <v>0</v>
      </c>
      <c r="L587" s="74"/>
      <c r="M587" s="74">
        <f t="shared" si="85"/>
        <v>0</v>
      </c>
      <c r="N587" s="74">
        <f t="shared" si="86"/>
        <v>0</v>
      </c>
      <c r="O587" s="74">
        <f t="shared" si="87"/>
        <v>0</v>
      </c>
      <c r="P587" s="74">
        <f t="shared" si="88"/>
        <v>0</v>
      </c>
      <c r="Q587" s="74">
        <f t="shared" si="89"/>
        <v>0</v>
      </c>
    </row>
    <row r="588" spans="1:17" s="55" customFormat="1" ht="48.75" hidden="1" customHeight="1">
      <c r="A588" s="71"/>
      <c r="B588" s="72">
        <f t="shared" si="81"/>
        <v>0</v>
      </c>
      <c r="C588" s="72" t="s">
        <v>5370</v>
      </c>
      <c r="D588" s="75">
        <f>Data!AS157</f>
        <v>939.29</v>
      </c>
      <c r="E588" s="74" t="s">
        <v>5</v>
      </c>
      <c r="F588" s="1425"/>
      <c r="G588" s="74">
        <f t="shared" si="82"/>
        <v>0</v>
      </c>
      <c r="H588" s="74"/>
      <c r="I588" s="74">
        <f t="shared" si="83"/>
        <v>0</v>
      </c>
      <c r="J588" s="74"/>
      <c r="K588" s="74">
        <f t="shared" si="84"/>
        <v>0</v>
      </c>
      <c r="L588" s="74"/>
      <c r="M588" s="74">
        <f t="shared" si="85"/>
        <v>0</v>
      </c>
      <c r="N588" s="74">
        <f t="shared" si="86"/>
        <v>0</v>
      </c>
      <c r="O588" s="74">
        <f t="shared" si="87"/>
        <v>0</v>
      </c>
      <c r="P588" s="74">
        <f t="shared" si="88"/>
        <v>0</v>
      </c>
      <c r="Q588" s="74">
        <f t="shared" si="89"/>
        <v>0</v>
      </c>
    </row>
    <row r="589" spans="1:17" ht="48.75" hidden="1" customHeight="1">
      <c r="A589" s="71"/>
      <c r="B589" s="72">
        <f t="shared" si="81"/>
        <v>0</v>
      </c>
      <c r="C589" s="72" t="s">
        <v>5371</v>
      </c>
      <c r="D589" s="75">
        <f>Data!AS158</f>
        <v>957.55</v>
      </c>
      <c r="E589" s="74" t="s">
        <v>5</v>
      </c>
      <c r="F589" s="1425"/>
      <c r="G589" s="74">
        <f t="shared" si="82"/>
        <v>0</v>
      </c>
      <c r="H589" s="74"/>
      <c r="I589" s="74">
        <f t="shared" si="83"/>
        <v>0</v>
      </c>
      <c r="J589" s="74"/>
      <c r="K589" s="74">
        <f t="shared" si="84"/>
        <v>0</v>
      </c>
      <c r="L589" s="74"/>
      <c r="M589" s="74">
        <f t="shared" si="85"/>
        <v>0</v>
      </c>
      <c r="N589" s="74">
        <f t="shared" si="86"/>
        <v>0</v>
      </c>
      <c r="O589" s="74">
        <f t="shared" si="87"/>
        <v>0</v>
      </c>
      <c r="P589" s="74">
        <f t="shared" si="88"/>
        <v>0</v>
      </c>
      <c r="Q589" s="74">
        <f t="shared" si="89"/>
        <v>0</v>
      </c>
    </row>
    <row r="590" spans="1:17" ht="48.75" hidden="1" customHeight="1">
      <c r="A590" s="71"/>
      <c r="B590" s="72">
        <f t="shared" si="81"/>
        <v>0</v>
      </c>
      <c r="C590" s="72" t="s">
        <v>5372</v>
      </c>
      <c r="D590" s="75">
        <f>Data!AS159</f>
        <v>975.81</v>
      </c>
      <c r="E590" s="74" t="s">
        <v>5</v>
      </c>
      <c r="F590" s="1425"/>
      <c r="G590" s="74">
        <f t="shared" si="82"/>
        <v>0</v>
      </c>
      <c r="H590" s="74"/>
      <c r="I590" s="74">
        <f t="shared" si="83"/>
        <v>0</v>
      </c>
      <c r="J590" s="74"/>
      <c r="K590" s="74">
        <f t="shared" si="84"/>
        <v>0</v>
      </c>
      <c r="L590" s="74"/>
      <c r="M590" s="74">
        <f t="shared" si="85"/>
        <v>0</v>
      </c>
      <c r="N590" s="74">
        <f t="shared" si="86"/>
        <v>0</v>
      </c>
      <c r="O590" s="74">
        <f t="shared" si="87"/>
        <v>0</v>
      </c>
      <c r="P590" s="74">
        <f t="shared" si="88"/>
        <v>0</v>
      </c>
      <c r="Q590" s="74">
        <f t="shared" si="89"/>
        <v>0</v>
      </c>
    </row>
    <row r="591" spans="1:17" ht="48.75" hidden="1" customHeight="1">
      <c r="A591" s="71"/>
      <c r="B591" s="72">
        <f t="shared" si="81"/>
        <v>0</v>
      </c>
      <c r="C591" s="72" t="s">
        <v>5575</v>
      </c>
      <c r="D591" s="75">
        <f>Data!AS160</f>
        <v>0</v>
      </c>
      <c r="E591" s="74" t="s">
        <v>5</v>
      </c>
      <c r="F591" s="1425"/>
      <c r="G591" s="74">
        <f t="shared" si="82"/>
        <v>0</v>
      </c>
      <c r="H591" s="74"/>
      <c r="I591" s="74">
        <f t="shared" si="83"/>
        <v>0</v>
      </c>
      <c r="J591" s="74"/>
      <c r="K591" s="74">
        <f t="shared" si="84"/>
        <v>0</v>
      </c>
      <c r="L591" s="74"/>
      <c r="M591" s="74">
        <f t="shared" si="85"/>
        <v>0</v>
      </c>
      <c r="N591" s="74">
        <f t="shared" si="86"/>
        <v>0</v>
      </c>
      <c r="O591" s="74">
        <f t="shared" si="87"/>
        <v>0</v>
      </c>
      <c r="P591" s="74">
        <f t="shared" si="88"/>
        <v>0</v>
      </c>
      <c r="Q591" s="74">
        <f t="shared" si="89"/>
        <v>0</v>
      </c>
    </row>
    <row r="592" spans="1:17" ht="48.75" hidden="1" customHeight="1">
      <c r="A592" s="71">
        <v>11.2</v>
      </c>
      <c r="B592" s="72">
        <f t="shared" si="81"/>
        <v>0</v>
      </c>
      <c r="C592" s="76" t="s">
        <v>5596</v>
      </c>
      <c r="D592" s="75"/>
      <c r="E592" s="74" t="s">
        <v>5</v>
      </c>
      <c r="F592" s="1425"/>
      <c r="G592" s="74">
        <f t="shared" si="82"/>
        <v>0</v>
      </c>
      <c r="H592" s="74"/>
      <c r="I592" s="74">
        <f t="shared" si="83"/>
        <v>0</v>
      </c>
      <c r="J592" s="74"/>
      <c r="K592" s="74">
        <f t="shared" si="84"/>
        <v>0</v>
      </c>
      <c r="L592" s="74"/>
      <c r="M592" s="74">
        <f t="shared" si="85"/>
        <v>0</v>
      </c>
      <c r="N592" s="74">
        <f t="shared" si="86"/>
        <v>0</v>
      </c>
      <c r="O592" s="74">
        <f t="shared" si="87"/>
        <v>0</v>
      </c>
      <c r="P592" s="74">
        <f t="shared" si="88"/>
        <v>0</v>
      </c>
      <c r="Q592" s="74">
        <f t="shared" si="89"/>
        <v>0</v>
      </c>
    </row>
    <row r="593" spans="1:17" ht="48.75" hidden="1" customHeight="1">
      <c r="A593" s="71"/>
      <c r="B593" s="72">
        <f t="shared" si="81"/>
        <v>0</v>
      </c>
      <c r="C593" s="72" t="s">
        <v>5583</v>
      </c>
      <c r="D593" s="75">
        <f>Data!AS187</f>
        <v>612.37</v>
      </c>
      <c r="E593" s="74" t="s">
        <v>5</v>
      </c>
      <c r="F593" s="1425"/>
      <c r="G593" s="74">
        <f t="shared" si="82"/>
        <v>0</v>
      </c>
      <c r="H593" s="74"/>
      <c r="I593" s="74">
        <f t="shared" si="83"/>
        <v>0</v>
      </c>
      <c r="J593" s="74"/>
      <c r="K593" s="74">
        <f t="shared" si="84"/>
        <v>0</v>
      </c>
      <c r="L593" s="74"/>
      <c r="M593" s="74">
        <f t="shared" si="85"/>
        <v>0</v>
      </c>
      <c r="N593" s="74">
        <f t="shared" si="86"/>
        <v>0</v>
      </c>
      <c r="O593" s="74">
        <f t="shared" si="87"/>
        <v>0</v>
      </c>
      <c r="P593" s="74">
        <f t="shared" si="88"/>
        <v>0</v>
      </c>
      <c r="Q593" s="74">
        <f t="shared" si="89"/>
        <v>0</v>
      </c>
    </row>
    <row r="594" spans="1:17" ht="48.75" hidden="1" customHeight="1">
      <c r="A594" s="71"/>
      <c r="B594" s="72">
        <f t="shared" si="81"/>
        <v>0</v>
      </c>
      <c r="C594" s="72" t="s">
        <v>4812</v>
      </c>
      <c r="D594" s="75">
        <f>Data!AS188</f>
        <v>623.99</v>
      </c>
      <c r="E594" s="74" t="s">
        <v>5</v>
      </c>
      <c r="F594" s="1425"/>
      <c r="G594" s="74">
        <f t="shared" si="82"/>
        <v>0</v>
      </c>
      <c r="H594" s="74"/>
      <c r="I594" s="74">
        <f t="shared" si="83"/>
        <v>0</v>
      </c>
      <c r="J594" s="74"/>
      <c r="K594" s="74">
        <f t="shared" si="84"/>
        <v>0</v>
      </c>
      <c r="L594" s="74"/>
      <c r="M594" s="74">
        <f t="shared" si="85"/>
        <v>0</v>
      </c>
      <c r="N594" s="74">
        <f t="shared" si="86"/>
        <v>0</v>
      </c>
      <c r="O594" s="74">
        <f t="shared" si="87"/>
        <v>0</v>
      </c>
      <c r="P594" s="74">
        <f t="shared" si="88"/>
        <v>0</v>
      </c>
      <c r="Q594" s="74">
        <f t="shared" si="89"/>
        <v>0</v>
      </c>
    </row>
    <row r="595" spans="1:17" ht="48.75" hidden="1" customHeight="1">
      <c r="A595" s="71"/>
      <c r="B595" s="72">
        <f t="shared" si="81"/>
        <v>0</v>
      </c>
      <c r="C595" s="72" t="s">
        <v>5356</v>
      </c>
      <c r="D595" s="75">
        <f>Data!AS189</f>
        <v>635.61</v>
      </c>
      <c r="E595" s="74" t="s">
        <v>5</v>
      </c>
      <c r="F595" s="1425"/>
      <c r="G595" s="74">
        <f t="shared" si="82"/>
        <v>0</v>
      </c>
      <c r="H595" s="74"/>
      <c r="I595" s="74">
        <f t="shared" si="83"/>
        <v>0</v>
      </c>
      <c r="J595" s="74"/>
      <c r="K595" s="74">
        <f t="shared" si="84"/>
        <v>0</v>
      </c>
      <c r="L595" s="74"/>
      <c r="M595" s="74">
        <f t="shared" si="85"/>
        <v>0</v>
      </c>
      <c r="N595" s="74">
        <f t="shared" si="86"/>
        <v>0</v>
      </c>
      <c r="O595" s="74">
        <f t="shared" si="87"/>
        <v>0</v>
      </c>
      <c r="P595" s="74">
        <f t="shared" si="88"/>
        <v>0</v>
      </c>
      <c r="Q595" s="74">
        <f t="shared" si="89"/>
        <v>0</v>
      </c>
    </row>
    <row r="596" spans="1:17" ht="48.75" hidden="1" customHeight="1">
      <c r="A596" s="71"/>
      <c r="B596" s="72">
        <f t="shared" si="81"/>
        <v>0</v>
      </c>
      <c r="C596" s="72" t="s">
        <v>5357</v>
      </c>
      <c r="D596" s="75">
        <f>Data!AS190</f>
        <v>647.23</v>
      </c>
      <c r="E596" s="74" t="s">
        <v>5</v>
      </c>
      <c r="F596" s="1425"/>
      <c r="G596" s="74">
        <f t="shared" si="82"/>
        <v>0</v>
      </c>
      <c r="H596" s="74"/>
      <c r="I596" s="74">
        <f t="shared" si="83"/>
        <v>0</v>
      </c>
      <c r="J596" s="74"/>
      <c r="K596" s="74">
        <f t="shared" si="84"/>
        <v>0</v>
      </c>
      <c r="L596" s="74"/>
      <c r="M596" s="74">
        <f t="shared" si="85"/>
        <v>0</v>
      </c>
      <c r="N596" s="74">
        <f t="shared" si="86"/>
        <v>0</v>
      </c>
      <c r="O596" s="74">
        <f t="shared" si="87"/>
        <v>0</v>
      </c>
      <c r="P596" s="74">
        <f t="shared" si="88"/>
        <v>0</v>
      </c>
      <c r="Q596" s="74">
        <f t="shared" si="89"/>
        <v>0</v>
      </c>
    </row>
    <row r="597" spans="1:17" ht="48.75" hidden="1" customHeight="1">
      <c r="A597" s="71"/>
      <c r="B597" s="72">
        <f t="shared" si="81"/>
        <v>0</v>
      </c>
      <c r="C597" s="72" t="s">
        <v>5358</v>
      </c>
      <c r="D597" s="75">
        <f>Data!AS191</f>
        <v>658.85</v>
      </c>
      <c r="E597" s="74" t="s">
        <v>5</v>
      </c>
      <c r="F597" s="1425"/>
      <c r="G597" s="74">
        <f t="shared" si="82"/>
        <v>0</v>
      </c>
      <c r="H597" s="74"/>
      <c r="I597" s="74">
        <f t="shared" si="83"/>
        <v>0</v>
      </c>
      <c r="J597" s="74"/>
      <c r="K597" s="74">
        <f t="shared" si="84"/>
        <v>0</v>
      </c>
      <c r="L597" s="74"/>
      <c r="M597" s="74">
        <f t="shared" si="85"/>
        <v>0</v>
      </c>
      <c r="N597" s="74">
        <f t="shared" si="86"/>
        <v>0</v>
      </c>
      <c r="O597" s="74">
        <f t="shared" si="87"/>
        <v>0</v>
      </c>
      <c r="P597" s="74">
        <f t="shared" si="88"/>
        <v>0</v>
      </c>
      <c r="Q597" s="74">
        <f t="shared" si="89"/>
        <v>0</v>
      </c>
    </row>
    <row r="598" spans="1:17" s="55" customFormat="1" ht="48.75" hidden="1" customHeight="1">
      <c r="A598" s="1435"/>
      <c r="B598" s="72">
        <f t="shared" si="81"/>
        <v>0</v>
      </c>
      <c r="C598" s="72" t="s">
        <v>5597</v>
      </c>
      <c r="D598" s="75">
        <f>Data!K368</f>
        <v>7099.58</v>
      </c>
      <c r="E598" s="74" t="s">
        <v>5</v>
      </c>
      <c r="F598" s="1425"/>
      <c r="G598" s="74">
        <f t="shared" si="82"/>
        <v>0</v>
      </c>
      <c r="H598" s="74"/>
      <c r="I598" s="74">
        <f t="shared" si="83"/>
        <v>0</v>
      </c>
      <c r="J598" s="74"/>
      <c r="K598" s="74">
        <f t="shared" si="84"/>
        <v>0</v>
      </c>
      <c r="L598" s="74"/>
      <c r="M598" s="74">
        <f t="shared" si="85"/>
        <v>0</v>
      </c>
      <c r="N598" s="74">
        <f t="shared" si="86"/>
        <v>0</v>
      </c>
      <c r="O598" s="74">
        <f t="shared" si="87"/>
        <v>0</v>
      </c>
      <c r="P598" s="74">
        <f t="shared" si="88"/>
        <v>0</v>
      </c>
      <c r="Q598" s="74">
        <f t="shared" si="89"/>
        <v>0</v>
      </c>
    </row>
    <row r="599" spans="1:17" ht="48.75" hidden="1" customHeight="1">
      <c r="A599" s="89"/>
      <c r="B599" s="72">
        <f t="shared" si="81"/>
        <v>0</v>
      </c>
      <c r="C599" s="72" t="s">
        <v>5598</v>
      </c>
      <c r="D599" s="75">
        <f>Data!K369</f>
        <v>7265.57</v>
      </c>
      <c r="E599" s="74" t="s">
        <v>5</v>
      </c>
      <c r="F599" s="1425"/>
      <c r="G599" s="74">
        <f t="shared" si="82"/>
        <v>0</v>
      </c>
      <c r="H599" s="74"/>
      <c r="I599" s="74">
        <f t="shared" si="83"/>
        <v>0</v>
      </c>
      <c r="J599" s="74"/>
      <c r="K599" s="74">
        <f t="shared" si="84"/>
        <v>0</v>
      </c>
      <c r="L599" s="74"/>
      <c r="M599" s="74">
        <f t="shared" si="85"/>
        <v>0</v>
      </c>
      <c r="N599" s="74">
        <f t="shared" si="86"/>
        <v>0</v>
      </c>
      <c r="O599" s="74">
        <f t="shared" si="87"/>
        <v>0</v>
      </c>
      <c r="P599" s="74">
        <f t="shared" si="88"/>
        <v>0</v>
      </c>
      <c r="Q599" s="74">
        <f t="shared" si="89"/>
        <v>0</v>
      </c>
    </row>
    <row r="600" spans="1:17" s="55" customFormat="1" ht="48.75" hidden="1" customHeight="1">
      <c r="A600" s="1435"/>
      <c r="B600" s="72">
        <f t="shared" si="81"/>
        <v>0</v>
      </c>
      <c r="C600" s="72" t="s">
        <v>5599</v>
      </c>
      <c r="D600" s="75">
        <f>Data!$K$370</f>
        <v>7431.56</v>
      </c>
      <c r="E600" s="74" t="s">
        <v>5</v>
      </c>
      <c r="F600" s="1425"/>
      <c r="G600" s="74">
        <f t="shared" si="82"/>
        <v>0</v>
      </c>
      <c r="H600" s="74"/>
      <c r="I600" s="74">
        <f t="shared" si="83"/>
        <v>0</v>
      </c>
      <c r="J600" s="74"/>
      <c r="K600" s="74">
        <f t="shared" si="84"/>
        <v>0</v>
      </c>
      <c r="L600" s="74"/>
      <c r="M600" s="74">
        <f t="shared" si="85"/>
        <v>0</v>
      </c>
      <c r="N600" s="74">
        <f t="shared" si="86"/>
        <v>0</v>
      </c>
      <c r="O600" s="74">
        <f t="shared" si="87"/>
        <v>0</v>
      </c>
      <c r="P600" s="74">
        <f t="shared" si="88"/>
        <v>0</v>
      </c>
      <c r="Q600" s="74">
        <f t="shared" si="89"/>
        <v>0</v>
      </c>
    </row>
    <row r="601" spans="1:17" s="55" customFormat="1" ht="48.75" hidden="1" customHeight="1">
      <c r="A601" s="1435"/>
      <c r="B601" s="72">
        <f t="shared" si="81"/>
        <v>0</v>
      </c>
      <c r="C601" s="72" t="s">
        <v>5600</v>
      </c>
      <c r="D601" s="75">
        <f>Data!K371</f>
        <v>7597.55</v>
      </c>
      <c r="E601" s="74" t="s">
        <v>5</v>
      </c>
      <c r="F601" s="1425"/>
      <c r="G601" s="74">
        <f t="shared" si="82"/>
        <v>0</v>
      </c>
      <c r="H601" s="74"/>
      <c r="I601" s="74">
        <f t="shared" si="83"/>
        <v>0</v>
      </c>
      <c r="J601" s="74"/>
      <c r="K601" s="74">
        <f t="shared" si="84"/>
        <v>0</v>
      </c>
      <c r="L601" s="74"/>
      <c r="M601" s="74">
        <f t="shared" si="85"/>
        <v>0</v>
      </c>
      <c r="N601" s="74">
        <f t="shared" si="86"/>
        <v>0</v>
      </c>
      <c r="O601" s="74">
        <f t="shared" si="87"/>
        <v>0</v>
      </c>
      <c r="P601" s="74">
        <f t="shared" si="88"/>
        <v>0</v>
      </c>
      <c r="Q601" s="74">
        <f t="shared" si="89"/>
        <v>0</v>
      </c>
    </row>
    <row r="602" spans="1:17" ht="48.75" hidden="1" customHeight="1">
      <c r="A602" s="56"/>
      <c r="B602" s="72">
        <f t="shared" si="81"/>
        <v>0</v>
      </c>
      <c r="C602" s="72" t="s">
        <v>5601</v>
      </c>
      <c r="D602" s="75">
        <f>Data!X88</f>
        <v>168</v>
      </c>
      <c r="E602" s="74" t="s">
        <v>5</v>
      </c>
      <c r="F602" s="1425"/>
      <c r="G602" s="74">
        <f t="shared" si="82"/>
        <v>0</v>
      </c>
      <c r="H602" s="74"/>
      <c r="I602" s="74">
        <f t="shared" si="83"/>
        <v>0</v>
      </c>
      <c r="J602" s="74"/>
      <c r="K602" s="74">
        <f t="shared" si="84"/>
        <v>0</v>
      </c>
      <c r="L602" s="74"/>
      <c r="M602" s="74">
        <f t="shared" si="85"/>
        <v>0</v>
      </c>
      <c r="N602" s="74">
        <f t="shared" si="86"/>
        <v>0</v>
      </c>
      <c r="O602" s="74">
        <f t="shared" si="87"/>
        <v>0</v>
      </c>
      <c r="P602" s="74">
        <f t="shared" si="88"/>
        <v>0</v>
      </c>
      <c r="Q602" s="74">
        <f t="shared" si="89"/>
        <v>0</v>
      </c>
    </row>
    <row r="603" spans="1:17" ht="48.75" hidden="1" customHeight="1">
      <c r="A603" s="56"/>
      <c r="B603" s="72">
        <f t="shared" si="81"/>
        <v>0</v>
      </c>
      <c r="C603" s="72" t="s">
        <v>5602</v>
      </c>
      <c r="D603" s="75">
        <f>Data!X118</f>
        <v>78.05</v>
      </c>
      <c r="E603" s="74" t="s">
        <v>5</v>
      </c>
      <c r="F603" s="1425"/>
      <c r="G603" s="74">
        <f t="shared" si="82"/>
        <v>0</v>
      </c>
      <c r="H603" s="74"/>
      <c r="I603" s="74">
        <f t="shared" si="83"/>
        <v>0</v>
      </c>
      <c r="J603" s="74"/>
      <c r="K603" s="74">
        <f t="shared" si="84"/>
        <v>0</v>
      </c>
      <c r="L603" s="74"/>
      <c r="M603" s="74">
        <f t="shared" si="85"/>
        <v>0</v>
      </c>
      <c r="N603" s="74">
        <f t="shared" si="86"/>
        <v>0</v>
      </c>
      <c r="O603" s="74">
        <f t="shared" si="87"/>
        <v>0</v>
      </c>
      <c r="P603" s="74">
        <f t="shared" si="88"/>
        <v>0</v>
      </c>
      <c r="Q603" s="74">
        <f t="shared" si="89"/>
        <v>0</v>
      </c>
    </row>
    <row r="604" spans="1:17" ht="48.75" hidden="1" customHeight="1">
      <c r="A604" s="56"/>
      <c r="B604" s="72">
        <f t="shared" si="81"/>
        <v>0</v>
      </c>
      <c r="C604" s="72" t="s">
        <v>5603</v>
      </c>
      <c r="D604" s="75">
        <f>Data!X133</f>
        <v>117.08</v>
      </c>
      <c r="E604" s="74" t="s">
        <v>5</v>
      </c>
      <c r="F604" s="1425"/>
      <c r="G604" s="74">
        <f t="shared" si="82"/>
        <v>0</v>
      </c>
      <c r="H604" s="74"/>
      <c r="I604" s="74">
        <f t="shared" si="83"/>
        <v>0</v>
      </c>
      <c r="J604" s="74"/>
      <c r="K604" s="74">
        <f t="shared" si="84"/>
        <v>0</v>
      </c>
      <c r="L604" s="74"/>
      <c r="M604" s="74">
        <f t="shared" si="85"/>
        <v>0</v>
      </c>
      <c r="N604" s="74">
        <f t="shared" si="86"/>
        <v>0</v>
      </c>
      <c r="O604" s="74">
        <f t="shared" si="87"/>
        <v>0</v>
      </c>
      <c r="P604" s="74">
        <f t="shared" si="88"/>
        <v>0</v>
      </c>
      <c r="Q604" s="74">
        <f t="shared" si="89"/>
        <v>0</v>
      </c>
    </row>
    <row r="605" spans="1:17" ht="48.75" hidden="1" customHeight="1">
      <c r="A605" s="71">
        <v>8.4</v>
      </c>
      <c r="B605" s="72">
        <f t="shared" si="81"/>
        <v>0</v>
      </c>
      <c r="C605" s="76" t="s">
        <v>5604</v>
      </c>
      <c r="D605" s="75"/>
      <c r="E605" s="74" t="s">
        <v>5</v>
      </c>
      <c r="F605" s="1425"/>
      <c r="G605" s="74">
        <f t="shared" si="82"/>
        <v>0</v>
      </c>
      <c r="H605" s="74"/>
      <c r="I605" s="74">
        <f t="shared" si="83"/>
        <v>0</v>
      </c>
      <c r="J605" s="74"/>
      <c r="K605" s="74">
        <f t="shared" si="84"/>
        <v>0</v>
      </c>
      <c r="L605" s="74"/>
      <c r="M605" s="74">
        <f t="shared" si="85"/>
        <v>0</v>
      </c>
      <c r="N605" s="74">
        <f t="shared" si="86"/>
        <v>0</v>
      </c>
      <c r="O605" s="74">
        <f t="shared" si="87"/>
        <v>0</v>
      </c>
      <c r="P605" s="74">
        <f t="shared" si="88"/>
        <v>0</v>
      </c>
      <c r="Q605" s="74">
        <f t="shared" si="89"/>
        <v>0</v>
      </c>
    </row>
    <row r="606" spans="1:17" ht="48.75" hidden="1" customHeight="1">
      <c r="A606" s="71"/>
      <c r="B606" s="72">
        <f t="shared" si="81"/>
        <v>0</v>
      </c>
      <c r="C606" s="72" t="s">
        <v>5571</v>
      </c>
      <c r="D606" s="75">
        <f>ROUND(Data!K2911,2)</f>
        <v>7363.59</v>
      </c>
      <c r="E606" s="74" t="s">
        <v>5</v>
      </c>
      <c r="F606" s="1425"/>
      <c r="G606" s="74">
        <f t="shared" si="82"/>
        <v>0</v>
      </c>
      <c r="H606" s="74"/>
      <c r="I606" s="74">
        <f t="shared" si="83"/>
        <v>0</v>
      </c>
      <c r="J606" s="74"/>
      <c r="K606" s="74">
        <f t="shared" si="84"/>
        <v>0</v>
      </c>
      <c r="L606" s="74"/>
      <c r="M606" s="74">
        <f t="shared" si="85"/>
        <v>0</v>
      </c>
      <c r="N606" s="74">
        <f t="shared" si="86"/>
        <v>0</v>
      </c>
      <c r="O606" s="74">
        <f t="shared" si="87"/>
        <v>0</v>
      </c>
      <c r="P606" s="74">
        <f t="shared" si="88"/>
        <v>0</v>
      </c>
      <c r="Q606" s="74">
        <f t="shared" si="89"/>
        <v>0</v>
      </c>
    </row>
    <row r="607" spans="1:17" ht="48.75" hidden="1" customHeight="1">
      <c r="A607" s="71"/>
      <c r="B607" s="72">
        <f t="shared" si="81"/>
        <v>0</v>
      </c>
      <c r="C607" s="72" t="s">
        <v>5605</v>
      </c>
      <c r="D607" s="75">
        <f>ROUND(Data!K2913,2)</f>
        <v>7488.55</v>
      </c>
      <c r="E607" s="74" t="s">
        <v>5</v>
      </c>
      <c r="F607" s="1425"/>
      <c r="G607" s="74">
        <f t="shared" si="82"/>
        <v>0</v>
      </c>
      <c r="H607" s="74"/>
      <c r="I607" s="74">
        <f t="shared" si="83"/>
        <v>0</v>
      </c>
      <c r="J607" s="74"/>
      <c r="K607" s="74">
        <f t="shared" si="84"/>
        <v>0</v>
      </c>
      <c r="L607" s="74"/>
      <c r="M607" s="74">
        <f t="shared" si="85"/>
        <v>0</v>
      </c>
      <c r="N607" s="74">
        <f t="shared" si="86"/>
        <v>0</v>
      </c>
      <c r="O607" s="74">
        <f t="shared" si="87"/>
        <v>0</v>
      </c>
      <c r="P607" s="74">
        <f t="shared" si="88"/>
        <v>0</v>
      </c>
      <c r="Q607" s="74">
        <f t="shared" si="89"/>
        <v>0</v>
      </c>
    </row>
    <row r="608" spans="1:17" ht="48.75" hidden="1" customHeight="1">
      <c r="A608" s="71"/>
      <c r="B608" s="72">
        <f t="shared" si="81"/>
        <v>0</v>
      </c>
      <c r="C608" s="72" t="s">
        <v>5606</v>
      </c>
      <c r="D608" s="75">
        <f>ROUND(Data!K2914,2)</f>
        <v>7734.73</v>
      </c>
      <c r="E608" s="74" t="s">
        <v>5</v>
      </c>
      <c r="F608" s="1425"/>
      <c r="G608" s="74">
        <f t="shared" si="82"/>
        <v>0</v>
      </c>
      <c r="H608" s="74"/>
      <c r="I608" s="74">
        <f t="shared" si="83"/>
        <v>0</v>
      </c>
      <c r="J608" s="74"/>
      <c r="K608" s="74">
        <f t="shared" si="84"/>
        <v>0</v>
      </c>
      <c r="L608" s="74"/>
      <c r="M608" s="74">
        <f t="shared" si="85"/>
        <v>0</v>
      </c>
      <c r="N608" s="74">
        <f t="shared" si="86"/>
        <v>0</v>
      </c>
      <c r="O608" s="74">
        <f t="shared" si="87"/>
        <v>0</v>
      </c>
      <c r="P608" s="74">
        <f t="shared" si="88"/>
        <v>0</v>
      </c>
      <c r="Q608" s="74">
        <f t="shared" si="89"/>
        <v>0</v>
      </c>
    </row>
    <row r="609" spans="1:17" ht="48.75" hidden="1" customHeight="1">
      <c r="A609" s="56"/>
      <c r="B609" s="72">
        <f t="shared" si="81"/>
        <v>0</v>
      </c>
      <c r="C609" s="72" t="s">
        <v>5607</v>
      </c>
      <c r="D609" s="75">
        <f>ROUND(Data!K2915,2)</f>
        <v>7980.91</v>
      </c>
      <c r="E609" s="74" t="s">
        <v>5</v>
      </c>
      <c r="F609" s="1425"/>
      <c r="G609" s="74">
        <f t="shared" si="82"/>
        <v>0</v>
      </c>
      <c r="H609" s="74"/>
      <c r="I609" s="74">
        <f t="shared" si="83"/>
        <v>0</v>
      </c>
      <c r="J609" s="74"/>
      <c r="K609" s="74">
        <f t="shared" si="84"/>
        <v>0</v>
      </c>
      <c r="L609" s="74"/>
      <c r="M609" s="74">
        <f t="shared" si="85"/>
        <v>0</v>
      </c>
      <c r="N609" s="74">
        <f t="shared" si="86"/>
        <v>0</v>
      </c>
      <c r="O609" s="74">
        <f t="shared" si="87"/>
        <v>0</v>
      </c>
      <c r="P609" s="74">
        <f t="shared" si="88"/>
        <v>0</v>
      </c>
      <c r="Q609" s="74">
        <f t="shared" si="89"/>
        <v>0</v>
      </c>
    </row>
    <row r="610" spans="1:17" ht="48.75" hidden="1" customHeight="1">
      <c r="A610" s="71">
        <v>8.5</v>
      </c>
      <c r="B610" s="72">
        <f t="shared" si="81"/>
        <v>0</v>
      </c>
      <c r="C610" s="76" t="s">
        <v>5608</v>
      </c>
      <c r="D610" s="75"/>
      <c r="E610" s="74" t="s">
        <v>5</v>
      </c>
      <c r="F610" s="1425"/>
      <c r="G610" s="74">
        <f t="shared" si="82"/>
        <v>0</v>
      </c>
      <c r="H610" s="74"/>
      <c r="I610" s="74">
        <f t="shared" si="83"/>
        <v>0</v>
      </c>
      <c r="J610" s="74"/>
      <c r="K610" s="74">
        <f t="shared" si="84"/>
        <v>0</v>
      </c>
      <c r="L610" s="74"/>
      <c r="M610" s="74">
        <f t="shared" si="85"/>
        <v>0</v>
      </c>
      <c r="N610" s="74">
        <f t="shared" si="86"/>
        <v>0</v>
      </c>
      <c r="O610" s="74">
        <f t="shared" si="87"/>
        <v>0</v>
      </c>
      <c r="P610" s="74">
        <f t="shared" si="88"/>
        <v>0</v>
      </c>
      <c r="Q610" s="74">
        <f t="shared" si="89"/>
        <v>0</v>
      </c>
    </row>
    <row r="611" spans="1:17" ht="48.75" hidden="1" customHeight="1">
      <c r="A611" s="71"/>
      <c r="B611" s="72">
        <f t="shared" si="81"/>
        <v>0</v>
      </c>
      <c r="C611" s="72" t="s">
        <v>5609</v>
      </c>
      <c r="D611" s="75">
        <f>ROUND(Data!K2931,2)</f>
        <v>710.86</v>
      </c>
      <c r="E611" s="74" t="s">
        <v>5</v>
      </c>
      <c r="F611" s="1425"/>
      <c r="G611" s="74">
        <f t="shared" si="82"/>
        <v>0</v>
      </c>
      <c r="H611" s="74"/>
      <c r="I611" s="74">
        <f t="shared" si="83"/>
        <v>0</v>
      </c>
      <c r="J611" s="74"/>
      <c r="K611" s="74">
        <f t="shared" si="84"/>
        <v>0</v>
      </c>
      <c r="L611" s="74"/>
      <c r="M611" s="74">
        <f t="shared" si="85"/>
        <v>0</v>
      </c>
      <c r="N611" s="74">
        <f t="shared" si="86"/>
        <v>0</v>
      </c>
      <c r="O611" s="74">
        <f t="shared" si="87"/>
        <v>0</v>
      </c>
      <c r="P611" s="74">
        <f t="shared" si="88"/>
        <v>0</v>
      </c>
      <c r="Q611" s="74">
        <f t="shared" si="89"/>
        <v>0</v>
      </c>
    </row>
    <row r="612" spans="1:17" ht="48.75" hidden="1" customHeight="1">
      <c r="A612" s="71"/>
      <c r="B612" s="72">
        <f t="shared" si="81"/>
        <v>0</v>
      </c>
      <c r="C612" s="72" t="s">
        <v>3404</v>
      </c>
      <c r="D612" s="75">
        <f>ROUND(Data!K2940,2)</f>
        <v>715.08</v>
      </c>
      <c r="E612" s="74" t="s">
        <v>5</v>
      </c>
      <c r="F612" s="1425"/>
      <c r="G612" s="74">
        <f t="shared" si="82"/>
        <v>0</v>
      </c>
      <c r="H612" s="74"/>
      <c r="I612" s="74">
        <f t="shared" si="83"/>
        <v>0</v>
      </c>
      <c r="J612" s="74"/>
      <c r="K612" s="74">
        <f t="shared" si="84"/>
        <v>0</v>
      </c>
      <c r="L612" s="74"/>
      <c r="M612" s="74">
        <f t="shared" si="85"/>
        <v>0</v>
      </c>
      <c r="N612" s="74">
        <f t="shared" si="86"/>
        <v>0</v>
      </c>
      <c r="O612" s="74">
        <f t="shared" si="87"/>
        <v>0</v>
      </c>
      <c r="P612" s="74">
        <f t="shared" si="88"/>
        <v>0</v>
      </c>
      <c r="Q612" s="74">
        <f t="shared" si="89"/>
        <v>0</v>
      </c>
    </row>
    <row r="613" spans="1:17" ht="48.75" hidden="1" customHeight="1">
      <c r="A613" s="71"/>
      <c r="B613" s="72">
        <f t="shared" si="81"/>
        <v>0</v>
      </c>
      <c r="C613" s="72" t="s">
        <v>5610</v>
      </c>
      <c r="D613" s="75">
        <f>ROUND(Data!K2950,2)</f>
        <v>719.3</v>
      </c>
      <c r="E613" s="74" t="s">
        <v>5</v>
      </c>
      <c r="F613" s="1425"/>
      <c r="G613" s="74">
        <f t="shared" si="82"/>
        <v>0</v>
      </c>
      <c r="H613" s="74"/>
      <c r="I613" s="74">
        <f t="shared" si="83"/>
        <v>0</v>
      </c>
      <c r="J613" s="74"/>
      <c r="K613" s="74">
        <f t="shared" si="84"/>
        <v>0</v>
      </c>
      <c r="L613" s="74"/>
      <c r="M613" s="74">
        <f t="shared" si="85"/>
        <v>0</v>
      </c>
      <c r="N613" s="74">
        <f t="shared" si="86"/>
        <v>0</v>
      </c>
      <c r="O613" s="74">
        <f t="shared" si="87"/>
        <v>0</v>
      </c>
      <c r="P613" s="74">
        <f t="shared" si="88"/>
        <v>0</v>
      </c>
      <c r="Q613" s="74">
        <f t="shared" si="89"/>
        <v>0</v>
      </c>
    </row>
    <row r="614" spans="1:17" ht="48.75" hidden="1" customHeight="1">
      <c r="A614" s="71"/>
      <c r="B614" s="72">
        <f t="shared" si="81"/>
        <v>0</v>
      </c>
      <c r="C614" s="85" t="s">
        <v>5611</v>
      </c>
      <c r="D614" s="86">
        <f>Data!K2448</f>
        <v>785.66</v>
      </c>
      <c r="E614" s="74" t="s">
        <v>5</v>
      </c>
      <c r="F614" s="1425"/>
      <c r="G614" s="74">
        <f t="shared" si="82"/>
        <v>0</v>
      </c>
      <c r="H614" s="74"/>
      <c r="I614" s="74">
        <f t="shared" si="83"/>
        <v>0</v>
      </c>
      <c r="J614" s="74"/>
      <c r="K614" s="74">
        <f t="shared" si="84"/>
        <v>0</v>
      </c>
      <c r="L614" s="74"/>
      <c r="M614" s="74">
        <f t="shared" si="85"/>
        <v>0</v>
      </c>
      <c r="N614" s="74">
        <f t="shared" si="86"/>
        <v>0</v>
      </c>
      <c r="O614" s="74">
        <f t="shared" si="87"/>
        <v>0</v>
      </c>
      <c r="P614" s="74">
        <f t="shared" si="88"/>
        <v>0</v>
      </c>
      <c r="Q614" s="74">
        <f t="shared" si="89"/>
        <v>0</v>
      </c>
    </row>
    <row r="615" spans="1:17" ht="48.75" hidden="1" customHeight="1">
      <c r="A615" s="85">
        <v>3.8</v>
      </c>
      <c r="B615" s="72">
        <f t="shared" si="81"/>
        <v>0</v>
      </c>
      <c r="C615" s="85" t="s">
        <v>5612</v>
      </c>
      <c r="D615" s="88">
        <f>Data!R204</f>
        <v>5819.8</v>
      </c>
      <c r="E615" s="74" t="s">
        <v>5</v>
      </c>
      <c r="F615" s="1425"/>
      <c r="G615" s="74">
        <f t="shared" si="82"/>
        <v>0</v>
      </c>
      <c r="H615" s="74"/>
      <c r="I615" s="74">
        <f t="shared" si="83"/>
        <v>0</v>
      </c>
      <c r="J615" s="74"/>
      <c r="K615" s="74">
        <f t="shared" si="84"/>
        <v>0</v>
      </c>
      <c r="L615" s="74"/>
      <c r="M615" s="74">
        <f t="shared" si="85"/>
        <v>0</v>
      </c>
      <c r="N615" s="74">
        <f t="shared" si="86"/>
        <v>0</v>
      </c>
      <c r="O615" s="74">
        <f t="shared" si="87"/>
        <v>0</v>
      </c>
      <c r="P615" s="74">
        <f t="shared" si="88"/>
        <v>0</v>
      </c>
      <c r="Q615" s="74">
        <f t="shared" si="89"/>
        <v>0</v>
      </c>
    </row>
    <row r="616" spans="1:17" ht="48.75" hidden="1" customHeight="1">
      <c r="A616" s="90">
        <v>3.3</v>
      </c>
      <c r="B616" s="72">
        <f t="shared" si="81"/>
        <v>0</v>
      </c>
      <c r="C616" s="85" t="s">
        <v>5613</v>
      </c>
      <c r="D616" s="88">
        <f>Data!R240</f>
        <v>5121.9399999999996</v>
      </c>
      <c r="E616" s="74" t="s">
        <v>5</v>
      </c>
      <c r="F616" s="1425"/>
      <c r="G616" s="74">
        <f t="shared" si="82"/>
        <v>0</v>
      </c>
      <c r="H616" s="74"/>
      <c r="I616" s="74">
        <f t="shared" si="83"/>
        <v>0</v>
      </c>
      <c r="J616" s="74"/>
      <c r="K616" s="74">
        <f t="shared" si="84"/>
        <v>0</v>
      </c>
      <c r="L616" s="74"/>
      <c r="M616" s="74">
        <f t="shared" si="85"/>
        <v>0</v>
      </c>
      <c r="N616" s="74">
        <f t="shared" si="86"/>
        <v>0</v>
      </c>
      <c r="O616" s="74">
        <f t="shared" si="87"/>
        <v>0</v>
      </c>
      <c r="P616" s="74">
        <f t="shared" si="88"/>
        <v>0</v>
      </c>
      <c r="Q616" s="74">
        <f t="shared" si="89"/>
        <v>0</v>
      </c>
    </row>
    <row r="617" spans="1:17" ht="48.75" hidden="1" customHeight="1">
      <c r="A617" s="90"/>
      <c r="B617" s="72">
        <f t="shared" si="81"/>
        <v>0</v>
      </c>
      <c r="C617" s="85" t="s">
        <v>5614</v>
      </c>
      <c r="D617" s="88">
        <f>Data!X204</f>
        <v>5448.1</v>
      </c>
      <c r="E617" s="74" t="s">
        <v>5</v>
      </c>
      <c r="F617" s="1425"/>
      <c r="G617" s="74">
        <f t="shared" si="82"/>
        <v>0</v>
      </c>
      <c r="H617" s="74"/>
      <c r="I617" s="74">
        <f t="shared" si="83"/>
        <v>0</v>
      </c>
      <c r="J617" s="74"/>
      <c r="K617" s="74">
        <f t="shared" si="84"/>
        <v>0</v>
      </c>
      <c r="L617" s="74"/>
      <c r="M617" s="74">
        <f t="shared" si="85"/>
        <v>0</v>
      </c>
      <c r="N617" s="74">
        <f t="shared" si="86"/>
        <v>0</v>
      </c>
      <c r="O617" s="74">
        <f t="shared" si="87"/>
        <v>0</v>
      </c>
      <c r="P617" s="74">
        <f t="shared" si="88"/>
        <v>0</v>
      </c>
      <c r="Q617" s="74">
        <f t="shared" si="89"/>
        <v>0</v>
      </c>
    </row>
    <row r="618" spans="1:17" ht="54" customHeight="1">
      <c r="A618" s="90"/>
      <c r="B618" s="72">
        <f t="shared" si="81"/>
        <v>28</v>
      </c>
      <c r="C618" s="85" t="s">
        <v>7560</v>
      </c>
      <c r="D618" s="88">
        <f>Data!X695</f>
        <v>9964.41</v>
      </c>
      <c r="E618" s="74" t="s">
        <v>5</v>
      </c>
      <c r="F618" s="1425">
        <f>'Detail '!I414</f>
        <v>28</v>
      </c>
      <c r="G618" s="74">
        <f t="shared" si="82"/>
        <v>279003.48</v>
      </c>
      <c r="H618" s="74"/>
      <c r="I618" s="74">
        <f t="shared" si="83"/>
        <v>0</v>
      </c>
      <c r="J618" s="74"/>
      <c r="K618" s="74">
        <f t="shared" si="84"/>
        <v>0</v>
      </c>
      <c r="L618" s="74"/>
      <c r="M618" s="74">
        <f t="shared" si="85"/>
        <v>0</v>
      </c>
      <c r="N618" s="74">
        <f t="shared" si="86"/>
        <v>0</v>
      </c>
      <c r="O618" s="74">
        <f t="shared" si="87"/>
        <v>0</v>
      </c>
      <c r="P618" s="74">
        <f t="shared" si="88"/>
        <v>28</v>
      </c>
      <c r="Q618" s="74">
        <f t="shared" si="89"/>
        <v>279003.48</v>
      </c>
    </row>
    <row r="619" spans="1:17" ht="54.75" customHeight="1">
      <c r="A619" s="71">
        <v>18.100000000000001</v>
      </c>
      <c r="B619" s="72">
        <f t="shared" si="81"/>
        <v>0</v>
      </c>
      <c r="C619" s="76" t="s">
        <v>5615</v>
      </c>
      <c r="D619" s="75"/>
      <c r="E619" s="74"/>
      <c r="F619" s="75"/>
      <c r="G619" s="74">
        <f t="shared" si="82"/>
        <v>0</v>
      </c>
      <c r="H619" s="74"/>
      <c r="I619" s="74">
        <f t="shared" si="83"/>
        <v>0</v>
      </c>
      <c r="J619" s="74"/>
      <c r="K619" s="74">
        <f t="shared" si="84"/>
        <v>0</v>
      </c>
      <c r="L619" s="74"/>
      <c r="M619" s="74">
        <f t="shared" si="85"/>
        <v>0</v>
      </c>
      <c r="N619" s="74">
        <f t="shared" si="86"/>
        <v>0</v>
      </c>
      <c r="O619" s="74">
        <f t="shared" si="87"/>
        <v>0</v>
      </c>
      <c r="P619" s="74">
        <f t="shared" si="88"/>
        <v>0</v>
      </c>
      <c r="Q619" s="74">
        <f t="shared" si="89"/>
        <v>0</v>
      </c>
    </row>
    <row r="620" spans="1:17" ht="63" customHeight="1">
      <c r="A620" s="71"/>
      <c r="B620" s="72">
        <f t="shared" si="81"/>
        <v>640</v>
      </c>
      <c r="C620" s="72" t="s">
        <v>5616</v>
      </c>
      <c r="D620" s="75">
        <f>ROUND(Data!I2354,2)</f>
        <v>881.39</v>
      </c>
      <c r="E620" s="74" t="s">
        <v>724</v>
      </c>
      <c r="F620" s="1425">
        <f>'Detail '!I1931</f>
        <v>640</v>
      </c>
      <c r="G620" s="74">
        <f t="shared" si="82"/>
        <v>564089.59999999998</v>
      </c>
      <c r="H620" s="74"/>
      <c r="I620" s="74">
        <f t="shared" si="83"/>
        <v>0</v>
      </c>
      <c r="J620" s="74"/>
      <c r="K620" s="74">
        <f t="shared" si="84"/>
        <v>0</v>
      </c>
      <c r="L620" s="74"/>
      <c r="M620" s="74">
        <f t="shared" si="85"/>
        <v>0</v>
      </c>
      <c r="N620" s="74">
        <f t="shared" si="86"/>
        <v>0</v>
      </c>
      <c r="O620" s="74">
        <f t="shared" si="87"/>
        <v>0</v>
      </c>
      <c r="P620" s="74">
        <f t="shared" si="88"/>
        <v>640</v>
      </c>
      <c r="Q620" s="74">
        <f t="shared" si="89"/>
        <v>564089.59999999998</v>
      </c>
    </row>
    <row r="621" spans="1:17" ht="93.75" customHeight="1">
      <c r="A621" s="71"/>
      <c r="B621" s="72">
        <f t="shared" si="81"/>
        <v>3460</v>
      </c>
      <c r="C621" s="72" t="s">
        <v>5617</v>
      </c>
      <c r="D621" s="75">
        <f>ROUND(Data!I2356,2)</f>
        <v>982.08</v>
      </c>
      <c r="E621" s="74" t="s">
        <v>724</v>
      </c>
      <c r="F621" s="1425">
        <f>'Detail '!I2180</f>
        <v>3460</v>
      </c>
      <c r="G621" s="74">
        <f t="shared" si="82"/>
        <v>3397996.8</v>
      </c>
      <c r="H621" s="74"/>
      <c r="I621" s="74">
        <f t="shared" si="83"/>
        <v>0</v>
      </c>
      <c r="J621" s="74"/>
      <c r="K621" s="74">
        <f t="shared" si="84"/>
        <v>0</v>
      </c>
      <c r="L621" s="74"/>
      <c r="M621" s="74">
        <f t="shared" si="85"/>
        <v>0</v>
      </c>
      <c r="N621" s="74">
        <f t="shared" si="86"/>
        <v>0</v>
      </c>
      <c r="O621" s="74">
        <f t="shared" si="87"/>
        <v>0</v>
      </c>
      <c r="P621" s="74">
        <f t="shared" si="88"/>
        <v>3460</v>
      </c>
      <c r="Q621" s="74">
        <f t="shared" si="89"/>
        <v>3397996.8</v>
      </c>
    </row>
    <row r="622" spans="1:17" ht="80.25" customHeight="1">
      <c r="A622" s="72"/>
      <c r="B622" s="72">
        <f t="shared" si="81"/>
        <v>837</v>
      </c>
      <c r="C622" s="72" t="s">
        <v>5618</v>
      </c>
      <c r="D622" s="75">
        <f>ROUND(Data!I2358,2)</f>
        <v>1178.5</v>
      </c>
      <c r="E622" s="74" t="s">
        <v>724</v>
      </c>
      <c r="F622" s="1425">
        <f>'Detail '!I2238</f>
        <v>837</v>
      </c>
      <c r="G622" s="74">
        <f t="shared" si="82"/>
        <v>986404.5</v>
      </c>
      <c r="H622" s="74"/>
      <c r="I622" s="74">
        <f t="shared" si="83"/>
        <v>0</v>
      </c>
      <c r="J622" s="74"/>
      <c r="K622" s="74">
        <f t="shared" si="84"/>
        <v>0</v>
      </c>
      <c r="L622" s="74"/>
      <c r="M622" s="74">
        <f t="shared" si="85"/>
        <v>0</v>
      </c>
      <c r="N622" s="74">
        <f t="shared" si="86"/>
        <v>0</v>
      </c>
      <c r="O622" s="74">
        <f t="shared" si="87"/>
        <v>0</v>
      </c>
      <c r="P622" s="74">
        <f t="shared" si="88"/>
        <v>837</v>
      </c>
      <c r="Q622" s="74">
        <f t="shared" si="89"/>
        <v>986404.5</v>
      </c>
    </row>
    <row r="623" spans="1:17" ht="48" customHeight="1">
      <c r="A623" s="82"/>
      <c r="B623" s="72">
        <f t="shared" si="81"/>
        <v>61</v>
      </c>
      <c r="C623" s="72" t="s">
        <v>5619</v>
      </c>
      <c r="D623" s="75">
        <f>Data!I2360</f>
        <v>1080.29</v>
      </c>
      <c r="E623" s="74" t="s">
        <v>724</v>
      </c>
      <c r="F623" s="1425">
        <f>'Detail '!I2245</f>
        <v>61</v>
      </c>
      <c r="G623" s="74">
        <f t="shared" si="82"/>
        <v>65897.69</v>
      </c>
      <c r="H623" s="74"/>
      <c r="I623" s="74">
        <f t="shared" si="83"/>
        <v>0</v>
      </c>
      <c r="J623" s="74"/>
      <c r="K623" s="74">
        <f t="shared" si="84"/>
        <v>0</v>
      </c>
      <c r="L623" s="74"/>
      <c r="M623" s="74">
        <f t="shared" si="85"/>
        <v>0</v>
      </c>
      <c r="N623" s="74">
        <f t="shared" si="86"/>
        <v>0</v>
      </c>
      <c r="O623" s="74">
        <f t="shared" si="87"/>
        <v>0</v>
      </c>
      <c r="P623" s="74">
        <f t="shared" si="88"/>
        <v>61</v>
      </c>
      <c r="Q623" s="74">
        <f t="shared" si="89"/>
        <v>65897.69</v>
      </c>
    </row>
    <row r="624" spans="1:17" ht="51" hidden="1" customHeight="1">
      <c r="A624" s="56"/>
      <c r="B624" s="72">
        <f t="shared" si="81"/>
        <v>0</v>
      </c>
      <c r="C624" s="72" t="s">
        <v>5620</v>
      </c>
      <c r="D624" s="75">
        <f>D622*2</f>
        <v>2357</v>
      </c>
      <c r="E624" s="74" t="s">
        <v>724</v>
      </c>
      <c r="F624" s="1425"/>
      <c r="G624" s="74">
        <f t="shared" si="82"/>
        <v>0</v>
      </c>
      <c r="H624" s="74"/>
      <c r="I624" s="74">
        <f t="shared" si="83"/>
        <v>0</v>
      </c>
      <c r="J624" s="74"/>
      <c r="K624" s="74">
        <f t="shared" si="84"/>
        <v>0</v>
      </c>
      <c r="L624" s="74"/>
      <c r="M624" s="74">
        <f t="shared" si="85"/>
        <v>0</v>
      </c>
      <c r="N624" s="74">
        <f t="shared" si="86"/>
        <v>0</v>
      </c>
      <c r="O624" s="74">
        <f t="shared" si="87"/>
        <v>0</v>
      </c>
      <c r="P624" s="74">
        <f t="shared" si="88"/>
        <v>0</v>
      </c>
      <c r="Q624" s="74">
        <f t="shared" si="89"/>
        <v>0</v>
      </c>
    </row>
    <row r="625" spans="1:17" ht="57.75" customHeight="1">
      <c r="A625" s="56"/>
      <c r="B625" s="72">
        <f t="shared" si="81"/>
        <v>63.4</v>
      </c>
      <c r="C625" s="72" t="s">
        <v>5621</v>
      </c>
      <c r="D625" s="75">
        <f>D621*1.5</f>
        <v>1473.12</v>
      </c>
      <c r="E625" s="74" t="s">
        <v>724</v>
      </c>
      <c r="F625" s="1425"/>
      <c r="G625" s="74">
        <f t="shared" si="82"/>
        <v>0</v>
      </c>
      <c r="H625" s="74"/>
      <c r="I625" s="74">
        <f t="shared" si="83"/>
        <v>0</v>
      </c>
      <c r="J625" s="74">
        <f>Sump!I31</f>
        <v>63.4</v>
      </c>
      <c r="K625" s="74">
        <f t="shared" si="84"/>
        <v>93395.81</v>
      </c>
      <c r="L625" s="74"/>
      <c r="M625" s="74">
        <f t="shared" si="85"/>
        <v>0</v>
      </c>
      <c r="N625" s="74">
        <f t="shared" si="86"/>
        <v>63.4</v>
      </c>
      <c r="O625" s="74">
        <f t="shared" si="87"/>
        <v>93395.81</v>
      </c>
      <c r="P625" s="74">
        <f t="shared" si="88"/>
        <v>63.4</v>
      </c>
      <c r="Q625" s="74">
        <f t="shared" si="89"/>
        <v>93395.81</v>
      </c>
    </row>
    <row r="626" spans="1:17" ht="57" customHeight="1">
      <c r="A626" s="56"/>
      <c r="B626" s="72">
        <f t="shared" si="81"/>
        <v>165</v>
      </c>
      <c r="C626" s="72" t="s">
        <v>3625</v>
      </c>
      <c r="D626" s="75">
        <f>D621*2</f>
        <v>1964.16</v>
      </c>
      <c r="E626" s="74" t="s">
        <v>724</v>
      </c>
      <c r="F626" s="1425">
        <f>'Detail '!I2249</f>
        <v>165</v>
      </c>
      <c r="G626" s="74">
        <f t="shared" si="82"/>
        <v>324086.40000000002</v>
      </c>
      <c r="H626" s="74"/>
      <c r="I626" s="74">
        <f t="shared" si="83"/>
        <v>0</v>
      </c>
      <c r="J626" s="74"/>
      <c r="K626" s="74">
        <f t="shared" si="84"/>
        <v>0</v>
      </c>
      <c r="L626" s="74"/>
      <c r="M626" s="74">
        <f t="shared" si="85"/>
        <v>0</v>
      </c>
      <c r="N626" s="74">
        <f t="shared" si="86"/>
        <v>0</v>
      </c>
      <c r="O626" s="74">
        <f t="shared" si="87"/>
        <v>0</v>
      </c>
      <c r="P626" s="74">
        <f t="shared" si="88"/>
        <v>165</v>
      </c>
      <c r="Q626" s="74">
        <f t="shared" si="89"/>
        <v>324086.40000000002</v>
      </c>
    </row>
    <row r="627" spans="1:17" ht="82.5" customHeight="1">
      <c r="A627" s="71">
        <v>21.6</v>
      </c>
      <c r="B627" s="72">
        <f t="shared" si="81"/>
        <v>0</v>
      </c>
      <c r="C627" s="76" t="s">
        <v>5622</v>
      </c>
      <c r="D627" s="75"/>
      <c r="E627" s="74"/>
      <c r="F627" s="75"/>
      <c r="G627" s="74">
        <f t="shared" si="82"/>
        <v>0</v>
      </c>
      <c r="H627" s="74"/>
      <c r="I627" s="74">
        <f t="shared" si="83"/>
        <v>0</v>
      </c>
      <c r="J627" s="74"/>
      <c r="K627" s="74">
        <f t="shared" si="84"/>
        <v>0</v>
      </c>
      <c r="L627" s="74"/>
      <c r="M627" s="74">
        <f t="shared" si="85"/>
        <v>0</v>
      </c>
      <c r="N627" s="74">
        <f t="shared" si="86"/>
        <v>0</v>
      </c>
      <c r="O627" s="74">
        <f t="shared" si="87"/>
        <v>0</v>
      </c>
      <c r="P627" s="74">
        <f t="shared" si="88"/>
        <v>0</v>
      </c>
      <c r="Q627" s="74">
        <f t="shared" si="89"/>
        <v>0</v>
      </c>
    </row>
    <row r="628" spans="1:17" ht="42.75" customHeight="1">
      <c r="A628" s="83"/>
      <c r="B628" s="72">
        <f t="shared" si="81"/>
        <v>4</v>
      </c>
      <c r="C628" s="72" t="s">
        <v>5407</v>
      </c>
      <c r="D628" s="75">
        <f>ROUND(Data!K889,2)</f>
        <v>2884.53</v>
      </c>
      <c r="E628" s="75" t="s">
        <v>729</v>
      </c>
      <c r="F628" s="1425">
        <f>'Detail '!I2253</f>
        <v>4</v>
      </c>
      <c r="G628" s="74">
        <f t="shared" si="82"/>
        <v>11538.12</v>
      </c>
      <c r="H628" s="74"/>
      <c r="I628" s="74">
        <f t="shared" si="83"/>
        <v>0</v>
      </c>
      <c r="J628" s="74"/>
      <c r="K628" s="74">
        <f t="shared" si="84"/>
        <v>0</v>
      </c>
      <c r="L628" s="74"/>
      <c r="M628" s="74">
        <f t="shared" si="85"/>
        <v>0</v>
      </c>
      <c r="N628" s="74">
        <f t="shared" si="86"/>
        <v>0</v>
      </c>
      <c r="O628" s="74">
        <f t="shared" si="87"/>
        <v>0</v>
      </c>
      <c r="P628" s="74">
        <f t="shared" si="88"/>
        <v>4</v>
      </c>
      <c r="Q628" s="74">
        <f t="shared" si="89"/>
        <v>11538.12</v>
      </c>
    </row>
    <row r="629" spans="1:17" ht="42.75" customHeight="1">
      <c r="A629" s="83"/>
      <c r="B629" s="72">
        <f t="shared" si="81"/>
        <v>0</v>
      </c>
      <c r="C629" s="72" t="s">
        <v>5623</v>
      </c>
      <c r="D629" s="75">
        <f>Data!R864</f>
        <v>3447.43</v>
      </c>
      <c r="E629" s="75" t="s">
        <v>729</v>
      </c>
      <c r="F629" s="75"/>
      <c r="G629" s="74">
        <f t="shared" si="82"/>
        <v>0</v>
      </c>
      <c r="H629" s="74"/>
      <c r="I629" s="74">
        <f t="shared" si="83"/>
        <v>0</v>
      </c>
      <c r="J629" s="74"/>
      <c r="K629" s="74">
        <f t="shared" si="84"/>
        <v>0</v>
      </c>
      <c r="L629" s="74"/>
      <c r="M629" s="74">
        <f t="shared" si="85"/>
        <v>0</v>
      </c>
      <c r="N629" s="74">
        <f t="shared" si="86"/>
        <v>0</v>
      </c>
      <c r="O629" s="74">
        <f t="shared" si="87"/>
        <v>0</v>
      </c>
      <c r="P629" s="74">
        <f t="shared" si="88"/>
        <v>0</v>
      </c>
      <c r="Q629" s="74">
        <f t="shared" si="89"/>
        <v>0</v>
      </c>
    </row>
    <row r="630" spans="1:17" ht="42.75" customHeight="1">
      <c r="A630" s="83"/>
      <c r="B630" s="72">
        <f t="shared" si="81"/>
        <v>0</v>
      </c>
      <c r="C630" s="72" t="s">
        <v>5409</v>
      </c>
      <c r="D630" s="75">
        <f>ROUND(Data!K871,2)</f>
        <v>2907.36</v>
      </c>
      <c r="E630" s="75" t="s">
        <v>729</v>
      </c>
      <c r="F630" s="75"/>
      <c r="G630" s="74">
        <f t="shared" si="82"/>
        <v>0</v>
      </c>
      <c r="H630" s="74"/>
      <c r="I630" s="74">
        <f t="shared" si="83"/>
        <v>0</v>
      </c>
      <c r="J630" s="74"/>
      <c r="K630" s="74">
        <f t="shared" si="84"/>
        <v>0</v>
      </c>
      <c r="L630" s="74"/>
      <c r="M630" s="74">
        <f t="shared" si="85"/>
        <v>0</v>
      </c>
      <c r="N630" s="74">
        <f t="shared" si="86"/>
        <v>0</v>
      </c>
      <c r="O630" s="74">
        <f t="shared" si="87"/>
        <v>0</v>
      </c>
      <c r="P630" s="74">
        <f t="shared" si="88"/>
        <v>0</v>
      </c>
      <c r="Q630" s="74">
        <f t="shared" si="89"/>
        <v>0</v>
      </c>
    </row>
    <row r="631" spans="1:17" ht="42.75" hidden="1" customHeight="1">
      <c r="A631" s="83"/>
      <c r="B631" s="72">
        <f t="shared" si="81"/>
        <v>0</v>
      </c>
      <c r="C631" s="72" t="s">
        <v>5624</v>
      </c>
      <c r="D631" s="75">
        <f>Data!K905</f>
        <v>2845.92</v>
      </c>
      <c r="E631" s="75" t="s">
        <v>729</v>
      </c>
      <c r="F631" s="75"/>
      <c r="G631" s="74">
        <f t="shared" si="82"/>
        <v>0</v>
      </c>
      <c r="H631" s="74"/>
      <c r="I631" s="74">
        <f t="shared" si="83"/>
        <v>0</v>
      </c>
      <c r="J631" s="74"/>
      <c r="K631" s="74">
        <f t="shared" si="84"/>
        <v>0</v>
      </c>
      <c r="L631" s="74"/>
      <c r="M631" s="74">
        <f t="shared" si="85"/>
        <v>0</v>
      </c>
      <c r="N631" s="74">
        <f t="shared" si="86"/>
        <v>0</v>
      </c>
      <c r="O631" s="74">
        <f t="shared" si="87"/>
        <v>0</v>
      </c>
      <c r="P631" s="74">
        <f t="shared" si="88"/>
        <v>0</v>
      </c>
      <c r="Q631" s="74">
        <f t="shared" si="89"/>
        <v>0</v>
      </c>
    </row>
    <row r="632" spans="1:17" ht="61.5" hidden="1" customHeight="1">
      <c r="A632" s="56"/>
      <c r="B632" s="72">
        <f t="shared" si="81"/>
        <v>0</v>
      </c>
      <c r="C632" s="76" t="s">
        <v>5625</v>
      </c>
      <c r="D632" s="75"/>
      <c r="E632" s="74"/>
      <c r="F632" s="75"/>
      <c r="G632" s="74">
        <f t="shared" si="82"/>
        <v>0</v>
      </c>
      <c r="H632" s="74"/>
      <c r="I632" s="74">
        <f t="shared" si="83"/>
        <v>0</v>
      </c>
      <c r="J632" s="74"/>
      <c r="K632" s="74">
        <f t="shared" si="84"/>
        <v>0</v>
      </c>
      <c r="L632" s="74"/>
      <c r="M632" s="74">
        <f t="shared" si="85"/>
        <v>0</v>
      </c>
      <c r="N632" s="74">
        <f t="shared" si="86"/>
        <v>0</v>
      </c>
      <c r="O632" s="74">
        <f t="shared" si="87"/>
        <v>0</v>
      </c>
      <c r="P632" s="74">
        <f t="shared" si="88"/>
        <v>0</v>
      </c>
      <c r="Q632" s="74">
        <f t="shared" si="89"/>
        <v>0</v>
      </c>
    </row>
    <row r="633" spans="1:17" ht="60.75" hidden="1" customHeight="1">
      <c r="A633" s="56"/>
      <c r="B633" s="72">
        <f t="shared" si="81"/>
        <v>0</v>
      </c>
      <c r="C633" s="72" t="s">
        <v>5416</v>
      </c>
      <c r="D633" s="75">
        <f>Data!K1081</f>
        <v>3659.42</v>
      </c>
      <c r="E633" s="74" t="s">
        <v>5324</v>
      </c>
      <c r="F633" s="75"/>
      <c r="G633" s="74">
        <f t="shared" si="82"/>
        <v>0</v>
      </c>
      <c r="H633" s="74"/>
      <c r="I633" s="74">
        <f t="shared" si="83"/>
        <v>0</v>
      </c>
      <c r="J633" s="74"/>
      <c r="K633" s="74">
        <f t="shared" si="84"/>
        <v>0</v>
      </c>
      <c r="L633" s="74"/>
      <c r="M633" s="74">
        <f t="shared" si="85"/>
        <v>0</v>
      </c>
      <c r="N633" s="74">
        <f t="shared" si="86"/>
        <v>0</v>
      </c>
      <c r="O633" s="74">
        <f t="shared" si="87"/>
        <v>0</v>
      </c>
      <c r="P633" s="74">
        <f t="shared" si="88"/>
        <v>0</v>
      </c>
      <c r="Q633" s="74">
        <f t="shared" si="89"/>
        <v>0</v>
      </c>
    </row>
    <row r="634" spans="1:17" ht="25.5" hidden="1" customHeight="1">
      <c r="A634" s="56"/>
      <c r="B634" s="72">
        <f t="shared" si="81"/>
        <v>0</v>
      </c>
      <c r="C634" s="72" t="s">
        <v>5417</v>
      </c>
      <c r="D634" s="75"/>
      <c r="E634" s="74" t="s">
        <v>5324</v>
      </c>
      <c r="F634" s="75"/>
      <c r="G634" s="74">
        <f t="shared" si="82"/>
        <v>0</v>
      </c>
      <c r="H634" s="74"/>
      <c r="I634" s="74">
        <f t="shared" si="83"/>
        <v>0</v>
      </c>
      <c r="J634" s="74"/>
      <c r="K634" s="74">
        <f t="shared" si="84"/>
        <v>0</v>
      </c>
      <c r="L634" s="74"/>
      <c r="M634" s="74">
        <f t="shared" si="85"/>
        <v>0</v>
      </c>
      <c r="N634" s="74">
        <f t="shared" si="86"/>
        <v>0</v>
      </c>
      <c r="O634" s="74">
        <f t="shared" si="87"/>
        <v>0</v>
      </c>
      <c r="P634" s="74">
        <f t="shared" si="88"/>
        <v>0</v>
      </c>
      <c r="Q634" s="74">
        <f t="shared" si="89"/>
        <v>0</v>
      </c>
    </row>
    <row r="635" spans="1:17" ht="31.5" hidden="1" customHeight="1">
      <c r="A635" s="56"/>
      <c r="B635" s="72">
        <f t="shared" si="81"/>
        <v>0</v>
      </c>
      <c r="C635" s="72" t="s">
        <v>5418</v>
      </c>
      <c r="D635" s="75">
        <f>Data!K1097</f>
        <v>3858.29</v>
      </c>
      <c r="E635" s="74" t="s">
        <v>5324</v>
      </c>
      <c r="F635" s="75"/>
      <c r="G635" s="74">
        <f t="shared" si="82"/>
        <v>0</v>
      </c>
      <c r="H635" s="74"/>
      <c r="I635" s="74">
        <f t="shared" si="83"/>
        <v>0</v>
      </c>
      <c r="J635" s="74"/>
      <c r="K635" s="74">
        <f t="shared" si="84"/>
        <v>0</v>
      </c>
      <c r="L635" s="74"/>
      <c r="M635" s="74">
        <f t="shared" si="85"/>
        <v>0</v>
      </c>
      <c r="N635" s="74">
        <f t="shared" si="86"/>
        <v>0</v>
      </c>
      <c r="O635" s="74">
        <f t="shared" si="87"/>
        <v>0</v>
      </c>
      <c r="P635" s="74">
        <f t="shared" si="88"/>
        <v>0</v>
      </c>
      <c r="Q635" s="74">
        <f t="shared" si="89"/>
        <v>0</v>
      </c>
    </row>
    <row r="636" spans="1:17" ht="42" hidden="1" customHeight="1">
      <c r="A636" s="56"/>
      <c r="B636" s="72">
        <f t="shared" si="81"/>
        <v>0</v>
      </c>
      <c r="C636" s="72" t="s">
        <v>5419</v>
      </c>
      <c r="D636" s="75">
        <f>Data!K1112</f>
        <v>2856.35</v>
      </c>
      <c r="E636" s="74" t="s">
        <v>5324</v>
      </c>
      <c r="F636" s="75"/>
      <c r="G636" s="74">
        <f t="shared" si="82"/>
        <v>0</v>
      </c>
      <c r="H636" s="74"/>
      <c r="I636" s="74">
        <f t="shared" si="83"/>
        <v>0</v>
      </c>
      <c r="J636" s="74"/>
      <c r="K636" s="74">
        <f t="shared" si="84"/>
        <v>0</v>
      </c>
      <c r="L636" s="74"/>
      <c r="M636" s="74">
        <f t="shared" si="85"/>
        <v>0</v>
      </c>
      <c r="N636" s="74">
        <f t="shared" si="86"/>
        <v>0</v>
      </c>
      <c r="O636" s="74">
        <f t="shared" si="87"/>
        <v>0</v>
      </c>
      <c r="P636" s="74">
        <f t="shared" si="88"/>
        <v>0</v>
      </c>
      <c r="Q636" s="74">
        <f t="shared" si="89"/>
        <v>0</v>
      </c>
    </row>
    <row r="637" spans="1:17" ht="38.25" hidden="1" customHeight="1">
      <c r="A637" s="56"/>
      <c r="B637" s="72">
        <f t="shared" si="81"/>
        <v>0</v>
      </c>
      <c r="C637" s="72" t="s">
        <v>5626</v>
      </c>
      <c r="D637" s="75">
        <v>2203.2800000000002</v>
      </c>
      <c r="E637" s="74" t="s">
        <v>5324</v>
      </c>
      <c r="F637" s="75"/>
      <c r="G637" s="74">
        <f t="shared" si="82"/>
        <v>0</v>
      </c>
      <c r="H637" s="74"/>
      <c r="I637" s="74">
        <f t="shared" si="83"/>
        <v>0</v>
      </c>
      <c r="J637" s="74"/>
      <c r="K637" s="74">
        <f t="shared" si="84"/>
        <v>0</v>
      </c>
      <c r="L637" s="74"/>
      <c r="M637" s="74">
        <f t="shared" si="85"/>
        <v>0</v>
      </c>
      <c r="N637" s="74">
        <f t="shared" si="86"/>
        <v>0</v>
      </c>
      <c r="O637" s="74">
        <f t="shared" si="87"/>
        <v>0</v>
      </c>
      <c r="P637" s="74">
        <f t="shared" si="88"/>
        <v>0</v>
      </c>
      <c r="Q637" s="74">
        <f t="shared" si="89"/>
        <v>0</v>
      </c>
    </row>
    <row r="638" spans="1:17" s="55" customFormat="1" ht="62.25" hidden="1" customHeight="1">
      <c r="A638" s="71" t="s">
        <v>5627</v>
      </c>
      <c r="B638" s="72">
        <f t="shared" si="81"/>
        <v>0</v>
      </c>
      <c r="C638" s="72" t="s">
        <v>5628</v>
      </c>
      <c r="D638" s="75">
        <f>Data!K2877</f>
        <v>2208.35</v>
      </c>
      <c r="E638" s="74" t="s">
        <v>724</v>
      </c>
      <c r="F638" s="75"/>
      <c r="G638" s="74">
        <f t="shared" si="82"/>
        <v>0</v>
      </c>
      <c r="H638" s="74"/>
      <c r="I638" s="74">
        <f t="shared" si="83"/>
        <v>0</v>
      </c>
      <c r="J638" s="74"/>
      <c r="K638" s="74">
        <f t="shared" si="84"/>
        <v>0</v>
      </c>
      <c r="L638" s="74"/>
      <c r="M638" s="74">
        <f t="shared" si="85"/>
        <v>0</v>
      </c>
      <c r="N638" s="74">
        <f t="shared" si="86"/>
        <v>0</v>
      </c>
      <c r="O638" s="74">
        <f t="shared" si="87"/>
        <v>0</v>
      </c>
      <c r="P638" s="74">
        <f t="shared" si="88"/>
        <v>0</v>
      </c>
      <c r="Q638" s="74">
        <f t="shared" si="89"/>
        <v>0</v>
      </c>
    </row>
    <row r="639" spans="1:17" ht="110.25" customHeight="1">
      <c r="A639" s="71"/>
      <c r="B639" s="72">
        <f t="shared" si="81"/>
        <v>138.6</v>
      </c>
      <c r="C639" s="72" t="s">
        <v>5629</v>
      </c>
      <c r="D639" s="75">
        <f>ROUND(Data!K3114,2)</f>
        <v>4319.62</v>
      </c>
      <c r="E639" s="74" t="s">
        <v>724</v>
      </c>
      <c r="F639" s="1425">
        <f>'Detail '!I2288</f>
        <v>138.6</v>
      </c>
      <c r="G639" s="74">
        <f t="shared" si="82"/>
        <v>598699.32999999996</v>
      </c>
      <c r="H639" s="74"/>
      <c r="I639" s="74">
        <f t="shared" si="83"/>
        <v>0</v>
      </c>
      <c r="J639" s="74"/>
      <c r="K639" s="74">
        <f t="shared" si="84"/>
        <v>0</v>
      </c>
      <c r="L639" s="74"/>
      <c r="M639" s="74">
        <f t="shared" si="85"/>
        <v>0</v>
      </c>
      <c r="N639" s="74">
        <f t="shared" si="86"/>
        <v>0</v>
      </c>
      <c r="O639" s="74">
        <f t="shared" si="87"/>
        <v>0</v>
      </c>
      <c r="P639" s="74">
        <f t="shared" si="88"/>
        <v>138.6</v>
      </c>
      <c r="Q639" s="74">
        <f t="shared" si="89"/>
        <v>598699.32999999996</v>
      </c>
    </row>
    <row r="640" spans="1:17" s="61" customFormat="1" ht="93">
      <c r="A640" s="71"/>
      <c r="B640" s="72">
        <f t="shared" si="81"/>
        <v>50.4</v>
      </c>
      <c r="C640" s="72" t="s">
        <v>5630</v>
      </c>
      <c r="D640" s="1637">
        <v>6717.24</v>
      </c>
      <c r="E640" s="74" t="s">
        <v>724</v>
      </c>
      <c r="F640" s="1425">
        <f>'Detail '!I2290</f>
        <v>50.4</v>
      </c>
      <c r="G640" s="74">
        <f t="shared" si="82"/>
        <v>338548.9</v>
      </c>
      <c r="H640" s="74"/>
      <c r="I640" s="74">
        <f t="shared" si="83"/>
        <v>0</v>
      </c>
      <c r="J640" s="74"/>
      <c r="K640" s="74">
        <f t="shared" si="84"/>
        <v>0</v>
      </c>
      <c r="L640" s="74"/>
      <c r="M640" s="74">
        <f t="shared" si="85"/>
        <v>0</v>
      </c>
      <c r="N640" s="74">
        <f t="shared" si="86"/>
        <v>0</v>
      </c>
      <c r="O640" s="74">
        <f t="shared" si="87"/>
        <v>0</v>
      </c>
      <c r="P640" s="74">
        <f t="shared" si="88"/>
        <v>50.4</v>
      </c>
      <c r="Q640" s="74">
        <f t="shared" si="89"/>
        <v>338548.9</v>
      </c>
    </row>
    <row r="641" spans="1:17" s="62" customFormat="1" ht="72" hidden="1" customHeight="1">
      <c r="A641" s="71">
        <v>22.8</v>
      </c>
      <c r="B641" s="72">
        <f t="shared" si="81"/>
        <v>0</v>
      </c>
      <c r="C641" s="72" t="s">
        <v>5631</v>
      </c>
      <c r="D641" s="75"/>
      <c r="E641" s="74"/>
      <c r="F641" s="75"/>
      <c r="G641" s="74">
        <f t="shared" si="82"/>
        <v>0</v>
      </c>
      <c r="H641" s="74"/>
      <c r="I641" s="74">
        <f t="shared" si="83"/>
        <v>0</v>
      </c>
      <c r="J641" s="74"/>
      <c r="K641" s="74">
        <f t="shared" si="84"/>
        <v>0</v>
      </c>
      <c r="L641" s="74"/>
      <c r="M641" s="74">
        <f t="shared" si="85"/>
        <v>0</v>
      </c>
      <c r="N641" s="74">
        <f t="shared" si="86"/>
        <v>0</v>
      </c>
      <c r="O641" s="74">
        <f t="shared" si="87"/>
        <v>0</v>
      </c>
      <c r="P641" s="74">
        <f t="shared" si="88"/>
        <v>0</v>
      </c>
      <c r="Q641" s="74">
        <f t="shared" si="89"/>
        <v>0</v>
      </c>
    </row>
    <row r="642" spans="1:17" s="62" customFormat="1" ht="35.1" hidden="1" customHeight="1">
      <c r="A642" s="71"/>
      <c r="B642" s="72">
        <f t="shared" si="81"/>
        <v>0</v>
      </c>
      <c r="C642" s="72" t="s">
        <v>5632</v>
      </c>
      <c r="D642" s="75">
        <f>ROUND(Data!K2845,2)</f>
        <v>2816.03</v>
      </c>
      <c r="E642" s="74" t="s">
        <v>724</v>
      </c>
      <c r="F642" s="75"/>
      <c r="G642" s="74">
        <f t="shared" si="82"/>
        <v>0</v>
      </c>
      <c r="H642" s="74"/>
      <c r="I642" s="74">
        <f t="shared" si="83"/>
        <v>0</v>
      </c>
      <c r="J642" s="74"/>
      <c r="K642" s="74">
        <f t="shared" si="84"/>
        <v>0</v>
      </c>
      <c r="L642" s="74"/>
      <c r="M642" s="74">
        <f t="shared" si="85"/>
        <v>0</v>
      </c>
      <c r="N642" s="74">
        <f t="shared" si="86"/>
        <v>0</v>
      </c>
      <c r="O642" s="74">
        <f t="shared" si="87"/>
        <v>0</v>
      </c>
      <c r="P642" s="74">
        <f t="shared" si="88"/>
        <v>0</v>
      </c>
      <c r="Q642" s="74">
        <f t="shared" si="89"/>
        <v>0</v>
      </c>
    </row>
    <row r="643" spans="1:17" s="62" customFormat="1" ht="35.1" hidden="1" customHeight="1">
      <c r="A643" s="71"/>
      <c r="B643" s="72">
        <f t="shared" si="81"/>
        <v>0</v>
      </c>
      <c r="C643" s="72" t="s">
        <v>5633</v>
      </c>
      <c r="D643" s="75">
        <f>ROUND(Data!K2981,2)</f>
        <v>2861.95</v>
      </c>
      <c r="E643" s="74" t="s">
        <v>724</v>
      </c>
      <c r="F643" s="75"/>
      <c r="G643" s="74">
        <f t="shared" si="82"/>
        <v>0</v>
      </c>
      <c r="H643" s="74"/>
      <c r="I643" s="74">
        <f t="shared" si="83"/>
        <v>0</v>
      </c>
      <c r="J643" s="74"/>
      <c r="K643" s="74">
        <f t="shared" si="84"/>
        <v>0</v>
      </c>
      <c r="L643" s="74"/>
      <c r="M643" s="74">
        <f t="shared" si="85"/>
        <v>0</v>
      </c>
      <c r="N643" s="74">
        <f t="shared" si="86"/>
        <v>0</v>
      </c>
      <c r="O643" s="74">
        <f t="shared" si="87"/>
        <v>0</v>
      </c>
      <c r="P643" s="74">
        <f t="shared" si="88"/>
        <v>0</v>
      </c>
      <c r="Q643" s="74">
        <f t="shared" si="89"/>
        <v>0</v>
      </c>
    </row>
    <row r="644" spans="1:17" s="62" customFormat="1" ht="28.5" hidden="1" customHeight="1">
      <c r="A644" s="56"/>
      <c r="B644" s="72">
        <f t="shared" si="81"/>
        <v>0</v>
      </c>
      <c r="C644" s="72" t="s">
        <v>5634</v>
      </c>
      <c r="D644" s="75"/>
      <c r="E644" s="74" t="s">
        <v>724</v>
      </c>
      <c r="F644" s="75"/>
      <c r="G644" s="74">
        <f t="shared" si="82"/>
        <v>0</v>
      </c>
      <c r="H644" s="74"/>
      <c r="I644" s="74">
        <f t="shared" si="83"/>
        <v>0</v>
      </c>
      <c r="J644" s="74"/>
      <c r="K644" s="74">
        <f t="shared" si="84"/>
        <v>0</v>
      </c>
      <c r="L644" s="74"/>
      <c r="M644" s="74">
        <f t="shared" si="85"/>
        <v>0</v>
      </c>
      <c r="N644" s="74">
        <f t="shared" si="86"/>
        <v>0</v>
      </c>
      <c r="O644" s="74">
        <f t="shared" si="87"/>
        <v>0</v>
      </c>
      <c r="P644" s="74">
        <f t="shared" si="88"/>
        <v>0</v>
      </c>
      <c r="Q644" s="74">
        <f t="shared" si="89"/>
        <v>0</v>
      </c>
    </row>
    <row r="645" spans="1:17" ht="58.5" hidden="1" customHeight="1">
      <c r="A645" s="82"/>
      <c r="B645" s="72">
        <f t="shared" ref="B645:B708" si="90">P645</f>
        <v>0</v>
      </c>
      <c r="C645" s="76" t="s">
        <v>5635</v>
      </c>
      <c r="D645" s="75"/>
      <c r="E645" s="74"/>
      <c r="F645" s="75"/>
      <c r="G645" s="74">
        <f t="shared" si="82"/>
        <v>0</v>
      </c>
      <c r="H645" s="74"/>
      <c r="I645" s="74">
        <f t="shared" si="83"/>
        <v>0</v>
      </c>
      <c r="J645" s="74"/>
      <c r="K645" s="74">
        <f t="shared" si="84"/>
        <v>0</v>
      </c>
      <c r="L645" s="74"/>
      <c r="M645" s="74">
        <f t="shared" si="85"/>
        <v>0</v>
      </c>
      <c r="N645" s="74">
        <f t="shared" si="86"/>
        <v>0</v>
      </c>
      <c r="O645" s="74">
        <f t="shared" si="87"/>
        <v>0</v>
      </c>
      <c r="P645" s="74">
        <f t="shared" si="88"/>
        <v>0</v>
      </c>
      <c r="Q645" s="74">
        <f t="shared" si="89"/>
        <v>0</v>
      </c>
    </row>
    <row r="646" spans="1:17" s="55" customFormat="1" ht="49.5" hidden="1" customHeight="1">
      <c r="A646" s="82"/>
      <c r="B646" s="72">
        <f t="shared" si="90"/>
        <v>0</v>
      </c>
      <c r="C646" s="72" t="s">
        <v>5636</v>
      </c>
      <c r="D646" s="75">
        <f>ROUND(Data!K2827,2)</f>
        <v>6752.88</v>
      </c>
      <c r="E646" s="74" t="s">
        <v>724</v>
      </c>
      <c r="F646" s="75"/>
      <c r="G646" s="74">
        <f t="shared" ref="G646:G709" si="91">F646*D646</f>
        <v>0</v>
      </c>
      <c r="H646" s="74"/>
      <c r="I646" s="74">
        <f t="shared" ref="I646:I709" si="92">H646*D646</f>
        <v>0</v>
      </c>
      <c r="J646" s="74"/>
      <c r="K646" s="74">
        <f t="shared" ref="K646:K709" si="93">J646*D646</f>
        <v>0</v>
      </c>
      <c r="L646" s="74"/>
      <c r="M646" s="74">
        <f t="shared" ref="M646:M709" si="94">L646*D646</f>
        <v>0</v>
      </c>
      <c r="N646" s="74">
        <f t="shared" ref="N646:N709" si="95">H646+J646+L646</f>
        <v>0</v>
      </c>
      <c r="O646" s="74">
        <f t="shared" ref="O646:O709" si="96">N646*D646</f>
        <v>0</v>
      </c>
      <c r="P646" s="74">
        <f t="shared" ref="P646:P709" si="97">N646+F646</f>
        <v>0</v>
      </c>
      <c r="Q646" s="74">
        <f t="shared" ref="Q646:Q709" si="98">P646*D646</f>
        <v>0</v>
      </c>
    </row>
    <row r="647" spans="1:17" ht="38.25" hidden="1" customHeight="1">
      <c r="A647" s="56"/>
      <c r="B647" s="72">
        <f t="shared" si="90"/>
        <v>0</v>
      </c>
      <c r="C647" s="72" t="s">
        <v>5637</v>
      </c>
      <c r="D647" s="75"/>
      <c r="E647" s="74"/>
      <c r="F647" s="75"/>
      <c r="G647" s="74">
        <f t="shared" si="91"/>
        <v>0</v>
      </c>
      <c r="H647" s="74"/>
      <c r="I647" s="74">
        <f t="shared" si="92"/>
        <v>0</v>
      </c>
      <c r="J647" s="74"/>
      <c r="K647" s="74">
        <f t="shared" si="93"/>
        <v>0</v>
      </c>
      <c r="L647" s="74"/>
      <c r="M647" s="74">
        <f t="shared" si="94"/>
        <v>0</v>
      </c>
      <c r="N647" s="74">
        <f t="shared" si="95"/>
        <v>0</v>
      </c>
      <c r="O647" s="74">
        <f t="shared" si="96"/>
        <v>0</v>
      </c>
      <c r="P647" s="74">
        <f t="shared" si="97"/>
        <v>0</v>
      </c>
      <c r="Q647" s="74">
        <f t="shared" si="98"/>
        <v>0</v>
      </c>
    </row>
    <row r="648" spans="1:17" ht="51" hidden="1" customHeight="1">
      <c r="A648" s="56"/>
      <c r="B648" s="72">
        <f t="shared" si="90"/>
        <v>0</v>
      </c>
      <c r="C648" s="72" t="s">
        <v>5638</v>
      </c>
      <c r="D648" s="75">
        <f>Data!R2867</f>
        <v>4965.8</v>
      </c>
      <c r="E648" s="74" t="s">
        <v>724</v>
      </c>
      <c r="F648" s="75"/>
      <c r="G648" s="74">
        <f t="shared" si="91"/>
        <v>0</v>
      </c>
      <c r="H648" s="74"/>
      <c r="I648" s="74">
        <f t="shared" si="92"/>
        <v>0</v>
      </c>
      <c r="J648" s="74"/>
      <c r="K648" s="74">
        <f t="shared" si="93"/>
        <v>0</v>
      </c>
      <c r="L648" s="74"/>
      <c r="M648" s="74">
        <f t="shared" si="94"/>
        <v>0</v>
      </c>
      <c r="N648" s="74">
        <f t="shared" si="95"/>
        <v>0</v>
      </c>
      <c r="O648" s="74">
        <f t="shared" si="96"/>
        <v>0</v>
      </c>
      <c r="P648" s="74">
        <f t="shared" si="97"/>
        <v>0</v>
      </c>
      <c r="Q648" s="74">
        <f t="shared" si="98"/>
        <v>0</v>
      </c>
    </row>
    <row r="649" spans="1:17" ht="51" hidden="1" customHeight="1">
      <c r="A649" s="56"/>
      <c r="B649" s="72">
        <f t="shared" si="90"/>
        <v>0</v>
      </c>
      <c r="C649" s="72" t="s">
        <v>5639</v>
      </c>
      <c r="D649" s="75">
        <f>Data!R2834</f>
        <v>5257.76</v>
      </c>
      <c r="E649" s="74" t="s">
        <v>724</v>
      </c>
      <c r="F649" s="75"/>
      <c r="G649" s="74">
        <f t="shared" si="91"/>
        <v>0</v>
      </c>
      <c r="H649" s="74"/>
      <c r="I649" s="74">
        <f t="shared" si="92"/>
        <v>0</v>
      </c>
      <c r="J649" s="74"/>
      <c r="K649" s="74">
        <f t="shared" si="93"/>
        <v>0</v>
      </c>
      <c r="L649" s="74"/>
      <c r="M649" s="74">
        <f t="shared" si="94"/>
        <v>0</v>
      </c>
      <c r="N649" s="74">
        <f t="shared" si="95"/>
        <v>0</v>
      </c>
      <c r="O649" s="74">
        <f t="shared" si="96"/>
        <v>0</v>
      </c>
      <c r="P649" s="74">
        <f t="shared" si="97"/>
        <v>0</v>
      </c>
      <c r="Q649" s="74">
        <f t="shared" si="98"/>
        <v>0</v>
      </c>
    </row>
    <row r="650" spans="1:17" ht="46.5" hidden="1" customHeight="1">
      <c r="A650" s="56"/>
      <c r="B650" s="72">
        <f t="shared" si="90"/>
        <v>0</v>
      </c>
      <c r="C650" s="72" t="s">
        <v>5640</v>
      </c>
      <c r="D650" s="75">
        <f>Data!K964</f>
        <v>5096.5600000000004</v>
      </c>
      <c r="E650" s="74" t="s">
        <v>724</v>
      </c>
      <c r="F650" s="75"/>
      <c r="G650" s="74">
        <f t="shared" si="91"/>
        <v>0</v>
      </c>
      <c r="H650" s="74"/>
      <c r="I650" s="74">
        <f t="shared" si="92"/>
        <v>0</v>
      </c>
      <c r="J650" s="74"/>
      <c r="K650" s="74">
        <f t="shared" si="93"/>
        <v>0</v>
      </c>
      <c r="L650" s="74"/>
      <c r="M650" s="74">
        <f t="shared" si="94"/>
        <v>0</v>
      </c>
      <c r="N650" s="74">
        <f t="shared" si="95"/>
        <v>0</v>
      </c>
      <c r="O650" s="74">
        <f t="shared" si="96"/>
        <v>0</v>
      </c>
      <c r="P650" s="74">
        <f t="shared" si="97"/>
        <v>0</v>
      </c>
      <c r="Q650" s="74">
        <f t="shared" si="98"/>
        <v>0</v>
      </c>
    </row>
    <row r="651" spans="1:17" ht="46.5" hidden="1" customHeight="1">
      <c r="A651" s="56"/>
      <c r="B651" s="72">
        <f t="shared" si="90"/>
        <v>0</v>
      </c>
      <c r="C651" s="72" t="s">
        <v>5641</v>
      </c>
      <c r="D651" s="75">
        <f>Data!K1000</f>
        <v>5112.2700000000004</v>
      </c>
      <c r="E651" s="74" t="s">
        <v>724</v>
      </c>
      <c r="F651" s="75"/>
      <c r="G651" s="74">
        <f t="shared" si="91"/>
        <v>0</v>
      </c>
      <c r="H651" s="74"/>
      <c r="I651" s="74">
        <f t="shared" si="92"/>
        <v>0</v>
      </c>
      <c r="J651" s="74"/>
      <c r="K651" s="74">
        <f t="shared" si="93"/>
        <v>0</v>
      </c>
      <c r="L651" s="74"/>
      <c r="M651" s="74">
        <f t="shared" si="94"/>
        <v>0</v>
      </c>
      <c r="N651" s="74">
        <f t="shared" si="95"/>
        <v>0</v>
      </c>
      <c r="O651" s="74">
        <f t="shared" si="96"/>
        <v>0</v>
      </c>
      <c r="P651" s="74">
        <f t="shared" si="97"/>
        <v>0</v>
      </c>
      <c r="Q651" s="74">
        <f t="shared" si="98"/>
        <v>0</v>
      </c>
    </row>
    <row r="652" spans="1:17" ht="46.5" hidden="1" customHeight="1">
      <c r="A652" s="56"/>
      <c r="B652" s="72">
        <f t="shared" si="90"/>
        <v>0</v>
      </c>
      <c r="C652" s="76" t="s">
        <v>5642</v>
      </c>
      <c r="D652" s="75"/>
      <c r="E652" s="74"/>
      <c r="F652" s="75"/>
      <c r="G652" s="74">
        <f t="shared" si="91"/>
        <v>0</v>
      </c>
      <c r="H652" s="74"/>
      <c r="I652" s="74">
        <f t="shared" si="92"/>
        <v>0</v>
      </c>
      <c r="J652" s="74"/>
      <c r="K652" s="74">
        <f t="shared" si="93"/>
        <v>0</v>
      </c>
      <c r="L652" s="74"/>
      <c r="M652" s="74">
        <f t="shared" si="94"/>
        <v>0</v>
      </c>
      <c r="N652" s="74">
        <f t="shared" si="95"/>
        <v>0</v>
      </c>
      <c r="O652" s="74">
        <f t="shared" si="96"/>
        <v>0</v>
      </c>
      <c r="P652" s="74">
        <f t="shared" si="97"/>
        <v>0</v>
      </c>
      <c r="Q652" s="74">
        <f t="shared" si="98"/>
        <v>0</v>
      </c>
    </row>
    <row r="653" spans="1:17" ht="60.75" hidden="1" customHeight="1">
      <c r="A653" s="56"/>
      <c r="B653" s="72">
        <f t="shared" si="90"/>
        <v>0</v>
      </c>
      <c r="C653" s="72" t="s">
        <v>5643</v>
      </c>
      <c r="D653" s="75">
        <f>Data!K3434</f>
        <v>5331.63</v>
      </c>
      <c r="E653" s="74" t="s">
        <v>724</v>
      </c>
      <c r="F653" s="75"/>
      <c r="G653" s="74">
        <f t="shared" si="91"/>
        <v>0</v>
      </c>
      <c r="H653" s="74"/>
      <c r="I653" s="74">
        <f t="shared" si="92"/>
        <v>0</v>
      </c>
      <c r="J653" s="74"/>
      <c r="K653" s="74">
        <f t="shared" si="93"/>
        <v>0</v>
      </c>
      <c r="L653" s="74"/>
      <c r="M653" s="74">
        <f t="shared" si="94"/>
        <v>0</v>
      </c>
      <c r="N653" s="74">
        <f t="shared" si="95"/>
        <v>0</v>
      </c>
      <c r="O653" s="74">
        <f t="shared" si="96"/>
        <v>0</v>
      </c>
      <c r="P653" s="74">
        <f t="shared" si="97"/>
        <v>0</v>
      </c>
      <c r="Q653" s="74">
        <f t="shared" si="98"/>
        <v>0</v>
      </c>
    </row>
    <row r="654" spans="1:17" ht="75.75" hidden="1" customHeight="1">
      <c r="A654" s="56"/>
      <c r="B654" s="72">
        <f t="shared" si="90"/>
        <v>0</v>
      </c>
      <c r="C654" s="85" t="s">
        <v>5644</v>
      </c>
      <c r="D654" s="75">
        <f>Data!AG2629</f>
        <v>5937.12</v>
      </c>
      <c r="E654" s="74" t="s">
        <v>724</v>
      </c>
      <c r="F654" s="75"/>
      <c r="G654" s="74">
        <f t="shared" si="91"/>
        <v>0</v>
      </c>
      <c r="H654" s="74"/>
      <c r="I654" s="74">
        <f t="shared" si="92"/>
        <v>0</v>
      </c>
      <c r="J654" s="74"/>
      <c r="K654" s="74">
        <f t="shared" si="93"/>
        <v>0</v>
      </c>
      <c r="L654" s="74"/>
      <c r="M654" s="74">
        <f t="shared" si="94"/>
        <v>0</v>
      </c>
      <c r="N654" s="74">
        <f t="shared" si="95"/>
        <v>0</v>
      </c>
      <c r="O654" s="74">
        <f t="shared" si="96"/>
        <v>0</v>
      </c>
      <c r="P654" s="74">
        <f t="shared" si="97"/>
        <v>0</v>
      </c>
      <c r="Q654" s="74">
        <f t="shared" si="98"/>
        <v>0</v>
      </c>
    </row>
    <row r="655" spans="1:17" ht="66.75" hidden="1" customHeight="1">
      <c r="A655" s="56"/>
      <c r="B655" s="72">
        <f t="shared" si="90"/>
        <v>0</v>
      </c>
      <c r="C655" s="72" t="s">
        <v>5645</v>
      </c>
      <c r="D655" s="75">
        <v>8756.6299999999992</v>
      </c>
      <c r="E655" s="75" t="s">
        <v>724</v>
      </c>
      <c r="F655" s="75"/>
      <c r="G655" s="74">
        <f t="shared" si="91"/>
        <v>0</v>
      </c>
      <c r="H655" s="74"/>
      <c r="I655" s="74">
        <f t="shared" si="92"/>
        <v>0</v>
      </c>
      <c r="J655" s="74"/>
      <c r="K655" s="74">
        <f t="shared" si="93"/>
        <v>0</v>
      </c>
      <c r="L655" s="74"/>
      <c r="M655" s="74">
        <f t="shared" si="94"/>
        <v>0</v>
      </c>
      <c r="N655" s="74">
        <f t="shared" si="95"/>
        <v>0</v>
      </c>
      <c r="O655" s="74">
        <f t="shared" si="96"/>
        <v>0</v>
      </c>
      <c r="P655" s="74">
        <f t="shared" si="97"/>
        <v>0</v>
      </c>
      <c r="Q655" s="74">
        <f t="shared" si="98"/>
        <v>0</v>
      </c>
    </row>
    <row r="656" spans="1:17" ht="59.25" hidden="1" customHeight="1">
      <c r="A656" s="56"/>
      <c r="B656" s="72">
        <f t="shared" si="90"/>
        <v>0</v>
      </c>
      <c r="C656" s="72" t="s">
        <v>5646</v>
      </c>
      <c r="D656" s="75">
        <f>Data!R3203</f>
        <v>6286.31</v>
      </c>
      <c r="E656" s="74" t="s">
        <v>724</v>
      </c>
      <c r="F656" s="75"/>
      <c r="G656" s="74">
        <f t="shared" si="91"/>
        <v>0</v>
      </c>
      <c r="H656" s="74"/>
      <c r="I656" s="74">
        <f t="shared" si="92"/>
        <v>0</v>
      </c>
      <c r="J656" s="74"/>
      <c r="K656" s="74">
        <f t="shared" si="93"/>
        <v>0</v>
      </c>
      <c r="L656" s="74"/>
      <c r="M656" s="74">
        <f t="shared" si="94"/>
        <v>0</v>
      </c>
      <c r="N656" s="74">
        <f t="shared" si="95"/>
        <v>0</v>
      </c>
      <c r="O656" s="74">
        <f t="shared" si="96"/>
        <v>0</v>
      </c>
      <c r="P656" s="74">
        <f t="shared" si="97"/>
        <v>0</v>
      </c>
      <c r="Q656" s="74">
        <f t="shared" si="98"/>
        <v>0</v>
      </c>
    </row>
    <row r="657" spans="1:17" ht="59.25" hidden="1" customHeight="1">
      <c r="A657" s="56"/>
      <c r="B657" s="72">
        <f t="shared" si="90"/>
        <v>0</v>
      </c>
      <c r="C657" s="72" t="s">
        <v>5647</v>
      </c>
      <c r="D657" s="75">
        <f>Data!R3203</f>
        <v>6286.31</v>
      </c>
      <c r="E657" s="74" t="s">
        <v>724</v>
      </c>
      <c r="F657" s="75"/>
      <c r="G657" s="74">
        <f t="shared" si="91"/>
        <v>0</v>
      </c>
      <c r="H657" s="74"/>
      <c r="I657" s="74">
        <f t="shared" si="92"/>
        <v>0</v>
      </c>
      <c r="J657" s="74"/>
      <c r="K657" s="74">
        <f t="shared" si="93"/>
        <v>0</v>
      </c>
      <c r="L657" s="74"/>
      <c r="M657" s="74">
        <f t="shared" si="94"/>
        <v>0</v>
      </c>
      <c r="N657" s="74">
        <f t="shared" si="95"/>
        <v>0</v>
      </c>
      <c r="O657" s="74">
        <f t="shared" si="96"/>
        <v>0</v>
      </c>
      <c r="P657" s="74">
        <f t="shared" si="97"/>
        <v>0</v>
      </c>
      <c r="Q657" s="74">
        <f t="shared" si="98"/>
        <v>0</v>
      </c>
    </row>
    <row r="658" spans="1:17" ht="64.5" hidden="1" customHeight="1">
      <c r="A658" s="56"/>
      <c r="B658" s="72">
        <f t="shared" si="90"/>
        <v>0</v>
      </c>
      <c r="C658" s="85" t="s">
        <v>5648</v>
      </c>
      <c r="D658" s="75">
        <f>Data!R2654</f>
        <v>7218.85</v>
      </c>
      <c r="E658" s="74" t="s">
        <v>724</v>
      </c>
      <c r="F658" s="75"/>
      <c r="G658" s="74">
        <f t="shared" si="91"/>
        <v>0</v>
      </c>
      <c r="H658" s="74"/>
      <c r="I658" s="74">
        <f t="shared" si="92"/>
        <v>0</v>
      </c>
      <c r="J658" s="74"/>
      <c r="K658" s="74">
        <f t="shared" si="93"/>
        <v>0</v>
      </c>
      <c r="L658" s="74"/>
      <c r="M658" s="74">
        <f t="shared" si="94"/>
        <v>0</v>
      </c>
      <c r="N658" s="74">
        <f t="shared" si="95"/>
        <v>0</v>
      </c>
      <c r="O658" s="74">
        <f t="shared" si="96"/>
        <v>0</v>
      </c>
      <c r="P658" s="74">
        <f t="shared" si="97"/>
        <v>0</v>
      </c>
      <c r="Q658" s="74">
        <f t="shared" si="98"/>
        <v>0</v>
      </c>
    </row>
    <row r="659" spans="1:17" ht="104.25" hidden="1" customHeight="1">
      <c r="A659" s="56"/>
      <c r="B659" s="72">
        <f t="shared" si="90"/>
        <v>0</v>
      </c>
      <c r="C659" s="85" t="s">
        <v>5649</v>
      </c>
      <c r="D659" s="75">
        <f>'Sliding and french window'!G219</f>
        <v>27750</v>
      </c>
      <c r="E659" s="74" t="s">
        <v>729</v>
      </c>
      <c r="F659" s="75"/>
      <c r="G659" s="74">
        <f t="shared" si="91"/>
        <v>0</v>
      </c>
      <c r="H659" s="74"/>
      <c r="I659" s="74">
        <f t="shared" si="92"/>
        <v>0</v>
      </c>
      <c r="J659" s="74"/>
      <c r="K659" s="74">
        <f t="shared" si="93"/>
        <v>0</v>
      </c>
      <c r="L659" s="74"/>
      <c r="M659" s="74">
        <f t="shared" si="94"/>
        <v>0</v>
      </c>
      <c r="N659" s="74">
        <f t="shared" si="95"/>
        <v>0</v>
      </c>
      <c r="O659" s="74">
        <f t="shared" si="96"/>
        <v>0</v>
      </c>
      <c r="P659" s="74">
        <f t="shared" si="97"/>
        <v>0</v>
      </c>
      <c r="Q659" s="74">
        <f t="shared" si="98"/>
        <v>0</v>
      </c>
    </row>
    <row r="660" spans="1:17" ht="140.25" hidden="1" customHeight="1">
      <c r="A660" s="56"/>
      <c r="B660" s="72">
        <f t="shared" si="90"/>
        <v>0</v>
      </c>
      <c r="C660" s="76" t="s">
        <v>5650</v>
      </c>
      <c r="D660" s="84"/>
      <c r="E660" s="84"/>
      <c r="F660" s="75"/>
      <c r="G660" s="74">
        <f t="shared" si="91"/>
        <v>0</v>
      </c>
      <c r="H660" s="74"/>
      <c r="I660" s="74">
        <f t="shared" si="92"/>
        <v>0</v>
      </c>
      <c r="J660" s="74"/>
      <c r="K660" s="74">
        <f t="shared" si="93"/>
        <v>0</v>
      </c>
      <c r="L660" s="74"/>
      <c r="M660" s="74">
        <f t="shared" si="94"/>
        <v>0</v>
      </c>
      <c r="N660" s="74">
        <f t="shared" si="95"/>
        <v>0</v>
      </c>
      <c r="O660" s="74">
        <f t="shared" si="96"/>
        <v>0</v>
      </c>
      <c r="P660" s="74">
        <f t="shared" si="97"/>
        <v>0</v>
      </c>
      <c r="Q660" s="74">
        <f t="shared" si="98"/>
        <v>0</v>
      </c>
    </row>
    <row r="661" spans="1:17" ht="68.25" hidden="1" customHeight="1">
      <c r="A661" s="56"/>
      <c r="B661" s="72">
        <f t="shared" si="90"/>
        <v>0</v>
      </c>
      <c r="C661" s="72" t="s">
        <v>5651</v>
      </c>
      <c r="D661" s="75">
        <v>3346.03</v>
      </c>
      <c r="E661" s="74" t="s">
        <v>468</v>
      </c>
      <c r="F661" s="75"/>
      <c r="G661" s="74">
        <f t="shared" si="91"/>
        <v>0</v>
      </c>
      <c r="H661" s="74"/>
      <c r="I661" s="74">
        <f t="shared" si="92"/>
        <v>0</v>
      </c>
      <c r="J661" s="74"/>
      <c r="K661" s="74">
        <f t="shared" si="93"/>
        <v>0</v>
      </c>
      <c r="L661" s="74"/>
      <c r="M661" s="74">
        <f t="shared" si="94"/>
        <v>0</v>
      </c>
      <c r="N661" s="74">
        <f t="shared" si="95"/>
        <v>0</v>
      </c>
      <c r="O661" s="74">
        <f t="shared" si="96"/>
        <v>0</v>
      </c>
      <c r="P661" s="74">
        <f t="shared" si="97"/>
        <v>0</v>
      </c>
      <c r="Q661" s="74">
        <f t="shared" si="98"/>
        <v>0</v>
      </c>
    </row>
    <row r="662" spans="1:17" ht="59.25" hidden="1" customHeight="1">
      <c r="A662" s="56"/>
      <c r="B662" s="72">
        <f t="shared" si="90"/>
        <v>0</v>
      </c>
      <c r="C662" s="72" t="s">
        <v>5652</v>
      </c>
      <c r="D662" s="75">
        <v>2819.29</v>
      </c>
      <c r="E662" s="74" t="s">
        <v>468</v>
      </c>
      <c r="F662" s="75"/>
      <c r="G662" s="74">
        <f t="shared" si="91"/>
        <v>0</v>
      </c>
      <c r="H662" s="74"/>
      <c r="I662" s="74">
        <f t="shared" si="92"/>
        <v>0</v>
      </c>
      <c r="J662" s="74"/>
      <c r="K662" s="74">
        <f t="shared" si="93"/>
        <v>0</v>
      </c>
      <c r="L662" s="74"/>
      <c r="M662" s="74">
        <f t="shared" si="94"/>
        <v>0</v>
      </c>
      <c r="N662" s="74">
        <f t="shared" si="95"/>
        <v>0</v>
      </c>
      <c r="O662" s="74">
        <f t="shared" si="96"/>
        <v>0</v>
      </c>
      <c r="P662" s="74">
        <f t="shared" si="97"/>
        <v>0</v>
      </c>
      <c r="Q662" s="74">
        <f t="shared" si="98"/>
        <v>0</v>
      </c>
    </row>
    <row r="663" spans="1:17" ht="65.25" hidden="1" customHeight="1">
      <c r="A663" s="82"/>
      <c r="B663" s="72">
        <f t="shared" si="90"/>
        <v>0</v>
      </c>
      <c r="C663" s="72" t="s">
        <v>5653</v>
      </c>
      <c r="D663" s="75">
        <v>2596.6799999999998</v>
      </c>
      <c r="E663" s="74" t="s">
        <v>724</v>
      </c>
      <c r="F663" s="75"/>
      <c r="G663" s="74">
        <f t="shared" si="91"/>
        <v>0</v>
      </c>
      <c r="H663" s="74"/>
      <c r="I663" s="74">
        <f t="shared" si="92"/>
        <v>0</v>
      </c>
      <c r="J663" s="74"/>
      <c r="K663" s="74">
        <f t="shared" si="93"/>
        <v>0</v>
      </c>
      <c r="L663" s="74"/>
      <c r="M663" s="74">
        <f t="shared" si="94"/>
        <v>0</v>
      </c>
      <c r="N663" s="74">
        <f t="shared" si="95"/>
        <v>0</v>
      </c>
      <c r="O663" s="74">
        <f t="shared" si="96"/>
        <v>0</v>
      </c>
      <c r="P663" s="74">
        <f t="shared" si="97"/>
        <v>0</v>
      </c>
      <c r="Q663" s="74">
        <f t="shared" si="98"/>
        <v>0</v>
      </c>
    </row>
    <row r="664" spans="1:17" ht="82.5" hidden="1" customHeight="1">
      <c r="A664" s="56"/>
      <c r="B664" s="72">
        <f t="shared" si="90"/>
        <v>0</v>
      </c>
      <c r="C664" s="72" t="s">
        <v>5654</v>
      </c>
      <c r="D664" s="75">
        <f>Data!R1000</f>
        <v>4124.04</v>
      </c>
      <c r="E664" s="75" t="s">
        <v>724</v>
      </c>
      <c r="F664" s="75"/>
      <c r="G664" s="74">
        <f t="shared" si="91"/>
        <v>0</v>
      </c>
      <c r="H664" s="74"/>
      <c r="I664" s="74">
        <f t="shared" si="92"/>
        <v>0</v>
      </c>
      <c r="J664" s="74"/>
      <c r="K664" s="74">
        <f t="shared" si="93"/>
        <v>0</v>
      </c>
      <c r="L664" s="74"/>
      <c r="M664" s="74">
        <f t="shared" si="94"/>
        <v>0</v>
      </c>
      <c r="N664" s="74">
        <f t="shared" si="95"/>
        <v>0</v>
      </c>
      <c r="O664" s="74">
        <f t="shared" si="96"/>
        <v>0</v>
      </c>
      <c r="P664" s="74">
        <f t="shared" si="97"/>
        <v>0</v>
      </c>
      <c r="Q664" s="74">
        <f t="shared" si="98"/>
        <v>0</v>
      </c>
    </row>
    <row r="665" spans="1:17" ht="74.25" hidden="1" customHeight="1">
      <c r="A665" s="56"/>
      <c r="B665" s="72">
        <f t="shared" si="90"/>
        <v>0</v>
      </c>
      <c r="C665" s="72" t="s">
        <v>5655</v>
      </c>
      <c r="D665" s="75">
        <v>8847.7900000000009</v>
      </c>
      <c r="E665" s="74" t="s">
        <v>724</v>
      </c>
      <c r="F665" s="75"/>
      <c r="G665" s="74">
        <f t="shared" si="91"/>
        <v>0</v>
      </c>
      <c r="H665" s="74"/>
      <c r="I665" s="74">
        <f t="shared" si="92"/>
        <v>0</v>
      </c>
      <c r="J665" s="74"/>
      <c r="K665" s="74">
        <f t="shared" si="93"/>
        <v>0</v>
      </c>
      <c r="L665" s="74"/>
      <c r="M665" s="74">
        <f t="shared" si="94"/>
        <v>0</v>
      </c>
      <c r="N665" s="74">
        <f t="shared" si="95"/>
        <v>0</v>
      </c>
      <c r="O665" s="74">
        <f t="shared" si="96"/>
        <v>0</v>
      </c>
      <c r="P665" s="74">
        <f t="shared" si="97"/>
        <v>0</v>
      </c>
      <c r="Q665" s="74">
        <f t="shared" si="98"/>
        <v>0</v>
      </c>
    </row>
    <row r="666" spans="1:17" ht="58.5" customHeight="1">
      <c r="A666" s="71" t="s">
        <v>3634</v>
      </c>
      <c r="B666" s="72">
        <f t="shared" si="90"/>
        <v>69.3</v>
      </c>
      <c r="C666" s="72" t="s">
        <v>5656</v>
      </c>
      <c r="D666" s="75">
        <f>Data!C704</f>
        <v>3325</v>
      </c>
      <c r="E666" s="74" t="s">
        <v>724</v>
      </c>
      <c r="F666" s="1425">
        <f>'Detail '!I2293</f>
        <v>69.3</v>
      </c>
      <c r="G666" s="74">
        <f t="shared" si="91"/>
        <v>230422.5</v>
      </c>
      <c r="H666" s="74"/>
      <c r="I666" s="74">
        <f t="shared" si="92"/>
        <v>0</v>
      </c>
      <c r="J666" s="74"/>
      <c r="K666" s="74">
        <f t="shared" si="93"/>
        <v>0</v>
      </c>
      <c r="L666" s="74"/>
      <c r="M666" s="74">
        <f t="shared" si="94"/>
        <v>0</v>
      </c>
      <c r="N666" s="74">
        <f t="shared" si="95"/>
        <v>0</v>
      </c>
      <c r="O666" s="74">
        <f t="shared" si="96"/>
        <v>0</v>
      </c>
      <c r="P666" s="74">
        <f t="shared" si="97"/>
        <v>69.3</v>
      </c>
      <c r="Q666" s="74">
        <f t="shared" si="98"/>
        <v>230422.5</v>
      </c>
    </row>
    <row r="667" spans="1:17" s="1432" customFormat="1" ht="58.5" customHeight="1">
      <c r="A667" s="1431"/>
      <c r="B667" s="72">
        <f t="shared" si="90"/>
        <v>0</v>
      </c>
      <c r="C667" s="1429" t="s">
        <v>3761</v>
      </c>
      <c r="D667" s="1425">
        <v>3562</v>
      </c>
      <c r="E667" s="1430" t="s">
        <v>724</v>
      </c>
      <c r="F667" s="1425"/>
      <c r="G667" s="74">
        <f t="shared" si="91"/>
        <v>0</v>
      </c>
      <c r="H667" s="1430"/>
      <c r="I667" s="74">
        <f t="shared" si="92"/>
        <v>0</v>
      </c>
      <c r="J667" s="1430"/>
      <c r="K667" s="74">
        <f t="shared" si="93"/>
        <v>0</v>
      </c>
      <c r="L667" s="1430"/>
      <c r="M667" s="74">
        <f t="shared" si="94"/>
        <v>0</v>
      </c>
      <c r="N667" s="74">
        <f t="shared" si="95"/>
        <v>0</v>
      </c>
      <c r="O667" s="74">
        <f t="shared" si="96"/>
        <v>0</v>
      </c>
      <c r="P667" s="74">
        <f t="shared" si="97"/>
        <v>0</v>
      </c>
      <c r="Q667" s="74">
        <f t="shared" si="98"/>
        <v>0</v>
      </c>
    </row>
    <row r="668" spans="1:17" s="55" customFormat="1" ht="66.75" hidden="1" customHeight="1">
      <c r="A668" s="83" t="s">
        <v>5657</v>
      </c>
      <c r="B668" s="72">
        <f t="shared" si="90"/>
        <v>0</v>
      </c>
      <c r="C668" s="72" t="s">
        <v>5658</v>
      </c>
      <c r="D668" s="75">
        <f>ROUND(Data!K1185,2)</f>
        <v>747</v>
      </c>
      <c r="E668" s="74" t="s">
        <v>724</v>
      </c>
      <c r="F668" s="75"/>
      <c r="G668" s="74">
        <f t="shared" si="91"/>
        <v>0</v>
      </c>
      <c r="H668" s="74"/>
      <c r="I668" s="74">
        <f t="shared" si="92"/>
        <v>0</v>
      </c>
      <c r="J668" s="74"/>
      <c r="K668" s="74">
        <f t="shared" si="93"/>
        <v>0</v>
      </c>
      <c r="L668" s="74"/>
      <c r="M668" s="74">
        <f t="shared" si="94"/>
        <v>0</v>
      </c>
      <c r="N668" s="74">
        <f t="shared" si="95"/>
        <v>0</v>
      </c>
      <c r="O668" s="74">
        <f t="shared" si="96"/>
        <v>0</v>
      </c>
      <c r="P668" s="74">
        <f t="shared" si="97"/>
        <v>0</v>
      </c>
      <c r="Q668" s="74">
        <f t="shared" si="98"/>
        <v>0</v>
      </c>
    </row>
    <row r="669" spans="1:17" ht="45.75" hidden="1" customHeight="1">
      <c r="A669" s="72"/>
      <c r="B669" s="72">
        <f t="shared" si="90"/>
        <v>0</v>
      </c>
      <c r="C669" s="76" t="s">
        <v>5659</v>
      </c>
      <c r="D669" s="75"/>
      <c r="E669" s="74"/>
      <c r="F669" s="75"/>
      <c r="G669" s="74">
        <f t="shared" si="91"/>
        <v>0</v>
      </c>
      <c r="H669" s="74"/>
      <c r="I669" s="74">
        <f t="shared" si="92"/>
        <v>0</v>
      </c>
      <c r="J669" s="74"/>
      <c r="K669" s="74">
        <f t="shared" si="93"/>
        <v>0</v>
      </c>
      <c r="L669" s="74"/>
      <c r="M669" s="74">
        <f t="shared" si="94"/>
        <v>0</v>
      </c>
      <c r="N669" s="74">
        <f t="shared" si="95"/>
        <v>0</v>
      </c>
      <c r="O669" s="74">
        <f t="shared" si="96"/>
        <v>0</v>
      </c>
      <c r="P669" s="74">
        <f t="shared" si="97"/>
        <v>0</v>
      </c>
      <c r="Q669" s="74">
        <f t="shared" si="98"/>
        <v>0</v>
      </c>
    </row>
    <row r="670" spans="1:17" ht="39" hidden="1" customHeight="1">
      <c r="A670" s="72"/>
      <c r="B670" s="72">
        <f t="shared" si="90"/>
        <v>0</v>
      </c>
      <c r="C670" s="72" t="s">
        <v>5341</v>
      </c>
      <c r="D670" s="75">
        <f>ROUND(Data!K628,2)</f>
        <v>607.33000000000004</v>
      </c>
      <c r="E670" s="74" t="s">
        <v>5324</v>
      </c>
      <c r="F670" s="75"/>
      <c r="G670" s="74">
        <f t="shared" si="91"/>
        <v>0</v>
      </c>
      <c r="H670" s="74"/>
      <c r="I670" s="74">
        <f t="shared" si="92"/>
        <v>0</v>
      </c>
      <c r="J670" s="74"/>
      <c r="K670" s="74">
        <f t="shared" si="93"/>
        <v>0</v>
      </c>
      <c r="L670" s="74"/>
      <c r="M670" s="74">
        <f t="shared" si="94"/>
        <v>0</v>
      </c>
      <c r="N670" s="74">
        <f t="shared" si="95"/>
        <v>0</v>
      </c>
      <c r="O670" s="74">
        <f t="shared" si="96"/>
        <v>0</v>
      </c>
      <c r="P670" s="74">
        <f t="shared" si="97"/>
        <v>0</v>
      </c>
      <c r="Q670" s="74">
        <f t="shared" si="98"/>
        <v>0</v>
      </c>
    </row>
    <row r="671" spans="1:17" ht="39" hidden="1" customHeight="1">
      <c r="A671" s="72"/>
      <c r="B671" s="72">
        <f t="shared" si="90"/>
        <v>0</v>
      </c>
      <c r="C671" s="72" t="s">
        <v>5342</v>
      </c>
      <c r="D671" s="75">
        <f>ROUND(Data!K629,2)</f>
        <v>612.25</v>
      </c>
      <c r="E671" s="74" t="s">
        <v>5324</v>
      </c>
      <c r="F671" s="75"/>
      <c r="G671" s="74">
        <f t="shared" si="91"/>
        <v>0</v>
      </c>
      <c r="H671" s="74"/>
      <c r="I671" s="74">
        <f t="shared" si="92"/>
        <v>0</v>
      </c>
      <c r="J671" s="74"/>
      <c r="K671" s="74">
        <f t="shared" si="93"/>
        <v>0</v>
      </c>
      <c r="L671" s="74"/>
      <c r="M671" s="74">
        <f t="shared" si="94"/>
        <v>0</v>
      </c>
      <c r="N671" s="74">
        <f t="shared" si="95"/>
        <v>0</v>
      </c>
      <c r="O671" s="74">
        <f t="shared" si="96"/>
        <v>0</v>
      </c>
      <c r="P671" s="74">
        <f t="shared" si="97"/>
        <v>0</v>
      </c>
      <c r="Q671" s="74">
        <f t="shared" si="98"/>
        <v>0</v>
      </c>
    </row>
    <row r="672" spans="1:17" ht="39" hidden="1" customHeight="1">
      <c r="A672" s="72"/>
      <c r="B672" s="72">
        <f t="shared" si="90"/>
        <v>0</v>
      </c>
      <c r="C672" s="72" t="s">
        <v>5343</v>
      </c>
      <c r="D672" s="75">
        <f>ROUND(Data!K630,2)</f>
        <v>617.16999999999996</v>
      </c>
      <c r="E672" s="74" t="s">
        <v>5324</v>
      </c>
      <c r="F672" s="75"/>
      <c r="G672" s="74">
        <f t="shared" si="91"/>
        <v>0</v>
      </c>
      <c r="H672" s="74"/>
      <c r="I672" s="74">
        <f t="shared" si="92"/>
        <v>0</v>
      </c>
      <c r="J672" s="74"/>
      <c r="K672" s="74">
        <f t="shared" si="93"/>
        <v>0</v>
      </c>
      <c r="L672" s="74"/>
      <c r="M672" s="74">
        <f t="shared" si="94"/>
        <v>0</v>
      </c>
      <c r="N672" s="74">
        <f t="shared" si="95"/>
        <v>0</v>
      </c>
      <c r="O672" s="74">
        <f t="shared" si="96"/>
        <v>0</v>
      </c>
      <c r="P672" s="74">
        <f t="shared" si="97"/>
        <v>0</v>
      </c>
      <c r="Q672" s="74">
        <f t="shared" si="98"/>
        <v>0</v>
      </c>
    </row>
    <row r="673" spans="1:17" ht="39" hidden="1" customHeight="1">
      <c r="A673" s="72"/>
      <c r="B673" s="72">
        <f t="shared" si="90"/>
        <v>0</v>
      </c>
      <c r="C673" s="72" t="s">
        <v>5344</v>
      </c>
      <c r="D673" s="75">
        <f>ROUND(Data!K631,2)</f>
        <v>622.09</v>
      </c>
      <c r="E673" s="74" t="s">
        <v>5324</v>
      </c>
      <c r="F673" s="75"/>
      <c r="G673" s="74">
        <f t="shared" si="91"/>
        <v>0</v>
      </c>
      <c r="H673" s="74"/>
      <c r="I673" s="74">
        <f t="shared" si="92"/>
        <v>0</v>
      </c>
      <c r="J673" s="74"/>
      <c r="K673" s="74">
        <f t="shared" si="93"/>
        <v>0</v>
      </c>
      <c r="L673" s="74"/>
      <c r="M673" s="74">
        <f t="shared" si="94"/>
        <v>0</v>
      </c>
      <c r="N673" s="74">
        <f t="shared" si="95"/>
        <v>0</v>
      </c>
      <c r="O673" s="74">
        <f t="shared" si="96"/>
        <v>0</v>
      </c>
      <c r="P673" s="74">
        <f t="shared" si="97"/>
        <v>0</v>
      </c>
      <c r="Q673" s="74">
        <f t="shared" si="98"/>
        <v>0</v>
      </c>
    </row>
    <row r="674" spans="1:17" ht="36" hidden="1" customHeight="1">
      <c r="A674" s="56"/>
      <c r="B674" s="72">
        <f t="shared" si="90"/>
        <v>0</v>
      </c>
      <c r="C674" s="72" t="s">
        <v>5345</v>
      </c>
      <c r="D674" s="75">
        <f>ROUND(Data!K632,2)</f>
        <v>627.01</v>
      </c>
      <c r="E674" s="74" t="s">
        <v>5324</v>
      </c>
      <c r="F674" s="75"/>
      <c r="G674" s="74">
        <f t="shared" si="91"/>
        <v>0</v>
      </c>
      <c r="H674" s="74"/>
      <c r="I674" s="74">
        <f t="shared" si="92"/>
        <v>0</v>
      </c>
      <c r="J674" s="74"/>
      <c r="K674" s="74">
        <f t="shared" si="93"/>
        <v>0</v>
      </c>
      <c r="L674" s="74"/>
      <c r="M674" s="74">
        <f t="shared" si="94"/>
        <v>0</v>
      </c>
      <c r="N674" s="74">
        <f t="shared" si="95"/>
        <v>0</v>
      </c>
      <c r="O674" s="74">
        <f t="shared" si="96"/>
        <v>0</v>
      </c>
      <c r="P674" s="74">
        <f t="shared" si="97"/>
        <v>0</v>
      </c>
      <c r="Q674" s="74">
        <f t="shared" si="98"/>
        <v>0</v>
      </c>
    </row>
    <row r="675" spans="1:17" ht="54.95" hidden="1" customHeight="1">
      <c r="A675" s="56"/>
      <c r="B675" s="72">
        <f t="shared" si="90"/>
        <v>0</v>
      </c>
      <c r="C675" s="76" t="s">
        <v>5660</v>
      </c>
      <c r="D675" s="75"/>
      <c r="E675" s="74"/>
      <c r="F675" s="75"/>
      <c r="G675" s="74">
        <f t="shared" si="91"/>
        <v>0</v>
      </c>
      <c r="H675" s="74"/>
      <c r="I675" s="74">
        <f t="shared" si="92"/>
        <v>0</v>
      </c>
      <c r="J675" s="74"/>
      <c r="K675" s="74">
        <f t="shared" si="93"/>
        <v>0</v>
      </c>
      <c r="L675" s="74"/>
      <c r="M675" s="74">
        <f t="shared" si="94"/>
        <v>0</v>
      </c>
      <c r="N675" s="74">
        <f t="shared" si="95"/>
        <v>0</v>
      </c>
      <c r="O675" s="74">
        <f t="shared" si="96"/>
        <v>0</v>
      </c>
      <c r="P675" s="74">
        <f t="shared" si="97"/>
        <v>0</v>
      </c>
      <c r="Q675" s="74">
        <f t="shared" si="98"/>
        <v>0</v>
      </c>
    </row>
    <row r="676" spans="1:17" ht="54.95" hidden="1" customHeight="1">
      <c r="A676" s="56"/>
      <c r="B676" s="72">
        <f t="shared" si="90"/>
        <v>0</v>
      </c>
      <c r="C676" s="72" t="s">
        <v>5661</v>
      </c>
      <c r="D676" s="75">
        <f>Data!K590</f>
        <v>563.35</v>
      </c>
      <c r="E676" s="74" t="s">
        <v>5324</v>
      </c>
      <c r="F676" s="75"/>
      <c r="G676" s="74">
        <f t="shared" si="91"/>
        <v>0</v>
      </c>
      <c r="H676" s="74"/>
      <c r="I676" s="74">
        <f t="shared" si="92"/>
        <v>0</v>
      </c>
      <c r="J676" s="74"/>
      <c r="K676" s="74">
        <f t="shared" si="93"/>
        <v>0</v>
      </c>
      <c r="L676" s="74"/>
      <c r="M676" s="74">
        <f t="shared" si="94"/>
        <v>0</v>
      </c>
      <c r="N676" s="74">
        <f t="shared" si="95"/>
        <v>0</v>
      </c>
      <c r="O676" s="74">
        <f t="shared" si="96"/>
        <v>0</v>
      </c>
      <c r="P676" s="74">
        <f t="shared" si="97"/>
        <v>0</v>
      </c>
      <c r="Q676" s="74">
        <f t="shared" si="98"/>
        <v>0</v>
      </c>
    </row>
    <row r="677" spans="1:17" ht="54.95" hidden="1" customHeight="1">
      <c r="A677" s="56"/>
      <c r="B677" s="72">
        <f t="shared" si="90"/>
        <v>0</v>
      </c>
      <c r="C677" s="72" t="s">
        <v>5342</v>
      </c>
      <c r="D677" s="75">
        <f>Data!K591</f>
        <v>568.27</v>
      </c>
      <c r="E677" s="74" t="s">
        <v>5324</v>
      </c>
      <c r="F677" s="75"/>
      <c r="G677" s="74">
        <f t="shared" si="91"/>
        <v>0</v>
      </c>
      <c r="H677" s="74"/>
      <c r="I677" s="74">
        <f t="shared" si="92"/>
        <v>0</v>
      </c>
      <c r="J677" s="74"/>
      <c r="K677" s="74">
        <f t="shared" si="93"/>
        <v>0</v>
      </c>
      <c r="L677" s="74"/>
      <c r="M677" s="74">
        <f t="shared" si="94"/>
        <v>0</v>
      </c>
      <c r="N677" s="74">
        <f t="shared" si="95"/>
        <v>0</v>
      </c>
      <c r="O677" s="74">
        <f t="shared" si="96"/>
        <v>0</v>
      </c>
      <c r="P677" s="74">
        <f t="shared" si="97"/>
        <v>0</v>
      </c>
      <c r="Q677" s="74">
        <f t="shared" si="98"/>
        <v>0</v>
      </c>
    </row>
    <row r="678" spans="1:17" ht="45.75" hidden="1" customHeight="1">
      <c r="A678" s="56"/>
      <c r="B678" s="72">
        <f t="shared" si="90"/>
        <v>0</v>
      </c>
      <c r="C678" s="72" t="s">
        <v>5343</v>
      </c>
      <c r="D678" s="75">
        <f>Data!K592</f>
        <v>573.19000000000005</v>
      </c>
      <c r="E678" s="74" t="s">
        <v>5324</v>
      </c>
      <c r="F678" s="75"/>
      <c r="G678" s="74">
        <f t="shared" si="91"/>
        <v>0</v>
      </c>
      <c r="H678" s="74"/>
      <c r="I678" s="74">
        <f t="shared" si="92"/>
        <v>0</v>
      </c>
      <c r="J678" s="74"/>
      <c r="K678" s="74">
        <f t="shared" si="93"/>
        <v>0</v>
      </c>
      <c r="L678" s="74"/>
      <c r="M678" s="74">
        <f t="shared" si="94"/>
        <v>0</v>
      </c>
      <c r="N678" s="74">
        <f t="shared" si="95"/>
        <v>0</v>
      </c>
      <c r="O678" s="74">
        <f t="shared" si="96"/>
        <v>0</v>
      </c>
      <c r="P678" s="74">
        <f t="shared" si="97"/>
        <v>0</v>
      </c>
      <c r="Q678" s="74">
        <f t="shared" si="98"/>
        <v>0</v>
      </c>
    </row>
    <row r="679" spans="1:17" ht="45.75" hidden="1" customHeight="1">
      <c r="A679" s="56"/>
      <c r="B679" s="72">
        <f t="shared" si="90"/>
        <v>0</v>
      </c>
      <c r="C679" s="72" t="s">
        <v>5344</v>
      </c>
      <c r="D679" s="75">
        <f>Data!K593</f>
        <v>578.11</v>
      </c>
      <c r="E679" s="74" t="s">
        <v>5324</v>
      </c>
      <c r="F679" s="75"/>
      <c r="G679" s="74">
        <f t="shared" si="91"/>
        <v>0</v>
      </c>
      <c r="H679" s="74"/>
      <c r="I679" s="74">
        <f t="shared" si="92"/>
        <v>0</v>
      </c>
      <c r="J679" s="74"/>
      <c r="K679" s="74">
        <f t="shared" si="93"/>
        <v>0</v>
      </c>
      <c r="L679" s="74"/>
      <c r="M679" s="74">
        <f t="shared" si="94"/>
        <v>0</v>
      </c>
      <c r="N679" s="74">
        <f t="shared" si="95"/>
        <v>0</v>
      </c>
      <c r="O679" s="74">
        <f t="shared" si="96"/>
        <v>0</v>
      </c>
      <c r="P679" s="74">
        <f t="shared" si="97"/>
        <v>0</v>
      </c>
      <c r="Q679" s="74">
        <f t="shared" si="98"/>
        <v>0</v>
      </c>
    </row>
    <row r="680" spans="1:17" ht="36" hidden="1" customHeight="1">
      <c r="A680" s="56"/>
      <c r="B680" s="72">
        <f t="shared" si="90"/>
        <v>0</v>
      </c>
      <c r="C680" s="72" t="s">
        <v>5345</v>
      </c>
      <c r="D680" s="75">
        <f>Data!K594</f>
        <v>583.03</v>
      </c>
      <c r="E680" s="74" t="s">
        <v>5324</v>
      </c>
      <c r="F680" s="75"/>
      <c r="G680" s="74">
        <f t="shared" si="91"/>
        <v>0</v>
      </c>
      <c r="H680" s="74"/>
      <c r="I680" s="74">
        <f t="shared" si="92"/>
        <v>0</v>
      </c>
      <c r="J680" s="74"/>
      <c r="K680" s="74">
        <f t="shared" si="93"/>
        <v>0</v>
      </c>
      <c r="L680" s="74"/>
      <c r="M680" s="74">
        <f t="shared" si="94"/>
        <v>0</v>
      </c>
      <c r="N680" s="74">
        <f t="shared" si="95"/>
        <v>0</v>
      </c>
      <c r="O680" s="74">
        <f t="shared" si="96"/>
        <v>0</v>
      </c>
      <c r="P680" s="74">
        <f t="shared" si="97"/>
        <v>0</v>
      </c>
      <c r="Q680" s="74">
        <f t="shared" si="98"/>
        <v>0</v>
      </c>
    </row>
    <row r="681" spans="1:17" ht="54.95" hidden="1" customHeight="1">
      <c r="A681" s="56"/>
      <c r="B681" s="72">
        <f t="shared" si="90"/>
        <v>0</v>
      </c>
      <c r="C681" s="76" t="s">
        <v>5662</v>
      </c>
      <c r="D681" s="75"/>
      <c r="E681" s="74"/>
      <c r="F681" s="75"/>
      <c r="G681" s="74">
        <f t="shared" si="91"/>
        <v>0</v>
      </c>
      <c r="H681" s="74"/>
      <c r="I681" s="74">
        <f t="shared" si="92"/>
        <v>0</v>
      </c>
      <c r="J681" s="74"/>
      <c r="K681" s="74">
        <f t="shared" si="93"/>
        <v>0</v>
      </c>
      <c r="L681" s="74"/>
      <c r="M681" s="74">
        <f t="shared" si="94"/>
        <v>0</v>
      </c>
      <c r="N681" s="74">
        <f t="shared" si="95"/>
        <v>0</v>
      </c>
      <c r="O681" s="74">
        <f t="shared" si="96"/>
        <v>0</v>
      </c>
      <c r="P681" s="74">
        <f t="shared" si="97"/>
        <v>0</v>
      </c>
      <c r="Q681" s="74">
        <f t="shared" si="98"/>
        <v>0</v>
      </c>
    </row>
    <row r="682" spans="1:17" ht="54.95" hidden="1" customHeight="1">
      <c r="A682" s="56"/>
      <c r="B682" s="72">
        <f t="shared" si="90"/>
        <v>0</v>
      </c>
      <c r="C682" s="72" t="s">
        <v>5341</v>
      </c>
      <c r="D682" s="75">
        <f>Data!X590</f>
        <v>597.15</v>
      </c>
      <c r="E682" s="74" t="s">
        <v>5324</v>
      </c>
      <c r="F682" s="75"/>
      <c r="G682" s="74">
        <f t="shared" si="91"/>
        <v>0</v>
      </c>
      <c r="H682" s="74"/>
      <c r="I682" s="74">
        <f t="shared" si="92"/>
        <v>0</v>
      </c>
      <c r="J682" s="74"/>
      <c r="K682" s="74">
        <f t="shared" si="93"/>
        <v>0</v>
      </c>
      <c r="L682" s="74"/>
      <c r="M682" s="74">
        <f t="shared" si="94"/>
        <v>0</v>
      </c>
      <c r="N682" s="74">
        <f t="shared" si="95"/>
        <v>0</v>
      </c>
      <c r="O682" s="74">
        <f t="shared" si="96"/>
        <v>0</v>
      </c>
      <c r="P682" s="74">
        <f t="shared" si="97"/>
        <v>0</v>
      </c>
      <c r="Q682" s="74">
        <f t="shared" si="98"/>
        <v>0</v>
      </c>
    </row>
    <row r="683" spans="1:17" ht="54.95" hidden="1" customHeight="1">
      <c r="A683" s="56"/>
      <c r="B683" s="72">
        <f t="shared" si="90"/>
        <v>0</v>
      </c>
      <c r="C683" s="72" t="s">
        <v>5342</v>
      </c>
      <c r="D683" s="75">
        <f>Data!X591</f>
        <v>607</v>
      </c>
      <c r="E683" s="74" t="s">
        <v>5324</v>
      </c>
      <c r="F683" s="75"/>
      <c r="G683" s="74">
        <f t="shared" si="91"/>
        <v>0</v>
      </c>
      <c r="H683" s="74"/>
      <c r="I683" s="74">
        <f t="shared" si="92"/>
        <v>0</v>
      </c>
      <c r="J683" s="74"/>
      <c r="K683" s="74">
        <f t="shared" si="93"/>
        <v>0</v>
      </c>
      <c r="L683" s="74"/>
      <c r="M683" s="74">
        <f t="shared" si="94"/>
        <v>0</v>
      </c>
      <c r="N683" s="74">
        <f t="shared" si="95"/>
        <v>0</v>
      </c>
      <c r="O683" s="74">
        <f t="shared" si="96"/>
        <v>0</v>
      </c>
      <c r="P683" s="74">
        <f t="shared" si="97"/>
        <v>0</v>
      </c>
      <c r="Q683" s="74">
        <f t="shared" si="98"/>
        <v>0</v>
      </c>
    </row>
    <row r="684" spans="1:17" ht="36" hidden="1" customHeight="1">
      <c r="A684" s="56"/>
      <c r="B684" s="72">
        <f t="shared" si="90"/>
        <v>0</v>
      </c>
      <c r="C684" s="72" t="s">
        <v>5343</v>
      </c>
      <c r="D684" s="75">
        <f>Data!X591</f>
        <v>607</v>
      </c>
      <c r="E684" s="74" t="s">
        <v>5324</v>
      </c>
      <c r="F684" s="75"/>
      <c r="G684" s="74">
        <f t="shared" si="91"/>
        <v>0</v>
      </c>
      <c r="H684" s="74"/>
      <c r="I684" s="74">
        <f t="shared" si="92"/>
        <v>0</v>
      </c>
      <c r="J684" s="74"/>
      <c r="K684" s="74">
        <f t="shared" si="93"/>
        <v>0</v>
      </c>
      <c r="L684" s="74"/>
      <c r="M684" s="74">
        <f t="shared" si="94"/>
        <v>0</v>
      </c>
      <c r="N684" s="74">
        <f t="shared" si="95"/>
        <v>0</v>
      </c>
      <c r="O684" s="74">
        <f t="shared" si="96"/>
        <v>0</v>
      </c>
      <c r="P684" s="74">
        <f t="shared" si="97"/>
        <v>0</v>
      </c>
      <c r="Q684" s="74">
        <f t="shared" si="98"/>
        <v>0</v>
      </c>
    </row>
    <row r="685" spans="1:17" ht="36" hidden="1" customHeight="1">
      <c r="A685" s="56"/>
      <c r="B685" s="72">
        <f t="shared" si="90"/>
        <v>0</v>
      </c>
      <c r="C685" s="72" t="s">
        <v>5344</v>
      </c>
      <c r="D685" s="75">
        <f>Data!X592</f>
        <v>616.85</v>
      </c>
      <c r="E685" s="74" t="s">
        <v>5324</v>
      </c>
      <c r="F685" s="75"/>
      <c r="G685" s="74">
        <f t="shared" si="91"/>
        <v>0</v>
      </c>
      <c r="H685" s="74"/>
      <c r="I685" s="74">
        <f t="shared" si="92"/>
        <v>0</v>
      </c>
      <c r="J685" s="74"/>
      <c r="K685" s="74">
        <f t="shared" si="93"/>
        <v>0</v>
      </c>
      <c r="L685" s="74"/>
      <c r="M685" s="74">
        <f t="shared" si="94"/>
        <v>0</v>
      </c>
      <c r="N685" s="74">
        <f t="shared" si="95"/>
        <v>0</v>
      </c>
      <c r="O685" s="74">
        <f t="shared" si="96"/>
        <v>0</v>
      </c>
      <c r="P685" s="74">
        <f t="shared" si="97"/>
        <v>0</v>
      </c>
      <c r="Q685" s="74">
        <f t="shared" si="98"/>
        <v>0</v>
      </c>
    </row>
    <row r="686" spans="1:17" ht="36" hidden="1" customHeight="1">
      <c r="A686" s="56"/>
      <c r="B686" s="72">
        <f t="shared" si="90"/>
        <v>0</v>
      </c>
      <c r="C686" s="72" t="s">
        <v>5345</v>
      </c>
      <c r="D686" s="75">
        <f>Data!X593</f>
        <v>626.70000000000005</v>
      </c>
      <c r="E686" s="74"/>
      <c r="F686" s="75"/>
      <c r="G686" s="74">
        <f t="shared" si="91"/>
        <v>0</v>
      </c>
      <c r="H686" s="74"/>
      <c r="I686" s="74">
        <f t="shared" si="92"/>
        <v>0</v>
      </c>
      <c r="J686" s="74"/>
      <c r="K686" s="74">
        <f t="shared" si="93"/>
        <v>0</v>
      </c>
      <c r="L686" s="74"/>
      <c r="M686" s="74">
        <f t="shared" si="94"/>
        <v>0</v>
      </c>
      <c r="N686" s="74">
        <f t="shared" si="95"/>
        <v>0</v>
      </c>
      <c r="O686" s="74">
        <f t="shared" si="96"/>
        <v>0</v>
      </c>
      <c r="P686" s="74">
        <f t="shared" si="97"/>
        <v>0</v>
      </c>
      <c r="Q686" s="74">
        <f t="shared" si="98"/>
        <v>0</v>
      </c>
    </row>
    <row r="687" spans="1:17" ht="45.75" hidden="1" customHeight="1">
      <c r="A687" s="56"/>
      <c r="B687" s="72">
        <f t="shared" si="90"/>
        <v>0</v>
      </c>
      <c r="C687" s="76" t="s">
        <v>5663</v>
      </c>
      <c r="D687" s="75"/>
      <c r="E687" s="74"/>
      <c r="F687" s="75"/>
      <c r="G687" s="74">
        <f t="shared" si="91"/>
        <v>0</v>
      </c>
      <c r="H687" s="74"/>
      <c r="I687" s="74">
        <f t="shared" si="92"/>
        <v>0</v>
      </c>
      <c r="J687" s="74"/>
      <c r="K687" s="74">
        <f t="shared" si="93"/>
        <v>0</v>
      </c>
      <c r="L687" s="74"/>
      <c r="M687" s="74">
        <f t="shared" si="94"/>
        <v>0</v>
      </c>
      <c r="N687" s="74">
        <f t="shared" si="95"/>
        <v>0</v>
      </c>
      <c r="O687" s="74">
        <f t="shared" si="96"/>
        <v>0</v>
      </c>
      <c r="P687" s="74">
        <f t="shared" si="97"/>
        <v>0</v>
      </c>
      <c r="Q687" s="74">
        <f t="shared" si="98"/>
        <v>0</v>
      </c>
    </row>
    <row r="688" spans="1:17" ht="25.5" hidden="1" customHeight="1">
      <c r="A688" s="56"/>
      <c r="B688" s="72">
        <f t="shared" si="90"/>
        <v>0</v>
      </c>
      <c r="C688" s="72" t="s">
        <v>5341</v>
      </c>
      <c r="D688" s="75">
        <f>Data!K612</f>
        <v>2142.63</v>
      </c>
      <c r="E688" s="74" t="s">
        <v>5324</v>
      </c>
      <c r="F688" s="75"/>
      <c r="G688" s="74">
        <f t="shared" si="91"/>
        <v>0</v>
      </c>
      <c r="H688" s="74"/>
      <c r="I688" s="74">
        <f t="shared" si="92"/>
        <v>0</v>
      </c>
      <c r="J688" s="74"/>
      <c r="K688" s="74">
        <f t="shared" si="93"/>
        <v>0</v>
      </c>
      <c r="L688" s="74"/>
      <c r="M688" s="74">
        <f t="shared" si="94"/>
        <v>0</v>
      </c>
      <c r="N688" s="74">
        <f t="shared" si="95"/>
        <v>0</v>
      </c>
      <c r="O688" s="74">
        <f t="shared" si="96"/>
        <v>0</v>
      </c>
      <c r="P688" s="74">
        <f t="shared" si="97"/>
        <v>0</v>
      </c>
      <c r="Q688" s="74">
        <f t="shared" si="98"/>
        <v>0</v>
      </c>
    </row>
    <row r="689" spans="1:17" ht="25.5" hidden="1" customHeight="1">
      <c r="A689" s="56"/>
      <c r="B689" s="72">
        <f t="shared" si="90"/>
        <v>0</v>
      </c>
      <c r="C689" s="72" t="s">
        <v>5342</v>
      </c>
      <c r="D689" s="75">
        <f>Data!K613</f>
        <v>2152.48</v>
      </c>
      <c r="E689" s="74" t="s">
        <v>5324</v>
      </c>
      <c r="F689" s="75"/>
      <c r="G689" s="74">
        <f t="shared" si="91"/>
        <v>0</v>
      </c>
      <c r="H689" s="74"/>
      <c r="I689" s="74">
        <f t="shared" si="92"/>
        <v>0</v>
      </c>
      <c r="J689" s="74"/>
      <c r="K689" s="74">
        <f t="shared" si="93"/>
        <v>0</v>
      </c>
      <c r="L689" s="74"/>
      <c r="M689" s="74">
        <f t="shared" si="94"/>
        <v>0</v>
      </c>
      <c r="N689" s="74">
        <f t="shared" si="95"/>
        <v>0</v>
      </c>
      <c r="O689" s="74">
        <f t="shared" si="96"/>
        <v>0</v>
      </c>
      <c r="P689" s="74">
        <f t="shared" si="97"/>
        <v>0</v>
      </c>
      <c r="Q689" s="74">
        <f t="shared" si="98"/>
        <v>0</v>
      </c>
    </row>
    <row r="690" spans="1:17" ht="25.5" hidden="1" customHeight="1">
      <c r="A690" s="56"/>
      <c r="B690" s="72">
        <f t="shared" si="90"/>
        <v>0</v>
      </c>
      <c r="C690" s="72" t="s">
        <v>5343</v>
      </c>
      <c r="D690" s="75">
        <f>Data!K614</f>
        <v>2162.33</v>
      </c>
      <c r="E690" s="74" t="s">
        <v>5324</v>
      </c>
      <c r="F690" s="75"/>
      <c r="G690" s="74">
        <f t="shared" si="91"/>
        <v>0</v>
      </c>
      <c r="H690" s="74"/>
      <c r="I690" s="74">
        <f t="shared" si="92"/>
        <v>0</v>
      </c>
      <c r="J690" s="74"/>
      <c r="K690" s="74">
        <f t="shared" si="93"/>
        <v>0</v>
      </c>
      <c r="L690" s="74"/>
      <c r="M690" s="74">
        <f t="shared" si="94"/>
        <v>0</v>
      </c>
      <c r="N690" s="74">
        <f t="shared" si="95"/>
        <v>0</v>
      </c>
      <c r="O690" s="74">
        <f t="shared" si="96"/>
        <v>0</v>
      </c>
      <c r="P690" s="74">
        <f t="shared" si="97"/>
        <v>0</v>
      </c>
      <c r="Q690" s="74">
        <f t="shared" si="98"/>
        <v>0</v>
      </c>
    </row>
    <row r="691" spans="1:17" ht="25.5" hidden="1" customHeight="1">
      <c r="A691" s="56"/>
      <c r="B691" s="72">
        <f t="shared" si="90"/>
        <v>0</v>
      </c>
      <c r="C691" s="72" t="s">
        <v>5344</v>
      </c>
      <c r="D691" s="75">
        <f>Data!K615</f>
        <v>2172.1799999999998</v>
      </c>
      <c r="E691" s="74" t="s">
        <v>5324</v>
      </c>
      <c r="F691" s="75"/>
      <c r="G691" s="74">
        <f t="shared" si="91"/>
        <v>0</v>
      </c>
      <c r="H691" s="74"/>
      <c r="I691" s="74">
        <f t="shared" si="92"/>
        <v>0</v>
      </c>
      <c r="J691" s="74"/>
      <c r="K691" s="74">
        <f t="shared" si="93"/>
        <v>0</v>
      </c>
      <c r="L691" s="74"/>
      <c r="M691" s="74">
        <f t="shared" si="94"/>
        <v>0</v>
      </c>
      <c r="N691" s="74">
        <f t="shared" si="95"/>
        <v>0</v>
      </c>
      <c r="O691" s="74">
        <f t="shared" si="96"/>
        <v>0</v>
      </c>
      <c r="P691" s="74">
        <f t="shared" si="97"/>
        <v>0</v>
      </c>
      <c r="Q691" s="74">
        <f t="shared" si="98"/>
        <v>0</v>
      </c>
    </row>
    <row r="692" spans="1:17" ht="25.5" hidden="1" customHeight="1">
      <c r="A692" s="56"/>
      <c r="B692" s="72">
        <f t="shared" si="90"/>
        <v>0</v>
      </c>
      <c r="C692" s="72" t="s">
        <v>5345</v>
      </c>
      <c r="D692" s="75">
        <f>Data!K616</f>
        <v>2182.0300000000002</v>
      </c>
      <c r="E692" s="74" t="s">
        <v>5324</v>
      </c>
      <c r="F692" s="75"/>
      <c r="G692" s="74">
        <f t="shared" si="91"/>
        <v>0</v>
      </c>
      <c r="H692" s="74"/>
      <c r="I692" s="74">
        <f t="shared" si="92"/>
        <v>0</v>
      </c>
      <c r="J692" s="74"/>
      <c r="K692" s="74">
        <f t="shared" si="93"/>
        <v>0</v>
      </c>
      <c r="L692" s="74"/>
      <c r="M692" s="74">
        <f t="shared" si="94"/>
        <v>0</v>
      </c>
      <c r="N692" s="74">
        <f t="shared" si="95"/>
        <v>0</v>
      </c>
      <c r="O692" s="74">
        <f t="shared" si="96"/>
        <v>0</v>
      </c>
      <c r="P692" s="74">
        <f t="shared" si="97"/>
        <v>0</v>
      </c>
      <c r="Q692" s="74">
        <f t="shared" si="98"/>
        <v>0</v>
      </c>
    </row>
    <row r="693" spans="1:17" ht="54.95" customHeight="1">
      <c r="A693" s="71">
        <v>29.8</v>
      </c>
      <c r="B693" s="72">
        <f t="shared" si="90"/>
        <v>516.79999999999995</v>
      </c>
      <c r="C693" s="72" t="s">
        <v>5664</v>
      </c>
      <c r="D693" s="75">
        <f>ROUND(Data!K1278,2)</f>
        <v>1414.02</v>
      </c>
      <c r="E693" s="74" t="s">
        <v>724</v>
      </c>
      <c r="F693" s="1425">
        <f>'Detail '!I2384</f>
        <v>516.79999999999995</v>
      </c>
      <c r="G693" s="74">
        <f t="shared" si="91"/>
        <v>730765.54</v>
      </c>
      <c r="H693" s="74"/>
      <c r="I693" s="74">
        <f t="shared" si="92"/>
        <v>0</v>
      </c>
      <c r="J693" s="74"/>
      <c r="K693" s="74">
        <f t="shared" si="93"/>
        <v>0</v>
      </c>
      <c r="L693" s="74"/>
      <c r="M693" s="74">
        <f t="shared" si="94"/>
        <v>0</v>
      </c>
      <c r="N693" s="74">
        <f t="shared" si="95"/>
        <v>0</v>
      </c>
      <c r="O693" s="74">
        <f t="shared" si="96"/>
        <v>0</v>
      </c>
      <c r="P693" s="74">
        <f t="shared" si="97"/>
        <v>516.79999999999995</v>
      </c>
      <c r="Q693" s="74">
        <f t="shared" si="98"/>
        <v>730765.54</v>
      </c>
    </row>
    <row r="694" spans="1:17" ht="39.75" hidden="1" customHeight="1">
      <c r="A694" s="71"/>
      <c r="B694" s="72">
        <f t="shared" si="90"/>
        <v>0</v>
      </c>
      <c r="C694" s="72" t="s">
        <v>5665</v>
      </c>
      <c r="D694" s="75">
        <f>ROUND(Data!K1264,2)</f>
        <v>1239.8</v>
      </c>
      <c r="E694" s="74" t="s">
        <v>724</v>
      </c>
      <c r="F694" s="75"/>
      <c r="G694" s="74">
        <f t="shared" si="91"/>
        <v>0</v>
      </c>
      <c r="H694" s="74"/>
      <c r="I694" s="74">
        <f t="shared" si="92"/>
        <v>0</v>
      </c>
      <c r="J694" s="74"/>
      <c r="K694" s="74">
        <f t="shared" si="93"/>
        <v>0</v>
      </c>
      <c r="L694" s="74"/>
      <c r="M694" s="74">
        <f t="shared" si="94"/>
        <v>0</v>
      </c>
      <c r="N694" s="74">
        <f t="shared" si="95"/>
        <v>0</v>
      </c>
      <c r="O694" s="74">
        <f t="shared" si="96"/>
        <v>0</v>
      </c>
      <c r="P694" s="74">
        <f t="shared" si="97"/>
        <v>0</v>
      </c>
      <c r="Q694" s="74">
        <f t="shared" si="98"/>
        <v>0</v>
      </c>
    </row>
    <row r="695" spans="1:17" ht="56.25" customHeight="1">
      <c r="A695" s="71">
        <v>29.9</v>
      </c>
      <c r="B695" s="72">
        <f t="shared" si="90"/>
        <v>217.5</v>
      </c>
      <c r="C695" s="72" t="s">
        <v>5666</v>
      </c>
      <c r="D695" s="75">
        <f>Data!K1264</f>
        <v>1239.8</v>
      </c>
      <c r="E695" s="74" t="s">
        <v>724</v>
      </c>
      <c r="F695" s="1425">
        <f>'Detail '!I2428</f>
        <v>217.5</v>
      </c>
      <c r="G695" s="74">
        <f t="shared" si="91"/>
        <v>269656.5</v>
      </c>
      <c r="H695" s="74"/>
      <c r="I695" s="74">
        <f t="shared" si="92"/>
        <v>0</v>
      </c>
      <c r="J695" s="74"/>
      <c r="K695" s="74">
        <f t="shared" si="93"/>
        <v>0</v>
      </c>
      <c r="L695" s="74"/>
      <c r="M695" s="74">
        <f t="shared" si="94"/>
        <v>0</v>
      </c>
      <c r="N695" s="74">
        <f t="shared" si="95"/>
        <v>0</v>
      </c>
      <c r="O695" s="74">
        <f t="shared" si="96"/>
        <v>0</v>
      </c>
      <c r="P695" s="74">
        <f t="shared" si="97"/>
        <v>217.5</v>
      </c>
      <c r="Q695" s="74">
        <f t="shared" si="98"/>
        <v>269656.5</v>
      </c>
    </row>
    <row r="696" spans="1:17" s="55" customFormat="1" ht="44.25" hidden="1" customHeight="1">
      <c r="A696" s="71">
        <v>38.4</v>
      </c>
      <c r="B696" s="72">
        <f t="shared" si="90"/>
        <v>0</v>
      </c>
      <c r="C696" s="72" t="s">
        <v>5667</v>
      </c>
      <c r="D696" s="75">
        <f>Data!K2725</f>
        <v>135.33000000000001</v>
      </c>
      <c r="E696" s="74" t="s">
        <v>724</v>
      </c>
      <c r="F696" s="75"/>
      <c r="G696" s="74">
        <f t="shared" si="91"/>
        <v>0</v>
      </c>
      <c r="H696" s="74"/>
      <c r="I696" s="74">
        <f t="shared" si="92"/>
        <v>0</v>
      </c>
      <c r="J696" s="74"/>
      <c r="K696" s="74">
        <f t="shared" si="93"/>
        <v>0</v>
      </c>
      <c r="L696" s="74"/>
      <c r="M696" s="74">
        <f t="shared" si="94"/>
        <v>0</v>
      </c>
      <c r="N696" s="74">
        <f t="shared" si="95"/>
        <v>0</v>
      </c>
      <c r="O696" s="74">
        <f t="shared" si="96"/>
        <v>0</v>
      </c>
      <c r="P696" s="74">
        <f t="shared" si="97"/>
        <v>0</v>
      </c>
      <c r="Q696" s="74">
        <f t="shared" si="98"/>
        <v>0</v>
      </c>
    </row>
    <row r="697" spans="1:17" ht="57.75" hidden="1" customHeight="1">
      <c r="A697" s="71">
        <v>38.5</v>
      </c>
      <c r="B697" s="72">
        <f t="shared" si="90"/>
        <v>0</v>
      </c>
      <c r="C697" s="72" t="s">
        <v>1648</v>
      </c>
      <c r="D697" s="75">
        <f>ROUND(Data!K1526,2)</f>
        <v>169</v>
      </c>
      <c r="E697" s="74" t="s">
        <v>724</v>
      </c>
      <c r="F697" s="75"/>
      <c r="G697" s="74">
        <f t="shared" si="91"/>
        <v>0</v>
      </c>
      <c r="H697" s="74"/>
      <c r="I697" s="74">
        <f t="shared" si="92"/>
        <v>0</v>
      </c>
      <c r="J697" s="74"/>
      <c r="K697" s="74">
        <f t="shared" si="93"/>
        <v>0</v>
      </c>
      <c r="L697" s="74"/>
      <c r="M697" s="74">
        <f t="shared" si="94"/>
        <v>0</v>
      </c>
      <c r="N697" s="74">
        <f t="shared" si="95"/>
        <v>0</v>
      </c>
      <c r="O697" s="74">
        <f t="shared" si="96"/>
        <v>0</v>
      </c>
      <c r="P697" s="74">
        <f t="shared" si="97"/>
        <v>0</v>
      </c>
      <c r="Q697" s="74">
        <f t="shared" si="98"/>
        <v>0</v>
      </c>
    </row>
    <row r="698" spans="1:17" ht="63" customHeight="1">
      <c r="A698" s="71">
        <v>38.6</v>
      </c>
      <c r="B698" s="72">
        <f t="shared" si="90"/>
        <v>4032</v>
      </c>
      <c r="C698" s="72" t="s">
        <v>5668</v>
      </c>
      <c r="D698" s="75">
        <f>ROUND(Data!K2716,2)</f>
        <v>64.16</v>
      </c>
      <c r="E698" s="74" t="s">
        <v>724</v>
      </c>
      <c r="F698" s="1425">
        <f>'Detail '!I2430</f>
        <v>4032</v>
      </c>
      <c r="G698" s="74">
        <f t="shared" si="91"/>
        <v>258693.12</v>
      </c>
      <c r="H698" s="74"/>
      <c r="I698" s="74">
        <f t="shared" si="92"/>
        <v>0</v>
      </c>
      <c r="J698" s="74"/>
      <c r="K698" s="74">
        <f t="shared" si="93"/>
        <v>0</v>
      </c>
      <c r="L698" s="74"/>
      <c r="M698" s="74">
        <f t="shared" si="94"/>
        <v>0</v>
      </c>
      <c r="N698" s="74">
        <f t="shared" si="95"/>
        <v>0</v>
      </c>
      <c r="O698" s="74">
        <f t="shared" si="96"/>
        <v>0</v>
      </c>
      <c r="P698" s="74">
        <f t="shared" si="97"/>
        <v>4032</v>
      </c>
      <c r="Q698" s="74">
        <f t="shared" si="98"/>
        <v>258693.12</v>
      </c>
    </row>
    <row r="699" spans="1:17" ht="73.5" hidden="1" customHeight="1">
      <c r="A699" s="71">
        <v>42</v>
      </c>
      <c r="B699" s="72">
        <f t="shared" si="90"/>
        <v>1.08</v>
      </c>
      <c r="C699" s="72" t="s">
        <v>5669</v>
      </c>
      <c r="D699" s="75">
        <f>ROUND(Data!K1582,2)</f>
        <v>92263.5</v>
      </c>
      <c r="E699" s="74" t="s">
        <v>11</v>
      </c>
      <c r="F699" s="75"/>
      <c r="G699" s="74">
        <f t="shared" si="91"/>
        <v>0</v>
      </c>
      <c r="H699" s="74"/>
      <c r="I699" s="74">
        <f t="shared" si="92"/>
        <v>0</v>
      </c>
      <c r="J699" s="74">
        <f>Sump!I44</f>
        <v>1.08</v>
      </c>
      <c r="K699" s="74">
        <f t="shared" si="93"/>
        <v>99644.58</v>
      </c>
      <c r="L699" s="74"/>
      <c r="M699" s="74">
        <f t="shared" si="94"/>
        <v>0</v>
      </c>
      <c r="N699" s="74">
        <f t="shared" si="95"/>
        <v>1.08</v>
      </c>
      <c r="O699" s="74">
        <f t="shared" si="96"/>
        <v>99644.58</v>
      </c>
      <c r="P699" s="74">
        <f t="shared" si="97"/>
        <v>1.08</v>
      </c>
      <c r="Q699" s="74">
        <f t="shared" si="98"/>
        <v>99644.58</v>
      </c>
    </row>
    <row r="700" spans="1:17" s="55" customFormat="1" ht="66" hidden="1" customHeight="1">
      <c r="A700" s="71">
        <v>43</v>
      </c>
      <c r="B700" s="72">
        <f t="shared" si="90"/>
        <v>0</v>
      </c>
      <c r="C700" s="72" t="s">
        <v>5670</v>
      </c>
      <c r="D700" s="75">
        <f>ROUND(Data!K1608,2)</f>
        <v>90172</v>
      </c>
      <c r="E700" s="74" t="s">
        <v>11</v>
      </c>
      <c r="F700" s="75"/>
      <c r="G700" s="74">
        <f t="shared" si="91"/>
        <v>0</v>
      </c>
      <c r="H700" s="74"/>
      <c r="I700" s="74">
        <f t="shared" si="92"/>
        <v>0</v>
      </c>
      <c r="J700" s="74"/>
      <c r="K700" s="74">
        <f t="shared" si="93"/>
        <v>0</v>
      </c>
      <c r="L700" s="74"/>
      <c r="M700" s="74">
        <f t="shared" si="94"/>
        <v>0</v>
      </c>
      <c r="N700" s="74">
        <f t="shared" si="95"/>
        <v>0</v>
      </c>
      <c r="O700" s="74">
        <f t="shared" si="96"/>
        <v>0</v>
      </c>
      <c r="P700" s="74">
        <f t="shared" si="97"/>
        <v>0</v>
      </c>
      <c r="Q700" s="74">
        <f t="shared" si="98"/>
        <v>0</v>
      </c>
    </row>
    <row r="701" spans="1:17" s="55" customFormat="1" ht="46.5" hidden="1">
      <c r="A701" s="71">
        <v>44.6</v>
      </c>
      <c r="B701" s="72">
        <f t="shared" si="90"/>
        <v>0</v>
      </c>
      <c r="C701" s="72" t="s">
        <v>5671</v>
      </c>
      <c r="D701" s="75">
        <f>ROUND(Data!K1638,2)</f>
        <v>349.29</v>
      </c>
      <c r="E701" s="74" t="s">
        <v>13</v>
      </c>
      <c r="F701" s="75"/>
      <c r="G701" s="74">
        <f t="shared" si="91"/>
        <v>0</v>
      </c>
      <c r="H701" s="74"/>
      <c r="I701" s="74">
        <f t="shared" si="92"/>
        <v>0</v>
      </c>
      <c r="J701" s="74"/>
      <c r="K701" s="74">
        <f t="shared" si="93"/>
        <v>0</v>
      </c>
      <c r="L701" s="74"/>
      <c r="M701" s="74">
        <f t="shared" si="94"/>
        <v>0</v>
      </c>
      <c r="N701" s="74">
        <f t="shared" si="95"/>
        <v>0</v>
      </c>
      <c r="O701" s="74">
        <f t="shared" si="96"/>
        <v>0</v>
      </c>
      <c r="P701" s="74">
        <f t="shared" si="97"/>
        <v>0</v>
      </c>
      <c r="Q701" s="74">
        <f t="shared" si="98"/>
        <v>0</v>
      </c>
    </row>
    <row r="702" spans="1:17" s="55" customFormat="1" ht="47.25" hidden="1" customHeight="1">
      <c r="A702" s="71">
        <v>50.6</v>
      </c>
      <c r="B702" s="72">
        <f t="shared" si="90"/>
        <v>0</v>
      </c>
      <c r="C702" s="72" t="s">
        <v>5672</v>
      </c>
      <c r="D702" s="75">
        <f>ROUND(Data!K2392,2)</f>
        <v>413.9</v>
      </c>
      <c r="E702" s="74" t="s">
        <v>724</v>
      </c>
      <c r="F702" s="75"/>
      <c r="G702" s="74">
        <f t="shared" si="91"/>
        <v>0</v>
      </c>
      <c r="H702" s="74"/>
      <c r="I702" s="74">
        <f t="shared" si="92"/>
        <v>0</v>
      </c>
      <c r="J702" s="74"/>
      <c r="K702" s="74">
        <f t="shared" si="93"/>
        <v>0</v>
      </c>
      <c r="L702" s="74"/>
      <c r="M702" s="74">
        <f t="shared" si="94"/>
        <v>0</v>
      </c>
      <c r="N702" s="74">
        <f t="shared" si="95"/>
        <v>0</v>
      </c>
      <c r="O702" s="74">
        <f t="shared" si="96"/>
        <v>0</v>
      </c>
      <c r="P702" s="74">
        <f t="shared" si="97"/>
        <v>0</v>
      </c>
      <c r="Q702" s="74">
        <f t="shared" si="98"/>
        <v>0</v>
      </c>
    </row>
    <row r="703" spans="1:17" ht="63.75" customHeight="1">
      <c r="A703" s="71">
        <v>52.4</v>
      </c>
      <c r="B703" s="72">
        <f t="shared" si="90"/>
        <v>269.2</v>
      </c>
      <c r="C703" s="72" t="s">
        <v>5673</v>
      </c>
      <c r="D703" s="75">
        <v>240.64</v>
      </c>
      <c r="E703" s="74" t="s">
        <v>13</v>
      </c>
      <c r="F703" s="1425">
        <f>'Detail '!I2470</f>
        <v>269.2</v>
      </c>
      <c r="G703" s="74">
        <f t="shared" si="91"/>
        <v>64780.29</v>
      </c>
      <c r="H703" s="74"/>
      <c r="I703" s="74">
        <f t="shared" si="92"/>
        <v>0</v>
      </c>
      <c r="J703" s="74"/>
      <c r="K703" s="74">
        <f t="shared" si="93"/>
        <v>0</v>
      </c>
      <c r="L703" s="74"/>
      <c r="M703" s="74">
        <f t="shared" si="94"/>
        <v>0</v>
      </c>
      <c r="N703" s="74">
        <f t="shared" si="95"/>
        <v>0</v>
      </c>
      <c r="O703" s="74">
        <f t="shared" si="96"/>
        <v>0</v>
      </c>
      <c r="P703" s="74">
        <f t="shared" si="97"/>
        <v>269.2</v>
      </c>
      <c r="Q703" s="74">
        <f t="shared" si="98"/>
        <v>64780.29</v>
      </c>
    </row>
    <row r="704" spans="1:17" ht="55.5" customHeight="1">
      <c r="A704" s="71">
        <v>53.4</v>
      </c>
      <c r="B704" s="72">
        <f t="shared" si="90"/>
        <v>8</v>
      </c>
      <c r="C704" s="72" t="s">
        <v>5674</v>
      </c>
      <c r="D704" s="75">
        <f>Data!K1951</f>
        <v>1864</v>
      </c>
      <c r="E704" s="74" t="s">
        <v>729</v>
      </c>
      <c r="F704" s="1425">
        <f>'Detail '!I2475</f>
        <v>6</v>
      </c>
      <c r="G704" s="74">
        <f t="shared" si="91"/>
        <v>11184</v>
      </c>
      <c r="H704" s="74"/>
      <c r="I704" s="74">
        <f t="shared" si="92"/>
        <v>0</v>
      </c>
      <c r="J704" s="74">
        <f>Sump!I38</f>
        <v>2</v>
      </c>
      <c r="K704" s="74">
        <f t="shared" si="93"/>
        <v>3728</v>
      </c>
      <c r="L704" s="74"/>
      <c r="M704" s="74">
        <f t="shared" si="94"/>
        <v>0</v>
      </c>
      <c r="N704" s="74">
        <f t="shared" si="95"/>
        <v>2</v>
      </c>
      <c r="O704" s="74">
        <f t="shared" si="96"/>
        <v>3728</v>
      </c>
      <c r="P704" s="74">
        <f t="shared" si="97"/>
        <v>8</v>
      </c>
      <c r="Q704" s="74">
        <f t="shared" si="98"/>
        <v>14912</v>
      </c>
    </row>
    <row r="705" spans="1:17" ht="60.75" hidden="1" customHeight="1">
      <c r="A705" s="71"/>
      <c r="B705" s="72">
        <f t="shared" si="90"/>
        <v>0</v>
      </c>
      <c r="C705" s="72" t="s">
        <v>5675</v>
      </c>
      <c r="D705" s="75">
        <f>Data!R3572</f>
        <v>3406.02</v>
      </c>
      <c r="E705" s="74" t="s">
        <v>729</v>
      </c>
      <c r="F705" s="75"/>
      <c r="G705" s="74">
        <f t="shared" si="91"/>
        <v>0</v>
      </c>
      <c r="H705" s="74"/>
      <c r="I705" s="74">
        <f t="shared" si="92"/>
        <v>0</v>
      </c>
      <c r="J705" s="74"/>
      <c r="K705" s="74">
        <f t="shared" si="93"/>
        <v>0</v>
      </c>
      <c r="L705" s="74"/>
      <c r="M705" s="74">
        <f t="shared" si="94"/>
        <v>0</v>
      </c>
      <c r="N705" s="74">
        <f t="shared" si="95"/>
        <v>0</v>
      </c>
      <c r="O705" s="74">
        <f t="shared" si="96"/>
        <v>0</v>
      </c>
      <c r="P705" s="74">
        <f t="shared" si="97"/>
        <v>0</v>
      </c>
      <c r="Q705" s="74">
        <f t="shared" si="98"/>
        <v>0</v>
      </c>
    </row>
    <row r="706" spans="1:17" ht="88.5" hidden="1" customHeight="1">
      <c r="A706" s="71">
        <v>54.3</v>
      </c>
      <c r="B706" s="72">
        <f t="shared" si="90"/>
        <v>0</v>
      </c>
      <c r="C706" s="72" t="s">
        <v>5676</v>
      </c>
      <c r="D706" s="75">
        <f>ROUND(Data!K1954,2)</f>
        <v>206</v>
      </c>
      <c r="E706" s="74" t="s">
        <v>729</v>
      </c>
      <c r="F706" s="75"/>
      <c r="G706" s="74">
        <f t="shared" si="91"/>
        <v>0</v>
      </c>
      <c r="H706" s="74"/>
      <c r="I706" s="74">
        <f t="shared" si="92"/>
        <v>0</v>
      </c>
      <c r="J706" s="74"/>
      <c r="K706" s="74">
        <f t="shared" si="93"/>
        <v>0</v>
      </c>
      <c r="L706" s="74"/>
      <c r="M706" s="74">
        <f t="shared" si="94"/>
        <v>0</v>
      </c>
      <c r="N706" s="74">
        <f t="shared" si="95"/>
        <v>0</v>
      </c>
      <c r="O706" s="74">
        <f t="shared" si="96"/>
        <v>0</v>
      </c>
      <c r="P706" s="74">
        <f t="shared" si="97"/>
        <v>0</v>
      </c>
      <c r="Q706" s="74">
        <f t="shared" si="98"/>
        <v>0</v>
      </c>
    </row>
    <row r="707" spans="1:17" ht="72.75" hidden="1" customHeight="1">
      <c r="A707" s="71">
        <v>56.3</v>
      </c>
      <c r="B707" s="72">
        <f t="shared" si="90"/>
        <v>0</v>
      </c>
      <c r="C707" s="72" t="s">
        <v>5677</v>
      </c>
      <c r="D707" s="75">
        <f>ROUND(Data!K1977,2)</f>
        <v>3445.38</v>
      </c>
      <c r="E707" s="74" t="s">
        <v>729</v>
      </c>
      <c r="F707" s="75"/>
      <c r="G707" s="74">
        <f t="shared" si="91"/>
        <v>0</v>
      </c>
      <c r="H707" s="74"/>
      <c r="I707" s="74">
        <f t="shared" si="92"/>
        <v>0</v>
      </c>
      <c r="J707" s="74"/>
      <c r="K707" s="74">
        <f t="shared" si="93"/>
        <v>0</v>
      </c>
      <c r="L707" s="74"/>
      <c r="M707" s="74">
        <f t="shared" si="94"/>
        <v>0</v>
      </c>
      <c r="N707" s="74">
        <f t="shared" si="95"/>
        <v>0</v>
      </c>
      <c r="O707" s="74">
        <f t="shared" si="96"/>
        <v>0</v>
      </c>
      <c r="P707" s="74">
        <f t="shared" si="97"/>
        <v>0</v>
      </c>
      <c r="Q707" s="74">
        <f t="shared" si="98"/>
        <v>0</v>
      </c>
    </row>
    <row r="708" spans="1:17" ht="86.25" hidden="1" customHeight="1">
      <c r="A708" s="71">
        <v>56.4</v>
      </c>
      <c r="B708" s="72">
        <f t="shared" si="90"/>
        <v>0</v>
      </c>
      <c r="C708" s="72" t="s">
        <v>3661</v>
      </c>
      <c r="D708" s="75">
        <f>ROUND(Data!K1998,2)</f>
        <v>5359.56</v>
      </c>
      <c r="E708" s="74" t="s">
        <v>729</v>
      </c>
      <c r="F708" s="75"/>
      <c r="G708" s="74">
        <f t="shared" si="91"/>
        <v>0</v>
      </c>
      <c r="H708" s="74"/>
      <c r="I708" s="74">
        <f t="shared" si="92"/>
        <v>0</v>
      </c>
      <c r="J708" s="74"/>
      <c r="K708" s="74">
        <f t="shared" si="93"/>
        <v>0</v>
      </c>
      <c r="L708" s="74"/>
      <c r="M708" s="74">
        <f t="shared" si="94"/>
        <v>0</v>
      </c>
      <c r="N708" s="74">
        <f t="shared" si="95"/>
        <v>0</v>
      </c>
      <c r="O708" s="74">
        <f t="shared" si="96"/>
        <v>0</v>
      </c>
      <c r="P708" s="74">
        <f t="shared" si="97"/>
        <v>0</v>
      </c>
      <c r="Q708" s="74">
        <f t="shared" si="98"/>
        <v>0</v>
      </c>
    </row>
    <row r="709" spans="1:17" ht="48" hidden="1" customHeight="1">
      <c r="A709" s="71">
        <v>58.3</v>
      </c>
      <c r="B709" s="72">
        <f t="shared" ref="B709:B772" si="99">P709</f>
        <v>0</v>
      </c>
      <c r="C709" s="76" t="s">
        <v>3664</v>
      </c>
      <c r="D709" s="75"/>
      <c r="E709" s="91"/>
      <c r="F709" s="75"/>
      <c r="G709" s="74">
        <f t="shared" si="91"/>
        <v>0</v>
      </c>
      <c r="H709" s="74"/>
      <c r="I709" s="74">
        <f t="shared" si="92"/>
        <v>0</v>
      </c>
      <c r="J709" s="74"/>
      <c r="K709" s="74">
        <f t="shared" si="93"/>
        <v>0</v>
      </c>
      <c r="L709" s="74"/>
      <c r="M709" s="74">
        <f t="shared" si="94"/>
        <v>0</v>
      </c>
      <c r="N709" s="74">
        <f t="shared" si="95"/>
        <v>0</v>
      </c>
      <c r="O709" s="74">
        <f t="shared" si="96"/>
        <v>0</v>
      </c>
      <c r="P709" s="74">
        <f t="shared" si="97"/>
        <v>0</v>
      </c>
      <c r="Q709" s="74">
        <f t="shared" si="98"/>
        <v>0</v>
      </c>
    </row>
    <row r="710" spans="1:17" ht="48" hidden="1" customHeight="1">
      <c r="A710" s="71"/>
      <c r="B710" s="72">
        <f t="shared" si="99"/>
        <v>0</v>
      </c>
      <c r="C710" s="72" t="s">
        <v>5500</v>
      </c>
      <c r="D710" s="75">
        <f>ROUND(Data!K2063,2)</f>
        <v>735.27</v>
      </c>
      <c r="E710" s="74" t="s">
        <v>13</v>
      </c>
      <c r="F710" s="75"/>
      <c r="G710" s="74">
        <f t="shared" ref="G710:G773" si="100">F710*D710</f>
        <v>0</v>
      </c>
      <c r="H710" s="74"/>
      <c r="I710" s="74">
        <f t="shared" ref="I710:I773" si="101">H710*D710</f>
        <v>0</v>
      </c>
      <c r="J710" s="74"/>
      <c r="K710" s="74">
        <f t="shared" ref="K710:K773" si="102">J710*D710</f>
        <v>0</v>
      </c>
      <c r="L710" s="74"/>
      <c r="M710" s="74">
        <f t="shared" ref="M710:M773" si="103">L710*D710</f>
        <v>0</v>
      </c>
      <c r="N710" s="74">
        <f t="shared" ref="N710:N773" si="104">H710+J710+L710</f>
        <v>0</v>
      </c>
      <c r="O710" s="74">
        <f t="shared" ref="O710:O773" si="105">N710*D710</f>
        <v>0</v>
      </c>
      <c r="P710" s="74">
        <f t="shared" ref="P710:P773" si="106">N710+F710</f>
        <v>0</v>
      </c>
      <c r="Q710" s="74">
        <f t="shared" ref="Q710:Q773" si="107">P710*D710</f>
        <v>0</v>
      </c>
    </row>
    <row r="711" spans="1:17" ht="48" hidden="1" customHeight="1">
      <c r="A711" s="82"/>
      <c r="B711" s="72">
        <f t="shared" si="99"/>
        <v>0</v>
      </c>
      <c r="C711" s="72" t="s">
        <v>5501</v>
      </c>
      <c r="D711" s="75">
        <f>ROUND(Data!K2087,2)</f>
        <v>617.97</v>
      </c>
      <c r="E711" s="74" t="s">
        <v>13</v>
      </c>
      <c r="F711" s="75"/>
      <c r="G711" s="74">
        <f t="shared" si="100"/>
        <v>0</v>
      </c>
      <c r="H711" s="74"/>
      <c r="I711" s="74">
        <f t="shared" si="101"/>
        <v>0</v>
      </c>
      <c r="J711" s="74"/>
      <c r="K711" s="74">
        <f t="shared" si="102"/>
        <v>0</v>
      </c>
      <c r="L711" s="74"/>
      <c r="M711" s="74">
        <f t="shared" si="103"/>
        <v>0</v>
      </c>
      <c r="N711" s="74">
        <f t="shared" si="104"/>
        <v>0</v>
      </c>
      <c r="O711" s="74">
        <f t="shared" si="105"/>
        <v>0</v>
      </c>
      <c r="P711" s="74">
        <f t="shared" si="106"/>
        <v>0</v>
      </c>
      <c r="Q711" s="74">
        <f t="shared" si="107"/>
        <v>0</v>
      </c>
    </row>
    <row r="712" spans="1:17" ht="78.75" customHeight="1">
      <c r="A712" s="71">
        <v>58.4</v>
      </c>
      <c r="B712" s="72">
        <f t="shared" si="99"/>
        <v>132</v>
      </c>
      <c r="C712" s="72" t="s">
        <v>5678</v>
      </c>
      <c r="D712" s="75">
        <v>114.45</v>
      </c>
      <c r="E712" s="91" t="s">
        <v>13</v>
      </c>
      <c r="F712" s="1425">
        <f>'Detail '!I2485</f>
        <v>132</v>
      </c>
      <c r="G712" s="74">
        <f t="shared" si="100"/>
        <v>15107.4</v>
      </c>
      <c r="H712" s="74"/>
      <c r="I712" s="74">
        <f t="shared" si="101"/>
        <v>0</v>
      </c>
      <c r="J712" s="74"/>
      <c r="K712" s="74">
        <f t="shared" si="102"/>
        <v>0</v>
      </c>
      <c r="L712" s="74"/>
      <c r="M712" s="74">
        <f t="shared" si="103"/>
        <v>0</v>
      </c>
      <c r="N712" s="74">
        <f t="shared" si="104"/>
        <v>0</v>
      </c>
      <c r="O712" s="74">
        <f t="shared" si="105"/>
        <v>0</v>
      </c>
      <c r="P712" s="74">
        <f t="shared" si="106"/>
        <v>132</v>
      </c>
      <c r="Q712" s="74">
        <f t="shared" si="107"/>
        <v>15107.4</v>
      </c>
    </row>
    <row r="713" spans="1:17" s="55" customFormat="1" ht="67.5" hidden="1" customHeight="1">
      <c r="A713" s="71">
        <v>58.5</v>
      </c>
      <c r="B713" s="72">
        <f t="shared" si="99"/>
        <v>0</v>
      </c>
      <c r="C713" s="72" t="s">
        <v>5679</v>
      </c>
      <c r="D713" s="75">
        <f>ROUND(Data!K2098,2)</f>
        <v>454</v>
      </c>
      <c r="E713" s="91" t="s">
        <v>729</v>
      </c>
      <c r="F713" s="75"/>
      <c r="G713" s="74">
        <f t="shared" si="100"/>
        <v>0</v>
      </c>
      <c r="H713" s="74"/>
      <c r="I713" s="74">
        <f t="shared" si="101"/>
        <v>0</v>
      </c>
      <c r="J713" s="74"/>
      <c r="K713" s="74">
        <f t="shared" si="102"/>
        <v>0</v>
      </c>
      <c r="L713" s="74"/>
      <c r="M713" s="74">
        <f t="shared" si="103"/>
        <v>0</v>
      </c>
      <c r="N713" s="74">
        <f t="shared" si="104"/>
        <v>0</v>
      </c>
      <c r="O713" s="74">
        <f t="shared" si="105"/>
        <v>0</v>
      </c>
      <c r="P713" s="74">
        <f t="shared" si="106"/>
        <v>0</v>
      </c>
      <c r="Q713" s="74">
        <f t="shared" si="107"/>
        <v>0</v>
      </c>
    </row>
    <row r="714" spans="1:17" s="55" customFormat="1" ht="98.25" hidden="1" customHeight="1">
      <c r="A714" s="71"/>
      <c r="B714" s="72">
        <f t="shared" si="99"/>
        <v>0</v>
      </c>
      <c r="C714" s="76" t="s">
        <v>5680</v>
      </c>
      <c r="D714" s="75"/>
      <c r="E714" s="91"/>
      <c r="F714" s="75"/>
      <c r="G714" s="74">
        <f t="shared" si="100"/>
        <v>0</v>
      </c>
      <c r="H714" s="74"/>
      <c r="I714" s="74">
        <f t="shared" si="101"/>
        <v>0</v>
      </c>
      <c r="J714" s="74"/>
      <c r="K714" s="74">
        <f t="shared" si="102"/>
        <v>0</v>
      </c>
      <c r="L714" s="74"/>
      <c r="M714" s="74">
        <f t="shared" si="103"/>
        <v>0</v>
      </c>
      <c r="N714" s="74">
        <f t="shared" si="104"/>
        <v>0</v>
      </c>
      <c r="O714" s="74">
        <f t="shared" si="105"/>
        <v>0</v>
      </c>
      <c r="P714" s="74">
        <f t="shared" si="106"/>
        <v>0</v>
      </c>
      <c r="Q714" s="74">
        <f t="shared" si="107"/>
        <v>0</v>
      </c>
    </row>
    <row r="715" spans="1:17" s="55" customFormat="1" ht="47.25" hidden="1" customHeight="1">
      <c r="A715" s="71"/>
      <c r="B715" s="72">
        <f t="shared" si="99"/>
        <v>0</v>
      </c>
      <c r="C715" s="72" t="s">
        <v>5520</v>
      </c>
      <c r="D715" s="75">
        <f>Elec.Data!K29</f>
        <v>1630</v>
      </c>
      <c r="E715" s="75" t="s">
        <v>729</v>
      </c>
      <c r="F715" s="75"/>
      <c r="G715" s="74">
        <f t="shared" si="100"/>
        <v>0</v>
      </c>
      <c r="H715" s="74"/>
      <c r="I715" s="74">
        <f t="shared" si="101"/>
        <v>0</v>
      </c>
      <c r="J715" s="74"/>
      <c r="K715" s="74">
        <f t="shared" si="102"/>
        <v>0</v>
      </c>
      <c r="L715" s="74"/>
      <c r="M715" s="74">
        <f t="shared" si="103"/>
        <v>0</v>
      </c>
      <c r="N715" s="74">
        <f t="shared" si="104"/>
        <v>0</v>
      </c>
      <c r="O715" s="74">
        <f t="shared" si="105"/>
        <v>0</v>
      </c>
      <c r="P715" s="74">
        <f t="shared" si="106"/>
        <v>0</v>
      </c>
      <c r="Q715" s="74">
        <f t="shared" si="107"/>
        <v>0</v>
      </c>
    </row>
    <row r="716" spans="1:17" s="55" customFormat="1" ht="47.25" hidden="1" customHeight="1">
      <c r="A716" s="71"/>
      <c r="B716" s="72">
        <f t="shared" si="99"/>
        <v>0</v>
      </c>
      <c r="C716" s="72" t="s">
        <v>3669</v>
      </c>
      <c r="D716" s="75">
        <f>Elec.Data!K53</f>
        <v>1633</v>
      </c>
      <c r="E716" s="75" t="s">
        <v>729</v>
      </c>
      <c r="F716" s="75"/>
      <c r="G716" s="74">
        <f t="shared" si="100"/>
        <v>0</v>
      </c>
      <c r="H716" s="74"/>
      <c r="I716" s="74">
        <f t="shared" si="101"/>
        <v>0</v>
      </c>
      <c r="J716" s="74"/>
      <c r="K716" s="74">
        <f t="shared" si="102"/>
        <v>0</v>
      </c>
      <c r="L716" s="74"/>
      <c r="M716" s="74">
        <f t="shared" si="103"/>
        <v>0</v>
      </c>
      <c r="N716" s="74">
        <f t="shared" si="104"/>
        <v>0</v>
      </c>
      <c r="O716" s="74">
        <f t="shared" si="105"/>
        <v>0</v>
      </c>
      <c r="P716" s="74">
        <f t="shared" si="106"/>
        <v>0</v>
      </c>
      <c r="Q716" s="74">
        <f t="shared" si="107"/>
        <v>0</v>
      </c>
    </row>
    <row r="717" spans="1:17" s="55" customFormat="1" ht="47.25" hidden="1" customHeight="1">
      <c r="A717" s="82"/>
      <c r="B717" s="72">
        <f t="shared" si="99"/>
        <v>0</v>
      </c>
      <c r="C717" s="72" t="s">
        <v>5521</v>
      </c>
      <c r="D717" s="75">
        <f>Elec.Data!K68</f>
        <v>1670</v>
      </c>
      <c r="E717" s="75" t="s">
        <v>729</v>
      </c>
      <c r="F717" s="75"/>
      <c r="G717" s="74">
        <f t="shared" si="100"/>
        <v>0</v>
      </c>
      <c r="H717" s="74"/>
      <c r="I717" s="74">
        <f t="shared" si="101"/>
        <v>0</v>
      </c>
      <c r="J717" s="74"/>
      <c r="K717" s="74">
        <f t="shared" si="102"/>
        <v>0</v>
      </c>
      <c r="L717" s="74"/>
      <c r="M717" s="74">
        <f t="shared" si="103"/>
        <v>0</v>
      </c>
      <c r="N717" s="74">
        <f t="shared" si="104"/>
        <v>0</v>
      </c>
      <c r="O717" s="74">
        <f t="shared" si="105"/>
        <v>0</v>
      </c>
      <c r="P717" s="74">
        <f t="shared" si="106"/>
        <v>0</v>
      </c>
      <c r="Q717" s="74">
        <f t="shared" si="107"/>
        <v>0</v>
      </c>
    </row>
    <row r="718" spans="1:17" s="55" customFormat="1" ht="113.25" hidden="1" customHeight="1">
      <c r="A718" s="71">
        <v>65.099999999999994</v>
      </c>
      <c r="B718" s="72">
        <f t="shared" si="99"/>
        <v>0</v>
      </c>
      <c r="C718" s="72" t="s">
        <v>5681</v>
      </c>
      <c r="D718" s="75">
        <f>Elec.Data!K90</f>
        <v>1705</v>
      </c>
      <c r="E718" s="75" t="s">
        <v>729</v>
      </c>
      <c r="F718" s="75"/>
      <c r="G718" s="74">
        <f t="shared" si="100"/>
        <v>0</v>
      </c>
      <c r="H718" s="74"/>
      <c r="I718" s="74">
        <f t="shared" si="101"/>
        <v>0</v>
      </c>
      <c r="J718" s="74"/>
      <c r="K718" s="74">
        <f t="shared" si="102"/>
        <v>0</v>
      </c>
      <c r="L718" s="74"/>
      <c r="M718" s="74">
        <f t="shared" si="103"/>
        <v>0</v>
      </c>
      <c r="N718" s="74">
        <f t="shared" si="104"/>
        <v>0</v>
      </c>
      <c r="O718" s="74">
        <f t="shared" si="105"/>
        <v>0</v>
      </c>
      <c r="P718" s="74">
        <f t="shared" si="106"/>
        <v>0</v>
      </c>
      <c r="Q718" s="74">
        <f t="shared" si="107"/>
        <v>0</v>
      </c>
    </row>
    <row r="719" spans="1:17" s="55" customFormat="1" ht="108" hidden="1" customHeight="1">
      <c r="A719" s="71">
        <v>66.099999999999994</v>
      </c>
      <c r="B719" s="72">
        <f t="shared" si="99"/>
        <v>0</v>
      </c>
      <c r="C719" s="72" t="s">
        <v>5682</v>
      </c>
      <c r="D719" s="75">
        <f>Elec.Data!K114</f>
        <v>3052</v>
      </c>
      <c r="E719" s="75" t="s">
        <v>729</v>
      </c>
      <c r="F719" s="75"/>
      <c r="G719" s="74">
        <f t="shared" si="100"/>
        <v>0</v>
      </c>
      <c r="H719" s="74"/>
      <c r="I719" s="74">
        <f t="shared" si="101"/>
        <v>0</v>
      </c>
      <c r="J719" s="74"/>
      <c r="K719" s="74">
        <f t="shared" si="102"/>
        <v>0</v>
      </c>
      <c r="L719" s="74"/>
      <c r="M719" s="74">
        <f t="shared" si="103"/>
        <v>0</v>
      </c>
      <c r="N719" s="74">
        <f t="shared" si="104"/>
        <v>0</v>
      </c>
      <c r="O719" s="74">
        <f t="shared" si="105"/>
        <v>0</v>
      </c>
      <c r="P719" s="74">
        <f t="shared" si="106"/>
        <v>0</v>
      </c>
      <c r="Q719" s="74">
        <f t="shared" si="107"/>
        <v>0</v>
      </c>
    </row>
    <row r="720" spans="1:17" s="55" customFormat="1" ht="125.25" hidden="1" customHeight="1">
      <c r="A720" s="71"/>
      <c r="B720" s="72">
        <f t="shared" si="99"/>
        <v>0</v>
      </c>
      <c r="C720" s="72" t="s">
        <v>5683</v>
      </c>
      <c r="D720" s="75">
        <f>Elec.Data!K146</f>
        <v>835</v>
      </c>
      <c r="E720" s="75" t="s">
        <v>729</v>
      </c>
      <c r="F720" s="75"/>
      <c r="G720" s="74">
        <f t="shared" si="100"/>
        <v>0</v>
      </c>
      <c r="H720" s="74"/>
      <c r="I720" s="74">
        <f t="shared" si="101"/>
        <v>0</v>
      </c>
      <c r="J720" s="74"/>
      <c r="K720" s="74">
        <f t="shared" si="102"/>
        <v>0</v>
      </c>
      <c r="L720" s="74"/>
      <c r="M720" s="74">
        <f t="shared" si="103"/>
        <v>0</v>
      </c>
      <c r="N720" s="74">
        <f t="shared" si="104"/>
        <v>0</v>
      </c>
      <c r="O720" s="74">
        <f t="shared" si="105"/>
        <v>0</v>
      </c>
      <c r="P720" s="74">
        <f t="shared" si="106"/>
        <v>0</v>
      </c>
      <c r="Q720" s="74">
        <f t="shared" si="107"/>
        <v>0</v>
      </c>
    </row>
    <row r="721" spans="1:17" s="55" customFormat="1" ht="125.25" hidden="1" customHeight="1">
      <c r="A721" s="71">
        <v>68.2</v>
      </c>
      <c r="B721" s="72">
        <f t="shared" si="99"/>
        <v>0</v>
      </c>
      <c r="C721" s="72" t="s">
        <v>5684</v>
      </c>
      <c r="D721" s="75">
        <f>Elec.Data!K134</f>
        <v>1133</v>
      </c>
      <c r="E721" s="75" t="s">
        <v>729</v>
      </c>
      <c r="F721" s="75"/>
      <c r="G721" s="74">
        <f t="shared" si="100"/>
        <v>0</v>
      </c>
      <c r="H721" s="74"/>
      <c r="I721" s="74">
        <f t="shared" si="101"/>
        <v>0</v>
      </c>
      <c r="J721" s="74"/>
      <c r="K721" s="74">
        <f t="shared" si="102"/>
        <v>0</v>
      </c>
      <c r="L721" s="74"/>
      <c r="M721" s="74">
        <f t="shared" si="103"/>
        <v>0</v>
      </c>
      <c r="N721" s="74">
        <f t="shared" si="104"/>
        <v>0</v>
      </c>
      <c r="O721" s="74">
        <f t="shared" si="105"/>
        <v>0</v>
      </c>
      <c r="P721" s="74">
        <f t="shared" si="106"/>
        <v>0</v>
      </c>
      <c r="Q721" s="74">
        <f t="shared" si="107"/>
        <v>0</v>
      </c>
    </row>
    <row r="722" spans="1:17" ht="60.75" hidden="1" customHeight="1">
      <c r="A722" s="71">
        <v>70.5</v>
      </c>
      <c r="B722" s="72">
        <f t="shared" si="99"/>
        <v>0</v>
      </c>
      <c r="C722" s="72" t="s">
        <v>5685</v>
      </c>
      <c r="D722" s="75">
        <f>Elec.Data!K157</f>
        <v>150</v>
      </c>
      <c r="E722" s="75" t="s">
        <v>729</v>
      </c>
      <c r="F722" s="75"/>
      <c r="G722" s="74">
        <f t="shared" si="100"/>
        <v>0</v>
      </c>
      <c r="H722" s="74"/>
      <c r="I722" s="74">
        <f t="shared" si="101"/>
        <v>0</v>
      </c>
      <c r="J722" s="74"/>
      <c r="K722" s="74">
        <f t="shared" si="102"/>
        <v>0</v>
      </c>
      <c r="L722" s="74"/>
      <c r="M722" s="74">
        <f t="shared" si="103"/>
        <v>0</v>
      </c>
      <c r="N722" s="74">
        <f t="shared" si="104"/>
        <v>0</v>
      </c>
      <c r="O722" s="74">
        <f t="shared" si="105"/>
        <v>0</v>
      </c>
      <c r="P722" s="74">
        <f t="shared" si="106"/>
        <v>0</v>
      </c>
      <c r="Q722" s="74">
        <f t="shared" si="107"/>
        <v>0</v>
      </c>
    </row>
    <row r="723" spans="1:17" ht="63.75" customHeight="1">
      <c r="A723" s="82"/>
      <c r="B723" s="72">
        <f t="shared" si="99"/>
        <v>158</v>
      </c>
      <c r="C723" s="72" t="s">
        <v>5686</v>
      </c>
      <c r="D723" s="75">
        <f>ROUND(Data!K3038,2)</f>
        <v>1552.7</v>
      </c>
      <c r="E723" s="75" t="s">
        <v>729</v>
      </c>
      <c r="F723" s="1425">
        <f>'Detail '!I2540</f>
        <v>158</v>
      </c>
      <c r="G723" s="74">
        <f t="shared" si="100"/>
        <v>245326.6</v>
      </c>
      <c r="H723" s="74"/>
      <c r="I723" s="74">
        <f t="shared" si="101"/>
        <v>0</v>
      </c>
      <c r="J723" s="74"/>
      <c r="K723" s="74">
        <f t="shared" si="102"/>
        <v>0</v>
      </c>
      <c r="L723" s="74"/>
      <c r="M723" s="74">
        <f t="shared" si="103"/>
        <v>0</v>
      </c>
      <c r="N723" s="74">
        <f t="shared" si="104"/>
        <v>0</v>
      </c>
      <c r="O723" s="74">
        <f t="shared" si="105"/>
        <v>0</v>
      </c>
      <c r="P723" s="74">
        <f t="shared" si="106"/>
        <v>158</v>
      </c>
      <c r="Q723" s="74">
        <f t="shared" si="107"/>
        <v>245326.6</v>
      </c>
    </row>
    <row r="724" spans="1:17" ht="87" customHeight="1">
      <c r="A724" s="82"/>
      <c r="B724" s="72">
        <f t="shared" si="99"/>
        <v>324.60000000000002</v>
      </c>
      <c r="C724" s="72" t="s">
        <v>5687</v>
      </c>
      <c r="D724" s="75">
        <v>266</v>
      </c>
      <c r="E724" s="91" t="s">
        <v>13</v>
      </c>
      <c r="F724" s="1425">
        <f>'Detail '!I2550</f>
        <v>324.60000000000002</v>
      </c>
      <c r="G724" s="74">
        <f t="shared" si="100"/>
        <v>86343.6</v>
      </c>
      <c r="H724" s="74"/>
      <c r="I724" s="74">
        <f t="shared" si="101"/>
        <v>0</v>
      </c>
      <c r="J724" s="74"/>
      <c r="K724" s="74">
        <f t="shared" si="102"/>
        <v>0</v>
      </c>
      <c r="L724" s="74"/>
      <c r="M724" s="74">
        <f t="shared" si="103"/>
        <v>0</v>
      </c>
      <c r="N724" s="74">
        <f t="shared" si="104"/>
        <v>0</v>
      </c>
      <c r="O724" s="74">
        <f t="shared" si="105"/>
        <v>0</v>
      </c>
      <c r="P724" s="74">
        <f t="shared" si="106"/>
        <v>324.60000000000002</v>
      </c>
      <c r="Q724" s="74">
        <f t="shared" si="107"/>
        <v>86343.6</v>
      </c>
    </row>
    <row r="725" spans="1:17" ht="84.75" hidden="1" customHeight="1">
      <c r="A725" s="71">
        <v>77.5</v>
      </c>
      <c r="B725" s="72">
        <f t="shared" si="99"/>
        <v>0</v>
      </c>
      <c r="C725" s="72" t="s">
        <v>5688</v>
      </c>
      <c r="D725" s="75">
        <v>208</v>
      </c>
      <c r="E725" s="91" t="s">
        <v>13</v>
      </c>
      <c r="F725" s="75"/>
      <c r="G725" s="74">
        <f t="shared" si="100"/>
        <v>0</v>
      </c>
      <c r="H725" s="74"/>
      <c r="I725" s="74">
        <f t="shared" si="101"/>
        <v>0</v>
      </c>
      <c r="J725" s="74"/>
      <c r="K725" s="74">
        <f t="shared" si="102"/>
        <v>0</v>
      </c>
      <c r="L725" s="74"/>
      <c r="M725" s="74">
        <f t="shared" si="103"/>
        <v>0</v>
      </c>
      <c r="N725" s="74">
        <f t="shared" si="104"/>
        <v>0</v>
      </c>
      <c r="O725" s="74">
        <f t="shared" si="105"/>
        <v>0</v>
      </c>
      <c r="P725" s="74">
        <f t="shared" si="106"/>
        <v>0</v>
      </c>
      <c r="Q725" s="74">
        <f t="shared" si="107"/>
        <v>0</v>
      </c>
    </row>
    <row r="726" spans="1:17" ht="93">
      <c r="A726" s="71"/>
      <c r="B726" s="72">
        <f t="shared" si="99"/>
        <v>1383.5</v>
      </c>
      <c r="C726" s="72" t="s">
        <v>5689</v>
      </c>
      <c r="D726" s="75">
        <v>226</v>
      </c>
      <c r="E726" s="92" t="s">
        <v>13</v>
      </c>
      <c r="F726" s="1425">
        <f>'Detail '!I1871</f>
        <v>1383.5</v>
      </c>
      <c r="G726" s="74">
        <f t="shared" si="100"/>
        <v>312671</v>
      </c>
      <c r="H726" s="74"/>
      <c r="I726" s="74">
        <f t="shared" si="101"/>
        <v>0</v>
      </c>
      <c r="J726" s="74"/>
      <c r="K726" s="74">
        <f t="shared" si="102"/>
        <v>0</v>
      </c>
      <c r="L726" s="74"/>
      <c r="M726" s="74">
        <f t="shared" si="103"/>
        <v>0</v>
      </c>
      <c r="N726" s="74">
        <f t="shared" si="104"/>
        <v>0</v>
      </c>
      <c r="O726" s="74">
        <f t="shared" si="105"/>
        <v>0</v>
      </c>
      <c r="P726" s="74">
        <f t="shared" si="106"/>
        <v>1383.5</v>
      </c>
      <c r="Q726" s="74">
        <f t="shared" si="107"/>
        <v>312671</v>
      </c>
    </row>
    <row r="727" spans="1:17" ht="71.25" hidden="1" customHeight="1">
      <c r="A727" s="71"/>
      <c r="B727" s="72">
        <f t="shared" si="99"/>
        <v>0</v>
      </c>
      <c r="C727" s="72" t="s">
        <v>5690</v>
      </c>
      <c r="D727" s="75">
        <f>Elec.Data!K708</f>
        <v>271.08</v>
      </c>
      <c r="E727" s="91" t="s">
        <v>13</v>
      </c>
      <c r="F727" s="1425"/>
      <c r="G727" s="74">
        <f t="shared" si="100"/>
        <v>0</v>
      </c>
      <c r="H727" s="74"/>
      <c r="I727" s="74">
        <f t="shared" si="101"/>
        <v>0</v>
      </c>
      <c r="J727" s="74"/>
      <c r="K727" s="74">
        <f t="shared" si="102"/>
        <v>0</v>
      </c>
      <c r="L727" s="74"/>
      <c r="M727" s="74">
        <f t="shared" si="103"/>
        <v>0</v>
      </c>
      <c r="N727" s="74">
        <f t="shared" si="104"/>
        <v>0</v>
      </c>
      <c r="O727" s="74">
        <f t="shared" si="105"/>
        <v>0</v>
      </c>
      <c r="P727" s="74">
        <f t="shared" si="106"/>
        <v>0</v>
      </c>
      <c r="Q727" s="74">
        <f t="shared" si="107"/>
        <v>0</v>
      </c>
    </row>
    <row r="728" spans="1:17" ht="59.25" customHeight="1">
      <c r="A728" s="71"/>
      <c r="B728" s="72">
        <f t="shared" si="99"/>
        <v>75</v>
      </c>
      <c r="C728" s="93" t="s">
        <v>5691</v>
      </c>
      <c r="D728" s="1637">
        <v>492</v>
      </c>
      <c r="E728" s="92" t="s">
        <v>13</v>
      </c>
      <c r="F728" s="1425">
        <f>'Detail '!I2553</f>
        <v>75</v>
      </c>
      <c r="G728" s="74">
        <f t="shared" si="100"/>
        <v>36900</v>
      </c>
      <c r="H728" s="74"/>
      <c r="I728" s="74">
        <f t="shared" si="101"/>
        <v>0</v>
      </c>
      <c r="J728" s="74"/>
      <c r="K728" s="74">
        <f t="shared" si="102"/>
        <v>0</v>
      </c>
      <c r="L728" s="74"/>
      <c r="M728" s="74">
        <f t="shared" si="103"/>
        <v>0</v>
      </c>
      <c r="N728" s="74">
        <f t="shared" si="104"/>
        <v>0</v>
      </c>
      <c r="O728" s="74">
        <f t="shared" si="105"/>
        <v>0</v>
      </c>
      <c r="P728" s="74">
        <f t="shared" si="106"/>
        <v>75</v>
      </c>
      <c r="Q728" s="74">
        <f t="shared" si="107"/>
        <v>36900</v>
      </c>
    </row>
    <row r="729" spans="1:17" ht="66.75" customHeight="1">
      <c r="A729" s="71"/>
      <c r="B729" s="72">
        <f t="shared" si="99"/>
        <v>120</v>
      </c>
      <c r="C729" s="93" t="s">
        <v>5692</v>
      </c>
      <c r="D729" s="1637">
        <v>609</v>
      </c>
      <c r="E729" s="92" t="s">
        <v>13</v>
      </c>
      <c r="F729" s="1425">
        <f>'Detail '!I2556</f>
        <v>120</v>
      </c>
      <c r="G729" s="74">
        <f t="shared" si="100"/>
        <v>73080</v>
      </c>
      <c r="H729" s="74"/>
      <c r="I729" s="74">
        <f t="shared" si="101"/>
        <v>0</v>
      </c>
      <c r="J729" s="74"/>
      <c r="K729" s="74">
        <f t="shared" si="102"/>
        <v>0</v>
      </c>
      <c r="L729" s="74"/>
      <c r="M729" s="74">
        <f t="shared" si="103"/>
        <v>0</v>
      </c>
      <c r="N729" s="74">
        <f t="shared" si="104"/>
        <v>0</v>
      </c>
      <c r="O729" s="74">
        <f t="shared" si="105"/>
        <v>0</v>
      </c>
      <c r="P729" s="74">
        <f t="shared" si="106"/>
        <v>120</v>
      </c>
      <c r="Q729" s="74">
        <f t="shared" si="107"/>
        <v>73080</v>
      </c>
    </row>
    <row r="730" spans="1:17" s="61" customFormat="1" ht="66.75" hidden="1" customHeight="1">
      <c r="A730" s="71"/>
      <c r="B730" s="72">
        <f t="shared" si="99"/>
        <v>0</v>
      </c>
      <c r="C730" s="93"/>
      <c r="D730" s="75"/>
      <c r="E730" s="92"/>
      <c r="F730" s="75"/>
      <c r="G730" s="74">
        <f t="shared" si="100"/>
        <v>0</v>
      </c>
      <c r="H730" s="74"/>
      <c r="I730" s="74">
        <f t="shared" si="101"/>
        <v>0</v>
      </c>
      <c r="J730" s="74"/>
      <c r="K730" s="74">
        <f t="shared" si="102"/>
        <v>0</v>
      </c>
      <c r="L730" s="74"/>
      <c r="M730" s="74">
        <f t="shared" si="103"/>
        <v>0</v>
      </c>
      <c r="N730" s="74">
        <f t="shared" si="104"/>
        <v>0</v>
      </c>
      <c r="O730" s="74">
        <f t="shared" si="105"/>
        <v>0</v>
      </c>
      <c r="P730" s="74">
        <f t="shared" si="106"/>
        <v>0</v>
      </c>
      <c r="Q730" s="74">
        <f t="shared" si="107"/>
        <v>0</v>
      </c>
    </row>
    <row r="731" spans="1:17" s="55" customFormat="1" ht="52.5" hidden="1" customHeight="1">
      <c r="A731" s="71">
        <v>112.1</v>
      </c>
      <c r="B731" s="72">
        <f t="shared" si="99"/>
        <v>0</v>
      </c>
      <c r="C731" s="72" t="s">
        <v>4492</v>
      </c>
      <c r="D731" s="75">
        <f>Data!K3018</f>
        <v>2149.15</v>
      </c>
      <c r="E731" s="75" t="s">
        <v>729</v>
      </c>
      <c r="F731" s="75"/>
      <c r="G731" s="74">
        <f t="shared" si="100"/>
        <v>0</v>
      </c>
      <c r="H731" s="74"/>
      <c r="I731" s="74">
        <f t="shared" si="101"/>
        <v>0</v>
      </c>
      <c r="J731" s="74"/>
      <c r="K731" s="74">
        <f t="shared" si="102"/>
        <v>0</v>
      </c>
      <c r="L731" s="74"/>
      <c r="M731" s="74">
        <f t="shared" si="103"/>
        <v>0</v>
      </c>
      <c r="N731" s="74">
        <f t="shared" si="104"/>
        <v>0</v>
      </c>
      <c r="O731" s="74">
        <f t="shared" si="105"/>
        <v>0</v>
      </c>
      <c r="P731" s="74">
        <f t="shared" si="106"/>
        <v>0</v>
      </c>
      <c r="Q731" s="74">
        <f t="shared" si="107"/>
        <v>0</v>
      </c>
    </row>
    <row r="732" spans="1:17" s="62" customFormat="1" ht="46.5" hidden="1" customHeight="1">
      <c r="A732" s="71"/>
      <c r="B732" s="72">
        <f t="shared" si="99"/>
        <v>0</v>
      </c>
      <c r="C732" s="76" t="s">
        <v>4835</v>
      </c>
      <c r="D732" s="75"/>
      <c r="E732" s="75"/>
      <c r="F732" s="75"/>
      <c r="G732" s="74">
        <f t="shared" si="100"/>
        <v>0</v>
      </c>
      <c r="H732" s="74"/>
      <c r="I732" s="74">
        <f t="shared" si="101"/>
        <v>0</v>
      </c>
      <c r="J732" s="74"/>
      <c r="K732" s="74">
        <f t="shared" si="102"/>
        <v>0</v>
      </c>
      <c r="L732" s="74"/>
      <c r="M732" s="74">
        <f t="shared" si="103"/>
        <v>0</v>
      </c>
      <c r="N732" s="74">
        <f t="shared" si="104"/>
        <v>0</v>
      </c>
      <c r="O732" s="74">
        <f t="shared" si="105"/>
        <v>0</v>
      </c>
      <c r="P732" s="74">
        <f t="shared" si="106"/>
        <v>0</v>
      </c>
      <c r="Q732" s="74">
        <f t="shared" si="107"/>
        <v>0</v>
      </c>
    </row>
    <row r="733" spans="1:17" s="62" customFormat="1" ht="51.75" hidden="1" customHeight="1">
      <c r="A733" s="71"/>
      <c r="B733" s="72">
        <f t="shared" si="99"/>
        <v>0</v>
      </c>
      <c r="C733" s="72" t="s">
        <v>5693</v>
      </c>
      <c r="D733" s="75">
        <f>ROUND(Data!K3032,2)</f>
        <v>0</v>
      </c>
      <c r="E733" s="75" t="s">
        <v>729</v>
      </c>
      <c r="F733" s="75"/>
      <c r="G733" s="74">
        <f t="shared" si="100"/>
        <v>0</v>
      </c>
      <c r="H733" s="74"/>
      <c r="I733" s="74">
        <f t="shared" si="101"/>
        <v>0</v>
      </c>
      <c r="J733" s="74"/>
      <c r="K733" s="74">
        <f t="shared" si="102"/>
        <v>0</v>
      </c>
      <c r="L733" s="74"/>
      <c r="M733" s="74">
        <f t="shared" si="103"/>
        <v>0</v>
      </c>
      <c r="N733" s="74">
        <f t="shared" si="104"/>
        <v>0</v>
      </c>
      <c r="O733" s="74">
        <f t="shared" si="105"/>
        <v>0</v>
      </c>
      <c r="P733" s="74">
        <f t="shared" si="106"/>
        <v>0</v>
      </c>
      <c r="Q733" s="74">
        <f t="shared" si="107"/>
        <v>0</v>
      </c>
    </row>
    <row r="734" spans="1:17" s="62" customFormat="1" ht="51.75" hidden="1" customHeight="1">
      <c r="A734" s="71"/>
      <c r="B734" s="72">
        <f t="shared" si="99"/>
        <v>0</v>
      </c>
      <c r="C734" s="72" t="s">
        <v>5694</v>
      </c>
      <c r="D734" s="75">
        <f>Data!K3034</f>
        <v>0</v>
      </c>
      <c r="E734" s="75" t="s">
        <v>729</v>
      </c>
      <c r="F734" s="75"/>
      <c r="G734" s="74">
        <f t="shared" si="100"/>
        <v>0</v>
      </c>
      <c r="H734" s="74"/>
      <c r="I734" s="74">
        <f t="shared" si="101"/>
        <v>0</v>
      </c>
      <c r="J734" s="74"/>
      <c r="K734" s="74">
        <f t="shared" si="102"/>
        <v>0</v>
      </c>
      <c r="L734" s="74"/>
      <c r="M734" s="74">
        <f t="shared" si="103"/>
        <v>0</v>
      </c>
      <c r="N734" s="74">
        <f t="shared" si="104"/>
        <v>0</v>
      </c>
      <c r="O734" s="74">
        <f t="shared" si="105"/>
        <v>0</v>
      </c>
      <c r="P734" s="74">
        <f t="shared" si="106"/>
        <v>0</v>
      </c>
      <c r="Q734" s="74">
        <f t="shared" si="107"/>
        <v>0</v>
      </c>
    </row>
    <row r="735" spans="1:17" s="62" customFormat="1" ht="39" hidden="1" customHeight="1">
      <c r="A735" s="71"/>
      <c r="B735" s="72">
        <f t="shared" si="99"/>
        <v>0</v>
      </c>
      <c r="C735" s="72" t="s">
        <v>5695</v>
      </c>
      <c r="D735" s="75">
        <f>Data!K3037</f>
        <v>0</v>
      </c>
      <c r="E735" s="75" t="s">
        <v>729</v>
      </c>
      <c r="F735" s="75"/>
      <c r="G735" s="74">
        <f t="shared" si="100"/>
        <v>0</v>
      </c>
      <c r="H735" s="74"/>
      <c r="I735" s="74">
        <f t="shared" si="101"/>
        <v>0</v>
      </c>
      <c r="J735" s="74"/>
      <c r="K735" s="74">
        <f t="shared" si="102"/>
        <v>0</v>
      </c>
      <c r="L735" s="74"/>
      <c r="M735" s="74">
        <f t="shared" si="103"/>
        <v>0</v>
      </c>
      <c r="N735" s="74">
        <f t="shared" si="104"/>
        <v>0</v>
      </c>
      <c r="O735" s="74">
        <f t="shared" si="105"/>
        <v>0</v>
      </c>
      <c r="P735" s="74">
        <f t="shared" si="106"/>
        <v>0</v>
      </c>
      <c r="Q735" s="74">
        <f t="shared" si="107"/>
        <v>0</v>
      </c>
    </row>
    <row r="736" spans="1:17" ht="67.5" customHeight="1">
      <c r="A736" s="71">
        <v>44.2</v>
      </c>
      <c r="B736" s="72">
        <f t="shared" si="99"/>
        <v>0</v>
      </c>
      <c r="C736" s="76" t="s">
        <v>5696</v>
      </c>
      <c r="D736" s="75"/>
      <c r="E736" s="75"/>
      <c r="F736" s="75"/>
      <c r="G736" s="74">
        <f t="shared" si="100"/>
        <v>0</v>
      </c>
      <c r="H736" s="74"/>
      <c r="I736" s="74">
        <f t="shared" si="101"/>
        <v>0</v>
      </c>
      <c r="J736" s="74"/>
      <c r="K736" s="74">
        <f t="shared" si="102"/>
        <v>0</v>
      </c>
      <c r="L736" s="74"/>
      <c r="M736" s="74">
        <f t="shared" si="103"/>
        <v>0</v>
      </c>
      <c r="N736" s="74">
        <f t="shared" si="104"/>
        <v>0</v>
      </c>
      <c r="O736" s="74">
        <f t="shared" si="105"/>
        <v>0</v>
      </c>
      <c r="P736" s="74">
        <f t="shared" si="106"/>
        <v>0</v>
      </c>
      <c r="Q736" s="74">
        <f t="shared" si="107"/>
        <v>0</v>
      </c>
    </row>
    <row r="737" spans="1:17" ht="39.75" customHeight="1">
      <c r="A737" s="71"/>
      <c r="B737" s="72">
        <f t="shared" si="99"/>
        <v>10</v>
      </c>
      <c r="C737" s="72" t="s">
        <v>5697</v>
      </c>
      <c r="D737" s="75">
        <v>2171.7399999999998</v>
      </c>
      <c r="E737" s="75" t="s">
        <v>729</v>
      </c>
      <c r="F737" s="1425">
        <f>'Detail '!I2559</f>
        <v>10</v>
      </c>
      <c r="G737" s="74">
        <f t="shared" si="100"/>
        <v>21717.4</v>
      </c>
      <c r="H737" s="74"/>
      <c r="I737" s="74">
        <f t="shared" si="101"/>
        <v>0</v>
      </c>
      <c r="J737" s="74"/>
      <c r="K737" s="74">
        <f t="shared" si="102"/>
        <v>0</v>
      </c>
      <c r="L737" s="74"/>
      <c r="M737" s="74">
        <f t="shared" si="103"/>
        <v>0</v>
      </c>
      <c r="N737" s="74">
        <f t="shared" si="104"/>
        <v>0</v>
      </c>
      <c r="O737" s="74">
        <f t="shared" si="105"/>
        <v>0</v>
      </c>
      <c r="P737" s="74">
        <f t="shared" si="106"/>
        <v>10</v>
      </c>
      <c r="Q737" s="74">
        <f t="shared" si="107"/>
        <v>21717.4</v>
      </c>
    </row>
    <row r="738" spans="1:17">
      <c r="A738" s="71"/>
      <c r="B738" s="72">
        <f t="shared" si="99"/>
        <v>30</v>
      </c>
      <c r="C738" s="72" t="s">
        <v>5698</v>
      </c>
      <c r="D738" s="75">
        <f>Data!R2357</f>
        <v>509.57</v>
      </c>
      <c r="E738" s="75" t="s">
        <v>13</v>
      </c>
      <c r="F738" s="1425">
        <f>'Detail '!I2562</f>
        <v>30</v>
      </c>
      <c r="G738" s="74">
        <f t="shared" si="100"/>
        <v>15287.1</v>
      </c>
      <c r="H738" s="74"/>
      <c r="I738" s="74">
        <f t="shared" si="101"/>
        <v>0</v>
      </c>
      <c r="J738" s="74"/>
      <c r="K738" s="74">
        <f t="shared" si="102"/>
        <v>0</v>
      </c>
      <c r="L738" s="74"/>
      <c r="M738" s="74">
        <f t="shared" si="103"/>
        <v>0</v>
      </c>
      <c r="N738" s="74">
        <f t="shared" si="104"/>
        <v>0</v>
      </c>
      <c r="O738" s="74">
        <f t="shared" si="105"/>
        <v>0</v>
      </c>
      <c r="P738" s="74">
        <f t="shared" si="106"/>
        <v>30</v>
      </c>
      <c r="Q738" s="74">
        <f t="shared" si="107"/>
        <v>15287.1</v>
      </c>
    </row>
    <row r="739" spans="1:17" ht="46.5" hidden="1">
      <c r="A739" s="71">
        <v>257.10000000000002</v>
      </c>
      <c r="B739" s="72">
        <f t="shared" si="99"/>
        <v>0</v>
      </c>
      <c r="C739" s="72" t="s">
        <v>5699</v>
      </c>
      <c r="D739" s="75">
        <f>ROUND(Data!K2703,2)</f>
        <v>278.39999999999998</v>
      </c>
      <c r="E739" s="75" t="s">
        <v>13</v>
      </c>
      <c r="F739" s="1425"/>
      <c r="G739" s="74">
        <f t="shared" si="100"/>
        <v>0</v>
      </c>
      <c r="H739" s="74"/>
      <c r="I739" s="74">
        <f t="shared" si="101"/>
        <v>0</v>
      </c>
      <c r="J739" s="74"/>
      <c r="K739" s="74">
        <f t="shared" si="102"/>
        <v>0</v>
      </c>
      <c r="L739" s="74"/>
      <c r="M739" s="74">
        <f t="shared" si="103"/>
        <v>0</v>
      </c>
      <c r="N739" s="74">
        <f t="shared" si="104"/>
        <v>0</v>
      </c>
      <c r="O739" s="74">
        <f t="shared" si="105"/>
        <v>0</v>
      </c>
      <c r="P739" s="74">
        <f t="shared" si="106"/>
        <v>0</v>
      </c>
      <c r="Q739" s="74">
        <f t="shared" si="107"/>
        <v>0</v>
      </c>
    </row>
    <row r="740" spans="1:17">
      <c r="A740" s="71">
        <v>344.2</v>
      </c>
      <c r="B740" s="72">
        <f t="shared" si="99"/>
        <v>29</v>
      </c>
      <c r="C740" s="72" t="s">
        <v>5700</v>
      </c>
      <c r="D740" s="75">
        <f>ROUND(Data!K3014,2)</f>
        <v>398.3</v>
      </c>
      <c r="E740" s="75" t="s">
        <v>729</v>
      </c>
      <c r="F740" s="1425">
        <f>'Detail '!I2565</f>
        <v>29</v>
      </c>
      <c r="G740" s="74">
        <f t="shared" si="100"/>
        <v>11550.7</v>
      </c>
      <c r="H740" s="74"/>
      <c r="I740" s="74">
        <f t="shared" si="101"/>
        <v>0</v>
      </c>
      <c r="J740" s="74"/>
      <c r="K740" s="74">
        <f t="shared" si="102"/>
        <v>0</v>
      </c>
      <c r="L740" s="74"/>
      <c r="M740" s="74">
        <f t="shared" si="103"/>
        <v>0</v>
      </c>
      <c r="N740" s="74">
        <f t="shared" si="104"/>
        <v>0</v>
      </c>
      <c r="O740" s="74">
        <f t="shared" si="105"/>
        <v>0</v>
      </c>
      <c r="P740" s="74">
        <f t="shared" si="106"/>
        <v>29</v>
      </c>
      <c r="Q740" s="74">
        <f t="shared" si="107"/>
        <v>11550.7</v>
      </c>
    </row>
    <row r="741" spans="1:17" s="55" customFormat="1">
      <c r="A741" s="83">
        <v>383</v>
      </c>
      <c r="B741" s="72">
        <f t="shared" si="99"/>
        <v>0</v>
      </c>
      <c r="C741" s="72" t="s">
        <v>5701</v>
      </c>
      <c r="D741" s="75">
        <f>Data!C764</f>
        <v>1020</v>
      </c>
      <c r="E741" s="74" t="s">
        <v>729</v>
      </c>
      <c r="F741" s="75"/>
      <c r="G741" s="74">
        <f t="shared" si="100"/>
        <v>0</v>
      </c>
      <c r="H741" s="74"/>
      <c r="I741" s="74">
        <f t="shared" si="101"/>
        <v>0</v>
      </c>
      <c r="J741" s="74"/>
      <c r="K741" s="74">
        <f t="shared" si="102"/>
        <v>0</v>
      </c>
      <c r="L741" s="74"/>
      <c r="M741" s="74">
        <f t="shared" si="103"/>
        <v>0</v>
      </c>
      <c r="N741" s="74">
        <f t="shared" si="104"/>
        <v>0</v>
      </c>
      <c r="O741" s="74">
        <f t="shared" si="105"/>
        <v>0</v>
      </c>
      <c r="P741" s="74">
        <f t="shared" si="106"/>
        <v>0</v>
      </c>
      <c r="Q741" s="74">
        <f t="shared" si="107"/>
        <v>0</v>
      </c>
    </row>
    <row r="742" spans="1:17" ht="46.5">
      <c r="A742" s="71">
        <v>383.1</v>
      </c>
      <c r="B742" s="72">
        <f t="shared" si="99"/>
        <v>0</v>
      </c>
      <c r="C742" s="72" t="s">
        <v>5702</v>
      </c>
      <c r="D742" s="75">
        <f>Data!W66</f>
        <v>195.7</v>
      </c>
      <c r="E742" s="75" t="s">
        <v>13</v>
      </c>
      <c r="F742" s="75"/>
      <c r="G742" s="74">
        <f t="shared" si="100"/>
        <v>0</v>
      </c>
      <c r="H742" s="74"/>
      <c r="I742" s="74">
        <f t="shared" si="101"/>
        <v>0</v>
      </c>
      <c r="J742" s="74"/>
      <c r="K742" s="74">
        <f t="shared" si="102"/>
        <v>0</v>
      </c>
      <c r="L742" s="74"/>
      <c r="M742" s="74">
        <f t="shared" si="103"/>
        <v>0</v>
      </c>
      <c r="N742" s="74">
        <f t="shared" si="104"/>
        <v>0</v>
      </c>
      <c r="O742" s="74">
        <f t="shared" si="105"/>
        <v>0</v>
      </c>
      <c r="P742" s="74">
        <f t="shared" si="106"/>
        <v>0</v>
      </c>
      <c r="Q742" s="74">
        <f t="shared" si="107"/>
        <v>0</v>
      </c>
    </row>
    <row r="743" spans="1:17" ht="46.5">
      <c r="A743" s="71"/>
      <c r="B743" s="72">
        <f t="shared" si="99"/>
        <v>0</v>
      </c>
      <c r="C743" s="72" t="s">
        <v>5703</v>
      </c>
      <c r="D743" s="75">
        <f>Data!W67</f>
        <v>370.25</v>
      </c>
      <c r="E743" s="75" t="s">
        <v>13</v>
      </c>
      <c r="F743" s="75"/>
      <c r="G743" s="74">
        <f t="shared" si="100"/>
        <v>0</v>
      </c>
      <c r="H743" s="74"/>
      <c r="I743" s="74">
        <f t="shared" si="101"/>
        <v>0</v>
      </c>
      <c r="J743" s="74"/>
      <c r="K743" s="74">
        <f t="shared" si="102"/>
        <v>0</v>
      </c>
      <c r="L743" s="74"/>
      <c r="M743" s="74">
        <f t="shared" si="103"/>
        <v>0</v>
      </c>
      <c r="N743" s="74">
        <f t="shared" si="104"/>
        <v>0</v>
      </c>
      <c r="O743" s="74">
        <f t="shared" si="105"/>
        <v>0</v>
      </c>
      <c r="P743" s="74">
        <f t="shared" si="106"/>
        <v>0</v>
      </c>
      <c r="Q743" s="74">
        <f t="shared" si="107"/>
        <v>0</v>
      </c>
    </row>
    <row r="744" spans="1:17" ht="46.5">
      <c r="A744" s="71"/>
      <c r="B744" s="72">
        <f t="shared" si="99"/>
        <v>0</v>
      </c>
      <c r="C744" s="72" t="s">
        <v>5704</v>
      </c>
      <c r="D744" s="75">
        <f>Data!R1912</f>
        <v>328.32</v>
      </c>
      <c r="E744" s="75"/>
      <c r="F744" s="75"/>
      <c r="G744" s="74">
        <f t="shared" si="100"/>
        <v>0</v>
      </c>
      <c r="H744" s="74"/>
      <c r="I744" s="74">
        <f t="shared" si="101"/>
        <v>0</v>
      </c>
      <c r="J744" s="74"/>
      <c r="K744" s="74">
        <f t="shared" si="102"/>
        <v>0</v>
      </c>
      <c r="L744" s="74"/>
      <c r="M744" s="74">
        <f t="shared" si="103"/>
        <v>0</v>
      </c>
      <c r="N744" s="74">
        <f t="shared" si="104"/>
        <v>0</v>
      </c>
      <c r="O744" s="74">
        <f t="shared" si="105"/>
        <v>0</v>
      </c>
      <c r="P744" s="74">
        <f t="shared" si="106"/>
        <v>0</v>
      </c>
      <c r="Q744" s="74">
        <f t="shared" si="107"/>
        <v>0</v>
      </c>
    </row>
    <row r="745" spans="1:17" s="55" customFormat="1" hidden="1">
      <c r="A745" s="83">
        <v>384</v>
      </c>
      <c r="B745" s="72">
        <f t="shared" si="99"/>
        <v>0</v>
      </c>
      <c r="C745" s="72" t="s">
        <v>5705</v>
      </c>
      <c r="D745" s="75">
        <f>Data!K3046</f>
        <v>1786.45</v>
      </c>
      <c r="E745" s="92" t="s">
        <v>729</v>
      </c>
      <c r="F745" s="75"/>
      <c r="G745" s="74">
        <f t="shared" si="100"/>
        <v>0</v>
      </c>
      <c r="H745" s="74"/>
      <c r="I745" s="74">
        <f t="shared" si="101"/>
        <v>0</v>
      </c>
      <c r="J745" s="74"/>
      <c r="K745" s="74">
        <f t="shared" si="102"/>
        <v>0</v>
      </c>
      <c r="L745" s="74"/>
      <c r="M745" s="74">
        <f t="shared" si="103"/>
        <v>0</v>
      </c>
      <c r="N745" s="74">
        <f t="shared" si="104"/>
        <v>0</v>
      </c>
      <c r="O745" s="74">
        <f t="shared" si="105"/>
        <v>0</v>
      </c>
      <c r="P745" s="74">
        <f t="shared" si="106"/>
        <v>0</v>
      </c>
      <c r="Q745" s="74">
        <f t="shared" si="107"/>
        <v>0</v>
      </c>
    </row>
    <row r="746" spans="1:17" hidden="1">
      <c r="A746" s="83">
        <v>385</v>
      </c>
      <c r="B746" s="72">
        <f t="shared" si="99"/>
        <v>0</v>
      </c>
      <c r="C746" s="72" t="s">
        <v>5706</v>
      </c>
      <c r="D746" s="75">
        <f>ROUND(Data!K2690,2)</f>
        <v>847.52</v>
      </c>
      <c r="E746" s="74" t="s">
        <v>729</v>
      </c>
      <c r="F746" s="75"/>
      <c r="G746" s="74">
        <f t="shared" si="100"/>
        <v>0</v>
      </c>
      <c r="H746" s="74"/>
      <c r="I746" s="74">
        <f t="shared" si="101"/>
        <v>0</v>
      </c>
      <c r="J746" s="74"/>
      <c r="K746" s="74">
        <f t="shared" si="102"/>
        <v>0</v>
      </c>
      <c r="L746" s="74"/>
      <c r="M746" s="74">
        <f t="shared" si="103"/>
        <v>0</v>
      </c>
      <c r="N746" s="74">
        <f t="shared" si="104"/>
        <v>0</v>
      </c>
      <c r="O746" s="74">
        <f t="shared" si="105"/>
        <v>0</v>
      </c>
      <c r="P746" s="74">
        <f t="shared" si="106"/>
        <v>0</v>
      </c>
      <c r="Q746" s="74">
        <f t="shared" si="107"/>
        <v>0</v>
      </c>
    </row>
    <row r="747" spans="1:17">
      <c r="A747" s="71">
        <v>238.1</v>
      </c>
      <c r="B747" s="72">
        <f t="shared" si="99"/>
        <v>5.85</v>
      </c>
      <c r="C747" s="72" t="s">
        <v>5707</v>
      </c>
      <c r="D747" s="75">
        <f>ROUND(Data!K2778,2)</f>
        <v>2954.25</v>
      </c>
      <c r="E747" s="92" t="s">
        <v>11</v>
      </c>
      <c r="F747" s="1246">
        <f>'Detail '!I1245</f>
        <v>5.851</v>
      </c>
      <c r="G747" s="74">
        <f t="shared" si="100"/>
        <v>17285.32</v>
      </c>
      <c r="H747" s="74"/>
      <c r="I747" s="74">
        <f t="shared" si="101"/>
        <v>0</v>
      </c>
      <c r="J747" s="74"/>
      <c r="K747" s="74">
        <f t="shared" si="102"/>
        <v>0</v>
      </c>
      <c r="L747" s="74"/>
      <c r="M747" s="74">
        <f t="shared" si="103"/>
        <v>0</v>
      </c>
      <c r="N747" s="74">
        <f t="shared" si="104"/>
        <v>0</v>
      </c>
      <c r="O747" s="74">
        <f t="shared" si="105"/>
        <v>0</v>
      </c>
      <c r="P747" s="74">
        <f t="shared" si="106"/>
        <v>5.85</v>
      </c>
      <c r="Q747" s="74">
        <f t="shared" si="107"/>
        <v>17282.36</v>
      </c>
    </row>
    <row r="748" spans="1:17" s="55" customFormat="1" ht="58.5" hidden="1" customHeight="1">
      <c r="A748" s="71">
        <v>71.2</v>
      </c>
      <c r="B748" s="72">
        <f t="shared" si="99"/>
        <v>0</v>
      </c>
      <c r="C748" s="72" t="s">
        <v>5708</v>
      </c>
      <c r="D748" s="75">
        <f>Elec.Data!K379</f>
        <v>2157.0300000000002</v>
      </c>
      <c r="E748" s="92" t="s">
        <v>729</v>
      </c>
      <c r="F748" s="75"/>
      <c r="G748" s="74">
        <f t="shared" si="100"/>
        <v>0</v>
      </c>
      <c r="H748" s="74"/>
      <c r="I748" s="74">
        <f t="shared" si="101"/>
        <v>0</v>
      </c>
      <c r="J748" s="74"/>
      <c r="K748" s="74">
        <f t="shared" si="102"/>
        <v>0</v>
      </c>
      <c r="L748" s="74"/>
      <c r="M748" s="74">
        <f t="shared" si="103"/>
        <v>0</v>
      </c>
      <c r="N748" s="74">
        <f t="shared" si="104"/>
        <v>0</v>
      </c>
      <c r="O748" s="74">
        <f t="shared" si="105"/>
        <v>0</v>
      </c>
      <c r="P748" s="74">
        <f t="shared" si="106"/>
        <v>0</v>
      </c>
      <c r="Q748" s="74">
        <f t="shared" si="107"/>
        <v>0</v>
      </c>
    </row>
    <row r="749" spans="1:17" s="55" customFormat="1" ht="47.25" hidden="1" customHeight="1">
      <c r="A749" s="71">
        <v>80.099999999999994</v>
      </c>
      <c r="B749" s="72">
        <f t="shared" si="99"/>
        <v>0</v>
      </c>
      <c r="C749" s="72" t="s">
        <v>5709</v>
      </c>
      <c r="D749" s="75">
        <f>D1496</f>
        <v>1308.97</v>
      </c>
      <c r="E749" s="92" t="s">
        <v>729</v>
      </c>
      <c r="F749" s="75"/>
      <c r="G749" s="74">
        <f t="shared" si="100"/>
        <v>0</v>
      </c>
      <c r="H749" s="74"/>
      <c r="I749" s="74">
        <f t="shared" si="101"/>
        <v>0</v>
      </c>
      <c r="J749" s="74"/>
      <c r="K749" s="74">
        <f t="shared" si="102"/>
        <v>0</v>
      </c>
      <c r="L749" s="74"/>
      <c r="M749" s="74">
        <f t="shared" si="103"/>
        <v>0</v>
      </c>
      <c r="N749" s="74">
        <f t="shared" si="104"/>
        <v>0</v>
      </c>
      <c r="O749" s="74">
        <f t="shared" si="105"/>
        <v>0</v>
      </c>
      <c r="P749" s="74">
        <f t="shared" si="106"/>
        <v>0</v>
      </c>
      <c r="Q749" s="74">
        <f t="shared" si="107"/>
        <v>0</v>
      </c>
    </row>
    <row r="750" spans="1:17" ht="39.75" hidden="1" customHeight="1">
      <c r="A750" s="71"/>
      <c r="B750" s="72">
        <f t="shared" si="99"/>
        <v>0</v>
      </c>
      <c r="C750" s="72" t="s">
        <v>5710</v>
      </c>
      <c r="D750" s="75">
        <f>Elec.Data!K588</f>
        <v>825</v>
      </c>
      <c r="E750" s="92" t="s">
        <v>729</v>
      </c>
      <c r="F750" s="75"/>
      <c r="G750" s="74">
        <f t="shared" si="100"/>
        <v>0</v>
      </c>
      <c r="H750" s="74"/>
      <c r="I750" s="74">
        <f t="shared" si="101"/>
        <v>0</v>
      </c>
      <c r="J750" s="74"/>
      <c r="K750" s="74">
        <f t="shared" si="102"/>
        <v>0</v>
      </c>
      <c r="L750" s="74"/>
      <c r="M750" s="74">
        <f t="shared" si="103"/>
        <v>0</v>
      </c>
      <c r="N750" s="74">
        <f t="shared" si="104"/>
        <v>0</v>
      </c>
      <c r="O750" s="74">
        <f t="shared" si="105"/>
        <v>0</v>
      </c>
      <c r="P750" s="74">
        <f t="shared" si="106"/>
        <v>0</v>
      </c>
      <c r="Q750" s="74">
        <f t="shared" si="107"/>
        <v>0</v>
      </c>
    </row>
    <row r="751" spans="1:17" ht="39.75" hidden="1" customHeight="1">
      <c r="A751" s="71"/>
      <c r="B751" s="72">
        <f t="shared" si="99"/>
        <v>0</v>
      </c>
      <c r="C751" s="72" t="s">
        <v>5711</v>
      </c>
      <c r="D751" s="75">
        <f>Elec.Data!K569</f>
        <v>550</v>
      </c>
      <c r="E751" s="92" t="s">
        <v>729</v>
      </c>
      <c r="F751" s="75"/>
      <c r="G751" s="74">
        <f t="shared" si="100"/>
        <v>0</v>
      </c>
      <c r="H751" s="74"/>
      <c r="I751" s="74">
        <f t="shared" si="101"/>
        <v>0</v>
      </c>
      <c r="J751" s="74"/>
      <c r="K751" s="74">
        <f t="shared" si="102"/>
        <v>0</v>
      </c>
      <c r="L751" s="74"/>
      <c r="M751" s="74">
        <f t="shared" si="103"/>
        <v>0</v>
      </c>
      <c r="N751" s="74">
        <f t="shared" si="104"/>
        <v>0</v>
      </c>
      <c r="O751" s="74">
        <f t="shared" si="105"/>
        <v>0</v>
      </c>
      <c r="P751" s="74">
        <f t="shared" si="106"/>
        <v>0</v>
      </c>
      <c r="Q751" s="74">
        <f t="shared" si="107"/>
        <v>0</v>
      </c>
    </row>
    <row r="752" spans="1:17" ht="45.75" hidden="1" customHeight="1">
      <c r="A752" s="71">
        <v>87.1</v>
      </c>
      <c r="B752" s="72">
        <f t="shared" si="99"/>
        <v>0</v>
      </c>
      <c r="C752" s="72" t="str">
        <f>C1530</f>
        <v>Supplying and delivery of Three phase ELCB/RCCB</v>
      </c>
      <c r="D752" s="75">
        <f>Elec.Data!K637</f>
        <v>3068.5</v>
      </c>
      <c r="E752" s="92" t="s">
        <v>729</v>
      </c>
      <c r="F752" s="75"/>
      <c r="G752" s="74">
        <f t="shared" si="100"/>
        <v>0</v>
      </c>
      <c r="H752" s="74"/>
      <c r="I752" s="74">
        <f t="shared" si="101"/>
        <v>0</v>
      </c>
      <c r="J752" s="74"/>
      <c r="K752" s="74">
        <f t="shared" si="102"/>
        <v>0</v>
      </c>
      <c r="L752" s="74"/>
      <c r="M752" s="74">
        <f t="shared" si="103"/>
        <v>0</v>
      </c>
      <c r="N752" s="74">
        <f t="shared" si="104"/>
        <v>0</v>
      </c>
      <c r="O752" s="74">
        <f t="shared" si="105"/>
        <v>0</v>
      </c>
      <c r="P752" s="74">
        <f t="shared" si="106"/>
        <v>0</v>
      </c>
      <c r="Q752" s="74">
        <f t="shared" si="107"/>
        <v>0</v>
      </c>
    </row>
    <row r="753" spans="1:17" ht="46.5" hidden="1" customHeight="1">
      <c r="A753" s="71"/>
      <c r="B753" s="72">
        <f t="shared" si="99"/>
        <v>0</v>
      </c>
      <c r="C753" s="72" t="s">
        <v>5712</v>
      </c>
      <c r="D753" s="75">
        <f>D1533</f>
        <v>165</v>
      </c>
      <c r="E753" s="92" t="s">
        <v>13</v>
      </c>
      <c r="F753" s="75"/>
      <c r="G753" s="74">
        <f t="shared" si="100"/>
        <v>0</v>
      </c>
      <c r="H753" s="74"/>
      <c r="I753" s="74">
        <f t="shared" si="101"/>
        <v>0</v>
      </c>
      <c r="J753" s="74"/>
      <c r="K753" s="74">
        <f t="shared" si="102"/>
        <v>0</v>
      </c>
      <c r="L753" s="74"/>
      <c r="M753" s="74">
        <f t="shared" si="103"/>
        <v>0</v>
      </c>
      <c r="N753" s="74">
        <f t="shared" si="104"/>
        <v>0</v>
      </c>
      <c r="O753" s="74">
        <f t="shared" si="105"/>
        <v>0</v>
      </c>
      <c r="P753" s="74">
        <f t="shared" si="106"/>
        <v>0</v>
      </c>
      <c r="Q753" s="74">
        <f t="shared" si="107"/>
        <v>0</v>
      </c>
    </row>
    <row r="754" spans="1:17" s="65" customFormat="1" ht="69" customHeight="1">
      <c r="A754" s="71"/>
      <c r="B754" s="72">
        <f t="shared" si="99"/>
        <v>1818.54</v>
      </c>
      <c r="C754" s="72" t="s">
        <v>5713</v>
      </c>
      <c r="D754" s="75">
        <f>Data!R1326</f>
        <v>239.05</v>
      </c>
      <c r="E754" s="92" t="s">
        <v>724</v>
      </c>
      <c r="F754" s="1425">
        <f>'Detail '!I2573</f>
        <v>1818.54</v>
      </c>
      <c r="G754" s="74">
        <f t="shared" si="100"/>
        <v>434721.99</v>
      </c>
      <c r="H754" s="74"/>
      <c r="I754" s="74">
        <f t="shared" si="101"/>
        <v>0</v>
      </c>
      <c r="J754" s="74"/>
      <c r="K754" s="74">
        <f t="shared" si="102"/>
        <v>0</v>
      </c>
      <c r="L754" s="74"/>
      <c r="M754" s="74">
        <f t="shared" si="103"/>
        <v>0</v>
      </c>
      <c r="N754" s="74">
        <f t="shared" si="104"/>
        <v>0</v>
      </c>
      <c r="O754" s="74">
        <f t="shared" si="105"/>
        <v>0</v>
      </c>
      <c r="P754" s="74">
        <f t="shared" si="106"/>
        <v>1818.54</v>
      </c>
      <c r="Q754" s="74">
        <f t="shared" si="107"/>
        <v>434721.99</v>
      </c>
    </row>
    <row r="755" spans="1:17" s="55" customFormat="1" ht="73.150000000000006" hidden="1" customHeight="1">
      <c r="A755" s="71"/>
      <c r="B755" s="72">
        <f t="shared" si="99"/>
        <v>0</v>
      </c>
      <c r="C755" s="72" t="s">
        <v>5714</v>
      </c>
      <c r="D755" s="75">
        <v>133.49</v>
      </c>
      <c r="E755" s="92" t="s">
        <v>724</v>
      </c>
      <c r="F755" s="75"/>
      <c r="G755" s="74">
        <f t="shared" si="100"/>
        <v>0</v>
      </c>
      <c r="H755" s="74"/>
      <c r="I755" s="74">
        <f t="shared" si="101"/>
        <v>0</v>
      </c>
      <c r="J755" s="74"/>
      <c r="K755" s="74">
        <f t="shared" si="102"/>
        <v>0</v>
      </c>
      <c r="L755" s="74"/>
      <c r="M755" s="74">
        <f t="shared" si="103"/>
        <v>0</v>
      </c>
      <c r="N755" s="74">
        <f t="shared" si="104"/>
        <v>0</v>
      </c>
      <c r="O755" s="74">
        <f t="shared" si="105"/>
        <v>0</v>
      </c>
      <c r="P755" s="74">
        <f t="shared" si="106"/>
        <v>0</v>
      </c>
      <c r="Q755" s="74">
        <f t="shared" si="107"/>
        <v>0</v>
      </c>
    </row>
    <row r="756" spans="1:17" ht="56.25" customHeight="1">
      <c r="A756" s="71" t="s">
        <v>5715</v>
      </c>
      <c r="B756" s="72">
        <f t="shared" si="99"/>
        <v>4032</v>
      </c>
      <c r="C756" s="72" t="s">
        <v>3643</v>
      </c>
      <c r="D756" s="75">
        <f>Data!K3348</f>
        <v>130.34</v>
      </c>
      <c r="E756" s="92" t="s">
        <v>724</v>
      </c>
      <c r="F756" s="1425">
        <f>'Detail '!I2432</f>
        <v>4032</v>
      </c>
      <c r="G756" s="74">
        <f t="shared" si="100"/>
        <v>525530.88</v>
      </c>
      <c r="H756" s="74"/>
      <c r="I756" s="74">
        <f t="shared" si="101"/>
        <v>0</v>
      </c>
      <c r="J756" s="74"/>
      <c r="K756" s="74">
        <f t="shared" si="102"/>
        <v>0</v>
      </c>
      <c r="L756" s="74"/>
      <c r="M756" s="74">
        <f t="shared" si="103"/>
        <v>0</v>
      </c>
      <c r="N756" s="74">
        <f t="shared" si="104"/>
        <v>0</v>
      </c>
      <c r="O756" s="74">
        <f t="shared" si="105"/>
        <v>0</v>
      </c>
      <c r="P756" s="74">
        <f t="shared" si="106"/>
        <v>4032</v>
      </c>
      <c r="Q756" s="74">
        <f t="shared" si="107"/>
        <v>525530.88</v>
      </c>
    </row>
    <row r="757" spans="1:17" ht="81" hidden="1" customHeight="1">
      <c r="A757" s="71"/>
      <c r="B757" s="72">
        <f t="shared" si="99"/>
        <v>0</v>
      </c>
      <c r="C757" s="72" t="str">
        <f>C1531</f>
        <v>2 x 4 Sqmm Copper PVC insulated unsheathed single core 1 KV grade cable for EB service single phase.</v>
      </c>
      <c r="D757" s="75">
        <f>Elec.Data!K670</f>
        <v>154.57</v>
      </c>
      <c r="E757" s="92" t="s">
        <v>13</v>
      </c>
      <c r="F757" s="75"/>
      <c r="G757" s="74">
        <f t="shared" si="100"/>
        <v>0</v>
      </c>
      <c r="H757" s="74"/>
      <c r="I757" s="74">
        <f t="shared" si="101"/>
        <v>0</v>
      </c>
      <c r="J757" s="74"/>
      <c r="K757" s="74">
        <f t="shared" si="102"/>
        <v>0</v>
      </c>
      <c r="L757" s="74"/>
      <c r="M757" s="74">
        <f t="shared" si="103"/>
        <v>0</v>
      </c>
      <c r="N757" s="74">
        <f t="shared" si="104"/>
        <v>0</v>
      </c>
      <c r="O757" s="74">
        <f t="shared" si="105"/>
        <v>0</v>
      </c>
      <c r="P757" s="74">
        <f t="shared" si="106"/>
        <v>0</v>
      </c>
      <c r="Q757" s="74">
        <f t="shared" si="107"/>
        <v>0</v>
      </c>
    </row>
    <row r="758" spans="1:17" ht="51" hidden="1" customHeight="1">
      <c r="A758" s="71"/>
      <c r="B758" s="72">
        <f t="shared" si="99"/>
        <v>0</v>
      </c>
      <c r="C758" s="72" t="str">
        <f>C1497</f>
        <v>40 mm dia GI pipe "B"class</v>
      </c>
      <c r="D758" s="74">
        <f>D1497</f>
        <v>165</v>
      </c>
      <c r="E758" s="92" t="s">
        <v>13</v>
      </c>
      <c r="F758" s="75"/>
      <c r="G758" s="74">
        <f t="shared" si="100"/>
        <v>0</v>
      </c>
      <c r="H758" s="74"/>
      <c r="I758" s="74">
        <f t="shared" si="101"/>
        <v>0</v>
      </c>
      <c r="J758" s="74"/>
      <c r="K758" s="74">
        <f t="shared" si="102"/>
        <v>0</v>
      </c>
      <c r="L758" s="74"/>
      <c r="M758" s="74">
        <f t="shared" si="103"/>
        <v>0</v>
      </c>
      <c r="N758" s="74">
        <f t="shared" si="104"/>
        <v>0</v>
      </c>
      <c r="O758" s="74">
        <f t="shared" si="105"/>
        <v>0</v>
      </c>
      <c r="P758" s="74">
        <f t="shared" si="106"/>
        <v>0</v>
      </c>
      <c r="Q758" s="74">
        <f t="shared" si="107"/>
        <v>0</v>
      </c>
    </row>
    <row r="759" spans="1:17" ht="72.75" hidden="1" customHeight="1">
      <c r="A759" s="71"/>
      <c r="B759" s="72">
        <f t="shared" si="99"/>
        <v>0</v>
      </c>
      <c r="C759" s="72" t="s">
        <v>5716</v>
      </c>
      <c r="D759" s="75">
        <f>Data!W69</f>
        <v>9180</v>
      </c>
      <c r="E759" s="74" t="s">
        <v>729</v>
      </c>
      <c r="F759" s="75"/>
      <c r="G759" s="74">
        <f t="shared" si="100"/>
        <v>0</v>
      </c>
      <c r="H759" s="74"/>
      <c r="I759" s="74">
        <f t="shared" si="101"/>
        <v>0</v>
      </c>
      <c r="J759" s="74"/>
      <c r="K759" s="74">
        <f t="shared" si="102"/>
        <v>0</v>
      </c>
      <c r="L759" s="74"/>
      <c r="M759" s="74">
        <f t="shared" si="103"/>
        <v>0</v>
      </c>
      <c r="N759" s="74">
        <f t="shared" si="104"/>
        <v>0</v>
      </c>
      <c r="O759" s="74">
        <f t="shared" si="105"/>
        <v>0</v>
      </c>
      <c r="P759" s="74">
        <f t="shared" si="106"/>
        <v>0</v>
      </c>
      <c r="Q759" s="74">
        <f t="shared" si="107"/>
        <v>0</v>
      </c>
    </row>
    <row r="760" spans="1:17" ht="75" customHeight="1">
      <c r="A760" s="71"/>
      <c r="B760" s="72">
        <f t="shared" si="99"/>
        <v>50.8</v>
      </c>
      <c r="C760" s="72" t="s">
        <v>5717</v>
      </c>
      <c r="D760" s="74">
        <v>5536</v>
      </c>
      <c r="E760" s="92" t="s">
        <v>724</v>
      </c>
      <c r="F760" s="1425">
        <f>'Detail '!I780</f>
        <v>50.8</v>
      </c>
      <c r="G760" s="74">
        <f t="shared" si="100"/>
        <v>281228.79999999999</v>
      </c>
      <c r="H760" s="74"/>
      <c r="I760" s="74">
        <f t="shared" si="101"/>
        <v>0</v>
      </c>
      <c r="J760" s="74"/>
      <c r="K760" s="74">
        <f t="shared" si="102"/>
        <v>0</v>
      </c>
      <c r="L760" s="74"/>
      <c r="M760" s="74">
        <f t="shared" si="103"/>
        <v>0</v>
      </c>
      <c r="N760" s="74">
        <f t="shared" si="104"/>
        <v>0</v>
      </c>
      <c r="O760" s="74">
        <f t="shared" si="105"/>
        <v>0</v>
      </c>
      <c r="P760" s="74">
        <f t="shared" si="106"/>
        <v>50.8</v>
      </c>
      <c r="Q760" s="74">
        <f t="shared" si="107"/>
        <v>281228.79999999999</v>
      </c>
    </row>
    <row r="761" spans="1:17" s="55" customFormat="1" ht="43.5" customHeight="1">
      <c r="A761" s="71">
        <v>448.2</v>
      </c>
      <c r="B761" s="72">
        <f t="shared" si="99"/>
        <v>0</v>
      </c>
      <c r="C761" s="72" t="s">
        <v>5718</v>
      </c>
      <c r="D761" s="75">
        <f>Data!R3123</f>
        <v>142.96</v>
      </c>
      <c r="E761" s="92" t="s">
        <v>729</v>
      </c>
      <c r="F761" s="75"/>
      <c r="G761" s="74">
        <f t="shared" si="100"/>
        <v>0</v>
      </c>
      <c r="H761" s="74"/>
      <c r="I761" s="74">
        <f t="shared" si="101"/>
        <v>0</v>
      </c>
      <c r="J761" s="74"/>
      <c r="K761" s="74">
        <f t="shared" si="102"/>
        <v>0</v>
      </c>
      <c r="L761" s="74"/>
      <c r="M761" s="74">
        <f t="shared" si="103"/>
        <v>0</v>
      </c>
      <c r="N761" s="74">
        <f t="shared" si="104"/>
        <v>0</v>
      </c>
      <c r="O761" s="74">
        <f t="shared" si="105"/>
        <v>0</v>
      </c>
      <c r="P761" s="74">
        <f t="shared" si="106"/>
        <v>0</v>
      </c>
      <c r="Q761" s="74">
        <f t="shared" si="107"/>
        <v>0</v>
      </c>
    </row>
    <row r="762" spans="1:17" s="55" customFormat="1" ht="43.5" customHeight="1">
      <c r="A762" s="71"/>
      <c r="B762" s="72">
        <f t="shared" si="99"/>
        <v>350.3</v>
      </c>
      <c r="C762" s="72" t="s">
        <v>3716</v>
      </c>
      <c r="D762" s="75">
        <f>Data!AD1257</f>
        <v>1654.94</v>
      </c>
      <c r="E762" s="75" t="s">
        <v>724</v>
      </c>
      <c r="F762" s="1425">
        <f>'Detail '!I2743</f>
        <v>350.3</v>
      </c>
      <c r="G762" s="74">
        <f t="shared" si="100"/>
        <v>579725.48</v>
      </c>
      <c r="H762" s="74"/>
      <c r="I762" s="74">
        <f t="shared" si="101"/>
        <v>0</v>
      </c>
      <c r="J762" s="74"/>
      <c r="K762" s="74">
        <f t="shared" si="102"/>
        <v>0</v>
      </c>
      <c r="L762" s="74"/>
      <c r="M762" s="74">
        <f t="shared" si="103"/>
        <v>0</v>
      </c>
      <c r="N762" s="74">
        <f t="shared" si="104"/>
        <v>0</v>
      </c>
      <c r="O762" s="74">
        <f t="shared" si="105"/>
        <v>0</v>
      </c>
      <c r="P762" s="74">
        <f t="shared" si="106"/>
        <v>350.3</v>
      </c>
      <c r="Q762" s="74">
        <f t="shared" si="107"/>
        <v>579725.48</v>
      </c>
    </row>
    <row r="763" spans="1:17" ht="63.75" customHeight="1">
      <c r="A763" s="71"/>
      <c r="B763" s="72">
        <f t="shared" si="99"/>
        <v>263.7</v>
      </c>
      <c r="C763" s="72" t="s">
        <v>5719</v>
      </c>
      <c r="D763" s="75">
        <f>Data!AD1271</f>
        <v>1792.02</v>
      </c>
      <c r="E763" s="75" t="s">
        <v>724</v>
      </c>
      <c r="F763" s="1425">
        <f>'Detail '!I3042</f>
        <v>263.7</v>
      </c>
      <c r="G763" s="74">
        <f t="shared" si="100"/>
        <v>472555.67</v>
      </c>
      <c r="H763" s="74"/>
      <c r="I763" s="74">
        <f t="shared" si="101"/>
        <v>0</v>
      </c>
      <c r="J763" s="74"/>
      <c r="K763" s="74">
        <f t="shared" si="102"/>
        <v>0</v>
      </c>
      <c r="L763" s="74"/>
      <c r="M763" s="74">
        <f t="shared" si="103"/>
        <v>0</v>
      </c>
      <c r="N763" s="74">
        <f t="shared" si="104"/>
        <v>0</v>
      </c>
      <c r="O763" s="74">
        <f t="shared" si="105"/>
        <v>0</v>
      </c>
      <c r="P763" s="74">
        <f t="shared" si="106"/>
        <v>263.7</v>
      </c>
      <c r="Q763" s="74">
        <f t="shared" si="107"/>
        <v>472555.67</v>
      </c>
    </row>
    <row r="764" spans="1:17" ht="63.75" hidden="1" customHeight="1">
      <c r="A764" s="71"/>
      <c r="B764" s="72">
        <f t="shared" si="99"/>
        <v>0</v>
      </c>
      <c r="C764" s="72" t="s">
        <v>5720</v>
      </c>
      <c r="D764" s="75">
        <f>Data!AD1271</f>
        <v>1792.02</v>
      </c>
      <c r="E764" s="75" t="s">
        <v>724</v>
      </c>
      <c r="F764" s="75"/>
      <c r="G764" s="74">
        <f t="shared" si="100"/>
        <v>0</v>
      </c>
      <c r="H764" s="74"/>
      <c r="I764" s="74">
        <f t="shared" si="101"/>
        <v>0</v>
      </c>
      <c r="J764" s="74"/>
      <c r="K764" s="74">
        <f t="shared" si="102"/>
        <v>0</v>
      </c>
      <c r="L764" s="74"/>
      <c r="M764" s="74">
        <f t="shared" si="103"/>
        <v>0</v>
      </c>
      <c r="N764" s="74">
        <f t="shared" si="104"/>
        <v>0</v>
      </c>
      <c r="O764" s="74">
        <f t="shared" si="105"/>
        <v>0</v>
      </c>
      <c r="P764" s="74">
        <f t="shared" si="106"/>
        <v>0</v>
      </c>
      <c r="Q764" s="74">
        <f t="shared" si="107"/>
        <v>0</v>
      </c>
    </row>
    <row r="765" spans="1:17" ht="74.25" customHeight="1">
      <c r="A765" s="71"/>
      <c r="B765" s="72">
        <f t="shared" si="99"/>
        <v>45.9</v>
      </c>
      <c r="C765" s="72" t="s">
        <v>5721</v>
      </c>
      <c r="D765" s="75">
        <f>Data!R2416</f>
        <v>1483.02</v>
      </c>
      <c r="E765" s="75" t="s">
        <v>724</v>
      </c>
      <c r="F765" s="1425">
        <f>'Detail '!I2576</f>
        <v>45.9</v>
      </c>
      <c r="G765" s="74">
        <f t="shared" si="100"/>
        <v>68070.62</v>
      </c>
      <c r="H765" s="74"/>
      <c r="I765" s="74">
        <f t="shared" si="101"/>
        <v>0</v>
      </c>
      <c r="J765" s="74"/>
      <c r="K765" s="74">
        <f t="shared" si="102"/>
        <v>0</v>
      </c>
      <c r="L765" s="74"/>
      <c r="M765" s="74">
        <f t="shared" si="103"/>
        <v>0</v>
      </c>
      <c r="N765" s="74">
        <f t="shared" si="104"/>
        <v>0</v>
      </c>
      <c r="O765" s="74">
        <f t="shared" si="105"/>
        <v>0</v>
      </c>
      <c r="P765" s="74">
        <f t="shared" si="106"/>
        <v>45.9</v>
      </c>
      <c r="Q765" s="74">
        <f t="shared" si="107"/>
        <v>68070.62</v>
      </c>
    </row>
    <row r="766" spans="1:17" ht="94.5" hidden="1" customHeight="1">
      <c r="A766" s="94"/>
      <c r="B766" s="72">
        <f t="shared" si="99"/>
        <v>0</v>
      </c>
      <c r="C766" s="72" t="s">
        <v>5722</v>
      </c>
      <c r="D766" s="75">
        <f>Data!AD1271</f>
        <v>1792.02</v>
      </c>
      <c r="E766" s="75" t="s">
        <v>724</v>
      </c>
      <c r="F766" s="1247"/>
      <c r="G766" s="74">
        <f t="shared" si="100"/>
        <v>0</v>
      </c>
      <c r="H766" s="74"/>
      <c r="I766" s="74">
        <f t="shared" si="101"/>
        <v>0</v>
      </c>
      <c r="J766" s="74"/>
      <c r="K766" s="74">
        <f t="shared" si="102"/>
        <v>0</v>
      </c>
      <c r="L766" s="74"/>
      <c r="M766" s="74">
        <f t="shared" si="103"/>
        <v>0</v>
      </c>
      <c r="N766" s="74">
        <f t="shared" si="104"/>
        <v>0</v>
      </c>
      <c r="O766" s="74">
        <f t="shared" si="105"/>
        <v>0</v>
      </c>
      <c r="P766" s="74">
        <f t="shared" si="106"/>
        <v>0</v>
      </c>
      <c r="Q766" s="74">
        <f t="shared" si="107"/>
        <v>0</v>
      </c>
    </row>
    <row r="767" spans="1:17" ht="76.5" hidden="1" customHeight="1">
      <c r="A767" s="94"/>
      <c r="B767" s="72">
        <f t="shared" si="99"/>
        <v>0</v>
      </c>
      <c r="C767" s="72" t="s">
        <v>5723</v>
      </c>
      <c r="D767" s="75">
        <f>Data!K2435</f>
        <v>1520.79</v>
      </c>
      <c r="E767" s="75" t="s">
        <v>468</v>
      </c>
      <c r="F767" s="75"/>
      <c r="G767" s="74">
        <f t="shared" si="100"/>
        <v>0</v>
      </c>
      <c r="H767" s="74"/>
      <c r="I767" s="74">
        <f t="shared" si="101"/>
        <v>0</v>
      </c>
      <c r="J767" s="74"/>
      <c r="K767" s="74">
        <f t="shared" si="102"/>
        <v>0</v>
      </c>
      <c r="L767" s="74"/>
      <c r="M767" s="74">
        <f t="shared" si="103"/>
        <v>0</v>
      </c>
      <c r="N767" s="74">
        <f t="shared" si="104"/>
        <v>0</v>
      </c>
      <c r="O767" s="74">
        <f t="shared" si="105"/>
        <v>0</v>
      </c>
      <c r="P767" s="74">
        <f t="shared" si="106"/>
        <v>0</v>
      </c>
      <c r="Q767" s="74">
        <f t="shared" si="107"/>
        <v>0</v>
      </c>
    </row>
    <row r="768" spans="1:17" ht="102" hidden="1" customHeight="1">
      <c r="A768" s="94"/>
      <c r="B768" s="72">
        <f t="shared" si="99"/>
        <v>0</v>
      </c>
      <c r="C768" s="1227" t="s">
        <v>5724</v>
      </c>
      <c r="D768" s="103">
        <f>Data!R1249</f>
        <v>1519.94</v>
      </c>
      <c r="E768" s="1228" t="s">
        <v>724</v>
      </c>
      <c r="F768" s="84"/>
      <c r="G768" s="74">
        <f t="shared" si="100"/>
        <v>0</v>
      </c>
      <c r="H768" s="74"/>
      <c r="I768" s="74">
        <f t="shared" si="101"/>
        <v>0</v>
      </c>
      <c r="J768" s="74"/>
      <c r="K768" s="74">
        <f t="shared" si="102"/>
        <v>0</v>
      </c>
      <c r="L768" s="74"/>
      <c r="M768" s="74">
        <f t="shared" si="103"/>
        <v>0</v>
      </c>
      <c r="N768" s="74">
        <f t="shared" si="104"/>
        <v>0</v>
      </c>
      <c r="O768" s="74">
        <f t="shared" si="105"/>
        <v>0</v>
      </c>
      <c r="P768" s="74">
        <f t="shared" si="106"/>
        <v>0</v>
      </c>
      <c r="Q768" s="74">
        <f t="shared" si="107"/>
        <v>0</v>
      </c>
    </row>
    <row r="769" spans="1:17" ht="99.6" hidden="1" customHeight="1">
      <c r="A769" s="94"/>
      <c r="B769" s="72">
        <f t="shared" si="99"/>
        <v>0</v>
      </c>
      <c r="C769" s="1227" t="s">
        <v>5725</v>
      </c>
      <c r="D769" s="103">
        <f>Data!R1272</f>
        <v>1283.24</v>
      </c>
      <c r="E769" s="1228" t="s">
        <v>724</v>
      </c>
      <c r="F769" s="84"/>
      <c r="G769" s="74">
        <f t="shared" si="100"/>
        <v>0</v>
      </c>
      <c r="H769" s="74"/>
      <c r="I769" s="74">
        <f t="shared" si="101"/>
        <v>0</v>
      </c>
      <c r="J769" s="74"/>
      <c r="K769" s="74">
        <f t="shared" si="102"/>
        <v>0</v>
      </c>
      <c r="L769" s="74"/>
      <c r="M769" s="74">
        <f t="shared" si="103"/>
        <v>0</v>
      </c>
      <c r="N769" s="74">
        <f t="shared" si="104"/>
        <v>0</v>
      </c>
      <c r="O769" s="74">
        <f t="shared" si="105"/>
        <v>0</v>
      </c>
      <c r="P769" s="74">
        <f t="shared" si="106"/>
        <v>0</v>
      </c>
      <c r="Q769" s="74">
        <f t="shared" si="107"/>
        <v>0</v>
      </c>
    </row>
    <row r="770" spans="1:17" ht="38.25" customHeight="1">
      <c r="A770" s="56"/>
      <c r="B770" s="72">
        <f t="shared" si="99"/>
        <v>1563.3</v>
      </c>
      <c r="C770" s="72" t="s">
        <v>6349</v>
      </c>
      <c r="D770" s="84">
        <f>Data!R1272</f>
        <v>1283.24</v>
      </c>
      <c r="E770" s="84" t="s">
        <v>724</v>
      </c>
      <c r="F770" s="1433">
        <f>'Detail '!I2675</f>
        <v>1563.3</v>
      </c>
      <c r="G770" s="74">
        <f t="shared" si="100"/>
        <v>2006089.09</v>
      </c>
      <c r="I770" s="74">
        <f t="shared" si="101"/>
        <v>0</v>
      </c>
      <c r="K770" s="74">
        <f t="shared" si="102"/>
        <v>0</v>
      </c>
      <c r="M770" s="74">
        <f t="shared" si="103"/>
        <v>0</v>
      </c>
      <c r="N770" s="74">
        <f t="shared" si="104"/>
        <v>0</v>
      </c>
      <c r="O770" s="74">
        <f t="shared" si="105"/>
        <v>0</v>
      </c>
      <c r="P770" s="74">
        <f t="shared" si="106"/>
        <v>1563.3</v>
      </c>
      <c r="Q770" s="74">
        <f t="shared" si="107"/>
        <v>2006089.09</v>
      </c>
    </row>
    <row r="771" spans="1:17" ht="43.5" customHeight="1">
      <c r="A771" s="94" t="s">
        <v>5726</v>
      </c>
      <c r="B771" s="72">
        <f t="shared" si="99"/>
        <v>255.7</v>
      </c>
      <c r="C771" s="72" t="s">
        <v>5727</v>
      </c>
      <c r="D771" s="75">
        <f>Data!R1230</f>
        <v>1513.16</v>
      </c>
      <c r="E771" s="75" t="s">
        <v>724</v>
      </c>
      <c r="F771" s="1425">
        <f>'Detail '!I2684</f>
        <v>255.7</v>
      </c>
      <c r="G771" s="74">
        <f t="shared" si="100"/>
        <v>386915.01</v>
      </c>
      <c r="H771" s="74"/>
      <c r="I771" s="74">
        <f t="shared" si="101"/>
        <v>0</v>
      </c>
      <c r="J771" s="74"/>
      <c r="K771" s="74">
        <f t="shared" si="102"/>
        <v>0</v>
      </c>
      <c r="L771" s="74"/>
      <c r="M771" s="74">
        <f t="shared" si="103"/>
        <v>0</v>
      </c>
      <c r="N771" s="74">
        <f t="shared" si="104"/>
        <v>0</v>
      </c>
      <c r="O771" s="74">
        <f t="shared" si="105"/>
        <v>0</v>
      </c>
      <c r="P771" s="74">
        <f t="shared" si="106"/>
        <v>255.7</v>
      </c>
      <c r="Q771" s="74">
        <f t="shared" si="107"/>
        <v>386915.01</v>
      </c>
    </row>
    <row r="772" spans="1:17" ht="71.25" hidden="1" customHeight="1">
      <c r="A772" s="94"/>
      <c r="B772" s="72">
        <f t="shared" si="99"/>
        <v>0</v>
      </c>
      <c r="C772" s="72" t="s">
        <v>5728</v>
      </c>
      <c r="D772" s="75">
        <f>Data!AD1257</f>
        <v>1654.94</v>
      </c>
      <c r="E772" s="75" t="s">
        <v>724</v>
      </c>
      <c r="F772" s="75"/>
      <c r="G772" s="74">
        <f t="shared" si="100"/>
        <v>0</v>
      </c>
      <c r="H772" s="74"/>
      <c r="I772" s="74">
        <f t="shared" si="101"/>
        <v>0</v>
      </c>
      <c r="J772" s="74"/>
      <c r="K772" s="74">
        <f t="shared" si="102"/>
        <v>0</v>
      </c>
      <c r="L772" s="74"/>
      <c r="M772" s="74">
        <f t="shared" si="103"/>
        <v>0</v>
      </c>
      <c r="N772" s="74">
        <f t="shared" si="104"/>
        <v>0</v>
      </c>
      <c r="O772" s="74">
        <f t="shared" si="105"/>
        <v>0</v>
      </c>
      <c r="P772" s="74">
        <f t="shared" si="106"/>
        <v>0</v>
      </c>
      <c r="Q772" s="74">
        <f t="shared" si="107"/>
        <v>0</v>
      </c>
    </row>
    <row r="773" spans="1:17" ht="46.5" hidden="1" customHeight="1">
      <c r="A773" s="94"/>
      <c r="B773" s="72">
        <f t="shared" ref="B773:B836" si="108">P773</f>
        <v>0</v>
      </c>
      <c r="C773" s="99" t="s">
        <v>5729</v>
      </c>
      <c r="D773" s="75"/>
      <c r="E773" s="75"/>
      <c r="F773" s="1247"/>
      <c r="G773" s="74">
        <f t="shared" si="100"/>
        <v>0</v>
      </c>
      <c r="H773" s="74"/>
      <c r="I773" s="74">
        <f t="shared" si="101"/>
        <v>0</v>
      </c>
      <c r="J773" s="74"/>
      <c r="K773" s="74">
        <f t="shared" si="102"/>
        <v>0</v>
      </c>
      <c r="L773" s="74"/>
      <c r="M773" s="74">
        <f t="shared" si="103"/>
        <v>0</v>
      </c>
      <c r="N773" s="74">
        <f t="shared" si="104"/>
        <v>0</v>
      </c>
      <c r="O773" s="74">
        <f t="shared" si="105"/>
        <v>0</v>
      </c>
      <c r="P773" s="74">
        <f t="shared" si="106"/>
        <v>0</v>
      </c>
      <c r="Q773" s="74">
        <f t="shared" si="107"/>
        <v>0</v>
      </c>
    </row>
    <row r="774" spans="1:17" ht="31.5" hidden="1" customHeight="1">
      <c r="A774" s="94"/>
      <c r="B774" s="72">
        <f t="shared" si="108"/>
        <v>0</v>
      </c>
      <c r="C774" s="85" t="s">
        <v>5730</v>
      </c>
      <c r="D774" s="75">
        <f>'Sliding and french window'!G350</f>
        <v>3353.03</v>
      </c>
      <c r="E774" s="75" t="s">
        <v>724</v>
      </c>
      <c r="F774" s="1247"/>
      <c r="G774" s="74">
        <f t="shared" ref="G774:G837" si="109">F774*D774</f>
        <v>0</v>
      </c>
      <c r="H774" s="74"/>
      <c r="I774" s="74">
        <f t="shared" ref="I774:I837" si="110">H774*D774</f>
        <v>0</v>
      </c>
      <c r="J774" s="74"/>
      <c r="K774" s="74">
        <f t="shared" ref="K774:K837" si="111">J774*D774</f>
        <v>0</v>
      </c>
      <c r="L774" s="74"/>
      <c r="M774" s="74">
        <f t="shared" ref="M774:M837" si="112">L774*D774</f>
        <v>0</v>
      </c>
      <c r="N774" s="74">
        <f t="shared" ref="N774:N837" si="113">H774+J774+L774</f>
        <v>0</v>
      </c>
      <c r="O774" s="74">
        <f t="shared" ref="O774:O837" si="114">N774*D774</f>
        <v>0</v>
      </c>
      <c r="P774" s="74">
        <f t="shared" ref="P774:P837" si="115">N774+F774</f>
        <v>0</v>
      </c>
      <c r="Q774" s="74">
        <f t="shared" ref="Q774:Q837" si="116">P774*D774</f>
        <v>0</v>
      </c>
    </row>
    <row r="775" spans="1:17" ht="31.5" hidden="1" customHeight="1">
      <c r="A775" s="71"/>
      <c r="B775" s="72">
        <f t="shared" si="108"/>
        <v>0</v>
      </c>
      <c r="C775" s="85" t="s">
        <v>5731</v>
      </c>
      <c r="D775" s="75">
        <f>'Sliding and french window'!G491</f>
        <v>3169.22</v>
      </c>
      <c r="E775" s="75" t="s">
        <v>724</v>
      </c>
      <c r="F775" s="75"/>
      <c r="G775" s="74">
        <f t="shared" si="109"/>
        <v>0</v>
      </c>
      <c r="H775" s="74"/>
      <c r="I775" s="74">
        <f t="shared" si="110"/>
        <v>0</v>
      </c>
      <c r="J775" s="74"/>
      <c r="K775" s="74">
        <f t="shared" si="111"/>
        <v>0</v>
      </c>
      <c r="L775" s="74"/>
      <c r="M775" s="74">
        <f t="shared" si="112"/>
        <v>0</v>
      </c>
      <c r="N775" s="74">
        <f t="shared" si="113"/>
        <v>0</v>
      </c>
      <c r="O775" s="74">
        <f t="shared" si="114"/>
        <v>0</v>
      </c>
      <c r="P775" s="74">
        <f t="shared" si="115"/>
        <v>0</v>
      </c>
      <c r="Q775" s="74">
        <f t="shared" si="116"/>
        <v>0</v>
      </c>
    </row>
    <row r="776" spans="1:17" ht="31.5" hidden="1" customHeight="1">
      <c r="A776" s="71"/>
      <c r="B776" s="72">
        <f t="shared" si="108"/>
        <v>0</v>
      </c>
      <c r="C776" s="85" t="s">
        <v>5732</v>
      </c>
      <c r="D776" s="75">
        <f>'Sliding and french window'!G395</f>
        <v>4048</v>
      </c>
      <c r="E776" s="75" t="s">
        <v>724</v>
      </c>
      <c r="F776" s="75"/>
      <c r="G776" s="74">
        <f t="shared" si="109"/>
        <v>0</v>
      </c>
      <c r="H776" s="74"/>
      <c r="I776" s="74">
        <f t="shared" si="110"/>
        <v>0</v>
      </c>
      <c r="J776" s="74"/>
      <c r="K776" s="74">
        <f t="shared" si="111"/>
        <v>0</v>
      </c>
      <c r="L776" s="74"/>
      <c r="M776" s="74">
        <f t="shared" si="112"/>
        <v>0</v>
      </c>
      <c r="N776" s="74">
        <f t="shared" si="113"/>
        <v>0</v>
      </c>
      <c r="O776" s="74">
        <f t="shared" si="114"/>
        <v>0</v>
      </c>
      <c r="P776" s="74">
        <f t="shared" si="115"/>
        <v>0</v>
      </c>
      <c r="Q776" s="74">
        <f t="shared" si="116"/>
        <v>0</v>
      </c>
    </row>
    <row r="777" spans="1:17" ht="31.5" hidden="1" customHeight="1">
      <c r="A777" s="71"/>
      <c r="B777" s="72">
        <f t="shared" si="108"/>
        <v>0</v>
      </c>
      <c r="C777" s="85" t="s">
        <v>5733</v>
      </c>
      <c r="D777" s="75">
        <f>'Sliding and french window'!G440</f>
        <v>3758.93</v>
      </c>
      <c r="E777" s="75" t="s">
        <v>724</v>
      </c>
      <c r="F777" s="75"/>
      <c r="G777" s="74">
        <f t="shared" si="109"/>
        <v>0</v>
      </c>
      <c r="H777" s="74"/>
      <c r="I777" s="74">
        <f t="shared" si="110"/>
        <v>0</v>
      </c>
      <c r="J777" s="74"/>
      <c r="K777" s="74">
        <f t="shared" si="111"/>
        <v>0</v>
      </c>
      <c r="L777" s="74"/>
      <c r="M777" s="74">
        <f t="shared" si="112"/>
        <v>0</v>
      </c>
      <c r="N777" s="74">
        <f t="shared" si="113"/>
        <v>0</v>
      </c>
      <c r="O777" s="74">
        <f t="shared" si="114"/>
        <v>0</v>
      </c>
      <c r="P777" s="74">
        <f t="shared" si="115"/>
        <v>0</v>
      </c>
      <c r="Q777" s="74">
        <f t="shared" si="116"/>
        <v>0</v>
      </c>
    </row>
    <row r="778" spans="1:17" ht="60.75" hidden="1" customHeight="1">
      <c r="A778" s="71"/>
      <c r="B778" s="72">
        <f t="shared" si="108"/>
        <v>0</v>
      </c>
      <c r="C778" s="85" t="s">
        <v>5734</v>
      </c>
      <c r="D778" s="86">
        <f>Data!X1293</f>
        <v>1400.15</v>
      </c>
      <c r="E778" s="88" t="s">
        <v>5324</v>
      </c>
      <c r="F778" s="75"/>
      <c r="G778" s="74">
        <f t="shared" si="109"/>
        <v>0</v>
      </c>
      <c r="H778" s="74"/>
      <c r="I778" s="74">
        <f t="shared" si="110"/>
        <v>0</v>
      </c>
      <c r="J778" s="74"/>
      <c r="K778" s="74">
        <f t="shared" si="111"/>
        <v>0</v>
      </c>
      <c r="L778" s="74"/>
      <c r="M778" s="74">
        <f t="shared" si="112"/>
        <v>0</v>
      </c>
      <c r="N778" s="74">
        <f t="shared" si="113"/>
        <v>0</v>
      </c>
      <c r="O778" s="74">
        <f t="shared" si="114"/>
        <v>0</v>
      </c>
      <c r="P778" s="74">
        <f t="shared" si="115"/>
        <v>0</v>
      </c>
      <c r="Q778" s="74">
        <f t="shared" si="116"/>
        <v>0</v>
      </c>
    </row>
    <row r="779" spans="1:17" ht="51" hidden="1" customHeight="1">
      <c r="A779" s="71"/>
      <c r="B779" s="72">
        <f t="shared" si="108"/>
        <v>0</v>
      </c>
      <c r="C779" s="85" t="s">
        <v>5735</v>
      </c>
      <c r="D779" s="86">
        <f>Data!K1292</f>
        <v>2989.58</v>
      </c>
      <c r="E779" s="88" t="s">
        <v>5324</v>
      </c>
      <c r="F779" s="75"/>
      <c r="G779" s="74">
        <f t="shared" si="109"/>
        <v>0</v>
      </c>
      <c r="H779" s="74"/>
      <c r="I779" s="74">
        <f t="shared" si="110"/>
        <v>0</v>
      </c>
      <c r="J779" s="74"/>
      <c r="K779" s="74">
        <f t="shared" si="111"/>
        <v>0</v>
      </c>
      <c r="L779" s="74"/>
      <c r="M779" s="74">
        <f t="shared" si="112"/>
        <v>0</v>
      </c>
      <c r="N779" s="74">
        <f t="shared" si="113"/>
        <v>0</v>
      </c>
      <c r="O779" s="74">
        <f t="shared" si="114"/>
        <v>0</v>
      </c>
      <c r="P779" s="74">
        <f t="shared" si="115"/>
        <v>0</v>
      </c>
      <c r="Q779" s="74">
        <f t="shared" si="116"/>
        <v>0</v>
      </c>
    </row>
    <row r="780" spans="1:17" ht="60" hidden="1" customHeight="1">
      <c r="A780" s="71" t="s">
        <v>5736</v>
      </c>
      <c r="B780" s="72">
        <f t="shared" si="108"/>
        <v>0</v>
      </c>
      <c r="C780" s="85" t="s">
        <v>5209</v>
      </c>
      <c r="D780" s="86">
        <f>Data!R3720</f>
        <v>4625.71</v>
      </c>
      <c r="E780" s="74" t="s">
        <v>724</v>
      </c>
      <c r="F780" s="75"/>
      <c r="G780" s="74">
        <f t="shared" si="109"/>
        <v>0</v>
      </c>
      <c r="H780" s="74"/>
      <c r="I780" s="74">
        <f t="shared" si="110"/>
        <v>0</v>
      </c>
      <c r="J780" s="74"/>
      <c r="K780" s="74">
        <f t="shared" si="111"/>
        <v>0</v>
      </c>
      <c r="L780" s="74"/>
      <c r="M780" s="74">
        <f t="shared" si="112"/>
        <v>0</v>
      </c>
      <c r="N780" s="74">
        <f t="shared" si="113"/>
        <v>0</v>
      </c>
      <c r="O780" s="74">
        <f t="shared" si="114"/>
        <v>0</v>
      </c>
      <c r="P780" s="74">
        <f t="shared" si="115"/>
        <v>0</v>
      </c>
      <c r="Q780" s="74">
        <f t="shared" si="116"/>
        <v>0</v>
      </c>
    </row>
    <row r="781" spans="1:17" ht="46.5" hidden="1" customHeight="1">
      <c r="A781" s="71">
        <f>11.6-7.25</f>
        <v>4.4000000000000004</v>
      </c>
      <c r="B781" s="72">
        <f t="shared" si="108"/>
        <v>0</v>
      </c>
      <c r="C781" s="72" t="s">
        <v>5737</v>
      </c>
      <c r="D781" s="86">
        <v>915.02</v>
      </c>
      <c r="E781" s="74" t="s">
        <v>724</v>
      </c>
      <c r="F781" s="75"/>
      <c r="G781" s="74">
        <f t="shared" si="109"/>
        <v>0</v>
      </c>
      <c r="H781" s="74"/>
      <c r="I781" s="74">
        <f t="shared" si="110"/>
        <v>0</v>
      </c>
      <c r="J781" s="74"/>
      <c r="K781" s="74">
        <f t="shared" si="111"/>
        <v>0</v>
      </c>
      <c r="L781" s="74"/>
      <c r="M781" s="74">
        <f t="shared" si="112"/>
        <v>0</v>
      </c>
      <c r="N781" s="74">
        <f t="shared" si="113"/>
        <v>0</v>
      </c>
      <c r="O781" s="74">
        <f t="shared" si="114"/>
        <v>0</v>
      </c>
      <c r="P781" s="74">
        <f t="shared" si="115"/>
        <v>0</v>
      </c>
      <c r="Q781" s="74">
        <f t="shared" si="116"/>
        <v>0</v>
      </c>
    </row>
    <row r="782" spans="1:17" ht="69.75" hidden="1" customHeight="1">
      <c r="A782" s="71"/>
      <c r="B782" s="72">
        <f t="shared" si="108"/>
        <v>0</v>
      </c>
      <c r="C782" s="72" t="s">
        <v>5738</v>
      </c>
      <c r="D782" s="86">
        <v>990</v>
      </c>
      <c r="E782" s="74" t="s">
        <v>724</v>
      </c>
      <c r="F782" s="75"/>
      <c r="G782" s="74">
        <f t="shared" si="109"/>
        <v>0</v>
      </c>
      <c r="H782" s="74"/>
      <c r="I782" s="74">
        <f t="shared" si="110"/>
        <v>0</v>
      </c>
      <c r="J782" s="74"/>
      <c r="K782" s="74">
        <f t="shared" si="111"/>
        <v>0</v>
      </c>
      <c r="L782" s="74"/>
      <c r="M782" s="74">
        <f t="shared" si="112"/>
        <v>0</v>
      </c>
      <c r="N782" s="74">
        <f t="shared" si="113"/>
        <v>0</v>
      </c>
      <c r="O782" s="74">
        <f t="shared" si="114"/>
        <v>0</v>
      </c>
      <c r="P782" s="74">
        <f t="shared" si="115"/>
        <v>0</v>
      </c>
      <c r="Q782" s="74">
        <f t="shared" si="116"/>
        <v>0</v>
      </c>
    </row>
    <row r="783" spans="1:17" ht="25.5" hidden="1" customHeight="1">
      <c r="A783" s="71"/>
      <c r="B783" s="72">
        <f t="shared" si="108"/>
        <v>0</v>
      </c>
      <c r="C783" s="72" t="s">
        <v>5739</v>
      </c>
      <c r="D783" s="86">
        <v>905</v>
      </c>
      <c r="E783" s="74" t="s">
        <v>13</v>
      </c>
      <c r="F783" s="75"/>
      <c r="G783" s="74">
        <f t="shared" si="109"/>
        <v>0</v>
      </c>
      <c r="H783" s="74"/>
      <c r="I783" s="74">
        <f t="shared" si="110"/>
        <v>0</v>
      </c>
      <c r="J783" s="74"/>
      <c r="K783" s="74">
        <f t="shared" si="111"/>
        <v>0</v>
      </c>
      <c r="L783" s="74"/>
      <c r="M783" s="74">
        <f t="shared" si="112"/>
        <v>0</v>
      </c>
      <c r="N783" s="74">
        <f t="shared" si="113"/>
        <v>0</v>
      </c>
      <c r="O783" s="74">
        <f t="shared" si="114"/>
        <v>0</v>
      </c>
      <c r="P783" s="74">
        <f t="shared" si="115"/>
        <v>0</v>
      </c>
      <c r="Q783" s="74">
        <f t="shared" si="116"/>
        <v>0</v>
      </c>
    </row>
    <row r="784" spans="1:17" ht="25.5" hidden="1" customHeight="1">
      <c r="A784" s="71"/>
      <c r="B784" s="72">
        <f t="shared" si="108"/>
        <v>0</v>
      </c>
      <c r="C784" s="72" t="s">
        <v>5740</v>
      </c>
      <c r="D784" s="86">
        <v>8467.2999999999993</v>
      </c>
      <c r="E784" s="74" t="s">
        <v>729</v>
      </c>
      <c r="F784" s="75"/>
      <c r="G784" s="74">
        <f t="shared" si="109"/>
        <v>0</v>
      </c>
      <c r="H784" s="74"/>
      <c r="I784" s="74">
        <f t="shared" si="110"/>
        <v>0</v>
      </c>
      <c r="J784" s="74"/>
      <c r="K784" s="74">
        <f t="shared" si="111"/>
        <v>0</v>
      </c>
      <c r="L784" s="74"/>
      <c r="M784" s="74">
        <f t="shared" si="112"/>
        <v>0</v>
      </c>
      <c r="N784" s="74">
        <f t="shared" si="113"/>
        <v>0</v>
      </c>
      <c r="O784" s="74">
        <f t="shared" si="114"/>
        <v>0</v>
      </c>
      <c r="P784" s="74">
        <f t="shared" si="115"/>
        <v>0</v>
      </c>
      <c r="Q784" s="74">
        <f t="shared" si="116"/>
        <v>0</v>
      </c>
    </row>
    <row r="785" spans="1:17" ht="93" hidden="1" customHeight="1">
      <c r="A785" s="71"/>
      <c r="B785" s="72">
        <f t="shared" si="108"/>
        <v>0</v>
      </c>
      <c r="C785" s="72" t="s">
        <v>5741</v>
      </c>
      <c r="D785" s="86">
        <v>4146</v>
      </c>
      <c r="E785" s="74" t="s">
        <v>729</v>
      </c>
      <c r="F785" s="75"/>
      <c r="G785" s="74">
        <f t="shared" si="109"/>
        <v>0</v>
      </c>
      <c r="H785" s="74"/>
      <c r="I785" s="74">
        <f t="shared" si="110"/>
        <v>0</v>
      </c>
      <c r="J785" s="74"/>
      <c r="K785" s="74">
        <f t="shared" si="111"/>
        <v>0</v>
      </c>
      <c r="L785" s="74"/>
      <c r="M785" s="74">
        <f t="shared" si="112"/>
        <v>0</v>
      </c>
      <c r="N785" s="74">
        <f t="shared" si="113"/>
        <v>0</v>
      </c>
      <c r="O785" s="74">
        <f t="shared" si="114"/>
        <v>0</v>
      </c>
      <c r="P785" s="74">
        <f t="shared" si="115"/>
        <v>0</v>
      </c>
      <c r="Q785" s="74">
        <f t="shared" si="116"/>
        <v>0</v>
      </c>
    </row>
    <row r="786" spans="1:17" ht="93" hidden="1" customHeight="1">
      <c r="A786" s="71"/>
      <c r="B786" s="72">
        <f t="shared" si="108"/>
        <v>0</v>
      </c>
      <c r="C786" s="72" t="s">
        <v>5742</v>
      </c>
      <c r="D786" s="86">
        <v>469.42</v>
      </c>
      <c r="E786" s="74" t="s">
        <v>729</v>
      </c>
      <c r="F786" s="75"/>
      <c r="G786" s="74">
        <f t="shared" si="109"/>
        <v>0</v>
      </c>
      <c r="H786" s="74"/>
      <c r="I786" s="74">
        <f t="shared" si="110"/>
        <v>0</v>
      </c>
      <c r="J786" s="74"/>
      <c r="K786" s="74">
        <f t="shared" si="111"/>
        <v>0</v>
      </c>
      <c r="L786" s="74"/>
      <c r="M786" s="74">
        <f t="shared" si="112"/>
        <v>0</v>
      </c>
      <c r="N786" s="74">
        <f t="shared" si="113"/>
        <v>0</v>
      </c>
      <c r="O786" s="74">
        <f t="shared" si="114"/>
        <v>0</v>
      </c>
      <c r="P786" s="74">
        <f t="shared" si="115"/>
        <v>0</v>
      </c>
      <c r="Q786" s="74">
        <f t="shared" si="116"/>
        <v>0</v>
      </c>
    </row>
    <row r="787" spans="1:17" ht="25.5" hidden="1" customHeight="1">
      <c r="A787" s="71"/>
      <c r="B787" s="72">
        <f t="shared" si="108"/>
        <v>0</v>
      </c>
      <c r="C787" s="72" t="s">
        <v>5743</v>
      </c>
      <c r="D787" s="86"/>
      <c r="E787" s="74"/>
      <c r="F787" s="75"/>
      <c r="G787" s="74">
        <f t="shared" si="109"/>
        <v>0</v>
      </c>
      <c r="H787" s="74"/>
      <c r="I787" s="74">
        <f t="shared" si="110"/>
        <v>0</v>
      </c>
      <c r="J787" s="74"/>
      <c r="K787" s="74">
        <f t="shared" si="111"/>
        <v>0</v>
      </c>
      <c r="L787" s="74"/>
      <c r="M787" s="74">
        <f t="shared" si="112"/>
        <v>0</v>
      </c>
      <c r="N787" s="74">
        <f t="shared" si="113"/>
        <v>0</v>
      </c>
      <c r="O787" s="74">
        <f t="shared" si="114"/>
        <v>0</v>
      </c>
      <c r="P787" s="74">
        <f t="shared" si="115"/>
        <v>0</v>
      </c>
      <c r="Q787" s="74">
        <f t="shared" si="116"/>
        <v>0</v>
      </c>
    </row>
    <row r="788" spans="1:17" ht="26.25" hidden="1" customHeight="1">
      <c r="A788" s="71"/>
      <c r="B788" s="72">
        <f t="shared" si="108"/>
        <v>0</v>
      </c>
      <c r="C788" s="72" t="s">
        <v>5744</v>
      </c>
      <c r="D788" s="86">
        <v>5640</v>
      </c>
      <c r="E788" s="74" t="s">
        <v>729</v>
      </c>
      <c r="F788" s="75"/>
      <c r="G788" s="74">
        <f t="shared" si="109"/>
        <v>0</v>
      </c>
      <c r="H788" s="74"/>
      <c r="I788" s="74">
        <f t="shared" si="110"/>
        <v>0</v>
      </c>
      <c r="J788" s="74"/>
      <c r="K788" s="74">
        <f t="shared" si="111"/>
        <v>0</v>
      </c>
      <c r="L788" s="74"/>
      <c r="M788" s="74">
        <f t="shared" si="112"/>
        <v>0</v>
      </c>
      <c r="N788" s="74">
        <f t="shared" si="113"/>
        <v>0</v>
      </c>
      <c r="O788" s="74">
        <f t="shared" si="114"/>
        <v>0</v>
      </c>
      <c r="P788" s="74">
        <f t="shared" si="115"/>
        <v>0</v>
      </c>
      <c r="Q788" s="74">
        <f t="shared" si="116"/>
        <v>0</v>
      </c>
    </row>
    <row r="789" spans="1:17" ht="25.5" hidden="1" customHeight="1">
      <c r="A789" s="71"/>
      <c r="B789" s="72">
        <f t="shared" si="108"/>
        <v>0</v>
      </c>
      <c r="C789" s="72" t="s">
        <v>5745</v>
      </c>
      <c r="D789" s="86">
        <v>1340</v>
      </c>
      <c r="E789" s="74" t="s">
        <v>729</v>
      </c>
      <c r="F789" s="75"/>
      <c r="G789" s="74">
        <f t="shared" si="109"/>
        <v>0</v>
      </c>
      <c r="H789" s="74"/>
      <c r="I789" s="74">
        <f t="shared" si="110"/>
        <v>0</v>
      </c>
      <c r="J789" s="74"/>
      <c r="K789" s="74">
        <f t="shared" si="111"/>
        <v>0</v>
      </c>
      <c r="L789" s="74"/>
      <c r="M789" s="74">
        <f t="shared" si="112"/>
        <v>0</v>
      </c>
      <c r="N789" s="74">
        <f t="shared" si="113"/>
        <v>0</v>
      </c>
      <c r="O789" s="74">
        <f t="shared" si="114"/>
        <v>0</v>
      </c>
      <c r="P789" s="74">
        <f t="shared" si="115"/>
        <v>0</v>
      </c>
      <c r="Q789" s="74">
        <f t="shared" si="116"/>
        <v>0</v>
      </c>
    </row>
    <row r="790" spans="1:17" ht="25.5" hidden="1" customHeight="1">
      <c r="A790" s="71"/>
      <c r="B790" s="72">
        <f t="shared" si="108"/>
        <v>0</v>
      </c>
      <c r="C790" s="72" t="s">
        <v>5746</v>
      </c>
      <c r="D790" s="86">
        <v>604</v>
      </c>
      <c r="E790" s="74" t="s">
        <v>729</v>
      </c>
      <c r="F790" s="75"/>
      <c r="G790" s="74">
        <f t="shared" si="109"/>
        <v>0</v>
      </c>
      <c r="H790" s="74"/>
      <c r="I790" s="74">
        <f t="shared" si="110"/>
        <v>0</v>
      </c>
      <c r="J790" s="74"/>
      <c r="K790" s="74">
        <f t="shared" si="111"/>
        <v>0</v>
      </c>
      <c r="L790" s="74"/>
      <c r="M790" s="74">
        <f t="shared" si="112"/>
        <v>0</v>
      </c>
      <c r="N790" s="74">
        <f t="shared" si="113"/>
        <v>0</v>
      </c>
      <c r="O790" s="74">
        <f t="shared" si="114"/>
        <v>0</v>
      </c>
      <c r="P790" s="74">
        <f t="shared" si="115"/>
        <v>0</v>
      </c>
      <c r="Q790" s="74">
        <f t="shared" si="116"/>
        <v>0</v>
      </c>
    </row>
    <row r="791" spans="1:17" ht="86.25" hidden="1" customHeight="1">
      <c r="A791" s="71"/>
      <c r="B791" s="72">
        <f t="shared" si="108"/>
        <v>0</v>
      </c>
      <c r="C791" s="72" t="s">
        <v>5747</v>
      </c>
      <c r="D791" s="86"/>
      <c r="E791" s="74"/>
      <c r="F791" s="75"/>
      <c r="G791" s="74">
        <f t="shared" si="109"/>
        <v>0</v>
      </c>
      <c r="H791" s="74"/>
      <c r="I791" s="74">
        <f t="shared" si="110"/>
        <v>0</v>
      </c>
      <c r="J791" s="74"/>
      <c r="K791" s="74">
        <f t="shared" si="111"/>
        <v>0</v>
      </c>
      <c r="L791" s="74"/>
      <c r="M791" s="74">
        <f t="shared" si="112"/>
        <v>0</v>
      </c>
      <c r="N791" s="74">
        <f t="shared" si="113"/>
        <v>0</v>
      </c>
      <c r="O791" s="74">
        <f t="shared" si="114"/>
        <v>0</v>
      </c>
      <c r="P791" s="74">
        <f t="shared" si="115"/>
        <v>0</v>
      </c>
      <c r="Q791" s="74">
        <f t="shared" si="116"/>
        <v>0</v>
      </c>
    </row>
    <row r="792" spans="1:17" ht="25.5" hidden="1" customHeight="1">
      <c r="A792" s="71"/>
      <c r="B792" s="72">
        <f t="shared" si="108"/>
        <v>0</v>
      </c>
      <c r="C792" s="72" t="s">
        <v>5520</v>
      </c>
      <c r="D792" s="86">
        <v>1000.51</v>
      </c>
      <c r="E792" s="74" t="s">
        <v>729</v>
      </c>
      <c r="F792" s="75"/>
      <c r="G792" s="74">
        <f t="shared" si="109"/>
        <v>0</v>
      </c>
      <c r="H792" s="74"/>
      <c r="I792" s="74">
        <f t="shared" si="110"/>
        <v>0</v>
      </c>
      <c r="J792" s="74"/>
      <c r="K792" s="74">
        <f t="shared" si="111"/>
        <v>0</v>
      </c>
      <c r="L792" s="74"/>
      <c r="M792" s="74">
        <f t="shared" si="112"/>
        <v>0</v>
      </c>
      <c r="N792" s="74">
        <f t="shared" si="113"/>
        <v>0</v>
      </c>
      <c r="O792" s="74">
        <f t="shared" si="114"/>
        <v>0</v>
      </c>
      <c r="P792" s="74">
        <f t="shared" si="115"/>
        <v>0</v>
      </c>
      <c r="Q792" s="74">
        <f t="shared" si="116"/>
        <v>0</v>
      </c>
    </row>
    <row r="793" spans="1:17" ht="25.5" hidden="1" customHeight="1">
      <c r="A793" s="71"/>
      <c r="B793" s="72">
        <f t="shared" si="108"/>
        <v>0</v>
      </c>
      <c r="C793" s="72" t="s">
        <v>3669</v>
      </c>
      <c r="D793" s="86">
        <v>1003.51</v>
      </c>
      <c r="E793" s="74" t="s">
        <v>729</v>
      </c>
      <c r="F793" s="75"/>
      <c r="G793" s="74">
        <f t="shared" si="109"/>
        <v>0</v>
      </c>
      <c r="H793" s="74"/>
      <c r="I793" s="74">
        <f t="shared" si="110"/>
        <v>0</v>
      </c>
      <c r="J793" s="74"/>
      <c r="K793" s="74">
        <f t="shared" si="111"/>
        <v>0</v>
      </c>
      <c r="L793" s="74"/>
      <c r="M793" s="74">
        <f t="shared" si="112"/>
        <v>0</v>
      </c>
      <c r="N793" s="74">
        <f t="shared" si="113"/>
        <v>0</v>
      </c>
      <c r="O793" s="74">
        <f t="shared" si="114"/>
        <v>0</v>
      </c>
      <c r="P793" s="74">
        <f t="shared" si="115"/>
        <v>0</v>
      </c>
      <c r="Q793" s="74">
        <f t="shared" si="116"/>
        <v>0</v>
      </c>
    </row>
    <row r="794" spans="1:17" ht="116.25" hidden="1" customHeight="1">
      <c r="A794" s="71"/>
      <c r="B794" s="72">
        <f t="shared" si="108"/>
        <v>0</v>
      </c>
      <c r="C794" s="72" t="s">
        <v>5748</v>
      </c>
      <c r="D794" s="86">
        <v>769.3</v>
      </c>
      <c r="E794" s="74" t="s">
        <v>729</v>
      </c>
      <c r="F794" s="75"/>
      <c r="G794" s="74">
        <f t="shared" si="109"/>
        <v>0</v>
      </c>
      <c r="H794" s="74"/>
      <c r="I794" s="74">
        <f t="shared" si="110"/>
        <v>0</v>
      </c>
      <c r="J794" s="74"/>
      <c r="K794" s="74">
        <f t="shared" si="111"/>
        <v>0</v>
      </c>
      <c r="L794" s="74"/>
      <c r="M794" s="74">
        <f t="shared" si="112"/>
        <v>0</v>
      </c>
      <c r="N794" s="74">
        <f t="shared" si="113"/>
        <v>0</v>
      </c>
      <c r="O794" s="74">
        <f t="shared" si="114"/>
        <v>0</v>
      </c>
      <c r="P794" s="74">
        <f t="shared" si="115"/>
        <v>0</v>
      </c>
      <c r="Q794" s="74">
        <f t="shared" si="116"/>
        <v>0</v>
      </c>
    </row>
    <row r="795" spans="1:17" ht="116.25" hidden="1" customHeight="1">
      <c r="A795" s="71"/>
      <c r="B795" s="72">
        <f t="shared" si="108"/>
        <v>0</v>
      </c>
      <c r="C795" s="72" t="s">
        <v>5749</v>
      </c>
      <c r="D795" s="86">
        <v>536.54999999999995</v>
      </c>
      <c r="E795" s="74" t="s">
        <v>729</v>
      </c>
      <c r="F795" s="75"/>
      <c r="G795" s="74">
        <f t="shared" si="109"/>
        <v>0</v>
      </c>
      <c r="H795" s="74"/>
      <c r="I795" s="74">
        <f t="shared" si="110"/>
        <v>0</v>
      </c>
      <c r="J795" s="74"/>
      <c r="K795" s="74">
        <f t="shared" si="111"/>
        <v>0</v>
      </c>
      <c r="L795" s="74"/>
      <c r="M795" s="74">
        <f t="shared" si="112"/>
        <v>0</v>
      </c>
      <c r="N795" s="74">
        <f t="shared" si="113"/>
        <v>0</v>
      </c>
      <c r="O795" s="74">
        <f t="shared" si="114"/>
        <v>0</v>
      </c>
      <c r="P795" s="74">
        <f t="shared" si="115"/>
        <v>0</v>
      </c>
      <c r="Q795" s="74">
        <f t="shared" si="116"/>
        <v>0</v>
      </c>
    </row>
    <row r="796" spans="1:17" ht="59.25" hidden="1" customHeight="1">
      <c r="A796" s="71"/>
      <c r="B796" s="72">
        <f t="shared" si="108"/>
        <v>0</v>
      </c>
      <c r="C796" s="72" t="s">
        <v>5750</v>
      </c>
      <c r="D796" s="86">
        <v>1044</v>
      </c>
      <c r="E796" s="95" t="s">
        <v>282</v>
      </c>
      <c r="F796" s="75"/>
      <c r="G796" s="74">
        <f t="shared" si="109"/>
        <v>0</v>
      </c>
      <c r="H796" s="74"/>
      <c r="I796" s="74">
        <f t="shared" si="110"/>
        <v>0</v>
      </c>
      <c r="J796" s="74"/>
      <c r="K796" s="74">
        <f t="shared" si="111"/>
        <v>0</v>
      </c>
      <c r="L796" s="74"/>
      <c r="M796" s="74">
        <f t="shared" si="112"/>
        <v>0</v>
      </c>
      <c r="N796" s="74">
        <f t="shared" si="113"/>
        <v>0</v>
      </c>
      <c r="O796" s="74">
        <f t="shared" si="114"/>
        <v>0</v>
      </c>
      <c r="P796" s="74">
        <f t="shared" si="115"/>
        <v>0</v>
      </c>
      <c r="Q796" s="74">
        <f t="shared" si="116"/>
        <v>0</v>
      </c>
    </row>
    <row r="797" spans="1:17" ht="37.5" customHeight="1">
      <c r="A797" s="71"/>
      <c r="B797" s="72">
        <f t="shared" si="108"/>
        <v>0</v>
      </c>
      <c r="C797" s="72" t="s">
        <v>5751</v>
      </c>
      <c r="D797" s="86">
        <v>941</v>
      </c>
      <c r="E797" s="95" t="s">
        <v>282</v>
      </c>
      <c r="F797" s="75"/>
      <c r="G797" s="74">
        <f t="shared" si="109"/>
        <v>0</v>
      </c>
      <c r="H797" s="74"/>
      <c r="I797" s="74">
        <f t="shared" si="110"/>
        <v>0</v>
      </c>
      <c r="J797" s="74"/>
      <c r="K797" s="74">
        <f t="shared" si="111"/>
        <v>0</v>
      </c>
      <c r="L797" s="74"/>
      <c r="M797" s="74">
        <f t="shared" si="112"/>
        <v>0</v>
      </c>
      <c r="N797" s="74">
        <f t="shared" si="113"/>
        <v>0</v>
      </c>
      <c r="O797" s="74">
        <f t="shared" si="114"/>
        <v>0</v>
      </c>
      <c r="P797" s="74">
        <f t="shared" si="115"/>
        <v>0</v>
      </c>
      <c r="Q797" s="74">
        <f t="shared" si="116"/>
        <v>0</v>
      </c>
    </row>
    <row r="798" spans="1:17" ht="37.5" customHeight="1">
      <c r="A798" s="71"/>
      <c r="B798" s="72">
        <f t="shared" si="108"/>
        <v>20</v>
      </c>
      <c r="C798" s="72" t="s">
        <v>5752</v>
      </c>
      <c r="D798" s="86">
        <v>646</v>
      </c>
      <c r="E798" s="95" t="s">
        <v>282</v>
      </c>
      <c r="F798" s="1425">
        <f>'Detail '!I2688</f>
        <v>20</v>
      </c>
      <c r="G798" s="74">
        <f t="shared" si="109"/>
        <v>12920</v>
      </c>
      <c r="H798" s="74"/>
      <c r="I798" s="74">
        <f t="shared" si="110"/>
        <v>0</v>
      </c>
      <c r="J798" s="74"/>
      <c r="K798" s="74">
        <f t="shared" si="111"/>
        <v>0</v>
      </c>
      <c r="L798" s="74"/>
      <c r="M798" s="74">
        <f t="shared" si="112"/>
        <v>0</v>
      </c>
      <c r="N798" s="74">
        <f t="shared" si="113"/>
        <v>0</v>
      </c>
      <c r="O798" s="74">
        <f t="shared" si="114"/>
        <v>0</v>
      </c>
      <c r="P798" s="74">
        <f t="shared" si="115"/>
        <v>20</v>
      </c>
      <c r="Q798" s="74">
        <f t="shared" si="116"/>
        <v>12920</v>
      </c>
    </row>
    <row r="799" spans="1:17" ht="37.5" customHeight="1">
      <c r="A799" s="71"/>
      <c r="B799" s="72">
        <f t="shared" si="108"/>
        <v>80</v>
      </c>
      <c r="C799" s="72" t="s">
        <v>5753</v>
      </c>
      <c r="D799" s="86">
        <v>791</v>
      </c>
      <c r="E799" s="95" t="s">
        <v>282</v>
      </c>
      <c r="F799" s="1425">
        <f>'Detail '!I2686</f>
        <v>80</v>
      </c>
      <c r="G799" s="74">
        <f t="shared" si="109"/>
        <v>63280</v>
      </c>
      <c r="H799" s="74"/>
      <c r="I799" s="74">
        <f t="shared" si="110"/>
        <v>0</v>
      </c>
      <c r="J799" s="74"/>
      <c r="K799" s="74">
        <f t="shared" si="111"/>
        <v>0</v>
      </c>
      <c r="L799" s="74"/>
      <c r="M799" s="74">
        <f t="shared" si="112"/>
        <v>0</v>
      </c>
      <c r="N799" s="74">
        <f t="shared" si="113"/>
        <v>0</v>
      </c>
      <c r="O799" s="74">
        <f t="shared" si="114"/>
        <v>0</v>
      </c>
      <c r="P799" s="74">
        <f t="shared" si="115"/>
        <v>80</v>
      </c>
      <c r="Q799" s="74">
        <f t="shared" si="116"/>
        <v>63280</v>
      </c>
    </row>
    <row r="800" spans="1:17" ht="25.5" hidden="1" customHeight="1">
      <c r="A800" s="71"/>
      <c r="B800" s="72">
        <f t="shared" si="108"/>
        <v>0</v>
      </c>
      <c r="C800" s="72" t="s">
        <v>5754</v>
      </c>
      <c r="D800" s="86">
        <v>176.84</v>
      </c>
      <c r="E800" s="95" t="s">
        <v>13</v>
      </c>
      <c r="F800" s="1425"/>
      <c r="G800" s="74">
        <f t="shared" si="109"/>
        <v>0</v>
      </c>
      <c r="H800" s="74"/>
      <c r="I800" s="74">
        <f t="shared" si="110"/>
        <v>0</v>
      </c>
      <c r="J800" s="74"/>
      <c r="K800" s="74">
        <f t="shared" si="111"/>
        <v>0</v>
      </c>
      <c r="L800" s="74"/>
      <c r="M800" s="74">
        <f t="shared" si="112"/>
        <v>0</v>
      </c>
      <c r="N800" s="74">
        <f t="shared" si="113"/>
        <v>0</v>
      </c>
      <c r="O800" s="74">
        <f t="shared" si="114"/>
        <v>0</v>
      </c>
      <c r="P800" s="74">
        <f t="shared" si="115"/>
        <v>0</v>
      </c>
      <c r="Q800" s="74">
        <f t="shared" si="116"/>
        <v>0</v>
      </c>
    </row>
    <row r="801" spans="1:17" ht="69.75" customHeight="1">
      <c r="A801" s="71"/>
      <c r="B801" s="72">
        <f t="shared" si="108"/>
        <v>4</v>
      </c>
      <c r="C801" s="72" t="s">
        <v>5755</v>
      </c>
      <c r="D801" s="86">
        <v>553</v>
      </c>
      <c r="E801" s="95" t="s">
        <v>729</v>
      </c>
      <c r="F801" s="1425">
        <f>'Detail '!I2690</f>
        <v>4</v>
      </c>
      <c r="G801" s="74">
        <f t="shared" si="109"/>
        <v>2212</v>
      </c>
      <c r="H801" s="74"/>
      <c r="I801" s="74">
        <f t="shared" si="110"/>
        <v>0</v>
      </c>
      <c r="J801" s="74"/>
      <c r="K801" s="74">
        <f t="shared" si="111"/>
        <v>0</v>
      </c>
      <c r="L801" s="74"/>
      <c r="M801" s="74">
        <f t="shared" si="112"/>
        <v>0</v>
      </c>
      <c r="N801" s="74">
        <f t="shared" si="113"/>
        <v>0</v>
      </c>
      <c r="O801" s="74">
        <f t="shared" si="114"/>
        <v>0</v>
      </c>
      <c r="P801" s="74">
        <f t="shared" si="115"/>
        <v>4</v>
      </c>
      <c r="Q801" s="74">
        <f t="shared" si="116"/>
        <v>2212</v>
      </c>
    </row>
    <row r="802" spans="1:17" ht="69.75">
      <c r="A802" s="71"/>
      <c r="B802" s="72">
        <f t="shared" si="108"/>
        <v>4</v>
      </c>
      <c r="C802" s="72" t="s">
        <v>5756</v>
      </c>
      <c r="D802" s="86">
        <v>337</v>
      </c>
      <c r="E802" s="86" t="s">
        <v>729</v>
      </c>
      <c r="F802" s="1425">
        <f>'Detail '!I2692</f>
        <v>4</v>
      </c>
      <c r="G802" s="74">
        <f t="shared" si="109"/>
        <v>1348</v>
      </c>
      <c r="H802" s="74"/>
      <c r="I802" s="74">
        <f t="shared" si="110"/>
        <v>0</v>
      </c>
      <c r="J802" s="74"/>
      <c r="K802" s="74">
        <f t="shared" si="111"/>
        <v>0</v>
      </c>
      <c r="L802" s="74"/>
      <c r="M802" s="74">
        <f t="shared" si="112"/>
        <v>0</v>
      </c>
      <c r="N802" s="74">
        <f t="shared" si="113"/>
        <v>0</v>
      </c>
      <c r="O802" s="74">
        <f t="shared" si="114"/>
        <v>0</v>
      </c>
      <c r="P802" s="74">
        <f t="shared" si="115"/>
        <v>4</v>
      </c>
      <c r="Q802" s="74">
        <f t="shared" si="116"/>
        <v>1348</v>
      </c>
    </row>
    <row r="803" spans="1:17" ht="27.75" hidden="1" customHeight="1">
      <c r="A803" s="71"/>
      <c r="B803" s="72">
        <f t="shared" si="108"/>
        <v>0</v>
      </c>
      <c r="C803" s="99" t="s">
        <v>5757</v>
      </c>
      <c r="D803" s="1229">
        <f>Data!R1455</f>
        <v>6324.28</v>
      </c>
      <c r="E803" s="81" t="s">
        <v>724</v>
      </c>
      <c r="F803" s="75"/>
      <c r="G803" s="74">
        <f t="shared" si="109"/>
        <v>0</v>
      </c>
      <c r="H803" s="74"/>
      <c r="I803" s="74">
        <f t="shared" si="110"/>
        <v>0</v>
      </c>
      <c r="J803" s="74"/>
      <c r="K803" s="74">
        <f t="shared" si="111"/>
        <v>0</v>
      </c>
      <c r="L803" s="74"/>
      <c r="M803" s="74">
        <f t="shared" si="112"/>
        <v>0</v>
      </c>
      <c r="N803" s="74">
        <f t="shared" si="113"/>
        <v>0</v>
      </c>
      <c r="O803" s="74">
        <f t="shared" si="114"/>
        <v>0</v>
      </c>
      <c r="P803" s="74">
        <f t="shared" si="115"/>
        <v>0</v>
      </c>
      <c r="Q803" s="74">
        <f t="shared" si="116"/>
        <v>0</v>
      </c>
    </row>
    <row r="804" spans="1:17" ht="27.75" hidden="1" customHeight="1">
      <c r="A804" s="71"/>
      <c r="B804" s="72">
        <f t="shared" si="108"/>
        <v>0</v>
      </c>
      <c r="C804" s="99" t="s">
        <v>5758</v>
      </c>
      <c r="D804" s="101">
        <f>Data!K4000</f>
        <v>0</v>
      </c>
      <c r="E804" s="101" t="s">
        <v>724</v>
      </c>
      <c r="F804" s="75"/>
      <c r="G804" s="74">
        <f t="shared" si="109"/>
        <v>0</v>
      </c>
      <c r="H804" s="74"/>
      <c r="I804" s="74">
        <f t="shared" si="110"/>
        <v>0</v>
      </c>
      <c r="J804" s="74"/>
      <c r="K804" s="74">
        <f t="shared" si="111"/>
        <v>0</v>
      </c>
      <c r="L804" s="74"/>
      <c r="M804" s="74">
        <f t="shared" si="112"/>
        <v>0</v>
      </c>
      <c r="N804" s="74">
        <f t="shared" si="113"/>
        <v>0</v>
      </c>
      <c r="O804" s="74">
        <f t="shared" si="114"/>
        <v>0</v>
      </c>
      <c r="P804" s="74">
        <f t="shared" si="115"/>
        <v>0</v>
      </c>
      <c r="Q804" s="74">
        <f t="shared" si="116"/>
        <v>0</v>
      </c>
    </row>
    <row r="805" spans="1:17" ht="27.75" hidden="1" customHeight="1">
      <c r="A805" s="71"/>
      <c r="B805" s="72">
        <f t="shared" si="108"/>
        <v>0</v>
      </c>
      <c r="C805" s="99" t="s">
        <v>5759</v>
      </c>
      <c r="D805" s="101">
        <f>'Sliding and french window'!F310</f>
        <v>5668.5</v>
      </c>
      <c r="E805" s="101" t="s">
        <v>724</v>
      </c>
      <c r="F805" s="75"/>
      <c r="G805" s="74">
        <f t="shared" si="109"/>
        <v>0</v>
      </c>
      <c r="H805" s="74"/>
      <c r="I805" s="74">
        <f t="shared" si="110"/>
        <v>0</v>
      </c>
      <c r="J805" s="74"/>
      <c r="K805" s="74">
        <f t="shared" si="111"/>
        <v>0</v>
      </c>
      <c r="L805" s="74"/>
      <c r="M805" s="74">
        <f t="shared" si="112"/>
        <v>0</v>
      </c>
      <c r="N805" s="74">
        <f t="shared" si="113"/>
        <v>0</v>
      </c>
      <c r="O805" s="74">
        <f t="shared" si="114"/>
        <v>0</v>
      </c>
      <c r="P805" s="74">
        <f t="shared" si="115"/>
        <v>0</v>
      </c>
      <c r="Q805" s="74">
        <f t="shared" si="116"/>
        <v>0</v>
      </c>
    </row>
    <row r="806" spans="1:17" ht="27.75" hidden="1" customHeight="1">
      <c r="A806" s="71"/>
      <c r="B806" s="72">
        <f t="shared" si="108"/>
        <v>0</v>
      </c>
      <c r="C806" s="99" t="s">
        <v>5760</v>
      </c>
      <c r="D806" s="101">
        <f>'Sliding and french window'!F145</f>
        <v>5660.6</v>
      </c>
      <c r="E806" s="101" t="s">
        <v>724</v>
      </c>
      <c r="F806" s="75"/>
      <c r="G806" s="74">
        <f t="shared" si="109"/>
        <v>0</v>
      </c>
      <c r="H806" s="74"/>
      <c r="I806" s="74">
        <f t="shared" si="110"/>
        <v>0</v>
      </c>
      <c r="J806" s="74"/>
      <c r="K806" s="74">
        <f t="shared" si="111"/>
        <v>0</v>
      </c>
      <c r="L806" s="74"/>
      <c r="M806" s="74">
        <f t="shared" si="112"/>
        <v>0</v>
      </c>
      <c r="N806" s="74">
        <f t="shared" si="113"/>
        <v>0</v>
      </c>
      <c r="O806" s="74">
        <f t="shared" si="114"/>
        <v>0</v>
      </c>
      <c r="P806" s="74">
        <f t="shared" si="115"/>
        <v>0</v>
      </c>
      <c r="Q806" s="74">
        <f t="shared" si="116"/>
        <v>0</v>
      </c>
    </row>
    <row r="807" spans="1:17" ht="27.75" hidden="1" customHeight="1">
      <c r="A807" s="71"/>
      <c r="B807" s="72">
        <f t="shared" si="108"/>
        <v>0</v>
      </c>
      <c r="C807" s="99" t="s">
        <v>5761</v>
      </c>
      <c r="D807" s="101">
        <f>'Sliding and french window'!F167</f>
        <v>4963.51</v>
      </c>
      <c r="E807" s="101" t="s">
        <v>724</v>
      </c>
      <c r="F807" s="75"/>
      <c r="G807" s="74">
        <f t="shared" si="109"/>
        <v>0</v>
      </c>
      <c r="H807" s="74"/>
      <c r="I807" s="74">
        <f t="shared" si="110"/>
        <v>0</v>
      </c>
      <c r="J807" s="74"/>
      <c r="K807" s="74">
        <f t="shared" si="111"/>
        <v>0</v>
      </c>
      <c r="L807" s="74"/>
      <c r="M807" s="74">
        <f t="shared" si="112"/>
        <v>0</v>
      </c>
      <c r="N807" s="74">
        <f t="shared" si="113"/>
        <v>0</v>
      </c>
      <c r="O807" s="74">
        <f t="shared" si="114"/>
        <v>0</v>
      </c>
      <c r="P807" s="74">
        <f t="shared" si="115"/>
        <v>0</v>
      </c>
      <c r="Q807" s="74">
        <f t="shared" si="116"/>
        <v>0</v>
      </c>
    </row>
    <row r="808" spans="1:17" ht="53.25" hidden="1" customHeight="1">
      <c r="A808" s="71"/>
      <c r="B808" s="72">
        <f t="shared" si="108"/>
        <v>0</v>
      </c>
      <c r="C808" s="99" t="s">
        <v>5762</v>
      </c>
      <c r="D808" s="101">
        <f>Data!K4016</f>
        <v>0</v>
      </c>
      <c r="E808" s="101" t="s">
        <v>724</v>
      </c>
      <c r="F808" s="75"/>
      <c r="G808" s="74">
        <f t="shared" si="109"/>
        <v>0</v>
      </c>
      <c r="H808" s="74"/>
      <c r="I808" s="74">
        <f t="shared" si="110"/>
        <v>0</v>
      </c>
      <c r="J808" s="74"/>
      <c r="K808" s="74">
        <f t="shared" si="111"/>
        <v>0</v>
      </c>
      <c r="L808" s="74"/>
      <c r="M808" s="74">
        <f t="shared" si="112"/>
        <v>0</v>
      </c>
      <c r="N808" s="74">
        <f t="shared" si="113"/>
        <v>0</v>
      </c>
      <c r="O808" s="74">
        <f t="shared" si="114"/>
        <v>0</v>
      </c>
      <c r="P808" s="74">
        <f t="shared" si="115"/>
        <v>0</v>
      </c>
      <c r="Q808" s="74">
        <f t="shared" si="116"/>
        <v>0</v>
      </c>
    </row>
    <row r="809" spans="1:17" ht="47.25" hidden="1" customHeight="1">
      <c r="A809" s="71"/>
      <c r="B809" s="72">
        <f t="shared" si="108"/>
        <v>0</v>
      </c>
      <c r="C809" s="99" t="s">
        <v>5763</v>
      </c>
      <c r="D809" s="101">
        <f>Data!K4031</f>
        <v>0</v>
      </c>
      <c r="E809" s="101" t="s">
        <v>724</v>
      </c>
      <c r="F809" s="75"/>
      <c r="G809" s="74">
        <f t="shared" si="109"/>
        <v>0</v>
      </c>
      <c r="H809" s="74"/>
      <c r="I809" s="74">
        <f t="shared" si="110"/>
        <v>0</v>
      </c>
      <c r="J809" s="74"/>
      <c r="K809" s="74">
        <f t="shared" si="111"/>
        <v>0</v>
      </c>
      <c r="L809" s="74"/>
      <c r="M809" s="74">
        <f t="shared" si="112"/>
        <v>0</v>
      </c>
      <c r="N809" s="74">
        <f t="shared" si="113"/>
        <v>0</v>
      </c>
      <c r="O809" s="74">
        <f t="shared" si="114"/>
        <v>0</v>
      </c>
      <c r="P809" s="74">
        <f t="shared" si="115"/>
        <v>0</v>
      </c>
      <c r="Q809" s="74">
        <f t="shared" si="116"/>
        <v>0</v>
      </c>
    </row>
    <row r="810" spans="1:17" ht="51" hidden="1" customHeight="1">
      <c r="A810" s="71"/>
      <c r="B810" s="72">
        <f t="shared" si="108"/>
        <v>0</v>
      </c>
      <c r="C810" s="99" t="s">
        <v>5764</v>
      </c>
      <c r="D810" s="101">
        <f>Data!K4043</f>
        <v>0</v>
      </c>
      <c r="E810" s="101" t="s">
        <v>724</v>
      </c>
      <c r="F810" s="75"/>
      <c r="G810" s="74">
        <f t="shared" si="109"/>
        <v>0</v>
      </c>
      <c r="H810" s="74"/>
      <c r="I810" s="74">
        <f t="shared" si="110"/>
        <v>0</v>
      </c>
      <c r="J810" s="74"/>
      <c r="K810" s="74">
        <f t="shared" si="111"/>
        <v>0</v>
      </c>
      <c r="L810" s="74"/>
      <c r="M810" s="74">
        <f t="shared" si="112"/>
        <v>0</v>
      </c>
      <c r="N810" s="74">
        <f t="shared" si="113"/>
        <v>0</v>
      </c>
      <c r="O810" s="74">
        <f t="shared" si="114"/>
        <v>0</v>
      </c>
      <c r="P810" s="74">
        <f t="shared" si="115"/>
        <v>0</v>
      </c>
      <c r="Q810" s="74">
        <f t="shared" si="116"/>
        <v>0</v>
      </c>
    </row>
    <row r="811" spans="1:17" ht="90" hidden="1" customHeight="1">
      <c r="A811" s="71"/>
      <c r="B811" s="72">
        <f t="shared" si="108"/>
        <v>0</v>
      </c>
      <c r="C811" s="99" t="s">
        <v>5765</v>
      </c>
      <c r="D811" s="101">
        <f>Data!R1545</f>
        <v>5078.75</v>
      </c>
      <c r="E811" s="101" t="s">
        <v>724</v>
      </c>
      <c r="F811" s="75"/>
      <c r="G811" s="74">
        <f t="shared" si="109"/>
        <v>0</v>
      </c>
      <c r="H811" s="74"/>
      <c r="I811" s="74">
        <f t="shared" si="110"/>
        <v>0</v>
      </c>
      <c r="J811" s="74"/>
      <c r="K811" s="74">
        <f t="shared" si="111"/>
        <v>0</v>
      </c>
      <c r="L811" s="74"/>
      <c r="M811" s="74">
        <f t="shared" si="112"/>
        <v>0</v>
      </c>
      <c r="N811" s="74">
        <f t="shared" si="113"/>
        <v>0</v>
      </c>
      <c r="O811" s="74">
        <f t="shared" si="114"/>
        <v>0</v>
      </c>
      <c r="P811" s="74">
        <f t="shared" si="115"/>
        <v>0</v>
      </c>
      <c r="Q811" s="74">
        <f t="shared" si="116"/>
        <v>0</v>
      </c>
    </row>
    <row r="812" spans="1:17" ht="93" hidden="1" customHeight="1">
      <c r="A812" s="71"/>
      <c r="B812" s="72">
        <f t="shared" si="108"/>
        <v>0</v>
      </c>
      <c r="C812" s="72" t="s">
        <v>5766</v>
      </c>
      <c r="D812" s="86">
        <v>6950</v>
      </c>
      <c r="E812" s="95" t="s">
        <v>729</v>
      </c>
      <c r="F812" s="75"/>
      <c r="G812" s="74">
        <f t="shared" si="109"/>
        <v>0</v>
      </c>
      <c r="H812" s="74"/>
      <c r="I812" s="74">
        <f t="shared" si="110"/>
        <v>0</v>
      </c>
      <c r="J812" s="74"/>
      <c r="K812" s="74">
        <f t="shared" si="111"/>
        <v>0</v>
      </c>
      <c r="L812" s="74"/>
      <c r="M812" s="74">
        <f t="shared" si="112"/>
        <v>0</v>
      </c>
      <c r="N812" s="74">
        <f t="shared" si="113"/>
        <v>0</v>
      </c>
      <c r="O812" s="74">
        <f t="shared" si="114"/>
        <v>0</v>
      </c>
      <c r="P812" s="74">
        <f t="shared" si="115"/>
        <v>0</v>
      </c>
      <c r="Q812" s="74">
        <f t="shared" si="116"/>
        <v>0</v>
      </c>
    </row>
    <row r="813" spans="1:17" ht="46.5" hidden="1" customHeight="1">
      <c r="A813" s="71"/>
      <c r="B813" s="72">
        <f t="shared" si="108"/>
        <v>0</v>
      </c>
      <c r="C813" s="72" t="s">
        <v>5767</v>
      </c>
      <c r="D813" s="86">
        <v>634</v>
      </c>
      <c r="E813" s="95" t="s">
        <v>729</v>
      </c>
      <c r="F813" s="75"/>
      <c r="G813" s="74">
        <f t="shared" si="109"/>
        <v>0</v>
      </c>
      <c r="H813" s="74"/>
      <c r="I813" s="74">
        <f t="shared" si="110"/>
        <v>0</v>
      </c>
      <c r="J813" s="74"/>
      <c r="K813" s="74">
        <f t="shared" si="111"/>
        <v>0</v>
      </c>
      <c r="L813" s="74"/>
      <c r="M813" s="74">
        <f t="shared" si="112"/>
        <v>0</v>
      </c>
      <c r="N813" s="74">
        <f t="shared" si="113"/>
        <v>0</v>
      </c>
      <c r="O813" s="74">
        <f t="shared" si="114"/>
        <v>0</v>
      </c>
      <c r="P813" s="74">
        <f t="shared" si="115"/>
        <v>0</v>
      </c>
      <c r="Q813" s="74">
        <f t="shared" si="116"/>
        <v>0</v>
      </c>
    </row>
    <row r="814" spans="1:17" ht="69.75" hidden="1" customHeight="1">
      <c r="A814" s="71"/>
      <c r="B814" s="72">
        <f t="shared" si="108"/>
        <v>0</v>
      </c>
      <c r="C814" s="72" t="s">
        <v>5768</v>
      </c>
      <c r="D814" s="86">
        <v>9470</v>
      </c>
      <c r="E814" s="95" t="s">
        <v>729</v>
      </c>
      <c r="F814" s="75"/>
      <c r="G814" s="74">
        <f t="shared" si="109"/>
        <v>0</v>
      </c>
      <c r="H814" s="74"/>
      <c r="I814" s="74">
        <f t="shared" si="110"/>
        <v>0</v>
      </c>
      <c r="J814" s="74"/>
      <c r="K814" s="74">
        <f t="shared" si="111"/>
        <v>0</v>
      </c>
      <c r="L814" s="74"/>
      <c r="M814" s="74">
        <f t="shared" si="112"/>
        <v>0</v>
      </c>
      <c r="N814" s="74">
        <f t="shared" si="113"/>
        <v>0</v>
      </c>
      <c r="O814" s="74">
        <f t="shared" si="114"/>
        <v>0</v>
      </c>
      <c r="P814" s="74">
        <f t="shared" si="115"/>
        <v>0</v>
      </c>
      <c r="Q814" s="74">
        <f t="shared" si="116"/>
        <v>0</v>
      </c>
    </row>
    <row r="815" spans="1:17" ht="63" hidden="1" customHeight="1">
      <c r="A815" s="71"/>
      <c r="B815" s="72">
        <f t="shared" si="108"/>
        <v>0</v>
      </c>
      <c r="C815" s="72" t="s">
        <v>5769</v>
      </c>
      <c r="D815" s="86">
        <v>293</v>
      </c>
      <c r="E815" s="95" t="s">
        <v>729</v>
      </c>
      <c r="F815" s="75"/>
      <c r="G815" s="74">
        <f t="shared" si="109"/>
        <v>0</v>
      </c>
      <c r="H815" s="74"/>
      <c r="I815" s="74">
        <f t="shared" si="110"/>
        <v>0</v>
      </c>
      <c r="J815" s="74"/>
      <c r="K815" s="74">
        <f t="shared" si="111"/>
        <v>0</v>
      </c>
      <c r="L815" s="74"/>
      <c r="M815" s="74">
        <f t="shared" si="112"/>
        <v>0</v>
      </c>
      <c r="N815" s="74">
        <f t="shared" si="113"/>
        <v>0</v>
      </c>
      <c r="O815" s="74">
        <f t="shared" si="114"/>
        <v>0</v>
      </c>
      <c r="P815" s="74">
        <f t="shared" si="115"/>
        <v>0</v>
      </c>
      <c r="Q815" s="74">
        <f t="shared" si="116"/>
        <v>0</v>
      </c>
    </row>
    <row r="816" spans="1:17" ht="69.75" hidden="1" customHeight="1">
      <c r="A816" s="71"/>
      <c r="B816" s="72">
        <f t="shared" si="108"/>
        <v>0</v>
      </c>
      <c r="C816" s="72" t="s">
        <v>5770</v>
      </c>
      <c r="D816" s="86">
        <v>704.75</v>
      </c>
      <c r="E816" s="74" t="s">
        <v>729</v>
      </c>
      <c r="F816" s="75"/>
      <c r="G816" s="74">
        <f t="shared" si="109"/>
        <v>0</v>
      </c>
      <c r="H816" s="74"/>
      <c r="I816" s="74">
        <f t="shared" si="110"/>
        <v>0</v>
      </c>
      <c r="J816" s="74"/>
      <c r="K816" s="74">
        <f t="shared" si="111"/>
        <v>0</v>
      </c>
      <c r="L816" s="74"/>
      <c r="M816" s="74">
        <f t="shared" si="112"/>
        <v>0</v>
      </c>
      <c r="N816" s="74">
        <f t="shared" si="113"/>
        <v>0</v>
      </c>
      <c r="O816" s="74">
        <f t="shared" si="114"/>
        <v>0</v>
      </c>
      <c r="P816" s="74">
        <f t="shared" si="115"/>
        <v>0</v>
      </c>
      <c r="Q816" s="74">
        <f t="shared" si="116"/>
        <v>0</v>
      </c>
    </row>
    <row r="817" spans="1:17" ht="69.75" customHeight="1">
      <c r="A817" s="71"/>
      <c r="B817" s="72">
        <f t="shared" si="108"/>
        <v>44</v>
      </c>
      <c r="C817" s="72" t="s">
        <v>5771</v>
      </c>
      <c r="D817" s="86">
        <v>514.85</v>
      </c>
      <c r="E817" s="74" t="s">
        <v>729</v>
      </c>
      <c r="F817" s="1425">
        <f>'Detail '!I2954</f>
        <v>44</v>
      </c>
      <c r="G817" s="74">
        <f t="shared" si="109"/>
        <v>22653.4</v>
      </c>
      <c r="H817" s="74"/>
      <c r="I817" s="74">
        <f t="shared" si="110"/>
        <v>0</v>
      </c>
      <c r="J817" s="74"/>
      <c r="K817" s="74">
        <f t="shared" si="111"/>
        <v>0</v>
      </c>
      <c r="L817" s="74"/>
      <c r="M817" s="74">
        <f t="shared" si="112"/>
        <v>0</v>
      </c>
      <c r="N817" s="74">
        <f t="shared" si="113"/>
        <v>0</v>
      </c>
      <c r="O817" s="74">
        <f t="shared" si="114"/>
        <v>0</v>
      </c>
      <c r="P817" s="74">
        <f t="shared" si="115"/>
        <v>44</v>
      </c>
      <c r="Q817" s="74">
        <f t="shared" si="116"/>
        <v>22653.4</v>
      </c>
    </row>
    <row r="818" spans="1:17" ht="25.5" hidden="1" customHeight="1">
      <c r="A818" s="71"/>
      <c r="B818" s="72">
        <f t="shared" si="108"/>
        <v>0</v>
      </c>
      <c r="C818" s="96" t="s">
        <v>5772</v>
      </c>
      <c r="D818" s="86">
        <v>473.5</v>
      </c>
      <c r="E818" s="95" t="s">
        <v>13</v>
      </c>
      <c r="F818" s="75"/>
      <c r="G818" s="74">
        <f t="shared" si="109"/>
        <v>0</v>
      </c>
      <c r="H818" s="74"/>
      <c r="I818" s="74">
        <f t="shared" si="110"/>
        <v>0</v>
      </c>
      <c r="J818" s="74"/>
      <c r="K818" s="74">
        <f t="shared" si="111"/>
        <v>0</v>
      </c>
      <c r="L818" s="74"/>
      <c r="M818" s="74">
        <f t="shared" si="112"/>
        <v>0</v>
      </c>
      <c r="N818" s="74">
        <f t="shared" si="113"/>
        <v>0</v>
      </c>
      <c r="O818" s="74">
        <f t="shared" si="114"/>
        <v>0</v>
      </c>
      <c r="P818" s="74">
        <f t="shared" si="115"/>
        <v>0</v>
      </c>
      <c r="Q818" s="74">
        <f t="shared" si="116"/>
        <v>0</v>
      </c>
    </row>
    <row r="819" spans="1:17" ht="46.5" customHeight="1">
      <c r="A819" s="71"/>
      <c r="B819" s="72">
        <f t="shared" si="108"/>
        <v>22</v>
      </c>
      <c r="C819" s="96" t="s">
        <v>5773</v>
      </c>
      <c r="D819" s="86">
        <v>1013</v>
      </c>
      <c r="E819" s="95" t="s">
        <v>729</v>
      </c>
      <c r="F819" s="1425">
        <f>'Detail '!I2956</f>
        <v>22</v>
      </c>
      <c r="G819" s="74">
        <f t="shared" si="109"/>
        <v>22286</v>
      </c>
      <c r="H819" s="74"/>
      <c r="I819" s="74">
        <f t="shared" si="110"/>
        <v>0</v>
      </c>
      <c r="J819" s="74"/>
      <c r="K819" s="74">
        <f t="shared" si="111"/>
        <v>0</v>
      </c>
      <c r="L819" s="74"/>
      <c r="M819" s="74">
        <f t="shared" si="112"/>
        <v>0</v>
      </c>
      <c r="N819" s="74">
        <f t="shared" si="113"/>
        <v>0</v>
      </c>
      <c r="O819" s="74">
        <f t="shared" si="114"/>
        <v>0</v>
      </c>
      <c r="P819" s="74">
        <f t="shared" si="115"/>
        <v>22</v>
      </c>
      <c r="Q819" s="74">
        <f t="shared" si="116"/>
        <v>22286</v>
      </c>
    </row>
    <row r="820" spans="1:17" ht="25.5" hidden="1" customHeight="1">
      <c r="A820" s="71"/>
      <c r="B820" s="72">
        <f t="shared" si="108"/>
        <v>0</v>
      </c>
      <c r="C820" s="96" t="s">
        <v>5774</v>
      </c>
      <c r="D820" s="86">
        <v>11481.8</v>
      </c>
      <c r="E820" s="95" t="s">
        <v>729</v>
      </c>
      <c r="F820" s="75"/>
      <c r="G820" s="74">
        <f t="shared" si="109"/>
        <v>0</v>
      </c>
      <c r="H820" s="74"/>
      <c r="I820" s="74">
        <f t="shared" si="110"/>
        <v>0</v>
      </c>
      <c r="J820" s="74"/>
      <c r="K820" s="74">
        <f t="shared" si="111"/>
        <v>0</v>
      </c>
      <c r="L820" s="74"/>
      <c r="M820" s="74">
        <f t="shared" si="112"/>
        <v>0</v>
      </c>
      <c r="N820" s="74">
        <f t="shared" si="113"/>
        <v>0</v>
      </c>
      <c r="O820" s="74">
        <f t="shared" si="114"/>
        <v>0</v>
      </c>
      <c r="P820" s="74">
        <f t="shared" si="115"/>
        <v>0</v>
      </c>
      <c r="Q820" s="74">
        <f t="shared" si="116"/>
        <v>0</v>
      </c>
    </row>
    <row r="821" spans="1:17" ht="46.5" hidden="1" customHeight="1">
      <c r="A821" s="71"/>
      <c r="B821" s="72">
        <f t="shared" si="108"/>
        <v>0</v>
      </c>
      <c r="C821" s="96" t="s">
        <v>5775</v>
      </c>
      <c r="D821" s="86">
        <v>5325.6</v>
      </c>
      <c r="E821" s="95" t="s">
        <v>729</v>
      </c>
      <c r="F821" s="75"/>
      <c r="G821" s="74">
        <f t="shared" si="109"/>
        <v>0</v>
      </c>
      <c r="H821" s="74"/>
      <c r="I821" s="74">
        <f t="shared" si="110"/>
        <v>0</v>
      </c>
      <c r="J821" s="74"/>
      <c r="K821" s="74">
        <f t="shared" si="111"/>
        <v>0</v>
      </c>
      <c r="L821" s="74"/>
      <c r="M821" s="74">
        <f t="shared" si="112"/>
        <v>0</v>
      </c>
      <c r="N821" s="74">
        <f t="shared" si="113"/>
        <v>0</v>
      </c>
      <c r="O821" s="74">
        <f t="shared" si="114"/>
        <v>0</v>
      </c>
      <c r="P821" s="74">
        <f t="shared" si="115"/>
        <v>0</v>
      </c>
      <c r="Q821" s="74">
        <f t="shared" si="116"/>
        <v>0</v>
      </c>
    </row>
    <row r="822" spans="1:17" ht="46.5" customHeight="1">
      <c r="A822" s="71"/>
      <c r="B822" s="72">
        <f t="shared" si="108"/>
        <v>10</v>
      </c>
      <c r="C822" s="96" t="s">
        <v>5776</v>
      </c>
      <c r="D822" s="86">
        <v>8254.6</v>
      </c>
      <c r="E822" s="95" t="s">
        <v>729</v>
      </c>
      <c r="F822" s="1425">
        <f>'Detail '!I2939</f>
        <v>10</v>
      </c>
      <c r="G822" s="74">
        <f t="shared" si="109"/>
        <v>82546</v>
      </c>
      <c r="H822" s="74"/>
      <c r="I822" s="74">
        <f t="shared" si="110"/>
        <v>0</v>
      </c>
      <c r="J822" s="74"/>
      <c r="K822" s="74">
        <f t="shared" si="111"/>
        <v>0</v>
      </c>
      <c r="L822" s="74"/>
      <c r="M822" s="74">
        <f t="shared" si="112"/>
        <v>0</v>
      </c>
      <c r="N822" s="74">
        <f t="shared" si="113"/>
        <v>0</v>
      </c>
      <c r="O822" s="74">
        <f t="shared" si="114"/>
        <v>0</v>
      </c>
      <c r="P822" s="74">
        <f t="shared" si="115"/>
        <v>10</v>
      </c>
      <c r="Q822" s="74">
        <f t="shared" si="116"/>
        <v>82546</v>
      </c>
    </row>
    <row r="823" spans="1:17" ht="46.5" customHeight="1">
      <c r="A823" s="71"/>
      <c r="B823" s="72">
        <f t="shared" si="108"/>
        <v>10</v>
      </c>
      <c r="C823" s="96" t="s">
        <v>5777</v>
      </c>
      <c r="D823" s="86">
        <v>6588</v>
      </c>
      <c r="E823" s="95" t="s">
        <v>729</v>
      </c>
      <c r="F823" s="1425">
        <f>'Detail '!I2942</f>
        <v>10</v>
      </c>
      <c r="G823" s="74">
        <f t="shared" si="109"/>
        <v>65880</v>
      </c>
      <c r="H823" s="74"/>
      <c r="I823" s="74">
        <f t="shared" si="110"/>
        <v>0</v>
      </c>
      <c r="J823" s="74"/>
      <c r="K823" s="74">
        <f t="shared" si="111"/>
        <v>0</v>
      </c>
      <c r="L823" s="74"/>
      <c r="M823" s="74">
        <f t="shared" si="112"/>
        <v>0</v>
      </c>
      <c r="N823" s="74">
        <f t="shared" si="113"/>
        <v>0</v>
      </c>
      <c r="O823" s="74">
        <f t="shared" si="114"/>
        <v>0</v>
      </c>
      <c r="P823" s="74">
        <f t="shared" si="115"/>
        <v>10</v>
      </c>
      <c r="Q823" s="74">
        <f t="shared" si="116"/>
        <v>65880</v>
      </c>
    </row>
    <row r="824" spans="1:17" ht="46.5" hidden="1" customHeight="1">
      <c r="A824" s="71"/>
      <c r="B824" s="72">
        <f t="shared" si="108"/>
        <v>0</v>
      </c>
      <c r="C824" s="96" t="s">
        <v>5778</v>
      </c>
      <c r="D824" s="86">
        <v>593</v>
      </c>
      <c r="E824" s="97" t="s">
        <v>729</v>
      </c>
      <c r="F824" s="75"/>
      <c r="G824" s="74">
        <f t="shared" si="109"/>
        <v>0</v>
      </c>
      <c r="H824" s="74"/>
      <c r="I824" s="74">
        <f t="shared" si="110"/>
        <v>0</v>
      </c>
      <c r="J824" s="74"/>
      <c r="K824" s="74">
        <f t="shared" si="111"/>
        <v>0</v>
      </c>
      <c r="L824" s="74"/>
      <c r="M824" s="74">
        <f t="shared" si="112"/>
        <v>0</v>
      </c>
      <c r="N824" s="74">
        <f t="shared" si="113"/>
        <v>0</v>
      </c>
      <c r="O824" s="74">
        <f t="shared" si="114"/>
        <v>0</v>
      </c>
      <c r="P824" s="74">
        <f t="shared" si="115"/>
        <v>0</v>
      </c>
      <c r="Q824" s="74">
        <f t="shared" si="116"/>
        <v>0</v>
      </c>
    </row>
    <row r="825" spans="1:17" s="63" customFormat="1" ht="25.5" hidden="1" customHeight="1">
      <c r="A825" s="98"/>
      <c r="B825" s="72">
        <f t="shared" si="108"/>
        <v>0</v>
      </c>
      <c r="C825" s="99" t="s">
        <v>5779</v>
      </c>
      <c r="D825" s="100"/>
      <c r="E825" s="101"/>
      <c r="F825" s="75"/>
      <c r="G825" s="74">
        <f t="shared" si="109"/>
        <v>0</v>
      </c>
      <c r="H825" s="74"/>
      <c r="I825" s="74">
        <f t="shared" si="110"/>
        <v>0</v>
      </c>
      <c r="J825" s="74"/>
      <c r="K825" s="74">
        <f t="shared" si="111"/>
        <v>0</v>
      </c>
      <c r="L825" s="74"/>
      <c r="M825" s="74">
        <f t="shared" si="112"/>
        <v>0</v>
      </c>
      <c r="N825" s="74">
        <f t="shared" si="113"/>
        <v>0</v>
      </c>
      <c r="O825" s="74">
        <f t="shared" si="114"/>
        <v>0</v>
      </c>
      <c r="P825" s="74">
        <f t="shared" si="115"/>
        <v>0</v>
      </c>
      <c r="Q825" s="74">
        <f t="shared" si="116"/>
        <v>0</v>
      </c>
    </row>
    <row r="826" spans="1:17" ht="25.5" hidden="1" customHeight="1">
      <c r="A826" s="71"/>
      <c r="B826" s="72">
        <f t="shared" si="108"/>
        <v>0</v>
      </c>
      <c r="C826" s="85" t="s">
        <v>5780</v>
      </c>
      <c r="D826" s="86">
        <v>6300</v>
      </c>
      <c r="E826" s="88" t="s">
        <v>724</v>
      </c>
      <c r="F826" s="75"/>
      <c r="G826" s="74">
        <f t="shared" si="109"/>
        <v>0</v>
      </c>
      <c r="H826" s="74"/>
      <c r="I826" s="74">
        <f t="shared" si="110"/>
        <v>0</v>
      </c>
      <c r="J826" s="74"/>
      <c r="K826" s="74">
        <f t="shared" si="111"/>
        <v>0</v>
      </c>
      <c r="L826" s="74"/>
      <c r="M826" s="74">
        <f t="shared" si="112"/>
        <v>0</v>
      </c>
      <c r="N826" s="74">
        <f t="shared" si="113"/>
        <v>0</v>
      </c>
      <c r="O826" s="74">
        <f t="shared" si="114"/>
        <v>0</v>
      </c>
      <c r="P826" s="74">
        <f t="shared" si="115"/>
        <v>0</v>
      </c>
      <c r="Q826" s="74">
        <f t="shared" si="116"/>
        <v>0</v>
      </c>
    </row>
    <row r="827" spans="1:17" ht="25.5" hidden="1" customHeight="1">
      <c r="A827" s="71"/>
      <c r="B827" s="72">
        <f t="shared" si="108"/>
        <v>0</v>
      </c>
      <c r="C827" s="85" t="s">
        <v>5781</v>
      </c>
      <c r="D827" s="86">
        <v>6300</v>
      </c>
      <c r="E827" s="88" t="s">
        <v>724</v>
      </c>
      <c r="F827" s="75"/>
      <c r="G827" s="74">
        <f t="shared" si="109"/>
        <v>0</v>
      </c>
      <c r="H827" s="74"/>
      <c r="I827" s="74">
        <f t="shared" si="110"/>
        <v>0</v>
      </c>
      <c r="J827" s="74"/>
      <c r="K827" s="74">
        <f t="shared" si="111"/>
        <v>0</v>
      </c>
      <c r="L827" s="74"/>
      <c r="M827" s="74">
        <f t="shared" si="112"/>
        <v>0</v>
      </c>
      <c r="N827" s="74">
        <f t="shared" si="113"/>
        <v>0</v>
      </c>
      <c r="O827" s="74">
        <f t="shared" si="114"/>
        <v>0</v>
      </c>
      <c r="P827" s="74">
        <f t="shared" si="115"/>
        <v>0</v>
      </c>
      <c r="Q827" s="74">
        <f t="shared" si="116"/>
        <v>0</v>
      </c>
    </row>
    <row r="828" spans="1:17" ht="25.5" hidden="1" customHeight="1">
      <c r="A828" s="71"/>
      <c r="B828" s="72">
        <f t="shared" si="108"/>
        <v>0</v>
      </c>
      <c r="C828" s="85" t="s">
        <v>5782</v>
      </c>
      <c r="D828" s="86">
        <v>6300</v>
      </c>
      <c r="E828" s="88" t="s">
        <v>724</v>
      </c>
      <c r="F828" s="75"/>
      <c r="G828" s="74">
        <f t="shared" si="109"/>
        <v>0</v>
      </c>
      <c r="H828" s="74"/>
      <c r="I828" s="74">
        <f t="shared" si="110"/>
        <v>0</v>
      </c>
      <c r="J828" s="74"/>
      <c r="K828" s="74">
        <f t="shared" si="111"/>
        <v>0</v>
      </c>
      <c r="L828" s="74"/>
      <c r="M828" s="74">
        <f t="shared" si="112"/>
        <v>0</v>
      </c>
      <c r="N828" s="74">
        <f t="shared" si="113"/>
        <v>0</v>
      </c>
      <c r="O828" s="74">
        <f t="shared" si="114"/>
        <v>0</v>
      </c>
      <c r="P828" s="74">
        <f t="shared" si="115"/>
        <v>0</v>
      </c>
      <c r="Q828" s="74">
        <f t="shared" si="116"/>
        <v>0</v>
      </c>
    </row>
    <row r="829" spans="1:17" ht="25.5" hidden="1" customHeight="1">
      <c r="A829" s="71"/>
      <c r="B829" s="72">
        <f t="shared" si="108"/>
        <v>0</v>
      </c>
      <c r="C829" s="85" t="s">
        <v>5783</v>
      </c>
      <c r="D829" s="86">
        <v>6300</v>
      </c>
      <c r="E829" s="88" t="s">
        <v>724</v>
      </c>
      <c r="F829" s="75"/>
      <c r="G829" s="74">
        <f t="shared" si="109"/>
        <v>0</v>
      </c>
      <c r="H829" s="74"/>
      <c r="I829" s="74">
        <f t="shared" si="110"/>
        <v>0</v>
      </c>
      <c r="J829" s="74"/>
      <c r="K829" s="74">
        <f t="shared" si="111"/>
        <v>0</v>
      </c>
      <c r="L829" s="74"/>
      <c r="M829" s="74">
        <f t="shared" si="112"/>
        <v>0</v>
      </c>
      <c r="N829" s="74">
        <f t="shared" si="113"/>
        <v>0</v>
      </c>
      <c r="O829" s="74">
        <f t="shared" si="114"/>
        <v>0</v>
      </c>
      <c r="P829" s="74">
        <f t="shared" si="115"/>
        <v>0</v>
      </c>
      <c r="Q829" s="74">
        <f t="shared" si="116"/>
        <v>0</v>
      </c>
    </row>
    <row r="830" spans="1:17" ht="25.5" hidden="1" customHeight="1">
      <c r="A830" s="71"/>
      <c r="B830" s="72">
        <f t="shared" si="108"/>
        <v>0</v>
      </c>
      <c r="C830" s="85" t="s">
        <v>5784</v>
      </c>
      <c r="D830" s="86">
        <v>6300</v>
      </c>
      <c r="E830" s="88" t="s">
        <v>724</v>
      </c>
      <c r="F830" s="75"/>
      <c r="G830" s="74">
        <f t="shared" si="109"/>
        <v>0</v>
      </c>
      <c r="H830" s="74"/>
      <c r="I830" s="74">
        <f t="shared" si="110"/>
        <v>0</v>
      </c>
      <c r="J830" s="74"/>
      <c r="K830" s="74">
        <f t="shared" si="111"/>
        <v>0</v>
      </c>
      <c r="L830" s="74"/>
      <c r="M830" s="74">
        <f t="shared" si="112"/>
        <v>0</v>
      </c>
      <c r="N830" s="74">
        <f t="shared" si="113"/>
        <v>0</v>
      </c>
      <c r="O830" s="74">
        <f t="shared" si="114"/>
        <v>0</v>
      </c>
      <c r="P830" s="74">
        <f t="shared" si="115"/>
        <v>0</v>
      </c>
      <c r="Q830" s="74">
        <f t="shared" si="116"/>
        <v>0</v>
      </c>
    </row>
    <row r="831" spans="1:17" ht="25.5" hidden="1" customHeight="1">
      <c r="A831" s="71"/>
      <c r="B831" s="72">
        <f t="shared" si="108"/>
        <v>0</v>
      </c>
      <c r="C831" s="85">
        <v>0</v>
      </c>
      <c r="D831" s="86">
        <v>6300</v>
      </c>
      <c r="E831" s="88" t="s">
        <v>724</v>
      </c>
      <c r="F831" s="75"/>
      <c r="G831" s="74">
        <f t="shared" si="109"/>
        <v>0</v>
      </c>
      <c r="H831" s="74"/>
      <c r="I831" s="74">
        <f t="shared" si="110"/>
        <v>0</v>
      </c>
      <c r="J831" s="74"/>
      <c r="K831" s="74">
        <f t="shared" si="111"/>
        <v>0</v>
      </c>
      <c r="L831" s="74"/>
      <c r="M831" s="74">
        <f t="shared" si="112"/>
        <v>0</v>
      </c>
      <c r="N831" s="74">
        <f t="shared" si="113"/>
        <v>0</v>
      </c>
      <c r="O831" s="74">
        <f t="shared" si="114"/>
        <v>0</v>
      </c>
      <c r="P831" s="74">
        <f t="shared" si="115"/>
        <v>0</v>
      </c>
      <c r="Q831" s="74">
        <f t="shared" si="116"/>
        <v>0</v>
      </c>
    </row>
    <row r="832" spans="1:17" ht="25.5" hidden="1" customHeight="1">
      <c r="A832" s="71"/>
      <c r="B832" s="72">
        <f t="shared" si="108"/>
        <v>0</v>
      </c>
      <c r="C832" s="85" t="s">
        <v>5785</v>
      </c>
      <c r="D832" s="86">
        <v>6300</v>
      </c>
      <c r="E832" s="88" t="s">
        <v>724</v>
      </c>
      <c r="F832" s="75"/>
      <c r="G832" s="74">
        <f t="shared" si="109"/>
        <v>0</v>
      </c>
      <c r="H832" s="74"/>
      <c r="I832" s="74">
        <f t="shared" si="110"/>
        <v>0</v>
      </c>
      <c r="J832" s="74"/>
      <c r="K832" s="74">
        <f t="shared" si="111"/>
        <v>0</v>
      </c>
      <c r="L832" s="74"/>
      <c r="M832" s="74">
        <f t="shared" si="112"/>
        <v>0</v>
      </c>
      <c r="N832" s="74">
        <f t="shared" si="113"/>
        <v>0</v>
      </c>
      <c r="O832" s="74">
        <f t="shared" si="114"/>
        <v>0</v>
      </c>
      <c r="P832" s="74">
        <f t="shared" si="115"/>
        <v>0</v>
      </c>
      <c r="Q832" s="74">
        <f t="shared" si="116"/>
        <v>0</v>
      </c>
    </row>
    <row r="833" spans="1:17" ht="25.5" hidden="1" customHeight="1">
      <c r="A833" s="71"/>
      <c r="B833" s="72">
        <f t="shared" si="108"/>
        <v>0</v>
      </c>
      <c r="C833" s="85" t="s">
        <v>5786</v>
      </c>
      <c r="D833" s="86">
        <v>6300</v>
      </c>
      <c r="E833" s="88" t="s">
        <v>724</v>
      </c>
      <c r="F833" s="75"/>
      <c r="G833" s="74">
        <f t="shared" si="109"/>
        <v>0</v>
      </c>
      <c r="H833" s="74"/>
      <c r="I833" s="74">
        <f t="shared" si="110"/>
        <v>0</v>
      </c>
      <c r="J833" s="74"/>
      <c r="K833" s="74">
        <f t="shared" si="111"/>
        <v>0</v>
      </c>
      <c r="L833" s="74"/>
      <c r="M833" s="74">
        <f t="shared" si="112"/>
        <v>0</v>
      </c>
      <c r="N833" s="74">
        <f t="shared" si="113"/>
        <v>0</v>
      </c>
      <c r="O833" s="74">
        <f t="shared" si="114"/>
        <v>0</v>
      </c>
      <c r="P833" s="74">
        <f t="shared" si="115"/>
        <v>0</v>
      </c>
      <c r="Q833" s="74">
        <f t="shared" si="116"/>
        <v>0</v>
      </c>
    </row>
    <row r="834" spans="1:17" ht="40.5" hidden="1" customHeight="1">
      <c r="A834" s="71"/>
      <c r="B834" s="72">
        <f t="shared" si="108"/>
        <v>0</v>
      </c>
      <c r="C834" s="85" t="s">
        <v>5787</v>
      </c>
      <c r="D834" s="75">
        <v>5654</v>
      </c>
      <c r="E834" s="75" t="s">
        <v>3193</v>
      </c>
      <c r="F834" s="75"/>
      <c r="G834" s="74">
        <f t="shared" si="109"/>
        <v>0</v>
      </c>
      <c r="H834" s="74"/>
      <c r="I834" s="74">
        <f t="shared" si="110"/>
        <v>0</v>
      </c>
      <c r="J834" s="74"/>
      <c r="K834" s="74">
        <f t="shared" si="111"/>
        <v>0</v>
      </c>
      <c r="L834" s="74"/>
      <c r="M834" s="74">
        <f t="shared" si="112"/>
        <v>0</v>
      </c>
      <c r="N834" s="74">
        <f t="shared" si="113"/>
        <v>0</v>
      </c>
      <c r="O834" s="74">
        <f t="shared" si="114"/>
        <v>0</v>
      </c>
      <c r="P834" s="74">
        <f t="shared" si="115"/>
        <v>0</v>
      </c>
      <c r="Q834" s="74">
        <f t="shared" si="116"/>
        <v>0</v>
      </c>
    </row>
    <row r="835" spans="1:17" ht="81.75" customHeight="1">
      <c r="A835" s="71"/>
      <c r="B835" s="72">
        <f t="shared" si="108"/>
        <v>24.3</v>
      </c>
      <c r="C835" s="99" t="s">
        <v>5788</v>
      </c>
      <c r="D835" s="75">
        <f>Data!W71</f>
        <v>8106</v>
      </c>
      <c r="E835" s="95" t="s">
        <v>724</v>
      </c>
      <c r="F835" s="1425">
        <f>'Detail '!I2703</f>
        <v>24.3</v>
      </c>
      <c r="G835" s="74">
        <f t="shared" si="109"/>
        <v>196975.8</v>
      </c>
      <c r="H835" s="74"/>
      <c r="I835" s="74">
        <f t="shared" si="110"/>
        <v>0</v>
      </c>
      <c r="J835" s="74"/>
      <c r="K835" s="74">
        <f t="shared" si="111"/>
        <v>0</v>
      </c>
      <c r="L835" s="74"/>
      <c r="M835" s="74">
        <f t="shared" si="112"/>
        <v>0</v>
      </c>
      <c r="N835" s="74">
        <f t="shared" si="113"/>
        <v>0</v>
      </c>
      <c r="O835" s="74">
        <f t="shared" si="114"/>
        <v>0</v>
      </c>
      <c r="P835" s="74">
        <f t="shared" si="115"/>
        <v>24.3</v>
      </c>
      <c r="Q835" s="74">
        <f t="shared" si="116"/>
        <v>196975.8</v>
      </c>
    </row>
    <row r="836" spans="1:17" ht="69.75">
      <c r="A836" s="71"/>
      <c r="B836" s="72">
        <f t="shared" si="108"/>
        <v>174.2</v>
      </c>
      <c r="C836" s="99" t="s">
        <v>5789</v>
      </c>
      <c r="D836" s="75">
        <f>Data!W72</f>
        <v>7482</v>
      </c>
      <c r="E836" s="95" t="s">
        <v>724</v>
      </c>
      <c r="F836" s="1425">
        <f>'Detail '!I2712</f>
        <v>174.2</v>
      </c>
      <c r="G836" s="74">
        <f t="shared" si="109"/>
        <v>1303364.3999999999</v>
      </c>
      <c r="H836" s="74"/>
      <c r="I836" s="74">
        <f t="shared" si="110"/>
        <v>0</v>
      </c>
      <c r="J836" s="74"/>
      <c r="K836" s="74">
        <f t="shared" si="111"/>
        <v>0</v>
      </c>
      <c r="L836" s="74"/>
      <c r="M836" s="74">
        <f t="shared" si="112"/>
        <v>0</v>
      </c>
      <c r="N836" s="74">
        <f t="shared" si="113"/>
        <v>0</v>
      </c>
      <c r="O836" s="74">
        <f t="shared" si="114"/>
        <v>0</v>
      </c>
      <c r="P836" s="74">
        <f t="shared" si="115"/>
        <v>174.2</v>
      </c>
      <c r="Q836" s="74">
        <f t="shared" si="116"/>
        <v>1303364.3999999999</v>
      </c>
    </row>
    <row r="837" spans="1:17" ht="46.5" hidden="1" customHeight="1">
      <c r="A837" s="71"/>
      <c r="B837" s="72">
        <f t="shared" ref="B837:B900" si="117">P837</f>
        <v>0</v>
      </c>
      <c r="C837" s="85" t="s">
        <v>5790</v>
      </c>
      <c r="D837" s="86">
        <v>25000</v>
      </c>
      <c r="E837" s="88" t="s">
        <v>1715</v>
      </c>
      <c r="F837" s="75"/>
      <c r="G837" s="74">
        <f t="shared" si="109"/>
        <v>0</v>
      </c>
      <c r="H837" s="74"/>
      <c r="I837" s="74">
        <f t="shared" si="110"/>
        <v>0</v>
      </c>
      <c r="J837" s="74"/>
      <c r="K837" s="74">
        <f t="shared" si="111"/>
        <v>0</v>
      </c>
      <c r="L837" s="74"/>
      <c r="M837" s="74">
        <f t="shared" si="112"/>
        <v>0</v>
      </c>
      <c r="N837" s="74">
        <f t="shared" si="113"/>
        <v>0</v>
      </c>
      <c r="O837" s="74">
        <f t="shared" si="114"/>
        <v>0</v>
      </c>
      <c r="P837" s="74">
        <f t="shared" si="115"/>
        <v>0</v>
      </c>
      <c r="Q837" s="74">
        <f t="shared" si="116"/>
        <v>0</v>
      </c>
    </row>
    <row r="838" spans="1:17" ht="69.75" hidden="1" customHeight="1">
      <c r="A838" s="71"/>
      <c r="B838" s="72">
        <f t="shared" si="117"/>
        <v>0</v>
      </c>
      <c r="C838" s="85" t="s">
        <v>3984</v>
      </c>
      <c r="D838" s="84">
        <f>Data!W74</f>
        <v>2419</v>
      </c>
      <c r="E838" s="84" t="s">
        <v>724</v>
      </c>
      <c r="F838" s="75"/>
      <c r="G838" s="74">
        <f t="shared" ref="G838:G901" si="118">F838*D838</f>
        <v>0</v>
      </c>
      <c r="H838" s="74"/>
      <c r="I838" s="74">
        <f t="shared" ref="I838:I901" si="119">H838*D838</f>
        <v>0</v>
      </c>
      <c r="J838" s="74"/>
      <c r="K838" s="74">
        <f t="shared" ref="K838:K901" si="120">J838*D838</f>
        <v>0</v>
      </c>
      <c r="L838" s="74"/>
      <c r="M838" s="74">
        <f t="shared" ref="M838:M901" si="121">L838*D838</f>
        <v>0</v>
      </c>
      <c r="N838" s="74">
        <f t="shared" ref="N838:N901" si="122">H838+J838+L838</f>
        <v>0</v>
      </c>
      <c r="O838" s="74">
        <f t="shared" ref="O838:O901" si="123">N838*D838</f>
        <v>0</v>
      </c>
      <c r="P838" s="74">
        <f t="shared" ref="P838:P901" si="124">N838+F838</f>
        <v>0</v>
      </c>
      <c r="Q838" s="74">
        <f t="shared" ref="Q838:Q901" si="125">P838*D838</f>
        <v>0</v>
      </c>
    </row>
    <row r="839" spans="1:17" ht="141.75" hidden="1" customHeight="1">
      <c r="A839" s="71"/>
      <c r="B839" s="72">
        <f t="shared" si="117"/>
        <v>0</v>
      </c>
      <c r="C839" s="102" t="s">
        <v>5791</v>
      </c>
      <c r="D839" s="103"/>
      <c r="E839" s="103" t="s">
        <v>724</v>
      </c>
      <c r="F839" s="1248"/>
      <c r="G839" s="74">
        <f t="shared" si="118"/>
        <v>0</v>
      </c>
      <c r="H839" s="74"/>
      <c r="I839" s="74">
        <f t="shared" si="119"/>
        <v>0</v>
      </c>
      <c r="J839" s="74"/>
      <c r="K839" s="74">
        <f t="shared" si="120"/>
        <v>0</v>
      </c>
      <c r="L839" s="74"/>
      <c r="M839" s="74">
        <f t="shared" si="121"/>
        <v>0</v>
      </c>
      <c r="N839" s="74">
        <f t="shared" si="122"/>
        <v>0</v>
      </c>
      <c r="O839" s="74">
        <f t="shared" si="123"/>
        <v>0</v>
      </c>
      <c r="P839" s="74">
        <f t="shared" si="124"/>
        <v>0</v>
      </c>
      <c r="Q839" s="74">
        <f t="shared" si="125"/>
        <v>0</v>
      </c>
    </row>
    <row r="840" spans="1:17" ht="46.5">
      <c r="A840" s="71"/>
      <c r="B840" s="72">
        <f t="shared" si="117"/>
        <v>0</v>
      </c>
      <c r="C840" s="99" t="s">
        <v>5792</v>
      </c>
      <c r="D840" s="86"/>
      <c r="E840" s="88"/>
      <c r="F840" s="75"/>
      <c r="G840" s="74">
        <f t="shared" si="118"/>
        <v>0</v>
      </c>
      <c r="H840" s="74"/>
      <c r="I840" s="74">
        <f t="shared" si="119"/>
        <v>0</v>
      </c>
      <c r="J840" s="74"/>
      <c r="K840" s="74">
        <f t="shared" si="120"/>
        <v>0</v>
      </c>
      <c r="L840" s="74"/>
      <c r="M840" s="74">
        <f t="shared" si="121"/>
        <v>0</v>
      </c>
      <c r="N840" s="74">
        <f t="shared" si="122"/>
        <v>0</v>
      </c>
      <c r="O840" s="74">
        <f t="shared" si="123"/>
        <v>0</v>
      </c>
      <c r="P840" s="74">
        <f t="shared" si="124"/>
        <v>0</v>
      </c>
      <c r="Q840" s="74">
        <f t="shared" si="125"/>
        <v>0</v>
      </c>
    </row>
    <row r="841" spans="1:17" ht="23.25" hidden="1" customHeight="1">
      <c r="A841" s="71"/>
      <c r="B841" s="72">
        <f t="shared" si="117"/>
        <v>0</v>
      </c>
      <c r="C841" s="72" t="s">
        <v>5793</v>
      </c>
      <c r="D841" s="86">
        <f>Data!X3596</f>
        <v>3059.37</v>
      </c>
      <c r="E841" s="88" t="s">
        <v>724</v>
      </c>
      <c r="F841" s="75"/>
      <c r="G841" s="74">
        <f t="shared" si="118"/>
        <v>0</v>
      </c>
      <c r="H841" s="74"/>
      <c r="I841" s="74">
        <f t="shared" si="119"/>
        <v>0</v>
      </c>
      <c r="J841" s="74"/>
      <c r="K841" s="74">
        <f t="shared" si="120"/>
        <v>0</v>
      </c>
      <c r="L841" s="74"/>
      <c r="M841" s="74">
        <f t="shared" si="121"/>
        <v>0</v>
      </c>
      <c r="N841" s="74">
        <f t="shared" si="122"/>
        <v>0</v>
      </c>
      <c r="O841" s="74">
        <f t="shared" si="123"/>
        <v>0</v>
      </c>
      <c r="P841" s="74">
        <f t="shared" si="124"/>
        <v>0</v>
      </c>
      <c r="Q841" s="74">
        <f t="shared" si="125"/>
        <v>0</v>
      </c>
    </row>
    <row r="842" spans="1:17" ht="23.25" hidden="1" customHeight="1">
      <c r="A842" s="71"/>
      <c r="B842" s="72">
        <f t="shared" si="117"/>
        <v>0</v>
      </c>
      <c r="C842" s="72" t="s">
        <v>5794</v>
      </c>
      <c r="D842" s="86">
        <f>Data!X3613</f>
        <v>3075.49</v>
      </c>
      <c r="E842" s="88" t="s">
        <v>724</v>
      </c>
      <c r="F842" s="75"/>
      <c r="G842" s="74">
        <f t="shared" si="118"/>
        <v>0</v>
      </c>
      <c r="H842" s="74"/>
      <c r="I842" s="74">
        <f t="shared" si="119"/>
        <v>0</v>
      </c>
      <c r="J842" s="74"/>
      <c r="K842" s="74">
        <f t="shared" si="120"/>
        <v>0</v>
      </c>
      <c r="L842" s="74"/>
      <c r="M842" s="74">
        <f t="shared" si="121"/>
        <v>0</v>
      </c>
      <c r="N842" s="74">
        <f t="shared" si="122"/>
        <v>0</v>
      </c>
      <c r="O842" s="74">
        <f t="shared" si="123"/>
        <v>0</v>
      </c>
      <c r="P842" s="74">
        <f t="shared" si="124"/>
        <v>0</v>
      </c>
      <c r="Q842" s="74">
        <f t="shared" si="125"/>
        <v>0</v>
      </c>
    </row>
    <row r="843" spans="1:17" ht="23.25" hidden="1" customHeight="1">
      <c r="A843" s="71"/>
      <c r="B843" s="72">
        <f t="shared" si="117"/>
        <v>0</v>
      </c>
      <c r="C843" s="72" t="s">
        <v>5795</v>
      </c>
      <c r="D843" s="86">
        <f>Data!X3581</f>
        <v>3101.78</v>
      </c>
      <c r="E843" s="88" t="s">
        <v>724</v>
      </c>
      <c r="F843" s="75"/>
      <c r="G843" s="74">
        <f t="shared" si="118"/>
        <v>0</v>
      </c>
      <c r="H843" s="74"/>
      <c r="I843" s="74">
        <f t="shared" si="119"/>
        <v>0</v>
      </c>
      <c r="J843" s="74"/>
      <c r="K843" s="74">
        <f t="shared" si="120"/>
        <v>0</v>
      </c>
      <c r="L843" s="74"/>
      <c r="M843" s="74">
        <f t="shared" si="121"/>
        <v>0</v>
      </c>
      <c r="N843" s="74">
        <f t="shared" si="122"/>
        <v>0</v>
      </c>
      <c r="O843" s="74">
        <f t="shared" si="123"/>
        <v>0</v>
      </c>
      <c r="P843" s="74">
        <f t="shared" si="124"/>
        <v>0</v>
      </c>
      <c r="Q843" s="74">
        <f t="shared" si="125"/>
        <v>0</v>
      </c>
    </row>
    <row r="844" spans="1:17" ht="23.25" hidden="1" customHeight="1">
      <c r="A844" s="71"/>
      <c r="B844" s="72">
        <f t="shared" si="117"/>
        <v>0</v>
      </c>
      <c r="C844" s="72" t="s">
        <v>5796</v>
      </c>
      <c r="D844" s="86">
        <f>Data!X3565</f>
        <v>3176.09</v>
      </c>
      <c r="E844" s="88" t="s">
        <v>724</v>
      </c>
      <c r="F844" s="75"/>
      <c r="G844" s="74">
        <f t="shared" si="118"/>
        <v>0</v>
      </c>
      <c r="H844" s="74"/>
      <c r="I844" s="74">
        <f t="shared" si="119"/>
        <v>0</v>
      </c>
      <c r="J844" s="74"/>
      <c r="K844" s="74">
        <f t="shared" si="120"/>
        <v>0</v>
      </c>
      <c r="L844" s="74"/>
      <c r="M844" s="74">
        <f t="shared" si="121"/>
        <v>0</v>
      </c>
      <c r="N844" s="74">
        <f t="shared" si="122"/>
        <v>0</v>
      </c>
      <c r="O844" s="74">
        <f t="shared" si="123"/>
        <v>0</v>
      </c>
      <c r="P844" s="74">
        <f t="shared" si="124"/>
        <v>0</v>
      </c>
      <c r="Q844" s="74">
        <f t="shared" si="125"/>
        <v>0</v>
      </c>
    </row>
    <row r="845" spans="1:17" ht="23.25" hidden="1" customHeight="1">
      <c r="A845" s="71"/>
      <c r="B845" s="72">
        <f t="shared" si="117"/>
        <v>0</v>
      </c>
      <c r="C845" s="72" t="s">
        <v>5797</v>
      </c>
      <c r="D845" s="86">
        <f>Data!K3533</f>
        <v>3309.18</v>
      </c>
      <c r="E845" s="88" t="s">
        <v>724</v>
      </c>
      <c r="F845" s="75"/>
      <c r="G845" s="74">
        <f t="shared" si="118"/>
        <v>0</v>
      </c>
      <c r="H845" s="74"/>
      <c r="I845" s="74">
        <f t="shared" si="119"/>
        <v>0</v>
      </c>
      <c r="J845" s="74"/>
      <c r="K845" s="74">
        <f t="shared" si="120"/>
        <v>0</v>
      </c>
      <c r="L845" s="74"/>
      <c r="M845" s="74">
        <f t="shared" si="121"/>
        <v>0</v>
      </c>
      <c r="N845" s="74">
        <f t="shared" si="122"/>
        <v>0</v>
      </c>
      <c r="O845" s="74">
        <f t="shared" si="123"/>
        <v>0</v>
      </c>
      <c r="P845" s="74">
        <f t="shared" si="124"/>
        <v>0</v>
      </c>
      <c r="Q845" s="74">
        <f t="shared" si="125"/>
        <v>0</v>
      </c>
    </row>
    <row r="846" spans="1:17">
      <c r="A846" s="71"/>
      <c r="B846" s="72">
        <f t="shared" si="117"/>
        <v>0</v>
      </c>
      <c r="C846" s="72" t="s">
        <v>5798</v>
      </c>
      <c r="D846" s="86">
        <f>Data!X3628</f>
        <v>3333.87</v>
      </c>
      <c r="E846" s="88" t="s">
        <v>724</v>
      </c>
      <c r="F846" s="75"/>
      <c r="G846" s="74">
        <f t="shared" si="118"/>
        <v>0</v>
      </c>
      <c r="H846" s="74"/>
      <c r="I846" s="74">
        <f t="shared" si="119"/>
        <v>0</v>
      </c>
      <c r="J846" s="74"/>
      <c r="K846" s="74">
        <f t="shared" si="120"/>
        <v>0</v>
      </c>
      <c r="L846" s="74"/>
      <c r="M846" s="74">
        <f t="shared" si="121"/>
        <v>0</v>
      </c>
      <c r="N846" s="74">
        <f t="shared" si="122"/>
        <v>0</v>
      </c>
      <c r="O846" s="74">
        <f t="shared" si="123"/>
        <v>0</v>
      </c>
      <c r="P846" s="74">
        <f t="shared" si="124"/>
        <v>0</v>
      </c>
      <c r="Q846" s="74">
        <f t="shared" si="125"/>
        <v>0</v>
      </c>
    </row>
    <row r="847" spans="1:17">
      <c r="A847" s="71"/>
      <c r="B847" s="72">
        <f t="shared" si="117"/>
        <v>0</v>
      </c>
      <c r="C847" s="72" t="s">
        <v>5799</v>
      </c>
      <c r="D847" s="86">
        <f>Data!K3549</f>
        <v>3021.75</v>
      </c>
      <c r="E847" s="88" t="s">
        <v>724</v>
      </c>
      <c r="F847" s="75"/>
      <c r="G847" s="74">
        <f t="shared" si="118"/>
        <v>0</v>
      </c>
      <c r="H847" s="74"/>
      <c r="I847" s="74">
        <f t="shared" si="119"/>
        <v>0</v>
      </c>
      <c r="J847" s="74"/>
      <c r="K847" s="74">
        <f t="shared" si="120"/>
        <v>0</v>
      </c>
      <c r="L847" s="74"/>
      <c r="M847" s="74">
        <f t="shared" si="121"/>
        <v>0</v>
      </c>
      <c r="N847" s="74">
        <f t="shared" si="122"/>
        <v>0</v>
      </c>
      <c r="O847" s="74">
        <f t="shared" si="123"/>
        <v>0</v>
      </c>
      <c r="P847" s="74">
        <f t="shared" si="124"/>
        <v>0</v>
      </c>
      <c r="Q847" s="74">
        <f t="shared" si="125"/>
        <v>0</v>
      </c>
    </row>
    <row r="848" spans="1:17" ht="44.25" hidden="1" customHeight="1">
      <c r="A848" s="71"/>
      <c r="B848" s="72">
        <f t="shared" si="117"/>
        <v>0</v>
      </c>
      <c r="C848" s="72" t="s">
        <v>5800</v>
      </c>
      <c r="D848" s="86">
        <f>Data!X3549</f>
        <v>2994.41</v>
      </c>
      <c r="E848" s="88" t="s">
        <v>724</v>
      </c>
      <c r="F848" s="75"/>
      <c r="G848" s="74">
        <f t="shared" si="118"/>
        <v>0</v>
      </c>
      <c r="H848" s="74"/>
      <c r="I848" s="74">
        <f t="shared" si="119"/>
        <v>0</v>
      </c>
      <c r="J848" s="74"/>
      <c r="K848" s="74">
        <f t="shared" si="120"/>
        <v>0</v>
      </c>
      <c r="L848" s="74"/>
      <c r="M848" s="74">
        <f t="shared" si="121"/>
        <v>0</v>
      </c>
      <c r="N848" s="74">
        <f t="shared" si="122"/>
        <v>0</v>
      </c>
      <c r="O848" s="74">
        <f t="shared" si="123"/>
        <v>0</v>
      </c>
      <c r="P848" s="74">
        <f t="shared" si="124"/>
        <v>0</v>
      </c>
      <c r="Q848" s="74">
        <f t="shared" si="125"/>
        <v>0</v>
      </c>
    </row>
    <row r="849" spans="1:17" ht="44.25" customHeight="1">
      <c r="A849" s="71"/>
      <c r="B849" s="72">
        <f t="shared" si="117"/>
        <v>0</v>
      </c>
      <c r="C849" s="72" t="s">
        <v>5801</v>
      </c>
      <c r="D849" s="86">
        <f>Data!AG3549</f>
        <v>3088.84</v>
      </c>
      <c r="E849" s="88" t="s">
        <v>724</v>
      </c>
      <c r="F849" s="75"/>
      <c r="G849" s="74">
        <f t="shared" si="118"/>
        <v>0</v>
      </c>
      <c r="H849" s="74"/>
      <c r="I849" s="74">
        <f t="shared" si="119"/>
        <v>0</v>
      </c>
      <c r="J849" s="74"/>
      <c r="K849" s="74">
        <f t="shared" si="120"/>
        <v>0</v>
      </c>
      <c r="L849" s="74"/>
      <c r="M849" s="74">
        <f t="shared" si="121"/>
        <v>0</v>
      </c>
      <c r="N849" s="74">
        <f t="shared" si="122"/>
        <v>0</v>
      </c>
      <c r="O849" s="74">
        <f t="shared" si="123"/>
        <v>0</v>
      </c>
      <c r="P849" s="74">
        <f t="shared" si="124"/>
        <v>0</v>
      </c>
      <c r="Q849" s="74">
        <f t="shared" si="125"/>
        <v>0</v>
      </c>
    </row>
    <row r="850" spans="1:17" ht="44.25" hidden="1" customHeight="1">
      <c r="A850" s="71"/>
      <c r="B850" s="72">
        <f t="shared" si="117"/>
        <v>0</v>
      </c>
      <c r="C850" s="72" t="s">
        <v>5802</v>
      </c>
      <c r="D850" s="86">
        <f>Data!AD3629</f>
        <v>0</v>
      </c>
      <c r="E850" s="88" t="s">
        <v>724</v>
      </c>
      <c r="F850" s="75"/>
      <c r="G850" s="74">
        <f t="shared" si="118"/>
        <v>0</v>
      </c>
      <c r="H850" s="74"/>
      <c r="I850" s="74">
        <f t="shared" si="119"/>
        <v>0</v>
      </c>
      <c r="J850" s="74"/>
      <c r="K850" s="74">
        <f t="shared" si="120"/>
        <v>0</v>
      </c>
      <c r="L850" s="74"/>
      <c r="M850" s="74">
        <f t="shared" si="121"/>
        <v>0</v>
      </c>
      <c r="N850" s="74">
        <f t="shared" si="122"/>
        <v>0</v>
      </c>
      <c r="O850" s="74">
        <f t="shared" si="123"/>
        <v>0</v>
      </c>
      <c r="P850" s="74">
        <f t="shared" si="124"/>
        <v>0</v>
      </c>
      <c r="Q850" s="74">
        <f t="shared" si="125"/>
        <v>0</v>
      </c>
    </row>
    <row r="851" spans="1:17" ht="46.5" hidden="1" customHeight="1">
      <c r="A851" s="71"/>
      <c r="B851" s="72">
        <f t="shared" si="117"/>
        <v>0</v>
      </c>
      <c r="C851" s="72" t="s">
        <v>5803</v>
      </c>
      <c r="D851" s="75">
        <f>Data!K2353</f>
        <v>33.56</v>
      </c>
      <c r="E851" s="75" t="s">
        <v>724</v>
      </c>
      <c r="F851" s="75"/>
      <c r="G851" s="74">
        <f t="shared" si="118"/>
        <v>0</v>
      </c>
      <c r="H851" s="74"/>
      <c r="I851" s="74">
        <f t="shared" si="119"/>
        <v>0</v>
      </c>
      <c r="J851" s="74"/>
      <c r="K851" s="74">
        <f t="shared" si="120"/>
        <v>0</v>
      </c>
      <c r="L851" s="74"/>
      <c r="M851" s="74">
        <f t="shared" si="121"/>
        <v>0</v>
      </c>
      <c r="N851" s="74">
        <f t="shared" si="122"/>
        <v>0</v>
      </c>
      <c r="O851" s="74">
        <f t="shared" si="123"/>
        <v>0</v>
      </c>
      <c r="P851" s="74">
        <f t="shared" si="124"/>
        <v>0</v>
      </c>
      <c r="Q851" s="74">
        <f t="shared" si="125"/>
        <v>0</v>
      </c>
    </row>
    <row r="852" spans="1:17" ht="104.25" hidden="1" customHeight="1">
      <c r="A852" s="71"/>
      <c r="B852" s="72">
        <f t="shared" si="117"/>
        <v>0</v>
      </c>
      <c r="C852" s="99" t="s">
        <v>5804</v>
      </c>
      <c r="D852" s="75"/>
      <c r="E852" s="75"/>
      <c r="F852" s="75"/>
      <c r="G852" s="74">
        <f t="shared" si="118"/>
        <v>0</v>
      </c>
      <c r="H852" s="74"/>
      <c r="I852" s="74">
        <f t="shared" si="119"/>
        <v>0</v>
      </c>
      <c r="J852" s="74"/>
      <c r="K852" s="74">
        <f t="shared" si="120"/>
        <v>0</v>
      </c>
      <c r="L852" s="74"/>
      <c r="M852" s="74">
        <f t="shared" si="121"/>
        <v>0</v>
      </c>
      <c r="N852" s="74">
        <f t="shared" si="122"/>
        <v>0</v>
      </c>
      <c r="O852" s="74">
        <f t="shared" si="123"/>
        <v>0</v>
      </c>
      <c r="P852" s="74">
        <f t="shared" si="124"/>
        <v>0</v>
      </c>
      <c r="Q852" s="74">
        <f t="shared" si="125"/>
        <v>0</v>
      </c>
    </row>
    <row r="853" spans="1:17" ht="55.5" hidden="1" customHeight="1">
      <c r="A853" s="71"/>
      <c r="B853" s="72">
        <f t="shared" si="117"/>
        <v>0</v>
      </c>
      <c r="C853" s="72" t="s">
        <v>5341</v>
      </c>
      <c r="D853" s="75">
        <f>Data!AD1197</f>
        <v>1967.63</v>
      </c>
      <c r="E853" s="75" t="s">
        <v>724</v>
      </c>
      <c r="F853" s="75"/>
      <c r="G853" s="74">
        <f t="shared" si="118"/>
        <v>0</v>
      </c>
      <c r="H853" s="74"/>
      <c r="I853" s="74">
        <f t="shared" si="119"/>
        <v>0</v>
      </c>
      <c r="J853" s="74"/>
      <c r="K853" s="74">
        <f t="shared" si="120"/>
        <v>0</v>
      </c>
      <c r="L853" s="74"/>
      <c r="M853" s="74">
        <f t="shared" si="121"/>
        <v>0</v>
      </c>
      <c r="N853" s="74">
        <f t="shared" si="122"/>
        <v>0</v>
      </c>
      <c r="O853" s="74">
        <f t="shared" si="123"/>
        <v>0</v>
      </c>
      <c r="P853" s="74">
        <f t="shared" si="124"/>
        <v>0</v>
      </c>
      <c r="Q853" s="74">
        <f t="shared" si="125"/>
        <v>0</v>
      </c>
    </row>
    <row r="854" spans="1:17" ht="46.5" hidden="1" customHeight="1">
      <c r="A854" s="71"/>
      <c r="B854" s="72">
        <f t="shared" si="117"/>
        <v>0</v>
      </c>
      <c r="C854" s="72" t="s">
        <v>5342</v>
      </c>
      <c r="D854" s="75">
        <f>Data!AD1198</f>
        <v>1972.55</v>
      </c>
      <c r="E854" s="75" t="s">
        <v>724</v>
      </c>
      <c r="F854" s="75"/>
      <c r="G854" s="74">
        <f t="shared" si="118"/>
        <v>0</v>
      </c>
      <c r="H854" s="74"/>
      <c r="I854" s="74">
        <f t="shared" si="119"/>
        <v>0</v>
      </c>
      <c r="J854" s="74"/>
      <c r="K854" s="74">
        <f t="shared" si="120"/>
        <v>0</v>
      </c>
      <c r="L854" s="74"/>
      <c r="M854" s="74">
        <f t="shared" si="121"/>
        <v>0</v>
      </c>
      <c r="N854" s="74">
        <f t="shared" si="122"/>
        <v>0</v>
      </c>
      <c r="O854" s="74">
        <f t="shared" si="123"/>
        <v>0</v>
      </c>
      <c r="P854" s="74">
        <f t="shared" si="124"/>
        <v>0</v>
      </c>
      <c r="Q854" s="74">
        <f t="shared" si="125"/>
        <v>0</v>
      </c>
    </row>
    <row r="855" spans="1:17" ht="46.5" hidden="1" customHeight="1">
      <c r="A855" s="71"/>
      <c r="B855" s="72">
        <f t="shared" si="117"/>
        <v>0</v>
      </c>
      <c r="C855" s="72" t="s">
        <v>5343</v>
      </c>
      <c r="D855" s="75">
        <f>Data!AD1199</f>
        <v>1977.47</v>
      </c>
      <c r="E855" s="75" t="s">
        <v>724</v>
      </c>
      <c r="F855" s="75"/>
      <c r="G855" s="74">
        <f t="shared" si="118"/>
        <v>0</v>
      </c>
      <c r="H855" s="74"/>
      <c r="I855" s="74">
        <f t="shared" si="119"/>
        <v>0</v>
      </c>
      <c r="J855" s="74"/>
      <c r="K855" s="74">
        <f t="shared" si="120"/>
        <v>0</v>
      </c>
      <c r="L855" s="74"/>
      <c r="M855" s="74">
        <f t="shared" si="121"/>
        <v>0</v>
      </c>
      <c r="N855" s="74">
        <f t="shared" si="122"/>
        <v>0</v>
      </c>
      <c r="O855" s="74">
        <f t="shared" si="123"/>
        <v>0</v>
      </c>
      <c r="P855" s="74">
        <f t="shared" si="124"/>
        <v>0</v>
      </c>
      <c r="Q855" s="74">
        <f t="shared" si="125"/>
        <v>0</v>
      </c>
    </row>
    <row r="856" spans="1:17" ht="42" hidden="1" customHeight="1">
      <c r="A856" s="71"/>
      <c r="B856" s="72">
        <f t="shared" si="117"/>
        <v>0</v>
      </c>
      <c r="C856" s="72" t="s">
        <v>5344</v>
      </c>
      <c r="D856" s="75">
        <f>Data!AD1200</f>
        <v>1982.39</v>
      </c>
      <c r="E856" s="75" t="s">
        <v>724</v>
      </c>
      <c r="F856" s="75"/>
      <c r="G856" s="74">
        <f t="shared" si="118"/>
        <v>0</v>
      </c>
      <c r="H856" s="74"/>
      <c r="I856" s="74">
        <f t="shared" si="119"/>
        <v>0</v>
      </c>
      <c r="J856" s="74"/>
      <c r="K856" s="74">
        <f t="shared" si="120"/>
        <v>0</v>
      </c>
      <c r="L856" s="74"/>
      <c r="M856" s="74">
        <f t="shared" si="121"/>
        <v>0</v>
      </c>
      <c r="N856" s="74">
        <f t="shared" si="122"/>
        <v>0</v>
      </c>
      <c r="O856" s="74">
        <f t="shared" si="123"/>
        <v>0</v>
      </c>
      <c r="P856" s="74">
        <f t="shared" si="124"/>
        <v>0</v>
      </c>
      <c r="Q856" s="74">
        <f t="shared" si="125"/>
        <v>0</v>
      </c>
    </row>
    <row r="857" spans="1:17" s="55" customFormat="1" ht="57.75" hidden="1" customHeight="1">
      <c r="A857" s="71"/>
      <c r="B857" s="72">
        <f t="shared" si="117"/>
        <v>0</v>
      </c>
      <c r="C857" s="99" t="s">
        <v>5805</v>
      </c>
      <c r="D857" s="75"/>
      <c r="E857" s="75"/>
      <c r="F857" s="75"/>
      <c r="G857" s="74">
        <f t="shared" si="118"/>
        <v>0</v>
      </c>
      <c r="H857" s="74"/>
      <c r="I857" s="74">
        <f t="shared" si="119"/>
        <v>0</v>
      </c>
      <c r="J857" s="74"/>
      <c r="K857" s="74">
        <f t="shared" si="120"/>
        <v>0</v>
      </c>
      <c r="L857" s="74"/>
      <c r="M857" s="74">
        <f t="shared" si="121"/>
        <v>0</v>
      </c>
      <c r="N857" s="74">
        <f t="shared" si="122"/>
        <v>0</v>
      </c>
      <c r="O857" s="74">
        <f t="shared" si="123"/>
        <v>0</v>
      </c>
      <c r="P857" s="74">
        <f t="shared" si="124"/>
        <v>0</v>
      </c>
      <c r="Q857" s="74">
        <f t="shared" si="125"/>
        <v>0</v>
      </c>
    </row>
    <row r="858" spans="1:17" s="55" customFormat="1" ht="48.75" hidden="1" customHeight="1">
      <c r="A858" s="71"/>
      <c r="B858" s="72">
        <f t="shared" si="117"/>
        <v>0</v>
      </c>
      <c r="C858" s="72" t="s">
        <v>5341</v>
      </c>
      <c r="D858" s="75">
        <f>Data!AK1197</f>
        <v>1115.3800000000001</v>
      </c>
      <c r="E858" s="75" t="s">
        <v>724</v>
      </c>
      <c r="F858" s="75"/>
      <c r="G858" s="74">
        <f t="shared" si="118"/>
        <v>0</v>
      </c>
      <c r="H858" s="74"/>
      <c r="I858" s="74">
        <f t="shared" si="119"/>
        <v>0</v>
      </c>
      <c r="J858" s="74"/>
      <c r="K858" s="74">
        <f t="shared" si="120"/>
        <v>0</v>
      </c>
      <c r="L858" s="74"/>
      <c r="M858" s="74">
        <f t="shared" si="121"/>
        <v>0</v>
      </c>
      <c r="N858" s="74">
        <f t="shared" si="122"/>
        <v>0</v>
      </c>
      <c r="O858" s="74">
        <f t="shared" si="123"/>
        <v>0</v>
      </c>
      <c r="P858" s="74">
        <f t="shared" si="124"/>
        <v>0</v>
      </c>
      <c r="Q858" s="74">
        <f t="shared" si="125"/>
        <v>0</v>
      </c>
    </row>
    <row r="859" spans="1:17" s="55" customFormat="1" ht="48.75" hidden="1" customHeight="1">
      <c r="A859" s="71"/>
      <c r="B859" s="72">
        <f t="shared" si="117"/>
        <v>0</v>
      </c>
      <c r="C859" s="72" t="s">
        <v>5342</v>
      </c>
      <c r="D859" s="75">
        <f>Data!AK1198</f>
        <v>1117.8399999999999</v>
      </c>
      <c r="E859" s="75" t="s">
        <v>724</v>
      </c>
      <c r="F859" s="75"/>
      <c r="G859" s="74">
        <f t="shared" si="118"/>
        <v>0</v>
      </c>
      <c r="H859" s="74"/>
      <c r="I859" s="74">
        <f t="shared" si="119"/>
        <v>0</v>
      </c>
      <c r="J859" s="74"/>
      <c r="K859" s="74">
        <f t="shared" si="120"/>
        <v>0</v>
      </c>
      <c r="L859" s="74"/>
      <c r="M859" s="74">
        <f t="shared" si="121"/>
        <v>0</v>
      </c>
      <c r="N859" s="74">
        <f t="shared" si="122"/>
        <v>0</v>
      </c>
      <c r="O859" s="74">
        <f t="shared" si="123"/>
        <v>0</v>
      </c>
      <c r="P859" s="74">
        <f t="shared" si="124"/>
        <v>0</v>
      </c>
      <c r="Q859" s="74">
        <f t="shared" si="125"/>
        <v>0</v>
      </c>
    </row>
    <row r="860" spans="1:17" s="55" customFormat="1" ht="48.75" hidden="1" customHeight="1">
      <c r="A860" s="71"/>
      <c r="B860" s="72">
        <f t="shared" si="117"/>
        <v>0</v>
      </c>
      <c r="C860" s="72" t="s">
        <v>5343</v>
      </c>
      <c r="D860" s="75">
        <f>Data!AK1199</f>
        <v>1120.3</v>
      </c>
      <c r="E860" s="75" t="s">
        <v>724</v>
      </c>
      <c r="F860" s="75"/>
      <c r="G860" s="74">
        <f t="shared" si="118"/>
        <v>0</v>
      </c>
      <c r="H860" s="74"/>
      <c r="I860" s="74">
        <f t="shared" si="119"/>
        <v>0</v>
      </c>
      <c r="J860" s="74"/>
      <c r="K860" s="74">
        <f t="shared" si="120"/>
        <v>0</v>
      </c>
      <c r="L860" s="74"/>
      <c r="M860" s="74">
        <f t="shared" si="121"/>
        <v>0</v>
      </c>
      <c r="N860" s="74">
        <f t="shared" si="122"/>
        <v>0</v>
      </c>
      <c r="O860" s="74">
        <f t="shared" si="123"/>
        <v>0</v>
      </c>
      <c r="P860" s="74">
        <f t="shared" si="124"/>
        <v>0</v>
      </c>
      <c r="Q860" s="74">
        <f t="shared" si="125"/>
        <v>0</v>
      </c>
    </row>
    <row r="861" spans="1:17" s="55" customFormat="1" ht="48.75" hidden="1" customHeight="1">
      <c r="A861" s="71"/>
      <c r="B861" s="72">
        <f t="shared" si="117"/>
        <v>0</v>
      </c>
      <c r="C861" s="72" t="s">
        <v>5806</v>
      </c>
      <c r="D861" s="75">
        <f>Data!AK1200</f>
        <v>1122.25</v>
      </c>
      <c r="E861" s="75" t="s">
        <v>724</v>
      </c>
      <c r="F861" s="75"/>
      <c r="G861" s="74">
        <f t="shared" si="118"/>
        <v>0</v>
      </c>
      <c r="H861" s="74"/>
      <c r="I861" s="74">
        <f t="shared" si="119"/>
        <v>0</v>
      </c>
      <c r="J861" s="74"/>
      <c r="K861" s="74">
        <f t="shared" si="120"/>
        <v>0</v>
      </c>
      <c r="L861" s="74"/>
      <c r="M861" s="74">
        <f t="shared" si="121"/>
        <v>0</v>
      </c>
      <c r="N861" s="74">
        <f t="shared" si="122"/>
        <v>0</v>
      </c>
      <c r="O861" s="74">
        <f t="shared" si="123"/>
        <v>0</v>
      </c>
      <c r="P861" s="74">
        <f t="shared" si="124"/>
        <v>0</v>
      </c>
      <c r="Q861" s="74">
        <f t="shared" si="125"/>
        <v>0</v>
      </c>
    </row>
    <row r="862" spans="1:17" ht="42" hidden="1" customHeight="1">
      <c r="A862" s="71"/>
      <c r="B862" s="72">
        <f t="shared" si="117"/>
        <v>0</v>
      </c>
      <c r="C862" s="99" t="s">
        <v>5807</v>
      </c>
      <c r="D862" s="86"/>
      <c r="E862" s="88"/>
      <c r="F862" s="75"/>
      <c r="G862" s="74">
        <f t="shared" si="118"/>
        <v>0</v>
      </c>
      <c r="H862" s="74"/>
      <c r="I862" s="74">
        <f t="shared" si="119"/>
        <v>0</v>
      </c>
      <c r="J862" s="74"/>
      <c r="K862" s="74">
        <f t="shared" si="120"/>
        <v>0</v>
      </c>
      <c r="L862" s="74"/>
      <c r="M862" s="74">
        <f t="shared" si="121"/>
        <v>0</v>
      </c>
      <c r="N862" s="74">
        <f t="shared" si="122"/>
        <v>0</v>
      </c>
      <c r="O862" s="74">
        <f t="shared" si="123"/>
        <v>0</v>
      </c>
      <c r="P862" s="74">
        <f t="shared" si="124"/>
        <v>0</v>
      </c>
      <c r="Q862" s="74">
        <f t="shared" si="125"/>
        <v>0</v>
      </c>
    </row>
    <row r="863" spans="1:17" ht="42" hidden="1" customHeight="1">
      <c r="A863" s="71"/>
      <c r="B863" s="72">
        <f t="shared" si="117"/>
        <v>0</v>
      </c>
      <c r="C863" s="85" t="s">
        <v>5808</v>
      </c>
      <c r="D863" s="86">
        <f>Data!R1486</f>
        <v>5206</v>
      </c>
      <c r="E863" s="88" t="s">
        <v>724</v>
      </c>
      <c r="F863" s="75"/>
      <c r="G863" s="74">
        <f t="shared" si="118"/>
        <v>0</v>
      </c>
      <c r="H863" s="74"/>
      <c r="I863" s="74">
        <f t="shared" si="119"/>
        <v>0</v>
      </c>
      <c r="J863" s="74"/>
      <c r="K863" s="74">
        <f t="shared" si="120"/>
        <v>0</v>
      </c>
      <c r="L863" s="74"/>
      <c r="M863" s="74">
        <f t="shared" si="121"/>
        <v>0</v>
      </c>
      <c r="N863" s="74">
        <f t="shared" si="122"/>
        <v>0</v>
      </c>
      <c r="O863" s="74">
        <f t="shared" si="123"/>
        <v>0</v>
      </c>
      <c r="P863" s="74">
        <f t="shared" si="124"/>
        <v>0</v>
      </c>
      <c r="Q863" s="74">
        <f t="shared" si="125"/>
        <v>0</v>
      </c>
    </row>
    <row r="864" spans="1:17" ht="42" hidden="1" customHeight="1">
      <c r="A864" s="71"/>
      <c r="B864" s="72">
        <f t="shared" si="117"/>
        <v>0</v>
      </c>
      <c r="C864" s="85" t="s">
        <v>5809</v>
      </c>
      <c r="D864" s="86">
        <f>Data!R1479</f>
        <v>5203.1499999999996</v>
      </c>
      <c r="E864" s="88" t="s">
        <v>724</v>
      </c>
      <c r="F864" s="75"/>
      <c r="G864" s="74">
        <f t="shared" si="118"/>
        <v>0</v>
      </c>
      <c r="H864" s="74"/>
      <c r="I864" s="74">
        <f t="shared" si="119"/>
        <v>0</v>
      </c>
      <c r="J864" s="74"/>
      <c r="K864" s="74">
        <f t="shared" si="120"/>
        <v>0</v>
      </c>
      <c r="L864" s="74"/>
      <c r="M864" s="74">
        <f t="shared" si="121"/>
        <v>0</v>
      </c>
      <c r="N864" s="74">
        <f t="shared" si="122"/>
        <v>0</v>
      </c>
      <c r="O864" s="74">
        <f t="shared" si="123"/>
        <v>0</v>
      </c>
      <c r="P864" s="74">
        <f t="shared" si="124"/>
        <v>0</v>
      </c>
      <c r="Q864" s="74">
        <f t="shared" si="125"/>
        <v>0</v>
      </c>
    </row>
    <row r="865" spans="1:17" ht="42" hidden="1" customHeight="1">
      <c r="A865" s="71"/>
      <c r="B865" s="72">
        <f t="shared" si="117"/>
        <v>0</v>
      </c>
      <c r="C865" s="85" t="s">
        <v>5810</v>
      </c>
      <c r="D865" s="86">
        <f>Data!R1479</f>
        <v>5203.1499999999996</v>
      </c>
      <c r="E865" s="88" t="s">
        <v>724</v>
      </c>
      <c r="F865" s="75"/>
      <c r="G865" s="74">
        <f t="shared" si="118"/>
        <v>0</v>
      </c>
      <c r="H865" s="74"/>
      <c r="I865" s="74">
        <f t="shared" si="119"/>
        <v>0</v>
      </c>
      <c r="J865" s="74"/>
      <c r="K865" s="74">
        <f t="shared" si="120"/>
        <v>0</v>
      </c>
      <c r="L865" s="74"/>
      <c r="M865" s="74">
        <f t="shared" si="121"/>
        <v>0</v>
      </c>
      <c r="N865" s="74">
        <f t="shared" si="122"/>
        <v>0</v>
      </c>
      <c r="O865" s="74">
        <f t="shared" si="123"/>
        <v>0</v>
      </c>
      <c r="P865" s="74">
        <f t="shared" si="124"/>
        <v>0</v>
      </c>
      <c r="Q865" s="74">
        <f t="shared" si="125"/>
        <v>0</v>
      </c>
    </row>
    <row r="866" spans="1:17" ht="37.5" hidden="1" customHeight="1">
      <c r="A866" s="71"/>
      <c r="B866" s="72">
        <f t="shared" si="117"/>
        <v>0</v>
      </c>
      <c r="C866" s="85" t="s">
        <v>5811</v>
      </c>
      <c r="D866" s="86">
        <f>Data!X1447</f>
        <v>5433.07</v>
      </c>
      <c r="E866" s="88" t="s">
        <v>724</v>
      </c>
      <c r="F866" s="75"/>
      <c r="G866" s="74">
        <f t="shared" si="118"/>
        <v>0</v>
      </c>
      <c r="H866" s="74"/>
      <c r="I866" s="74">
        <f t="shared" si="119"/>
        <v>0</v>
      </c>
      <c r="J866" s="74"/>
      <c r="K866" s="74">
        <f t="shared" si="120"/>
        <v>0</v>
      </c>
      <c r="L866" s="74"/>
      <c r="M866" s="74">
        <f t="shared" si="121"/>
        <v>0</v>
      </c>
      <c r="N866" s="74">
        <f t="shared" si="122"/>
        <v>0</v>
      </c>
      <c r="O866" s="74">
        <f t="shared" si="123"/>
        <v>0</v>
      </c>
      <c r="P866" s="74">
        <f t="shared" si="124"/>
        <v>0</v>
      </c>
      <c r="Q866" s="74">
        <f t="shared" si="125"/>
        <v>0</v>
      </c>
    </row>
    <row r="867" spans="1:17" ht="40.5" hidden="1" customHeight="1">
      <c r="A867" s="71"/>
      <c r="B867" s="72">
        <f t="shared" si="117"/>
        <v>0</v>
      </c>
      <c r="C867" s="85" t="s">
        <v>5812</v>
      </c>
      <c r="D867" s="86">
        <f>Data!X1440</f>
        <v>5768</v>
      </c>
      <c r="E867" s="88" t="s">
        <v>724</v>
      </c>
      <c r="F867" s="75"/>
      <c r="G867" s="74">
        <f t="shared" si="118"/>
        <v>0</v>
      </c>
      <c r="H867" s="74"/>
      <c r="I867" s="74">
        <f t="shared" si="119"/>
        <v>0</v>
      </c>
      <c r="J867" s="74"/>
      <c r="K867" s="74">
        <f t="shared" si="120"/>
        <v>0</v>
      </c>
      <c r="L867" s="74"/>
      <c r="M867" s="74">
        <f t="shared" si="121"/>
        <v>0</v>
      </c>
      <c r="N867" s="74">
        <f t="shared" si="122"/>
        <v>0</v>
      </c>
      <c r="O867" s="74">
        <f t="shared" si="123"/>
        <v>0</v>
      </c>
      <c r="P867" s="74">
        <f t="shared" si="124"/>
        <v>0</v>
      </c>
      <c r="Q867" s="74">
        <f t="shared" si="125"/>
        <v>0</v>
      </c>
    </row>
    <row r="868" spans="1:17" ht="43.5" hidden="1" customHeight="1">
      <c r="A868" s="71"/>
      <c r="B868" s="72">
        <f t="shared" si="117"/>
        <v>0</v>
      </c>
      <c r="C868" s="99" t="str">
        <f>'[3]Bldg+Dev'!$B$566</f>
        <v>Supply &amp; Fixing of MS door  (for lockup door )</v>
      </c>
      <c r="D868" s="75"/>
      <c r="E868" s="75"/>
      <c r="F868" s="75"/>
      <c r="G868" s="74">
        <f t="shared" si="118"/>
        <v>0</v>
      </c>
      <c r="H868" s="74"/>
      <c r="I868" s="74">
        <f t="shared" si="119"/>
        <v>0</v>
      </c>
      <c r="J868" s="74"/>
      <c r="K868" s="74">
        <f t="shared" si="120"/>
        <v>0</v>
      </c>
      <c r="L868" s="74"/>
      <c r="M868" s="74">
        <f t="shared" si="121"/>
        <v>0</v>
      </c>
      <c r="N868" s="74">
        <f t="shared" si="122"/>
        <v>0</v>
      </c>
      <c r="O868" s="74">
        <f t="shared" si="123"/>
        <v>0</v>
      </c>
      <c r="P868" s="74">
        <f t="shared" si="124"/>
        <v>0</v>
      </c>
      <c r="Q868" s="74">
        <f t="shared" si="125"/>
        <v>0</v>
      </c>
    </row>
    <row r="869" spans="1:17" ht="40.5" hidden="1" customHeight="1">
      <c r="A869" s="71"/>
      <c r="B869" s="72">
        <f t="shared" si="117"/>
        <v>0</v>
      </c>
      <c r="C869" s="72" t="s">
        <v>5813</v>
      </c>
      <c r="D869" s="75">
        <f>Data!K2545</f>
        <v>9385.85</v>
      </c>
      <c r="E869" s="75" t="s">
        <v>2847</v>
      </c>
      <c r="F869" s="75"/>
      <c r="G869" s="74">
        <f t="shared" si="118"/>
        <v>0</v>
      </c>
      <c r="H869" s="74"/>
      <c r="I869" s="74">
        <f t="shared" si="119"/>
        <v>0</v>
      </c>
      <c r="J869" s="74"/>
      <c r="K869" s="74">
        <f t="shared" si="120"/>
        <v>0</v>
      </c>
      <c r="L869" s="74"/>
      <c r="M869" s="74">
        <f t="shared" si="121"/>
        <v>0</v>
      </c>
      <c r="N869" s="74">
        <f t="shared" si="122"/>
        <v>0</v>
      </c>
      <c r="O869" s="74">
        <f t="shared" si="123"/>
        <v>0</v>
      </c>
      <c r="P869" s="74">
        <f t="shared" si="124"/>
        <v>0</v>
      </c>
      <c r="Q869" s="74">
        <f t="shared" si="125"/>
        <v>0</v>
      </c>
    </row>
    <row r="870" spans="1:17" ht="40.5" hidden="1" customHeight="1">
      <c r="A870" s="71"/>
      <c r="B870" s="72">
        <f t="shared" si="117"/>
        <v>0</v>
      </c>
      <c r="C870" s="72" t="s">
        <v>5814</v>
      </c>
      <c r="D870" s="75">
        <f>Data!K2580</f>
        <v>6112.29</v>
      </c>
      <c r="E870" s="75" t="s">
        <v>729</v>
      </c>
      <c r="F870" s="75"/>
      <c r="G870" s="74">
        <f t="shared" si="118"/>
        <v>0</v>
      </c>
      <c r="H870" s="74"/>
      <c r="I870" s="74">
        <f t="shared" si="119"/>
        <v>0</v>
      </c>
      <c r="J870" s="74"/>
      <c r="K870" s="74">
        <f t="shared" si="120"/>
        <v>0</v>
      </c>
      <c r="L870" s="74"/>
      <c r="M870" s="74">
        <f t="shared" si="121"/>
        <v>0</v>
      </c>
      <c r="N870" s="74">
        <f t="shared" si="122"/>
        <v>0</v>
      </c>
      <c r="O870" s="74">
        <f t="shared" si="123"/>
        <v>0</v>
      </c>
      <c r="P870" s="74">
        <f t="shared" si="124"/>
        <v>0</v>
      </c>
      <c r="Q870" s="74">
        <f t="shared" si="125"/>
        <v>0</v>
      </c>
    </row>
    <row r="871" spans="1:17" ht="69.75" hidden="1" customHeight="1">
      <c r="A871" s="71"/>
      <c r="B871" s="72">
        <f t="shared" si="117"/>
        <v>0</v>
      </c>
      <c r="C871" s="76" t="s">
        <v>5815</v>
      </c>
      <c r="D871" s="75"/>
      <c r="E871" s="75"/>
      <c r="F871" s="75"/>
      <c r="G871" s="74">
        <f t="shared" si="118"/>
        <v>0</v>
      </c>
      <c r="H871" s="74"/>
      <c r="I871" s="74">
        <f t="shared" si="119"/>
        <v>0</v>
      </c>
      <c r="J871" s="74"/>
      <c r="K871" s="74">
        <f t="shared" si="120"/>
        <v>0</v>
      </c>
      <c r="L871" s="74"/>
      <c r="M871" s="74">
        <f t="shared" si="121"/>
        <v>0</v>
      </c>
      <c r="N871" s="74">
        <f t="shared" si="122"/>
        <v>0</v>
      </c>
      <c r="O871" s="74">
        <f t="shared" si="123"/>
        <v>0</v>
      </c>
      <c r="P871" s="74">
        <f t="shared" si="124"/>
        <v>0</v>
      </c>
      <c r="Q871" s="74">
        <f t="shared" si="125"/>
        <v>0</v>
      </c>
    </row>
    <row r="872" spans="1:17" ht="51" hidden="1" customHeight="1">
      <c r="A872" s="71"/>
      <c r="B872" s="72">
        <f t="shared" si="117"/>
        <v>0</v>
      </c>
      <c r="C872" s="72" t="s">
        <v>5816</v>
      </c>
      <c r="D872" s="75">
        <f>Data!K2473</f>
        <v>4297.0600000000004</v>
      </c>
      <c r="E872" s="75" t="s">
        <v>724</v>
      </c>
      <c r="F872" s="75"/>
      <c r="G872" s="74">
        <f t="shared" si="118"/>
        <v>0</v>
      </c>
      <c r="H872" s="74"/>
      <c r="I872" s="74">
        <f t="shared" si="119"/>
        <v>0</v>
      </c>
      <c r="J872" s="74"/>
      <c r="K872" s="74">
        <f t="shared" si="120"/>
        <v>0</v>
      </c>
      <c r="L872" s="74"/>
      <c r="M872" s="74">
        <f t="shared" si="121"/>
        <v>0</v>
      </c>
      <c r="N872" s="74">
        <f t="shared" si="122"/>
        <v>0</v>
      </c>
      <c r="O872" s="74">
        <f t="shared" si="123"/>
        <v>0</v>
      </c>
      <c r="P872" s="74">
        <f t="shared" si="124"/>
        <v>0</v>
      </c>
      <c r="Q872" s="74">
        <f t="shared" si="125"/>
        <v>0</v>
      </c>
    </row>
    <row r="873" spans="1:17" ht="51" hidden="1" customHeight="1">
      <c r="A873" s="71"/>
      <c r="B873" s="72">
        <f t="shared" si="117"/>
        <v>0</v>
      </c>
      <c r="C873" s="72" t="s">
        <v>5817</v>
      </c>
      <c r="D873" s="86">
        <f>Data!J3860</f>
        <v>0</v>
      </c>
      <c r="E873" s="88" t="s">
        <v>724</v>
      </c>
      <c r="F873" s="75"/>
      <c r="G873" s="74">
        <f t="shared" si="118"/>
        <v>0</v>
      </c>
      <c r="H873" s="74"/>
      <c r="I873" s="74">
        <f t="shared" si="119"/>
        <v>0</v>
      </c>
      <c r="J873" s="74"/>
      <c r="K873" s="74">
        <f t="shared" si="120"/>
        <v>0</v>
      </c>
      <c r="L873" s="74"/>
      <c r="M873" s="74">
        <f t="shared" si="121"/>
        <v>0</v>
      </c>
      <c r="N873" s="74">
        <f t="shared" si="122"/>
        <v>0</v>
      </c>
      <c r="O873" s="74">
        <f t="shared" si="123"/>
        <v>0</v>
      </c>
      <c r="P873" s="74">
        <f t="shared" si="124"/>
        <v>0</v>
      </c>
      <c r="Q873" s="74">
        <f t="shared" si="125"/>
        <v>0</v>
      </c>
    </row>
    <row r="874" spans="1:17" ht="51" hidden="1" customHeight="1">
      <c r="A874" s="71"/>
      <c r="B874" s="72">
        <f t="shared" si="117"/>
        <v>0</v>
      </c>
      <c r="C874" s="72" t="s">
        <v>5818</v>
      </c>
      <c r="D874" s="86">
        <f>Data!R2521</f>
        <v>4348.82</v>
      </c>
      <c r="E874" s="88" t="s">
        <v>724</v>
      </c>
      <c r="F874" s="75"/>
      <c r="G874" s="74">
        <f t="shared" si="118"/>
        <v>0</v>
      </c>
      <c r="H874" s="74"/>
      <c r="I874" s="74">
        <f t="shared" si="119"/>
        <v>0</v>
      </c>
      <c r="J874" s="74"/>
      <c r="K874" s="74">
        <f t="shared" si="120"/>
        <v>0</v>
      </c>
      <c r="L874" s="74"/>
      <c r="M874" s="74">
        <f t="shared" si="121"/>
        <v>0</v>
      </c>
      <c r="N874" s="74">
        <f t="shared" si="122"/>
        <v>0</v>
      </c>
      <c r="O874" s="74">
        <f t="shared" si="123"/>
        <v>0</v>
      </c>
      <c r="P874" s="74">
        <f t="shared" si="124"/>
        <v>0</v>
      </c>
      <c r="Q874" s="74">
        <f t="shared" si="125"/>
        <v>0</v>
      </c>
    </row>
    <row r="875" spans="1:17" ht="51" hidden="1" customHeight="1">
      <c r="A875" s="71"/>
      <c r="B875" s="72">
        <f t="shared" si="117"/>
        <v>0</v>
      </c>
      <c r="C875" s="72" t="s">
        <v>5819</v>
      </c>
      <c r="D875" s="86">
        <f>Data!J3881</f>
        <v>0</v>
      </c>
      <c r="E875" s="88" t="s">
        <v>724</v>
      </c>
      <c r="F875" s="75"/>
      <c r="G875" s="74">
        <f t="shared" si="118"/>
        <v>0</v>
      </c>
      <c r="H875" s="74"/>
      <c r="I875" s="74">
        <f t="shared" si="119"/>
        <v>0</v>
      </c>
      <c r="J875" s="74"/>
      <c r="K875" s="74">
        <f t="shared" si="120"/>
        <v>0</v>
      </c>
      <c r="L875" s="74"/>
      <c r="M875" s="74">
        <f t="shared" si="121"/>
        <v>0</v>
      </c>
      <c r="N875" s="74">
        <f t="shared" si="122"/>
        <v>0</v>
      </c>
      <c r="O875" s="74">
        <f t="shared" si="123"/>
        <v>0</v>
      </c>
      <c r="P875" s="74">
        <f t="shared" si="124"/>
        <v>0</v>
      </c>
      <c r="Q875" s="74">
        <f t="shared" si="125"/>
        <v>0</v>
      </c>
    </row>
    <row r="876" spans="1:17" s="55" customFormat="1" ht="51" hidden="1" customHeight="1">
      <c r="A876" s="71"/>
      <c r="B876" s="72">
        <f t="shared" si="117"/>
        <v>0</v>
      </c>
      <c r="C876" s="72" t="s">
        <v>5820</v>
      </c>
      <c r="D876" s="75">
        <f>D1469</f>
        <v>4881.1899999999996</v>
      </c>
      <c r="E876" s="75" t="s">
        <v>724</v>
      </c>
      <c r="F876" s="75"/>
      <c r="G876" s="74">
        <f t="shared" si="118"/>
        <v>0</v>
      </c>
      <c r="H876" s="74"/>
      <c r="I876" s="74">
        <f t="shared" si="119"/>
        <v>0</v>
      </c>
      <c r="J876" s="74"/>
      <c r="K876" s="74">
        <f t="shared" si="120"/>
        <v>0</v>
      </c>
      <c r="L876" s="74"/>
      <c r="M876" s="74">
        <f t="shared" si="121"/>
        <v>0</v>
      </c>
      <c r="N876" s="74">
        <f t="shared" si="122"/>
        <v>0</v>
      </c>
      <c r="O876" s="74">
        <f t="shared" si="123"/>
        <v>0</v>
      </c>
      <c r="P876" s="74">
        <f t="shared" si="124"/>
        <v>0</v>
      </c>
      <c r="Q876" s="74">
        <f t="shared" si="125"/>
        <v>0</v>
      </c>
    </row>
    <row r="877" spans="1:17" ht="51" hidden="1" customHeight="1">
      <c r="A877" s="71"/>
      <c r="B877" s="72">
        <f t="shared" si="117"/>
        <v>0</v>
      </c>
      <c r="C877" s="72" t="s">
        <v>5821</v>
      </c>
      <c r="D877" s="75">
        <f>'A4 &amp;A3 print'!D1470</f>
        <v>5175.3599999999997</v>
      </c>
      <c r="E877" s="75" t="s">
        <v>724</v>
      </c>
      <c r="F877" s="75"/>
      <c r="G877" s="74">
        <f t="shared" si="118"/>
        <v>0</v>
      </c>
      <c r="H877" s="74"/>
      <c r="I877" s="74">
        <f t="shared" si="119"/>
        <v>0</v>
      </c>
      <c r="J877" s="74"/>
      <c r="K877" s="74">
        <f t="shared" si="120"/>
        <v>0</v>
      </c>
      <c r="L877" s="74"/>
      <c r="M877" s="74">
        <f t="shared" si="121"/>
        <v>0</v>
      </c>
      <c r="N877" s="74">
        <f t="shared" si="122"/>
        <v>0</v>
      </c>
      <c r="O877" s="74">
        <f t="shared" si="123"/>
        <v>0</v>
      </c>
      <c r="P877" s="74">
        <f t="shared" si="124"/>
        <v>0</v>
      </c>
      <c r="Q877" s="74">
        <f t="shared" si="125"/>
        <v>0</v>
      </c>
    </row>
    <row r="878" spans="1:17" ht="42" hidden="1" customHeight="1">
      <c r="A878" s="71"/>
      <c r="B878" s="72">
        <f t="shared" si="117"/>
        <v>0</v>
      </c>
      <c r="C878" s="72" t="s">
        <v>5822</v>
      </c>
      <c r="D878" s="75">
        <f>D1471</f>
        <v>4457.7700000000004</v>
      </c>
      <c r="E878" s="75" t="s">
        <v>724</v>
      </c>
      <c r="F878" s="75"/>
      <c r="G878" s="74">
        <f t="shared" si="118"/>
        <v>0</v>
      </c>
      <c r="H878" s="74"/>
      <c r="I878" s="74">
        <f t="shared" si="119"/>
        <v>0</v>
      </c>
      <c r="J878" s="74"/>
      <c r="K878" s="74">
        <f t="shared" si="120"/>
        <v>0</v>
      </c>
      <c r="L878" s="74"/>
      <c r="M878" s="74">
        <f t="shared" si="121"/>
        <v>0</v>
      </c>
      <c r="N878" s="74">
        <f t="shared" si="122"/>
        <v>0</v>
      </c>
      <c r="O878" s="74">
        <f t="shared" si="123"/>
        <v>0</v>
      </c>
      <c r="P878" s="74">
        <f t="shared" si="124"/>
        <v>0</v>
      </c>
      <c r="Q878" s="74">
        <f t="shared" si="125"/>
        <v>0</v>
      </c>
    </row>
    <row r="879" spans="1:17" ht="52.5" hidden="1" customHeight="1">
      <c r="A879" s="71"/>
      <c r="B879" s="72">
        <f t="shared" si="117"/>
        <v>0</v>
      </c>
      <c r="C879" s="72" t="s">
        <v>5823</v>
      </c>
      <c r="D879" s="86">
        <v>61.8</v>
      </c>
      <c r="E879" s="75" t="s">
        <v>729</v>
      </c>
      <c r="F879" s="75"/>
      <c r="G879" s="74">
        <f t="shared" si="118"/>
        <v>0</v>
      </c>
      <c r="H879" s="74"/>
      <c r="I879" s="74">
        <f t="shared" si="119"/>
        <v>0</v>
      </c>
      <c r="J879" s="74"/>
      <c r="K879" s="74">
        <f t="shared" si="120"/>
        <v>0</v>
      </c>
      <c r="L879" s="74"/>
      <c r="M879" s="74">
        <f t="shared" si="121"/>
        <v>0</v>
      </c>
      <c r="N879" s="74">
        <f t="shared" si="122"/>
        <v>0</v>
      </c>
      <c r="O879" s="74">
        <f t="shared" si="123"/>
        <v>0</v>
      </c>
      <c r="P879" s="74">
        <f t="shared" si="124"/>
        <v>0</v>
      </c>
      <c r="Q879" s="74">
        <f t="shared" si="125"/>
        <v>0</v>
      </c>
    </row>
    <row r="880" spans="1:17" ht="59.25" hidden="1" customHeight="1">
      <c r="A880" s="71"/>
      <c r="B880" s="72">
        <f t="shared" si="117"/>
        <v>0</v>
      </c>
      <c r="C880" s="72" t="s">
        <v>5824</v>
      </c>
      <c r="D880" s="86">
        <v>405</v>
      </c>
      <c r="E880" s="74" t="s">
        <v>13</v>
      </c>
      <c r="F880" s="75"/>
      <c r="G880" s="74">
        <f t="shared" si="118"/>
        <v>0</v>
      </c>
      <c r="H880" s="74"/>
      <c r="I880" s="74">
        <f t="shared" si="119"/>
        <v>0</v>
      </c>
      <c r="J880" s="74"/>
      <c r="K880" s="74">
        <f t="shared" si="120"/>
        <v>0</v>
      </c>
      <c r="L880" s="74"/>
      <c r="M880" s="74">
        <f t="shared" si="121"/>
        <v>0</v>
      </c>
      <c r="N880" s="74">
        <f t="shared" si="122"/>
        <v>0</v>
      </c>
      <c r="O880" s="74">
        <f t="shared" si="123"/>
        <v>0</v>
      </c>
      <c r="P880" s="74">
        <f t="shared" si="124"/>
        <v>0</v>
      </c>
      <c r="Q880" s="74">
        <f t="shared" si="125"/>
        <v>0</v>
      </c>
    </row>
    <row r="881" spans="1:17" ht="45.75" hidden="1" customHeight="1">
      <c r="A881" s="71"/>
      <c r="B881" s="72">
        <f t="shared" si="117"/>
        <v>0</v>
      </c>
      <c r="C881" s="72" t="s">
        <v>5825</v>
      </c>
      <c r="D881" s="84">
        <v>325</v>
      </c>
      <c r="E881" s="84" t="s">
        <v>724</v>
      </c>
      <c r="F881" s="75"/>
      <c r="G881" s="74">
        <f t="shared" si="118"/>
        <v>0</v>
      </c>
      <c r="H881" s="74"/>
      <c r="I881" s="74">
        <f t="shared" si="119"/>
        <v>0</v>
      </c>
      <c r="J881" s="74"/>
      <c r="K881" s="74">
        <f t="shared" si="120"/>
        <v>0</v>
      </c>
      <c r="L881" s="74"/>
      <c r="M881" s="74">
        <f t="shared" si="121"/>
        <v>0</v>
      </c>
      <c r="N881" s="74">
        <f t="shared" si="122"/>
        <v>0</v>
      </c>
      <c r="O881" s="74">
        <f t="shared" si="123"/>
        <v>0</v>
      </c>
      <c r="P881" s="74">
        <f t="shared" si="124"/>
        <v>0</v>
      </c>
      <c r="Q881" s="74">
        <f t="shared" si="125"/>
        <v>0</v>
      </c>
    </row>
    <row r="882" spans="1:17" ht="37.5" hidden="1" customHeight="1">
      <c r="A882" s="71"/>
      <c r="B882" s="72">
        <f t="shared" si="117"/>
        <v>0</v>
      </c>
      <c r="C882" s="72" t="s">
        <v>5826</v>
      </c>
      <c r="D882" s="84">
        <v>35</v>
      </c>
      <c r="E882" s="84" t="s">
        <v>724</v>
      </c>
      <c r="F882" s="75"/>
      <c r="G882" s="74">
        <f t="shared" si="118"/>
        <v>0</v>
      </c>
      <c r="H882" s="74"/>
      <c r="I882" s="74">
        <f t="shared" si="119"/>
        <v>0</v>
      </c>
      <c r="J882" s="74"/>
      <c r="K882" s="74">
        <f t="shared" si="120"/>
        <v>0</v>
      </c>
      <c r="L882" s="74"/>
      <c r="M882" s="74">
        <f t="shared" si="121"/>
        <v>0</v>
      </c>
      <c r="N882" s="74">
        <f t="shared" si="122"/>
        <v>0</v>
      </c>
      <c r="O882" s="74">
        <f t="shared" si="123"/>
        <v>0</v>
      </c>
      <c r="P882" s="74">
        <f t="shared" si="124"/>
        <v>0</v>
      </c>
      <c r="Q882" s="74">
        <f t="shared" si="125"/>
        <v>0</v>
      </c>
    </row>
    <row r="883" spans="1:17" ht="75" customHeight="1">
      <c r="A883" s="71"/>
      <c r="B883" s="72">
        <f t="shared" si="117"/>
        <v>49</v>
      </c>
      <c r="C883" s="85" t="s">
        <v>5827</v>
      </c>
      <c r="D883" s="88">
        <f>Data!AQ3116</f>
        <v>259</v>
      </c>
      <c r="E883" s="88" t="s">
        <v>729</v>
      </c>
      <c r="F883" s="1425">
        <f>'Detail '!I1309</f>
        <v>49</v>
      </c>
      <c r="G883" s="74">
        <f t="shared" si="118"/>
        <v>12691</v>
      </c>
      <c r="H883" s="74"/>
      <c r="I883" s="74">
        <f t="shared" si="119"/>
        <v>0</v>
      </c>
      <c r="J883" s="74"/>
      <c r="K883" s="74">
        <f t="shared" si="120"/>
        <v>0</v>
      </c>
      <c r="L883" s="74"/>
      <c r="M883" s="74">
        <f t="shared" si="121"/>
        <v>0</v>
      </c>
      <c r="N883" s="74">
        <f t="shared" si="122"/>
        <v>0</v>
      </c>
      <c r="O883" s="74">
        <f t="shared" si="123"/>
        <v>0</v>
      </c>
      <c r="P883" s="74">
        <f t="shared" si="124"/>
        <v>49</v>
      </c>
      <c r="Q883" s="74">
        <f t="shared" si="125"/>
        <v>12691</v>
      </c>
    </row>
    <row r="884" spans="1:17" ht="75" customHeight="1">
      <c r="A884" s="71"/>
      <c r="B884" s="72">
        <f t="shared" si="117"/>
        <v>45</v>
      </c>
      <c r="C884" s="85" t="s">
        <v>5828</v>
      </c>
      <c r="D884" s="88">
        <f>Data!AR3116</f>
        <v>248</v>
      </c>
      <c r="E884" s="88" t="s">
        <v>729</v>
      </c>
      <c r="F884" s="1425">
        <f>'Detail '!I1317</f>
        <v>45</v>
      </c>
      <c r="G884" s="74">
        <f t="shared" si="118"/>
        <v>11160</v>
      </c>
      <c r="H884" s="74"/>
      <c r="I884" s="74">
        <f t="shared" si="119"/>
        <v>0</v>
      </c>
      <c r="J884" s="74"/>
      <c r="K884" s="74">
        <f t="shared" si="120"/>
        <v>0</v>
      </c>
      <c r="L884" s="74"/>
      <c r="M884" s="74">
        <f t="shared" si="121"/>
        <v>0</v>
      </c>
      <c r="N884" s="74">
        <f t="shared" si="122"/>
        <v>0</v>
      </c>
      <c r="O884" s="74">
        <f t="shared" si="123"/>
        <v>0</v>
      </c>
      <c r="P884" s="74">
        <f t="shared" si="124"/>
        <v>45</v>
      </c>
      <c r="Q884" s="74">
        <f t="shared" si="125"/>
        <v>11160</v>
      </c>
    </row>
    <row r="885" spans="1:17" ht="63" hidden="1" customHeight="1">
      <c r="A885" s="71"/>
      <c r="B885" s="72">
        <f t="shared" si="117"/>
        <v>0</v>
      </c>
      <c r="C885" s="85" t="s">
        <v>5829</v>
      </c>
      <c r="D885" s="88">
        <f>Elec.Data!R807</f>
        <v>3367</v>
      </c>
      <c r="E885" s="74" t="s">
        <v>729</v>
      </c>
      <c r="F885" s="75"/>
      <c r="G885" s="74">
        <f t="shared" si="118"/>
        <v>0</v>
      </c>
      <c r="H885" s="74"/>
      <c r="I885" s="74">
        <f t="shared" si="119"/>
        <v>0</v>
      </c>
      <c r="J885" s="74"/>
      <c r="K885" s="74">
        <f t="shared" si="120"/>
        <v>0</v>
      </c>
      <c r="L885" s="74"/>
      <c r="M885" s="74">
        <f t="shared" si="121"/>
        <v>0</v>
      </c>
      <c r="N885" s="74">
        <f t="shared" si="122"/>
        <v>0</v>
      </c>
      <c r="O885" s="74">
        <f t="shared" si="123"/>
        <v>0</v>
      </c>
      <c r="P885" s="74">
        <f t="shared" si="124"/>
        <v>0</v>
      </c>
      <c r="Q885" s="74">
        <f t="shared" si="125"/>
        <v>0</v>
      </c>
    </row>
    <row r="886" spans="1:17" ht="45.75" hidden="1" customHeight="1">
      <c r="A886" s="71"/>
      <c r="B886" s="72">
        <f t="shared" si="117"/>
        <v>0</v>
      </c>
      <c r="C886" s="72" t="s">
        <v>5830</v>
      </c>
      <c r="D886" s="74">
        <f>Data!K2343</f>
        <v>1020.25</v>
      </c>
      <c r="E886" s="74" t="s">
        <v>13</v>
      </c>
      <c r="F886" s="75"/>
      <c r="G886" s="74">
        <f t="shared" si="118"/>
        <v>0</v>
      </c>
      <c r="H886" s="74"/>
      <c r="I886" s="74">
        <f t="shared" si="119"/>
        <v>0</v>
      </c>
      <c r="J886" s="74"/>
      <c r="K886" s="74">
        <f t="shared" si="120"/>
        <v>0</v>
      </c>
      <c r="L886" s="74"/>
      <c r="M886" s="74">
        <f t="shared" si="121"/>
        <v>0</v>
      </c>
      <c r="N886" s="74">
        <f t="shared" si="122"/>
        <v>0</v>
      </c>
      <c r="O886" s="74">
        <f t="shared" si="123"/>
        <v>0</v>
      </c>
      <c r="P886" s="74">
        <f t="shared" si="124"/>
        <v>0</v>
      </c>
      <c r="Q886" s="74">
        <f t="shared" si="125"/>
        <v>0</v>
      </c>
    </row>
    <row r="887" spans="1:17" ht="45.75" hidden="1" customHeight="1">
      <c r="A887" s="71"/>
      <c r="B887" s="72">
        <f t="shared" si="117"/>
        <v>0</v>
      </c>
      <c r="C887" s="72" t="s">
        <v>5831</v>
      </c>
      <c r="D887" s="74">
        <f>Data!R2448</f>
        <v>981.61</v>
      </c>
      <c r="E887" s="74"/>
      <c r="F887" s="75"/>
      <c r="G887" s="74">
        <f t="shared" si="118"/>
        <v>0</v>
      </c>
      <c r="H887" s="74"/>
      <c r="I887" s="74">
        <f t="shared" si="119"/>
        <v>0</v>
      </c>
      <c r="J887" s="74"/>
      <c r="K887" s="74">
        <f t="shared" si="120"/>
        <v>0</v>
      </c>
      <c r="L887" s="74"/>
      <c r="M887" s="74">
        <f t="shared" si="121"/>
        <v>0</v>
      </c>
      <c r="N887" s="74">
        <f t="shared" si="122"/>
        <v>0</v>
      </c>
      <c r="O887" s="74">
        <f t="shared" si="123"/>
        <v>0</v>
      </c>
      <c r="P887" s="74">
        <f t="shared" si="124"/>
        <v>0</v>
      </c>
      <c r="Q887" s="74">
        <f t="shared" si="125"/>
        <v>0</v>
      </c>
    </row>
    <row r="888" spans="1:17" ht="75" hidden="1" customHeight="1">
      <c r="A888" s="71"/>
      <c r="B888" s="72">
        <f t="shared" si="117"/>
        <v>0</v>
      </c>
      <c r="C888" s="72" t="s">
        <v>5832</v>
      </c>
      <c r="D888" s="86">
        <f>Data!X1347</f>
        <v>1490.8</v>
      </c>
      <c r="E888" s="74" t="s">
        <v>5324</v>
      </c>
      <c r="F888" s="75"/>
      <c r="G888" s="74">
        <f t="shared" si="118"/>
        <v>0</v>
      </c>
      <c r="H888" s="74"/>
      <c r="I888" s="74">
        <f t="shared" si="119"/>
        <v>0</v>
      </c>
      <c r="J888" s="74"/>
      <c r="K888" s="74">
        <f t="shared" si="120"/>
        <v>0</v>
      </c>
      <c r="L888" s="74"/>
      <c r="M888" s="74">
        <f t="shared" si="121"/>
        <v>0</v>
      </c>
      <c r="N888" s="74">
        <f t="shared" si="122"/>
        <v>0</v>
      </c>
      <c r="O888" s="74">
        <f t="shared" si="123"/>
        <v>0</v>
      </c>
      <c r="P888" s="74">
        <f t="shared" si="124"/>
        <v>0</v>
      </c>
      <c r="Q888" s="74">
        <f t="shared" si="125"/>
        <v>0</v>
      </c>
    </row>
    <row r="889" spans="1:17" ht="75" customHeight="1">
      <c r="A889" s="71"/>
      <c r="B889" s="72">
        <f t="shared" si="117"/>
        <v>550.1</v>
      </c>
      <c r="C889" s="72" t="s">
        <v>5833</v>
      </c>
      <c r="D889" s="86">
        <f>D888-(Data!X1341/10)</f>
        <v>1490.8</v>
      </c>
      <c r="E889" s="74" t="s">
        <v>5324</v>
      </c>
      <c r="F889" s="1425">
        <f>'Detail '!I2755</f>
        <v>550.1</v>
      </c>
      <c r="G889" s="74">
        <f t="shared" si="118"/>
        <v>820089.08</v>
      </c>
      <c r="H889" s="74"/>
      <c r="I889" s="74">
        <f t="shared" si="119"/>
        <v>0</v>
      </c>
      <c r="J889" s="74"/>
      <c r="K889" s="74">
        <f t="shared" si="120"/>
        <v>0</v>
      </c>
      <c r="L889" s="74"/>
      <c r="M889" s="74">
        <f t="shared" si="121"/>
        <v>0</v>
      </c>
      <c r="N889" s="74">
        <f t="shared" si="122"/>
        <v>0</v>
      </c>
      <c r="O889" s="74">
        <f t="shared" si="123"/>
        <v>0</v>
      </c>
      <c r="P889" s="74">
        <f t="shared" si="124"/>
        <v>550.1</v>
      </c>
      <c r="Q889" s="74">
        <f t="shared" si="125"/>
        <v>820089.08</v>
      </c>
    </row>
    <row r="890" spans="1:17" ht="72" hidden="1" customHeight="1">
      <c r="A890" s="71"/>
      <c r="B890" s="72">
        <f t="shared" si="117"/>
        <v>0</v>
      </c>
      <c r="C890" s="72" t="s">
        <v>5834</v>
      </c>
      <c r="D890" s="86">
        <f>D1480</f>
        <v>1695.09</v>
      </c>
      <c r="E890" s="74" t="s">
        <v>5324</v>
      </c>
      <c r="F890" s="75"/>
      <c r="G890" s="74">
        <f t="shared" si="118"/>
        <v>0</v>
      </c>
      <c r="H890" s="74"/>
      <c r="I890" s="74">
        <f t="shared" si="119"/>
        <v>0</v>
      </c>
      <c r="J890" s="74"/>
      <c r="K890" s="74">
        <f t="shared" si="120"/>
        <v>0</v>
      </c>
      <c r="L890" s="74"/>
      <c r="M890" s="74">
        <f t="shared" si="121"/>
        <v>0</v>
      </c>
      <c r="N890" s="74">
        <f t="shared" si="122"/>
        <v>0</v>
      </c>
      <c r="O890" s="74">
        <f t="shared" si="123"/>
        <v>0</v>
      </c>
      <c r="P890" s="74">
        <f t="shared" si="124"/>
        <v>0</v>
      </c>
      <c r="Q890" s="74">
        <f t="shared" si="125"/>
        <v>0</v>
      </c>
    </row>
    <row r="891" spans="1:17" ht="44.25" hidden="1" customHeight="1">
      <c r="A891" s="71" t="s">
        <v>5835</v>
      </c>
      <c r="B891" s="72">
        <f t="shared" si="117"/>
        <v>0</v>
      </c>
      <c r="C891" s="72" t="s">
        <v>5836</v>
      </c>
      <c r="D891" s="75">
        <f>Data!K1797</f>
        <v>2010</v>
      </c>
      <c r="E891" s="74" t="s">
        <v>729</v>
      </c>
      <c r="F891" s="75"/>
      <c r="G891" s="74">
        <f t="shared" si="118"/>
        <v>0</v>
      </c>
      <c r="H891" s="74"/>
      <c r="I891" s="74">
        <f t="shared" si="119"/>
        <v>0</v>
      </c>
      <c r="J891" s="74"/>
      <c r="K891" s="74">
        <f t="shared" si="120"/>
        <v>0</v>
      </c>
      <c r="L891" s="74"/>
      <c r="M891" s="74">
        <f t="shared" si="121"/>
        <v>0</v>
      </c>
      <c r="N891" s="74">
        <f t="shared" si="122"/>
        <v>0</v>
      </c>
      <c r="O891" s="74">
        <f t="shared" si="123"/>
        <v>0</v>
      </c>
      <c r="P891" s="74">
        <f t="shared" si="124"/>
        <v>0</v>
      </c>
      <c r="Q891" s="74">
        <f t="shared" si="125"/>
        <v>0</v>
      </c>
    </row>
    <row r="892" spans="1:17" ht="60.75" customHeight="1">
      <c r="A892" s="71"/>
      <c r="B892" s="72">
        <f t="shared" si="117"/>
        <v>0</v>
      </c>
      <c r="C892" s="76" t="s">
        <v>5837</v>
      </c>
      <c r="D892" s="75"/>
      <c r="E892" s="74"/>
      <c r="F892" s="75"/>
      <c r="G892" s="74">
        <f t="shared" si="118"/>
        <v>0</v>
      </c>
      <c r="H892" s="74"/>
      <c r="I892" s="74">
        <f t="shared" si="119"/>
        <v>0</v>
      </c>
      <c r="J892" s="74"/>
      <c r="K892" s="74">
        <f t="shared" si="120"/>
        <v>0</v>
      </c>
      <c r="L892" s="74"/>
      <c r="M892" s="74">
        <f t="shared" si="121"/>
        <v>0</v>
      </c>
      <c r="N892" s="74">
        <f t="shared" si="122"/>
        <v>0</v>
      </c>
      <c r="O892" s="74">
        <f t="shared" si="123"/>
        <v>0</v>
      </c>
      <c r="P892" s="74">
        <f t="shared" si="124"/>
        <v>0</v>
      </c>
      <c r="Q892" s="74">
        <f t="shared" si="125"/>
        <v>0</v>
      </c>
    </row>
    <row r="893" spans="1:17" s="55" customFormat="1" ht="50.25" customHeight="1">
      <c r="A893" s="71"/>
      <c r="B893" s="72">
        <f t="shared" si="117"/>
        <v>100</v>
      </c>
      <c r="C893" s="72" t="s">
        <v>5838</v>
      </c>
      <c r="D893" s="86">
        <v>490.73</v>
      </c>
      <c r="E893" s="74" t="s">
        <v>13</v>
      </c>
      <c r="F893" s="1425">
        <f>'Detail '!I2758</f>
        <v>100</v>
      </c>
      <c r="G893" s="74">
        <f t="shared" si="118"/>
        <v>49073</v>
      </c>
      <c r="H893" s="74"/>
      <c r="I893" s="74">
        <f t="shared" si="119"/>
        <v>0</v>
      </c>
      <c r="J893" s="74"/>
      <c r="K893" s="74">
        <f t="shared" si="120"/>
        <v>0</v>
      </c>
      <c r="L893" s="74"/>
      <c r="M893" s="74">
        <f t="shared" si="121"/>
        <v>0</v>
      </c>
      <c r="N893" s="74">
        <f t="shared" si="122"/>
        <v>0</v>
      </c>
      <c r="O893" s="74">
        <f t="shared" si="123"/>
        <v>0</v>
      </c>
      <c r="P893" s="74">
        <f t="shared" si="124"/>
        <v>100</v>
      </c>
      <c r="Q893" s="74">
        <f t="shared" si="125"/>
        <v>49073</v>
      </c>
    </row>
    <row r="894" spans="1:17" s="55" customFormat="1" ht="50.25" customHeight="1">
      <c r="A894" s="71"/>
      <c r="B894" s="72">
        <f t="shared" si="117"/>
        <v>10</v>
      </c>
      <c r="C894" s="72" t="s">
        <v>5839</v>
      </c>
      <c r="D894" s="86">
        <v>815.71</v>
      </c>
      <c r="E894" s="74" t="s">
        <v>13</v>
      </c>
      <c r="F894" s="1425">
        <f>'Detail '!I2761</f>
        <v>10</v>
      </c>
      <c r="G894" s="74">
        <f t="shared" si="118"/>
        <v>8157.1</v>
      </c>
      <c r="H894" s="74"/>
      <c r="I894" s="74">
        <f t="shared" si="119"/>
        <v>0</v>
      </c>
      <c r="J894" s="74"/>
      <c r="K894" s="74">
        <f t="shared" si="120"/>
        <v>0</v>
      </c>
      <c r="L894" s="74"/>
      <c r="M894" s="74">
        <f t="shared" si="121"/>
        <v>0</v>
      </c>
      <c r="N894" s="74">
        <f t="shared" si="122"/>
        <v>0</v>
      </c>
      <c r="O894" s="74">
        <f t="shared" si="123"/>
        <v>0</v>
      </c>
      <c r="P894" s="74">
        <f t="shared" si="124"/>
        <v>10</v>
      </c>
      <c r="Q894" s="74">
        <f t="shared" si="125"/>
        <v>8157.1</v>
      </c>
    </row>
    <row r="895" spans="1:17" s="55" customFormat="1" ht="50.25" customHeight="1">
      <c r="A895" s="71"/>
      <c r="B895" s="72">
        <f t="shared" si="117"/>
        <v>0</v>
      </c>
      <c r="C895" s="76" t="s">
        <v>3724</v>
      </c>
      <c r="D895" s="86"/>
      <c r="E895" s="74"/>
      <c r="F895" s="75"/>
      <c r="G895" s="74">
        <f t="shared" si="118"/>
        <v>0</v>
      </c>
      <c r="H895" s="74"/>
      <c r="I895" s="74">
        <f t="shared" si="119"/>
        <v>0</v>
      </c>
      <c r="J895" s="74"/>
      <c r="K895" s="74">
        <f t="shared" si="120"/>
        <v>0</v>
      </c>
      <c r="L895" s="74"/>
      <c r="M895" s="74">
        <f t="shared" si="121"/>
        <v>0</v>
      </c>
      <c r="N895" s="74">
        <f t="shared" si="122"/>
        <v>0</v>
      </c>
      <c r="O895" s="74">
        <f t="shared" si="123"/>
        <v>0</v>
      </c>
      <c r="P895" s="74">
        <f t="shared" si="124"/>
        <v>0</v>
      </c>
      <c r="Q895" s="74">
        <f t="shared" si="125"/>
        <v>0</v>
      </c>
    </row>
    <row r="896" spans="1:17" s="55" customFormat="1" ht="55.5" customHeight="1">
      <c r="A896" s="71"/>
      <c r="B896" s="72">
        <f t="shared" si="117"/>
        <v>2</v>
      </c>
      <c r="C896" s="72" t="s">
        <v>5840</v>
      </c>
      <c r="D896" s="86">
        <v>175.2</v>
      </c>
      <c r="E896" s="74" t="s">
        <v>729</v>
      </c>
      <c r="F896" s="1425">
        <f>'Detail '!I2763</f>
        <v>2</v>
      </c>
      <c r="G896" s="74">
        <f t="shared" si="118"/>
        <v>350.4</v>
      </c>
      <c r="H896" s="74"/>
      <c r="I896" s="74">
        <f t="shared" si="119"/>
        <v>0</v>
      </c>
      <c r="J896" s="74"/>
      <c r="K896" s="74">
        <f t="shared" si="120"/>
        <v>0</v>
      </c>
      <c r="L896" s="74"/>
      <c r="M896" s="74">
        <f t="shared" si="121"/>
        <v>0</v>
      </c>
      <c r="N896" s="74">
        <f t="shared" si="122"/>
        <v>0</v>
      </c>
      <c r="O896" s="74">
        <f t="shared" si="123"/>
        <v>0</v>
      </c>
      <c r="P896" s="74">
        <f t="shared" si="124"/>
        <v>2</v>
      </c>
      <c r="Q896" s="74">
        <f t="shared" si="125"/>
        <v>350.4</v>
      </c>
    </row>
    <row r="897" spans="1:17" s="55" customFormat="1" ht="63.75" customHeight="1">
      <c r="A897" s="71"/>
      <c r="B897" s="72">
        <f t="shared" si="117"/>
        <v>2</v>
      </c>
      <c r="C897" s="72" t="s">
        <v>5841</v>
      </c>
      <c r="D897" s="86">
        <v>560.20000000000005</v>
      </c>
      <c r="E897" s="74" t="s">
        <v>729</v>
      </c>
      <c r="F897" s="1425">
        <f>'Detail '!I2764</f>
        <v>2</v>
      </c>
      <c r="G897" s="74">
        <f t="shared" si="118"/>
        <v>1120.4000000000001</v>
      </c>
      <c r="H897" s="74"/>
      <c r="I897" s="74">
        <f t="shared" si="119"/>
        <v>0</v>
      </c>
      <c r="J897" s="74"/>
      <c r="K897" s="74">
        <f t="shared" si="120"/>
        <v>0</v>
      </c>
      <c r="L897" s="74"/>
      <c r="M897" s="74">
        <f t="shared" si="121"/>
        <v>0</v>
      </c>
      <c r="N897" s="74">
        <f t="shared" si="122"/>
        <v>0</v>
      </c>
      <c r="O897" s="74">
        <f t="shared" si="123"/>
        <v>0</v>
      </c>
      <c r="P897" s="74">
        <f t="shared" si="124"/>
        <v>2</v>
      </c>
      <c r="Q897" s="74">
        <f t="shared" si="125"/>
        <v>1120.4000000000001</v>
      </c>
    </row>
    <row r="898" spans="1:17" s="55" customFormat="1" ht="55.5" customHeight="1">
      <c r="A898" s="71"/>
      <c r="B898" s="72">
        <f t="shared" si="117"/>
        <v>0</v>
      </c>
      <c r="C898" s="76" t="s">
        <v>3727</v>
      </c>
      <c r="D898" s="86"/>
      <c r="E898" s="74"/>
      <c r="F898" s="75"/>
      <c r="G898" s="74">
        <f t="shared" si="118"/>
        <v>0</v>
      </c>
      <c r="H898" s="74"/>
      <c r="I898" s="74">
        <f t="shared" si="119"/>
        <v>0</v>
      </c>
      <c r="J898" s="74"/>
      <c r="K898" s="74">
        <f t="shared" si="120"/>
        <v>0</v>
      </c>
      <c r="L898" s="74"/>
      <c r="M898" s="74">
        <f t="shared" si="121"/>
        <v>0</v>
      </c>
      <c r="N898" s="74">
        <f t="shared" si="122"/>
        <v>0</v>
      </c>
      <c r="O898" s="74">
        <f t="shared" si="123"/>
        <v>0</v>
      </c>
      <c r="P898" s="74">
        <f t="shared" si="124"/>
        <v>0</v>
      </c>
      <c r="Q898" s="74">
        <f t="shared" si="125"/>
        <v>0</v>
      </c>
    </row>
    <row r="899" spans="1:17" s="55" customFormat="1" ht="55.5" customHeight="1">
      <c r="A899" s="71"/>
      <c r="B899" s="72">
        <f t="shared" si="117"/>
        <v>2</v>
      </c>
      <c r="C899" s="72" t="s">
        <v>5842</v>
      </c>
      <c r="D899" s="86">
        <v>197.5</v>
      </c>
      <c r="E899" s="74" t="s">
        <v>729</v>
      </c>
      <c r="F899" s="1425">
        <f>'Detail '!I2766</f>
        <v>2</v>
      </c>
      <c r="G899" s="74">
        <f t="shared" si="118"/>
        <v>395</v>
      </c>
      <c r="H899" s="74"/>
      <c r="I899" s="74">
        <f t="shared" si="119"/>
        <v>0</v>
      </c>
      <c r="J899" s="74"/>
      <c r="K899" s="74">
        <f t="shared" si="120"/>
        <v>0</v>
      </c>
      <c r="L899" s="74"/>
      <c r="M899" s="74">
        <f t="shared" si="121"/>
        <v>0</v>
      </c>
      <c r="N899" s="74">
        <f t="shared" si="122"/>
        <v>0</v>
      </c>
      <c r="O899" s="74">
        <f t="shared" si="123"/>
        <v>0</v>
      </c>
      <c r="P899" s="74">
        <f t="shared" si="124"/>
        <v>2</v>
      </c>
      <c r="Q899" s="74">
        <f t="shared" si="125"/>
        <v>395</v>
      </c>
    </row>
    <row r="900" spans="1:17" s="55" customFormat="1" ht="65.25" customHeight="1">
      <c r="A900" s="71"/>
      <c r="B900" s="72">
        <f t="shared" si="117"/>
        <v>2</v>
      </c>
      <c r="C900" s="72" t="s">
        <v>5843</v>
      </c>
      <c r="D900" s="86">
        <v>371.8</v>
      </c>
      <c r="E900" s="74" t="s">
        <v>729</v>
      </c>
      <c r="F900" s="1425">
        <f>'Detail '!I2767</f>
        <v>2</v>
      </c>
      <c r="G900" s="74">
        <f t="shared" si="118"/>
        <v>743.6</v>
      </c>
      <c r="H900" s="74"/>
      <c r="I900" s="74">
        <f t="shared" si="119"/>
        <v>0</v>
      </c>
      <c r="J900" s="74"/>
      <c r="K900" s="74">
        <f t="shared" si="120"/>
        <v>0</v>
      </c>
      <c r="L900" s="74"/>
      <c r="M900" s="74">
        <f t="shared" si="121"/>
        <v>0</v>
      </c>
      <c r="N900" s="74">
        <f t="shared" si="122"/>
        <v>0</v>
      </c>
      <c r="O900" s="74">
        <f t="shared" si="123"/>
        <v>0</v>
      </c>
      <c r="P900" s="74">
        <f t="shared" si="124"/>
        <v>2</v>
      </c>
      <c r="Q900" s="74">
        <f t="shared" si="125"/>
        <v>743.6</v>
      </c>
    </row>
    <row r="901" spans="1:17" s="55" customFormat="1" ht="81" customHeight="1">
      <c r="A901" s="71"/>
      <c r="B901" s="72">
        <f t="shared" ref="B901:B964" si="126">P901</f>
        <v>8</v>
      </c>
      <c r="C901" s="72" t="s">
        <v>5844</v>
      </c>
      <c r="D901" s="86">
        <f>Data!R1978</f>
        <v>3414.62</v>
      </c>
      <c r="E901" s="74" t="s">
        <v>729</v>
      </c>
      <c r="F901" s="1425">
        <f>'Detail '!I2483</f>
        <v>8</v>
      </c>
      <c r="G901" s="74">
        <f t="shared" si="118"/>
        <v>27316.959999999999</v>
      </c>
      <c r="H901" s="74"/>
      <c r="I901" s="74">
        <f t="shared" si="119"/>
        <v>0</v>
      </c>
      <c r="J901" s="74"/>
      <c r="K901" s="74">
        <f t="shared" si="120"/>
        <v>0</v>
      </c>
      <c r="L901" s="74"/>
      <c r="M901" s="74">
        <f t="shared" si="121"/>
        <v>0</v>
      </c>
      <c r="N901" s="74">
        <f t="shared" si="122"/>
        <v>0</v>
      </c>
      <c r="O901" s="74">
        <f t="shared" si="123"/>
        <v>0</v>
      </c>
      <c r="P901" s="74">
        <f t="shared" si="124"/>
        <v>8</v>
      </c>
      <c r="Q901" s="74">
        <f t="shared" si="125"/>
        <v>27316.959999999999</v>
      </c>
    </row>
    <row r="902" spans="1:17" s="55" customFormat="1" ht="84.75" customHeight="1">
      <c r="A902" s="71"/>
      <c r="B902" s="72">
        <f t="shared" si="126"/>
        <v>8</v>
      </c>
      <c r="C902" s="72" t="s">
        <v>5845</v>
      </c>
      <c r="D902" s="1638">
        <v>5329.1</v>
      </c>
      <c r="E902" s="74" t="s">
        <v>729</v>
      </c>
      <c r="F902" s="1425">
        <f>Joineries!K18-1</f>
        <v>8</v>
      </c>
      <c r="G902" s="74">
        <f t="shared" ref="G902:G965" si="127">F902*D902</f>
        <v>42632.800000000003</v>
      </c>
      <c r="H902" s="74"/>
      <c r="I902" s="74">
        <f t="shared" ref="I902:I965" si="128">H902*D902</f>
        <v>0</v>
      </c>
      <c r="J902" s="74"/>
      <c r="K902" s="74">
        <f t="shared" ref="K902:K965" si="129">J902*D902</f>
        <v>0</v>
      </c>
      <c r="L902" s="74"/>
      <c r="M902" s="74">
        <f t="shared" ref="M902:M965" si="130">L902*D902</f>
        <v>0</v>
      </c>
      <c r="N902" s="74">
        <f t="shared" ref="N902:N965" si="131">H902+J902+L902</f>
        <v>0</v>
      </c>
      <c r="O902" s="74">
        <f t="shared" ref="O902:O965" si="132">N902*D902</f>
        <v>0</v>
      </c>
      <c r="P902" s="74">
        <f t="shared" ref="P902:P965" si="133">N902+F902</f>
        <v>8</v>
      </c>
      <c r="Q902" s="74">
        <f t="shared" ref="Q902:Q965" si="134">P902*D902</f>
        <v>42632.800000000003</v>
      </c>
    </row>
    <row r="903" spans="1:17" s="55" customFormat="1" ht="71.25" customHeight="1">
      <c r="A903" s="71"/>
      <c r="B903" s="72">
        <f t="shared" si="126"/>
        <v>22</v>
      </c>
      <c r="C903" s="72" t="s">
        <v>5846</v>
      </c>
      <c r="D903" s="86">
        <f>Data!R2018</f>
        <v>7257.85</v>
      </c>
      <c r="E903" s="74" t="s">
        <v>729</v>
      </c>
      <c r="F903" s="1425">
        <f>'Detail '!I1323</f>
        <v>22</v>
      </c>
      <c r="G903" s="74">
        <f t="shared" si="127"/>
        <v>159672.70000000001</v>
      </c>
      <c r="H903" s="74"/>
      <c r="I903" s="74">
        <f t="shared" si="128"/>
        <v>0</v>
      </c>
      <c r="J903" s="74"/>
      <c r="K903" s="74">
        <f t="shared" si="129"/>
        <v>0</v>
      </c>
      <c r="L903" s="74"/>
      <c r="M903" s="74">
        <f t="shared" si="130"/>
        <v>0</v>
      </c>
      <c r="N903" s="74">
        <f t="shared" si="131"/>
        <v>0</v>
      </c>
      <c r="O903" s="74">
        <f t="shared" si="132"/>
        <v>0</v>
      </c>
      <c r="P903" s="74">
        <f t="shared" si="133"/>
        <v>22</v>
      </c>
      <c r="Q903" s="74">
        <f t="shared" si="134"/>
        <v>159672.70000000001</v>
      </c>
    </row>
    <row r="904" spans="1:17" s="55" customFormat="1" ht="71.25" hidden="1" customHeight="1">
      <c r="A904" s="71"/>
      <c r="B904" s="72">
        <f t="shared" si="126"/>
        <v>0</v>
      </c>
      <c r="C904" s="72" t="s">
        <v>5847</v>
      </c>
      <c r="D904" s="86">
        <f>Data!R2037</f>
        <v>7651.85</v>
      </c>
      <c r="E904" s="74" t="s">
        <v>729</v>
      </c>
      <c r="F904" s="75"/>
      <c r="G904" s="74">
        <f t="shared" si="127"/>
        <v>0</v>
      </c>
      <c r="H904" s="74"/>
      <c r="I904" s="74">
        <f t="shared" si="128"/>
        <v>0</v>
      </c>
      <c r="J904" s="74"/>
      <c r="K904" s="74">
        <f t="shared" si="129"/>
        <v>0</v>
      </c>
      <c r="L904" s="74"/>
      <c r="M904" s="74">
        <f t="shared" si="130"/>
        <v>0</v>
      </c>
      <c r="N904" s="74">
        <f t="shared" si="131"/>
        <v>0</v>
      </c>
      <c r="O904" s="74">
        <f t="shared" si="132"/>
        <v>0</v>
      </c>
      <c r="P904" s="74">
        <f t="shared" si="133"/>
        <v>0</v>
      </c>
      <c r="Q904" s="74">
        <f t="shared" si="134"/>
        <v>0</v>
      </c>
    </row>
    <row r="905" spans="1:17" ht="38.25" hidden="1" customHeight="1">
      <c r="A905" s="71"/>
      <c r="B905" s="72">
        <f t="shared" si="126"/>
        <v>0</v>
      </c>
      <c r="C905" s="76" t="s">
        <v>5848</v>
      </c>
      <c r="D905" s="86"/>
      <c r="E905" s="74"/>
      <c r="F905" s="75"/>
      <c r="G905" s="74">
        <f t="shared" si="127"/>
        <v>0</v>
      </c>
      <c r="H905" s="74"/>
      <c r="I905" s="74">
        <f t="shared" si="128"/>
        <v>0</v>
      </c>
      <c r="J905" s="74"/>
      <c r="K905" s="74">
        <f t="shared" si="129"/>
        <v>0</v>
      </c>
      <c r="L905" s="74"/>
      <c r="M905" s="74">
        <f t="shared" si="130"/>
        <v>0</v>
      </c>
      <c r="N905" s="74">
        <f t="shared" si="131"/>
        <v>0</v>
      </c>
      <c r="O905" s="74">
        <f t="shared" si="132"/>
        <v>0</v>
      </c>
      <c r="P905" s="74">
        <f t="shared" si="133"/>
        <v>0</v>
      </c>
      <c r="Q905" s="74">
        <f t="shared" si="134"/>
        <v>0</v>
      </c>
    </row>
    <row r="906" spans="1:17" ht="45.75" hidden="1" customHeight="1">
      <c r="A906" s="71"/>
      <c r="B906" s="72">
        <f t="shared" si="126"/>
        <v>0</v>
      </c>
      <c r="C906" s="72" t="s">
        <v>5849</v>
      </c>
      <c r="D906" s="100">
        <f>'Sliding and french window'!F595</f>
        <v>2118.38</v>
      </c>
      <c r="E906" s="84" t="s">
        <v>724</v>
      </c>
      <c r="F906" s="75"/>
      <c r="G906" s="74">
        <f t="shared" si="127"/>
        <v>0</v>
      </c>
      <c r="H906" s="74"/>
      <c r="I906" s="74">
        <f t="shared" si="128"/>
        <v>0</v>
      </c>
      <c r="J906" s="74"/>
      <c r="K906" s="74">
        <f t="shared" si="129"/>
        <v>0</v>
      </c>
      <c r="L906" s="74"/>
      <c r="M906" s="74">
        <f t="shared" si="130"/>
        <v>0</v>
      </c>
      <c r="N906" s="74">
        <f t="shared" si="131"/>
        <v>0</v>
      </c>
      <c r="O906" s="74">
        <f t="shared" si="132"/>
        <v>0</v>
      </c>
      <c r="P906" s="74">
        <f t="shared" si="133"/>
        <v>0</v>
      </c>
      <c r="Q906" s="74">
        <f t="shared" si="134"/>
        <v>0</v>
      </c>
    </row>
    <row r="907" spans="1:17" ht="45.75" hidden="1" customHeight="1">
      <c r="A907" s="71"/>
      <c r="B907" s="72">
        <f t="shared" si="126"/>
        <v>0</v>
      </c>
      <c r="C907" s="72" t="s">
        <v>5850</v>
      </c>
      <c r="D907" s="86">
        <f>'Sliding and french window'!F558</f>
        <v>2413.36</v>
      </c>
      <c r="E907" s="84" t="s">
        <v>724</v>
      </c>
      <c r="F907" s="75"/>
      <c r="G907" s="74">
        <f t="shared" si="127"/>
        <v>0</v>
      </c>
      <c r="H907" s="74"/>
      <c r="I907" s="74">
        <f t="shared" si="128"/>
        <v>0</v>
      </c>
      <c r="J907" s="74"/>
      <c r="K907" s="74">
        <f t="shared" si="129"/>
        <v>0</v>
      </c>
      <c r="L907" s="74"/>
      <c r="M907" s="74">
        <f t="shared" si="130"/>
        <v>0</v>
      </c>
      <c r="N907" s="74">
        <f t="shared" si="131"/>
        <v>0</v>
      </c>
      <c r="O907" s="74">
        <f t="shared" si="132"/>
        <v>0</v>
      </c>
      <c r="P907" s="74">
        <f t="shared" si="133"/>
        <v>0</v>
      </c>
      <c r="Q907" s="74">
        <f t="shared" si="134"/>
        <v>0</v>
      </c>
    </row>
    <row r="908" spans="1:17" ht="45.75" hidden="1" customHeight="1">
      <c r="A908" s="71"/>
      <c r="B908" s="72">
        <f t="shared" si="126"/>
        <v>0</v>
      </c>
      <c r="C908" s="72" t="s">
        <v>5851</v>
      </c>
      <c r="D908" s="86">
        <f>'Sliding and french window'!F630</f>
        <v>2413.37</v>
      </c>
      <c r="E908" s="84" t="s">
        <v>724</v>
      </c>
      <c r="F908" s="75"/>
      <c r="G908" s="74">
        <f t="shared" si="127"/>
        <v>0</v>
      </c>
      <c r="H908" s="74"/>
      <c r="I908" s="74">
        <f t="shared" si="128"/>
        <v>0</v>
      </c>
      <c r="J908" s="74"/>
      <c r="K908" s="74">
        <f t="shared" si="129"/>
        <v>0</v>
      </c>
      <c r="L908" s="74"/>
      <c r="M908" s="74">
        <f t="shared" si="130"/>
        <v>0</v>
      </c>
      <c r="N908" s="74">
        <f t="shared" si="131"/>
        <v>0</v>
      </c>
      <c r="O908" s="74">
        <f t="shared" si="132"/>
        <v>0</v>
      </c>
      <c r="P908" s="74">
        <f t="shared" si="133"/>
        <v>0</v>
      </c>
      <c r="Q908" s="74">
        <f t="shared" si="134"/>
        <v>0</v>
      </c>
    </row>
    <row r="909" spans="1:17" ht="45.75" hidden="1" customHeight="1">
      <c r="A909" s="71"/>
      <c r="B909" s="72">
        <f t="shared" si="126"/>
        <v>0</v>
      </c>
      <c r="C909" s="72" t="s">
        <v>5852</v>
      </c>
      <c r="D909" s="86">
        <f>'Sliding and french window'!F666</f>
        <v>2870.15</v>
      </c>
      <c r="E909" s="84" t="s">
        <v>724</v>
      </c>
      <c r="F909" s="75"/>
      <c r="G909" s="74">
        <f t="shared" si="127"/>
        <v>0</v>
      </c>
      <c r="H909" s="74"/>
      <c r="I909" s="74">
        <f t="shared" si="128"/>
        <v>0</v>
      </c>
      <c r="J909" s="74"/>
      <c r="K909" s="74">
        <f t="shared" si="129"/>
        <v>0</v>
      </c>
      <c r="L909" s="74"/>
      <c r="M909" s="74">
        <f t="shared" si="130"/>
        <v>0</v>
      </c>
      <c r="N909" s="74">
        <f t="shared" si="131"/>
        <v>0</v>
      </c>
      <c r="O909" s="74">
        <f t="shared" si="132"/>
        <v>0</v>
      </c>
      <c r="P909" s="74">
        <f t="shared" si="133"/>
        <v>0</v>
      </c>
      <c r="Q909" s="74">
        <f t="shared" si="134"/>
        <v>0</v>
      </c>
    </row>
    <row r="910" spans="1:17" ht="45.75" hidden="1" customHeight="1">
      <c r="A910" s="71"/>
      <c r="B910" s="72">
        <f t="shared" si="126"/>
        <v>0</v>
      </c>
      <c r="C910" s="72" t="s">
        <v>5853</v>
      </c>
      <c r="D910" s="86">
        <f>'Sliding and french window'!F702</f>
        <v>3714.01</v>
      </c>
      <c r="E910" s="84" t="s">
        <v>724</v>
      </c>
      <c r="F910" s="75"/>
      <c r="G910" s="74">
        <f t="shared" si="127"/>
        <v>0</v>
      </c>
      <c r="H910" s="74"/>
      <c r="I910" s="74">
        <f t="shared" si="128"/>
        <v>0</v>
      </c>
      <c r="J910" s="74"/>
      <c r="K910" s="74">
        <f t="shared" si="129"/>
        <v>0</v>
      </c>
      <c r="L910" s="74"/>
      <c r="M910" s="74">
        <f t="shared" si="130"/>
        <v>0</v>
      </c>
      <c r="N910" s="74">
        <f t="shared" si="131"/>
        <v>0</v>
      </c>
      <c r="O910" s="74">
        <f t="shared" si="132"/>
        <v>0</v>
      </c>
      <c r="P910" s="74">
        <f t="shared" si="133"/>
        <v>0</v>
      </c>
      <c r="Q910" s="74">
        <f t="shared" si="134"/>
        <v>0</v>
      </c>
    </row>
    <row r="911" spans="1:17" ht="45.75" hidden="1" customHeight="1">
      <c r="A911" s="71"/>
      <c r="B911" s="72">
        <f t="shared" si="126"/>
        <v>0</v>
      </c>
      <c r="C911" s="99" t="s">
        <v>5854</v>
      </c>
      <c r="D911" s="84"/>
      <c r="E911" s="88" t="s">
        <v>724</v>
      </c>
      <c r="F911" s="75"/>
      <c r="G911" s="74">
        <f t="shared" si="127"/>
        <v>0</v>
      </c>
      <c r="H911" s="74"/>
      <c r="I911" s="74">
        <f t="shared" si="128"/>
        <v>0</v>
      </c>
      <c r="J911" s="74"/>
      <c r="K911" s="74">
        <f t="shared" si="129"/>
        <v>0</v>
      </c>
      <c r="L911" s="74"/>
      <c r="M911" s="74">
        <f t="shared" si="130"/>
        <v>0</v>
      </c>
      <c r="N911" s="74">
        <f t="shared" si="131"/>
        <v>0</v>
      </c>
      <c r="O911" s="74">
        <f t="shared" si="132"/>
        <v>0</v>
      </c>
      <c r="P911" s="74">
        <f t="shared" si="133"/>
        <v>0</v>
      </c>
      <c r="Q911" s="74">
        <f t="shared" si="134"/>
        <v>0</v>
      </c>
    </row>
    <row r="912" spans="1:17" ht="110.25" customHeight="1">
      <c r="A912" s="71"/>
      <c r="B912" s="72">
        <f t="shared" si="126"/>
        <v>0</v>
      </c>
      <c r="C912" s="76" t="s">
        <v>3667</v>
      </c>
      <c r="D912" s="86"/>
      <c r="E912" s="91"/>
      <c r="F912" s="75"/>
      <c r="G912" s="74">
        <f t="shared" si="127"/>
        <v>0</v>
      </c>
      <c r="H912" s="74"/>
      <c r="I912" s="74">
        <f t="shared" si="128"/>
        <v>0</v>
      </c>
      <c r="J912" s="74"/>
      <c r="K912" s="74">
        <f t="shared" si="129"/>
        <v>0</v>
      </c>
      <c r="L912" s="74"/>
      <c r="M912" s="74">
        <f t="shared" si="130"/>
        <v>0</v>
      </c>
      <c r="N912" s="74">
        <f t="shared" si="131"/>
        <v>0</v>
      </c>
      <c r="O912" s="74">
        <f t="shared" si="132"/>
        <v>0</v>
      </c>
      <c r="P912" s="74">
        <f t="shared" si="133"/>
        <v>0</v>
      </c>
      <c r="Q912" s="74">
        <f t="shared" si="134"/>
        <v>0</v>
      </c>
    </row>
    <row r="913" spans="1:17" ht="41.25" customHeight="1">
      <c r="A913" s="71"/>
      <c r="B913" s="72">
        <f t="shared" si="126"/>
        <v>165</v>
      </c>
      <c r="C913" s="72" t="s">
        <v>5520</v>
      </c>
      <c r="D913" s="86">
        <f>'  Coastal  Elec.Data '!K2860</f>
        <v>1617</v>
      </c>
      <c r="E913" s="75" t="s">
        <v>729</v>
      </c>
      <c r="F913" s="1425">
        <f>'Detail '!I1397</f>
        <v>165</v>
      </c>
      <c r="G913" s="74">
        <f t="shared" si="127"/>
        <v>266805</v>
      </c>
      <c r="H913" s="74"/>
      <c r="I913" s="74">
        <f t="shared" si="128"/>
        <v>0</v>
      </c>
      <c r="J913" s="74"/>
      <c r="K913" s="74">
        <f t="shared" si="129"/>
        <v>0</v>
      </c>
      <c r="L913" s="74"/>
      <c r="M913" s="74">
        <f t="shared" si="130"/>
        <v>0</v>
      </c>
      <c r="N913" s="74">
        <f t="shared" si="131"/>
        <v>0</v>
      </c>
      <c r="O913" s="74">
        <f t="shared" si="132"/>
        <v>0</v>
      </c>
      <c r="P913" s="74">
        <f t="shared" si="133"/>
        <v>165</v>
      </c>
      <c r="Q913" s="74">
        <f t="shared" si="134"/>
        <v>266805</v>
      </c>
    </row>
    <row r="914" spans="1:17" ht="36" customHeight="1">
      <c r="A914" s="71"/>
      <c r="B914" s="72">
        <f t="shared" si="126"/>
        <v>173</v>
      </c>
      <c r="C914" s="72" t="s">
        <v>3669</v>
      </c>
      <c r="D914" s="86">
        <f>'  Coastal  Elec.Data '!K2884</f>
        <v>1620</v>
      </c>
      <c r="E914" s="75" t="s">
        <v>729</v>
      </c>
      <c r="F914" s="1425">
        <f>'Detail '!I1459</f>
        <v>173</v>
      </c>
      <c r="G914" s="74">
        <f t="shared" si="127"/>
        <v>280260</v>
      </c>
      <c r="H914" s="74"/>
      <c r="I914" s="74">
        <f t="shared" si="128"/>
        <v>0</v>
      </c>
      <c r="J914" s="74"/>
      <c r="K914" s="74">
        <f t="shared" si="129"/>
        <v>0</v>
      </c>
      <c r="L914" s="74"/>
      <c r="M914" s="74">
        <f t="shared" si="130"/>
        <v>0</v>
      </c>
      <c r="N914" s="74">
        <f t="shared" si="131"/>
        <v>0</v>
      </c>
      <c r="O914" s="74">
        <f t="shared" si="132"/>
        <v>0</v>
      </c>
      <c r="P914" s="74">
        <f t="shared" si="133"/>
        <v>173</v>
      </c>
      <c r="Q914" s="74">
        <f t="shared" si="134"/>
        <v>280260</v>
      </c>
    </row>
    <row r="915" spans="1:17" ht="36" customHeight="1">
      <c r="A915" s="56"/>
      <c r="B915" s="72">
        <f t="shared" si="126"/>
        <v>10</v>
      </c>
      <c r="C915" s="72" t="s">
        <v>5521</v>
      </c>
      <c r="D915" s="86">
        <f>'  Coastal  Elec.Data '!K2899</f>
        <v>1649</v>
      </c>
      <c r="E915" s="75" t="s">
        <v>729</v>
      </c>
      <c r="F915" s="1425">
        <f>'Detail '!I1462</f>
        <v>10</v>
      </c>
      <c r="G915" s="74">
        <f t="shared" si="127"/>
        <v>16490</v>
      </c>
      <c r="H915" s="74"/>
      <c r="I915" s="74">
        <f t="shared" si="128"/>
        <v>0</v>
      </c>
      <c r="J915" s="74"/>
      <c r="K915" s="74">
        <f t="shared" si="129"/>
        <v>0</v>
      </c>
      <c r="L915" s="74"/>
      <c r="M915" s="74">
        <f t="shared" si="130"/>
        <v>0</v>
      </c>
      <c r="N915" s="74">
        <f t="shared" si="131"/>
        <v>0</v>
      </c>
      <c r="O915" s="74">
        <f t="shared" si="132"/>
        <v>0</v>
      </c>
      <c r="P915" s="74">
        <f t="shared" si="133"/>
        <v>10</v>
      </c>
      <c r="Q915" s="74">
        <f t="shared" si="134"/>
        <v>16490</v>
      </c>
    </row>
    <row r="916" spans="1:17" ht="132.75" customHeight="1">
      <c r="A916" s="71"/>
      <c r="B916" s="72">
        <f t="shared" si="126"/>
        <v>175</v>
      </c>
      <c r="C916" s="72" t="s">
        <v>5855</v>
      </c>
      <c r="D916" s="86">
        <f>'  Coastal  Elec.Data '!K2921</f>
        <v>1672</v>
      </c>
      <c r="E916" s="75" t="s">
        <v>729</v>
      </c>
      <c r="F916" s="1425">
        <f>'Detail '!I1524</f>
        <v>175</v>
      </c>
      <c r="G916" s="74">
        <f t="shared" si="127"/>
        <v>292600</v>
      </c>
      <c r="H916" s="74"/>
      <c r="I916" s="74">
        <f t="shared" si="128"/>
        <v>0</v>
      </c>
      <c r="J916" s="74"/>
      <c r="K916" s="74">
        <f t="shared" si="129"/>
        <v>0</v>
      </c>
      <c r="L916" s="74"/>
      <c r="M916" s="74">
        <f t="shared" si="130"/>
        <v>0</v>
      </c>
      <c r="N916" s="74">
        <f t="shared" si="131"/>
        <v>0</v>
      </c>
      <c r="O916" s="74">
        <f t="shared" si="132"/>
        <v>0</v>
      </c>
      <c r="P916" s="74">
        <f t="shared" si="133"/>
        <v>175</v>
      </c>
      <c r="Q916" s="74">
        <f t="shared" si="134"/>
        <v>292600</v>
      </c>
    </row>
    <row r="917" spans="1:17" ht="125.25" customHeight="1">
      <c r="A917" s="71"/>
      <c r="B917" s="72">
        <f t="shared" si="126"/>
        <v>14</v>
      </c>
      <c r="C917" s="72" t="s">
        <v>5856</v>
      </c>
      <c r="D917" s="86">
        <f>'  Coastal  Elec.Data '!K2945</f>
        <v>3035</v>
      </c>
      <c r="E917" s="75" t="s">
        <v>729</v>
      </c>
      <c r="F917" s="1425">
        <f>'Detail '!I1526</f>
        <v>14</v>
      </c>
      <c r="G917" s="74">
        <f t="shared" si="127"/>
        <v>42490</v>
      </c>
      <c r="H917" s="74"/>
      <c r="I917" s="74">
        <f t="shared" si="128"/>
        <v>0</v>
      </c>
      <c r="J917" s="74"/>
      <c r="K917" s="74">
        <f t="shared" si="129"/>
        <v>0</v>
      </c>
      <c r="L917" s="74"/>
      <c r="M917" s="74">
        <f t="shared" si="130"/>
        <v>0</v>
      </c>
      <c r="N917" s="74">
        <f t="shared" si="131"/>
        <v>0</v>
      </c>
      <c r="O917" s="74">
        <f t="shared" si="132"/>
        <v>0</v>
      </c>
      <c r="P917" s="74">
        <f t="shared" si="133"/>
        <v>14</v>
      </c>
      <c r="Q917" s="74">
        <f t="shared" si="134"/>
        <v>42490</v>
      </c>
    </row>
    <row r="918" spans="1:17" ht="122.25" customHeight="1">
      <c r="A918" s="71">
        <v>67.099999999999994</v>
      </c>
      <c r="B918" s="72">
        <f t="shared" si="126"/>
        <v>144</v>
      </c>
      <c r="C918" s="72" t="s">
        <v>5857</v>
      </c>
      <c r="D918" s="86">
        <f>'  Coastal  Elec.Data '!K2977</f>
        <v>830</v>
      </c>
      <c r="E918" s="75" t="s">
        <v>729</v>
      </c>
      <c r="F918" s="1425">
        <f>'Detail '!I1588</f>
        <v>144</v>
      </c>
      <c r="G918" s="74">
        <f t="shared" si="127"/>
        <v>119520</v>
      </c>
      <c r="H918" s="74"/>
      <c r="I918" s="74">
        <f t="shared" si="128"/>
        <v>0</v>
      </c>
      <c r="J918" s="74"/>
      <c r="K918" s="74">
        <f t="shared" si="129"/>
        <v>0</v>
      </c>
      <c r="L918" s="74"/>
      <c r="M918" s="74">
        <f t="shared" si="130"/>
        <v>0</v>
      </c>
      <c r="N918" s="74">
        <f t="shared" si="131"/>
        <v>0</v>
      </c>
      <c r="O918" s="74">
        <f t="shared" si="132"/>
        <v>0</v>
      </c>
      <c r="P918" s="74">
        <f t="shared" si="133"/>
        <v>144</v>
      </c>
      <c r="Q918" s="74">
        <f t="shared" si="134"/>
        <v>119520</v>
      </c>
    </row>
    <row r="919" spans="1:17" ht="126" customHeight="1">
      <c r="A919" s="71"/>
      <c r="B919" s="72">
        <f t="shared" si="126"/>
        <v>117</v>
      </c>
      <c r="C919" s="72" t="s">
        <v>5858</v>
      </c>
      <c r="D919" s="86">
        <f>'  Coastal  Elec.Data '!K2965</f>
        <v>1120</v>
      </c>
      <c r="E919" s="75" t="s">
        <v>729</v>
      </c>
      <c r="F919" s="1425">
        <f>'Detail '!I1650</f>
        <v>117</v>
      </c>
      <c r="G919" s="74">
        <f t="shared" si="127"/>
        <v>131040</v>
      </c>
      <c r="H919" s="74"/>
      <c r="I919" s="74">
        <f t="shared" si="128"/>
        <v>0</v>
      </c>
      <c r="J919" s="74"/>
      <c r="K919" s="74">
        <f t="shared" si="129"/>
        <v>0</v>
      </c>
      <c r="L919" s="74"/>
      <c r="M919" s="74">
        <f t="shared" si="130"/>
        <v>0</v>
      </c>
      <c r="N919" s="74">
        <f t="shared" si="131"/>
        <v>0</v>
      </c>
      <c r="O919" s="74">
        <f t="shared" si="132"/>
        <v>0</v>
      </c>
      <c r="P919" s="74">
        <f t="shared" si="133"/>
        <v>117</v>
      </c>
      <c r="Q919" s="74">
        <f t="shared" si="134"/>
        <v>131040</v>
      </c>
    </row>
    <row r="920" spans="1:17" ht="59.25" customHeight="1">
      <c r="A920" s="71"/>
      <c r="B920" s="72">
        <f t="shared" si="126"/>
        <v>89</v>
      </c>
      <c r="C920" s="72" t="s">
        <v>5859</v>
      </c>
      <c r="D920" s="86">
        <f>'  Coastal  Elec.Data '!K2988</f>
        <v>134</v>
      </c>
      <c r="E920" s="75" t="s">
        <v>729</v>
      </c>
      <c r="F920" s="1425">
        <f>'Detail '!I1707</f>
        <v>89</v>
      </c>
      <c r="G920" s="74">
        <f t="shared" si="127"/>
        <v>11926</v>
      </c>
      <c r="H920" s="74"/>
      <c r="I920" s="74">
        <f t="shared" si="128"/>
        <v>0</v>
      </c>
      <c r="J920" s="74"/>
      <c r="K920" s="74">
        <f t="shared" si="129"/>
        <v>0</v>
      </c>
      <c r="L920" s="74"/>
      <c r="M920" s="74">
        <f t="shared" si="130"/>
        <v>0</v>
      </c>
      <c r="N920" s="74">
        <f t="shared" si="131"/>
        <v>0</v>
      </c>
      <c r="O920" s="74">
        <f t="shared" si="132"/>
        <v>0</v>
      </c>
      <c r="P920" s="74">
        <f t="shared" si="133"/>
        <v>89</v>
      </c>
      <c r="Q920" s="74">
        <f t="shared" si="134"/>
        <v>11926</v>
      </c>
    </row>
    <row r="921" spans="1:17" ht="85.5" customHeight="1">
      <c r="A921" s="71"/>
      <c r="B921" s="72">
        <f t="shared" si="126"/>
        <v>111.55</v>
      </c>
      <c r="C921" s="72" t="s">
        <v>5860</v>
      </c>
      <c r="D921" s="86">
        <f>Data!R1609</f>
        <v>90322.8</v>
      </c>
      <c r="E921" s="74" t="s">
        <v>11</v>
      </c>
      <c r="F921" s="1427">
        <f>'Detail '!I2778</f>
        <v>111.554</v>
      </c>
      <c r="G921" s="74">
        <f t="shared" si="127"/>
        <v>10075869.630000001</v>
      </c>
      <c r="H921" s="74"/>
      <c r="I921" s="74">
        <f t="shared" si="128"/>
        <v>0</v>
      </c>
      <c r="J921" s="74"/>
      <c r="K921" s="74">
        <f t="shared" si="129"/>
        <v>0</v>
      </c>
      <c r="L921" s="74"/>
      <c r="M921" s="74">
        <f t="shared" si="130"/>
        <v>0</v>
      </c>
      <c r="N921" s="74">
        <f t="shared" si="131"/>
        <v>0</v>
      </c>
      <c r="O921" s="74">
        <f t="shared" si="132"/>
        <v>0</v>
      </c>
      <c r="P921" s="74">
        <f t="shared" si="133"/>
        <v>111.55</v>
      </c>
      <c r="Q921" s="74">
        <f t="shared" si="134"/>
        <v>10075508.34</v>
      </c>
    </row>
    <row r="922" spans="1:17" ht="96.75" customHeight="1">
      <c r="A922" s="71"/>
      <c r="B922" s="72">
        <f t="shared" si="126"/>
        <v>240.4</v>
      </c>
      <c r="C922" s="72" t="s">
        <v>5861</v>
      </c>
      <c r="D922" s="86">
        <f>Data!R1640</f>
        <v>353.71</v>
      </c>
      <c r="E922" s="74" t="s">
        <v>13</v>
      </c>
      <c r="F922" s="1425">
        <f>'Detail '!I2784</f>
        <v>240.4</v>
      </c>
      <c r="G922" s="74">
        <f t="shared" si="127"/>
        <v>85031.88</v>
      </c>
      <c r="H922" s="74"/>
      <c r="I922" s="74">
        <f t="shared" si="128"/>
        <v>0</v>
      </c>
      <c r="J922" s="74"/>
      <c r="K922" s="74">
        <f t="shared" si="129"/>
        <v>0</v>
      </c>
      <c r="L922" s="74"/>
      <c r="M922" s="74">
        <f t="shared" si="130"/>
        <v>0</v>
      </c>
      <c r="N922" s="74">
        <f t="shared" si="131"/>
        <v>0</v>
      </c>
      <c r="O922" s="74">
        <f t="shared" si="132"/>
        <v>0</v>
      </c>
      <c r="P922" s="74">
        <f t="shared" si="133"/>
        <v>240.4</v>
      </c>
      <c r="Q922" s="74">
        <f t="shared" si="134"/>
        <v>85031.88</v>
      </c>
    </row>
    <row r="923" spans="1:17" ht="65.25" hidden="1" customHeight="1">
      <c r="A923" s="71"/>
      <c r="B923" s="72">
        <f t="shared" si="126"/>
        <v>0</v>
      </c>
      <c r="C923" s="76" t="s">
        <v>5862</v>
      </c>
      <c r="D923" s="86">
        <f>Data!K2331</f>
        <v>37.659999999999997</v>
      </c>
      <c r="E923" s="74"/>
      <c r="F923" s="75"/>
      <c r="G923" s="74">
        <f t="shared" si="127"/>
        <v>0</v>
      </c>
      <c r="H923" s="74"/>
      <c r="I923" s="74">
        <f t="shared" si="128"/>
        <v>0</v>
      </c>
      <c r="J923" s="74"/>
      <c r="K923" s="74">
        <f t="shared" si="129"/>
        <v>0</v>
      </c>
      <c r="L923" s="74"/>
      <c r="M923" s="74">
        <f t="shared" si="130"/>
        <v>0</v>
      </c>
      <c r="N923" s="74">
        <f t="shared" si="131"/>
        <v>0</v>
      </c>
      <c r="O923" s="74">
        <f t="shared" si="132"/>
        <v>0</v>
      </c>
      <c r="P923" s="74">
        <f t="shared" si="133"/>
        <v>0</v>
      </c>
      <c r="Q923" s="74">
        <f t="shared" si="134"/>
        <v>0</v>
      </c>
    </row>
    <row r="924" spans="1:17" ht="60" hidden="1" customHeight="1">
      <c r="A924" s="71"/>
      <c r="B924" s="72">
        <f t="shared" si="126"/>
        <v>0</v>
      </c>
      <c r="C924" s="99" t="s">
        <v>5863</v>
      </c>
      <c r="D924" s="86"/>
      <c r="E924" s="74"/>
      <c r="F924" s="75"/>
      <c r="G924" s="74">
        <f t="shared" si="127"/>
        <v>0</v>
      </c>
      <c r="H924" s="74"/>
      <c r="I924" s="74">
        <f t="shared" si="128"/>
        <v>0</v>
      </c>
      <c r="J924" s="74"/>
      <c r="K924" s="74">
        <f t="shared" si="129"/>
        <v>0</v>
      </c>
      <c r="L924" s="74"/>
      <c r="M924" s="74">
        <f t="shared" si="130"/>
        <v>0</v>
      </c>
      <c r="N924" s="74">
        <f t="shared" si="131"/>
        <v>0</v>
      </c>
      <c r="O924" s="74">
        <f t="shared" si="132"/>
        <v>0</v>
      </c>
      <c r="P924" s="74">
        <f t="shared" si="133"/>
        <v>0</v>
      </c>
      <c r="Q924" s="74">
        <f t="shared" si="134"/>
        <v>0</v>
      </c>
    </row>
    <row r="925" spans="1:17" ht="45" hidden="1" customHeight="1">
      <c r="A925" s="71"/>
      <c r="B925" s="72">
        <f t="shared" si="126"/>
        <v>0</v>
      </c>
      <c r="C925" s="72" t="s">
        <v>5485</v>
      </c>
      <c r="D925" s="86">
        <f>Data!K1890</f>
        <v>258.45</v>
      </c>
      <c r="E925" s="74" t="s">
        <v>13</v>
      </c>
      <c r="F925" s="75"/>
      <c r="G925" s="74">
        <f t="shared" si="127"/>
        <v>0</v>
      </c>
      <c r="H925" s="74"/>
      <c r="I925" s="74">
        <f t="shared" si="128"/>
        <v>0</v>
      </c>
      <c r="J925" s="74"/>
      <c r="K925" s="74">
        <f t="shared" si="129"/>
        <v>0</v>
      </c>
      <c r="L925" s="74"/>
      <c r="M925" s="74">
        <f t="shared" si="130"/>
        <v>0</v>
      </c>
      <c r="N925" s="74">
        <f t="shared" si="131"/>
        <v>0</v>
      </c>
      <c r="O925" s="74">
        <f t="shared" si="132"/>
        <v>0</v>
      </c>
      <c r="P925" s="74">
        <f t="shared" si="133"/>
        <v>0</v>
      </c>
      <c r="Q925" s="74">
        <f t="shared" si="134"/>
        <v>0</v>
      </c>
    </row>
    <row r="926" spans="1:17" ht="45" hidden="1" customHeight="1">
      <c r="A926" s="71"/>
      <c r="B926" s="72">
        <f t="shared" si="126"/>
        <v>0</v>
      </c>
      <c r="C926" s="72" t="s">
        <v>5486</v>
      </c>
      <c r="D926" s="86">
        <f>Data!K1882</f>
        <v>241.21</v>
      </c>
      <c r="E926" s="74" t="s">
        <v>13</v>
      </c>
      <c r="F926" s="75"/>
      <c r="G926" s="74">
        <f t="shared" si="127"/>
        <v>0</v>
      </c>
      <c r="H926" s="74"/>
      <c r="I926" s="74">
        <f t="shared" si="128"/>
        <v>0</v>
      </c>
      <c r="J926" s="74"/>
      <c r="K926" s="74">
        <f t="shared" si="129"/>
        <v>0</v>
      </c>
      <c r="L926" s="74"/>
      <c r="M926" s="74">
        <f t="shared" si="130"/>
        <v>0</v>
      </c>
      <c r="N926" s="74">
        <f t="shared" si="131"/>
        <v>0</v>
      </c>
      <c r="O926" s="74">
        <f t="shared" si="132"/>
        <v>0</v>
      </c>
      <c r="P926" s="74">
        <f t="shared" si="133"/>
        <v>0</v>
      </c>
      <c r="Q926" s="74">
        <f t="shared" si="134"/>
        <v>0</v>
      </c>
    </row>
    <row r="927" spans="1:17" ht="53.25" hidden="1" customHeight="1">
      <c r="A927" s="71"/>
      <c r="B927" s="72">
        <f t="shared" si="126"/>
        <v>0</v>
      </c>
      <c r="C927" s="72" t="s">
        <v>5864</v>
      </c>
      <c r="D927" s="86">
        <f>Data!K2767</f>
        <v>238.42</v>
      </c>
      <c r="E927" s="74" t="s">
        <v>13</v>
      </c>
      <c r="F927" s="75"/>
      <c r="G927" s="74">
        <f t="shared" si="127"/>
        <v>0</v>
      </c>
      <c r="H927" s="74"/>
      <c r="I927" s="74">
        <f t="shared" si="128"/>
        <v>0</v>
      </c>
      <c r="J927" s="74"/>
      <c r="K927" s="74">
        <f t="shared" si="129"/>
        <v>0</v>
      </c>
      <c r="L927" s="74"/>
      <c r="M927" s="74">
        <f t="shared" si="130"/>
        <v>0</v>
      </c>
      <c r="N927" s="74">
        <f t="shared" si="131"/>
        <v>0</v>
      </c>
      <c r="O927" s="74">
        <f t="shared" si="132"/>
        <v>0</v>
      </c>
      <c r="P927" s="74">
        <f t="shared" si="133"/>
        <v>0</v>
      </c>
      <c r="Q927" s="74">
        <f t="shared" si="134"/>
        <v>0</v>
      </c>
    </row>
    <row r="928" spans="1:17" ht="148.5" customHeight="1">
      <c r="A928" s="71"/>
      <c r="B928" s="72">
        <f t="shared" si="126"/>
        <v>0</v>
      </c>
      <c r="C928" s="99" t="s">
        <v>5865</v>
      </c>
      <c r="D928" s="86">
        <f>Data!K3648</f>
        <v>380.95</v>
      </c>
      <c r="E928" s="75" t="s">
        <v>724</v>
      </c>
      <c r="F928" s="75"/>
      <c r="G928" s="74">
        <f t="shared" si="127"/>
        <v>0</v>
      </c>
      <c r="H928" s="74"/>
      <c r="I928" s="74">
        <f t="shared" si="128"/>
        <v>0</v>
      </c>
      <c r="J928" s="74"/>
      <c r="K928" s="74">
        <f t="shared" si="129"/>
        <v>0</v>
      </c>
      <c r="L928" s="74"/>
      <c r="M928" s="74">
        <f t="shared" si="130"/>
        <v>0</v>
      </c>
      <c r="N928" s="74">
        <f t="shared" si="131"/>
        <v>0</v>
      </c>
      <c r="O928" s="74">
        <f t="shared" si="132"/>
        <v>0</v>
      </c>
      <c r="P928" s="74">
        <f t="shared" si="133"/>
        <v>0</v>
      </c>
      <c r="Q928" s="74">
        <f t="shared" si="134"/>
        <v>0</v>
      </c>
    </row>
    <row r="929" spans="1:17" s="55" customFormat="1" ht="48.75" hidden="1" customHeight="1">
      <c r="A929" s="71"/>
      <c r="B929" s="72">
        <f t="shared" si="126"/>
        <v>0</v>
      </c>
      <c r="C929" s="85" t="s">
        <v>5866</v>
      </c>
      <c r="D929" s="86">
        <f>Data!AF3115</f>
        <v>494</v>
      </c>
      <c r="E929" s="75" t="s">
        <v>729</v>
      </c>
      <c r="F929" s="75"/>
      <c r="G929" s="74">
        <f t="shared" si="127"/>
        <v>0</v>
      </c>
      <c r="H929" s="74"/>
      <c r="I929" s="74">
        <f t="shared" si="128"/>
        <v>0</v>
      </c>
      <c r="J929" s="74"/>
      <c r="K929" s="74">
        <f t="shared" si="129"/>
        <v>0</v>
      </c>
      <c r="L929" s="74"/>
      <c r="M929" s="74">
        <f t="shared" si="130"/>
        <v>0</v>
      </c>
      <c r="N929" s="74">
        <f t="shared" si="131"/>
        <v>0</v>
      </c>
      <c r="O929" s="74">
        <f t="shared" si="132"/>
        <v>0</v>
      </c>
      <c r="P929" s="74">
        <f t="shared" si="133"/>
        <v>0</v>
      </c>
      <c r="Q929" s="74">
        <f t="shared" si="134"/>
        <v>0</v>
      </c>
    </row>
    <row r="930" spans="1:17" s="55" customFormat="1" ht="48.75" hidden="1" customHeight="1">
      <c r="A930" s="71"/>
      <c r="B930" s="72">
        <f t="shared" si="126"/>
        <v>0</v>
      </c>
      <c r="C930" s="85" t="s">
        <v>5867</v>
      </c>
      <c r="D930" s="86">
        <f>Data!AH3115</f>
        <v>446</v>
      </c>
      <c r="E930" s="75" t="s">
        <v>729</v>
      </c>
      <c r="F930" s="75"/>
      <c r="G930" s="74">
        <f t="shared" si="127"/>
        <v>0</v>
      </c>
      <c r="H930" s="74"/>
      <c r="I930" s="74">
        <f t="shared" si="128"/>
        <v>0</v>
      </c>
      <c r="J930" s="74"/>
      <c r="K930" s="74">
        <f t="shared" si="129"/>
        <v>0</v>
      </c>
      <c r="L930" s="74"/>
      <c r="M930" s="74">
        <f t="shared" si="130"/>
        <v>0</v>
      </c>
      <c r="N930" s="74">
        <f t="shared" si="131"/>
        <v>0</v>
      </c>
      <c r="O930" s="74">
        <f t="shared" si="132"/>
        <v>0</v>
      </c>
      <c r="P930" s="74">
        <f t="shared" si="133"/>
        <v>0</v>
      </c>
      <c r="Q930" s="74">
        <f t="shared" si="134"/>
        <v>0</v>
      </c>
    </row>
    <row r="931" spans="1:17" ht="52.5" hidden="1" customHeight="1">
      <c r="A931" s="71"/>
      <c r="B931" s="72">
        <f t="shared" si="126"/>
        <v>0</v>
      </c>
      <c r="C931" s="72" t="s">
        <v>5868</v>
      </c>
      <c r="D931" s="86">
        <v>51.4</v>
      </c>
      <c r="E931" s="84" t="s">
        <v>39</v>
      </c>
      <c r="F931" s="75"/>
      <c r="G931" s="74">
        <f t="shared" si="127"/>
        <v>0</v>
      </c>
      <c r="H931" s="74"/>
      <c r="I931" s="74">
        <f t="shared" si="128"/>
        <v>0</v>
      </c>
      <c r="J931" s="74"/>
      <c r="K931" s="74">
        <f t="shared" si="129"/>
        <v>0</v>
      </c>
      <c r="L931" s="74"/>
      <c r="M931" s="74">
        <f t="shared" si="130"/>
        <v>0</v>
      </c>
      <c r="N931" s="74">
        <f t="shared" si="131"/>
        <v>0</v>
      </c>
      <c r="O931" s="74">
        <f t="shared" si="132"/>
        <v>0</v>
      </c>
      <c r="P931" s="74">
        <f t="shared" si="133"/>
        <v>0</v>
      </c>
      <c r="Q931" s="74">
        <f t="shared" si="134"/>
        <v>0</v>
      </c>
    </row>
    <row r="932" spans="1:17" s="55" customFormat="1" ht="84" hidden="1" customHeight="1">
      <c r="A932" s="71"/>
      <c r="B932" s="72">
        <f t="shared" si="126"/>
        <v>0</v>
      </c>
      <c r="C932" s="72" t="s">
        <v>5869</v>
      </c>
      <c r="D932" s="86">
        <f>Data!AD1229</f>
        <v>2323.94</v>
      </c>
      <c r="E932" s="75" t="s">
        <v>724</v>
      </c>
      <c r="F932" s="75"/>
      <c r="G932" s="74">
        <f t="shared" si="127"/>
        <v>0</v>
      </c>
      <c r="H932" s="74"/>
      <c r="I932" s="74">
        <f t="shared" si="128"/>
        <v>0</v>
      </c>
      <c r="J932" s="74"/>
      <c r="K932" s="74">
        <f t="shared" si="129"/>
        <v>0</v>
      </c>
      <c r="L932" s="74"/>
      <c r="M932" s="74">
        <f t="shared" si="130"/>
        <v>0</v>
      </c>
      <c r="N932" s="74">
        <f t="shared" si="131"/>
        <v>0</v>
      </c>
      <c r="O932" s="74">
        <f t="shared" si="132"/>
        <v>0</v>
      </c>
      <c r="P932" s="74">
        <f t="shared" si="133"/>
        <v>0</v>
      </c>
      <c r="Q932" s="74">
        <f t="shared" si="134"/>
        <v>0</v>
      </c>
    </row>
    <row r="933" spans="1:17" ht="104.25" hidden="1" customHeight="1">
      <c r="A933" s="71" t="s">
        <v>5870</v>
      </c>
      <c r="B933" s="72">
        <f t="shared" si="126"/>
        <v>0</v>
      </c>
      <c r="C933" s="76" t="s">
        <v>5871</v>
      </c>
      <c r="D933" s="84"/>
      <c r="E933" s="84"/>
      <c r="F933" s="75"/>
      <c r="G933" s="74">
        <f t="shared" si="127"/>
        <v>0</v>
      </c>
      <c r="H933" s="74"/>
      <c r="I933" s="74">
        <f t="shared" si="128"/>
        <v>0</v>
      </c>
      <c r="J933" s="74"/>
      <c r="K933" s="74">
        <f t="shared" si="129"/>
        <v>0</v>
      </c>
      <c r="L933" s="74"/>
      <c r="M933" s="74">
        <f t="shared" si="130"/>
        <v>0</v>
      </c>
      <c r="N933" s="74">
        <f t="shared" si="131"/>
        <v>0</v>
      </c>
      <c r="O933" s="74">
        <f t="shared" si="132"/>
        <v>0</v>
      </c>
      <c r="P933" s="74">
        <f t="shared" si="133"/>
        <v>0</v>
      </c>
      <c r="Q933" s="74">
        <f t="shared" si="134"/>
        <v>0</v>
      </c>
    </row>
    <row r="934" spans="1:17" ht="25.5" hidden="1" customHeight="1">
      <c r="A934" s="71"/>
      <c r="B934" s="72">
        <f t="shared" si="126"/>
        <v>0</v>
      </c>
      <c r="C934" s="76" t="s">
        <v>5558</v>
      </c>
      <c r="D934" s="74"/>
      <c r="E934" s="74" t="s">
        <v>13</v>
      </c>
      <c r="F934" s="75"/>
      <c r="G934" s="74">
        <f t="shared" si="127"/>
        <v>0</v>
      </c>
      <c r="H934" s="74"/>
      <c r="I934" s="74">
        <f t="shared" si="128"/>
        <v>0</v>
      </c>
      <c r="J934" s="74"/>
      <c r="K934" s="74">
        <f t="shared" si="129"/>
        <v>0</v>
      </c>
      <c r="L934" s="74"/>
      <c r="M934" s="74">
        <f t="shared" si="130"/>
        <v>0</v>
      </c>
      <c r="N934" s="74">
        <f t="shared" si="131"/>
        <v>0</v>
      </c>
      <c r="O934" s="74">
        <f t="shared" si="132"/>
        <v>0</v>
      </c>
      <c r="P934" s="74">
        <f t="shared" si="133"/>
        <v>0</v>
      </c>
      <c r="Q934" s="74">
        <f t="shared" si="134"/>
        <v>0</v>
      </c>
    </row>
    <row r="935" spans="1:17" ht="25.5" hidden="1" customHeight="1">
      <c r="A935" s="71"/>
      <c r="B935" s="72">
        <f t="shared" si="126"/>
        <v>0</v>
      </c>
      <c r="C935" s="76" t="s">
        <v>5559</v>
      </c>
      <c r="D935" s="74"/>
      <c r="E935" s="74" t="s">
        <v>13</v>
      </c>
      <c r="F935" s="75"/>
      <c r="G935" s="74">
        <f t="shared" si="127"/>
        <v>0</v>
      </c>
      <c r="H935" s="74"/>
      <c r="I935" s="74">
        <f t="shared" si="128"/>
        <v>0</v>
      </c>
      <c r="J935" s="74"/>
      <c r="K935" s="74">
        <f t="shared" si="129"/>
        <v>0</v>
      </c>
      <c r="L935" s="74"/>
      <c r="M935" s="74">
        <f t="shared" si="130"/>
        <v>0</v>
      </c>
      <c r="N935" s="74">
        <f t="shared" si="131"/>
        <v>0</v>
      </c>
      <c r="O935" s="74">
        <f t="shared" si="132"/>
        <v>0</v>
      </c>
      <c r="P935" s="74">
        <f t="shared" si="133"/>
        <v>0</v>
      </c>
      <c r="Q935" s="74">
        <f t="shared" si="134"/>
        <v>0</v>
      </c>
    </row>
    <row r="936" spans="1:17" ht="25.5" hidden="1" customHeight="1">
      <c r="A936" s="71"/>
      <c r="B936" s="72">
        <f t="shared" si="126"/>
        <v>0</v>
      </c>
      <c r="C936" s="76" t="s">
        <v>5560</v>
      </c>
      <c r="D936" s="74"/>
      <c r="E936" s="74" t="s">
        <v>13</v>
      </c>
      <c r="F936" s="75"/>
      <c r="G936" s="74">
        <f t="shared" si="127"/>
        <v>0</v>
      </c>
      <c r="H936" s="74"/>
      <c r="I936" s="74">
        <f t="shared" si="128"/>
        <v>0</v>
      </c>
      <c r="J936" s="74"/>
      <c r="K936" s="74">
        <f t="shared" si="129"/>
        <v>0</v>
      </c>
      <c r="L936" s="74"/>
      <c r="M936" s="74">
        <f t="shared" si="130"/>
        <v>0</v>
      </c>
      <c r="N936" s="74">
        <f t="shared" si="131"/>
        <v>0</v>
      </c>
      <c r="O936" s="74">
        <f t="shared" si="132"/>
        <v>0</v>
      </c>
      <c r="P936" s="74">
        <f t="shared" si="133"/>
        <v>0</v>
      </c>
      <c r="Q936" s="74">
        <f t="shared" si="134"/>
        <v>0</v>
      </c>
    </row>
    <row r="937" spans="1:17" ht="69.75" hidden="1" customHeight="1">
      <c r="A937" s="71"/>
      <c r="B937" s="72">
        <f t="shared" si="126"/>
        <v>0</v>
      </c>
      <c r="C937" s="76" t="s">
        <v>5872</v>
      </c>
      <c r="D937" s="74"/>
      <c r="E937" s="74"/>
      <c r="F937" s="75"/>
      <c r="G937" s="74">
        <f t="shared" si="127"/>
        <v>0</v>
      </c>
      <c r="H937" s="74"/>
      <c r="I937" s="74">
        <f t="shared" si="128"/>
        <v>0</v>
      </c>
      <c r="J937" s="74"/>
      <c r="K937" s="74">
        <f t="shared" si="129"/>
        <v>0</v>
      </c>
      <c r="L937" s="74"/>
      <c r="M937" s="74">
        <f t="shared" si="130"/>
        <v>0</v>
      </c>
      <c r="N937" s="74">
        <f t="shared" si="131"/>
        <v>0</v>
      </c>
      <c r="O937" s="74">
        <f t="shared" si="132"/>
        <v>0</v>
      </c>
      <c r="P937" s="74">
        <f t="shared" si="133"/>
        <v>0</v>
      </c>
      <c r="Q937" s="74">
        <f t="shared" si="134"/>
        <v>0</v>
      </c>
    </row>
    <row r="938" spans="1:17" ht="93" hidden="1" customHeight="1">
      <c r="A938" s="71"/>
      <c r="B938" s="72">
        <f t="shared" si="126"/>
        <v>0</v>
      </c>
      <c r="C938" s="76" t="s">
        <v>5873</v>
      </c>
      <c r="D938" s="84"/>
      <c r="E938" s="84"/>
      <c r="F938" s="75"/>
      <c r="G938" s="74">
        <f t="shared" si="127"/>
        <v>0</v>
      </c>
      <c r="H938" s="74"/>
      <c r="I938" s="74">
        <f t="shared" si="128"/>
        <v>0</v>
      </c>
      <c r="J938" s="74"/>
      <c r="K938" s="74">
        <f t="shared" si="129"/>
        <v>0</v>
      </c>
      <c r="L938" s="74"/>
      <c r="M938" s="74">
        <f t="shared" si="130"/>
        <v>0</v>
      </c>
      <c r="N938" s="74">
        <f t="shared" si="131"/>
        <v>0</v>
      </c>
      <c r="O938" s="74">
        <f t="shared" si="132"/>
        <v>0</v>
      </c>
      <c r="P938" s="74">
        <f t="shared" si="133"/>
        <v>0</v>
      </c>
      <c r="Q938" s="74">
        <f t="shared" si="134"/>
        <v>0</v>
      </c>
    </row>
    <row r="939" spans="1:17" ht="25.5" hidden="1" customHeight="1">
      <c r="A939" s="71"/>
      <c r="B939" s="72">
        <f t="shared" si="126"/>
        <v>0</v>
      </c>
      <c r="C939" s="76" t="s">
        <v>5558</v>
      </c>
      <c r="D939" s="74"/>
      <c r="E939" s="74" t="s">
        <v>13</v>
      </c>
      <c r="F939" s="75"/>
      <c r="G939" s="74">
        <f t="shared" si="127"/>
        <v>0</v>
      </c>
      <c r="H939" s="74"/>
      <c r="I939" s="74">
        <f t="shared" si="128"/>
        <v>0</v>
      </c>
      <c r="J939" s="74"/>
      <c r="K939" s="74">
        <f t="shared" si="129"/>
        <v>0</v>
      </c>
      <c r="L939" s="74"/>
      <c r="M939" s="74">
        <f t="shared" si="130"/>
        <v>0</v>
      </c>
      <c r="N939" s="74">
        <f t="shared" si="131"/>
        <v>0</v>
      </c>
      <c r="O939" s="74">
        <f t="shared" si="132"/>
        <v>0</v>
      </c>
      <c r="P939" s="74">
        <f t="shared" si="133"/>
        <v>0</v>
      </c>
      <c r="Q939" s="74">
        <f t="shared" si="134"/>
        <v>0</v>
      </c>
    </row>
    <row r="940" spans="1:17" ht="25.5" hidden="1" customHeight="1">
      <c r="A940" s="71"/>
      <c r="B940" s="72">
        <f t="shared" si="126"/>
        <v>0</v>
      </c>
      <c r="C940" s="76" t="s">
        <v>5559</v>
      </c>
      <c r="D940" s="74"/>
      <c r="E940" s="74" t="s">
        <v>13</v>
      </c>
      <c r="F940" s="75"/>
      <c r="G940" s="74">
        <f t="shared" si="127"/>
        <v>0</v>
      </c>
      <c r="H940" s="74"/>
      <c r="I940" s="74">
        <f t="shared" si="128"/>
        <v>0</v>
      </c>
      <c r="J940" s="74"/>
      <c r="K940" s="74">
        <f t="shared" si="129"/>
        <v>0</v>
      </c>
      <c r="L940" s="74"/>
      <c r="M940" s="74">
        <f t="shared" si="130"/>
        <v>0</v>
      </c>
      <c r="N940" s="74">
        <f t="shared" si="131"/>
        <v>0</v>
      </c>
      <c r="O940" s="74">
        <f t="shared" si="132"/>
        <v>0</v>
      </c>
      <c r="P940" s="74">
        <f t="shared" si="133"/>
        <v>0</v>
      </c>
      <c r="Q940" s="74">
        <f t="shared" si="134"/>
        <v>0</v>
      </c>
    </row>
    <row r="941" spans="1:17" ht="25.5" hidden="1" customHeight="1">
      <c r="A941" s="71"/>
      <c r="B941" s="72">
        <f t="shared" si="126"/>
        <v>0</v>
      </c>
      <c r="C941" s="76" t="s">
        <v>5560</v>
      </c>
      <c r="D941" s="74"/>
      <c r="E941" s="74" t="s">
        <v>13</v>
      </c>
      <c r="F941" s="75"/>
      <c r="G941" s="74">
        <f t="shared" si="127"/>
        <v>0</v>
      </c>
      <c r="H941" s="74"/>
      <c r="I941" s="74">
        <f t="shared" si="128"/>
        <v>0</v>
      </c>
      <c r="J941" s="74"/>
      <c r="K941" s="74">
        <f t="shared" si="129"/>
        <v>0</v>
      </c>
      <c r="L941" s="74"/>
      <c r="M941" s="74">
        <f t="shared" si="130"/>
        <v>0</v>
      </c>
      <c r="N941" s="74">
        <f t="shared" si="131"/>
        <v>0</v>
      </c>
      <c r="O941" s="74">
        <f t="shared" si="132"/>
        <v>0</v>
      </c>
      <c r="P941" s="74">
        <f t="shared" si="133"/>
        <v>0</v>
      </c>
      <c r="Q941" s="74">
        <f t="shared" si="134"/>
        <v>0</v>
      </c>
    </row>
    <row r="942" spans="1:17" ht="93" hidden="1" customHeight="1">
      <c r="A942" s="71"/>
      <c r="B942" s="72">
        <f t="shared" si="126"/>
        <v>0</v>
      </c>
      <c r="C942" s="76" t="s">
        <v>5874</v>
      </c>
      <c r="D942" s="74">
        <v>40000</v>
      </c>
      <c r="E942" s="74" t="s">
        <v>1034</v>
      </c>
      <c r="F942" s="75"/>
      <c r="G942" s="74">
        <f t="shared" si="127"/>
        <v>0</v>
      </c>
      <c r="H942" s="74"/>
      <c r="I942" s="74">
        <f t="shared" si="128"/>
        <v>0</v>
      </c>
      <c r="J942" s="74"/>
      <c r="K942" s="74">
        <f t="shared" si="129"/>
        <v>0</v>
      </c>
      <c r="L942" s="74"/>
      <c r="M942" s="74">
        <f t="shared" si="130"/>
        <v>0</v>
      </c>
      <c r="N942" s="74">
        <f t="shared" si="131"/>
        <v>0</v>
      </c>
      <c r="O942" s="74">
        <f t="shared" si="132"/>
        <v>0</v>
      </c>
      <c r="P942" s="74">
        <f t="shared" si="133"/>
        <v>0</v>
      </c>
      <c r="Q942" s="74">
        <f t="shared" si="134"/>
        <v>0</v>
      </c>
    </row>
    <row r="943" spans="1:17" ht="162.75" hidden="1" customHeight="1">
      <c r="A943" s="71"/>
      <c r="B943" s="72">
        <f t="shared" si="126"/>
        <v>0</v>
      </c>
      <c r="C943" s="76" t="s">
        <v>5875</v>
      </c>
      <c r="D943" s="74">
        <v>70000</v>
      </c>
      <c r="E943" s="74" t="s">
        <v>1034</v>
      </c>
      <c r="F943" s="75"/>
      <c r="G943" s="74">
        <f t="shared" si="127"/>
        <v>0</v>
      </c>
      <c r="H943" s="74"/>
      <c r="I943" s="74">
        <f t="shared" si="128"/>
        <v>0</v>
      </c>
      <c r="J943" s="74"/>
      <c r="K943" s="74">
        <f t="shared" si="129"/>
        <v>0</v>
      </c>
      <c r="L943" s="74"/>
      <c r="M943" s="74">
        <f t="shared" si="130"/>
        <v>0</v>
      </c>
      <c r="N943" s="74">
        <f t="shared" si="131"/>
        <v>0</v>
      </c>
      <c r="O943" s="74">
        <f t="shared" si="132"/>
        <v>0</v>
      </c>
      <c r="P943" s="74">
        <f t="shared" si="133"/>
        <v>0</v>
      </c>
      <c r="Q943" s="74">
        <f t="shared" si="134"/>
        <v>0</v>
      </c>
    </row>
    <row r="944" spans="1:17" ht="39.75" hidden="1" customHeight="1">
      <c r="A944" s="71"/>
      <c r="B944" s="72">
        <f t="shared" si="126"/>
        <v>0</v>
      </c>
      <c r="C944" s="72" t="s">
        <v>5876</v>
      </c>
      <c r="D944" s="86">
        <v>713.54</v>
      </c>
      <c r="E944" s="74" t="s">
        <v>724</v>
      </c>
      <c r="F944" s="75"/>
      <c r="G944" s="74">
        <f t="shared" si="127"/>
        <v>0</v>
      </c>
      <c r="H944" s="74"/>
      <c r="I944" s="74">
        <f t="shared" si="128"/>
        <v>0</v>
      </c>
      <c r="J944" s="74"/>
      <c r="K944" s="74">
        <f t="shared" si="129"/>
        <v>0</v>
      </c>
      <c r="L944" s="74"/>
      <c r="M944" s="74">
        <f t="shared" si="130"/>
        <v>0</v>
      </c>
      <c r="N944" s="74">
        <f t="shared" si="131"/>
        <v>0</v>
      </c>
      <c r="O944" s="74">
        <f t="shared" si="132"/>
        <v>0</v>
      </c>
      <c r="P944" s="74">
        <f t="shared" si="133"/>
        <v>0</v>
      </c>
      <c r="Q944" s="74">
        <f t="shared" si="134"/>
        <v>0</v>
      </c>
    </row>
    <row r="945" spans="1:17" ht="93" hidden="1" customHeight="1">
      <c r="A945" s="71"/>
      <c r="B945" s="72">
        <f t="shared" si="126"/>
        <v>0</v>
      </c>
      <c r="C945" s="76" t="s">
        <v>5877</v>
      </c>
      <c r="D945" s="86"/>
      <c r="E945" s="74"/>
      <c r="F945" s="75"/>
      <c r="G945" s="74">
        <f t="shared" si="127"/>
        <v>0</v>
      </c>
      <c r="H945" s="74"/>
      <c r="I945" s="74">
        <f t="shared" si="128"/>
        <v>0</v>
      </c>
      <c r="J945" s="74"/>
      <c r="K945" s="74">
        <f t="shared" si="129"/>
        <v>0</v>
      </c>
      <c r="L945" s="74"/>
      <c r="M945" s="74">
        <f t="shared" si="130"/>
        <v>0</v>
      </c>
      <c r="N945" s="74">
        <f t="shared" si="131"/>
        <v>0</v>
      </c>
      <c r="O945" s="74">
        <f t="shared" si="132"/>
        <v>0</v>
      </c>
      <c r="P945" s="74">
        <f t="shared" si="133"/>
        <v>0</v>
      </c>
      <c r="Q945" s="74">
        <f t="shared" si="134"/>
        <v>0</v>
      </c>
    </row>
    <row r="946" spans="1:17" ht="37.5" hidden="1" customHeight="1">
      <c r="A946" s="71"/>
      <c r="B946" s="72">
        <f t="shared" si="126"/>
        <v>0</v>
      </c>
      <c r="C946" s="72" t="s">
        <v>5520</v>
      </c>
      <c r="D946" s="86">
        <f>Elec.Data!K993</f>
        <v>895</v>
      </c>
      <c r="E946" s="74" t="s">
        <v>729</v>
      </c>
      <c r="F946" s="75"/>
      <c r="G946" s="74">
        <f t="shared" si="127"/>
        <v>0</v>
      </c>
      <c r="H946" s="74"/>
      <c r="I946" s="74">
        <f t="shared" si="128"/>
        <v>0</v>
      </c>
      <c r="J946" s="74"/>
      <c r="K946" s="74">
        <f t="shared" si="129"/>
        <v>0</v>
      </c>
      <c r="L946" s="74"/>
      <c r="M946" s="74">
        <f t="shared" si="130"/>
        <v>0</v>
      </c>
      <c r="N946" s="74">
        <f t="shared" si="131"/>
        <v>0</v>
      </c>
      <c r="O946" s="74">
        <f t="shared" si="132"/>
        <v>0</v>
      </c>
      <c r="P946" s="74">
        <f t="shared" si="133"/>
        <v>0</v>
      </c>
      <c r="Q946" s="74">
        <f t="shared" si="134"/>
        <v>0</v>
      </c>
    </row>
    <row r="947" spans="1:17" ht="25.5" hidden="1" customHeight="1">
      <c r="A947" s="71"/>
      <c r="B947" s="72">
        <f t="shared" si="126"/>
        <v>0</v>
      </c>
      <c r="C947" s="72" t="s">
        <v>3669</v>
      </c>
      <c r="D947" s="86">
        <f>Elec.Data!K1019</f>
        <v>897</v>
      </c>
      <c r="E947" s="74" t="s">
        <v>729</v>
      </c>
      <c r="F947" s="75"/>
      <c r="G947" s="74">
        <f t="shared" si="127"/>
        <v>0</v>
      </c>
      <c r="H947" s="74"/>
      <c r="I947" s="74">
        <f t="shared" si="128"/>
        <v>0</v>
      </c>
      <c r="J947" s="74"/>
      <c r="K947" s="74">
        <f t="shared" si="129"/>
        <v>0</v>
      </c>
      <c r="L947" s="74"/>
      <c r="M947" s="74">
        <f t="shared" si="130"/>
        <v>0</v>
      </c>
      <c r="N947" s="74">
        <f t="shared" si="131"/>
        <v>0</v>
      </c>
      <c r="O947" s="74">
        <f t="shared" si="132"/>
        <v>0</v>
      </c>
      <c r="P947" s="74">
        <f t="shared" si="133"/>
        <v>0</v>
      </c>
      <c r="Q947" s="74">
        <f t="shared" si="134"/>
        <v>0</v>
      </c>
    </row>
    <row r="948" spans="1:17" ht="25.5" hidden="1" customHeight="1">
      <c r="A948" s="71"/>
      <c r="B948" s="72">
        <f t="shared" si="126"/>
        <v>0</v>
      </c>
      <c r="C948" s="72" t="s">
        <v>5878</v>
      </c>
      <c r="D948" s="86">
        <f>Elec.Data!K1035</f>
        <v>934.35</v>
      </c>
      <c r="E948" s="74"/>
      <c r="F948" s="75"/>
      <c r="G948" s="74">
        <f t="shared" si="127"/>
        <v>0</v>
      </c>
      <c r="H948" s="74"/>
      <c r="I948" s="74">
        <f t="shared" si="128"/>
        <v>0</v>
      </c>
      <c r="J948" s="74"/>
      <c r="K948" s="74">
        <f t="shared" si="129"/>
        <v>0</v>
      </c>
      <c r="L948" s="74"/>
      <c r="M948" s="74">
        <f t="shared" si="130"/>
        <v>0</v>
      </c>
      <c r="N948" s="74">
        <f t="shared" si="131"/>
        <v>0</v>
      </c>
      <c r="O948" s="74">
        <f t="shared" si="132"/>
        <v>0</v>
      </c>
      <c r="P948" s="74">
        <f t="shared" si="133"/>
        <v>0</v>
      </c>
      <c r="Q948" s="74">
        <f t="shared" si="134"/>
        <v>0</v>
      </c>
    </row>
    <row r="949" spans="1:17" ht="87" hidden="1" customHeight="1">
      <c r="A949" s="71"/>
      <c r="B949" s="72">
        <f t="shared" si="126"/>
        <v>0</v>
      </c>
      <c r="C949" s="72" t="s">
        <v>5879</v>
      </c>
      <c r="D949" s="86">
        <f>Elec.Data!K1096</f>
        <v>689.21</v>
      </c>
      <c r="E949" s="74" t="s">
        <v>729</v>
      </c>
      <c r="F949" s="75"/>
      <c r="G949" s="74">
        <f t="shared" si="127"/>
        <v>0</v>
      </c>
      <c r="H949" s="74"/>
      <c r="I949" s="74">
        <f t="shared" si="128"/>
        <v>0</v>
      </c>
      <c r="J949" s="74"/>
      <c r="K949" s="74">
        <f t="shared" si="129"/>
        <v>0</v>
      </c>
      <c r="L949" s="74"/>
      <c r="M949" s="74">
        <f t="shared" si="130"/>
        <v>0</v>
      </c>
      <c r="N949" s="74">
        <f t="shared" si="131"/>
        <v>0</v>
      </c>
      <c r="O949" s="74">
        <f t="shared" si="132"/>
        <v>0</v>
      </c>
      <c r="P949" s="74">
        <f t="shared" si="133"/>
        <v>0</v>
      </c>
      <c r="Q949" s="74">
        <f t="shared" si="134"/>
        <v>0</v>
      </c>
    </row>
    <row r="950" spans="1:17" ht="87" hidden="1" customHeight="1">
      <c r="A950" s="71"/>
      <c r="B950" s="72">
        <f t="shared" si="126"/>
        <v>0</v>
      </c>
      <c r="C950" s="72" t="s">
        <v>5880</v>
      </c>
      <c r="D950" s="86">
        <f>Elec.Data!K146</f>
        <v>835</v>
      </c>
      <c r="E950" s="74" t="s">
        <v>729</v>
      </c>
      <c r="F950" s="75"/>
      <c r="G950" s="74">
        <f t="shared" si="127"/>
        <v>0</v>
      </c>
      <c r="H950" s="74"/>
      <c r="I950" s="74">
        <f t="shared" si="128"/>
        <v>0</v>
      </c>
      <c r="J950" s="74"/>
      <c r="K950" s="74">
        <f t="shared" si="129"/>
        <v>0</v>
      </c>
      <c r="L950" s="74"/>
      <c r="M950" s="74">
        <f t="shared" si="130"/>
        <v>0</v>
      </c>
      <c r="N950" s="74">
        <f t="shared" si="131"/>
        <v>0</v>
      </c>
      <c r="O950" s="74">
        <f t="shared" si="132"/>
        <v>0</v>
      </c>
      <c r="P950" s="74">
        <f t="shared" si="133"/>
        <v>0</v>
      </c>
      <c r="Q950" s="74">
        <f t="shared" si="134"/>
        <v>0</v>
      </c>
    </row>
    <row r="951" spans="1:17" ht="77.25" hidden="1" customHeight="1">
      <c r="A951" s="71"/>
      <c r="B951" s="72">
        <f t="shared" si="126"/>
        <v>0</v>
      </c>
      <c r="C951" s="72" t="s">
        <v>5881</v>
      </c>
      <c r="D951" s="86">
        <f>Elec.Data!K1057</f>
        <v>980.1</v>
      </c>
      <c r="E951" s="95" t="s">
        <v>282</v>
      </c>
      <c r="F951" s="75"/>
      <c r="G951" s="74">
        <f t="shared" si="127"/>
        <v>0</v>
      </c>
      <c r="H951" s="74"/>
      <c r="I951" s="74">
        <f t="shared" si="128"/>
        <v>0</v>
      </c>
      <c r="J951" s="74"/>
      <c r="K951" s="74">
        <f t="shared" si="129"/>
        <v>0</v>
      </c>
      <c r="L951" s="74"/>
      <c r="M951" s="74">
        <f t="shared" si="130"/>
        <v>0</v>
      </c>
      <c r="N951" s="74">
        <f t="shared" si="131"/>
        <v>0</v>
      </c>
      <c r="O951" s="74">
        <f t="shared" si="132"/>
        <v>0</v>
      </c>
      <c r="P951" s="74">
        <f t="shared" si="133"/>
        <v>0</v>
      </c>
      <c r="Q951" s="74">
        <f t="shared" si="134"/>
        <v>0</v>
      </c>
    </row>
    <row r="952" spans="1:17" ht="54" hidden="1" customHeight="1">
      <c r="A952" s="71"/>
      <c r="B952" s="72">
        <f t="shared" si="126"/>
        <v>0</v>
      </c>
      <c r="C952" s="76" t="s">
        <v>5882</v>
      </c>
      <c r="D952" s="86">
        <f>Data!K3792</f>
        <v>3879.13</v>
      </c>
      <c r="E952" s="74" t="s">
        <v>724</v>
      </c>
      <c r="F952" s="75"/>
      <c r="G952" s="74">
        <f t="shared" si="127"/>
        <v>0</v>
      </c>
      <c r="H952" s="74"/>
      <c r="I952" s="74">
        <f t="shared" si="128"/>
        <v>0</v>
      </c>
      <c r="J952" s="74"/>
      <c r="K952" s="74">
        <f t="shared" si="129"/>
        <v>0</v>
      </c>
      <c r="L952" s="74"/>
      <c r="M952" s="74">
        <f t="shared" si="130"/>
        <v>0</v>
      </c>
      <c r="N952" s="74">
        <f t="shared" si="131"/>
        <v>0</v>
      </c>
      <c r="O952" s="74">
        <f t="shared" si="132"/>
        <v>0</v>
      </c>
      <c r="P952" s="74">
        <f t="shared" si="133"/>
        <v>0</v>
      </c>
      <c r="Q952" s="74">
        <f t="shared" si="134"/>
        <v>0</v>
      </c>
    </row>
    <row r="953" spans="1:17" ht="72" hidden="1" customHeight="1">
      <c r="A953" s="71"/>
      <c r="B953" s="72">
        <f t="shared" si="126"/>
        <v>0</v>
      </c>
      <c r="C953" s="76" t="s">
        <v>5883</v>
      </c>
      <c r="D953" s="86">
        <f>Data!X3668</f>
        <v>6187.12</v>
      </c>
      <c r="E953" s="74" t="s">
        <v>724</v>
      </c>
      <c r="F953" s="75"/>
      <c r="G953" s="74">
        <f t="shared" si="127"/>
        <v>0</v>
      </c>
      <c r="H953" s="74"/>
      <c r="I953" s="74">
        <f t="shared" si="128"/>
        <v>0</v>
      </c>
      <c r="J953" s="74"/>
      <c r="K953" s="74">
        <f t="shared" si="129"/>
        <v>0</v>
      </c>
      <c r="L953" s="74"/>
      <c r="M953" s="74">
        <f t="shared" si="130"/>
        <v>0</v>
      </c>
      <c r="N953" s="74">
        <f t="shared" si="131"/>
        <v>0</v>
      </c>
      <c r="O953" s="74">
        <f t="shared" si="132"/>
        <v>0</v>
      </c>
      <c r="P953" s="74">
        <f t="shared" si="133"/>
        <v>0</v>
      </c>
      <c r="Q953" s="74">
        <f t="shared" si="134"/>
        <v>0</v>
      </c>
    </row>
    <row r="954" spans="1:17" ht="69" hidden="1" customHeight="1">
      <c r="A954" s="71"/>
      <c r="B954" s="72">
        <f t="shared" si="126"/>
        <v>0</v>
      </c>
      <c r="C954" s="76" t="s">
        <v>5884</v>
      </c>
      <c r="D954" s="86">
        <f>Data!X3696</f>
        <v>7959.7</v>
      </c>
      <c r="E954" s="74" t="s">
        <v>724</v>
      </c>
      <c r="F954" s="75"/>
      <c r="G954" s="74">
        <f t="shared" si="127"/>
        <v>0</v>
      </c>
      <c r="H954" s="74"/>
      <c r="I954" s="74">
        <f t="shared" si="128"/>
        <v>0</v>
      </c>
      <c r="J954" s="74"/>
      <c r="K954" s="74">
        <f t="shared" si="129"/>
        <v>0</v>
      </c>
      <c r="L954" s="74"/>
      <c r="M954" s="74">
        <f t="shared" si="130"/>
        <v>0</v>
      </c>
      <c r="N954" s="74">
        <f t="shared" si="131"/>
        <v>0</v>
      </c>
      <c r="O954" s="74">
        <f t="shared" si="132"/>
        <v>0</v>
      </c>
      <c r="P954" s="74">
        <f t="shared" si="133"/>
        <v>0</v>
      </c>
      <c r="Q954" s="74">
        <f t="shared" si="134"/>
        <v>0</v>
      </c>
    </row>
    <row r="955" spans="1:17" ht="66" hidden="1" customHeight="1">
      <c r="A955" s="71"/>
      <c r="B955" s="72">
        <f t="shared" si="126"/>
        <v>0</v>
      </c>
      <c r="C955" s="76" t="s">
        <v>5885</v>
      </c>
      <c r="D955" s="86">
        <f>Data!K3837</f>
        <v>1400.15</v>
      </c>
      <c r="E955" s="95" t="s">
        <v>724</v>
      </c>
      <c r="F955" s="75"/>
      <c r="G955" s="74">
        <f t="shared" si="127"/>
        <v>0</v>
      </c>
      <c r="H955" s="74"/>
      <c r="I955" s="74">
        <f t="shared" si="128"/>
        <v>0</v>
      </c>
      <c r="J955" s="74"/>
      <c r="K955" s="74">
        <f t="shared" si="129"/>
        <v>0</v>
      </c>
      <c r="L955" s="74"/>
      <c r="M955" s="74">
        <f t="shared" si="130"/>
        <v>0</v>
      </c>
      <c r="N955" s="74">
        <f t="shared" si="131"/>
        <v>0</v>
      </c>
      <c r="O955" s="74">
        <f t="shared" si="132"/>
        <v>0</v>
      </c>
      <c r="P955" s="74">
        <f t="shared" si="133"/>
        <v>0</v>
      </c>
      <c r="Q955" s="74">
        <f t="shared" si="134"/>
        <v>0</v>
      </c>
    </row>
    <row r="956" spans="1:17" ht="76.5" hidden="1" customHeight="1">
      <c r="A956" s="71"/>
      <c r="B956" s="72">
        <f t="shared" si="126"/>
        <v>0</v>
      </c>
      <c r="C956" s="85" t="s">
        <v>5886</v>
      </c>
      <c r="D956" s="86">
        <f>Data!K3814</f>
        <v>1698.42</v>
      </c>
      <c r="E956" s="95" t="s">
        <v>724</v>
      </c>
      <c r="F956" s="75"/>
      <c r="G956" s="74">
        <f t="shared" si="127"/>
        <v>0</v>
      </c>
      <c r="H956" s="74"/>
      <c r="I956" s="74">
        <f t="shared" si="128"/>
        <v>0</v>
      </c>
      <c r="J956" s="74"/>
      <c r="K956" s="74">
        <f t="shared" si="129"/>
        <v>0</v>
      </c>
      <c r="L956" s="74"/>
      <c r="M956" s="74">
        <f t="shared" si="130"/>
        <v>0</v>
      </c>
      <c r="N956" s="74">
        <f t="shared" si="131"/>
        <v>0</v>
      </c>
      <c r="O956" s="74">
        <f t="shared" si="132"/>
        <v>0</v>
      </c>
      <c r="P956" s="74">
        <f t="shared" si="133"/>
        <v>0</v>
      </c>
      <c r="Q956" s="74">
        <f t="shared" si="134"/>
        <v>0</v>
      </c>
    </row>
    <row r="957" spans="1:17" s="59" customFormat="1" ht="142.5" hidden="1" customHeight="1">
      <c r="A957" s="71"/>
      <c r="B957" s="72">
        <f t="shared" si="126"/>
        <v>0</v>
      </c>
      <c r="C957" s="72" t="s">
        <v>5887</v>
      </c>
      <c r="D957" s="86">
        <v>1839</v>
      </c>
      <c r="E957" s="88" t="s">
        <v>729</v>
      </c>
      <c r="F957" s="75"/>
      <c r="G957" s="74">
        <f t="shared" si="127"/>
        <v>0</v>
      </c>
      <c r="H957" s="74"/>
      <c r="I957" s="74">
        <f t="shared" si="128"/>
        <v>0</v>
      </c>
      <c r="J957" s="74"/>
      <c r="K957" s="74">
        <f t="shared" si="129"/>
        <v>0</v>
      </c>
      <c r="L957" s="74"/>
      <c r="M957" s="74">
        <f t="shared" si="130"/>
        <v>0</v>
      </c>
      <c r="N957" s="74">
        <f t="shared" si="131"/>
        <v>0</v>
      </c>
      <c r="O957" s="74">
        <f t="shared" si="132"/>
        <v>0</v>
      </c>
      <c r="P957" s="74">
        <f t="shared" si="133"/>
        <v>0</v>
      </c>
      <c r="Q957" s="74">
        <f t="shared" si="134"/>
        <v>0</v>
      </c>
    </row>
    <row r="958" spans="1:17" ht="123" hidden="1" customHeight="1">
      <c r="A958" s="71"/>
      <c r="B958" s="72">
        <f t="shared" si="126"/>
        <v>0</v>
      </c>
      <c r="C958" s="72" t="s">
        <v>5888</v>
      </c>
      <c r="D958" s="104">
        <f>Elec.Data!K1266</f>
        <v>0</v>
      </c>
      <c r="E958" s="105" t="s">
        <v>729</v>
      </c>
      <c r="F958" s="75"/>
      <c r="G958" s="74">
        <f t="shared" si="127"/>
        <v>0</v>
      </c>
      <c r="H958" s="74"/>
      <c r="I958" s="74">
        <f t="shared" si="128"/>
        <v>0</v>
      </c>
      <c r="J958" s="74"/>
      <c r="K958" s="74">
        <f t="shared" si="129"/>
        <v>0</v>
      </c>
      <c r="L958" s="74"/>
      <c r="M958" s="74">
        <f t="shared" si="130"/>
        <v>0</v>
      </c>
      <c r="N958" s="74">
        <f t="shared" si="131"/>
        <v>0</v>
      </c>
      <c r="O958" s="74">
        <f t="shared" si="132"/>
        <v>0</v>
      </c>
      <c r="P958" s="74">
        <f t="shared" si="133"/>
        <v>0</v>
      </c>
      <c r="Q958" s="74">
        <f t="shared" si="134"/>
        <v>0</v>
      </c>
    </row>
    <row r="959" spans="1:17" ht="89.25" hidden="1" customHeight="1">
      <c r="A959" s="71"/>
      <c r="B959" s="72">
        <f t="shared" si="126"/>
        <v>0</v>
      </c>
      <c r="C959" s="72" t="s">
        <v>5889</v>
      </c>
      <c r="D959" s="104">
        <v>8100</v>
      </c>
      <c r="E959" s="105" t="s">
        <v>729</v>
      </c>
      <c r="F959" s="75"/>
      <c r="G959" s="74">
        <f t="shared" si="127"/>
        <v>0</v>
      </c>
      <c r="H959" s="74"/>
      <c r="I959" s="74">
        <f t="shared" si="128"/>
        <v>0</v>
      </c>
      <c r="J959" s="74"/>
      <c r="K959" s="74">
        <f t="shared" si="129"/>
        <v>0</v>
      </c>
      <c r="L959" s="74"/>
      <c r="M959" s="74">
        <f t="shared" si="130"/>
        <v>0</v>
      </c>
      <c r="N959" s="74">
        <f t="shared" si="131"/>
        <v>0</v>
      </c>
      <c r="O959" s="74">
        <f t="shared" si="132"/>
        <v>0</v>
      </c>
      <c r="P959" s="74">
        <f t="shared" si="133"/>
        <v>0</v>
      </c>
      <c r="Q959" s="74">
        <f t="shared" si="134"/>
        <v>0</v>
      </c>
    </row>
    <row r="960" spans="1:17" s="55" customFormat="1" ht="117" customHeight="1">
      <c r="A960" s="71"/>
      <c r="B960" s="72">
        <f t="shared" si="126"/>
        <v>34</v>
      </c>
      <c r="C960" s="72" t="s">
        <v>5890</v>
      </c>
      <c r="D960" s="1639">
        <v>814.46</v>
      </c>
      <c r="E960" s="75" t="s">
        <v>729</v>
      </c>
      <c r="F960" s="1425">
        <f>'Detail '!I2698</f>
        <v>34</v>
      </c>
      <c r="G960" s="74">
        <f t="shared" si="127"/>
        <v>27691.64</v>
      </c>
      <c r="H960" s="74"/>
      <c r="I960" s="74">
        <f t="shared" si="128"/>
        <v>0</v>
      </c>
      <c r="J960" s="74"/>
      <c r="K960" s="74">
        <f t="shared" si="129"/>
        <v>0</v>
      </c>
      <c r="L960" s="74"/>
      <c r="M960" s="74">
        <f t="shared" si="130"/>
        <v>0</v>
      </c>
      <c r="N960" s="74">
        <f t="shared" si="131"/>
        <v>0</v>
      </c>
      <c r="O960" s="74">
        <f t="shared" si="132"/>
        <v>0</v>
      </c>
      <c r="P960" s="74">
        <f t="shared" si="133"/>
        <v>34</v>
      </c>
      <c r="Q960" s="74">
        <f t="shared" si="134"/>
        <v>27691.64</v>
      </c>
    </row>
    <row r="961" spans="1:17" s="65" customFormat="1" ht="69.75" customHeight="1">
      <c r="A961" s="71"/>
      <c r="B961" s="72">
        <f t="shared" si="126"/>
        <v>1</v>
      </c>
      <c r="C961" s="106" t="s">
        <v>5891</v>
      </c>
      <c r="D961" s="105">
        <v>8777</v>
      </c>
      <c r="E961" s="105" t="s">
        <v>729</v>
      </c>
      <c r="F961" s="1425">
        <f>'Detail '!I2946</f>
        <v>1</v>
      </c>
      <c r="G961" s="74">
        <f t="shared" si="127"/>
        <v>8777</v>
      </c>
      <c r="H961" s="74"/>
      <c r="I961" s="74">
        <f t="shared" si="128"/>
        <v>0</v>
      </c>
      <c r="J961" s="74"/>
      <c r="K961" s="74">
        <f t="shared" si="129"/>
        <v>0</v>
      </c>
      <c r="L961" s="74"/>
      <c r="M961" s="74">
        <f t="shared" si="130"/>
        <v>0</v>
      </c>
      <c r="N961" s="74">
        <f t="shared" si="131"/>
        <v>0</v>
      </c>
      <c r="O961" s="74">
        <f t="shared" si="132"/>
        <v>0</v>
      </c>
      <c r="P961" s="74">
        <f t="shared" si="133"/>
        <v>1</v>
      </c>
      <c r="Q961" s="74">
        <f t="shared" si="134"/>
        <v>8777</v>
      </c>
    </row>
    <row r="962" spans="1:17" ht="111" hidden="1" customHeight="1">
      <c r="A962" s="71">
        <v>21.6</v>
      </c>
      <c r="B962" s="72">
        <f t="shared" si="126"/>
        <v>0</v>
      </c>
      <c r="C962" s="76" t="s">
        <v>5892</v>
      </c>
      <c r="D962" s="75"/>
      <c r="E962" s="74"/>
      <c r="F962" s="75"/>
      <c r="G962" s="74">
        <f t="shared" si="127"/>
        <v>0</v>
      </c>
      <c r="H962" s="74"/>
      <c r="I962" s="74">
        <f t="shared" si="128"/>
        <v>0</v>
      </c>
      <c r="J962" s="74"/>
      <c r="K962" s="74">
        <f t="shared" si="129"/>
        <v>0</v>
      </c>
      <c r="L962" s="74"/>
      <c r="M962" s="74">
        <f t="shared" si="130"/>
        <v>0</v>
      </c>
      <c r="N962" s="74">
        <f t="shared" si="131"/>
        <v>0</v>
      </c>
      <c r="O962" s="74">
        <f t="shared" si="132"/>
        <v>0</v>
      </c>
      <c r="P962" s="74">
        <f t="shared" si="133"/>
        <v>0</v>
      </c>
      <c r="Q962" s="74">
        <f t="shared" si="134"/>
        <v>0</v>
      </c>
    </row>
    <row r="963" spans="1:17" ht="45" hidden="1" customHeight="1">
      <c r="A963" s="83"/>
      <c r="B963" s="72">
        <f t="shared" si="126"/>
        <v>0</v>
      </c>
      <c r="C963" s="72" t="s">
        <v>5407</v>
      </c>
      <c r="D963" s="75">
        <f>Data!K3950</f>
        <v>2893.25</v>
      </c>
      <c r="E963" s="74" t="s">
        <v>729</v>
      </c>
      <c r="F963" s="75"/>
      <c r="G963" s="74">
        <f t="shared" si="127"/>
        <v>0</v>
      </c>
      <c r="H963" s="74"/>
      <c r="I963" s="74">
        <f t="shared" si="128"/>
        <v>0</v>
      </c>
      <c r="J963" s="74"/>
      <c r="K963" s="74">
        <f t="shared" si="129"/>
        <v>0</v>
      </c>
      <c r="L963" s="74"/>
      <c r="M963" s="74">
        <f t="shared" si="130"/>
        <v>0</v>
      </c>
      <c r="N963" s="74">
        <f t="shared" si="131"/>
        <v>0</v>
      </c>
      <c r="O963" s="74">
        <f t="shared" si="132"/>
        <v>0</v>
      </c>
      <c r="P963" s="74">
        <f t="shared" si="133"/>
        <v>0</v>
      </c>
      <c r="Q963" s="74">
        <f t="shared" si="134"/>
        <v>0</v>
      </c>
    </row>
    <row r="964" spans="1:17" ht="45" hidden="1" customHeight="1">
      <c r="A964" s="83"/>
      <c r="B964" s="72">
        <f t="shared" si="126"/>
        <v>0</v>
      </c>
      <c r="C964" s="72" t="s">
        <v>5623</v>
      </c>
      <c r="D964" s="75">
        <f>Data!K3983</f>
        <v>3462.83</v>
      </c>
      <c r="E964" s="74" t="s">
        <v>729</v>
      </c>
      <c r="F964" s="75"/>
      <c r="G964" s="74">
        <f t="shared" si="127"/>
        <v>0</v>
      </c>
      <c r="H964" s="74"/>
      <c r="I964" s="74">
        <f t="shared" si="128"/>
        <v>0</v>
      </c>
      <c r="J964" s="74"/>
      <c r="K964" s="74">
        <f t="shared" si="129"/>
        <v>0</v>
      </c>
      <c r="L964" s="74"/>
      <c r="M964" s="74">
        <f t="shared" si="130"/>
        <v>0</v>
      </c>
      <c r="N964" s="74">
        <f t="shared" si="131"/>
        <v>0</v>
      </c>
      <c r="O964" s="74">
        <f t="shared" si="132"/>
        <v>0</v>
      </c>
      <c r="P964" s="74">
        <f t="shared" si="133"/>
        <v>0</v>
      </c>
      <c r="Q964" s="74">
        <f t="shared" si="134"/>
        <v>0</v>
      </c>
    </row>
    <row r="965" spans="1:17" ht="45" hidden="1" customHeight="1">
      <c r="A965" s="83"/>
      <c r="B965" s="72">
        <f t="shared" ref="B965:B1028" si="135">P965</f>
        <v>0</v>
      </c>
      <c r="C965" s="72" t="s">
        <v>5624</v>
      </c>
      <c r="D965" s="75">
        <f>Data!K3966</f>
        <v>2854.29</v>
      </c>
      <c r="E965" s="74"/>
      <c r="F965" s="75"/>
      <c r="G965" s="74">
        <f t="shared" si="127"/>
        <v>0</v>
      </c>
      <c r="H965" s="74"/>
      <c r="I965" s="74">
        <f t="shared" si="128"/>
        <v>0</v>
      </c>
      <c r="J965" s="74"/>
      <c r="K965" s="74">
        <f t="shared" si="129"/>
        <v>0</v>
      </c>
      <c r="L965" s="74"/>
      <c r="M965" s="74">
        <f t="shared" si="130"/>
        <v>0</v>
      </c>
      <c r="N965" s="74">
        <f t="shared" si="131"/>
        <v>0</v>
      </c>
      <c r="O965" s="74">
        <f t="shared" si="132"/>
        <v>0</v>
      </c>
      <c r="P965" s="74">
        <f t="shared" si="133"/>
        <v>0</v>
      </c>
      <c r="Q965" s="74">
        <f t="shared" si="134"/>
        <v>0</v>
      </c>
    </row>
    <row r="966" spans="1:17" ht="54.75" hidden="1" customHeight="1">
      <c r="A966" s="83"/>
      <c r="B966" s="72">
        <f t="shared" si="135"/>
        <v>0</v>
      </c>
      <c r="C966" s="72" t="s">
        <v>5409</v>
      </c>
      <c r="D966" s="75">
        <f>Data!K3932</f>
        <v>2916.39</v>
      </c>
      <c r="E966" s="74" t="s">
        <v>729</v>
      </c>
      <c r="F966" s="75"/>
      <c r="G966" s="74">
        <f t="shared" ref="G966:G1029" si="136">F966*D966</f>
        <v>0</v>
      </c>
      <c r="H966" s="74"/>
      <c r="I966" s="74">
        <f t="shared" ref="I966:I1029" si="137">H966*D966</f>
        <v>0</v>
      </c>
      <c r="J966" s="74"/>
      <c r="K966" s="74">
        <f t="shared" ref="K966:K1029" si="138">J966*D966</f>
        <v>0</v>
      </c>
      <c r="L966" s="74"/>
      <c r="M966" s="74">
        <f t="shared" ref="M966:M1029" si="139">L966*D966</f>
        <v>0</v>
      </c>
      <c r="N966" s="74">
        <f t="shared" ref="N966:N1029" si="140">H966+J966+L966</f>
        <v>0</v>
      </c>
      <c r="O966" s="74">
        <f t="shared" ref="O966:O1029" si="141">N966*D966</f>
        <v>0</v>
      </c>
      <c r="P966" s="74">
        <f t="shared" ref="P966:P1029" si="142">N966+F966</f>
        <v>0</v>
      </c>
      <c r="Q966" s="74">
        <f t="shared" ref="Q966:Q1029" si="143">P966*D966</f>
        <v>0</v>
      </c>
    </row>
    <row r="967" spans="1:17" ht="54.95" customHeight="1">
      <c r="A967" s="83"/>
      <c r="B967" s="72">
        <f t="shared" si="135"/>
        <v>179</v>
      </c>
      <c r="C967" s="72" t="s">
        <v>5893</v>
      </c>
      <c r="D967" s="74">
        <v>135</v>
      </c>
      <c r="E967" s="74" t="s">
        <v>729</v>
      </c>
      <c r="F967" s="1425">
        <f>'Detail '!I2852</f>
        <v>179</v>
      </c>
      <c r="G967" s="74">
        <f t="shared" si="136"/>
        <v>24165</v>
      </c>
      <c r="H967" s="74"/>
      <c r="I967" s="74">
        <f t="shared" si="137"/>
        <v>0</v>
      </c>
      <c r="J967" s="74"/>
      <c r="K967" s="74">
        <f t="shared" si="138"/>
        <v>0</v>
      </c>
      <c r="L967" s="74"/>
      <c r="M967" s="74">
        <f t="shared" si="139"/>
        <v>0</v>
      </c>
      <c r="N967" s="74">
        <f t="shared" si="140"/>
        <v>0</v>
      </c>
      <c r="O967" s="74">
        <f t="shared" si="141"/>
        <v>0</v>
      </c>
      <c r="P967" s="74">
        <f t="shared" si="142"/>
        <v>179</v>
      </c>
      <c r="Q967" s="74">
        <f t="shared" si="143"/>
        <v>24165</v>
      </c>
    </row>
    <row r="968" spans="1:17" ht="54.95" customHeight="1">
      <c r="A968" s="83"/>
      <c r="B968" s="72">
        <f t="shared" si="135"/>
        <v>176</v>
      </c>
      <c r="C968" s="72" t="s">
        <v>5894</v>
      </c>
      <c r="D968" s="74">
        <v>690</v>
      </c>
      <c r="E968" s="74" t="s">
        <v>729</v>
      </c>
      <c r="F968" s="1425">
        <f>'Detail '!I2914</f>
        <v>176</v>
      </c>
      <c r="G968" s="74">
        <f t="shared" si="136"/>
        <v>121440</v>
      </c>
      <c r="H968" s="74"/>
      <c r="I968" s="74">
        <f t="shared" si="137"/>
        <v>0</v>
      </c>
      <c r="J968" s="74"/>
      <c r="K968" s="74">
        <f t="shared" si="138"/>
        <v>0</v>
      </c>
      <c r="L968" s="74"/>
      <c r="M968" s="74">
        <f t="shared" si="139"/>
        <v>0</v>
      </c>
      <c r="N968" s="74">
        <f t="shared" si="140"/>
        <v>0</v>
      </c>
      <c r="O968" s="74">
        <f t="shared" si="141"/>
        <v>0</v>
      </c>
      <c r="P968" s="74">
        <f t="shared" si="142"/>
        <v>176</v>
      </c>
      <c r="Q968" s="74">
        <f t="shared" si="143"/>
        <v>121440</v>
      </c>
    </row>
    <row r="969" spans="1:17" ht="65.099999999999994" customHeight="1">
      <c r="A969" s="83"/>
      <c r="B969" s="72">
        <f t="shared" si="135"/>
        <v>9</v>
      </c>
      <c r="C969" s="72" t="s">
        <v>5895</v>
      </c>
      <c r="D969" s="74">
        <v>517</v>
      </c>
      <c r="E969" s="74" t="s">
        <v>729</v>
      </c>
      <c r="F969" s="1425">
        <f>'Detail '!I2918</f>
        <v>9</v>
      </c>
      <c r="G969" s="74">
        <f t="shared" si="136"/>
        <v>4653</v>
      </c>
      <c r="H969" s="74"/>
      <c r="I969" s="74">
        <f t="shared" si="137"/>
        <v>0</v>
      </c>
      <c r="J969" s="74"/>
      <c r="K969" s="74">
        <f t="shared" si="138"/>
        <v>0</v>
      </c>
      <c r="L969" s="74"/>
      <c r="M969" s="74">
        <f t="shared" si="139"/>
        <v>0</v>
      </c>
      <c r="N969" s="74">
        <f t="shared" si="140"/>
        <v>0</v>
      </c>
      <c r="O969" s="74">
        <f t="shared" si="141"/>
        <v>0</v>
      </c>
      <c r="P969" s="74">
        <f t="shared" si="142"/>
        <v>9</v>
      </c>
      <c r="Q969" s="74">
        <f t="shared" si="143"/>
        <v>4653</v>
      </c>
    </row>
    <row r="970" spans="1:17" ht="54.95" hidden="1" customHeight="1">
      <c r="A970" s="83"/>
      <c r="B970" s="72">
        <f t="shared" si="135"/>
        <v>0</v>
      </c>
      <c r="C970" s="72" t="s">
        <v>5896</v>
      </c>
      <c r="D970" s="74">
        <f>Elec.Data!Y807</f>
        <v>4030</v>
      </c>
      <c r="E970" s="74" t="s">
        <v>729</v>
      </c>
      <c r="F970" s="75"/>
      <c r="G970" s="74">
        <f t="shared" si="136"/>
        <v>0</v>
      </c>
      <c r="H970" s="74"/>
      <c r="I970" s="74">
        <f t="shared" si="137"/>
        <v>0</v>
      </c>
      <c r="J970" s="74"/>
      <c r="K970" s="74">
        <f t="shared" si="138"/>
        <v>0</v>
      </c>
      <c r="L970" s="74"/>
      <c r="M970" s="74">
        <f t="shared" si="139"/>
        <v>0</v>
      </c>
      <c r="N970" s="74">
        <f t="shared" si="140"/>
        <v>0</v>
      </c>
      <c r="O970" s="74">
        <f t="shared" si="141"/>
        <v>0</v>
      </c>
      <c r="P970" s="74">
        <f t="shared" si="142"/>
        <v>0</v>
      </c>
      <c r="Q970" s="74">
        <f t="shared" si="143"/>
        <v>0</v>
      </c>
    </row>
    <row r="971" spans="1:17" ht="54.95" hidden="1" customHeight="1">
      <c r="A971" s="83"/>
      <c r="B971" s="72">
        <f t="shared" si="135"/>
        <v>0</v>
      </c>
      <c r="C971" s="72" t="s">
        <v>5897</v>
      </c>
      <c r="D971" s="74">
        <v>170</v>
      </c>
      <c r="E971" s="74" t="str">
        <f>E970</f>
        <v>Each</v>
      </c>
      <c r="F971" s="75"/>
      <c r="G971" s="74">
        <f t="shared" si="136"/>
        <v>0</v>
      </c>
      <c r="H971" s="74"/>
      <c r="I971" s="74">
        <f t="shared" si="137"/>
        <v>0</v>
      </c>
      <c r="J971" s="74"/>
      <c r="K971" s="74">
        <f t="shared" si="138"/>
        <v>0</v>
      </c>
      <c r="L971" s="74"/>
      <c r="M971" s="74">
        <f t="shared" si="139"/>
        <v>0</v>
      </c>
      <c r="N971" s="74">
        <f t="shared" si="140"/>
        <v>0</v>
      </c>
      <c r="O971" s="74">
        <f t="shared" si="141"/>
        <v>0</v>
      </c>
      <c r="P971" s="74">
        <f t="shared" si="142"/>
        <v>0</v>
      </c>
      <c r="Q971" s="74">
        <f t="shared" si="143"/>
        <v>0</v>
      </c>
    </row>
    <row r="972" spans="1:17" ht="77.25" hidden="1" customHeight="1">
      <c r="A972" s="83"/>
      <c r="B972" s="72">
        <f t="shared" si="135"/>
        <v>0</v>
      </c>
      <c r="C972" s="76" t="s">
        <v>5898</v>
      </c>
      <c r="D972" s="74">
        <v>5508</v>
      </c>
      <c r="E972" s="74" t="s">
        <v>724</v>
      </c>
      <c r="F972" s="75"/>
      <c r="G972" s="74">
        <f t="shared" si="136"/>
        <v>0</v>
      </c>
      <c r="H972" s="74"/>
      <c r="I972" s="74">
        <f t="shared" si="137"/>
        <v>0</v>
      </c>
      <c r="J972" s="74"/>
      <c r="K972" s="74">
        <f t="shared" si="138"/>
        <v>0</v>
      </c>
      <c r="L972" s="74"/>
      <c r="M972" s="74">
        <f t="shared" si="139"/>
        <v>0</v>
      </c>
      <c r="N972" s="74">
        <f t="shared" si="140"/>
        <v>0</v>
      </c>
      <c r="O972" s="74">
        <f t="shared" si="141"/>
        <v>0</v>
      </c>
      <c r="P972" s="74">
        <f t="shared" si="142"/>
        <v>0</v>
      </c>
      <c r="Q972" s="74">
        <f t="shared" si="143"/>
        <v>0</v>
      </c>
    </row>
    <row r="973" spans="1:17" ht="60.75" hidden="1" customHeight="1">
      <c r="A973" s="83"/>
      <c r="B973" s="72">
        <f t="shared" si="135"/>
        <v>0</v>
      </c>
      <c r="C973" s="72" t="s">
        <v>5899</v>
      </c>
      <c r="D973" s="74">
        <f>Data!K3738</f>
        <v>98.65</v>
      </c>
      <c r="E973" s="74" t="s">
        <v>724</v>
      </c>
      <c r="F973" s="75"/>
      <c r="G973" s="74">
        <f t="shared" si="136"/>
        <v>0</v>
      </c>
      <c r="H973" s="74"/>
      <c r="I973" s="74">
        <f t="shared" si="137"/>
        <v>0</v>
      </c>
      <c r="J973" s="74"/>
      <c r="K973" s="74">
        <f t="shared" si="138"/>
        <v>0</v>
      </c>
      <c r="L973" s="74"/>
      <c r="M973" s="74">
        <f t="shared" si="139"/>
        <v>0</v>
      </c>
      <c r="N973" s="74">
        <f t="shared" si="140"/>
        <v>0</v>
      </c>
      <c r="O973" s="74">
        <f t="shared" si="141"/>
        <v>0</v>
      </c>
      <c r="P973" s="74">
        <f t="shared" si="142"/>
        <v>0</v>
      </c>
      <c r="Q973" s="74">
        <f t="shared" si="143"/>
        <v>0</v>
      </c>
    </row>
    <row r="974" spans="1:17" ht="62.25" customHeight="1">
      <c r="A974" s="83"/>
      <c r="B974" s="72">
        <f t="shared" si="135"/>
        <v>1</v>
      </c>
      <c r="C974" s="72" t="s">
        <v>5900</v>
      </c>
      <c r="D974" s="74">
        <v>60000</v>
      </c>
      <c r="E974" s="74" t="s">
        <v>729</v>
      </c>
      <c r="F974" s="1425">
        <f>'Detail '!I2928</f>
        <v>1</v>
      </c>
      <c r="G974" s="74">
        <f t="shared" si="136"/>
        <v>60000</v>
      </c>
      <c r="H974" s="74"/>
      <c r="I974" s="74">
        <f t="shared" si="137"/>
        <v>0</v>
      </c>
      <c r="J974" s="74"/>
      <c r="K974" s="74">
        <f t="shared" si="138"/>
        <v>0</v>
      </c>
      <c r="L974" s="74"/>
      <c r="M974" s="74">
        <f t="shared" si="139"/>
        <v>0</v>
      </c>
      <c r="N974" s="74">
        <f t="shared" si="140"/>
        <v>0</v>
      </c>
      <c r="O974" s="74">
        <f t="shared" si="141"/>
        <v>0</v>
      </c>
      <c r="P974" s="74">
        <f t="shared" si="142"/>
        <v>1</v>
      </c>
      <c r="Q974" s="74">
        <f t="shared" si="143"/>
        <v>60000</v>
      </c>
    </row>
    <row r="975" spans="1:17" ht="120" customHeight="1">
      <c r="A975" s="83"/>
      <c r="B975" s="72">
        <f t="shared" si="135"/>
        <v>0</v>
      </c>
      <c r="C975" s="72" t="s">
        <v>5901</v>
      </c>
      <c r="D975" s="74"/>
      <c r="E975" s="74"/>
      <c r="F975" s="75"/>
      <c r="G975" s="74">
        <f t="shared" si="136"/>
        <v>0</v>
      </c>
      <c r="H975" s="74"/>
      <c r="I975" s="74">
        <f t="shared" si="137"/>
        <v>0</v>
      </c>
      <c r="J975" s="74"/>
      <c r="K975" s="74">
        <f t="shared" si="138"/>
        <v>0</v>
      </c>
      <c r="L975" s="74"/>
      <c r="M975" s="74">
        <f t="shared" si="139"/>
        <v>0</v>
      </c>
      <c r="N975" s="74">
        <f t="shared" si="140"/>
        <v>0</v>
      </c>
      <c r="O975" s="74">
        <f t="shared" si="141"/>
        <v>0</v>
      </c>
      <c r="P975" s="74">
        <f t="shared" si="142"/>
        <v>0</v>
      </c>
      <c r="Q975" s="74">
        <f t="shared" si="143"/>
        <v>0</v>
      </c>
    </row>
    <row r="976" spans="1:17" ht="62.25" customHeight="1">
      <c r="A976" s="83"/>
      <c r="B976" s="72">
        <f t="shared" si="135"/>
        <v>1</v>
      </c>
      <c r="C976" s="72" t="s">
        <v>5902</v>
      </c>
      <c r="D976" s="74">
        <v>33170</v>
      </c>
      <c r="E976" s="74" t="s">
        <v>729</v>
      </c>
      <c r="F976" s="1425">
        <f>'Detail '!I2441</f>
        <v>1</v>
      </c>
      <c r="G976" s="74">
        <f t="shared" si="136"/>
        <v>33170</v>
      </c>
      <c r="H976" s="74"/>
      <c r="I976" s="74">
        <f t="shared" si="137"/>
        <v>0</v>
      </c>
      <c r="J976" s="74"/>
      <c r="K976" s="74">
        <f t="shared" si="138"/>
        <v>0</v>
      </c>
      <c r="L976" s="74"/>
      <c r="M976" s="74">
        <f t="shared" si="139"/>
        <v>0</v>
      </c>
      <c r="N976" s="74">
        <f t="shared" si="140"/>
        <v>0</v>
      </c>
      <c r="O976" s="74">
        <f t="shared" si="141"/>
        <v>0</v>
      </c>
      <c r="P976" s="74">
        <f t="shared" si="142"/>
        <v>1</v>
      </c>
      <c r="Q976" s="74">
        <f t="shared" si="143"/>
        <v>33170</v>
      </c>
    </row>
    <row r="977" spans="1:17" ht="84.75" customHeight="1">
      <c r="A977" s="83"/>
      <c r="B977" s="72">
        <f t="shared" si="135"/>
        <v>1</v>
      </c>
      <c r="C977" s="72" t="s">
        <v>5903</v>
      </c>
      <c r="D977" s="74">
        <v>4441</v>
      </c>
      <c r="E977" s="74" t="s">
        <v>729</v>
      </c>
      <c r="F977" s="1425">
        <f>'Detail '!I2443</f>
        <v>1</v>
      </c>
      <c r="G977" s="74">
        <f t="shared" si="136"/>
        <v>4441</v>
      </c>
      <c r="H977" s="74"/>
      <c r="I977" s="74">
        <f t="shared" si="137"/>
        <v>0</v>
      </c>
      <c r="J977" s="74"/>
      <c r="K977" s="74">
        <f t="shared" si="138"/>
        <v>0</v>
      </c>
      <c r="L977" s="74"/>
      <c r="M977" s="74">
        <f t="shared" si="139"/>
        <v>0</v>
      </c>
      <c r="N977" s="74">
        <f t="shared" si="140"/>
        <v>0</v>
      </c>
      <c r="O977" s="74">
        <f t="shared" si="141"/>
        <v>0</v>
      </c>
      <c r="P977" s="74">
        <f t="shared" si="142"/>
        <v>1</v>
      </c>
      <c r="Q977" s="74">
        <f t="shared" si="143"/>
        <v>4441</v>
      </c>
    </row>
    <row r="978" spans="1:17" ht="62.25" customHeight="1">
      <c r="A978" s="83"/>
      <c r="B978" s="72">
        <f t="shared" si="135"/>
        <v>10</v>
      </c>
      <c r="C978" s="72" t="s">
        <v>5904</v>
      </c>
      <c r="D978" s="74">
        <v>940</v>
      </c>
      <c r="E978" s="74" t="s">
        <v>13</v>
      </c>
      <c r="F978" s="1425">
        <v>10</v>
      </c>
      <c r="G978" s="74">
        <f t="shared" si="136"/>
        <v>9400</v>
      </c>
      <c r="H978" s="74"/>
      <c r="I978" s="74">
        <f t="shared" si="137"/>
        <v>0</v>
      </c>
      <c r="J978" s="74"/>
      <c r="K978" s="74">
        <f t="shared" si="138"/>
        <v>0</v>
      </c>
      <c r="L978" s="74"/>
      <c r="M978" s="74">
        <f t="shared" si="139"/>
        <v>0</v>
      </c>
      <c r="N978" s="74">
        <f t="shared" si="140"/>
        <v>0</v>
      </c>
      <c r="O978" s="74">
        <f t="shared" si="141"/>
        <v>0</v>
      </c>
      <c r="P978" s="74">
        <f t="shared" si="142"/>
        <v>10</v>
      </c>
      <c r="Q978" s="74">
        <f t="shared" si="143"/>
        <v>9400</v>
      </c>
    </row>
    <row r="979" spans="1:17" ht="62.25" customHeight="1">
      <c r="A979" s="83"/>
      <c r="B979" s="72">
        <f t="shared" si="135"/>
        <v>10</v>
      </c>
      <c r="C979" s="72" t="s">
        <v>5905</v>
      </c>
      <c r="D979" s="74">
        <v>64.099999999999994</v>
      </c>
      <c r="E979" s="74" t="s">
        <v>13</v>
      </c>
      <c r="F979" s="1425">
        <v>10</v>
      </c>
      <c r="G979" s="74">
        <f t="shared" si="136"/>
        <v>641</v>
      </c>
      <c r="H979" s="74"/>
      <c r="I979" s="74">
        <f t="shared" si="137"/>
        <v>0</v>
      </c>
      <c r="J979" s="74"/>
      <c r="K979" s="74">
        <f t="shared" si="138"/>
        <v>0</v>
      </c>
      <c r="L979" s="74"/>
      <c r="M979" s="74">
        <f t="shared" si="139"/>
        <v>0</v>
      </c>
      <c r="N979" s="74">
        <f t="shared" si="140"/>
        <v>0</v>
      </c>
      <c r="O979" s="74">
        <f t="shared" si="141"/>
        <v>0</v>
      </c>
      <c r="P979" s="74">
        <f t="shared" si="142"/>
        <v>10</v>
      </c>
      <c r="Q979" s="74">
        <f t="shared" si="143"/>
        <v>641</v>
      </c>
    </row>
    <row r="980" spans="1:17" ht="63.95" customHeight="1">
      <c r="A980" s="83"/>
      <c r="B980" s="72">
        <f t="shared" si="135"/>
        <v>0</v>
      </c>
      <c r="C980" s="76" t="s">
        <v>5906</v>
      </c>
      <c r="D980" s="74"/>
      <c r="E980" s="74"/>
      <c r="F980" s="1425"/>
      <c r="G980" s="74">
        <f t="shared" si="136"/>
        <v>0</v>
      </c>
      <c r="H980" s="74"/>
      <c r="I980" s="74">
        <f t="shared" si="137"/>
        <v>0</v>
      </c>
      <c r="J980" s="74"/>
      <c r="K980" s="74">
        <f t="shared" si="138"/>
        <v>0</v>
      </c>
      <c r="L980" s="74"/>
      <c r="M980" s="74">
        <f t="shared" si="139"/>
        <v>0</v>
      </c>
      <c r="N980" s="74">
        <f t="shared" si="140"/>
        <v>0</v>
      </c>
      <c r="O980" s="74">
        <f t="shared" si="141"/>
        <v>0</v>
      </c>
      <c r="P980" s="74">
        <f t="shared" si="142"/>
        <v>0</v>
      </c>
      <c r="Q980" s="74">
        <f t="shared" si="143"/>
        <v>0</v>
      </c>
    </row>
    <row r="981" spans="1:17" ht="62.25" customHeight="1">
      <c r="A981" s="83"/>
      <c r="B981" s="72">
        <f t="shared" si="135"/>
        <v>1</v>
      </c>
      <c r="C981" s="72" t="s">
        <v>5907</v>
      </c>
      <c r="D981" s="74">
        <v>4200</v>
      </c>
      <c r="E981" s="74" t="s">
        <v>41</v>
      </c>
      <c r="F981" s="1425">
        <f>'Detail '!I2965</f>
        <v>1</v>
      </c>
      <c r="G981" s="74">
        <f t="shared" si="136"/>
        <v>4200</v>
      </c>
      <c r="H981" s="74"/>
      <c r="I981" s="74">
        <f t="shared" si="137"/>
        <v>0</v>
      </c>
      <c r="J981" s="74"/>
      <c r="K981" s="74">
        <f t="shared" si="138"/>
        <v>0</v>
      </c>
      <c r="L981" s="74"/>
      <c r="M981" s="74">
        <f t="shared" si="139"/>
        <v>0</v>
      </c>
      <c r="N981" s="74">
        <f t="shared" si="140"/>
        <v>0</v>
      </c>
      <c r="O981" s="74">
        <f t="shared" si="141"/>
        <v>0</v>
      </c>
      <c r="P981" s="74">
        <f t="shared" si="142"/>
        <v>1</v>
      </c>
      <c r="Q981" s="74">
        <f t="shared" si="143"/>
        <v>4200</v>
      </c>
    </row>
    <row r="982" spans="1:17" ht="62.25" customHeight="1">
      <c r="A982" s="83"/>
      <c r="B982" s="72">
        <f t="shared" si="135"/>
        <v>20</v>
      </c>
      <c r="C982" s="72" t="s">
        <v>5908</v>
      </c>
      <c r="D982" s="74">
        <v>840</v>
      </c>
      <c r="E982" s="74" t="s">
        <v>41</v>
      </c>
      <c r="F982" s="1425">
        <f>'Detail '!I2969</f>
        <v>20</v>
      </c>
      <c r="G982" s="74">
        <f t="shared" si="136"/>
        <v>16800</v>
      </c>
      <c r="H982" s="74"/>
      <c r="I982" s="74">
        <f t="shared" si="137"/>
        <v>0</v>
      </c>
      <c r="J982" s="74"/>
      <c r="K982" s="74">
        <f t="shared" si="138"/>
        <v>0</v>
      </c>
      <c r="L982" s="74"/>
      <c r="M982" s="74">
        <f t="shared" si="139"/>
        <v>0</v>
      </c>
      <c r="N982" s="74">
        <f t="shared" si="140"/>
        <v>0</v>
      </c>
      <c r="O982" s="74">
        <f t="shared" si="141"/>
        <v>0</v>
      </c>
      <c r="P982" s="74">
        <f t="shared" si="142"/>
        <v>20</v>
      </c>
      <c r="Q982" s="74">
        <f t="shared" si="143"/>
        <v>16800</v>
      </c>
    </row>
    <row r="983" spans="1:17" ht="54.95" customHeight="1">
      <c r="A983" s="83"/>
      <c r="B983" s="72">
        <f t="shared" si="135"/>
        <v>12</v>
      </c>
      <c r="C983" s="72" t="s">
        <v>5909</v>
      </c>
      <c r="D983" s="74">
        <v>720</v>
      </c>
      <c r="E983" s="74" t="s">
        <v>41</v>
      </c>
      <c r="F983" s="1425">
        <f>'Detail '!I2972</f>
        <v>12</v>
      </c>
      <c r="G983" s="74">
        <f t="shared" si="136"/>
        <v>8640</v>
      </c>
      <c r="H983" s="74"/>
      <c r="I983" s="74">
        <f t="shared" si="137"/>
        <v>0</v>
      </c>
      <c r="J983" s="74"/>
      <c r="K983" s="74">
        <f t="shared" si="138"/>
        <v>0</v>
      </c>
      <c r="L983" s="74"/>
      <c r="M983" s="74">
        <f t="shared" si="139"/>
        <v>0</v>
      </c>
      <c r="N983" s="74">
        <f t="shared" si="140"/>
        <v>0</v>
      </c>
      <c r="O983" s="74">
        <f t="shared" si="141"/>
        <v>0</v>
      </c>
      <c r="P983" s="74">
        <f t="shared" si="142"/>
        <v>12</v>
      </c>
      <c r="Q983" s="74">
        <f t="shared" si="143"/>
        <v>8640</v>
      </c>
    </row>
    <row r="984" spans="1:17" ht="62.25" customHeight="1">
      <c r="A984" s="83"/>
      <c r="B984" s="72">
        <f t="shared" si="135"/>
        <v>71</v>
      </c>
      <c r="C984" s="72" t="s">
        <v>5910</v>
      </c>
      <c r="D984" s="74">
        <v>320</v>
      </c>
      <c r="E984" s="74" t="s">
        <v>41</v>
      </c>
      <c r="F984" s="1425">
        <f>'Detail '!I3021</f>
        <v>71</v>
      </c>
      <c r="G984" s="74">
        <f t="shared" si="136"/>
        <v>22720</v>
      </c>
      <c r="H984" s="74"/>
      <c r="I984" s="74">
        <f t="shared" si="137"/>
        <v>0</v>
      </c>
      <c r="J984" s="74"/>
      <c r="K984" s="74">
        <f t="shared" si="138"/>
        <v>0</v>
      </c>
      <c r="L984" s="74"/>
      <c r="M984" s="74">
        <f t="shared" si="139"/>
        <v>0</v>
      </c>
      <c r="N984" s="74">
        <f t="shared" si="140"/>
        <v>0</v>
      </c>
      <c r="O984" s="74">
        <f t="shared" si="141"/>
        <v>0</v>
      </c>
      <c r="P984" s="74">
        <f t="shared" si="142"/>
        <v>71</v>
      </c>
      <c r="Q984" s="74">
        <f t="shared" si="143"/>
        <v>22720</v>
      </c>
    </row>
    <row r="985" spans="1:17" ht="62.25" customHeight="1">
      <c r="A985" s="83"/>
      <c r="B985" s="72">
        <f t="shared" si="135"/>
        <v>1</v>
      </c>
      <c r="C985" s="72" t="s">
        <v>5911</v>
      </c>
      <c r="D985" s="74">
        <v>450</v>
      </c>
      <c r="E985" s="74" t="s">
        <v>41</v>
      </c>
      <c r="F985" s="1425">
        <f>'Detail '!I3023</f>
        <v>1</v>
      </c>
      <c r="G985" s="74">
        <f t="shared" si="136"/>
        <v>450</v>
      </c>
      <c r="H985" s="74"/>
      <c r="I985" s="74">
        <f t="shared" si="137"/>
        <v>0</v>
      </c>
      <c r="J985" s="74"/>
      <c r="K985" s="74">
        <f t="shared" si="138"/>
        <v>0</v>
      </c>
      <c r="L985" s="74"/>
      <c r="M985" s="74">
        <f t="shared" si="139"/>
        <v>0</v>
      </c>
      <c r="N985" s="74">
        <f t="shared" si="140"/>
        <v>0</v>
      </c>
      <c r="O985" s="74">
        <f t="shared" si="141"/>
        <v>0</v>
      </c>
      <c r="P985" s="74">
        <f t="shared" si="142"/>
        <v>1</v>
      </c>
      <c r="Q985" s="74">
        <f t="shared" si="143"/>
        <v>450</v>
      </c>
    </row>
    <row r="986" spans="1:17" ht="96" hidden="1" customHeight="1">
      <c r="A986" s="83"/>
      <c r="B986" s="72">
        <f t="shared" si="135"/>
        <v>0</v>
      </c>
      <c r="C986" s="72" t="s">
        <v>2967</v>
      </c>
      <c r="D986" s="74">
        <f>Elec.Data!R842</f>
        <v>0</v>
      </c>
      <c r="E986" s="74" t="s">
        <v>729</v>
      </c>
      <c r="F986" s="74"/>
      <c r="G986" s="74">
        <f t="shared" si="136"/>
        <v>0</v>
      </c>
      <c r="H986" s="74"/>
      <c r="I986" s="74">
        <f t="shared" si="137"/>
        <v>0</v>
      </c>
      <c r="J986" s="74"/>
      <c r="K986" s="74">
        <f t="shared" si="138"/>
        <v>0</v>
      </c>
      <c r="L986" s="74"/>
      <c r="M986" s="74">
        <f t="shared" si="139"/>
        <v>0</v>
      </c>
      <c r="N986" s="74">
        <f t="shared" si="140"/>
        <v>0</v>
      </c>
      <c r="O986" s="74">
        <f t="shared" si="141"/>
        <v>0</v>
      </c>
      <c r="P986" s="74">
        <f t="shared" si="142"/>
        <v>0</v>
      </c>
      <c r="Q986" s="74">
        <f t="shared" si="143"/>
        <v>0</v>
      </c>
    </row>
    <row r="987" spans="1:17" ht="43.5" customHeight="1">
      <c r="A987" s="83"/>
      <c r="B987" s="72">
        <f t="shared" si="135"/>
        <v>0</v>
      </c>
      <c r="C987" s="99" t="s">
        <v>5912</v>
      </c>
      <c r="D987" s="88"/>
      <c r="E987" s="74"/>
      <c r="F987" s="74"/>
      <c r="G987" s="74">
        <f t="shared" si="136"/>
        <v>0</v>
      </c>
      <c r="H987" s="74"/>
      <c r="I987" s="74">
        <f t="shared" si="137"/>
        <v>0</v>
      </c>
      <c r="J987" s="74"/>
      <c r="K987" s="74">
        <f t="shared" si="138"/>
        <v>0</v>
      </c>
      <c r="L987" s="74"/>
      <c r="M987" s="74">
        <f t="shared" si="139"/>
        <v>0</v>
      </c>
      <c r="N987" s="74">
        <f t="shared" si="140"/>
        <v>0</v>
      </c>
      <c r="O987" s="74">
        <f t="shared" si="141"/>
        <v>0</v>
      </c>
      <c r="P987" s="74">
        <f t="shared" si="142"/>
        <v>0</v>
      </c>
      <c r="Q987" s="74">
        <f t="shared" si="143"/>
        <v>0</v>
      </c>
    </row>
    <row r="988" spans="1:17" ht="47.25" hidden="1" customHeight="1">
      <c r="A988" s="83"/>
      <c r="B988" s="72">
        <f t="shared" si="135"/>
        <v>0</v>
      </c>
      <c r="C988" s="85" t="s">
        <v>5913</v>
      </c>
      <c r="D988" s="88">
        <v>60.6</v>
      </c>
      <c r="E988" s="74" t="s">
        <v>13</v>
      </c>
      <c r="F988" s="74"/>
      <c r="G988" s="74">
        <f t="shared" si="136"/>
        <v>0</v>
      </c>
      <c r="H988" s="74"/>
      <c r="I988" s="74">
        <f t="shared" si="137"/>
        <v>0</v>
      </c>
      <c r="J988" s="74"/>
      <c r="K988" s="74">
        <f t="shared" si="138"/>
        <v>0</v>
      </c>
      <c r="L988" s="74"/>
      <c r="M988" s="74">
        <f t="shared" si="139"/>
        <v>0</v>
      </c>
      <c r="N988" s="74">
        <f t="shared" si="140"/>
        <v>0</v>
      </c>
      <c r="O988" s="74">
        <f t="shared" si="141"/>
        <v>0</v>
      </c>
      <c r="P988" s="74">
        <f t="shared" si="142"/>
        <v>0</v>
      </c>
      <c r="Q988" s="74">
        <f t="shared" si="143"/>
        <v>0</v>
      </c>
    </row>
    <row r="989" spans="1:17" ht="62.25" hidden="1" customHeight="1">
      <c r="A989" s="83"/>
      <c r="B989" s="72">
        <f t="shared" si="135"/>
        <v>0</v>
      </c>
      <c r="C989" s="85" t="s">
        <v>5914</v>
      </c>
      <c r="D989" s="88">
        <v>73.900000000000006</v>
      </c>
      <c r="E989" s="88" t="s">
        <v>3791</v>
      </c>
      <c r="F989" s="88"/>
      <c r="G989" s="74">
        <f t="shared" si="136"/>
        <v>0</v>
      </c>
      <c r="H989" s="74"/>
      <c r="I989" s="74">
        <f t="shared" si="137"/>
        <v>0</v>
      </c>
      <c r="J989" s="74"/>
      <c r="K989" s="74">
        <f t="shared" si="138"/>
        <v>0</v>
      </c>
      <c r="L989" s="74"/>
      <c r="M989" s="74">
        <f t="shared" si="139"/>
        <v>0</v>
      </c>
      <c r="N989" s="74">
        <f t="shared" si="140"/>
        <v>0</v>
      </c>
      <c r="O989" s="74">
        <f t="shared" si="141"/>
        <v>0</v>
      </c>
      <c r="P989" s="74">
        <f t="shared" si="142"/>
        <v>0</v>
      </c>
      <c r="Q989" s="74">
        <f t="shared" si="143"/>
        <v>0</v>
      </c>
    </row>
    <row r="990" spans="1:17" ht="75.75" hidden="1" customHeight="1">
      <c r="A990" s="83"/>
      <c r="B990" s="72">
        <f t="shared" si="135"/>
        <v>0</v>
      </c>
      <c r="C990" s="85" t="s">
        <v>5915</v>
      </c>
      <c r="D990" s="88">
        <v>8559.9500000000007</v>
      </c>
      <c r="E990" s="88" t="s">
        <v>41</v>
      </c>
      <c r="F990" s="88"/>
      <c r="G990" s="74">
        <f t="shared" si="136"/>
        <v>0</v>
      </c>
      <c r="H990" s="74"/>
      <c r="I990" s="74">
        <f t="shared" si="137"/>
        <v>0</v>
      </c>
      <c r="J990" s="74"/>
      <c r="K990" s="74">
        <f t="shared" si="138"/>
        <v>0</v>
      </c>
      <c r="L990" s="74"/>
      <c r="M990" s="74">
        <f t="shared" si="139"/>
        <v>0</v>
      </c>
      <c r="N990" s="74">
        <f t="shared" si="140"/>
        <v>0</v>
      </c>
      <c r="O990" s="74">
        <f t="shared" si="141"/>
        <v>0</v>
      </c>
      <c r="P990" s="74">
        <f t="shared" si="142"/>
        <v>0</v>
      </c>
      <c r="Q990" s="74">
        <f t="shared" si="143"/>
        <v>0</v>
      </c>
    </row>
    <row r="991" spans="1:17" ht="118.5" customHeight="1">
      <c r="A991" s="83"/>
      <c r="B991" s="72">
        <f t="shared" si="135"/>
        <v>1</v>
      </c>
      <c r="C991" s="72" t="s">
        <v>7013</v>
      </c>
      <c r="D991" s="74">
        <v>23323</v>
      </c>
      <c r="E991" s="74" t="s">
        <v>1034</v>
      </c>
      <c r="F991" s="74"/>
      <c r="G991" s="74">
        <f t="shared" si="136"/>
        <v>0</v>
      </c>
      <c r="H991" s="74">
        <f>bore!I40</f>
        <v>1</v>
      </c>
      <c r="I991" s="74">
        <f t="shared" si="137"/>
        <v>23323</v>
      </c>
      <c r="J991" s="74"/>
      <c r="K991" s="74">
        <f t="shared" si="138"/>
        <v>0</v>
      </c>
      <c r="L991" s="74"/>
      <c r="M991" s="74">
        <f t="shared" si="139"/>
        <v>0</v>
      </c>
      <c r="N991" s="74">
        <f t="shared" si="140"/>
        <v>1</v>
      </c>
      <c r="O991" s="74">
        <f t="shared" si="141"/>
        <v>23323</v>
      </c>
      <c r="P991" s="74">
        <f t="shared" si="142"/>
        <v>1</v>
      </c>
      <c r="Q991" s="74">
        <f t="shared" si="143"/>
        <v>23323</v>
      </c>
    </row>
    <row r="992" spans="1:17" ht="62.25" customHeight="1">
      <c r="A992" s="83"/>
      <c r="B992" s="72">
        <f t="shared" si="135"/>
        <v>1</v>
      </c>
      <c r="C992" s="72" t="s">
        <v>7014</v>
      </c>
      <c r="D992" s="74">
        <v>39433</v>
      </c>
      <c r="E992" s="74" t="s">
        <v>1034</v>
      </c>
      <c r="F992" s="74"/>
      <c r="G992" s="74">
        <f t="shared" si="136"/>
        <v>0</v>
      </c>
      <c r="H992" s="74">
        <f>bore!I79</f>
        <v>1</v>
      </c>
      <c r="I992" s="74">
        <f t="shared" si="137"/>
        <v>39433</v>
      </c>
      <c r="J992" s="74"/>
      <c r="K992" s="74">
        <f t="shared" si="138"/>
        <v>0</v>
      </c>
      <c r="L992" s="74"/>
      <c r="M992" s="74">
        <f t="shared" si="139"/>
        <v>0</v>
      </c>
      <c r="N992" s="74">
        <f t="shared" si="140"/>
        <v>1</v>
      </c>
      <c r="O992" s="74">
        <f t="shared" si="141"/>
        <v>39433</v>
      </c>
      <c r="P992" s="74">
        <f t="shared" si="142"/>
        <v>1</v>
      </c>
      <c r="Q992" s="74">
        <f t="shared" si="143"/>
        <v>39433</v>
      </c>
    </row>
    <row r="993" spans="1:17" ht="82.5" hidden="1" customHeight="1">
      <c r="A993" s="83"/>
      <c r="B993" s="72">
        <f t="shared" si="135"/>
        <v>0</v>
      </c>
      <c r="C993" s="72" t="s">
        <v>5916</v>
      </c>
      <c r="D993" s="74">
        <v>4711</v>
      </c>
      <c r="E993" s="74" t="s">
        <v>1034</v>
      </c>
      <c r="F993" s="74"/>
      <c r="G993" s="74">
        <f t="shared" si="136"/>
        <v>0</v>
      </c>
      <c r="H993" s="74"/>
      <c r="I993" s="74">
        <f t="shared" si="137"/>
        <v>0</v>
      </c>
      <c r="J993" s="74"/>
      <c r="K993" s="74">
        <f t="shared" si="138"/>
        <v>0</v>
      </c>
      <c r="L993" s="74"/>
      <c r="M993" s="74">
        <f t="shared" si="139"/>
        <v>0</v>
      </c>
      <c r="N993" s="74">
        <f t="shared" si="140"/>
        <v>0</v>
      </c>
      <c r="O993" s="74">
        <f t="shared" si="141"/>
        <v>0</v>
      </c>
      <c r="P993" s="74">
        <f t="shared" si="142"/>
        <v>0</v>
      </c>
      <c r="Q993" s="74">
        <f t="shared" si="143"/>
        <v>0</v>
      </c>
    </row>
    <row r="994" spans="1:17" ht="90" customHeight="1">
      <c r="A994" s="83"/>
      <c r="B994" s="72">
        <f t="shared" si="135"/>
        <v>1</v>
      </c>
      <c r="C994" s="72" t="s">
        <v>5917</v>
      </c>
      <c r="D994" s="74">
        <v>15573</v>
      </c>
      <c r="E994" s="74" t="s">
        <v>1034</v>
      </c>
      <c r="F994" s="74"/>
      <c r="G994" s="74">
        <f t="shared" si="136"/>
        <v>0</v>
      </c>
      <c r="H994" s="74">
        <f>bore!I89</f>
        <v>1</v>
      </c>
      <c r="I994" s="74">
        <f t="shared" si="137"/>
        <v>15573</v>
      </c>
      <c r="J994" s="74"/>
      <c r="K994" s="74">
        <f t="shared" si="138"/>
        <v>0</v>
      </c>
      <c r="L994" s="74"/>
      <c r="M994" s="74">
        <f t="shared" si="139"/>
        <v>0</v>
      </c>
      <c r="N994" s="74">
        <f t="shared" si="140"/>
        <v>1</v>
      </c>
      <c r="O994" s="74">
        <f t="shared" si="141"/>
        <v>15573</v>
      </c>
      <c r="P994" s="74">
        <f t="shared" si="142"/>
        <v>1</v>
      </c>
      <c r="Q994" s="74">
        <f t="shared" si="143"/>
        <v>15573</v>
      </c>
    </row>
    <row r="995" spans="1:17" ht="62.25" hidden="1" customHeight="1">
      <c r="A995" s="83"/>
      <c r="B995" s="72">
        <f t="shared" si="135"/>
        <v>0</v>
      </c>
      <c r="C995" s="72" t="s">
        <v>5918</v>
      </c>
      <c r="D995" s="74">
        <v>161</v>
      </c>
      <c r="E995" s="74" t="s">
        <v>13</v>
      </c>
      <c r="F995" s="74"/>
      <c r="G995" s="74">
        <f t="shared" si="136"/>
        <v>0</v>
      </c>
      <c r="H995" s="74"/>
      <c r="I995" s="74">
        <f t="shared" si="137"/>
        <v>0</v>
      </c>
      <c r="J995" s="74"/>
      <c r="K995" s="74">
        <f t="shared" si="138"/>
        <v>0</v>
      </c>
      <c r="L995" s="74"/>
      <c r="M995" s="74">
        <f t="shared" si="139"/>
        <v>0</v>
      </c>
      <c r="N995" s="74">
        <f t="shared" si="140"/>
        <v>0</v>
      </c>
      <c r="O995" s="74">
        <f t="shared" si="141"/>
        <v>0</v>
      </c>
      <c r="P995" s="74">
        <f t="shared" si="142"/>
        <v>0</v>
      </c>
      <c r="Q995" s="74">
        <f t="shared" si="143"/>
        <v>0</v>
      </c>
    </row>
    <row r="996" spans="1:17" ht="62.25" hidden="1" customHeight="1">
      <c r="A996" s="83"/>
      <c r="B996" s="72">
        <f t="shared" si="135"/>
        <v>0</v>
      </c>
      <c r="C996" s="72" t="s">
        <v>5919</v>
      </c>
      <c r="D996" s="74">
        <v>4200</v>
      </c>
      <c r="E996" s="74" t="s">
        <v>41</v>
      </c>
      <c r="F996" s="74"/>
      <c r="G996" s="74">
        <f t="shared" si="136"/>
        <v>0</v>
      </c>
      <c r="H996" s="74"/>
      <c r="I996" s="74">
        <f t="shared" si="137"/>
        <v>0</v>
      </c>
      <c r="J996" s="74"/>
      <c r="K996" s="74">
        <f t="shared" si="138"/>
        <v>0</v>
      </c>
      <c r="L996" s="74"/>
      <c r="M996" s="74">
        <f t="shared" si="139"/>
        <v>0</v>
      </c>
      <c r="N996" s="74">
        <f t="shared" si="140"/>
        <v>0</v>
      </c>
      <c r="O996" s="74">
        <f t="shared" si="141"/>
        <v>0</v>
      </c>
      <c r="P996" s="74">
        <f t="shared" si="142"/>
        <v>0</v>
      </c>
      <c r="Q996" s="74">
        <f t="shared" si="143"/>
        <v>0</v>
      </c>
    </row>
    <row r="997" spans="1:17" ht="63" hidden="1" customHeight="1">
      <c r="A997" s="83"/>
      <c r="B997" s="72">
        <f t="shared" si="135"/>
        <v>0</v>
      </c>
      <c r="C997" s="72" t="s">
        <v>5920</v>
      </c>
      <c r="D997" s="74">
        <v>840</v>
      </c>
      <c r="E997" s="74" t="s">
        <v>41</v>
      </c>
      <c r="F997" s="74"/>
      <c r="G997" s="74">
        <f t="shared" si="136"/>
        <v>0</v>
      </c>
      <c r="H997" s="74"/>
      <c r="I997" s="74">
        <f t="shared" si="137"/>
        <v>0</v>
      </c>
      <c r="J997" s="74"/>
      <c r="K997" s="74">
        <f t="shared" si="138"/>
        <v>0</v>
      </c>
      <c r="L997" s="74"/>
      <c r="M997" s="74">
        <f t="shared" si="139"/>
        <v>0</v>
      </c>
      <c r="N997" s="74">
        <f t="shared" si="140"/>
        <v>0</v>
      </c>
      <c r="O997" s="74">
        <f t="shared" si="141"/>
        <v>0</v>
      </c>
      <c r="P997" s="74">
        <f t="shared" si="142"/>
        <v>0</v>
      </c>
      <c r="Q997" s="74">
        <f t="shared" si="143"/>
        <v>0</v>
      </c>
    </row>
    <row r="998" spans="1:17" ht="63" hidden="1" customHeight="1">
      <c r="A998" s="83"/>
      <c r="B998" s="72">
        <f t="shared" si="135"/>
        <v>0</v>
      </c>
      <c r="C998" s="72" t="s">
        <v>5921</v>
      </c>
      <c r="D998" s="74">
        <v>720</v>
      </c>
      <c r="E998" s="74" t="s">
        <v>41</v>
      </c>
      <c r="F998" s="74"/>
      <c r="G998" s="74">
        <f t="shared" si="136"/>
        <v>0</v>
      </c>
      <c r="H998" s="74"/>
      <c r="I998" s="74">
        <f t="shared" si="137"/>
        <v>0</v>
      </c>
      <c r="J998" s="74"/>
      <c r="K998" s="74">
        <f t="shared" si="138"/>
        <v>0</v>
      </c>
      <c r="L998" s="74"/>
      <c r="M998" s="74">
        <f t="shared" si="139"/>
        <v>0</v>
      </c>
      <c r="N998" s="74">
        <f t="shared" si="140"/>
        <v>0</v>
      </c>
      <c r="O998" s="74">
        <f t="shared" si="141"/>
        <v>0</v>
      </c>
      <c r="P998" s="74">
        <f t="shared" si="142"/>
        <v>0</v>
      </c>
      <c r="Q998" s="74">
        <f t="shared" si="143"/>
        <v>0</v>
      </c>
    </row>
    <row r="999" spans="1:17" ht="62.25" hidden="1" customHeight="1">
      <c r="A999" s="83"/>
      <c r="B999" s="72">
        <f t="shared" si="135"/>
        <v>0</v>
      </c>
      <c r="C999" s="72" t="s">
        <v>5922</v>
      </c>
      <c r="D999" s="74">
        <v>320</v>
      </c>
      <c r="E999" s="74" t="s">
        <v>41</v>
      </c>
      <c r="F999" s="74"/>
      <c r="G999" s="74">
        <f t="shared" si="136"/>
        <v>0</v>
      </c>
      <c r="H999" s="74"/>
      <c r="I999" s="74">
        <f t="shared" si="137"/>
        <v>0</v>
      </c>
      <c r="J999" s="74"/>
      <c r="K999" s="74">
        <f t="shared" si="138"/>
        <v>0</v>
      </c>
      <c r="L999" s="74"/>
      <c r="M999" s="74">
        <f t="shared" si="139"/>
        <v>0</v>
      </c>
      <c r="N999" s="74">
        <f t="shared" si="140"/>
        <v>0</v>
      </c>
      <c r="O999" s="74">
        <f t="shared" si="141"/>
        <v>0</v>
      </c>
      <c r="P999" s="74">
        <f t="shared" si="142"/>
        <v>0</v>
      </c>
      <c r="Q999" s="74">
        <f t="shared" si="143"/>
        <v>0</v>
      </c>
    </row>
    <row r="1000" spans="1:17" ht="82.5" hidden="1" customHeight="1">
      <c r="A1000" s="83"/>
      <c r="B1000" s="72">
        <f t="shared" si="135"/>
        <v>0</v>
      </c>
      <c r="C1000" s="72" t="s">
        <v>5923</v>
      </c>
      <c r="D1000" s="74">
        <v>450</v>
      </c>
      <c r="E1000" s="74" t="s">
        <v>41</v>
      </c>
      <c r="F1000" s="74"/>
      <c r="G1000" s="74">
        <f t="shared" si="136"/>
        <v>0</v>
      </c>
      <c r="H1000" s="74"/>
      <c r="I1000" s="74">
        <f t="shared" si="137"/>
        <v>0</v>
      </c>
      <c r="J1000" s="74"/>
      <c r="K1000" s="74">
        <f t="shared" si="138"/>
        <v>0</v>
      </c>
      <c r="L1000" s="74"/>
      <c r="M1000" s="74">
        <f t="shared" si="139"/>
        <v>0</v>
      </c>
      <c r="N1000" s="74">
        <f t="shared" si="140"/>
        <v>0</v>
      </c>
      <c r="O1000" s="74">
        <f t="shared" si="141"/>
        <v>0</v>
      </c>
      <c r="P1000" s="74">
        <f t="shared" si="142"/>
        <v>0</v>
      </c>
      <c r="Q1000" s="74">
        <f t="shared" si="143"/>
        <v>0</v>
      </c>
    </row>
    <row r="1001" spans="1:17" ht="62.25" hidden="1" customHeight="1">
      <c r="A1001" s="83"/>
      <c r="B1001" s="72">
        <f t="shared" si="135"/>
        <v>0</v>
      </c>
      <c r="C1001" s="76" t="s">
        <v>5924</v>
      </c>
      <c r="D1001" s="74"/>
      <c r="E1001" s="74"/>
      <c r="F1001" s="74"/>
      <c r="G1001" s="74">
        <f t="shared" si="136"/>
        <v>0</v>
      </c>
      <c r="H1001" s="74"/>
      <c r="I1001" s="74">
        <f t="shared" si="137"/>
        <v>0</v>
      </c>
      <c r="J1001" s="74"/>
      <c r="K1001" s="74">
        <f t="shared" si="138"/>
        <v>0</v>
      </c>
      <c r="L1001" s="74"/>
      <c r="M1001" s="74">
        <f t="shared" si="139"/>
        <v>0</v>
      </c>
      <c r="N1001" s="74">
        <f t="shared" si="140"/>
        <v>0</v>
      </c>
      <c r="O1001" s="74">
        <f t="shared" si="141"/>
        <v>0</v>
      </c>
      <c r="P1001" s="74">
        <f t="shared" si="142"/>
        <v>0</v>
      </c>
      <c r="Q1001" s="74">
        <f t="shared" si="143"/>
        <v>0</v>
      </c>
    </row>
    <row r="1002" spans="1:17" ht="42" hidden="1" customHeight="1">
      <c r="A1002" s="83"/>
      <c r="B1002" s="72">
        <f t="shared" si="135"/>
        <v>0</v>
      </c>
      <c r="C1002" s="72" t="s">
        <v>5925</v>
      </c>
      <c r="D1002" s="74">
        <v>213.71</v>
      </c>
      <c r="E1002" s="74" t="s">
        <v>13</v>
      </c>
      <c r="F1002" s="74"/>
      <c r="G1002" s="74">
        <f t="shared" si="136"/>
        <v>0</v>
      </c>
      <c r="H1002" s="74"/>
      <c r="I1002" s="74">
        <f t="shared" si="137"/>
        <v>0</v>
      </c>
      <c r="J1002" s="74"/>
      <c r="K1002" s="74">
        <f t="shared" si="138"/>
        <v>0</v>
      </c>
      <c r="L1002" s="74"/>
      <c r="M1002" s="74">
        <f t="shared" si="139"/>
        <v>0</v>
      </c>
      <c r="N1002" s="74">
        <f t="shared" si="140"/>
        <v>0</v>
      </c>
      <c r="O1002" s="74">
        <f t="shared" si="141"/>
        <v>0</v>
      </c>
      <c r="P1002" s="74">
        <f t="shared" si="142"/>
        <v>0</v>
      </c>
      <c r="Q1002" s="74">
        <f t="shared" si="143"/>
        <v>0</v>
      </c>
    </row>
    <row r="1003" spans="1:17" ht="39.75" hidden="1" customHeight="1">
      <c r="A1003" s="83"/>
      <c r="B1003" s="72">
        <f t="shared" si="135"/>
        <v>0</v>
      </c>
      <c r="C1003" s="72" t="s">
        <v>5926</v>
      </c>
      <c r="D1003" s="74">
        <v>297.85000000000002</v>
      </c>
      <c r="E1003" s="74" t="s">
        <v>13</v>
      </c>
      <c r="F1003" s="74"/>
      <c r="G1003" s="74">
        <f t="shared" si="136"/>
        <v>0</v>
      </c>
      <c r="H1003" s="74"/>
      <c r="I1003" s="74">
        <f t="shared" si="137"/>
        <v>0</v>
      </c>
      <c r="J1003" s="74"/>
      <c r="K1003" s="74">
        <f t="shared" si="138"/>
        <v>0</v>
      </c>
      <c r="L1003" s="74"/>
      <c r="M1003" s="74">
        <f t="shared" si="139"/>
        <v>0</v>
      </c>
      <c r="N1003" s="74">
        <f t="shared" si="140"/>
        <v>0</v>
      </c>
      <c r="O1003" s="74">
        <f t="shared" si="141"/>
        <v>0</v>
      </c>
      <c r="P1003" s="74">
        <f t="shared" si="142"/>
        <v>0</v>
      </c>
      <c r="Q1003" s="74">
        <f t="shared" si="143"/>
        <v>0</v>
      </c>
    </row>
    <row r="1004" spans="1:17" ht="103.5" hidden="1" customHeight="1">
      <c r="A1004" s="83"/>
      <c r="B1004" s="72">
        <f t="shared" si="135"/>
        <v>0</v>
      </c>
      <c r="C1004" s="72" t="s">
        <v>5927</v>
      </c>
      <c r="D1004" s="74">
        <v>27844</v>
      </c>
      <c r="E1004" s="74" t="s">
        <v>41</v>
      </c>
      <c r="F1004" s="74"/>
      <c r="G1004" s="74">
        <f t="shared" si="136"/>
        <v>0</v>
      </c>
      <c r="H1004" s="74"/>
      <c r="I1004" s="74">
        <f t="shared" si="137"/>
        <v>0</v>
      </c>
      <c r="J1004" s="74"/>
      <c r="K1004" s="74">
        <f t="shared" si="138"/>
        <v>0</v>
      </c>
      <c r="L1004" s="74"/>
      <c r="M1004" s="74">
        <f t="shared" si="139"/>
        <v>0</v>
      </c>
      <c r="N1004" s="74">
        <f t="shared" si="140"/>
        <v>0</v>
      </c>
      <c r="O1004" s="74">
        <f t="shared" si="141"/>
        <v>0</v>
      </c>
      <c r="P1004" s="74">
        <f t="shared" si="142"/>
        <v>0</v>
      </c>
      <c r="Q1004" s="74">
        <f t="shared" si="143"/>
        <v>0</v>
      </c>
    </row>
    <row r="1005" spans="1:17" ht="93.75" hidden="1" customHeight="1">
      <c r="A1005" s="83"/>
      <c r="B1005" s="72">
        <f t="shared" si="135"/>
        <v>0</v>
      </c>
      <c r="C1005" s="72" t="s">
        <v>5928</v>
      </c>
      <c r="D1005" s="74">
        <v>22198</v>
      </c>
      <c r="E1005" s="74" t="s">
        <v>41</v>
      </c>
      <c r="F1005" s="74"/>
      <c r="G1005" s="74">
        <f t="shared" si="136"/>
        <v>0</v>
      </c>
      <c r="H1005" s="74"/>
      <c r="I1005" s="74">
        <f t="shared" si="137"/>
        <v>0</v>
      </c>
      <c r="J1005" s="74"/>
      <c r="K1005" s="74">
        <f t="shared" si="138"/>
        <v>0</v>
      </c>
      <c r="L1005" s="74"/>
      <c r="M1005" s="74">
        <f t="shared" si="139"/>
        <v>0</v>
      </c>
      <c r="N1005" s="74">
        <f t="shared" si="140"/>
        <v>0</v>
      </c>
      <c r="O1005" s="74">
        <f t="shared" si="141"/>
        <v>0</v>
      </c>
      <c r="P1005" s="74">
        <f t="shared" si="142"/>
        <v>0</v>
      </c>
      <c r="Q1005" s="74">
        <f t="shared" si="143"/>
        <v>0</v>
      </c>
    </row>
    <row r="1006" spans="1:17" ht="84.75" customHeight="1">
      <c r="A1006" s="83"/>
      <c r="B1006" s="72">
        <f t="shared" si="135"/>
        <v>1</v>
      </c>
      <c r="C1006" s="72" t="s">
        <v>7015</v>
      </c>
      <c r="D1006" s="74">
        <v>7635</v>
      </c>
      <c r="E1006" s="74" t="s">
        <v>729</v>
      </c>
      <c r="F1006" s="74"/>
      <c r="G1006" s="74">
        <f t="shared" si="136"/>
        <v>0</v>
      </c>
      <c r="H1006" s="74">
        <f>bore!I64</f>
        <v>1</v>
      </c>
      <c r="I1006" s="74">
        <f t="shared" si="137"/>
        <v>7635</v>
      </c>
      <c r="J1006" s="74"/>
      <c r="K1006" s="74">
        <f t="shared" si="138"/>
        <v>0</v>
      </c>
      <c r="L1006" s="74"/>
      <c r="M1006" s="74">
        <f t="shared" si="139"/>
        <v>0</v>
      </c>
      <c r="N1006" s="74">
        <f t="shared" si="140"/>
        <v>1</v>
      </c>
      <c r="O1006" s="74">
        <f t="shared" si="141"/>
        <v>7635</v>
      </c>
      <c r="P1006" s="74">
        <f t="shared" si="142"/>
        <v>1</v>
      </c>
      <c r="Q1006" s="74">
        <f t="shared" si="143"/>
        <v>7635</v>
      </c>
    </row>
    <row r="1007" spans="1:17" ht="62.25" customHeight="1">
      <c r="A1007" s="83"/>
      <c r="B1007" s="72">
        <f t="shared" si="135"/>
        <v>0</v>
      </c>
      <c r="C1007" s="72" t="s">
        <v>5929</v>
      </c>
      <c r="D1007" s="74">
        <v>12650</v>
      </c>
      <c r="E1007" s="74" t="s">
        <v>729</v>
      </c>
      <c r="F1007" s="74"/>
      <c r="G1007" s="74">
        <f t="shared" si="136"/>
        <v>0</v>
      </c>
      <c r="H1007" s="74"/>
      <c r="I1007" s="74">
        <f t="shared" si="137"/>
        <v>0</v>
      </c>
      <c r="J1007" s="74"/>
      <c r="K1007" s="74">
        <f t="shared" si="138"/>
        <v>0</v>
      </c>
      <c r="L1007" s="74"/>
      <c r="M1007" s="74">
        <f t="shared" si="139"/>
        <v>0</v>
      </c>
      <c r="N1007" s="74">
        <f t="shared" si="140"/>
        <v>0</v>
      </c>
      <c r="O1007" s="74">
        <f t="shared" si="141"/>
        <v>0</v>
      </c>
      <c r="P1007" s="74">
        <f t="shared" si="142"/>
        <v>0</v>
      </c>
      <c r="Q1007" s="74">
        <f t="shared" si="143"/>
        <v>0</v>
      </c>
    </row>
    <row r="1008" spans="1:17" ht="53.25" customHeight="1">
      <c r="A1008" s="83"/>
      <c r="B1008" s="72">
        <f t="shared" si="135"/>
        <v>40</v>
      </c>
      <c r="C1008" s="72" t="s">
        <v>5930</v>
      </c>
      <c r="D1008" s="74">
        <v>194</v>
      </c>
      <c r="E1008" s="74" t="s">
        <v>13</v>
      </c>
      <c r="F1008" s="74"/>
      <c r="G1008" s="74">
        <f t="shared" si="136"/>
        <v>0</v>
      </c>
      <c r="H1008" s="74">
        <f>bore!I60</f>
        <v>40</v>
      </c>
      <c r="I1008" s="74">
        <f t="shared" si="137"/>
        <v>7760</v>
      </c>
      <c r="J1008" s="74"/>
      <c r="K1008" s="74">
        <f t="shared" si="138"/>
        <v>0</v>
      </c>
      <c r="L1008" s="74"/>
      <c r="M1008" s="74">
        <f t="shared" si="139"/>
        <v>0</v>
      </c>
      <c r="N1008" s="74">
        <f t="shared" si="140"/>
        <v>40</v>
      </c>
      <c r="O1008" s="74">
        <f t="shared" si="141"/>
        <v>7760</v>
      </c>
      <c r="P1008" s="74">
        <f t="shared" si="142"/>
        <v>40</v>
      </c>
      <c r="Q1008" s="74">
        <f t="shared" si="143"/>
        <v>7760</v>
      </c>
    </row>
    <row r="1009" spans="1:17" ht="62.25" customHeight="1">
      <c r="A1009" s="83"/>
      <c r="B1009" s="72">
        <f t="shared" si="135"/>
        <v>0</v>
      </c>
      <c r="C1009" s="76" t="s">
        <v>5931</v>
      </c>
      <c r="D1009" s="74"/>
      <c r="E1009" s="74"/>
      <c r="F1009" s="74"/>
      <c r="G1009" s="74">
        <f t="shared" si="136"/>
        <v>0</v>
      </c>
      <c r="H1009" s="74"/>
      <c r="I1009" s="74">
        <f t="shared" si="137"/>
        <v>0</v>
      </c>
      <c r="J1009" s="74"/>
      <c r="K1009" s="74">
        <f t="shared" si="138"/>
        <v>0</v>
      </c>
      <c r="L1009" s="74"/>
      <c r="M1009" s="74">
        <f t="shared" si="139"/>
        <v>0</v>
      </c>
      <c r="N1009" s="74">
        <f t="shared" si="140"/>
        <v>0</v>
      </c>
      <c r="O1009" s="74">
        <f t="shared" si="141"/>
        <v>0</v>
      </c>
      <c r="P1009" s="74">
        <f t="shared" si="142"/>
        <v>0</v>
      </c>
      <c r="Q1009" s="74">
        <f t="shared" si="143"/>
        <v>0</v>
      </c>
    </row>
    <row r="1010" spans="1:17" ht="51" customHeight="1">
      <c r="A1010" s="83"/>
      <c r="B1010" s="72">
        <f t="shared" si="135"/>
        <v>1</v>
      </c>
      <c r="C1010" s="72" t="s">
        <v>5932</v>
      </c>
      <c r="D1010" s="74">
        <v>2498</v>
      </c>
      <c r="E1010" s="74" t="s">
        <v>41</v>
      </c>
      <c r="F1010" s="74"/>
      <c r="G1010" s="74">
        <f t="shared" si="136"/>
        <v>0</v>
      </c>
      <c r="H1010" s="74">
        <f>bore!I53</f>
        <v>1</v>
      </c>
      <c r="I1010" s="74">
        <f t="shared" si="137"/>
        <v>2498</v>
      </c>
      <c r="J1010" s="74"/>
      <c r="K1010" s="74">
        <f t="shared" si="138"/>
        <v>0</v>
      </c>
      <c r="L1010" s="74"/>
      <c r="M1010" s="74">
        <f t="shared" si="139"/>
        <v>0</v>
      </c>
      <c r="N1010" s="74">
        <f t="shared" si="140"/>
        <v>1</v>
      </c>
      <c r="O1010" s="74">
        <f t="shared" si="141"/>
        <v>2498</v>
      </c>
      <c r="P1010" s="74">
        <f t="shared" si="142"/>
        <v>1</v>
      </c>
      <c r="Q1010" s="74">
        <f t="shared" si="143"/>
        <v>2498</v>
      </c>
    </row>
    <row r="1011" spans="1:17" ht="51" hidden="1" customHeight="1">
      <c r="A1011" s="83"/>
      <c r="B1011" s="72">
        <f t="shared" si="135"/>
        <v>0</v>
      </c>
      <c r="C1011" s="72" t="s">
        <v>5933</v>
      </c>
      <c r="D1011" s="74">
        <v>1217</v>
      </c>
      <c r="E1011" s="74" t="s">
        <v>41</v>
      </c>
      <c r="F1011" s="74"/>
      <c r="G1011" s="74">
        <f t="shared" si="136"/>
        <v>0</v>
      </c>
      <c r="H1011" s="74"/>
      <c r="I1011" s="74">
        <f t="shared" si="137"/>
        <v>0</v>
      </c>
      <c r="J1011" s="74"/>
      <c r="K1011" s="74">
        <f t="shared" si="138"/>
        <v>0</v>
      </c>
      <c r="L1011" s="74"/>
      <c r="M1011" s="74">
        <f t="shared" si="139"/>
        <v>0</v>
      </c>
      <c r="N1011" s="74">
        <f t="shared" si="140"/>
        <v>0</v>
      </c>
      <c r="O1011" s="74">
        <f t="shared" si="141"/>
        <v>0</v>
      </c>
      <c r="P1011" s="74">
        <f t="shared" si="142"/>
        <v>0</v>
      </c>
      <c r="Q1011" s="74">
        <f t="shared" si="143"/>
        <v>0</v>
      </c>
    </row>
    <row r="1012" spans="1:17" ht="51" hidden="1" customHeight="1">
      <c r="A1012" s="83"/>
      <c r="B1012" s="72">
        <f t="shared" si="135"/>
        <v>0</v>
      </c>
      <c r="C1012" s="72" t="s">
        <v>5934</v>
      </c>
      <c r="D1012" s="74">
        <v>266.3</v>
      </c>
      <c r="E1012" s="74" t="s">
        <v>41</v>
      </c>
      <c r="F1012" s="74"/>
      <c r="G1012" s="74">
        <f t="shared" si="136"/>
        <v>0</v>
      </c>
      <c r="H1012" s="74"/>
      <c r="I1012" s="74">
        <f t="shared" si="137"/>
        <v>0</v>
      </c>
      <c r="J1012" s="74"/>
      <c r="K1012" s="74">
        <f t="shared" si="138"/>
        <v>0</v>
      </c>
      <c r="L1012" s="74"/>
      <c r="M1012" s="74">
        <f t="shared" si="139"/>
        <v>0</v>
      </c>
      <c r="N1012" s="74">
        <f t="shared" si="140"/>
        <v>0</v>
      </c>
      <c r="O1012" s="74">
        <f t="shared" si="141"/>
        <v>0</v>
      </c>
      <c r="P1012" s="74">
        <f t="shared" si="142"/>
        <v>0</v>
      </c>
      <c r="Q1012" s="74">
        <f t="shared" si="143"/>
        <v>0</v>
      </c>
    </row>
    <row r="1013" spans="1:17" ht="49.5" hidden="1" customHeight="1">
      <c r="A1013" s="83"/>
      <c r="B1013" s="72">
        <f t="shared" si="135"/>
        <v>0</v>
      </c>
      <c r="C1013" s="72" t="s">
        <v>5935</v>
      </c>
      <c r="D1013" s="74">
        <v>209</v>
      </c>
      <c r="E1013" s="74" t="s">
        <v>41</v>
      </c>
      <c r="F1013" s="74"/>
      <c r="G1013" s="74">
        <f t="shared" si="136"/>
        <v>0</v>
      </c>
      <c r="H1013" s="74"/>
      <c r="I1013" s="74">
        <f t="shared" si="137"/>
        <v>0</v>
      </c>
      <c r="J1013" s="74"/>
      <c r="K1013" s="74">
        <f t="shared" si="138"/>
        <v>0</v>
      </c>
      <c r="L1013" s="74"/>
      <c r="M1013" s="74">
        <f t="shared" si="139"/>
        <v>0</v>
      </c>
      <c r="N1013" s="74">
        <f t="shared" si="140"/>
        <v>0</v>
      </c>
      <c r="O1013" s="74">
        <f t="shared" si="141"/>
        <v>0</v>
      </c>
      <c r="P1013" s="74">
        <f t="shared" si="142"/>
        <v>0</v>
      </c>
      <c r="Q1013" s="74">
        <f t="shared" si="143"/>
        <v>0</v>
      </c>
    </row>
    <row r="1014" spans="1:17" ht="49.5" hidden="1" customHeight="1">
      <c r="A1014" s="83"/>
      <c r="B1014" s="72">
        <f t="shared" si="135"/>
        <v>0</v>
      </c>
      <c r="C1014" s="72" t="s">
        <v>5936</v>
      </c>
      <c r="D1014" s="74">
        <v>116.3</v>
      </c>
      <c r="E1014" s="74" t="s">
        <v>41</v>
      </c>
      <c r="F1014" s="74"/>
      <c r="G1014" s="74">
        <f t="shared" si="136"/>
        <v>0</v>
      </c>
      <c r="H1014" s="74"/>
      <c r="I1014" s="74">
        <f t="shared" si="137"/>
        <v>0</v>
      </c>
      <c r="J1014" s="74"/>
      <c r="K1014" s="74">
        <f t="shared" si="138"/>
        <v>0</v>
      </c>
      <c r="L1014" s="74"/>
      <c r="M1014" s="74">
        <f t="shared" si="139"/>
        <v>0</v>
      </c>
      <c r="N1014" s="74">
        <f t="shared" si="140"/>
        <v>0</v>
      </c>
      <c r="O1014" s="74">
        <f t="shared" si="141"/>
        <v>0</v>
      </c>
      <c r="P1014" s="74">
        <f t="shared" si="142"/>
        <v>0</v>
      </c>
      <c r="Q1014" s="74">
        <f t="shared" si="143"/>
        <v>0</v>
      </c>
    </row>
    <row r="1015" spans="1:17" ht="49.5" hidden="1" customHeight="1">
      <c r="A1015" s="83"/>
      <c r="B1015" s="72">
        <f t="shared" si="135"/>
        <v>0</v>
      </c>
      <c r="C1015" s="72" t="s">
        <v>5937</v>
      </c>
      <c r="D1015" s="74">
        <v>69.8</v>
      </c>
      <c r="E1015" s="74" t="s">
        <v>41</v>
      </c>
      <c r="F1015" s="74"/>
      <c r="G1015" s="74">
        <f t="shared" si="136"/>
        <v>0</v>
      </c>
      <c r="H1015" s="74"/>
      <c r="I1015" s="74">
        <f t="shared" si="137"/>
        <v>0</v>
      </c>
      <c r="J1015" s="74"/>
      <c r="K1015" s="74">
        <f t="shared" si="138"/>
        <v>0</v>
      </c>
      <c r="L1015" s="74"/>
      <c r="M1015" s="74">
        <f t="shared" si="139"/>
        <v>0</v>
      </c>
      <c r="N1015" s="74">
        <f t="shared" si="140"/>
        <v>0</v>
      </c>
      <c r="O1015" s="74">
        <f t="shared" si="141"/>
        <v>0</v>
      </c>
      <c r="P1015" s="74">
        <f t="shared" si="142"/>
        <v>0</v>
      </c>
      <c r="Q1015" s="74">
        <f t="shared" si="143"/>
        <v>0</v>
      </c>
    </row>
    <row r="1016" spans="1:17" s="64" customFormat="1" ht="49.5" hidden="1" customHeight="1">
      <c r="A1016" s="83"/>
      <c r="B1016" s="72">
        <f t="shared" si="135"/>
        <v>0</v>
      </c>
      <c r="C1016" s="72"/>
      <c r="D1016" s="74"/>
      <c r="E1016" s="74"/>
      <c r="F1016" s="74"/>
      <c r="G1016" s="74">
        <f t="shared" si="136"/>
        <v>0</v>
      </c>
      <c r="H1016" s="74"/>
      <c r="I1016" s="74">
        <f t="shared" si="137"/>
        <v>0</v>
      </c>
      <c r="J1016" s="74"/>
      <c r="K1016" s="74">
        <f t="shared" si="138"/>
        <v>0</v>
      </c>
      <c r="L1016" s="74"/>
      <c r="M1016" s="74">
        <f t="shared" si="139"/>
        <v>0</v>
      </c>
      <c r="N1016" s="74">
        <f t="shared" si="140"/>
        <v>0</v>
      </c>
      <c r="O1016" s="74">
        <f t="shared" si="141"/>
        <v>0</v>
      </c>
      <c r="P1016" s="74">
        <f t="shared" si="142"/>
        <v>0</v>
      </c>
      <c r="Q1016" s="74">
        <f t="shared" si="143"/>
        <v>0</v>
      </c>
    </row>
    <row r="1017" spans="1:17" ht="231" hidden="1" customHeight="1">
      <c r="A1017" s="83"/>
      <c r="B1017" s="72">
        <f t="shared" si="135"/>
        <v>0</v>
      </c>
      <c r="C1017" s="1227" t="s">
        <v>5938</v>
      </c>
      <c r="D1017" s="84">
        <v>7945</v>
      </c>
      <c r="E1017" s="1230" t="s">
        <v>724</v>
      </c>
      <c r="F1017" s="84"/>
      <c r="G1017" s="74">
        <f t="shared" si="136"/>
        <v>0</v>
      </c>
      <c r="H1017" s="74"/>
      <c r="I1017" s="74">
        <f t="shared" si="137"/>
        <v>0</v>
      </c>
      <c r="J1017" s="74"/>
      <c r="K1017" s="74">
        <f t="shared" si="138"/>
        <v>0</v>
      </c>
      <c r="L1017" s="74"/>
      <c r="M1017" s="74">
        <f t="shared" si="139"/>
        <v>0</v>
      </c>
      <c r="N1017" s="74">
        <f t="shared" si="140"/>
        <v>0</v>
      </c>
      <c r="O1017" s="74">
        <f t="shared" si="141"/>
        <v>0</v>
      </c>
      <c r="P1017" s="74">
        <f t="shared" si="142"/>
        <v>0</v>
      </c>
      <c r="Q1017" s="74">
        <f t="shared" si="143"/>
        <v>0</v>
      </c>
    </row>
    <row r="1018" spans="1:17" ht="49.5" customHeight="1">
      <c r="A1018" s="83"/>
      <c r="B1018" s="72">
        <f t="shared" si="135"/>
        <v>0</v>
      </c>
      <c r="C1018" s="1435" t="s">
        <v>5939</v>
      </c>
      <c r="D1018" s="84"/>
      <c r="E1018" s="1230"/>
      <c r="F1018" s="84"/>
      <c r="G1018" s="74">
        <f t="shared" si="136"/>
        <v>0</v>
      </c>
      <c r="H1018" s="74"/>
      <c r="I1018" s="74">
        <f t="shared" si="137"/>
        <v>0</v>
      </c>
      <c r="J1018" s="74"/>
      <c r="K1018" s="74">
        <f t="shared" si="138"/>
        <v>0</v>
      </c>
      <c r="L1018" s="74"/>
      <c r="M1018" s="74">
        <f t="shared" si="139"/>
        <v>0</v>
      </c>
      <c r="N1018" s="74">
        <f t="shared" si="140"/>
        <v>0</v>
      </c>
      <c r="O1018" s="74">
        <f t="shared" si="141"/>
        <v>0</v>
      </c>
      <c r="P1018" s="74">
        <f t="shared" si="142"/>
        <v>0</v>
      </c>
      <c r="Q1018" s="74">
        <f t="shared" si="143"/>
        <v>0</v>
      </c>
    </row>
    <row r="1019" spans="1:17" s="1224" customFormat="1" ht="131.25" customHeight="1">
      <c r="A1019" s="83"/>
      <c r="B1019" s="72">
        <f t="shared" si="135"/>
        <v>0</v>
      </c>
      <c r="C1019" s="1231" t="s">
        <v>5940</v>
      </c>
      <c r="D1019" s="1727">
        <v>1875700</v>
      </c>
      <c r="E1019" s="1230" t="s">
        <v>41</v>
      </c>
      <c r="F1019" s="84"/>
      <c r="G1019" s="74">
        <f t="shared" si="136"/>
        <v>0</v>
      </c>
      <c r="H1019" s="74"/>
      <c r="I1019" s="74">
        <f t="shared" si="137"/>
        <v>0</v>
      </c>
      <c r="J1019" s="74"/>
      <c r="K1019" s="74">
        <f t="shared" si="138"/>
        <v>0</v>
      </c>
      <c r="L1019" s="74"/>
      <c r="M1019" s="74">
        <f t="shared" si="139"/>
        <v>0</v>
      </c>
      <c r="N1019" s="74">
        <f t="shared" si="140"/>
        <v>0</v>
      </c>
      <c r="O1019" s="74">
        <f t="shared" si="141"/>
        <v>0</v>
      </c>
      <c r="P1019" s="74">
        <f t="shared" si="142"/>
        <v>0</v>
      </c>
      <c r="Q1019" s="74">
        <f t="shared" si="143"/>
        <v>0</v>
      </c>
    </row>
    <row r="1020" spans="1:17" ht="93" hidden="1" customHeight="1">
      <c r="A1020" s="83"/>
      <c r="B1020" s="72">
        <f t="shared" si="135"/>
        <v>0</v>
      </c>
      <c r="C1020" s="1231" t="s">
        <v>5941</v>
      </c>
      <c r="D1020" s="84">
        <v>1739000</v>
      </c>
      <c r="E1020" s="1230" t="s">
        <v>41</v>
      </c>
      <c r="F1020" s="84"/>
      <c r="G1020" s="74">
        <f t="shared" si="136"/>
        <v>0</v>
      </c>
      <c r="H1020" s="74"/>
      <c r="I1020" s="74">
        <f t="shared" si="137"/>
        <v>0</v>
      </c>
      <c r="J1020" s="74"/>
      <c r="K1020" s="74">
        <f t="shared" si="138"/>
        <v>0</v>
      </c>
      <c r="L1020" s="74"/>
      <c r="M1020" s="74">
        <f t="shared" si="139"/>
        <v>0</v>
      </c>
      <c r="N1020" s="74">
        <f t="shared" si="140"/>
        <v>0</v>
      </c>
      <c r="O1020" s="74">
        <f t="shared" si="141"/>
        <v>0</v>
      </c>
      <c r="P1020" s="74">
        <f t="shared" si="142"/>
        <v>0</v>
      </c>
      <c r="Q1020" s="74">
        <f t="shared" si="143"/>
        <v>0</v>
      </c>
    </row>
    <row r="1021" spans="1:17" ht="23.25" hidden="1" customHeight="1">
      <c r="A1021" s="83"/>
      <c r="B1021" s="72">
        <f t="shared" si="135"/>
        <v>0</v>
      </c>
      <c r="C1021" s="1435" t="s">
        <v>5942</v>
      </c>
      <c r="D1021" s="84"/>
      <c r="E1021" s="1230"/>
      <c r="F1021" s="84"/>
      <c r="G1021" s="74">
        <f t="shared" si="136"/>
        <v>0</v>
      </c>
      <c r="H1021" s="74"/>
      <c r="I1021" s="74">
        <f t="shared" si="137"/>
        <v>0</v>
      </c>
      <c r="J1021" s="74"/>
      <c r="K1021" s="74">
        <f t="shared" si="138"/>
        <v>0</v>
      </c>
      <c r="L1021" s="74"/>
      <c r="M1021" s="74">
        <f t="shared" si="139"/>
        <v>0</v>
      </c>
      <c r="N1021" s="74">
        <f t="shared" si="140"/>
        <v>0</v>
      </c>
      <c r="O1021" s="74">
        <f t="shared" si="141"/>
        <v>0</v>
      </c>
      <c r="P1021" s="74">
        <f t="shared" si="142"/>
        <v>0</v>
      </c>
      <c r="Q1021" s="74">
        <f t="shared" si="143"/>
        <v>0</v>
      </c>
    </row>
    <row r="1022" spans="1:17" ht="116.25" hidden="1" customHeight="1">
      <c r="A1022" s="83"/>
      <c r="B1022" s="72">
        <f t="shared" si="135"/>
        <v>0</v>
      </c>
      <c r="C1022" s="82" t="s">
        <v>5943</v>
      </c>
      <c r="D1022" s="1232">
        <v>216000</v>
      </c>
      <c r="E1022" s="1230" t="s">
        <v>41</v>
      </c>
      <c r="F1022" s="84"/>
      <c r="G1022" s="74">
        <f t="shared" si="136"/>
        <v>0</v>
      </c>
      <c r="H1022" s="74"/>
      <c r="I1022" s="74">
        <f t="shared" si="137"/>
        <v>0</v>
      </c>
      <c r="J1022" s="74"/>
      <c r="K1022" s="74">
        <f t="shared" si="138"/>
        <v>0</v>
      </c>
      <c r="L1022" s="74"/>
      <c r="M1022" s="74">
        <f t="shared" si="139"/>
        <v>0</v>
      </c>
      <c r="N1022" s="74">
        <f t="shared" si="140"/>
        <v>0</v>
      </c>
      <c r="O1022" s="74">
        <f t="shared" si="141"/>
        <v>0</v>
      </c>
      <c r="P1022" s="74">
        <f t="shared" si="142"/>
        <v>0</v>
      </c>
      <c r="Q1022" s="74">
        <f t="shared" si="143"/>
        <v>0</v>
      </c>
    </row>
    <row r="1023" spans="1:17" ht="46.5" hidden="1" customHeight="1">
      <c r="A1023" s="83"/>
      <c r="B1023" s="72">
        <f t="shared" si="135"/>
        <v>0</v>
      </c>
      <c r="C1023" s="82" t="s">
        <v>5944</v>
      </c>
      <c r="D1023" s="1232">
        <v>27000</v>
      </c>
      <c r="E1023" s="1230" t="s">
        <v>41</v>
      </c>
      <c r="F1023" s="84"/>
      <c r="G1023" s="74">
        <f t="shared" si="136"/>
        <v>0</v>
      </c>
      <c r="H1023" s="74"/>
      <c r="I1023" s="74">
        <f t="shared" si="137"/>
        <v>0</v>
      </c>
      <c r="J1023" s="74"/>
      <c r="K1023" s="74">
        <f t="shared" si="138"/>
        <v>0</v>
      </c>
      <c r="L1023" s="74"/>
      <c r="M1023" s="74">
        <f t="shared" si="139"/>
        <v>0</v>
      </c>
      <c r="N1023" s="74">
        <f t="shared" si="140"/>
        <v>0</v>
      </c>
      <c r="O1023" s="74">
        <f t="shared" si="141"/>
        <v>0</v>
      </c>
      <c r="P1023" s="74">
        <f t="shared" si="142"/>
        <v>0</v>
      </c>
      <c r="Q1023" s="74">
        <f t="shared" si="143"/>
        <v>0</v>
      </c>
    </row>
    <row r="1024" spans="1:17" ht="116.25" hidden="1" customHeight="1">
      <c r="A1024" s="83"/>
      <c r="B1024" s="72">
        <f t="shared" si="135"/>
        <v>0</v>
      </c>
      <c r="C1024" s="1435" t="s">
        <v>5945</v>
      </c>
      <c r="D1024" s="1232"/>
      <c r="E1024" s="1230"/>
      <c r="F1024" s="84"/>
      <c r="G1024" s="74">
        <f t="shared" si="136"/>
        <v>0</v>
      </c>
      <c r="H1024" s="74"/>
      <c r="I1024" s="74">
        <f t="shared" si="137"/>
        <v>0</v>
      </c>
      <c r="J1024" s="74"/>
      <c r="K1024" s="74">
        <f t="shared" si="138"/>
        <v>0</v>
      </c>
      <c r="L1024" s="74"/>
      <c r="M1024" s="74">
        <f t="shared" si="139"/>
        <v>0</v>
      </c>
      <c r="N1024" s="74">
        <f t="shared" si="140"/>
        <v>0</v>
      </c>
      <c r="O1024" s="74">
        <f t="shared" si="141"/>
        <v>0</v>
      </c>
      <c r="P1024" s="74">
        <f t="shared" si="142"/>
        <v>0</v>
      </c>
      <c r="Q1024" s="74">
        <f t="shared" si="143"/>
        <v>0</v>
      </c>
    </row>
    <row r="1025" spans="1:17" ht="46.5" hidden="1" customHeight="1">
      <c r="A1025" s="83"/>
      <c r="B1025" s="72">
        <f t="shared" si="135"/>
        <v>0</v>
      </c>
      <c r="C1025" s="82" t="s">
        <v>5946</v>
      </c>
      <c r="D1025" s="1232">
        <v>232</v>
      </c>
      <c r="E1025" s="1230" t="s">
        <v>13</v>
      </c>
      <c r="F1025" s="84"/>
      <c r="G1025" s="74">
        <f t="shared" si="136"/>
        <v>0</v>
      </c>
      <c r="H1025" s="74"/>
      <c r="I1025" s="74">
        <f t="shared" si="137"/>
        <v>0</v>
      </c>
      <c r="J1025" s="74"/>
      <c r="K1025" s="74">
        <f t="shared" si="138"/>
        <v>0</v>
      </c>
      <c r="L1025" s="74"/>
      <c r="M1025" s="74">
        <f t="shared" si="139"/>
        <v>0</v>
      </c>
      <c r="N1025" s="74">
        <f t="shared" si="140"/>
        <v>0</v>
      </c>
      <c r="O1025" s="74">
        <f t="shared" si="141"/>
        <v>0</v>
      </c>
      <c r="P1025" s="74">
        <f t="shared" si="142"/>
        <v>0</v>
      </c>
      <c r="Q1025" s="74">
        <f t="shared" si="143"/>
        <v>0</v>
      </c>
    </row>
    <row r="1026" spans="1:17" ht="46.5" hidden="1" customHeight="1">
      <c r="A1026" s="83"/>
      <c r="B1026" s="72">
        <f t="shared" si="135"/>
        <v>0</v>
      </c>
      <c r="C1026" s="82" t="s">
        <v>5947</v>
      </c>
      <c r="D1026" s="1232">
        <v>160</v>
      </c>
      <c r="E1026" s="1230" t="s">
        <v>13</v>
      </c>
      <c r="F1026" s="84"/>
      <c r="G1026" s="74">
        <f t="shared" si="136"/>
        <v>0</v>
      </c>
      <c r="H1026" s="74"/>
      <c r="I1026" s="74">
        <f t="shared" si="137"/>
        <v>0</v>
      </c>
      <c r="J1026" s="74"/>
      <c r="K1026" s="74">
        <f t="shared" si="138"/>
        <v>0</v>
      </c>
      <c r="L1026" s="74"/>
      <c r="M1026" s="74">
        <f t="shared" si="139"/>
        <v>0</v>
      </c>
      <c r="N1026" s="74">
        <f t="shared" si="140"/>
        <v>0</v>
      </c>
      <c r="O1026" s="74">
        <f t="shared" si="141"/>
        <v>0</v>
      </c>
      <c r="P1026" s="74">
        <f t="shared" si="142"/>
        <v>0</v>
      </c>
      <c r="Q1026" s="74">
        <f t="shared" si="143"/>
        <v>0</v>
      </c>
    </row>
    <row r="1027" spans="1:17" ht="46.5" hidden="1" customHeight="1">
      <c r="A1027" s="83"/>
      <c r="B1027" s="72">
        <f t="shared" si="135"/>
        <v>0</v>
      </c>
      <c r="C1027" s="82" t="s">
        <v>5948</v>
      </c>
      <c r="D1027" s="1232">
        <v>220</v>
      </c>
      <c r="E1027" s="1230" t="s">
        <v>13</v>
      </c>
      <c r="F1027" s="84"/>
      <c r="G1027" s="74">
        <f t="shared" si="136"/>
        <v>0</v>
      </c>
      <c r="H1027" s="74"/>
      <c r="I1027" s="74">
        <f t="shared" si="137"/>
        <v>0</v>
      </c>
      <c r="J1027" s="74"/>
      <c r="K1027" s="74">
        <f t="shared" si="138"/>
        <v>0</v>
      </c>
      <c r="L1027" s="74"/>
      <c r="M1027" s="74">
        <f t="shared" si="139"/>
        <v>0</v>
      </c>
      <c r="N1027" s="74">
        <f t="shared" si="140"/>
        <v>0</v>
      </c>
      <c r="O1027" s="74">
        <f t="shared" si="141"/>
        <v>0</v>
      </c>
      <c r="P1027" s="74">
        <f t="shared" si="142"/>
        <v>0</v>
      </c>
      <c r="Q1027" s="74">
        <f t="shared" si="143"/>
        <v>0</v>
      </c>
    </row>
    <row r="1028" spans="1:17" ht="40.5" hidden="1" customHeight="1">
      <c r="A1028" s="83"/>
      <c r="B1028" s="72">
        <f t="shared" si="135"/>
        <v>0</v>
      </c>
      <c r="C1028" s="1237" t="s">
        <v>5949</v>
      </c>
      <c r="D1028" s="1232"/>
      <c r="E1028" s="84"/>
      <c r="F1028" s="84"/>
      <c r="G1028" s="74">
        <f t="shared" si="136"/>
        <v>0</v>
      </c>
      <c r="H1028" s="74"/>
      <c r="I1028" s="74">
        <f t="shared" si="137"/>
        <v>0</v>
      </c>
      <c r="J1028" s="74"/>
      <c r="K1028" s="74">
        <f t="shared" si="138"/>
        <v>0</v>
      </c>
      <c r="L1028" s="74"/>
      <c r="M1028" s="74">
        <f t="shared" si="139"/>
        <v>0</v>
      </c>
      <c r="N1028" s="74">
        <f t="shared" si="140"/>
        <v>0</v>
      </c>
      <c r="O1028" s="74">
        <f t="shared" si="141"/>
        <v>0</v>
      </c>
      <c r="P1028" s="74">
        <f t="shared" si="142"/>
        <v>0</v>
      </c>
      <c r="Q1028" s="74">
        <f t="shared" si="143"/>
        <v>0</v>
      </c>
    </row>
    <row r="1029" spans="1:17" ht="23.25" hidden="1" customHeight="1">
      <c r="A1029" s="83"/>
      <c r="B1029" s="72">
        <f t="shared" ref="B1029:B1092" si="144">P1029</f>
        <v>0</v>
      </c>
      <c r="C1029" s="1227" t="s">
        <v>5950</v>
      </c>
      <c r="D1029" s="1232">
        <v>4400</v>
      </c>
      <c r="E1029" s="75" t="s">
        <v>41</v>
      </c>
      <c r="F1029" s="84"/>
      <c r="G1029" s="74">
        <f t="shared" si="136"/>
        <v>0</v>
      </c>
      <c r="H1029" s="74"/>
      <c r="I1029" s="74">
        <f t="shared" si="137"/>
        <v>0</v>
      </c>
      <c r="J1029" s="74"/>
      <c r="K1029" s="74">
        <f t="shared" si="138"/>
        <v>0</v>
      </c>
      <c r="L1029" s="74"/>
      <c r="M1029" s="74">
        <f t="shared" si="139"/>
        <v>0</v>
      </c>
      <c r="N1029" s="74">
        <f t="shared" si="140"/>
        <v>0</v>
      </c>
      <c r="O1029" s="74">
        <f t="shared" si="141"/>
        <v>0</v>
      </c>
      <c r="P1029" s="74">
        <f t="shared" si="142"/>
        <v>0</v>
      </c>
      <c r="Q1029" s="74">
        <f t="shared" si="143"/>
        <v>0</v>
      </c>
    </row>
    <row r="1030" spans="1:17" ht="40.5" hidden="1" customHeight="1">
      <c r="A1030" s="83"/>
      <c r="B1030" s="72">
        <f t="shared" si="144"/>
        <v>0</v>
      </c>
      <c r="C1030" s="1237" t="s">
        <v>5951</v>
      </c>
      <c r="D1030" s="1232"/>
      <c r="E1030" s="75"/>
      <c r="F1030" s="84"/>
      <c r="G1030" s="74">
        <f t="shared" ref="G1030:G1093" si="145">F1030*D1030</f>
        <v>0</v>
      </c>
      <c r="H1030" s="74"/>
      <c r="I1030" s="74">
        <f t="shared" ref="I1030:I1093" si="146">H1030*D1030</f>
        <v>0</v>
      </c>
      <c r="J1030" s="74"/>
      <c r="K1030" s="74">
        <f t="shared" ref="K1030:K1093" si="147">J1030*D1030</f>
        <v>0</v>
      </c>
      <c r="L1030" s="74"/>
      <c r="M1030" s="74">
        <f t="shared" ref="M1030:M1093" si="148">L1030*D1030</f>
        <v>0</v>
      </c>
      <c r="N1030" s="74">
        <f t="shared" ref="N1030:N1093" si="149">H1030+J1030+L1030</f>
        <v>0</v>
      </c>
      <c r="O1030" s="74">
        <f t="shared" ref="O1030:O1093" si="150">N1030*D1030</f>
        <v>0</v>
      </c>
      <c r="P1030" s="74">
        <f t="shared" ref="P1030:P1093" si="151">N1030+F1030</f>
        <v>0</v>
      </c>
      <c r="Q1030" s="74">
        <f t="shared" ref="Q1030:Q1093" si="152">P1030*D1030</f>
        <v>0</v>
      </c>
    </row>
    <row r="1031" spans="1:17" ht="23.25" hidden="1" customHeight="1">
      <c r="A1031" s="83"/>
      <c r="B1031" s="72">
        <f t="shared" si="144"/>
        <v>0</v>
      </c>
      <c r="C1031" s="82" t="s">
        <v>5952</v>
      </c>
      <c r="D1031" s="1232">
        <v>16000</v>
      </c>
      <c r="E1031" s="75" t="s">
        <v>41</v>
      </c>
      <c r="F1031" s="84"/>
      <c r="G1031" s="74">
        <f t="shared" si="145"/>
        <v>0</v>
      </c>
      <c r="H1031" s="74"/>
      <c r="I1031" s="74">
        <f t="shared" si="146"/>
        <v>0</v>
      </c>
      <c r="J1031" s="74"/>
      <c r="K1031" s="74">
        <f t="shared" si="147"/>
        <v>0</v>
      </c>
      <c r="L1031" s="74"/>
      <c r="M1031" s="74">
        <f t="shared" si="148"/>
        <v>0</v>
      </c>
      <c r="N1031" s="74">
        <f t="shared" si="149"/>
        <v>0</v>
      </c>
      <c r="O1031" s="74">
        <f t="shared" si="150"/>
        <v>0</v>
      </c>
      <c r="P1031" s="74">
        <f t="shared" si="151"/>
        <v>0</v>
      </c>
      <c r="Q1031" s="74">
        <f t="shared" si="152"/>
        <v>0</v>
      </c>
    </row>
    <row r="1032" spans="1:17" ht="93" hidden="1" customHeight="1">
      <c r="A1032" s="83"/>
      <c r="B1032" s="72">
        <f t="shared" si="144"/>
        <v>0</v>
      </c>
      <c r="C1032" s="1435" t="s">
        <v>5953</v>
      </c>
      <c r="D1032" s="1232"/>
      <c r="E1032" s="75"/>
      <c r="F1032" s="84"/>
      <c r="G1032" s="74">
        <f t="shared" si="145"/>
        <v>0</v>
      </c>
      <c r="H1032" s="74"/>
      <c r="I1032" s="74">
        <f t="shared" si="146"/>
        <v>0</v>
      </c>
      <c r="J1032" s="74"/>
      <c r="K1032" s="74">
        <f t="shared" si="147"/>
        <v>0</v>
      </c>
      <c r="L1032" s="74"/>
      <c r="M1032" s="74">
        <f t="shared" si="148"/>
        <v>0</v>
      </c>
      <c r="N1032" s="74">
        <f t="shared" si="149"/>
        <v>0</v>
      </c>
      <c r="O1032" s="74">
        <f t="shared" si="150"/>
        <v>0</v>
      </c>
      <c r="P1032" s="74">
        <f t="shared" si="151"/>
        <v>0</v>
      </c>
      <c r="Q1032" s="74">
        <f t="shared" si="152"/>
        <v>0</v>
      </c>
    </row>
    <row r="1033" spans="1:17" ht="23.25" hidden="1" customHeight="1">
      <c r="A1033" s="83"/>
      <c r="B1033" s="72">
        <f t="shared" si="144"/>
        <v>0</v>
      </c>
      <c r="C1033" s="82" t="s">
        <v>5954</v>
      </c>
      <c r="D1033" s="1232">
        <v>2400</v>
      </c>
      <c r="E1033" s="75" t="s">
        <v>41</v>
      </c>
      <c r="F1033" s="103"/>
      <c r="G1033" s="74">
        <f t="shared" si="145"/>
        <v>0</v>
      </c>
      <c r="H1033" s="74"/>
      <c r="I1033" s="74">
        <f t="shared" si="146"/>
        <v>0</v>
      </c>
      <c r="J1033" s="74"/>
      <c r="K1033" s="74">
        <f t="shared" si="147"/>
        <v>0</v>
      </c>
      <c r="L1033" s="74"/>
      <c r="M1033" s="74">
        <f t="shared" si="148"/>
        <v>0</v>
      </c>
      <c r="N1033" s="74">
        <f t="shared" si="149"/>
        <v>0</v>
      </c>
      <c r="O1033" s="74">
        <f t="shared" si="150"/>
        <v>0</v>
      </c>
      <c r="P1033" s="74">
        <f t="shared" si="151"/>
        <v>0</v>
      </c>
      <c r="Q1033" s="74">
        <f t="shared" si="152"/>
        <v>0</v>
      </c>
    </row>
    <row r="1034" spans="1:17" ht="23.25" hidden="1" customHeight="1">
      <c r="A1034" s="83"/>
      <c r="B1034" s="72">
        <f t="shared" si="144"/>
        <v>0</v>
      </c>
      <c r="C1034" s="82" t="s">
        <v>5955</v>
      </c>
      <c r="D1034" s="1232">
        <v>4200</v>
      </c>
      <c r="E1034" s="75" t="s">
        <v>41</v>
      </c>
      <c r="F1034" s="103"/>
      <c r="G1034" s="74">
        <f t="shared" si="145"/>
        <v>0</v>
      </c>
      <c r="H1034" s="74"/>
      <c r="I1034" s="74">
        <f t="shared" si="146"/>
        <v>0</v>
      </c>
      <c r="J1034" s="74"/>
      <c r="K1034" s="74">
        <f t="shared" si="147"/>
        <v>0</v>
      </c>
      <c r="L1034" s="74"/>
      <c r="M1034" s="74">
        <f t="shared" si="148"/>
        <v>0</v>
      </c>
      <c r="N1034" s="74">
        <f t="shared" si="149"/>
        <v>0</v>
      </c>
      <c r="O1034" s="74">
        <f t="shared" si="150"/>
        <v>0</v>
      </c>
      <c r="P1034" s="74">
        <f t="shared" si="151"/>
        <v>0</v>
      </c>
      <c r="Q1034" s="74">
        <f t="shared" si="152"/>
        <v>0</v>
      </c>
    </row>
    <row r="1035" spans="1:17" ht="93" hidden="1" customHeight="1">
      <c r="A1035" s="83"/>
      <c r="B1035" s="72">
        <f t="shared" si="144"/>
        <v>0</v>
      </c>
      <c r="C1035" s="82" t="s">
        <v>5956</v>
      </c>
      <c r="D1035" s="1232">
        <v>5500</v>
      </c>
      <c r="E1035" s="75" t="s">
        <v>1715</v>
      </c>
      <c r="F1035" s="103"/>
      <c r="G1035" s="74">
        <f t="shared" si="145"/>
        <v>0</v>
      </c>
      <c r="H1035" s="74"/>
      <c r="I1035" s="74">
        <f t="shared" si="146"/>
        <v>0</v>
      </c>
      <c r="J1035" s="74"/>
      <c r="K1035" s="74">
        <f t="shared" si="147"/>
        <v>0</v>
      </c>
      <c r="L1035" s="74"/>
      <c r="M1035" s="74">
        <f t="shared" si="148"/>
        <v>0</v>
      </c>
      <c r="N1035" s="74">
        <f t="shared" si="149"/>
        <v>0</v>
      </c>
      <c r="O1035" s="74">
        <f t="shared" si="150"/>
        <v>0</v>
      </c>
      <c r="P1035" s="74">
        <f t="shared" si="151"/>
        <v>0</v>
      </c>
      <c r="Q1035" s="74">
        <f t="shared" si="152"/>
        <v>0</v>
      </c>
    </row>
    <row r="1036" spans="1:17" ht="162.75" hidden="1" customHeight="1">
      <c r="A1036" s="83"/>
      <c r="B1036" s="72">
        <f t="shared" si="144"/>
        <v>0</v>
      </c>
      <c r="C1036" s="82" t="s">
        <v>5957</v>
      </c>
      <c r="D1036" s="1232">
        <v>3000</v>
      </c>
      <c r="E1036" s="75" t="s">
        <v>1715</v>
      </c>
      <c r="F1036" s="103"/>
      <c r="G1036" s="74">
        <f t="shared" si="145"/>
        <v>0</v>
      </c>
      <c r="H1036" s="74"/>
      <c r="I1036" s="74">
        <f t="shared" si="146"/>
        <v>0</v>
      </c>
      <c r="J1036" s="74"/>
      <c r="K1036" s="74">
        <f t="shared" si="147"/>
        <v>0</v>
      </c>
      <c r="L1036" s="74"/>
      <c r="M1036" s="74">
        <f t="shared" si="148"/>
        <v>0</v>
      </c>
      <c r="N1036" s="74">
        <f t="shared" si="149"/>
        <v>0</v>
      </c>
      <c r="O1036" s="74">
        <f t="shared" si="150"/>
        <v>0</v>
      </c>
      <c r="P1036" s="74">
        <f t="shared" si="151"/>
        <v>0</v>
      </c>
      <c r="Q1036" s="74">
        <f t="shared" si="152"/>
        <v>0</v>
      </c>
    </row>
    <row r="1037" spans="1:17" ht="23.25" hidden="1" customHeight="1">
      <c r="A1037" s="83"/>
      <c r="B1037" s="72">
        <f t="shared" si="144"/>
        <v>0</v>
      </c>
      <c r="C1037" s="1233" t="s">
        <v>5958</v>
      </c>
      <c r="D1037" s="1232"/>
      <c r="E1037" s="75"/>
      <c r="F1037" s="84"/>
      <c r="G1037" s="74">
        <f t="shared" si="145"/>
        <v>0</v>
      </c>
      <c r="H1037" s="74"/>
      <c r="I1037" s="74">
        <f t="shared" si="146"/>
        <v>0</v>
      </c>
      <c r="J1037" s="74"/>
      <c r="K1037" s="74">
        <f t="shared" si="147"/>
        <v>0</v>
      </c>
      <c r="L1037" s="74"/>
      <c r="M1037" s="74">
        <f t="shared" si="148"/>
        <v>0</v>
      </c>
      <c r="N1037" s="74">
        <f t="shared" si="149"/>
        <v>0</v>
      </c>
      <c r="O1037" s="74">
        <f t="shared" si="150"/>
        <v>0</v>
      </c>
      <c r="P1037" s="74">
        <f t="shared" si="151"/>
        <v>0</v>
      </c>
      <c r="Q1037" s="74">
        <f t="shared" si="152"/>
        <v>0</v>
      </c>
    </row>
    <row r="1038" spans="1:17" ht="162.75" hidden="1" customHeight="1">
      <c r="A1038" s="83"/>
      <c r="B1038" s="72">
        <f t="shared" si="144"/>
        <v>0</v>
      </c>
      <c r="C1038" s="1435" t="s">
        <v>5959</v>
      </c>
      <c r="D1038" s="1232"/>
      <c r="E1038" s="75"/>
      <c r="F1038" s="84"/>
      <c r="G1038" s="74">
        <f t="shared" si="145"/>
        <v>0</v>
      </c>
      <c r="H1038" s="74"/>
      <c r="I1038" s="74">
        <f t="shared" si="146"/>
        <v>0</v>
      </c>
      <c r="J1038" s="74"/>
      <c r="K1038" s="74">
        <f t="shared" si="147"/>
        <v>0</v>
      </c>
      <c r="L1038" s="74"/>
      <c r="M1038" s="74">
        <f t="shared" si="148"/>
        <v>0</v>
      </c>
      <c r="N1038" s="74">
        <f t="shared" si="149"/>
        <v>0</v>
      </c>
      <c r="O1038" s="74">
        <f t="shared" si="150"/>
        <v>0</v>
      </c>
      <c r="P1038" s="74">
        <f t="shared" si="151"/>
        <v>0</v>
      </c>
      <c r="Q1038" s="74">
        <f t="shared" si="152"/>
        <v>0</v>
      </c>
    </row>
    <row r="1039" spans="1:17" ht="23.25" hidden="1" customHeight="1">
      <c r="A1039" s="83"/>
      <c r="B1039" s="72">
        <f t="shared" si="144"/>
        <v>0</v>
      </c>
      <c r="C1039" s="82" t="s">
        <v>5952</v>
      </c>
      <c r="D1039" s="1232">
        <v>1850</v>
      </c>
      <c r="E1039" s="75" t="s">
        <v>13</v>
      </c>
      <c r="F1039" s="84"/>
      <c r="G1039" s="74">
        <f t="shared" si="145"/>
        <v>0</v>
      </c>
      <c r="H1039" s="74"/>
      <c r="I1039" s="74">
        <f t="shared" si="146"/>
        <v>0</v>
      </c>
      <c r="J1039" s="74"/>
      <c r="K1039" s="74">
        <f t="shared" si="147"/>
        <v>0</v>
      </c>
      <c r="L1039" s="74"/>
      <c r="M1039" s="74">
        <f t="shared" si="148"/>
        <v>0</v>
      </c>
      <c r="N1039" s="74">
        <f t="shared" si="149"/>
        <v>0</v>
      </c>
      <c r="O1039" s="74">
        <f t="shared" si="150"/>
        <v>0</v>
      </c>
      <c r="P1039" s="74">
        <f t="shared" si="151"/>
        <v>0</v>
      </c>
      <c r="Q1039" s="74">
        <f t="shared" si="152"/>
        <v>0</v>
      </c>
    </row>
    <row r="1040" spans="1:17" ht="23.25" hidden="1" customHeight="1">
      <c r="A1040" s="83"/>
      <c r="B1040" s="72">
        <f t="shared" si="144"/>
        <v>0</v>
      </c>
      <c r="C1040" s="82" t="s">
        <v>5960</v>
      </c>
      <c r="D1040" s="1232">
        <v>900</v>
      </c>
      <c r="E1040" s="75" t="s">
        <v>13</v>
      </c>
      <c r="F1040" s="84"/>
      <c r="G1040" s="74">
        <f t="shared" si="145"/>
        <v>0</v>
      </c>
      <c r="H1040" s="74"/>
      <c r="I1040" s="74">
        <f t="shared" si="146"/>
        <v>0</v>
      </c>
      <c r="J1040" s="74"/>
      <c r="K1040" s="74">
        <f t="shared" si="147"/>
        <v>0</v>
      </c>
      <c r="L1040" s="74"/>
      <c r="M1040" s="74">
        <f t="shared" si="148"/>
        <v>0</v>
      </c>
      <c r="N1040" s="74">
        <f t="shared" si="149"/>
        <v>0</v>
      </c>
      <c r="O1040" s="74">
        <f t="shared" si="150"/>
        <v>0</v>
      </c>
      <c r="P1040" s="74">
        <f t="shared" si="151"/>
        <v>0</v>
      </c>
      <c r="Q1040" s="74">
        <f t="shared" si="152"/>
        <v>0</v>
      </c>
    </row>
    <row r="1041" spans="1:17" ht="162.75" hidden="1" customHeight="1">
      <c r="A1041" s="83"/>
      <c r="B1041" s="72">
        <f t="shared" si="144"/>
        <v>0</v>
      </c>
      <c r="C1041" s="82" t="s">
        <v>7023</v>
      </c>
      <c r="D1041" s="1232">
        <v>13500</v>
      </c>
      <c r="E1041" s="75" t="s">
        <v>41</v>
      </c>
      <c r="F1041" s="84"/>
      <c r="G1041" s="74">
        <f t="shared" si="145"/>
        <v>0</v>
      </c>
      <c r="H1041" s="74"/>
      <c r="I1041" s="74">
        <f t="shared" si="146"/>
        <v>0</v>
      </c>
      <c r="J1041" s="74"/>
      <c r="K1041" s="74">
        <f t="shared" si="147"/>
        <v>0</v>
      </c>
      <c r="L1041" s="74"/>
      <c r="M1041" s="74">
        <f t="shared" si="148"/>
        <v>0</v>
      </c>
      <c r="N1041" s="74">
        <f t="shared" si="149"/>
        <v>0</v>
      </c>
      <c r="O1041" s="74">
        <f t="shared" si="150"/>
        <v>0</v>
      </c>
      <c r="P1041" s="74">
        <f t="shared" si="151"/>
        <v>0</v>
      </c>
      <c r="Q1041" s="74">
        <f t="shared" si="152"/>
        <v>0</v>
      </c>
    </row>
    <row r="1042" spans="1:17" ht="23.25" hidden="1" customHeight="1">
      <c r="A1042" s="83"/>
      <c r="B1042" s="72">
        <f t="shared" si="144"/>
        <v>0</v>
      </c>
      <c r="C1042" s="82" t="s">
        <v>5961</v>
      </c>
      <c r="D1042" s="1232">
        <v>7000</v>
      </c>
      <c r="E1042" s="75" t="s">
        <v>41</v>
      </c>
      <c r="F1042" s="84"/>
      <c r="G1042" s="74">
        <f t="shared" si="145"/>
        <v>0</v>
      </c>
      <c r="H1042" s="74"/>
      <c r="I1042" s="74">
        <f t="shared" si="146"/>
        <v>0</v>
      </c>
      <c r="J1042" s="74"/>
      <c r="K1042" s="74">
        <f t="shared" si="147"/>
        <v>0</v>
      </c>
      <c r="L1042" s="74"/>
      <c r="M1042" s="74">
        <f t="shared" si="148"/>
        <v>0</v>
      </c>
      <c r="N1042" s="74">
        <f t="shared" si="149"/>
        <v>0</v>
      </c>
      <c r="O1042" s="74">
        <f t="shared" si="150"/>
        <v>0</v>
      </c>
      <c r="P1042" s="74">
        <f t="shared" si="151"/>
        <v>0</v>
      </c>
      <c r="Q1042" s="74">
        <f t="shared" si="152"/>
        <v>0</v>
      </c>
    </row>
    <row r="1043" spans="1:17" ht="116.25" hidden="1" customHeight="1">
      <c r="A1043" s="83"/>
      <c r="B1043" s="72">
        <f t="shared" si="144"/>
        <v>0</v>
      </c>
      <c r="C1043" s="82" t="s">
        <v>5962</v>
      </c>
      <c r="D1043" s="1232">
        <v>18000</v>
      </c>
      <c r="E1043" s="75" t="s">
        <v>41</v>
      </c>
      <c r="F1043" s="84"/>
      <c r="G1043" s="74">
        <f t="shared" si="145"/>
        <v>0</v>
      </c>
      <c r="H1043" s="74"/>
      <c r="I1043" s="74">
        <f t="shared" si="146"/>
        <v>0</v>
      </c>
      <c r="J1043" s="74"/>
      <c r="K1043" s="74">
        <f t="shared" si="147"/>
        <v>0</v>
      </c>
      <c r="L1043" s="74"/>
      <c r="M1043" s="74">
        <f t="shared" si="148"/>
        <v>0</v>
      </c>
      <c r="N1043" s="74">
        <f t="shared" si="149"/>
        <v>0</v>
      </c>
      <c r="O1043" s="74">
        <f t="shared" si="150"/>
        <v>0</v>
      </c>
      <c r="P1043" s="74">
        <f t="shared" si="151"/>
        <v>0</v>
      </c>
      <c r="Q1043" s="74">
        <f t="shared" si="152"/>
        <v>0</v>
      </c>
    </row>
    <row r="1044" spans="1:17" ht="23.25" hidden="1" customHeight="1">
      <c r="A1044" s="83"/>
      <c r="B1044" s="72">
        <f t="shared" si="144"/>
        <v>0</v>
      </c>
      <c r="C1044" s="82" t="s">
        <v>7024</v>
      </c>
      <c r="D1044" s="1232">
        <v>5200</v>
      </c>
      <c r="E1044" s="75" t="s">
        <v>41</v>
      </c>
      <c r="F1044" s="84"/>
      <c r="G1044" s="74">
        <f t="shared" si="145"/>
        <v>0</v>
      </c>
      <c r="H1044" s="74"/>
      <c r="I1044" s="74">
        <f t="shared" si="146"/>
        <v>0</v>
      </c>
      <c r="J1044" s="74"/>
      <c r="K1044" s="74">
        <f t="shared" si="147"/>
        <v>0</v>
      </c>
      <c r="L1044" s="74"/>
      <c r="M1044" s="74">
        <f t="shared" si="148"/>
        <v>0</v>
      </c>
      <c r="N1044" s="74">
        <f t="shared" si="149"/>
        <v>0</v>
      </c>
      <c r="O1044" s="74">
        <f t="shared" si="150"/>
        <v>0</v>
      </c>
      <c r="P1044" s="74">
        <f t="shared" si="151"/>
        <v>0</v>
      </c>
      <c r="Q1044" s="74">
        <f t="shared" si="152"/>
        <v>0</v>
      </c>
    </row>
    <row r="1045" spans="1:17" ht="69.75" hidden="1" customHeight="1">
      <c r="A1045" s="83"/>
      <c r="B1045" s="72">
        <f t="shared" si="144"/>
        <v>0</v>
      </c>
      <c r="C1045" s="82" t="s">
        <v>5963</v>
      </c>
      <c r="D1045" s="1232">
        <v>13000</v>
      </c>
      <c r="E1045" s="75" t="s">
        <v>41</v>
      </c>
      <c r="F1045" s="84"/>
      <c r="G1045" s="74">
        <f t="shared" si="145"/>
        <v>0</v>
      </c>
      <c r="H1045" s="74"/>
      <c r="I1045" s="74">
        <f t="shared" si="146"/>
        <v>0</v>
      </c>
      <c r="J1045" s="74"/>
      <c r="K1045" s="74">
        <f t="shared" si="147"/>
        <v>0</v>
      </c>
      <c r="L1045" s="74"/>
      <c r="M1045" s="74">
        <f t="shared" si="148"/>
        <v>0</v>
      </c>
      <c r="N1045" s="74">
        <f t="shared" si="149"/>
        <v>0</v>
      </c>
      <c r="O1045" s="74">
        <f t="shared" si="150"/>
        <v>0</v>
      </c>
      <c r="P1045" s="74">
        <f t="shared" si="151"/>
        <v>0</v>
      </c>
      <c r="Q1045" s="74">
        <f t="shared" si="152"/>
        <v>0</v>
      </c>
    </row>
    <row r="1046" spans="1:17" ht="93" hidden="1" customHeight="1">
      <c r="A1046" s="83"/>
      <c r="B1046" s="72">
        <f t="shared" si="144"/>
        <v>0</v>
      </c>
      <c r="C1046" s="82" t="s">
        <v>5964</v>
      </c>
      <c r="D1046" s="1232">
        <v>4500</v>
      </c>
      <c r="E1046" s="75" t="s">
        <v>41</v>
      </c>
      <c r="F1046" s="84"/>
      <c r="G1046" s="74">
        <f t="shared" si="145"/>
        <v>0</v>
      </c>
      <c r="H1046" s="74"/>
      <c r="I1046" s="74">
        <f t="shared" si="146"/>
        <v>0</v>
      </c>
      <c r="J1046" s="74"/>
      <c r="K1046" s="74">
        <f t="shared" si="147"/>
        <v>0</v>
      </c>
      <c r="L1046" s="74"/>
      <c r="M1046" s="74">
        <f t="shared" si="148"/>
        <v>0</v>
      </c>
      <c r="N1046" s="74">
        <f t="shared" si="149"/>
        <v>0</v>
      </c>
      <c r="O1046" s="74">
        <f t="shared" si="150"/>
        <v>0</v>
      </c>
      <c r="P1046" s="74">
        <f t="shared" si="151"/>
        <v>0</v>
      </c>
      <c r="Q1046" s="74">
        <f t="shared" si="152"/>
        <v>0</v>
      </c>
    </row>
    <row r="1047" spans="1:17" ht="23.25" hidden="1" customHeight="1">
      <c r="A1047" s="83"/>
      <c r="B1047" s="72">
        <f t="shared" si="144"/>
        <v>0</v>
      </c>
      <c r="C1047" s="82" t="s">
        <v>5965</v>
      </c>
      <c r="D1047" s="1232">
        <v>180</v>
      </c>
      <c r="E1047" s="75" t="s">
        <v>476</v>
      </c>
      <c r="F1047" s="84"/>
      <c r="G1047" s="74">
        <f t="shared" si="145"/>
        <v>0</v>
      </c>
      <c r="H1047" s="74"/>
      <c r="I1047" s="74">
        <f t="shared" si="146"/>
        <v>0</v>
      </c>
      <c r="J1047" s="74"/>
      <c r="K1047" s="74">
        <f t="shared" si="147"/>
        <v>0</v>
      </c>
      <c r="L1047" s="74"/>
      <c r="M1047" s="74">
        <f t="shared" si="148"/>
        <v>0</v>
      </c>
      <c r="N1047" s="74">
        <f t="shared" si="149"/>
        <v>0</v>
      </c>
      <c r="O1047" s="74">
        <f t="shared" si="150"/>
        <v>0</v>
      </c>
      <c r="P1047" s="74">
        <f t="shared" si="151"/>
        <v>0</v>
      </c>
      <c r="Q1047" s="74">
        <f t="shared" si="152"/>
        <v>0</v>
      </c>
    </row>
    <row r="1048" spans="1:17">
      <c r="A1048" s="83"/>
      <c r="B1048" s="72">
        <f t="shared" si="144"/>
        <v>0</v>
      </c>
      <c r="C1048" s="1233" t="s">
        <v>5966</v>
      </c>
      <c r="D1048" s="1232"/>
      <c r="E1048" s="84"/>
      <c r="F1048" s="84"/>
      <c r="G1048" s="74">
        <f t="shared" si="145"/>
        <v>0</v>
      </c>
      <c r="H1048" s="74"/>
      <c r="I1048" s="74">
        <f t="shared" si="146"/>
        <v>0</v>
      </c>
      <c r="J1048" s="74"/>
      <c r="K1048" s="74">
        <f t="shared" si="147"/>
        <v>0</v>
      </c>
      <c r="L1048" s="74"/>
      <c r="M1048" s="74">
        <f t="shared" si="148"/>
        <v>0</v>
      </c>
      <c r="N1048" s="74">
        <f t="shared" si="149"/>
        <v>0</v>
      </c>
      <c r="O1048" s="74">
        <f t="shared" si="150"/>
        <v>0</v>
      </c>
      <c r="P1048" s="74">
        <f t="shared" si="151"/>
        <v>0</v>
      </c>
      <c r="Q1048" s="74">
        <f t="shared" si="152"/>
        <v>0</v>
      </c>
    </row>
    <row r="1049" spans="1:17" ht="98.25" customHeight="1">
      <c r="A1049" s="83"/>
      <c r="B1049" s="72">
        <f t="shared" si="144"/>
        <v>1</v>
      </c>
      <c r="C1049" s="82" t="s">
        <v>5967</v>
      </c>
      <c r="D1049" s="1232">
        <v>7500</v>
      </c>
      <c r="E1049" s="84" t="s">
        <v>41</v>
      </c>
      <c r="F1049" s="84"/>
      <c r="G1049" s="74">
        <f t="shared" si="145"/>
        <v>0</v>
      </c>
      <c r="H1049" s="74"/>
      <c r="I1049" s="74">
        <f t="shared" si="146"/>
        <v>0</v>
      </c>
      <c r="J1049" s="74"/>
      <c r="K1049" s="74">
        <f t="shared" si="147"/>
        <v>0</v>
      </c>
      <c r="L1049" s="74">
        <f>genset!G83</f>
        <v>1</v>
      </c>
      <c r="M1049" s="74">
        <f t="shared" si="148"/>
        <v>7500</v>
      </c>
      <c r="N1049" s="74">
        <f t="shared" si="149"/>
        <v>1</v>
      </c>
      <c r="O1049" s="74">
        <f t="shared" si="150"/>
        <v>7500</v>
      </c>
      <c r="P1049" s="74">
        <f t="shared" si="151"/>
        <v>1</v>
      </c>
      <c r="Q1049" s="74">
        <f t="shared" si="152"/>
        <v>7500</v>
      </c>
    </row>
    <row r="1050" spans="1:17" ht="69.75">
      <c r="A1050" s="83"/>
      <c r="B1050" s="72">
        <f t="shared" si="144"/>
        <v>1</v>
      </c>
      <c r="C1050" s="82" t="s">
        <v>5968</v>
      </c>
      <c r="D1050" s="1232">
        <v>4500</v>
      </c>
      <c r="E1050" s="84" t="s">
        <v>41</v>
      </c>
      <c r="F1050" s="84"/>
      <c r="G1050" s="74">
        <f t="shared" si="145"/>
        <v>0</v>
      </c>
      <c r="H1050" s="74"/>
      <c r="I1050" s="74">
        <f t="shared" si="146"/>
        <v>0</v>
      </c>
      <c r="J1050" s="74"/>
      <c r="K1050" s="74">
        <f t="shared" si="147"/>
        <v>0</v>
      </c>
      <c r="L1050" s="74">
        <f>genset!G84</f>
        <v>1</v>
      </c>
      <c r="M1050" s="74">
        <f t="shared" si="148"/>
        <v>4500</v>
      </c>
      <c r="N1050" s="74">
        <f t="shared" si="149"/>
        <v>1</v>
      </c>
      <c r="O1050" s="74">
        <f t="shared" si="150"/>
        <v>4500</v>
      </c>
      <c r="P1050" s="74">
        <f t="shared" si="151"/>
        <v>1</v>
      </c>
      <c r="Q1050" s="74">
        <f t="shared" si="152"/>
        <v>4500</v>
      </c>
    </row>
    <row r="1051" spans="1:17" ht="46.5" hidden="1">
      <c r="A1051" s="83"/>
      <c r="B1051" s="72">
        <f t="shared" si="144"/>
        <v>0</v>
      </c>
      <c r="C1051" s="1435" t="s">
        <v>5969</v>
      </c>
      <c r="D1051" s="1232"/>
      <c r="E1051" s="84"/>
      <c r="F1051" s="84"/>
      <c r="G1051" s="74">
        <f t="shared" si="145"/>
        <v>0</v>
      </c>
      <c r="H1051" s="74"/>
      <c r="I1051" s="74">
        <f t="shared" si="146"/>
        <v>0</v>
      </c>
      <c r="J1051" s="74"/>
      <c r="K1051" s="74">
        <f t="shared" si="147"/>
        <v>0</v>
      </c>
      <c r="L1051" s="74"/>
      <c r="M1051" s="74">
        <f t="shared" si="148"/>
        <v>0</v>
      </c>
      <c r="N1051" s="74">
        <f t="shared" si="149"/>
        <v>0</v>
      </c>
      <c r="O1051" s="74">
        <f t="shared" si="150"/>
        <v>0</v>
      </c>
      <c r="P1051" s="74">
        <f t="shared" si="151"/>
        <v>0</v>
      </c>
      <c r="Q1051" s="74">
        <f t="shared" si="152"/>
        <v>0</v>
      </c>
    </row>
    <row r="1052" spans="1:17" ht="69.75" hidden="1" customHeight="1">
      <c r="A1052" s="83"/>
      <c r="B1052" s="72">
        <f t="shared" si="144"/>
        <v>0</v>
      </c>
      <c r="C1052" s="82" t="s">
        <v>7025</v>
      </c>
      <c r="D1052" s="1232">
        <v>34000</v>
      </c>
      <c r="E1052" s="84" t="s">
        <v>1034</v>
      </c>
      <c r="F1052" s="84"/>
      <c r="G1052" s="74">
        <f t="shared" si="145"/>
        <v>0</v>
      </c>
      <c r="H1052" s="74"/>
      <c r="I1052" s="74">
        <f t="shared" si="146"/>
        <v>0</v>
      </c>
      <c r="J1052" s="74"/>
      <c r="K1052" s="74">
        <f t="shared" si="147"/>
        <v>0</v>
      </c>
      <c r="L1052" s="74"/>
      <c r="M1052" s="74">
        <f t="shared" si="148"/>
        <v>0</v>
      </c>
      <c r="N1052" s="74">
        <f t="shared" si="149"/>
        <v>0</v>
      </c>
      <c r="O1052" s="74">
        <f t="shared" si="150"/>
        <v>0</v>
      </c>
      <c r="P1052" s="74">
        <f t="shared" si="151"/>
        <v>0</v>
      </c>
      <c r="Q1052" s="74">
        <f t="shared" si="152"/>
        <v>0</v>
      </c>
    </row>
    <row r="1053" spans="1:17" ht="23.25" hidden="1" customHeight="1">
      <c r="A1053" s="83"/>
      <c r="B1053" s="72">
        <f t="shared" si="144"/>
        <v>0</v>
      </c>
      <c r="C1053" s="82" t="s">
        <v>5970</v>
      </c>
      <c r="D1053" s="1232">
        <v>2600</v>
      </c>
      <c r="E1053" s="84" t="s">
        <v>1034</v>
      </c>
      <c r="F1053" s="84"/>
      <c r="G1053" s="74">
        <f t="shared" si="145"/>
        <v>0</v>
      </c>
      <c r="H1053" s="74"/>
      <c r="I1053" s="74">
        <f t="shared" si="146"/>
        <v>0</v>
      </c>
      <c r="J1053" s="74"/>
      <c r="K1053" s="74">
        <f t="shared" si="147"/>
        <v>0</v>
      </c>
      <c r="L1053" s="74"/>
      <c r="M1053" s="74">
        <f t="shared" si="148"/>
        <v>0</v>
      </c>
      <c r="N1053" s="74">
        <f t="shared" si="149"/>
        <v>0</v>
      </c>
      <c r="O1053" s="74">
        <f t="shared" si="150"/>
        <v>0</v>
      </c>
      <c r="P1053" s="74">
        <f t="shared" si="151"/>
        <v>0</v>
      </c>
      <c r="Q1053" s="74">
        <f t="shared" si="152"/>
        <v>0</v>
      </c>
    </row>
    <row r="1054" spans="1:17" ht="23.25" hidden="1" customHeight="1">
      <c r="A1054" s="83"/>
      <c r="B1054" s="72">
        <f t="shared" si="144"/>
        <v>0</v>
      </c>
      <c r="C1054" s="82" t="s">
        <v>5971</v>
      </c>
      <c r="D1054" s="1232">
        <v>2200</v>
      </c>
      <c r="E1054" s="84" t="s">
        <v>1034</v>
      </c>
      <c r="F1054" s="84"/>
      <c r="G1054" s="74">
        <f t="shared" si="145"/>
        <v>0</v>
      </c>
      <c r="H1054" s="74"/>
      <c r="I1054" s="74">
        <f t="shared" si="146"/>
        <v>0</v>
      </c>
      <c r="J1054" s="74"/>
      <c r="K1054" s="74">
        <f t="shared" si="147"/>
        <v>0</v>
      </c>
      <c r="L1054" s="74"/>
      <c r="M1054" s="74">
        <f t="shared" si="148"/>
        <v>0</v>
      </c>
      <c r="N1054" s="74">
        <f t="shared" si="149"/>
        <v>0</v>
      </c>
      <c r="O1054" s="74">
        <f t="shared" si="150"/>
        <v>0</v>
      </c>
      <c r="P1054" s="74">
        <f t="shared" si="151"/>
        <v>0</v>
      </c>
      <c r="Q1054" s="74">
        <f t="shared" si="152"/>
        <v>0</v>
      </c>
    </row>
    <row r="1055" spans="1:17" ht="23.25" hidden="1" customHeight="1">
      <c r="A1055" s="83"/>
      <c r="B1055" s="72">
        <f t="shared" si="144"/>
        <v>0</v>
      </c>
      <c r="C1055" s="82" t="s">
        <v>5972</v>
      </c>
      <c r="D1055" s="1232">
        <v>2100</v>
      </c>
      <c r="E1055" s="84" t="s">
        <v>1034</v>
      </c>
      <c r="F1055" s="84"/>
      <c r="G1055" s="74">
        <f t="shared" si="145"/>
        <v>0</v>
      </c>
      <c r="H1055" s="74"/>
      <c r="I1055" s="74">
        <f t="shared" si="146"/>
        <v>0</v>
      </c>
      <c r="J1055" s="74"/>
      <c r="K1055" s="74">
        <f t="shared" si="147"/>
        <v>0</v>
      </c>
      <c r="L1055" s="74"/>
      <c r="M1055" s="74">
        <f t="shared" si="148"/>
        <v>0</v>
      </c>
      <c r="N1055" s="74">
        <f t="shared" si="149"/>
        <v>0</v>
      </c>
      <c r="O1055" s="74">
        <f t="shared" si="150"/>
        <v>0</v>
      </c>
      <c r="P1055" s="74">
        <f t="shared" si="151"/>
        <v>0</v>
      </c>
      <c r="Q1055" s="74">
        <f t="shared" si="152"/>
        <v>0</v>
      </c>
    </row>
    <row r="1056" spans="1:17" ht="23.25" hidden="1" customHeight="1">
      <c r="A1056" s="83"/>
      <c r="B1056" s="72">
        <f t="shared" si="144"/>
        <v>0</v>
      </c>
      <c r="C1056" s="82" t="s">
        <v>5973</v>
      </c>
      <c r="D1056" s="1232">
        <v>160</v>
      </c>
      <c r="E1056" s="84" t="s">
        <v>13</v>
      </c>
      <c r="F1056" s="84"/>
      <c r="G1056" s="74">
        <f t="shared" si="145"/>
        <v>0</v>
      </c>
      <c r="H1056" s="74"/>
      <c r="I1056" s="74">
        <f t="shared" si="146"/>
        <v>0</v>
      </c>
      <c r="J1056" s="74"/>
      <c r="K1056" s="74">
        <f t="shared" si="147"/>
        <v>0</v>
      </c>
      <c r="L1056" s="74"/>
      <c r="M1056" s="74">
        <f t="shared" si="148"/>
        <v>0</v>
      </c>
      <c r="N1056" s="74">
        <f t="shared" si="149"/>
        <v>0</v>
      </c>
      <c r="O1056" s="74">
        <f t="shared" si="150"/>
        <v>0</v>
      </c>
      <c r="P1056" s="74">
        <f t="shared" si="151"/>
        <v>0</v>
      </c>
      <c r="Q1056" s="74">
        <f t="shared" si="152"/>
        <v>0</v>
      </c>
    </row>
    <row r="1057" spans="1:17" ht="46.5" hidden="1" customHeight="1">
      <c r="A1057" s="83"/>
      <c r="B1057" s="72">
        <f t="shared" si="144"/>
        <v>0</v>
      </c>
      <c r="C1057" s="1233" t="s">
        <v>5974</v>
      </c>
      <c r="D1057" s="1232">
        <v>263207</v>
      </c>
      <c r="E1057" s="84" t="s">
        <v>1715</v>
      </c>
      <c r="F1057" s="84"/>
      <c r="G1057" s="74">
        <f t="shared" si="145"/>
        <v>0</v>
      </c>
      <c r="H1057" s="74"/>
      <c r="I1057" s="74">
        <f t="shared" si="146"/>
        <v>0</v>
      </c>
      <c r="J1057" s="74"/>
      <c r="K1057" s="74">
        <f t="shared" si="147"/>
        <v>0</v>
      </c>
      <c r="L1057" s="74"/>
      <c r="M1057" s="74">
        <f t="shared" si="148"/>
        <v>0</v>
      </c>
      <c r="N1057" s="74">
        <f t="shared" si="149"/>
        <v>0</v>
      </c>
      <c r="O1057" s="74">
        <f t="shared" si="150"/>
        <v>0</v>
      </c>
      <c r="P1057" s="74">
        <f t="shared" si="151"/>
        <v>0</v>
      </c>
      <c r="Q1057" s="74">
        <f t="shared" si="152"/>
        <v>0</v>
      </c>
    </row>
    <row r="1058" spans="1:17" ht="46.5" hidden="1" customHeight="1">
      <c r="A1058" s="83"/>
      <c r="B1058" s="72">
        <f t="shared" si="144"/>
        <v>0</v>
      </c>
      <c r="C1058" s="1435" t="s">
        <v>5975</v>
      </c>
      <c r="D1058" s="1232"/>
      <c r="E1058" s="84"/>
      <c r="F1058" s="84"/>
      <c r="G1058" s="74">
        <f t="shared" si="145"/>
        <v>0</v>
      </c>
      <c r="H1058" s="74"/>
      <c r="I1058" s="74">
        <f t="shared" si="146"/>
        <v>0</v>
      </c>
      <c r="J1058" s="74"/>
      <c r="K1058" s="74">
        <f t="shared" si="147"/>
        <v>0</v>
      </c>
      <c r="L1058" s="74"/>
      <c r="M1058" s="74">
        <f t="shared" si="148"/>
        <v>0</v>
      </c>
      <c r="N1058" s="74">
        <f t="shared" si="149"/>
        <v>0</v>
      </c>
      <c r="O1058" s="74">
        <f t="shared" si="150"/>
        <v>0</v>
      </c>
      <c r="P1058" s="74">
        <f t="shared" si="151"/>
        <v>0</v>
      </c>
      <c r="Q1058" s="74">
        <f t="shared" si="152"/>
        <v>0</v>
      </c>
    </row>
    <row r="1059" spans="1:17" ht="23.25" hidden="1" customHeight="1">
      <c r="A1059" s="83"/>
      <c r="B1059" s="72">
        <f t="shared" si="144"/>
        <v>0</v>
      </c>
      <c r="C1059" s="82" t="s">
        <v>5976</v>
      </c>
      <c r="D1059" s="1232">
        <v>28000</v>
      </c>
      <c r="E1059" s="84" t="s">
        <v>1034</v>
      </c>
      <c r="F1059" s="84"/>
      <c r="G1059" s="74">
        <f t="shared" si="145"/>
        <v>0</v>
      </c>
      <c r="H1059" s="74"/>
      <c r="I1059" s="74">
        <f t="shared" si="146"/>
        <v>0</v>
      </c>
      <c r="J1059" s="74"/>
      <c r="K1059" s="74">
        <f t="shared" si="147"/>
        <v>0</v>
      </c>
      <c r="L1059" s="74"/>
      <c r="M1059" s="74">
        <f t="shared" si="148"/>
        <v>0</v>
      </c>
      <c r="N1059" s="74">
        <f t="shared" si="149"/>
        <v>0</v>
      </c>
      <c r="O1059" s="74">
        <f t="shared" si="150"/>
        <v>0</v>
      </c>
      <c r="P1059" s="74">
        <f t="shared" si="151"/>
        <v>0</v>
      </c>
      <c r="Q1059" s="74">
        <f t="shared" si="152"/>
        <v>0</v>
      </c>
    </row>
    <row r="1060" spans="1:17" ht="23.25" hidden="1" customHeight="1">
      <c r="A1060" s="83"/>
      <c r="B1060" s="72">
        <f t="shared" si="144"/>
        <v>0</v>
      </c>
      <c r="C1060" s="82" t="s">
        <v>5977</v>
      </c>
      <c r="D1060" s="1232">
        <v>2200</v>
      </c>
      <c r="E1060" s="84" t="s">
        <v>1034</v>
      </c>
      <c r="F1060" s="84"/>
      <c r="G1060" s="74">
        <f t="shared" si="145"/>
        <v>0</v>
      </c>
      <c r="H1060" s="74"/>
      <c r="I1060" s="74">
        <f t="shared" si="146"/>
        <v>0</v>
      </c>
      <c r="J1060" s="74"/>
      <c r="K1060" s="74">
        <f t="shared" si="147"/>
        <v>0</v>
      </c>
      <c r="L1060" s="74"/>
      <c r="M1060" s="74">
        <f t="shared" si="148"/>
        <v>0</v>
      </c>
      <c r="N1060" s="74">
        <f t="shared" si="149"/>
        <v>0</v>
      </c>
      <c r="O1060" s="74">
        <f t="shared" si="150"/>
        <v>0</v>
      </c>
      <c r="P1060" s="74">
        <f t="shared" si="151"/>
        <v>0</v>
      </c>
      <c r="Q1060" s="74">
        <f t="shared" si="152"/>
        <v>0</v>
      </c>
    </row>
    <row r="1061" spans="1:17" ht="23.25" hidden="1" customHeight="1">
      <c r="A1061" s="83"/>
      <c r="B1061" s="72">
        <f t="shared" si="144"/>
        <v>0</v>
      </c>
      <c r="C1061" s="82" t="s">
        <v>5973</v>
      </c>
      <c r="D1061" s="1232">
        <v>160</v>
      </c>
      <c r="E1061" s="84" t="s">
        <v>5978</v>
      </c>
      <c r="F1061" s="84"/>
      <c r="G1061" s="74">
        <f t="shared" si="145"/>
        <v>0</v>
      </c>
      <c r="H1061" s="74"/>
      <c r="I1061" s="74">
        <f t="shared" si="146"/>
        <v>0</v>
      </c>
      <c r="J1061" s="74"/>
      <c r="K1061" s="74">
        <f t="shared" si="147"/>
        <v>0</v>
      </c>
      <c r="L1061" s="74"/>
      <c r="M1061" s="74">
        <f t="shared" si="148"/>
        <v>0</v>
      </c>
      <c r="N1061" s="74">
        <f t="shared" si="149"/>
        <v>0</v>
      </c>
      <c r="O1061" s="74">
        <f t="shared" si="150"/>
        <v>0</v>
      </c>
      <c r="P1061" s="74">
        <f t="shared" si="151"/>
        <v>0</v>
      </c>
      <c r="Q1061" s="74">
        <f t="shared" si="152"/>
        <v>0</v>
      </c>
    </row>
    <row r="1062" spans="1:17" ht="23.25" hidden="1" customHeight="1">
      <c r="A1062" s="83"/>
      <c r="B1062" s="72">
        <f t="shared" si="144"/>
        <v>0</v>
      </c>
      <c r="C1062" s="82" t="s">
        <v>5979</v>
      </c>
      <c r="D1062" s="1232">
        <v>14000</v>
      </c>
      <c r="E1062" s="84" t="s">
        <v>1034</v>
      </c>
      <c r="F1062" s="84"/>
      <c r="G1062" s="74">
        <f t="shared" si="145"/>
        <v>0</v>
      </c>
      <c r="H1062" s="74"/>
      <c r="I1062" s="74">
        <f t="shared" si="146"/>
        <v>0</v>
      </c>
      <c r="J1062" s="74"/>
      <c r="K1062" s="74">
        <f t="shared" si="147"/>
        <v>0</v>
      </c>
      <c r="L1062" s="74"/>
      <c r="M1062" s="74">
        <f t="shared" si="148"/>
        <v>0</v>
      </c>
      <c r="N1062" s="74">
        <f t="shared" si="149"/>
        <v>0</v>
      </c>
      <c r="O1062" s="74">
        <f t="shared" si="150"/>
        <v>0</v>
      </c>
      <c r="P1062" s="74">
        <f t="shared" si="151"/>
        <v>0</v>
      </c>
      <c r="Q1062" s="74">
        <f t="shared" si="152"/>
        <v>0</v>
      </c>
    </row>
    <row r="1063" spans="1:17" ht="23.25" hidden="1" customHeight="1">
      <c r="A1063" s="83"/>
      <c r="B1063" s="72">
        <f t="shared" si="144"/>
        <v>0</v>
      </c>
      <c r="C1063" s="82" t="s">
        <v>5980</v>
      </c>
      <c r="D1063" s="1232">
        <v>16000</v>
      </c>
      <c r="E1063" s="84" t="s">
        <v>1034</v>
      </c>
      <c r="F1063" s="84"/>
      <c r="G1063" s="74">
        <f t="shared" si="145"/>
        <v>0</v>
      </c>
      <c r="H1063" s="74"/>
      <c r="I1063" s="74">
        <f t="shared" si="146"/>
        <v>0</v>
      </c>
      <c r="J1063" s="74"/>
      <c r="K1063" s="74">
        <f t="shared" si="147"/>
        <v>0</v>
      </c>
      <c r="L1063" s="74"/>
      <c r="M1063" s="74">
        <f t="shared" si="148"/>
        <v>0</v>
      </c>
      <c r="N1063" s="74">
        <f t="shared" si="149"/>
        <v>0</v>
      </c>
      <c r="O1063" s="74">
        <f t="shared" si="150"/>
        <v>0</v>
      </c>
      <c r="P1063" s="74">
        <f t="shared" si="151"/>
        <v>0</v>
      </c>
      <c r="Q1063" s="74">
        <f t="shared" si="152"/>
        <v>0</v>
      </c>
    </row>
    <row r="1064" spans="1:17" ht="23.25" hidden="1" customHeight="1">
      <c r="A1064" s="83"/>
      <c r="B1064" s="72">
        <f t="shared" si="144"/>
        <v>0</v>
      </c>
      <c r="C1064" s="1233" t="s">
        <v>5981</v>
      </c>
      <c r="D1064" s="1232"/>
      <c r="E1064" s="84"/>
      <c r="F1064" s="84"/>
      <c r="G1064" s="74">
        <f t="shared" si="145"/>
        <v>0</v>
      </c>
      <c r="H1064" s="74"/>
      <c r="I1064" s="74">
        <f t="shared" si="146"/>
        <v>0</v>
      </c>
      <c r="J1064" s="74"/>
      <c r="K1064" s="74">
        <f t="shared" si="147"/>
        <v>0</v>
      </c>
      <c r="L1064" s="74"/>
      <c r="M1064" s="74">
        <f t="shared" si="148"/>
        <v>0</v>
      </c>
      <c r="N1064" s="74">
        <f t="shared" si="149"/>
        <v>0</v>
      </c>
      <c r="O1064" s="74">
        <f t="shared" si="150"/>
        <v>0</v>
      </c>
      <c r="P1064" s="74">
        <f t="shared" si="151"/>
        <v>0</v>
      </c>
      <c r="Q1064" s="74">
        <f t="shared" si="152"/>
        <v>0</v>
      </c>
    </row>
    <row r="1065" spans="1:17" ht="23.25" hidden="1" customHeight="1">
      <c r="A1065" s="83"/>
      <c r="B1065" s="72">
        <f t="shared" si="144"/>
        <v>0</v>
      </c>
      <c r="C1065" s="1435" t="s">
        <v>5982</v>
      </c>
      <c r="D1065" s="1232"/>
      <c r="E1065" s="84"/>
      <c r="F1065" s="84"/>
      <c r="G1065" s="74">
        <f t="shared" si="145"/>
        <v>0</v>
      </c>
      <c r="H1065" s="74"/>
      <c r="I1065" s="74">
        <f t="shared" si="146"/>
        <v>0</v>
      </c>
      <c r="J1065" s="74"/>
      <c r="K1065" s="74">
        <f t="shared" si="147"/>
        <v>0</v>
      </c>
      <c r="L1065" s="74"/>
      <c r="M1065" s="74">
        <f t="shared" si="148"/>
        <v>0</v>
      </c>
      <c r="N1065" s="74">
        <f t="shared" si="149"/>
        <v>0</v>
      </c>
      <c r="O1065" s="74">
        <f t="shared" si="150"/>
        <v>0</v>
      </c>
      <c r="P1065" s="74">
        <f t="shared" si="151"/>
        <v>0</v>
      </c>
      <c r="Q1065" s="74">
        <f t="shared" si="152"/>
        <v>0</v>
      </c>
    </row>
    <row r="1066" spans="1:17" ht="46.5" hidden="1" customHeight="1">
      <c r="A1066" s="83"/>
      <c r="B1066" s="72">
        <f t="shared" si="144"/>
        <v>0</v>
      </c>
      <c r="C1066" s="1435" t="s">
        <v>5983</v>
      </c>
      <c r="D1066" s="1232">
        <v>640</v>
      </c>
      <c r="E1066" s="84" t="s">
        <v>1034</v>
      </c>
      <c r="F1066" s="84"/>
      <c r="G1066" s="74">
        <f t="shared" si="145"/>
        <v>0</v>
      </c>
      <c r="H1066" s="74"/>
      <c r="I1066" s="74">
        <f t="shared" si="146"/>
        <v>0</v>
      </c>
      <c r="J1066" s="74"/>
      <c r="K1066" s="74">
        <f t="shared" si="147"/>
        <v>0</v>
      </c>
      <c r="L1066" s="74"/>
      <c r="M1066" s="74">
        <f t="shared" si="148"/>
        <v>0</v>
      </c>
      <c r="N1066" s="74">
        <f t="shared" si="149"/>
        <v>0</v>
      </c>
      <c r="O1066" s="74">
        <f t="shared" si="150"/>
        <v>0</v>
      </c>
      <c r="P1066" s="74">
        <f t="shared" si="151"/>
        <v>0</v>
      </c>
      <c r="Q1066" s="74">
        <f t="shared" si="152"/>
        <v>0</v>
      </c>
    </row>
    <row r="1067" spans="1:17" ht="69.75" hidden="1" customHeight="1">
      <c r="A1067" s="83"/>
      <c r="B1067" s="72">
        <f t="shared" si="144"/>
        <v>0</v>
      </c>
      <c r="C1067" s="82" t="s">
        <v>5984</v>
      </c>
      <c r="D1067" s="1232">
        <v>10500</v>
      </c>
      <c r="E1067" s="1230" t="s">
        <v>41</v>
      </c>
      <c r="F1067" s="84"/>
      <c r="G1067" s="74">
        <f t="shared" si="145"/>
        <v>0</v>
      </c>
      <c r="H1067" s="74"/>
      <c r="I1067" s="74">
        <f t="shared" si="146"/>
        <v>0</v>
      </c>
      <c r="J1067" s="74"/>
      <c r="K1067" s="74">
        <f t="shared" si="147"/>
        <v>0</v>
      </c>
      <c r="L1067" s="74"/>
      <c r="M1067" s="74">
        <f t="shared" si="148"/>
        <v>0</v>
      </c>
      <c r="N1067" s="74">
        <f t="shared" si="149"/>
        <v>0</v>
      </c>
      <c r="O1067" s="74">
        <f t="shared" si="150"/>
        <v>0</v>
      </c>
      <c r="P1067" s="74">
        <f t="shared" si="151"/>
        <v>0</v>
      </c>
      <c r="Q1067" s="74">
        <f t="shared" si="152"/>
        <v>0</v>
      </c>
    </row>
    <row r="1068" spans="1:17" ht="46.5" hidden="1" customHeight="1">
      <c r="A1068" s="83"/>
      <c r="B1068" s="72">
        <f t="shared" si="144"/>
        <v>0</v>
      </c>
      <c r="C1068" s="82" t="s">
        <v>5985</v>
      </c>
      <c r="D1068" s="75">
        <v>4500</v>
      </c>
      <c r="E1068" s="1232" t="s">
        <v>1772</v>
      </c>
      <c r="F1068" s="1230"/>
      <c r="G1068" s="74">
        <f t="shared" si="145"/>
        <v>0</v>
      </c>
      <c r="H1068" s="74"/>
      <c r="I1068" s="74">
        <f t="shared" si="146"/>
        <v>0</v>
      </c>
      <c r="J1068" s="74"/>
      <c r="K1068" s="74">
        <f t="shared" si="147"/>
        <v>0</v>
      </c>
      <c r="L1068" s="74"/>
      <c r="M1068" s="74">
        <f t="shared" si="148"/>
        <v>0</v>
      </c>
      <c r="N1068" s="74">
        <f t="shared" si="149"/>
        <v>0</v>
      </c>
      <c r="O1068" s="74">
        <f t="shared" si="150"/>
        <v>0</v>
      </c>
      <c r="P1068" s="74">
        <f t="shared" si="151"/>
        <v>0</v>
      </c>
      <c r="Q1068" s="74">
        <f t="shared" si="152"/>
        <v>0</v>
      </c>
    </row>
    <row r="1069" spans="1:17" ht="69.75" hidden="1" customHeight="1">
      <c r="A1069" s="83"/>
      <c r="B1069" s="72">
        <f t="shared" si="144"/>
        <v>0</v>
      </c>
      <c r="C1069" s="82" t="s">
        <v>5986</v>
      </c>
      <c r="D1069" s="1232">
        <v>6500</v>
      </c>
      <c r="E1069" s="1230" t="s">
        <v>41</v>
      </c>
      <c r="F1069" s="84"/>
      <c r="G1069" s="74">
        <f t="shared" si="145"/>
        <v>0</v>
      </c>
      <c r="H1069" s="74"/>
      <c r="I1069" s="74">
        <f t="shared" si="146"/>
        <v>0</v>
      </c>
      <c r="J1069" s="74"/>
      <c r="K1069" s="74">
        <f t="shared" si="147"/>
        <v>0</v>
      </c>
      <c r="L1069" s="74"/>
      <c r="M1069" s="74">
        <f t="shared" si="148"/>
        <v>0</v>
      </c>
      <c r="N1069" s="74">
        <f t="shared" si="149"/>
        <v>0</v>
      </c>
      <c r="O1069" s="74">
        <f t="shared" si="150"/>
        <v>0</v>
      </c>
      <c r="P1069" s="74">
        <f t="shared" si="151"/>
        <v>0</v>
      </c>
      <c r="Q1069" s="74">
        <f t="shared" si="152"/>
        <v>0</v>
      </c>
    </row>
    <row r="1070" spans="1:17" s="65" customFormat="1" ht="93" hidden="1" customHeight="1">
      <c r="A1070" s="83"/>
      <c r="B1070" s="72">
        <f t="shared" si="144"/>
        <v>0</v>
      </c>
      <c r="C1070" s="82" t="s">
        <v>5987</v>
      </c>
      <c r="D1070" s="1232">
        <v>27000</v>
      </c>
      <c r="E1070" s="1230" t="s">
        <v>41</v>
      </c>
      <c r="F1070" s="84"/>
      <c r="G1070" s="74">
        <f t="shared" si="145"/>
        <v>0</v>
      </c>
      <c r="H1070" s="74"/>
      <c r="I1070" s="74">
        <f t="shared" si="146"/>
        <v>0</v>
      </c>
      <c r="J1070" s="74"/>
      <c r="K1070" s="74">
        <f t="shared" si="147"/>
        <v>0</v>
      </c>
      <c r="L1070" s="74"/>
      <c r="M1070" s="74">
        <f t="shared" si="148"/>
        <v>0</v>
      </c>
      <c r="N1070" s="74">
        <f t="shared" si="149"/>
        <v>0</v>
      </c>
      <c r="O1070" s="74">
        <f t="shared" si="150"/>
        <v>0</v>
      </c>
      <c r="P1070" s="74">
        <f t="shared" si="151"/>
        <v>0</v>
      </c>
      <c r="Q1070" s="74">
        <f t="shared" si="152"/>
        <v>0</v>
      </c>
    </row>
    <row r="1071" spans="1:17" ht="46.5" hidden="1" customHeight="1">
      <c r="A1071" s="83"/>
      <c r="B1071" s="72">
        <f t="shared" si="144"/>
        <v>0</v>
      </c>
      <c r="C1071" s="82" t="s">
        <v>5988</v>
      </c>
      <c r="D1071" s="1232">
        <v>22000</v>
      </c>
      <c r="E1071" s="1230" t="s">
        <v>41</v>
      </c>
      <c r="F1071" s="84"/>
      <c r="G1071" s="74">
        <f t="shared" si="145"/>
        <v>0</v>
      </c>
      <c r="H1071" s="74"/>
      <c r="I1071" s="74">
        <f t="shared" si="146"/>
        <v>0</v>
      </c>
      <c r="J1071" s="74"/>
      <c r="K1071" s="74">
        <f t="shared" si="147"/>
        <v>0</v>
      </c>
      <c r="L1071" s="74"/>
      <c r="M1071" s="74">
        <f t="shared" si="148"/>
        <v>0</v>
      </c>
      <c r="N1071" s="74">
        <f t="shared" si="149"/>
        <v>0</v>
      </c>
      <c r="O1071" s="74">
        <f t="shared" si="150"/>
        <v>0</v>
      </c>
      <c r="P1071" s="74">
        <f t="shared" si="151"/>
        <v>0</v>
      </c>
      <c r="Q1071" s="74">
        <f t="shared" si="152"/>
        <v>0</v>
      </c>
    </row>
    <row r="1072" spans="1:17" ht="46.5" hidden="1" customHeight="1">
      <c r="A1072" s="83"/>
      <c r="B1072" s="72">
        <f t="shared" si="144"/>
        <v>0</v>
      </c>
      <c r="C1072" s="82" t="s">
        <v>5989</v>
      </c>
      <c r="D1072" s="1232">
        <v>4300</v>
      </c>
      <c r="E1072" s="1230" t="s">
        <v>41</v>
      </c>
      <c r="F1072" s="84"/>
      <c r="G1072" s="74">
        <f t="shared" si="145"/>
        <v>0</v>
      </c>
      <c r="H1072" s="74"/>
      <c r="I1072" s="74">
        <f t="shared" si="146"/>
        <v>0</v>
      </c>
      <c r="J1072" s="74"/>
      <c r="K1072" s="74">
        <f t="shared" si="147"/>
        <v>0</v>
      </c>
      <c r="L1072" s="74"/>
      <c r="M1072" s="74">
        <f t="shared" si="148"/>
        <v>0</v>
      </c>
      <c r="N1072" s="74">
        <f t="shared" si="149"/>
        <v>0</v>
      </c>
      <c r="O1072" s="74">
        <f t="shared" si="150"/>
        <v>0</v>
      </c>
      <c r="P1072" s="74">
        <f t="shared" si="151"/>
        <v>0</v>
      </c>
      <c r="Q1072" s="74">
        <f t="shared" si="152"/>
        <v>0</v>
      </c>
    </row>
    <row r="1073" spans="1:17" ht="46.5" hidden="1" customHeight="1">
      <c r="A1073" s="83"/>
      <c r="B1073" s="72">
        <f t="shared" si="144"/>
        <v>0</v>
      </c>
      <c r="C1073" s="82" t="s">
        <v>5990</v>
      </c>
      <c r="D1073" s="1232">
        <v>5500</v>
      </c>
      <c r="E1073" s="1230" t="s">
        <v>41</v>
      </c>
      <c r="F1073" s="84"/>
      <c r="G1073" s="74">
        <f t="shared" si="145"/>
        <v>0</v>
      </c>
      <c r="H1073" s="74"/>
      <c r="I1073" s="74">
        <f t="shared" si="146"/>
        <v>0</v>
      </c>
      <c r="J1073" s="74"/>
      <c r="K1073" s="74">
        <f t="shared" si="147"/>
        <v>0</v>
      </c>
      <c r="L1073" s="74"/>
      <c r="M1073" s="74">
        <f t="shared" si="148"/>
        <v>0</v>
      </c>
      <c r="N1073" s="74">
        <f t="shared" si="149"/>
        <v>0</v>
      </c>
      <c r="O1073" s="74">
        <f t="shared" si="150"/>
        <v>0</v>
      </c>
      <c r="P1073" s="74">
        <f t="shared" si="151"/>
        <v>0</v>
      </c>
      <c r="Q1073" s="74">
        <f t="shared" si="152"/>
        <v>0</v>
      </c>
    </row>
    <row r="1074" spans="1:17" ht="46.5" hidden="1" customHeight="1">
      <c r="A1074" s="83"/>
      <c r="B1074" s="72">
        <f t="shared" si="144"/>
        <v>0</v>
      </c>
      <c r="C1074" s="82" t="s">
        <v>5991</v>
      </c>
      <c r="D1074" s="84">
        <v>10000</v>
      </c>
      <c r="E1074" s="1230" t="s">
        <v>3092</v>
      </c>
      <c r="F1074" s="84"/>
      <c r="G1074" s="74">
        <f t="shared" si="145"/>
        <v>0</v>
      </c>
      <c r="H1074" s="74"/>
      <c r="I1074" s="74">
        <f t="shared" si="146"/>
        <v>0</v>
      </c>
      <c r="J1074" s="74"/>
      <c r="K1074" s="74">
        <f t="shared" si="147"/>
        <v>0</v>
      </c>
      <c r="L1074" s="74"/>
      <c r="M1074" s="74">
        <f t="shared" si="148"/>
        <v>0</v>
      </c>
      <c r="N1074" s="74">
        <f t="shared" si="149"/>
        <v>0</v>
      </c>
      <c r="O1074" s="74">
        <f t="shared" si="150"/>
        <v>0</v>
      </c>
      <c r="P1074" s="74">
        <f t="shared" si="151"/>
        <v>0</v>
      </c>
      <c r="Q1074" s="74">
        <f t="shared" si="152"/>
        <v>0</v>
      </c>
    </row>
    <row r="1075" spans="1:17" ht="93" hidden="1" customHeight="1">
      <c r="A1075" s="83"/>
      <c r="B1075" s="72">
        <f t="shared" si="144"/>
        <v>0</v>
      </c>
      <c r="C1075" s="82" t="s">
        <v>5992</v>
      </c>
      <c r="D1075" s="1232">
        <v>1280</v>
      </c>
      <c r="E1075" s="1230" t="s">
        <v>468</v>
      </c>
      <c r="F1075" s="84"/>
      <c r="G1075" s="74">
        <f t="shared" si="145"/>
        <v>0</v>
      </c>
      <c r="H1075" s="74"/>
      <c r="I1075" s="74">
        <f t="shared" si="146"/>
        <v>0</v>
      </c>
      <c r="J1075" s="74"/>
      <c r="K1075" s="74">
        <f t="shared" si="147"/>
        <v>0</v>
      </c>
      <c r="L1075" s="74"/>
      <c r="M1075" s="74">
        <f t="shared" si="148"/>
        <v>0</v>
      </c>
      <c r="N1075" s="74">
        <f t="shared" si="149"/>
        <v>0</v>
      </c>
      <c r="O1075" s="74">
        <f t="shared" si="150"/>
        <v>0</v>
      </c>
      <c r="P1075" s="74">
        <f t="shared" si="151"/>
        <v>0</v>
      </c>
      <c r="Q1075" s="74">
        <f t="shared" si="152"/>
        <v>0</v>
      </c>
    </row>
    <row r="1076" spans="1:17" ht="69.75" hidden="1" customHeight="1">
      <c r="A1076" s="83"/>
      <c r="B1076" s="72">
        <f t="shared" si="144"/>
        <v>0</v>
      </c>
      <c r="C1076" s="82" t="s">
        <v>5993</v>
      </c>
      <c r="D1076" s="1232">
        <v>1614.6</v>
      </c>
      <c r="E1076" s="1230" t="s">
        <v>468</v>
      </c>
      <c r="F1076" s="84"/>
      <c r="G1076" s="74">
        <f t="shared" si="145"/>
        <v>0</v>
      </c>
      <c r="H1076" s="74"/>
      <c r="I1076" s="74">
        <f t="shared" si="146"/>
        <v>0</v>
      </c>
      <c r="J1076" s="74"/>
      <c r="K1076" s="74">
        <f t="shared" si="147"/>
        <v>0</v>
      </c>
      <c r="L1076" s="74"/>
      <c r="M1076" s="74">
        <f t="shared" si="148"/>
        <v>0</v>
      </c>
      <c r="N1076" s="74">
        <f t="shared" si="149"/>
        <v>0</v>
      </c>
      <c r="O1076" s="74">
        <f t="shared" si="150"/>
        <v>0</v>
      </c>
      <c r="P1076" s="74">
        <f t="shared" si="151"/>
        <v>0</v>
      </c>
      <c r="Q1076" s="74">
        <f t="shared" si="152"/>
        <v>0</v>
      </c>
    </row>
    <row r="1077" spans="1:17" ht="162.75" hidden="1" customHeight="1">
      <c r="A1077" s="83"/>
      <c r="B1077" s="72">
        <f t="shared" si="144"/>
        <v>0</v>
      </c>
      <c r="C1077" s="82" t="s">
        <v>5994</v>
      </c>
      <c r="D1077" s="1232">
        <v>10050</v>
      </c>
      <c r="E1077" s="1230" t="s">
        <v>41</v>
      </c>
      <c r="F1077" s="84"/>
      <c r="G1077" s="74">
        <f t="shared" si="145"/>
        <v>0</v>
      </c>
      <c r="H1077" s="74"/>
      <c r="I1077" s="74">
        <f t="shared" si="146"/>
        <v>0</v>
      </c>
      <c r="J1077" s="74"/>
      <c r="K1077" s="74">
        <f t="shared" si="147"/>
        <v>0</v>
      </c>
      <c r="L1077" s="74"/>
      <c r="M1077" s="74">
        <f t="shared" si="148"/>
        <v>0</v>
      </c>
      <c r="N1077" s="74">
        <f t="shared" si="149"/>
        <v>0</v>
      </c>
      <c r="O1077" s="74">
        <f t="shared" si="150"/>
        <v>0</v>
      </c>
      <c r="P1077" s="74">
        <f t="shared" si="151"/>
        <v>0</v>
      </c>
      <c r="Q1077" s="74">
        <f t="shared" si="152"/>
        <v>0</v>
      </c>
    </row>
    <row r="1078" spans="1:17" ht="93" hidden="1" customHeight="1">
      <c r="A1078" s="83"/>
      <c r="B1078" s="72">
        <f t="shared" si="144"/>
        <v>0</v>
      </c>
      <c r="C1078" s="82" t="s">
        <v>5995</v>
      </c>
      <c r="D1078" s="1232">
        <v>228000</v>
      </c>
      <c r="E1078" s="1230" t="s">
        <v>41</v>
      </c>
      <c r="F1078" s="84"/>
      <c r="G1078" s="74">
        <f t="shared" si="145"/>
        <v>0</v>
      </c>
      <c r="H1078" s="74"/>
      <c r="I1078" s="74">
        <f t="shared" si="146"/>
        <v>0</v>
      </c>
      <c r="J1078" s="74"/>
      <c r="K1078" s="74">
        <f t="shared" si="147"/>
        <v>0</v>
      </c>
      <c r="L1078" s="74"/>
      <c r="M1078" s="74">
        <f t="shared" si="148"/>
        <v>0</v>
      </c>
      <c r="N1078" s="74">
        <f t="shared" si="149"/>
        <v>0</v>
      </c>
      <c r="O1078" s="74">
        <f t="shared" si="150"/>
        <v>0</v>
      </c>
      <c r="P1078" s="74">
        <f t="shared" si="151"/>
        <v>0</v>
      </c>
      <c r="Q1078" s="74">
        <f t="shared" si="152"/>
        <v>0</v>
      </c>
    </row>
    <row r="1079" spans="1:17" ht="255.75" hidden="1" customHeight="1">
      <c r="A1079" s="83"/>
      <c r="B1079" s="72">
        <f t="shared" si="144"/>
        <v>0</v>
      </c>
      <c r="C1079" s="82" t="s">
        <v>5996</v>
      </c>
      <c r="D1079" s="1232">
        <v>10450</v>
      </c>
      <c r="E1079" s="1230" t="s">
        <v>41</v>
      </c>
      <c r="F1079" s="84"/>
      <c r="G1079" s="74">
        <f t="shared" si="145"/>
        <v>0</v>
      </c>
      <c r="H1079" s="74"/>
      <c r="I1079" s="74">
        <f t="shared" si="146"/>
        <v>0</v>
      </c>
      <c r="J1079" s="74"/>
      <c r="K1079" s="74">
        <f t="shared" si="147"/>
        <v>0</v>
      </c>
      <c r="L1079" s="74"/>
      <c r="M1079" s="74">
        <f t="shared" si="148"/>
        <v>0</v>
      </c>
      <c r="N1079" s="74">
        <f t="shared" si="149"/>
        <v>0</v>
      </c>
      <c r="O1079" s="74">
        <f t="shared" si="150"/>
        <v>0</v>
      </c>
      <c r="P1079" s="74">
        <f t="shared" si="151"/>
        <v>0</v>
      </c>
      <c r="Q1079" s="74">
        <f t="shared" si="152"/>
        <v>0</v>
      </c>
    </row>
    <row r="1080" spans="1:17" ht="116.25" hidden="1" customHeight="1">
      <c r="A1080" s="83"/>
      <c r="B1080" s="72">
        <f t="shared" si="144"/>
        <v>0</v>
      </c>
      <c r="C1080" s="82" t="s">
        <v>5997</v>
      </c>
      <c r="D1080" s="1232">
        <v>35000</v>
      </c>
      <c r="E1080" s="1230" t="s">
        <v>41</v>
      </c>
      <c r="F1080" s="84"/>
      <c r="G1080" s="74">
        <f t="shared" si="145"/>
        <v>0</v>
      </c>
      <c r="H1080" s="74"/>
      <c r="I1080" s="74">
        <f t="shared" si="146"/>
        <v>0</v>
      </c>
      <c r="J1080" s="74"/>
      <c r="K1080" s="74">
        <f t="shared" si="147"/>
        <v>0</v>
      </c>
      <c r="L1080" s="74"/>
      <c r="M1080" s="74">
        <f t="shared" si="148"/>
        <v>0</v>
      </c>
      <c r="N1080" s="74">
        <f t="shared" si="149"/>
        <v>0</v>
      </c>
      <c r="O1080" s="74">
        <f t="shared" si="150"/>
        <v>0</v>
      </c>
      <c r="P1080" s="74">
        <f t="shared" si="151"/>
        <v>0</v>
      </c>
      <c r="Q1080" s="74">
        <f t="shared" si="152"/>
        <v>0</v>
      </c>
    </row>
    <row r="1081" spans="1:17" ht="23.25" hidden="1" customHeight="1">
      <c r="A1081" s="83"/>
      <c r="B1081" s="72">
        <f t="shared" si="144"/>
        <v>0</v>
      </c>
      <c r="C1081" s="82" t="s">
        <v>5998</v>
      </c>
      <c r="D1081" s="1232">
        <v>97000</v>
      </c>
      <c r="E1081" s="1230" t="s">
        <v>41</v>
      </c>
      <c r="F1081" s="84"/>
      <c r="G1081" s="74">
        <f t="shared" si="145"/>
        <v>0</v>
      </c>
      <c r="H1081" s="74"/>
      <c r="I1081" s="74">
        <f t="shared" si="146"/>
        <v>0</v>
      </c>
      <c r="J1081" s="74"/>
      <c r="K1081" s="74">
        <f t="shared" si="147"/>
        <v>0</v>
      </c>
      <c r="L1081" s="74"/>
      <c r="M1081" s="74">
        <f t="shared" si="148"/>
        <v>0</v>
      </c>
      <c r="N1081" s="74">
        <f t="shared" si="149"/>
        <v>0</v>
      </c>
      <c r="O1081" s="74">
        <f t="shared" si="150"/>
        <v>0</v>
      </c>
      <c r="P1081" s="74">
        <f t="shared" si="151"/>
        <v>0</v>
      </c>
      <c r="Q1081" s="74">
        <f t="shared" si="152"/>
        <v>0</v>
      </c>
    </row>
    <row r="1082" spans="1:17" ht="46.5" hidden="1" customHeight="1">
      <c r="A1082" s="83"/>
      <c r="B1082" s="72">
        <f t="shared" si="144"/>
        <v>0</v>
      </c>
      <c r="C1082" s="82" t="s">
        <v>5999</v>
      </c>
      <c r="D1082" s="1232">
        <v>284</v>
      </c>
      <c r="E1082" s="1230" t="s">
        <v>13</v>
      </c>
      <c r="F1082" s="84"/>
      <c r="G1082" s="74">
        <f t="shared" si="145"/>
        <v>0</v>
      </c>
      <c r="H1082" s="74"/>
      <c r="I1082" s="74">
        <f t="shared" si="146"/>
        <v>0</v>
      </c>
      <c r="J1082" s="74"/>
      <c r="K1082" s="74">
        <f t="shared" si="147"/>
        <v>0</v>
      </c>
      <c r="L1082" s="74"/>
      <c r="M1082" s="74">
        <f t="shared" si="148"/>
        <v>0</v>
      </c>
      <c r="N1082" s="74">
        <f t="shared" si="149"/>
        <v>0</v>
      </c>
      <c r="O1082" s="74">
        <f t="shared" si="150"/>
        <v>0</v>
      </c>
      <c r="P1082" s="74">
        <f t="shared" si="151"/>
        <v>0</v>
      </c>
      <c r="Q1082" s="74">
        <f t="shared" si="152"/>
        <v>0</v>
      </c>
    </row>
    <row r="1083" spans="1:17" ht="46.5" hidden="1" customHeight="1">
      <c r="A1083" s="83"/>
      <c r="B1083" s="72">
        <f t="shared" si="144"/>
        <v>0</v>
      </c>
      <c r="C1083" s="82" t="s">
        <v>6000</v>
      </c>
      <c r="D1083" s="1232">
        <v>560</v>
      </c>
      <c r="E1083" s="1230" t="s">
        <v>13</v>
      </c>
      <c r="F1083" s="84"/>
      <c r="G1083" s="74">
        <f t="shared" si="145"/>
        <v>0</v>
      </c>
      <c r="H1083" s="74"/>
      <c r="I1083" s="74">
        <f t="shared" si="146"/>
        <v>0</v>
      </c>
      <c r="J1083" s="74"/>
      <c r="K1083" s="74">
        <f t="shared" si="147"/>
        <v>0</v>
      </c>
      <c r="L1083" s="74"/>
      <c r="M1083" s="74">
        <f t="shared" si="148"/>
        <v>0</v>
      </c>
      <c r="N1083" s="74">
        <f t="shared" si="149"/>
        <v>0</v>
      </c>
      <c r="O1083" s="74">
        <f t="shared" si="150"/>
        <v>0</v>
      </c>
      <c r="P1083" s="74">
        <f t="shared" si="151"/>
        <v>0</v>
      </c>
      <c r="Q1083" s="74">
        <f t="shared" si="152"/>
        <v>0</v>
      </c>
    </row>
    <row r="1084" spans="1:17" ht="69.75" hidden="1" customHeight="1">
      <c r="A1084" s="83"/>
      <c r="B1084" s="72">
        <f t="shared" si="144"/>
        <v>0</v>
      </c>
      <c r="C1084" s="82" t="s">
        <v>6001</v>
      </c>
      <c r="D1084" s="1232">
        <v>44000</v>
      </c>
      <c r="E1084" s="1230" t="s">
        <v>41</v>
      </c>
      <c r="F1084" s="84"/>
      <c r="G1084" s="74">
        <f t="shared" si="145"/>
        <v>0</v>
      </c>
      <c r="H1084" s="74"/>
      <c r="I1084" s="74">
        <f t="shared" si="146"/>
        <v>0</v>
      </c>
      <c r="J1084" s="74"/>
      <c r="K1084" s="74">
        <f t="shared" si="147"/>
        <v>0</v>
      </c>
      <c r="L1084" s="74"/>
      <c r="M1084" s="74">
        <f t="shared" si="148"/>
        <v>0</v>
      </c>
      <c r="N1084" s="74">
        <f t="shared" si="149"/>
        <v>0</v>
      </c>
      <c r="O1084" s="74">
        <f t="shared" si="150"/>
        <v>0</v>
      </c>
      <c r="P1084" s="74">
        <f t="shared" si="151"/>
        <v>0</v>
      </c>
      <c r="Q1084" s="74">
        <f t="shared" si="152"/>
        <v>0</v>
      </c>
    </row>
    <row r="1085" spans="1:17" ht="93" hidden="1" customHeight="1">
      <c r="A1085" s="83"/>
      <c r="B1085" s="72">
        <f t="shared" si="144"/>
        <v>0</v>
      </c>
      <c r="C1085" s="82" t="s">
        <v>6002</v>
      </c>
      <c r="D1085" s="1232">
        <v>285000</v>
      </c>
      <c r="E1085" s="1230" t="s">
        <v>6003</v>
      </c>
      <c r="F1085" s="84"/>
      <c r="G1085" s="74">
        <f t="shared" si="145"/>
        <v>0</v>
      </c>
      <c r="H1085" s="74"/>
      <c r="I1085" s="74">
        <f t="shared" si="146"/>
        <v>0</v>
      </c>
      <c r="J1085" s="74"/>
      <c r="K1085" s="74">
        <f t="shared" si="147"/>
        <v>0</v>
      </c>
      <c r="L1085" s="74"/>
      <c r="M1085" s="74">
        <f t="shared" si="148"/>
        <v>0</v>
      </c>
      <c r="N1085" s="74">
        <f t="shared" si="149"/>
        <v>0</v>
      </c>
      <c r="O1085" s="74">
        <f t="shared" si="150"/>
        <v>0</v>
      </c>
      <c r="P1085" s="74">
        <f t="shared" si="151"/>
        <v>0</v>
      </c>
      <c r="Q1085" s="74">
        <f t="shared" si="152"/>
        <v>0</v>
      </c>
    </row>
    <row r="1086" spans="1:17" ht="255.75" hidden="1" customHeight="1">
      <c r="A1086" s="83"/>
      <c r="B1086" s="72">
        <f t="shared" si="144"/>
        <v>0</v>
      </c>
      <c r="C1086" s="82" t="s">
        <v>6004</v>
      </c>
      <c r="D1086" s="1232">
        <f>Elec.Data!J1921</f>
        <v>0</v>
      </c>
      <c r="E1086" s="84" t="s">
        <v>13</v>
      </c>
      <c r="F1086" s="84"/>
      <c r="G1086" s="74">
        <f t="shared" si="145"/>
        <v>0</v>
      </c>
      <c r="H1086" s="74"/>
      <c r="I1086" s="74">
        <f t="shared" si="146"/>
        <v>0</v>
      </c>
      <c r="J1086" s="74"/>
      <c r="K1086" s="74">
        <f t="shared" si="147"/>
        <v>0</v>
      </c>
      <c r="L1086" s="74"/>
      <c r="M1086" s="74">
        <f t="shared" si="148"/>
        <v>0</v>
      </c>
      <c r="N1086" s="74">
        <f t="shared" si="149"/>
        <v>0</v>
      </c>
      <c r="O1086" s="74">
        <f t="shared" si="150"/>
        <v>0</v>
      </c>
      <c r="P1086" s="74">
        <f t="shared" si="151"/>
        <v>0</v>
      </c>
      <c r="Q1086" s="74">
        <f t="shared" si="152"/>
        <v>0</v>
      </c>
    </row>
    <row r="1087" spans="1:17" ht="139.5" hidden="1" customHeight="1">
      <c r="A1087" s="83"/>
      <c r="B1087" s="72">
        <f t="shared" si="144"/>
        <v>0</v>
      </c>
      <c r="C1087" s="82" t="s">
        <v>6005</v>
      </c>
      <c r="D1087" s="1232">
        <v>600</v>
      </c>
      <c r="E1087" s="84" t="s">
        <v>41</v>
      </c>
      <c r="F1087" s="84"/>
      <c r="G1087" s="74">
        <f t="shared" si="145"/>
        <v>0</v>
      </c>
      <c r="H1087" s="74"/>
      <c r="I1087" s="74">
        <f t="shared" si="146"/>
        <v>0</v>
      </c>
      <c r="J1087" s="74"/>
      <c r="K1087" s="74">
        <f t="shared" si="147"/>
        <v>0</v>
      </c>
      <c r="L1087" s="74"/>
      <c r="M1087" s="74">
        <f t="shared" si="148"/>
        <v>0</v>
      </c>
      <c r="N1087" s="74">
        <f t="shared" si="149"/>
        <v>0</v>
      </c>
      <c r="O1087" s="74">
        <f t="shared" si="150"/>
        <v>0</v>
      </c>
      <c r="P1087" s="74">
        <f t="shared" si="151"/>
        <v>0</v>
      </c>
      <c r="Q1087" s="74">
        <f t="shared" si="152"/>
        <v>0</v>
      </c>
    </row>
    <row r="1088" spans="1:17" ht="139.5" hidden="1" customHeight="1">
      <c r="A1088" s="83"/>
      <c r="B1088" s="72">
        <f t="shared" si="144"/>
        <v>0</v>
      </c>
      <c r="C1088" s="82" t="s">
        <v>6006</v>
      </c>
      <c r="D1088" s="1232"/>
      <c r="E1088" s="84"/>
      <c r="F1088" s="84"/>
      <c r="G1088" s="74">
        <f t="shared" si="145"/>
        <v>0</v>
      </c>
      <c r="H1088" s="74"/>
      <c r="I1088" s="74">
        <f t="shared" si="146"/>
        <v>0</v>
      </c>
      <c r="J1088" s="74"/>
      <c r="K1088" s="74">
        <f t="shared" si="147"/>
        <v>0</v>
      </c>
      <c r="L1088" s="74"/>
      <c r="M1088" s="74">
        <f t="shared" si="148"/>
        <v>0</v>
      </c>
      <c r="N1088" s="74">
        <f t="shared" si="149"/>
        <v>0</v>
      </c>
      <c r="O1088" s="74">
        <f t="shared" si="150"/>
        <v>0</v>
      </c>
      <c r="P1088" s="74">
        <f t="shared" si="151"/>
        <v>0</v>
      </c>
      <c r="Q1088" s="74">
        <f t="shared" si="152"/>
        <v>0</v>
      </c>
    </row>
    <row r="1089" spans="1:17" ht="23.25" hidden="1" customHeight="1">
      <c r="A1089" s="83"/>
      <c r="B1089" s="72">
        <f t="shared" si="144"/>
        <v>0</v>
      </c>
      <c r="C1089" s="82" t="s">
        <v>6007</v>
      </c>
      <c r="D1089" s="1232">
        <v>640</v>
      </c>
      <c r="E1089" s="84" t="s">
        <v>724</v>
      </c>
      <c r="F1089" s="84"/>
      <c r="G1089" s="74">
        <f t="shared" si="145"/>
        <v>0</v>
      </c>
      <c r="H1089" s="74"/>
      <c r="I1089" s="74">
        <f t="shared" si="146"/>
        <v>0</v>
      </c>
      <c r="J1089" s="74"/>
      <c r="K1089" s="74">
        <f t="shared" si="147"/>
        <v>0</v>
      </c>
      <c r="L1089" s="74"/>
      <c r="M1089" s="74">
        <f t="shared" si="148"/>
        <v>0</v>
      </c>
      <c r="N1089" s="74">
        <f t="shared" si="149"/>
        <v>0</v>
      </c>
      <c r="O1089" s="74">
        <f t="shared" si="150"/>
        <v>0</v>
      </c>
      <c r="P1089" s="74">
        <f t="shared" si="151"/>
        <v>0</v>
      </c>
      <c r="Q1089" s="74">
        <f t="shared" si="152"/>
        <v>0</v>
      </c>
    </row>
    <row r="1090" spans="1:17" ht="23.25" hidden="1" customHeight="1">
      <c r="A1090" s="83"/>
      <c r="B1090" s="72">
        <f t="shared" si="144"/>
        <v>0</v>
      </c>
      <c r="C1090" s="82" t="s">
        <v>6008</v>
      </c>
      <c r="D1090" s="1232">
        <v>650</v>
      </c>
      <c r="E1090" s="84" t="s">
        <v>724</v>
      </c>
      <c r="F1090" s="84"/>
      <c r="G1090" s="74">
        <f t="shared" si="145"/>
        <v>0</v>
      </c>
      <c r="H1090" s="74"/>
      <c r="I1090" s="74">
        <f t="shared" si="146"/>
        <v>0</v>
      </c>
      <c r="J1090" s="74"/>
      <c r="K1090" s="74">
        <f t="shared" si="147"/>
        <v>0</v>
      </c>
      <c r="L1090" s="74"/>
      <c r="M1090" s="74">
        <f t="shared" si="148"/>
        <v>0</v>
      </c>
      <c r="N1090" s="74">
        <f t="shared" si="149"/>
        <v>0</v>
      </c>
      <c r="O1090" s="74">
        <f t="shared" si="150"/>
        <v>0</v>
      </c>
      <c r="P1090" s="74">
        <f t="shared" si="151"/>
        <v>0</v>
      </c>
      <c r="Q1090" s="74">
        <f t="shared" si="152"/>
        <v>0</v>
      </c>
    </row>
    <row r="1091" spans="1:17" ht="325.5" hidden="1" customHeight="1">
      <c r="A1091" s="83"/>
      <c r="B1091" s="72">
        <f t="shared" si="144"/>
        <v>0</v>
      </c>
      <c r="C1091" s="82" t="s">
        <v>6009</v>
      </c>
      <c r="D1091" s="1232"/>
      <c r="E1091" s="84"/>
      <c r="F1091" s="84"/>
      <c r="G1091" s="74">
        <f t="shared" si="145"/>
        <v>0</v>
      </c>
      <c r="H1091" s="74"/>
      <c r="I1091" s="74">
        <f t="shared" si="146"/>
        <v>0</v>
      </c>
      <c r="J1091" s="74"/>
      <c r="K1091" s="74">
        <f t="shared" si="147"/>
        <v>0</v>
      </c>
      <c r="L1091" s="74"/>
      <c r="M1091" s="74">
        <f t="shared" si="148"/>
        <v>0</v>
      </c>
      <c r="N1091" s="74">
        <f t="shared" si="149"/>
        <v>0</v>
      </c>
      <c r="O1091" s="74">
        <f t="shared" si="150"/>
        <v>0</v>
      </c>
      <c r="P1091" s="74">
        <f t="shared" si="151"/>
        <v>0</v>
      </c>
      <c r="Q1091" s="74">
        <f t="shared" si="152"/>
        <v>0</v>
      </c>
    </row>
    <row r="1092" spans="1:17" ht="23.25" hidden="1" customHeight="1">
      <c r="A1092" s="83"/>
      <c r="B1092" s="72">
        <f t="shared" si="144"/>
        <v>0</v>
      </c>
      <c r="C1092" s="82" t="s">
        <v>6010</v>
      </c>
      <c r="D1092" s="1232">
        <f>[4]Elec.Data!Q3696</f>
        <v>0</v>
      </c>
      <c r="E1092" s="84" t="s">
        <v>13</v>
      </c>
      <c r="F1092" s="84"/>
      <c r="G1092" s="74">
        <f t="shared" si="145"/>
        <v>0</v>
      </c>
      <c r="H1092" s="74"/>
      <c r="I1092" s="74">
        <f t="shared" si="146"/>
        <v>0</v>
      </c>
      <c r="J1092" s="74"/>
      <c r="K1092" s="74">
        <f t="shared" si="147"/>
        <v>0</v>
      </c>
      <c r="L1092" s="74"/>
      <c r="M1092" s="74">
        <f t="shared" si="148"/>
        <v>0</v>
      </c>
      <c r="N1092" s="74">
        <f t="shared" si="149"/>
        <v>0</v>
      </c>
      <c r="O1092" s="74">
        <f t="shared" si="150"/>
        <v>0</v>
      </c>
      <c r="P1092" s="74">
        <f t="shared" si="151"/>
        <v>0</v>
      </c>
      <c r="Q1092" s="74">
        <f t="shared" si="152"/>
        <v>0</v>
      </c>
    </row>
    <row r="1093" spans="1:17" ht="46.5">
      <c r="A1093" s="83"/>
      <c r="B1093" s="72">
        <f t="shared" ref="B1093:B1156" si="153">P1093</f>
        <v>0</v>
      </c>
      <c r="C1093" s="1233" t="s">
        <v>6011</v>
      </c>
      <c r="D1093" s="1232"/>
      <c r="E1093" s="84"/>
      <c r="F1093" s="84"/>
      <c r="G1093" s="74">
        <f t="shared" si="145"/>
        <v>0</v>
      </c>
      <c r="H1093" s="74"/>
      <c r="I1093" s="74">
        <f t="shared" si="146"/>
        <v>0</v>
      </c>
      <c r="J1093" s="74"/>
      <c r="K1093" s="74">
        <f t="shared" si="147"/>
        <v>0</v>
      </c>
      <c r="L1093" s="74"/>
      <c r="M1093" s="74">
        <f t="shared" si="148"/>
        <v>0</v>
      </c>
      <c r="N1093" s="74">
        <f t="shared" si="149"/>
        <v>0</v>
      </c>
      <c r="O1093" s="74">
        <f t="shared" si="150"/>
        <v>0</v>
      </c>
      <c r="P1093" s="74">
        <f t="shared" si="151"/>
        <v>0</v>
      </c>
      <c r="Q1093" s="74">
        <f t="shared" si="152"/>
        <v>0</v>
      </c>
    </row>
    <row r="1094" spans="1:17" ht="255.75">
      <c r="A1094" s="83"/>
      <c r="B1094" s="72">
        <f t="shared" si="153"/>
        <v>0</v>
      </c>
      <c r="C1094" s="82" t="s">
        <v>6012</v>
      </c>
      <c r="D1094" s="1232"/>
      <c r="E1094" s="1230"/>
      <c r="F1094" s="84"/>
      <c r="G1094" s="74">
        <f t="shared" ref="G1094:G1157" si="154">F1094*D1094</f>
        <v>0</v>
      </c>
      <c r="H1094" s="74"/>
      <c r="I1094" s="74">
        <f t="shared" ref="I1094:I1157" si="155">H1094*D1094</f>
        <v>0</v>
      </c>
      <c r="J1094" s="74"/>
      <c r="K1094" s="74">
        <f t="shared" ref="K1094:K1157" si="156">J1094*D1094</f>
        <v>0</v>
      </c>
      <c r="L1094" s="74"/>
      <c r="M1094" s="74">
        <f t="shared" ref="M1094:M1157" si="157">L1094*D1094</f>
        <v>0</v>
      </c>
      <c r="N1094" s="74">
        <f t="shared" ref="N1094:N1157" si="158">H1094+J1094+L1094</f>
        <v>0</v>
      </c>
      <c r="O1094" s="74">
        <f t="shared" ref="O1094:O1157" si="159">N1094*D1094</f>
        <v>0</v>
      </c>
      <c r="P1094" s="74">
        <f t="shared" ref="P1094:P1157" si="160">N1094+F1094</f>
        <v>0</v>
      </c>
      <c r="Q1094" s="74">
        <f t="shared" ref="Q1094:Q1157" si="161">P1094*D1094</f>
        <v>0</v>
      </c>
    </row>
    <row r="1095" spans="1:17" ht="46.5">
      <c r="A1095" s="83"/>
      <c r="B1095" s="72">
        <f t="shared" si="153"/>
        <v>24</v>
      </c>
      <c r="C1095" s="82" t="s">
        <v>6013</v>
      </c>
      <c r="D1095" s="1232">
        <v>551.04</v>
      </c>
      <c r="E1095" s="84" t="s">
        <v>2092</v>
      </c>
      <c r="F1095" s="84"/>
      <c r="G1095" s="74">
        <f t="shared" si="154"/>
        <v>0</v>
      </c>
      <c r="H1095" s="74">
        <f>bore!I7</f>
        <v>24</v>
      </c>
      <c r="I1095" s="74">
        <f t="shared" si="155"/>
        <v>13224.96</v>
      </c>
      <c r="J1095" s="74"/>
      <c r="K1095" s="74">
        <f t="shared" si="156"/>
        <v>0</v>
      </c>
      <c r="L1095" s="74"/>
      <c r="M1095" s="74">
        <f t="shared" si="157"/>
        <v>0</v>
      </c>
      <c r="N1095" s="74">
        <f t="shared" si="158"/>
        <v>24</v>
      </c>
      <c r="O1095" s="74">
        <f t="shared" si="159"/>
        <v>13224.96</v>
      </c>
      <c r="P1095" s="74">
        <f t="shared" si="160"/>
        <v>24</v>
      </c>
      <c r="Q1095" s="74">
        <f t="shared" si="161"/>
        <v>13224.96</v>
      </c>
    </row>
    <row r="1096" spans="1:17" ht="279" hidden="1" customHeight="1">
      <c r="A1096" s="83"/>
      <c r="B1096" s="72">
        <f t="shared" si="153"/>
        <v>0</v>
      </c>
      <c r="C1096" s="82" t="s">
        <v>6014</v>
      </c>
      <c r="D1096" s="1232"/>
      <c r="E1096" s="1230"/>
      <c r="F1096" s="84"/>
      <c r="G1096" s="74">
        <f t="shared" si="154"/>
        <v>0</v>
      </c>
      <c r="H1096" s="74"/>
      <c r="I1096" s="74">
        <f t="shared" si="155"/>
        <v>0</v>
      </c>
      <c r="J1096" s="74"/>
      <c r="K1096" s="74">
        <f t="shared" si="156"/>
        <v>0</v>
      </c>
      <c r="L1096" s="74"/>
      <c r="M1096" s="74">
        <f t="shared" si="157"/>
        <v>0</v>
      </c>
      <c r="N1096" s="74">
        <f t="shared" si="158"/>
        <v>0</v>
      </c>
      <c r="O1096" s="74">
        <f t="shared" si="159"/>
        <v>0</v>
      </c>
      <c r="P1096" s="74">
        <f t="shared" si="160"/>
        <v>0</v>
      </c>
      <c r="Q1096" s="74">
        <f t="shared" si="161"/>
        <v>0</v>
      </c>
    </row>
    <row r="1097" spans="1:17" ht="49.5" hidden="1" customHeight="1">
      <c r="A1097" s="83"/>
      <c r="B1097" s="72">
        <f t="shared" si="153"/>
        <v>0</v>
      </c>
      <c r="C1097" s="82" t="s">
        <v>6015</v>
      </c>
      <c r="D1097" s="1232">
        <v>295</v>
      </c>
      <c r="E1097" s="84" t="s">
        <v>2092</v>
      </c>
      <c r="F1097" s="84"/>
      <c r="G1097" s="74">
        <f t="shared" si="154"/>
        <v>0</v>
      </c>
      <c r="H1097" s="74"/>
      <c r="I1097" s="74">
        <f t="shared" si="155"/>
        <v>0</v>
      </c>
      <c r="J1097" s="74"/>
      <c r="K1097" s="74">
        <f t="shared" si="156"/>
        <v>0</v>
      </c>
      <c r="L1097" s="74"/>
      <c r="M1097" s="74">
        <f t="shared" si="157"/>
        <v>0</v>
      </c>
      <c r="N1097" s="74">
        <f t="shared" si="158"/>
        <v>0</v>
      </c>
      <c r="O1097" s="74">
        <f t="shared" si="159"/>
        <v>0</v>
      </c>
      <c r="P1097" s="74">
        <f t="shared" si="160"/>
        <v>0</v>
      </c>
      <c r="Q1097" s="74">
        <f t="shared" si="161"/>
        <v>0</v>
      </c>
    </row>
    <row r="1098" spans="1:17" ht="23.25" hidden="1" customHeight="1">
      <c r="A1098" s="83"/>
      <c r="B1098" s="72">
        <f t="shared" si="153"/>
        <v>0</v>
      </c>
      <c r="C1098" s="82"/>
      <c r="D1098" s="1232"/>
      <c r="E1098" s="1230"/>
      <c r="F1098" s="84"/>
      <c r="G1098" s="74">
        <f t="shared" si="154"/>
        <v>0</v>
      </c>
      <c r="H1098" s="74"/>
      <c r="I1098" s="74">
        <f t="shared" si="155"/>
        <v>0</v>
      </c>
      <c r="J1098" s="74"/>
      <c r="K1098" s="74">
        <f t="shared" si="156"/>
        <v>0</v>
      </c>
      <c r="L1098" s="74"/>
      <c r="M1098" s="74">
        <f t="shared" si="157"/>
        <v>0</v>
      </c>
      <c r="N1098" s="74">
        <f t="shared" si="158"/>
        <v>0</v>
      </c>
      <c r="O1098" s="74">
        <f t="shared" si="159"/>
        <v>0</v>
      </c>
      <c r="P1098" s="74">
        <f t="shared" si="160"/>
        <v>0</v>
      </c>
      <c r="Q1098" s="74">
        <f t="shared" si="161"/>
        <v>0</v>
      </c>
    </row>
    <row r="1099" spans="1:17" ht="49.5" hidden="1" customHeight="1">
      <c r="A1099" s="83"/>
      <c r="B1099" s="72">
        <f t="shared" si="153"/>
        <v>0</v>
      </c>
      <c r="C1099" s="82" t="s">
        <v>6016</v>
      </c>
      <c r="D1099" s="1232">
        <v>374.5</v>
      </c>
      <c r="E1099" s="84" t="s">
        <v>2092</v>
      </c>
      <c r="F1099" s="84"/>
      <c r="G1099" s="74">
        <f t="shared" si="154"/>
        <v>0</v>
      </c>
      <c r="H1099" s="74">
        <f>bore!I11</f>
        <v>0</v>
      </c>
      <c r="I1099" s="74">
        <f t="shared" si="155"/>
        <v>0</v>
      </c>
      <c r="J1099" s="74"/>
      <c r="K1099" s="74">
        <f t="shared" si="156"/>
        <v>0</v>
      </c>
      <c r="L1099" s="74"/>
      <c r="M1099" s="74">
        <f t="shared" si="157"/>
        <v>0</v>
      </c>
      <c r="N1099" s="74">
        <f t="shared" si="158"/>
        <v>0</v>
      </c>
      <c r="O1099" s="74">
        <f t="shared" si="159"/>
        <v>0</v>
      </c>
      <c r="P1099" s="74">
        <f t="shared" si="160"/>
        <v>0</v>
      </c>
      <c r="Q1099" s="74">
        <f t="shared" si="161"/>
        <v>0</v>
      </c>
    </row>
    <row r="1100" spans="1:17" ht="109.5" customHeight="1">
      <c r="A1100" s="83"/>
      <c r="B1100" s="72">
        <f t="shared" si="153"/>
        <v>24</v>
      </c>
      <c r="C1100" s="1249" t="s">
        <v>6017</v>
      </c>
      <c r="D1100" s="1234">
        <v>424.6</v>
      </c>
      <c r="E1100" s="1235" t="s">
        <v>13</v>
      </c>
      <c r="F1100" s="84"/>
      <c r="G1100" s="74">
        <f t="shared" si="154"/>
        <v>0</v>
      </c>
      <c r="H1100" s="74">
        <f>bore!I14</f>
        <v>24</v>
      </c>
      <c r="I1100" s="74">
        <f t="shared" si="155"/>
        <v>10190.4</v>
      </c>
      <c r="J1100" s="74"/>
      <c r="K1100" s="74">
        <f t="shared" si="156"/>
        <v>0</v>
      </c>
      <c r="L1100" s="74"/>
      <c r="M1100" s="74">
        <f t="shared" si="157"/>
        <v>0</v>
      </c>
      <c r="N1100" s="74">
        <f t="shared" si="158"/>
        <v>24</v>
      </c>
      <c r="O1100" s="74">
        <f t="shared" si="159"/>
        <v>10190.4</v>
      </c>
      <c r="P1100" s="74">
        <f t="shared" si="160"/>
        <v>24</v>
      </c>
      <c r="Q1100" s="74">
        <f t="shared" si="161"/>
        <v>10190.4</v>
      </c>
    </row>
    <row r="1101" spans="1:17" ht="195" hidden="1" customHeight="1">
      <c r="A1101" s="83"/>
      <c r="B1101" s="72">
        <f t="shared" si="153"/>
        <v>0</v>
      </c>
      <c r="C1101" s="82" t="s">
        <v>7026</v>
      </c>
      <c r="D1101" s="1232">
        <v>825</v>
      </c>
      <c r="E1101" s="84" t="s">
        <v>2092</v>
      </c>
      <c r="F1101" s="84"/>
      <c r="G1101" s="74">
        <f t="shared" si="154"/>
        <v>0</v>
      </c>
      <c r="H1101" s="74"/>
      <c r="I1101" s="74">
        <f t="shared" si="155"/>
        <v>0</v>
      </c>
      <c r="J1101" s="74"/>
      <c r="K1101" s="74">
        <f t="shared" si="156"/>
        <v>0</v>
      </c>
      <c r="L1101" s="74"/>
      <c r="M1101" s="74">
        <f t="shared" si="157"/>
        <v>0</v>
      </c>
      <c r="N1101" s="74">
        <f t="shared" si="158"/>
        <v>0</v>
      </c>
      <c r="O1101" s="74">
        <f t="shared" si="159"/>
        <v>0</v>
      </c>
      <c r="P1101" s="74">
        <f t="shared" si="160"/>
        <v>0</v>
      </c>
      <c r="Q1101" s="74">
        <f t="shared" si="161"/>
        <v>0</v>
      </c>
    </row>
    <row r="1102" spans="1:17" ht="204.75" customHeight="1">
      <c r="A1102" s="83"/>
      <c r="B1102" s="72">
        <f t="shared" si="153"/>
        <v>12</v>
      </c>
      <c r="C1102" s="82" t="s">
        <v>7027</v>
      </c>
      <c r="D1102" s="1232">
        <v>644.5</v>
      </c>
      <c r="E1102" s="84" t="s">
        <v>2092</v>
      </c>
      <c r="F1102" s="84"/>
      <c r="G1102" s="74">
        <f t="shared" si="154"/>
        <v>0</v>
      </c>
      <c r="H1102" s="74">
        <f>bore!I20</f>
        <v>12</v>
      </c>
      <c r="I1102" s="74">
        <f t="shared" si="155"/>
        <v>7734</v>
      </c>
      <c r="J1102" s="74"/>
      <c r="K1102" s="74">
        <f t="shared" si="156"/>
        <v>0</v>
      </c>
      <c r="L1102" s="74"/>
      <c r="M1102" s="74">
        <f t="shared" si="157"/>
        <v>0</v>
      </c>
      <c r="N1102" s="74">
        <f t="shared" si="158"/>
        <v>12</v>
      </c>
      <c r="O1102" s="74">
        <f t="shared" si="159"/>
        <v>7734</v>
      </c>
      <c r="P1102" s="74">
        <f t="shared" si="160"/>
        <v>12</v>
      </c>
      <c r="Q1102" s="74">
        <f t="shared" si="161"/>
        <v>7734</v>
      </c>
    </row>
    <row r="1103" spans="1:17" ht="244.5" customHeight="1">
      <c r="A1103" s="83"/>
      <c r="B1103" s="72">
        <f t="shared" si="153"/>
        <v>12</v>
      </c>
      <c r="C1103" s="82" t="s">
        <v>6018</v>
      </c>
      <c r="D1103" s="1232">
        <v>1004.5</v>
      </c>
      <c r="E1103" s="1230" t="s">
        <v>2092</v>
      </c>
      <c r="F1103" s="84"/>
      <c r="G1103" s="74">
        <f t="shared" si="154"/>
        <v>0</v>
      </c>
      <c r="H1103" s="74">
        <f>bore!I24</f>
        <v>12</v>
      </c>
      <c r="I1103" s="74">
        <f t="shared" si="155"/>
        <v>12054</v>
      </c>
      <c r="J1103" s="74"/>
      <c r="K1103" s="74">
        <f t="shared" si="156"/>
        <v>0</v>
      </c>
      <c r="L1103" s="74"/>
      <c r="M1103" s="74">
        <f t="shared" si="157"/>
        <v>0</v>
      </c>
      <c r="N1103" s="74">
        <f t="shared" si="158"/>
        <v>12</v>
      </c>
      <c r="O1103" s="74">
        <f t="shared" si="159"/>
        <v>12054</v>
      </c>
      <c r="P1103" s="74">
        <f t="shared" si="160"/>
        <v>12</v>
      </c>
      <c r="Q1103" s="74">
        <f t="shared" si="161"/>
        <v>12054</v>
      </c>
    </row>
    <row r="1104" spans="1:17" ht="174.95" customHeight="1">
      <c r="A1104" s="83"/>
      <c r="B1104" s="72">
        <f t="shared" si="153"/>
        <v>0</v>
      </c>
      <c r="C1104" s="1435" t="s">
        <v>6019</v>
      </c>
      <c r="D1104" s="1232"/>
      <c r="E1104" s="1230"/>
      <c r="F1104" s="84"/>
      <c r="G1104" s="74">
        <f t="shared" si="154"/>
        <v>0</v>
      </c>
      <c r="H1104" s="74"/>
      <c r="I1104" s="74">
        <f t="shared" si="155"/>
        <v>0</v>
      </c>
      <c r="J1104" s="74"/>
      <c r="K1104" s="74">
        <f t="shared" si="156"/>
        <v>0</v>
      </c>
      <c r="L1104" s="74"/>
      <c r="M1104" s="74">
        <f t="shared" si="157"/>
        <v>0</v>
      </c>
      <c r="N1104" s="74">
        <f t="shared" si="158"/>
        <v>0</v>
      </c>
      <c r="O1104" s="74">
        <f t="shared" si="159"/>
        <v>0</v>
      </c>
      <c r="P1104" s="74">
        <f t="shared" si="160"/>
        <v>0</v>
      </c>
      <c r="Q1104" s="74">
        <f t="shared" si="161"/>
        <v>0</v>
      </c>
    </row>
    <row r="1105" spans="1:17" ht="49.5" customHeight="1">
      <c r="A1105" s="83"/>
      <c r="B1105" s="72">
        <f t="shared" si="153"/>
        <v>24</v>
      </c>
      <c r="C1105" s="82" t="s">
        <v>6020</v>
      </c>
      <c r="D1105" s="1232">
        <v>369.6</v>
      </c>
      <c r="E1105" s="1230" t="s">
        <v>2092</v>
      </c>
      <c r="F1105" s="84"/>
      <c r="G1105" s="74">
        <f t="shared" si="154"/>
        <v>0</v>
      </c>
      <c r="H1105" s="74">
        <f>bore!I32</f>
        <v>24</v>
      </c>
      <c r="I1105" s="74">
        <f t="shared" si="155"/>
        <v>8870.4</v>
      </c>
      <c r="J1105" s="74"/>
      <c r="K1105" s="74">
        <f t="shared" si="156"/>
        <v>0</v>
      </c>
      <c r="L1105" s="74"/>
      <c r="M1105" s="74">
        <f t="shared" si="157"/>
        <v>0</v>
      </c>
      <c r="N1105" s="74">
        <f t="shared" si="158"/>
        <v>24</v>
      </c>
      <c r="O1105" s="74">
        <f t="shared" si="159"/>
        <v>8870.4</v>
      </c>
      <c r="P1105" s="74">
        <f t="shared" si="160"/>
        <v>24</v>
      </c>
      <c r="Q1105" s="74">
        <f t="shared" si="161"/>
        <v>8870.4</v>
      </c>
    </row>
    <row r="1106" spans="1:17" ht="49.5" hidden="1" customHeight="1">
      <c r="A1106" s="83"/>
      <c r="B1106" s="72">
        <f t="shared" si="153"/>
        <v>0</v>
      </c>
      <c r="C1106" s="82" t="s">
        <v>6021</v>
      </c>
      <c r="D1106" s="1232"/>
      <c r="E1106" s="1230" t="s">
        <v>2092</v>
      </c>
      <c r="F1106" s="84"/>
      <c r="G1106" s="74">
        <f t="shared" si="154"/>
        <v>0</v>
      </c>
      <c r="H1106" s="74"/>
      <c r="I1106" s="74">
        <f t="shared" si="155"/>
        <v>0</v>
      </c>
      <c r="J1106" s="74"/>
      <c r="K1106" s="74">
        <f t="shared" si="156"/>
        <v>0</v>
      </c>
      <c r="L1106" s="74"/>
      <c r="M1106" s="74">
        <f t="shared" si="157"/>
        <v>0</v>
      </c>
      <c r="N1106" s="74">
        <f t="shared" si="158"/>
        <v>0</v>
      </c>
      <c r="O1106" s="74">
        <f t="shared" si="159"/>
        <v>0</v>
      </c>
      <c r="P1106" s="74">
        <f t="shared" si="160"/>
        <v>0</v>
      </c>
      <c r="Q1106" s="74">
        <f t="shared" si="161"/>
        <v>0</v>
      </c>
    </row>
    <row r="1107" spans="1:17" ht="150.6" customHeight="1">
      <c r="A1107" s="83"/>
      <c r="B1107" s="72">
        <f t="shared" si="153"/>
        <v>1</v>
      </c>
      <c r="C1107" s="82" t="s">
        <v>6022</v>
      </c>
      <c r="D1107" s="1232">
        <v>104.5</v>
      </c>
      <c r="E1107" s="1230" t="s">
        <v>41</v>
      </c>
      <c r="F1107" s="84"/>
      <c r="G1107" s="74">
        <f t="shared" si="154"/>
        <v>0</v>
      </c>
      <c r="H1107" s="74">
        <f>bore!I28</f>
        <v>1</v>
      </c>
      <c r="I1107" s="74">
        <f t="shared" si="155"/>
        <v>104.5</v>
      </c>
      <c r="J1107" s="74"/>
      <c r="K1107" s="74">
        <f t="shared" si="156"/>
        <v>0</v>
      </c>
      <c r="L1107" s="74"/>
      <c r="M1107" s="74">
        <f t="shared" si="157"/>
        <v>0</v>
      </c>
      <c r="N1107" s="74">
        <f t="shared" si="158"/>
        <v>1</v>
      </c>
      <c r="O1107" s="74">
        <f t="shared" si="159"/>
        <v>104.5</v>
      </c>
      <c r="P1107" s="74">
        <f t="shared" si="160"/>
        <v>1</v>
      </c>
      <c r="Q1107" s="74">
        <f t="shared" si="161"/>
        <v>104.5</v>
      </c>
    </row>
    <row r="1108" spans="1:17" ht="204" customHeight="1">
      <c r="A1108" s="83"/>
      <c r="B1108" s="72">
        <f t="shared" si="153"/>
        <v>8</v>
      </c>
      <c r="C1108" s="82" t="s">
        <v>6023</v>
      </c>
      <c r="D1108" s="1232">
        <v>1937.1</v>
      </c>
      <c r="E1108" s="1230" t="s">
        <v>6024</v>
      </c>
      <c r="F1108" s="84"/>
      <c r="G1108" s="74">
        <f t="shared" si="154"/>
        <v>0</v>
      </c>
      <c r="H1108" s="74">
        <f>bore!I36</f>
        <v>8</v>
      </c>
      <c r="I1108" s="74">
        <f t="shared" si="155"/>
        <v>15496.8</v>
      </c>
      <c r="J1108" s="74"/>
      <c r="K1108" s="74">
        <f t="shared" si="156"/>
        <v>0</v>
      </c>
      <c r="L1108" s="74"/>
      <c r="M1108" s="74">
        <f t="shared" si="157"/>
        <v>0</v>
      </c>
      <c r="N1108" s="74">
        <f t="shared" si="158"/>
        <v>8</v>
      </c>
      <c r="O1108" s="74">
        <f t="shared" si="159"/>
        <v>15496.8</v>
      </c>
      <c r="P1108" s="74">
        <f t="shared" si="160"/>
        <v>8</v>
      </c>
      <c r="Q1108" s="74">
        <f t="shared" si="161"/>
        <v>15496.8</v>
      </c>
    </row>
    <row r="1109" spans="1:17" ht="401.25" customHeight="1">
      <c r="A1109" s="83"/>
      <c r="B1109" s="72">
        <f t="shared" si="153"/>
        <v>0</v>
      </c>
      <c r="C1109" s="1435" t="s">
        <v>6025</v>
      </c>
      <c r="D1109" s="1232"/>
      <c r="E1109" s="1230"/>
      <c r="F1109" s="84"/>
      <c r="G1109" s="74">
        <f t="shared" si="154"/>
        <v>0</v>
      </c>
      <c r="H1109" s="74"/>
      <c r="I1109" s="74">
        <f t="shared" si="155"/>
        <v>0</v>
      </c>
      <c r="J1109" s="74"/>
      <c r="K1109" s="74">
        <f t="shared" si="156"/>
        <v>0</v>
      </c>
      <c r="L1109" s="74"/>
      <c r="M1109" s="74">
        <f t="shared" si="157"/>
        <v>0</v>
      </c>
      <c r="N1109" s="74">
        <f t="shared" si="158"/>
        <v>0</v>
      </c>
      <c r="O1109" s="74">
        <f t="shared" si="159"/>
        <v>0</v>
      </c>
      <c r="P1109" s="74">
        <f t="shared" si="160"/>
        <v>0</v>
      </c>
      <c r="Q1109" s="74">
        <f t="shared" si="161"/>
        <v>0</v>
      </c>
    </row>
    <row r="1110" spans="1:17" ht="48" customHeight="1">
      <c r="A1110" s="83"/>
      <c r="B1110" s="72">
        <f t="shared" si="153"/>
        <v>0</v>
      </c>
      <c r="C1110" s="82" t="s">
        <v>6026</v>
      </c>
      <c r="D1110" s="1232">
        <v>285.14999999999998</v>
      </c>
      <c r="E1110" s="1230" t="s">
        <v>4880</v>
      </c>
      <c r="F1110" s="84"/>
      <c r="G1110" s="74">
        <f t="shared" si="154"/>
        <v>0</v>
      </c>
      <c r="H1110" s="74"/>
      <c r="I1110" s="74">
        <f t="shared" si="155"/>
        <v>0</v>
      </c>
      <c r="J1110" s="74"/>
      <c r="K1110" s="74">
        <f t="shared" si="156"/>
        <v>0</v>
      </c>
      <c r="L1110" s="74"/>
      <c r="M1110" s="74">
        <f t="shared" si="157"/>
        <v>0</v>
      </c>
      <c r="N1110" s="74">
        <f t="shared" si="158"/>
        <v>0</v>
      </c>
      <c r="O1110" s="74">
        <f t="shared" si="159"/>
        <v>0</v>
      </c>
      <c r="P1110" s="74">
        <f t="shared" si="160"/>
        <v>0</v>
      </c>
      <c r="Q1110" s="74">
        <f t="shared" si="161"/>
        <v>0</v>
      </c>
    </row>
    <row r="1111" spans="1:17" ht="45" customHeight="1">
      <c r="A1111" s="83"/>
      <c r="B1111" s="72">
        <f t="shared" si="153"/>
        <v>25</v>
      </c>
      <c r="C1111" s="82" t="s">
        <v>6027</v>
      </c>
      <c r="D1111" s="1640">
        <v>261.56</v>
      </c>
      <c r="E1111" s="1230" t="s">
        <v>4880</v>
      </c>
      <c r="F1111" s="84"/>
      <c r="G1111" s="74">
        <f t="shared" si="154"/>
        <v>0</v>
      </c>
      <c r="H1111" s="74">
        <f>bore!I84</f>
        <v>25</v>
      </c>
      <c r="I1111" s="74">
        <f t="shared" si="155"/>
        <v>6539</v>
      </c>
      <c r="J1111" s="74"/>
      <c r="K1111" s="74">
        <f t="shared" si="156"/>
        <v>0</v>
      </c>
      <c r="L1111" s="74"/>
      <c r="M1111" s="74">
        <f t="shared" si="157"/>
        <v>0</v>
      </c>
      <c r="N1111" s="74">
        <f t="shared" si="158"/>
        <v>25</v>
      </c>
      <c r="O1111" s="74">
        <f t="shared" si="159"/>
        <v>6539</v>
      </c>
      <c r="P1111" s="74">
        <f t="shared" si="160"/>
        <v>25</v>
      </c>
      <c r="Q1111" s="74">
        <f t="shared" si="161"/>
        <v>6539</v>
      </c>
    </row>
    <row r="1112" spans="1:17" ht="46.5" customHeight="1">
      <c r="A1112" s="83"/>
      <c r="B1112" s="72">
        <f t="shared" si="153"/>
        <v>0</v>
      </c>
      <c r="C1112" s="82" t="s">
        <v>6028</v>
      </c>
      <c r="D1112" s="1232">
        <v>211.01</v>
      </c>
      <c r="E1112" s="1230" t="s">
        <v>4880</v>
      </c>
      <c r="F1112" s="84"/>
      <c r="G1112" s="74">
        <f t="shared" si="154"/>
        <v>0</v>
      </c>
      <c r="H1112" s="74"/>
      <c r="I1112" s="74">
        <f t="shared" si="155"/>
        <v>0</v>
      </c>
      <c r="J1112" s="74"/>
      <c r="K1112" s="74">
        <f t="shared" si="156"/>
        <v>0</v>
      </c>
      <c r="L1112" s="74"/>
      <c r="M1112" s="74">
        <f t="shared" si="157"/>
        <v>0</v>
      </c>
      <c r="N1112" s="74">
        <f t="shared" si="158"/>
        <v>0</v>
      </c>
      <c r="O1112" s="74">
        <f t="shared" si="159"/>
        <v>0</v>
      </c>
      <c r="P1112" s="74">
        <f t="shared" si="160"/>
        <v>0</v>
      </c>
      <c r="Q1112" s="74">
        <f t="shared" si="161"/>
        <v>0</v>
      </c>
    </row>
    <row r="1113" spans="1:17" ht="409.5" customHeight="1">
      <c r="A1113" s="83"/>
      <c r="B1113" s="72">
        <f t="shared" si="153"/>
        <v>0</v>
      </c>
      <c r="C1113" s="1435" t="s">
        <v>6029</v>
      </c>
      <c r="D1113" s="1232"/>
      <c r="E1113" s="1230"/>
      <c r="F1113" s="84"/>
      <c r="G1113" s="74">
        <f t="shared" si="154"/>
        <v>0</v>
      </c>
      <c r="H1113" s="74"/>
      <c r="I1113" s="74">
        <f t="shared" si="155"/>
        <v>0</v>
      </c>
      <c r="J1113" s="74"/>
      <c r="K1113" s="74">
        <f t="shared" si="156"/>
        <v>0</v>
      </c>
      <c r="L1113" s="74"/>
      <c r="M1113" s="74">
        <f t="shared" si="157"/>
        <v>0</v>
      </c>
      <c r="N1113" s="74">
        <f t="shared" si="158"/>
        <v>0</v>
      </c>
      <c r="O1113" s="74">
        <f t="shared" si="159"/>
        <v>0</v>
      </c>
      <c r="P1113" s="74">
        <f t="shared" si="160"/>
        <v>0</v>
      </c>
      <c r="Q1113" s="74">
        <f t="shared" si="161"/>
        <v>0</v>
      </c>
    </row>
    <row r="1114" spans="1:17" ht="46.5" customHeight="1">
      <c r="A1114" s="83"/>
      <c r="B1114" s="72">
        <f t="shared" si="153"/>
        <v>30</v>
      </c>
      <c r="C1114" s="82" t="s">
        <v>6030</v>
      </c>
      <c r="D1114" s="1232">
        <v>362.87</v>
      </c>
      <c r="E1114" s="1230" t="s">
        <v>4880</v>
      </c>
      <c r="F1114" s="84"/>
      <c r="G1114" s="74">
        <f t="shared" si="154"/>
        <v>0</v>
      </c>
      <c r="H1114" s="74">
        <f>bore!I87</f>
        <v>30</v>
      </c>
      <c r="I1114" s="74">
        <f t="shared" si="155"/>
        <v>10886.1</v>
      </c>
      <c r="J1114" s="74"/>
      <c r="K1114" s="74">
        <f t="shared" si="156"/>
        <v>0</v>
      </c>
      <c r="L1114" s="74"/>
      <c r="M1114" s="74">
        <f t="shared" si="157"/>
        <v>0</v>
      </c>
      <c r="N1114" s="74">
        <f t="shared" si="158"/>
        <v>30</v>
      </c>
      <c r="O1114" s="74">
        <f t="shared" si="159"/>
        <v>10886.1</v>
      </c>
      <c r="P1114" s="74">
        <f t="shared" si="160"/>
        <v>30</v>
      </c>
      <c r="Q1114" s="74">
        <f t="shared" si="161"/>
        <v>10886.1</v>
      </c>
    </row>
    <row r="1115" spans="1:17" ht="105.95" customHeight="1">
      <c r="A1115" s="83"/>
      <c r="B1115" s="72">
        <f t="shared" si="153"/>
        <v>0</v>
      </c>
      <c r="C1115" s="1435" t="s">
        <v>3804</v>
      </c>
      <c r="D1115" s="1232"/>
      <c r="E1115" s="1230"/>
      <c r="F1115" s="84"/>
      <c r="G1115" s="74">
        <f t="shared" si="154"/>
        <v>0</v>
      </c>
      <c r="H1115" s="74"/>
      <c r="I1115" s="74">
        <f t="shared" si="155"/>
        <v>0</v>
      </c>
      <c r="J1115" s="74"/>
      <c r="K1115" s="74">
        <f t="shared" si="156"/>
        <v>0</v>
      </c>
      <c r="L1115" s="74"/>
      <c r="M1115" s="74">
        <f t="shared" si="157"/>
        <v>0</v>
      </c>
      <c r="N1115" s="74">
        <f t="shared" si="158"/>
        <v>0</v>
      </c>
      <c r="O1115" s="74">
        <f t="shared" si="159"/>
        <v>0</v>
      </c>
      <c r="P1115" s="74">
        <f t="shared" si="160"/>
        <v>0</v>
      </c>
      <c r="Q1115" s="74">
        <f t="shared" si="161"/>
        <v>0</v>
      </c>
    </row>
    <row r="1116" spans="1:17" ht="46.5" customHeight="1">
      <c r="A1116" s="83"/>
      <c r="B1116" s="72">
        <f t="shared" si="153"/>
        <v>1</v>
      </c>
      <c r="C1116" s="82" t="s">
        <v>6031</v>
      </c>
      <c r="D1116" s="1232">
        <v>237</v>
      </c>
      <c r="E1116" s="1230" t="s">
        <v>41</v>
      </c>
      <c r="F1116" s="84"/>
      <c r="G1116" s="74">
        <f t="shared" si="154"/>
        <v>0</v>
      </c>
      <c r="H1116" s="74">
        <f>bore!I46</f>
        <v>1</v>
      </c>
      <c r="I1116" s="74">
        <f t="shared" si="155"/>
        <v>237</v>
      </c>
      <c r="J1116" s="74"/>
      <c r="K1116" s="74">
        <f t="shared" si="156"/>
        <v>0</v>
      </c>
      <c r="L1116" s="74"/>
      <c r="M1116" s="74">
        <f t="shared" si="157"/>
        <v>0</v>
      </c>
      <c r="N1116" s="74">
        <f t="shared" si="158"/>
        <v>1</v>
      </c>
      <c r="O1116" s="74">
        <f t="shared" si="159"/>
        <v>237</v>
      </c>
      <c r="P1116" s="74">
        <f t="shared" si="160"/>
        <v>1</v>
      </c>
      <c r="Q1116" s="74">
        <f t="shared" si="161"/>
        <v>237</v>
      </c>
    </row>
    <row r="1117" spans="1:17" ht="46.5" customHeight="1">
      <c r="A1117" s="83"/>
      <c r="B1117" s="72">
        <f t="shared" si="153"/>
        <v>40</v>
      </c>
      <c r="C1117" s="82" t="s">
        <v>6032</v>
      </c>
      <c r="D1117" s="1232">
        <v>61.8</v>
      </c>
      <c r="E1117" s="1230" t="s">
        <v>4880</v>
      </c>
      <c r="F1117" s="84"/>
      <c r="G1117" s="74">
        <f t="shared" si="154"/>
        <v>0</v>
      </c>
      <c r="H1117" s="74">
        <f>bore!I49</f>
        <v>40</v>
      </c>
      <c r="I1117" s="74">
        <f t="shared" si="155"/>
        <v>2472</v>
      </c>
      <c r="J1117" s="74"/>
      <c r="K1117" s="74">
        <f t="shared" si="156"/>
        <v>0</v>
      </c>
      <c r="L1117" s="74"/>
      <c r="M1117" s="74">
        <f t="shared" si="157"/>
        <v>0</v>
      </c>
      <c r="N1117" s="74">
        <f t="shared" si="158"/>
        <v>40</v>
      </c>
      <c r="O1117" s="74">
        <f t="shared" si="159"/>
        <v>2472</v>
      </c>
      <c r="P1117" s="74">
        <f t="shared" si="160"/>
        <v>40</v>
      </c>
      <c r="Q1117" s="74">
        <f t="shared" si="161"/>
        <v>2472</v>
      </c>
    </row>
    <row r="1118" spans="1:17" ht="213" hidden="1" customHeight="1">
      <c r="A1118" s="83"/>
      <c r="B1118" s="72">
        <f t="shared" si="153"/>
        <v>0</v>
      </c>
      <c r="C1118" s="82" t="s">
        <v>6033</v>
      </c>
      <c r="D1118" s="1232">
        <v>34800</v>
      </c>
      <c r="E1118" s="1230" t="s">
        <v>2847</v>
      </c>
      <c r="F1118" s="84"/>
      <c r="G1118" s="74">
        <f t="shared" si="154"/>
        <v>0</v>
      </c>
      <c r="H1118" s="74"/>
      <c r="I1118" s="74">
        <f t="shared" si="155"/>
        <v>0</v>
      </c>
      <c r="J1118" s="74"/>
      <c r="K1118" s="74">
        <f t="shared" si="156"/>
        <v>0</v>
      </c>
      <c r="L1118" s="74"/>
      <c r="M1118" s="74">
        <f t="shared" si="157"/>
        <v>0</v>
      </c>
      <c r="N1118" s="74">
        <f t="shared" si="158"/>
        <v>0</v>
      </c>
      <c r="O1118" s="74">
        <f t="shared" si="159"/>
        <v>0</v>
      </c>
      <c r="P1118" s="74">
        <f t="shared" si="160"/>
        <v>0</v>
      </c>
      <c r="Q1118" s="74">
        <f t="shared" si="161"/>
        <v>0</v>
      </c>
    </row>
    <row r="1119" spans="1:17" ht="231" customHeight="1">
      <c r="A1119" s="83"/>
      <c r="B1119" s="72">
        <f t="shared" si="153"/>
        <v>0</v>
      </c>
      <c r="C1119" s="82" t="s">
        <v>6034</v>
      </c>
      <c r="D1119" s="1232">
        <v>30478</v>
      </c>
      <c r="E1119" s="1230" t="s">
        <v>2847</v>
      </c>
      <c r="F1119" s="84"/>
      <c r="G1119" s="74">
        <f t="shared" si="154"/>
        <v>0</v>
      </c>
      <c r="H1119" s="74"/>
      <c r="I1119" s="74">
        <f t="shared" si="155"/>
        <v>0</v>
      </c>
      <c r="J1119" s="74"/>
      <c r="K1119" s="74">
        <f t="shared" si="156"/>
        <v>0</v>
      </c>
      <c r="L1119" s="74"/>
      <c r="M1119" s="74">
        <f t="shared" si="157"/>
        <v>0</v>
      </c>
      <c r="N1119" s="74">
        <f t="shared" si="158"/>
        <v>0</v>
      </c>
      <c r="O1119" s="74">
        <f t="shared" si="159"/>
        <v>0</v>
      </c>
      <c r="P1119" s="74">
        <f t="shared" si="160"/>
        <v>0</v>
      </c>
      <c r="Q1119" s="74">
        <f t="shared" si="161"/>
        <v>0</v>
      </c>
    </row>
    <row r="1120" spans="1:17" ht="343.5" hidden="1" customHeight="1">
      <c r="A1120" s="83"/>
      <c r="B1120" s="72">
        <f t="shared" si="153"/>
        <v>0</v>
      </c>
      <c r="C1120" s="82" t="s">
        <v>6035</v>
      </c>
      <c r="D1120" s="1232">
        <v>9758.34</v>
      </c>
      <c r="E1120" s="1230" t="s">
        <v>2847</v>
      </c>
      <c r="F1120" s="84"/>
      <c r="G1120" s="74">
        <f t="shared" si="154"/>
        <v>0</v>
      </c>
      <c r="H1120" s="74"/>
      <c r="I1120" s="74">
        <f t="shared" si="155"/>
        <v>0</v>
      </c>
      <c r="J1120" s="74"/>
      <c r="K1120" s="74">
        <f t="shared" si="156"/>
        <v>0</v>
      </c>
      <c r="L1120" s="74"/>
      <c r="M1120" s="74">
        <f t="shared" si="157"/>
        <v>0</v>
      </c>
      <c r="N1120" s="74">
        <f t="shared" si="158"/>
        <v>0</v>
      </c>
      <c r="O1120" s="74">
        <f t="shared" si="159"/>
        <v>0</v>
      </c>
      <c r="P1120" s="74">
        <f t="shared" si="160"/>
        <v>0</v>
      </c>
      <c r="Q1120" s="74">
        <f t="shared" si="161"/>
        <v>0</v>
      </c>
    </row>
    <row r="1121" spans="1:17" ht="91.5" hidden="1" customHeight="1">
      <c r="A1121" s="83"/>
      <c r="B1121" s="72">
        <f t="shared" si="153"/>
        <v>0</v>
      </c>
      <c r="C1121" s="82" t="s">
        <v>6036</v>
      </c>
      <c r="D1121" s="1232">
        <v>166</v>
      </c>
      <c r="E1121" s="1230" t="s">
        <v>4880</v>
      </c>
      <c r="F1121" s="84"/>
      <c r="G1121" s="74">
        <f t="shared" si="154"/>
        <v>0</v>
      </c>
      <c r="H1121" s="74"/>
      <c r="I1121" s="74">
        <f t="shared" si="155"/>
        <v>0</v>
      </c>
      <c r="J1121" s="74"/>
      <c r="K1121" s="74">
        <f t="shared" si="156"/>
        <v>0</v>
      </c>
      <c r="L1121" s="74"/>
      <c r="M1121" s="74">
        <f t="shared" si="157"/>
        <v>0</v>
      </c>
      <c r="N1121" s="74">
        <f t="shared" si="158"/>
        <v>0</v>
      </c>
      <c r="O1121" s="74">
        <f t="shared" si="159"/>
        <v>0</v>
      </c>
      <c r="P1121" s="74">
        <f t="shared" si="160"/>
        <v>0</v>
      </c>
      <c r="Q1121" s="74">
        <f t="shared" si="161"/>
        <v>0</v>
      </c>
    </row>
    <row r="1122" spans="1:17" ht="46.5" hidden="1" customHeight="1">
      <c r="A1122" s="83"/>
      <c r="B1122" s="72">
        <f t="shared" si="153"/>
        <v>0</v>
      </c>
      <c r="C1122" s="82" t="s">
        <v>6037</v>
      </c>
      <c r="D1122" s="1232"/>
      <c r="E1122" s="1230"/>
      <c r="F1122" s="84"/>
      <c r="G1122" s="74">
        <f t="shared" si="154"/>
        <v>0</v>
      </c>
      <c r="H1122" s="74"/>
      <c r="I1122" s="74">
        <f t="shared" si="155"/>
        <v>0</v>
      </c>
      <c r="J1122" s="74"/>
      <c r="K1122" s="74">
        <f t="shared" si="156"/>
        <v>0</v>
      </c>
      <c r="L1122" s="74"/>
      <c r="M1122" s="74">
        <f t="shared" si="157"/>
        <v>0</v>
      </c>
      <c r="N1122" s="74">
        <f t="shared" si="158"/>
        <v>0</v>
      </c>
      <c r="O1122" s="74">
        <f t="shared" si="159"/>
        <v>0</v>
      </c>
      <c r="P1122" s="74">
        <f t="shared" si="160"/>
        <v>0</v>
      </c>
      <c r="Q1122" s="74">
        <f t="shared" si="161"/>
        <v>0</v>
      </c>
    </row>
    <row r="1123" spans="1:17" ht="46.5" hidden="1" customHeight="1">
      <c r="A1123" s="83"/>
      <c r="B1123" s="72">
        <f t="shared" si="153"/>
        <v>0</v>
      </c>
      <c r="C1123" s="82" t="s">
        <v>6038</v>
      </c>
      <c r="D1123" s="1232">
        <v>2001.17</v>
      </c>
      <c r="E1123" s="1230" t="s">
        <v>41</v>
      </c>
      <c r="F1123" s="84"/>
      <c r="G1123" s="74">
        <f t="shared" si="154"/>
        <v>0</v>
      </c>
      <c r="H1123" s="74"/>
      <c r="I1123" s="74">
        <f t="shared" si="155"/>
        <v>0</v>
      </c>
      <c r="J1123" s="74"/>
      <c r="K1123" s="74">
        <f t="shared" si="156"/>
        <v>0</v>
      </c>
      <c r="L1123" s="74"/>
      <c r="M1123" s="74">
        <f t="shared" si="157"/>
        <v>0</v>
      </c>
      <c r="N1123" s="74">
        <f t="shared" si="158"/>
        <v>0</v>
      </c>
      <c r="O1123" s="74">
        <f t="shared" si="159"/>
        <v>0</v>
      </c>
      <c r="P1123" s="74">
        <f t="shared" si="160"/>
        <v>0</v>
      </c>
      <c r="Q1123" s="74">
        <f t="shared" si="161"/>
        <v>0</v>
      </c>
    </row>
    <row r="1124" spans="1:17" ht="46.5" hidden="1" customHeight="1">
      <c r="A1124" s="83"/>
      <c r="B1124" s="72">
        <f t="shared" si="153"/>
        <v>0</v>
      </c>
      <c r="C1124" s="82" t="s">
        <v>6039</v>
      </c>
      <c r="D1124" s="1232">
        <v>1982.37</v>
      </c>
      <c r="E1124" s="1230" t="s">
        <v>41</v>
      </c>
      <c r="F1124" s="84"/>
      <c r="G1124" s="74">
        <f t="shared" si="154"/>
        <v>0</v>
      </c>
      <c r="H1124" s="74"/>
      <c r="I1124" s="74">
        <f t="shared" si="155"/>
        <v>0</v>
      </c>
      <c r="J1124" s="74"/>
      <c r="K1124" s="74">
        <f t="shared" si="156"/>
        <v>0</v>
      </c>
      <c r="L1124" s="74"/>
      <c r="M1124" s="74">
        <f t="shared" si="157"/>
        <v>0</v>
      </c>
      <c r="N1124" s="74">
        <f t="shared" si="158"/>
        <v>0</v>
      </c>
      <c r="O1124" s="74">
        <f t="shared" si="159"/>
        <v>0</v>
      </c>
      <c r="P1124" s="74">
        <f t="shared" si="160"/>
        <v>0</v>
      </c>
      <c r="Q1124" s="74">
        <f t="shared" si="161"/>
        <v>0</v>
      </c>
    </row>
    <row r="1125" spans="1:17" ht="129.75" hidden="1" customHeight="1">
      <c r="A1125" s="83"/>
      <c r="B1125" s="72">
        <f t="shared" si="153"/>
        <v>0</v>
      </c>
      <c r="C1125" s="82" t="s">
        <v>6040</v>
      </c>
      <c r="D1125" s="1232">
        <v>4947</v>
      </c>
      <c r="E1125" s="1230" t="s">
        <v>2847</v>
      </c>
      <c r="F1125" s="84"/>
      <c r="G1125" s="74">
        <f t="shared" si="154"/>
        <v>0</v>
      </c>
      <c r="H1125" s="74"/>
      <c r="I1125" s="74">
        <f t="shared" si="155"/>
        <v>0</v>
      </c>
      <c r="J1125" s="74"/>
      <c r="K1125" s="74">
        <f t="shared" si="156"/>
        <v>0</v>
      </c>
      <c r="L1125" s="74"/>
      <c r="M1125" s="74">
        <f t="shared" si="157"/>
        <v>0</v>
      </c>
      <c r="N1125" s="74">
        <f t="shared" si="158"/>
        <v>0</v>
      </c>
      <c r="O1125" s="74">
        <f t="shared" si="159"/>
        <v>0</v>
      </c>
      <c r="P1125" s="74">
        <f t="shared" si="160"/>
        <v>0</v>
      </c>
      <c r="Q1125" s="74">
        <f t="shared" si="161"/>
        <v>0</v>
      </c>
    </row>
    <row r="1126" spans="1:17" ht="46.5" hidden="1" customHeight="1">
      <c r="A1126" s="83"/>
      <c r="B1126" s="72">
        <f t="shared" si="153"/>
        <v>0</v>
      </c>
      <c r="C1126" s="82"/>
      <c r="D1126" s="1232"/>
      <c r="E1126" s="1230"/>
      <c r="F1126" s="84"/>
      <c r="G1126" s="74">
        <f t="shared" si="154"/>
        <v>0</v>
      </c>
      <c r="H1126" s="74"/>
      <c r="I1126" s="74">
        <f t="shared" si="155"/>
        <v>0</v>
      </c>
      <c r="J1126" s="74"/>
      <c r="K1126" s="74">
        <f t="shared" si="156"/>
        <v>0</v>
      </c>
      <c r="L1126" s="74"/>
      <c r="M1126" s="74">
        <f t="shared" si="157"/>
        <v>0</v>
      </c>
      <c r="N1126" s="74">
        <f t="shared" si="158"/>
        <v>0</v>
      </c>
      <c r="O1126" s="74">
        <f t="shared" si="159"/>
        <v>0</v>
      </c>
      <c r="P1126" s="74">
        <f t="shared" si="160"/>
        <v>0</v>
      </c>
      <c r="Q1126" s="74">
        <f t="shared" si="161"/>
        <v>0</v>
      </c>
    </row>
    <row r="1127" spans="1:17" ht="46.5" hidden="1" customHeight="1">
      <c r="A1127" s="83"/>
      <c r="B1127" s="72">
        <f t="shared" si="153"/>
        <v>0</v>
      </c>
      <c r="C1127" s="82"/>
      <c r="D1127" s="1232"/>
      <c r="E1127" s="1230"/>
      <c r="F1127" s="84"/>
      <c r="G1127" s="74">
        <f t="shared" si="154"/>
        <v>0</v>
      </c>
      <c r="H1127" s="74"/>
      <c r="I1127" s="74">
        <f t="shared" si="155"/>
        <v>0</v>
      </c>
      <c r="J1127" s="74"/>
      <c r="K1127" s="74">
        <f t="shared" si="156"/>
        <v>0</v>
      </c>
      <c r="L1127" s="74"/>
      <c r="M1127" s="74">
        <f t="shared" si="157"/>
        <v>0</v>
      </c>
      <c r="N1127" s="74">
        <f t="shared" si="158"/>
        <v>0</v>
      </c>
      <c r="O1127" s="74">
        <f t="shared" si="159"/>
        <v>0</v>
      </c>
      <c r="P1127" s="74">
        <f t="shared" si="160"/>
        <v>0</v>
      </c>
      <c r="Q1127" s="74">
        <f t="shared" si="161"/>
        <v>0</v>
      </c>
    </row>
    <row r="1128" spans="1:17" ht="49.5" hidden="1" customHeight="1">
      <c r="A1128" s="83"/>
      <c r="B1128" s="72">
        <f t="shared" si="153"/>
        <v>0</v>
      </c>
      <c r="C1128" s="1435" t="s">
        <v>6041</v>
      </c>
      <c r="D1128" s="1232"/>
      <c r="E1128" s="1230"/>
      <c r="F1128" s="84"/>
      <c r="G1128" s="74">
        <f t="shared" si="154"/>
        <v>0</v>
      </c>
      <c r="H1128" s="74"/>
      <c r="I1128" s="74">
        <f t="shared" si="155"/>
        <v>0</v>
      </c>
      <c r="J1128" s="74"/>
      <c r="K1128" s="74">
        <f t="shared" si="156"/>
        <v>0</v>
      </c>
      <c r="L1128" s="74"/>
      <c r="M1128" s="74">
        <f t="shared" si="157"/>
        <v>0</v>
      </c>
      <c r="N1128" s="74">
        <f t="shared" si="158"/>
        <v>0</v>
      </c>
      <c r="O1128" s="74">
        <f t="shared" si="159"/>
        <v>0</v>
      </c>
      <c r="P1128" s="74">
        <f t="shared" si="160"/>
        <v>0</v>
      </c>
      <c r="Q1128" s="74">
        <f t="shared" si="161"/>
        <v>0</v>
      </c>
    </row>
    <row r="1129" spans="1:17" ht="147.75" hidden="1" customHeight="1">
      <c r="A1129" s="83"/>
      <c r="B1129" s="72">
        <f t="shared" si="153"/>
        <v>0</v>
      </c>
      <c r="C1129" s="82" t="s">
        <v>6042</v>
      </c>
      <c r="D1129" s="1236">
        <v>29800</v>
      </c>
      <c r="E1129" s="1230" t="s">
        <v>1034</v>
      </c>
      <c r="F1129" s="84"/>
      <c r="G1129" s="74">
        <f t="shared" si="154"/>
        <v>0</v>
      </c>
      <c r="H1129" s="74"/>
      <c r="I1129" s="74">
        <f t="shared" si="155"/>
        <v>0</v>
      </c>
      <c r="J1129" s="74"/>
      <c r="K1129" s="74">
        <f t="shared" si="156"/>
        <v>0</v>
      </c>
      <c r="L1129" s="74"/>
      <c r="M1129" s="74">
        <f t="shared" si="157"/>
        <v>0</v>
      </c>
      <c r="N1129" s="74">
        <f t="shared" si="158"/>
        <v>0</v>
      </c>
      <c r="O1129" s="74">
        <f t="shared" si="159"/>
        <v>0</v>
      </c>
      <c r="P1129" s="74">
        <f t="shared" si="160"/>
        <v>0</v>
      </c>
      <c r="Q1129" s="74">
        <f t="shared" si="161"/>
        <v>0</v>
      </c>
    </row>
    <row r="1130" spans="1:17" ht="75.75" hidden="1" customHeight="1">
      <c r="A1130" s="83"/>
      <c r="B1130" s="72">
        <f t="shared" si="153"/>
        <v>0</v>
      </c>
      <c r="C1130" s="82" t="s">
        <v>7028</v>
      </c>
      <c r="D1130" s="1236">
        <v>9758.34</v>
      </c>
      <c r="E1130" s="1230" t="s">
        <v>1034</v>
      </c>
      <c r="F1130" s="84"/>
      <c r="G1130" s="74">
        <f t="shared" si="154"/>
        <v>0</v>
      </c>
      <c r="H1130" s="74"/>
      <c r="I1130" s="74">
        <f t="shared" si="155"/>
        <v>0</v>
      </c>
      <c r="J1130" s="74"/>
      <c r="K1130" s="74">
        <f t="shared" si="156"/>
        <v>0</v>
      </c>
      <c r="L1130" s="74"/>
      <c r="M1130" s="74">
        <f t="shared" si="157"/>
        <v>0</v>
      </c>
      <c r="N1130" s="74">
        <f t="shared" si="158"/>
        <v>0</v>
      </c>
      <c r="O1130" s="74">
        <f t="shared" si="159"/>
        <v>0</v>
      </c>
      <c r="P1130" s="74">
        <f t="shared" si="160"/>
        <v>0</v>
      </c>
      <c r="Q1130" s="74">
        <f t="shared" si="161"/>
        <v>0</v>
      </c>
    </row>
    <row r="1131" spans="1:17" ht="91.15" hidden="1" customHeight="1">
      <c r="A1131" s="83"/>
      <c r="B1131" s="72">
        <f t="shared" si="153"/>
        <v>0</v>
      </c>
      <c r="C1131" s="82" t="s">
        <v>6043</v>
      </c>
      <c r="D1131" s="1232">
        <v>13283</v>
      </c>
      <c r="E1131" s="1230" t="s">
        <v>1034</v>
      </c>
      <c r="F1131" s="84"/>
      <c r="G1131" s="74">
        <f t="shared" si="154"/>
        <v>0</v>
      </c>
      <c r="H1131" s="74"/>
      <c r="I1131" s="74">
        <f t="shared" si="155"/>
        <v>0</v>
      </c>
      <c r="J1131" s="74"/>
      <c r="K1131" s="74">
        <f t="shared" si="156"/>
        <v>0</v>
      </c>
      <c r="L1131" s="74"/>
      <c r="M1131" s="74">
        <f t="shared" si="157"/>
        <v>0</v>
      </c>
      <c r="N1131" s="74">
        <f t="shared" si="158"/>
        <v>0</v>
      </c>
      <c r="O1131" s="74">
        <f t="shared" si="159"/>
        <v>0</v>
      </c>
      <c r="P1131" s="74">
        <f t="shared" si="160"/>
        <v>0</v>
      </c>
      <c r="Q1131" s="74">
        <f t="shared" si="161"/>
        <v>0</v>
      </c>
    </row>
    <row r="1132" spans="1:17" ht="117.75" customHeight="1">
      <c r="A1132" s="83"/>
      <c r="B1132" s="72">
        <f t="shared" si="153"/>
        <v>0</v>
      </c>
      <c r="C1132" s="1435" t="s">
        <v>6044</v>
      </c>
      <c r="D1132" s="1232"/>
      <c r="E1132" s="1230"/>
      <c r="F1132" s="84"/>
      <c r="G1132" s="74">
        <f t="shared" si="154"/>
        <v>0</v>
      </c>
      <c r="H1132" s="74"/>
      <c r="I1132" s="74">
        <f t="shared" si="155"/>
        <v>0</v>
      </c>
      <c r="J1132" s="74"/>
      <c r="K1132" s="74">
        <f t="shared" si="156"/>
        <v>0</v>
      </c>
      <c r="L1132" s="74"/>
      <c r="M1132" s="74">
        <f t="shared" si="157"/>
        <v>0</v>
      </c>
      <c r="N1132" s="74">
        <f t="shared" si="158"/>
        <v>0</v>
      </c>
      <c r="O1132" s="74">
        <f t="shared" si="159"/>
        <v>0</v>
      </c>
      <c r="P1132" s="74">
        <f t="shared" si="160"/>
        <v>0</v>
      </c>
      <c r="Q1132" s="74">
        <f t="shared" si="161"/>
        <v>0</v>
      </c>
    </row>
    <row r="1133" spans="1:17" ht="49.5" customHeight="1">
      <c r="A1133" s="83"/>
      <c r="B1133" s="72">
        <f t="shared" si="153"/>
        <v>24</v>
      </c>
      <c r="C1133" s="82" t="s">
        <v>6045</v>
      </c>
      <c r="D1133" s="1232">
        <v>122.8</v>
      </c>
      <c r="E1133" s="1230" t="s">
        <v>13</v>
      </c>
      <c r="F1133" s="84"/>
      <c r="G1133" s="74">
        <f t="shared" si="154"/>
        <v>0</v>
      </c>
      <c r="H1133" s="74">
        <f>bore!I56</f>
        <v>24</v>
      </c>
      <c r="I1133" s="74">
        <f t="shared" si="155"/>
        <v>2947.2</v>
      </c>
      <c r="J1133" s="74"/>
      <c r="K1133" s="74">
        <f t="shared" si="156"/>
        <v>0</v>
      </c>
      <c r="L1133" s="74"/>
      <c r="M1133" s="74">
        <f t="shared" si="157"/>
        <v>0</v>
      </c>
      <c r="N1133" s="74">
        <f t="shared" si="158"/>
        <v>24</v>
      </c>
      <c r="O1133" s="74">
        <f t="shared" si="159"/>
        <v>2947.2</v>
      </c>
      <c r="P1133" s="74">
        <f t="shared" si="160"/>
        <v>24</v>
      </c>
      <c r="Q1133" s="74">
        <f t="shared" si="161"/>
        <v>2947.2</v>
      </c>
    </row>
    <row r="1134" spans="1:17" ht="88.5" hidden="1" customHeight="1">
      <c r="A1134" s="83"/>
      <c r="B1134" s="72">
        <f t="shared" si="153"/>
        <v>0</v>
      </c>
      <c r="C1134" s="82" t="s">
        <v>6046</v>
      </c>
      <c r="D1134" s="1232">
        <v>60.6</v>
      </c>
      <c r="E1134" s="1230" t="s">
        <v>13</v>
      </c>
      <c r="F1134" s="84"/>
      <c r="G1134" s="74">
        <f t="shared" si="154"/>
        <v>0</v>
      </c>
      <c r="H1134" s="74"/>
      <c r="I1134" s="74">
        <f t="shared" si="155"/>
        <v>0</v>
      </c>
      <c r="J1134" s="74"/>
      <c r="K1134" s="74">
        <f t="shared" si="156"/>
        <v>0</v>
      </c>
      <c r="L1134" s="74"/>
      <c r="M1134" s="74">
        <f t="shared" si="157"/>
        <v>0</v>
      </c>
      <c r="N1134" s="74">
        <f t="shared" si="158"/>
        <v>0</v>
      </c>
      <c r="O1134" s="74">
        <f t="shared" si="159"/>
        <v>0</v>
      </c>
      <c r="P1134" s="74">
        <f t="shared" si="160"/>
        <v>0</v>
      </c>
      <c r="Q1134" s="74">
        <f t="shared" si="161"/>
        <v>0</v>
      </c>
    </row>
    <row r="1135" spans="1:17" ht="96.75" hidden="1" customHeight="1">
      <c r="A1135" s="83"/>
      <c r="B1135" s="72">
        <f t="shared" si="153"/>
        <v>0</v>
      </c>
      <c r="C1135" s="1435" t="s">
        <v>6047</v>
      </c>
      <c r="D1135" s="1232"/>
      <c r="E1135" s="1230" t="s">
        <v>13</v>
      </c>
      <c r="F1135" s="84"/>
      <c r="G1135" s="74">
        <f t="shared" si="154"/>
        <v>0</v>
      </c>
      <c r="H1135" s="74"/>
      <c r="I1135" s="74">
        <f t="shared" si="155"/>
        <v>0</v>
      </c>
      <c r="J1135" s="74"/>
      <c r="K1135" s="74">
        <f t="shared" si="156"/>
        <v>0</v>
      </c>
      <c r="L1135" s="74"/>
      <c r="M1135" s="74">
        <f t="shared" si="157"/>
        <v>0</v>
      </c>
      <c r="N1135" s="74">
        <f t="shared" si="158"/>
        <v>0</v>
      </c>
      <c r="O1135" s="74">
        <f t="shared" si="159"/>
        <v>0</v>
      </c>
      <c r="P1135" s="74">
        <f t="shared" si="160"/>
        <v>0</v>
      </c>
      <c r="Q1135" s="74">
        <f t="shared" si="161"/>
        <v>0</v>
      </c>
    </row>
    <row r="1136" spans="1:17" ht="49.5" hidden="1" customHeight="1">
      <c r="A1136" s="83"/>
      <c r="B1136" s="72">
        <f t="shared" si="153"/>
        <v>0</v>
      </c>
      <c r="C1136" s="82" t="s">
        <v>6048</v>
      </c>
      <c r="D1136" s="1236">
        <v>270</v>
      </c>
      <c r="E1136" s="1230" t="s">
        <v>13</v>
      </c>
      <c r="F1136" s="84"/>
      <c r="G1136" s="74">
        <f t="shared" si="154"/>
        <v>0</v>
      </c>
      <c r="H1136" s="74"/>
      <c r="I1136" s="74">
        <f t="shared" si="155"/>
        <v>0</v>
      </c>
      <c r="J1136" s="74"/>
      <c r="K1136" s="74">
        <f t="shared" si="156"/>
        <v>0</v>
      </c>
      <c r="L1136" s="74"/>
      <c r="M1136" s="74">
        <f t="shared" si="157"/>
        <v>0</v>
      </c>
      <c r="N1136" s="74">
        <f t="shared" si="158"/>
        <v>0</v>
      </c>
      <c r="O1136" s="74">
        <f t="shared" si="159"/>
        <v>0</v>
      </c>
      <c r="P1136" s="74">
        <f t="shared" si="160"/>
        <v>0</v>
      </c>
      <c r="Q1136" s="74">
        <f t="shared" si="161"/>
        <v>0</v>
      </c>
    </row>
    <row r="1137" spans="1:17" ht="49.5" hidden="1" customHeight="1">
      <c r="A1137" s="83"/>
      <c r="B1137" s="72">
        <f t="shared" si="153"/>
        <v>0</v>
      </c>
      <c r="C1137" s="82" t="s">
        <v>6049</v>
      </c>
      <c r="D1137" s="1236">
        <v>230</v>
      </c>
      <c r="E1137" s="1230" t="s">
        <v>13</v>
      </c>
      <c r="F1137" s="84"/>
      <c r="G1137" s="74">
        <f t="shared" si="154"/>
        <v>0</v>
      </c>
      <c r="H1137" s="74"/>
      <c r="I1137" s="74">
        <f t="shared" si="155"/>
        <v>0</v>
      </c>
      <c r="J1137" s="74"/>
      <c r="K1137" s="74">
        <f t="shared" si="156"/>
        <v>0</v>
      </c>
      <c r="L1137" s="74"/>
      <c r="M1137" s="74">
        <f t="shared" si="157"/>
        <v>0</v>
      </c>
      <c r="N1137" s="74">
        <f t="shared" si="158"/>
        <v>0</v>
      </c>
      <c r="O1137" s="74">
        <f t="shared" si="159"/>
        <v>0</v>
      </c>
      <c r="P1137" s="74">
        <f t="shared" si="160"/>
        <v>0</v>
      </c>
      <c r="Q1137" s="74">
        <f t="shared" si="161"/>
        <v>0</v>
      </c>
    </row>
    <row r="1138" spans="1:17" ht="77.25" hidden="1" customHeight="1">
      <c r="A1138" s="83"/>
      <c r="B1138" s="72">
        <f t="shared" si="153"/>
        <v>0</v>
      </c>
      <c r="C1138" s="1435" t="s">
        <v>6050</v>
      </c>
      <c r="D1138" s="1232"/>
      <c r="E1138" s="1230" t="s">
        <v>13</v>
      </c>
      <c r="F1138" s="84"/>
      <c r="G1138" s="74">
        <f t="shared" si="154"/>
        <v>0</v>
      </c>
      <c r="H1138" s="74"/>
      <c r="I1138" s="74">
        <f t="shared" si="155"/>
        <v>0</v>
      </c>
      <c r="J1138" s="74"/>
      <c r="K1138" s="74">
        <f t="shared" si="156"/>
        <v>0</v>
      </c>
      <c r="L1138" s="74"/>
      <c r="M1138" s="74">
        <f t="shared" si="157"/>
        <v>0</v>
      </c>
      <c r="N1138" s="74">
        <f t="shared" si="158"/>
        <v>0</v>
      </c>
      <c r="O1138" s="74">
        <f t="shared" si="159"/>
        <v>0</v>
      </c>
      <c r="P1138" s="74">
        <f t="shared" si="160"/>
        <v>0</v>
      </c>
      <c r="Q1138" s="74">
        <f t="shared" si="161"/>
        <v>0</v>
      </c>
    </row>
    <row r="1139" spans="1:17" ht="49.5" hidden="1" customHeight="1">
      <c r="A1139" s="83"/>
      <c r="B1139" s="72">
        <f t="shared" si="153"/>
        <v>0</v>
      </c>
      <c r="C1139" s="82" t="s">
        <v>6051</v>
      </c>
      <c r="D1139" s="1236">
        <v>959</v>
      </c>
      <c r="E1139" s="1230" t="s">
        <v>13</v>
      </c>
      <c r="F1139" s="84"/>
      <c r="G1139" s="74">
        <f t="shared" si="154"/>
        <v>0</v>
      </c>
      <c r="H1139" s="74"/>
      <c r="I1139" s="74">
        <f t="shared" si="155"/>
        <v>0</v>
      </c>
      <c r="J1139" s="74"/>
      <c r="K1139" s="74">
        <f t="shared" si="156"/>
        <v>0</v>
      </c>
      <c r="L1139" s="74"/>
      <c r="M1139" s="74">
        <f t="shared" si="157"/>
        <v>0</v>
      </c>
      <c r="N1139" s="74">
        <f t="shared" si="158"/>
        <v>0</v>
      </c>
      <c r="O1139" s="74">
        <f t="shared" si="159"/>
        <v>0</v>
      </c>
      <c r="P1139" s="74">
        <f t="shared" si="160"/>
        <v>0</v>
      </c>
      <c r="Q1139" s="74">
        <f t="shared" si="161"/>
        <v>0</v>
      </c>
    </row>
    <row r="1140" spans="1:17" ht="49.5" hidden="1" customHeight="1">
      <c r="A1140" s="83"/>
      <c r="B1140" s="72">
        <f t="shared" si="153"/>
        <v>0</v>
      </c>
      <c r="C1140" s="82" t="s">
        <v>6052</v>
      </c>
      <c r="D1140" s="1236">
        <v>582</v>
      </c>
      <c r="E1140" s="1230" t="s">
        <v>13</v>
      </c>
      <c r="F1140" s="84"/>
      <c r="G1140" s="74">
        <f t="shared" si="154"/>
        <v>0</v>
      </c>
      <c r="H1140" s="74"/>
      <c r="I1140" s="74">
        <f t="shared" si="155"/>
        <v>0</v>
      </c>
      <c r="J1140" s="74"/>
      <c r="K1140" s="74">
        <f t="shared" si="156"/>
        <v>0</v>
      </c>
      <c r="L1140" s="74"/>
      <c r="M1140" s="74">
        <f t="shared" si="157"/>
        <v>0</v>
      </c>
      <c r="N1140" s="74">
        <f t="shared" si="158"/>
        <v>0</v>
      </c>
      <c r="O1140" s="74">
        <f t="shared" si="159"/>
        <v>0</v>
      </c>
      <c r="P1140" s="74">
        <f t="shared" si="160"/>
        <v>0</v>
      </c>
      <c r="Q1140" s="74">
        <f t="shared" si="161"/>
        <v>0</v>
      </c>
    </row>
    <row r="1141" spans="1:17" ht="154.5" hidden="1" customHeight="1">
      <c r="A1141" s="83"/>
      <c r="B1141" s="72">
        <f t="shared" si="153"/>
        <v>0</v>
      </c>
      <c r="C1141" s="82" t="s">
        <v>6053</v>
      </c>
      <c r="D1141" s="1236">
        <v>41</v>
      </c>
      <c r="E1141" s="1230" t="s">
        <v>13</v>
      </c>
      <c r="F1141" s="84"/>
      <c r="G1141" s="74">
        <f t="shared" si="154"/>
        <v>0</v>
      </c>
      <c r="H1141" s="74"/>
      <c r="I1141" s="74">
        <f t="shared" si="155"/>
        <v>0</v>
      </c>
      <c r="J1141" s="74"/>
      <c r="K1141" s="74">
        <f t="shared" si="156"/>
        <v>0</v>
      </c>
      <c r="L1141" s="74"/>
      <c r="M1141" s="74">
        <f t="shared" si="157"/>
        <v>0</v>
      </c>
      <c r="N1141" s="74">
        <f t="shared" si="158"/>
        <v>0</v>
      </c>
      <c r="O1141" s="74">
        <f t="shared" si="159"/>
        <v>0</v>
      </c>
      <c r="P1141" s="74">
        <f t="shared" si="160"/>
        <v>0</v>
      </c>
      <c r="Q1141" s="74">
        <f t="shared" si="161"/>
        <v>0</v>
      </c>
    </row>
    <row r="1142" spans="1:17" ht="42.75" customHeight="1">
      <c r="A1142" s="83"/>
      <c r="B1142" s="72">
        <f t="shared" si="153"/>
        <v>114</v>
      </c>
      <c r="C1142" s="82" t="s">
        <v>7567</v>
      </c>
      <c r="D1142" s="1236">
        <v>95.4</v>
      </c>
      <c r="E1142" s="1230" t="s">
        <v>13</v>
      </c>
      <c r="F1142" s="1434">
        <f>'Detail '!I2963</f>
        <v>114</v>
      </c>
      <c r="G1142" s="74">
        <f t="shared" si="154"/>
        <v>10875.6</v>
      </c>
      <c r="H1142" s="74"/>
      <c r="I1142" s="74">
        <f t="shared" si="155"/>
        <v>0</v>
      </c>
      <c r="J1142" s="74"/>
      <c r="K1142" s="74">
        <f t="shared" si="156"/>
        <v>0</v>
      </c>
      <c r="L1142" s="74"/>
      <c r="M1142" s="74">
        <f t="shared" si="157"/>
        <v>0</v>
      </c>
      <c r="N1142" s="74">
        <f t="shared" si="158"/>
        <v>0</v>
      </c>
      <c r="O1142" s="74">
        <f t="shared" si="159"/>
        <v>0</v>
      </c>
      <c r="P1142" s="74">
        <f t="shared" si="160"/>
        <v>114</v>
      </c>
      <c r="Q1142" s="74">
        <f t="shared" si="161"/>
        <v>10875.6</v>
      </c>
    </row>
    <row r="1143" spans="1:17" ht="83.25" customHeight="1">
      <c r="A1143" s="83"/>
      <c r="B1143" s="72">
        <f t="shared" si="153"/>
        <v>0</v>
      </c>
      <c r="C1143" s="1435" t="s">
        <v>6054</v>
      </c>
      <c r="D1143" s="1232"/>
      <c r="E1143" s="1230"/>
      <c r="F1143" s="84"/>
      <c r="G1143" s="74">
        <f t="shared" si="154"/>
        <v>0</v>
      </c>
      <c r="H1143" s="74"/>
      <c r="I1143" s="74">
        <f t="shared" si="155"/>
        <v>0</v>
      </c>
      <c r="J1143" s="74"/>
      <c r="K1143" s="74">
        <f t="shared" si="156"/>
        <v>0</v>
      </c>
      <c r="L1143" s="74"/>
      <c r="M1143" s="74">
        <f t="shared" si="157"/>
        <v>0</v>
      </c>
      <c r="N1143" s="74">
        <f t="shared" si="158"/>
        <v>0</v>
      </c>
      <c r="O1143" s="74">
        <f t="shared" si="159"/>
        <v>0</v>
      </c>
      <c r="P1143" s="74">
        <f t="shared" si="160"/>
        <v>0</v>
      </c>
      <c r="Q1143" s="74">
        <f t="shared" si="161"/>
        <v>0</v>
      </c>
    </row>
    <row r="1144" spans="1:17" ht="49.5" customHeight="1">
      <c r="A1144" s="83"/>
      <c r="B1144" s="72">
        <f t="shared" si="153"/>
        <v>16</v>
      </c>
      <c r="C1144" s="82" t="s">
        <v>6055</v>
      </c>
      <c r="D1144" s="1236">
        <v>2701</v>
      </c>
      <c r="E1144" s="1230" t="s">
        <v>41</v>
      </c>
      <c r="F1144" s="1434">
        <f>'Detail '!I2958</f>
        <v>16</v>
      </c>
      <c r="G1144" s="74">
        <f t="shared" si="154"/>
        <v>43216</v>
      </c>
      <c r="H1144" s="74"/>
      <c r="I1144" s="74">
        <f t="shared" si="155"/>
        <v>0</v>
      </c>
      <c r="J1144" s="74"/>
      <c r="K1144" s="74">
        <f t="shared" si="156"/>
        <v>0</v>
      </c>
      <c r="L1144" s="74"/>
      <c r="M1144" s="74">
        <f t="shared" si="157"/>
        <v>0</v>
      </c>
      <c r="N1144" s="74">
        <f t="shared" si="158"/>
        <v>0</v>
      </c>
      <c r="O1144" s="74">
        <f t="shared" si="159"/>
        <v>0</v>
      </c>
      <c r="P1144" s="74">
        <f t="shared" si="160"/>
        <v>16</v>
      </c>
      <c r="Q1144" s="74">
        <f t="shared" si="161"/>
        <v>43216</v>
      </c>
    </row>
    <row r="1145" spans="1:17" ht="49.5" hidden="1" customHeight="1">
      <c r="A1145" s="83"/>
      <c r="B1145" s="72">
        <f t="shared" si="153"/>
        <v>0</v>
      </c>
      <c r="C1145" s="82"/>
      <c r="D1145" s="1232"/>
      <c r="E1145" s="1230"/>
      <c r="F1145" s="84"/>
      <c r="G1145" s="74">
        <f t="shared" si="154"/>
        <v>0</v>
      </c>
      <c r="H1145" s="74"/>
      <c r="I1145" s="74">
        <f t="shared" si="155"/>
        <v>0</v>
      </c>
      <c r="J1145" s="74"/>
      <c r="K1145" s="74">
        <f t="shared" si="156"/>
        <v>0</v>
      </c>
      <c r="L1145" s="74"/>
      <c r="M1145" s="74">
        <f t="shared" si="157"/>
        <v>0</v>
      </c>
      <c r="N1145" s="74">
        <f t="shared" si="158"/>
        <v>0</v>
      </c>
      <c r="O1145" s="74">
        <f t="shared" si="159"/>
        <v>0</v>
      </c>
      <c r="P1145" s="74">
        <f t="shared" si="160"/>
        <v>0</v>
      </c>
      <c r="Q1145" s="74">
        <f t="shared" si="161"/>
        <v>0</v>
      </c>
    </row>
    <row r="1146" spans="1:17" ht="49.5" hidden="1" customHeight="1">
      <c r="A1146" s="83"/>
      <c r="B1146" s="72">
        <f t="shared" si="153"/>
        <v>0</v>
      </c>
      <c r="C1146" s="82" t="s">
        <v>6056</v>
      </c>
      <c r="D1146" s="1236">
        <v>990</v>
      </c>
      <c r="E1146" s="1230" t="s">
        <v>41</v>
      </c>
      <c r="F1146" s="84"/>
      <c r="G1146" s="74">
        <f t="shared" si="154"/>
        <v>0</v>
      </c>
      <c r="H1146" s="74"/>
      <c r="I1146" s="74">
        <f t="shared" si="155"/>
        <v>0</v>
      </c>
      <c r="J1146" s="74"/>
      <c r="K1146" s="74">
        <f t="shared" si="156"/>
        <v>0</v>
      </c>
      <c r="L1146" s="74"/>
      <c r="M1146" s="74">
        <f t="shared" si="157"/>
        <v>0</v>
      </c>
      <c r="N1146" s="74">
        <f t="shared" si="158"/>
        <v>0</v>
      </c>
      <c r="O1146" s="74">
        <f t="shared" si="159"/>
        <v>0</v>
      </c>
      <c r="P1146" s="74">
        <f t="shared" si="160"/>
        <v>0</v>
      </c>
      <c r="Q1146" s="74">
        <f t="shared" si="161"/>
        <v>0</v>
      </c>
    </row>
    <row r="1147" spans="1:17" ht="66" hidden="1" customHeight="1">
      <c r="A1147" s="83"/>
      <c r="B1147" s="72">
        <f t="shared" si="153"/>
        <v>0</v>
      </c>
      <c r="C1147" s="82" t="s">
        <v>6057</v>
      </c>
      <c r="D1147" s="1236">
        <v>360</v>
      </c>
      <c r="E1147" s="1230" t="s">
        <v>41</v>
      </c>
      <c r="F1147" s="84"/>
      <c r="G1147" s="74">
        <f t="shared" si="154"/>
        <v>0</v>
      </c>
      <c r="H1147" s="74"/>
      <c r="I1147" s="74">
        <f t="shared" si="155"/>
        <v>0</v>
      </c>
      <c r="J1147" s="74"/>
      <c r="K1147" s="74">
        <f t="shared" si="156"/>
        <v>0</v>
      </c>
      <c r="L1147" s="74"/>
      <c r="M1147" s="74">
        <f t="shared" si="157"/>
        <v>0</v>
      </c>
      <c r="N1147" s="74">
        <f t="shared" si="158"/>
        <v>0</v>
      </c>
      <c r="O1147" s="74">
        <f t="shared" si="159"/>
        <v>0</v>
      </c>
      <c r="P1147" s="74">
        <f t="shared" si="160"/>
        <v>0</v>
      </c>
      <c r="Q1147" s="74">
        <f t="shared" si="161"/>
        <v>0</v>
      </c>
    </row>
    <row r="1148" spans="1:17" ht="72" hidden="1" customHeight="1">
      <c r="A1148" s="83"/>
      <c r="B1148" s="72">
        <f t="shared" si="153"/>
        <v>0</v>
      </c>
      <c r="C1148" s="82" t="s">
        <v>6058</v>
      </c>
      <c r="D1148" s="1236">
        <v>197</v>
      </c>
      <c r="E1148" s="1230" t="s">
        <v>41</v>
      </c>
      <c r="F1148" s="84"/>
      <c r="G1148" s="74">
        <f t="shared" si="154"/>
        <v>0</v>
      </c>
      <c r="H1148" s="74"/>
      <c r="I1148" s="74">
        <f t="shared" si="155"/>
        <v>0</v>
      </c>
      <c r="J1148" s="74"/>
      <c r="K1148" s="74">
        <f t="shared" si="156"/>
        <v>0</v>
      </c>
      <c r="L1148" s="74"/>
      <c r="M1148" s="74">
        <f t="shared" si="157"/>
        <v>0</v>
      </c>
      <c r="N1148" s="74">
        <f t="shared" si="158"/>
        <v>0</v>
      </c>
      <c r="O1148" s="74">
        <f t="shared" si="159"/>
        <v>0</v>
      </c>
      <c r="P1148" s="74">
        <f t="shared" si="160"/>
        <v>0</v>
      </c>
      <c r="Q1148" s="74">
        <f t="shared" si="161"/>
        <v>0</v>
      </c>
    </row>
    <row r="1149" spans="1:17" ht="69.75" hidden="1" customHeight="1">
      <c r="A1149" s="83"/>
      <c r="B1149" s="72">
        <f t="shared" si="153"/>
        <v>0</v>
      </c>
      <c r="C1149" s="82" t="s">
        <v>6059</v>
      </c>
      <c r="D1149" s="1236">
        <v>29590</v>
      </c>
      <c r="E1149" s="1230" t="s">
        <v>41</v>
      </c>
      <c r="F1149" s="84"/>
      <c r="G1149" s="74">
        <f t="shared" si="154"/>
        <v>0</v>
      </c>
      <c r="H1149" s="74"/>
      <c r="I1149" s="74">
        <f t="shared" si="155"/>
        <v>0</v>
      </c>
      <c r="J1149" s="74"/>
      <c r="K1149" s="74">
        <f t="shared" si="156"/>
        <v>0</v>
      </c>
      <c r="L1149" s="74"/>
      <c r="M1149" s="74">
        <f t="shared" si="157"/>
        <v>0</v>
      </c>
      <c r="N1149" s="74">
        <f t="shared" si="158"/>
        <v>0</v>
      </c>
      <c r="O1149" s="74">
        <f t="shared" si="159"/>
        <v>0</v>
      </c>
      <c r="P1149" s="74">
        <f t="shared" si="160"/>
        <v>0</v>
      </c>
      <c r="Q1149" s="74">
        <f t="shared" si="161"/>
        <v>0</v>
      </c>
    </row>
    <row r="1150" spans="1:17" ht="376.5" customHeight="1">
      <c r="A1150" s="83"/>
      <c r="B1150" s="72">
        <f t="shared" si="153"/>
        <v>2</v>
      </c>
      <c r="C1150" s="82" t="s">
        <v>6060</v>
      </c>
      <c r="D1150" s="1236">
        <v>11056.1</v>
      </c>
      <c r="E1150" s="1230" t="s">
        <v>41</v>
      </c>
      <c r="F1150" s="84"/>
      <c r="G1150" s="74">
        <f t="shared" si="154"/>
        <v>0</v>
      </c>
      <c r="H1150" s="74">
        <f>bore!I76</f>
        <v>2</v>
      </c>
      <c r="I1150" s="74">
        <f t="shared" si="155"/>
        <v>22112.2</v>
      </c>
      <c r="J1150" s="74"/>
      <c r="K1150" s="74">
        <f t="shared" si="156"/>
        <v>0</v>
      </c>
      <c r="L1150" s="74"/>
      <c r="M1150" s="74">
        <f t="shared" si="157"/>
        <v>0</v>
      </c>
      <c r="N1150" s="74">
        <f t="shared" si="158"/>
        <v>2</v>
      </c>
      <c r="O1150" s="74">
        <f t="shared" si="159"/>
        <v>22112.2</v>
      </c>
      <c r="P1150" s="74">
        <f t="shared" si="160"/>
        <v>2</v>
      </c>
      <c r="Q1150" s="74">
        <f t="shared" si="161"/>
        <v>22112.2</v>
      </c>
    </row>
    <row r="1151" spans="1:17" ht="96" hidden="1" customHeight="1">
      <c r="A1151" s="83"/>
      <c r="B1151" s="72">
        <f t="shared" si="153"/>
        <v>0</v>
      </c>
      <c r="C1151" s="82" t="s">
        <v>6061</v>
      </c>
      <c r="D1151" s="1236">
        <v>13283</v>
      </c>
      <c r="E1151" s="1230" t="s">
        <v>41</v>
      </c>
      <c r="F1151" s="84"/>
      <c r="G1151" s="74">
        <f t="shared" si="154"/>
        <v>0</v>
      </c>
      <c r="H1151" s="74"/>
      <c r="I1151" s="74">
        <f t="shared" si="155"/>
        <v>0</v>
      </c>
      <c r="J1151" s="74"/>
      <c r="K1151" s="74">
        <f t="shared" si="156"/>
        <v>0</v>
      </c>
      <c r="L1151" s="74"/>
      <c r="M1151" s="74">
        <f t="shared" si="157"/>
        <v>0</v>
      </c>
      <c r="N1151" s="74">
        <f t="shared" si="158"/>
        <v>0</v>
      </c>
      <c r="O1151" s="74">
        <f t="shared" si="159"/>
        <v>0</v>
      </c>
      <c r="P1151" s="74">
        <f t="shared" si="160"/>
        <v>0</v>
      </c>
      <c r="Q1151" s="74">
        <f t="shared" si="161"/>
        <v>0</v>
      </c>
    </row>
    <row r="1152" spans="1:17" ht="73.5" hidden="1" customHeight="1">
      <c r="A1152" s="83"/>
      <c r="B1152" s="72">
        <f t="shared" si="153"/>
        <v>0</v>
      </c>
      <c r="C1152" s="82" t="s">
        <v>6062</v>
      </c>
      <c r="D1152" s="1236">
        <v>166</v>
      </c>
      <c r="E1152" s="1230" t="s">
        <v>13</v>
      </c>
      <c r="F1152" s="84"/>
      <c r="G1152" s="74">
        <f t="shared" si="154"/>
        <v>0</v>
      </c>
      <c r="H1152" s="74"/>
      <c r="I1152" s="74">
        <f t="shared" si="155"/>
        <v>0</v>
      </c>
      <c r="J1152" s="74"/>
      <c r="K1152" s="74">
        <f t="shared" si="156"/>
        <v>0</v>
      </c>
      <c r="L1152" s="74"/>
      <c r="M1152" s="74">
        <f t="shared" si="157"/>
        <v>0</v>
      </c>
      <c r="N1152" s="74">
        <f t="shared" si="158"/>
        <v>0</v>
      </c>
      <c r="O1152" s="74">
        <f t="shared" si="159"/>
        <v>0</v>
      </c>
      <c r="P1152" s="74">
        <f t="shared" si="160"/>
        <v>0</v>
      </c>
      <c r="Q1152" s="74">
        <f t="shared" si="161"/>
        <v>0</v>
      </c>
    </row>
    <row r="1153" spans="1:17" ht="253.9" hidden="1" customHeight="1">
      <c r="A1153" s="83"/>
      <c r="B1153" s="72">
        <f t="shared" si="153"/>
        <v>0</v>
      </c>
      <c r="C1153" s="1250" t="s">
        <v>6063</v>
      </c>
      <c r="D1153" s="1232"/>
      <c r="E1153" s="1230"/>
      <c r="F1153" s="84"/>
      <c r="G1153" s="74">
        <f t="shared" si="154"/>
        <v>0</v>
      </c>
      <c r="H1153" s="74"/>
      <c r="I1153" s="74">
        <f t="shared" si="155"/>
        <v>0</v>
      </c>
      <c r="J1153" s="74"/>
      <c r="K1153" s="74">
        <f t="shared" si="156"/>
        <v>0</v>
      </c>
      <c r="L1153" s="74"/>
      <c r="M1153" s="74">
        <f t="shared" si="157"/>
        <v>0</v>
      </c>
      <c r="N1153" s="74">
        <f t="shared" si="158"/>
        <v>0</v>
      </c>
      <c r="O1153" s="74">
        <f t="shared" si="159"/>
        <v>0</v>
      </c>
      <c r="P1153" s="74">
        <f t="shared" si="160"/>
        <v>0</v>
      </c>
      <c r="Q1153" s="74">
        <f t="shared" si="161"/>
        <v>0</v>
      </c>
    </row>
    <row r="1154" spans="1:17" ht="49.5" hidden="1" customHeight="1">
      <c r="A1154" s="83"/>
      <c r="B1154" s="72">
        <f t="shared" si="153"/>
        <v>0</v>
      </c>
      <c r="C1154" s="82" t="s">
        <v>6064</v>
      </c>
      <c r="D1154" s="1236">
        <v>155.41999999999999</v>
      </c>
      <c r="E1154" s="1230" t="s">
        <v>13</v>
      </c>
      <c r="F1154" s="84"/>
      <c r="G1154" s="74">
        <f t="shared" si="154"/>
        <v>0</v>
      </c>
      <c r="H1154" s="74"/>
      <c r="I1154" s="74">
        <f t="shared" si="155"/>
        <v>0</v>
      </c>
      <c r="J1154" s="74"/>
      <c r="K1154" s="74">
        <f t="shared" si="156"/>
        <v>0</v>
      </c>
      <c r="L1154" s="74"/>
      <c r="M1154" s="74">
        <f t="shared" si="157"/>
        <v>0</v>
      </c>
      <c r="N1154" s="74">
        <f t="shared" si="158"/>
        <v>0</v>
      </c>
      <c r="O1154" s="74">
        <f t="shared" si="159"/>
        <v>0</v>
      </c>
      <c r="P1154" s="74">
        <f t="shared" si="160"/>
        <v>0</v>
      </c>
      <c r="Q1154" s="74">
        <f t="shared" si="161"/>
        <v>0</v>
      </c>
    </row>
    <row r="1155" spans="1:17" ht="49.5" hidden="1" customHeight="1">
      <c r="A1155" s="83"/>
      <c r="B1155" s="72">
        <f t="shared" si="153"/>
        <v>0</v>
      </c>
      <c r="C1155" s="82" t="s">
        <v>6065</v>
      </c>
      <c r="D1155" s="1236">
        <v>239.92</v>
      </c>
      <c r="E1155" s="1230" t="s">
        <v>13</v>
      </c>
      <c r="F1155" s="84"/>
      <c r="G1155" s="74">
        <f t="shared" si="154"/>
        <v>0</v>
      </c>
      <c r="H1155" s="74"/>
      <c r="I1155" s="74">
        <f t="shared" si="155"/>
        <v>0</v>
      </c>
      <c r="J1155" s="74"/>
      <c r="K1155" s="74">
        <f t="shared" si="156"/>
        <v>0</v>
      </c>
      <c r="L1155" s="74"/>
      <c r="M1155" s="74">
        <f t="shared" si="157"/>
        <v>0</v>
      </c>
      <c r="N1155" s="74">
        <f t="shared" si="158"/>
        <v>0</v>
      </c>
      <c r="O1155" s="74">
        <f t="shared" si="159"/>
        <v>0</v>
      </c>
      <c r="P1155" s="74">
        <f t="shared" si="160"/>
        <v>0</v>
      </c>
      <c r="Q1155" s="74">
        <f t="shared" si="161"/>
        <v>0</v>
      </c>
    </row>
    <row r="1156" spans="1:17" ht="75" hidden="1" customHeight="1">
      <c r="A1156" s="83"/>
      <c r="B1156" s="72">
        <f t="shared" si="153"/>
        <v>0</v>
      </c>
      <c r="C1156" s="82" t="s">
        <v>6066</v>
      </c>
      <c r="D1156" s="1232">
        <v>2189.4</v>
      </c>
      <c r="E1156" s="1230" t="s">
        <v>41</v>
      </c>
      <c r="F1156" s="84"/>
      <c r="G1156" s="74">
        <f t="shared" si="154"/>
        <v>0</v>
      </c>
      <c r="H1156" s="74"/>
      <c r="I1156" s="74">
        <f t="shared" si="155"/>
        <v>0</v>
      </c>
      <c r="J1156" s="74"/>
      <c r="K1156" s="74">
        <f t="shared" si="156"/>
        <v>0</v>
      </c>
      <c r="L1156" s="74"/>
      <c r="M1156" s="74">
        <f t="shared" si="157"/>
        <v>0</v>
      </c>
      <c r="N1156" s="74">
        <f t="shared" si="158"/>
        <v>0</v>
      </c>
      <c r="O1156" s="74">
        <f t="shared" si="159"/>
        <v>0</v>
      </c>
      <c r="P1156" s="74">
        <f t="shared" si="160"/>
        <v>0</v>
      </c>
      <c r="Q1156" s="74">
        <f t="shared" si="161"/>
        <v>0</v>
      </c>
    </row>
    <row r="1157" spans="1:17" ht="49.5" customHeight="1">
      <c r="A1157" s="83"/>
      <c r="B1157" s="72">
        <f t="shared" ref="B1157:B1220" si="162">P1157</f>
        <v>25</v>
      </c>
      <c r="C1157" s="82" t="s">
        <v>6067</v>
      </c>
      <c r="D1157" s="1232">
        <v>1181</v>
      </c>
      <c r="E1157" s="1230" t="s">
        <v>41</v>
      </c>
      <c r="F1157" s="1434">
        <f>'Detail '!I2949</f>
        <v>25</v>
      </c>
      <c r="G1157" s="74">
        <f t="shared" si="154"/>
        <v>29525</v>
      </c>
      <c r="H1157" s="74"/>
      <c r="I1157" s="74">
        <f t="shared" si="155"/>
        <v>0</v>
      </c>
      <c r="J1157" s="74"/>
      <c r="K1157" s="74">
        <f t="shared" si="156"/>
        <v>0</v>
      </c>
      <c r="L1157" s="74"/>
      <c r="M1157" s="74">
        <f t="shared" si="157"/>
        <v>0</v>
      </c>
      <c r="N1157" s="74">
        <f t="shared" si="158"/>
        <v>0</v>
      </c>
      <c r="O1157" s="74">
        <f t="shared" si="159"/>
        <v>0</v>
      </c>
      <c r="P1157" s="74">
        <f t="shared" si="160"/>
        <v>25</v>
      </c>
      <c r="Q1157" s="74">
        <f t="shared" si="161"/>
        <v>29525</v>
      </c>
    </row>
    <row r="1158" spans="1:17" ht="49.5" customHeight="1">
      <c r="A1158" s="83"/>
      <c r="B1158" s="72">
        <f t="shared" si="162"/>
        <v>58</v>
      </c>
      <c r="C1158" s="82" t="s">
        <v>6068</v>
      </c>
      <c r="D1158" s="1232">
        <v>776</v>
      </c>
      <c r="E1158" s="1230" t="s">
        <v>41</v>
      </c>
      <c r="F1158" s="1434">
        <f>'Detail '!I2952</f>
        <v>58</v>
      </c>
      <c r="G1158" s="74">
        <f t="shared" ref="G1158:G1221" si="163">F1158*D1158</f>
        <v>45008</v>
      </c>
      <c r="H1158" s="74"/>
      <c r="I1158" s="74">
        <f t="shared" ref="I1158:I1221" si="164">H1158*D1158</f>
        <v>0</v>
      </c>
      <c r="J1158" s="74"/>
      <c r="K1158" s="74">
        <f t="shared" ref="K1158:K1221" si="165">J1158*D1158</f>
        <v>0</v>
      </c>
      <c r="L1158" s="74"/>
      <c r="M1158" s="74">
        <f t="shared" ref="M1158:M1221" si="166">L1158*D1158</f>
        <v>0</v>
      </c>
      <c r="N1158" s="74">
        <f t="shared" ref="N1158:N1221" si="167">H1158+J1158+L1158</f>
        <v>0</v>
      </c>
      <c r="O1158" s="74">
        <f t="shared" ref="O1158:O1221" si="168">N1158*D1158</f>
        <v>0</v>
      </c>
      <c r="P1158" s="74">
        <f t="shared" ref="P1158:P1221" si="169">N1158+F1158</f>
        <v>58</v>
      </c>
      <c r="Q1158" s="74">
        <f t="shared" ref="Q1158:Q1221" si="170">P1158*D1158</f>
        <v>45008</v>
      </c>
    </row>
    <row r="1159" spans="1:17" ht="79.150000000000006" hidden="1" customHeight="1">
      <c r="A1159" s="83"/>
      <c r="B1159" s="72">
        <f t="shared" si="162"/>
        <v>0</v>
      </c>
      <c r="C1159" s="82" t="s">
        <v>6069</v>
      </c>
      <c r="D1159" s="1232">
        <v>161.9</v>
      </c>
      <c r="E1159" s="1230" t="s">
        <v>41</v>
      </c>
      <c r="F1159" s="84"/>
      <c r="G1159" s="74">
        <f t="shared" si="163"/>
        <v>0</v>
      </c>
      <c r="H1159" s="74"/>
      <c r="I1159" s="74">
        <f t="shared" si="164"/>
        <v>0</v>
      </c>
      <c r="J1159" s="74"/>
      <c r="K1159" s="74">
        <f t="shared" si="165"/>
        <v>0</v>
      </c>
      <c r="L1159" s="74"/>
      <c r="M1159" s="74">
        <f t="shared" si="166"/>
        <v>0</v>
      </c>
      <c r="N1159" s="74">
        <f t="shared" si="167"/>
        <v>0</v>
      </c>
      <c r="O1159" s="74">
        <f t="shared" si="168"/>
        <v>0</v>
      </c>
      <c r="P1159" s="74">
        <f t="shared" si="169"/>
        <v>0</v>
      </c>
      <c r="Q1159" s="74">
        <f t="shared" si="170"/>
        <v>0</v>
      </c>
    </row>
    <row r="1160" spans="1:17" ht="30" hidden="1" customHeight="1">
      <c r="A1160" s="83"/>
      <c r="B1160" s="72">
        <f t="shared" si="162"/>
        <v>0</v>
      </c>
      <c r="C1160" s="82" t="s">
        <v>6070</v>
      </c>
      <c r="D1160" s="1232"/>
      <c r="E1160" s="1230"/>
      <c r="F1160" s="84"/>
      <c r="G1160" s="74">
        <f t="shared" si="163"/>
        <v>0</v>
      </c>
      <c r="H1160" s="74"/>
      <c r="I1160" s="74">
        <f t="shared" si="164"/>
        <v>0</v>
      </c>
      <c r="J1160" s="74"/>
      <c r="K1160" s="74">
        <f t="shared" si="165"/>
        <v>0</v>
      </c>
      <c r="L1160" s="74"/>
      <c r="M1160" s="74">
        <f t="shared" si="166"/>
        <v>0</v>
      </c>
      <c r="N1160" s="74">
        <f t="shared" si="167"/>
        <v>0</v>
      </c>
      <c r="O1160" s="74">
        <f t="shared" si="168"/>
        <v>0</v>
      </c>
      <c r="P1160" s="74">
        <f t="shared" si="169"/>
        <v>0</v>
      </c>
      <c r="Q1160" s="74">
        <f t="shared" si="170"/>
        <v>0</v>
      </c>
    </row>
    <row r="1161" spans="1:17" ht="320.25" hidden="1" customHeight="1">
      <c r="A1161" s="83"/>
      <c r="B1161" s="72">
        <f t="shared" si="162"/>
        <v>0</v>
      </c>
      <c r="C1161" s="1237" t="s">
        <v>6071</v>
      </c>
      <c r="D1161" s="1232"/>
      <c r="E1161" s="1230"/>
      <c r="F1161" s="84"/>
      <c r="G1161" s="74">
        <f t="shared" si="163"/>
        <v>0</v>
      </c>
      <c r="H1161" s="74"/>
      <c r="I1161" s="74">
        <f t="shared" si="164"/>
        <v>0</v>
      </c>
      <c r="J1161" s="74"/>
      <c r="K1161" s="74">
        <f t="shared" si="165"/>
        <v>0</v>
      </c>
      <c r="L1161" s="74"/>
      <c r="M1161" s="74">
        <f t="shared" si="166"/>
        <v>0</v>
      </c>
      <c r="N1161" s="74">
        <f t="shared" si="167"/>
        <v>0</v>
      </c>
      <c r="O1161" s="74">
        <f t="shared" si="168"/>
        <v>0</v>
      </c>
      <c r="P1161" s="74">
        <f t="shared" si="169"/>
        <v>0</v>
      </c>
      <c r="Q1161" s="74">
        <f t="shared" si="170"/>
        <v>0</v>
      </c>
    </row>
    <row r="1162" spans="1:17" ht="49.5" hidden="1" customHeight="1">
      <c r="A1162" s="83"/>
      <c r="B1162" s="72">
        <f t="shared" si="162"/>
        <v>0</v>
      </c>
      <c r="C1162" s="82" t="s">
        <v>6072</v>
      </c>
      <c r="D1162" s="1232">
        <v>312.45</v>
      </c>
      <c r="E1162" s="1230" t="s">
        <v>13</v>
      </c>
      <c r="F1162" s="84"/>
      <c r="G1162" s="74">
        <f t="shared" si="163"/>
        <v>0</v>
      </c>
      <c r="H1162" s="74"/>
      <c r="I1162" s="74">
        <f t="shared" si="164"/>
        <v>0</v>
      </c>
      <c r="J1162" s="74"/>
      <c r="K1162" s="74">
        <f t="shared" si="165"/>
        <v>0</v>
      </c>
      <c r="L1162" s="74"/>
      <c r="M1162" s="74">
        <f t="shared" si="166"/>
        <v>0</v>
      </c>
      <c r="N1162" s="74">
        <f t="shared" si="167"/>
        <v>0</v>
      </c>
      <c r="O1162" s="74">
        <f t="shared" si="168"/>
        <v>0</v>
      </c>
      <c r="P1162" s="74">
        <f t="shared" si="169"/>
        <v>0</v>
      </c>
      <c r="Q1162" s="74">
        <f t="shared" si="170"/>
        <v>0</v>
      </c>
    </row>
    <row r="1163" spans="1:17" ht="49.5" hidden="1" customHeight="1">
      <c r="A1163" s="83"/>
      <c r="B1163" s="72">
        <f t="shared" si="162"/>
        <v>0</v>
      </c>
      <c r="C1163" s="82" t="s">
        <v>6073</v>
      </c>
      <c r="D1163" s="1232">
        <v>343.1</v>
      </c>
      <c r="E1163" s="1230" t="s">
        <v>13</v>
      </c>
      <c r="F1163" s="84"/>
      <c r="G1163" s="74">
        <f t="shared" si="163"/>
        <v>0</v>
      </c>
      <c r="H1163" s="74"/>
      <c r="I1163" s="74">
        <f t="shared" si="164"/>
        <v>0</v>
      </c>
      <c r="J1163" s="74"/>
      <c r="K1163" s="74">
        <f t="shared" si="165"/>
        <v>0</v>
      </c>
      <c r="L1163" s="74"/>
      <c r="M1163" s="74">
        <f t="shared" si="166"/>
        <v>0</v>
      </c>
      <c r="N1163" s="74">
        <f t="shared" si="167"/>
        <v>0</v>
      </c>
      <c r="O1163" s="74">
        <f t="shared" si="168"/>
        <v>0</v>
      </c>
      <c r="P1163" s="74">
        <f t="shared" si="169"/>
        <v>0</v>
      </c>
      <c r="Q1163" s="74">
        <f t="shared" si="170"/>
        <v>0</v>
      </c>
    </row>
    <row r="1164" spans="1:17" ht="49.5" hidden="1" customHeight="1">
      <c r="A1164" s="83"/>
      <c r="B1164" s="72">
        <f t="shared" si="162"/>
        <v>0</v>
      </c>
      <c r="C1164" s="82" t="s">
        <v>6074</v>
      </c>
      <c r="D1164" s="1232">
        <v>345.77</v>
      </c>
      <c r="E1164" s="1230" t="s">
        <v>13</v>
      </c>
      <c r="F1164" s="84"/>
      <c r="G1164" s="74">
        <f t="shared" si="163"/>
        <v>0</v>
      </c>
      <c r="H1164" s="74"/>
      <c r="I1164" s="74">
        <f t="shared" si="164"/>
        <v>0</v>
      </c>
      <c r="J1164" s="74"/>
      <c r="K1164" s="74">
        <f t="shared" si="165"/>
        <v>0</v>
      </c>
      <c r="L1164" s="74"/>
      <c r="M1164" s="74">
        <f t="shared" si="166"/>
        <v>0</v>
      </c>
      <c r="N1164" s="74">
        <f t="shared" si="167"/>
        <v>0</v>
      </c>
      <c r="O1164" s="74">
        <f t="shared" si="168"/>
        <v>0</v>
      </c>
      <c r="P1164" s="74">
        <f t="shared" si="169"/>
        <v>0</v>
      </c>
      <c r="Q1164" s="74">
        <f t="shared" si="170"/>
        <v>0</v>
      </c>
    </row>
    <row r="1165" spans="1:17" ht="190.5" hidden="1" customHeight="1">
      <c r="A1165" s="83"/>
      <c r="B1165" s="72">
        <f t="shared" si="162"/>
        <v>0</v>
      </c>
      <c r="C1165" s="82" t="s">
        <v>6075</v>
      </c>
      <c r="D1165" s="1232">
        <v>750</v>
      </c>
      <c r="E1165" s="1230" t="s">
        <v>6076</v>
      </c>
      <c r="F1165" s="84"/>
      <c r="G1165" s="74">
        <f t="shared" si="163"/>
        <v>0</v>
      </c>
      <c r="H1165" s="74"/>
      <c r="I1165" s="74">
        <f t="shared" si="164"/>
        <v>0</v>
      </c>
      <c r="J1165" s="74"/>
      <c r="K1165" s="74">
        <f t="shared" si="165"/>
        <v>0</v>
      </c>
      <c r="L1165" s="74"/>
      <c r="M1165" s="74">
        <f t="shared" si="166"/>
        <v>0</v>
      </c>
      <c r="N1165" s="74">
        <f t="shared" si="167"/>
        <v>0</v>
      </c>
      <c r="O1165" s="74">
        <f t="shared" si="168"/>
        <v>0</v>
      </c>
      <c r="P1165" s="74">
        <f t="shared" si="169"/>
        <v>0</v>
      </c>
      <c r="Q1165" s="74">
        <f t="shared" si="170"/>
        <v>0</v>
      </c>
    </row>
    <row r="1166" spans="1:17" ht="87" hidden="1" customHeight="1">
      <c r="A1166" s="83"/>
      <c r="B1166" s="72">
        <f t="shared" si="162"/>
        <v>0</v>
      </c>
      <c r="C1166" s="82" t="s">
        <v>6077</v>
      </c>
      <c r="D1166" s="1232">
        <v>322.92</v>
      </c>
      <c r="E1166" s="1230" t="s">
        <v>724</v>
      </c>
      <c r="F1166" s="84"/>
      <c r="G1166" s="74">
        <f t="shared" si="163"/>
        <v>0</v>
      </c>
      <c r="H1166" s="74"/>
      <c r="I1166" s="74">
        <f t="shared" si="164"/>
        <v>0</v>
      </c>
      <c r="J1166" s="74"/>
      <c r="K1166" s="74">
        <f t="shared" si="165"/>
        <v>0</v>
      </c>
      <c r="L1166" s="74"/>
      <c r="M1166" s="74">
        <f t="shared" si="166"/>
        <v>0</v>
      </c>
      <c r="N1166" s="74">
        <f t="shared" si="167"/>
        <v>0</v>
      </c>
      <c r="O1166" s="74">
        <f t="shared" si="168"/>
        <v>0</v>
      </c>
      <c r="P1166" s="74">
        <f t="shared" si="169"/>
        <v>0</v>
      </c>
      <c r="Q1166" s="74">
        <f t="shared" si="170"/>
        <v>0</v>
      </c>
    </row>
    <row r="1167" spans="1:17" ht="103.5" hidden="1" customHeight="1">
      <c r="A1167" s="83"/>
      <c r="B1167" s="72">
        <f t="shared" si="162"/>
        <v>0</v>
      </c>
      <c r="C1167" s="82" t="s">
        <v>6078</v>
      </c>
      <c r="D1167" s="1232"/>
      <c r="E1167" s="1230" t="s">
        <v>724</v>
      </c>
      <c r="F1167" s="84"/>
      <c r="G1167" s="74">
        <f t="shared" si="163"/>
        <v>0</v>
      </c>
      <c r="H1167" s="74"/>
      <c r="I1167" s="74">
        <f t="shared" si="164"/>
        <v>0</v>
      </c>
      <c r="J1167" s="74"/>
      <c r="K1167" s="74">
        <f t="shared" si="165"/>
        <v>0</v>
      </c>
      <c r="L1167" s="74"/>
      <c r="M1167" s="74">
        <f t="shared" si="166"/>
        <v>0</v>
      </c>
      <c r="N1167" s="74">
        <f t="shared" si="167"/>
        <v>0</v>
      </c>
      <c r="O1167" s="74">
        <f t="shared" si="168"/>
        <v>0</v>
      </c>
      <c r="P1167" s="74">
        <f t="shared" si="169"/>
        <v>0</v>
      </c>
      <c r="Q1167" s="74">
        <f t="shared" si="170"/>
        <v>0</v>
      </c>
    </row>
    <row r="1168" spans="1:17" ht="144" hidden="1" customHeight="1">
      <c r="A1168" s="83"/>
      <c r="B1168" s="72">
        <f t="shared" si="162"/>
        <v>0</v>
      </c>
      <c r="C1168" s="1435" t="s">
        <v>6079</v>
      </c>
      <c r="D1168" s="1232"/>
      <c r="E1168" s="1230"/>
      <c r="F1168" s="84"/>
      <c r="G1168" s="74">
        <f t="shared" si="163"/>
        <v>0</v>
      </c>
      <c r="H1168" s="74"/>
      <c r="I1168" s="74">
        <f t="shared" si="164"/>
        <v>0</v>
      </c>
      <c r="J1168" s="74"/>
      <c r="K1168" s="74">
        <f t="shared" si="165"/>
        <v>0</v>
      </c>
      <c r="L1168" s="74"/>
      <c r="M1168" s="74">
        <f t="shared" si="166"/>
        <v>0</v>
      </c>
      <c r="N1168" s="74">
        <f t="shared" si="167"/>
        <v>0</v>
      </c>
      <c r="O1168" s="74">
        <f t="shared" si="168"/>
        <v>0</v>
      </c>
      <c r="P1168" s="74">
        <f t="shared" si="169"/>
        <v>0</v>
      </c>
      <c r="Q1168" s="74">
        <f t="shared" si="170"/>
        <v>0</v>
      </c>
    </row>
    <row r="1169" spans="1:17" ht="49.5" hidden="1" customHeight="1">
      <c r="A1169" s="83"/>
      <c r="B1169" s="72">
        <f t="shared" si="162"/>
        <v>0</v>
      </c>
      <c r="C1169" s="82" t="s">
        <v>6080</v>
      </c>
      <c r="D1169" s="1232">
        <f>609.5*6</f>
        <v>3657</v>
      </c>
      <c r="E1169" s="1230" t="s">
        <v>5</v>
      </c>
      <c r="F1169" s="84"/>
      <c r="G1169" s="74">
        <f t="shared" si="163"/>
        <v>0</v>
      </c>
      <c r="H1169" s="74"/>
      <c r="I1169" s="74">
        <f t="shared" si="164"/>
        <v>0</v>
      </c>
      <c r="J1169" s="74"/>
      <c r="K1169" s="74">
        <f t="shared" si="165"/>
        <v>0</v>
      </c>
      <c r="L1169" s="74"/>
      <c r="M1169" s="74">
        <f t="shared" si="166"/>
        <v>0</v>
      </c>
      <c r="N1169" s="74">
        <f t="shared" si="167"/>
        <v>0</v>
      </c>
      <c r="O1169" s="74">
        <f t="shared" si="168"/>
        <v>0</v>
      </c>
      <c r="P1169" s="74">
        <f t="shared" si="169"/>
        <v>0</v>
      </c>
      <c r="Q1169" s="74">
        <f t="shared" si="170"/>
        <v>0</v>
      </c>
    </row>
    <row r="1170" spans="1:17" ht="49.5" hidden="1" customHeight="1">
      <c r="A1170" s="83"/>
      <c r="B1170" s="72">
        <f t="shared" si="162"/>
        <v>0</v>
      </c>
      <c r="C1170" s="82" t="s">
        <v>6081</v>
      </c>
      <c r="D1170" s="1232">
        <f>609.5*7</f>
        <v>4266.5</v>
      </c>
      <c r="E1170" s="1230" t="s">
        <v>5</v>
      </c>
      <c r="F1170" s="84"/>
      <c r="G1170" s="74">
        <f t="shared" si="163"/>
        <v>0</v>
      </c>
      <c r="H1170" s="74"/>
      <c r="I1170" s="74">
        <f t="shared" si="164"/>
        <v>0</v>
      </c>
      <c r="J1170" s="74"/>
      <c r="K1170" s="74">
        <f t="shared" si="165"/>
        <v>0</v>
      </c>
      <c r="L1170" s="74"/>
      <c r="M1170" s="74">
        <f t="shared" si="166"/>
        <v>0</v>
      </c>
      <c r="N1170" s="74">
        <f t="shared" si="167"/>
        <v>0</v>
      </c>
      <c r="O1170" s="74">
        <f t="shared" si="168"/>
        <v>0</v>
      </c>
      <c r="P1170" s="74">
        <f t="shared" si="169"/>
        <v>0</v>
      </c>
      <c r="Q1170" s="74">
        <f t="shared" si="170"/>
        <v>0</v>
      </c>
    </row>
    <row r="1171" spans="1:17" ht="49.5" hidden="1" customHeight="1">
      <c r="A1171" s="83"/>
      <c r="B1171" s="72">
        <f t="shared" si="162"/>
        <v>0</v>
      </c>
      <c r="C1171" s="82" t="s">
        <v>6082</v>
      </c>
      <c r="D1171" s="1232">
        <v>1828.5</v>
      </c>
      <c r="E1171" s="1230" t="s">
        <v>5</v>
      </c>
      <c r="F1171" s="84"/>
      <c r="G1171" s="74">
        <f t="shared" si="163"/>
        <v>0</v>
      </c>
      <c r="H1171" s="74"/>
      <c r="I1171" s="74">
        <f t="shared" si="164"/>
        <v>0</v>
      </c>
      <c r="J1171" s="74"/>
      <c r="K1171" s="74">
        <f t="shared" si="165"/>
        <v>0</v>
      </c>
      <c r="L1171" s="74"/>
      <c r="M1171" s="74">
        <f t="shared" si="166"/>
        <v>0</v>
      </c>
      <c r="N1171" s="74">
        <f t="shared" si="167"/>
        <v>0</v>
      </c>
      <c r="O1171" s="74">
        <f t="shared" si="168"/>
        <v>0</v>
      </c>
      <c r="P1171" s="74">
        <f t="shared" si="169"/>
        <v>0</v>
      </c>
      <c r="Q1171" s="74">
        <f t="shared" si="170"/>
        <v>0</v>
      </c>
    </row>
    <row r="1172" spans="1:17" ht="49.5" hidden="1" customHeight="1">
      <c r="A1172" s="83"/>
      <c r="B1172" s="72">
        <f t="shared" si="162"/>
        <v>0</v>
      </c>
      <c r="C1172" s="82" t="s">
        <v>6083</v>
      </c>
      <c r="D1172" s="1232">
        <v>2438</v>
      </c>
      <c r="E1172" s="1230" t="s">
        <v>5</v>
      </c>
      <c r="F1172" s="84"/>
      <c r="G1172" s="74">
        <f t="shared" si="163"/>
        <v>0</v>
      </c>
      <c r="H1172" s="74"/>
      <c r="I1172" s="74">
        <f t="shared" si="164"/>
        <v>0</v>
      </c>
      <c r="J1172" s="74"/>
      <c r="K1172" s="74">
        <f t="shared" si="165"/>
        <v>0</v>
      </c>
      <c r="L1172" s="74"/>
      <c r="M1172" s="74">
        <f t="shared" si="166"/>
        <v>0</v>
      </c>
      <c r="N1172" s="74">
        <f t="shared" si="167"/>
        <v>0</v>
      </c>
      <c r="O1172" s="74">
        <f t="shared" si="168"/>
        <v>0</v>
      </c>
      <c r="P1172" s="74">
        <f t="shared" si="169"/>
        <v>0</v>
      </c>
      <c r="Q1172" s="74">
        <f t="shared" si="170"/>
        <v>0</v>
      </c>
    </row>
    <row r="1173" spans="1:17" ht="150" hidden="1" customHeight="1">
      <c r="A1173" s="83"/>
      <c r="B1173" s="72">
        <f t="shared" si="162"/>
        <v>0</v>
      </c>
      <c r="C1173" s="1435" t="s">
        <v>6084</v>
      </c>
      <c r="D1173" s="1232"/>
      <c r="E1173" s="1230"/>
      <c r="F1173" s="84"/>
      <c r="G1173" s="74">
        <f t="shared" si="163"/>
        <v>0</v>
      </c>
      <c r="H1173" s="74"/>
      <c r="I1173" s="74">
        <f t="shared" si="164"/>
        <v>0</v>
      </c>
      <c r="J1173" s="74"/>
      <c r="K1173" s="74">
        <f t="shared" si="165"/>
        <v>0</v>
      </c>
      <c r="L1173" s="74"/>
      <c r="M1173" s="74">
        <f t="shared" si="166"/>
        <v>0</v>
      </c>
      <c r="N1173" s="74">
        <f t="shared" si="167"/>
        <v>0</v>
      </c>
      <c r="O1173" s="74">
        <f t="shared" si="168"/>
        <v>0</v>
      </c>
      <c r="P1173" s="74">
        <f t="shared" si="169"/>
        <v>0</v>
      </c>
      <c r="Q1173" s="74">
        <f t="shared" si="170"/>
        <v>0</v>
      </c>
    </row>
    <row r="1174" spans="1:17" ht="49.5" hidden="1" customHeight="1">
      <c r="A1174" s="83"/>
      <c r="B1174" s="72">
        <f t="shared" si="162"/>
        <v>0</v>
      </c>
      <c r="C1174" s="82" t="s">
        <v>6085</v>
      </c>
      <c r="D1174" s="1232">
        <f>87*5</f>
        <v>435</v>
      </c>
      <c r="E1174" s="1230" t="s">
        <v>5</v>
      </c>
      <c r="F1174" s="84"/>
      <c r="G1174" s="74">
        <f t="shared" si="163"/>
        <v>0</v>
      </c>
      <c r="H1174" s="74"/>
      <c r="I1174" s="74">
        <f t="shared" si="164"/>
        <v>0</v>
      </c>
      <c r="J1174" s="74"/>
      <c r="K1174" s="74">
        <f t="shared" si="165"/>
        <v>0</v>
      </c>
      <c r="L1174" s="74"/>
      <c r="M1174" s="74">
        <f t="shared" si="166"/>
        <v>0</v>
      </c>
      <c r="N1174" s="74">
        <f t="shared" si="167"/>
        <v>0</v>
      </c>
      <c r="O1174" s="74">
        <f t="shared" si="168"/>
        <v>0</v>
      </c>
      <c r="P1174" s="74">
        <f t="shared" si="169"/>
        <v>0</v>
      </c>
      <c r="Q1174" s="74">
        <f t="shared" si="170"/>
        <v>0</v>
      </c>
    </row>
    <row r="1175" spans="1:17" ht="49.5" hidden="1" customHeight="1">
      <c r="A1175" s="83"/>
      <c r="B1175" s="72">
        <f t="shared" si="162"/>
        <v>0</v>
      </c>
      <c r="C1175" s="82" t="s">
        <v>6086</v>
      </c>
      <c r="D1175" s="1232">
        <v>174</v>
      </c>
      <c r="E1175" s="1230" t="s">
        <v>5</v>
      </c>
      <c r="F1175" s="84"/>
      <c r="G1175" s="74">
        <f t="shared" si="163"/>
        <v>0</v>
      </c>
      <c r="H1175" s="74"/>
      <c r="I1175" s="74">
        <f t="shared" si="164"/>
        <v>0</v>
      </c>
      <c r="J1175" s="74"/>
      <c r="K1175" s="74">
        <f t="shared" si="165"/>
        <v>0</v>
      </c>
      <c r="L1175" s="74"/>
      <c r="M1175" s="74">
        <f t="shared" si="166"/>
        <v>0</v>
      </c>
      <c r="N1175" s="74">
        <f t="shared" si="167"/>
        <v>0</v>
      </c>
      <c r="O1175" s="74">
        <f t="shared" si="168"/>
        <v>0</v>
      </c>
      <c r="P1175" s="74">
        <f t="shared" si="169"/>
        <v>0</v>
      </c>
      <c r="Q1175" s="74">
        <f t="shared" si="170"/>
        <v>0</v>
      </c>
    </row>
    <row r="1176" spans="1:17" ht="49.5" hidden="1" customHeight="1">
      <c r="A1176" s="83"/>
      <c r="B1176" s="72">
        <f t="shared" si="162"/>
        <v>0</v>
      </c>
      <c r="C1176" s="82" t="s">
        <v>6082</v>
      </c>
      <c r="D1176" s="1232">
        <v>261</v>
      </c>
      <c r="E1176" s="1230" t="s">
        <v>5</v>
      </c>
      <c r="F1176" s="84"/>
      <c r="G1176" s="74">
        <f t="shared" si="163"/>
        <v>0</v>
      </c>
      <c r="H1176" s="74"/>
      <c r="I1176" s="74">
        <f t="shared" si="164"/>
        <v>0</v>
      </c>
      <c r="J1176" s="74"/>
      <c r="K1176" s="74">
        <f t="shared" si="165"/>
        <v>0</v>
      </c>
      <c r="L1176" s="74"/>
      <c r="M1176" s="74">
        <f t="shared" si="166"/>
        <v>0</v>
      </c>
      <c r="N1176" s="74">
        <f t="shared" si="167"/>
        <v>0</v>
      </c>
      <c r="O1176" s="74">
        <f t="shared" si="168"/>
        <v>0</v>
      </c>
      <c r="P1176" s="74">
        <f t="shared" si="169"/>
        <v>0</v>
      </c>
      <c r="Q1176" s="74">
        <f t="shared" si="170"/>
        <v>0</v>
      </c>
    </row>
    <row r="1177" spans="1:17" ht="49.5" hidden="1" customHeight="1">
      <c r="A1177" s="83"/>
      <c r="B1177" s="72">
        <f t="shared" si="162"/>
        <v>0</v>
      </c>
      <c r="C1177" s="82" t="s">
        <v>6083</v>
      </c>
      <c r="D1177" s="1232">
        <v>348</v>
      </c>
      <c r="E1177" s="1230" t="s">
        <v>5</v>
      </c>
      <c r="F1177" s="84"/>
      <c r="G1177" s="74">
        <f t="shared" si="163"/>
        <v>0</v>
      </c>
      <c r="H1177" s="74"/>
      <c r="I1177" s="74">
        <f t="shared" si="164"/>
        <v>0</v>
      </c>
      <c r="J1177" s="74"/>
      <c r="K1177" s="74">
        <f t="shared" si="165"/>
        <v>0</v>
      </c>
      <c r="L1177" s="74"/>
      <c r="M1177" s="74">
        <f t="shared" si="166"/>
        <v>0</v>
      </c>
      <c r="N1177" s="74">
        <f t="shared" si="167"/>
        <v>0</v>
      </c>
      <c r="O1177" s="74">
        <f t="shared" si="168"/>
        <v>0</v>
      </c>
      <c r="P1177" s="74">
        <f t="shared" si="169"/>
        <v>0</v>
      </c>
      <c r="Q1177" s="74">
        <f t="shared" si="170"/>
        <v>0</v>
      </c>
    </row>
    <row r="1178" spans="1:17" ht="64.5" hidden="1" customHeight="1">
      <c r="A1178" s="83"/>
      <c r="B1178" s="72">
        <f t="shared" si="162"/>
        <v>0</v>
      </c>
      <c r="C1178" s="82" t="s">
        <v>6087</v>
      </c>
      <c r="D1178" s="1232">
        <v>1878</v>
      </c>
      <c r="E1178" s="1230" t="s">
        <v>729</v>
      </c>
      <c r="F1178" s="84"/>
      <c r="G1178" s="74">
        <f t="shared" si="163"/>
        <v>0</v>
      </c>
      <c r="H1178" s="74"/>
      <c r="I1178" s="74">
        <f t="shared" si="164"/>
        <v>0</v>
      </c>
      <c r="J1178" s="74"/>
      <c r="K1178" s="74">
        <f t="shared" si="165"/>
        <v>0</v>
      </c>
      <c r="L1178" s="74"/>
      <c r="M1178" s="74">
        <f t="shared" si="166"/>
        <v>0</v>
      </c>
      <c r="N1178" s="74">
        <f t="shared" si="167"/>
        <v>0</v>
      </c>
      <c r="O1178" s="74">
        <f t="shared" si="168"/>
        <v>0</v>
      </c>
      <c r="P1178" s="74">
        <f t="shared" si="169"/>
        <v>0</v>
      </c>
      <c r="Q1178" s="74">
        <f t="shared" si="170"/>
        <v>0</v>
      </c>
    </row>
    <row r="1179" spans="1:17" ht="49.5" hidden="1" customHeight="1">
      <c r="A1179" s="83"/>
      <c r="B1179" s="72">
        <f t="shared" si="162"/>
        <v>0</v>
      </c>
      <c r="C1179" s="82" t="s">
        <v>5698</v>
      </c>
      <c r="D1179" s="1232"/>
      <c r="E1179" s="1230" t="s">
        <v>13</v>
      </c>
      <c r="F1179" s="84"/>
      <c r="G1179" s="74">
        <f t="shared" si="163"/>
        <v>0</v>
      </c>
      <c r="H1179" s="74"/>
      <c r="I1179" s="74">
        <f t="shared" si="164"/>
        <v>0</v>
      </c>
      <c r="J1179" s="74"/>
      <c r="K1179" s="74">
        <f t="shared" si="165"/>
        <v>0</v>
      </c>
      <c r="L1179" s="74"/>
      <c r="M1179" s="74">
        <f t="shared" si="166"/>
        <v>0</v>
      </c>
      <c r="N1179" s="74">
        <f t="shared" si="167"/>
        <v>0</v>
      </c>
      <c r="O1179" s="74">
        <f t="shared" si="168"/>
        <v>0</v>
      </c>
      <c r="P1179" s="74">
        <f t="shared" si="169"/>
        <v>0</v>
      </c>
      <c r="Q1179" s="74">
        <f t="shared" si="170"/>
        <v>0</v>
      </c>
    </row>
    <row r="1180" spans="1:17" ht="84" hidden="1" customHeight="1">
      <c r="A1180" s="83"/>
      <c r="B1180" s="72">
        <f t="shared" si="162"/>
        <v>0</v>
      </c>
      <c r="C1180" s="82" t="s">
        <v>6088</v>
      </c>
      <c r="D1180" s="1232">
        <v>30000</v>
      </c>
      <c r="E1180" s="1230" t="s">
        <v>1715</v>
      </c>
      <c r="F1180" s="84"/>
      <c r="G1180" s="74">
        <f t="shared" si="163"/>
        <v>0</v>
      </c>
      <c r="H1180" s="74"/>
      <c r="I1180" s="74">
        <f t="shared" si="164"/>
        <v>0</v>
      </c>
      <c r="J1180" s="74"/>
      <c r="K1180" s="74">
        <f t="shared" si="165"/>
        <v>0</v>
      </c>
      <c r="L1180" s="74"/>
      <c r="M1180" s="74">
        <f t="shared" si="166"/>
        <v>0</v>
      </c>
      <c r="N1180" s="74">
        <f t="shared" si="167"/>
        <v>0</v>
      </c>
      <c r="O1180" s="74">
        <f t="shared" si="168"/>
        <v>0</v>
      </c>
      <c r="P1180" s="74">
        <f t="shared" si="169"/>
        <v>0</v>
      </c>
      <c r="Q1180" s="74">
        <f t="shared" si="170"/>
        <v>0</v>
      </c>
    </row>
    <row r="1181" spans="1:17" ht="117" hidden="1" customHeight="1">
      <c r="A1181" s="83"/>
      <c r="B1181" s="72">
        <f t="shared" si="162"/>
        <v>0</v>
      </c>
      <c r="C1181" s="82" t="s">
        <v>6089</v>
      </c>
      <c r="D1181" s="1232">
        <v>5500</v>
      </c>
      <c r="E1181" s="1230" t="s">
        <v>1715</v>
      </c>
      <c r="F1181" s="84"/>
      <c r="G1181" s="74">
        <f t="shared" si="163"/>
        <v>0</v>
      </c>
      <c r="H1181" s="74"/>
      <c r="I1181" s="74">
        <f t="shared" si="164"/>
        <v>0</v>
      </c>
      <c r="J1181" s="74"/>
      <c r="K1181" s="74">
        <f t="shared" si="165"/>
        <v>0</v>
      </c>
      <c r="L1181" s="74"/>
      <c r="M1181" s="74">
        <f t="shared" si="166"/>
        <v>0</v>
      </c>
      <c r="N1181" s="74">
        <f t="shared" si="167"/>
        <v>0</v>
      </c>
      <c r="O1181" s="74">
        <f t="shared" si="168"/>
        <v>0</v>
      </c>
      <c r="P1181" s="74">
        <f t="shared" si="169"/>
        <v>0</v>
      </c>
      <c r="Q1181" s="74">
        <f t="shared" si="170"/>
        <v>0</v>
      </c>
    </row>
    <row r="1182" spans="1:17" ht="93" hidden="1" customHeight="1">
      <c r="A1182" s="83"/>
      <c r="B1182" s="72">
        <f t="shared" si="162"/>
        <v>0</v>
      </c>
      <c r="C1182" s="82" t="s">
        <v>6090</v>
      </c>
      <c r="D1182" s="1232">
        <v>6000</v>
      </c>
      <c r="E1182" s="1230" t="s">
        <v>1715</v>
      </c>
      <c r="F1182" s="84"/>
      <c r="G1182" s="74">
        <f t="shared" si="163"/>
        <v>0</v>
      </c>
      <c r="H1182" s="74"/>
      <c r="I1182" s="74">
        <f t="shared" si="164"/>
        <v>0</v>
      </c>
      <c r="J1182" s="74"/>
      <c r="K1182" s="74">
        <f t="shared" si="165"/>
        <v>0</v>
      </c>
      <c r="L1182" s="74"/>
      <c r="M1182" s="74">
        <f t="shared" si="166"/>
        <v>0</v>
      </c>
      <c r="N1182" s="74">
        <f t="shared" si="167"/>
        <v>0</v>
      </c>
      <c r="O1182" s="74">
        <f t="shared" si="168"/>
        <v>0</v>
      </c>
      <c r="P1182" s="74">
        <f t="shared" si="169"/>
        <v>0</v>
      </c>
      <c r="Q1182" s="74">
        <f t="shared" si="170"/>
        <v>0</v>
      </c>
    </row>
    <row r="1183" spans="1:17" ht="136.9" hidden="1" customHeight="1">
      <c r="A1183" s="83"/>
      <c r="B1183" s="72">
        <f t="shared" si="162"/>
        <v>0</v>
      </c>
      <c r="C1183" s="82" t="s">
        <v>6091</v>
      </c>
      <c r="D1183" s="1232">
        <v>84000</v>
      </c>
      <c r="E1183" s="1230" t="s">
        <v>1715</v>
      </c>
      <c r="F1183" s="84"/>
      <c r="G1183" s="74">
        <f t="shared" si="163"/>
        <v>0</v>
      </c>
      <c r="H1183" s="74"/>
      <c r="I1183" s="74">
        <f t="shared" si="164"/>
        <v>0</v>
      </c>
      <c r="J1183" s="74"/>
      <c r="K1183" s="74">
        <f t="shared" si="165"/>
        <v>0</v>
      </c>
      <c r="L1183" s="74"/>
      <c r="M1183" s="74">
        <f t="shared" si="166"/>
        <v>0</v>
      </c>
      <c r="N1183" s="74">
        <f t="shared" si="167"/>
        <v>0</v>
      </c>
      <c r="O1183" s="74">
        <f t="shared" si="168"/>
        <v>0</v>
      </c>
      <c r="P1183" s="74">
        <f t="shared" si="169"/>
        <v>0</v>
      </c>
      <c r="Q1183" s="74">
        <f t="shared" si="170"/>
        <v>0</v>
      </c>
    </row>
    <row r="1184" spans="1:17" ht="231" hidden="1" customHeight="1">
      <c r="A1184" s="83"/>
      <c r="B1184" s="72">
        <f t="shared" si="162"/>
        <v>0</v>
      </c>
      <c r="C1184" s="82" t="s">
        <v>6092</v>
      </c>
      <c r="D1184" s="1232">
        <v>185000</v>
      </c>
      <c r="E1184" s="1230" t="s">
        <v>1715</v>
      </c>
      <c r="F1184" s="84"/>
      <c r="G1184" s="74">
        <f t="shared" si="163"/>
        <v>0</v>
      </c>
      <c r="H1184" s="74"/>
      <c r="I1184" s="74">
        <f t="shared" si="164"/>
        <v>0</v>
      </c>
      <c r="J1184" s="74"/>
      <c r="K1184" s="74">
        <f t="shared" si="165"/>
        <v>0</v>
      </c>
      <c r="L1184" s="74"/>
      <c r="M1184" s="74">
        <f t="shared" si="166"/>
        <v>0</v>
      </c>
      <c r="N1184" s="74">
        <f t="shared" si="167"/>
        <v>0</v>
      </c>
      <c r="O1184" s="74">
        <f t="shared" si="168"/>
        <v>0</v>
      </c>
      <c r="P1184" s="74">
        <f t="shared" si="169"/>
        <v>0</v>
      </c>
      <c r="Q1184" s="74">
        <f t="shared" si="170"/>
        <v>0</v>
      </c>
    </row>
    <row r="1185" spans="1:17" ht="69.75" hidden="1" customHeight="1">
      <c r="A1185" s="83"/>
      <c r="B1185" s="72">
        <f t="shared" si="162"/>
        <v>0</v>
      </c>
      <c r="C1185" s="82" t="s">
        <v>6093</v>
      </c>
      <c r="D1185" s="1232">
        <v>32000</v>
      </c>
      <c r="E1185" s="1230" t="s">
        <v>3092</v>
      </c>
      <c r="F1185" s="84"/>
      <c r="G1185" s="74">
        <f t="shared" si="163"/>
        <v>0</v>
      </c>
      <c r="H1185" s="74"/>
      <c r="I1185" s="74">
        <f t="shared" si="164"/>
        <v>0</v>
      </c>
      <c r="J1185" s="74"/>
      <c r="K1185" s="74">
        <f t="shared" si="165"/>
        <v>0</v>
      </c>
      <c r="L1185" s="74"/>
      <c r="M1185" s="74">
        <f t="shared" si="166"/>
        <v>0</v>
      </c>
      <c r="N1185" s="74">
        <f t="shared" si="167"/>
        <v>0</v>
      </c>
      <c r="O1185" s="74">
        <f t="shared" si="168"/>
        <v>0</v>
      </c>
      <c r="P1185" s="74">
        <f t="shared" si="169"/>
        <v>0</v>
      </c>
      <c r="Q1185" s="74">
        <f t="shared" si="170"/>
        <v>0</v>
      </c>
    </row>
    <row r="1186" spans="1:17" ht="116.25" hidden="1" customHeight="1">
      <c r="A1186" s="83"/>
      <c r="B1186" s="72">
        <f t="shared" si="162"/>
        <v>0</v>
      </c>
      <c r="C1186" s="82" t="s">
        <v>6094</v>
      </c>
      <c r="D1186" s="1232">
        <v>400000</v>
      </c>
      <c r="E1186" s="1230" t="s">
        <v>1715</v>
      </c>
      <c r="F1186" s="84"/>
      <c r="G1186" s="74">
        <f t="shared" si="163"/>
        <v>0</v>
      </c>
      <c r="H1186" s="74"/>
      <c r="I1186" s="74">
        <f t="shared" si="164"/>
        <v>0</v>
      </c>
      <c r="J1186" s="74"/>
      <c r="K1186" s="74">
        <f t="shared" si="165"/>
        <v>0</v>
      </c>
      <c r="L1186" s="74"/>
      <c r="M1186" s="74">
        <f t="shared" si="166"/>
        <v>0</v>
      </c>
      <c r="N1186" s="74">
        <f t="shared" si="167"/>
        <v>0</v>
      </c>
      <c r="O1186" s="74">
        <f t="shared" si="168"/>
        <v>0</v>
      </c>
      <c r="P1186" s="74">
        <f t="shared" si="169"/>
        <v>0</v>
      </c>
      <c r="Q1186" s="74">
        <f t="shared" si="170"/>
        <v>0</v>
      </c>
    </row>
    <row r="1187" spans="1:17" ht="209.25" hidden="1" customHeight="1">
      <c r="A1187" s="83"/>
      <c r="B1187" s="72">
        <f t="shared" si="162"/>
        <v>0</v>
      </c>
      <c r="C1187" s="82" t="s">
        <v>6095</v>
      </c>
      <c r="D1187" s="1232">
        <v>275000</v>
      </c>
      <c r="E1187" s="1230" t="s">
        <v>3092</v>
      </c>
      <c r="F1187" s="84"/>
      <c r="G1187" s="74">
        <f t="shared" si="163"/>
        <v>0</v>
      </c>
      <c r="H1187" s="74"/>
      <c r="I1187" s="74">
        <f t="shared" si="164"/>
        <v>0</v>
      </c>
      <c r="J1187" s="74"/>
      <c r="K1187" s="74">
        <f t="shared" si="165"/>
        <v>0</v>
      </c>
      <c r="L1187" s="74"/>
      <c r="M1187" s="74">
        <f t="shared" si="166"/>
        <v>0</v>
      </c>
      <c r="N1187" s="74">
        <f t="shared" si="167"/>
        <v>0</v>
      </c>
      <c r="O1187" s="74">
        <f t="shared" si="168"/>
        <v>0</v>
      </c>
      <c r="P1187" s="74">
        <f t="shared" si="169"/>
        <v>0</v>
      </c>
      <c r="Q1187" s="74">
        <f t="shared" si="170"/>
        <v>0</v>
      </c>
    </row>
    <row r="1188" spans="1:17" ht="232.5" hidden="1" customHeight="1">
      <c r="A1188" s="83"/>
      <c r="B1188" s="72">
        <f t="shared" si="162"/>
        <v>0</v>
      </c>
      <c r="C1188" s="82" t="s">
        <v>6096</v>
      </c>
      <c r="D1188" s="1232">
        <v>350000</v>
      </c>
      <c r="E1188" s="1230" t="s">
        <v>3092</v>
      </c>
      <c r="F1188" s="84"/>
      <c r="G1188" s="74">
        <f t="shared" si="163"/>
        <v>0</v>
      </c>
      <c r="H1188" s="74"/>
      <c r="I1188" s="74">
        <f t="shared" si="164"/>
        <v>0</v>
      </c>
      <c r="J1188" s="74"/>
      <c r="K1188" s="74">
        <f t="shared" si="165"/>
        <v>0</v>
      </c>
      <c r="L1188" s="74"/>
      <c r="M1188" s="74">
        <f t="shared" si="166"/>
        <v>0</v>
      </c>
      <c r="N1188" s="74">
        <f t="shared" si="167"/>
        <v>0</v>
      </c>
      <c r="O1188" s="74">
        <f t="shared" si="168"/>
        <v>0</v>
      </c>
      <c r="P1188" s="74">
        <f t="shared" si="169"/>
        <v>0</v>
      </c>
      <c r="Q1188" s="74">
        <f t="shared" si="170"/>
        <v>0</v>
      </c>
    </row>
    <row r="1189" spans="1:17" ht="116.25" hidden="1" customHeight="1">
      <c r="A1189" s="83"/>
      <c r="B1189" s="72">
        <f t="shared" si="162"/>
        <v>0</v>
      </c>
      <c r="C1189" s="82" t="s">
        <v>6097</v>
      </c>
      <c r="D1189" s="1232">
        <v>15000</v>
      </c>
      <c r="E1189" s="1230" t="s">
        <v>3092</v>
      </c>
      <c r="F1189" s="84"/>
      <c r="G1189" s="74">
        <f t="shared" si="163"/>
        <v>0</v>
      </c>
      <c r="H1189" s="74"/>
      <c r="I1189" s="74">
        <f t="shared" si="164"/>
        <v>0</v>
      </c>
      <c r="J1189" s="74"/>
      <c r="K1189" s="74">
        <f t="shared" si="165"/>
        <v>0</v>
      </c>
      <c r="L1189" s="74"/>
      <c r="M1189" s="74">
        <f t="shared" si="166"/>
        <v>0</v>
      </c>
      <c r="N1189" s="74">
        <f t="shared" si="167"/>
        <v>0</v>
      </c>
      <c r="O1189" s="74">
        <f t="shared" si="168"/>
        <v>0</v>
      </c>
      <c r="P1189" s="74">
        <f t="shared" si="169"/>
        <v>0</v>
      </c>
      <c r="Q1189" s="74">
        <f t="shared" si="170"/>
        <v>0</v>
      </c>
    </row>
    <row r="1190" spans="1:17" ht="162.75" hidden="1" customHeight="1">
      <c r="A1190" s="83"/>
      <c r="B1190" s="72">
        <f t="shared" si="162"/>
        <v>0</v>
      </c>
      <c r="C1190" s="82" t="s">
        <v>6098</v>
      </c>
      <c r="D1190" s="1232">
        <v>28500</v>
      </c>
      <c r="E1190" s="1230" t="s">
        <v>1715</v>
      </c>
      <c r="F1190" s="84"/>
      <c r="G1190" s="74">
        <f t="shared" si="163"/>
        <v>0</v>
      </c>
      <c r="H1190" s="74"/>
      <c r="I1190" s="74">
        <f t="shared" si="164"/>
        <v>0</v>
      </c>
      <c r="J1190" s="74"/>
      <c r="K1190" s="74">
        <f t="shared" si="165"/>
        <v>0</v>
      </c>
      <c r="L1190" s="74"/>
      <c r="M1190" s="74">
        <f t="shared" si="166"/>
        <v>0</v>
      </c>
      <c r="N1190" s="74">
        <f t="shared" si="167"/>
        <v>0</v>
      </c>
      <c r="O1190" s="74">
        <f t="shared" si="168"/>
        <v>0</v>
      </c>
      <c r="P1190" s="74">
        <f t="shared" si="169"/>
        <v>0</v>
      </c>
      <c r="Q1190" s="74">
        <f t="shared" si="170"/>
        <v>0</v>
      </c>
    </row>
    <row r="1191" spans="1:17" ht="162.75" hidden="1" customHeight="1">
      <c r="A1191" s="83"/>
      <c r="B1191" s="72">
        <f t="shared" si="162"/>
        <v>0</v>
      </c>
      <c r="C1191" s="82" t="s">
        <v>6099</v>
      </c>
      <c r="D1191" s="1232">
        <v>25000</v>
      </c>
      <c r="E1191" s="1230" t="s">
        <v>1715</v>
      </c>
      <c r="F1191" s="84"/>
      <c r="G1191" s="74">
        <f t="shared" si="163"/>
        <v>0</v>
      </c>
      <c r="H1191" s="74"/>
      <c r="I1191" s="74">
        <f t="shared" si="164"/>
        <v>0</v>
      </c>
      <c r="J1191" s="74"/>
      <c r="K1191" s="74">
        <f t="shared" si="165"/>
        <v>0</v>
      </c>
      <c r="L1191" s="74"/>
      <c r="M1191" s="74">
        <f t="shared" si="166"/>
        <v>0</v>
      </c>
      <c r="N1191" s="74">
        <f t="shared" si="167"/>
        <v>0</v>
      </c>
      <c r="O1191" s="74">
        <f t="shared" si="168"/>
        <v>0</v>
      </c>
      <c r="P1191" s="74">
        <f t="shared" si="169"/>
        <v>0</v>
      </c>
      <c r="Q1191" s="74">
        <f t="shared" si="170"/>
        <v>0</v>
      </c>
    </row>
    <row r="1192" spans="1:17" ht="93" hidden="1" customHeight="1">
      <c r="A1192" s="83"/>
      <c r="B1192" s="72">
        <f t="shared" si="162"/>
        <v>0</v>
      </c>
      <c r="C1192" s="82" t="s">
        <v>6100</v>
      </c>
      <c r="D1192" s="1232">
        <v>250000</v>
      </c>
      <c r="E1192" s="1230" t="s">
        <v>1715</v>
      </c>
      <c r="F1192" s="84"/>
      <c r="G1192" s="74">
        <f t="shared" si="163"/>
        <v>0</v>
      </c>
      <c r="H1192" s="74"/>
      <c r="I1192" s="74">
        <f t="shared" si="164"/>
        <v>0</v>
      </c>
      <c r="J1192" s="74"/>
      <c r="K1192" s="74">
        <f t="shared" si="165"/>
        <v>0</v>
      </c>
      <c r="L1192" s="74"/>
      <c r="M1192" s="74">
        <f t="shared" si="166"/>
        <v>0</v>
      </c>
      <c r="N1192" s="74">
        <f t="shared" si="167"/>
        <v>0</v>
      </c>
      <c r="O1192" s="74">
        <f t="shared" si="168"/>
        <v>0</v>
      </c>
      <c r="P1192" s="74">
        <f t="shared" si="169"/>
        <v>0</v>
      </c>
      <c r="Q1192" s="74">
        <f t="shared" si="170"/>
        <v>0</v>
      </c>
    </row>
    <row r="1193" spans="1:17" ht="73.900000000000006" hidden="1" customHeight="1">
      <c r="A1193" s="83"/>
      <c r="B1193" s="72">
        <f t="shared" si="162"/>
        <v>0</v>
      </c>
      <c r="C1193" s="82" t="s">
        <v>6101</v>
      </c>
      <c r="D1193" s="1232">
        <v>100000</v>
      </c>
      <c r="E1193" s="1230" t="s">
        <v>1715</v>
      </c>
      <c r="F1193" s="84"/>
      <c r="G1193" s="74">
        <f t="shared" si="163"/>
        <v>0</v>
      </c>
      <c r="H1193" s="74"/>
      <c r="I1193" s="74">
        <f t="shared" si="164"/>
        <v>0</v>
      </c>
      <c r="J1193" s="74"/>
      <c r="K1193" s="74">
        <f t="shared" si="165"/>
        <v>0</v>
      </c>
      <c r="L1193" s="74"/>
      <c r="M1193" s="74">
        <f t="shared" si="166"/>
        <v>0</v>
      </c>
      <c r="N1193" s="74">
        <f t="shared" si="167"/>
        <v>0</v>
      </c>
      <c r="O1193" s="74">
        <f t="shared" si="168"/>
        <v>0</v>
      </c>
      <c r="P1193" s="74">
        <f t="shared" si="169"/>
        <v>0</v>
      </c>
      <c r="Q1193" s="74">
        <f t="shared" si="170"/>
        <v>0</v>
      </c>
    </row>
    <row r="1194" spans="1:17" ht="57.75" hidden="1" customHeight="1">
      <c r="A1194" s="83"/>
      <c r="B1194" s="72">
        <f t="shared" si="162"/>
        <v>0</v>
      </c>
      <c r="C1194" s="82" t="s">
        <v>6102</v>
      </c>
      <c r="D1194" s="1232">
        <v>15000</v>
      </c>
      <c r="E1194" s="1230" t="s">
        <v>6103</v>
      </c>
      <c r="F1194" s="84"/>
      <c r="G1194" s="74">
        <f t="shared" si="163"/>
        <v>0</v>
      </c>
      <c r="H1194" s="74"/>
      <c r="I1194" s="74">
        <f t="shared" si="164"/>
        <v>0</v>
      </c>
      <c r="J1194" s="74"/>
      <c r="K1194" s="74">
        <f t="shared" si="165"/>
        <v>0</v>
      </c>
      <c r="L1194" s="74"/>
      <c r="M1194" s="74">
        <f t="shared" si="166"/>
        <v>0</v>
      </c>
      <c r="N1194" s="74">
        <f t="shared" si="167"/>
        <v>0</v>
      </c>
      <c r="O1194" s="74">
        <f t="shared" si="168"/>
        <v>0</v>
      </c>
      <c r="P1194" s="74">
        <f t="shared" si="169"/>
        <v>0</v>
      </c>
      <c r="Q1194" s="74">
        <f t="shared" si="170"/>
        <v>0</v>
      </c>
    </row>
    <row r="1195" spans="1:17" ht="62.45" hidden="1" customHeight="1">
      <c r="A1195" s="83"/>
      <c r="B1195" s="72">
        <f t="shared" si="162"/>
        <v>0</v>
      </c>
      <c r="C1195" s="82" t="s">
        <v>6104</v>
      </c>
      <c r="D1195" s="1232">
        <v>200000</v>
      </c>
      <c r="E1195" s="1230" t="s">
        <v>1715</v>
      </c>
      <c r="F1195" s="84"/>
      <c r="G1195" s="74">
        <f t="shared" si="163"/>
        <v>0</v>
      </c>
      <c r="H1195" s="74"/>
      <c r="I1195" s="74">
        <f t="shared" si="164"/>
        <v>0</v>
      </c>
      <c r="J1195" s="74"/>
      <c r="K1195" s="74">
        <f t="shared" si="165"/>
        <v>0</v>
      </c>
      <c r="L1195" s="74"/>
      <c r="M1195" s="74">
        <f t="shared" si="166"/>
        <v>0</v>
      </c>
      <c r="N1195" s="74">
        <f t="shared" si="167"/>
        <v>0</v>
      </c>
      <c r="O1195" s="74">
        <f t="shared" si="168"/>
        <v>0</v>
      </c>
      <c r="P1195" s="74">
        <f t="shared" si="169"/>
        <v>0</v>
      </c>
      <c r="Q1195" s="74">
        <f t="shared" si="170"/>
        <v>0</v>
      </c>
    </row>
    <row r="1196" spans="1:17" ht="62.45" hidden="1" customHeight="1">
      <c r="A1196" s="83"/>
      <c r="B1196" s="72">
        <f t="shared" si="162"/>
        <v>0</v>
      </c>
      <c r="C1196" s="82" t="s">
        <v>6105</v>
      </c>
      <c r="D1196" s="1232">
        <v>150000</v>
      </c>
      <c r="E1196" s="1230" t="s">
        <v>1715</v>
      </c>
      <c r="F1196" s="84"/>
      <c r="G1196" s="74">
        <f t="shared" si="163"/>
        <v>0</v>
      </c>
      <c r="H1196" s="74"/>
      <c r="I1196" s="74">
        <f t="shared" si="164"/>
        <v>0</v>
      </c>
      <c r="J1196" s="74"/>
      <c r="K1196" s="74">
        <f t="shared" si="165"/>
        <v>0</v>
      </c>
      <c r="L1196" s="74"/>
      <c r="M1196" s="74">
        <f t="shared" si="166"/>
        <v>0</v>
      </c>
      <c r="N1196" s="74">
        <f t="shared" si="167"/>
        <v>0</v>
      </c>
      <c r="O1196" s="74">
        <f t="shared" si="168"/>
        <v>0</v>
      </c>
      <c r="P1196" s="74">
        <f t="shared" si="169"/>
        <v>0</v>
      </c>
      <c r="Q1196" s="74">
        <f t="shared" si="170"/>
        <v>0</v>
      </c>
    </row>
    <row r="1197" spans="1:17" ht="91.15" hidden="1" customHeight="1">
      <c r="A1197" s="83"/>
      <c r="B1197" s="72">
        <f t="shared" si="162"/>
        <v>0</v>
      </c>
      <c r="C1197" s="82" t="s">
        <v>6106</v>
      </c>
      <c r="D1197" s="1232">
        <v>150000</v>
      </c>
      <c r="E1197" s="1230" t="s">
        <v>1715</v>
      </c>
      <c r="F1197" s="84"/>
      <c r="G1197" s="74">
        <f t="shared" si="163"/>
        <v>0</v>
      </c>
      <c r="H1197" s="74"/>
      <c r="I1197" s="74">
        <f t="shared" si="164"/>
        <v>0</v>
      </c>
      <c r="J1197" s="74"/>
      <c r="K1197" s="74">
        <f t="shared" si="165"/>
        <v>0</v>
      </c>
      <c r="L1197" s="74"/>
      <c r="M1197" s="74">
        <f t="shared" si="166"/>
        <v>0</v>
      </c>
      <c r="N1197" s="74">
        <f t="shared" si="167"/>
        <v>0</v>
      </c>
      <c r="O1197" s="74">
        <f t="shared" si="168"/>
        <v>0</v>
      </c>
      <c r="P1197" s="74">
        <f t="shared" si="169"/>
        <v>0</v>
      </c>
      <c r="Q1197" s="74">
        <f t="shared" si="170"/>
        <v>0</v>
      </c>
    </row>
    <row r="1198" spans="1:17" ht="49.5" hidden="1" customHeight="1">
      <c r="A1198" s="83"/>
      <c r="B1198" s="72">
        <f t="shared" si="162"/>
        <v>0</v>
      </c>
      <c r="C1198" s="82" t="s">
        <v>6107</v>
      </c>
      <c r="D1198" s="1232">
        <v>20.399999999999999</v>
      </c>
      <c r="E1198" s="1230" t="s">
        <v>5</v>
      </c>
      <c r="F1198" s="84"/>
      <c r="G1198" s="74">
        <f t="shared" si="163"/>
        <v>0</v>
      </c>
      <c r="H1198" s="74"/>
      <c r="I1198" s="74">
        <f t="shared" si="164"/>
        <v>0</v>
      </c>
      <c r="J1198" s="74"/>
      <c r="K1198" s="74">
        <f t="shared" si="165"/>
        <v>0</v>
      </c>
      <c r="L1198" s="74"/>
      <c r="M1198" s="74">
        <f t="shared" si="166"/>
        <v>0</v>
      </c>
      <c r="N1198" s="74">
        <f t="shared" si="167"/>
        <v>0</v>
      </c>
      <c r="O1198" s="74">
        <f t="shared" si="168"/>
        <v>0</v>
      </c>
      <c r="P1198" s="74">
        <f t="shared" si="169"/>
        <v>0</v>
      </c>
      <c r="Q1198" s="74">
        <f t="shared" si="170"/>
        <v>0</v>
      </c>
    </row>
    <row r="1199" spans="1:17" ht="49.5" hidden="1" customHeight="1">
      <c r="A1199" s="83"/>
      <c r="B1199" s="72">
        <f t="shared" si="162"/>
        <v>0</v>
      </c>
      <c r="C1199" s="1435" t="s">
        <v>6108</v>
      </c>
      <c r="D1199" s="1232"/>
      <c r="E1199" s="1230"/>
      <c r="F1199" s="84"/>
      <c r="G1199" s="74">
        <f t="shared" si="163"/>
        <v>0</v>
      </c>
      <c r="H1199" s="74"/>
      <c r="I1199" s="74">
        <f t="shared" si="164"/>
        <v>0</v>
      </c>
      <c r="J1199" s="74"/>
      <c r="K1199" s="74">
        <f t="shared" si="165"/>
        <v>0</v>
      </c>
      <c r="L1199" s="74"/>
      <c r="M1199" s="74">
        <f t="shared" si="166"/>
        <v>0</v>
      </c>
      <c r="N1199" s="74">
        <f t="shared" si="167"/>
        <v>0</v>
      </c>
      <c r="O1199" s="74">
        <f t="shared" si="168"/>
        <v>0</v>
      </c>
      <c r="P1199" s="74">
        <f t="shared" si="169"/>
        <v>0</v>
      </c>
      <c r="Q1199" s="74">
        <f t="shared" si="170"/>
        <v>0</v>
      </c>
    </row>
    <row r="1200" spans="1:17" ht="58.5" hidden="1" customHeight="1">
      <c r="A1200" s="83"/>
      <c r="B1200" s="72">
        <f t="shared" si="162"/>
        <v>0</v>
      </c>
      <c r="C1200" s="82" t="s">
        <v>6109</v>
      </c>
      <c r="D1200" s="1232">
        <v>7000</v>
      </c>
      <c r="E1200" s="1230" t="s">
        <v>41</v>
      </c>
      <c r="F1200" s="84"/>
      <c r="G1200" s="74">
        <f t="shared" si="163"/>
        <v>0</v>
      </c>
      <c r="H1200" s="74"/>
      <c r="I1200" s="74">
        <f t="shared" si="164"/>
        <v>0</v>
      </c>
      <c r="J1200" s="74"/>
      <c r="K1200" s="74">
        <f t="shared" si="165"/>
        <v>0</v>
      </c>
      <c r="L1200" s="74"/>
      <c r="M1200" s="74">
        <f t="shared" si="166"/>
        <v>0</v>
      </c>
      <c r="N1200" s="74">
        <f t="shared" si="167"/>
        <v>0</v>
      </c>
      <c r="O1200" s="74">
        <f t="shared" si="168"/>
        <v>0</v>
      </c>
      <c r="P1200" s="74">
        <f t="shared" si="169"/>
        <v>0</v>
      </c>
      <c r="Q1200" s="74">
        <f t="shared" si="170"/>
        <v>0</v>
      </c>
    </row>
    <row r="1201" spans="1:17" ht="70.5" hidden="1" customHeight="1">
      <c r="A1201" s="83"/>
      <c r="B1201" s="72">
        <f t="shared" si="162"/>
        <v>0</v>
      </c>
      <c r="C1201" s="82" t="s">
        <v>6110</v>
      </c>
      <c r="D1201" s="1232">
        <v>840</v>
      </c>
      <c r="E1201" s="1230" t="s">
        <v>41</v>
      </c>
      <c r="F1201" s="84"/>
      <c r="G1201" s="74">
        <f t="shared" si="163"/>
        <v>0</v>
      </c>
      <c r="H1201" s="74"/>
      <c r="I1201" s="74">
        <f t="shared" si="164"/>
        <v>0</v>
      </c>
      <c r="J1201" s="74"/>
      <c r="K1201" s="74">
        <f t="shared" si="165"/>
        <v>0</v>
      </c>
      <c r="L1201" s="74"/>
      <c r="M1201" s="74">
        <f t="shared" si="166"/>
        <v>0</v>
      </c>
      <c r="N1201" s="74">
        <f t="shared" si="167"/>
        <v>0</v>
      </c>
      <c r="O1201" s="74">
        <f t="shared" si="168"/>
        <v>0</v>
      </c>
      <c r="P1201" s="74">
        <f t="shared" si="169"/>
        <v>0</v>
      </c>
      <c r="Q1201" s="74">
        <f t="shared" si="170"/>
        <v>0</v>
      </c>
    </row>
    <row r="1202" spans="1:17" ht="66.75" hidden="1" customHeight="1">
      <c r="A1202" s="83"/>
      <c r="B1202" s="72">
        <f t="shared" si="162"/>
        <v>0</v>
      </c>
      <c r="C1202" s="82" t="s">
        <v>6111</v>
      </c>
      <c r="D1202" s="1232">
        <v>660</v>
      </c>
      <c r="E1202" s="1230" t="s">
        <v>41</v>
      </c>
      <c r="F1202" s="84"/>
      <c r="G1202" s="74">
        <f t="shared" si="163"/>
        <v>0</v>
      </c>
      <c r="H1202" s="74"/>
      <c r="I1202" s="74">
        <f t="shared" si="164"/>
        <v>0</v>
      </c>
      <c r="J1202" s="74"/>
      <c r="K1202" s="74">
        <f t="shared" si="165"/>
        <v>0</v>
      </c>
      <c r="L1202" s="74"/>
      <c r="M1202" s="74">
        <f t="shared" si="166"/>
        <v>0</v>
      </c>
      <c r="N1202" s="74">
        <f t="shared" si="167"/>
        <v>0</v>
      </c>
      <c r="O1202" s="74">
        <f t="shared" si="168"/>
        <v>0</v>
      </c>
      <c r="P1202" s="74">
        <f t="shared" si="169"/>
        <v>0</v>
      </c>
      <c r="Q1202" s="74">
        <f t="shared" si="170"/>
        <v>0</v>
      </c>
    </row>
    <row r="1203" spans="1:17" ht="120.75" hidden="1" customHeight="1">
      <c r="A1203" s="83"/>
      <c r="B1203" s="72">
        <f t="shared" si="162"/>
        <v>0</v>
      </c>
      <c r="C1203" s="82" t="s">
        <v>6112</v>
      </c>
      <c r="D1203" s="1232">
        <v>450</v>
      </c>
      <c r="E1203" s="1230" t="s">
        <v>41</v>
      </c>
      <c r="F1203" s="84"/>
      <c r="G1203" s="74">
        <f t="shared" si="163"/>
        <v>0</v>
      </c>
      <c r="H1203" s="74"/>
      <c r="I1203" s="74">
        <f t="shared" si="164"/>
        <v>0</v>
      </c>
      <c r="J1203" s="74"/>
      <c r="K1203" s="74">
        <f t="shared" si="165"/>
        <v>0</v>
      </c>
      <c r="L1203" s="74"/>
      <c r="M1203" s="74">
        <f t="shared" si="166"/>
        <v>0</v>
      </c>
      <c r="N1203" s="74">
        <f t="shared" si="167"/>
        <v>0</v>
      </c>
      <c r="O1203" s="74">
        <f t="shared" si="168"/>
        <v>0</v>
      </c>
      <c r="P1203" s="74">
        <f t="shared" si="169"/>
        <v>0</v>
      </c>
      <c r="Q1203" s="74">
        <f t="shared" si="170"/>
        <v>0</v>
      </c>
    </row>
    <row r="1204" spans="1:17" ht="79.5" hidden="1" customHeight="1">
      <c r="A1204" s="83"/>
      <c r="B1204" s="72">
        <f t="shared" si="162"/>
        <v>0</v>
      </c>
      <c r="C1204" s="82" t="s">
        <v>6113</v>
      </c>
      <c r="D1204" s="1232">
        <v>320</v>
      </c>
      <c r="E1204" s="1230" t="s">
        <v>41</v>
      </c>
      <c r="F1204" s="84"/>
      <c r="G1204" s="74">
        <f t="shared" si="163"/>
        <v>0</v>
      </c>
      <c r="H1204" s="74"/>
      <c r="I1204" s="74">
        <f t="shared" si="164"/>
        <v>0</v>
      </c>
      <c r="J1204" s="74"/>
      <c r="K1204" s="74">
        <f t="shared" si="165"/>
        <v>0</v>
      </c>
      <c r="L1204" s="74"/>
      <c r="M1204" s="74">
        <f t="shared" si="166"/>
        <v>0</v>
      </c>
      <c r="N1204" s="74">
        <f t="shared" si="167"/>
        <v>0</v>
      </c>
      <c r="O1204" s="74">
        <f t="shared" si="168"/>
        <v>0</v>
      </c>
      <c r="P1204" s="74">
        <f t="shared" si="169"/>
        <v>0</v>
      </c>
      <c r="Q1204" s="74">
        <f t="shared" si="170"/>
        <v>0</v>
      </c>
    </row>
    <row r="1205" spans="1:17" ht="49.15" hidden="1" customHeight="1">
      <c r="A1205" s="83"/>
      <c r="B1205" s="72">
        <f t="shared" si="162"/>
        <v>0</v>
      </c>
      <c r="C1205" s="1435" t="s">
        <v>6114</v>
      </c>
      <c r="D1205" s="1232"/>
      <c r="E1205" s="1230"/>
      <c r="F1205" s="84"/>
      <c r="G1205" s="74">
        <f t="shared" si="163"/>
        <v>0</v>
      </c>
      <c r="H1205" s="74"/>
      <c r="I1205" s="74">
        <f t="shared" si="164"/>
        <v>0</v>
      </c>
      <c r="J1205" s="74"/>
      <c r="K1205" s="74">
        <f t="shared" si="165"/>
        <v>0</v>
      </c>
      <c r="L1205" s="74"/>
      <c r="M1205" s="74">
        <f t="shared" si="166"/>
        <v>0</v>
      </c>
      <c r="N1205" s="74">
        <f t="shared" si="167"/>
        <v>0</v>
      </c>
      <c r="O1205" s="74">
        <f t="shared" si="168"/>
        <v>0</v>
      </c>
      <c r="P1205" s="74">
        <f t="shared" si="169"/>
        <v>0</v>
      </c>
      <c r="Q1205" s="74">
        <f t="shared" si="170"/>
        <v>0</v>
      </c>
    </row>
    <row r="1206" spans="1:17" ht="210" hidden="1" customHeight="1">
      <c r="A1206" s="83"/>
      <c r="B1206" s="72">
        <f t="shared" si="162"/>
        <v>0</v>
      </c>
      <c r="C1206" s="1237" t="s">
        <v>6115</v>
      </c>
      <c r="D1206" s="1232"/>
      <c r="E1206" s="1230"/>
      <c r="F1206" s="84"/>
      <c r="G1206" s="74">
        <f t="shared" si="163"/>
        <v>0</v>
      </c>
      <c r="H1206" s="74"/>
      <c r="I1206" s="74">
        <f t="shared" si="164"/>
        <v>0</v>
      </c>
      <c r="J1206" s="74"/>
      <c r="K1206" s="74">
        <f t="shared" si="165"/>
        <v>0</v>
      </c>
      <c r="L1206" s="74"/>
      <c r="M1206" s="74">
        <f t="shared" si="166"/>
        <v>0</v>
      </c>
      <c r="N1206" s="74">
        <f t="shared" si="167"/>
        <v>0</v>
      </c>
      <c r="O1206" s="74">
        <f t="shared" si="168"/>
        <v>0</v>
      </c>
      <c r="P1206" s="74">
        <f t="shared" si="169"/>
        <v>0</v>
      </c>
      <c r="Q1206" s="74">
        <f t="shared" si="170"/>
        <v>0</v>
      </c>
    </row>
    <row r="1207" spans="1:17" ht="222" hidden="1" customHeight="1">
      <c r="A1207" s="83"/>
      <c r="B1207" s="72">
        <f t="shared" si="162"/>
        <v>0</v>
      </c>
      <c r="C1207" s="82" t="s">
        <v>6116</v>
      </c>
      <c r="D1207" s="1232">
        <v>1372</v>
      </c>
      <c r="E1207" s="1230" t="s">
        <v>41</v>
      </c>
      <c r="F1207" s="84"/>
      <c r="G1207" s="74">
        <f t="shared" si="163"/>
        <v>0</v>
      </c>
      <c r="H1207" s="74"/>
      <c r="I1207" s="74">
        <f t="shared" si="164"/>
        <v>0</v>
      </c>
      <c r="J1207" s="74"/>
      <c r="K1207" s="74">
        <f t="shared" si="165"/>
        <v>0</v>
      </c>
      <c r="L1207" s="74"/>
      <c r="M1207" s="74">
        <f t="shared" si="166"/>
        <v>0</v>
      </c>
      <c r="N1207" s="74">
        <f t="shared" si="167"/>
        <v>0</v>
      </c>
      <c r="O1207" s="74">
        <f t="shared" si="168"/>
        <v>0</v>
      </c>
      <c r="P1207" s="74">
        <f t="shared" si="169"/>
        <v>0</v>
      </c>
      <c r="Q1207" s="74">
        <f t="shared" si="170"/>
        <v>0</v>
      </c>
    </row>
    <row r="1208" spans="1:17" ht="49.5" hidden="1" customHeight="1">
      <c r="A1208" s="83"/>
      <c r="B1208" s="72">
        <f t="shared" si="162"/>
        <v>0</v>
      </c>
      <c r="C1208" s="1435" t="s">
        <v>6117</v>
      </c>
      <c r="D1208" s="1232"/>
      <c r="E1208" s="1230"/>
      <c r="F1208" s="84"/>
      <c r="G1208" s="74">
        <f t="shared" si="163"/>
        <v>0</v>
      </c>
      <c r="H1208" s="74"/>
      <c r="I1208" s="74">
        <f t="shared" si="164"/>
        <v>0</v>
      </c>
      <c r="J1208" s="74"/>
      <c r="K1208" s="74">
        <f t="shared" si="165"/>
        <v>0</v>
      </c>
      <c r="L1208" s="74"/>
      <c r="M1208" s="74">
        <f t="shared" si="166"/>
        <v>0</v>
      </c>
      <c r="N1208" s="74">
        <f t="shared" si="167"/>
        <v>0</v>
      </c>
      <c r="O1208" s="74">
        <f t="shared" si="168"/>
        <v>0</v>
      </c>
      <c r="P1208" s="74">
        <f t="shared" si="169"/>
        <v>0</v>
      </c>
      <c r="Q1208" s="74">
        <f t="shared" si="170"/>
        <v>0</v>
      </c>
    </row>
    <row r="1209" spans="1:17" ht="348" hidden="1" customHeight="1">
      <c r="A1209" s="83"/>
      <c r="B1209" s="72">
        <f t="shared" si="162"/>
        <v>0</v>
      </c>
      <c r="C1209" s="82" t="s">
        <v>7029</v>
      </c>
      <c r="D1209" s="1232">
        <v>2506</v>
      </c>
      <c r="E1209" s="1230" t="s">
        <v>41</v>
      </c>
      <c r="F1209" s="84"/>
      <c r="G1209" s="74">
        <f t="shared" si="163"/>
        <v>0</v>
      </c>
      <c r="H1209" s="74"/>
      <c r="I1209" s="74">
        <f t="shared" si="164"/>
        <v>0</v>
      </c>
      <c r="J1209" s="74"/>
      <c r="K1209" s="74">
        <f t="shared" si="165"/>
        <v>0</v>
      </c>
      <c r="L1209" s="74"/>
      <c r="M1209" s="74">
        <f t="shared" si="166"/>
        <v>0</v>
      </c>
      <c r="N1209" s="74">
        <f t="shared" si="167"/>
        <v>0</v>
      </c>
      <c r="O1209" s="74">
        <f t="shared" si="168"/>
        <v>0</v>
      </c>
      <c r="P1209" s="74">
        <f t="shared" si="169"/>
        <v>0</v>
      </c>
      <c r="Q1209" s="74">
        <f t="shared" si="170"/>
        <v>0</v>
      </c>
    </row>
    <row r="1210" spans="1:17" ht="49.5" hidden="1" customHeight="1">
      <c r="A1210" s="83"/>
      <c r="B1210" s="72">
        <f t="shared" si="162"/>
        <v>0</v>
      </c>
      <c r="C1210" s="1238" t="s">
        <v>6118</v>
      </c>
      <c r="D1210" s="1232"/>
      <c r="E1210" s="1230"/>
      <c r="F1210" s="84"/>
      <c r="G1210" s="74">
        <f t="shared" si="163"/>
        <v>0</v>
      </c>
      <c r="H1210" s="74"/>
      <c r="I1210" s="74">
        <f t="shared" si="164"/>
        <v>0</v>
      </c>
      <c r="J1210" s="74"/>
      <c r="K1210" s="74">
        <f t="shared" si="165"/>
        <v>0</v>
      </c>
      <c r="L1210" s="74"/>
      <c r="M1210" s="74">
        <f t="shared" si="166"/>
        <v>0</v>
      </c>
      <c r="N1210" s="74">
        <f t="shared" si="167"/>
        <v>0</v>
      </c>
      <c r="O1210" s="74">
        <f t="shared" si="168"/>
        <v>0</v>
      </c>
      <c r="P1210" s="74">
        <f t="shared" si="169"/>
        <v>0</v>
      </c>
      <c r="Q1210" s="74">
        <f t="shared" si="170"/>
        <v>0</v>
      </c>
    </row>
    <row r="1211" spans="1:17" ht="281.25" hidden="1" customHeight="1">
      <c r="A1211" s="83"/>
      <c r="B1211" s="72">
        <f t="shared" si="162"/>
        <v>0</v>
      </c>
      <c r="C1211" s="1239" t="s">
        <v>6119</v>
      </c>
      <c r="D1211" s="1240">
        <v>1236</v>
      </c>
      <c r="E1211" s="1241" t="s">
        <v>41</v>
      </c>
      <c r="F1211" s="84"/>
      <c r="G1211" s="74">
        <f t="shared" si="163"/>
        <v>0</v>
      </c>
      <c r="H1211" s="74"/>
      <c r="I1211" s="74">
        <f t="shared" si="164"/>
        <v>0</v>
      </c>
      <c r="J1211" s="74"/>
      <c r="K1211" s="74">
        <f t="shared" si="165"/>
        <v>0</v>
      </c>
      <c r="L1211" s="74"/>
      <c r="M1211" s="74">
        <f t="shared" si="166"/>
        <v>0</v>
      </c>
      <c r="N1211" s="74">
        <f t="shared" si="167"/>
        <v>0</v>
      </c>
      <c r="O1211" s="74">
        <f t="shared" si="168"/>
        <v>0</v>
      </c>
      <c r="P1211" s="74">
        <f t="shared" si="169"/>
        <v>0</v>
      </c>
      <c r="Q1211" s="74">
        <f t="shared" si="170"/>
        <v>0</v>
      </c>
    </row>
    <row r="1212" spans="1:17" ht="49.5" hidden="1" customHeight="1">
      <c r="A1212" s="83"/>
      <c r="B1212" s="72">
        <f t="shared" si="162"/>
        <v>0</v>
      </c>
      <c r="C1212" s="93"/>
      <c r="D1212" s="91"/>
      <c r="E1212" s="87"/>
      <c r="F1212" s="84"/>
      <c r="G1212" s="74">
        <f t="shared" si="163"/>
        <v>0</v>
      </c>
      <c r="H1212" s="74"/>
      <c r="I1212" s="74">
        <f t="shared" si="164"/>
        <v>0</v>
      </c>
      <c r="J1212" s="74"/>
      <c r="K1212" s="74">
        <f t="shared" si="165"/>
        <v>0</v>
      </c>
      <c r="L1212" s="74"/>
      <c r="M1212" s="74">
        <f t="shared" si="166"/>
        <v>0</v>
      </c>
      <c r="N1212" s="74">
        <f t="shared" si="167"/>
        <v>0</v>
      </c>
      <c r="O1212" s="74">
        <f t="shared" si="168"/>
        <v>0</v>
      </c>
      <c r="P1212" s="74">
        <f t="shared" si="169"/>
        <v>0</v>
      </c>
      <c r="Q1212" s="74">
        <f t="shared" si="170"/>
        <v>0</v>
      </c>
    </row>
    <row r="1213" spans="1:17" ht="151.5" hidden="1" customHeight="1">
      <c r="A1213" s="83"/>
      <c r="B1213" s="72">
        <f t="shared" si="162"/>
        <v>0</v>
      </c>
      <c r="C1213" s="93" t="s">
        <v>6120</v>
      </c>
      <c r="D1213" s="91">
        <v>425</v>
      </c>
      <c r="E1213" s="1241" t="s">
        <v>729</v>
      </c>
      <c r="F1213" s="84"/>
      <c r="G1213" s="74">
        <f t="shared" si="163"/>
        <v>0</v>
      </c>
      <c r="H1213" s="74"/>
      <c r="I1213" s="74">
        <f t="shared" si="164"/>
        <v>0</v>
      </c>
      <c r="J1213" s="74"/>
      <c r="K1213" s="74">
        <f t="shared" si="165"/>
        <v>0</v>
      </c>
      <c r="L1213" s="74"/>
      <c r="M1213" s="74">
        <f t="shared" si="166"/>
        <v>0</v>
      </c>
      <c r="N1213" s="74">
        <f t="shared" si="167"/>
        <v>0</v>
      </c>
      <c r="O1213" s="74">
        <f t="shared" si="168"/>
        <v>0</v>
      </c>
      <c r="P1213" s="74">
        <f t="shared" si="169"/>
        <v>0</v>
      </c>
      <c r="Q1213" s="74">
        <f t="shared" si="170"/>
        <v>0</v>
      </c>
    </row>
    <row r="1214" spans="1:17" ht="49.5" hidden="1" customHeight="1">
      <c r="A1214" s="83"/>
      <c r="B1214" s="72">
        <f t="shared" si="162"/>
        <v>0</v>
      </c>
      <c r="C1214" s="1238" t="s">
        <v>5519</v>
      </c>
      <c r="D1214" s="1240"/>
      <c r="E1214" s="1241"/>
      <c r="F1214" s="84"/>
      <c r="G1214" s="74">
        <f t="shared" si="163"/>
        <v>0</v>
      </c>
      <c r="H1214" s="74"/>
      <c r="I1214" s="74">
        <f t="shared" si="164"/>
        <v>0</v>
      </c>
      <c r="J1214" s="74"/>
      <c r="K1214" s="74">
        <f t="shared" si="165"/>
        <v>0</v>
      </c>
      <c r="L1214" s="74"/>
      <c r="M1214" s="74">
        <f t="shared" si="166"/>
        <v>0</v>
      </c>
      <c r="N1214" s="74">
        <f t="shared" si="167"/>
        <v>0</v>
      </c>
      <c r="O1214" s="74">
        <f t="shared" si="168"/>
        <v>0</v>
      </c>
      <c r="P1214" s="74">
        <f t="shared" si="169"/>
        <v>0</v>
      </c>
      <c r="Q1214" s="74">
        <f t="shared" si="170"/>
        <v>0</v>
      </c>
    </row>
    <row r="1215" spans="1:17" ht="121.9" hidden="1" customHeight="1">
      <c r="A1215" s="83"/>
      <c r="B1215" s="72">
        <f t="shared" si="162"/>
        <v>0</v>
      </c>
      <c r="C1215" s="1239" t="s">
        <v>6121</v>
      </c>
      <c r="D1215" s="1240">
        <v>641</v>
      </c>
      <c r="E1215" s="1241" t="s">
        <v>729</v>
      </c>
      <c r="F1215" s="84"/>
      <c r="G1215" s="74">
        <f t="shared" si="163"/>
        <v>0</v>
      </c>
      <c r="H1215" s="74"/>
      <c r="I1215" s="74">
        <f t="shared" si="164"/>
        <v>0</v>
      </c>
      <c r="J1215" s="74"/>
      <c r="K1215" s="74">
        <f t="shared" si="165"/>
        <v>0</v>
      </c>
      <c r="L1215" s="74"/>
      <c r="M1215" s="74">
        <f t="shared" si="166"/>
        <v>0</v>
      </c>
      <c r="N1215" s="74">
        <f t="shared" si="167"/>
        <v>0</v>
      </c>
      <c r="O1215" s="74">
        <f t="shared" si="168"/>
        <v>0</v>
      </c>
      <c r="P1215" s="74">
        <f t="shared" si="169"/>
        <v>0</v>
      </c>
      <c r="Q1215" s="74">
        <f t="shared" si="170"/>
        <v>0</v>
      </c>
    </row>
    <row r="1216" spans="1:17" ht="84.6" hidden="1" customHeight="1">
      <c r="A1216" s="83"/>
      <c r="B1216" s="72">
        <f t="shared" si="162"/>
        <v>0</v>
      </c>
      <c r="C1216" s="1239" t="s">
        <v>6122</v>
      </c>
      <c r="D1216" s="1240">
        <v>173</v>
      </c>
      <c r="E1216" s="87" t="s">
        <v>729</v>
      </c>
      <c r="F1216" s="84"/>
      <c r="G1216" s="74">
        <f t="shared" si="163"/>
        <v>0</v>
      </c>
      <c r="H1216" s="74"/>
      <c r="I1216" s="74">
        <f t="shared" si="164"/>
        <v>0</v>
      </c>
      <c r="J1216" s="74"/>
      <c r="K1216" s="74">
        <f t="shared" si="165"/>
        <v>0</v>
      </c>
      <c r="L1216" s="74"/>
      <c r="M1216" s="74">
        <f t="shared" si="166"/>
        <v>0</v>
      </c>
      <c r="N1216" s="74">
        <f t="shared" si="167"/>
        <v>0</v>
      </c>
      <c r="O1216" s="74">
        <f t="shared" si="168"/>
        <v>0</v>
      </c>
      <c r="P1216" s="74">
        <f t="shared" si="169"/>
        <v>0</v>
      </c>
      <c r="Q1216" s="74">
        <f t="shared" si="170"/>
        <v>0</v>
      </c>
    </row>
    <row r="1217" spans="1:17" ht="49.5" hidden="1" customHeight="1">
      <c r="A1217" s="83"/>
      <c r="B1217" s="72">
        <f t="shared" si="162"/>
        <v>0</v>
      </c>
      <c r="C1217" s="1238" t="s">
        <v>6123</v>
      </c>
      <c r="D1217" s="1240"/>
      <c r="E1217" s="1241"/>
      <c r="F1217" s="84"/>
      <c r="G1217" s="74">
        <f t="shared" si="163"/>
        <v>0</v>
      </c>
      <c r="H1217" s="74"/>
      <c r="I1217" s="74">
        <f t="shared" si="164"/>
        <v>0</v>
      </c>
      <c r="J1217" s="74"/>
      <c r="K1217" s="74">
        <f t="shared" si="165"/>
        <v>0</v>
      </c>
      <c r="L1217" s="74"/>
      <c r="M1217" s="74">
        <f t="shared" si="166"/>
        <v>0</v>
      </c>
      <c r="N1217" s="74">
        <f t="shared" si="167"/>
        <v>0</v>
      </c>
      <c r="O1217" s="74">
        <f t="shared" si="168"/>
        <v>0</v>
      </c>
      <c r="P1217" s="74">
        <f t="shared" si="169"/>
        <v>0</v>
      </c>
      <c r="Q1217" s="74">
        <f t="shared" si="170"/>
        <v>0</v>
      </c>
    </row>
    <row r="1218" spans="1:17" ht="117" hidden="1" customHeight="1">
      <c r="A1218" s="83"/>
      <c r="B1218" s="72">
        <f t="shared" si="162"/>
        <v>0</v>
      </c>
      <c r="C1218" s="93" t="s">
        <v>6124</v>
      </c>
      <c r="D1218" s="91">
        <v>174</v>
      </c>
      <c r="E1218" s="87" t="s">
        <v>6125</v>
      </c>
      <c r="F1218" s="84"/>
      <c r="G1218" s="74">
        <f t="shared" si="163"/>
        <v>0</v>
      </c>
      <c r="H1218" s="74"/>
      <c r="I1218" s="74">
        <f t="shared" si="164"/>
        <v>0</v>
      </c>
      <c r="J1218" s="74"/>
      <c r="K1218" s="74">
        <f t="shared" si="165"/>
        <v>0</v>
      </c>
      <c r="L1218" s="74"/>
      <c r="M1218" s="74">
        <f t="shared" si="166"/>
        <v>0</v>
      </c>
      <c r="N1218" s="74">
        <f t="shared" si="167"/>
        <v>0</v>
      </c>
      <c r="O1218" s="74">
        <f t="shared" si="168"/>
        <v>0</v>
      </c>
      <c r="P1218" s="74">
        <f t="shared" si="169"/>
        <v>0</v>
      </c>
      <c r="Q1218" s="74">
        <f t="shared" si="170"/>
        <v>0</v>
      </c>
    </row>
    <row r="1219" spans="1:17" ht="117" hidden="1" customHeight="1">
      <c r="A1219" s="83"/>
      <c r="B1219" s="72">
        <f t="shared" si="162"/>
        <v>0</v>
      </c>
      <c r="C1219" s="93" t="s">
        <v>6126</v>
      </c>
      <c r="D1219" s="91">
        <v>341</v>
      </c>
      <c r="E1219" s="87" t="s">
        <v>6125</v>
      </c>
      <c r="F1219" s="84"/>
      <c r="G1219" s="74">
        <f t="shared" si="163"/>
        <v>0</v>
      </c>
      <c r="H1219" s="74"/>
      <c r="I1219" s="74">
        <f t="shared" si="164"/>
        <v>0</v>
      </c>
      <c r="J1219" s="74"/>
      <c r="K1219" s="74">
        <f t="shared" si="165"/>
        <v>0</v>
      </c>
      <c r="L1219" s="74"/>
      <c r="M1219" s="74">
        <f t="shared" si="166"/>
        <v>0</v>
      </c>
      <c r="N1219" s="74">
        <f t="shared" si="167"/>
        <v>0</v>
      </c>
      <c r="O1219" s="74">
        <f t="shared" si="168"/>
        <v>0</v>
      </c>
      <c r="P1219" s="74">
        <f t="shared" si="169"/>
        <v>0</v>
      </c>
      <c r="Q1219" s="74">
        <f t="shared" si="170"/>
        <v>0</v>
      </c>
    </row>
    <row r="1220" spans="1:17" ht="202.5" hidden="1" customHeight="1">
      <c r="A1220" s="83"/>
      <c r="B1220" s="72">
        <f t="shared" si="162"/>
        <v>0</v>
      </c>
      <c r="C1220" s="93" t="s">
        <v>6127</v>
      </c>
      <c r="D1220" s="91">
        <v>462</v>
      </c>
      <c r="E1220" s="87" t="s">
        <v>6125</v>
      </c>
      <c r="F1220" s="84"/>
      <c r="G1220" s="74">
        <f t="shared" si="163"/>
        <v>0</v>
      </c>
      <c r="H1220" s="74"/>
      <c r="I1220" s="74">
        <f t="shared" si="164"/>
        <v>0</v>
      </c>
      <c r="J1220" s="74"/>
      <c r="K1220" s="74">
        <f t="shared" si="165"/>
        <v>0</v>
      </c>
      <c r="L1220" s="74"/>
      <c r="M1220" s="74">
        <f t="shared" si="166"/>
        <v>0</v>
      </c>
      <c r="N1220" s="74">
        <f t="shared" si="167"/>
        <v>0</v>
      </c>
      <c r="O1220" s="74">
        <f t="shared" si="168"/>
        <v>0</v>
      </c>
      <c r="P1220" s="74">
        <f t="shared" si="169"/>
        <v>0</v>
      </c>
      <c r="Q1220" s="74">
        <f t="shared" si="170"/>
        <v>0</v>
      </c>
    </row>
    <row r="1221" spans="1:17" ht="49.5" hidden="1" customHeight="1">
      <c r="A1221" s="83"/>
      <c r="B1221" s="72">
        <f t="shared" ref="B1221:B1284" si="171">P1221</f>
        <v>0</v>
      </c>
      <c r="C1221" s="1238" t="s">
        <v>6128</v>
      </c>
      <c r="D1221" s="1240"/>
      <c r="E1221" s="1241"/>
      <c r="F1221" s="84"/>
      <c r="G1221" s="74">
        <f t="shared" si="163"/>
        <v>0</v>
      </c>
      <c r="H1221" s="74"/>
      <c r="I1221" s="74">
        <f t="shared" si="164"/>
        <v>0</v>
      </c>
      <c r="J1221" s="74"/>
      <c r="K1221" s="74">
        <f t="shared" si="165"/>
        <v>0</v>
      </c>
      <c r="L1221" s="74"/>
      <c r="M1221" s="74">
        <f t="shared" si="166"/>
        <v>0</v>
      </c>
      <c r="N1221" s="74">
        <f t="shared" si="167"/>
        <v>0</v>
      </c>
      <c r="O1221" s="74">
        <f t="shared" si="168"/>
        <v>0</v>
      </c>
      <c r="P1221" s="74">
        <f t="shared" si="169"/>
        <v>0</v>
      </c>
      <c r="Q1221" s="74">
        <f t="shared" si="170"/>
        <v>0</v>
      </c>
    </row>
    <row r="1222" spans="1:17" ht="186" hidden="1" customHeight="1">
      <c r="A1222" s="83"/>
      <c r="B1222" s="72">
        <f t="shared" si="171"/>
        <v>3</v>
      </c>
      <c r="C1222" s="93" t="s">
        <v>6129</v>
      </c>
      <c r="D1222" s="1242">
        <v>2703</v>
      </c>
      <c r="E1222" s="1240" t="s">
        <v>2847</v>
      </c>
      <c r="F1222" s="84"/>
      <c r="G1222" s="74">
        <f t="shared" ref="G1222:G1285" si="172">F1222*D1222</f>
        <v>0</v>
      </c>
      <c r="H1222" s="74"/>
      <c r="I1222" s="74">
        <f t="shared" ref="I1222:I1285" si="173">H1222*D1222</f>
        <v>0</v>
      </c>
      <c r="J1222" s="74"/>
      <c r="K1222" s="74">
        <f t="shared" ref="K1222:K1285" si="174">J1222*D1222</f>
        <v>0</v>
      </c>
      <c r="L1222" s="74">
        <f>genset!G62</f>
        <v>3</v>
      </c>
      <c r="M1222" s="74">
        <f t="shared" ref="M1222:M1285" si="175">L1222*D1222</f>
        <v>8109</v>
      </c>
      <c r="N1222" s="74">
        <f t="shared" ref="N1222:N1285" si="176">H1222+J1222+L1222</f>
        <v>3</v>
      </c>
      <c r="O1222" s="74">
        <f t="shared" ref="O1222:O1285" si="177">N1222*D1222</f>
        <v>8109</v>
      </c>
      <c r="P1222" s="74">
        <f t="shared" ref="P1222:P1285" si="178">N1222+F1222</f>
        <v>3</v>
      </c>
      <c r="Q1222" s="74">
        <f t="shared" ref="Q1222:Q1285" si="179">P1222*D1222</f>
        <v>8109</v>
      </c>
    </row>
    <row r="1223" spans="1:17" ht="232.5" hidden="1" customHeight="1">
      <c r="A1223" s="83"/>
      <c r="B1223" s="72">
        <f t="shared" si="171"/>
        <v>2</v>
      </c>
      <c r="C1223" s="93" t="s">
        <v>6130</v>
      </c>
      <c r="D1223" s="1242">
        <v>7846</v>
      </c>
      <c r="E1223" s="1240" t="s">
        <v>2847</v>
      </c>
      <c r="F1223" s="84"/>
      <c r="G1223" s="74">
        <f t="shared" si="172"/>
        <v>0</v>
      </c>
      <c r="H1223" s="74"/>
      <c r="I1223" s="74">
        <f t="shared" si="173"/>
        <v>0</v>
      </c>
      <c r="J1223" s="74"/>
      <c r="K1223" s="74">
        <f t="shared" si="174"/>
        <v>0</v>
      </c>
      <c r="L1223" s="74">
        <f>genset!G64</f>
        <v>2</v>
      </c>
      <c r="M1223" s="74">
        <f t="shared" si="175"/>
        <v>15692</v>
      </c>
      <c r="N1223" s="74">
        <f t="shared" si="176"/>
        <v>2</v>
      </c>
      <c r="O1223" s="74">
        <f t="shared" si="177"/>
        <v>15692</v>
      </c>
      <c r="P1223" s="74">
        <f t="shared" si="178"/>
        <v>2</v>
      </c>
      <c r="Q1223" s="74">
        <f t="shared" si="179"/>
        <v>15692</v>
      </c>
    </row>
    <row r="1224" spans="1:17" ht="72" hidden="1" customHeight="1">
      <c r="A1224" s="83"/>
      <c r="B1224" s="72">
        <f t="shared" si="171"/>
        <v>100</v>
      </c>
      <c r="C1224" s="93" t="s">
        <v>6131</v>
      </c>
      <c r="D1224" s="91">
        <v>128.5</v>
      </c>
      <c r="E1224" s="87" t="s">
        <v>6125</v>
      </c>
      <c r="F1224" s="84"/>
      <c r="G1224" s="74">
        <f t="shared" si="172"/>
        <v>0</v>
      </c>
      <c r="H1224" s="74"/>
      <c r="I1224" s="74">
        <f t="shared" si="173"/>
        <v>0</v>
      </c>
      <c r="J1224" s="74"/>
      <c r="K1224" s="74">
        <f t="shared" si="174"/>
        <v>0</v>
      </c>
      <c r="L1224" s="74">
        <f>genset!G66</f>
        <v>100</v>
      </c>
      <c r="M1224" s="74">
        <f t="shared" si="175"/>
        <v>12850</v>
      </c>
      <c r="N1224" s="74">
        <f t="shared" si="176"/>
        <v>100</v>
      </c>
      <c r="O1224" s="74">
        <f t="shared" si="177"/>
        <v>12850</v>
      </c>
      <c r="P1224" s="74">
        <f t="shared" si="178"/>
        <v>100</v>
      </c>
      <c r="Q1224" s="74">
        <f t="shared" si="179"/>
        <v>12850</v>
      </c>
    </row>
    <row r="1225" spans="1:17" ht="81" hidden="1" customHeight="1">
      <c r="A1225" s="83"/>
      <c r="B1225" s="72">
        <f t="shared" si="171"/>
        <v>40</v>
      </c>
      <c r="C1225" s="93" t="s">
        <v>6132</v>
      </c>
      <c r="D1225" s="1242">
        <v>467</v>
      </c>
      <c r="E1225" s="1240" t="s">
        <v>2847</v>
      </c>
      <c r="F1225" s="84"/>
      <c r="G1225" s="74">
        <f t="shared" si="172"/>
        <v>0</v>
      </c>
      <c r="H1225" s="74"/>
      <c r="I1225" s="74">
        <f t="shared" si="173"/>
        <v>0</v>
      </c>
      <c r="J1225" s="74"/>
      <c r="K1225" s="74">
        <f t="shared" si="174"/>
        <v>0</v>
      </c>
      <c r="L1225" s="74">
        <f>genset!G68</f>
        <v>40</v>
      </c>
      <c r="M1225" s="74">
        <f t="shared" si="175"/>
        <v>18680</v>
      </c>
      <c r="N1225" s="74">
        <f t="shared" si="176"/>
        <v>40</v>
      </c>
      <c r="O1225" s="74">
        <f t="shared" si="177"/>
        <v>18680</v>
      </c>
      <c r="P1225" s="74">
        <f t="shared" si="178"/>
        <v>40</v>
      </c>
      <c r="Q1225" s="74">
        <f t="shared" si="179"/>
        <v>18680</v>
      </c>
    </row>
    <row r="1226" spans="1:17" ht="88.15" hidden="1" customHeight="1">
      <c r="A1226" s="83"/>
      <c r="B1226" s="72">
        <f t="shared" si="171"/>
        <v>30</v>
      </c>
      <c r="C1226" s="93" t="s">
        <v>6133</v>
      </c>
      <c r="D1226" s="1242">
        <v>880</v>
      </c>
      <c r="E1226" s="1240" t="s">
        <v>2092</v>
      </c>
      <c r="F1226" s="84"/>
      <c r="G1226" s="74">
        <f t="shared" si="172"/>
        <v>0</v>
      </c>
      <c r="H1226" s="74"/>
      <c r="I1226" s="74">
        <f t="shared" si="173"/>
        <v>0</v>
      </c>
      <c r="J1226" s="74"/>
      <c r="K1226" s="74">
        <f t="shared" si="174"/>
        <v>0</v>
      </c>
      <c r="L1226" s="74">
        <f>genset!G70</f>
        <v>30</v>
      </c>
      <c r="M1226" s="74">
        <f t="shared" si="175"/>
        <v>26400</v>
      </c>
      <c r="N1226" s="74">
        <f t="shared" si="176"/>
        <v>30</v>
      </c>
      <c r="O1226" s="74">
        <f t="shared" si="177"/>
        <v>26400</v>
      </c>
      <c r="P1226" s="74">
        <f t="shared" si="178"/>
        <v>30</v>
      </c>
      <c r="Q1226" s="74">
        <f t="shared" si="179"/>
        <v>26400</v>
      </c>
    </row>
    <row r="1227" spans="1:17" ht="49.5" hidden="1" customHeight="1">
      <c r="A1227" s="83"/>
      <c r="B1227" s="72">
        <f t="shared" si="171"/>
        <v>0</v>
      </c>
      <c r="C1227" s="1238" t="s">
        <v>6134</v>
      </c>
      <c r="D1227" s="1242"/>
      <c r="E1227" s="1240"/>
      <c r="F1227" s="84"/>
      <c r="G1227" s="74">
        <f t="shared" si="172"/>
        <v>0</v>
      </c>
      <c r="H1227" s="74"/>
      <c r="I1227" s="74">
        <f t="shared" si="173"/>
        <v>0</v>
      </c>
      <c r="J1227" s="74"/>
      <c r="K1227" s="74">
        <f t="shared" si="174"/>
        <v>0</v>
      </c>
      <c r="L1227" s="74"/>
      <c r="M1227" s="74">
        <f t="shared" si="175"/>
        <v>0</v>
      </c>
      <c r="N1227" s="74">
        <f t="shared" si="176"/>
        <v>0</v>
      </c>
      <c r="O1227" s="74">
        <f t="shared" si="177"/>
        <v>0</v>
      </c>
      <c r="P1227" s="74">
        <f t="shared" si="178"/>
        <v>0</v>
      </c>
      <c r="Q1227" s="74">
        <f t="shared" si="179"/>
        <v>0</v>
      </c>
    </row>
    <row r="1228" spans="1:17" ht="49.5" hidden="1" customHeight="1">
      <c r="A1228" s="83"/>
      <c r="B1228" s="72">
        <f t="shared" si="171"/>
        <v>0</v>
      </c>
      <c r="C1228" s="108" t="s">
        <v>7030</v>
      </c>
      <c r="D1228" s="109">
        <v>6860</v>
      </c>
      <c r="E1228" s="109" t="s">
        <v>729</v>
      </c>
      <c r="F1228" s="84"/>
      <c r="G1228" s="74">
        <f t="shared" si="172"/>
        <v>0</v>
      </c>
      <c r="H1228" s="74"/>
      <c r="I1228" s="74">
        <f t="shared" si="173"/>
        <v>0</v>
      </c>
      <c r="J1228" s="74"/>
      <c r="K1228" s="74">
        <f t="shared" si="174"/>
        <v>0</v>
      </c>
      <c r="L1228" s="74"/>
      <c r="M1228" s="74">
        <f t="shared" si="175"/>
        <v>0</v>
      </c>
      <c r="N1228" s="74">
        <f t="shared" si="176"/>
        <v>0</v>
      </c>
      <c r="O1228" s="74">
        <f t="shared" si="177"/>
        <v>0</v>
      </c>
      <c r="P1228" s="74">
        <f t="shared" si="178"/>
        <v>0</v>
      </c>
      <c r="Q1228" s="74">
        <f t="shared" si="179"/>
        <v>0</v>
      </c>
    </row>
    <row r="1229" spans="1:17" ht="123" hidden="1" customHeight="1">
      <c r="A1229" s="83"/>
      <c r="B1229" s="72">
        <f t="shared" si="171"/>
        <v>0</v>
      </c>
      <c r="C1229" s="93" t="s">
        <v>6135</v>
      </c>
      <c r="D1229" s="1242">
        <v>1853</v>
      </c>
      <c r="E1229" s="1240" t="s">
        <v>2847</v>
      </c>
      <c r="F1229" s="84"/>
      <c r="G1229" s="74">
        <f t="shared" si="172"/>
        <v>0</v>
      </c>
      <c r="H1229" s="74"/>
      <c r="I1229" s="74">
        <f t="shared" si="173"/>
        <v>0</v>
      </c>
      <c r="J1229" s="74"/>
      <c r="K1229" s="74">
        <f t="shared" si="174"/>
        <v>0</v>
      </c>
      <c r="L1229" s="74"/>
      <c r="M1229" s="74">
        <f t="shared" si="175"/>
        <v>0</v>
      </c>
      <c r="N1229" s="74">
        <f t="shared" si="176"/>
        <v>0</v>
      </c>
      <c r="O1229" s="74">
        <f t="shared" si="177"/>
        <v>0</v>
      </c>
      <c r="P1229" s="74">
        <f t="shared" si="178"/>
        <v>0</v>
      </c>
      <c r="Q1229" s="74">
        <f t="shared" si="179"/>
        <v>0</v>
      </c>
    </row>
    <row r="1230" spans="1:17" ht="123" hidden="1" customHeight="1">
      <c r="A1230" s="83"/>
      <c r="B1230" s="72">
        <f t="shared" si="171"/>
        <v>0</v>
      </c>
      <c r="C1230" s="82" t="s">
        <v>6136</v>
      </c>
      <c r="D1230" s="1232">
        <v>635</v>
      </c>
      <c r="E1230" s="84" t="s">
        <v>729</v>
      </c>
      <c r="F1230" s="84"/>
      <c r="G1230" s="74">
        <f t="shared" si="172"/>
        <v>0</v>
      </c>
      <c r="H1230" s="74"/>
      <c r="I1230" s="74">
        <f t="shared" si="173"/>
        <v>0</v>
      </c>
      <c r="J1230" s="74"/>
      <c r="K1230" s="74">
        <f t="shared" si="174"/>
        <v>0</v>
      </c>
      <c r="L1230" s="74"/>
      <c r="M1230" s="74">
        <f t="shared" si="175"/>
        <v>0</v>
      </c>
      <c r="N1230" s="74">
        <f t="shared" si="176"/>
        <v>0</v>
      </c>
      <c r="O1230" s="74">
        <f t="shared" si="177"/>
        <v>0</v>
      </c>
      <c r="P1230" s="74">
        <f t="shared" si="178"/>
        <v>0</v>
      </c>
      <c r="Q1230" s="74">
        <f t="shared" si="179"/>
        <v>0</v>
      </c>
    </row>
    <row r="1231" spans="1:17" ht="123" hidden="1" customHeight="1">
      <c r="A1231" s="83"/>
      <c r="B1231" s="72">
        <f t="shared" si="171"/>
        <v>0</v>
      </c>
      <c r="C1231" s="82" t="s">
        <v>6137</v>
      </c>
      <c r="D1231" s="1232">
        <v>525</v>
      </c>
      <c r="E1231" s="84" t="s">
        <v>729</v>
      </c>
      <c r="F1231" s="84"/>
      <c r="G1231" s="74">
        <f t="shared" si="172"/>
        <v>0</v>
      </c>
      <c r="H1231" s="74"/>
      <c r="I1231" s="74">
        <f t="shared" si="173"/>
        <v>0</v>
      </c>
      <c r="J1231" s="74"/>
      <c r="K1231" s="74">
        <f t="shared" si="174"/>
        <v>0</v>
      </c>
      <c r="L1231" s="74"/>
      <c r="M1231" s="74">
        <f t="shared" si="175"/>
        <v>0</v>
      </c>
      <c r="N1231" s="74">
        <f t="shared" si="176"/>
        <v>0</v>
      </c>
      <c r="O1231" s="74">
        <f t="shared" si="177"/>
        <v>0</v>
      </c>
      <c r="P1231" s="74">
        <f t="shared" si="178"/>
        <v>0</v>
      </c>
      <c r="Q1231" s="74">
        <f t="shared" si="179"/>
        <v>0</v>
      </c>
    </row>
    <row r="1232" spans="1:17" ht="111.75" hidden="1" customHeight="1">
      <c r="A1232" s="83"/>
      <c r="B1232" s="72">
        <f t="shared" si="171"/>
        <v>0</v>
      </c>
      <c r="C1232" s="82" t="s">
        <v>6138</v>
      </c>
      <c r="D1232" s="1232">
        <v>1124</v>
      </c>
      <c r="E1232" s="84" t="s">
        <v>729</v>
      </c>
      <c r="F1232" s="84"/>
      <c r="G1232" s="74">
        <f t="shared" si="172"/>
        <v>0</v>
      </c>
      <c r="H1232" s="74"/>
      <c r="I1232" s="74">
        <f t="shared" si="173"/>
        <v>0</v>
      </c>
      <c r="J1232" s="74"/>
      <c r="K1232" s="74">
        <f t="shared" si="174"/>
        <v>0</v>
      </c>
      <c r="L1232" s="74"/>
      <c r="M1232" s="74">
        <f t="shared" si="175"/>
        <v>0</v>
      </c>
      <c r="N1232" s="74">
        <f t="shared" si="176"/>
        <v>0</v>
      </c>
      <c r="O1232" s="74">
        <f t="shared" si="177"/>
        <v>0</v>
      </c>
      <c r="P1232" s="74">
        <f t="shared" si="178"/>
        <v>0</v>
      </c>
      <c r="Q1232" s="74">
        <f t="shared" si="179"/>
        <v>0</v>
      </c>
    </row>
    <row r="1233" spans="1:17" ht="94.5" hidden="1" customHeight="1">
      <c r="A1233" s="83"/>
      <c r="B1233" s="72">
        <f t="shared" si="171"/>
        <v>0</v>
      </c>
      <c r="C1233" s="82" t="s">
        <v>6139</v>
      </c>
      <c r="D1233" s="1232">
        <v>2708</v>
      </c>
      <c r="E1233" s="84" t="s">
        <v>729</v>
      </c>
      <c r="F1233" s="84"/>
      <c r="G1233" s="74">
        <f t="shared" si="172"/>
        <v>0</v>
      </c>
      <c r="H1233" s="74"/>
      <c r="I1233" s="74">
        <f t="shared" si="173"/>
        <v>0</v>
      </c>
      <c r="J1233" s="74"/>
      <c r="K1233" s="74">
        <f t="shared" si="174"/>
        <v>0</v>
      </c>
      <c r="L1233" s="74"/>
      <c r="M1233" s="74">
        <f t="shared" si="175"/>
        <v>0</v>
      </c>
      <c r="N1233" s="74">
        <f t="shared" si="176"/>
        <v>0</v>
      </c>
      <c r="O1233" s="74">
        <f t="shared" si="177"/>
        <v>0</v>
      </c>
      <c r="P1233" s="74">
        <f t="shared" si="178"/>
        <v>0</v>
      </c>
      <c r="Q1233" s="74">
        <f t="shared" si="179"/>
        <v>0</v>
      </c>
    </row>
    <row r="1234" spans="1:17" ht="130.15" hidden="1" customHeight="1">
      <c r="A1234" s="83"/>
      <c r="B1234" s="72">
        <f t="shared" si="171"/>
        <v>0</v>
      </c>
      <c r="C1234" s="82" t="s">
        <v>6140</v>
      </c>
      <c r="D1234" s="1232">
        <v>354</v>
      </c>
      <c r="E1234" s="84" t="s">
        <v>729</v>
      </c>
      <c r="F1234" s="84"/>
      <c r="G1234" s="74">
        <f t="shared" si="172"/>
        <v>0</v>
      </c>
      <c r="H1234" s="74"/>
      <c r="I1234" s="74">
        <f t="shared" si="173"/>
        <v>0</v>
      </c>
      <c r="J1234" s="74"/>
      <c r="K1234" s="74">
        <f t="shared" si="174"/>
        <v>0</v>
      </c>
      <c r="L1234" s="74"/>
      <c r="M1234" s="74">
        <f t="shared" si="175"/>
        <v>0</v>
      </c>
      <c r="N1234" s="74">
        <f t="shared" si="176"/>
        <v>0</v>
      </c>
      <c r="O1234" s="74">
        <f t="shared" si="177"/>
        <v>0</v>
      </c>
      <c r="P1234" s="74">
        <f t="shared" si="178"/>
        <v>0</v>
      </c>
      <c r="Q1234" s="74">
        <f t="shared" si="179"/>
        <v>0</v>
      </c>
    </row>
    <row r="1235" spans="1:17" ht="49.5" hidden="1" customHeight="1">
      <c r="A1235" s="83"/>
      <c r="B1235" s="72">
        <f t="shared" si="171"/>
        <v>0</v>
      </c>
      <c r="C1235" s="1435" t="s">
        <v>6141</v>
      </c>
      <c r="D1235" s="1232"/>
      <c r="E1235" s="84"/>
      <c r="F1235" s="84"/>
      <c r="G1235" s="74">
        <f t="shared" si="172"/>
        <v>0</v>
      </c>
      <c r="H1235" s="74"/>
      <c r="I1235" s="74">
        <f t="shared" si="173"/>
        <v>0</v>
      </c>
      <c r="J1235" s="74"/>
      <c r="K1235" s="74">
        <f t="shared" si="174"/>
        <v>0</v>
      </c>
      <c r="L1235" s="74"/>
      <c r="M1235" s="74">
        <f t="shared" si="175"/>
        <v>0</v>
      </c>
      <c r="N1235" s="74">
        <f t="shared" si="176"/>
        <v>0</v>
      </c>
      <c r="O1235" s="74">
        <f t="shared" si="177"/>
        <v>0</v>
      </c>
      <c r="P1235" s="74">
        <f t="shared" si="178"/>
        <v>0</v>
      </c>
      <c r="Q1235" s="74">
        <f t="shared" si="179"/>
        <v>0</v>
      </c>
    </row>
    <row r="1236" spans="1:17" ht="102.75" hidden="1" customHeight="1">
      <c r="A1236" s="83"/>
      <c r="B1236" s="72">
        <f t="shared" si="171"/>
        <v>0</v>
      </c>
      <c r="C1236" s="82" t="s">
        <v>6142</v>
      </c>
      <c r="D1236" s="1232">
        <v>1919</v>
      </c>
      <c r="E1236" s="84" t="s">
        <v>729</v>
      </c>
      <c r="F1236" s="84"/>
      <c r="G1236" s="74">
        <f t="shared" si="172"/>
        <v>0</v>
      </c>
      <c r="H1236" s="74"/>
      <c r="I1236" s="74">
        <f t="shared" si="173"/>
        <v>0</v>
      </c>
      <c r="J1236" s="74"/>
      <c r="K1236" s="74">
        <f t="shared" si="174"/>
        <v>0</v>
      </c>
      <c r="L1236" s="74"/>
      <c r="M1236" s="74">
        <f t="shared" si="175"/>
        <v>0</v>
      </c>
      <c r="N1236" s="74">
        <f t="shared" si="176"/>
        <v>0</v>
      </c>
      <c r="O1236" s="74">
        <f t="shared" si="177"/>
        <v>0</v>
      </c>
      <c r="P1236" s="74">
        <f t="shared" si="178"/>
        <v>0</v>
      </c>
      <c r="Q1236" s="74">
        <f t="shared" si="179"/>
        <v>0</v>
      </c>
    </row>
    <row r="1237" spans="1:17" ht="94.9" hidden="1" customHeight="1">
      <c r="A1237" s="83"/>
      <c r="B1237" s="72">
        <f t="shared" si="171"/>
        <v>0</v>
      </c>
      <c r="C1237" s="82" t="s">
        <v>6143</v>
      </c>
      <c r="D1237" s="1232">
        <v>1956</v>
      </c>
      <c r="E1237" s="84" t="s">
        <v>729</v>
      </c>
      <c r="F1237" s="84"/>
      <c r="G1237" s="74">
        <f t="shared" si="172"/>
        <v>0</v>
      </c>
      <c r="H1237" s="74"/>
      <c r="I1237" s="74">
        <f t="shared" si="173"/>
        <v>0</v>
      </c>
      <c r="J1237" s="74"/>
      <c r="K1237" s="74">
        <f t="shared" si="174"/>
        <v>0</v>
      </c>
      <c r="L1237" s="74"/>
      <c r="M1237" s="74">
        <f t="shared" si="175"/>
        <v>0</v>
      </c>
      <c r="N1237" s="74">
        <f t="shared" si="176"/>
        <v>0</v>
      </c>
      <c r="O1237" s="74">
        <f t="shared" si="177"/>
        <v>0</v>
      </c>
      <c r="P1237" s="74">
        <f t="shared" si="178"/>
        <v>0</v>
      </c>
      <c r="Q1237" s="74">
        <f t="shared" si="179"/>
        <v>0</v>
      </c>
    </row>
    <row r="1238" spans="1:17" ht="49.5" hidden="1" customHeight="1">
      <c r="A1238" s="83"/>
      <c r="B1238" s="72">
        <f t="shared" si="171"/>
        <v>0</v>
      </c>
      <c r="C1238" s="1435" t="s">
        <v>6144</v>
      </c>
      <c r="D1238" s="1232"/>
      <c r="E1238" s="84"/>
      <c r="F1238" s="84"/>
      <c r="G1238" s="74">
        <f t="shared" si="172"/>
        <v>0</v>
      </c>
      <c r="H1238" s="74"/>
      <c r="I1238" s="74">
        <f t="shared" si="173"/>
        <v>0</v>
      </c>
      <c r="J1238" s="74"/>
      <c r="K1238" s="74">
        <f t="shared" si="174"/>
        <v>0</v>
      </c>
      <c r="L1238" s="74"/>
      <c r="M1238" s="74">
        <f t="shared" si="175"/>
        <v>0</v>
      </c>
      <c r="N1238" s="74">
        <f t="shared" si="176"/>
        <v>0</v>
      </c>
      <c r="O1238" s="74">
        <f t="shared" si="177"/>
        <v>0</v>
      </c>
      <c r="P1238" s="74">
        <f t="shared" si="178"/>
        <v>0</v>
      </c>
      <c r="Q1238" s="74">
        <f t="shared" si="179"/>
        <v>0</v>
      </c>
    </row>
    <row r="1239" spans="1:17" ht="148.15" hidden="1" customHeight="1">
      <c r="A1239" s="83"/>
      <c r="B1239" s="72">
        <f t="shared" si="171"/>
        <v>0</v>
      </c>
      <c r="C1239" s="1227" t="s">
        <v>6145</v>
      </c>
      <c r="D1239" s="1232"/>
      <c r="E1239" s="84"/>
      <c r="F1239" s="84"/>
      <c r="G1239" s="74">
        <f t="shared" si="172"/>
        <v>0</v>
      </c>
      <c r="H1239" s="74"/>
      <c r="I1239" s="74">
        <f t="shared" si="173"/>
        <v>0</v>
      </c>
      <c r="J1239" s="74"/>
      <c r="K1239" s="74">
        <f t="shared" si="174"/>
        <v>0</v>
      </c>
      <c r="L1239" s="74"/>
      <c r="M1239" s="74">
        <f t="shared" si="175"/>
        <v>0</v>
      </c>
      <c r="N1239" s="74">
        <f t="shared" si="176"/>
        <v>0</v>
      </c>
      <c r="O1239" s="74">
        <f t="shared" si="177"/>
        <v>0</v>
      </c>
      <c r="P1239" s="74">
        <f t="shared" si="178"/>
        <v>0</v>
      </c>
      <c r="Q1239" s="74">
        <f t="shared" si="179"/>
        <v>0</v>
      </c>
    </row>
    <row r="1240" spans="1:17" ht="49.5" hidden="1" customHeight="1">
      <c r="A1240" s="83"/>
      <c r="B1240" s="72">
        <f t="shared" si="171"/>
        <v>0</v>
      </c>
      <c r="C1240" s="82" t="s">
        <v>6146</v>
      </c>
      <c r="D1240" s="1232">
        <v>459</v>
      </c>
      <c r="E1240" s="84" t="s">
        <v>3101</v>
      </c>
      <c r="F1240" s="84"/>
      <c r="G1240" s="74">
        <f t="shared" si="172"/>
        <v>0</v>
      </c>
      <c r="H1240" s="74"/>
      <c r="I1240" s="74">
        <f t="shared" si="173"/>
        <v>0</v>
      </c>
      <c r="J1240" s="74"/>
      <c r="K1240" s="74">
        <f t="shared" si="174"/>
        <v>0</v>
      </c>
      <c r="L1240" s="74"/>
      <c r="M1240" s="74">
        <f t="shared" si="175"/>
        <v>0</v>
      </c>
      <c r="N1240" s="74">
        <f t="shared" si="176"/>
        <v>0</v>
      </c>
      <c r="O1240" s="74">
        <f t="shared" si="177"/>
        <v>0</v>
      </c>
      <c r="P1240" s="74">
        <f t="shared" si="178"/>
        <v>0</v>
      </c>
      <c r="Q1240" s="74">
        <f t="shared" si="179"/>
        <v>0</v>
      </c>
    </row>
    <row r="1241" spans="1:17" ht="49.5" hidden="1" customHeight="1">
      <c r="A1241" s="83"/>
      <c r="B1241" s="72">
        <f t="shared" si="171"/>
        <v>0</v>
      </c>
      <c r="C1241" s="82" t="s">
        <v>6147</v>
      </c>
      <c r="D1241" s="1232">
        <v>532</v>
      </c>
      <c r="E1241" s="84" t="s">
        <v>3101</v>
      </c>
      <c r="F1241" s="84"/>
      <c r="G1241" s="74">
        <f t="shared" si="172"/>
        <v>0</v>
      </c>
      <c r="H1241" s="74"/>
      <c r="I1241" s="74">
        <f t="shared" si="173"/>
        <v>0</v>
      </c>
      <c r="J1241" s="74"/>
      <c r="K1241" s="74">
        <f t="shared" si="174"/>
        <v>0</v>
      </c>
      <c r="L1241" s="74"/>
      <c r="M1241" s="74">
        <f t="shared" si="175"/>
        <v>0</v>
      </c>
      <c r="N1241" s="74">
        <f t="shared" si="176"/>
        <v>0</v>
      </c>
      <c r="O1241" s="74">
        <f t="shared" si="177"/>
        <v>0</v>
      </c>
      <c r="P1241" s="74">
        <f t="shared" si="178"/>
        <v>0</v>
      </c>
      <c r="Q1241" s="74">
        <f t="shared" si="179"/>
        <v>0</v>
      </c>
    </row>
    <row r="1242" spans="1:17" ht="49.5" hidden="1" customHeight="1">
      <c r="A1242" s="83"/>
      <c r="B1242" s="72">
        <f t="shared" si="171"/>
        <v>0</v>
      </c>
      <c r="C1242" s="1435" t="s">
        <v>6148</v>
      </c>
      <c r="D1242" s="1232"/>
      <c r="E1242" s="84"/>
      <c r="F1242" s="84"/>
      <c r="G1242" s="74">
        <f t="shared" si="172"/>
        <v>0</v>
      </c>
      <c r="H1242" s="74"/>
      <c r="I1242" s="74">
        <f t="shared" si="173"/>
        <v>0</v>
      </c>
      <c r="J1242" s="74"/>
      <c r="K1242" s="74">
        <f t="shared" si="174"/>
        <v>0</v>
      </c>
      <c r="L1242" s="74"/>
      <c r="M1242" s="74">
        <f t="shared" si="175"/>
        <v>0</v>
      </c>
      <c r="N1242" s="74">
        <f t="shared" si="176"/>
        <v>0</v>
      </c>
      <c r="O1242" s="74">
        <f t="shared" si="177"/>
        <v>0</v>
      </c>
      <c r="P1242" s="74">
        <f t="shared" si="178"/>
        <v>0</v>
      </c>
      <c r="Q1242" s="74">
        <f t="shared" si="179"/>
        <v>0</v>
      </c>
    </row>
    <row r="1243" spans="1:17" ht="184.5" hidden="1" customHeight="1">
      <c r="A1243" s="83"/>
      <c r="B1243" s="72">
        <f t="shared" si="171"/>
        <v>0</v>
      </c>
      <c r="C1243" s="1435" t="s">
        <v>6149</v>
      </c>
      <c r="D1243" s="1232">
        <v>898</v>
      </c>
      <c r="E1243" s="84" t="s">
        <v>13</v>
      </c>
      <c r="F1243" s="84"/>
      <c r="G1243" s="74">
        <f t="shared" si="172"/>
        <v>0</v>
      </c>
      <c r="H1243" s="74"/>
      <c r="I1243" s="74">
        <f t="shared" si="173"/>
        <v>0</v>
      </c>
      <c r="J1243" s="74"/>
      <c r="K1243" s="74">
        <f t="shared" si="174"/>
        <v>0</v>
      </c>
      <c r="L1243" s="74"/>
      <c r="M1243" s="74">
        <f t="shared" si="175"/>
        <v>0</v>
      </c>
      <c r="N1243" s="74">
        <f t="shared" si="176"/>
        <v>0</v>
      </c>
      <c r="O1243" s="74">
        <f t="shared" si="177"/>
        <v>0</v>
      </c>
      <c r="P1243" s="74">
        <f t="shared" si="178"/>
        <v>0</v>
      </c>
      <c r="Q1243" s="74">
        <f t="shared" si="179"/>
        <v>0</v>
      </c>
    </row>
    <row r="1244" spans="1:17" ht="137.25" hidden="1" customHeight="1">
      <c r="A1244" s="83"/>
      <c r="B1244" s="72">
        <f t="shared" si="171"/>
        <v>0</v>
      </c>
      <c r="C1244" s="82" t="s">
        <v>6150</v>
      </c>
      <c r="D1244" s="1232"/>
      <c r="E1244" s="84"/>
      <c r="F1244" s="84"/>
      <c r="G1244" s="74">
        <f t="shared" si="172"/>
        <v>0</v>
      </c>
      <c r="H1244" s="74"/>
      <c r="I1244" s="74">
        <f t="shared" si="173"/>
        <v>0</v>
      </c>
      <c r="J1244" s="74"/>
      <c r="K1244" s="74">
        <f t="shared" si="174"/>
        <v>0</v>
      </c>
      <c r="L1244" s="74"/>
      <c r="M1244" s="74">
        <f t="shared" si="175"/>
        <v>0</v>
      </c>
      <c r="N1244" s="74">
        <f t="shared" si="176"/>
        <v>0</v>
      </c>
      <c r="O1244" s="74">
        <f t="shared" si="177"/>
        <v>0</v>
      </c>
      <c r="P1244" s="74">
        <f t="shared" si="178"/>
        <v>0</v>
      </c>
      <c r="Q1244" s="74">
        <f t="shared" si="179"/>
        <v>0</v>
      </c>
    </row>
    <row r="1245" spans="1:17" ht="143.25" hidden="1" customHeight="1">
      <c r="A1245" s="83"/>
      <c r="B1245" s="72">
        <f t="shared" si="171"/>
        <v>0</v>
      </c>
      <c r="C1245" s="82" t="s">
        <v>6151</v>
      </c>
      <c r="D1245" s="1232"/>
      <c r="E1245" s="84"/>
      <c r="F1245" s="84"/>
      <c r="G1245" s="74">
        <f t="shared" si="172"/>
        <v>0</v>
      </c>
      <c r="H1245" s="74"/>
      <c r="I1245" s="74">
        <f t="shared" si="173"/>
        <v>0</v>
      </c>
      <c r="J1245" s="74"/>
      <c r="K1245" s="74">
        <f t="shared" si="174"/>
        <v>0</v>
      </c>
      <c r="L1245" s="74"/>
      <c r="M1245" s="74">
        <f t="shared" si="175"/>
        <v>0</v>
      </c>
      <c r="N1245" s="74">
        <f t="shared" si="176"/>
        <v>0</v>
      </c>
      <c r="O1245" s="74">
        <f t="shared" si="177"/>
        <v>0</v>
      </c>
      <c r="P1245" s="74">
        <f t="shared" si="178"/>
        <v>0</v>
      </c>
      <c r="Q1245" s="74">
        <f t="shared" si="179"/>
        <v>0</v>
      </c>
    </row>
    <row r="1246" spans="1:17" ht="84" hidden="1" customHeight="1">
      <c r="A1246" s="83"/>
      <c r="B1246" s="72">
        <f t="shared" si="171"/>
        <v>0</v>
      </c>
      <c r="C1246" s="82" t="s">
        <v>6152</v>
      </c>
      <c r="D1246" s="1232">
        <v>557</v>
      </c>
      <c r="E1246" s="84" t="s">
        <v>13</v>
      </c>
      <c r="F1246" s="84"/>
      <c r="G1246" s="74">
        <f t="shared" si="172"/>
        <v>0</v>
      </c>
      <c r="H1246" s="74"/>
      <c r="I1246" s="74">
        <f t="shared" si="173"/>
        <v>0</v>
      </c>
      <c r="J1246" s="74"/>
      <c r="K1246" s="74">
        <f t="shared" si="174"/>
        <v>0</v>
      </c>
      <c r="L1246" s="74"/>
      <c r="M1246" s="74">
        <f t="shared" si="175"/>
        <v>0</v>
      </c>
      <c r="N1246" s="74">
        <f t="shared" si="176"/>
        <v>0</v>
      </c>
      <c r="O1246" s="74">
        <f t="shared" si="177"/>
        <v>0</v>
      </c>
      <c r="P1246" s="74">
        <f t="shared" si="178"/>
        <v>0</v>
      </c>
      <c r="Q1246" s="74">
        <f t="shared" si="179"/>
        <v>0</v>
      </c>
    </row>
    <row r="1247" spans="1:17" ht="92.25" hidden="1" customHeight="1">
      <c r="A1247" s="83"/>
      <c r="B1247" s="72">
        <f t="shared" si="171"/>
        <v>0</v>
      </c>
      <c r="C1247" s="82" t="s">
        <v>6153</v>
      </c>
      <c r="D1247" s="1232">
        <v>367</v>
      </c>
      <c r="E1247" s="84" t="s">
        <v>13</v>
      </c>
      <c r="F1247" s="84"/>
      <c r="G1247" s="74">
        <f t="shared" si="172"/>
        <v>0</v>
      </c>
      <c r="H1247" s="74"/>
      <c r="I1247" s="74">
        <f t="shared" si="173"/>
        <v>0</v>
      </c>
      <c r="J1247" s="74"/>
      <c r="K1247" s="74">
        <f t="shared" si="174"/>
        <v>0</v>
      </c>
      <c r="L1247" s="74"/>
      <c r="M1247" s="74">
        <f t="shared" si="175"/>
        <v>0</v>
      </c>
      <c r="N1247" s="74">
        <f t="shared" si="176"/>
        <v>0</v>
      </c>
      <c r="O1247" s="74">
        <f t="shared" si="177"/>
        <v>0</v>
      </c>
      <c r="P1247" s="74">
        <f t="shared" si="178"/>
        <v>0</v>
      </c>
      <c r="Q1247" s="74">
        <f t="shared" si="179"/>
        <v>0</v>
      </c>
    </row>
    <row r="1248" spans="1:17" ht="59.25" hidden="1" customHeight="1">
      <c r="A1248" s="83"/>
      <c r="B1248" s="72">
        <f t="shared" si="171"/>
        <v>0</v>
      </c>
      <c r="C1248" s="82" t="s">
        <v>6154</v>
      </c>
      <c r="D1248" s="1232">
        <v>301</v>
      </c>
      <c r="E1248" s="84" t="s">
        <v>13</v>
      </c>
      <c r="F1248" s="84"/>
      <c r="G1248" s="74">
        <f t="shared" si="172"/>
        <v>0</v>
      </c>
      <c r="H1248" s="74"/>
      <c r="I1248" s="74">
        <f t="shared" si="173"/>
        <v>0</v>
      </c>
      <c r="J1248" s="74"/>
      <c r="K1248" s="74">
        <f t="shared" si="174"/>
        <v>0</v>
      </c>
      <c r="L1248" s="74"/>
      <c r="M1248" s="74">
        <f t="shared" si="175"/>
        <v>0</v>
      </c>
      <c r="N1248" s="74">
        <f t="shared" si="176"/>
        <v>0</v>
      </c>
      <c r="O1248" s="74">
        <f t="shared" si="177"/>
        <v>0</v>
      </c>
      <c r="P1248" s="74">
        <f t="shared" si="178"/>
        <v>0</v>
      </c>
      <c r="Q1248" s="74">
        <f t="shared" si="179"/>
        <v>0</v>
      </c>
    </row>
    <row r="1249" spans="1:17" ht="59.25" hidden="1" customHeight="1">
      <c r="A1249" s="83"/>
      <c r="B1249" s="72">
        <f t="shared" si="171"/>
        <v>0</v>
      </c>
      <c r="C1249" s="82" t="s">
        <v>6155</v>
      </c>
      <c r="D1249" s="1232">
        <v>261</v>
      </c>
      <c r="E1249" s="84" t="s">
        <v>13</v>
      </c>
      <c r="F1249" s="84"/>
      <c r="G1249" s="74">
        <f t="shared" si="172"/>
        <v>0</v>
      </c>
      <c r="H1249" s="74"/>
      <c r="I1249" s="74">
        <f t="shared" si="173"/>
        <v>0</v>
      </c>
      <c r="J1249" s="74"/>
      <c r="K1249" s="74">
        <f t="shared" si="174"/>
        <v>0</v>
      </c>
      <c r="L1249" s="74"/>
      <c r="M1249" s="74">
        <f t="shared" si="175"/>
        <v>0</v>
      </c>
      <c r="N1249" s="74">
        <f t="shared" si="176"/>
        <v>0</v>
      </c>
      <c r="O1249" s="74">
        <f t="shared" si="177"/>
        <v>0</v>
      </c>
      <c r="P1249" s="74">
        <f t="shared" si="178"/>
        <v>0</v>
      </c>
      <c r="Q1249" s="74">
        <f t="shared" si="179"/>
        <v>0</v>
      </c>
    </row>
    <row r="1250" spans="1:17" ht="92.25" hidden="1" customHeight="1">
      <c r="A1250" s="83"/>
      <c r="B1250" s="72">
        <f t="shared" si="171"/>
        <v>0</v>
      </c>
      <c r="C1250" s="1435" t="s">
        <v>6156</v>
      </c>
      <c r="D1250" s="1232"/>
      <c r="E1250" s="84"/>
      <c r="F1250" s="84"/>
      <c r="G1250" s="74">
        <f t="shared" si="172"/>
        <v>0</v>
      </c>
      <c r="H1250" s="74"/>
      <c r="I1250" s="74">
        <f t="shared" si="173"/>
        <v>0</v>
      </c>
      <c r="J1250" s="74"/>
      <c r="K1250" s="74">
        <f t="shared" si="174"/>
        <v>0</v>
      </c>
      <c r="L1250" s="74"/>
      <c r="M1250" s="74">
        <f t="shared" si="175"/>
        <v>0</v>
      </c>
      <c r="N1250" s="74">
        <f t="shared" si="176"/>
        <v>0</v>
      </c>
      <c r="O1250" s="74">
        <f t="shared" si="177"/>
        <v>0</v>
      </c>
      <c r="P1250" s="74">
        <f t="shared" si="178"/>
        <v>0</v>
      </c>
      <c r="Q1250" s="74">
        <f t="shared" si="179"/>
        <v>0</v>
      </c>
    </row>
    <row r="1251" spans="1:17" ht="65.45" hidden="1" customHeight="1">
      <c r="A1251" s="83"/>
      <c r="B1251" s="72">
        <f t="shared" si="171"/>
        <v>0</v>
      </c>
      <c r="C1251" s="82" t="s">
        <v>6157</v>
      </c>
      <c r="D1251" s="1232">
        <v>504</v>
      </c>
      <c r="E1251" s="84" t="s">
        <v>2847</v>
      </c>
      <c r="F1251" s="84"/>
      <c r="G1251" s="74">
        <f t="shared" si="172"/>
        <v>0</v>
      </c>
      <c r="H1251" s="74"/>
      <c r="I1251" s="74">
        <f t="shared" si="173"/>
        <v>0</v>
      </c>
      <c r="J1251" s="74"/>
      <c r="K1251" s="74">
        <f t="shared" si="174"/>
        <v>0</v>
      </c>
      <c r="L1251" s="74"/>
      <c r="M1251" s="74">
        <f t="shared" si="175"/>
        <v>0</v>
      </c>
      <c r="N1251" s="74">
        <f t="shared" si="176"/>
        <v>0</v>
      </c>
      <c r="O1251" s="74">
        <f t="shared" si="177"/>
        <v>0</v>
      </c>
      <c r="P1251" s="74">
        <f t="shared" si="178"/>
        <v>0</v>
      </c>
      <c r="Q1251" s="74">
        <f t="shared" si="179"/>
        <v>0</v>
      </c>
    </row>
    <row r="1252" spans="1:17" ht="65.45" hidden="1" customHeight="1">
      <c r="A1252" s="83"/>
      <c r="B1252" s="72">
        <f t="shared" si="171"/>
        <v>0</v>
      </c>
      <c r="C1252" s="82" t="s">
        <v>6158</v>
      </c>
      <c r="D1252" s="1232">
        <v>463</v>
      </c>
      <c r="E1252" s="84" t="s">
        <v>2847</v>
      </c>
      <c r="F1252" s="84"/>
      <c r="G1252" s="74">
        <f t="shared" si="172"/>
        <v>0</v>
      </c>
      <c r="H1252" s="74"/>
      <c r="I1252" s="74">
        <f t="shared" si="173"/>
        <v>0</v>
      </c>
      <c r="J1252" s="74"/>
      <c r="K1252" s="74">
        <f t="shared" si="174"/>
        <v>0</v>
      </c>
      <c r="L1252" s="74"/>
      <c r="M1252" s="74">
        <f t="shared" si="175"/>
        <v>0</v>
      </c>
      <c r="N1252" s="74">
        <f t="shared" si="176"/>
        <v>0</v>
      </c>
      <c r="O1252" s="74">
        <f t="shared" si="177"/>
        <v>0</v>
      </c>
      <c r="P1252" s="74">
        <f t="shared" si="178"/>
        <v>0</v>
      </c>
      <c r="Q1252" s="74">
        <f t="shared" si="179"/>
        <v>0</v>
      </c>
    </row>
    <row r="1253" spans="1:17" ht="66" hidden="1" customHeight="1">
      <c r="A1253" s="83"/>
      <c r="B1253" s="72">
        <f t="shared" si="171"/>
        <v>0</v>
      </c>
      <c r="C1253" s="82" t="s">
        <v>6159</v>
      </c>
      <c r="D1253" s="1232">
        <v>340</v>
      </c>
      <c r="E1253" s="84" t="s">
        <v>2847</v>
      </c>
      <c r="F1253" s="84"/>
      <c r="G1253" s="74">
        <f t="shared" si="172"/>
        <v>0</v>
      </c>
      <c r="H1253" s="74"/>
      <c r="I1253" s="74">
        <f t="shared" si="173"/>
        <v>0</v>
      </c>
      <c r="J1253" s="74"/>
      <c r="K1253" s="74">
        <f t="shared" si="174"/>
        <v>0</v>
      </c>
      <c r="L1253" s="74"/>
      <c r="M1253" s="74">
        <f t="shared" si="175"/>
        <v>0</v>
      </c>
      <c r="N1253" s="74">
        <f t="shared" si="176"/>
        <v>0</v>
      </c>
      <c r="O1253" s="74">
        <f t="shared" si="177"/>
        <v>0</v>
      </c>
      <c r="P1253" s="74">
        <f t="shared" si="178"/>
        <v>0</v>
      </c>
      <c r="Q1253" s="74">
        <f t="shared" si="179"/>
        <v>0</v>
      </c>
    </row>
    <row r="1254" spans="1:17" ht="49.5" hidden="1" customHeight="1">
      <c r="A1254" s="83"/>
      <c r="B1254" s="72">
        <f t="shared" si="171"/>
        <v>0</v>
      </c>
      <c r="C1254" s="82" t="s">
        <v>6160</v>
      </c>
      <c r="D1254" s="1232">
        <v>327</v>
      </c>
      <c r="E1254" s="84" t="s">
        <v>2847</v>
      </c>
      <c r="F1254" s="84"/>
      <c r="G1254" s="74">
        <f t="shared" si="172"/>
        <v>0</v>
      </c>
      <c r="H1254" s="74"/>
      <c r="I1254" s="74">
        <f t="shared" si="173"/>
        <v>0</v>
      </c>
      <c r="J1254" s="74"/>
      <c r="K1254" s="74">
        <f t="shared" si="174"/>
        <v>0</v>
      </c>
      <c r="L1254" s="74"/>
      <c r="M1254" s="74">
        <f t="shared" si="175"/>
        <v>0</v>
      </c>
      <c r="N1254" s="74">
        <f t="shared" si="176"/>
        <v>0</v>
      </c>
      <c r="O1254" s="74">
        <f t="shared" si="177"/>
        <v>0</v>
      </c>
      <c r="P1254" s="74">
        <f t="shared" si="178"/>
        <v>0</v>
      </c>
      <c r="Q1254" s="74">
        <f t="shared" si="179"/>
        <v>0</v>
      </c>
    </row>
    <row r="1255" spans="1:17" ht="65.45" hidden="1" customHeight="1">
      <c r="A1255" s="83"/>
      <c r="B1255" s="72">
        <f t="shared" si="171"/>
        <v>0</v>
      </c>
      <c r="C1255" s="82" t="s">
        <v>6161</v>
      </c>
      <c r="D1255" s="1232">
        <v>319</v>
      </c>
      <c r="E1255" s="84" t="s">
        <v>2847</v>
      </c>
      <c r="F1255" s="84"/>
      <c r="G1255" s="74">
        <f t="shared" si="172"/>
        <v>0</v>
      </c>
      <c r="H1255" s="74"/>
      <c r="I1255" s="74">
        <f t="shared" si="173"/>
        <v>0</v>
      </c>
      <c r="J1255" s="74"/>
      <c r="K1255" s="74">
        <f t="shared" si="174"/>
        <v>0</v>
      </c>
      <c r="L1255" s="74"/>
      <c r="M1255" s="74">
        <f t="shared" si="175"/>
        <v>0</v>
      </c>
      <c r="N1255" s="74">
        <f t="shared" si="176"/>
        <v>0</v>
      </c>
      <c r="O1255" s="74">
        <f t="shared" si="177"/>
        <v>0</v>
      </c>
      <c r="P1255" s="74">
        <f t="shared" si="178"/>
        <v>0</v>
      </c>
      <c r="Q1255" s="74">
        <f t="shared" si="179"/>
        <v>0</v>
      </c>
    </row>
    <row r="1256" spans="1:17" ht="138" hidden="1" customHeight="1">
      <c r="A1256" s="83"/>
      <c r="B1256" s="72">
        <f t="shared" si="171"/>
        <v>0</v>
      </c>
      <c r="C1256" s="1435" t="s">
        <v>6162</v>
      </c>
      <c r="D1256" s="1232"/>
      <c r="E1256" s="84"/>
      <c r="F1256" s="84"/>
      <c r="G1256" s="74">
        <f t="shared" si="172"/>
        <v>0</v>
      </c>
      <c r="H1256" s="74"/>
      <c r="I1256" s="74">
        <f t="shared" si="173"/>
        <v>0</v>
      </c>
      <c r="J1256" s="74"/>
      <c r="K1256" s="74">
        <f t="shared" si="174"/>
        <v>0</v>
      </c>
      <c r="L1256" s="74"/>
      <c r="M1256" s="74">
        <f t="shared" si="175"/>
        <v>0</v>
      </c>
      <c r="N1256" s="74">
        <f t="shared" si="176"/>
        <v>0</v>
      </c>
      <c r="O1256" s="74">
        <f t="shared" si="177"/>
        <v>0</v>
      </c>
      <c r="P1256" s="74">
        <f t="shared" si="178"/>
        <v>0</v>
      </c>
      <c r="Q1256" s="74">
        <f t="shared" si="179"/>
        <v>0</v>
      </c>
    </row>
    <row r="1257" spans="1:17" ht="65.45" hidden="1" customHeight="1">
      <c r="A1257" s="83"/>
      <c r="B1257" s="72">
        <f t="shared" si="171"/>
        <v>0</v>
      </c>
      <c r="C1257" s="82" t="s">
        <v>6163</v>
      </c>
      <c r="D1257" s="1232">
        <v>442</v>
      </c>
      <c r="E1257" s="84" t="s">
        <v>2847</v>
      </c>
      <c r="F1257" s="84"/>
      <c r="G1257" s="74">
        <f t="shared" si="172"/>
        <v>0</v>
      </c>
      <c r="H1257" s="74"/>
      <c r="I1257" s="74">
        <f t="shared" si="173"/>
        <v>0</v>
      </c>
      <c r="J1257" s="74"/>
      <c r="K1257" s="74">
        <f t="shared" si="174"/>
        <v>0</v>
      </c>
      <c r="L1257" s="74"/>
      <c r="M1257" s="74">
        <f t="shared" si="175"/>
        <v>0</v>
      </c>
      <c r="N1257" s="74">
        <f t="shared" si="176"/>
        <v>0</v>
      </c>
      <c r="O1257" s="74">
        <f t="shared" si="177"/>
        <v>0</v>
      </c>
      <c r="P1257" s="74">
        <f t="shared" si="178"/>
        <v>0</v>
      </c>
      <c r="Q1257" s="74">
        <f t="shared" si="179"/>
        <v>0</v>
      </c>
    </row>
    <row r="1258" spans="1:17" ht="65.45" hidden="1" customHeight="1">
      <c r="A1258" s="83"/>
      <c r="B1258" s="72">
        <f t="shared" si="171"/>
        <v>0</v>
      </c>
      <c r="C1258" s="82" t="s">
        <v>6164</v>
      </c>
      <c r="D1258" s="1232">
        <v>293</v>
      </c>
      <c r="E1258" s="84" t="s">
        <v>2847</v>
      </c>
      <c r="F1258" s="84"/>
      <c r="G1258" s="74">
        <f t="shared" si="172"/>
        <v>0</v>
      </c>
      <c r="H1258" s="74"/>
      <c r="I1258" s="74">
        <f t="shared" si="173"/>
        <v>0</v>
      </c>
      <c r="J1258" s="74"/>
      <c r="K1258" s="74">
        <f t="shared" si="174"/>
        <v>0</v>
      </c>
      <c r="L1258" s="74"/>
      <c r="M1258" s="74">
        <f t="shared" si="175"/>
        <v>0</v>
      </c>
      <c r="N1258" s="74">
        <f t="shared" si="176"/>
        <v>0</v>
      </c>
      <c r="O1258" s="74">
        <f t="shared" si="177"/>
        <v>0</v>
      </c>
      <c r="P1258" s="74">
        <f t="shared" si="178"/>
        <v>0</v>
      </c>
      <c r="Q1258" s="74">
        <f t="shared" si="179"/>
        <v>0</v>
      </c>
    </row>
    <row r="1259" spans="1:17" ht="65.45" hidden="1" customHeight="1">
      <c r="A1259" s="83"/>
      <c r="B1259" s="72">
        <f t="shared" si="171"/>
        <v>0</v>
      </c>
      <c r="C1259" s="82" t="s">
        <v>6165</v>
      </c>
      <c r="D1259" s="1232">
        <v>277</v>
      </c>
      <c r="E1259" s="84" t="s">
        <v>2847</v>
      </c>
      <c r="F1259" s="84"/>
      <c r="G1259" s="74">
        <f t="shared" si="172"/>
        <v>0</v>
      </c>
      <c r="H1259" s="74"/>
      <c r="I1259" s="74">
        <f t="shared" si="173"/>
        <v>0</v>
      </c>
      <c r="J1259" s="74"/>
      <c r="K1259" s="74">
        <f t="shared" si="174"/>
        <v>0</v>
      </c>
      <c r="L1259" s="74"/>
      <c r="M1259" s="74">
        <f t="shared" si="175"/>
        <v>0</v>
      </c>
      <c r="N1259" s="74">
        <f t="shared" si="176"/>
        <v>0</v>
      </c>
      <c r="O1259" s="74">
        <f t="shared" si="177"/>
        <v>0</v>
      </c>
      <c r="P1259" s="74">
        <f t="shared" si="178"/>
        <v>0</v>
      </c>
      <c r="Q1259" s="74">
        <f t="shared" si="179"/>
        <v>0</v>
      </c>
    </row>
    <row r="1260" spans="1:17" ht="65.45" hidden="1" customHeight="1">
      <c r="A1260" s="83"/>
      <c r="B1260" s="72">
        <f t="shared" si="171"/>
        <v>0</v>
      </c>
      <c r="C1260" s="82" t="s">
        <v>6166</v>
      </c>
      <c r="D1260" s="1232">
        <v>274</v>
      </c>
      <c r="E1260" s="84" t="s">
        <v>2847</v>
      </c>
      <c r="F1260" s="84"/>
      <c r="G1260" s="74">
        <f t="shared" si="172"/>
        <v>0</v>
      </c>
      <c r="H1260" s="74"/>
      <c r="I1260" s="74">
        <f t="shared" si="173"/>
        <v>0</v>
      </c>
      <c r="J1260" s="74"/>
      <c r="K1260" s="74">
        <f t="shared" si="174"/>
        <v>0</v>
      </c>
      <c r="L1260" s="74"/>
      <c r="M1260" s="74">
        <f t="shared" si="175"/>
        <v>0</v>
      </c>
      <c r="N1260" s="74">
        <f t="shared" si="176"/>
        <v>0</v>
      </c>
      <c r="O1260" s="74">
        <f t="shared" si="177"/>
        <v>0</v>
      </c>
      <c r="P1260" s="74">
        <f t="shared" si="178"/>
        <v>0</v>
      </c>
      <c r="Q1260" s="74">
        <f t="shared" si="179"/>
        <v>0</v>
      </c>
    </row>
    <row r="1261" spans="1:17" ht="65.45" hidden="1" customHeight="1">
      <c r="A1261" s="83"/>
      <c r="B1261" s="72">
        <f t="shared" si="171"/>
        <v>0</v>
      </c>
      <c r="C1261" s="82" t="s">
        <v>6167</v>
      </c>
      <c r="D1261" s="1232">
        <v>274</v>
      </c>
      <c r="E1261" s="84" t="s">
        <v>2847</v>
      </c>
      <c r="F1261" s="84"/>
      <c r="G1261" s="74">
        <f t="shared" si="172"/>
        <v>0</v>
      </c>
      <c r="H1261" s="74"/>
      <c r="I1261" s="74">
        <f t="shared" si="173"/>
        <v>0</v>
      </c>
      <c r="J1261" s="74"/>
      <c r="K1261" s="74">
        <f t="shared" si="174"/>
        <v>0</v>
      </c>
      <c r="L1261" s="74"/>
      <c r="M1261" s="74">
        <f t="shared" si="175"/>
        <v>0</v>
      </c>
      <c r="N1261" s="74">
        <f t="shared" si="176"/>
        <v>0</v>
      </c>
      <c r="O1261" s="74">
        <f t="shared" si="177"/>
        <v>0</v>
      </c>
      <c r="P1261" s="74">
        <f t="shared" si="178"/>
        <v>0</v>
      </c>
      <c r="Q1261" s="74">
        <f t="shared" si="179"/>
        <v>0</v>
      </c>
    </row>
    <row r="1262" spans="1:17" ht="49.5" customHeight="1">
      <c r="A1262" s="83"/>
      <c r="B1262" s="72">
        <f t="shared" si="171"/>
        <v>0</v>
      </c>
      <c r="C1262" s="1435" t="s">
        <v>6168</v>
      </c>
      <c r="D1262" s="1232"/>
      <c r="E1262" s="84"/>
      <c r="F1262" s="84"/>
      <c r="G1262" s="74">
        <f t="shared" si="172"/>
        <v>0</v>
      </c>
      <c r="H1262" s="74"/>
      <c r="I1262" s="74">
        <f t="shared" si="173"/>
        <v>0</v>
      </c>
      <c r="J1262" s="74"/>
      <c r="K1262" s="74">
        <f t="shared" si="174"/>
        <v>0</v>
      </c>
      <c r="L1262" s="74"/>
      <c r="M1262" s="74">
        <f t="shared" si="175"/>
        <v>0</v>
      </c>
      <c r="N1262" s="74">
        <f t="shared" si="176"/>
        <v>0</v>
      </c>
      <c r="O1262" s="74">
        <f t="shared" si="177"/>
        <v>0</v>
      </c>
      <c r="P1262" s="74">
        <f t="shared" si="178"/>
        <v>0</v>
      </c>
      <c r="Q1262" s="74">
        <f t="shared" si="179"/>
        <v>0</v>
      </c>
    </row>
    <row r="1263" spans="1:17" ht="305.25" customHeight="1">
      <c r="A1263" s="83"/>
      <c r="B1263" s="72">
        <f t="shared" si="171"/>
        <v>10</v>
      </c>
      <c r="C1263" s="82" t="s">
        <v>6169</v>
      </c>
      <c r="D1263" s="1640">
        <v>17095</v>
      </c>
      <c r="E1263" s="84" t="s">
        <v>2847</v>
      </c>
      <c r="F1263" s="1434">
        <f>'Detail '!I2936</f>
        <v>10</v>
      </c>
      <c r="G1263" s="74">
        <f t="shared" si="172"/>
        <v>170950</v>
      </c>
      <c r="H1263" s="74"/>
      <c r="I1263" s="74">
        <f t="shared" si="173"/>
        <v>0</v>
      </c>
      <c r="J1263" s="74"/>
      <c r="K1263" s="74">
        <f t="shared" si="174"/>
        <v>0</v>
      </c>
      <c r="L1263" s="74"/>
      <c r="M1263" s="74">
        <f t="shared" si="175"/>
        <v>0</v>
      </c>
      <c r="N1263" s="74">
        <f t="shared" si="176"/>
        <v>0</v>
      </c>
      <c r="O1263" s="74">
        <f t="shared" si="177"/>
        <v>0</v>
      </c>
      <c r="P1263" s="74">
        <f t="shared" si="178"/>
        <v>10</v>
      </c>
      <c r="Q1263" s="74">
        <f t="shared" si="179"/>
        <v>170950</v>
      </c>
    </row>
    <row r="1264" spans="1:17" ht="324" customHeight="1">
      <c r="A1264" s="83"/>
      <c r="B1264" s="72">
        <f t="shared" si="171"/>
        <v>0</v>
      </c>
      <c r="C1264" s="82" t="s">
        <v>6170</v>
      </c>
      <c r="D1264" s="1232">
        <v>17231</v>
      </c>
      <c r="E1264" s="84" t="s">
        <v>2847</v>
      </c>
      <c r="F1264" s="1434">
        <f>'Detail '!I2933</f>
        <v>0</v>
      </c>
      <c r="G1264" s="74">
        <f t="shared" si="172"/>
        <v>0</v>
      </c>
      <c r="H1264" s="74"/>
      <c r="I1264" s="74">
        <f t="shared" si="173"/>
        <v>0</v>
      </c>
      <c r="J1264" s="74"/>
      <c r="K1264" s="74">
        <f t="shared" si="174"/>
        <v>0</v>
      </c>
      <c r="L1264" s="74"/>
      <c r="M1264" s="74">
        <f t="shared" si="175"/>
        <v>0</v>
      </c>
      <c r="N1264" s="74">
        <f t="shared" si="176"/>
        <v>0</v>
      </c>
      <c r="O1264" s="74">
        <f t="shared" si="177"/>
        <v>0</v>
      </c>
      <c r="P1264" s="74">
        <f t="shared" si="178"/>
        <v>0</v>
      </c>
      <c r="Q1264" s="74">
        <f t="shared" si="179"/>
        <v>0</v>
      </c>
    </row>
    <row r="1265" spans="1:17" ht="49.5" hidden="1" customHeight="1">
      <c r="A1265" s="83"/>
      <c r="B1265" s="72">
        <f t="shared" si="171"/>
        <v>0</v>
      </c>
      <c r="C1265" s="1435" t="s">
        <v>6171</v>
      </c>
      <c r="D1265" s="1232"/>
      <c r="E1265" s="84"/>
      <c r="F1265" s="84"/>
      <c r="G1265" s="74">
        <f t="shared" si="172"/>
        <v>0</v>
      </c>
      <c r="H1265" s="74"/>
      <c r="I1265" s="74">
        <f t="shared" si="173"/>
        <v>0</v>
      </c>
      <c r="J1265" s="74"/>
      <c r="K1265" s="74">
        <f t="shared" si="174"/>
        <v>0</v>
      </c>
      <c r="L1265" s="74"/>
      <c r="M1265" s="74">
        <f t="shared" si="175"/>
        <v>0</v>
      </c>
      <c r="N1265" s="74">
        <f t="shared" si="176"/>
        <v>0</v>
      </c>
      <c r="O1265" s="74">
        <f t="shared" si="177"/>
        <v>0</v>
      </c>
      <c r="P1265" s="74">
        <f t="shared" si="178"/>
        <v>0</v>
      </c>
      <c r="Q1265" s="74">
        <f t="shared" si="179"/>
        <v>0</v>
      </c>
    </row>
    <row r="1266" spans="1:17" s="1224" customFormat="1" ht="243" hidden="1" customHeight="1">
      <c r="A1266" s="83"/>
      <c r="B1266" s="72">
        <f t="shared" si="171"/>
        <v>0</v>
      </c>
      <c r="C1266" s="82" t="s">
        <v>6172</v>
      </c>
      <c r="D1266" s="1232">
        <v>1340</v>
      </c>
      <c r="E1266" s="84" t="s">
        <v>2847</v>
      </c>
      <c r="F1266" s="84"/>
      <c r="G1266" s="74">
        <f t="shared" si="172"/>
        <v>0</v>
      </c>
      <c r="H1266" s="74"/>
      <c r="I1266" s="74">
        <f t="shared" si="173"/>
        <v>0</v>
      </c>
      <c r="J1266" s="74"/>
      <c r="K1266" s="74">
        <f t="shared" si="174"/>
        <v>0</v>
      </c>
      <c r="L1266" s="74"/>
      <c r="M1266" s="74">
        <f t="shared" si="175"/>
        <v>0</v>
      </c>
      <c r="N1266" s="74">
        <f t="shared" si="176"/>
        <v>0</v>
      </c>
      <c r="O1266" s="74">
        <f t="shared" si="177"/>
        <v>0</v>
      </c>
      <c r="P1266" s="74">
        <f t="shared" si="178"/>
        <v>0</v>
      </c>
      <c r="Q1266" s="74">
        <f t="shared" si="179"/>
        <v>0</v>
      </c>
    </row>
    <row r="1267" spans="1:17" ht="95.45" hidden="1" customHeight="1">
      <c r="A1267" s="83"/>
      <c r="B1267" s="72">
        <f t="shared" si="171"/>
        <v>0</v>
      </c>
      <c r="C1267" s="82" t="s">
        <v>6173</v>
      </c>
      <c r="D1267" s="1232">
        <v>549</v>
      </c>
      <c r="E1267" s="84" t="s">
        <v>2847</v>
      </c>
      <c r="F1267" s="84"/>
      <c r="G1267" s="74">
        <f t="shared" si="172"/>
        <v>0</v>
      </c>
      <c r="H1267" s="74"/>
      <c r="I1267" s="74">
        <f t="shared" si="173"/>
        <v>0</v>
      </c>
      <c r="J1267" s="74"/>
      <c r="K1267" s="74">
        <f t="shared" si="174"/>
        <v>0</v>
      </c>
      <c r="L1267" s="74"/>
      <c r="M1267" s="74">
        <f t="shared" si="175"/>
        <v>0</v>
      </c>
      <c r="N1267" s="74">
        <f t="shared" si="176"/>
        <v>0</v>
      </c>
      <c r="O1267" s="74">
        <f t="shared" si="177"/>
        <v>0</v>
      </c>
      <c r="P1267" s="74">
        <f t="shared" si="178"/>
        <v>0</v>
      </c>
      <c r="Q1267" s="74">
        <f t="shared" si="179"/>
        <v>0</v>
      </c>
    </row>
    <row r="1268" spans="1:17" ht="109.15" hidden="1" customHeight="1">
      <c r="A1268" s="83"/>
      <c r="B1268" s="72">
        <f t="shared" si="171"/>
        <v>0</v>
      </c>
      <c r="C1268" s="82" t="s">
        <v>6174</v>
      </c>
      <c r="D1268" s="1232">
        <v>380</v>
      </c>
      <c r="E1268" s="84" t="s">
        <v>2092</v>
      </c>
      <c r="F1268" s="84"/>
      <c r="G1268" s="74">
        <f t="shared" si="172"/>
        <v>0</v>
      </c>
      <c r="H1268" s="74"/>
      <c r="I1268" s="74">
        <f t="shared" si="173"/>
        <v>0</v>
      </c>
      <c r="J1268" s="74"/>
      <c r="K1268" s="74">
        <f t="shared" si="174"/>
        <v>0</v>
      </c>
      <c r="L1268" s="74"/>
      <c r="M1268" s="74">
        <f t="shared" si="175"/>
        <v>0</v>
      </c>
      <c r="N1268" s="74">
        <f t="shared" si="176"/>
        <v>0</v>
      </c>
      <c r="O1268" s="74">
        <f t="shared" si="177"/>
        <v>0</v>
      </c>
      <c r="P1268" s="74">
        <f t="shared" si="178"/>
        <v>0</v>
      </c>
      <c r="Q1268" s="74">
        <f t="shared" si="179"/>
        <v>0</v>
      </c>
    </row>
    <row r="1269" spans="1:17" ht="49.5" hidden="1" customHeight="1">
      <c r="A1269" s="83"/>
      <c r="B1269" s="72">
        <f t="shared" si="171"/>
        <v>0</v>
      </c>
      <c r="C1269" s="1435" t="s">
        <v>6175</v>
      </c>
      <c r="D1269" s="1232"/>
      <c r="E1269" s="84"/>
      <c r="F1269" s="84"/>
      <c r="G1269" s="74">
        <f t="shared" si="172"/>
        <v>0</v>
      </c>
      <c r="H1269" s="74"/>
      <c r="I1269" s="74">
        <f t="shared" si="173"/>
        <v>0</v>
      </c>
      <c r="J1269" s="74"/>
      <c r="K1269" s="74">
        <f t="shared" si="174"/>
        <v>0</v>
      </c>
      <c r="L1269" s="74"/>
      <c r="M1269" s="74">
        <f t="shared" si="175"/>
        <v>0</v>
      </c>
      <c r="N1269" s="74">
        <f t="shared" si="176"/>
        <v>0</v>
      </c>
      <c r="O1269" s="74">
        <f t="shared" si="177"/>
        <v>0</v>
      </c>
      <c r="P1269" s="74">
        <f t="shared" si="178"/>
        <v>0</v>
      </c>
      <c r="Q1269" s="74">
        <f t="shared" si="179"/>
        <v>0</v>
      </c>
    </row>
    <row r="1270" spans="1:17" ht="150" hidden="1" customHeight="1">
      <c r="A1270" s="83"/>
      <c r="B1270" s="72">
        <f t="shared" si="171"/>
        <v>0</v>
      </c>
      <c r="C1270" s="82" t="s">
        <v>6176</v>
      </c>
      <c r="D1270" s="1232"/>
      <c r="E1270" s="84"/>
      <c r="F1270" s="84"/>
      <c r="G1270" s="74">
        <f t="shared" si="172"/>
        <v>0</v>
      </c>
      <c r="H1270" s="74"/>
      <c r="I1270" s="74">
        <f t="shared" si="173"/>
        <v>0</v>
      </c>
      <c r="J1270" s="74"/>
      <c r="K1270" s="74">
        <f t="shared" si="174"/>
        <v>0</v>
      </c>
      <c r="L1270" s="74"/>
      <c r="M1270" s="74">
        <f t="shared" si="175"/>
        <v>0</v>
      </c>
      <c r="N1270" s="74">
        <f t="shared" si="176"/>
        <v>0</v>
      </c>
      <c r="O1270" s="74">
        <f t="shared" si="177"/>
        <v>0</v>
      </c>
      <c r="P1270" s="74">
        <f t="shared" si="178"/>
        <v>0</v>
      </c>
      <c r="Q1270" s="74">
        <f t="shared" si="179"/>
        <v>0</v>
      </c>
    </row>
    <row r="1271" spans="1:17" ht="49.5" hidden="1" customHeight="1">
      <c r="A1271" s="83"/>
      <c r="B1271" s="72">
        <f t="shared" si="171"/>
        <v>0</v>
      </c>
      <c r="C1271" s="82" t="s">
        <v>6177</v>
      </c>
      <c r="D1271" s="1232">
        <v>1328</v>
      </c>
      <c r="E1271" s="84" t="s">
        <v>729</v>
      </c>
      <c r="F1271" s="84"/>
      <c r="G1271" s="74">
        <f t="shared" si="172"/>
        <v>0</v>
      </c>
      <c r="H1271" s="74"/>
      <c r="I1271" s="74">
        <f t="shared" si="173"/>
        <v>0</v>
      </c>
      <c r="J1271" s="74"/>
      <c r="K1271" s="74">
        <f t="shared" si="174"/>
        <v>0</v>
      </c>
      <c r="L1271" s="74"/>
      <c r="M1271" s="74">
        <f t="shared" si="175"/>
        <v>0</v>
      </c>
      <c r="N1271" s="74">
        <f t="shared" si="176"/>
        <v>0</v>
      </c>
      <c r="O1271" s="74">
        <f t="shared" si="177"/>
        <v>0</v>
      </c>
      <c r="P1271" s="74">
        <f t="shared" si="178"/>
        <v>0</v>
      </c>
      <c r="Q1271" s="74">
        <f t="shared" si="179"/>
        <v>0</v>
      </c>
    </row>
    <row r="1272" spans="1:17" ht="49.5" hidden="1" customHeight="1">
      <c r="A1272" s="83"/>
      <c r="B1272" s="72">
        <f t="shared" si="171"/>
        <v>0</v>
      </c>
      <c r="C1272" s="82" t="s">
        <v>6178</v>
      </c>
      <c r="D1272" s="1232">
        <v>950</v>
      </c>
      <c r="E1272" s="84" t="s">
        <v>729</v>
      </c>
      <c r="F1272" s="84"/>
      <c r="G1272" s="74">
        <f t="shared" si="172"/>
        <v>0</v>
      </c>
      <c r="H1272" s="74"/>
      <c r="I1272" s="74">
        <f t="shared" si="173"/>
        <v>0</v>
      </c>
      <c r="J1272" s="74"/>
      <c r="K1272" s="74">
        <f t="shared" si="174"/>
        <v>0</v>
      </c>
      <c r="L1272" s="74"/>
      <c r="M1272" s="74">
        <f t="shared" si="175"/>
        <v>0</v>
      </c>
      <c r="N1272" s="74">
        <f t="shared" si="176"/>
        <v>0</v>
      </c>
      <c r="O1272" s="74">
        <f t="shared" si="177"/>
        <v>0</v>
      </c>
      <c r="P1272" s="74">
        <f t="shared" si="178"/>
        <v>0</v>
      </c>
      <c r="Q1272" s="74">
        <f t="shared" si="179"/>
        <v>0</v>
      </c>
    </row>
    <row r="1273" spans="1:17" ht="49.5" hidden="1" customHeight="1">
      <c r="A1273" s="83"/>
      <c r="B1273" s="72">
        <f t="shared" si="171"/>
        <v>0</v>
      </c>
      <c r="C1273" s="82" t="s">
        <v>6179</v>
      </c>
      <c r="D1273" s="1232">
        <v>1805</v>
      </c>
      <c r="E1273" s="84" t="s">
        <v>729</v>
      </c>
      <c r="F1273" s="84"/>
      <c r="G1273" s="74">
        <f t="shared" si="172"/>
        <v>0</v>
      </c>
      <c r="H1273" s="74"/>
      <c r="I1273" s="74">
        <f t="shared" si="173"/>
        <v>0</v>
      </c>
      <c r="J1273" s="74"/>
      <c r="K1273" s="74">
        <f t="shared" si="174"/>
        <v>0</v>
      </c>
      <c r="L1273" s="74"/>
      <c r="M1273" s="74">
        <f t="shared" si="175"/>
        <v>0</v>
      </c>
      <c r="N1273" s="74">
        <f t="shared" si="176"/>
        <v>0</v>
      </c>
      <c r="O1273" s="74">
        <f t="shared" si="177"/>
        <v>0</v>
      </c>
      <c r="P1273" s="74">
        <f t="shared" si="178"/>
        <v>0</v>
      </c>
      <c r="Q1273" s="74">
        <f t="shared" si="179"/>
        <v>0</v>
      </c>
    </row>
    <row r="1274" spans="1:17" ht="49.5" hidden="1" customHeight="1">
      <c r="A1274" s="83"/>
      <c r="B1274" s="72">
        <f t="shared" si="171"/>
        <v>0</v>
      </c>
      <c r="C1274" s="1435" t="s">
        <v>6180</v>
      </c>
      <c r="D1274" s="1232"/>
      <c r="E1274" s="84"/>
      <c r="F1274" s="84"/>
      <c r="G1274" s="74">
        <f t="shared" si="172"/>
        <v>0</v>
      </c>
      <c r="H1274" s="74"/>
      <c r="I1274" s="74">
        <f t="shared" si="173"/>
        <v>0</v>
      </c>
      <c r="J1274" s="74"/>
      <c r="K1274" s="74">
        <f t="shared" si="174"/>
        <v>0</v>
      </c>
      <c r="L1274" s="74"/>
      <c r="M1274" s="74">
        <f t="shared" si="175"/>
        <v>0</v>
      </c>
      <c r="N1274" s="74">
        <f t="shared" si="176"/>
        <v>0</v>
      </c>
      <c r="O1274" s="74">
        <f t="shared" si="177"/>
        <v>0</v>
      </c>
      <c r="P1274" s="74">
        <f t="shared" si="178"/>
        <v>0</v>
      </c>
      <c r="Q1274" s="74">
        <f t="shared" si="179"/>
        <v>0</v>
      </c>
    </row>
    <row r="1275" spans="1:17" ht="135" hidden="1" customHeight="1">
      <c r="A1275" s="83"/>
      <c r="B1275" s="72">
        <f t="shared" si="171"/>
        <v>0</v>
      </c>
      <c r="C1275" s="82" t="s">
        <v>6181</v>
      </c>
      <c r="D1275" s="1232">
        <v>30250</v>
      </c>
      <c r="E1275" s="84" t="s">
        <v>729</v>
      </c>
      <c r="F1275" s="84"/>
      <c r="G1275" s="74">
        <f t="shared" si="172"/>
        <v>0</v>
      </c>
      <c r="H1275" s="74"/>
      <c r="I1275" s="74">
        <f t="shared" si="173"/>
        <v>0</v>
      </c>
      <c r="J1275" s="74"/>
      <c r="K1275" s="74">
        <f t="shared" si="174"/>
        <v>0</v>
      </c>
      <c r="L1275" s="74"/>
      <c r="M1275" s="74">
        <f t="shared" si="175"/>
        <v>0</v>
      </c>
      <c r="N1275" s="74">
        <f t="shared" si="176"/>
        <v>0</v>
      </c>
      <c r="O1275" s="74">
        <f t="shared" si="177"/>
        <v>0</v>
      </c>
      <c r="P1275" s="74">
        <f t="shared" si="178"/>
        <v>0</v>
      </c>
      <c r="Q1275" s="74">
        <f t="shared" si="179"/>
        <v>0</v>
      </c>
    </row>
    <row r="1276" spans="1:17" ht="189" hidden="1" customHeight="1">
      <c r="A1276" s="83"/>
      <c r="B1276" s="72">
        <f t="shared" si="171"/>
        <v>0</v>
      </c>
      <c r="C1276" s="82" t="s">
        <v>6182</v>
      </c>
      <c r="D1276" s="1232">
        <v>141</v>
      </c>
      <c r="E1276" s="84" t="s">
        <v>3103</v>
      </c>
      <c r="F1276" s="84"/>
      <c r="G1276" s="74">
        <f t="shared" si="172"/>
        <v>0</v>
      </c>
      <c r="H1276" s="74"/>
      <c r="I1276" s="74">
        <f t="shared" si="173"/>
        <v>0</v>
      </c>
      <c r="J1276" s="74"/>
      <c r="K1276" s="74">
        <f t="shared" si="174"/>
        <v>0</v>
      </c>
      <c r="L1276" s="74"/>
      <c r="M1276" s="74">
        <f t="shared" si="175"/>
        <v>0</v>
      </c>
      <c r="N1276" s="74">
        <f t="shared" si="176"/>
        <v>0</v>
      </c>
      <c r="O1276" s="74">
        <f t="shared" si="177"/>
        <v>0</v>
      </c>
      <c r="P1276" s="74">
        <f t="shared" si="178"/>
        <v>0</v>
      </c>
      <c r="Q1276" s="74">
        <f t="shared" si="179"/>
        <v>0</v>
      </c>
    </row>
    <row r="1277" spans="1:17" ht="49.5" hidden="1" customHeight="1">
      <c r="A1277" s="83"/>
      <c r="B1277" s="72">
        <f t="shared" si="171"/>
        <v>0</v>
      </c>
      <c r="C1277" s="1435" t="s">
        <v>6183</v>
      </c>
      <c r="D1277" s="1232"/>
      <c r="E1277" s="84"/>
      <c r="F1277" s="84"/>
      <c r="G1277" s="74">
        <f t="shared" si="172"/>
        <v>0</v>
      </c>
      <c r="H1277" s="74"/>
      <c r="I1277" s="74">
        <f t="shared" si="173"/>
        <v>0</v>
      </c>
      <c r="J1277" s="74"/>
      <c r="K1277" s="74">
        <f t="shared" si="174"/>
        <v>0</v>
      </c>
      <c r="L1277" s="74"/>
      <c r="M1277" s="74">
        <f t="shared" si="175"/>
        <v>0</v>
      </c>
      <c r="N1277" s="74">
        <f t="shared" si="176"/>
        <v>0</v>
      </c>
      <c r="O1277" s="74">
        <f t="shared" si="177"/>
        <v>0</v>
      </c>
      <c r="P1277" s="74">
        <f t="shared" si="178"/>
        <v>0</v>
      </c>
      <c r="Q1277" s="74">
        <f t="shared" si="179"/>
        <v>0</v>
      </c>
    </row>
    <row r="1278" spans="1:17" ht="111.95" hidden="1" customHeight="1">
      <c r="A1278" s="83"/>
      <c r="B1278" s="72">
        <f t="shared" si="171"/>
        <v>0</v>
      </c>
      <c r="C1278" s="82" t="s">
        <v>6184</v>
      </c>
      <c r="D1278" s="1232">
        <v>6161</v>
      </c>
      <c r="E1278" s="84" t="s">
        <v>2847</v>
      </c>
      <c r="F1278" s="84"/>
      <c r="G1278" s="74">
        <f t="shared" si="172"/>
        <v>0</v>
      </c>
      <c r="H1278" s="74"/>
      <c r="I1278" s="74">
        <f t="shared" si="173"/>
        <v>0</v>
      </c>
      <c r="J1278" s="74"/>
      <c r="K1278" s="74">
        <f t="shared" si="174"/>
        <v>0</v>
      </c>
      <c r="L1278" s="74"/>
      <c r="M1278" s="74">
        <f t="shared" si="175"/>
        <v>0</v>
      </c>
      <c r="N1278" s="74">
        <f t="shared" si="176"/>
        <v>0</v>
      </c>
      <c r="O1278" s="74">
        <f t="shared" si="177"/>
        <v>0</v>
      </c>
      <c r="P1278" s="74">
        <f t="shared" si="178"/>
        <v>0</v>
      </c>
      <c r="Q1278" s="74">
        <f t="shared" si="179"/>
        <v>0</v>
      </c>
    </row>
    <row r="1279" spans="1:17" ht="66.75" hidden="1" customHeight="1">
      <c r="A1279" s="83"/>
      <c r="B1279" s="72">
        <f t="shared" si="171"/>
        <v>0</v>
      </c>
      <c r="C1279" s="1435" t="s">
        <v>6185</v>
      </c>
      <c r="D1279" s="1232"/>
      <c r="E1279" s="84"/>
      <c r="F1279" s="84"/>
      <c r="G1279" s="74">
        <f t="shared" si="172"/>
        <v>0</v>
      </c>
      <c r="H1279" s="74"/>
      <c r="I1279" s="74">
        <f t="shared" si="173"/>
        <v>0</v>
      </c>
      <c r="J1279" s="74"/>
      <c r="K1279" s="74">
        <f t="shared" si="174"/>
        <v>0</v>
      </c>
      <c r="L1279" s="74"/>
      <c r="M1279" s="74">
        <f t="shared" si="175"/>
        <v>0</v>
      </c>
      <c r="N1279" s="74">
        <f t="shared" si="176"/>
        <v>0</v>
      </c>
      <c r="O1279" s="74">
        <f t="shared" si="177"/>
        <v>0</v>
      </c>
      <c r="P1279" s="74">
        <f t="shared" si="178"/>
        <v>0</v>
      </c>
      <c r="Q1279" s="74">
        <f t="shared" si="179"/>
        <v>0</v>
      </c>
    </row>
    <row r="1280" spans="1:17" ht="409.5" hidden="1" customHeight="1">
      <c r="A1280" s="83"/>
      <c r="B1280" s="72">
        <f t="shared" si="171"/>
        <v>0</v>
      </c>
      <c r="C1280" s="82" t="s">
        <v>6186</v>
      </c>
      <c r="D1280" s="1232"/>
      <c r="E1280" s="84"/>
      <c r="F1280" s="84"/>
      <c r="G1280" s="74">
        <f t="shared" si="172"/>
        <v>0</v>
      </c>
      <c r="H1280" s="74"/>
      <c r="I1280" s="74">
        <f t="shared" si="173"/>
        <v>0</v>
      </c>
      <c r="J1280" s="74"/>
      <c r="K1280" s="74">
        <f t="shared" si="174"/>
        <v>0</v>
      </c>
      <c r="L1280" s="74"/>
      <c r="M1280" s="74">
        <f t="shared" si="175"/>
        <v>0</v>
      </c>
      <c r="N1280" s="74">
        <f t="shared" si="176"/>
        <v>0</v>
      </c>
      <c r="O1280" s="74">
        <f t="shared" si="177"/>
        <v>0</v>
      </c>
      <c r="P1280" s="74">
        <f t="shared" si="178"/>
        <v>0</v>
      </c>
      <c r="Q1280" s="74">
        <f t="shared" si="179"/>
        <v>0</v>
      </c>
    </row>
    <row r="1281" spans="1:17" ht="158.25" hidden="1" customHeight="1">
      <c r="A1281" s="83"/>
      <c r="B1281" s="72">
        <f t="shared" si="171"/>
        <v>0</v>
      </c>
      <c r="C1281" s="82" t="s">
        <v>6187</v>
      </c>
      <c r="D1281" s="1232"/>
      <c r="E1281" s="84"/>
      <c r="F1281" s="84"/>
      <c r="G1281" s="74">
        <f t="shared" si="172"/>
        <v>0</v>
      </c>
      <c r="H1281" s="74"/>
      <c r="I1281" s="74">
        <f t="shared" si="173"/>
        <v>0</v>
      </c>
      <c r="J1281" s="74"/>
      <c r="K1281" s="74">
        <f t="shared" si="174"/>
        <v>0</v>
      </c>
      <c r="L1281" s="74"/>
      <c r="M1281" s="74">
        <f t="shared" si="175"/>
        <v>0</v>
      </c>
      <c r="N1281" s="74">
        <f t="shared" si="176"/>
        <v>0</v>
      </c>
      <c r="O1281" s="74">
        <f t="shared" si="177"/>
        <v>0</v>
      </c>
      <c r="P1281" s="74">
        <f t="shared" si="178"/>
        <v>0</v>
      </c>
      <c r="Q1281" s="74">
        <f t="shared" si="179"/>
        <v>0</v>
      </c>
    </row>
    <row r="1282" spans="1:17" ht="235.5" hidden="1" customHeight="1">
      <c r="A1282" s="83"/>
      <c r="B1282" s="72">
        <f t="shared" si="171"/>
        <v>0</v>
      </c>
      <c r="C1282" s="1227" t="s">
        <v>6188</v>
      </c>
      <c r="D1282" s="1232">
        <v>55127</v>
      </c>
      <c r="E1282" s="84"/>
      <c r="F1282" s="84"/>
      <c r="G1282" s="74">
        <f t="shared" si="172"/>
        <v>0</v>
      </c>
      <c r="H1282" s="74"/>
      <c r="I1282" s="74">
        <f t="shared" si="173"/>
        <v>0</v>
      </c>
      <c r="J1282" s="74"/>
      <c r="K1282" s="74">
        <f t="shared" si="174"/>
        <v>0</v>
      </c>
      <c r="L1282" s="74"/>
      <c r="M1282" s="74">
        <f t="shared" si="175"/>
        <v>0</v>
      </c>
      <c r="N1282" s="74">
        <f t="shared" si="176"/>
        <v>0</v>
      </c>
      <c r="O1282" s="74">
        <f t="shared" si="177"/>
        <v>0</v>
      </c>
      <c r="P1282" s="74">
        <f t="shared" si="178"/>
        <v>0</v>
      </c>
      <c r="Q1282" s="74">
        <f t="shared" si="179"/>
        <v>0</v>
      </c>
    </row>
    <row r="1283" spans="1:17" s="65" customFormat="1" ht="408" hidden="1" customHeight="1">
      <c r="A1283" s="83"/>
      <c r="B1283" s="72">
        <f t="shared" si="171"/>
        <v>0</v>
      </c>
      <c r="C1283" s="82" t="s">
        <v>6189</v>
      </c>
      <c r="D1283" s="1232"/>
      <c r="E1283" s="84"/>
      <c r="F1283" s="84"/>
      <c r="G1283" s="74">
        <f t="shared" si="172"/>
        <v>0</v>
      </c>
      <c r="H1283" s="74"/>
      <c r="I1283" s="74">
        <f t="shared" si="173"/>
        <v>0</v>
      </c>
      <c r="J1283" s="74"/>
      <c r="K1283" s="74">
        <f t="shared" si="174"/>
        <v>0</v>
      </c>
      <c r="L1283" s="74"/>
      <c r="M1283" s="74">
        <f t="shared" si="175"/>
        <v>0</v>
      </c>
      <c r="N1283" s="74">
        <f t="shared" si="176"/>
        <v>0</v>
      </c>
      <c r="O1283" s="74">
        <f t="shared" si="177"/>
        <v>0</v>
      </c>
      <c r="P1283" s="74">
        <f t="shared" si="178"/>
        <v>0</v>
      </c>
      <c r="Q1283" s="74">
        <f t="shared" si="179"/>
        <v>0</v>
      </c>
    </row>
    <row r="1284" spans="1:17" s="65" customFormat="1" ht="219" hidden="1" customHeight="1">
      <c r="A1284" s="83"/>
      <c r="B1284" s="72">
        <f t="shared" si="171"/>
        <v>0</v>
      </c>
      <c r="C1284" s="82" t="s">
        <v>6190</v>
      </c>
      <c r="D1284" s="1232"/>
      <c r="E1284" s="84"/>
      <c r="F1284" s="84"/>
      <c r="G1284" s="74">
        <f t="shared" si="172"/>
        <v>0</v>
      </c>
      <c r="H1284" s="74"/>
      <c r="I1284" s="74">
        <f t="shared" si="173"/>
        <v>0</v>
      </c>
      <c r="J1284" s="74"/>
      <c r="K1284" s="74">
        <f t="shared" si="174"/>
        <v>0</v>
      </c>
      <c r="L1284" s="74"/>
      <c r="M1284" s="74">
        <f t="shared" si="175"/>
        <v>0</v>
      </c>
      <c r="N1284" s="74">
        <f t="shared" si="176"/>
        <v>0</v>
      </c>
      <c r="O1284" s="74">
        <f t="shared" si="177"/>
        <v>0</v>
      </c>
      <c r="P1284" s="74">
        <f t="shared" si="178"/>
        <v>0</v>
      </c>
      <c r="Q1284" s="74">
        <f t="shared" si="179"/>
        <v>0</v>
      </c>
    </row>
    <row r="1285" spans="1:17" s="65" customFormat="1" ht="260.10000000000002" hidden="1" customHeight="1">
      <c r="A1285" s="83"/>
      <c r="B1285" s="72">
        <f t="shared" ref="B1285:B1325" si="180">P1285</f>
        <v>0</v>
      </c>
      <c r="C1285" s="1227" t="s">
        <v>6191</v>
      </c>
      <c r="D1285" s="1232">
        <v>65700</v>
      </c>
      <c r="E1285" s="84" t="s">
        <v>729</v>
      </c>
      <c r="F1285" s="84"/>
      <c r="G1285" s="74">
        <f t="shared" si="172"/>
        <v>0</v>
      </c>
      <c r="H1285" s="74"/>
      <c r="I1285" s="74">
        <f t="shared" si="173"/>
        <v>0</v>
      </c>
      <c r="J1285" s="74"/>
      <c r="K1285" s="74">
        <f t="shared" si="174"/>
        <v>0</v>
      </c>
      <c r="L1285" s="74"/>
      <c r="M1285" s="74">
        <f t="shared" si="175"/>
        <v>0</v>
      </c>
      <c r="N1285" s="74">
        <f t="shared" si="176"/>
        <v>0</v>
      </c>
      <c r="O1285" s="74">
        <f t="shared" si="177"/>
        <v>0</v>
      </c>
      <c r="P1285" s="74">
        <f t="shared" si="178"/>
        <v>0</v>
      </c>
      <c r="Q1285" s="74">
        <f t="shared" si="179"/>
        <v>0</v>
      </c>
    </row>
    <row r="1286" spans="1:17" ht="90" hidden="1" customHeight="1">
      <c r="A1286" s="83"/>
      <c r="B1286" s="72">
        <f t="shared" si="180"/>
        <v>0</v>
      </c>
      <c r="C1286" s="82" t="s">
        <v>6192</v>
      </c>
      <c r="D1286" s="1232"/>
      <c r="E1286" s="84"/>
      <c r="F1286" s="84"/>
      <c r="G1286" s="74">
        <f t="shared" ref="G1286:G1349" si="181">F1286*D1286</f>
        <v>0</v>
      </c>
      <c r="H1286" s="74"/>
      <c r="I1286" s="74">
        <f t="shared" ref="I1286:I1349" si="182">H1286*D1286</f>
        <v>0</v>
      </c>
      <c r="J1286" s="74"/>
      <c r="K1286" s="74">
        <f t="shared" ref="K1286:K1349" si="183">J1286*D1286</f>
        <v>0</v>
      </c>
      <c r="L1286" s="74"/>
      <c r="M1286" s="74">
        <f t="shared" ref="M1286:M1349" si="184">L1286*D1286</f>
        <v>0</v>
      </c>
      <c r="N1286" s="74">
        <f t="shared" ref="N1286:N1349" si="185">H1286+J1286+L1286</f>
        <v>0</v>
      </c>
      <c r="O1286" s="74">
        <f t="shared" ref="O1286:O1349" si="186">N1286*D1286</f>
        <v>0</v>
      </c>
      <c r="P1286" s="74">
        <f t="shared" ref="P1286:P1349" si="187">N1286+F1286</f>
        <v>0</v>
      </c>
      <c r="Q1286" s="74">
        <f t="shared" ref="Q1286:Q1349" si="188">P1286*D1286</f>
        <v>0</v>
      </c>
    </row>
    <row r="1287" spans="1:17" ht="132" hidden="1" customHeight="1">
      <c r="A1287" s="83"/>
      <c r="B1287" s="72">
        <f t="shared" si="180"/>
        <v>0</v>
      </c>
      <c r="C1287" s="82" t="s">
        <v>6193</v>
      </c>
      <c r="D1287" s="1232"/>
      <c r="E1287" s="84"/>
      <c r="F1287" s="84"/>
      <c r="G1287" s="74">
        <f t="shared" si="181"/>
        <v>0</v>
      </c>
      <c r="H1287" s="74"/>
      <c r="I1287" s="74">
        <f t="shared" si="182"/>
        <v>0</v>
      </c>
      <c r="J1287" s="74"/>
      <c r="K1287" s="74">
        <f t="shared" si="183"/>
        <v>0</v>
      </c>
      <c r="L1287" s="74"/>
      <c r="M1287" s="74">
        <f t="shared" si="184"/>
        <v>0</v>
      </c>
      <c r="N1287" s="74">
        <f t="shared" si="185"/>
        <v>0</v>
      </c>
      <c r="O1287" s="74">
        <f t="shared" si="186"/>
        <v>0</v>
      </c>
      <c r="P1287" s="74">
        <f t="shared" si="187"/>
        <v>0</v>
      </c>
      <c r="Q1287" s="74">
        <f t="shared" si="188"/>
        <v>0</v>
      </c>
    </row>
    <row r="1288" spans="1:17" ht="342" hidden="1" customHeight="1">
      <c r="A1288" s="83"/>
      <c r="B1288" s="72">
        <f t="shared" si="180"/>
        <v>0</v>
      </c>
      <c r="C1288" s="1227" t="s">
        <v>6194</v>
      </c>
      <c r="D1288" s="1232">
        <v>241785</v>
      </c>
      <c r="E1288" s="84" t="s">
        <v>41</v>
      </c>
      <c r="F1288" s="84"/>
      <c r="G1288" s="74">
        <f t="shared" si="181"/>
        <v>0</v>
      </c>
      <c r="H1288" s="74"/>
      <c r="I1288" s="74">
        <f t="shared" si="182"/>
        <v>0</v>
      </c>
      <c r="J1288" s="74"/>
      <c r="K1288" s="74">
        <f t="shared" si="183"/>
        <v>0</v>
      </c>
      <c r="L1288" s="74"/>
      <c r="M1288" s="74">
        <f t="shared" si="184"/>
        <v>0</v>
      </c>
      <c r="N1288" s="74">
        <f t="shared" si="185"/>
        <v>0</v>
      </c>
      <c r="O1288" s="74">
        <f t="shared" si="186"/>
        <v>0</v>
      </c>
      <c r="P1288" s="74">
        <f t="shared" si="187"/>
        <v>0</v>
      </c>
      <c r="Q1288" s="74">
        <f t="shared" si="188"/>
        <v>0</v>
      </c>
    </row>
    <row r="1289" spans="1:17" ht="81" hidden="1" customHeight="1">
      <c r="A1289" s="83"/>
      <c r="B1289" s="72">
        <f t="shared" si="180"/>
        <v>0</v>
      </c>
      <c r="C1289" s="1227" t="s">
        <v>6195</v>
      </c>
      <c r="D1289" s="1232">
        <v>348</v>
      </c>
      <c r="E1289" s="84" t="s">
        <v>41</v>
      </c>
      <c r="F1289" s="84"/>
      <c r="G1289" s="74">
        <f t="shared" si="181"/>
        <v>0</v>
      </c>
      <c r="H1289" s="74"/>
      <c r="I1289" s="74">
        <f t="shared" si="182"/>
        <v>0</v>
      </c>
      <c r="J1289" s="74"/>
      <c r="K1289" s="74">
        <f t="shared" si="183"/>
        <v>0</v>
      </c>
      <c r="L1289" s="74"/>
      <c r="M1289" s="74">
        <f t="shared" si="184"/>
        <v>0</v>
      </c>
      <c r="N1289" s="74">
        <f t="shared" si="185"/>
        <v>0</v>
      </c>
      <c r="O1289" s="74">
        <f t="shared" si="186"/>
        <v>0</v>
      </c>
      <c r="P1289" s="74">
        <f t="shared" si="187"/>
        <v>0</v>
      </c>
      <c r="Q1289" s="74">
        <f t="shared" si="188"/>
        <v>0</v>
      </c>
    </row>
    <row r="1290" spans="1:17" ht="97.9" hidden="1" customHeight="1">
      <c r="A1290" s="83"/>
      <c r="B1290" s="72">
        <f t="shared" si="180"/>
        <v>0</v>
      </c>
      <c r="C1290" s="1227" t="s">
        <v>6196</v>
      </c>
      <c r="D1290" s="1232">
        <v>38</v>
      </c>
      <c r="E1290" s="84" t="s">
        <v>13</v>
      </c>
      <c r="F1290" s="84"/>
      <c r="G1290" s="74">
        <f t="shared" si="181"/>
        <v>0</v>
      </c>
      <c r="H1290" s="74"/>
      <c r="I1290" s="74">
        <f t="shared" si="182"/>
        <v>0</v>
      </c>
      <c r="J1290" s="74"/>
      <c r="K1290" s="74">
        <f t="shared" si="183"/>
        <v>0</v>
      </c>
      <c r="L1290" s="74"/>
      <c r="M1290" s="74">
        <f t="shared" si="184"/>
        <v>0</v>
      </c>
      <c r="N1290" s="74">
        <f t="shared" si="185"/>
        <v>0</v>
      </c>
      <c r="O1290" s="74">
        <f t="shared" si="186"/>
        <v>0</v>
      </c>
      <c r="P1290" s="74">
        <f t="shared" si="187"/>
        <v>0</v>
      </c>
      <c r="Q1290" s="74">
        <f t="shared" si="188"/>
        <v>0</v>
      </c>
    </row>
    <row r="1291" spans="1:17" ht="95.25" hidden="1" customHeight="1">
      <c r="A1291" s="83"/>
      <c r="B1291" s="72">
        <f t="shared" si="180"/>
        <v>0</v>
      </c>
      <c r="C1291" s="82" t="s">
        <v>6197</v>
      </c>
      <c r="D1291" s="1232">
        <v>30000</v>
      </c>
      <c r="E1291" s="84" t="s">
        <v>2847</v>
      </c>
      <c r="F1291" s="84"/>
      <c r="G1291" s="74">
        <f t="shared" si="181"/>
        <v>0</v>
      </c>
      <c r="H1291" s="74"/>
      <c r="I1291" s="74">
        <f t="shared" si="182"/>
        <v>0</v>
      </c>
      <c r="J1291" s="74"/>
      <c r="K1291" s="74">
        <f t="shared" si="183"/>
        <v>0</v>
      </c>
      <c r="L1291" s="74"/>
      <c r="M1291" s="74">
        <f t="shared" si="184"/>
        <v>0</v>
      </c>
      <c r="N1291" s="74">
        <f t="shared" si="185"/>
        <v>0</v>
      </c>
      <c r="O1291" s="74">
        <f t="shared" si="186"/>
        <v>0</v>
      </c>
      <c r="P1291" s="74">
        <f t="shared" si="187"/>
        <v>0</v>
      </c>
      <c r="Q1291" s="74">
        <f t="shared" si="188"/>
        <v>0</v>
      </c>
    </row>
    <row r="1292" spans="1:17" ht="58.15" hidden="1" customHeight="1">
      <c r="A1292" s="83"/>
      <c r="B1292" s="72">
        <f t="shared" si="180"/>
        <v>0</v>
      </c>
      <c r="C1292" s="82" t="s">
        <v>6198</v>
      </c>
      <c r="D1292" s="1232">
        <v>500000</v>
      </c>
      <c r="E1292" s="84" t="s">
        <v>145</v>
      </c>
      <c r="F1292" s="84"/>
      <c r="G1292" s="74">
        <f t="shared" si="181"/>
        <v>0</v>
      </c>
      <c r="H1292" s="74"/>
      <c r="I1292" s="74">
        <f t="shared" si="182"/>
        <v>0</v>
      </c>
      <c r="J1292" s="74"/>
      <c r="K1292" s="74">
        <f t="shared" si="183"/>
        <v>0</v>
      </c>
      <c r="L1292" s="74"/>
      <c r="M1292" s="74">
        <f t="shared" si="184"/>
        <v>0</v>
      </c>
      <c r="N1292" s="74">
        <f t="shared" si="185"/>
        <v>0</v>
      </c>
      <c r="O1292" s="74">
        <f t="shared" si="186"/>
        <v>0</v>
      </c>
      <c r="P1292" s="74">
        <f t="shared" si="187"/>
        <v>0</v>
      </c>
      <c r="Q1292" s="74">
        <f t="shared" si="188"/>
        <v>0</v>
      </c>
    </row>
    <row r="1293" spans="1:17" ht="49.5" customHeight="1">
      <c r="A1293" s="83"/>
      <c r="B1293" s="72">
        <f t="shared" si="180"/>
        <v>0</v>
      </c>
      <c r="C1293" s="1435" t="s">
        <v>6199</v>
      </c>
      <c r="D1293" s="1232"/>
      <c r="E1293" s="84"/>
      <c r="F1293" s="84"/>
      <c r="G1293" s="74">
        <f t="shared" si="181"/>
        <v>0</v>
      </c>
      <c r="H1293" s="74"/>
      <c r="I1293" s="74">
        <f t="shared" si="182"/>
        <v>0</v>
      </c>
      <c r="J1293" s="74"/>
      <c r="K1293" s="74">
        <f t="shared" si="183"/>
        <v>0</v>
      </c>
      <c r="L1293" s="74"/>
      <c r="M1293" s="74">
        <f t="shared" si="184"/>
        <v>0</v>
      </c>
      <c r="N1293" s="74">
        <f t="shared" si="185"/>
        <v>0</v>
      </c>
      <c r="O1293" s="74">
        <f t="shared" si="186"/>
        <v>0</v>
      </c>
      <c r="P1293" s="74">
        <f t="shared" si="187"/>
        <v>0</v>
      </c>
      <c r="Q1293" s="74">
        <f t="shared" si="188"/>
        <v>0</v>
      </c>
    </row>
    <row r="1294" spans="1:17" ht="260.25" customHeight="1">
      <c r="A1294" s="83"/>
      <c r="B1294" s="72">
        <f t="shared" si="180"/>
        <v>0</v>
      </c>
      <c r="C1294" s="1237" t="s">
        <v>6200</v>
      </c>
      <c r="D1294" s="1232"/>
      <c r="E1294" s="84"/>
      <c r="F1294" s="84"/>
      <c r="G1294" s="74">
        <f t="shared" si="181"/>
        <v>0</v>
      </c>
      <c r="H1294" s="74"/>
      <c r="I1294" s="74">
        <f t="shared" si="182"/>
        <v>0</v>
      </c>
      <c r="J1294" s="74"/>
      <c r="K1294" s="74">
        <f t="shared" si="183"/>
        <v>0</v>
      </c>
      <c r="L1294" s="74"/>
      <c r="M1294" s="74">
        <f t="shared" si="184"/>
        <v>0</v>
      </c>
      <c r="N1294" s="74">
        <f t="shared" si="185"/>
        <v>0</v>
      </c>
      <c r="O1294" s="74">
        <f t="shared" si="186"/>
        <v>0</v>
      </c>
      <c r="P1294" s="74">
        <f t="shared" si="187"/>
        <v>0</v>
      </c>
      <c r="Q1294" s="74">
        <f t="shared" si="188"/>
        <v>0</v>
      </c>
    </row>
    <row r="1295" spans="1:17" ht="67.5" customHeight="1">
      <c r="A1295" s="83"/>
      <c r="B1295" s="72">
        <f t="shared" si="180"/>
        <v>1</v>
      </c>
      <c r="C1295" s="1227" t="s">
        <v>6201</v>
      </c>
      <c r="D1295" s="1248">
        <v>558600</v>
      </c>
      <c r="E1295" s="1248" t="s">
        <v>729</v>
      </c>
      <c r="F1295" s="84"/>
      <c r="G1295" s="74">
        <f t="shared" si="181"/>
        <v>0</v>
      </c>
      <c r="H1295" s="74"/>
      <c r="I1295" s="74">
        <f t="shared" si="182"/>
        <v>0</v>
      </c>
      <c r="J1295" s="74"/>
      <c r="K1295" s="74">
        <f t="shared" si="183"/>
        <v>0</v>
      </c>
      <c r="L1295" s="74">
        <f>genset!G31</f>
        <v>1</v>
      </c>
      <c r="M1295" s="74">
        <f t="shared" si="184"/>
        <v>558600</v>
      </c>
      <c r="N1295" s="74">
        <f t="shared" si="185"/>
        <v>1</v>
      </c>
      <c r="O1295" s="74">
        <f t="shared" si="186"/>
        <v>558600</v>
      </c>
      <c r="P1295" s="74">
        <f t="shared" si="187"/>
        <v>1</v>
      </c>
      <c r="Q1295" s="74">
        <f t="shared" si="188"/>
        <v>558600</v>
      </c>
    </row>
    <row r="1296" spans="1:17" ht="70.5" customHeight="1">
      <c r="A1296" s="83"/>
      <c r="B1296" s="72">
        <f t="shared" si="180"/>
        <v>1</v>
      </c>
      <c r="C1296" s="1227" t="s">
        <v>6202</v>
      </c>
      <c r="D1296" s="1248">
        <v>60000</v>
      </c>
      <c r="E1296" s="1248" t="s">
        <v>6203</v>
      </c>
      <c r="F1296" s="84"/>
      <c r="G1296" s="74">
        <f t="shared" si="181"/>
        <v>0</v>
      </c>
      <c r="H1296" s="74"/>
      <c r="I1296" s="74">
        <f t="shared" si="182"/>
        <v>0</v>
      </c>
      <c r="J1296" s="74"/>
      <c r="K1296" s="74">
        <f t="shared" si="183"/>
        <v>0</v>
      </c>
      <c r="L1296" s="74">
        <f>genset!G34</f>
        <v>1</v>
      </c>
      <c r="M1296" s="74">
        <f t="shared" si="184"/>
        <v>60000</v>
      </c>
      <c r="N1296" s="74">
        <f t="shared" si="185"/>
        <v>1</v>
      </c>
      <c r="O1296" s="74">
        <f t="shared" si="186"/>
        <v>60000</v>
      </c>
      <c r="P1296" s="74">
        <f t="shared" si="187"/>
        <v>1</v>
      </c>
      <c r="Q1296" s="74">
        <f t="shared" si="188"/>
        <v>60000</v>
      </c>
    </row>
    <row r="1297" spans="1:17" ht="81" customHeight="1">
      <c r="A1297" s="83"/>
      <c r="B1297" s="72">
        <f t="shared" si="180"/>
        <v>0</v>
      </c>
      <c r="C1297" s="1237" t="s">
        <v>6204</v>
      </c>
      <c r="D1297" s="1248"/>
      <c r="E1297" s="1248"/>
      <c r="F1297" s="84"/>
      <c r="G1297" s="74">
        <f t="shared" si="181"/>
        <v>0</v>
      </c>
      <c r="H1297" s="74"/>
      <c r="I1297" s="74">
        <f t="shared" si="182"/>
        <v>0</v>
      </c>
      <c r="J1297" s="74"/>
      <c r="K1297" s="74">
        <f t="shared" si="183"/>
        <v>0</v>
      </c>
      <c r="L1297" s="74"/>
      <c r="M1297" s="74">
        <f t="shared" si="184"/>
        <v>0</v>
      </c>
      <c r="N1297" s="74">
        <f t="shared" si="185"/>
        <v>0</v>
      </c>
      <c r="O1297" s="74">
        <f t="shared" si="186"/>
        <v>0</v>
      </c>
      <c r="P1297" s="74">
        <f t="shared" si="187"/>
        <v>0</v>
      </c>
      <c r="Q1297" s="74">
        <f t="shared" si="188"/>
        <v>0</v>
      </c>
    </row>
    <row r="1298" spans="1:17" ht="111" customHeight="1">
      <c r="A1298" s="83"/>
      <c r="B1298" s="72">
        <f t="shared" si="180"/>
        <v>1</v>
      </c>
      <c r="C1298" s="82" t="s">
        <v>6205</v>
      </c>
      <c r="D1298" s="1232">
        <v>7000</v>
      </c>
      <c r="E1298" s="84" t="s">
        <v>729</v>
      </c>
      <c r="F1298" s="84"/>
      <c r="G1298" s="74">
        <f t="shared" si="181"/>
        <v>0</v>
      </c>
      <c r="H1298" s="74"/>
      <c r="I1298" s="74">
        <f t="shared" si="182"/>
        <v>0</v>
      </c>
      <c r="J1298" s="74"/>
      <c r="K1298" s="74">
        <f t="shared" si="183"/>
        <v>0</v>
      </c>
      <c r="L1298" s="74">
        <f>genset!G36</f>
        <v>1</v>
      </c>
      <c r="M1298" s="74">
        <f t="shared" si="184"/>
        <v>7000</v>
      </c>
      <c r="N1298" s="74">
        <f t="shared" si="185"/>
        <v>1</v>
      </c>
      <c r="O1298" s="74">
        <f t="shared" si="186"/>
        <v>7000</v>
      </c>
      <c r="P1298" s="74">
        <f t="shared" si="187"/>
        <v>1</v>
      </c>
      <c r="Q1298" s="74">
        <f t="shared" si="188"/>
        <v>7000</v>
      </c>
    </row>
    <row r="1299" spans="1:17" ht="264" customHeight="1">
      <c r="A1299" s="83"/>
      <c r="B1299" s="72">
        <f t="shared" si="180"/>
        <v>1</v>
      </c>
      <c r="C1299" s="82" t="s">
        <v>6206</v>
      </c>
      <c r="D1299" s="1232">
        <v>27646</v>
      </c>
      <c r="E1299" s="84" t="s">
        <v>1034</v>
      </c>
      <c r="F1299" s="84"/>
      <c r="G1299" s="74">
        <f t="shared" si="181"/>
        <v>0</v>
      </c>
      <c r="H1299" s="74"/>
      <c r="I1299" s="74">
        <f t="shared" si="182"/>
        <v>0</v>
      </c>
      <c r="J1299" s="74"/>
      <c r="K1299" s="74">
        <f t="shared" si="183"/>
        <v>0</v>
      </c>
      <c r="L1299" s="74">
        <f>genset!G38</f>
        <v>1</v>
      </c>
      <c r="M1299" s="74">
        <f t="shared" si="184"/>
        <v>27646</v>
      </c>
      <c r="N1299" s="74">
        <f t="shared" si="185"/>
        <v>1</v>
      </c>
      <c r="O1299" s="74">
        <f t="shared" si="186"/>
        <v>27646</v>
      </c>
      <c r="P1299" s="74">
        <f t="shared" si="187"/>
        <v>1</v>
      </c>
      <c r="Q1299" s="74">
        <f t="shared" si="188"/>
        <v>27646</v>
      </c>
    </row>
    <row r="1300" spans="1:17" ht="49.5" hidden="1" customHeight="1">
      <c r="A1300" s="83"/>
      <c r="B1300" s="72">
        <f t="shared" si="180"/>
        <v>0</v>
      </c>
      <c r="C1300" s="82" t="s">
        <v>6207</v>
      </c>
      <c r="D1300" s="1232"/>
      <c r="E1300" s="84"/>
      <c r="F1300" s="84"/>
      <c r="G1300" s="74">
        <f t="shared" si="181"/>
        <v>0</v>
      </c>
      <c r="H1300" s="74"/>
      <c r="I1300" s="74">
        <f t="shared" si="182"/>
        <v>0</v>
      </c>
      <c r="J1300" s="74"/>
      <c r="K1300" s="74">
        <f t="shared" si="183"/>
        <v>0</v>
      </c>
      <c r="L1300" s="74"/>
      <c r="M1300" s="74">
        <f t="shared" si="184"/>
        <v>0</v>
      </c>
      <c r="N1300" s="74">
        <f t="shared" si="185"/>
        <v>0</v>
      </c>
      <c r="O1300" s="74">
        <f t="shared" si="186"/>
        <v>0</v>
      </c>
      <c r="P1300" s="74">
        <f t="shared" si="187"/>
        <v>0</v>
      </c>
      <c r="Q1300" s="74">
        <f t="shared" si="188"/>
        <v>0</v>
      </c>
    </row>
    <row r="1301" spans="1:17" ht="49.5" customHeight="1">
      <c r="A1301" s="83"/>
      <c r="B1301" s="72">
        <f t="shared" si="180"/>
        <v>0</v>
      </c>
      <c r="C1301" s="1435" t="s">
        <v>6208</v>
      </c>
      <c r="D1301" s="1232"/>
      <c r="E1301" s="84"/>
      <c r="F1301" s="84"/>
      <c r="G1301" s="74">
        <f t="shared" si="181"/>
        <v>0</v>
      </c>
      <c r="H1301" s="74"/>
      <c r="I1301" s="74">
        <f t="shared" si="182"/>
        <v>0</v>
      </c>
      <c r="J1301" s="74"/>
      <c r="K1301" s="74">
        <f t="shared" si="183"/>
        <v>0</v>
      </c>
      <c r="L1301" s="74"/>
      <c r="M1301" s="74">
        <f t="shared" si="184"/>
        <v>0</v>
      </c>
      <c r="N1301" s="74">
        <f t="shared" si="185"/>
        <v>0</v>
      </c>
      <c r="O1301" s="74">
        <f t="shared" si="186"/>
        <v>0</v>
      </c>
      <c r="P1301" s="74">
        <f t="shared" si="187"/>
        <v>0</v>
      </c>
      <c r="Q1301" s="74">
        <f t="shared" si="188"/>
        <v>0</v>
      </c>
    </row>
    <row r="1302" spans="1:17" ht="174.75" customHeight="1">
      <c r="A1302" s="83"/>
      <c r="B1302" s="72">
        <f t="shared" si="180"/>
        <v>5</v>
      </c>
      <c r="C1302" s="1435" t="s">
        <v>6209</v>
      </c>
      <c r="D1302" s="1232">
        <v>339.3</v>
      </c>
      <c r="E1302" s="84" t="s">
        <v>2092</v>
      </c>
      <c r="F1302" s="84"/>
      <c r="G1302" s="74">
        <f t="shared" si="181"/>
        <v>0</v>
      </c>
      <c r="H1302" s="74"/>
      <c r="I1302" s="74">
        <f t="shared" si="182"/>
        <v>0</v>
      </c>
      <c r="J1302" s="74"/>
      <c r="K1302" s="74">
        <f t="shared" si="183"/>
        <v>0</v>
      </c>
      <c r="L1302" s="74">
        <f>genset!G41</f>
        <v>5</v>
      </c>
      <c r="M1302" s="74">
        <f t="shared" si="184"/>
        <v>1696.5</v>
      </c>
      <c r="N1302" s="74">
        <f t="shared" si="185"/>
        <v>5</v>
      </c>
      <c r="O1302" s="74">
        <f t="shared" si="186"/>
        <v>1696.5</v>
      </c>
      <c r="P1302" s="74">
        <f t="shared" si="187"/>
        <v>5</v>
      </c>
      <c r="Q1302" s="74">
        <f t="shared" si="188"/>
        <v>1696.5</v>
      </c>
    </row>
    <row r="1303" spans="1:17" ht="49.5" customHeight="1">
      <c r="A1303" s="83"/>
      <c r="B1303" s="72">
        <f t="shared" si="180"/>
        <v>0</v>
      </c>
      <c r="C1303" s="82" t="s">
        <v>6207</v>
      </c>
      <c r="D1303" s="1232">
        <v>339.3</v>
      </c>
      <c r="E1303" s="84" t="s">
        <v>2092</v>
      </c>
      <c r="F1303" s="84"/>
      <c r="G1303" s="74">
        <f t="shared" si="181"/>
        <v>0</v>
      </c>
      <c r="H1303" s="74"/>
      <c r="I1303" s="74">
        <f t="shared" si="182"/>
        <v>0</v>
      </c>
      <c r="J1303" s="74"/>
      <c r="K1303" s="74">
        <f t="shared" si="183"/>
        <v>0</v>
      </c>
      <c r="L1303" s="74"/>
      <c r="M1303" s="74">
        <f t="shared" si="184"/>
        <v>0</v>
      </c>
      <c r="N1303" s="74">
        <f t="shared" si="185"/>
        <v>0</v>
      </c>
      <c r="O1303" s="74">
        <f t="shared" si="186"/>
        <v>0</v>
      </c>
      <c r="P1303" s="74">
        <f t="shared" si="187"/>
        <v>0</v>
      </c>
      <c r="Q1303" s="74">
        <f t="shared" si="188"/>
        <v>0</v>
      </c>
    </row>
    <row r="1304" spans="1:17" ht="116.25" customHeight="1">
      <c r="A1304" s="83"/>
      <c r="B1304" s="72">
        <f t="shared" si="180"/>
        <v>5</v>
      </c>
      <c r="C1304" s="1435" t="s">
        <v>6210</v>
      </c>
      <c r="D1304" s="1232">
        <v>2756</v>
      </c>
      <c r="E1304" s="84" t="s">
        <v>2092</v>
      </c>
      <c r="F1304" s="84"/>
      <c r="G1304" s="74">
        <f t="shared" si="181"/>
        <v>0</v>
      </c>
      <c r="H1304" s="74"/>
      <c r="I1304" s="74">
        <f t="shared" si="182"/>
        <v>0</v>
      </c>
      <c r="J1304" s="74"/>
      <c r="K1304" s="74">
        <f t="shared" si="183"/>
        <v>0</v>
      </c>
      <c r="L1304" s="74">
        <f>genset!G43</f>
        <v>5</v>
      </c>
      <c r="M1304" s="74">
        <f t="shared" si="184"/>
        <v>13780</v>
      </c>
      <c r="N1304" s="74">
        <f t="shared" si="185"/>
        <v>5</v>
      </c>
      <c r="O1304" s="74">
        <f t="shared" si="186"/>
        <v>13780</v>
      </c>
      <c r="P1304" s="74">
        <f t="shared" si="187"/>
        <v>5</v>
      </c>
      <c r="Q1304" s="74">
        <f t="shared" si="188"/>
        <v>13780</v>
      </c>
    </row>
    <row r="1305" spans="1:17" ht="49.5" customHeight="1">
      <c r="A1305" s="83"/>
      <c r="B1305" s="72">
        <f t="shared" si="180"/>
        <v>0</v>
      </c>
      <c r="C1305" s="82" t="s">
        <v>6207</v>
      </c>
      <c r="D1305" s="1232"/>
      <c r="E1305" s="84" t="s">
        <v>2092</v>
      </c>
      <c r="F1305" s="84"/>
      <c r="G1305" s="74">
        <f t="shared" si="181"/>
        <v>0</v>
      </c>
      <c r="H1305" s="74"/>
      <c r="I1305" s="74">
        <f t="shared" si="182"/>
        <v>0</v>
      </c>
      <c r="J1305" s="74"/>
      <c r="K1305" s="74">
        <f t="shared" si="183"/>
        <v>0</v>
      </c>
      <c r="L1305" s="74"/>
      <c r="M1305" s="74">
        <f t="shared" si="184"/>
        <v>0</v>
      </c>
      <c r="N1305" s="74">
        <f t="shared" si="185"/>
        <v>0</v>
      </c>
      <c r="O1305" s="74">
        <f t="shared" si="186"/>
        <v>0</v>
      </c>
      <c r="P1305" s="74">
        <f t="shared" si="187"/>
        <v>0</v>
      </c>
      <c r="Q1305" s="74">
        <f t="shared" si="188"/>
        <v>0</v>
      </c>
    </row>
    <row r="1306" spans="1:17" ht="141" customHeight="1">
      <c r="A1306" s="83"/>
      <c r="B1306" s="72">
        <f t="shared" si="180"/>
        <v>8</v>
      </c>
      <c r="C1306" s="1435" t="s">
        <v>6211</v>
      </c>
      <c r="D1306" s="1232">
        <v>197</v>
      </c>
      <c r="E1306" s="84" t="s">
        <v>2092</v>
      </c>
      <c r="F1306" s="84"/>
      <c r="G1306" s="74">
        <f t="shared" si="181"/>
        <v>0</v>
      </c>
      <c r="H1306" s="74"/>
      <c r="I1306" s="74">
        <f t="shared" si="182"/>
        <v>0</v>
      </c>
      <c r="J1306" s="74"/>
      <c r="K1306" s="74">
        <f t="shared" si="183"/>
        <v>0</v>
      </c>
      <c r="L1306" s="74">
        <f>genset!G45</f>
        <v>8</v>
      </c>
      <c r="M1306" s="74">
        <f t="shared" si="184"/>
        <v>1576</v>
      </c>
      <c r="N1306" s="74">
        <f t="shared" si="185"/>
        <v>8</v>
      </c>
      <c r="O1306" s="74">
        <f t="shared" si="186"/>
        <v>1576</v>
      </c>
      <c r="P1306" s="74">
        <f t="shared" si="187"/>
        <v>8</v>
      </c>
      <c r="Q1306" s="74">
        <f t="shared" si="188"/>
        <v>1576</v>
      </c>
    </row>
    <row r="1307" spans="1:17" ht="49.5" customHeight="1">
      <c r="A1307" s="83"/>
      <c r="B1307" s="72">
        <f t="shared" si="180"/>
        <v>0</v>
      </c>
      <c r="C1307" s="82" t="s">
        <v>6207</v>
      </c>
      <c r="D1307" s="1232"/>
      <c r="E1307" s="84" t="s">
        <v>2092</v>
      </c>
      <c r="F1307" s="84"/>
      <c r="G1307" s="74">
        <f t="shared" si="181"/>
        <v>0</v>
      </c>
      <c r="H1307" s="74"/>
      <c r="I1307" s="74">
        <f t="shared" si="182"/>
        <v>0</v>
      </c>
      <c r="J1307" s="74"/>
      <c r="K1307" s="74">
        <f t="shared" si="183"/>
        <v>0</v>
      </c>
      <c r="L1307" s="74"/>
      <c r="M1307" s="74">
        <f t="shared" si="184"/>
        <v>0</v>
      </c>
      <c r="N1307" s="74">
        <f t="shared" si="185"/>
        <v>0</v>
      </c>
      <c r="O1307" s="74">
        <f t="shared" si="186"/>
        <v>0</v>
      </c>
      <c r="P1307" s="74">
        <f t="shared" si="187"/>
        <v>0</v>
      </c>
      <c r="Q1307" s="74">
        <f t="shared" si="188"/>
        <v>0</v>
      </c>
    </row>
    <row r="1308" spans="1:17" ht="126" customHeight="1">
      <c r="A1308" s="83"/>
      <c r="B1308" s="72">
        <f t="shared" si="180"/>
        <v>1</v>
      </c>
      <c r="C1308" s="1435" t="s">
        <v>6212</v>
      </c>
      <c r="D1308" s="1232">
        <v>4245</v>
      </c>
      <c r="E1308" s="84" t="s">
        <v>1715</v>
      </c>
      <c r="F1308" s="84"/>
      <c r="G1308" s="74">
        <f t="shared" si="181"/>
        <v>0</v>
      </c>
      <c r="H1308" s="74"/>
      <c r="I1308" s="74">
        <f t="shared" si="182"/>
        <v>0</v>
      </c>
      <c r="J1308" s="74"/>
      <c r="K1308" s="74">
        <f t="shared" si="183"/>
        <v>0</v>
      </c>
      <c r="L1308" s="74">
        <f>genset!G47</f>
        <v>1</v>
      </c>
      <c r="M1308" s="74">
        <f t="shared" si="184"/>
        <v>4245</v>
      </c>
      <c r="N1308" s="74">
        <f t="shared" si="185"/>
        <v>1</v>
      </c>
      <c r="O1308" s="74">
        <f t="shared" si="186"/>
        <v>4245</v>
      </c>
      <c r="P1308" s="74">
        <f t="shared" si="187"/>
        <v>1</v>
      </c>
      <c r="Q1308" s="74">
        <f t="shared" si="188"/>
        <v>4245</v>
      </c>
    </row>
    <row r="1309" spans="1:17" ht="49.5" hidden="1" customHeight="1">
      <c r="A1309" s="83"/>
      <c r="B1309" s="72">
        <f t="shared" si="180"/>
        <v>0</v>
      </c>
      <c r="C1309" s="82" t="s">
        <v>6207</v>
      </c>
      <c r="D1309" s="1232">
        <v>4245</v>
      </c>
      <c r="E1309" s="84" t="s">
        <v>1715</v>
      </c>
      <c r="F1309" s="84"/>
      <c r="G1309" s="74">
        <f t="shared" si="181"/>
        <v>0</v>
      </c>
      <c r="H1309" s="74"/>
      <c r="I1309" s="74">
        <f t="shared" si="182"/>
        <v>0</v>
      </c>
      <c r="J1309" s="74"/>
      <c r="K1309" s="74">
        <f t="shared" si="183"/>
        <v>0</v>
      </c>
      <c r="L1309" s="74"/>
      <c r="M1309" s="74">
        <f t="shared" si="184"/>
        <v>0</v>
      </c>
      <c r="N1309" s="74">
        <f t="shared" si="185"/>
        <v>0</v>
      </c>
      <c r="O1309" s="74">
        <f t="shared" si="186"/>
        <v>0</v>
      </c>
      <c r="P1309" s="74">
        <f t="shared" si="187"/>
        <v>0</v>
      </c>
      <c r="Q1309" s="74">
        <f t="shared" si="188"/>
        <v>0</v>
      </c>
    </row>
    <row r="1310" spans="1:17" ht="49.5" customHeight="1">
      <c r="A1310" s="83"/>
      <c r="B1310" s="72">
        <f t="shared" si="180"/>
        <v>0</v>
      </c>
      <c r="C1310" s="1435" t="s">
        <v>6213</v>
      </c>
      <c r="D1310" s="1232"/>
      <c r="E1310" s="84"/>
      <c r="F1310" s="84"/>
      <c r="G1310" s="74">
        <f t="shared" si="181"/>
        <v>0</v>
      </c>
      <c r="H1310" s="74"/>
      <c r="I1310" s="74">
        <f t="shared" si="182"/>
        <v>0</v>
      </c>
      <c r="J1310" s="74"/>
      <c r="K1310" s="74">
        <f t="shared" si="183"/>
        <v>0</v>
      </c>
      <c r="L1310" s="74"/>
      <c r="M1310" s="74">
        <f t="shared" si="184"/>
        <v>0</v>
      </c>
      <c r="N1310" s="74">
        <f t="shared" si="185"/>
        <v>0</v>
      </c>
      <c r="O1310" s="74">
        <f t="shared" si="186"/>
        <v>0</v>
      </c>
      <c r="P1310" s="74">
        <f t="shared" si="187"/>
        <v>0</v>
      </c>
      <c r="Q1310" s="74">
        <f t="shared" si="188"/>
        <v>0</v>
      </c>
    </row>
    <row r="1311" spans="1:17" ht="184.5" customHeight="1">
      <c r="A1311" s="83"/>
      <c r="B1311" s="72">
        <f t="shared" si="180"/>
        <v>1</v>
      </c>
      <c r="C1311" s="1435" t="s">
        <v>6214</v>
      </c>
      <c r="D1311" s="1232">
        <v>30000</v>
      </c>
      <c r="E1311" s="84" t="s">
        <v>6215</v>
      </c>
      <c r="F1311" s="84"/>
      <c r="G1311" s="74">
        <f t="shared" si="181"/>
        <v>0</v>
      </c>
      <c r="H1311" s="74"/>
      <c r="I1311" s="74">
        <f t="shared" si="182"/>
        <v>0</v>
      </c>
      <c r="J1311" s="74"/>
      <c r="K1311" s="74">
        <f t="shared" si="183"/>
        <v>0</v>
      </c>
      <c r="L1311" s="74">
        <f>genset!G49</f>
        <v>1</v>
      </c>
      <c r="M1311" s="74">
        <f t="shared" si="184"/>
        <v>30000</v>
      </c>
      <c r="N1311" s="74">
        <f t="shared" si="185"/>
        <v>1</v>
      </c>
      <c r="O1311" s="74">
        <f t="shared" si="186"/>
        <v>30000</v>
      </c>
      <c r="P1311" s="74">
        <f t="shared" si="187"/>
        <v>1</v>
      </c>
      <c r="Q1311" s="74">
        <f t="shared" si="188"/>
        <v>30000</v>
      </c>
    </row>
    <row r="1312" spans="1:17" ht="49.5" hidden="1" customHeight="1">
      <c r="A1312" s="83"/>
      <c r="B1312" s="72">
        <f t="shared" si="180"/>
        <v>0</v>
      </c>
      <c r="C1312" s="82" t="s">
        <v>6207</v>
      </c>
      <c r="D1312" s="1232">
        <v>30000</v>
      </c>
      <c r="E1312" s="84" t="s">
        <v>6215</v>
      </c>
      <c r="F1312" s="84"/>
      <c r="G1312" s="74">
        <f t="shared" si="181"/>
        <v>0</v>
      </c>
      <c r="H1312" s="74"/>
      <c r="I1312" s="74">
        <f t="shared" si="182"/>
        <v>0</v>
      </c>
      <c r="J1312" s="74"/>
      <c r="K1312" s="74">
        <f t="shared" si="183"/>
        <v>0</v>
      </c>
      <c r="L1312" s="74"/>
      <c r="M1312" s="74">
        <f t="shared" si="184"/>
        <v>0</v>
      </c>
      <c r="N1312" s="74">
        <f t="shared" si="185"/>
        <v>0</v>
      </c>
      <c r="O1312" s="74">
        <f t="shared" si="186"/>
        <v>0</v>
      </c>
      <c r="P1312" s="74">
        <f t="shared" si="187"/>
        <v>0</v>
      </c>
      <c r="Q1312" s="74">
        <f t="shared" si="188"/>
        <v>0</v>
      </c>
    </row>
    <row r="1313" spans="1:17" ht="105" hidden="1" customHeight="1">
      <c r="A1313" s="83"/>
      <c r="B1313" s="72">
        <f t="shared" si="180"/>
        <v>0</v>
      </c>
      <c r="C1313" s="1435" t="s">
        <v>6216</v>
      </c>
      <c r="D1313" s="1232">
        <v>16750</v>
      </c>
      <c r="E1313" s="84" t="s">
        <v>1715</v>
      </c>
      <c r="F1313" s="84"/>
      <c r="G1313" s="74">
        <f t="shared" si="181"/>
        <v>0</v>
      </c>
      <c r="H1313" s="74"/>
      <c r="I1313" s="74">
        <f t="shared" si="182"/>
        <v>0</v>
      </c>
      <c r="J1313" s="74"/>
      <c r="K1313" s="74">
        <f t="shared" si="183"/>
        <v>0</v>
      </c>
      <c r="L1313" s="74"/>
      <c r="M1313" s="74">
        <f t="shared" si="184"/>
        <v>0</v>
      </c>
      <c r="N1313" s="74">
        <f t="shared" si="185"/>
        <v>0</v>
      </c>
      <c r="O1313" s="74">
        <f t="shared" si="186"/>
        <v>0</v>
      </c>
      <c r="P1313" s="74">
        <f t="shared" si="187"/>
        <v>0</v>
      </c>
      <c r="Q1313" s="74">
        <f t="shared" si="188"/>
        <v>0</v>
      </c>
    </row>
    <row r="1314" spans="1:17" ht="49.5" hidden="1" customHeight="1">
      <c r="A1314" s="83"/>
      <c r="B1314" s="72">
        <f t="shared" si="180"/>
        <v>0</v>
      </c>
      <c r="C1314" s="82" t="s">
        <v>6207</v>
      </c>
      <c r="D1314" s="1232">
        <v>16750</v>
      </c>
      <c r="E1314" s="84" t="s">
        <v>1715</v>
      </c>
      <c r="F1314" s="84"/>
      <c r="G1314" s="74">
        <f t="shared" si="181"/>
        <v>0</v>
      </c>
      <c r="H1314" s="74"/>
      <c r="I1314" s="74">
        <f t="shared" si="182"/>
        <v>0</v>
      </c>
      <c r="J1314" s="74"/>
      <c r="K1314" s="74">
        <f t="shared" si="183"/>
        <v>0</v>
      </c>
      <c r="L1314" s="74"/>
      <c r="M1314" s="74">
        <f t="shared" si="184"/>
        <v>0</v>
      </c>
      <c r="N1314" s="74">
        <f t="shared" si="185"/>
        <v>0</v>
      </c>
      <c r="O1314" s="74">
        <f t="shared" si="186"/>
        <v>0</v>
      </c>
      <c r="P1314" s="74">
        <f t="shared" si="187"/>
        <v>0</v>
      </c>
      <c r="Q1314" s="74">
        <f t="shared" si="188"/>
        <v>0</v>
      </c>
    </row>
    <row r="1315" spans="1:17" ht="49.5" customHeight="1">
      <c r="A1315" s="83"/>
      <c r="B1315" s="72">
        <f t="shared" si="180"/>
        <v>0</v>
      </c>
      <c r="C1315" s="1435" t="s">
        <v>6217</v>
      </c>
      <c r="D1315" s="1232"/>
      <c r="E1315" s="84"/>
      <c r="F1315" s="84"/>
      <c r="G1315" s="74">
        <f t="shared" si="181"/>
        <v>0</v>
      </c>
      <c r="H1315" s="74"/>
      <c r="I1315" s="74">
        <f t="shared" si="182"/>
        <v>0</v>
      </c>
      <c r="J1315" s="74"/>
      <c r="K1315" s="74">
        <f t="shared" si="183"/>
        <v>0</v>
      </c>
      <c r="L1315" s="74"/>
      <c r="M1315" s="74">
        <f t="shared" si="184"/>
        <v>0</v>
      </c>
      <c r="N1315" s="74">
        <f t="shared" si="185"/>
        <v>0</v>
      </c>
      <c r="O1315" s="74">
        <f t="shared" si="186"/>
        <v>0</v>
      </c>
      <c r="P1315" s="74">
        <f t="shared" si="187"/>
        <v>0</v>
      </c>
      <c r="Q1315" s="74">
        <f t="shared" si="188"/>
        <v>0</v>
      </c>
    </row>
    <row r="1316" spans="1:17" ht="152.25" customHeight="1">
      <c r="A1316" s="83"/>
      <c r="B1316" s="72">
        <f t="shared" si="180"/>
        <v>0</v>
      </c>
      <c r="C1316" s="1435" t="s">
        <v>6218</v>
      </c>
      <c r="D1316" s="1232"/>
      <c r="E1316" s="84"/>
      <c r="F1316" s="84"/>
      <c r="G1316" s="74">
        <f t="shared" si="181"/>
        <v>0</v>
      </c>
      <c r="H1316" s="74"/>
      <c r="I1316" s="74">
        <f t="shared" si="182"/>
        <v>0</v>
      </c>
      <c r="J1316" s="74"/>
      <c r="K1316" s="74">
        <f t="shared" si="183"/>
        <v>0</v>
      </c>
      <c r="L1316" s="74"/>
      <c r="M1316" s="74">
        <f t="shared" si="184"/>
        <v>0</v>
      </c>
      <c r="N1316" s="74">
        <f t="shared" si="185"/>
        <v>0</v>
      </c>
      <c r="O1316" s="74">
        <f t="shared" si="186"/>
        <v>0</v>
      </c>
      <c r="P1316" s="74">
        <f t="shared" si="187"/>
        <v>0</v>
      </c>
      <c r="Q1316" s="74">
        <f t="shared" si="188"/>
        <v>0</v>
      </c>
    </row>
    <row r="1317" spans="1:17" ht="145.9" customHeight="1">
      <c r="A1317" s="83"/>
      <c r="B1317" s="72">
        <f t="shared" si="180"/>
        <v>0</v>
      </c>
      <c r="C1317" s="82" t="s">
        <v>6151</v>
      </c>
      <c r="D1317" s="1232"/>
      <c r="E1317" s="84"/>
      <c r="F1317" s="84"/>
      <c r="G1317" s="74">
        <f t="shared" si="181"/>
        <v>0</v>
      </c>
      <c r="H1317" s="74"/>
      <c r="I1317" s="74">
        <f t="shared" si="182"/>
        <v>0</v>
      </c>
      <c r="J1317" s="74"/>
      <c r="K1317" s="74">
        <f t="shared" si="183"/>
        <v>0</v>
      </c>
      <c r="L1317" s="74"/>
      <c r="M1317" s="74">
        <f t="shared" si="184"/>
        <v>0</v>
      </c>
      <c r="N1317" s="74">
        <f t="shared" si="185"/>
        <v>0</v>
      </c>
      <c r="O1317" s="74">
        <f t="shared" si="186"/>
        <v>0</v>
      </c>
      <c r="P1317" s="74">
        <f t="shared" si="187"/>
        <v>0</v>
      </c>
      <c r="Q1317" s="74">
        <f t="shared" si="188"/>
        <v>0</v>
      </c>
    </row>
    <row r="1318" spans="1:17" ht="90" customHeight="1">
      <c r="A1318" s="83"/>
      <c r="B1318" s="72">
        <f t="shared" si="180"/>
        <v>75</v>
      </c>
      <c r="C1318" s="82" t="s">
        <v>6219</v>
      </c>
      <c r="D1318" s="1232">
        <v>1044</v>
      </c>
      <c r="E1318" s="84" t="s">
        <v>2092</v>
      </c>
      <c r="F1318" s="84"/>
      <c r="G1318" s="74">
        <f t="shared" si="181"/>
        <v>0</v>
      </c>
      <c r="H1318" s="74"/>
      <c r="I1318" s="74">
        <f t="shared" si="182"/>
        <v>0</v>
      </c>
      <c r="J1318" s="74"/>
      <c r="K1318" s="74">
        <f t="shared" si="183"/>
        <v>0</v>
      </c>
      <c r="L1318" s="74">
        <f>genset!G54</f>
        <v>75</v>
      </c>
      <c r="M1318" s="74">
        <f t="shared" si="184"/>
        <v>78300</v>
      </c>
      <c r="N1318" s="74">
        <f t="shared" si="185"/>
        <v>75</v>
      </c>
      <c r="O1318" s="74">
        <f t="shared" si="186"/>
        <v>78300</v>
      </c>
      <c r="P1318" s="74">
        <f t="shared" si="187"/>
        <v>75</v>
      </c>
      <c r="Q1318" s="74">
        <f t="shared" si="188"/>
        <v>78300</v>
      </c>
    </row>
    <row r="1319" spans="1:17" ht="47.25" hidden="1" customHeight="1">
      <c r="A1319" s="83"/>
      <c r="B1319" s="72">
        <f t="shared" si="180"/>
        <v>0</v>
      </c>
      <c r="C1319" s="82" t="s">
        <v>6207</v>
      </c>
      <c r="D1319" s="1232"/>
      <c r="E1319" s="84"/>
      <c r="F1319" s="84"/>
      <c r="G1319" s="74">
        <f t="shared" si="181"/>
        <v>0</v>
      </c>
      <c r="H1319" s="74"/>
      <c r="I1319" s="74">
        <f t="shared" si="182"/>
        <v>0</v>
      </c>
      <c r="J1319" s="74"/>
      <c r="K1319" s="74">
        <f t="shared" si="183"/>
        <v>0</v>
      </c>
      <c r="L1319" s="74"/>
      <c r="M1319" s="74">
        <f t="shared" si="184"/>
        <v>0</v>
      </c>
      <c r="N1319" s="74">
        <f t="shared" si="185"/>
        <v>0</v>
      </c>
      <c r="O1319" s="74">
        <f t="shared" si="186"/>
        <v>0</v>
      </c>
      <c r="P1319" s="74">
        <f t="shared" si="187"/>
        <v>0</v>
      </c>
      <c r="Q1319" s="74">
        <f t="shared" si="188"/>
        <v>0</v>
      </c>
    </row>
    <row r="1320" spans="1:17" ht="114" customHeight="1">
      <c r="A1320" s="83"/>
      <c r="B1320" s="72">
        <f t="shared" si="180"/>
        <v>0</v>
      </c>
      <c r="C1320" s="1435" t="s">
        <v>6156</v>
      </c>
      <c r="D1320" s="1232"/>
      <c r="E1320" s="84"/>
      <c r="F1320" s="84"/>
      <c r="G1320" s="74">
        <f t="shared" si="181"/>
        <v>0</v>
      </c>
      <c r="H1320" s="74"/>
      <c r="I1320" s="74">
        <f t="shared" si="182"/>
        <v>0</v>
      </c>
      <c r="J1320" s="74"/>
      <c r="K1320" s="74">
        <f t="shared" si="183"/>
        <v>0</v>
      </c>
      <c r="L1320" s="74"/>
      <c r="M1320" s="74">
        <f t="shared" si="184"/>
        <v>0</v>
      </c>
      <c r="N1320" s="74">
        <f t="shared" si="185"/>
        <v>0</v>
      </c>
      <c r="O1320" s="74">
        <f t="shared" si="186"/>
        <v>0</v>
      </c>
      <c r="P1320" s="74">
        <f t="shared" si="187"/>
        <v>0</v>
      </c>
      <c r="Q1320" s="74">
        <f t="shared" si="188"/>
        <v>0</v>
      </c>
    </row>
    <row r="1321" spans="1:17" ht="66" customHeight="1">
      <c r="A1321" s="83"/>
      <c r="B1321" s="72">
        <f t="shared" si="180"/>
        <v>4</v>
      </c>
      <c r="C1321" s="82" t="s">
        <v>6220</v>
      </c>
      <c r="D1321" s="1232">
        <v>595</v>
      </c>
      <c r="E1321" s="84" t="s">
        <v>41</v>
      </c>
      <c r="F1321" s="84"/>
      <c r="G1321" s="74">
        <f t="shared" si="181"/>
        <v>0</v>
      </c>
      <c r="H1321" s="74"/>
      <c r="I1321" s="74">
        <f t="shared" si="182"/>
        <v>0</v>
      </c>
      <c r="J1321" s="74"/>
      <c r="K1321" s="74">
        <f t="shared" si="183"/>
        <v>0</v>
      </c>
      <c r="L1321" s="74">
        <f>genset!G56</f>
        <v>4</v>
      </c>
      <c r="M1321" s="74">
        <f t="shared" si="184"/>
        <v>2380</v>
      </c>
      <c r="N1321" s="74">
        <f t="shared" si="185"/>
        <v>4</v>
      </c>
      <c r="O1321" s="74">
        <f t="shared" si="186"/>
        <v>2380</v>
      </c>
      <c r="P1321" s="74">
        <f t="shared" si="187"/>
        <v>4</v>
      </c>
      <c r="Q1321" s="74">
        <f t="shared" si="188"/>
        <v>2380</v>
      </c>
    </row>
    <row r="1322" spans="1:17" ht="116.25">
      <c r="A1322" s="83"/>
      <c r="B1322" s="72">
        <f t="shared" si="180"/>
        <v>0</v>
      </c>
      <c r="C1322" s="1435" t="s">
        <v>6162</v>
      </c>
      <c r="D1322" s="1232"/>
      <c r="E1322" s="84"/>
      <c r="F1322" s="84"/>
      <c r="G1322" s="74">
        <f t="shared" si="181"/>
        <v>0</v>
      </c>
      <c r="H1322" s="74"/>
      <c r="I1322" s="74">
        <f t="shared" si="182"/>
        <v>0</v>
      </c>
      <c r="J1322" s="74"/>
      <c r="K1322" s="74">
        <f t="shared" si="183"/>
        <v>0</v>
      </c>
      <c r="L1322" s="74"/>
      <c r="M1322" s="74">
        <f t="shared" si="184"/>
        <v>0</v>
      </c>
      <c r="N1322" s="74">
        <f t="shared" si="185"/>
        <v>0</v>
      </c>
      <c r="O1322" s="74">
        <f t="shared" si="186"/>
        <v>0</v>
      </c>
      <c r="P1322" s="74">
        <f t="shared" si="187"/>
        <v>0</v>
      </c>
      <c r="Q1322" s="74">
        <f t="shared" si="188"/>
        <v>0</v>
      </c>
    </row>
    <row r="1323" spans="1:17" ht="46.5">
      <c r="A1323" s="83"/>
      <c r="B1323" s="72">
        <f t="shared" si="180"/>
        <v>4</v>
      </c>
      <c r="C1323" s="82" t="s">
        <v>7578</v>
      </c>
      <c r="D1323" s="1232">
        <v>509</v>
      </c>
      <c r="E1323" s="84" t="s">
        <v>41</v>
      </c>
      <c r="F1323" s="84"/>
      <c r="G1323" s="74">
        <f t="shared" si="181"/>
        <v>0</v>
      </c>
      <c r="H1323" s="74"/>
      <c r="I1323" s="74">
        <f t="shared" si="182"/>
        <v>0</v>
      </c>
      <c r="J1323" s="74"/>
      <c r="K1323" s="74">
        <f t="shared" si="183"/>
        <v>0</v>
      </c>
      <c r="L1323" s="74">
        <f>genset!G59</f>
        <v>4</v>
      </c>
      <c r="M1323" s="74">
        <f t="shared" si="184"/>
        <v>2036</v>
      </c>
      <c r="N1323" s="74">
        <f t="shared" si="185"/>
        <v>4</v>
      </c>
      <c r="O1323" s="74">
        <f t="shared" si="186"/>
        <v>2036</v>
      </c>
      <c r="P1323" s="74">
        <f t="shared" si="187"/>
        <v>4</v>
      </c>
      <c r="Q1323" s="74">
        <f t="shared" si="188"/>
        <v>2036</v>
      </c>
    </row>
    <row r="1324" spans="1:17" ht="36" customHeight="1">
      <c r="A1324" s="83"/>
      <c r="B1324" s="72">
        <f t="shared" si="180"/>
        <v>0</v>
      </c>
      <c r="C1324" s="1237" t="s">
        <v>6221</v>
      </c>
      <c r="D1324" s="1232"/>
      <c r="E1324" s="84"/>
      <c r="F1324" s="84"/>
      <c r="G1324" s="74">
        <f t="shared" si="181"/>
        <v>0</v>
      </c>
      <c r="H1324" s="74"/>
      <c r="I1324" s="74">
        <f t="shared" si="182"/>
        <v>0</v>
      </c>
      <c r="J1324" s="74"/>
      <c r="K1324" s="74">
        <f t="shared" si="183"/>
        <v>0</v>
      </c>
      <c r="L1324" s="74"/>
      <c r="M1324" s="74">
        <f t="shared" si="184"/>
        <v>0</v>
      </c>
      <c r="N1324" s="74">
        <f t="shared" si="185"/>
        <v>0</v>
      </c>
      <c r="O1324" s="74">
        <f t="shared" si="186"/>
        <v>0</v>
      </c>
      <c r="P1324" s="74">
        <f t="shared" si="187"/>
        <v>0</v>
      </c>
      <c r="Q1324" s="74">
        <f t="shared" si="188"/>
        <v>0</v>
      </c>
    </row>
    <row r="1325" spans="1:17" ht="112.15" customHeight="1">
      <c r="A1325" s="83"/>
      <c r="B1325" s="72">
        <f t="shared" si="180"/>
        <v>50</v>
      </c>
      <c r="C1325" s="1227" t="s">
        <v>6222</v>
      </c>
      <c r="D1325" s="1232">
        <v>300</v>
      </c>
      <c r="E1325" s="84" t="s">
        <v>2092</v>
      </c>
      <c r="F1325" s="84"/>
      <c r="G1325" s="74">
        <f t="shared" si="181"/>
        <v>0</v>
      </c>
      <c r="H1325" s="74"/>
      <c r="I1325" s="74">
        <f t="shared" si="182"/>
        <v>0</v>
      </c>
      <c r="J1325" s="74"/>
      <c r="K1325" s="74">
        <f t="shared" si="183"/>
        <v>0</v>
      </c>
      <c r="L1325" s="74">
        <f>genset!G73</f>
        <v>50</v>
      </c>
      <c r="M1325" s="74">
        <f t="shared" si="184"/>
        <v>15000</v>
      </c>
      <c r="N1325" s="74">
        <f t="shared" si="185"/>
        <v>50</v>
      </c>
      <c r="O1325" s="74">
        <f t="shared" si="186"/>
        <v>15000</v>
      </c>
      <c r="P1325" s="74">
        <f t="shared" si="187"/>
        <v>50</v>
      </c>
      <c r="Q1325" s="74">
        <f t="shared" si="188"/>
        <v>15000</v>
      </c>
    </row>
    <row r="1326" spans="1:17" ht="49.15" hidden="1" customHeight="1">
      <c r="A1326" s="83"/>
      <c r="B1326" s="72"/>
      <c r="C1326" s="1237" t="s">
        <v>6223</v>
      </c>
      <c r="D1326" s="1232"/>
      <c r="E1326" s="84"/>
      <c r="F1326" s="84"/>
      <c r="G1326" s="74">
        <f t="shared" si="181"/>
        <v>0</v>
      </c>
      <c r="H1326" s="74"/>
      <c r="I1326" s="74">
        <f t="shared" si="182"/>
        <v>0</v>
      </c>
      <c r="J1326" s="74"/>
      <c r="K1326" s="74">
        <f t="shared" si="183"/>
        <v>0</v>
      </c>
      <c r="L1326" s="74"/>
      <c r="M1326" s="74">
        <f t="shared" si="184"/>
        <v>0</v>
      </c>
      <c r="N1326" s="74">
        <f t="shared" si="185"/>
        <v>0</v>
      </c>
      <c r="O1326" s="74">
        <f t="shared" si="186"/>
        <v>0</v>
      </c>
      <c r="P1326" s="74">
        <f t="shared" si="187"/>
        <v>0</v>
      </c>
      <c r="Q1326" s="74">
        <f t="shared" si="188"/>
        <v>0</v>
      </c>
    </row>
    <row r="1327" spans="1:17" ht="184.15" hidden="1" customHeight="1">
      <c r="A1327" s="83"/>
      <c r="B1327" s="72"/>
      <c r="C1327" s="1227" t="s">
        <v>6224</v>
      </c>
      <c r="D1327" s="1232">
        <v>300000</v>
      </c>
      <c r="E1327" s="84" t="s">
        <v>2092</v>
      </c>
      <c r="F1327" s="84"/>
      <c r="G1327" s="74">
        <f t="shared" si="181"/>
        <v>0</v>
      </c>
      <c r="H1327" s="74"/>
      <c r="I1327" s="74">
        <f t="shared" si="182"/>
        <v>0</v>
      </c>
      <c r="J1327" s="74"/>
      <c r="K1327" s="74">
        <f t="shared" si="183"/>
        <v>0</v>
      </c>
      <c r="L1327" s="74"/>
      <c r="M1327" s="74">
        <f t="shared" si="184"/>
        <v>0</v>
      </c>
      <c r="N1327" s="74">
        <f t="shared" si="185"/>
        <v>0</v>
      </c>
      <c r="O1327" s="74">
        <f t="shared" si="186"/>
        <v>0</v>
      </c>
      <c r="P1327" s="74">
        <f t="shared" si="187"/>
        <v>0</v>
      </c>
      <c r="Q1327" s="74">
        <f t="shared" si="188"/>
        <v>0</v>
      </c>
    </row>
    <row r="1328" spans="1:17" ht="23.25" hidden="1" customHeight="1">
      <c r="A1328" s="83"/>
      <c r="B1328" s="72"/>
      <c r="C1328" s="82" t="s">
        <v>6207</v>
      </c>
      <c r="D1328" s="1232"/>
      <c r="E1328" s="84" t="s">
        <v>41</v>
      </c>
      <c r="F1328" s="84"/>
      <c r="G1328" s="74">
        <f t="shared" si="181"/>
        <v>0</v>
      </c>
      <c r="H1328" s="74"/>
      <c r="I1328" s="74">
        <f t="shared" si="182"/>
        <v>0</v>
      </c>
      <c r="J1328" s="74"/>
      <c r="K1328" s="74">
        <f t="shared" si="183"/>
        <v>0</v>
      </c>
      <c r="L1328" s="74"/>
      <c r="M1328" s="74">
        <f t="shared" si="184"/>
        <v>0</v>
      </c>
      <c r="N1328" s="74">
        <f t="shared" si="185"/>
        <v>0</v>
      </c>
      <c r="O1328" s="74">
        <f t="shared" si="186"/>
        <v>0</v>
      </c>
      <c r="P1328" s="74">
        <f t="shared" si="187"/>
        <v>0</v>
      </c>
      <c r="Q1328" s="74">
        <f t="shared" si="188"/>
        <v>0</v>
      </c>
    </row>
    <row r="1329" spans="1:17" ht="40.9" hidden="1" customHeight="1">
      <c r="A1329" s="83"/>
      <c r="B1329" s="72"/>
      <c r="C1329" s="1435" t="s">
        <v>6225</v>
      </c>
      <c r="D1329" s="1232"/>
      <c r="E1329" s="84"/>
      <c r="F1329" s="84"/>
      <c r="G1329" s="74">
        <f t="shared" si="181"/>
        <v>0</v>
      </c>
      <c r="H1329" s="74"/>
      <c r="I1329" s="74">
        <f t="shared" si="182"/>
        <v>0</v>
      </c>
      <c r="J1329" s="74"/>
      <c r="K1329" s="74">
        <f t="shared" si="183"/>
        <v>0</v>
      </c>
      <c r="L1329" s="74"/>
      <c r="M1329" s="74">
        <f t="shared" si="184"/>
        <v>0</v>
      </c>
      <c r="N1329" s="74">
        <f t="shared" si="185"/>
        <v>0</v>
      </c>
      <c r="O1329" s="74">
        <f t="shared" si="186"/>
        <v>0</v>
      </c>
      <c r="P1329" s="74">
        <f t="shared" si="187"/>
        <v>0</v>
      </c>
      <c r="Q1329" s="74">
        <f t="shared" si="188"/>
        <v>0</v>
      </c>
    </row>
    <row r="1330" spans="1:17" ht="134.44999999999999" hidden="1" customHeight="1">
      <c r="A1330" s="83"/>
      <c r="B1330" s="72"/>
      <c r="C1330" s="82" t="s">
        <v>6226</v>
      </c>
      <c r="D1330" s="1232">
        <v>51890</v>
      </c>
      <c r="E1330" s="84" t="s">
        <v>41</v>
      </c>
      <c r="F1330" s="84"/>
      <c r="G1330" s="74">
        <f t="shared" si="181"/>
        <v>0</v>
      </c>
      <c r="H1330" s="74"/>
      <c r="I1330" s="74">
        <f t="shared" si="182"/>
        <v>0</v>
      </c>
      <c r="J1330" s="74"/>
      <c r="K1330" s="74">
        <f t="shared" si="183"/>
        <v>0</v>
      </c>
      <c r="L1330" s="74"/>
      <c r="M1330" s="74">
        <f t="shared" si="184"/>
        <v>0</v>
      </c>
      <c r="N1330" s="74">
        <f t="shared" si="185"/>
        <v>0</v>
      </c>
      <c r="O1330" s="74">
        <f t="shared" si="186"/>
        <v>0</v>
      </c>
      <c r="P1330" s="74">
        <f t="shared" si="187"/>
        <v>0</v>
      </c>
      <c r="Q1330" s="74">
        <f t="shared" si="188"/>
        <v>0</v>
      </c>
    </row>
    <row r="1331" spans="1:17" ht="42.6" hidden="1" customHeight="1">
      <c r="A1331" s="83"/>
      <c r="B1331" s="72"/>
      <c r="C1331" s="82" t="s">
        <v>6227</v>
      </c>
      <c r="D1331" s="1232">
        <v>5000</v>
      </c>
      <c r="E1331" s="84" t="s">
        <v>145</v>
      </c>
      <c r="F1331" s="84"/>
      <c r="G1331" s="74">
        <f t="shared" si="181"/>
        <v>0</v>
      </c>
      <c r="H1331" s="74"/>
      <c r="I1331" s="74">
        <f t="shared" si="182"/>
        <v>0</v>
      </c>
      <c r="J1331" s="74"/>
      <c r="K1331" s="74">
        <f t="shared" si="183"/>
        <v>0</v>
      </c>
      <c r="L1331" s="74"/>
      <c r="M1331" s="74">
        <f t="shared" si="184"/>
        <v>0</v>
      </c>
      <c r="N1331" s="74">
        <f t="shared" si="185"/>
        <v>0</v>
      </c>
      <c r="O1331" s="74">
        <f t="shared" si="186"/>
        <v>0</v>
      </c>
      <c r="P1331" s="74">
        <f t="shared" si="187"/>
        <v>0</v>
      </c>
      <c r="Q1331" s="74">
        <f t="shared" si="188"/>
        <v>0</v>
      </c>
    </row>
    <row r="1332" spans="1:17" ht="42.6" hidden="1" customHeight="1">
      <c r="A1332" s="83"/>
      <c r="B1332" s="72"/>
      <c r="C1332" s="82" t="s">
        <v>6228</v>
      </c>
      <c r="D1332" s="1232">
        <v>850</v>
      </c>
      <c r="E1332" s="84" t="s">
        <v>41</v>
      </c>
      <c r="F1332" s="84"/>
      <c r="G1332" s="74">
        <f t="shared" si="181"/>
        <v>0</v>
      </c>
      <c r="H1332" s="74"/>
      <c r="I1332" s="74">
        <f t="shared" si="182"/>
        <v>0</v>
      </c>
      <c r="J1332" s="74"/>
      <c r="K1332" s="74">
        <f t="shared" si="183"/>
        <v>0</v>
      </c>
      <c r="L1332" s="74"/>
      <c r="M1332" s="74">
        <f t="shared" si="184"/>
        <v>0</v>
      </c>
      <c r="N1332" s="74">
        <f t="shared" si="185"/>
        <v>0</v>
      </c>
      <c r="O1332" s="74">
        <f t="shared" si="186"/>
        <v>0</v>
      </c>
      <c r="P1332" s="74">
        <f t="shared" si="187"/>
        <v>0</v>
      </c>
      <c r="Q1332" s="74">
        <f t="shared" si="188"/>
        <v>0</v>
      </c>
    </row>
    <row r="1333" spans="1:17" ht="62.45" hidden="1" customHeight="1">
      <c r="A1333" s="83"/>
      <c r="B1333" s="72"/>
      <c r="C1333" s="82" t="s">
        <v>6229</v>
      </c>
      <c r="D1333" s="1232">
        <v>48</v>
      </c>
      <c r="E1333" s="84" t="s">
        <v>6230</v>
      </c>
      <c r="F1333" s="84"/>
      <c r="G1333" s="74">
        <f t="shared" si="181"/>
        <v>0</v>
      </c>
      <c r="H1333" s="74"/>
      <c r="I1333" s="74">
        <f t="shared" si="182"/>
        <v>0</v>
      </c>
      <c r="J1333" s="74"/>
      <c r="K1333" s="74">
        <f t="shared" si="183"/>
        <v>0</v>
      </c>
      <c r="L1333" s="74"/>
      <c r="M1333" s="74">
        <f t="shared" si="184"/>
        <v>0</v>
      </c>
      <c r="N1333" s="74">
        <f t="shared" si="185"/>
        <v>0</v>
      </c>
      <c r="O1333" s="74">
        <f t="shared" si="186"/>
        <v>0</v>
      </c>
      <c r="P1333" s="74">
        <f t="shared" si="187"/>
        <v>0</v>
      </c>
      <c r="Q1333" s="74">
        <f t="shared" si="188"/>
        <v>0</v>
      </c>
    </row>
    <row r="1334" spans="1:17" ht="46.5" hidden="1" customHeight="1">
      <c r="A1334" s="83"/>
      <c r="B1334" s="72"/>
      <c r="C1334" s="82" t="s">
        <v>6231</v>
      </c>
      <c r="D1334" s="1232">
        <v>4000</v>
      </c>
      <c r="E1334" s="84" t="s">
        <v>41</v>
      </c>
      <c r="F1334" s="84"/>
      <c r="G1334" s="74">
        <f t="shared" si="181"/>
        <v>0</v>
      </c>
      <c r="H1334" s="74"/>
      <c r="I1334" s="74">
        <f t="shared" si="182"/>
        <v>0</v>
      </c>
      <c r="J1334" s="74"/>
      <c r="K1334" s="74">
        <f t="shared" si="183"/>
        <v>0</v>
      </c>
      <c r="L1334" s="74"/>
      <c r="M1334" s="74">
        <f t="shared" si="184"/>
        <v>0</v>
      </c>
      <c r="N1334" s="74">
        <f t="shared" si="185"/>
        <v>0</v>
      </c>
      <c r="O1334" s="74">
        <f t="shared" si="186"/>
        <v>0</v>
      </c>
      <c r="P1334" s="74">
        <f t="shared" si="187"/>
        <v>0</v>
      </c>
      <c r="Q1334" s="74">
        <f t="shared" si="188"/>
        <v>0</v>
      </c>
    </row>
    <row r="1335" spans="1:17" ht="48.6" hidden="1" customHeight="1">
      <c r="A1335" s="83"/>
      <c r="B1335" s="72"/>
      <c r="C1335" s="1435" t="s">
        <v>6232</v>
      </c>
      <c r="D1335" s="1232"/>
      <c r="E1335" s="84"/>
      <c r="F1335" s="84"/>
      <c r="G1335" s="74">
        <f t="shared" si="181"/>
        <v>0</v>
      </c>
      <c r="H1335" s="74"/>
      <c r="I1335" s="74">
        <f t="shared" si="182"/>
        <v>0</v>
      </c>
      <c r="J1335" s="74"/>
      <c r="K1335" s="74">
        <f t="shared" si="183"/>
        <v>0</v>
      </c>
      <c r="L1335" s="74"/>
      <c r="M1335" s="74">
        <f t="shared" si="184"/>
        <v>0</v>
      </c>
      <c r="N1335" s="74">
        <f t="shared" si="185"/>
        <v>0</v>
      </c>
      <c r="O1335" s="74">
        <f t="shared" si="186"/>
        <v>0</v>
      </c>
      <c r="P1335" s="74">
        <f t="shared" si="187"/>
        <v>0</v>
      </c>
      <c r="Q1335" s="74">
        <f t="shared" si="188"/>
        <v>0</v>
      </c>
    </row>
    <row r="1336" spans="1:17" ht="78" hidden="1" customHeight="1">
      <c r="A1336" s="83"/>
      <c r="B1336" s="72"/>
      <c r="C1336" s="82" t="s">
        <v>6233</v>
      </c>
      <c r="D1336" s="1232">
        <v>9250</v>
      </c>
      <c r="E1336" s="84" t="s">
        <v>41</v>
      </c>
      <c r="F1336" s="84"/>
      <c r="G1336" s="74">
        <f t="shared" si="181"/>
        <v>0</v>
      </c>
      <c r="H1336" s="74"/>
      <c r="I1336" s="74">
        <f t="shared" si="182"/>
        <v>0</v>
      </c>
      <c r="J1336" s="74"/>
      <c r="K1336" s="74">
        <f t="shared" si="183"/>
        <v>0</v>
      </c>
      <c r="L1336" s="74"/>
      <c r="M1336" s="74">
        <f t="shared" si="184"/>
        <v>0</v>
      </c>
      <c r="N1336" s="74">
        <f t="shared" si="185"/>
        <v>0</v>
      </c>
      <c r="O1336" s="74">
        <f t="shared" si="186"/>
        <v>0</v>
      </c>
      <c r="P1336" s="74">
        <f t="shared" si="187"/>
        <v>0</v>
      </c>
      <c r="Q1336" s="74">
        <f t="shared" si="188"/>
        <v>0</v>
      </c>
    </row>
    <row r="1337" spans="1:17" ht="70.900000000000006" hidden="1" customHeight="1">
      <c r="A1337" s="83"/>
      <c r="B1337" s="72"/>
      <c r="C1337" s="82" t="s">
        <v>6234</v>
      </c>
      <c r="D1337" s="1232">
        <v>6500</v>
      </c>
      <c r="E1337" s="84" t="s">
        <v>41</v>
      </c>
      <c r="F1337" s="84"/>
      <c r="G1337" s="74">
        <f t="shared" si="181"/>
        <v>0</v>
      </c>
      <c r="H1337" s="74"/>
      <c r="I1337" s="74">
        <f t="shared" si="182"/>
        <v>0</v>
      </c>
      <c r="J1337" s="74"/>
      <c r="K1337" s="74">
        <f t="shared" si="183"/>
        <v>0</v>
      </c>
      <c r="L1337" s="74"/>
      <c r="M1337" s="74">
        <f t="shared" si="184"/>
        <v>0</v>
      </c>
      <c r="N1337" s="74">
        <f t="shared" si="185"/>
        <v>0</v>
      </c>
      <c r="O1337" s="74">
        <f t="shared" si="186"/>
        <v>0</v>
      </c>
      <c r="P1337" s="74">
        <f t="shared" si="187"/>
        <v>0</v>
      </c>
      <c r="Q1337" s="74">
        <f t="shared" si="188"/>
        <v>0</v>
      </c>
    </row>
    <row r="1338" spans="1:17" ht="49.5" hidden="1" customHeight="1">
      <c r="A1338" s="83"/>
      <c r="B1338" s="72"/>
      <c r="C1338" s="82" t="s">
        <v>6235</v>
      </c>
      <c r="D1338" s="1232">
        <v>700</v>
      </c>
      <c r="E1338" s="84" t="s">
        <v>41</v>
      </c>
      <c r="F1338" s="84"/>
      <c r="G1338" s="74">
        <f t="shared" si="181"/>
        <v>0</v>
      </c>
      <c r="H1338" s="74"/>
      <c r="I1338" s="74">
        <f t="shared" si="182"/>
        <v>0</v>
      </c>
      <c r="J1338" s="74"/>
      <c r="K1338" s="74">
        <f t="shared" si="183"/>
        <v>0</v>
      </c>
      <c r="L1338" s="74"/>
      <c r="M1338" s="74">
        <f t="shared" si="184"/>
        <v>0</v>
      </c>
      <c r="N1338" s="74">
        <f t="shared" si="185"/>
        <v>0</v>
      </c>
      <c r="O1338" s="74">
        <f t="shared" si="186"/>
        <v>0</v>
      </c>
      <c r="P1338" s="74">
        <f t="shared" si="187"/>
        <v>0</v>
      </c>
      <c r="Q1338" s="74">
        <f t="shared" si="188"/>
        <v>0</v>
      </c>
    </row>
    <row r="1339" spans="1:17" ht="49.5" hidden="1" customHeight="1">
      <c r="A1339" s="83"/>
      <c r="B1339" s="72"/>
      <c r="C1339" s="82" t="s">
        <v>6236</v>
      </c>
      <c r="D1339" s="1232">
        <v>900</v>
      </c>
      <c r="E1339" s="84" t="s">
        <v>41</v>
      </c>
      <c r="F1339" s="84"/>
      <c r="G1339" s="74">
        <f t="shared" si="181"/>
        <v>0</v>
      </c>
      <c r="H1339" s="74"/>
      <c r="I1339" s="74">
        <f t="shared" si="182"/>
        <v>0</v>
      </c>
      <c r="J1339" s="74"/>
      <c r="K1339" s="74">
        <f t="shared" si="183"/>
        <v>0</v>
      </c>
      <c r="L1339" s="74"/>
      <c r="M1339" s="74">
        <f t="shared" si="184"/>
        <v>0</v>
      </c>
      <c r="N1339" s="74">
        <f t="shared" si="185"/>
        <v>0</v>
      </c>
      <c r="O1339" s="74">
        <f t="shared" si="186"/>
        <v>0</v>
      </c>
      <c r="P1339" s="74">
        <f t="shared" si="187"/>
        <v>0</v>
      </c>
      <c r="Q1339" s="74">
        <f t="shared" si="188"/>
        <v>0</v>
      </c>
    </row>
    <row r="1340" spans="1:17" ht="61.15" hidden="1" customHeight="1">
      <c r="A1340" s="83"/>
      <c r="B1340" s="72"/>
      <c r="C1340" s="82" t="s">
        <v>6237</v>
      </c>
      <c r="D1340" s="1232">
        <v>37400</v>
      </c>
      <c r="E1340" s="84" t="s">
        <v>41</v>
      </c>
      <c r="F1340" s="84"/>
      <c r="G1340" s="74">
        <f t="shared" si="181"/>
        <v>0</v>
      </c>
      <c r="H1340" s="74"/>
      <c r="I1340" s="74">
        <f t="shared" si="182"/>
        <v>0</v>
      </c>
      <c r="J1340" s="74"/>
      <c r="K1340" s="74">
        <f t="shared" si="183"/>
        <v>0</v>
      </c>
      <c r="L1340" s="74"/>
      <c r="M1340" s="74">
        <f t="shared" si="184"/>
        <v>0</v>
      </c>
      <c r="N1340" s="74">
        <f t="shared" si="185"/>
        <v>0</v>
      </c>
      <c r="O1340" s="74">
        <f t="shared" si="186"/>
        <v>0</v>
      </c>
      <c r="P1340" s="74">
        <f t="shared" si="187"/>
        <v>0</v>
      </c>
      <c r="Q1340" s="74">
        <f t="shared" si="188"/>
        <v>0</v>
      </c>
    </row>
    <row r="1341" spans="1:17" ht="61.15" hidden="1" customHeight="1">
      <c r="A1341" s="83"/>
      <c r="B1341" s="72"/>
      <c r="C1341" s="82" t="s">
        <v>6238</v>
      </c>
      <c r="D1341" s="1232">
        <v>190</v>
      </c>
      <c r="E1341" s="84" t="s">
        <v>41</v>
      </c>
      <c r="F1341" s="84"/>
      <c r="G1341" s="74">
        <f t="shared" si="181"/>
        <v>0</v>
      </c>
      <c r="H1341" s="74"/>
      <c r="I1341" s="74">
        <f t="shared" si="182"/>
        <v>0</v>
      </c>
      <c r="J1341" s="74"/>
      <c r="K1341" s="74">
        <f t="shared" si="183"/>
        <v>0</v>
      </c>
      <c r="L1341" s="74"/>
      <c r="M1341" s="74">
        <f t="shared" si="184"/>
        <v>0</v>
      </c>
      <c r="N1341" s="74">
        <f t="shared" si="185"/>
        <v>0</v>
      </c>
      <c r="O1341" s="74">
        <f t="shared" si="186"/>
        <v>0</v>
      </c>
      <c r="P1341" s="74">
        <f t="shared" si="187"/>
        <v>0</v>
      </c>
      <c r="Q1341" s="74">
        <f t="shared" si="188"/>
        <v>0</v>
      </c>
    </row>
    <row r="1342" spans="1:17" ht="61.15" hidden="1" customHeight="1">
      <c r="A1342" s="83"/>
      <c r="B1342" s="72"/>
      <c r="C1342" s="82" t="s">
        <v>6239</v>
      </c>
      <c r="D1342" s="1232">
        <v>230</v>
      </c>
      <c r="E1342" s="84" t="s">
        <v>41</v>
      </c>
      <c r="F1342" s="84"/>
      <c r="G1342" s="74">
        <f t="shared" si="181"/>
        <v>0</v>
      </c>
      <c r="H1342" s="74"/>
      <c r="I1342" s="74">
        <f t="shared" si="182"/>
        <v>0</v>
      </c>
      <c r="J1342" s="74"/>
      <c r="K1342" s="74">
        <f t="shared" si="183"/>
        <v>0</v>
      </c>
      <c r="L1342" s="74"/>
      <c r="M1342" s="74">
        <f t="shared" si="184"/>
        <v>0</v>
      </c>
      <c r="N1342" s="74">
        <f t="shared" si="185"/>
        <v>0</v>
      </c>
      <c r="O1342" s="74">
        <f t="shared" si="186"/>
        <v>0</v>
      </c>
      <c r="P1342" s="74">
        <f t="shared" si="187"/>
        <v>0</v>
      </c>
      <c r="Q1342" s="74">
        <f t="shared" si="188"/>
        <v>0</v>
      </c>
    </row>
    <row r="1343" spans="1:17" ht="49.5" hidden="1" customHeight="1">
      <c r="A1343" s="83"/>
      <c r="B1343" s="72"/>
      <c r="C1343" s="82" t="s">
        <v>6240</v>
      </c>
      <c r="D1343" s="1232">
        <v>275</v>
      </c>
      <c r="E1343" s="84" t="s">
        <v>41</v>
      </c>
      <c r="F1343" s="84"/>
      <c r="G1343" s="74">
        <f t="shared" si="181"/>
        <v>0</v>
      </c>
      <c r="H1343" s="74"/>
      <c r="I1343" s="74">
        <f t="shared" si="182"/>
        <v>0</v>
      </c>
      <c r="J1343" s="74"/>
      <c r="K1343" s="74">
        <f t="shared" si="183"/>
        <v>0</v>
      </c>
      <c r="L1343" s="74"/>
      <c r="M1343" s="74">
        <f t="shared" si="184"/>
        <v>0</v>
      </c>
      <c r="N1343" s="74">
        <f t="shared" si="185"/>
        <v>0</v>
      </c>
      <c r="O1343" s="74">
        <f t="shared" si="186"/>
        <v>0</v>
      </c>
      <c r="P1343" s="74">
        <f t="shared" si="187"/>
        <v>0</v>
      </c>
      <c r="Q1343" s="74">
        <f t="shared" si="188"/>
        <v>0</v>
      </c>
    </row>
    <row r="1344" spans="1:17" ht="49.5" hidden="1" customHeight="1">
      <c r="A1344" s="83"/>
      <c r="B1344" s="72"/>
      <c r="C1344" s="82" t="s">
        <v>6241</v>
      </c>
      <c r="D1344" s="1232">
        <v>310</v>
      </c>
      <c r="E1344" s="84" t="s">
        <v>41</v>
      </c>
      <c r="F1344" s="84"/>
      <c r="G1344" s="74">
        <f t="shared" si="181"/>
        <v>0</v>
      </c>
      <c r="H1344" s="74"/>
      <c r="I1344" s="74">
        <f t="shared" si="182"/>
        <v>0</v>
      </c>
      <c r="J1344" s="74"/>
      <c r="K1344" s="74">
        <f t="shared" si="183"/>
        <v>0</v>
      </c>
      <c r="L1344" s="74"/>
      <c r="M1344" s="74">
        <f t="shared" si="184"/>
        <v>0</v>
      </c>
      <c r="N1344" s="74">
        <f t="shared" si="185"/>
        <v>0</v>
      </c>
      <c r="O1344" s="74">
        <f t="shared" si="186"/>
        <v>0</v>
      </c>
      <c r="P1344" s="74">
        <f t="shared" si="187"/>
        <v>0</v>
      </c>
      <c r="Q1344" s="74">
        <f t="shared" si="188"/>
        <v>0</v>
      </c>
    </row>
    <row r="1345" spans="1:17" ht="90" hidden="1" customHeight="1">
      <c r="A1345" s="83"/>
      <c r="B1345" s="72"/>
      <c r="C1345" s="82" t="s">
        <v>6242</v>
      </c>
      <c r="D1345" s="1232">
        <v>74</v>
      </c>
      <c r="E1345" s="84" t="s">
        <v>6230</v>
      </c>
      <c r="F1345" s="84"/>
      <c r="G1345" s="74">
        <f t="shared" si="181"/>
        <v>0</v>
      </c>
      <c r="H1345" s="74"/>
      <c r="I1345" s="74">
        <f t="shared" si="182"/>
        <v>0</v>
      </c>
      <c r="J1345" s="74"/>
      <c r="K1345" s="74">
        <f t="shared" si="183"/>
        <v>0</v>
      </c>
      <c r="L1345" s="74"/>
      <c r="M1345" s="74">
        <f t="shared" si="184"/>
        <v>0</v>
      </c>
      <c r="N1345" s="74">
        <f t="shared" si="185"/>
        <v>0</v>
      </c>
      <c r="O1345" s="74">
        <f t="shared" si="186"/>
        <v>0</v>
      </c>
      <c r="P1345" s="74">
        <f t="shared" si="187"/>
        <v>0</v>
      </c>
      <c r="Q1345" s="74">
        <f t="shared" si="188"/>
        <v>0</v>
      </c>
    </row>
    <row r="1346" spans="1:17" ht="49.5" hidden="1" customHeight="1">
      <c r="A1346" s="83"/>
      <c r="B1346" s="72"/>
      <c r="C1346" s="82" t="s">
        <v>6243</v>
      </c>
      <c r="D1346" s="1232">
        <v>12000</v>
      </c>
      <c r="E1346" s="84" t="s">
        <v>41</v>
      </c>
      <c r="F1346" s="84"/>
      <c r="G1346" s="74">
        <f t="shared" si="181"/>
        <v>0</v>
      </c>
      <c r="H1346" s="74"/>
      <c r="I1346" s="74">
        <f t="shared" si="182"/>
        <v>0</v>
      </c>
      <c r="J1346" s="74"/>
      <c r="K1346" s="74">
        <f t="shared" si="183"/>
        <v>0</v>
      </c>
      <c r="L1346" s="74"/>
      <c r="M1346" s="74">
        <f t="shared" si="184"/>
        <v>0</v>
      </c>
      <c r="N1346" s="74">
        <f t="shared" si="185"/>
        <v>0</v>
      </c>
      <c r="O1346" s="74">
        <f t="shared" si="186"/>
        <v>0</v>
      </c>
      <c r="P1346" s="74">
        <f t="shared" si="187"/>
        <v>0</v>
      </c>
      <c r="Q1346" s="74">
        <f t="shared" si="188"/>
        <v>0</v>
      </c>
    </row>
    <row r="1347" spans="1:17" ht="49.5" hidden="1" customHeight="1">
      <c r="A1347" s="83"/>
      <c r="B1347" s="72"/>
      <c r="C1347" s="82" t="s">
        <v>6244</v>
      </c>
      <c r="D1347" s="1232">
        <v>15000</v>
      </c>
      <c r="E1347" s="84" t="s">
        <v>49</v>
      </c>
      <c r="F1347" s="84"/>
      <c r="G1347" s="74">
        <f t="shared" si="181"/>
        <v>0</v>
      </c>
      <c r="H1347" s="74"/>
      <c r="I1347" s="74">
        <f t="shared" si="182"/>
        <v>0</v>
      </c>
      <c r="J1347" s="74"/>
      <c r="K1347" s="74">
        <f t="shared" si="183"/>
        <v>0</v>
      </c>
      <c r="L1347" s="74"/>
      <c r="M1347" s="74">
        <f t="shared" si="184"/>
        <v>0</v>
      </c>
      <c r="N1347" s="74">
        <f t="shared" si="185"/>
        <v>0</v>
      </c>
      <c r="O1347" s="74">
        <f t="shared" si="186"/>
        <v>0</v>
      </c>
      <c r="P1347" s="74">
        <f t="shared" si="187"/>
        <v>0</v>
      </c>
      <c r="Q1347" s="74">
        <f t="shared" si="188"/>
        <v>0</v>
      </c>
    </row>
    <row r="1348" spans="1:17" ht="49.5" hidden="1" customHeight="1">
      <c r="A1348" s="83"/>
      <c r="B1348" s="72"/>
      <c r="C1348" s="1435" t="s">
        <v>6245</v>
      </c>
      <c r="D1348" s="1232"/>
      <c r="E1348" s="84"/>
      <c r="F1348" s="84"/>
      <c r="G1348" s="74">
        <f t="shared" si="181"/>
        <v>0</v>
      </c>
      <c r="H1348" s="74"/>
      <c r="I1348" s="74">
        <f t="shared" si="182"/>
        <v>0</v>
      </c>
      <c r="J1348" s="74"/>
      <c r="K1348" s="74">
        <f t="shared" si="183"/>
        <v>0</v>
      </c>
      <c r="L1348" s="74"/>
      <c r="M1348" s="74">
        <f t="shared" si="184"/>
        <v>0</v>
      </c>
      <c r="N1348" s="74">
        <f t="shared" si="185"/>
        <v>0</v>
      </c>
      <c r="O1348" s="74">
        <f t="shared" si="186"/>
        <v>0</v>
      </c>
      <c r="P1348" s="74">
        <f t="shared" si="187"/>
        <v>0</v>
      </c>
      <c r="Q1348" s="74">
        <f t="shared" si="188"/>
        <v>0</v>
      </c>
    </row>
    <row r="1349" spans="1:17" ht="227.45" hidden="1" customHeight="1">
      <c r="A1349" s="83"/>
      <c r="B1349" s="72"/>
      <c r="C1349" s="1227" t="s">
        <v>6246</v>
      </c>
      <c r="D1349" s="1232">
        <v>7664</v>
      </c>
      <c r="E1349" s="84" t="s">
        <v>41</v>
      </c>
      <c r="F1349" s="84"/>
      <c r="G1349" s="74">
        <f t="shared" si="181"/>
        <v>0</v>
      </c>
      <c r="H1349" s="74"/>
      <c r="I1349" s="74">
        <f t="shared" si="182"/>
        <v>0</v>
      </c>
      <c r="J1349" s="74"/>
      <c r="K1349" s="74">
        <f t="shared" si="183"/>
        <v>0</v>
      </c>
      <c r="L1349" s="74"/>
      <c r="M1349" s="74">
        <f t="shared" si="184"/>
        <v>0</v>
      </c>
      <c r="N1349" s="74">
        <f t="shared" si="185"/>
        <v>0</v>
      </c>
      <c r="O1349" s="74">
        <f t="shared" si="186"/>
        <v>0</v>
      </c>
      <c r="P1349" s="74">
        <f t="shared" si="187"/>
        <v>0</v>
      </c>
      <c r="Q1349" s="74">
        <f t="shared" si="188"/>
        <v>0</v>
      </c>
    </row>
    <row r="1350" spans="1:17" ht="267.60000000000002" hidden="1" customHeight="1">
      <c r="A1350" s="83"/>
      <c r="B1350" s="72"/>
      <c r="C1350" s="1227" t="s">
        <v>6247</v>
      </c>
      <c r="D1350" s="1232">
        <v>18850</v>
      </c>
      <c r="E1350" s="84" t="s">
        <v>41</v>
      </c>
      <c r="F1350" s="84"/>
      <c r="G1350" s="74">
        <f t="shared" ref="G1350:G1413" si="189">F1350*D1350</f>
        <v>0</v>
      </c>
      <c r="H1350" s="74"/>
      <c r="I1350" s="74">
        <f t="shared" ref="I1350:I1413" si="190">H1350*D1350</f>
        <v>0</v>
      </c>
      <c r="J1350" s="74"/>
      <c r="K1350" s="74">
        <f t="shared" ref="K1350:K1413" si="191">J1350*D1350</f>
        <v>0</v>
      </c>
      <c r="L1350" s="74"/>
      <c r="M1350" s="74">
        <f t="shared" ref="M1350:M1413" si="192">L1350*D1350</f>
        <v>0</v>
      </c>
      <c r="N1350" s="74">
        <f t="shared" ref="N1350:N1413" si="193">H1350+J1350+L1350</f>
        <v>0</v>
      </c>
      <c r="O1350" s="74">
        <f t="shared" ref="O1350:O1413" si="194">N1350*D1350</f>
        <v>0</v>
      </c>
      <c r="P1350" s="74">
        <f t="shared" ref="P1350:P1413" si="195">N1350+F1350</f>
        <v>0</v>
      </c>
      <c r="Q1350" s="74">
        <f t="shared" ref="Q1350:Q1413" si="196">P1350*D1350</f>
        <v>0</v>
      </c>
    </row>
    <row r="1351" spans="1:17" ht="211.9" hidden="1" customHeight="1">
      <c r="A1351" s="83"/>
      <c r="B1351" s="72"/>
      <c r="C1351" s="1227" t="s">
        <v>6248</v>
      </c>
      <c r="D1351" s="1232">
        <v>29300</v>
      </c>
      <c r="E1351" s="84" t="s">
        <v>41</v>
      </c>
      <c r="F1351" s="84"/>
      <c r="G1351" s="74">
        <f t="shared" si="189"/>
        <v>0</v>
      </c>
      <c r="H1351" s="74"/>
      <c r="I1351" s="74">
        <f t="shared" si="190"/>
        <v>0</v>
      </c>
      <c r="J1351" s="74"/>
      <c r="K1351" s="74">
        <f t="shared" si="191"/>
        <v>0</v>
      </c>
      <c r="L1351" s="74"/>
      <c r="M1351" s="74">
        <f t="shared" si="192"/>
        <v>0</v>
      </c>
      <c r="N1351" s="74">
        <f t="shared" si="193"/>
        <v>0</v>
      </c>
      <c r="O1351" s="74">
        <f t="shared" si="194"/>
        <v>0</v>
      </c>
      <c r="P1351" s="74">
        <f t="shared" si="195"/>
        <v>0</v>
      </c>
      <c r="Q1351" s="74">
        <f t="shared" si="196"/>
        <v>0</v>
      </c>
    </row>
    <row r="1352" spans="1:17" ht="240" hidden="1" customHeight="1">
      <c r="A1352" s="83"/>
      <c r="B1352" s="72"/>
      <c r="C1352" s="1227" t="s">
        <v>6249</v>
      </c>
      <c r="D1352" s="1232">
        <v>13250</v>
      </c>
      <c r="E1352" s="84" t="s">
        <v>41</v>
      </c>
      <c r="F1352" s="84"/>
      <c r="G1352" s="74">
        <f t="shared" si="189"/>
        <v>0</v>
      </c>
      <c r="H1352" s="74"/>
      <c r="I1352" s="74">
        <f t="shared" si="190"/>
        <v>0</v>
      </c>
      <c r="J1352" s="74"/>
      <c r="K1352" s="74">
        <f t="shared" si="191"/>
        <v>0</v>
      </c>
      <c r="L1352" s="74"/>
      <c r="M1352" s="74">
        <f t="shared" si="192"/>
        <v>0</v>
      </c>
      <c r="N1352" s="74">
        <f t="shared" si="193"/>
        <v>0</v>
      </c>
      <c r="O1352" s="74">
        <f t="shared" si="194"/>
        <v>0</v>
      </c>
      <c r="P1352" s="74">
        <f t="shared" si="195"/>
        <v>0</v>
      </c>
      <c r="Q1352" s="74">
        <f t="shared" si="196"/>
        <v>0</v>
      </c>
    </row>
    <row r="1353" spans="1:17" ht="78" hidden="1" customHeight="1">
      <c r="A1353" s="83"/>
      <c r="B1353" s="72"/>
      <c r="C1353" s="1227" t="s">
        <v>6250</v>
      </c>
      <c r="D1353" s="1232">
        <v>63000</v>
      </c>
      <c r="E1353" s="84" t="s">
        <v>41</v>
      </c>
      <c r="F1353" s="84"/>
      <c r="G1353" s="74">
        <f t="shared" si="189"/>
        <v>0</v>
      </c>
      <c r="H1353" s="74"/>
      <c r="I1353" s="74">
        <f t="shared" si="190"/>
        <v>0</v>
      </c>
      <c r="J1353" s="74"/>
      <c r="K1353" s="74">
        <f t="shared" si="191"/>
        <v>0</v>
      </c>
      <c r="L1353" s="74"/>
      <c r="M1353" s="74">
        <f t="shared" si="192"/>
        <v>0</v>
      </c>
      <c r="N1353" s="74">
        <f t="shared" si="193"/>
        <v>0</v>
      </c>
      <c r="O1353" s="74">
        <f t="shared" si="194"/>
        <v>0</v>
      </c>
      <c r="P1353" s="74">
        <f t="shared" si="195"/>
        <v>0</v>
      </c>
      <c r="Q1353" s="74">
        <f t="shared" si="196"/>
        <v>0</v>
      </c>
    </row>
    <row r="1354" spans="1:17" ht="49.5" hidden="1" customHeight="1">
      <c r="A1354" s="83"/>
      <c r="B1354" s="72"/>
      <c r="C1354" s="82" t="s">
        <v>6251</v>
      </c>
      <c r="D1354" s="1232">
        <v>10500</v>
      </c>
      <c r="E1354" s="84" t="s">
        <v>41</v>
      </c>
      <c r="F1354" s="84"/>
      <c r="G1354" s="74">
        <f t="shared" si="189"/>
        <v>0</v>
      </c>
      <c r="H1354" s="74"/>
      <c r="I1354" s="74">
        <f t="shared" si="190"/>
        <v>0</v>
      </c>
      <c r="J1354" s="74"/>
      <c r="K1354" s="74">
        <f t="shared" si="191"/>
        <v>0</v>
      </c>
      <c r="L1354" s="74"/>
      <c r="M1354" s="74">
        <f t="shared" si="192"/>
        <v>0</v>
      </c>
      <c r="N1354" s="74">
        <f t="shared" si="193"/>
        <v>0</v>
      </c>
      <c r="O1354" s="74">
        <f t="shared" si="194"/>
        <v>0</v>
      </c>
      <c r="P1354" s="74">
        <f t="shared" si="195"/>
        <v>0</v>
      </c>
      <c r="Q1354" s="74">
        <f t="shared" si="196"/>
        <v>0</v>
      </c>
    </row>
    <row r="1355" spans="1:17" ht="49.5" hidden="1" customHeight="1">
      <c r="A1355" s="83"/>
      <c r="B1355" s="72"/>
      <c r="C1355" s="82" t="s">
        <v>6252</v>
      </c>
      <c r="D1355" s="1232">
        <v>2350</v>
      </c>
      <c r="E1355" s="84" t="s">
        <v>41</v>
      </c>
      <c r="F1355" s="84"/>
      <c r="G1355" s="74">
        <f t="shared" si="189"/>
        <v>0</v>
      </c>
      <c r="H1355" s="74"/>
      <c r="I1355" s="74">
        <f t="shared" si="190"/>
        <v>0</v>
      </c>
      <c r="J1355" s="74"/>
      <c r="K1355" s="74">
        <f t="shared" si="191"/>
        <v>0</v>
      </c>
      <c r="L1355" s="74"/>
      <c r="M1355" s="74">
        <f t="shared" si="192"/>
        <v>0</v>
      </c>
      <c r="N1355" s="74">
        <f t="shared" si="193"/>
        <v>0</v>
      </c>
      <c r="O1355" s="74">
        <f t="shared" si="194"/>
        <v>0</v>
      </c>
      <c r="P1355" s="74">
        <f t="shared" si="195"/>
        <v>0</v>
      </c>
      <c r="Q1355" s="74">
        <f t="shared" si="196"/>
        <v>0</v>
      </c>
    </row>
    <row r="1356" spans="1:17" ht="49.5" hidden="1" customHeight="1">
      <c r="A1356" s="83"/>
      <c r="B1356" s="72"/>
      <c r="C1356" s="82" t="s">
        <v>6253</v>
      </c>
      <c r="D1356" s="1232">
        <v>74</v>
      </c>
      <c r="E1356" s="84" t="s">
        <v>6254</v>
      </c>
      <c r="F1356" s="84"/>
      <c r="G1356" s="74">
        <f t="shared" si="189"/>
        <v>0</v>
      </c>
      <c r="H1356" s="74"/>
      <c r="I1356" s="74">
        <f t="shared" si="190"/>
        <v>0</v>
      </c>
      <c r="J1356" s="74"/>
      <c r="K1356" s="74">
        <f t="shared" si="191"/>
        <v>0</v>
      </c>
      <c r="L1356" s="74"/>
      <c r="M1356" s="74">
        <f t="shared" si="192"/>
        <v>0</v>
      </c>
      <c r="N1356" s="74">
        <f t="shared" si="193"/>
        <v>0</v>
      </c>
      <c r="O1356" s="74">
        <f t="shared" si="194"/>
        <v>0</v>
      </c>
      <c r="P1356" s="74">
        <f t="shared" si="195"/>
        <v>0</v>
      </c>
      <c r="Q1356" s="74">
        <f t="shared" si="196"/>
        <v>0</v>
      </c>
    </row>
    <row r="1357" spans="1:17" ht="49.5" hidden="1" customHeight="1">
      <c r="A1357" s="83"/>
      <c r="B1357" s="72"/>
      <c r="C1357" s="82" t="s">
        <v>6255</v>
      </c>
      <c r="D1357" s="1232">
        <v>4000</v>
      </c>
      <c r="E1357" s="84" t="s">
        <v>41</v>
      </c>
      <c r="F1357" s="84"/>
      <c r="G1357" s="74">
        <f t="shared" si="189"/>
        <v>0</v>
      </c>
      <c r="H1357" s="74"/>
      <c r="I1357" s="74">
        <f t="shared" si="190"/>
        <v>0</v>
      </c>
      <c r="J1357" s="74"/>
      <c r="K1357" s="74">
        <f t="shared" si="191"/>
        <v>0</v>
      </c>
      <c r="L1357" s="74"/>
      <c r="M1357" s="74">
        <f t="shared" si="192"/>
        <v>0</v>
      </c>
      <c r="N1357" s="74">
        <f t="shared" si="193"/>
        <v>0</v>
      </c>
      <c r="O1357" s="74">
        <f t="shared" si="194"/>
        <v>0</v>
      </c>
      <c r="P1357" s="74">
        <f t="shared" si="195"/>
        <v>0</v>
      </c>
      <c r="Q1357" s="74">
        <f t="shared" si="196"/>
        <v>0</v>
      </c>
    </row>
    <row r="1358" spans="1:17" ht="49.5" hidden="1" customHeight="1">
      <c r="A1358" s="83"/>
      <c r="B1358" s="72"/>
      <c r="C1358" s="82" t="s">
        <v>6256</v>
      </c>
      <c r="D1358" s="1232">
        <v>45</v>
      </c>
      <c r="E1358" s="84" t="s">
        <v>6254</v>
      </c>
      <c r="F1358" s="84"/>
      <c r="G1358" s="74">
        <f t="shared" si="189"/>
        <v>0</v>
      </c>
      <c r="H1358" s="74"/>
      <c r="I1358" s="74">
        <f t="shared" si="190"/>
        <v>0</v>
      </c>
      <c r="J1358" s="74"/>
      <c r="K1358" s="74">
        <f t="shared" si="191"/>
        <v>0</v>
      </c>
      <c r="L1358" s="74"/>
      <c r="M1358" s="74">
        <f t="shared" si="192"/>
        <v>0</v>
      </c>
      <c r="N1358" s="74">
        <f t="shared" si="193"/>
        <v>0</v>
      </c>
      <c r="O1358" s="74">
        <f t="shared" si="194"/>
        <v>0</v>
      </c>
      <c r="P1358" s="74">
        <f t="shared" si="195"/>
        <v>0</v>
      </c>
      <c r="Q1358" s="74">
        <f t="shared" si="196"/>
        <v>0</v>
      </c>
    </row>
    <row r="1359" spans="1:17" ht="81" hidden="1" customHeight="1">
      <c r="A1359" s="83"/>
      <c r="B1359" s="72"/>
      <c r="C1359" s="82" t="s">
        <v>6244</v>
      </c>
      <c r="D1359" s="1232">
        <v>15000</v>
      </c>
      <c r="E1359" s="84" t="s">
        <v>49</v>
      </c>
      <c r="F1359" s="84"/>
      <c r="G1359" s="74">
        <f t="shared" si="189"/>
        <v>0</v>
      </c>
      <c r="H1359" s="74"/>
      <c r="I1359" s="74">
        <f t="shared" si="190"/>
        <v>0</v>
      </c>
      <c r="J1359" s="74"/>
      <c r="K1359" s="74">
        <f t="shared" si="191"/>
        <v>0</v>
      </c>
      <c r="L1359" s="74"/>
      <c r="M1359" s="74">
        <f t="shared" si="192"/>
        <v>0</v>
      </c>
      <c r="N1359" s="74">
        <f t="shared" si="193"/>
        <v>0</v>
      </c>
      <c r="O1359" s="74">
        <f t="shared" si="194"/>
        <v>0</v>
      </c>
      <c r="P1359" s="74">
        <f t="shared" si="195"/>
        <v>0</v>
      </c>
      <c r="Q1359" s="74">
        <f t="shared" si="196"/>
        <v>0</v>
      </c>
    </row>
    <row r="1360" spans="1:17" ht="49.5" hidden="1" customHeight="1">
      <c r="A1360" s="83"/>
      <c r="B1360" s="72"/>
      <c r="C1360" s="82" t="s">
        <v>6257</v>
      </c>
      <c r="D1360" s="1232">
        <v>175085</v>
      </c>
      <c r="E1360" s="84" t="s">
        <v>1715</v>
      </c>
      <c r="F1360" s="84"/>
      <c r="G1360" s="74">
        <f t="shared" si="189"/>
        <v>0</v>
      </c>
      <c r="H1360" s="74"/>
      <c r="I1360" s="74">
        <f t="shared" si="190"/>
        <v>0</v>
      </c>
      <c r="J1360" s="74"/>
      <c r="K1360" s="74">
        <f t="shared" si="191"/>
        <v>0</v>
      </c>
      <c r="L1360" s="74"/>
      <c r="M1360" s="74">
        <f t="shared" si="192"/>
        <v>0</v>
      </c>
      <c r="N1360" s="74">
        <f t="shared" si="193"/>
        <v>0</v>
      </c>
      <c r="O1360" s="74">
        <f t="shared" si="194"/>
        <v>0</v>
      </c>
      <c r="P1360" s="74">
        <f t="shared" si="195"/>
        <v>0</v>
      </c>
      <c r="Q1360" s="74">
        <f t="shared" si="196"/>
        <v>0</v>
      </c>
    </row>
    <row r="1361" spans="1:17" ht="124.5" hidden="1" customHeight="1">
      <c r="A1361" s="83"/>
      <c r="B1361" s="72"/>
      <c r="C1361" s="82" t="s">
        <v>6258</v>
      </c>
      <c r="D1361" s="1232">
        <v>412.96</v>
      </c>
      <c r="E1361" s="84" t="s">
        <v>6254</v>
      </c>
      <c r="F1361" s="84"/>
      <c r="G1361" s="74">
        <f t="shared" si="189"/>
        <v>0</v>
      </c>
      <c r="H1361" s="74"/>
      <c r="I1361" s="74">
        <f t="shared" si="190"/>
        <v>0</v>
      </c>
      <c r="J1361" s="74"/>
      <c r="K1361" s="74">
        <f t="shared" si="191"/>
        <v>0</v>
      </c>
      <c r="L1361" s="74"/>
      <c r="M1361" s="74">
        <f t="shared" si="192"/>
        <v>0</v>
      </c>
      <c r="N1361" s="74">
        <f t="shared" si="193"/>
        <v>0</v>
      </c>
      <c r="O1361" s="74">
        <f t="shared" si="194"/>
        <v>0</v>
      </c>
      <c r="P1361" s="74">
        <f t="shared" si="195"/>
        <v>0</v>
      </c>
      <c r="Q1361" s="74">
        <f t="shared" si="196"/>
        <v>0</v>
      </c>
    </row>
    <row r="1362" spans="1:17" ht="49.5" hidden="1" customHeight="1">
      <c r="A1362" s="83"/>
      <c r="B1362" s="72"/>
      <c r="C1362" s="82" t="s">
        <v>6259</v>
      </c>
      <c r="D1362" s="1232">
        <v>511110</v>
      </c>
      <c r="E1362" s="84" t="s">
        <v>1715</v>
      </c>
      <c r="F1362" s="84"/>
      <c r="G1362" s="74">
        <f t="shared" si="189"/>
        <v>0</v>
      </c>
      <c r="H1362" s="74"/>
      <c r="I1362" s="74">
        <f t="shared" si="190"/>
        <v>0</v>
      </c>
      <c r="J1362" s="74"/>
      <c r="K1362" s="74">
        <f t="shared" si="191"/>
        <v>0</v>
      </c>
      <c r="L1362" s="74"/>
      <c r="M1362" s="74">
        <f t="shared" si="192"/>
        <v>0</v>
      </c>
      <c r="N1362" s="74">
        <f t="shared" si="193"/>
        <v>0</v>
      </c>
      <c r="O1362" s="74">
        <f t="shared" si="194"/>
        <v>0</v>
      </c>
      <c r="P1362" s="74">
        <f t="shared" si="195"/>
        <v>0</v>
      </c>
      <c r="Q1362" s="74">
        <f t="shared" si="196"/>
        <v>0</v>
      </c>
    </row>
    <row r="1363" spans="1:17" ht="139.5" hidden="1" customHeight="1">
      <c r="A1363" s="83"/>
      <c r="B1363" s="72"/>
      <c r="C1363" s="82" t="s">
        <v>6260</v>
      </c>
      <c r="D1363" s="1232">
        <v>204.52</v>
      </c>
      <c r="E1363" s="84" t="s">
        <v>724</v>
      </c>
      <c r="F1363" s="84"/>
      <c r="G1363" s="74">
        <f t="shared" si="189"/>
        <v>0</v>
      </c>
      <c r="H1363" s="74"/>
      <c r="I1363" s="74">
        <f t="shared" si="190"/>
        <v>0</v>
      </c>
      <c r="J1363" s="74"/>
      <c r="K1363" s="74">
        <f t="shared" si="191"/>
        <v>0</v>
      </c>
      <c r="L1363" s="74"/>
      <c r="M1363" s="74">
        <f t="shared" si="192"/>
        <v>0</v>
      </c>
      <c r="N1363" s="74">
        <f t="shared" si="193"/>
        <v>0</v>
      </c>
      <c r="O1363" s="74">
        <f t="shared" si="194"/>
        <v>0</v>
      </c>
      <c r="P1363" s="74">
        <f t="shared" si="195"/>
        <v>0</v>
      </c>
      <c r="Q1363" s="74">
        <f t="shared" si="196"/>
        <v>0</v>
      </c>
    </row>
    <row r="1364" spans="1:17" ht="94.5" hidden="1" customHeight="1">
      <c r="A1364" s="83"/>
      <c r="B1364" s="72"/>
      <c r="C1364" s="82" t="s">
        <v>6261</v>
      </c>
      <c r="D1364" s="1232">
        <v>275000</v>
      </c>
      <c r="E1364" s="84" t="s">
        <v>1715</v>
      </c>
      <c r="F1364" s="84"/>
      <c r="G1364" s="74">
        <f t="shared" si="189"/>
        <v>0</v>
      </c>
      <c r="H1364" s="74"/>
      <c r="I1364" s="74">
        <f t="shared" si="190"/>
        <v>0</v>
      </c>
      <c r="J1364" s="74"/>
      <c r="K1364" s="74">
        <f t="shared" si="191"/>
        <v>0</v>
      </c>
      <c r="L1364" s="74"/>
      <c r="M1364" s="74">
        <f t="shared" si="192"/>
        <v>0</v>
      </c>
      <c r="N1364" s="74">
        <f t="shared" si="193"/>
        <v>0</v>
      </c>
      <c r="O1364" s="74">
        <f t="shared" si="194"/>
        <v>0</v>
      </c>
      <c r="P1364" s="74">
        <f t="shared" si="195"/>
        <v>0</v>
      </c>
      <c r="Q1364" s="74">
        <f t="shared" si="196"/>
        <v>0</v>
      </c>
    </row>
    <row r="1365" spans="1:17" ht="152.25" hidden="1" customHeight="1">
      <c r="A1365" s="83"/>
      <c r="B1365" s="72"/>
      <c r="C1365" s="82" t="s">
        <v>6262</v>
      </c>
      <c r="D1365" s="1232">
        <v>636.53</v>
      </c>
      <c r="E1365" s="84" t="s">
        <v>41</v>
      </c>
      <c r="F1365" s="84"/>
      <c r="G1365" s="74">
        <f t="shared" si="189"/>
        <v>0</v>
      </c>
      <c r="H1365" s="74"/>
      <c r="I1365" s="74">
        <f t="shared" si="190"/>
        <v>0</v>
      </c>
      <c r="J1365" s="74"/>
      <c r="K1365" s="74">
        <f t="shared" si="191"/>
        <v>0</v>
      </c>
      <c r="L1365" s="74"/>
      <c r="M1365" s="74">
        <f t="shared" si="192"/>
        <v>0</v>
      </c>
      <c r="N1365" s="74">
        <f t="shared" si="193"/>
        <v>0</v>
      </c>
      <c r="O1365" s="74">
        <f t="shared" si="194"/>
        <v>0</v>
      </c>
      <c r="P1365" s="74">
        <f t="shared" si="195"/>
        <v>0</v>
      </c>
      <c r="Q1365" s="74">
        <f t="shared" si="196"/>
        <v>0</v>
      </c>
    </row>
    <row r="1366" spans="1:17" ht="96.75" hidden="1" customHeight="1">
      <c r="A1366" s="83"/>
      <c r="B1366" s="72"/>
      <c r="C1366" s="1435" t="s">
        <v>6263</v>
      </c>
      <c r="D1366" s="1232"/>
      <c r="E1366" s="84"/>
      <c r="F1366" s="84"/>
      <c r="G1366" s="74">
        <f t="shared" si="189"/>
        <v>0</v>
      </c>
      <c r="H1366" s="74"/>
      <c r="I1366" s="74">
        <f t="shared" si="190"/>
        <v>0</v>
      </c>
      <c r="J1366" s="74"/>
      <c r="K1366" s="74">
        <f t="shared" si="191"/>
        <v>0</v>
      </c>
      <c r="L1366" s="74"/>
      <c r="M1366" s="74">
        <f t="shared" si="192"/>
        <v>0</v>
      </c>
      <c r="N1366" s="74">
        <f t="shared" si="193"/>
        <v>0</v>
      </c>
      <c r="O1366" s="74">
        <f t="shared" si="194"/>
        <v>0</v>
      </c>
      <c r="P1366" s="74">
        <f t="shared" si="195"/>
        <v>0</v>
      </c>
      <c r="Q1366" s="74">
        <f t="shared" si="196"/>
        <v>0</v>
      </c>
    </row>
    <row r="1367" spans="1:17" ht="408" hidden="1" customHeight="1">
      <c r="A1367" s="83"/>
      <c r="B1367" s="72"/>
      <c r="C1367" s="82" t="s">
        <v>6264</v>
      </c>
      <c r="D1367" s="1232">
        <v>10050</v>
      </c>
      <c r="E1367" s="84" t="s">
        <v>729</v>
      </c>
      <c r="F1367" s="84"/>
      <c r="G1367" s="74">
        <f t="shared" si="189"/>
        <v>0</v>
      </c>
      <c r="H1367" s="74"/>
      <c r="I1367" s="74">
        <f t="shared" si="190"/>
        <v>0</v>
      </c>
      <c r="J1367" s="74"/>
      <c r="K1367" s="74">
        <f t="shared" si="191"/>
        <v>0</v>
      </c>
      <c r="L1367" s="74"/>
      <c r="M1367" s="74">
        <f t="shared" si="192"/>
        <v>0</v>
      </c>
      <c r="N1367" s="74">
        <f t="shared" si="193"/>
        <v>0</v>
      </c>
      <c r="O1367" s="74">
        <f t="shared" si="194"/>
        <v>0</v>
      </c>
      <c r="P1367" s="74">
        <f t="shared" si="195"/>
        <v>0</v>
      </c>
      <c r="Q1367" s="74">
        <f t="shared" si="196"/>
        <v>0</v>
      </c>
    </row>
    <row r="1368" spans="1:17" ht="122.25" hidden="1" customHeight="1">
      <c r="A1368" s="83"/>
      <c r="B1368" s="72"/>
      <c r="C1368" s="82" t="s">
        <v>6265</v>
      </c>
      <c r="D1368" s="1232">
        <v>98600</v>
      </c>
      <c r="E1368" s="84" t="s">
        <v>729</v>
      </c>
      <c r="F1368" s="84"/>
      <c r="G1368" s="74">
        <f t="shared" si="189"/>
        <v>0</v>
      </c>
      <c r="H1368" s="74"/>
      <c r="I1368" s="74">
        <f t="shared" si="190"/>
        <v>0</v>
      </c>
      <c r="J1368" s="74"/>
      <c r="K1368" s="74">
        <f t="shared" si="191"/>
        <v>0</v>
      </c>
      <c r="L1368" s="74"/>
      <c r="M1368" s="74">
        <f t="shared" si="192"/>
        <v>0</v>
      </c>
      <c r="N1368" s="74">
        <f t="shared" si="193"/>
        <v>0</v>
      </c>
      <c r="O1368" s="74">
        <f t="shared" si="194"/>
        <v>0</v>
      </c>
      <c r="P1368" s="74">
        <f t="shared" si="195"/>
        <v>0</v>
      </c>
      <c r="Q1368" s="74">
        <f t="shared" si="196"/>
        <v>0</v>
      </c>
    </row>
    <row r="1369" spans="1:17" ht="244.5" hidden="1" customHeight="1">
      <c r="A1369" s="83"/>
      <c r="B1369" s="72"/>
      <c r="C1369" s="82" t="s">
        <v>5996</v>
      </c>
      <c r="D1369" s="1232">
        <v>10450</v>
      </c>
      <c r="E1369" s="84" t="s">
        <v>729</v>
      </c>
      <c r="F1369" s="84"/>
      <c r="G1369" s="74">
        <f t="shared" si="189"/>
        <v>0</v>
      </c>
      <c r="H1369" s="74"/>
      <c r="I1369" s="74">
        <f t="shared" si="190"/>
        <v>0</v>
      </c>
      <c r="J1369" s="74"/>
      <c r="K1369" s="74">
        <f t="shared" si="191"/>
        <v>0</v>
      </c>
      <c r="L1369" s="74"/>
      <c r="M1369" s="74">
        <f t="shared" si="192"/>
        <v>0</v>
      </c>
      <c r="N1369" s="74">
        <f t="shared" si="193"/>
        <v>0</v>
      </c>
      <c r="O1369" s="74">
        <f t="shared" si="194"/>
        <v>0</v>
      </c>
      <c r="P1369" s="74">
        <f t="shared" si="195"/>
        <v>0</v>
      </c>
      <c r="Q1369" s="74">
        <f t="shared" si="196"/>
        <v>0</v>
      </c>
    </row>
    <row r="1370" spans="1:17" ht="81.75" hidden="1" customHeight="1">
      <c r="A1370" s="83"/>
      <c r="B1370" s="72"/>
      <c r="C1370" s="82" t="s">
        <v>6266</v>
      </c>
      <c r="D1370" s="1232">
        <v>35000</v>
      </c>
      <c r="E1370" s="84" t="s">
        <v>729</v>
      </c>
      <c r="F1370" s="84"/>
      <c r="G1370" s="74">
        <f t="shared" si="189"/>
        <v>0</v>
      </c>
      <c r="H1370" s="74"/>
      <c r="I1370" s="74">
        <f t="shared" si="190"/>
        <v>0</v>
      </c>
      <c r="J1370" s="74"/>
      <c r="K1370" s="74">
        <f t="shared" si="191"/>
        <v>0</v>
      </c>
      <c r="L1370" s="74"/>
      <c r="M1370" s="74">
        <f t="shared" si="192"/>
        <v>0</v>
      </c>
      <c r="N1370" s="74">
        <f t="shared" si="193"/>
        <v>0</v>
      </c>
      <c r="O1370" s="74">
        <f t="shared" si="194"/>
        <v>0</v>
      </c>
      <c r="P1370" s="74">
        <f t="shared" si="195"/>
        <v>0</v>
      </c>
      <c r="Q1370" s="74">
        <f t="shared" si="196"/>
        <v>0</v>
      </c>
    </row>
    <row r="1371" spans="1:17" ht="64.5" hidden="1" customHeight="1">
      <c r="A1371" s="83"/>
      <c r="B1371" s="72"/>
      <c r="C1371" s="82" t="s">
        <v>6267</v>
      </c>
      <c r="D1371" s="1232">
        <v>284</v>
      </c>
      <c r="E1371" s="84" t="s">
        <v>13</v>
      </c>
      <c r="F1371" s="84"/>
      <c r="G1371" s="74">
        <f t="shared" si="189"/>
        <v>0</v>
      </c>
      <c r="H1371" s="74"/>
      <c r="I1371" s="74">
        <f t="shared" si="190"/>
        <v>0</v>
      </c>
      <c r="J1371" s="74"/>
      <c r="K1371" s="74">
        <f t="shared" si="191"/>
        <v>0</v>
      </c>
      <c r="L1371" s="74"/>
      <c r="M1371" s="74">
        <f t="shared" si="192"/>
        <v>0</v>
      </c>
      <c r="N1371" s="74">
        <f t="shared" si="193"/>
        <v>0</v>
      </c>
      <c r="O1371" s="74">
        <f t="shared" si="194"/>
        <v>0</v>
      </c>
      <c r="P1371" s="74">
        <f t="shared" si="195"/>
        <v>0</v>
      </c>
      <c r="Q1371" s="74">
        <f t="shared" si="196"/>
        <v>0</v>
      </c>
    </row>
    <row r="1372" spans="1:17" ht="408.75" hidden="1" customHeight="1">
      <c r="A1372" s="83"/>
      <c r="B1372" s="72"/>
      <c r="C1372" s="82" t="s">
        <v>6268</v>
      </c>
      <c r="D1372" s="1232">
        <v>152000</v>
      </c>
      <c r="E1372" s="84" t="s">
        <v>729</v>
      </c>
      <c r="F1372" s="84"/>
      <c r="G1372" s="74">
        <f t="shared" si="189"/>
        <v>0</v>
      </c>
      <c r="H1372" s="74"/>
      <c r="I1372" s="74">
        <f t="shared" si="190"/>
        <v>0</v>
      </c>
      <c r="J1372" s="74"/>
      <c r="K1372" s="74">
        <f t="shared" si="191"/>
        <v>0</v>
      </c>
      <c r="L1372" s="74"/>
      <c r="M1372" s="74">
        <f t="shared" si="192"/>
        <v>0</v>
      </c>
      <c r="N1372" s="74">
        <f t="shared" si="193"/>
        <v>0</v>
      </c>
      <c r="O1372" s="74">
        <f t="shared" si="194"/>
        <v>0</v>
      </c>
      <c r="P1372" s="74">
        <f t="shared" si="195"/>
        <v>0</v>
      </c>
      <c r="Q1372" s="74">
        <f t="shared" si="196"/>
        <v>0</v>
      </c>
    </row>
    <row r="1373" spans="1:17" ht="119.25" hidden="1" customHeight="1">
      <c r="A1373" s="83"/>
      <c r="B1373" s="72"/>
      <c r="C1373" s="82" t="s">
        <v>6269</v>
      </c>
      <c r="D1373" s="1232">
        <v>26000</v>
      </c>
      <c r="E1373" s="84" t="s">
        <v>729</v>
      </c>
      <c r="F1373" s="84"/>
      <c r="G1373" s="74">
        <f t="shared" si="189"/>
        <v>0</v>
      </c>
      <c r="H1373" s="74"/>
      <c r="I1373" s="74">
        <f t="shared" si="190"/>
        <v>0</v>
      </c>
      <c r="J1373" s="74"/>
      <c r="K1373" s="74">
        <f t="shared" si="191"/>
        <v>0</v>
      </c>
      <c r="L1373" s="74"/>
      <c r="M1373" s="74">
        <f t="shared" si="192"/>
        <v>0</v>
      </c>
      <c r="N1373" s="74">
        <f t="shared" si="193"/>
        <v>0</v>
      </c>
      <c r="O1373" s="74">
        <f t="shared" si="194"/>
        <v>0</v>
      </c>
      <c r="P1373" s="74">
        <f t="shared" si="195"/>
        <v>0</v>
      </c>
      <c r="Q1373" s="74">
        <f t="shared" si="196"/>
        <v>0</v>
      </c>
    </row>
    <row r="1374" spans="1:17" ht="117.75" hidden="1" customHeight="1">
      <c r="A1374" s="83"/>
      <c r="B1374" s="72"/>
      <c r="C1374" s="82" t="s">
        <v>6258</v>
      </c>
      <c r="D1374" s="75">
        <v>412.96</v>
      </c>
      <c r="E1374" s="75" t="s">
        <v>13</v>
      </c>
      <c r="F1374" s="84"/>
      <c r="G1374" s="74">
        <f t="shared" si="189"/>
        <v>0</v>
      </c>
      <c r="H1374" s="74"/>
      <c r="I1374" s="74">
        <f t="shared" si="190"/>
        <v>0</v>
      </c>
      <c r="J1374" s="74"/>
      <c r="K1374" s="74">
        <f t="shared" si="191"/>
        <v>0</v>
      </c>
      <c r="L1374" s="74"/>
      <c r="M1374" s="74">
        <f t="shared" si="192"/>
        <v>0</v>
      </c>
      <c r="N1374" s="74">
        <f t="shared" si="193"/>
        <v>0</v>
      </c>
      <c r="O1374" s="74">
        <f t="shared" si="194"/>
        <v>0</v>
      </c>
      <c r="P1374" s="74">
        <f t="shared" si="195"/>
        <v>0</v>
      </c>
      <c r="Q1374" s="74">
        <f t="shared" si="196"/>
        <v>0</v>
      </c>
    </row>
    <row r="1375" spans="1:17" ht="52.15" hidden="1" customHeight="1">
      <c r="A1375" s="83"/>
      <c r="B1375" s="72"/>
      <c r="C1375" s="1435"/>
      <c r="D1375" s="1232"/>
      <c r="E1375" s="84"/>
      <c r="F1375" s="84"/>
      <c r="G1375" s="74">
        <f t="shared" si="189"/>
        <v>0</v>
      </c>
      <c r="H1375" s="74"/>
      <c r="I1375" s="74">
        <f t="shared" si="190"/>
        <v>0</v>
      </c>
      <c r="J1375" s="74"/>
      <c r="K1375" s="74">
        <f t="shared" si="191"/>
        <v>0</v>
      </c>
      <c r="L1375" s="74"/>
      <c r="M1375" s="74">
        <f t="shared" si="192"/>
        <v>0</v>
      </c>
      <c r="N1375" s="74">
        <f t="shared" si="193"/>
        <v>0</v>
      </c>
      <c r="O1375" s="74">
        <f t="shared" si="194"/>
        <v>0</v>
      </c>
      <c r="P1375" s="74">
        <f t="shared" si="195"/>
        <v>0</v>
      </c>
      <c r="Q1375" s="74">
        <f t="shared" si="196"/>
        <v>0</v>
      </c>
    </row>
    <row r="1376" spans="1:17" ht="44.25" hidden="1" customHeight="1">
      <c r="A1376" s="83"/>
      <c r="B1376" s="72"/>
      <c r="C1376" s="1435" t="s">
        <v>6270</v>
      </c>
      <c r="D1376" s="1232"/>
      <c r="E1376" s="84"/>
      <c r="F1376" s="84"/>
      <c r="G1376" s="74">
        <f t="shared" si="189"/>
        <v>0</v>
      </c>
      <c r="H1376" s="74"/>
      <c r="I1376" s="74">
        <f t="shared" si="190"/>
        <v>0</v>
      </c>
      <c r="J1376" s="74"/>
      <c r="K1376" s="74">
        <f t="shared" si="191"/>
        <v>0</v>
      </c>
      <c r="L1376" s="74"/>
      <c r="M1376" s="74">
        <f t="shared" si="192"/>
        <v>0</v>
      </c>
      <c r="N1376" s="74">
        <f t="shared" si="193"/>
        <v>0</v>
      </c>
      <c r="O1376" s="74">
        <f t="shared" si="194"/>
        <v>0</v>
      </c>
      <c r="P1376" s="74">
        <f t="shared" si="195"/>
        <v>0</v>
      </c>
      <c r="Q1376" s="74">
        <f t="shared" si="196"/>
        <v>0</v>
      </c>
    </row>
    <row r="1377" spans="1:17" ht="348.75" hidden="1" customHeight="1">
      <c r="A1377" s="83"/>
      <c r="B1377" s="72"/>
      <c r="C1377" s="82" t="s">
        <v>6264</v>
      </c>
      <c r="D1377" s="1232">
        <v>10050</v>
      </c>
      <c r="E1377" s="84" t="s">
        <v>729</v>
      </c>
      <c r="F1377" s="84"/>
      <c r="G1377" s="74">
        <f t="shared" si="189"/>
        <v>0</v>
      </c>
      <c r="H1377" s="74"/>
      <c r="I1377" s="74">
        <f t="shared" si="190"/>
        <v>0</v>
      </c>
      <c r="J1377" s="74"/>
      <c r="K1377" s="74">
        <f t="shared" si="191"/>
        <v>0</v>
      </c>
      <c r="L1377" s="74"/>
      <c r="M1377" s="74">
        <f t="shared" si="192"/>
        <v>0</v>
      </c>
      <c r="N1377" s="74">
        <f t="shared" si="193"/>
        <v>0</v>
      </c>
      <c r="O1377" s="74">
        <f t="shared" si="194"/>
        <v>0</v>
      </c>
      <c r="P1377" s="74">
        <f t="shared" si="195"/>
        <v>0</v>
      </c>
      <c r="Q1377" s="74">
        <f t="shared" si="196"/>
        <v>0</v>
      </c>
    </row>
    <row r="1378" spans="1:17" ht="114.75" hidden="1" customHeight="1">
      <c r="A1378" s="83"/>
      <c r="B1378" s="72"/>
      <c r="C1378" s="82" t="s">
        <v>6265</v>
      </c>
      <c r="D1378" s="1232">
        <v>98600</v>
      </c>
      <c r="E1378" s="84" t="s">
        <v>729</v>
      </c>
      <c r="F1378" s="84"/>
      <c r="G1378" s="74">
        <f t="shared" si="189"/>
        <v>0</v>
      </c>
      <c r="H1378" s="74"/>
      <c r="I1378" s="74">
        <f t="shared" si="190"/>
        <v>0</v>
      </c>
      <c r="J1378" s="74"/>
      <c r="K1378" s="74">
        <f t="shared" si="191"/>
        <v>0</v>
      </c>
      <c r="L1378" s="74"/>
      <c r="M1378" s="74">
        <f t="shared" si="192"/>
        <v>0</v>
      </c>
      <c r="N1378" s="74">
        <f t="shared" si="193"/>
        <v>0</v>
      </c>
      <c r="O1378" s="74">
        <f t="shared" si="194"/>
        <v>0</v>
      </c>
      <c r="P1378" s="74">
        <f t="shared" si="195"/>
        <v>0</v>
      </c>
      <c r="Q1378" s="74">
        <f t="shared" si="196"/>
        <v>0</v>
      </c>
    </row>
    <row r="1379" spans="1:17" ht="261" hidden="1" customHeight="1">
      <c r="A1379" s="83"/>
      <c r="B1379" s="72"/>
      <c r="C1379" s="82" t="s">
        <v>5996</v>
      </c>
      <c r="D1379" s="1232">
        <v>10450</v>
      </c>
      <c r="E1379" s="84" t="s">
        <v>729</v>
      </c>
      <c r="F1379" s="84"/>
      <c r="G1379" s="74">
        <f t="shared" si="189"/>
        <v>0</v>
      </c>
      <c r="H1379" s="74"/>
      <c r="I1379" s="74">
        <f t="shared" si="190"/>
        <v>0</v>
      </c>
      <c r="J1379" s="74"/>
      <c r="K1379" s="74">
        <f t="shared" si="191"/>
        <v>0</v>
      </c>
      <c r="L1379" s="74"/>
      <c r="M1379" s="74">
        <f t="shared" si="192"/>
        <v>0</v>
      </c>
      <c r="N1379" s="74">
        <f t="shared" si="193"/>
        <v>0</v>
      </c>
      <c r="O1379" s="74">
        <f t="shared" si="194"/>
        <v>0</v>
      </c>
      <c r="P1379" s="74">
        <f t="shared" si="195"/>
        <v>0</v>
      </c>
      <c r="Q1379" s="74">
        <f t="shared" si="196"/>
        <v>0</v>
      </c>
    </row>
    <row r="1380" spans="1:17" ht="93" hidden="1" customHeight="1">
      <c r="A1380" s="83"/>
      <c r="B1380" s="72"/>
      <c r="C1380" s="82" t="s">
        <v>6266</v>
      </c>
      <c r="D1380" s="1232">
        <v>35000</v>
      </c>
      <c r="E1380" s="84" t="s">
        <v>729</v>
      </c>
      <c r="F1380" s="84"/>
      <c r="G1380" s="74">
        <f t="shared" si="189"/>
        <v>0</v>
      </c>
      <c r="H1380" s="74"/>
      <c r="I1380" s="74">
        <f t="shared" si="190"/>
        <v>0</v>
      </c>
      <c r="J1380" s="74"/>
      <c r="K1380" s="74">
        <f t="shared" si="191"/>
        <v>0</v>
      </c>
      <c r="L1380" s="74"/>
      <c r="M1380" s="74">
        <f t="shared" si="192"/>
        <v>0</v>
      </c>
      <c r="N1380" s="74">
        <f t="shared" si="193"/>
        <v>0</v>
      </c>
      <c r="O1380" s="74">
        <f t="shared" si="194"/>
        <v>0</v>
      </c>
      <c r="P1380" s="74">
        <f t="shared" si="195"/>
        <v>0</v>
      </c>
      <c r="Q1380" s="74">
        <f t="shared" si="196"/>
        <v>0</v>
      </c>
    </row>
    <row r="1381" spans="1:17" ht="90.75" hidden="1" customHeight="1">
      <c r="A1381" s="83"/>
      <c r="B1381" s="72"/>
      <c r="C1381" s="82" t="s">
        <v>6267</v>
      </c>
      <c r="D1381" s="1232">
        <v>284</v>
      </c>
      <c r="E1381" s="84" t="s">
        <v>13</v>
      </c>
      <c r="F1381" s="84"/>
      <c r="G1381" s="74">
        <f t="shared" si="189"/>
        <v>0</v>
      </c>
      <c r="H1381" s="74"/>
      <c r="I1381" s="74">
        <f t="shared" si="190"/>
        <v>0</v>
      </c>
      <c r="J1381" s="74"/>
      <c r="K1381" s="74">
        <f t="shared" si="191"/>
        <v>0</v>
      </c>
      <c r="L1381" s="74"/>
      <c r="M1381" s="74">
        <f t="shared" si="192"/>
        <v>0</v>
      </c>
      <c r="N1381" s="74">
        <f t="shared" si="193"/>
        <v>0</v>
      </c>
      <c r="O1381" s="74">
        <f t="shared" si="194"/>
        <v>0</v>
      </c>
      <c r="P1381" s="74">
        <f t="shared" si="195"/>
        <v>0</v>
      </c>
      <c r="Q1381" s="74">
        <f t="shared" si="196"/>
        <v>0</v>
      </c>
    </row>
    <row r="1382" spans="1:17" ht="54.6" hidden="1" customHeight="1">
      <c r="A1382" s="83"/>
      <c r="B1382" s="72"/>
      <c r="C1382" s="82" t="s">
        <v>6271</v>
      </c>
      <c r="D1382" s="1232">
        <v>3000</v>
      </c>
      <c r="E1382" s="84" t="s">
        <v>41</v>
      </c>
      <c r="F1382" s="84"/>
      <c r="G1382" s="74">
        <f t="shared" si="189"/>
        <v>0</v>
      </c>
      <c r="H1382" s="74"/>
      <c r="I1382" s="74">
        <f t="shared" si="190"/>
        <v>0</v>
      </c>
      <c r="J1382" s="74"/>
      <c r="K1382" s="74">
        <f t="shared" si="191"/>
        <v>0</v>
      </c>
      <c r="L1382" s="74"/>
      <c r="M1382" s="74">
        <f t="shared" si="192"/>
        <v>0</v>
      </c>
      <c r="N1382" s="74">
        <f t="shared" si="193"/>
        <v>0</v>
      </c>
      <c r="O1382" s="74">
        <f t="shared" si="194"/>
        <v>0</v>
      </c>
      <c r="P1382" s="74">
        <f t="shared" si="195"/>
        <v>0</v>
      </c>
      <c r="Q1382" s="74">
        <f t="shared" si="196"/>
        <v>0</v>
      </c>
    </row>
    <row r="1383" spans="1:17" ht="111.6" hidden="1" customHeight="1">
      <c r="A1383" s="83"/>
      <c r="B1383" s="72"/>
      <c r="C1383" s="82" t="s">
        <v>6272</v>
      </c>
      <c r="D1383" s="1232">
        <v>28000</v>
      </c>
      <c r="E1383" s="84" t="s">
        <v>1715</v>
      </c>
      <c r="F1383" s="84"/>
      <c r="G1383" s="74">
        <f t="shared" si="189"/>
        <v>0</v>
      </c>
      <c r="H1383" s="74"/>
      <c r="I1383" s="74">
        <f t="shared" si="190"/>
        <v>0</v>
      </c>
      <c r="J1383" s="74"/>
      <c r="K1383" s="74">
        <f t="shared" si="191"/>
        <v>0</v>
      </c>
      <c r="L1383" s="74"/>
      <c r="M1383" s="74">
        <f t="shared" si="192"/>
        <v>0</v>
      </c>
      <c r="N1383" s="74">
        <f t="shared" si="193"/>
        <v>0</v>
      </c>
      <c r="O1383" s="74">
        <f t="shared" si="194"/>
        <v>0</v>
      </c>
      <c r="P1383" s="74">
        <f t="shared" si="195"/>
        <v>0</v>
      </c>
      <c r="Q1383" s="74">
        <f t="shared" si="196"/>
        <v>0</v>
      </c>
    </row>
    <row r="1384" spans="1:17" ht="130.9" hidden="1" customHeight="1">
      <c r="A1384" s="83"/>
      <c r="B1384" s="72"/>
      <c r="C1384" s="82" t="s">
        <v>6273</v>
      </c>
      <c r="D1384" s="1232">
        <v>24000</v>
      </c>
      <c r="E1384" s="84" t="s">
        <v>1715</v>
      </c>
      <c r="F1384" s="84"/>
      <c r="G1384" s="74">
        <f t="shared" si="189"/>
        <v>0</v>
      </c>
      <c r="H1384" s="74"/>
      <c r="I1384" s="74">
        <f t="shared" si="190"/>
        <v>0</v>
      </c>
      <c r="J1384" s="74"/>
      <c r="K1384" s="74">
        <f t="shared" si="191"/>
        <v>0</v>
      </c>
      <c r="L1384" s="74"/>
      <c r="M1384" s="74">
        <f t="shared" si="192"/>
        <v>0</v>
      </c>
      <c r="N1384" s="74">
        <f t="shared" si="193"/>
        <v>0</v>
      </c>
      <c r="O1384" s="74">
        <f t="shared" si="194"/>
        <v>0</v>
      </c>
      <c r="P1384" s="74">
        <f t="shared" si="195"/>
        <v>0</v>
      </c>
      <c r="Q1384" s="74">
        <f t="shared" si="196"/>
        <v>0</v>
      </c>
    </row>
    <row r="1385" spans="1:17" ht="60.6" hidden="1" customHeight="1">
      <c r="A1385" s="83"/>
      <c r="B1385" s="72"/>
      <c r="C1385" s="82" t="s">
        <v>6274</v>
      </c>
      <c r="D1385" s="1232">
        <v>23500</v>
      </c>
      <c r="E1385" s="84" t="s">
        <v>1715</v>
      </c>
      <c r="F1385" s="84"/>
      <c r="G1385" s="74">
        <f t="shared" si="189"/>
        <v>0</v>
      </c>
      <c r="H1385" s="74"/>
      <c r="I1385" s="74">
        <f t="shared" si="190"/>
        <v>0</v>
      </c>
      <c r="J1385" s="74"/>
      <c r="K1385" s="74">
        <f t="shared" si="191"/>
        <v>0</v>
      </c>
      <c r="L1385" s="74"/>
      <c r="M1385" s="74">
        <f t="shared" si="192"/>
        <v>0</v>
      </c>
      <c r="N1385" s="74">
        <f t="shared" si="193"/>
        <v>0</v>
      </c>
      <c r="O1385" s="74">
        <f t="shared" si="194"/>
        <v>0</v>
      </c>
      <c r="P1385" s="74">
        <f t="shared" si="195"/>
        <v>0</v>
      </c>
      <c r="Q1385" s="74">
        <f t="shared" si="196"/>
        <v>0</v>
      </c>
    </row>
    <row r="1386" spans="1:17" ht="62.45" hidden="1" customHeight="1">
      <c r="A1386" s="83"/>
      <c r="B1386" s="72"/>
      <c r="C1386" s="82" t="s">
        <v>6275</v>
      </c>
      <c r="D1386" s="1232">
        <v>22500</v>
      </c>
      <c r="E1386" s="84" t="s">
        <v>1715</v>
      </c>
      <c r="F1386" s="84"/>
      <c r="G1386" s="74">
        <f t="shared" si="189"/>
        <v>0</v>
      </c>
      <c r="H1386" s="74"/>
      <c r="I1386" s="74">
        <f t="shared" si="190"/>
        <v>0</v>
      </c>
      <c r="J1386" s="74"/>
      <c r="K1386" s="74">
        <f t="shared" si="191"/>
        <v>0</v>
      </c>
      <c r="L1386" s="74"/>
      <c r="M1386" s="74">
        <f t="shared" si="192"/>
        <v>0</v>
      </c>
      <c r="N1386" s="74">
        <f t="shared" si="193"/>
        <v>0</v>
      </c>
      <c r="O1386" s="74">
        <f t="shared" si="194"/>
        <v>0</v>
      </c>
      <c r="P1386" s="74">
        <f t="shared" si="195"/>
        <v>0</v>
      </c>
      <c r="Q1386" s="74">
        <f t="shared" si="196"/>
        <v>0</v>
      </c>
    </row>
    <row r="1387" spans="1:17" ht="92.45" hidden="1" customHeight="1">
      <c r="A1387" s="83"/>
      <c r="B1387" s="72"/>
      <c r="C1387" s="82" t="s">
        <v>6276</v>
      </c>
      <c r="D1387" s="1232">
        <v>9700</v>
      </c>
      <c r="E1387" s="84" t="s">
        <v>41</v>
      </c>
      <c r="F1387" s="84"/>
      <c r="G1387" s="74">
        <f t="shared" si="189"/>
        <v>0</v>
      </c>
      <c r="H1387" s="74"/>
      <c r="I1387" s="74">
        <f t="shared" si="190"/>
        <v>0</v>
      </c>
      <c r="J1387" s="74"/>
      <c r="K1387" s="74">
        <f t="shared" si="191"/>
        <v>0</v>
      </c>
      <c r="L1387" s="74"/>
      <c r="M1387" s="74">
        <f t="shared" si="192"/>
        <v>0</v>
      </c>
      <c r="N1387" s="74">
        <f t="shared" si="193"/>
        <v>0</v>
      </c>
      <c r="O1387" s="74">
        <f t="shared" si="194"/>
        <v>0</v>
      </c>
      <c r="P1387" s="74">
        <f t="shared" si="195"/>
        <v>0</v>
      </c>
      <c r="Q1387" s="74">
        <f t="shared" si="196"/>
        <v>0</v>
      </c>
    </row>
    <row r="1388" spans="1:17" ht="92.45" hidden="1" customHeight="1">
      <c r="A1388" s="83"/>
      <c r="B1388" s="72"/>
      <c r="C1388" s="82" t="s">
        <v>6277</v>
      </c>
      <c r="D1388" s="1232">
        <v>15700</v>
      </c>
      <c r="E1388" s="84" t="s">
        <v>41</v>
      </c>
      <c r="F1388" s="84"/>
      <c r="G1388" s="74">
        <f t="shared" si="189"/>
        <v>0</v>
      </c>
      <c r="H1388" s="74"/>
      <c r="I1388" s="74">
        <f t="shared" si="190"/>
        <v>0</v>
      </c>
      <c r="J1388" s="74"/>
      <c r="K1388" s="74">
        <f t="shared" si="191"/>
        <v>0</v>
      </c>
      <c r="L1388" s="74"/>
      <c r="M1388" s="74">
        <f t="shared" si="192"/>
        <v>0</v>
      </c>
      <c r="N1388" s="74">
        <f t="shared" si="193"/>
        <v>0</v>
      </c>
      <c r="O1388" s="74">
        <f t="shared" si="194"/>
        <v>0</v>
      </c>
      <c r="P1388" s="74">
        <f t="shared" si="195"/>
        <v>0</v>
      </c>
      <c r="Q1388" s="74">
        <f t="shared" si="196"/>
        <v>0</v>
      </c>
    </row>
    <row r="1389" spans="1:17" ht="49.15" hidden="1" customHeight="1">
      <c r="A1389" s="83"/>
      <c r="B1389" s="72"/>
      <c r="C1389" s="82" t="s">
        <v>6278</v>
      </c>
      <c r="D1389" s="1232">
        <v>2400</v>
      </c>
      <c r="E1389" s="84" t="s">
        <v>41</v>
      </c>
      <c r="F1389" s="84"/>
      <c r="G1389" s="74">
        <f t="shared" si="189"/>
        <v>0</v>
      </c>
      <c r="H1389" s="74"/>
      <c r="I1389" s="74">
        <f t="shared" si="190"/>
        <v>0</v>
      </c>
      <c r="J1389" s="74"/>
      <c r="K1389" s="74">
        <f t="shared" si="191"/>
        <v>0</v>
      </c>
      <c r="L1389" s="74"/>
      <c r="M1389" s="74">
        <f t="shared" si="192"/>
        <v>0</v>
      </c>
      <c r="N1389" s="74">
        <f t="shared" si="193"/>
        <v>0</v>
      </c>
      <c r="O1389" s="74">
        <f t="shared" si="194"/>
        <v>0</v>
      </c>
      <c r="P1389" s="74">
        <f t="shared" si="195"/>
        <v>0</v>
      </c>
      <c r="Q1389" s="74">
        <f t="shared" si="196"/>
        <v>0</v>
      </c>
    </row>
    <row r="1390" spans="1:17" ht="73.150000000000006" hidden="1" customHeight="1">
      <c r="A1390" s="83"/>
      <c r="B1390" s="72"/>
      <c r="C1390" s="82" t="s">
        <v>6279</v>
      </c>
      <c r="D1390" s="1232">
        <v>80000</v>
      </c>
      <c r="E1390" s="84" t="s">
        <v>41</v>
      </c>
      <c r="F1390" s="84"/>
      <c r="G1390" s="74">
        <f t="shared" si="189"/>
        <v>0</v>
      </c>
      <c r="H1390" s="74"/>
      <c r="I1390" s="74">
        <f t="shared" si="190"/>
        <v>0</v>
      </c>
      <c r="J1390" s="74"/>
      <c r="K1390" s="74">
        <f t="shared" si="191"/>
        <v>0</v>
      </c>
      <c r="L1390" s="74"/>
      <c r="M1390" s="74">
        <f t="shared" si="192"/>
        <v>0</v>
      </c>
      <c r="N1390" s="74">
        <f t="shared" si="193"/>
        <v>0</v>
      </c>
      <c r="O1390" s="74">
        <f t="shared" si="194"/>
        <v>0</v>
      </c>
      <c r="P1390" s="74">
        <f t="shared" si="195"/>
        <v>0</v>
      </c>
      <c r="Q1390" s="74">
        <f t="shared" si="196"/>
        <v>0</v>
      </c>
    </row>
    <row r="1391" spans="1:17" ht="63.6" hidden="1" customHeight="1">
      <c r="A1391" s="83"/>
      <c r="B1391" s="72"/>
      <c r="C1391" s="82" t="s">
        <v>6280</v>
      </c>
      <c r="D1391" s="1232">
        <v>42000</v>
      </c>
      <c r="E1391" s="84" t="s">
        <v>41</v>
      </c>
      <c r="F1391" s="84"/>
      <c r="G1391" s="74">
        <f t="shared" si="189"/>
        <v>0</v>
      </c>
      <c r="H1391" s="74"/>
      <c r="I1391" s="74">
        <f t="shared" si="190"/>
        <v>0</v>
      </c>
      <c r="J1391" s="74"/>
      <c r="K1391" s="74">
        <f t="shared" si="191"/>
        <v>0</v>
      </c>
      <c r="L1391" s="74"/>
      <c r="M1391" s="74">
        <f t="shared" si="192"/>
        <v>0</v>
      </c>
      <c r="N1391" s="74">
        <f t="shared" si="193"/>
        <v>0</v>
      </c>
      <c r="O1391" s="74">
        <f t="shared" si="194"/>
        <v>0</v>
      </c>
      <c r="P1391" s="74">
        <f t="shared" si="195"/>
        <v>0</v>
      </c>
      <c r="Q1391" s="74">
        <f t="shared" si="196"/>
        <v>0</v>
      </c>
    </row>
    <row r="1392" spans="1:17" ht="63.6" hidden="1" customHeight="1">
      <c r="A1392" s="83"/>
      <c r="B1392" s="72"/>
      <c r="C1392" s="82" t="s">
        <v>6281</v>
      </c>
      <c r="D1392" s="1232">
        <v>39500</v>
      </c>
      <c r="E1392" s="84" t="s">
        <v>41</v>
      </c>
      <c r="F1392" s="84"/>
      <c r="G1392" s="74">
        <f t="shared" si="189"/>
        <v>0</v>
      </c>
      <c r="H1392" s="74"/>
      <c r="I1392" s="74">
        <f t="shared" si="190"/>
        <v>0</v>
      </c>
      <c r="J1392" s="74"/>
      <c r="K1392" s="74">
        <f t="shared" si="191"/>
        <v>0</v>
      </c>
      <c r="L1392" s="74"/>
      <c r="M1392" s="74">
        <f t="shared" si="192"/>
        <v>0</v>
      </c>
      <c r="N1392" s="74">
        <f t="shared" si="193"/>
        <v>0</v>
      </c>
      <c r="O1392" s="74">
        <f t="shared" si="194"/>
        <v>0</v>
      </c>
      <c r="P1392" s="74">
        <f t="shared" si="195"/>
        <v>0</v>
      </c>
      <c r="Q1392" s="74">
        <f t="shared" si="196"/>
        <v>0</v>
      </c>
    </row>
    <row r="1393" spans="1:17" ht="47.45" hidden="1" customHeight="1">
      <c r="A1393" s="83"/>
      <c r="B1393" s="72"/>
      <c r="C1393" s="82" t="s">
        <v>6282</v>
      </c>
      <c r="D1393" s="1232">
        <v>18500</v>
      </c>
      <c r="E1393" s="84" t="s">
        <v>41</v>
      </c>
      <c r="F1393" s="84"/>
      <c r="G1393" s="74">
        <f t="shared" si="189"/>
        <v>0</v>
      </c>
      <c r="H1393" s="74"/>
      <c r="I1393" s="74">
        <f t="shared" si="190"/>
        <v>0</v>
      </c>
      <c r="J1393" s="74"/>
      <c r="K1393" s="74">
        <f t="shared" si="191"/>
        <v>0</v>
      </c>
      <c r="L1393" s="74"/>
      <c r="M1393" s="74">
        <f t="shared" si="192"/>
        <v>0</v>
      </c>
      <c r="N1393" s="74">
        <f t="shared" si="193"/>
        <v>0</v>
      </c>
      <c r="O1393" s="74">
        <f t="shared" si="194"/>
        <v>0</v>
      </c>
      <c r="P1393" s="74">
        <f t="shared" si="195"/>
        <v>0</v>
      </c>
      <c r="Q1393" s="74">
        <f t="shared" si="196"/>
        <v>0</v>
      </c>
    </row>
    <row r="1394" spans="1:17" ht="92.45" hidden="1" customHeight="1">
      <c r="A1394" s="83"/>
      <c r="B1394" s="72"/>
      <c r="C1394" s="82" t="s">
        <v>6283</v>
      </c>
      <c r="D1394" s="1232">
        <v>200000</v>
      </c>
      <c r="E1394" s="84" t="s">
        <v>49</v>
      </c>
      <c r="F1394" s="84"/>
      <c r="G1394" s="74">
        <f t="shared" si="189"/>
        <v>0</v>
      </c>
      <c r="H1394" s="74"/>
      <c r="I1394" s="74">
        <f t="shared" si="190"/>
        <v>0</v>
      </c>
      <c r="J1394" s="74"/>
      <c r="K1394" s="74">
        <f t="shared" si="191"/>
        <v>0</v>
      </c>
      <c r="L1394" s="74"/>
      <c r="M1394" s="74">
        <f t="shared" si="192"/>
        <v>0</v>
      </c>
      <c r="N1394" s="74">
        <f t="shared" si="193"/>
        <v>0</v>
      </c>
      <c r="O1394" s="74">
        <f t="shared" si="194"/>
        <v>0</v>
      </c>
      <c r="P1394" s="74">
        <f t="shared" si="195"/>
        <v>0</v>
      </c>
      <c r="Q1394" s="74">
        <f t="shared" si="196"/>
        <v>0</v>
      </c>
    </row>
    <row r="1395" spans="1:17" ht="97.5" hidden="1" customHeight="1">
      <c r="A1395" s="83"/>
      <c r="B1395" s="72"/>
      <c r="C1395" s="82" t="s">
        <v>6284</v>
      </c>
      <c r="D1395" s="1232">
        <v>775000</v>
      </c>
      <c r="E1395" s="84" t="s">
        <v>1715</v>
      </c>
      <c r="F1395" s="84"/>
      <c r="G1395" s="74">
        <f t="shared" si="189"/>
        <v>0</v>
      </c>
      <c r="H1395" s="74"/>
      <c r="I1395" s="74">
        <f t="shared" si="190"/>
        <v>0</v>
      </c>
      <c r="J1395" s="74"/>
      <c r="K1395" s="74">
        <f t="shared" si="191"/>
        <v>0</v>
      </c>
      <c r="L1395" s="74"/>
      <c r="M1395" s="74">
        <f t="shared" si="192"/>
        <v>0</v>
      </c>
      <c r="N1395" s="74">
        <f t="shared" si="193"/>
        <v>0</v>
      </c>
      <c r="O1395" s="74">
        <f t="shared" si="194"/>
        <v>0</v>
      </c>
      <c r="P1395" s="74">
        <f t="shared" si="195"/>
        <v>0</v>
      </c>
      <c r="Q1395" s="74">
        <f t="shared" si="196"/>
        <v>0</v>
      </c>
    </row>
    <row r="1396" spans="1:17" ht="99.75" hidden="1" customHeight="1">
      <c r="A1396" s="83"/>
      <c r="B1396" s="72"/>
      <c r="C1396" s="1435" t="s">
        <v>6285</v>
      </c>
      <c r="D1396" s="1232"/>
      <c r="E1396" s="84"/>
      <c r="F1396" s="84"/>
      <c r="G1396" s="74">
        <f t="shared" si="189"/>
        <v>0</v>
      </c>
      <c r="H1396" s="74"/>
      <c r="I1396" s="74">
        <f t="shared" si="190"/>
        <v>0</v>
      </c>
      <c r="J1396" s="74"/>
      <c r="K1396" s="74">
        <f t="shared" si="191"/>
        <v>0</v>
      </c>
      <c r="L1396" s="74"/>
      <c r="M1396" s="74">
        <f t="shared" si="192"/>
        <v>0</v>
      </c>
      <c r="N1396" s="74">
        <f t="shared" si="193"/>
        <v>0</v>
      </c>
      <c r="O1396" s="74">
        <f t="shared" si="194"/>
        <v>0</v>
      </c>
      <c r="P1396" s="74">
        <f t="shared" si="195"/>
        <v>0</v>
      </c>
      <c r="Q1396" s="74">
        <f t="shared" si="196"/>
        <v>0</v>
      </c>
    </row>
    <row r="1397" spans="1:17" ht="205.5" hidden="1" customHeight="1">
      <c r="A1397" s="83"/>
      <c r="B1397" s="72"/>
      <c r="C1397" s="82" t="s">
        <v>6286</v>
      </c>
      <c r="D1397" s="1232">
        <v>7500</v>
      </c>
      <c r="E1397" s="84" t="s">
        <v>727</v>
      </c>
      <c r="F1397" s="84"/>
      <c r="G1397" s="74">
        <f t="shared" si="189"/>
        <v>0</v>
      </c>
      <c r="H1397" s="74"/>
      <c r="I1397" s="74">
        <f t="shared" si="190"/>
        <v>0</v>
      </c>
      <c r="J1397" s="74"/>
      <c r="K1397" s="74">
        <f t="shared" si="191"/>
        <v>0</v>
      </c>
      <c r="L1397" s="74"/>
      <c r="M1397" s="74">
        <f t="shared" si="192"/>
        <v>0</v>
      </c>
      <c r="N1397" s="74">
        <f t="shared" si="193"/>
        <v>0</v>
      </c>
      <c r="O1397" s="74">
        <f t="shared" si="194"/>
        <v>0</v>
      </c>
      <c r="P1397" s="74">
        <f t="shared" si="195"/>
        <v>0</v>
      </c>
      <c r="Q1397" s="74">
        <f t="shared" si="196"/>
        <v>0</v>
      </c>
    </row>
    <row r="1398" spans="1:17" ht="97.5" hidden="1" customHeight="1">
      <c r="A1398" s="83"/>
      <c r="B1398" s="72"/>
      <c r="C1398" s="82" t="s">
        <v>6287</v>
      </c>
      <c r="D1398" s="1232">
        <v>2800</v>
      </c>
      <c r="E1398" s="84" t="s">
        <v>727</v>
      </c>
      <c r="F1398" s="84"/>
      <c r="G1398" s="74">
        <f t="shared" si="189"/>
        <v>0</v>
      </c>
      <c r="H1398" s="74"/>
      <c r="I1398" s="74">
        <f t="shared" si="190"/>
        <v>0</v>
      </c>
      <c r="J1398" s="74"/>
      <c r="K1398" s="74">
        <f t="shared" si="191"/>
        <v>0</v>
      </c>
      <c r="L1398" s="74"/>
      <c r="M1398" s="74">
        <f t="shared" si="192"/>
        <v>0</v>
      </c>
      <c r="N1398" s="74">
        <f t="shared" si="193"/>
        <v>0</v>
      </c>
      <c r="O1398" s="74">
        <f t="shared" si="194"/>
        <v>0</v>
      </c>
      <c r="P1398" s="74">
        <f t="shared" si="195"/>
        <v>0</v>
      </c>
      <c r="Q1398" s="74">
        <f t="shared" si="196"/>
        <v>0</v>
      </c>
    </row>
    <row r="1399" spans="1:17" ht="142.5" hidden="1" customHeight="1">
      <c r="A1399" s="83"/>
      <c r="B1399" s="72"/>
      <c r="C1399" s="82" t="s">
        <v>6288</v>
      </c>
      <c r="D1399" s="1232">
        <v>27572</v>
      </c>
      <c r="E1399" s="84" t="s">
        <v>727</v>
      </c>
      <c r="F1399" s="84"/>
      <c r="G1399" s="74">
        <f t="shared" si="189"/>
        <v>0</v>
      </c>
      <c r="H1399" s="74"/>
      <c r="I1399" s="74">
        <f t="shared" si="190"/>
        <v>0</v>
      </c>
      <c r="J1399" s="74"/>
      <c r="K1399" s="74">
        <f t="shared" si="191"/>
        <v>0</v>
      </c>
      <c r="L1399" s="74"/>
      <c r="M1399" s="74">
        <f t="shared" si="192"/>
        <v>0</v>
      </c>
      <c r="N1399" s="74">
        <f t="shared" si="193"/>
        <v>0</v>
      </c>
      <c r="O1399" s="74">
        <f t="shared" si="194"/>
        <v>0</v>
      </c>
      <c r="P1399" s="74">
        <f t="shared" si="195"/>
        <v>0</v>
      </c>
      <c r="Q1399" s="74">
        <f t="shared" si="196"/>
        <v>0</v>
      </c>
    </row>
    <row r="1400" spans="1:17" ht="126" hidden="1" customHeight="1">
      <c r="A1400" s="83"/>
      <c r="B1400" s="72"/>
      <c r="C1400" s="82" t="s">
        <v>6289</v>
      </c>
      <c r="D1400" s="1232">
        <v>37195</v>
      </c>
      <c r="E1400" s="84" t="s">
        <v>727</v>
      </c>
      <c r="F1400" s="84"/>
      <c r="G1400" s="74">
        <f t="shared" si="189"/>
        <v>0</v>
      </c>
      <c r="H1400" s="74"/>
      <c r="I1400" s="74">
        <f t="shared" si="190"/>
        <v>0</v>
      </c>
      <c r="J1400" s="74"/>
      <c r="K1400" s="74">
        <f t="shared" si="191"/>
        <v>0</v>
      </c>
      <c r="L1400" s="74"/>
      <c r="M1400" s="74">
        <f t="shared" si="192"/>
        <v>0</v>
      </c>
      <c r="N1400" s="74">
        <f t="shared" si="193"/>
        <v>0</v>
      </c>
      <c r="O1400" s="74">
        <f t="shared" si="194"/>
        <v>0</v>
      </c>
      <c r="P1400" s="74">
        <f t="shared" si="195"/>
        <v>0</v>
      </c>
      <c r="Q1400" s="74">
        <f t="shared" si="196"/>
        <v>0</v>
      </c>
    </row>
    <row r="1401" spans="1:17" ht="97.5" hidden="1" customHeight="1">
      <c r="A1401" s="83"/>
      <c r="B1401" s="72"/>
      <c r="C1401" s="82" t="s">
        <v>6290</v>
      </c>
      <c r="D1401" s="1232">
        <v>136</v>
      </c>
      <c r="E1401" s="84" t="s">
        <v>1774</v>
      </c>
      <c r="F1401" s="84"/>
      <c r="G1401" s="74">
        <f t="shared" si="189"/>
        <v>0</v>
      </c>
      <c r="H1401" s="74"/>
      <c r="I1401" s="74">
        <f t="shared" si="190"/>
        <v>0</v>
      </c>
      <c r="J1401" s="74"/>
      <c r="K1401" s="74">
        <f t="shared" si="191"/>
        <v>0</v>
      </c>
      <c r="L1401" s="74"/>
      <c r="M1401" s="74">
        <f t="shared" si="192"/>
        <v>0</v>
      </c>
      <c r="N1401" s="74">
        <f t="shared" si="193"/>
        <v>0</v>
      </c>
      <c r="O1401" s="74">
        <f t="shared" si="194"/>
        <v>0</v>
      </c>
      <c r="P1401" s="74">
        <f t="shared" si="195"/>
        <v>0</v>
      </c>
      <c r="Q1401" s="74">
        <f t="shared" si="196"/>
        <v>0</v>
      </c>
    </row>
    <row r="1402" spans="1:17" ht="97.5" hidden="1" customHeight="1">
      <c r="A1402" s="83"/>
      <c r="B1402" s="72"/>
      <c r="C1402" s="82" t="s">
        <v>6291</v>
      </c>
      <c r="D1402" s="1232">
        <v>4105</v>
      </c>
      <c r="E1402" s="84" t="s">
        <v>6292</v>
      </c>
      <c r="F1402" s="84"/>
      <c r="G1402" s="74">
        <f t="shared" si="189"/>
        <v>0</v>
      </c>
      <c r="H1402" s="74"/>
      <c r="I1402" s="74">
        <f t="shared" si="190"/>
        <v>0</v>
      </c>
      <c r="J1402" s="74"/>
      <c r="K1402" s="74">
        <f t="shared" si="191"/>
        <v>0</v>
      </c>
      <c r="L1402" s="74"/>
      <c r="M1402" s="74">
        <f t="shared" si="192"/>
        <v>0</v>
      </c>
      <c r="N1402" s="74">
        <f t="shared" si="193"/>
        <v>0</v>
      </c>
      <c r="O1402" s="74">
        <f t="shared" si="194"/>
        <v>0</v>
      </c>
      <c r="P1402" s="74">
        <f t="shared" si="195"/>
        <v>0</v>
      </c>
      <c r="Q1402" s="74">
        <f t="shared" si="196"/>
        <v>0</v>
      </c>
    </row>
    <row r="1403" spans="1:17" ht="97.5" hidden="1" customHeight="1">
      <c r="A1403" s="83"/>
      <c r="B1403" s="72"/>
      <c r="C1403" s="82" t="s">
        <v>6293</v>
      </c>
      <c r="D1403" s="1232">
        <v>2820</v>
      </c>
      <c r="E1403" s="84" t="s">
        <v>727</v>
      </c>
      <c r="F1403" s="84"/>
      <c r="G1403" s="74">
        <f t="shared" si="189"/>
        <v>0</v>
      </c>
      <c r="H1403" s="74"/>
      <c r="I1403" s="74">
        <f t="shared" si="190"/>
        <v>0</v>
      </c>
      <c r="J1403" s="74"/>
      <c r="K1403" s="74">
        <f t="shared" si="191"/>
        <v>0</v>
      </c>
      <c r="L1403" s="74"/>
      <c r="M1403" s="74">
        <f t="shared" si="192"/>
        <v>0</v>
      </c>
      <c r="N1403" s="74">
        <f t="shared" si="193"/>
        <v>0</v>
      </c>
      <c r="O1403" s="74">
        <f t="shared" si="194"/>
        <v>0</v>
      </c>
      <c r="P1403" s="74">
        <f t="shared" si="195"/>
        <v>0</v>
      </c>
      <c r="Q1403" s="74">
        <f t="shared" si="196"/>
        <v>0</v>
      </c>
    </row>
    <row r="1404" spans="1:17" ht="72" hidden="1" customHeight="1">
      <c r="A1404" s="83"/>
      <c r="B1404" s="72"/>
      <c r="C1404" s="1435" t="s">
        <v>6294</v>
      </c>
      <c r="D1404" s="1232"/>
      <c r="E1404" s="84"/>
      <c r="F1404" s="84"/>
      <c r="G1404" s="74">
        <f t="shared" si="189"/>
        <v>0</v>
      </c>
      <c r="H1404" s="74"/>
      <c r="I1404" s="74">
        <f t="shared" si="190"/>
        <v>0</v>
      </c>
      <c r="J1404" s="74"/>
      <c r="K1404" s="74">
        <f t="shared" si="191"/>
        <v>0</v>
      </c>
      <c r="L1404" s="74"/>
      <c r="M1404" s="74">
        <f t="shared" si="192"/>
        <v>0</v>
      </c>
      <c r="N1404" s="74">
        <f t="shared" si="193"/>
        <v>0</v>
      </c>
      <c r="O1404" s="74">
        <f t="shared" si="194"/>
        <v>0</v>
      </c>
      <c r="P1404" s="74">
        <f t="shared" si="195"/>
        <v>0</v>
      </c>
      <c r="Q1404" s="74">
        <f t="shared" si="196"/>
        <v>0</v>
      </c>
    </row>
    <row r="1405" spans="1:17" ht="159.75" hidden="1" customHeight="1">
      <c r="A1405" s="83"/>
      <c r="B1405" s="72"/>
      <c r="C1405" s="1435" t="s">
        <v>6295</v>
      </c>
      <c r="D1405" s="1232"/>
      <c r="E1405" s="84"/>
      <c r="F1405" s="84"/>
      <c r="G1405" s="74">
        <f t="shared" si="189"/>
        <v>0</v>
      </c>
      <c r="H1405" s="74"/>
      <c r="I1405" s="74">
        <f t="shared" si="190"/>
        <v>0</v>
      </c>
      <c r="J1405" s="74"/>
      <c r="K1405" s="74">
        <f t="shared" si="191"/>
        <v>0</v>
      </c>
      <c r="L1405" s="74"/>
      <c r="M1405" s="74">
        <f t="shared" si="192"/>
        <v>0</v>
      </c>
      <c r="N1405" s="74">
        <f t="shared" si="193"/>
        <v>0</v>
      </c>
      <c r="O1405" s="74">
        <f t="shared" si="194"/>
        <v>0</v>
      </c>
      <c r="P1405" s="74">
        <f t="shared" si="195"/>
        <v>0</v>
      </c>
      <c r="Q1405" s="74">
        <f t="shared" si="196"/>
        <v>0</v>
      </c>
    </row>
    <row r="1406" spans="1:17" ht="126" hidden="1" customHeight="1">
      <c r="A1406" s="83"/>
      <c r="B1406" s="72"/>
      <c r="C1406" s="82" t="s">
        <v>6296</v>
      </c>
      <c r="D1406" s="1232">
        <v>46132</v>
      </c>
      <c r="E1406" s="1232" t="s">
        <v>6297</v>
      </c>
      <c r="F1406" s="84"/>
      <c r="G1406" s="74">
        <f t="shared" si="189"/>
        <v>0</v>
      </c>
      <c r="H1406" s="74"/>
      <c r="I1406" s="74">
        <f t="shared" si="190"/>
        <v>0</v>
      </c>
      <c r="J1406" s="74"/>
      <c r="K1406" s="74">
        <f t="shared" si="191"/>
        <v>0</v>
      </c>
      <c r="L1406" s="74"/>
      <c r="M1406" s="74">
        <f t="shared" si="192"/>
        <v>0</v>
      </c>
      <c r="N1406" s="74">
        <f t="shared" si="193"/>
        <v>0</v>
      </c>
      <c r="O1406" s="74">
        <f t="shared" si="194"/>
        <v>0</v>
      </c>
      <c r="P1406" s="74">
        <f t="shared" si="195"/>
        <v>0</v>
      </c>
      <c r="Q1406" s="74">
        <f t="shared" si="196"/>
        <v>0</v>
      </c>
    </row>
    <row r="1407" spans="1:17" ht="180" hidden="1" customHeight="1">
      <c r="A1407" s="83"/>
      <c r="B1407" s="72"/>
      <c r="C1407" s="82" t="s">
        <v>6298</v>
      </c>
      <c r="D1407" s="1232">
        <v>34959</v>
      </c>
      <c r="E1407" s="1232" t="s">
        <v>6299</v>
      </c>
      <c r="F1407" s="84"/>
      <c r="G1407" s="74">
        <f t="shared" si="189"/>
        <v>0</v>
      </c>
      <c r="H1407" s="74"/>
      <c r="I1407" s="74">
        <f t="shared" si="190"/>
        <v>0</v>
      </c>
      <c r="J1407" s="74"/>
      <c r="K1407" s="74">
        <f t="shared" si="191"/>
        <v>0</v>
      </c>
      <c r="L1407" s="74"/>
      <c r="M1407" s="74">
        <f t="shared" si="192"/>
        <v>0</v>
      </c>
      <c r="N1407" s="74">
        <f t="shared" si="193"/>
        <v>0</v>
      </c>
      <c r="O1407" s="74">
        <f t="shared" si="194"/>
        <v>0</v>
      </c>
      <c r="P1407" s="74">
        <f t="shared" si="195"/>
        <v>0</v>
      </c>
      <c r="Q1407" s="74">
        <f t="shared" si="196"/>
        <v>0</v>
      </c>
    </row>
    <row r="1408" spans="1:17" ht="137.25" hidden="1" customHeight="1">
      <c r="A1408" s="83"/>
      <c r="B1408" s="72"/>
      <c r="C1408" s="82" t="s">
        <v>6300</v>
      </c>
      <c r="D1408" s="1232">
        <v>1900</v>
      </c>
      <c r="E1408" s="1232" t="s">
        <v>727</v>
      </c>
      <c r="F1408" s="67"/>
      <c r="G1408" s="74">
        <f t="shared" si="189"/>
        <v>0</v>
      </c>
      <c r="H1408" s="74"/>
      <c r="I1408" s="74">
        <f t="shared" si="190"/>
        <v>0</v>
      </c>
      <c r="J1408" s="74"/>
      <c r="K1408" s="74">
        <f t="shared" si="191"/>
        <v>0</v>
      </c>
      <c r="L1408" s="74"/>
      <c r="M1408" s="74">
        <f t="shared" si="192"/>
        <v>0</v>
      </c>
      <c r="N1408" s="74">
        <f t="shared" si="193"/>
        <v>0</v>
      </c>
      <c r="O1408" s="74">
        <f t="shared" si="194"/>
        <v>0</v>
      </c>
      <c r="P1408" s="74">
        <f t="shared" si="195"/>
        <v>0</v>
      </c>
      <c r="Q1408" s="74">
        <f t="shared" si="196"/>
        <v>0</v>
      </c>
    </row>
    <row r="1409" spans="1:17" ht="138.75" hidden="1" customHeight="1">
      <c r="A1409" s="83"/>
      <c r="B1409" s="72"/>
      <c r="C1409" s="82" t="s">
        <v>6301</v>
      </c>
      <c r="D1409" s="1232">
        <v>8939</v>
      </c>
      <c r="E1409" s="1232" t="s">
        <v>727</v>
      </c>
      <c r="F1409" s="84"/>
      <c r="G1409" s="74">
        <f t="shared" si="189"/>
        <v>0</v>
      </c>
      <c r="H1409" s="74"/>
      <c r="I1409" s="74">
        <f t="shared" si="190"/>
        <v>0</v>
      </c>
      <c r="J1409" s="74"/>
      <c r="K1409" s="74">
        <f t="shared" si="191"/>
        <v>0</v>
      </c>
      <c r="L1409" s="74"/>
      <c r="M1409" s="74">
        <f t="shared" si="192"/>
        <v>0</v>
      </c>
      <c r="N1409" s="74">
        <f t="shared" si="193"/>
        <v>0</v>
      </c>
      <c r="O1409" s="74">
        <f t="shared" si="194"/>
        <v>0</v>
      </c>
      <c r="P1409" s="74">
        <f t="shared" si="195"/>
        <v>0</v>
      </c>
      <c r="Q1409" s="74">
        <f t="shared" si="196"/>
        <v>0</v>
      </c>
    </row>
    <row r="1410" spans="1:17" ht="183" hidden="1" customHeight="1">
      <c r="A1410" s="83"/>
      <c r="B1410" s="72"/>
      <c r="C1410" s="82" t="s">
        <v>6302</v>
      </c>
      <c r="D1410" s="1232">
        <v>26856</v>
      </c>
      <c r="E1410" s="1232" t="s">
        <v>1715</v>
      </c>
      <c r="F1410" s="84"/>
      <c r="G1410" s="74">
        <f t="shared" si="189"/>
        <v>0</v>
      </c>
      <c r="H1410" s="74"/>
      <c r="I1410" s="74">
        <f t="shared" si="190"/>
        <v>0</v>
      </c>
      <c r="J1410" s="74"/>
      <c r="K1410" s="74">
        <f t="shared" si="191"/>
        <v>0</v>
      </c>
      <c r="L1410" s="74"/>
      <c r="M1410" s="74">
        <f t="shared" si="192"/>
        <v>0</v>
      </c>
      <c r="N1410" s="74">
        <f t="shared" si="193"/>
        <v>0</v>
      </c>
      <c r="O1410" s="74">
        <f t="shared" si="194"/>
        <v>0</v>
      </c>
      <c r="P1410" s="74">
        <f t="shared" si="195"/>
        <v>0</v>
      </c>
      <c r="Q1410" s="74">
        <f t="shared" si="196"/>
        <v>0</v>
      </c>
    </row>
    <row r="1411" spans="1:17" ht="66" hidden="1" customHeight="1">
      <c r="A1411" s="83"/>
      <c r="B1411" s="72"/>
      <c r="C1411" s="1435" t="s">
        <v>6303</v>
      </c>
      <c r="D1411" s="1232"/>
      <c r="E1411" s="1232"/>
      <c r="F1411" s="84"/>
      <c r="G1411" s="74">
        <f t="shared" si="189"/>
        <v>0</v>
      </c>
      <c r="H1411" s="74"/>
      <c r="I1411" s="74">
        <f t="shared" si="190"/>
        <v>0</v>
      </c>
      <c r="J1411" s="74"/>
      <c r="K1411" s="74">
        <f t="shared" si="191"/>
        <v>0</v>
      </c>
      <c r="L1411" s="74"/>
      <c r="M1411" s="74">
        <f t="shared" si="192"/>
        <v>0</v>
      </c>
      <c r="N1411" s="74">
        <f t="shared" si="193"/>
        <v>0</v>
      </c>
      <c r="O1411" s="74">
        <f t="shared" si="194"/>
        <v>0</v>
      </c>
      <c r="P1411" s="74">
        <f t="shared" si="195"/>
        <v>0</v>
      </c>
      <c r="Q1411" s="74">
        <f t="shared" si="196"/>
        <v>0</v>
      </c>
    </row>
    <row r="1412" spans="1:17" ht="181.5" hidden="1" customHeight="1">
      <c r="A1412" s="83"/>
      <c r="B1412" s="72"/>
      <c r="C1412" s="82" t="s">
        <v>6304</v>
      </c>
      <c r="D1412" s="1232">
        <v>101</v>
      </c>
      <c r="E1412" s="1232" t="s">
        <v>1774</v>
      </c>
      <c r="F1412" s="84"/>
      <c r="G1412" s="74">
        <f t="shared" si="189"/>
        <v>0</v>
      </c>
      <c r="H1412" s="74"/>
      <c r="I1412" s="74">
        <f t="shared" si="190"/>
        <v>0</v>
      </c>
      <c r="J1412" s="74"/>
      <c r="K1412" s="74">
        <f t="shared" si="191"/>
        <v>0</v>
      </c>
      <c r="L1412" s="74"/>
      <c r="M1412" s="74">
        <f t="shared" si="192"/>
        <v>0</v>
      </c>
      <c r="N1412" s="74">
        <f t="shared" si="193"/>
        <v>0</v>
      </c>
      <c r="O1412" s="74">
        <f t="shared" si="194"/>
        <v>0</v>
      </c>
      <c r="P1412" s="74">
        <f t="shared" si="195"/>
        <v>0</v>
      </c>
      <c r="Q1412" s="74">
        <f t="shared" si="196"/>
        <v>0</v>
      </c>
    </row>
    <row r="1413" spans="1:17" ht="68.25" hidden="1" customHeight="1">
      <c r="A1413" s="83"/>
      <c r="B1413" s="72"/>
      <c r="C1413" s="1435" t="s">
        <v>6305</v>
      </c>
      <c r="D1413" s="1232"/>
      <c r="E1413" s="1232"/>
      <c r="F1413" s="84"/>
      <c r="G1413" s="74">
        <f t="shared" si="189"/>
        <v>0</v>
      </c>
      <c r="H1413" s="74"/>
      <c r="I1413" s="74">
        <f t="shared" si="190"/>
        <v>0</v>
      </c>
      <c r="J1413" s="74"/>
      <c r="K1413" s="74">
        <f t="shared" si="191"/>
        <v>0</v>
      </c>
      <c r="L1413" s="74"/>
      <c r="M1413" s="74">
        <f t="shared" si="192"/>
        <v>0</v>
      </c>
      <c r="N1413" s="74">
        <f t="shared" si="193"/>
        <v>0</v>
      </c>
      <c r="O1413" s="74">
        <f t="shared" si="194"/>
        <v>0</v>
      </c>
      <c r="P1413" s="74">
        <f t="shared" si="195"/>
        <v>0</v>
      </c>
      <c r="Q1413" s="74">
        <f t="shared" si="196"/>
        <v>0</v>
      </c>
    </row>
    <row r="1414" spans="1:17" ht="150.75" hidden="1" customHeight="1">
      <c r="A1414" s="83"/>
      <c r="B1414" s="72"/>
      <c r="C1414" s="82" t="s">
        <v>6306</v>
      </c>
      <c r="D1414" s="1232">
        <v>85000</v>
      </c>
      <c r="E1414" s="1232" t="s">
        <v>729</v>
      </c>
      <c r="F1414" s="84"/>
      <c r="G1414" s="74">
        <f t="shared" ref="G1414:G1464" si="197">F1414*D1414</f>
        <v>0</v>
      </c>
      <c r="H1414" s="74"/>
      <c r="I1414" s="74">
        <f t="shared" ref="I1414:I1464" si="198">H1414*D1414</f>
        <v>0</v>
      </c>
      <c r="J1414" s="74"/>
      <c r="K1414" s="74">
        <f t="shared" ref="K1414:K1464" si="199">J1414*D1414</f>
        <v>0</v>
      </c>
      <c r="L1414" s="74"/>
      <c r="M1414" s="74">
        <f t="shared" ref="M1414:M1464" si="200">L1414*D1414</f>
        <v>0</v>
      </c>
      <c r="N1414" s="74">
        <f t="shared" ref="N1414:N1464" si="201">H1414+J1414+L1414</f>
        <v>0</v>
      </c>
      <c r="O1414" s="74">
        <f t="shared" ref="O1414:O1464" si="202">N1414*D1414</f>
        <v>0</v>
      </c>
      <c r="P1414" s="74">
        <f t="shared" ref="P1414:P1464" si="203">N1414+F1414</f>
        <v>0</v>
      </c>
      <c r="Q1414" s="74">
        <f t="shared" ref="Q1414:Q1450" si="204">P1414*D1414</f>
        <v>0</v>
      </c>
    </row>
    <row r="1415" spans="1:17" ht="110.25" hidden="1" customHeight="1">
      <c r="A1415" s="83"/>
      <c r="B1415" s="72"/>
      <c r="C1415" s="82" t="s">
        <v>6307</v>
      </c>
      <c r="D1415" s="1232">
        <v>15000</v>
      </c>
      <c r="E1415" s="1232" t="s">
        <v>729</v>
      </c>
      <c r="F1415" s="84"/>
      <c r="G1415" s="74">
        <f t="shared" si="197"/>
        <v>0</v>
      </c>
      <c r="H1415" s="74"/>
      <c r="I1415" s="74">
        <f t="shared" si="198"/>
        <v>0</v>
      </c>
      <c r="J1415" s="74"/>
      <c r="K1415" s="74">
        <f t="shared" si="199"/>
        <v>0</v>
      </c>
      <c r="L1415" s="74"/>
      <c r="M1415" s="74">
        <f t="shared" si="200"/>
        <v>0</v>
      </c>
      <c r="N1415" s="74">
        <f t="shared" si="201"/>
        <v>0</v>
      </c>
      <c r="O1415" s="74">
        <f t="shared" si="202"/>
        <v>0</v>
      </c>
      <c r="P1415" s="74">
        <f t="shared" si="203"/>
        <v>0</v>
      </c>
      <c r="Q1415" s="74">
        <f t="shared" si="204"/>
        <v>0</v>
      </c>
    </row>
    <row r="1416" spans="1:17" ht="93" hidden="1" customHeight="1">
      <c r="A1416" s="83"/>
      <c r="B1416" s="72"/>
      <c r="C1416" s="82" t="s">
        <v>6308</v>
      </c>
      <c r="D1416" s="1232">
        <v>555</v>
      </c>
      <c r="E1416" s="1232" t="s">
        <v>13</v>
      </c>
      <c r="F1416" s="84"/>
      <c r="G1416" s="74">
        <f t="shared" si="197"/>
        <v>0</v>
      </c>
      <c r="H1416" s="74"/>
      <c r="I1416" s="74">
        <f t="shared" si="198"/>
        <v>0</v>
      </c>
      <c r="J1416" s="74"/>
      <c r="K1416" s="74">
        <f t="shared" si="199"/>
        <v>0</v>
      </c>
      <c r="L1416" s="74"/>
      <c r="M1416" s="74">
        <f t="shared" si="200"/>
        <v>0</v>
      </c>
      <c r="N1416" s="74">
        <f t="shared" si="201"/>
        <v>0</v>
      </c>
      <c r="O1416" s="74">
        <f t="shared" si="202"/>
        <v>0</v>
      </c>
      <c r="P1416" s="74">
        <f t="shared" si="203"/>
        <v>0</v>
      </c>
      <c r="Q1416" s="74">
        <f t="shared" si="204"/>
        <v>0</v>
      </c>
    </row>
    <row r="1417" spans="1:17" ht="105.75" hidden="1" customHeight="1">
      <c r="A1417" s="83"/>
      <c r="B1417" s="72"/>
      <c r="C1417" s="82" t="s">
        <v>6309</v>
      </c>
      <c r="D1417" s="1232">
        <v>5500</v>
      </c>
      <c r="E1417" s="1232" t="s">
        <v>41</v>
      </c>
      <c r="F1417" s="84"/>
      <c r="G1417" s="74">
        <f t="shared" si="197"/>
        <v>0</v>
      </c>
      <c r="H1417" s="74"/>
      <c r="I1417" s="74">
        <f t="shared" si="198"/>
        <v>0</v>
      </c>
      <c r="J1417" s="74"/>
      <c r="K1417" s="74">
        <f t="shared" si="199"/>
        <v>0</v>
      </c>
      <c r="L1417" s="74"/>
      <c r="M1417" s="74">
        <f t="shared" si="200"/>
        <v>0</v>
      </c>
      <c r="N1417" s="74">
        <f t="shared" si="201"/>
        <v>0</v>
      </c>
      <c r="O1417" s="74">
        <f t="shared" si="202"/>
        <v>0</v>
      </c>
      <c r="P1417" s="74">
        <f t="shared" si="203"/>
        <v>0</v>
      </c>
      <c r="Q1417" s="74">
        <f t="shared" si="204"/>
        <v>0</v>
      </c>
    </row>
    <row r="1418" spans="1:17" ht="75.75" hidden="1" customHeight="1">
      <c r="A1418" s="83"/>
      <c r="B1418" s="72"/>
      <c r="C1418" s="82" t="s">
        <v>6310</v>
      </c>
      <c r="D1418" s="1232">
        <v>5000</v>
      </c>
      <c r="E1418" s="1232" t="s">
        <v>729</v>
      </c>
      <c r="F1418" s="84"/>
      <c r="G1418" s="74">
        <f t="shared" si="197"/>
        <v>0</v>
      </c>
      <c r="H1418" s="74"/>
      <c r="I1418" s="74">
        <f t="shared" si="198"/>
        <v>0</v>
      </c>
      <c r="J1418" s="74"/>
      <c r="K1418" s="74">
        <f t="shared" si="199"/>
        <v>0</v>
      </c>
      <c r="L1418" s="74"/>
      <c r="M1418" s="74">
        <f t="shared" si="200"/>
        <v>0</v>
      </c>
      <c r="N1418" s="74">
        <f t="shared" si="201"/>
        <v>0</v>
      </c>
      <c r="O1418" s="74">
        <f t="shared" si="202"/>
        <v>0</v>
      </c>
      <c r="P1418" s="74">
        <f t="shared" si="203"/>
        <v>0</v>
      </c>
      <c r="Q1418" s="74">
        <f t="shared" si="204"/>
        <v>0</v>
      </c>
    </row>
    <row r="1419" spans="1:17" ht="75.75" hidden="1" customHeight="1">
      <c r="A1419" s="83"/>
      <c r="B1419" s="72"/>
      <c r="C1419" s="82" t="s">
        <v>6311</v>
      </c>
      <c r="D1419" s="1232">
        <v>1200</v>
      </c>
      <c r="E1419" s="1232" t="s">
        <v>13</v>
      </c>
      <c r="F1419" s="84"/>
      <c r="G1419" s="74">
        <f t="shared" si="197"/>
        <v>0</v>
      </c>
      <c r="H1419" s="74"/>
      <c r="I1419" s="74">
        <f t="shared" si="198"/>
        <v>0</v>
      </c>
      <c r="J1419" s="74"/>
      <c r="K1419" s="74">
        <f t="shared" si="199"/>
        <v>0</v>
      </c>
      <c r="L1419" s="74"/>
      <c r="M1419" s="74">
        <f t="shared" si="200"/>
        <v>0</v>
      </c>
      <c r="N1419" s="74">
        <f t="shared" si="201"/>
        <v>0</v>
      </c>
      <c r="O1419" s="74">
        <f t="shared" si="202"/>
        <v>0</v>
      </c>
      <c r="P1419" s="74">
        <f t="shared" si="203"/>
        <v>0</v>
      </c>
      <c r="Q1419" s="74">
        <f t="shared" si="204"/>
        <v>0</v>
      </c>
    </row>
    <row r="1420" spans="1:17" ht="75.75" hidden="1" customHeight="1">
      <c r="A1420" s="83"/>
      <c r="B1420" s="72"/>
      <c r="C1420" s="82" t="s">
        <v>6312</v>
      </c>
      <c r="D1420" s="1232">
        <v>12800</v>
      </c>
      <c r="E1420" s="1232" t="s">
        <v>729</v>
      </c>
      <c r="F1420" s="84"/>
      <c r="G1420" s="74">
        <f t="shared" si="197"/>
        <v>0</v>
      </c>
      <c r="H1420" s="74"/>
      <c r="I1420" s="74">
        <f t="shared" si="198"/>
        <v>0</v>
      </c>
      <c r="J1420" s="74"/>
      <c r="K1420" s="74">
        <f t="shared" si="199"/>
        <v>0</v>
      </c>
      <c r="L1420" s="74"/>
      <c r="M1420" s="74">
        <f t="shared" si="200"/>
        <v>0</v>
      </c>
      <c r="N1420" s="74">
        <f t="shared" si="201"/>
        <v>0</v>
      </c>
      <c r="O1420" s="74">
        <f t="shared" si="202"/>
        <v>0</v>
      </c>
      <c r="P1420" s="74">
        <f t="shared" si="203"/>
        <v>0</v>
      </c>
      <c r="Q1420" s="74">
        <f t="shared" si="204"/>
        <v>0</v>
      </c>
    </row>
    <row r="1421" spans="1:17" ht="75.75" hidden="1" customHeight="1">
      <c r="A1421" s="83"/>
      <c r="B1421" s="72"/>
      <c r="C1421" s="82" t="s">
        <v>6313</v>
      </c>
      <c r="D1421" s="1232">
        <v>12000</v>
      </c>
      <c r="E1421" s="1232" t="s">
        <v>1715</v>
      </c>
      <c r="F1421" s="84"/>
      <c r="G1421" s="74">
        <f t="shared" si="197"/>
        <v>0</v>
      </c>
      <c r="H1421" s="74"/>
      <c r="I1421" s="74">
        <f t="shared" si="198"/>
        <v>0</v>
      </c>
      <c r="J1421" s="74"/>
      <c r="K1421" s="74">
        <f t="shared" si="199"/>
        <v>0</v>
      </c>
      <c r="L1421" s="74"/>
      <c r="M1421" s="74">
        <f t="shared" si="200"/>
        <v>0</v>
      </c>
      <c r="N1421" s="74">
        <f t="shared" si="201"/>
        <v>0</v>
      </c>
      <c r="O1421" s="74">
        <f t="shared" si="202"/>
        <v>0</v>
      </c>
      <c r="P1421" s="74">
        <f t="shared" si="203"/>
        <v>0</v>
      </c>
      <c r="Q1421" s="74">
        <f t="shared" si="204"/>
        <v>0</v>
      </c>
    </row>
    <row r="1422" spans="1:17" ht="75.75" hidden="1" customHeight="1">
      <c r="A1422" s="83"/>
      <c r="B1422" s="72"/>
      <c r="C1422" s="82" t="s">
        <v>6314</v>
      </c>
      <c r="D1422" s="1232">
        <v>7000</v>
      </c>
      <c r="E1422" s="1232" t="s">
        <v>1715</v>
      </c>
      <c r="F1422" s="84"/>
      <c r="G1422" s="74">
        <f t="shared" si="197"/>
        <v>0</v>
      </c>
      <c r="H1422" s="74"/>
      <c r="I1422" s="74">
        <f t="shared" si="198"/>
        <v>0</v>
      </c>
      <c r="J1422" s="74"/>
      <c r="K1422" s="74">
        <f t="shared" si="199"/>
        <v>0</v>
      </c>
      <c r="L1422" s="74"/>
      <c r="M1422" s="74">
        <f t="shared" si="200"/>
        <v>0</v>
      </c>
      <c r="N1422" s="74">
        <f t="shared" si="201"/>
        <v>0</v>
      </c>
      <c r="O1422" s="74">
        <f t="shared" si="202"/>
        <v>0</v>
      </c>
      <c r="P1422" s="74">
        <f t="shared" si="203"/>
        <v>0</v>
      </c>
      <c r="Q1422" s="74">
        <f t="shared" si="204"/>
        <v>0</v>
      </c>
    </row>
    <row r="1423" spans="1:17" ht="75.75" hidden="1" customHeight="1">
      <c r="A1423" s="83"/>
      <c r="B1423" s="72"/>
      <c r="C1423" s="82" t="s">
        <v>6315</v>
      </c>
      <c r="D1423" s="1232">
        <v>1200</v>
      </c>
      <c r="E1423" s="1232" t="s">
        <v>729</v>
      </c>
      <c r="F1423" s="84"/>
      <c r="G1423" s="74">
        <f t="shared" si="197"/>
        <v>0</v>
      </c>
      <c r="H1423" s="74"/>
      <c r="I1423" s="74">
        <f t="shared" si="198"/>
        <v>0</v>
      </c>
      <c r="J1423" s="74"/>
      <c r="K1423" s="74">
        <f t="shared" si="199"/>
        <v>0</v>
      </c>
      <c r="L1423" s="74"/>
      <c r="M1423" s="74">
        <f t="shared" si="200"/>
        <v>0</v>
      </c>
      <c r="N1423" s="74">
        <f t="shared" si="201"/>
        <v>0</v>
      </c>
      <c r="O1423" s="74">
        <f t="shared" si="202"/>
        <v>0</v>
      </c>
      <c r="P1423" s="74">
        <f t="shared" si="203"/>
        <v>0</v>
      </c>
      <c r="Q1423" s="74">
        <f t="shared" si="204"/>
        <v>0</v>
      </c>
    </row>
    <row r="1424" spans="1:17" ht="132" hidden="1" customHeight="1">
      <c r="A1424" s="83"/>
      <c r="B1424" s="72"/>
      <c r="C1424" s="82" t="s">
        <v>6316</v>
      </c>
      <c r="D1424" s="1232">
        <v>4500</v>
      </c>
      <c r="E1424" s="1232" t="s">
        <v>729</v>
      </c>
      <c r="F1424" s="84"/>
      <c r="G1424" s="74">
        <f t="shared" si="197"/>
        <v>0</v>
      </c>
      <c r="H1424" s="74"/>
      <c r="I1424" s="74">
        <f t="shared" si="198"/>
        <v>0</v>
      </c>
      <c r="J1424" s="74"/>
      <c r="K1424" s="74">
        <f t="shared" si="199"/>
        <v>0</v>
      </c>
      <c r="L1424" s="74"/>
      <c r="M1424" s="74">
        <f t="shared" si="200"/>
        <v>0</v>
      </c>
      <c r="N1424" s="74">
        <f t="shared" si="201"/>
        <v>0</v>
      </c>
      <c r="O1424" s="74">
        <f t="shared" si="202"/>
        <v>0</v>
      </c>
      <c r="P1424" s="74">
        <f t="shared" si="203"/>
        <v>0</v>
      </c>
      <c r="Q1424" s="74">
        <f t="shared" si="204"/>
        <v>0</v>
      </c>
    </row>
    <row r="1425" spans="1:17" ht="156.75" hidden="1" customHeight="1">
      <c r="A1425" s="83"/>
      <c r="B1425" s="72"/>
      <c r="C1425" s="82" t="s">
        <v>6317</v>
      </c>
      <c r="D1425" s="1232">
        <v>77000</v>
      </c>
      <c r="E1425" s="1232" t="s">
        <v>41</v>
      </c>
      <c r="F1425" s="84"/>
      <c r="G1425" s="74">
        <f t="shared" si="197"/>
        <v>0</v>
      </c>
      <c r="H1425" s="74"/>
      <c r="I1425" s="74">
        <f t="shared" si="198"/>
        <v>0</v>
      </c>
      <c r="J1425" s="74"/>
      <c r="K1425" s="74">
        <f t="shared" si="199"/>
        <v>0</v>
      </c>
      <c r="L1425" s="74"/>
      <c r="M1425" s="74">
        <f t="shared" si="200"/>
        <v>0</v>
      </c>
      <c r="N1425" s="74">
        <f t="shared" si="201"/>
        <v>0</v>
      </c>
      <c r="O1425" s="74">
        <f t="shared" si="202"/>
        <v>0</v>
      </c>
      <c r="P1425" s="74">
        <f t="shared" si="203"/>
        <v>0</v>
      </c>
      <c r="Q1425" s="74">
        <f t="shared" si="204"/>
        <v>0</v>
      </c>
    </row>
    <row r="1426" spans="1:17" ht="75.75" hidden="1" customHeight="1">
      <c r="A1426" s="83"/>
      <c r="B1426" s="72"/>
      <c r="C1426" s="82" t="s">
        <v>6318</v>
      </c>
      <c r="D1426" s="1232">
        <v>1700</v>
      </c>
      <c r="E1426" s="1232" t="s">
        <v>41</v>
      </c>
      <c r="F1426" s="84"/>
      <c r="G1426" s="74">
        <f t="shared" si="197"/>
        <v>0</v>
      </c>
      <c r="H1426" s="74"/>
      <c r="I1426" s="74">
        <f t="shared" si="198"/>
        <v>0</v>
      </c>
      <c r="J1426" s="74"/>
      <c r="K1426" s="74">
        <f t="shared" si="199"/>
        <v>0</v>
      </c>
      <c r="L1426" s="74"/>
      <c r="M1426" s="74">
        <f t="shared" si="200"/>
        <v>0</v>
      </c>
      <c r="N1426" s="74">
        <f t="shared" si="201"/>
        <v>0</v>
      </c>
      <c r="O1426" s="74">
        <f t="shared" si="202"/>
        <v>0</v>
      </c>
      <c r="P1426" s="74">
        <f t="shared" si="203"/>
        <v>0</v>
      </c>
      <c r="Q1426" s="74">
        <f t="shared" si="204"/>
        <v>0</v>
      </c>
    </row>
    <row r="1427" spans="1:17" ht="75.75" hidden="1" customHeight="1">
      <c r="A1427" s="83"/>
      <c r="B1427" s="72"/>
      <c r="C1427" s="82" t="s">
        <v>6319</v>
      </c>
      <c r="D1427" s="1232">
        <v>1800</v>
      </c>
      <c r="E1427" s="1232" t="s">
        <v>41</v>
      </c>
      <c r="F1427" s="84"/>
      <c r="G1427" s="74">
        <f t="shared" si="197"/>
        <v>0</v>
      </c>
      <c r="H1427" s="74"/>
      <c r="I1427" s="74">
        <f t="shared" si="198"/>
        <v>0</v>
      </c>
      <c r="J1427" s="74"/>
      <c r="K1427" s="74">
        <f t="shared" si="199"/>
        <v>0</v>
      </c>
      <c r="L1427" s="74"/>
      <c r="M1427" s="74">
        <f t="shared" si="200"/>
        <v>0</v>
      </c>
      <c r="N1427" s="74">
        <f t="shared" si="201"/>
        <v>0</v>
      </c>
      <c r="O1427" s="74">
        <f t="shared" si="202"/>
        <v>0</v>
      </c>
      <c r="P1427" s="74">
        <f t="shared" si="203"/>
        <v>0</v>
      </c>
      <c r="Q1427" s="74">
        <f t="shared" si="204"/>
        <v>0</v>
      </c>
    </row>
    <row r="1428" spans="1:17" ht="75.75" hidden="1" customHeight="1">
      <c r="A1428" s="83"/>
      <c r="B1428" s="72"/>
      <c r="C1428" s="82" t="s">
        <v>6320</v>
      </c>
      <c r="D1428" s="1232">
        <v>160</v>
      </c>
      <c r="E1428" s="1232" t="s">
        <v>13</v>
      </c>
      <c r="F1428" s="84"/>
      <c r="G1428" s="74">
        <f t="shared" si="197"/>
        <v>0</v>
      </c>
      <c r="H1428" s="74"/>
      <c r="I1428" s="74">
        <f t="shared" si="198"/>
        <v>0</v>
      </c>
      <c r="J1428" s="74"/>
      <c r="K1428" s="74">
        <f t="shared" si="199"/>
        <v>0</v>
      </c>
      <c r="L1428" s="74"/>
      <c r="M1428" s="74">
        <f t="shared" si="200"/>
        <v>0</v>
      </c>
      <c r="N1428" s="74">
        <f t="shared" si="201"/>
        <v>0</v>
      </c>
      <c r="O1428" s="74">
        <f t="shared" si="202"/>
        <v>0</v>
      </c>
      <c r="P1428" s="74">
        <f t="shared" si="203"/>
        <v>0</v>
      </c>
      <c r="Q1428" s="74">
        <f t="shared" si="204"/>
        <v>0</v>
      </c>
    </row>
    <row r="1429" spans="1:17" ht="75.75" hidden="1" customHeight="1">
      <c r="A1429" s="83"/>
      <c r="B1429" s="72"/>
      <c r="C1429" s="82" t="s">
        <v>6321</v>
      </c>
      <c r="D1429" s="1232">
        <v>2100</v>
      </c>
      <c r="E1429" s="1232" t="s">
        <v>41</v>
      </c>
      <c r="F1429" s="84"/>
      <c r="G1429" s="74">
        <f t="shared" si="197"/>
        <v>0</v>
      </c>
      <c r="H1429" s="74"/>
      <c r="I1429" s="74">
        <f t="shared" si="198"/>
        <v>0</v>
      </c>
      <c r="J1429" s="74"/>
      <c r="K1429" s="74">
        <f t="shared" si="199"/>
        <v>0</v>
      </c>
      <c r="L1429" s="74"/>
      <c r="M1429" s="74">
        <f t="shared" si="200"/>
        <v>0</v>
      </c>
      <c r="N1429" s="74">
        <f t="shared" si="201"/>
        <v>0</v>
      </c>
      <c r="O1429" s="74">
        <f t="shared" si="202"/>
        <v>0</v>
      </c>
      <c r="P1429" s="74">
        <f t="shared" si="203"/>
        <v>0</v>
      </c>
      <c r="Q1429" s="74">
        <f t="shared" si="204"/>
        <v>0</v>
      </c>
    </row>
    <row r="1430" spans="1:17" ht="75.75" hidden="1" customHeight="1">
      <c r="A1430" s="83"/>
      <c r="B1430" s="72"/>
      <c r="C1430" s="82" t="s">
        <v>6322</v>
      </c>
      <c r="D1430" s="1232">
        <v>5000</v>
      </c>
      <c r="E1430" s="1232" t="s">
        <v>41</v>
      </c>
      <c r="F1430" s="84"/>
      <c r="G1430" s="74">
        <f t="shared" si="197"/>
        <v>0</v>
      </c>
      <c r="H1430" s="74"/>
      <c r="I1430" s="74">
        <f t="shared" si="198"/>
        <v>0</v>
      </c>
      <c r="J1430" s="74"/>
      <c r="K1430" s="74">
        <f t="shared" si="199"/>
        <v>0</v>
      </c>
      <c r="L1430" s="74"/>
      <c r="M1430" s="74">
        <f t="shared" si="200"/>
        <v>0</v>
      </c>
      <c r="N1430" s="74">
        <f t="shared" si="201"/>
        <v>0</v>
      </c>
      <c r="O1430" s="74">
        <f t="shared" si="202"/>
        <v>0</v>
      </c>
      <c r="P1430" s="74">
        <f t="shared" si="203"/>
        <v>0</v>
      </c>
      <c r="Q1430" s="74">
        <f t="shared" si="204"/>
        <v>0</v>
      </c>
    </row>
    <row r="1431" spans="1:17" ht="75.75" hidden="1" customHeight="1">
      <c r="A1431" s="83"/>
      <c r="B1431" s="72"/>
      <c r="C1431" s="1435" t="s">
        <v>6323</v>
      </c>
      <c r="D1431" s="1232"/>
      <c r="E1431" s="1232"/>
      <c r="F1431" s="84"/>
      <c r="G1431" s="74">
        <f t="shared" si="197"/>
        <v>0</v>
      </c>
      <c r="H1431" s="74"/>
      <c r="I1431" s="74">
        <f t="shared" si="198"/>
        <v>0</v>
      </c>
      <c r="J1431" s="74"/>
      <c r="K1431" s="74">
        <f t="shared" si="199"/>
        <v>0</v>
      </c>
      <c r="L1431" s="74"/>
      <c r="M1431" s="74">
        <f t="shared" si="200"/>
        <v>0</v>
      </c>
      <c r="N1431" s="74">
        <f t="shared" si="201"/>
        <v>0</v>
      </c>
      <c r="O1431" s="74">
        <f t="shared" si="202"/>
        <v>0</v>
      </c>
      <c r="P1431" s="74">
        <f t="shared" si="203"/>
        <v>0</v>
      </c>
      <c r="Q1431" s="74">
        <f t="shared" si="204"/>
        <v>0</v>
      </c>
    </row>
    <row r="1432" spans="1:17" ht="125.25" hidden="1" customHeight="1">
      <c r="A1432" s="83"/>
      <c r="B1432" s="72"/>
      <c r="C1432" s="82" t="s">
        <v>6324</v>
      </c>
      <c r="D1432" s="1232">
        <v>73120</v>
      </c>
      <c r="E1432" s="1232" t="s">
        <v>41</v>
      </c>
      <c r="F1432" s="84"/>
      <c r="G1432" s="74">
        <f t="shared" si="197"/>
        <v>0</v>
      </c>
      <c r="H1432" s="74"/>
      <c r="I1432" s="74">
        <f t="shared" si="198"/>
        <v>0</v>
      </c>
      <c r="J1432" s="74"/>
      <c r="K1432" s="74">
        <f t="shared" si="199"/>
        <v>0</v>
      </c>
      <c r="L1432" s="74"/>
      <c r="M1432" s="74">
        <f t="shared" si="200"/>
        <v>0</v>
      </c>
      <c r="N1432" s="74">
        <f t="shared" si="201"/>
        <v>0</v>
      </c>
      <c r="O1432" s="74">
        <f t="shared" si="202"/>
        <v>0</v>
      </c>
      <c r="P1432" s="74">
        <f t="shared" si="203"/>
        <v>0</v>
      </c>
      <c r="Q1432" s="74">
        <f t="shared" si="204"/>
        <v>0</v>
      </c>
    </row>
    <row r="1433" spans="1:17" ht="128.25" hidden="1" customHeight="1">
      <c r="A1433" s="83"/>
      <c r="B1433" s="72"/>
      <c r="C1433" s="82" t="s">
        <v>6325</v>
      </c>
      <c r="D1433" s="1232">
        <v>20000</v>
      </c>
      <c r="E1433" s="1232" t="s">
        <v>41</v>
      </c>
      <c r="F1433" s="84"/>
      <c r="G1433" s="74">
        <f t="shared" si="197"/>
        <v>0</v>
      </c>
      <c r="H1433" s="74"/>
      <c r="I1433" s="74">
        <f t="shared" si="198"/>
        <v>0</v>
      </c>
      <c r="J1433" s="74"/>
      <c r="K1433" s="74">
        <f t="shared" si="199"/>
        <v>0</v>
      </c>
      <c r="L1433" s="74"/>
      <c r="M1433" s="74">
        <f t="shared" si="200"/>
        <v>0</v>
      </c>
      <c r="N1433" s="74">
        <f t="shared" si="201"/>
        <v>0</v>
      </c>
      <c r="O1433" s="74">
        <f t="shared" si="202"/>
        <v>0</v>
      </c>
      <c r="P1433" s="74">
        <f t="shared" si="203"/>
        <v>0</v>
      </c>
      <c r="Q1433" s="74">
        <f t="shared" si="204"/>
        <v>0</v>
      </c>
    </row>
    <row r="1434" spans="1:17" ht="120.75" hidden="1" customHeight="1">
      <c r="A1434" s="83"/>
      <c r="B1434" s="72"/>
      <c r="C1434" s="82" t="s">
        <v>6326</v>
      </c>
      <c r="D1434" s="1232">
        <v>24000</v>
      </c>
      <c r="E1434" s="1232" t="s">
        <v>41</v>
      </c>
      <c r="F1434" s="84"/>
      <c r="G1434" s="74">
        <f t="shared" si="197"/>
        <v>0</v>
      </c>
      <c r="H1434" s="74"/>
      <c r="I1434" s="74">
        <f t="shared" si="198"/>
        <v>0</v>
      </c>
      <c r="J1434" s="74"/>
      <c r="K1434" s="74">
        <f t="shared" si="199"/>
        <v>0</v>
      </c>
      <c r="L1434" s="74"/>
      <c r="M1434" s="74">
        <f t="shared" si="200"/>
        <v>0</v>
      </c>
      <c r="N1434" s="74">
        <f t="shared" si="201"/>
        <v>0</v>
      </c>
      <c r="O1434" s="74">
        <f t="shared" si="202"/>
        <v>0</v>
      </c>
      <c r="P1434" s="74">
        <f t="shared" si="203"/>
        <v>0</v>
      </c>
      <c r="Q1434" s="74">
        <f t="shared" si="204"/>
        <v>0</v>
      </c>
    </row>
    <row r="1435" spans="1:17" ht="119.25" hidden="1" customHeight="1">
      <c r="A1435" s="83"/>
      <c r="B1435" s="72"/>
      <c r="C1435" s="82" t="s">
        <v>6327</v>
      </c>
      <c r="D1435" s="1232">
        <v>700</v>
      </c>
      <c r="E1435" s="1232" t="s">
        <v>13</v>
      </c>
      <c r="F1435" s="84"/>
      <c r="G1435" s="74">
        <f t="shared" si="197"/>
        <v>0</v>
      </c>
      <c r="H1435" s="74"/>
      <c r="I1435" s="74">
        <f t="shared" si="198"/>
        <v>0</v>
      </c>
      <c r="J1435" s="74"/>
      <c r="K1435" s="74">
        <f t="shared" si="199"/>
        <v>0</v>
      </c>
      <c r="L1435" s="74"/>
      <c r="M1435" s="74">
        <f t="shared" si="200"/>
        <v>0</v>
      </c>
      <c r="N1435" s="74">
        <f t="shared" si="201"/>
        <v>0</v>
      </c>
      <c r="O1435" s="74">
        <f t="shared" si="202"/>
        <v>0</v>
      </c>
      <c r="P1435" s="74">
        <f t="shared" si="203"/>
        <v>0</v>
      </c>
      <c r="Q1435" s="74">
        <f t="shared" si="204"/>
        <v>0</v>
      </c>
    </row>
    <row r="1436" spans="1:17" ht="59.25" hidden="1" customHeight="1">
      <c r="A1436" s="83"/>
      <c r="B1436" s="72"/>
      <c r="C1436" s="1435" t="s">
        <v>6328</v>
      </c>
      <c r="D1436" s="1232"/>
      <c r="E1436" s="1232"/>
      <c r="F1436" s="84"/>
      <c r="G1436" s="74">
        <f t="shared" si="197"/>
        <v>0</v>
      </c>
      <c r="H1436" s="74"/>
      <c r="I1436" s="74">
        <f t="shared" si="198"/>
        <v>0</v>
      </c>
      <c r="J1436" s="74"/>
      <c r="K1436" s="74">
        <f t="shared" si="199"/>
        <v>0</v>
      </c>
      <c r="L1436" s="74"/>
      <c r="M1436" s="74">
        <f t="shared" si="200"/>
        <v>0</v>
      </c>
      <c r="N1436" s="74">
        <f t="shared" si="201"/>
        <v>0</v>
      </c>
      <c r="O1436" s="74">
        <f t="shared" si="202"/>
        <v>0</v>
      </c>
      <c r="P1436" s="74">
        <f t="shared" si="203"/>
        <v>0</v>
      </c>
      <c r="Q1436" s="74">
        <f t="shared" si="204"/>
        <v>0</v>
      </c>
    </row>
    <row r="1437" spans="1:17" ht="62.25" hidden="1" customHeight="1">
      <c r="A1437" s="83"/>
      <c r="B1437" s="72"/>
      <c r="C1437" s="82" t="s">
        <v>6329</v>
      </c>
      <c r="D1437" s="1232">
        <v>15000</v>
      </c>
      <c r="E1437" s="1232" t="s">
        <v>41</v>
      </c>
      <c r="F1437" s="84"/>
      <c r="G1437" s="74">
        <f t="shared" si="197"/>
        <v>0</v>
      </c>
      <c r="H1437" s="74"/>
      <c r="I1437" s="74">
        <f t="shared" si="198"/>
        <v>0</v>
      </c>
      <c r="J1437" s="74"/>
      <c r="K1437" s="74">
        <f t="shared" si="199"/>
        <v>0</v>
      </c>
      <c r="L1437" s="74"/>
      <c r="M1437" s="74">
        <f t="shared" si="200"/>
        <v>0</v>
      </c>
      <c r="N1437" s="74">
        <f t="shared" si="201"/>
        <v>0</v>
      </c>
      <c r="O1437" s="74">
        <f t="shared" si="202"/>
        <v>0</v>
      </c>
      <c r="P1437" s="74">
        <f t="shared" si="203"/>
        <v>0</v>
      </c>
      <c r="Q1437" s="74">
        <f t="shared" si="204"/>
        <v>0</v>
      </c>
    </row>
    <row r="1438" spans="1:17" ht="75.75" hidden="1" customHeight="1">
      <c r="A1438" s="83"/>
      <c r="B1438" s="72"/>
      <c r="C1438" s="82" t="s">
        <v>6330</v>
      </c>
      <c r="D1438" s="1232">
        <v>47000</v>
      </c>
      <c r="E1438" s="1232" t="s">
        <v>41</v>
      </c>
      <c r="F1438" s="84"/>
      <c r="G1438" s="74">
        <f t="shared" si="197"/>
        <v>0</v>
      </c>
      <c r="H1438" s="74"/>
      <c r="I1438" s="74">
        <f t="shared" si="198"/>
        <v>0</v>
      </c>
      <c r="J1438" s="74"/>
      <c r="K1438" s="74">
        <f t="shared" si="199"/>
        <v>0</v>
      </c>
      <c r="L1438" s="74"/>
      <c r="M1438" s="74">
        <f t="shared" si="200"/>
        <v>0</v>
      </c>
      <c r="N1438" s="74">
        <f t="shared" si="201"/>
        <v>0</v>
      </c>
      <c r="O1438" s="74">
        <f t="shared" si="202"/>
        <v>0</v>
      </c>
      <c r="P1438" s="74">
        <f t="shared" si="203"/>
        <v>0</v>
      </c>
      <c r="Q1438" s="74">
        <f t="shared" si="204"/>
        <v>0</v>
      </c>
    </row>
    <row r="1439" spans="1:17" ht="78.75" hidden="1" customHeight="1">
      <c r="A1439" s="83"/>
      <c r="B1439" s="72"/>
      <c r="C1439" s="82" t="s">
        <v>6331</v>
      </c>
      <c r="D1439" s="1232">
        <v>70000</v>
      </c>
      <c r="E1439" s="1232" t="s">
        <v>41</v>
      </c>
      <c r="F1439" s="84"/>
      <c r="G1439" s="74">
        <f t="shared" si="197"/>
        <v>0</v>
      </c>
      <c r="H1439" s="74"/>
      <c r="I1439" s="74">
        <f t="shared" si="198"/>
        <v>0</v>
      </c>
      <c r="J1439" s="74"/>
      <c r="K1439" s="74">
        <f t="shared" si="199"/>
        <v>0</v>
      </c>
      <c r="L1439" s="74"/>
      <c r="M1439" s="74">
        <f t="shared" si="200"/>
        <v>0</v>
      </c>
      <c r="N1439" s="74">
        <f t="shared" si="201"/>
        <v>0</v>
      </c>
      <c r="O1439" s="74">
        <f t="shared" si="202"/>
        <v>0</v>
      </c>
      <c r="P1439" s="74">
        <f t="shared" si="203"/>
        <v>0</v>
      </c>
      <c r="Q1439" s="74">
        <f t="shared" si="204"/>
        <v>0</v>
      </c>
    </row>
    <row r="1440" spans="1:17" ht="60.75" hidden="1" customHeight="1">
      <c r="A1440" s="83"/>
      <c r="B1440" s="72"/>
      <c r="C1440" s="82" t="s">
        <v>6332</v>
      </c>
      <c r="D1440" s="1232">
        <v>12900</v>
      </c>
      <c r="E1440" s="1232" t="s">
        <v>41</v>
      </c>
      <c r="F1440" s="84"/>
      <c r="G1440" s="74">
        <f t="shared" si="197"/>
        <v>0</v>
      </c>
      <c r="H1440" s="74"/>
      <c r="I1440" s="74">
        <f t="shared" si="198"/>
        <v>0</v>
      </c>
      <c r="J1440" s="74"/>
      <c r="K1440" s="74">
        <f t="shared" si="199"/>
        <v>0</v>
      </c>
      <c r="L1440" s="74"/>
      <c r="M1440" s="74">
        <f t="shared" si="200"/>
        <v>0</v>
      </c>
      <c r="N1440" s="74">
        <f t="shared" si="201"/>
        <v>0</v>
      </c>
      <c r="O1440" s="74">
        <f t="shared" si="202"/>
        <v>0</v>
      </c>
      <c r="P1440" s="74">
        <f t="shared" si="203"/>
        <v>0</v>
      </c>
      <c r="Q1440" s="74">
        <f t="shared" si="204"/>
        <v>0</v>
      </c>
    </row>
    <row r="1441" spans="1:17" ht="96.75" hidden="1" customHeight="1">
      <c r="A1441" s="83"/>
      <c r="B1441" s="72"/>
      <c r="C1441" s="82" t="s">
        <v>6333</v>
      </c>
      <c r="D1441" s="1232">
        <v>85000</v>
      </c>
      <c r="E1441" s="1232" t="s">
        <v>1715</v>
      </c>
      <c r="F1441" s="84"/>
      <c r="G1441" s="74">
        <f t="shared" si="197"/>
        <v>0</v>
      </c>
      <c r="H1441" s="74"/>
      <c r="I1441" s="74">
        <f t="shared" si="198"/>
        <v>0</v>
      </c>
      <c r="J1441" s="74"/>
      <c r="K1441" s="74">
        <f t="shared" si="199"/>
        <v>0</v>
      </c>
      <c r="L1441" s="74"/>
      <c r="M1441" s="74">
        <f t="shared" si="200"/>
        <v>0</v>
      </c>
      <c r="N1441" s="74">
        <f t="shared" si="201"/>
        <v>0</v>
      </c>
      <c r="O1441" s="74">
        <f t="shared" si="202"/>
        <v>0</v>
      </c>
      <c r="P1441" s="74">
        <f t="shared" si="203"/>
        <v>0</v>
      </c>
      <c r="Q1441" s="74">
        <f t="shared" si="204"/>
        <v>0</v>
      </c>
    </row>
    <row r="1442" spans="1:17" ht="80.25" hidden="1" customHeight="1">
      <c r="A1442" s="83"/>
      <c r="B1442" s="72"/>
      <c r="C1442" s="82" t="s">
        <v>6334</v>
      </c>
      <c r="D1442" s="1232">
        <v>95000</v>
      </c>
      <c r="E1442" s="1232" t="s">
        <v>1715</v>
      </c>
      <c r="F1442" s="84"/>
      <c r="G1442" s="74">
        <f t="shared" si="197"/>
        <v>0</v>
      </c>
      <c r="H1442" s="74"/>
      <c r="I1442" s="74">
        <f t="shared" si="198"/>
        <v>0</v>
      </c>
      <c r="J1442" s="74"/>
      <c r="K1442" s="74">
        <f t="shared" si="199"/>
        <v>0</v>
      </c>
      <c r="L1442" s="74"/>
      <c r="M1442" s="74">
        <f t="shared" si="200"/>
        <v>0</v>
      </c>
      <c r="N1442" s="74">
        <f t="shared" si="201"/>
        <v>0</v>
      </c>
      <c r="O1442" s="74">
        <f t="shared" si="202"/>
        <v>0</v>
      </c>
      <c r="P1442" s="74">
        <f t="shared" si="203"/>
        <v>0</v>
      </c>
      <c r="Q1442" s="74">
        <f t="shared" si="204"/>
        <v>0</v>
      </c>
    </row>
    <row r="1443" spans="1:17" ht="78.75" hidden="1" customHeight="1">
      <c r="A1443" s="83"/>
      <c r="B1443" s="72"/>
      <c r="C1443" s="82" t="s">
        <v>6335</v>
      </c>
      <c r="D1443" s="1232">
        <v>12000</v>
      </c>
      <c r="E1443" s="1232" t="s">
        <v>41</v>
      </c>
      <c r="F1443" s="84"/>
      <c r="G1443" s="74">
        <f t="shared" si="197"/>
        <v>0</v>
      </c>
      <c r="H1443" s="74"/>
      <c r="I1443" s="74">
        <f t="shared" si="198"/>
        <v>0</v>
      </c>
      <c r="J1443" s="74"/>
      <c r="K1443" s="74">
        <f t="shared" si="199"/>
        <v>0</v>
      </c>
      <c r="L1443" s="74"/>
      <c r="M1443" s="74">
        <f t="shared" si="200"/>
        <v>0</v>
      </c>
      <c r="N1443" s="74">
        <f t="shared" si="201"/>
        <v>0</v>
      </c>
      <c r="O1443" s="74">
        <f t="shared" si="202"/>
        <v>0</v>
      </c>
      <c r="P1443" s="74">
        <f t="shared" si="203"/>
        <v>0</v>
      </c>
      <c r="Q1443" s="74">
        <f t="shared" si="204"/>
        <v>0</v>
      </c>
    </row>
    <row r="1444" spans="1:17" ht="83.25" hidden="1" customHeight="1">
      <c r="A1444" s="83"/>
      <c r="B1444" s="72"/>
      <c r="C1444" s="82" t="s">
        <v>6336</v>
      </c>
      <c r="D1444" s="1232">
        <v>20000</v>
      </c>
      <c r="E1444" s="1232" t="s">
        <v>41</v>
      </c>
      <c r="F1444" s="84"/>
      <c r="G1444" s="74">
        <f t="shared" si="197"/>
        <v>0</v>
      </c>
      <c r="H1444" s="74"/>
      <c r="I1444" s="74">
        <f t="shared" si="198"/>
        <v>0</v>
      </c>
      <c r="J1444" s="74"/>
      <c r="K1444" s="74">
        <f t="shared" si="199"/>
        <v>0</v>
      </c>
      <c r="L1444" s="74"/>
      <c r="M1444" s="74">
        <f t="shared" si="200"/>
        <v>0</v>
      </c>
      <c r="N1444" s="74">
        <f t="shared" si="201"/>
        <v>0</v>
      </c>
      <c r="O1444" s="74">
        <f t="shared" si="202"/>
        <v>0</v>
      </c>
      <c r="P1444" s="74">
        <f t="shared" si="203"/>
        <v>0</v>
      </c>
      <c r="Q1444" s="74">
        <f t="shared" si="204"/>
        <v>0</v>
      </c>
    </row>
    <row r="1445" spans="1:17" ht="71.25" hidden="1" customHeight="1">
      <c r="A1445" s="83"/>
      <c r="B1445" s="72"/>
      <c r="C1445" s="82" t="s">
        <v>6337</v>
      </c>
      <c r="D1445" s="1232">
        <v>90000</v>
      </c>
      <c r="E1445" s="1232" t="s">
        <v>1715</v>
      </c>
      <c r="F1445" s="84"/>
      <c r="G1445" s="74">
        <f t="shared" si="197"/>
        <v>0</v>
      </c>
      <c r="H1445" s="74"/>
      <c r="I1445" s="74">
        <f t="shared" si="198"/>
        <v>0</v>
      </c>
      <c r="J1445" s="74"/>
      <c r="K1445" s="74">
        <f t="shared" si="199"/>
        <v>0</v>
      </c>
      <c r="L1445" s="74"/>
      <c r="M1445" s="74">
        <f t="shared" si="200"/>
        <v>0</v>
      </c>
      <c r="N1445" s="74">
        <f t="shared" si="201"/>
        <v>0</v>
      </c>
      <c r="O1445" s="74">
        <f t="shared" si="202"/>
        <v>0</v>
      </c>
      <c r="P1445" s="74">
        <f t="shared" si="203"/>
        <v>0</v>
      </c>
      <c r="Q1445" s="74">
        <f t="shared" si="204"/>
        <v>0</v>
      </c>
    </row>
    <row r="1446" spans="1:17" ht="69.75" hidden="1" customHeight="1">
      <c r="A1446" s="83"/>
      <c r="B1446" s="72"/>
      <c r="C1446" s="82" t="s">
        <v>6338</v>
      </c>
      <c r="D1446" s="1232">
        <v>10000</v>
      </c>
      <c r="E1446" s="1232" t="s">
        <v>6103</v>
      </c>
      <c r="F1446" s="84"/>
      <c r="G1446" s="74">
        <f t="shared" si="197"/>
        <v>0</v>
      </c>
      <c r="H1446" s="74"/>
      <c r="I1446" s="74">
        <f t="shared" si="198"/>
        <v>0</v>
      </c>
      <c r="J1446" s="74"/>
      <c r="K1446" s="74">
        <f t="shared" si="199"/>
        <v>0</v>
      </c>
      <c r="L1446" s="74"/>
      <c r="M1446" s="74">
        <f t="shared" si="200"/>
        <v>0</v>
      </c>
      <c r="N1446" s="74">
        <f t="shared" si="201"/>
        <v>0</v>
      </c>
      <c r="O1446" s="74">
        <f t="shared" si="202"/>
        <v>0</v>
      </c>
      <c r="P1446" s="74">
        <f t="shared" si="203"/>
        <v>0</v>
      </c>
      <c r="Q1446" s="74">
        <f t="shared" si="204"/>
        <v>0</v>
      </c>
    </row>
    <row r="1447" spans="1:17" ht="72.75" hidden="1" customHeight="1">
      <c r="A1447" s="83"/>
      <c r="B1447" s="72"/>
      <c r="C1447" s="82" t="s">
        <v>6339</v>
      </c>
      <c r="D1447" s="1232">
        <v>75000</v>
      </c>
      <c r="E1447" s="1232" t="s">
        <v>1715</v>
      </c>
      <c r="F1447" s="84"/>
      <c r="G1447" s="74">
        <f t="shared" si="197"/>
        <v>0</v>
      </c>
      <c r="H1447" s="74"/>
      <c r="I1447" s="74">
        <f t="shared" si="198"/>
        <v>0</v>
      </c>
      <c r="J1447" s="74"/>
      <c r="K1447" s="74">
        <f t="shared" si="199"/>
        <v>0</v>
      </c>
      <c r="L1447" s="74"/>
      <c r="M1447" s="74">
        <f t="shared" si="200"/>
        <v>0</v>
      </c>
      <c r="N1447" s="74">
        <f t="shared" si="201"/>
        <v>0</v>
      </c>
      <c r="O1447" s="74">
        <f t="shared" si="202"/>
        <v>0</v>
      </c>
      <c r="P1447" s="74">
        <f t="shared" si="203"/>
        <v>0</v>
      </c>
      <c r="Q1447" s="74">
        <f t="shared" si="204"/>
        <v>0</v>
      </c>
    </row>
    <row r="1448" spans="1:17" ht="89.25" hidden="1" customHeight="1">
      <c r="A1448" s="83"/>
      <c r="B1448" s="72"/>
      <c r="C1448" s="82" t="s">
        <v>6340</v>
      </c>
      <c r="D1448" s="1232">
        <v>95000</v>
      </c>
      <c r="E1448" s="1232" t="s">
        <v>1715</v>
      </c>
      <c r="F1448" s="84"/>
      <c r="G1448" s="74">
        <f t="shared" si="197"/>
        <v>0</v>
      </c>
      <c r="H1448" s="74"/>
      <c r="I1448" s="74">
        <f t="shared" si="198"/>
        <v>0</v>
      </c>
      <c r="J1448" s="74"/>
      <c r="K1448" s="74">
        <f t="shared" si="199"/>
        <v>0</v>
      </c>
      <c r="L1448" s="74"/>
      <c r="M1448" s="74">
        <f t="shared" si="200"/>
        <v>0</v>
      </c>
      <c r="N1448" s="74">
        <f t="shared" si="201"/>
        <v>0</v>
      </c>
      <c r="O1448" s="74">
        <f t="shared" si="202"/>
        <v>0</v>
      </c>
      <c r="P1448" s="74">
        <f t="shared" si="203"/>
        <v>0</v>
      </c>
      <c r="Q1448" s="74">
        <f t="shared" si="204"/>
        <v>0</v>
      </c>
    </row>
    <row r="1449" spans="1:17" ht="69.75" hidden="1" customHeight="1">
      <c r="A1449" s="83"/>
      <c r="B1449" s="72"/>
      <c r="C1449" s="82" t="s">
        <v>6341</v>
      </c>
      <c r="D1449" s="1232">
        <v>24000</v>
      </c>
      <c r="E1449" s="1232" t="s">
        <v>41</v>
      </c>
      <c r="F1449" s="84"/>
      <c r="G1449" s="74">
        <f t="shared" si="197"/>
        <v>0</v>
      </c>
      <c r="H1449" s="74"/>
      <c r="I1449" s="74">
        <f t="shared" si="198"/>
        <v>0</v>
      </c>
      <c r="J1449" s="74"/>
      <c r="K1449" s="74">
        <f t="shared" si="199"/>
        <v>0</v>
      </c>
      <c r="L1449" s="74"/>
      <c r="M1449" s="74">
        <f t="shared" si="200"/>
        <v>0</v>
      </c>
      <c r="N1449" s="74">
        <f t="shared" si="201"/>
        <v>0</v>
      </c>
      <c r="O1449" s="74">
        <f t="shared" si="202"/>
        <v>0</v>
      </c>
      <c r="P1449" s="74">
        <f t="shared" si="203"/>
        <v>0</v>
      </c>
      <c r="Q1449" s="74">
        <f t="shared" si="204"/>
        <v>0</v>
      </c>
    </row>
    <row r="1450" spans="1:17" ht="65.25" hidden="1" customHeight="1">
      <c r="A1450" s="83"/>
      <c r="B1450" s="72"/>
      <c r="C1450" s="82" t="s">
        <v>6342</v>
      </c>
      <c r="D1450" s="1232">
        <v>75000</v>
      </c>
      <c r="E1450" s="1232" t="s">
        <v>3081</v>
      </c>
      <c r="F1450" s="84"/>
      <c r="G1450" s="74">
        <f t="shared" si="197"/>
        <v>0</v>
      </c>
      <c r="H1450" s="74"/>
      <c r="I1450" s="74">
        <f t="shared" si="198"/>
        <v>0</v>
      </c>
      <c r="J1450" s="74"/>
      <c r="K1450" s="74">
        <f t="shared" si="199"/>
        <v>0</v>
      </c>
      <c r="L1450" s="74"/>
      <c r="M1450" s="74">
        <f t="shared" si="200"/>
        <v>0</v>
      </c>
      <c r="N1450" s="74">
        <f t="shared" si="201"/>
        <v>0</v>
      </c>
      <c r="O1450" s="74">
        <f t="shared" si="202"/>
        <v>0</v>
      </c>
      <c r="P1450" s="74">
        <f t="shared" si="203"/>
        <v>0</v>
      </c>
      <c r="Q1450" s="74">
        <f t="shared" si="204"/>
        <v>0</v>
      </c>
    </row>
    <row r="1451" spans="1:17" ht="65.25" hidden="1" customHeight="1">
      <c r="A1451" s="83"/>
      <c r="B1451" s="72"/>
      <c r="C1451" s="82" t="str">
        <f>'Detailed Estimate '!B2593</f>
        <v>Supply and fixing of 80 mm dia GI pipe through the cable for EB service connection</v>
      </c>
      <c r="D1451" s="1232"/>
      <c r="E1451" s="1232" t="s">
        <v>13</v>
      </c>
      <c r="F1451" s="84"/>
      <c r="G1451" s="74">
        <f t="shared" si="197"/>
        <v>0</v>
      </c>
      <c r="H1451" s="74"/>
      <c r="I1451" s="74">
        <f t="shared" si="198"/>
        <v>0</v>
      </c>
      <c r="J1451" s="74"/>
      <c r="K1451" s="74">
        <f t="shared" si="199"/>
        <v>0</v>
      </c>
      <c r="L1451" s="74"/>
      <c r="M1451" s="74">
        <f t="shared" si="200"/>
        <v>0</v>
      </c>
      <c r="N1451" s="74">
        <f t="shared" si="201"/>
        <v>0</v>
      </c>
      <c r="O1451" s="74">
        <f t="shared" si="202"/>
        <v>0</v>
      </c>
      <c r="P1451" s="74">
        <f t="shared" si="203"/>
        <v>0</v>
      </c>
      <c r="Q1451" s="74"/>
    </row>
    <row r="1452" spans="1:17" ht="65.25" hidden="1" customHeight="1">
      <c r="A1452" s="83"/>
      <c r="B1452" s="72"/>
      <c r="C1452" s="82" t="str">
        <f>'Detailed Estimate '!B2597</f>
        <v>Supplying 80 mm GI bend</v>
      </c>
      <c r="D1452" s="1232"/>
      <c r="E1452" s="1232" t="s">
        <v>41</v>
      </c>
      <c r="F1452" s="84"/>
      <c r="G1452" s="74">
        <f t="shared" si="197"/>
        <v>0</v>
      </c>
      <c r="H1452" s="74"/>
      <c r="I1452" s="74">
        <f t="shared" si="198"/>
        <v>0</v>
      </c>
      <c r="J1452" s="74"/>
      <c r="K1452" s="74">
        <f t="shared" si="199"/>
        <v>0</v>
      </c>
      <c r="L1452" s="74"/>
      <c r="M1452" s="74">
        <f t="shared" si="200"/>
        <v>0</v>
      </c>
      <c r="N1452" s="74">
        <f t="shared" si="201"/>
        <v>0</v>
      </c>
      <c r="O1452" s="74">
        <f t="shared" si="202"/>
        <v>0</v>
      </c>
      <c r="P1452" s="74">
        <f t="shared" si="203"/>
        <v>0</v>
      </c>
      <c r="Q1452" s="74"/>
    </row>
    <row r="1453" spans="1:17" ht="65.25" hidden="1" customHeight="1">
      <c r="A1453" s="83"/>
      <c r="B1453" s="72"/>
      <c r="C1453" s="82" t="str">
        <f>'Detailed Estimate '!B2600</f>
        <v>Supplying 80 mm  Cupling</v>
      </c>
      <c r="D1453" s="1232"/>
      <c r="E1453" s="1232" t="s">
        <v>41</v>
      </c>
      <c r="F1453" s="84"/>
      <c r="G1453" s="74">
        <f t="shared" si="197"/>
        <v>0</v>
      </c>
      <c r="H1453" s="74"/>
      <c r="I1453" s="74">
        <f t="shared" si="198"/>
        <v>0</v>
      </c>
      <c r="J1453" s="74"/>
      <c r="K1453" s="74">
        <f t="shared" si="199"/>
        <v>0</v>
      </c>
      <c r="L1453" s="74"/>
      <c r="M1453" s="74">
        <f t="shared" si="200"/>
        <v>0</v>
      </c>
      <c r="N1453" s="74">
        <f t="shared" si="201"/>
        <v>0</v>
      </c>
      <c r="O1453" s="74">
        <f t="shared" si="202"/>
        <v>0</v>
      </c>
      <c r="P1453" s="74">
        <f t="shared" si="203"/>
        <v>0</v>
      </c>
      <c r="Q1453" s="74"/>
    </row>
    <row r="1454" spans="1:17" ht="65.25" hidden="1" customHeight="1">
      <c r="A1454" s="83"/>
      <c r="B1454" s="72"/>
      <c r="C1454" s="82" t="str">
        <f>'Detailed Estimate '!B2625</f>
        <v>Supplying of Aluminium ladder 15 feet length (Quotation)</v>
      </c>
      <c r="D1454" s="1232">
        <v>4000</v>
      </c>
      <c r="E1454" s="1232" t="s">
        <v>41</v>
      </c>
      <c r="F1454" s="84"/>
      <c r="G1454" s="74">
        <f t="shared" si="197"/>
        <v>0</v>
      </c>
      <c r="H1454" s="74"/>
      <c r="I1454" s="74">
        <f t="shared" si="198"/>
        <v>0</v>
      </c>
      <c r="J1454" s="74"/>
      <c r="K1454" s="74">
        <f t="shared" si="199"/>
        <v>0</v>
      </c>
      <c r="L1454" s="74"/>
      <c r="M1454" s="74">
        <f t="shared" si="200"/>
        <v>0</v>
      </c>
      <c r="N1454" s="74">
        <f t="shared" si="201"/>
        <v>0</v>
      </c>
      <c r="O1454" s="74">
        <f t="shared" si="202"/>
        <v>0</v>
      </c>
      <c r="P1454" s="74">
        <f t="shared" si="203"/>
        <v>0</v>
      </c>
      <c r="Q1454" s="74"/>
    </row>
    <row r="1455" spans="1:17" ht="65.25" hidden="1" customHeight="1">
      <c r="A1455" s="83"/>
      <c r="B1455" s="72"/>
      <c r="C1455" s="82" t="str">
        <f>'Detailed Estimate '!B2627</f>
        <v>Supplying and Delivery of "Godraj Navtal" lock 6 lever with three keys (Quotation)</v>
      </c>
      <c r="D1455" s="1232">
        <v>485</v>
      </c>
      <c r="E1455" s="1232" t="s">
        <v>2847</v>
      </c>
      <c r="F1455" s="84"/>
      <c r="G1455" s="74">
        <f t="shared" si="197"/>
        <v>0</v>
      </c>
      <c r="H1455" s="74"/>
      <c r="I1455" s="74">
        <f t="shared" si="198"/>
        <v>0</v>
      </c>
      <c r="J1455" s="74"/>
      <c r="K1455" s="74">
        <f t="shared" si="199"/>
        <v>0</v>
      </c>
      <c r="L1455" s="74"/>
      <c r="M1455" s="74">
        <f t="shared" si="200"/>
        <v>0</v>
      </c>
      <c r="N1455" s="74">
        <f t="shared" si="201"/>
        <v>0</v>
      </c>
      <c r="O1455" s="74">
        <f t="shared" si="202"/>
        <v>0</v>
      </c>
      <c r="P1455" s="74">
        <f t="shared" si="203"/>
        <v>0</v>
      </c>
      <c r="Q1455" s="74"/>
    </row>
    <row r="1456" spans="1:17" ht="65.25" hidden="1" customHeight="1">
      <c r="A1456" s="83"/>
      <c r="B1456" s="72"/>
      <c r="C1456" s="82" t="str">
        <f>'Detailed Estimate '!B2667</f>
        <v>Supplying and fixing of Aluminium TNPHC Emblem of 18" height with approved colour power coat in finishing matt including cost of materials, necessary drilling holes, packing cement mortar supporting the letter cement base bolts and fixing charges etc. complete and as directed by the departmental officers.</v>
      </c>
      <c r="D1456" s="1232">
        <v>4200</v>
      </c>
      <c r="E1456" s="1232" t="s">
        <v>2847</v>
      </c>
      <c r="F1456" s="84"/>
      <c r="G1456" s="74">
        <f t="shared" si="197"/>
        <v>0</v>
      </c>
      <c r="H1456" s="74"/>
      <c r="I1456" s="74">
        <f t="shared" si="198"/>
        <v>0</v>
      </c>
      <c r="J1456" s="74"/>
      <c r="K1456" s="74">
        <f t="shared" si="199"/>
        <v>0</v>
      </c>
      <c r="L1456" s="74"/>
      <c r="M1456" s="74">
        <f t="shared" si="200"/>
        <v>0</v>
      </c>
      <c r="N1456" s="74">
        <f t="shared" si="201"/>
        <v>0</v>
      </c>
      <c r="O1456" s="74">
        <f t="shared" si="202"/>
        <v>0</v>
      </c>
      <c r="P1456" s="74">
        <f t="shared" si="203"/>
        <v>0</v>
      </c>
      <c r="Q1456" s="74"/>
    </row>
    <row r="1457" spans="1:17" ht="65.25" hidden="1" customHeight="1">
      <c r="A1457" s="83"/>
      <c r="B1457" s="72"/>
      <c r="C1457" s="82" t="str">
        <f>'Detailed Estimate '!B2670</f>
        <v>Supplying and fixing of 12" Height Aluminium letters with approved colour power coat in finishing matt including cost of materials, necessary drilling holes, packing cement mortar supporting the letter cement base bolts and fixing charges etc. complete and as directed by the departmental officers.</v>
      </c>
      <c r="D1457" s="1232">
        <v>840</v>
      </c>
      <c r="E1457" s="1232" t="s">
        <v>2847</v>
      </c>
      <c r="F1457" s="84"/>
      <c r="G1457" s="74">
        <f t="shared" si="197"/>
        <v>0</v>
      </c>
      <c r="H1457" s="74"/>
      <c r="I1457" s="74">
        <f t="shared" si="198"/>
        <v>0</v>
      </c>
      <c r="J1457" s="74"/>
      <c r="K1457" s="74">
        <f t="shared" si="199"/>
        <v>0</v>
      </c>
      <c r="L1457" s="74"/>
      <c r="M1457" s="74">
        <f t="shared" si="200"/>
        <v>0</v>
      </c>
      <c r="N1457" s="74">
        <f t="shared" si="201"/>
        <v>0</v>
      </c>
      <c r="O1457" s="74">
        <f t="shared" si="202"/>
        <v>0</v>
      </c>
      <c r="P1457" s="74">
        <f t="shared" si="203"/>
        <v>0</v>
      </c>
      <c r="Q1457" s="74"/>
    </row>
    <row r="1458" spans="1:17" ht="65.25" hidden="1" customHeight="1">
      <c r="A1458" s="83"/>
      <c r="B1458" s="72"/>
      <c r="C1458" s="82" t="str">
        <f>'Detailed Estimate '!B2676</f>
        <v>Supply and fixing of 20" x 5" Size plastic foam name plate</v>
      </c>
      <c r="D1458" s="1232">
        <v>320</v>
      </c>
      <c r="E1458" s="1232" t="s">
        <v>2847</v>
      </c>
      <c r="F1458" s="84"/>
      <c r="G1458" s="74">
        <f t="shared" si="197"/>
        <v>0</v>
      </c>
      <c r="H1458" s="74"/>
      <c r="I1458" s="74">
        <f t="shared" si="198"/>
        <v>0</v>
      </c>
      <c r="J1458" s="74"/>
      <c r="K1458" s="74">
        <f t="shared" si="199"/>
        <v>0</v>
      </c>
      <c r="L1458" s="74"/>
      <c r="M1458" s="74">
        <f t="shared" si="200"/>
        <v>0</v>
      </c>
      <c r="N1458" s="74">
        <f t="shared" si="201"/>
        <v>0</v>
      </c>
      <c r="O1458" s="74">
        <f t="shared" si="202"/>
        <v>0</v>
      </c>
      <c r="P1458" s="74">
        <f t="shared" si="203"/>
        <v>0</v>
      </c>
      <c r="Q1458" s="74"/>
    </row>
    <row r="1459" spans="1:17" ht="65.25" hidden="1" customHeight="1">
      <c r="A1459" s="83"/>
      <c r="B1459" s="72"/>
      <c r="C1459" s="82" t="str">
        <f>'Detailed Estimate '!B2716</f>
        <v>Supply and fixing of 24" x 8" plastic foam name plate with vinyl cutting letters RWH Board with approved colour etc. complete and as directed by the departmental officers.</v>
      </c>
      <c r="D1459" s="1232">
        <v>450</v>
      </c>
      <c r="E1459" s="1232" t="s">
        <v>2847</v>
      </c>
      <c r="F1459" s="84"/>
      <c r="G1459" s="74">
        <f t="shared" si="197"/>
        <v>0</v>
      </c>
      <c r="H1459" s="74"/>
      <c r="I1459" s="74">
        <f t="shared" si="198"/>
        <v>0</v>
      </c>
      <c r="J1459" s="74"/>
      <c r="K1459" s="74">
        <f t="shared" si="199"/>
        <v>0</v>
      </c>
      <c r="L1459" s="74"/>
      <c r="M1459" s="74">
        <f t="shared" si="200"/>
        <v>0</v>
      </c>
      <c r="N1459" s="74">
        <f t="shared" si="201"/>
        <v>0</v>
      </c>
      <c r="O1459" s="74">
        <f t="shared" si="202"/>
        <v>0</v>
      </c>
      <c r="P1459" s="74">
        <f t="shared" si="203"/>
        <v>0</v>
      </c>
      <c r="Q1459" s="74"/>
    </row>
    <row r="1460" spans="1:17" ht="91.5" hidden="1" customHeight="1">
      <c r="A1460" s="83"/>
      <c r="B1460" s="72"/>
      <c r="C1460" s="82" t="str">
        <f>'Detailed Estimate '!B2718</f>
        <v>Supply &amp; Installation of 3 Star Rated Air-conditioner with copper coil inculding cost of 3m Copper tube and fixing charge etc.,</v>
      </c>
      <c r="D1460" s="1232">
        <v>44160</v>
      </c>
      <c r="E1460" s="1232" t="s">
        <v>2847</v>
      </c>
      <c r="F1460" s="84"/>
      <c r="G1460" s="74">
        <f t="shared" si="197"/>
        <v>0</v>
      </c>
      <c r="H1460" s="74"/>
      <c r="I1460" s="74">
        <f t="shared" si="198"/>
        <v>0</v>
      </c>
      <c r="J1460" s="74"/>
      <c r="K1460" s="74">
        <f t="shared" si="199"/>
        <v>0</v>
      </c>
      <c r="L1460" s="74"/>
      <c r="M1460" s="74">
        <f t="shared" si="200"/>
        <v>0</v>
      </c>
      <c r="N1460" s="74">
        <f t="shared" si="201"/>
        <v>0</v>
      </c>
      <c r="O1460" s="74">
        <f t="shared" si="202"/>
        <v>0</v>
      </c>
      <c r="P1460" s="74">
        <f t="shared" si="203"/>
        <v>0</v>
      </c>
      <c r="Q1460" s="74"/>
    </row>
    <row r="1461" spans="1:17" ht="65.25" hidden="1" customHeight="1">
      <c r="A1461" s="83"/>
      <c r="B1461" s="72"/>
      <c r="C1461" s="82" t="str">
        <f>'Detailed Estimate '!B2722</f>
        <v>Supply and installation of 4 KVA capacity Automatic
Voltage Stabilizer with time delay relay (V-Gurad /
Equivalent) inculding cost of labour charge and tools etc.,</v>
      </c>
      <c r="D1461" s="1232">
        <v>4940</v>
      </c>
      <c r="E1461" s="1232" t="s">
        <v>2847</v>
      </c>
      <c r="F1461" s="84"/>
      <c r="G1461" s="74">
        <f t="shared" si="197"/>
        <v>0</v>
      </c>
      <c r="H1461" s="74"/>
      <c r="I1461" s="74">
        <f t="shared" si="198"/>
        <v>0</v>
      </c>
      <c r="J1461" s="74"/>
      <c r="K1461" s="74">
        <f t="shared" si="199"/>
        <v>0</v>
      </c>
      <c r="L1461" s="74"/>
      <c r="M1461" s="74">
        <f t="shared" si="200"/>
        <v>0</v>
      </c>
      <c r="N1461" s="74">
        <f t="shared" si="201"/>
        <v>0</v>
      </c>
      <c r="O1461" s="74">
        <f t="shared" si="202"/>
        <v>0</v>
      </c>
      <c r="P1461" s="74">
        <f t="shared" si="203"/>
        <v>0</v>
      </c>
      <c r="Q1461" s="74"/>
    </row>
    <row r="1462" spans="1:17" ht="65.25" hidden="1" customHeight="1">
      <c r="A1462" s="83"/>
      <c r="B1462" s="72"/>
      <c r="C1462" s="82" t="str">
        <f>'Detailed Estimate '!B2725</f>
        <v>Supply and laying of 5/8" and 3/8" copper pipe (Extra beyond 3 metres supplied with AC unit) inculding cost of labour charge and tools etc.,</v>
      </c>
      <c r="D1462" s="1232">
        <v>940</v>
      </c>
      <c r="E1462" s="1232" t="s">
        <v>2847</v>
      </c>
      <c r="F1462" s="84"/>
      <c r="G1462" s="74">
        <f t="shared" si="197"/>
        <v>0</v>
      </c>
      <c r="H1462" s="74"/>
      <c r="I1462" s="74">
        <f t="shared" si="198"/>
        <v>0</v>
      </c>
      <c r="J1462" s="74"/>
      <c r="K1462" s="74">
        <f t="shared" si="199"/>
        <v>0</v>
      </c>
      <c r="L1462" s="74"/>
      <c r="M1462" s="74">
        <f t="shared" si="200"/>
        <v>0</v>
      </c>
      <c r="N1462" s="74">
        <f t="shared" si="201"/>
        <v>0</v>
      </c>
      <c r="O1462" s="74">
        <f t="shared" si="202"/>
        <v>0</v>
      </c>
      <c r="P1462" s="74">
        <f t="shared" si="203"/>
        <v>0</v>
      </c>
      <c r="Q1462" s="74"/>
    </row>
    <row r="1463" spans="1:17" ht="65.25" hidden="1" customHeight="1">
      <c r="A1463" s="83"/>
      <c r="B1463" s="72"/>
      <c r="C1463" s="82" t="str">
        <f>'Detailed Estimate '!B2728</f>
        <v>Supply and fixing of Ac drain pipe including cost of materials and labour etc., SOR -2018-19</v>
      </c>
      <c r="D1463" s="1232">
        <v>64.099999999999994</v>
      </c>
      <c r="E1463" s="1232" t="s">
        <v>2847</v>
      </c>
      <c r="F1463" s="84"/>
      <c r="G1463" s="74">
        <f t="shared" si="197"/>
        <v>0</v>
      </c>
      <c r="H1463" s="74"/>
      <c r="I1463" s="74">
        <f t="shared" si="198"/>
        <v>0</v>
      </c>
      <c r="J1463" s="74"/>
      <c r="K1463" s="74">
        <f t="shared" si="199"/>
        <v>0</v>
      </c>
      <c r="L1463" s="74"/>
      <c r="M1463" s="74">
        <f t="shared" si="200"/>
        <v>0</v>
      </c>
      <c r="N1463" s="74">
        <f t="shared" si="201"/>
        <v>0</v>
      </c>
      <c r="O1463" s="74">
        <f t="shared" si="202"/>
        <v>0</v>
      </c>
      <c r="P1463" s="74">
        <f t="shared" si="203"/>
        <v>0</v>
      </c>
      <c r="Q1463" s="74"/>
    </row>
    <row r="1464" spans="1:17" ht="65.25" hidden="1" customHeight="1">
      <c r="A1464" s="83"/>
      <c r="B1464" s="72"/>
      <c r="C1464" s="82" t="str">
        <f>'Detailed Estimate '!B2731</f>
        <v>Supply and fixing of MS stand for fixing outdoor unit</v>
      </c>
      <c r="D1464" s="1232">
        <v>1088</v>
      </c>
      <c r="E1464" s="1232" t="s">
        <v>2847</v>
      </c>
      <c r="F1464" s="84"/>
      <c r="G1464" s="74">
        <f t="shared" si="197"/>
        <v>0</v>
      </c>
      <c r="H1464" s="74"/>
      <c r="I1464" s="74">
        <f t="shared" si="198"/>
        <v>0</v>
      </c>
      <c r="J1464" s="74"/>
      <c r="K1464" s="74">
        <f t="shared" si="199"/>
        <v>0</v>
      </c>
      <c r="L1464" s="74"/>
      <c r="M1464" s="74">
        <f t="shared" si="200"/>
        <v>0</v>
      </c>
      <c r="N1464" s="74">
        <f t="shared" si="201"/>
        <v>0</v>
      </c>
      <c r="O1464" s="74">
        <f t="shared" si="202"/>
        <v>0</v>
      </c>
      <c r="P1464" s="74">
        <f t="shared" si="203"/>
        <v>0</v>
      </c>
      <c r="Q1464" s="74"/>
    </row>
    <row r="1465" spans="1:17" ht="48" customHeight="1">
      <c r="A1465" s="56"/>
      <c r="B1465" s="1635"/>
      <c r="C1465" s="76" t="s">
        <v>104</v>
      </c>
      <c r="D1465" s="75">
        <f>ROUND(Data!K1206,2)</f>
        <v>0</v>
      </c>
      <c r="E1465" s="74"/>
      <c r="F1465" s="74"/>
      <c r="G1465" s="74">
        <f>SUM(G4:G1464)</f>
        <v>50268934.579999998</v>
      </c>
      <c r="H1465" s="74"/>
      <c r="I1465" s="74">
        <f>SUM(I4:I1464)</f>
        <v>209090.56</v>
      </c>
      <c r="J1465" s="74"/>
      <c r="K1465" s="74">
        <f>SUM(K4:K1464)</f>
        <v>320628.21000000002</v>
      </c>
      <c r="L1465" s="74"/>
      <c r="M1465" s="74">
        <f>SUM(M4:M1464)</f>
        <v>895990.5</v>
      </c>
      <c r="N1465" s="74"/>
      <c r="O1465" s="74">
        <f>SUM(O4:O1464)</f>
        <v>1417432.47</v>
      </c>
      <c r="P1465" s="74"/>
      <c r="Q1465" s="81">
        <f>SUM(Q4:Q1464)+733.83</f>
        <v>51686717.609999999</v>
      </c>
    </row>
    <row r="1466" spans="1:17">
      <c r="A1466" s="56"/>
      <c r="B1466" s="1635"/>
      <c r="C1466" s="1435"/>
      <c r="D1466" s="84"/>
      <c r="E1466" s="84"/>
      <c r="F1466" s="84"/>
      <c r="G1466" s="74">
        <f t="shared" ref="G1466:G1529" si="205">F1466*D1466</f>
        <v>0</v>
      </c>
      <c r="H1466" s="74"/>
      <c r="I1466" s="74"/>
      <c r="J1466" s="74"/>
      <c r="K1466" s="74"/>
      <c r="L1466" s="74"/>
      <c r="M1466" s="74"/>
      <c r="N1466" s="74"/>
      <c r="O1466" s="74"/>
      <c r="P1466" s="74"/>
      <c r="Q1466" s="74"/>
    </row>
    <row r="1467" spans="1:17">
      <c r="A1467" s="56"/>
      <c r="B1467" s="1635"/>
      <c r="C1467" s="72" t="s">
        <v>5813</v>
      </c>
      <c r="D1467" s="84"/>
      <c r="E1467" s="74" t="s">
        <v>729</v>
      </c>
      <c r="F1467" s="69"/>
      <c r="G1467" s="69">
        <f t="shared" si="205"/>
        <v>0</v>
      </c>
      <c r="Q1467" s="69">
        <f>G1465+O1468</f>
        <v>50268934.579999998</v>
      </c>
    </row>
    <row r="1468" spans="1:17">
      <c r="A1468" s="56"/>
      <c r="B1468" s="1635"/>
      <c r="C1468" s="72" t="s">
        <v>5814</v>
      </c>
      <c r="D1468" s="84"/>
      <c r="E1468" s="74" t="s">
        <v>729</v>
      </c>
      <c r="F1468" s="69"/>
      <c r="G1468" s="69">
        <f t="shared" si="205"/>
        <v>0</v>
      </c>
      <c r="O1468" s="110"/>
    </row>
    <row r="1469" spans="1:17">
      <c r="A1469" s="56"/>
      <c r="B1469" s="1635"/>
      <c r="C1469" s="72" t="s">
        <v>5820</v>
      </c>
      <c r="D1469" s="84">
        <f>Data!K2492</f>
        <v>4881.1899999999996</v>
      </c>
      <c r="E1469" s="84" t="s">
        <v>724</v>
      </c>
      <c r="F1469" s="111"/>
      <c r="G1469" s="69">
        <f t="shared" si="205"/>
        <v>0</v>
      </c>
    </row>
    <row r="1470" spans="1:17">
      <c r="A1470" s="56"/>
      <c r="B1470" s="1635"/>
      <c r="C1470" s="72" t="s">
        <v>5821</v>
      </c>
      <c r="D1470" s="84">
        <f>Data!K2515</f>
        <v>5175.3599999999997</v>
      </c>
      <c r="E1470" s="84" t="s">
        <v>724</v>
      </c>
      <c r="F1470" s="111"/>
      <c r="G1470" s="69">
        <f t="shared" si="205"/>
        <v>0</v>
      </c>
      <c r="O1470" s="69">
        <f>O1465+G1465</f>
        <v>51686367.049999997</v>
      </c>
    </row>
    <row r="1471" spans="1:17">
      <c r="A1471" s="56"/>
      <c r="B1471" s="1635"/>
      <c r="C1471" s="72" t="s">
        <v>5822</v>
      </c>
      <c r="D1471" s="84">
        <f>Data!R2580</f>
        <v>4457.7700000000004</v>
      </c>
      <c r="E1471" s="84" t="s">
        <v>724</v>
      </c>
      <c r="F1471" s="111"/>
      <c r="G1471" s="69">
        <f t="shared" si="205"/>
        <v>0</v>
      </c>
    </row>
    <row r="1472" spans="1:17">
      <c r="A1472" s="56"/>
      <c r="B1472" s="1635"/>
      <c r="C1472" s="72" t="s">
        <v>5816</v>
      </c>
      <c r="D1472" s="84"/>
      <c r="E1472" s="84" t="s">
        <v>724</v>
      </c>
      <c r="F1472" s="111"/>
      <c r="G1472" s="69">
        <f t="shared" si="205"/>
        <v>0</v>
      </c>
      <c r="O1472" s="69">
        <f>O1470-Q1465</f>
        <v>-350.56</v>
      </c>
    </row>
    <row r="1473" spans="1:7" ht="46.5">
      <c r="A1473" s="56"/>
      <c r="B1473" s="1635"/>
      <c r="C1473" s="72" t="s">
        <v>6343</v>
      </c>
      <c r="D1473" s="84"/>
      <c r="E1473" s="84" t="s">
        <v>724</v>
      </c>
      <c r="F1473" s="111"/>
      <c r="G1473" s="69">
        <f t="shared" si="205"/>
        <v>0</v>
      </c>
    </row>
    <row r="1474" spans="1:7" ht="46.5">
      <c r="A1474" s="56"/>
      <c r="B1474" s="1635"/>
      <c r="C1474" s="72" t="s">
        <v>6344</v>
      </c>
      <c r="D1474" s="84"/>
      <c r="E1474" s="84" t="s">
        <v>724</v>
      </c>
      <c r="F1474" s="111"/>
      <c r="G1474" s="69">
        <f t="shared" si="205"/>
        <v>0</v>
      </c>
    </row>
    <row r="1475" spans="1:7" ht="46.5">
      <c r="A1475" s="56"/>
      <c r="B1475" s="1635"/>
      <c r="C1475" s="72" t="s">
        <v>6345</v>
      </c>
      <c r="D1475" s="84"/>
      <c r="E1475" s="84" t="s">
        <v>724</v>
      </c>
      <c r="F1475" s="111"/>
      <c r="G1475" s="69">
        <f t="shared" si="205"/>
        <v>0</v>
      </c>
    </row>
    <row r="1476" spans="1:7">
      <c r="A1476" s="56"/>
      <c r="B1476" s="1635"/>
      <c r="C1476" s="72" t="s">
        <v>6346</v>
      </c>
      <c r="D1476" s="84">
        <f>Data!L1794</f>
        <v>0</v>
      </c>
      <c r="E1476" s="84" t="s">
        <v>729</v>
      </c>
      <c r="F1476" s="111"/>
      <c r="G1476" s="69">
        <f t="shared" si="205"/>
        <v>0</v>
      </c>
    </row>
    <row r="1477" spans="1:7">
      <c r="A1477" s="56"/>
      <c r="B1477" s="1635"/>
      <c r="C1477" s="72" t="s">
        <v>6347</v>
      </c>
      <c r="D1477" s="84">
        <f>Data!K2435</f>
        <v>1520.79</v>
      </c>
      <c r="E1477" s="84" t="s">
        <v>724</v>
      </c>
      <c r="F1477" s="111"/>
      <c r="G1477" s="69">
        <f t="shared" si="205"/>
        <v>0</v>
      </c>
    </row>
    <row r="1478" spans="1:7">
      <c r="A1478" s="56"/>
      <c r="B1478" s="1635"/>
      <c r="C1478" s="72" t="s">
        <v>6348</v>
      </c>
      <c r="D1478" s="84">
        <f>Data!R1230</f>
        <v>1513.16</v>
      </c>
      <c r="E1478" s="84" t="s">
        <v>724</v>
      </c>
      <c r="F1478" s="111"/>
      <c r="G1478" s="69">
        <f t="shared" si="205"/>
        <v>0</v>
      </c>
    </row>
    <row r="1479" spans="1:7" ht="38.25" customHeight="1">
      <c r="A1479" s="56"/>
      <c r="B1479" s="1635"/>
      <c r="C1479" s="72" t="s">
        <v>6349</v>
      </c>
      <c r="D1479" s="84">
        <f>Data!R1272</f>
        <v>1283.24</v>
      </c>
      <c r="E1479" s="84" t="s">
        <v>724</v>
      </c>
      <c r="F1479" s="107">
        <f>'Detailed Estimate '!I2398</f>
        <v>1185.0999999999999</v>
      </c>
      <c r="G1479" s="69">
        <f t="shared" si="205"/>
        <v>1520767.72</v>
      </c>
    </row>
    <row r="1480" spans="1:7">
      <c r="A1480" s="56"/>
      <c r="B1480" s="1635"/>
      <c r="C1480" s="72" t="s">
        <v>6350</v>
      </c>
      <c r="D1480" s="84">
        <f>Data!R2442</f>
        <v>1695.09</v>
      </c>
      <c r="E1480" s="84" t="s">
        <v>724</v>
      </c>
      <c r="F1480" s="111"/>
      <c r="G1480" s="69">
        <f t="shared" si="205"/>
        <v>0</v>
      </c>
    </row>
    <row r="1481" spans="1:7">
      <c r="A1481" s="56"/>
      <c r="B1481" s="1635"/>
      <c r="C1481" s="72" t="s">
        <v>6351</v>
      </c>
      <c r="D1481" s="84">
        <f>Data!AD1257</f>
        <v>1654.94</v>
      </c>
      <c r="E1481" s="84" t="s">
        <v>724</v>
      </c>
      <c r="F1481" s="111"/>
      <c r="G1481" s="69">
        <f t="shared" si="205"/>
        <v>0</v>
      </c>
    </row>
    <row r="1482" spans="1:7" ht="46.5">
      <c r="A1482" s="56"/>
      <c r="B1482" s="1635"/>
      <c r="C1482" s="82" t="s">
        <v>6352</v>
      </c>
      <c r="D1482" s="84">
        <f>Data!K1442</f>
        <v>283.74</v>
      </c>
      <c r="E1482" s="84" t="s">
        <v>724</v>
      </c>
      <c r="F1482" s="111"/>
      <c r="G1482" s="69">
        <f t="shared" si="205"/>
        <v>0</v>
      </c>
    </row>
    <row r="1483" spans="1:7">
      <c r="A1483" s="56"/>
      <c r="B1483" s="1635"/>
      <c r="C1483" s="82" t="s">
        <v>6353</v>
      </c>
      <c r="D1483" s="84">
        <f>5000*8.2</f>
        <v>41000</v>
      </c>
      <c r="E1483" s="84" t="s">
        <v>729</v>
      </c>
      <c r="F1483" s="111"/>
      <c r="G1483" s="69">
        <f t="shared" si="205"/>
        <v>0</v>
      </c>
    </row>
    <row r="1484" spans="1:7" ht="46.5">
      <c r="A1484" s="56"/>
      <c r="B1484" s="1635"/>
      <c r="C1484" s="82" t="str">
        <f>Data!O2626</f>
        <v>T.W DOOR SHUTTER TWO LEAVES(1200 X 2100 mm ) with Brass Fittings</v>
      </c>
      <c r="D1484" s="84">
        <f>Data!R2654</f>
        <v>7218.85</v>
      </c>
      <c r="E1484" s="84" t="s">
        <v>724</v>
      </c>
      <c r="F1484" s="111"/>
      <c r="G1484" s="69">
        <f t="shared" si="205"/>
        <v>0</v>
      </c>
    </row>
    <row r="1485" spans="1:7" ht="46.5">
      <c r="A1485" s="56"/>
      <c r="B1485" s="1635"/>
      <c r="C1485" s="82" t="s">
        <v>3110</v>
      </c>
      <c r="D1485" s="84">
        <f>Data!R1124</f>
        <v>5349.76</v>
      </c>
      <c r="E1485" s="84" t="s">
        <v>724</v>
      </c>
      <c r="F1485" s="111"/>
      <c r="G1485" s="69">
        <f t="shared" si="205"/>
        <v>0</v>
      </c>
    </row>
    <row r="1486" spans="1:7" ht="46.5">
      <c r="A1486" s="56"/>
      <c r="B1486" s="1635"/>
      <c r="C1486" s="82" t="s">
        <v>6354</v>
      </c>
      <c r="D1486" s="84">
        <f>Data!R3204</f>
        <v>0</v>
      </c>
      <c r="E1486" s="84" t="s">
        <v>724</v>
      </c>
      <c r="F1486" s="111"/>
      <c r="G1486" s="69">
        <f t="shared" si="205"/>
        <v>0</v>
      </c>
    </row>
    <row r="1487" spans="1:7" ht="46.5">
      <c r="A1487" s="56"/>
      <c r="B1487" s="1635"/>
      <c r="C1487" s="82" t="s">
        <v>6355</v>
      </c>
      <c r="D1487" s="84">
        <f>Data!R3273</f>
        <v>0</v>
      </c>
      <c r="E1487" s="84" t="s">
        <v>724</v>
      </c>
      <c r="F1487" s="111"/>
      <c r="G1487" s="69">
        <f t="shared" si="205"/>
        <v>0</v>
      </c>
    </row>
    <row r="1488" spans="1:7" ht="46.5">
      <c r="A1488" s="56"/>
      <c r="B1488" s="1635"/>
      <c r="C1488" s="82" t="s">
        <v>6356</v>
      </c>
      <c r="D1488" s="84" t="str">
        <f>Data!K3332</f>
        <v>============</v>
      </c>
      <c r="E1488" s="84" t="s">
        <v>724</v>
      </c>
      <c r="F1488" s="111"/>
      <c r="G1488" s="69" t="e">
        <f t="shared" si="205"/>
        <v>#VALUE!</v>
      </c>
    </row>
    <row r="1489" spans="1:7" ht="69.75">
      <c r="A1489" s="56"/>
      <c r="B1489" s="1635"/>
      <c r="C1489" s="76" t="s">
        <v>6357</v>
      </c>
      <c r="D1489" s="84">
        <f>Data!R3339</f>
        <v>5302.8</v>
      </c>
      <c r="E1489" s="84" t="s">
        <v>724</v>
      </c>
      <c r="F1489" s="111"/>
      <c r="G1489" s="69">
        <f t="shared" si="205"/>
        <v>0</v>
      </c>
    </row>
    <row r="1490" spans="1:7" ht="69.75">
      <c r="A1490" s="56"/>
      <c r="B1490" s="1635"/>
      <c r="C1490" s="76" t="s">
        <v>6358</v>
      </c>
      <c r="D1490" s="84">
        <f>Data!R3452</f>
        <v>6163.48</v>
      </c>
      <c r="E1490" s="84" t="s">
        <v>724</v>
      </c>
      <c r="F1490" s="111"/>
      <c r="G1490" s="69">
        <f t="shared" si="205"/>
        <v>0</v>
      </c>
    </row>
    <row r="1491" spans="1:7" ht="46.5">
      <c r="A1491" s="56"/>
      <c r="B1491" s="1635"/>
      <c r="C1491" s="72" t="s">
        <v>5019</v>
      </c>
      <c r="D1491" s="84">
        <f>Data!K3434</f>
        <v>5331.63</v>
      </c>
      <c r="E1491" s="84" t="s">
        <v>724</v>
      </c>
      <c r="F1491" s="111"/>
      <c r="G1491" s="69">
        <f t="shared" si="205"/>
        <v>0</v>
      </c>
    </row>
    <row r="1492" spans="1:7">
      <c r="A1492" s="56"/>
      <c r="B1492" s="1635"/>
      <c r="C1492" s="82" t="s">
        <v>6359</v>
      </c>
      <c r="D1492" s="84">
        <f>Data!R3374</f>
        <v>5822.18</v>
      </c>
      <c r="E1492" s="84" t="s">
        <v>724</v>
      </c>
      <c r="F1492" s="111"/>
      <c r="G1492" s="69">
        <f t="shared" si="205"/>
        <v>0</v>
      </c>
    </row>
    <row r="1493" spans="1:7">
      <c r="A1493" s="56"/>
      <c r="B1493" s="1635"/>
      <c r="C1493" s="82" t="s">
        <v>6360</v>
      </c>
      <c r="D1493" s="84" t="str">
        <f>Data!R3409</f>
        <v>=</v>
      </c>
      <c r="E1493" s="84" t="s">
        <v>724</v>
      </c>
      <c r="F1493" s="111"/>
      <c r="G1493" s="69" t="e">
        <f t="shared" si="205"/>
        <v>#VALUE!</v>
      </c>
    </row>
    <row r="1494" spans="1:7">
      <c r="A1494" s="56"/>
      <c r="B1494" s="1635"/>
      <c r="C1494" s="82" t="s">
        <v>6361</v>
      </c>
      <c r="D1494" s="84">
        <f>Data!R3306</f>
        <v>0</v>
      </c>
      <c r="E1494" s="84" t="s">
        <v>724</v>
      </c>
      <c r="F1494" s="111"/>
      <c r="G1494" s="69">
        <f t="shared" si="205"/>
        <v>0</v>
      </c>
    </row>
    <row r="1495" spans="1:7">
      <c r="A1495" s="56"/>
      <c r="B1495" s="1635"/>
      <c r="C1495" s="82" t="s">
        <v>6362</v>
      </c>
      <c r="D1495" s="84">
        <f>Data!R3340</f>
        <v>0</v>
      </c>
      <c r="E1495" s="84" t="s">
        <v>724</v>
      </c>
      <c r="F1495" s="111"/>
      <c r="G1495" s="69">
        <f t="shared" si="205"/>
        <v>0</v>
      </c>
    </row>
    <row r="1496" spans="1:7">
      <c r="A1496" s="56"/>
      <c r="B1496" s="1635"/>
      <c r="C1496" s="82" t="s">
        <v>6363</v>
      </c>
      <c r="D1496" s="84">
        <f>Elec.Data!K650</f>
        <v>1308.97</v>
      </c>
      <c r="E1496" s="84" t="s">
        <v>729</v>
      </c>
      <c r="F1496" s="111"/>
      <c r="G1496" s="69">
        <f t="shared" si="205"/>
        <v>0</v>
      </c>
    </row>
    <row r="1497" spans="1:7">
      <c r="A1497" s="56"/>
      <c r="B1497" s="1635"/>
      <c r="C1497" s="82" t="s">
        <v>6364</v>
      </c>
      <c r="D1497" s="84">
        <f>Elec.Data!K716</f>
        <v>165</v>
      </c>
      <c r="E1497" s="84" t="s">
        <v>13</v>
      </c>
      <c r="F1497" s="111"/>
      <c r="G1497" s="69">
        <f t="shared" si="205"/>
        <v>0</v>
      </c>
    </row>
    <row r="1498" spans="1:7">
      <c r="A1498" s="56"/>
      <c r="B1498" s="1635"/>
      <c r="C1498" s="82" t="s">
        <v>2608</v>
      </c>
      <c r="D1498" s="84">
        <f>Elec.Data!K637</f>
        <v>3068.5</v>
      </c>
      <c r="E1498" s="84" t="s">
        <v>729</v>
      </c>
      <c r="F1498" s="111"/>
      <c r="G1498" s="69">
        <f t="shared" si="205"/>
        <v>0</v>
      </c>
    </row>
    <row r="1499" spans="1:7">
      <c r="A1499" s="56"/>
      <c r="B1499" s="1635"/>
      <c r="C1499" s="82" t="s">
        <v>6365</v>
      </c>
      <c r="D1499" s="84">
        <f>Data!K2982</f>
        <v>0</v>
      </c>
      <c r="E1499" s="84" t="s">
        <v>724</v>
      </c>
      <c r="F1499" s="111"/>
      <c r="G1499" s="69">
        <f t="shared" si="205"/>
        <v>0</v>
      </c>
    </row>
    <row r="1500" spans="1:7">
      <c r="A1500" s="56"/>
      <c r="B1500" s="1635"/>
      <c r="C1500" s="82" t="s">
        <v>6366</v>
      </c>
      <c r="D1500" s="84">
        <f>Data!K2845</f>
        <v>2816.03</v>
      </c>
      <c r="E1500" s="84" t="s">
        <v>724</v>
      </c>
      <c r="F1500" s="111"/>
      <c r="G1500" s="69">
        <f t="shared" si="205"/>
        <v>0</v>
      </c>
    </row>
    <row r="1501" spans="1:7">
      <c r="A1501" s="56"/>
      <c r="B1501" s="1635"/>
      <c r="C1501" s="82" t="s">
        <v>6367</v>
      </c>
      <c r="D1501" s="84">
        <f>Data!R2988</f>
        <v>2736.66</v>
      </c>
      <c r="E1501" s="84" t="s">
        <v>724</v>
      </c>
      <c r="F1501" s="111"/>
      <c r="G1501" s="69">
        <f t="shared" si="205"/>
        <v>0</v>
      </c>
    </row>
    <row r="1502" spans="1:7">
      <c r="A1502" s="56"/>
      <c r="B1502" s="1635"/>
      <c r="C1502" s="82" t="s">
        <v>6368</v>
      </c>
      <c r="D1502" s="84">
        <f>Data!K3085</f>
        <v>2985.43</v>
      </c>
      <c r="E1502" s="84" t="s">
        <v>724</v>
      </c>
      <c r="F1502" s="111"/>
      <c r="G1502" s="69">
        <f t="shared" si="205"/>
        <v>0</v>
      </c>
    </row>
    <row r="1503" spans="1:7">
      <c r="A1503" s="56"/>
      <c r="B1503" s="1635"/>
      <c r="C1503" s="82" t="s">
        <v>6369</v>
      </c>
      <c r="D1503" s="84">
        <f>Data!K3066</f>
        <v>3117.93</v>
      </c>
      <c r="E1503" s="84" t="s">
        <v>724</v>
      </c>
      <c r="F1503" s="111"/>
      <c r="G1503" s="69">
        <f t="shared" si="205"/>
        <v>0</v>
      </c>
    </row>
    <row r="1504" spans="1:7">
      <c r="A1504" s="56"/>
      <c r="B1504" s="1635"/>
      <c r="C1504" s="82" t="s">
        <v>6370</v>
      </c>
      <c r="D1504" s="84">
        <f>Data!R3073</f>
        <v>2926.31</v>
      </c>
      <c r="E1504" s="84" t="s">
        <v>724</v>
      </c>
      <c r="F1504" s="111"/>
      <c r="G1504" s="69">
        <f t="shared" si="205"/>
        <v>0</v>
      </c>
    </row>
    <row r="1505" spans="1:7" ht="46.5">
      <c r="A1505" s="56"/>
      <c r="B1505" s="1635"/>
      <c r="C1505" s="82" t="s">
        <v>4783</v>
      </c>
      <c r="D1505" s="84">
        <f>Data!K2877</f>
        <v>2208.35</v>
      </c>
      <c r="E1505" s="84" t="s">
        <v>724</v>
      </c>
      <c r="F1505" s="111"/>
      <c r="G1505" s="69">
        <f t="shared" si="205"/>
        <v>0</v>
      </c>
    </row>
    <row r="1506" spans="1:7">
      <c r="A1506" s="56"/>
      <c r="B1506" s="1635"/>
      <c r="C1506" s="82" t="s">
        <v>6371</v>
      </c>
      <c r="D1506" s="84">
        <f>Data!K1154</f>
        <v>128.36000000000001</v>
      </c>
      <c r="E1506" s="84"/>
      <c r="F1506" s="111"/>
      <c r="G1506" s="69">
        <f t="shared" si="205"/>
        <v>0</v>
      </c>
    </row>
    <row r="1507" spans="1:7">
      <c r="A1507" s="56"/>
      <c r="B1507" s="1635"/>
      <c r="C1507" s="82" t="s">
        <v>6372</v>
      </c>
      <c r="D1507" s="84">
        <f>Data!K1167</f>
        <v>201.2</v>
      </c>
      <c r="E1507" s="84"/>
      <c r="F1507" s="111"/>
      <c r="G1507" s="69">
        <f t="shared" si="205"/>
        <v>0</v>
      </c>
    </row>
    <row r="1508" spans="1:7">
      <c r="A1508" s="56"/>
      <c r="B1508" s="1635"/>
      <c r="C1508" s="82" t="s">
        <v>6373</v>
      </c>
      <c r="D1508" s="84">
        <f>Data!K2448</f>
        <v>785.66</v>
      </c>
      <c r="E1508" s="84"/>
      <c r="F1508" s="111"/>
      <c r="G1508" s="69">
        <f t="shared" si="205"/>
        <v>0</v>
      </c>
    </row>
    <row r="1509" spans="1:7">
      <c r="A1509" s="56"/>
      <c r="B1509" s="1635"/>
      <c r="C1509" s="82" t="s">
        <v>6374</v>
      </c>
      <c r="D1509" s="84">
        <f>Data!K2798</f>
        <v>1734.23</v>
      </c>
      <c r="E1509" s="84"/>
      <c r="F1509" s="111"/>
      <c r="G1509" s="69">
        <f t="shared" si="205"/>
        <v>0</v>
      </c>
    </row>
    <row r="1510" spans="1:7" ht="69.75">
      <c r="A1510" s="56"/>
      <c r="B1510" s="1635"/>
      <c r="C1510" s="82" t="s">
        <v>6375</v>
      </c>
      <c r="D1510" s="84">
        <f>Elec.Data!K180</f>
        <v>2640</v>
      </c>
      <c r="E1510" s="84"/>
      <c r="F1510" s="111"/>
      <c r="G1510" s="69">
        <f t="shared" si="205"/>
        <v>0</v>
      </c>
    </row>
    <row r="1511" spans="1:7" ht="69.75">
      <c r="A1511" s="56"/>
      <c r="B1511" s="1635"/>
      <c r="C1511" s="82" t="s">
        <v>6376</v>
      </c>
      <c r="D1511" s="84">
        <f>Elec.Data!K192</f>
        <v>2640</v>
      </c>
      <c r="E1511" s="84"/>
      <c r="F1511" s="111"/>
      <c r="G1511" s="69">
        <f t="shared" si="205"/>
        <v>0</v>
      </c>
    </row>
    <row r="1512" spans="1:7" ht="46.5">
      <c r="A1512" s="56"/>
      <c r="B1512" s="1635"/>
      <c r="C1512" s="82" t="s">
        <v>6377</v>
      </c>
      <c r="D1512" s="84">
        <f>Elec.Data!K213</f>
        <v>2712</v>
      </c>
      <c r="E1512" s="84"/>
      <c r="F1512" s="111"/>
      <c r="G1512" s="69">
        <f t="shared" si="205"/>
        <v>0</v>
      </c>
    </row>
    <row r="1513" spans="1:7" ht="69.75">
      <c r="A1513" s="56"/>
      <c r="B1513" s="1635"/>
      <c r="C1513" s="82" t="s">
        <v>6378</v>
      </c>
      <c r="D1513" s="84">
        <f>Elec.Data!K232</f>
        <v>4960</v>
      </c>
      <c r="E1513" s="84"/>
      <c r="F1513" s="111"/>
      <c r="G1513" s="69">
        <f t="shared" si="205"/>
        <v>0</v>
      </c>
    </row>
    <row r="1514" spans="1:7">
      <c r="A1514" s="56"/>
      <c r="B1514" s="1635"/>
      <c r="C1514" s="82" t="s">
        <v>2435</v>
      </c>
      <c r="D1514" s="84">
        <f>Elec.Data!K261</f>
        <v>226</v>
      </c>
      <c r="E1514" s="84"/>
      <c r="F1514" s="111"/>
      <c r="G1514" s="69">
        <f t="shared" si="205"/>
        <v>0</v>
      </c>
    </row>
    <row r="1515" spans="1:7">
      <c r="A1515" s="56"/>
      <c r="B1515" s="1635"/>
      <c r="C1515" s="82" t="s">
        <v>2441</v>
      </c>
      <c r="D1515" s="84">
        <f>Elec.Data!K274</f>
        <v>266</v>
      </c>
      <c r="E1515" s="84"/>
      <c r="F1515" s="111"/>
      <c r="G1515" s="69">
        <f t="shared" si="205"/>
        <v>0</v>
      </c>
    </row>
    <row r="1516" spans="1:7">
      <c r="A1516" s="56"/>
      <c r="B1516" s="1635"/>
      <c r="C1516" s="82" t="s">
        <v>2444</v>
      </c>
      <c r="D1516" s="84">
        <f>Elec.Data!K288</f>
        <v>398</v>
      </c>
      <c r="E1516" s="84"/>
      <c r="F1516" s="111"/>
      <c r="G1516" s="69">
        <f t="shared" si="205"/>
        <v>0</v>
      </c>
    </row>
    <row r="1517" spans="1:7" ht="93">
      <c r="A1517" s="56"/>
      <c r="B1517" s="1635"/>
      <c r="C1517" s="82" t="s">
        <v>2475</v>
      </c>
      <c r="D1517" s="84">
        <f>Elec.Data!K342</f>
        <v>1345.6</v>
      </c>
      <c r="E1517" s="84"/>
      <c r="F1517" s="111"/>
      <c r="G1517" s="69">
        <f t="shared" si="205"/>
        <v>0</v>
      </c>
    </row>
    <row r="1518" spans="1:7" ht="93">
      <c r="A1518" s="56"/>
      <c r="B1518" s="1635"/>
      <c r="C1518" s="82" t="s">
        <v>2480</v>
      </c>
      <c r="D1518" s="84">
        <f>Elec.Data!K353</f>
        <v>1035.5999999999999</v>
      </c>
      <c r="E1518" s="84"/>
      <c r="F1518" s="111"/>
      <c r="G1518" s="69">
        <f t="shared" si="205"/>
        <v>0</v>
      </c>
    </row>
    <row r="1519" spans="1:7" ht="69.75">
      <c r="A1519" s="56"/>
      <c r="B1519" s="1635"/>
      <c r="C1519" s="82" t="s">
        <v>2484</v>
      </c>
      <c r="D1519" s="84">
        <f>Elec.Data!K364</f>
        <v>1723</v>
      </c>
      <c r="E1519" s="84"/>
      <c r="F1519" s="111"/>
      <c r="G1519" s="69">
        <f t="shared" si="205"/>
        <v>0</v>
      </c>
    </row>
    <row r="1520" spans="1:7" ht="69.75">
      <c r="A1520" s="56"/>
      <c r="B1520" s="1635"/>
      <c r="C1520" s="82" t="s">
        <v>6379</v>
      </c>
      <c r="D1520" s="84">
        <f>Elec.Data!K379</f>
        <v>2157.0300000000002</v>
      </c>
      <c r="E1520" s="84"/>
      <c r="F1520" s="111"/>
      <c r="G1520" s="69">
        <f t="shared" si="205"/>
        <v>0</v>
      </c>
    </row>
    <row r="1521" spans="1:7" ht="116.25">
      <c r="A1521" s="56"/>
      <c r="B1521" s="1635"/>
      <c r="C1521" s="82" t="s">
        <v>2501</v>
      </c>
      <c r="D1521" s="84">
        <f>Elec.Data!K402</f>
        <v>4212</v>
      </c>
      <c r="E1521" s="84"/>
      <c r="F1521" s="111"/>
      <c r="G1521" s="69">
        <f t="shared" si="205"/>
        <v>0</v>
      </c>
    </row>
    <row r="1522" spans="1:7" ht="93">
      <c r="A1522" s="56"/>
      <c r="B1522" s="1635"/>
      <c r="C1522" s="82" t="s">
        <v>2494</v>
      </c>
      <c r="D1522" s="84">
        <f>Elec.Data!K390</f>
        <v>3430</v>
      </c>
      <c r="E1522" s="84"/>
      <c r="F1522" s="111"/>
      <c r="G1522" s="69">
        <f t="shared" si="205"/>
        <v>0</v>
      </c>
    </row>
    <row r="1523" spans="1:7" ht="46.5">
      <c r="A1523" s="56"/>
      <c r="B1523" s="1635"/>
      <c r="C1523" s="82" t="s">
        <v>2506</v>
      </c>
      <c r="D1523" s="84">
        <f>Elec.Data!K414</f>
        <v>0</v>
      </c>
      <c r="E1523" s="84"/>
      <c r="F1523" s="111"/>
      <c r="G1523" s="69">
        <f t="shared" si="205"/>
        <v>0</v>
      </c>
    </row>
    <row r="1524" spans="1:7" ht="46.5">
      <c r="A1524" s="56"/>
      <c r="B1524" s="1635"/>
      <c r="C1524" s="82" t="s">
        <v>2516</v>
      </c>
      <c r="D1524" s="84">
        <f>Elec.Data!K432</f>
        <v>0</v>
      </c>
      <c r="E1524" s="84"/>
      <c r="F1524" s="111"/>
      <c r="G1524" s="69">
        <f t="shared" si="205"/>
        <v>0</v>
      </c>
    </row>
    <row r="1525" spans="1:7" ht="46.5">
      <c r="A1525" s="56"/>
      <c r="B1525" s="1635"/>
      <c r="C1525" s="82" t="s">
        <v>6380</v>
      </c>
      <c r="D1525" s="84">
        <f>Elec.Data!K503</f>
        <v>0</v>
      </c>
      <c r="E1525" s="84"/>
      <c r="F1525" s="111"/>
      <c r="G1525" s="69">
        <f t="shared" si="205"/>
        <v>0</v>
      </c>
    </row>
    <row r="1526" spans="1:7" ht="46.5">
      <c r="A1526" s="56"/>
      <c r="B1526" s="1635"/>
      <c r="C1526" s="82" t="s">
        <v>6381</v>
      </c>
      <c r="D1526" s="84">
        <f>Elec.Data!K518</f>
        <v>0</v>
      </c>
      <c r="E1526" s="84"/>
      <c r="F1526" s="111"/>
      <c r="G1526" s="69">
        <f t="shared" si="205"/>
        <v>0</v>
      </c>
    </row>
    <row r="1527" spans="1:7" ht="46.5">
      <c r="A1527" s="56"/>
      <c r="B1527" s="1635"/>
      <c r="C1527" s="82" t="s">
        <v>6382</v>
      </c>
      <c r="D1527" s="84">
        <f>Elec.Data!K536</f>
        <v>0</v>
      </c>
      <c r="E1527" s="84"/>
      <c r="F1527" s="111"/>
      <c r="G1527" s="69">
        <f t="shared" si="205"/>
        <v>0</v>
      </c>
    </row>
    <row r="1528" spans="1:7" ht="46.5">
      <c r="A1528" s="56"/>
      <c r="B1528" s="1635"/>
      <c r="C1528" s="82" t="s">
        <v>6383</v>
      </c>
      <c r="D1528" s="84">
        <f>Elec.Data!K549</f>
        <v>0</v>
      </c>
      <c r="E1528" s="84"/>
      <c r="F1528" s="111"/>
      <c r="G1528" s="69">
        <f t="shared" si="205"/>
        <v>0</v>
      </c>
    </row>
    <row r="1529" spans="1:7" ht="46.5">
      <c r="A1529" s="56"/>
      <c r="B1529" s="1635"/>
      <c r="C1529" s="82" t="s">
        <v>2572</v>
      </c>
      <c r="D1529" s="84">
        <f>Elec.Data!K554</f>
        <v>0</v>
      </c>
      <c r="E1529" s="84"/>
      <c r="F1529" s="111"/>
      <c r="G1529" s="69">
        <f t="shared" si="205"/>
        <v>0</v>
      </c>
    </row>
    <row r="1530" spans="1:7" ht="46.5">
      <c r="A1530" s="56"/>
      <c r="B1530" s="1635"/>
      <c r="C1530" s="82" t="s">
        <v>2574</v>
      </c>
      <c r="D1530" s="84">
        <f>Elec.Data!K559</f>
        <v>0</v>
      </c>
      <c r="E1530" s="84"/>
      <c r="F1530" s="111"/>
      <c r="G1530" s="69">
        <f t="shared" ref="G1530:G1593" si="206">F1530*D1530</f>
        <v>0</v>
      </c>
    </row>
    <row r="1531" spans="1:7" ht="69.75">
      <c r="A1531" s="56"/>
      <c r="B1531" s="1635"/>
      <c r="C1531" s="82" t="s">
        <v>6384</v>
      </c>
      <c r="D1531" s="84">
        <f>Elec.Data!K671</f>
        <v>0</v>
      </c>
      <c r="E1531" s="84"/>
      <c r="F1531" s="111"/>
      <c r="G1531" s="69">
        <f t="shared" si="206"/>
        <v>0</v>
      </c>
    </row>
    <row r="1532" spans="1:7" ht="69.75">
      <c r="A1532" s="56"/>
      <c r="B1532" s="1635"/>
      <c r="C1532" s="82" t="s">
        <v>6385</v>
      </c>
      <c r="D1532" s="84">
        <f>Elec.Data!K709</f>
        <v>0</v>
      </c>
      <c r="E1532" s="84"/>
      <c r="F1532" s="111"/>
      <c r="G1532" s="69">
        <f t="shared" si="206"/>
        <v>0</v>
      </c>
    </row>
    <row r="1533" spans="1:7">
      <c r="A1533" s="56"/>
      <c r="B1533" s="1635"/>
      <c r="C1533" s="82" t="s">
        <v>6386</v>
      </c>
      <c r="D1533" s="84">
        <f>Elec.Data!K716</f>
        <v>165</v>
      </c>
      <c r="E1533" s="84"/>
      <c r="F1533" s="111"/>
      <c r="G1533" s="69">
        <f t="shared" si="206"/>
        <v>0</v>
      </c>
    </row>
    <row r="1534" spans="1:7">
      <c r="A1534" s="56"/>
      <c r="B1534" s="1635"/>
      <c r="C1534" s="82" t="s">
        <v>2647</v>
      </c>
      <c r="D1534" s="84">
        <f>Elec.Data!K737</f>
        <v>0</v>
      </c>
      <c r="E1534" s="84"/>
      <c r="F1534" s="111"/>
      <c r="G1534" s="69">
        <f t="shared" si="206"/>
        <v>0</v>
      </c>
    </row>
    <row r="1535" spans="1:7">
      <c r="A1535" s="56"/>
      <c r="B1535" s="1635"/>
      <c r="C1535" s="82" t="s">
        <v>2653</v>
      </c>
      <c r="D1535" s="84">
        <f>Elec.Data!K754</f>
        <v>0</v>
      </c>
      <c r="E1535" s="84"/>
      <c r="F1535" s="111"/>
      <c r="G1535" s="69">
        <f t="shared" si="206"/>
        <v>0</v>
      </c>
    </row>
    <row r="1536" spans="1:7">
      <c r="A1536" s="56"/>
      <c r="B1536" s="1635"/>
      <c r="C1536" s="82" t="s">
        <v>2674</v>
      </c>
      <c r="D1536" s="84">
        <f>Elec.Data!K789</f>
        <v>0</v>
      </c>
      <c r="E1536" s="84"/>
      <c r="F1536" s="111"/>
      <c r="G1536" s="69">
        <f t="shared" si="206"/>
        <v>0</v>
      </c>
    </row>
    <row r="1537" spans="1:7" ht="116.25">
      <c r="A1537" s="56"/>
      <c r="B1537" s="1635"/>
      <c r="C1537" s="82" t="s">
        <v>2691</v>
      </c>
      <c r="D1537" s="84">
        <f>Elec.Data!K820</f>
        <v>0</v>
      </c>
      <c r="E1537" s="84"/>
      <c r="F1537" s="111"/>
      <c r="G1537" s="69">
        <f t="shared" si="206"/>
        <v>0</v>
      </c>
    </row>
    <row r="1538" spans="1:7" ht="69.75">
      <c r="A1538" s="56"/>
      <c r="B1538" s="1635"/>
      <c r="C1538" s="82" t="s">
        <v>6387</v>
      </c>
      <c r="D1538" s="84">
        <f>Elec.Data!K846</f>
        <v>281.56</v>
      </c>
      <c r="E1538" s="84"/>
      <c r="F1538" s="111"/>
      <c r="G1538" s="69">
        <f t="shared" si="206"/>
        <v>0</v>
      </c>
    </row>
    <row r="1539" spans="1:7" ht="46.5">
      <c r="A1539" s="56"/>
      <c r="B1539" s="1635"/>
      <c r="C1539" s="82" t="s">
        <v>6388</v>
      </c>
      <c r="D1539" s="84">
        <f>Elec.Data!K864</f>
        <v>96.41</v>
      </c>
      <c r="E1539" s="84"/>
      <c r="F1539" s="111"/>
      <c r="G1539" s="69">
        <f t="shared" si="206"/>
        <v>0</v>
      </c>
    </row>
    <row r="1540" spans="1:7">
      <c r="A1540" s="56"/>
      <c r="B1540" s="1635"/>
      <c r="C1540" s="82" t="s">
        <v>2715</v>
      </c>
      <c r="D1540" s="84">
        <f>Elec.Data!K871</f>
        <v>54.47</v>
      </c>
      <c r="E1540" s="84"/>
      <c r="F1540" s="111"/>
      <c r="G1540" s="69">
        <f t="shared" si="206"/>
        <v>0</v>
      </c>
    </row>
    <row r="1541" spans="1:7" ht="93">
      <c r="A1541" s="56"/>
      <c r="B1541" s="1635"/>
      <c r="C1541" s="82" t="s">
        <v>6389</v>
      </c>
      <c r="D1541" s="84">
        <f>Elec.Data!K896</f>
        <v>6940.2</v>
      </c>
      <c r="E1541" s="84"/>
      <c r="F1541" s="111"/>
      <c r="G1541" s="69">
        <f t="shared" si="206"/>
        <v>0</v>
      </c>
    </row>
    <row r="1542" spans="1:7">
      <c r="A1542" s="56"/>
      <c r="B1542" s="1635"/>
      <c r="C1542" s="82" t="s">
        <v>3003</v>
      </c>
      <c r="D1542" s="84">
        <f>Elec.Data!K943</f>
        <v>606</v>
      </c>
      <c r="E1542" s="84"/>
      <c r="F1542" s="111"/>
      <c r="G1542" s="69">
        <f t="shared" si="206"/>
        <v>0</v>
      </c>
    </row>
    <row r="1543" spans="1:7" ht="46.5">
      <c r="A1543" s="56"/>
      <c r="B1543" s="1635"/>
      <c r="C1543" s="1435" t="s">
        <v>6390</v>
      </c>
      <c r="D1543" s="84">
        <f>Elec.Data!K993</f>
        <v>895</v>
      </c>
      <c r="E1543" s="84"/>
      <c r="F1543" s="111"/>
      <c r="G1543" s="69">
        <f t="shared" si="206"/>
        <v>0</v>
      </c>
    </row>
    <row r="1544" spans="1:7" ht="46.5">
      <c r="A1544" s="56"/>
      <c r="B1544" s="1635"/>
      <c r="C1544" s="82" t="s">
        <v>6391</v>
      </c>
      <c r="D1544" s="84">
        <f>Elec.Data!K1019</f>
        <v>897</v>
      </c>
      <c r="E1544" s="84"/>
      <c r="F1544" s="111"/>
      <c r="G1544" s="69">
        <f t="shared" si="206"/>
        <v>0</v>
      </c>
    </row>
    <row r="1545" spans="1:7" ht="69.75">
      <c r="A1545" s="56"/>
      <c r="B1545" s="1635"/>
      <c r="C1545" s="1435" t="s">
        <v>6392</v>
      </c>
      <c r="D1545" s="84">
        <f>Elec.Data!K1035</f>
        <v>934.35</v>
      </c>
      <c r="E1545" s="84"/>
      <c r="F1545" s="111"/>
      <c r="G1545" s="69">
        <f t="shared" si="206"/>
        <v>0</v>
      </c>
    </row>
    <row r="1546" spans="1:7" ht="69.75">
      <c r="A1546" s="56"/>
      <c r="B1546" s="1635"/>
      <c r="C1546" s="1435" t="s">
        <v>6393</v>
      </c>
      <c r="D1546" s="84">
        <f>Elec.Data!K1057</f>
        <v>980.1</v>
      </c>
      <c r="E1546" s="84"/>
      <c r="F1546" s="111"/>
      <c r="G1546" s="69">
        <f t="shared" si="206"/>
        <v>0</v>
      </c>
    </row>
    <row r="1547" spans="1:7" ht="69.75">
      <c r="A1547" s="56"/>
      <c r="B1547" s="1635"/>
      <c r="C1547" s="1435" t="s">
        <v>6394</v>
      </c>
      <c r="D1547" s="84">
        <f>Elec.Data!K1077</f>
        <v>2126.6999999999998</v>
      </c>
      <c r="E1547" s="84"/>
      <c r="F1547" s="111"/>
      <c r="G1547" s="69">
        <f t="shared" si="206"/>
        <v>0</v>
      </c>
    </row>
    <row r="1548" spans="1:7" ht="69.75">
      <c r="A1548" s="56"/>
      <c r="B1548" s="1635"/>
      <c r="C1548" s="1435" t="s">
        <v>6395</v>
      </c>
      <c r="D1548" s="84">
        <f>Elec.Data!K1096</f>
        <v>689.21</v>
      </c>
      <c r="E1548" s="84"/>
      <c r="F1548" s="111"/>
      <c r="G1548" s="69">
        <f t="shared" si="206"/>
        <v>0</v>
      </c>
    </row>
    <row r="1549" spans="1:7" ht="46.5">
      <c r="A1549" s="56"/>
      <c r="B1549" s="1635"/>
      <c r="C1549" s="1435" t="s">
        <v>6396</v>
      </c>
      <c r="D1549" s="84">
        <f>Elec.Data!K1120</f>
        <v>128.19999999999999</v>
      </c>
      <c r="E1549" s="84"/>
      <c r="F1549" s="111"/>
      <c r="G1549" s="69">
        <f t="shared" si="206"/>
        <v>0</v>
      </c>
    </row>
    <row r="1550" spans="1:7" ht="46.5">
      <c r="A1550" s="56"/>
      <c r="B1550" s="1635"/>
      <c r="C1550" s="82" t="s">
        <v>6397</v>
      </c>
      <c r="D1550" s="84">
        <f>Elec.Data!K1131</f>
        <v>146.6</v>
      </c>
      <c r="E1550" s="84"/>
      <c r="F1550" s="111"/>
      <c r="G1550" s="69">
        <f t="shared" si="206"/>
        <v>0</v>
      </c>
    </row>
    <row r="1551" spans="1:7">
      <c r="A1551" s="56"/>
      <c r="B1551" s="1635"/>
      <c r="C1551" s="82" t="s">
        <v>6398</v>
      </c>
      <c r="D1551" s="84">
        <f>Data!R384</f>
        <v>24.02</v>
      </c>
      <c r="E1551" s="84"/>
      <c r="F1551" s="111"/>
      <c r="G1551" s="69">
        <f t="shared" si="206"/>
        <v>0</v>
      </c>
    </row>
    <row r="1552" spans="1:7">
      <c r="A1552" s="56"/>
      <c r="B1552" s="1635"/>
      <c r="C1552" s="82" t="s">
        <v>6399</v>
      </c>
      <c r="D1552" s="84">
        <f>D1550+D1553</f>
        <v>181.58</v>
      </c>
      <c r="E1552" s="84"/>
      <c r="F1552" s="111"/>
      <c r="G1552" s="69">
        <f t="shared" si="206"/>
        <v>0</v>
      </c>
    </row>
    <row r="1553" spans="1:7">
      <c r="A1553" s="56"/>
      <c r="B1553" s="1635"/>
      <c r="C1553" s="82" t="s">
        <v>6400</v>
      </c>
      <c r="D1553" s="84">
        <f>Data!R398</f>
        <v>34.979999999999997</v>
      </c>
      <c r="E1553" s="84"/>
      <c r="F1553" s="111"/>
      <c r="G1553" s="69">
        <f t="shared" si="206"/>
        <v>0</v>
      </c>
    </row>
    <row r="1554" spans="1:7">
      <c r="A1554" s="56"/>
      <c r="B1554" s="1635"/>
      <c r="C1554" s="82" t="s">
        <v>6401</v>
      </c>
      <c r="D1554" s="84">
        <f>Data!I3172</f>
        <v>4.4000000000000004</v>
      </c>
      <c r="E1554" s="84"/>
      <c r="F1554" s="111"/>
      <c r="G1554" s="69">
        <f t="shared" si="206"/>
        <v>0</v>
      </c>
    </row>
    <row r="1555" spans="1:7">
      <c r="A1555" s="56"/>
      <c r="B1555" s="1635"/>
      <c r="C1555" s="82" t="s">
        <v>6402</v>
      </c>
      <c r="D1555" s="84">
        <f>Data!I3198</f>
        <v>9.52</v>
      </c>
      <c r="E1555" s="84"/>
      <c r="F1555" s="111"/>
      <c r="G1555" s="69">
        <f t="shared" si="206"/>
        <v>0</v>
      </c>
    </row>
    <row r="1556" spans="1:7">
      <c r="A1556" s="56"/>
      <c r="B1556" s="1635"/>
      <c r="C1556" s="82" t="s">
        <v>6403</v>
      </c>
      <c r="D1556" s="84">
        <f>Data!I3212</f>
        <v>10.29</v>
      </c>
      <c r="E1556" s="84"/>
      <c r="F1556" s="111"/>
      <c r="G1556" s="69">
        <f t="shared" si="206"/>
        <v>0</v>
      </c>
    </row>
    <row r="1557" spans="1:7">
      <c r="A1557" s="56"/>
      <c r="B1557" s="1635"/>
      <c r="C1557" s="82" t="s">
        <v>6404</v>
      </c>
      <c r="D1557" s="84">
        <f>Data!K3188</f>
        <v>73.63</v>
      </c>
      <c r="E1557" s="84"/>
      <c r="F1557" s="111"/>
      <c r="G1557" s="69">
        <f t="shared" si="206"/>
        <v>0</v>
      </c>
    </row>
    <row r="1558" spans="1:7">
      <c r="A1558" s="56"/>
      <c r="B1558" s="1635"/>
      <c r="C1558" s="82" t="s">
        <v>6405</v>
      </c>
      <c r="D1558" s="84">
        <f>Data!K3175</f>
        <v>140.86000000000001</v>
      </c>
      <c r="E1558" s="84"/>
      <c r="F1558" s="111"/>
      <c r="G1558" s="69">
        <f t="shared" si="206"/>
        <v>0</v>
      </c>
    </row>
    <row r="1559" spans="1:7">
      <c r="A1559" s="56"/>
      <c r="B1559" s="1635"/>
      <c r="C1559" s="82" t="s">
        <v>6406</v>
      </c>
      <c r="D1559" s="84">
        <f>Data!K3202</f>
        <v>93.28</v>
      </c>
      <c r="E1559" s="84"/>
      <c r="F1559" s="111"/>
      <c r="G1559" s="69">
        <f t="shared" si="206"/>
        <v>0</v>
      </c>
    </row>
    <row r="1560" spans="1:7">
      <c r="A1560" s="56"/>
      <c r="B1560" s="1635"/>
      <c r="C1560" s="82" t="s">
        <v>6407</v>
      </c>
      <c r="D1560" s="84">
        <f>Data!K3247</f>
        <v>144.19999999999999</v>
      </c>
      <c r="E1560" s="84"/>
      <c r="F1560" s="111"/>
      <c r="G1560" s="69">
        <f t="shared" si="206"/>
        <v>0</v>
      </c>
    </row>
    <row r="1561" spans="1:7">
      <c r="A1561" s="56"/>
      <c r="B1561" s="1635"/>
      <c r="C1561" s="82" t="s">
        <v>6408</v>
      </c>
      <c r="D1561" s="84">
        <f>Data!K3216</f>
        <v>100.62</v>
      </c>
      <c r="E1561" s="84"/>
      <c r="F1561" s="111"/>
      <c r="G1561" s="69">
        <f t="shared" si="206"/>
        <v>0</v>
      </c>
    </row>
    <row r="1562" spans="1:7">
      <c r="A1562" s="56"/>
      <c r="B1562" s="1635"/>
      <c r="C1562" s="82" t="s">
        <v>6409</v>
      </c>
      <c r="D1562" s="84">
        <f>Data!K3231</f>
        <v>163.78</v>
      </c>
      <c r="E1562" s="84"/>
      <c r="F1562" s="111"/>
      <c r="G1562" s="69">
        <f t="shared" si="206"/>
        <v>0</v>
      </c>
    </row>
    <row r="1563" spans="1:7">
      <c r="A1563" s="56"/>
      <c r="B1563" s="1635"/>
      <c r="C1563" s="82" t="s">
        <v>6410</v>
      </c>
      <c r="D1563" s="84">
        <f>Data!K3275</f>
        <v>93.1</v>
      </c>
      <c r="E1563" s="84"/>
      <c r="F1563" s="111"/>
      <c r="G1563" s="69">
        <f t="shared" si="206"/>
        <v>0</v>
      </c>
    </row>
    <row r="1564" spans="1:7">
      <c r="A1564" s="56"/>
      <c r="B1564" s="1635"/>
      <c r="C1564" s="82" t="s">
        <v>6411</v>
      </c>
      <c r="D1564" s="84">
        <f>Data!K3358</f>
        <v>170.96</v>
      </c>
      <c r="E1564" s="84"/>
      <c r="F1564" s="111"/>
      <c r="G1564" s="69">
        <f t="shared" si="206"/>
        <v>0</v>
      </c>
    </row>
    <row r="1565" spans="1:7">
      <c r="A1565" s="56"/>
      <c r="B1565" s="1635"/>
      <c r="C1565" s="82" t="s">
        <v>6411</v>
      </c>
      <c r="D1565" s="84">
        <f>Data!K3371</f>
        <v>86.42</v>
      </c>
      <c r="E1565" s="84"/>
      <c r="F1565" s="111"/>
      <c r="G1565" s="69">
        <f t="shared" si="206"/>
        <v>0</v>
      </c>
    </row>
    <row r="1566" spans="1:7">
      <c r="A1566" s="56"/>
      <c r="B1566" s="1635"/>
      <c r="C1566" s="82"/>
      <c r="D1566" s="84"/>
      <c r="E1566" s="84"/>
      <c r="F1566" s="111"/>
      <c r="G1566" s="69">
        <f t="shared" si="206"/>
        <v>0</v>
      </c>
    </row>
    <row r="1567" spans="1:7">
      <c r="A1567" s="56"/>
      <c r="B1567" s="1635"/>
      <c r="C1567" s="82"/>
      <c r="D1567" s="84"/>
      <c r="E1567" s="84"/>
      <c r="F1567" s="111"/>
      <c r="G1567" s="69">
        <f t="shared" si="206"/>
        <v>0</v>
      </c>
    </row>
    <row r="1568" spans="1:7">
      <c r="A1568" s="56"/>
      <c r="B1568" s="1635"/>
      <c r="C1568" s="82" t="s">
        <v>6412</v>
      </c>
      <c r="D1568" s="84"/>
      <c r="E1568" s="84"/>
      <c r="F1568" s="111"/>
      <c r="G1568" s="69">
        <f t="shared" si="206"/>
        <v>0</v>
      </c>
    </row>
    <row r="1569" spans="1:7">
      <c r="A1569" s="56"/>
      <c r="B1569" s="1635"/>
      <c r="C1569" s="82"/>
      <c r="D1569" s="84"/>
      <c r="E1569" s="84"/>
      <c r="F1569" s="111"/>
      <c r="G1569" s="69">
        <f t="shared" si="206"/>
        <v>0</v>
      </c>
    </row>
    <row r="1570" spans="1:7">
      <c r="A1570" s="56"/>
      <c r="B1570" s="1635"/>
      <c r="C1570" s="82"/>
      <c r="D1570" s="84"/>
      <c r="E1570" s="84"/>
      <c r="F1570" s="111"/>
      <c r="G1570" s="69">
        <f t="shared" si="206"/>
        <v>0</v>
      </c>
    </row>
    <row r="1571" spans="1:7">
      <c r="A1571" s="56"/>
      <c r="B1571" s="1635"/>
      <c r="C1571" s="82"/>
      <c r="D1571" s="84"/>
      <c r="E1571" s="84"/>
      <c r="F1571" s="111"/>
      <c r="G1571" s="69">
        <f t="shared" si="206"/>
        <v>0</v>
      </c>
    </row>
    <row r="1572" spans="1:7">
      <c r="A1572" s="56"/>
      <c r="B1572" s="1635"/>
      <c r="C1572" s="82"/>
      <c r="D1572" s="84"/>
      <c r="E1572" s="84"/>
      <c r="F1572" s="111"/>
      <c r="G1572" s="69">
        <f t="shared" si="206"/>
        <v>0</v>
      </c>
    </row>
    <row r="1573" spans="1:7">
      <c r="A1573" s="56"/>
      <c r="B1573" s="1635"/>
      <c r="C1573" s="82"/>
      <c r="D1573" s="84"/>
      <c r="E1573" s="84"/>
      <c r="F1573" s="111"/>
      <c r="G1573" s="69">
        <f t="shared" si="206"/>
        <v>0</v>
      </c>
    </row>
    <row r="1574" spans="1:7">
      <c r="A1574" s="56"/>
      <c r="B1574" s="1635"/>
      <c r="C1574" s="82"/>
      <c r="D1574" s="84"/>
      <c r="E1574" s="84"/>
      <c r="F1574" s="111"/>
      <c r="G1574" s="69">
        <f t="shared" si="206"/>
        <v>0</v>
      </c>
    </row>
    <row r="1575" spans="1:7">
      <c r="A1575" s="56"/>
      <c r="B1575" s="1635"/>
      <c r="C1575" s="82"/>
      <c r="D1575" s="84"/>
      <c r="E1575" s="84"/>
      <c r="F1575" s="111"/>
      <c r="G1575" s="69">
        <f t="shared" si="206"/>
        <v>0</v>
      </c>
    </row>
    <row r="1576" spans="1:7">
      <c r="A1576" s="56"/>
      <c r="B1576" s="1635"/>
      <c r="C1576" s="82"/>
      <c r="D1576" s="84"/>
      <c r="E1576" s="84"/>
      <c r="F1576" s="111"/>
      <c r="G1576" s="69">
        <f t="shared" si="206"/>
        <v>0</v>
      </c>
    </row>
    <row r="1577" spans="1:7">
      <c r="A1577" s="56"/>
      <c r="B1577" s="1635"/>
      <c r="C1577" s="82"/>
      <c r="D1577" s="84"/>
      <c r="E1577" s="84"/>
      <c r="F1577" s="111"/>
      <c r="G1577" s="69">
        <f t="shared" si="206"/>
        <v>0</v>
      </c>
    </row>
    <row r="1578" spans="1:7">
      <c r="A1578" s="56"/>
      <c r="B1578" s="1635"/>
      <c r="C1578" s="82"/>
      <c r="D1578" s="84"/>
      <c r="E1578" s="84"/>
      <c r="F1578" s="111"/>
      <c r="G1578" s="69">
        <f t="shared" si="206"/>
        <v>0</v>
      </c>
    </row>
    <row r="1579" spans="1:7">
      <c r="A1579" s="56"/>
      <c r="B1579" s="1635"/>
      <c r="C1579" s="82"/>
      <c r="D1579" s="84"/>
      <c r="E1579" s="84"/>
      <c r="F1579" s="111"/>
      <c r="G1579" s="69">
        <f t="shared" si="206"/>
        <v>0</v>
      </c>
    </row>
    <row r="1580" spans="1:7">
      <c r="A1580" s="56"/>
      <c r="B1580" s="1635"/>
      <c r="C1580" s="82"/>
      <c r="D1580" s="84"/>
      <c r="E1580" s="84"/>
      <c r="F1580" s="111"/>
      <c r="G1580" s="69">
        <f t="shared" si="206"/>
        <v>0</v>
      </c>
    </row>
    <row r="1581" spans="1:7">
      <c r="A1581" s="56"/>
      <c r="B1581" s="1635"/>
      <c r="C1581" s="82"/>
      <c r="D1581" s="84"/>
      <c r="E1581" s="84"/>
      <c r="F1581" s="111"/>
      <c r="G1581" s="69">
        <f t="shared" si="206"/>
        <v>0</v>
      </c>
    </row>
    <row r="1582" spans="1:7">
      <c r="A1582" s="56"/>
      <c r="B1582" s="1635"/>
      <c r="C1582" s="82"/>
      <c r="D1582" s="84"/>
      <c r="E1582" s="84"/>
      <c r="F1582" s="111"/>
      <c r="G1582" s="69">
        <f t="shared" si="206"/>
        <v>0</v>
      </c>
    </row>
    <row r="1583" spans="1:7">
      <c r="A1583" s="56"/>
      <c r="B1583" s="1635"/>
      <c r="C1583" s="82"/>
      <c r="D1583" s="84"/>
      <c r="E1583" s="84"/>
      <c r="F1583" s="111"/>
      <c r="G1583" s="69">
        <f t="shared" si="206"/>
        <v>0</v>
      </c>
    </row>
    <row r="1584" spans="1:7">
      <c r="A1584" s="56"/>
      <c r="B1584" s="1635"/>
      <c r="C1584" s="82"/>
      <c r="D1584" s="84"/>
      <c r="E1584" s="84"/>
      <c r="F1584" s="111"/>
      <c r="G1584" s="69">
        <f t="shared" si="206"/>
        <v>0</v>
      </c>
    </row>
    <row r="1585" spans="1:7">
      <c r="A1585" s="56"/>
      <c r="B1585" s="1635"/>
      <c r="C1585" s="82"/>
      <c r="D1585" s="84"/>
      <c r="E1585" s="84"/>
      <c r="F1585" s="111"/>
      <c r="G1585" s="69">
        <f t="shared" si="206"/>
        <v>0</v>
      </c>
    </row>
    <row r="1586" spans="1:7">
      <c r="A1586" s="56"/>
      <c r="B1586" s="1635"/>
      <c r="C1586" s="82"/>
      <c r="D1586" s="84"/>
      <c r="E1586" s="84"/>
      <c r="F1586" s="111"/>
      <c r="G1586" s="69">
        <f t="shared" si="206"/>
        <v>0</v>
      </c>
    </row>
    <row r="1587" spans="1:7">
      <c r="A1587" s="56"/>
      <c r="B1587" s="1635"/>
      <c r="C1587" s="82"/>
      <c r="D1587" s="84"/>
      <c r="E1587" s="84"/>
      <c r="F1587" s="111"/>
      <c r="G1587" s="69">
        <f t="shared" si="206"/>
        <v>0</v>
      </c>
    </row>
    <row r="1588" spans="1:7">
      <c r="A1588" s="56"/>
      <c r="B1588" s="1635"/>
      <c r="C1588" s="82"/>
      <c r="D1588" s="84"/>
      <c r="E1588" s="84"/>
      <c r="F1588" s="111"/>
      <c r="G1588" s="69">
        <f t="shared" si="206"/>
        <v>0</v>
      </c>
    </row>
    <row r="1589" spans="1:7">
      <c r="A1589" s="56"/>
      <c r="B1589" s="1635"/>
      <c r="C1589" s="82"/>
      <c r="D1589" s="84"/>
      <c r="E1589" s="84"/>
      <c r="F1589" s="111"/>
      <c r="G1589" s="69">
        <f t="shared" si="206"/>
        <v>0</v>
      </c>
    </row>
    <row r="1590" spans="1:7">
      <c r="A1590" s="56"/>
      <c r="B1590" s="1635"/>
      <c r="C1590" s="82"/>
      <c r="D1590" s="84"/>
      <c r="E1590" s="84"/>
      <c r="F1590" s="111"/>
      <c r="G1590" s="69">
        <f t="shared" si="206"/>
        <v>0</v>
      </c>
    </row>
    <row r="1591" spans="1:7">
      <c r="A1591" s="56"/>
      <c r="B1591" s="1635"/>
      <c r="C1591" s="82"/>
      <c r="D1591" s="84"/>
      <c r="E1591" s="84"/>
      <c r="F1591" s="111"/>
      <c r="G1591" s="69">
        <f t="shared" si="206"/>
        <v>0</v>
      </c>
    </row>
    <row r="1592" spans="1:7">
      <c r="A1592" s="56"/>
      <c r="B1592" s="1635"/>
      <c r="C1592" s="82"/>
      <c r="D1592" s="84"/>
      <c r="E1592" s="84"/>
      <c r="F1592" s="111"/>
      <c r="G1592" s="69">
        <f t="shared" si="206"/>
        <v>0</v>
      </c>
    </row>
    <row r="1593" spans="1:7">
      <c r="A1593" s="56"/>
      <c r="B1593" s="1635"/>
      <c r="C1593" s="82"/>
      <c r="D1593" s="84"/>
      <c r="E1593" s="84"/>
      <c r="F1593" s="111"/>
      <c r="G1593" s="69">
        <f t="shared" si="206"/>
        <v>0</v>
      </c>
    </row>
    <row r="1594" spans="1:7">
      <c r="A1594" s="56"/>
      <c r="B1594" s="1635"/>
      <c r="C1594" s="82"/>
      <c r="D1594" s="84"/>
      <c r="E1594" s="84"/>
      <c r="F1594" s="111"/>
      <c r="G1594" s="69">
        <f t="shared" ref="G1594:G1657" si="207">F1594*D1594</f>
        <v>0</v>
      </c>
    </row>
    <row r="1595" spans="1:7">
      <c r="G1595" s="69">
        <f t="shared" si="207"/>
        <v>0</v>
      </c>
    </row>
    <row r="1596" spans="1:7">
      <c r="G1596" s="69">
        <f t="shared" si="207"/>
        <v>0</v>
      </c>
    </row>
    <row r="1597" spans="1:7">
      <c r="G1597" s="69">
        <f t="shared" si="207"/>
        <v>0</v>
      </c>
    </row>
    <row r="1598" spans="1:7">
      <c r="G1598" s="69">
        <f t="shared" si="207"/>
        <v>0</v>
      </c>
    </row>
    <row r="1599" spans="1:7">
      <c r="G1599" s="69">
        <f t="shared" si="207"/>
        <v>0</v>
      </c>
    </row>
    <row r="1600" spans="1:7">
      <c r="G1600" s="69">
        <f t="shared" si="207"/>
        <v>0</v>
      </c>
    </row>
    <row r="1601" spans="7:7">
      <c r="G1601" s="69">
        <f t="shared" si="207"/>
        <v>0</v>
      </c>
    </row>
    <row r="1602" spans="7:7">
      <c r="G1602" s="69">
        <f t="shared" si="207"/>
        <v>0</v>
      </c>
    </row>
    <row r="1603" spans="7:7">
      <c r="G1603" s="69">
        <f t="shared" si="207"/>
        <v>0</v>
      </c>
    </row>
    <row r="1604" spans="7:7">
      <c r="G1604" s="69">
        <f t="shared" si="207"/>
        <v>0</v>
      </c>
    </row>
    <row r="1605" spans="7:7">
      <c r="G1605" s="69">
        <f t="shared" si="207"/>
        <v>0</v>
      </c>
    </row>
    <row r="1606" spans="7:7">
      <c r="G1606" s="69">
        <f t="shared" si="207"/>
        <v>0</v>
      </c>
    </row>
    <row r="1607" spans="7:7">
      <c r="G1607" s="69">
        <f t="shared" si="207"/>
        <v>0</v>
      </c>
    </row>
    <row r="1608" spans="7:7">
      <c r="G1608" s="69">
        <f t="shared" si="207"/>
        <v>0</v>
      </c>
    </row>
    <row r="1609" spans="7:7">
      <c r="G1609" s="69">
        <f t="shared" si="207"/>
        <v>0</v>
      </c>
    </row>
    <row r="1610" spans="7:7">
      <c r="G1610" s="69">
        <f t="shared" si="207"/>
        <v>0</v>
      </c>
    </row>
    <row r="1611" spans="7:7">
      <c r="G1611" s="69">
        <f t="shared" si="207"/>
        <v>0</v>
      </c>
    </row>
    <row r="1612" spans="7:7">
      <c r="G1612" s="69">
        <f t="shared" si="207"/>
        <v>0</v>
      </c>
    </row>
    <row r="1613" spans="7:7">
      <c r="G1613" s="69">
        <f t="shared" si="207"/>
        <v>0</v>
      </c>
    </row>
    <row r="1614" spans="7:7">
      <c r="G1614" s="69">
        <f t="shared" si="207"/>
        <v>0</v>
      </c>
    </row>
    <row r="1615" spans="7:7">
      <c r="G1615" s="69">
        <f t="shared" si="207"/>
        <v>0</v>
      </c>
    </row>
    <row r="1616" spans="7:7">
      <c r="G1616" s="69">
        <f t="shared" si="207"/>
        <v>0</v>
      </c>
    </row>
    <row r="1617" spans="7:7">
      <c r="G1617" s="69">
        <f t="shared" si="207"/>
        <v>0</v>
      </c>
    </row>
    <row r="1618" spans="7:7">
      <c r="G1618" s="69">
        <f t="shared" si="207"/>
        <v>0</v>
      </c>
    </row>
    <row r="1619" spans="7:7">
      <c r="G1619" s="69">
        <f t="shared" si="207"/>
        <v>0</v>
      </c>
    </row>
    <row r="1620" spans="7:7">
      <c r="G1620" s="69">
        <f t="shared" si="207"/>
        <v>0</v>
      </c>
    </row>
    <row r="1621" spans="7:7">
      <c r="G1621" s="69">
        <f t="shared" si="207"/>
        <v>0</v>
      </c>
    </row>
    <row r="1622" spans="7:7">
      <c r="G1622" s="69">
        <f t="shared" si="207"/>
        <v>0</v>
      </c>
    </row>
    <row r="1623" spans="7:7">
      <c r="G1623" s="69">
        <f t="shared" si="207"/>
        <v>0</v>
      </c>
    </row>
    <row r="1624" spans="7:7">
      <c r="G1624" s="69">
        <f t="shared" si="207"/>
        <v>0</v>
      </c>
    </row>
    <row r="1625" spans="7:7">
      <c r="G1625" s="69">
        <f t="shared" si="207"/>
        <v>0</v>
      </c>
    </row>
    <row r="1626" spans="7:7">
      <c r="G1626" s="69">
        <f t="shared" si="207"/>
        <v>0</v>
      </c>
    </row>
    <row r="1627" spans="7:7">
      <c r="G1627" s="69">
        <f t="shared" si="207"/>
        <v>0</v>
      </c>
    </row>
    <row r="1628" spans="7:7">
      <c r="G1628" s="69">
        <f t="shared" si="207"/>
        <v>0</v>
      </c>
    </row>
    <row r="1629" spans="7:7">
      <c r="G1629" s="69">
        <f t="shared" si="207"/>
        <v>0</v>
      </c>
    </row>
    <row r="1630" spans="7:7">
      <c r="G1630" s="69">
        <f t="shared" si="207"/>
        <v>0</v>
      </c>
    </row>
    <row r="1631" spans="7:7">
      <c r="G1631" s="69">
        <f t="shared" si="207"/>
        <v>0</v>
      </c>
    </row>
    <row r="1632" spans="7:7">
      <c r="G1632" s="69">
        <f t="shared" si="207"/>
        <v>0</v>
      </c>
    </row>
    <row r="1633" spans="7:7">
      <c r="G1633" s="69">
        <f t="shared" si="207"/>
        <v>0</v>
      </c>
    </row>
    <row r="1634" spans="7:7">
      <c r="G1634" s="69">
        <f t="shared" si="207"/>
        <v>0</v>
      </c>
    </row>
    <row r="1635" spans="7:7">
      <c r="G1635" s="69">
        <f t="shared" si="207"/>
        <v>0</v>
      </c>
    </row>
    <row r="1636" spans="7:7">
      <c r="G1636" s="69">
        <f t="shared" si="207"/>
        <v>0</v>
      </c>
    </row>
    <row r="1637" spans="7:7">
      <c r="G1637" s="69">
        <f t="shared" si="207"/>
        <v>0</v>
      </c>
    </row>
    <row r="1638" spans="7:7">
      <c r="G1638" s="69">
        <f t="shared" si="207"/>
        <v>0</v>
      </c>
    </row>
    <row r="1639" spans="7:7">
      <c r="G1639" s="69">
        <f t="shared" si="207"/>
        <v>0</v>
      </c>
    </row>
    <row r="1640" spans="7:7">
      <c r="G1640" s="69">
        <f t="shared" si="207"/>
        <v>0</v>
      </c>
    </row>
    <row r="1641" spans="7:7">
      <c r="G1641" s="69">
        <f t="shared" si="207"/>
        <v>0</v>
      </c>
    </row>
    <row r="1642" spans="7:7">
      <c r="G1642" s="69">
        <f t="shared" si="207"/>
        <v>0</v>
      </c>
    </row>
    <row r="1643" spans="7:7">
      <c r="G1643" s="69">
        <f t="shared" si="207"/>
        <v>0</v>
      </c>
    </row>
    <row r="1644" spans="7:7">
      <c r="G1644" s="69">
        <f t="shared" si="207"/>
        <v>0</v>
      </c>
    </row>
    <row r="1645" spans="7:7">
      <c r="G1645" s="69">
        <f t="shared" si="207"/>
        <v>0</v>
      </c>
    </row>
    <row r="1646" spans="7:7">
      <c r="G1646" s="69">
        <f t="shared" si="207"/>
        <v>0</v>
      </c>
    </row>
    <row r="1647" spans="7:7">
      <c r="G1647" s="69">
        <f t="shared" si="207"/>
        <v>0</v>
      </c>
    </row>
    <row r="1648" spans="7:7">
      <c r="G1648" s="69">
        <f t="shared" si="207"/>
        <v>0</v>
      </c>
    </row>
    <row r="1649" spans="7:7">
      <c r="G1649" s="69">
        <f t="shared" si="207"/>
        <v>0</v>
      </c>
    </row>
    <row r="1650" spans="7:7">
      <c r="G1650" s="69">
        <f t="shared" si="207"/>
        <v>0</v>
      </c>
    </row>
    <row r="1651" spans="7:7">
      <c r="G1651" s="69">
        <f t="shared" si="207"/>
        <v>0</v>
      </c>
    </row>
    <row r="1652" spans="7:7">
      <c r="G1652" s="69">
        <f t="shared" si="207"/>
        <v>0</v>
      </c>
    </row>
    <row r="1653" spans="7:7">
      <c r="G1653" s="69">
        <f t="shared" si="207"/>
        <v>0</v>
      </c>
    </row>
    <row r="1654" spans="7:7">
      <c r="G1654" s="69">
        <f t="shared" si="207"/>
        <v>0</v>
      </c>
    </row>
    <row r="1655" spans="7:7">
      <c r="G1655" s="69">
        <f t="shared" si="207"/>
        <v>0</v>
      </c>
    </row>
    <row r="1656" spans="7:7">
      <c r="G1656" s="69">
        <f t="shared" si="207"/>
        <v>0</v>
      </c>
    </row>
    <row r="1657" spans="7:7">
      <c r="G1657" s="69">
        <f t="shared" si="207"/>
        <v>0</v>
      </c>
    </row>
    <row r="1658" spans="7:7">
      <c r="G1658" s="69">
        <f t="shared" ref="G1658:G1721" si="208">F1658*D1658</f>
        <v>0</v>
      </c>
    </row>
    <row r="1659" spans="7:7">
      <c r="G1659" s="69">
        <f t="shared" si="208"/>
        <v>0</v>
      </c>
    </row>
    <row r="1660" spans="7:7">
      <c r="G1660" s="69">
        <f t="shared" si="208"/>
        <v>0</v>
      </c>
    </row>
    <row r="1661" spans="7:7">
      <c r="G1661" s="69">
        <f t="shared" si="208"/>
        <v>0</v>
      </c>
    </row>
    <row r="1662" spans="7:7">
      <c r="G1662" s="69">
        <f t="shared" si="208"/>
        <v>0</v>
      </c>
    </row>
    <row r="1663" spans="7:7">
      <c r="G1663" s="69">
        <f t="shared" si="208"/>
        <v>0</v>
      </c>
    </row>
    <row r="1664" spans="7:7">
      <c r="G1664" s="69">
        <f t="shared" si="208"/>
        <v>0</v>
      </c>
    </row>
    <row r="1665" spans="7:7">
      <c r="G1665" s="69">
        <f t="shared" si="208"/>
        <v>0</v>
      </c>
    </row>
    <row r="1666" spans="7:7">
      <c r="G1666" s="69">
        <f t="shared" si="208"/>
        <v>0</v>
      </c>
    </row>
    <row r="1667" spans="7:7">
      <c r="G1667" s="69">
        <f t="shared" si="208"/>
        <v>0</v>
      </c>
    </row>
    <row r="1668" spans="7:7">
      <c r="G1668" s="69">
        <f t="shared" si="208"/>
        <v>0</v>
      </c>
    </row>
    <row r="1669" spans="7:7">
      <c r="G1669" s="69">
        <f t="shared" si="208"/>
        <v>0</v>
      </c>
    </row>
    <row r="1670" spans="7:7">
      <c r="G1670" s="69">
        <f t="shared" si="208"/>
        <v>0</v>
      </c>
    </row>
    <row r="1671" spans="7:7">
      <c r="G1671" s="69">
        <f t="shared" si="208"/>
        <v>0</v>
      </c>
    </row>
    <row r="1672" spans="7:7">
      <c r="G1672" s="69">
        <f t="shared" si="208"/>
        <v>0</v>
      </c>
    </row>
    <row r="1673" spans="7:7">
      <c r="G1673" s="69">
        <f t="shared" si="208"/>
        <v>0</v>
      </c>
    </row>
    <row r="1674" spans="7:7">
      <c r="G1674" s="69">
        <f t="shared" si="208"/>
        <v>0</v>
      </c>
    </row>
    <row r="1675" spans="7:7">
      <c r="G1675" s="69">
        <f t="shared" si="208"/>
        <v>0</v>
      </c>
    </row>
    <row r="1676" spans="7:7">
      <c r="G1676" s="69">
        <f t="shared" si="208"/>
        <v>0</v>
      </c>
    </row>
    <row r="1677" spans="7:7">
      <c r="G1677" s="69">
        <f t="shared" si="208"/>
        <v>0</v>
      </c>
    </row>
    <row r="1678" spans="7:7">
      <c r="G1678" s="69">
        <f t="shared" si="208"/>
        <v>0</v>
      </c>
    </row>
    <row r="1679" spans="7:7">
      <c r="G1679" s="69">
        <f t="shared" si="208"/>
        <v>0</v>
      </c>
    </row>
    <row r="1680" spans="7:7">
      <c r="G1680" s="69">
        <f t="shared" si="208"/>
        <v>0</v>
      </c>
    </row>
    <row r="1681" spans="7:7">
      <c r="G1681" s="69">
        <f t="shared" si="208"/>
        <v>0</v>
      </c>
    </row>
    <row r="1682" spans="7:7">
      <c r="G1682" s="69">
        <f t="shared" si="208"/>
        <v>0</v>
      </c>
    </row>
    <row r="1683" spans="7:7">
      <c r="G1683" s="69">
        <f t="shared" si="208"/>
        <v>0</v>
      </c>
    </row>
    <row r="1684" spans="7:7">
      <c r="G1684" s="69">
        <f t="shared" si="208"/>
        <v>0</v>
      </c>
    </row>
    <row r="1685" spans="7:7">
      <c r="G1685" s="69">
        <f t="shared" si="208"/>
        <v>0</v>
      </c>
    </row>
    <row r="1686" spans="7:7">
      <c r="G1686" s="69">
        <f t="shared" si="208"/>
        <v>0</v>
      </c>
    </row>
    <row r="1687" spans="7:7">
      <c r="G1687" s="69">
        <f t="shared" si="208"/>
        <v>0</v>
      </c>
    </row>
    <row r="1688" spans="7:7">
      <c r="G1688" s="69">
        <f t="shared" si="208"/>
        <v>0</v>
      </c>
    </row>
    <row r="1689" spans="7:7">
      <c r="G1689" s="69">
        <f t="shared" si="208"/>
        <v>0</v>
      </c>
    </row>
    <row r="1690" spans="7:7">
      <c r="G1690" s="69">
        <f t="shared" si="208"/>
        <v>0</v>
      </c>
    </row>
    <row r="1691" spans="7:7">
      <c r="G1691" s="69">
        <f t="shared" si="208"/>
        <v>0</v>
      </c>
    </row>
    <row r="1692" spans="7:7">
      <c r="G1692" s="69">
        <f t="shared" si="208"/>
        <v>0</v>
      </c>
    </row>
    <row r="1693" spans="7:7">
      <c r="G1693" s="69">
        <f t="shared" si="208"/>
        <v>0</v>
      </c>
    </row>
    <row r="1694" spans="7:7">
      <c r="G1694" s="69">
        <f t="shared" si="208"/>
        <v>0</v>
      </c>
    </row>
    <row r="1695" spans="7:7">
      <c r="G1695" s="69">
        <f t="shared" si="208"/>
        <v>0</v>
      </c>
    </row>
    <row r="1696" spans="7:7">
      <c r="G1696" s="69">
        <f t="shared" si="208"/>
        <v>0</v>
      </c>
    </row>
    <row r="1697" spans="7:7">
      <c r="G1697" s="69">
        <f t="shared" si="208"/>
        <v>0</v>
      </c>
    </row>
    <row r="1698" spans="7:7">
      <c r="G1698" s="69">
        <f t="shared" si="208"/>
        <v>0</v>
      </c>
    </row>
    <row r="1699" spans="7:7">
      <c r="G1699" s="69">
        <f t="shared" si="208"/>
        <v>0</v>
      </c>
    </row>
    <row r="1700" spans="7:7">
      <c r="G1700" s="69">
        <f t="shared" si="208"/>
        <v>0</v>
      </c>
    </row>
    <row r="1701" spans="7:7">
      <c r="G1701" s="69">
        <f t="shared" si="208"/>
        <v>0</v>
      </c>
    </row>
    <row r="1702" spans="7:7">
      <c r="G1702" s="69">
        <f t="shared" si="208"/>
        <v>0</v>
      </c>
    </row>
    <row r="1703" spans="7:7">
      <c r="G1703" s="69">
        <f t="shared" si="208"/>
        <v>0</v>
      </c>
    </row>
    <row r="1704" spans="7:7">
      <c r="G1704" s="69">
        <f t="shared" si="208"/>
        <v>0</v>
      </c>
    </row>
    <row r="1705" spans="7:7">
      <c r="G1705" s="69">
        <f t="shared" si="208"/>
        <v>0</v>
      </c>
    </row>
    <row r="1706" spans="7:7">
      <c r="G1706" s="69">
        <f t="shared" si="208"/>
        <v>0</v>
      </c>
    </row>
    <row r="1707" spans="7:7">
      <c r="G1707" s="69">
        <f t="shared" si="208"/>
        <v>0</v>
      </c>
    </row>
    <row r="1708" spans="7:7">
      <c r="G1708" s="69">
        <f t="shared" si="208"/>
        <v>0</v>
      </c>
    </row>
    <row r="1709" spans="7:7">
      <c r="G1709" s="69">
        <f t="shared" si="208"/>
        <v>0</v>
      </c>
    </row>
    <row r="1710" spans="7:7">
      <c r="G1710" s="69">
        <f t="shared" si="208"/>
        <v>0</v>
      </c>
    </row>
    <row r="1711" spans="7:7">
      <c r="G1711" s="69">
        <f t="shared" si="208"/>
        <v>0</v>
      </c>
    </row>
    <row r="1712" spans="7:7">
      <c r="G1712" s="69">
        <f t="shared" si="208"/>
        <v>0</v>
      </c>
    </row>
    <row r="1713" spans="7:7">
      <c r="G1713" s="69">
        <f t="shared" si="208"/>
        <v>0</v>
      </c>
    </row>
    <row r="1714" spans="7:7">
      <c r="G1714" s="69">
        <f t="shared" si="208"/>
        <v>0</v>
      </c>
    </row>
    <row r="1715" spans="7:7">
      <c r="G1715" s="69">
        <f t="shared" si="208"/>
        <v>0</v>
      </c>
    </row>
    <row r="1716" spans="7:7">
      <c r="G1716" s="69">
        <f t="shared" si="208"/>
        <v>0</v>
      </c>
    </row>
    <row r="1717" spans="7:7">
      <c r="G1717" s="69">
        <f t="shared" si="208"/>
        <v>0</v>
      </c>
    </row>
    <row r="1718" spans="7:7">
      <c r="G1718" s="69">
        <f t="shared" si="208"/>
        <v>0</v>
      </c>
    </row>
    <row r="1719" spans="7:7">
      <c r="G1719" s="69">
        <f t="shared" si="208"/>
        <v>0</v>
      </c>
    </row>
    <row r="1720" spans="7:7">
      <c r="G1720" s="69">
        <f t="shared" si="208"/>
        <v>0</v>
      </c>
    </row>
    <row r="1721" spans="7:7">
      <c r="G1721" s="69">
        <f t="shared" si="208"/>
        <v>0</v>
      </c>
    </row>
    <row r="1722" spans="7:7">
      <c r="G1722" s="69">
        <f t="shared" ref="G1722:G1785" si="209">F1722*D1722</f>
        <v>0</v>
      </c>
    </row>
    <row r="1723" spans="7:7">
      <c r="G1723" s="69">
        <f t="shared" si="209"/>
        <v>0</v>
      </c>
    </row>
    <row r="1724" spans="7:7">
      <c r="G1724" s="69">
        <f t="shared" si="209"/>
        <v>0</v>
      </c>
    </row>
    <row r="1725" spans="7:7">
      <c r="G1725" s="69">
        <f t="shared" si="209"/>
        <v>0</v>
      </c>
    </row>
    <row r="1726" spans="7:7">
      <c r="G1726" s="69">
        <f t="shared" si="209"/>
        <v>0</v>
      </c>
    </row>
    <row r="1727" spans="7:7">
      <c r="G1727" s="69">
        <f t="shared" si="209"/>
        <v>0</v>
      </c>
    </row>
    <row r="1728" spans="7:7">
      <c r="G1728" s="69">
        <f t="shared" si="209"/>
        <v>0</v>
      </c>
    </row>
    <row r="1729" spans="7:7">
      <c r="G1729" s="69">
        <f t="shared" si="209"/>
        <v>0</v>
      </c>
    </row>
    <row r="1730" spans="7:7">
      <c r="G1730" s="69">
        <f t="shared" si="209"/>
        <v>0</v>
      </c>
    </row>
    <row r="1731" spans="7:7">
      <c r="G1731" s="69">
        <f t="shared" si="209"/>
        <v>0</v>
      </c>
    </row>
    <row r="1732" spans="7:7">
      <c r="G1732" s="69">
        <f t="shared" si="209"/>
        <v>0</v>
      </c>
    </row>
    <row r="1733" spans="7:7">
      <c r="G1733" s="69">
        <f t="shared" si="209"/>
        <v>0</v>
      </c>
    </row>
    <row r="1734" spans="7:7">
      <c r="G1734" s="69">
        <f t="shared" si="209"/>
        <v>0</v>
      </c>
    </row>
    <row r="1735" spans="7:7">
      <c r="G1735" s="69">
        <f t="shared" si="209"/>
        <v>0</v>
      </c>
    </row>
    <row r="1736" spans="7:7">
      <c r="G1736" s="69">
        <f t="shared" si="209"/>
        <v>0</v>
      </c>
    </row>
    <row r="1737" spans="7:7">
      <c r="G1737" s="69">
        <f t="shared" si="209"/>
        <v>0</v>
      </c>
    </row>
    <row r="1738" spans="7:7">
      <c r="G1738" s="69">
        <f t="shared" si="209"/>
        <v>0</v>
      </c>
    </row>
    <row r="1739" spans="7:7">
      <c r="G1739" s="69">
        <f t="shared" si="209"/>
        <v>0</v>
      </c>
    </row>
    <row r="1740" spans="7:7">
      <c r="G1740" s="69">
        <f t="shared" si="209"/>
        <v>0</v>
      </c>
    </row>
    <row r="1741" spans="7:7">
      <c r="G1741" s="69">
        <f t="shared" si="209"/>
        <v>0</v>
      </c>
    </row>
    <row r="1742" spans="7:7">
      <c r="G1742" s="69">
        <f t="shared" si="209"/>
        <v>0</v>
      </c>
    </row>
    <row r="1743" spans="7:7">
      <c r="G1743" s="69">
        <f t="shared" si="209"/>
        <v>0</v>
      </c>
    </row>
    <row r="1744" spans="7:7">
      <c r="G1744" s="69">
        <f t="shared" si="209"/>
        <v>0</v>
      </c>
    </row>
    <row r="1745" spans="7:7">
      <c r="G1745" s="69">
        <f t="shared" si="209"/>
        <v>0</v>
      </c>
    </row>
    <row r="1746" spans="7:7">
      <c r="G1746" s="69">
        <f t="shared" si="209"/>
        <v>0</v>
      </c>
    </row>
    <row r="1747" spans="7:7">
      <c r="G1747" s="69">
        <f t="shared" si="209"/>
        <v>0</v>
      </c>
    </row>
    <row r="1748" spans="7:7">
      <c r="G1748" s="69">
        <f t="shared" si="209"/>
        <v>0</v>
      </c>
    </row>
    <row r="1749" spans="7:7">
      <c r="G1749" s="69">
        <f t="shared" si="209"/>
        <v>0</v>
      </c>
    </row>
    <row r="1750" spans="7:7">
      <c r="G1750" s="69">
        <f t="shared" si="209"/>
        <v>0</v>
      </c>
    </row>
    <row r="1751" spans="7:7">
      <c r="G1751" s="69">
        <f t="shared" si="209"/>
        <v>0</v>
      </c>
    </row>
    <row r="1752" spans="7:7">
      <c r="G1752" s="69">
        <f t="shared" si="209"/>
        <v>0</v>
      </c>
    </row>
    <row r="1753" spans="7:7">
      <c r="G1753" s="69">
        <f t="shared" si="209"/>
        <v>0</v>
      </c>
    </row>
    <row r="1754" spans="7:7">
      <c r="G1754" s="69">
        <f t="shared" si="209"/>
        <v>0</v>
      </c>
    </row>
    <row r="1755" spans="7:7">
      <c r="G1755" s="69">
        <f t="shared" si="209"/>
        <v>0</v>
      </c>
    </row>
    <row r="1756" spans="7:7">
      <c r="G1756" s="69">
        <f t="shared" si="209"/>
        <v>0</v>
      </c>
    </row>
    <row r="1757" spans="7:7">
      <c r="G1757" s="69">
        <f t="shared" si="209"/>
        <v>0</v>
      </c>
    </row>
    <row r="1758" spans="7:7">
      <c r="G1758" s="69">
        <f t="shared" si="209"/>
        <v>0</v>
      </c>
    </row>
    <row r="1759" spans="7:7">
      <c r="G1759" s="69">
        <f t="shared" si="209"/>
        <v>0</v>
      </c>
    </row>
    <row r="1760" spans="7:7">
      <c r="G1760" s="69">
        <f t="shared" si="209"/>
        <v>0</v>
      </c>
    </row>
    <row r="1761" spans="7:7">
      <c r="G1761" s="69">
        <f t="shared" si="209"/>
        <v>0</v>
      </c>
    </row>
    <row r="1762" spans="7:7">
      <c r="G1762" s="69">
        <f t="shared" si="209"/>
        <v>0</v>
      </c>
    </row>
    <row r="1763" spans="7:7">
      <c r="G1763" s="69">
        <f t="shared" si="209"/>
        <v>0</v>
      </c>
    </row>
    <row r="1764" spans="7:7">
      <c r="G1764" s="69">
        <f t="shared" si="209"/>
        <v>0</v>
      </c>
    </row>
    <row r="1765" spans="7:7">
      <c r="G1765" s="69">
        <f t="shared" si="209"/>
        <v>0</v>
      </c>
    </row>
    <row r="1766" spans="7:7">
      <c r="G1766" s="69">
        <f t="shared" si="209"/>
        <v>0</v>
      </c>
    </row>
    <row r="1767" spans="7:7">
      <c r="G1767" s="69">
        <f t="shared" si="209"/>
        <v>0</v>
      </c>
    </row>
    <row r="1768" spans="7:7">
      <c r="G1768" s="69">
        <f t="shared" si="209"/>
        <v>0</v>
      </c>
    </row>
    <row r="1769" spans="7:7">
      <c r="G1769" s="69">
        <f t="shared" si="209"/>
        <v>0</v>
      </c>
    </row>
    <row r="1770" spans="7:7">
      <c r="G1770" s="69">
        <f t="shared" si="209"/>
        <v>0</v>
      </c>
    </row>
    <row r="1771" spans="7:7">
      <c r="G1771" s="69">
        <f t="shared" si="209"/>
        <v>0</v>
      </c>
    </row>
    <row r="1772" spans="7:7">
      <c r="G1772" s="69">
        <f t="shared" si="209"/>
        <v>0</v>
      </c>
    </row>
    <row r="1773" spans="7:7">
      <c r="G1773" s="69">
        <f t="shared" si="209"/>
        <v>0</v>
      </c>
    </row>
    <row r="1774" spans="7:7">
      <c r="G1774" s="69">
        <f t="shared" si="209"/>
        <v>0</v>
      </c>
    </row>
    <row r="1775" spans="7:7">
      <c r="G1775" s="69">
        <f t="shared" si="209"/>
        <v>0</v>
      </c>
    </row>
    <row r="1776" spans="7:7">
      <c r="G1776" s="69">
        <f t="shared" si="209"/>
        <v>0</v>
      </c>
    </row>
    <row r="1777" spans="7:7">
      <c r="G1777" s="69">
        <f t="shared" si="209"/>
        <v>0</v>
      </c>
    </row>
    <row r="1778" spans="7:7">
      <c r="G1778" s="69">
        <f t="shared" si="209"/>
        <v>0</v>
      </c>
    </row>
    <row r="1779" spans="7:7">
      <c r="G1779" s="69">
        <f t="shared" si="209"/>
        <v>0</v>
      </c>
    </row>
    <row r="1780" spans="7:7">
      <c r="G1780" s="69">
        <f t="shared" si="209"/>
        <v>0</v>
      </c>
    </row>
    <row r="1781" spans="7:7">
      <c r="G1781" s="69">
        <f t="shared" si="209"/>
        <v>0</v>
      </c>
    </row>
    <row r="1782" spans="7:7">
      <c r="G1782" s="69">
        <f t="shared" si="209"/>
        <v>0</v>
      </c>
    </row>
    <row r="1783" spans="7:7">
      <c r="G1783" s="69">
        <f t="shared" si="209"/>
        <v>0</v>
      </c>
    </row>
    <row r="1784" spans="7:7">
      <c r="G1784" s="69">
        <f t="shared" si="209"/>
        <v>0</v>
      </c>
    </row>
    <row r="1785" spans="7:7">
      <c r="G1785" s="69">
        <f t="shared" si="209"/>
        <v>0</v>
      </c>
    </row>
    <row r="1786" spans="7:7">
      <c r="G1786" s="69">
        <f t="shared" ref="G1786:G1834" si="210">F1786*D1786</f>
        <v>0</v>
      </c>
    </row>
    <row r="1787" spans="7:7">
      <c r="G1787" s="69">
        <f t="shared" si="210"/>
        <v>0</v>
      </c>
    </row>
    <row r="1788" spans="7:7">
      <c r="G1788" s="69">
        <f t="shared" si="210"/>
        <v>0</v>
      </c>
    </row>
    <row r="1789" spans="7:7">
      <c r="G1789" s="69">
        <f t="shared" si="210"/>
        <v>0</v>
      </c>
    </row>
    <row r="1790" spans="7:7">
      <c r="G1790" s="69">
        <f t="shared" si="210"/>
        <v>0</v>
      </c>
    </row>
    <row r="1791" spans="7:7">
      <c r="G1791" s="69">
        <f t="shared" si="210"/>
        <v>0</v>
      </c>
    </row>
    <row r="1792" spans="7:7">
      <c r="G1792" s="69">
        <f t="shared" si="210"/>
        <v>0</v>
      </c>
    </row>
    <row r="1793" spans="7:7">
      <c r="G1793" s="69">
        <f t="shared" si="210"/>
        <v>0</v>
      </c>
    </row>
    <row r="1794" spans="7:7">
      <c r="G1794" s="69">
        <f t="shared" si="210"/>
        <v>0</v>
      </c>
    </row>
    <row r="1795" spans="7:7">
      <c r="G1795" s="69">
        <f t="shared" si="210"/>
        <v>0</v>
      </c>
    </row>
    <row r="1796" spans="7:7">
      <c r="G1796" s="69">
        <f t="shared" si="210"/>
        <v>0</v>
      </c>
    </row>
    <row r="1797" spans="7:7">
      <c r="G1797" s="69">
        <f t="shared" si="210"/>
        <v>0</v>
      </c>
    </row>
    <row r="1798" spans="7:7">
      <c r="G1798" s="69">
        <f t="shared" si="210"/>
        <v>0</v>
      </c>
    </row>
    <row r="1799" spans="7:7">
      <c r="G1799" s="69">
        <f t="shared" si="210"/>
        <v>0</v>
      </c>
    </row>
    <row r="1800" spans="7:7">
      <c r="G1800" s="69">
        <f t="shared" si="210"/>
        <v>0</v>
      </c>
    </row>
    <row r="1801" spans="7:7">
      <c r="G1801" s="69">
        <f t="shared" si="210"/>
        <v>0</v>
      </c>
    </row>
    <row r="1802" spans="7:7">
      <c r="G1802" s="69">
        <f t="shared" si="210"/>
        <v>0</v>
      </c>
    </row>
    <row r="1803" spans="7:7">
      <c r="G1803" s="69">
        <f t="shared" si="210"/>
        <v>0</v>
      </c>
    </row>
    <row r="1804" spans="7:7">
      <c r="G1804" s="69">
        <f t="shared" si="210"/>
        <v>0</v>
      </c>
    </row>
    <row r="1805" spans="7:7">
      <c r="G1805" s="69">
        <f t="shared" si="210"/>
        <v>0</v>
      </c>
    </row>
    <row r="1806" spans="7:7">
      <c r="G1806" s="69">
        <f t="shared" si="210"/>
        <v>0</v>
      </c>
    </row>
    <row r="1807" spans="7:7">
      <c r="G1807" s="69">
        <f t="shared" si="210"/>
        <v>0</v>
      </c>
    </row>
    <row r="1808" spans="7:7">
      <c r="G1808" s="69">
        <f t="shared" si="210"/>
        <v>0</v>
      </c>
    </row>
    <row r="1809" spans="7:7">
      <c r="G1809" s="69">
        <f t="shared" si="210"/>
        <v>0</v>
      </c>
    </row>
    <row r="1810" spans="7:7">
      <c r="G1810" s="69">
        <f t="shared" si="210"/>
        <v>0</v>
      </c>
    </row>
    <row r="1811" spans="7:7">
      <c r="G1811" s="69">
        <f t="shared" si="210"/>
        <v>0</v>
      </c>
    </row>
    <row r="1812" spans="7:7">
      <c r="G1812" s="69">
        <f t="shared" si="210"/>
        <v>0</v>
      </c>
    </row>
    <row r="1813" spans="7:7">
      <c r="G1813" s="69">
        <f t="shared" si="210"/>
        <v>0</v>
      </c>
    </row>
    <row r="1814" spans="7:7">
      <c r="G1814" s="69">
        <f t="shared" si="210"/>
        <v>0</v>
      </c>
    </row>
    <row r="1815" spans="7:7">
      <c r="G1815" s="69">
        <f t="shared" si="210"/>
        <v>0</v>
      </c>
    </row>
    <row r="1816" spans="7:7">
      <c r="G1816" s="69">
        <f t="shared" si="210"/>
        <v>0</v>
      </c>
    </row>
    <row r="1817" spans="7:7">
      <c r="G1817" s="69">
        <f t="shared" si="210"/>
        <v>0</v>
      </c>
    </row>
    <row r="1818" spans="7:7">
      <c r="G1818" s="69">
        <f t="shared" si="210"/>
        <v>0</v>
      </c>
    </row>
    <row r="1819" spans="7:7">
      <c r="G1819" s="69">
        <f t="shared" si="210"/>
        <v>0</v>
      </c>
    </row>
    <row r="1820" spans="7:7">
      <c r="G1820" s="69">
        <f t="shared" si="210"/>
        <v>0</v>
      </c>
    </row>
    <row r="1821" spans="7:7">
      <c r="G1821" s="69">
        <f t="shared" si="210"/>
        <v>0</v>
      </c>
    </row>
    <row r="1822" spans="7:7">
      <c r="G1822" s="69">
        <f t="shared" si="210"/>
        <v>0</v>
      </c>
    </row>
    <row r="1823" spans="7:7">
      <c r="G1823" s="69">
        <f t="shared" si="210"/>
        <v>0</v>
      </c>
    </row>
    <row r="1824" spans="7:7">
      <c r="G1824" s="69">
        <f t="shared" si="210"/>
        <v>0</v>
      </c>
    </row>
    <row r="1825" spans="7:7">
      <c r="G1825" s="69">
        <f t="shared" si="210"/>
        <v>0</v>
      </c>
    </row>
    <row r="1826" spans="7:7">
      <c r="G1826" s="69">
        <f t="shared" si="210"/>
        <v>0</v>
      </c>
    </row>
    <row r="1827" spans="7:7">
      <c r="G1827" s="69">
        <f t="shared" si="210"/>
        <v>0</v>
      </c>
    </row>
    <row r="1828" spans="7:7">
      <c r="G1828" s="69">
        <f t="shared" si="210"/>
        <v>0</v>
      </c>
    </row>
    <row r="1829" spans="7:7">
      <c r="G1829" s="69">
        <f t="shared" si="210"/>
        <v>0</v>
      </c>
    </row>
    <row r="1830" spans="7:7">
      <c r="G1830" s="69">
        <f t="shared" si="210"/>
        <v>0</v>
      </c>
    </row>
    <row r="1831" spans="7:7">
      <c r="G1831" s="69">
        <f t="shared" si="210"/>
        <v>0</v>
      </c>
    </row>
    <row r="1832" spans="7:7">
      <c r="G1832" s="69">
        <f t="shared" si="210"/>
        <v>0</v>
      </c>
    </row>
    <row r="1833" spans="7:7">
      <c r="G1833" s="69">
        <f t="shared" si="210"/>
        <v>0</v>
      </c>
    </row>
    <row r="1834" spans="7:7">
      <c r="G1834" s="69">
        <f t="shared" si="210"/>
        <v>0</v>
      </c>
    </row>
  </sheetData>
  <autoFilter ref="A3:Q1834"/>
  <mergeCells count="10">
    <mergeCell ref="A1:Q1"/>
    <mergeCell ref="A2:A3"/>
    <mergeCell ref="C2:C3"/>
    <mergeCell ref="D2:D3"/>
    <mergeCell ref="E2:E3"/>
    <mergeCell ref="F2:G2"/>
    <mergeCell ref="H2:I2"/>
    <mergeCell ref="J2:K2"/>
    <mergeCell ref="L2:M2"/>
    <mergeCell ref="N2:O2"/>
  </mergeCells>
  <printOptions horizontalCentered="1"/>
  <pageMargins left="0.43307086614173201" right="0.39370078740157499" top="0.27559055118110198" bottom="0.15748031496063" header="0.27559055118110198" footer="0.27559055118110198"/>
  <pageSetup paperSize="9" scale="59" orientation="portrait" r:id="rId1"/>
  <headerFooter alignWithMargins="0">
    <oddHeader>&amp;R&amp;P</oddHeader>
  </headerFooter>
  <rowBreaks count="3" manualBreakCount="3">
    <brk id="497" max="16383" man="1"/>
    <brk id="701" max="16383" man="1"/>
    <brk id="764" max="16383" man="1"/>
  </rowBreaks>
</worksheet>
</file>

<file path=xl/worksheets/sheet4.xml><?xml version="1.0" encoding="utf-8"?>
<worksheet xmlns="http://schemas.openxmlformats.org/spreadsheetml/2006/main" xmlns:r="http://schemas.openxmlformats.org/officeDocument/2006/relationships">
  <sheetPr codeName="Sheet4">
    <tabColor rgb="FF002060"/>
  </sheetPr>
  <dimension ref="A1:AG3064"/>
  <sheetViews>
    <sheetView view="pageBreakPreview" topLeftCell="A2769" zoomScale="140" zoomScaleNormal="90" zoomScaleSheetLayoutView="140" workbookViewId="0">
      <selection activeCell="G2772" sqref="G2772"/>
    </sheetView>
  </sheetViews>
  <sheetFormatPr defaultColWidth="11.21875" defaultRowHeight="15.75"/>
  <cols>
    <col min="1" max="1" width="6" style="1440" customWidth="1"/>
    <col min="2" max="2" width="28.109375" style="1608" customWidth="1"/>
    <col min="3" max="3" width="3.109375" style="1440" bestFit="1" customWidth="1"/>
    <col min="4" max="4" width="2.33203125" style="1440" bestFit="1" customWidth="1"/>
    <col min="5" max="5" width="3.109375" style="1440" bestFit="1" customWidth="1"/>
    <col min="6" max="6" width="8.33203125" style="1440" bestFit="1" customWidth="1"/>
    <col min="7" max="7" width="8.77734375" style="1440" customWidth="1"/>
    <col min="8" max="8" width="5.77734375" style="1514" customWidth="1"/>
    <col min="9" max="9" width="8.6640625" style="1440" customWidth="1"/>
    <col min="10" max="10" width="4.33203125" style="1440" customWidth="1"/>
    <col min="11" max="11" width="7.88671875" style="1440" customWidth="1"/>
    <col min="12" max="12" width="20.21875" style="1440" customWidth="1"/>
    <col min="13" max="13" width="7.88671875" style="1440" customWidth="1"/>
    <col min="14" max="14" width="18.33203125" style="1440" customWidth="1"/>
    <col min="15" max="33" width="7.88671875" style="1440" customWidth="1"/>
    <col min="34" max="16384" width="11.21875" style="1440"/>
  </cols>
  <sheetData>
    <row r="1" spans="1:33" ht="50.25" customHeight="1">
      <c r="A1" s="1747" t="s">
        <v>7575</v>
      </c>
      <c r="B1" s="1748"/>
      <c r="C1" s="1748"/>
      <c r="D1" s="1748"/>
      <c r="E1" s="1748"/>
      <c r="F1" s="1748"/>
      <c r="G1" s="1748"/>
      <c r="H1" s="1748"/>
      <c r="I1" s="1748"/>
      <c r="J1" s="1749"/>
      <c r="K1" s="1439"/>
      <c r="L1" s="1439"/>
      <c r="M1" s="1439"/>
      <c r="N1" s="1439"/>
      <c r="O1" s="1439"/>
      <c r="P1" s="1439"/>
      <c r="Q1" s="1439"/>
      <c r="R1" s="1439"/>
      <c r="S1" s="1439"/>
      <c r="T1" s="1439"/>
      <c r="U1" s="1439"/>
      <c r="V1" s="1439"/>
      <c r="W1" s="1439"/>
      <c r="X1" s="1439"/>
      <c r="Y1" s="1439"/>
      <c r="Z1" s="1439"/>
      <c r="AA1" s="1439"/>
      <c r="AB1" s="1439"/>
      <c r="AC1" s="1439"/>
      <c r="AD1" s="1439"/>
      <c r="AE1" s="1439"/>
      <c r="AF1" s="1439"/>
      <c r="AG1" s="1439"/>
    </row>
    <row r="2" spans="1:33" ht="15.75" customHeight="1">
      <c r="A2" s="1750" t="s">
        <v>3361</v>
      </c>
      <c r="B2" s="1751"/>
      <c r="C2" s="1751"/>
      <c r="D2" s="1751"/>
      <c r="E2" s="1751"/>
      <c r="F2" s="1751"/>
      <c r="G2" s="1751"/>
      <c r="H2" s="1751"/>
      <c r="I2" s="1751"/>
      <c r="J2" s="1751"/>
      <c r="K2" s="1439"/>
      <c r="L2" s="1439"/>
      <c r="M2" s="1439"/>
      <c r="N2" s="1439"/>
      <c r="O2" s="1439"/>
      <c r="P2" s="1439"/>
      <c r="Q2" s="1439"/>
      <c r="R2" s="1439"/>
      <c r="S2" s="1439"/>
      <c r="T2" s="1439"/>
      <c r="U2" s="1439"/>
      <c r="V2" s="1439"/>
      <c r="W2" s="1439"/>
      <c r="X2" s="1439"/>
      <c r="Y2" s="1439"/>
      <c r="Z2" s="1439"/>
      <c r="AA2" s="1439"/>
      <c r="AB2" s="1439"/>
      <c r="AC2" s="1439"/>
      <c r="AD2" s="1439"/>
      <c r="AE2" s="1439"/>
      <c r="AF2" s="1439"/>
      <c r="AG2" s="1439"/>
    </row>
    <row r="3" spans="1:33" ht="15.75" customHeight="1">
      <c r="A3" s="1752" t="s">
        <v>7031</v>
      </c>
      <c r="B3" s="1753" t="s">
        <v>2061</v>
      </c>
      <c r="C3" s="1755" t="s">
        <v>41</v>
      </c>
      <c r="D3" s="1751"/>
      <c r="E3" s="1751"/>
      <c r="F3" s="1756" t="s">
        <v>7032</v>
      </c>
      <c r="G3" s="1751"/>
      <c r="H3" s="1751"/>
      <c r="I3" s="1757" t="s">
        <v>95</v>
      </c>
      <c r="J3" s="1758"/>
      <c r="K3" s="1439"/>
      <c r="L3" s="1439"/>
      <c r="M3" s="1439"/>
      <c r="N3" s="1439"/>
      <c r="O3" s="1439"/>
      <c r="P3" s="1439"/>
      <c r="Q3" s="1439"/>
      <c r="R3" s="1439"/>
      <c r="S3" s="1439"/>
      <c r="T3" s="1439"/>
      <c r="U3" s="1439"/>
      <c r="V3" s="1439"/>
      <c r="W3" s="1439"/>
      <c r="X3" s="1439"/>
      <c r="Y3" s="1439"/>
      <c r="Z3" s="1439"/>
      <c r="AA3" s="1439"/>
      <c r="AB3" s="1439"/>
      <c r="AC3" s="1439"/>
      <c r="AD3" s="1439"/>
      <c r="AE3" s="1439"/>
      <c r="AF3" s="1439"/>
      <c r="AG3" s="1439"/>
    </row>
    <row r="4" spans="1:33" ht="15.75" customHeight="1">
      <c r="A4" s="1751"/>
      <c r="B4" s="1754"/>
      <c r="C4" s="1751"/>
      <c r="D4" s="1751"/>
      <c r="E4" s="1751"/>
      <c r="F4" s="1441" t="s">
        <v>3362</v>
      </c>
      <c r="G4" s="1441" t="s">
        <v>634</v>
      </c>
      <c r="H4" s="1442" t="s">
        <v>3363</v>
      </c>
      <c r="I4" s="1751"/>
      <c r="J4" s="1751"/>
      <c r="K4" s="1439"/>
      <c r="L4" s="1439"/>
      <c r="M4" s="1439"/>
      <c r="N4" s="1439"/>
      <c r="O4" s="1439"/>
      <c r="P4" s="1439"/>
      <c r="Q4" s="1439"/>
      <c r="R4" s="1439"/>
      <c r="S4" s="1439"/>
      <c r="T4" s="1439"/>
      <c r="U4" s="1439"/>
      <c r="V4" s="1439"/>
      <c r="W4" s="1439"/>
      <c r="X4" s="1439"/>
      <c r="Y4" s="1439"/>
      <c r="Z4" s="1439"/>
      <c r="AA4" s="1439"/>
      <c r="AB4" s="1439"/>
      <c r="AC4" s="1439"/>
      <c r="AD4" s="1439"/>
      <c r="AE4" s="1439"/>
      <c r="AF4" s="1439"/>
      <c r="AG4" s="1439"/>
    </row>
    <row r="5" spans="1:33" ht="94.5">
      <c r="A5" s="1443">
        <v>1.1000000000000001</v>
      </c>
      <c r="B5" s="1444" t="s">
        <v>7033</v>
      </c>
      <c r="C5" s="1445"/>
      <c r="D5" s="1445"/>
      <c r="E5" s="1445"/>
      <c r="F5" s="1446"/>
      <c r="G5" s="1446"/>
      <c r="H5" s="1447"/>
      <c r="I5" s="1448"/>
      <c r="J5" s="1449"/>
      <c r="K5" s="1439"/>
      <c r="L5" s="1439"/>
      <c r="M5" s="1439"/>
      <c r="N5" s="1439"/>
      <c r="O5" s="1439"/>
      <c r="P5" s="1439"/>
      <c r="Q5" s="1439"/>
      <c r="R5" s="1439"/>
      <c r="S5" s="1439"/>
      <c r="T5" s="1439"/>
      <c r="U5" s="1439"/>
      <c r="V5" s="1439"/>
      <c r="W5" s="1439"/>
      <c r="X5" s="1439"/>
      <c r="Y5" s="1439"/>
      <c r="Z5" s="1439"/>
      <c r="AA5" s="1439"/>
      <c r="AB5" s="1439"/>
      <c r="AC5" s="1439"/>
      <c r="AD5" s="1439"/>
      <c r="AE5" s="1439"/>
      <c r="AF5" s="1439"/>
      <c r="AG5" s="1439"/>
    </row>
    <row r="6" spans="1:33" ht="15.75" customHeight="1">
      <c r="A6" s="1443"/>
      <c r="B6" s="1450" t="s">
        <v>3368</v>
      </c>
      <c r="C6" s="1445"/>
      <c r="D6" s="1445"/>
      <c r="E6" s="1445"/>
      <c r="F6" s="1446"/>
      <c r="G6" s="1446"/>
      <c r="H6" s="1447"/>
      <c r="I6" s="1448"/>
      <c r="J6" s="1449"/>
      <c r="K6" s="1439"/>
      <c r="L6" s="1439"/>
      <c r="M6" s="1439"/>
      <c r="N6" s="1439"/>
      <c r="O6" s="1439"/>
      <c r="P6" s="1439"/>
      <c r="Q6" s="1439"/>
      <c r="R6" s="1439"/>
      <c r="S6" s="1439"/>
      <c r="T6" s="1439"/>
      <c r="U6" s="1439"/>
      <c r="V6" s="1439"/>
      <c r="W6" s="1439"/>
      <c r="X6" s="1439"/>
      <c r="Y6" s="1439"/>
      <c r="Z6" s="1439"/>
      <c r="AA6" s="1439"/>
      <c r="AB6" s="1439"/>
      <c r="AC6" s="1439"/>
      <c r="AD6" s="1439"/>
      <c r="AE6" s="1439"/>
      <c r="AF6" s="1439"/>
      <c r="AG6" s="1439"/>
    </row>
    <row r="7" spans="1:33" ht="15.75" customHeight="1">
      <c r="A7" s="1451"/>
      <c r="B7" s="1444" t="s">
        <v>3377</v>
      </c>
      <c r="C7" s="1445"/>
      <c r="D7" s="1445"/>
      <c r="E7" s="1445"/>
      <c r="F7" s="1446"/>
      <c r="G7" s="1446"/>
      <c r="H7" s="1447"/>
      <c r="I7" s="1448"/>
      <c r="J7" s="1449"/>
      <c r="K7" s="1439"/>
      <c r="L7" s="1439"/>
      <c r="M7" s="1439"/>
      <c r="N7" s="1439"/>
      <c r="O7" s="1439"/>
      <c r="P7" s="1439"/>
      <c r="Q7" s="1439"/>
      <c r="R7" s="1439"/>
      <c r="S7" s="1439"/>
      <c r="T7" s="1439"/>
      <c r="U7" s="1439"/>
      <c r="V7" s="1439"/>
      <c r="W7" s="1439"/>
      <c r="X7" s="1439"/>
      <c r="Y7" s="1439"/>
      <c r="Z7" s="1439"/>
      <c r="AA7" s="1439"/>
      <c r="AB7" s="1439"/>
      <c r="AC7" s="1439"/>
      <c r="AD7" s="1439"/>
      <c r="AE7" s="1439"/>
      <c r="AF7" s="1439"/>
      <c r="AG7" s="1439"/>
    </row>
    <row r="8" spans="1:33" ht="15.75" customHeight="1">
      <c r="A8" s="1443"/>
      <c r="B8" s="1450" t="s">
        <v>6521</v>
      </c>
      <c r="C8" s="1445">
        <v>1</v>
      </c>
      <c r="D8" s="1445" t="s">
        <v>3364</v>
      </c>
      <c r="E8" s="1445">
        <v>5</v>
      </c>
      <c r="F8" s="1446">
        <f>2.6+0.15</f>
        <v>2.75</v>
      </c>
      <c r="G8" s="1446">
        <v>2.75</v>
      </c>
      <c r="H8" s="1447">
        <v>2</v>
      </c>
      <c r="I8" s="1448">
        <f t="shared" ref="I8:I27" si="0">PRODUCT(C8:H8)</f>
        <v>75.63</v>
      </c>
      <c r="J8" s="1449"/>
      <c r="K8" s="1439"/>
      <c r="L8" s="1439"/>
      <c r="M8" s="1439"/>
      <c r="N8" s="1439"/>
      <c r="O8" s="1439"/>
      <c r="P8" s="1439"/>
      <c r="Q8" s="1439"/>
      <c r="R8" s="1439"/>
      <c r="S8" s="1439"/>
      <c r="T8" s="1439"/>
      <c r="U8" s="1439"/>
      <c r="V8" s="1439"/>
      <c r="W8" s="1439"/>
      <c r="X8" s="1439"/>
      <c r="Y8" s="1439"/>
      <c r="Z8" s="1439"/>
      <c r="AA8" s="1439"/>
      <c r="AB8" s="1439"/>
      <c r="AC8" s="1439"/>
      <c r="AD8" s="1439"/>
      <c r="AE8" s="1439"/>
      <c r="AF8" s="1439"/>
      <c r="AG8" s="1439"/>
    </row>
    <row r="9" spans="1:33" ht="15.75" customHeight="1">
      <c r="A9" s="1443"/>
      <c r="B9" s="1450" t="s">
        <v>7034</v>
      </c>
      <c r="C9" s="1445">
        <v>1</v>
      </c>
      <c r="D9" s="1445" t="s">
        <v>3364</v>
      </c>
      <c r="E9" s="1445">
        <v>7</v>
      </c>
      <c r="F9" s="1446">
        <v>3.15</v>
      </c>
      <c r="G9" s="1446">
        <v>3.15</v>
      </c>
      <c r="H9" s="1447">
        <v>2</v>
      </c>
      <c r="I9" s="1448">
        <f t="shared" si="0"/>
        <v>138.91999999999999</v>
      </c>
      <c r="J9" s="1449"/>
      <c r="K9" s="1439"/>
      <c r="L9" s="1439"/>
      <c r="M9" s="1439"/>
      <c r="N9" s="1439"/>
      <c r="O9" s="1439"/>
      <c r="P9" s="1439"/>
      <c r="Q9" s="1439"/>
      <c r="R9" s="1439"/>
      <c r="S9" s="1439"/>
      <c r="T9" s="1439"/>
      <c r="U9" s="1439"/>
      <c r="V9" s="1439"/>
      <c r="W9" s="1439"/>
      <c r="X9" s="1439"/>
      <c r="Y9" s="1439"/>
      <c r="Z9" s="1439"/>
      <c r="AA9" s="1439"/>
      <c r="AB9" s="1439"/>
      <c r="AC9" s="1439"/>
      <c r="AD9" s="1439"/>
      <c r="AE9" s="1439"/>
      <c r="AF9" s="1439"/>
      <c r="AG9" s="1439"/>
    </row>
    <row r="10" spans="1:33" ht="15.75" customHeight="1">
      <c r="A10" s="1443"/>
      <c r="B10" s="1450" t="s">
        <v>7035</v>
      </c>
      <c r="C10" s="1445">
        <v>1</v>
      </c>
      <c r="D10" s="1445" t="s">
        <v>3364</v>
      </c>
      <c r="E10" s="1445">
        <v>6</v>
      </c>
      <c r="F10" s="1446">
        <v>3.3</v>
      </c>
      <c r="G10" s="1446">
        <v>3.3</v>
      </c>
      <c r="H10" s="1447">
        <v>2</v>
      </c>
      <c r="I10" s="1448">
        <f t="shared" si="0"/>
        <v>130.68</v>
      </c>
      <c r="J10" s="1449"/>
      <c r="K10" s="1439"/>
      <c r="L10" s="1439"/>
      <c r="M10" s="1439"/>
      <c r="N10" s="1439"/>
      <c r="O10" s="1439"/>
      <c r="P10" s="1439"/>
      <c r="Q10" s="1439"/>
      <c r="R10" s="1439"/>
      <c r="S10" s="1439"/>
      <c r="T10" s="1439"/>
      <c r="U10" s="1439"/>
      <c r="V10" s="1439"/>
      <c r="W10" s="1439"/>
      <c r="X10" s="1439"/>
      <c r="Y10" s="1439"/>
      <c r="Z10" s="1439"/>
      <c r="AA10" s="1439"/>
      <c r="AB10" s="1439"/>
      <c r="AC10" s="1439"/>
      <c r="AD10" s="1439"/>
      <c r="AE10" s="1439"/>
      <c r="AF10" s="1439"/>
      <c r="AG10" s="1439"/>
    </row>
    <row r="11" spans="1:33" ht="15.75" customHeight="1">
      <c r="A11" s="1443"/>
      <c r="B11" s="1450" t="s">
        <v>7036</v>
      </c>
      <c r="C11" s="1445">
        <v>1</v>
      </c>
      <c r="D11" s="1445" t="s">
        <v>3364</v>
      </c>
      <c r="E11" s="1445">
        <v>3</v>
      </c>
      <c r="F11" s="1446">
        <v>3.65</v>
      </c>
      <c r="G11" s="1446">
        <v>3.65</v>
      </c>
      <c r="H11" s="1447">
        <v>2</v>
      </c>
      <c r="I11" s="1448">
        <f t="shared" si="0"/>
        <v>79.94</v>
      </c>
      <c r="J11" s="1449"/>
      <c r="K11" s="1439"/>
      <c r="L11" s="1439"/>
      <c r="M11" s="1439"/>
      <c r="N11" s="1439"/>
      <c r="O11" s="1439"/>
      <c r="P11" s="1439"/>
      <c r="Q11" s="1439"/>
      <c r="R11" s="1439"/>
      <c r="S11" s="1439"/>
      <c r="T11" s="1439"/>
      <c r="U11" s="1439"/>
      <c r="V11" s="1439"/>
      <c r="W11" s="1439"/>
      <c r="X11" s="1439"/>
      <c r="Y11" s="1439"/>
      <c r="Z11" s="1439"/>
      <c r="AA11" s="1439"/>
      <c r="AB11" s="1439"/>
      <c r="AC11" s="1439"/>
      <c r="AD11" s="1439"/>
      <c r="AE11" s="1439"/>
      <c r="AF11" s="1439"/>
      <c r="AG11" s="1439"/>
    </row>
    <row r="12" spans="1:33" ht="15.75" customHeight="1">
      <c r="A12" s="1443"/>
      <c r="B12" s="1452" t="s">
        <v>7384</v>
      </c>
      <c r="C12" s="1445">
        <v>1</v>
      </c>
      <c r="D12" s="1445" t="s">
        <v>3364</v>
      </c>
      <c r="E12" s="1445">
        <v>4</v>
      </c>
      <c r="F12" s="1446">
        <v>3.95</v>
      </c>
      <c r="G12" s="1446">
        <v>3.95</v>
      </c>
      <c r="H12" s="1447">
        <v>2</v>
      </c>
      <c r="I12" s="1448">
        <f t="shared" si="0"/>
        <v>124.82</v>
      </c>
      <c r="J12" s="1449"/>
      <c r="K12" s="1439"/>
      <c r="L12" s="1439"/>
      <c r="M12" s="1439"/>
      <c r="N12" s="1439"/>
      <c r="O12" s="1439"/>
      <c r="P12" s="1439"/>
      <c r="Q12" s="1439"/>
      <c r="R12" s="1439"/>
      <c r="S12" s="1439"/>
      <c r="T12" s="1439"/>
      <c r="U12" s="1439"/>
      <c r="V12" s="1439"/>
      <c r="W12" s="1439"/>
      <c r="X12" s="1439"/>
      <c r="Y12" s="1439"/>
      <c r="Z12" s="1439"/>
      <c r="AA12" s="1439"/>
      <c r="AB12" s="1439"/>
      <c r="AC12" s="1439"/>
      <c r="AD12" s="1439"/>
      <c r="AE12" s="1439"/>
      <c r="AF12" s="1439"/>
      <c r="AG12" s="1439"/>
    </row>
    <row r="13" spans="1:33" ht="15.75" customHeight="1">
      <c r="A13" s="1443"/>
      <c r="B13" s="1452" t="s">
        <v>7385</v>
      </c>
      <c r="C13" s="1445">
        <v>1</v>
      </c>
      <c r="D13" s="1445" t="s">
        <v>3364</v>
      </c>
      <c r="E13" s="1445">
        <v>3</v>
      </c>
      <c r="F13" s="1446">
        <v>3.55</v>
      </c>
      <c r="G13" s="1446">
        <f>4.225+0.15</f>
        <v>4.375</v>
      </c>
      <c r="H13" s="1447">
        <v>2</v>
      </c>
      <c r="I13" s="1448">
        <f t="shared" si="0"/>
        <v>93.19</v>
      </c>
      <c r="J13" s="1449"/>
      <c r="K13" s="1439"/>
      <c r="L13" s="1439"/>
      <c r="M13" s="1439"/>
      <c r="N13" s="1439"/>
      <c r="O13" s="1439"/>
      <c r="P13" s="1439"/>
      <c r="Q13" s="1439"/>
      <c r="R13" s="1439"/>
      <c r="S13" s="1439"/>
      <c r="T13" s="1439"/>
      <c r="U13" s="1439"/>
      <c r="V13" s="1439"/>
      <c r="W13" s="1439"/>
      <c r="X13" s="1439"/>
      <c r="Y13" s="1439"/>
      <c r="Z13" s="1439"/>
      <c r="AA13" s="1439"/>
      <c r="AB13" s="1439"/>
      <c r="AC13" s="1439"/>
      <c r="AD13" s="1439"/>
      <c r="AE13" s="1439"/>
      <c r="AF13" s="1439"/>
      <c r="AG13" s="1439"/>
    </row>
    <row r="14" spans="1:33" ht="15.75" customHeight="1">
      <c r="A14" s="1443"/>
      <c r="B14" s="1452" t="s">
        <v>7386</v>
      </c>
      <c r="C14" s="1445">
        <v>1</v>
      </c>
      <c r="D14" s="1453" t="s">
        <v>3364</v>
      </c>
      <c r="E14" s="1445">
        <v>2</v>
      </c>
      <c r="F14" s="1446">
        <f>2.977+0.15</f>
        <v>3.1269999999999998</v>
      </c>
      <c r="G14" s="1454">
        <f>5.415+0.15</f>
        <v>5.5650000000000004</v>
      </c>
      <c r="H14" s="1447">
        <v>2</v>
      </c>
      <c r="I14" s="1448">
        <f t="shared" si="0"/>
        <v>69.61</v>
      </c>
      <c r="J14" s="1449"/>
      <c r="K14" s="1439"/>
      <c r="L14" s="1439"/>
      <c r="M14" s="1439"/>
      <c r="N14" s="1439"/>
      <c r="O14" s="1439"/>
      <c r="P14" s="1439"/>
      <c r="Q14" s="1439"/>
      <c r="R14" s="1439"/>
      <c r="S14" s="1439"/>
      <c r="T14" s="1439"/>
      <c r="U14" s="1439"/>
      <c r="V14" s="1439"/>
      <c r="W14" s="1439"/>
      <c r="X14" s="1439"/>
      <c r="Y14" s="1439"/>
      <c r="Z14" s="1439"/>
      <c r="AA14" s="1439"/>
      <c r="AB14" s="1439"/>
      <c r="AC14" s="1439"/>
      <c r="AD14" s="1439"/>
      <c r="AE14" s="1439"/>
      <c r="AF14" s="1439"/>
      <c r="AG14" s="1439"/>
    </row>
    <row r="15" spans="1:33" ht="15.75" customHeight="1">
      <c r="A15" s="1443"/>
      <c r="B15" s="1455" t="s">
        <v>7387</v>
      </c>
      <c r="C15" s="1445"/>
      <c r="D15" s="1445"/>
      <c r="E15" s="1445"/>
      <c r="F15" s="1446"/>
      <c r="G15" s="1446"/>
      <c r="H15" s="1447"/>
      <c r="I15" s="1448"/>
      <c r="J15" s="1449"/>
      <c r="K15" s="1439"/>
      <c r="L15" s="1439"/>
      <c r="M15" s="1439"/>
      <c r="N15" s="1439"/>
      <c r="O15" s="1439"/>
      <c r="P15" s="1439"/>
      <c r="Q15" s="1439"/>
      <c r="R15" s="1439"/>
      <c r="S15" s="1439"/>
      <c r="T15" s="1439"/>
      <c r="U15" s="1439"/>
      <c r="V15" s="1439"/>
      <c r="W15" s="1439"/>
      <c r="X15" s="1439"/>
      <c r="Y15" s="1439"/>
      <c r="Z15" s="1439"/>
      <c r="AA15" s="1439"/>
      <c r="AB15" s="1439"/>
      <c r="AC15" s="1439"/>
      <c r="AD15" s="1439"/>
      <c r="AE15" s="1439"/>
      <c r="AF15" s="1439"/>
      <c r="AG15" s="1439"/>
    </row>
    <row r="16" spans="1:33" ht="15.75" customHeight="1">
      <c r="A16" s="1443"/>
      <c r="B16" s="1452" t="s">
        <v>7388</v>
      </c>
      <c r="C16" s="1445">
        <v>1</v>
      </c>
      <c r="D16" s="1445" t="s">
        <v>3364</v>
      </c>
      <c r="E16" s="1445">
        <v>4</v>
      </c>
      <c r="F16" s="1446">
        <v>27.89</v>
      </c>
      <c r="G16" s="1446">
        <v>0.38</v>
      </c>
      <c r="H16" s="1447">
        <v>0.4</v>
      </c>
      <c r="I16" s="1448">
        <f t="shared" si="0"/>
        <v>16.96</v>
      </c>
      <c r="J16" s="1449"/>
      <c r="K16" s="1439"/>
      <c r="L16" s="1439"/>
      <c r="M16" s="1439"/>
      <c r="N16" s="1439"/>
      <c r="O16" s="1439"/>
      <c r="P16" s="1439"/>
      <c r="Q16" s="1439"/>
      <c r="R16" s="1439"/>
      <c r="S16" s="1439"/>
      <c r="T16" s="1439"/>
      <c r="U16" s="1439"/>
      <c r="V16" s="1439"/>
      <c r="W16" s="1439"/>
      <c r="X16" s="1439"/>
      <c r="Y16" s="1439"/>
      <c r="Z16" s="1439"/>
      <c r="AA16" s="1439"/>
      <c r="AB16" s="1439"/>
      <c r="AC16" s="1439"/>
      <c r="AD16" s="1439"/>
      <c r="AE16" s="1439"/>
      <c r="AF16" s="1439"/>
      <c r="AG16" s="1439"/>
    </row>
    <row r="17" spans="1:33" ht="15.75" customHeight="1">
      <c r="A17" s="1443"/>
      <c r="B17" s="1452" t="s">
        <v>7389</v>
      </c>
      <c r="C17" s="1445">
        <v>1</v>
      </c>
      <c r="D17" s="1445" t="s">
        <v>3364</v>
      </c>
      <c r="E17" s="1445">
        <v>1</v>
      </c>
      <c r="F17" s="1446">
        <f>2.53+0.46</f>
        <v>2.99</v>
      </c>
      <c r="G17" s="1446">
        <v>0.38</v>
      </c>
      <c r="H17" s="1447">
        <v>0.4</v>
      </c>
      <c r="I17" s="1448">
        <f t="shared" si="0"/>
        <v>0.45</v>
      </c>
      <c r="J17" s="1449"/>
      <c r="K17" s="1439"/>
      <c r="L17" s="1439"/>
      <c r="M17" s="1439"/>
      <c r="N17" s="1439"/>
      <c r="O17" s="1439"/>
      <c r="P17" s="1439"/>
      <c r="Q17" s="1439"/>
      <c r="R17" s="1439"/>
      <c r="S17" s="1439"/>
      <c r="T17" s="1439"/>
      <c r="U17" s="1439"/>
      <c r="V17" s="1439"/>
      <c r="W17" s="1439"/>
      <c r="X17" s="1439"/>
      <c r="Y17" s="1439"/>
      <c r="Z17" s="1439"/>
      <c r="AA17" s="1439"/>
      <c r="AB17" s="1439"/>
      <c r="AC17" s="1439"/>
      <c r="AD17" s="1439"/>
      <c r="AE17" s="1439"/>
      <c r="AF17" s="1439"/>
      <c r="AG17" s="1439"/>
    </row>
    <row r="18" spans="1:33" ht="15.75" customHeight="1">
      <c r="A18" s="1443"/>
      <c r="B18" s="1452" t="s">
        <v>7390</v>
      </c>
      <c r="C18" s="1445">
        <v>1</v>
      </c>
      <c r="D18" s="1453" t="s">
        <v>3827</v>
      </c>
      <c r="E18" s="1445">
        <v>1</v>
      </c>
      <c r="F18" s="1446">
        <f>4.765+1.13+2.53+0.23</f>
        <v>8.6549999999999994</v>
      </c>
      <c r="G18" s="1446">
        <v>0.38</v>
      </c>
      <c r="H18" s="1447">
        <v>0.4</v>
      </c>
      <c r="I18" s="1448">
        <f t="shared" si="0"/>
        <v>1.32</v>
      </c>
      <c r="J18" s="1449"/>
      <c r="K18" s="1439"/>
      <c r="L18" s="1439"/>
      <c r="M18" s="1439"/>
      <c r="N18" s="1439"/>
      <c r="O18" s="1439"/>
      <c r="P18" s="1439"/>
      <c r="Q18" s="1439"/>
      <c r="R18" s="1439"/>
      <c r="S18" s="1439"/>
      <c r="T18" s="1439"/>
      <c r="U18" s="1439"/>
      <c r="V18" s="1439"/>
      <c r="W18" s="1439"/>
      <c r="X18" s="1439"/>
      <c r="Y18" s="1439"/>
      <c r="Z18" s="1439"/>
      <c r="AA18" s="1439"/>
      <c r="AB18" s="1439"/>
      <c r="AC18" s="1439"/>
      <c r="AD18" s="1439"/>
      <c r="AE18" s="1439"/>
      <c r="AF18" s="1439"/>
      <c r="AG18" s="1439"/>
    </row>
    <row r="19" spans="1:33" ht="15.75" customHeight="1">
      <c r="A19" s="1443"/>
      <c r="B19" s="1456" t="s">
        <v>7038</v>
      </c>
      <c r="C19" s="1445"/>
      <c r="D19" s="1445"/>
      <c r="E19" s="1445"/>
      <c r="F19" s="1446"/>
      <c r="G19" s="1446"/>
      <c r="H19" s="1447"/>
      <c r="I19" s="1448">
        <f t="shared" si="0"/>
        <v>0</v>
      </c>
      <c r="J19" s="1449"/>
      <c r="K19" s="1439"/>
      <c r="L19" s="1439"/>
      <c r="M19" s="1439"/>
      <c r="N19" s="1439"/>
      <c r="O19" s="1439"/>
      <c r="P19" s="1439"/>
      <c r="Q19" s="1439"/>
      <c r="R19" s="1439"/>
      <c r="S19" s="1439"/>
      <c r="T19" s="1439"/>
      <c r="U19" s="1439"/>
      <c r="V19" s="1439"/>
      <c r="W19" s="1439"/>
      <c r="X19" s="1439"/>
      <c r="Y19" s="1439"/>
      <c r="Z19" s="1439"/>
      <c r="AA19" s="1439"/>
      <c r="AB19" s="1439"/>
      <c r="AC19" s="1439"/>
      <c r="AD19" s="1439"/>
      <c r="AE19" s="1439"/>
      <c r="AF19" s="1439"/>
      <c r="AG19" s="1439"/>
    </row>
    <row r="20" spans="1:33" ht="15.75" customHeight="1">
      <c r="A20" s="1443"/>
      <c r="B20" s="1452" t="s">
        <v>7037</v>
      </c>
      <c r="C20" s="1445">
        <v>1</v>
      </c>
      <c r="D20" s="1445" t="s">
        <v>3364</v>
      </c>
      <c r="E20" s="1445">
        <v>7</v>
      </c>
      <c r="F20" s="1446">
        <v>18.079999999999998</v>
      </c>
      <c r="G20" s="1446">
        <v>0.38</v>
      </c>
      <c r="H20" s="1447">
        <v>0.4</v>
      </c>
      <c r="I20" s="1448">
        <f t="shared" si="0"/>
        <v>19.239999999999998</v>
      </c>
      <c r="J20" s="1449"/>
      <c r="K20" s="1439"/>
      <c r="L20" s="1439"/>
      <c r="M20" s="1439"/>
      <c r="N20" s="1439"/>
      <c r="O20" s="1439"/>
      <c r="P20" s="1439"/>
      <c r="Q20" s="1439"/>
      <c r="R20" s="1439"/>
      <c r="S20" s="1439"/>
      <c r="T20" s="1439"/>
      <c r="U20" s="1439"/>
      <c r="V20" s="1439"/>
      <c r="W20" s="1439"/>
      <c r="X20" s="1439"/>
      <c r="Y20" s="1439"/>
      <c r="Z20" s="1439"/>
      <c r="AA20" s="1439"/>
      <c r="AB20" s="1439"/>
      <c r="AC20" s="1439"/>
      <c r="AD20" s="1439"/>
      <c r="AE20" s="1439"/>
      <c r="AF20" s="1439"/>
      <c r="AG20" s="1439"/>
    </row>
    <row r="21" spans="1:33" ht="15.75" customHeight="1">
      <c r="A21" s="1443"/>
      <c r="B21" s="1452" t="s">
        <v>7391</v>
      </c>
      <c r="C21" s="1445">
        <v>1</v>
      </c>
      <c r="D21" s="1445" t="s">
        <v>3364</v>
      </c>
      <c r="E21" s="1445">
        <v>4</v>
      </c>
      <c r="F21" s="1446">
        <v>1.54</v>
      </c>
      <c r="G21" s="1446">
        <v>0.38</v>
      </c>
      <c r="H21" s="1447">
        <v>0.4</v>
      </c>
      <c r="I21" s="1448">
        <f t="shared" si="0"/>
        <v>0.94</v>
      </c>
      <c r="J21" s="1449"/>
      <c r="K21" s="1439"/>
      <c r="L21" s="1439"/>
      <c r="M21" s="1439"/>
      <c r="N21" s="1439"/>
      <c r="O21" s="1439"/>
      <c r="P21" s="1439"/>
      <c r="Q21" s="1439"/>
      <c r="R21" s="1439"/>
      <c r="S21" s="1439"/>
      <c r="T21" s="1439"/>
      <c r="U21" s="1439"/>
      <c r="V21" s="1439"/>
      <c r="W21" s="1439"/>
      <c r="X21" s="1439"/>
      <c r="Y21" s="1439"/>
      <c r="Z21" s="1439"/>
      <c r="AA21" s="1439"/>
      <c r="AB21" s="1439"/>
      <c r="AC21" s="1439"/>
      <c r="AD21" s="1439"/>
      <c r="AE21" s="1439"/>
      <c r="AF21" s="1439"/>
      <c r="AG21" s="1439"/>
    </row>
    <row r="22" spans="1:33" ht="15.75" customHeight="1">
      <c r="A22" s="1443"/>
      <c r="B22" s="1452" t="s">
        <v>7392</v>
      </c>
      <c r="C22" s="1445">
        <v>1</v>
      </c>
      <c r="D22" s="1445" t="s">
        <v>3364</v>
      </c>
      <c r="E22" s="1445">
        <v>1</v>
      </c>
      <c r="F22" s="1446">
        <v>2.3849999999999998</v>
      </c>
      <c r="G22" s="1446">
        <v>0.38</v>
      </c>
      <c r="H22" s="1447">
        <v>0.4</v>
      </c>
      <c r="I22" s="1448">
        <f t="shared" si="0"/>
        <v>0.36</v>
      </c>
      <c r="J22" s="1449"/>
      <c r="K22" s="1439"/>
      <c r="L22" s="1439"/>
      <c r="M22" s="1439"/>
      <c r="N22" s="1439"/>
      <c r="O22" s="1439"/>
      <c r="P22" s="1439"/>
      <c r="Q22" s="1439"/>
      <c r="R22" s="1439"/>
      <c r="S22" s="1439"/>
      <c r="T22" s="1439"/>
      <c r="U22" s="1439"/>
      <c r="V22" s="1439"/>
      <c r="W22" s="1439"/>
      <c r="X22" s="1439"/>
      <c r="Y22" s="1439"/>
      <c r="Z22" s="1439"/>
      <c r="AA22" s="1439"/>
      <c r="AB22" s="1439"/>
      <c r="AC22" s="1439"/>
      <c r="AD22" s="1439"/>
      <c r="AE22" s="1439"/>
      <c r="AF22" s="1439"/>
      <c r="AG22" s="1439"/>
    </row>
    <row r="23" spans="1:33" ht="15.75" customHeight="1">
      <c r="A23" s="1443"/>
      <c r="B23" s="1450" t="s">
        <v>7039</v>
      </c>
      <c r="C23" s="1445">
        <v>1</v>
      </c>
      <c r="D23" s="1445" t="s">
        <v>3364</v>
      </c>
      <c r="E23" s="1445">
        <v>1</v>
      </c>
      <c r="F23" s="1446">
        <f>8.82+0.46</f>
        <v>9.2799999999999994</v>
      </c>
      <c r="G23" s="1446">
        <v>0.23</v>
      </c>
      <c r="H23" s="1447">
        <v>0.2</v>
      </c>
      <c r="I23" s="1448">
        <f t="shared" si="0"/>
        <v>0.43</v>
      </c>
      <c r="J23" s="1449"/>
      <c r="K23" s="1439"/>
      <c r="L23" s="1439"/>
      <c r="M23" s="1439"/>
      <c r="N23" s="1439"/>
      <c r="O23" s="1439"/>
      <c r="P23" s="1439"/>
      <c r="Q23" s="1439"/>
      <c r="R23" s="1439"/>
      <c r="S23" s="1439"/>
      <c r="T23" s="1439"/>
      <c r="U23" s="1439"/>
      <c r="V23" s="1439"/>
      <c r="W23" s="1439"/>
      <c r="X23" s="1439"/>
      <c r="Y23" s="1439"/>
      <c r="Z23" s="1439"/>
      <c r="AA23" s="1439"/>
      <c r="AB23" s="1439"/>
      <c r="AC23" s="1439"/>
      <c r="AD23" s="1439"/>
      <c r="AE23" s="1439"/>
      <c r="AF23" s="1439"/>
      <c r="AG23" s="1439"/>
    </row>
    <row r="24" spans="1:33" ht="15.75" customHeight="1">
      <c r="A24" s="1443"/>
      <c r="B24" s="1450" t="s">
        <v>7040</v>
      </c>
      <c r="C24" s="1445">
        <v>1</v>
      </c>
      <c r="D24" s="1445" t="s">
        <v>3364</v>
      </c>
      <c r="E24" s="1445">
        <v>1</v>
      </c>
      <c r="F24" s="1446">
        <v>3.3460000000000001</v>
      </c>
      <c r="G24" s="1446">
        <v>0.23</v>
      </c>
      <c r="H24" s="1447">
        <v>0.2</v>
      </c>
      <c r="I24" s="1448">
        <f t="shared" si="0"/>
        <v>0.15</v>
      </c>
      <c r="J24" s="1449"/>
      <c r="K24" s="1439">
        <f>1.75+0.9</f>
        <v>2.65</v>
      </c>
      <c r="L24" s="1439"/>
      <c r="M24" s="1439"/>
      <c r="N24" s="1439"/>
      <c r="O24" s="1439"/>
      <c r="P24" s="1439"/>
      <c r="Q24" s="1439"/>
      <c r="R24" s="1439"/>
      <c r="S24" s="1439"/>
      <c r="T24" s="1439"/>
      <c r="U24" s="1439"/>
      <c r="V24" s="1439"/>
      <c r="W24" s="1439"/>
      <c r="X24" s="1439"/>
      <c r="Y24" s="1439"/>
      <c r="Z24" s="1439"/>
      <c r="AA24" s="1439"/>
      <c r="AB24" s="1439"/>
      <c r="AC24" s="1439"/>
      <c r="AD24" s="1439"/>
      <c r="AE24" s="1439"/>
      <c r="AF24" s="1439"/>
      <c r="AG24" s="1439"/>
    </row>
    <row r="25" spans="1:33" ht="15.75" customHeight="1">
      <c r="A25" s="1443"/>
      <c r="B25" s="1452" t="s">
        <v>7393</v>
      </c>
      <c r="C25" s="1445">
        <v>1</v>
      </c>
      <c r="D25" s="1453" t="s">
        <v>3364</v>
      </c>
      <c r="E25" s="1445">
        <v>6</v>
      </c>
      <c r="F25" s="1446">
        <f>0.9+0.15</f>
        <v>1.05</v>
      </c>
      <c r="G25" s="1446">
        <v>1.05</v>
      </c>
      <c r="H25" s="1447">
        <v>1.2</v>
      </c>
      <c r="I25" s="1448">
        <f t="shared" si="0"/>
        <v>7.94</v>
      </c>
      <c r="J25" s="1449"/>
      <c r="K25" s="1439"/>
      <c r="L25" s="1439"/>
      <c r="M25" s="1439"/>
      <c r="N25" s="1439"/>
      <c r="O25" s="1439"/>
      <c r="P25" s="1439"/>
      <c r="Q25" s="1439"/>
      <c r="R25" s="1439"/>
      <c r="S25" s="1439"/>
      <c r="T25" s="1439"/>
      <c r="U25" s="1439"/>
      <c r="V25" s="1439"/>
      <c r="W25" s="1439"/>
      <c r="X25" s="1439"/>
      <c r="Y25" s="1439"/>
      <c r="Z25" s="1439"/>
      <c r="AA25" s="1439"/>
      <c r="AB25" s="1439"/>
      <c r="AC25" s="1439"/>
      <c r="AD25" s="1439"/>
      <c r="AE25" s="1439"/>
      <c r="AF25" s="1439"/>
      <c r="AG25" s="1439"/>
    </row>
    <row r="26" spans="1:33" ht="15.75" customHeight="1">
      <c r="A26" s="1443"/>
      <c r="B26" s="1450" t="s">
        <v>3370</v>
      </c>
      <c r="C26" s="1445">
        <v>1</v>
      </c>
      <c r="D26" s="1445" t="s">
        <v>3364</v>
      </c>
      <c r="E26" s="1445">
        <v>1</v>
      </c>
      <c r="F26" s="1446">
        <f>0.6+0.23+0.15+0.23</f>
        <v>1.21</v>
      </c>
      <c r="G26" s="1446">
        <f>0.6+0.23+0.15+0.23</f>
        <v>1.21</v>
      </c>
      <c r="H26" s="1447">
        <v>0.6</v>
      </c>
      <c r="I26" s="1448">
        <f t="shared" si="0"/>
        <v>0.88</v>
      </c>
      <c r="J26" s="1449"/>
      <c r="K26" s="1439"/>
      <c r="L26" s="1439"/>
      <c r="M26" s="1439"/>
      <c r="N26" s="1439"/>
      <c r="O26" s="1439"/>
      <c r="P26" s="1439"/>
      <c r="Q26" s="1439"/>
      <c r="R26" s="1439"/>
      <c r="S26" s="1439"/>
      <c r="T26" s="1439"/>
      <c r="U26" s="1439"/>
      <c r="V26" s="1439"/>
      <c r="W26" s="1439"/>
      <c r="X26" s="1439"/>
      <c r="Y26" s="1439"/>
      <c r="Z26" s="1439"/>
      <c r="AA26" s="1439"/>
      <c r="AB26" s="1439"/>
      <c r="AC26" s="1439"/>
      <c r="AD26" s="1439"/>
      <c r="AE26" s="1439"/>
      <c r="AF26" s="1439"/>
      <c r="AG26" s="1439"/>
    </row>
    <row r="27" spans="1:33" ht="15.75" customHeight="1">
      <c r="A27" s="1443"/>
      <c r="B27" s="1450" t="s">
        <v>6525</v>
      </c>
      <c r="C27" s="1457">
        <v>0.5</v>
      </c>
      <c r="D27" s="1445" t="s">
        <v>3364</v>
      </c>
      <c r="E27" s="1445">
        <v>1</v>
      </c>
      <c r="F27" s="1446">
        <v>24.64</v>
      </c>
      <c r="G27" s="1446">
        <v>6</v>
      </c>
      <c r="H27" s="1447">
        <v>0.2</v>
      </c>
      <c r="I27" s="1448">
        <f t="shared" si="0"/>
        <v>14.78</v>
      </c>
      <c r="J27" s="1449"/>
      <c r="K27" s="1439"/>
      <c r="L27" s="1439"/>
      <c r="M27" s="1439"/>
      <c r="N27" s="1439"/>
      <c r="O27" s="1439"/>
      <c r="P27" s="1439"/>
      <c r="Q27" s="1439"/>
      <c r="R27" s="1439"/>
      <c r="S27" s="1439"/>
      <c r="T27" s="1439"/>
      <c r="U27" s="1439"/>
      <c r="V27" s="1439"/>
      <c r="W27" s="1439"/>
      <c r="X27" s="1439"/>
      <c r="Y27" s="1439"/>
      <c r="Z27" s="1439"/>
      <c r="AA27" s="1439"/>
      <c r="AB27" s="1439"/>
      <c r="AC27" s="1439"/>
      <c r="AD27" s="1439"/>
      <c r="AE27" s="1439"/>
      <c r="AF27" s="1439"/>
      <c r="AG27" s="1439"/>
    </row>
    <row r="28" spans="1:33" ht="15.75" customHeight="1">
      <c r="A28" s="1443"/>
      <c r="B28" s="1450"/>
      <c r="C28" s="1445"/>
      <c r="D28" s="1445"/>
      <c r="E28" s="1445"/>
      <c r="F28" s="1446"/>
      <c r="G28" s="1458" t="s">
        <v>104</v>
      </c>
      <c r="H28" s="1447"/>
      <c r="I28" s="1459">
        <f>SUM(I7:I27)</f>
        <v>776.24</v>
      </c>
      <c r="J28" s="1449"/>
      <c r="K28" s="1439"/>
      <c r="L28" s="1439"/>
      <c r="M28" s="1439"/>
      <c r="N28" s="1439"/>
      <c r="O28" s="1439"/>
      <c r="P28" s="1439"/>
      <c r="Q28" s="1439"/>
      <c r="R28" s="1439"/>
      <c r="S28" s="1439"/>
      <c r="T28" s="1439"/>
      <c r="U28" s="1439"/>
      <c r="V28" s="1439"/>
      <c r="W28" s="1439"/>
      <c r="X28" s="1439"/>
      <c r="Y28" s="1439"/>
      <c r="Z28" s="1439"/>
      <c r="AA28" s="1439"/>
      <c r="AB28" s="1439"/>
      <c r="AC28" s="1439"/>
      <c r="AD28" s="1439"/>
      <c r="AE28" s="1439"/>
      <c r="AF28" s="1439"/>
      <c r="AG28" s="1439"/>
    </row>
    <row r="29" spans="1:33" ht="15.75" customHeight="1">
      <c r="A29" s="1443"/>
      <c r="B29" s="1450"/>
      <c r="C29" s="1445"/>
      <c r="D29" s="1445"/>
      <c r="E29" s="1445"/>
      <c r="F29" s="1446"/>
      <c r="G29" s="1446"/>
      <c r="H29" s="1460" t="s">
        <v>2981</v>
      </c>
      <c r="I29" s="1459">
        <f>CEILING(I28,0.1)</f>
        <v>776.3</v>
      </c>
      <c r="J29" s="1449" t="s">
        <v>5</v>
      </c>
      <c r="K29" s="1439"/>
      <c r="L29" s="1439"/>
      <c r="M29" s="1439"/>
      <c r="N29" s="1439"/>
      <c r="O29" s="1439"/>
      <c r="P29" s="1439"/>
      <c r="Q29" s="1439"/>
      <c r="R29" s="1439"/>
      <c r="S29" s="1439"/>
      <c r="T29" s="1439"/>
      <c r="U29" s="1439"/>
      <c r="V29" s="1439"/>
      <c r="W29" s="1439"/>
      <c r="X29" s="1439"/>
      <c r="Y29" s="1439"/>
      <c r="Z29" s="1439"/>
      <c r="AA29" s="1439"/>
      <c r="AB29" s="1439"/>
      <c r="AC29" s="1439"/>
      <c r="AD29" s="1439"/>
      <c r="AE29" s="1439"/>
      <c r="AF29" s="1439"/>
      <c r="AG29" s="1439"/>
    </row>
    <row r="30" spans="1:33" ht="15.75" customHeight="1">
      <c r="A30" s="1443"/>
      <c r="B30" s="1456" t="s">
        <v>5297</v>
      </c>
      <c r="C30" s="1445"/>
      <c r="D30" s="1445"/>
      <c r="E30" s="1445"/>
      <c r="F30" s="1446"/>
      <c r="G30" s="1446"/>
      <c r="H30" s="1460"/>
      <c r="I30" s="1459"/>
      <c r="J30" s="1449"/>
      <c r="K30" s="1439"/>
      <c r="L30" s="1439"/>
      <c r="M30" s="1439"/>
      <c r="N30" s="1439"/>
      <c r="O30" s="1439"/>
      <c r="P30" s="1439"/>
      <c r="Q30" s="1439"/>
      <c r="R30" s="1439"/>
      <c r="S30" s="1439"/>
      <c r="T30" s="1439"/>
      <c r="U30" s="1439"/>
      <c r="V30" s="1439"/>
      <c r="W30" s="1439"/>
      <c r="X30" s="1439"/>
      <c r="Y30" s="1439"/>
      <c r="Z30" s="1439"/>
      <c r="AA30" s="1439"/>
      <c r="AB30" s="1439"/>
      <c r="AC30" s="1439"/>
      <c r="AD30" s="1439"/>
      <c r="AE30" s="1439"/>
      <c r="AF30" s="1439"/>
      <c r="AG30" s="1439"/>
    </row>
    <row r="31" spans="1:33" ht="15.75" customHeight="1">
      <c r="A31" s="1443"/>
      <c r="B31" s="1450" t="s">
        <v>6521</v>
      </c>
      <c r="C31" s="1445">
        <v>1</v>
      </c>
      <c r="D31" s="1445" t="s">
        <v>3364</v>
      </c>
      <c r="E31" s="1445">
        <v>5</v>
      </c>
      <c r="F31" s="1446">
        <f>2.6+0.15</f>
        <v>2.75</v>
      </c>
      <c r="G31" s="1446">
        <v>2.75</v>
      </c>
      <c r="H31" s="1447">
        <v>1</v>
      </c>
      <c r="I31" s="1448">
        <f t="shared" ref="I31:I37" si="1">PRODUCT(C31:H31)</f>
        <v>37.81</v>
      </c>
      <c r="J31" s="1449"/>
      <c r="K31" s="1439"/>
      <c r="L31" s="1439"/>
      <c r="M31" s="1439"/>
      <c r="N31" s="1439"/>
      <c r="O31" s="1439"/>
      <c r="P31" s="1439"/>
      <c r="Q31" s="1439"/>
      <c r="R31" s="1439"/>
      <c r="S31" s="1439"/>
      <c r="T31" s="1439"/>
      <c r="U31" s="1439"/>
      <c r="V31" s="1439"/>
      <c r="W31" s="1439"/>
      <c r="X31" s="1439"/>
      <c r="Y31" s="1439"/>
      <c r="Z31" s="1439"/>
      <c r="AA31" s="1439"/>
      <c r="AB31" s="1439"/>
      <c r="AC31" s="1439"/>
      <c r="AD31" s="1439"/>
      <c r="AE31" s="1439"/>
      <c r="AF31" s="1439"/>
      <c r="AG31" s="1439"/>
    </row>
    <row r="32" spans="1:33" ht="15.75" customHeight="1">
      <c r="A32" s="1443"/>
      <c r="B32" s="1450" t="s">
        <v>7034</v>
      </c>
      <c r="C32" s="1445">
        <v>1</v>
      </c>
      <c r="D32" s="1445" t="s">
        <v>3364</v>
      </c>
      <c r="E32" s="1445">
        <v>7</v>
      </c>
      <c r="F32" s="1446">
        <v>3.15</v>
      </c>
      <c r="G32" s="1446">
        <v>3.15</v>
      </c>
      <c r="H32" s="1447">
        <v>1</v>
      </c>
      <c r="I32" s="1448">
        <f t="shared" si="1"/>
        <v>69.459999999999994</v>
      </c>
      <c r="J32" s="1449"/>
      <c r="K32" s="1439"/>
      <c r="L32" s="1439"/>
      <c r="M32" s="1439"/>
      <c r="N32" s="1439"/>
      <c r="O32" s="1439"/>
      <c r="P32" s="1439"/>
      <c r="Q32" s="1439"/>
      <c r="R32" s="1439"/>
      <c r="S32" s="1439"/>
      <c r="T32" s="1439"/>
      <c r="U32" s="1439"/>
      <c r="V32" s="1439"/>
      <c r="W32" s="1439"/>
      <c r="X32" s="1439"/>
      <c r="Y32" s="1439"/>
      <c r="Z32" s="1439"/>
      <c r="AA32" s="1439"/>
      <c r="AB32" s="1439"/>
      <c r="AC32" s="1439"/>
      <c r="AD32" s="1439"/>
      <c r="AE32" s="1439"/>
      <c r="AF32" s="1439"/>
      <c r="AG32" s="1439"/>
    </row>
    <row r="33" spans="1:33" ht="15.75" customHeight="1">
      <c r="A33" s="1443"/>
      <c r="B33" s="1450" t="s">
        <v>7035</v>
      </c>
      <c r="C33" s="1445">
        <v>1</v>
      </c>
      <c r="D33" s="1445" t="s">
        <v>3364</v>
      </c>
      <c r="E33" s="1445">
        <v>6</v>
      </c>
      <c r="F33" s="1446">
        <v>3.3</v>
      </c>
      <c r="G33" s="1446">
        <v>3.3</v>
      </c>
      <c r="H33" s="1447">
        <v>1</v>
      </c>
      <c r="I33" s="1448">
        <f t="shared" si="1"/>
        <v>65.34</v>
      </c>
      <c r="J33" s="1449"/>
      <c r="K33" s="1439"/>
      <c r="L33" s="1439"/>
      <c r="M33" s="1439"/>
      <c r="N33" s="1439"/>
      <c r="O33" s="1439"/>
      <c r="P33" s="1439"/>
      <c r="Q33" s="1439"/>
      <c r="R33" s="1439"/>
      <c r="S33" s="1439"/>
      <c r="T33" s="1439"/>
      <c r="U33" s="1439"/>
      <c r="V33" s="1439"/>
      <c r="W33" s="1439"/>
      <c r="X33" s="1439"/>
      <c r="Y33" s="1439"/>
      <c r="Z33" s="1439"/>
      <c r="AA33" s="1439"/>
      <c r="AB33" s="1439"/>
      <c r="AC33" s="1439"/>
      <c r="AD33" s="1439"/>
      <c r="AE33" s="1439"/>
      <c r="AF33" s="1439"/>
      <c r="AG33" s="1439"/>
    </row>
    <row r="34" spans="1:33" ht="15.75" customHeight="1">
      <c r="A34" s="1443"/>
      <c r="B34" s="1450" t="s">
        <v>7036</v>
      </c>
      <c r="C34" s="1445">
        <v>1</v>
      </c>
      <c r="D34" s="1445" t="s">
        <v>3364</v>
      </c>
      <c r="E34" s="1445">
        <v>3</v>
      </c>
      <c r="F34" s="1446">
        <v>3.65</v>
      </c>
      <c r="G34" s="1446">
        <v>3.65</v>
      </c>
      <c r="H34" s="1447">
        <v>1</v>
      </c>
      <c r="I34" s="1448">
        <f t="shared" si="1"/>
        <v>39.97</v>
      </c>
      <c r="J34" s="1449"/>
      <c r="K34" s="1439"/>
      <c r="L34" s="1439"/>
      <c r="M34" s="1439"/>
      <c r="N34" s="1439"/>
      <c r="O34" s="1439"/>
      <c r="P34" s="1439"/>
      <c r="Q34" s="1439"/>
      <c r="R34" s="1439"/>
      <c r="S34" s="1439"/>
      <c r="T34" s="1439"/>
      <c r="U34" s="1439"/>
      <c r="V34" s="1439"/>
      <c r="W34" s="1439"/>
      <c r="X34" s="1439"/>
      <c r="Y34" s="1439"/>
      <c r="Z34" s="1439"/>
      <c r="AA34" s="1439"/>
      <c r="AB34" s="1439"/>
      <c r="AC34" s="1439"/>
      <c r="AD34" s="1439"/>
      <c r="AE34" s="1439"/>
      <c r="AF34" s="1439"/>
      <c r="AG34" s="1439"/>
    </row>
    <row r="35" spans="1:33" ht="15.75" customHeight="1">
      <c r="A35" s="1443"/>
      <c r="B35" s="1452" t="s">
        <v>7384</v>
      </c>
      <c r="C35" s="1445">
        <v>1</v>
      </c>
      <c r="D35" s="1445" t="s">
        <v>3364</v>
      </c>
      <c r="E35" s="1445">
        <v>4</v>
      </c>
      <c r="F35" s="1446">
        <v>3.95</v>
      </c>
      <c r="G35" s="1446">
        <v>3.95</v>
      </c>
      <c r="H35" s="1447">
        <v>1</v>
      </c>
      <c r="I35" s="1448">
        <f t="shared" si="1"/>
        <v>62.41</v>
      </c>
      <c r="J35" s="1449"/>
      <c r="K35" s="1439"/>
      <c r="L35" s="1439"/>
      <c r="M35" s="1439"/>
      <c r="N35" s="1439"/>
      <c r="O35" s="1439"/>
      <c r="P35" s="1439"/>
      <c r="Q35" s="1439"/>
      <c r="R35" s="1439"/>
      <c r="S35" s="1439"/>
      <c r="T35" s="1439"/>
      <c r="U35" s="1439"/>
      <c r="V35" s="1439"/>
      <c r="W35" s="1439"/>
      <c r="X35" s="1439"/>
      <c r="Y35" s="1439"/>
      <c r="Z35" s="1439"/>
      <c r="AA35" s="1439"/>
      <c r="AB35" s="1439"/>
      <c r="AC35" s="1439"/>
      <c r="AD35" s="1439"/>
      <c r="AE35" s="1439"/>
      <c r="AF35" s="1439"/>
      <c r="AG35" s="1439"/>
    </row>
    <row r="36" spans="1:33" ht="15.75" customHeight="1">
      <c r="A36" s="1443"/>
      <c r="B36" s="1452" t="s">
        <v>7385</v>
      </c>
      <c r="C36" s="1445">
        <v>1</v>
      </c>
      <c r="D36" s="1445" t="s">
        <v>3364</v>
      </c>
      <c r="E36" s="1445">
        <v>3</v>
      </c>
      <c r="F36" s="1446">
        <v>3.55</v>
      </c>
      <c r="G36" s="1446">
        <f>4.225+0.15</f>
        <v>4.375</v>
      </c>
      <c r="H36" s="1447">
        <v>1</v>
      </c>
      <c r="I36" s="1448">
        <f t="shared" si="1"/>
        <v>46.59</v>
      </c>
      <c r="J36" s="1449"/>
      <c r="K36" s="1439"/>
      <c r="L36" s="1439"/>
      <c r="M36" s="1439"/>
      <c r="N36" s="1439"/>
      <c r="O36" s="1439"/>
      <c r="P36" s="1439"/>
      <c r="Q36" s="1439"/>
      <c r="R36" s="1439"/>
      <c r="S36" s="1439"/>
      <c r="T36" s="1439"/>
      <c r="U36" s="1439"/>
      <c r="V36" s="1439"/>
      <c r="W36" s="1439"/>
      <c r="X36" s="1439"/>
      <c r="Y36" s="1439"/>
      <c r="Z36" s="1439"/>
      <c r="AA36" s="1439"/>
      <c r="AB36" s="1439"/>
      <c r="AC36" s="1439"/>
      <c r="AD36" s="1439"/>
      <c r="AE36" s="1439"/>
      <c r="AF36" s="1439"/>
      <c r="AG36" s="1439"/>
    </row>
    <row r="37" spans="1:33" ht="15.75" customHeight="1">
      <c r="A37" s="1443"/>
      <c r="B37" s="1452" t="s">
        <v>7386</v>
      </c>
      <c r="C37" s="1445">
        <v>1</v>
      </c>
      <c r="D37" s="1453" t="s">
        <v>3364</v>
      </c>
      <c r="E37" s="1445">
        <v>2</v>
      </c>
      <c r="F37" s="1446">
        <f>2.977+0.15</f>
        <v>3.1269999999999998</v>
      </c>
      <c r="G37" s="1454">
        <f>5.415+0.15</f>
        <v>5.5650000000000004</v>
      </c>
      <c r="H37" s="1447">
        <v>1</v>
      </c>
      <c r="I37" s="1448">
        <f t="shared" si="1"/>
        <v>34.799999999999997</v>
      </c>
      <c r="J37" s="1449"/>
      <c r="K37" s="1439"/>
      <c r="L37" s="1439"/>
      <c r="M37" s="1439"/>
      <c r="N37" s="1439"/>
      <c r="O37" s="1439"/>
      <c r="P37" s="1439"/>
      <c r="Q37" s="1439"/>
      <c r="R37" s="1439"/>
      <c r="S37" s="1439"/>
      <c r="T37" s="1439"/>
      <c r="U37" s="1439"/>
      <c r="V37" s="1439"/>
      <c r="W37" s="1439"/>
      <c r="X37" s="1439"/>
      <c r="Y37" s="1439"/>
      <c r="Z37" s="1439"/>
      <c r="AA37" s="1439"/>
      <c r="AB37" s="1439"/>
      <c r="AC37" s="1439"/>
      <c r="AD37" s="1439"/>
      <c r="AE37" s="1439"/>
      <c r="AF37" s="1439"/>
      <c r="AG37" s="1439"/>
    </row>
    <row r="38" spans="1:33" ht="15.75" customHeight="1">
      <c r="A38" s="1443"/>
      <c r="B38" s="1450"/>
      <c r="C38" s="1445"/>
      <c r="D38" s="1445"/>
      <c r="E38" s="1445"/>
      <c r="F38" s="1446"/>
      <c r="G38" s="1458" t="s">
        <v>104</v>
      </c>
      <c r="H38" s="1447"/>
      <c r="I38" s="1459">
        <f>SUM(I31:I37)</f>
        <v>356.38</v>
      </c>
      <c r="J38" s="1449"/>
      <c r="K38" s="1439"/>
      <c r="L38" s="1439"/>
      <c r="M38" s="1439"/>
      <c r="N38" s="1439"/>
      <c r="O38" s="1439"/>
      <c r="P38" s="1439"/>
      <c r="Q38" s="1439"/>
      <c r="R38" s="1439"/>
      <c r="S38" s="1439"/>
      <c r="T38" s="1439"/>
      <c r="U38" s="1439"/>
      <c r="V38" s="1439"/>
      <c r="W38" s="1439"/>
      <c r="X38" s="1439"/>
      <c r="Y38" s="1439"/>
      <c r="Z38" s="1439"/>
      <c r="AA38" s="1439"/>
      <c r="AB38" s="1439"/>
      <c r="AC38" s="1439"/>
      <c r="AD38" s="1439"/>
      <c r="AE38" s="1439"/>
      <c r="AF38" s="1439"/>
      <c r="AG38" s="1439"/>
    </row>
    <row r="39" spans="1:33" ht="15.75" customHeight="1">
      <c r="A39" s="1443"/>
      <c r="B39" s="1450"/>
      <c r="C39" s="1445"/>
      <c r="D39" s="1445"/>
      <c r="E39" s="1445"/>
      <c r="F39" s="1446"/>
      <c r="G39" s="1446"/>
      <c r="H39" s="1460" t="s">
        <v>2981</v>
      </c>
      <c r="I39" s="1459">
        <f>CEILING(I38,0.1)</f>
        <v>356.4</v>
      </c>
      <c r="J39" s="1449" t="s">
        <v>5</v>
      </c>
      <c r="K39" s="1439"/>
      <c r="L39" s="1439"/>
      <c r="M39" s="1439"/>
      <c r="N39" s="1439"/>
      <c r="O39" s="1439"/>
      <c r="P39" s="1439"/>
      <c r="Q39" s="1439"/>
      <c r="R39" s="1439"/>
      <c r="S39" s="1439"/>
      <c r="T39" s="1439"/>
      <c r="U39" s="1439"/>
      <c r="V39" s="1439"/>
      <c r="W39" s="1439"/>
      <c r="X39" s="1439"/>
      <c r="Y39" s="1439"/>
      <c r="Z39" s="1439"/>
      <c r="AA39" s="1439"/>
      <c r="AB39" s="1439"/>
      <c r="AC39" s="1439"/>
      <c r="AD39" s="1439"/>
      <c r="AE39" s="1439"/>
      <c r="AF39" s="1439"/>
      <c r="AG39" s="1439"/>
    </row>
    <row r="40" spans="1:33" ht="25.5" customHeight="1">
      <c r="A40" s="1443">
        <v>2.1</v>
      </c>
      <c r="B40" s="1461" t="s">
        <v>5562</v>
      </c>
      <c r="C40" s="1445"/>
      <c r="D40" s="1445"/>
      <c r="E40" s="1445"/>
      <c r="F40" s="1446"/>
      <c r="G40" s="1446"/>
      <c r="H40" s="1447"/>
      <c r="I40" s="1448"/>
      <c r="J40" s="1449"/>
      <c r="K40" s="1439"/>
      <c r="L40" s="1439"/>
      <c r="M40" s="1439"/>
      <c r="N40" s="1439"/>
      <c r="O40" s="1439"/>
      <c r="P40" s="1439"/>
      <c r="Q40" s="1439"/>
      <c r="R40" s="1439"/>
      <c r="S40" s="1439"/>
      <c r="T40" s="1439"/>
      <c r="U40" s="1439"/>
      <c r="V40" s="1439"/>
      <c r="W40" s="1439"/>
      <c r="X40" s="1439"/>
      <c r="Y40" s="1439"/>
      <c r="Z40" s="1439"/>
      <c r="AA40" s="1439"/>
      <c r="AB40" s="1439"/>
      <c r="AC40" s="1439"/>
      <c r="AD40" s="1439"/>
      <c r="AE40" s="1439"/>
      <c r="AF40" s="1439"/>
      <c r="AG40" s="1439"/>
    </row>
    <row r="41" spans="1:33" ht="15.75" customHeight="1">
      <c r="A41" s="1443"/>
      <c r="B41" s="1450" t="s">
        <v>6521</v>
      </c>
      <c r="C41" s="1445">
        <v>1</v>
      </c>
      <c r="D41" s="1445" t="s">
        <v>3364</v>
      </c>
      <c r="E41" s="1445">
        <v>5</v>
      </c>
      <c r="F41" s="1446">
        <f>2.6+0.15</f>
        <v>2.75</v>
      </c>
      <c r="G41" s="1446">
        <v>2.75</v>
      </c>
      <c r="H41" s="1447">
        <v>0.2</v>
      </c>
      <c r="I41" s="1448">
        <f t="shared" ref="I41:I47" si="2">PRODUCT(C41:H41)</f>
        <v>7.56</v>
      </c>
      <c r="J41" s="1449"/>
      <c r="K41" s="1439"/>
      <c r="L41" s="1439"/>
      <c r="M41" s="1439"/>
      <c r="N41" s="1439"/>
      <c r="O41" s="1439"/>
      <c r="P41" s="1439"/>
      <c r="Q41" s="1439"/>
      <c r="R41" s="1439"/>
      <c r="S41" s="1439"/>
      <c r="T41" s="1439"/>
      <c r="U41" s="1439"/>
      <c r="V41" s="1439"/>
      <c r="W41" s="1439"/>
      <c r="X41" s="1439"/>
      <c r="Y41" s="1439"/>
      <c r="Z41" s="1439"/>
      <c r="AA41" s="1439"/>
      <c r="AB41" s="1439"/>
      <c r="AC41" s="1439"/>
      <c r="AD41" s="1439"/>
      <c r="AE41" s="1439"/>
      <c r="AF41" s="1439"/>
      <c r="AG41" s="1439"/>
    </row>
    <row r="42" spans="1:33" ht="15.75" customHeight="1">
      <c r="A42" s="1443"/>
      <c r="B42" s="1450" t="s">
        <v>7034</v>
      </c>
      <c r="C42" s="1445">
        <v>1</v>
      </c>
      <c r="D42" s="1445" t="s">
        <v>3364</v>
      </c>
      <c r="E42" s="1445">
        <v>7</v>
      </c>
      <c r="F42" s="1446">
        <v>3.15</v>
      </c>
      <c r="G42" s="1446">
        <v>3.15</v>
      </c>
      <c r="H42" s="1447">
        <v>0.2</v>
      </c>
      <c r="I42" s="1448">
        <f t="shared" si="2"/>
        <v>13.89</v>
      </c>
      <c r="J42" s="1449"/>
      <c r="K42" s="1439"/>
      <c r="L42" s="1439"/>
      <c r="M42" s="1439"/>
      <c r="N42" s="1439"/>
      <c r="O42" s="1439"/>
      <c r="P42" s="1439"/>
      <c r="Q42" s="1439"/>
      <c r="R42" s="1439"/>
      <c r="S42" s="1439"/>
      <c r="T42" s="1439"/>
      <c r="U42" s="1439"/>
      <c r="V42" s="1439"/>
      <c r="W42" s="1439"/>
      <c r="X42" s="1439"/>
      <c r="Y42" s="1439"/>
      <c r="Z42" s="1439"/>
      <c r="AA42" s="1439"/>
      <c r="AB42" s="1439"/>
      <c r="AC42" s="1439"/>
      <c r="AD42" s="1439"/>
      <c r="AE42" s="1439"/>
      <c r="AF42" s="1439"/>
      <c r="AG42" s="1439"/>
    </row>
    <row r="43" spans="1:33" ht="15.75" customHeight="1">
      <c r="A43" s="1443"/>
      <c r="B43" s="1450" t="s">
        <v>7035</v>
      </c>
      <c r="C43" s="1445">
        <v>1</v>
      </c>
      <c r="D43" s="1445" t="s">
        <v>3364</v>
      </c>
      <c r="E43" s="1445">
        <v>6</v>
      </c>
      <c r="F43" s="1446">
        <v>3.3</v>
      </c>
      <c r="G43" s="1446">
        <v>3.3</v>
      </c>
      <c r="H43" s="1447">
        <v>0.2</v>
      </c>
      <c r="I43" s="1448">
        <f t="shared" si="2"/>
        <v>13.07</v>
      </c>
      <c r="J43" s="1449"/>
      <c r="K43" s="1439"/>
      <c r="L43" s="1439"/>
      <c r="M43" s="1439"/>
      <c r="N43" s="1439"/>
      <c r="O43" s="1439"/>
      <c r="P43" s="1439"/>
      <c r="Q43" s="1439"/>
      <c r="R43" s="1439"/>
      <c r="S43" s="1439"/>
      <c r="T43" s="1439"/>
      <c r="U43" s="1439"/>
      <c r="V43" s="1439"/>
      <c r="W43" s="1439"/>
      <c r="X43" s="1439"/>
      <c r="Y43" s="1439"/>
      <c r="Z43" s="1439"/>
      <c r="AA43" s="1439"/>
      <c r="AB43" s="1439"/>
      <c r="AC43" s="1439"/>
      <c r="AD43" s="1439"/>
      <c r="AE43" s="1439"/>
      <c r="AF43" s="1439"/>
      <c r="AG43" s="1439"/>
    </row>
    <row r="44" spans="1:33" ht="15.75" customHeight="1">
      <c r="A44" s="1443"/>
      <c r="B44" s="1450" t="s">
        <v>7036</v>
      </c>
      <c r="C44" s="1445">
        <v>1</v>
      </c>
      <c r="D44" s="1445" t="s">
        <v>3364</v>
      </c>
      <c r="E44" s="1445">
        <v>3</v>
      </c>
      <c r="F44" s="1446">
        <v>3.65</v>
      </c>
      <c r="G44" s="1446">
        <v>3.65</v>
      </c>
      <c r="H44" s="1447">
        <v>0.2</v>
      </c>
      <c r="I44" s="1448">
        <f t="shared" si="2"/>
        <v>7.99</v>
      </c>
      <c r="J44" s="1449"/>
      <c r="K44" s="1439"/>
      <c r="L44" s="1439"/>
      <c r="M44" s="1439"/>
      <c r="N44" s="1439"/>
      <c r="O44" s="1439"/>
      <c r="P44" s="1439"/>
      <c r="Q44" s="1439"/>
      <c r="R44" s="1439"/>
      <c r="S44" s="1439"/>
      <c r="T44" s="1439"/>
      <c r="U44" s="1439"/>
      <c r="V44" s="1439"/>
      <c r="W44" s="1439"/>
      <c r="X44" s="1439"/>
      <c r="Y44" s="1439"/>
      <c r="Z44" s="1439"/>
      <c r="AA44" s="1439"/>
      <c r="AB44" s="1439"/>
      <c r="AC44" s="1439"/>
      <c r="AD44" s="1439"/>
      <c r="AE44" s="1439"/>
      <c r="AF44" s="1439"/>
      <c r="AG44" s="1439"/>
    </row>
    <row r="45" spans="1:33" ht="15.75" customHeight="1">
      <c r="A45" s="1443"/>
      <c r="B45" s="1452" t="s">
        <v>7384</v>
      </c>
      <c r="C45" s="1445">
        <v>1</v>
      </c>
      <c r="D45" s="1445" t="s">
        <v>3364</v>
      </c>
      <c r="E45" s="1445">
        <v>4</v>
      </c>
      <c r="F45" s="1446">
        <v>3.95</v>
      </c>
      <c r="G45" s="1446">
        <v>3.95</v>
      </c>
      <c r="H45" s="1447">
        <v>0.2</v>
      </c>
      <c r="I45" s="1448">
        <f t="shared" si="2"/>
        <v>12.48</v>
      </c>
      <c r="J45" s="1449"/>
      <c r="K45" s="1439"/>
      <c r="L45" s="1439"/>
      <c r="M45" s="1439"/>
      <c r="N45" s="1439"/>
      <c r="O45" s="1439"/>
      <c r="P45" s="1439"/>
      <c r="Q45" s="1439"/>
      <c r="R45" s="1439"/>
      <c r="S45" s="1439"/>
      <c r="T45" s="1439"/>
      <c r="U45" s="1439"/>
      <c r="V45" s="1439"/>
      <c r="W45" s="1439"/>
      <c r="X45" s="1439"/>
      <c r="Y45" s="1439"/>
      <c r="Z45" s="1439"/>
      <c r="AA45" s="1439"/>
      <c r="AB45" s="1439"/>
      <c r="AC45" s="1439"/>
      <c r="AD45" s="1439"/>
      <c r="AE45" s="1439"/>
      <c r="AF45" s="1439"/>
      <c r="AG45" s="1439"/>
    </row>
    <row r="46" spans="1:33" ht="15.75" customHeight="1">
      <c r="A46" s="1443"/>
      <c r="B46" s="1452" t="s">
        <v>7385</v>
      </c>
      <c r="C46" s="1445">
        <v>1</v>
      </c>
      <c r="D46" s="1445" t="s">
        <v>3364</v>
      </c>
      <c r="E46" s="1445">
        <v>3</v>
      </c>
      <c r="F46" s="1446">
        <v>3.55</v>
      </c>
      <c r="G46" s="1446">
        <f>4.225+0.15</f>
        <v>4.375</v>
      </c>
      <c r="H46" s="1447">
        <v>0.2</v>
      </c>
      <c r="I46" s="1448">
        <f t="shared" si="2"/>
        <v>9.32</v>
      </c>
      <c r="J46" s="1449"/>
      <c r="K46" s="1439"/>
      <c r="L46" s="1439"/>
      <c r="M46" s="1439"/>
      <c r="N46" s="1439"/>
      <c r="O46" s="1439"/>
      <c r="P46" s="1439"/>
      <c r="Q46" s="1439"/>
      <c r="R46" s="1439"/>
      <c r="S46" s="1439"/>
      <c r="T46" s="1439"/>
      <c r="U46" s="1439"/>
      <c r="V46" s="1439"/>
      <c r="W46" s="1439"/>
      <c r="X46" s="1439"/>
      <c r="Y46" s="1439"/>
      <c r="Z46" s="1439"/>
      <c r="AA46" s="1439"/>
      <c r="AB46" s="1439"/>
      <c r="AC46" s="1439"/>
      <c r="AD46" s="1439"/>
      <c r="AE46" s="1439"/>
      <c r="AF46" s="1439"/>
      <c r="AG46" s="1439"/>
    </row>
    <row r="47" spans="1:33" ht="15.75" customHeight="1">
      <c r="A47" s="1443"/>
      <c r="B47" s="1452" t="s">
        <v>7386</v>
      </c>
      <c r="C47" s="1445">
        <v>1</v>
      </c>
      <c r="D47" s="1453" t="s">
        <v>3364</v>
      </c>
      <c r="E47" s="1445">
        <v>2</v>
      </c>
      <c r="F47" s="1446">
        <f>2.977+0.15</f>
        <v>3.1269999999999998</v>
      </c>
      <c r="G47" s="1454">
        <f>5.415+0.15</f>
        <v>5.5650000000000004</v>
      </c>
      <c r="H47" s="1447">
        <v>0.2</v>
      </c>
      <c r="I47" s="1448">
        <f t="shared" si="2"/>
        <v>6.96</v>
      </c>
      <c r="J47" s="1449"/>
      <c r="K47" s="1439"/>
      <c r="L47" s="1439"/>
      <c r="M47" s="1439"/>
      <c r="N47" s="1439"/>
      <c r="O47" s="1439"/>
      <c r="P47" s="1439"/>
      <c r="Q47" s="1439"/>
      <c r="R47" s="1439"/>
      <c r="S47" s="1439"/>
      <c r="T47" s="1439"/>
      <c r="U47" s="1439"/>
      <c r="V47" s="1439"/>
      <c r="W47" s="1439"/>
      <c r="X47" s="1439"/>
      <c r="Y47" s="1439"/>
      <c r="Z47" s="1439"/>
      <c r="AA47" s="1439"/>
      <c r="AB47" s="1439"/>
      <c r="AC47" s="1439"/>
      <c r="AD47" s="1439"/>
      <c r="AE47" s="1439"/>
      <c r="AF47" s="1439"/>
      <c r="AG47" s="1439"/>
    </row>
    <row r="48" spans="1:33" ht="15.75" customHeight="1">
      <c r="A48" s="1443"/>
      <c r="B48" s="1450"/>
      <c r="C48" s="1445"/>
      <c r="D48" s="1445"/>
      <c r="E48" s="1445"/>
      <c r="F48" s="1446"/>
      <c r="G48" s="1458" t="s">
        <v>104</v>
      </c>
      <c r="H48" s="1447"/>
      <c r="I48" s="1459">
        <f>SUM(I41:I47)</f>
        <v>71.27</v>
      </c>
      <c r="J48" s="1449"/>
      <c r="K48" s="1439"/>
      <c r="L48" s="1439"/>
      <c r="M48" s="1439"/>
      <c r="N48" s="1439"/>
      <c r="O48" s="1439"/>
      <c r="P48" s="1439"/>
      <c r="Q48" s="1439"/>
      <c r="R48" s="1439"/>
      <c r="S48" s="1439"/>
      <c r="T48" s="1439"/>
      <c r="U48" s="1439"/>
      <c r="V48" s="1439"/>
      <c r="W48" s="1439"/>
      <c r="X48" s="1439"/>
      <c r="Y48" s="1439"/>
      <c r="Z48" s="1439"/>
      <c r="AA48" s="1439"/>
      <c r="AB48" s="1439"/>
      <c r="AC48" s="1439"/>
      <c r="AD48" s="1439"/>
      <c r="AE48" s="1439"/>
      <c r="AF48" s="1439"/>
      <c r="AG48" s="1439"/>
    </row>
    <row r="49" spans="1:33" ht="15.75" customHeight="1">
      <c r="A49" s="1443"/>
      <c r="B49" s="1450"/>
      <c r="C49" s="1445"/>
      <c r="D49" s="1445"/>
      <c r="E49" s="1445"/>
      <c r="F49" s="1446"/>
      <c r="G49" s="1446"/>
      <c r="H49" s="1460" t="s">
        <v>2981</v>
      </c>
      <c r="I49" s="1459">
        <f>CEILING(I48,0.1)</f>
        <v>71.3</v>
      </c>
      <c r="J49" s="1449" t="s">
        <v>5</v>
      </c>
      <c r="K49" s="1439"/>
      <c r="L49" s="1439"/>
      <c r="M49" s="1439"/>
      <c r="N49" s="1439"/>
      <c r="O49" s="1439"/>
      <c r="P49" s="1439"/>
      <c r="Q49" s="1439"/>
      <c r="R49" s="1439"/>
      <c r="S49" s="1439"/>
      <c r="T49" s="1439"/>
      <c r="U49" s="1439"/>
      <c r="V49" s="1439"/>
      <c r="W49" s="1439"/>
      <c r="X49" s="1439"/>
      <c r="Y49" s="1439"/>
      <c r="Z49" s="1439"/>
      <c r="AA49" s="1439"/>
      <c r="AB49" s="1439"/>
      <c r="AC49" s="1439"/>
      <c r="AD49" s="1439"/>
      <c r="AE49" s="1439"/>
      <c r="AF49" s="1439"/>
      <c r="AG49" s="1439"/>
    </row>
    <row r="50" spans="1:33" ht="110.25">
      <c r="A50" s="1443">
        <v>2.1</v>
      </c>
      <c r="B50" s="1462" t="s">
        <v>7041</v>
      </c>
      <c r="C50" s="1445"/>
      <c r="D50" s="1445"/>
      <c r="E50" s="1445"/>
      <c r="F50" s="1446"/>
      <c r="G50" s="1446"/>
      <c r="H50" s="1447"/>
      <c r="I50" s="1448"/>
      <c r="J50" s="1449"/>
      <c r="K50" s="1439"/>
      <c r="L50" s="1439"/>
      <c r="M50" s="1439"/>
      <c r="N50" s="1439"/>
      <c r="O50" s="1439"/>
      <c r="P50" s="1439"/>
      <c r="Q50" s="1439"/>
      <c r="R50" s="1439"/>
      <c r="S50" s="1439"/>
      <c r="T50" s="1439"/>
      <c r="U50" s="1439"/>
      <c r="V50" s="1439"/>
      <c r="W50" s="1439"/>
      <c r="X50" s="1439"/>
      <c r="Y50" s="1439"/>
      <c r="Z50" s="1439"/>
      <c r="AA50" s="1439"/>
      <c r="AB50" s="1439"/>
      <c r="AC50" s="1439"/>
      <c r="AD50" s="1439"/>
      <c r="AE50" s="1439"/>
      <c r="AF50" s="1439"/>
      <c r="AG50" s="1439"/>
    </row>
    <row r="51" spans="1:33" ht="15.75" customHeight="1">
      <c r="A51" s="1443"/>
      <c r="B51" s="1455" t="s">
        <v>7387</v>
      </c>
      <c r="C51" s="1445"/>
      <c r="D51" s="1445"/>
      <c r="E51" s="1445"/>
      <c r="F51" s="1446"/>
      <c r="G51" s="1446"/>
      <c r="H51" s="1447"/>
      <c r="I51" s="1448"/>
      <c r="J51" s="1449"/>
      <c r="K51" s="1439"/>
      <c r="L51" s="1439"/>
      <c r="M51" s="1439"/>
      <c r="N51" s="1439"/>
      <c r="O51" s="1439"/>
      <c r="P51" s="1439"/>
      <c r="Q51" s="1439"/>
      <c r="R51" s="1439"/>
      <c r="S51" s="1439"/>
      <c r="T51" s="1439"/>
      <c r="U51" s="1439"/>
      <c r="V51" s="1439"/>
      <c r="W51" s="1439"/>
      <c r="X51" s="1439"/>
      <c r="Y51" s="1439"/>
      <c r="Z51" s="1439"/>
      <c r="AA51" s="1439"/>
      <c r="AB51" s="1439"/>
      <c r="AC51" s="1439"/>
      <c r="AD51" s="1439"/>
      <c r="AE51" s="1439"/>
      <c r="AF51" s="1439"/>
      <c r="AG51" s="1439"/>
    </row>
    <row r="52" spans="1:33" ht="15.75" customHeight="1">
      <c r="A52" s="1443"/>
      <c r="B52" s="1452" t="s">
        <v>7388</v>
      </c>
      <c r="C52" s="1445">
        <v>1</v>
      </c>
      <c r="D52" s="1445" t="s">
        <v>3364</v>
      </c>
      <c r="E52" s="1445">
        <v>4</v>
      </c>
      <c r="F52" s="1446">
        <v>27.89</v>
      </c>
      <c r="G52" s="1446">
        <v>0.38</v>
      </c>
      <c r="H52" s="1447">
        <v>0.2</v>
      </c>
      <c r="I52" s="1448">
        <f t="shared" ref="I52:I63" si="3">PRODUCT(C52:H52)</f>
        <v>8.48</v>
      </c>
      <c r="J52" s="1449"/>
      <c r="K52" s="1439"/>
      <c r="L52" s="1439"/>
      <c r="M52" s="1439"/>
      <c r="N52" s="1439"/>
      <c r="O52" s="1439"/>
      <c r="P52" s="1439"/>
      <c r="Q52" s="1439"/>
      <c r="R52" s="1439"/>
      <c r="S52" s="1439"/>
      <c r="T52" s="1439"/>
      <c r="U52" s="1439"/>
      <c r="V52" s="1439"/>
      <c r="W52" s="1439"/>
      <c r="X52" s="1439"/>
      <c r="Y52" s="1439"/>
      <c r="Z52" s="1439"/>
      <c r="AA52" s="1439"/>
      <c r="AB52" s="1439"/>
      <c r="AC52" s="1439"/>
      <c r="AD52" s="1439"/>
      <c r="AE52" s="1439"/>
      <c r="AF52" s="1439"/>
      <c r="AG52" s="1439"/>
    </row>
    <row r="53" spans="1:33" ht="15.75" customHeight="1">
      <c r="A53" s="1443"/>
      <c r="B53" s="1452" t="s">
        <v>7389</v>
      </c>
      <c r="C53" s="1445">
        <v>1</v>
      </c>
      <c r="D53" s="1445" t="s">
        <v>3364</v>
      </c>
      <c r="E53" s="1445">
        <v>1</v>
      </c>
      <c r="F53" s="1446">
        <f>2.53+0.46</f>
        <v>2.99</v>
      </c>
      <c r="G53" s="1446">
        <v>0.38</v>
      </c>
      <c r="H53" s="1447">
        <v>0.2</v>
      </c>
      <c r="I53" s="1448">
        <f t="shared" si="3"/>
        <v>0.23</v>
      </c>
      <c r="J53" s="1449"/>
      <c r="K53" s="1439"/>
      <c r="L53" s="1439"/>
      <c r="M53" s="1439"/>
      <c r="N53" s="1439"/>
      <c r="O53" s="1439"/>
      <c r="P53" s="1439"/>
      <c r="Q53" s="1439"/>
      <c r="R53" s="1439"/>
      <c r="S53" s="1439"/>
      <c r="T53" s="1439"/>
      <c r="U53" s="1439"/>
      <c r="V53" s="1439"/>
      <c r="W53" s="1439"/>
      <c r="X53" s="1439"/>
      <c r="Y53" s="1439"/>
      <c r="Z53" s="1439"/>
      <c r="AA53" s="1439"/>
      <c r="AB53" s="1439"/>
      <c r="AC53" s="1439"/>
      <c r="AD53" s="1439"/>
      <c r="AE53" s="1439"/>
      <c r="AF53" s="1439"/>
      <c r="AG53" s="1439"/>
    </row>
    <row r="54" spans="1:33" ht="15.75" customHeight="1">
      <c r="A54" s="1443"/>
      <c r="B54" s="1452" t="s">
        <v>7390</v>
      </c>
      <c r="C54" s="1445">
        <v>1</v>
      </c>
      <c r="D54" s="1453" t="s">
        <v>3827</v>
      </c>
      <c r="E54" s="1445">
        <v>1</v>
      </c>
      <c r="F54" s="1446">
        <f>4.765+1.13+2.53+0.23</f>
        <v>8.6549999999999994</v>
      </c>
      <c r="G54" s="1446">
        <v>0.38</v>
      </c>
      <c r="H54" s="1447">
        <v>0.2</v>
      </c>
      <c r="I54" s="1448">
        <f t="shared" si="3"/>
        <v>0.66</v>
      </c>
      <c r="J54" s="1449"/>
      <c r="K54" s="1439"/>
      <c r="L54" s="1439"/>
      <c r="M54" s="1439"/>
      <c r="N54" s="1439"/>
      <c r="O54" s="1439"/>
      <c r="P54" s="1439"/>
      <c r="Q54" s="1439"/>
      <c r="R54" s="1439"/>
      <c r="S54" s="1439"/>
      <c r="T54" s="1439"/>
      <c r="U54" s="1439"/>
      <c r="V54" s="1439"/>
      <c r="W54" s="1439"/>
      <c r="X54" s="1439"/>
      <c r="Y54" s="1439"/>
      <c r="Z54" s="1439"/>
      <c r="AA54" s="1439"/>
      <c r="AB54" s="1439"/>
      <c r="AC54" s="1439"/>
      <c r="AD54" s="1439"/>
      <c r="AE54" s="1439"/>
      <c r="AF54" s="1439"/>
      <c r="AG54" s="1439"/>
    </row>
    <row r="55" spans="1:33" ht="15.75" customHeight="1">
      <c r="A55" s="1443"/>
      <c r="B55" s="1456" t="s">
        <v>7038</v>
      </c>
      <c r="C55" s="1445"/>
      <c r="D55" s="1445"/>
      <c r="E55" s="1445"/>
      <c r="F55" s="1446"/>
      <c r="G55" s="1446"/>
      <c r="H55" s="1447"/>
      <c r="I55" s="1448">
        <f t="shared" si="3"/>
        <v>0</v>
      </c>
      <c r="J55" s="1449"/>
      <c r="K55" s="1439"/>
      <c r="L55" s="1439"/>
      <c r="M55" s="1439"/>
      <c r="N55" s="1439"/>
      <c r="O55" s="1439"/>
      <c r="P55" s="1439"/>
      <c r="Q55" s="1439"/>
      <c r="R55" s="1439"/>
      <c r="S55" s="1439"/>
      <c r="T55" s="1439"/>
      <c r="U55" s="1439"/>
      <c r="V55" s="1439"/>
      <c r="W55" s="1439"/>
      <c r="X55" s="1439"/>
      <c r="Y55" s="1439"/>
      <c r="Z55" s="1439"/>
      <c r="AA55" s="1439"/>
      <c r="AB55" s="1439"/>
      <c r="AC55" s="1439"/>
      <c r="AD55" s="1439"/>
      <c r="AE55" s="1439"/>
      <c r="AF55" s="1439"/>
      <c r="AG55" s="1439"/>
    </row>
    <row r="56" spans="1:33" ht="15.75" customHeight="1">
      <c r="A56" s="1443"/>
      <c r="B56" s="1452" t="s">
        <v>7037</v>
      </c>
      <c r="C56" s="1445">
        <v>1</v>
      </c>
      <c r="D56" s="1445" t="s">
        <v>3364</v>
      </c>
      <c r="E56" s="1445">
        <v>7</v>
      </c>
      <c r="F56" s="1446">
        <v>18.079999999999998</v>
      </c>
      <c r="G56" s="1446">
        <v>0.38</v>
      </c>
      <c r="H56" s="1447">
        <v>0.2</v>
      </c>
      <c r="I56" s="1448">
        <f t="shared" si="3"/>
        <v>9.6199999999999992</v>
      </c>
      <c r="J56" s="1449"/>
      <c r="K56" s="1439"/>
      <c r="L56" s="1439"/>
      <c r="M56" s="1439"/>
      <c r="N56" s="1439"/>
      <c r="O56" s="1439"/>
      <c r="P56" s="1439"/>
      <c r="Q56" s="1439"/>
      <c r="R56" s="1439"/>
      <c r="S56" s="1439"/>
      <c r="T56" s="1439"/>
      <c r="U56" s="1439"/>
      <c r="V56" s="1439"/>
      <c r="W56" s="1439"/>
      <c r="X56" s="1439"/>
      <c r="Y56" s="1439"/>
      <c r="Z56" s="1439"/>
      <c r="AA56" s="1439"/>
      <c r="AB56" s="1439"/>
      <c r="AC56" s="1439"/>
      <c r="AD56" s="1439"/>
      <c r="AE56" s="1439"/>
      <c r="AF56" s="1439"/>
      <c r="AG56" s="1439"/>
    </row>
    <row r="57" spans="1:33" ht="15.75" customHeight="1">
      <c r="A57" s="1443"/>
      <c r="B57" s="1452" t="s">
        <v>7391</v>
      </c>
      <c r="C57" s="1445">
        <v>1</v>
      </c>
      <c r="D57" s="1445" t="s">
        <v>3364</v>
      </c>
      <c r="E57" s="1445">
        <v>4</v>
      </c>
      <c r="F57" s="1446">
        <v>1.54</v>
      </c>
      <c r="G57" s="1446">
        <v>0.38</v>
      </c>
      <c r="H57" s="1447">
        <v>0.2</v>
      </c>
      <c r="I57" s="1448">
        <f t="shared" si="3"/>
        <v>0.47</v>
      </c>
      <c r="J57" s="1449"/>
      <c r="K57" s="1439"/>
      <c r="L57" s="1439"/>
      <c r="M57" s="1439"/>
      <c r="N57" s="1439"/>
      <c r="O57" s="1439"/>
      <c r="P57" s="1439"/>
      <c r="Q57" s="1439"/>
      <c r="R57" s="1439"/>
      <c r="S57" s="1439"/>
      <c r="T57" s="1439"/>
      <c r="U57" s="1439"/>
      <c r="V57" s="1439"/>
      <c r="W57" s="1439"/>
      <c r="X57" s="1439"/>
      <c r="Y57" s="1439"/>
      <c r="Z57" s="1439"/>
      <c r="AA57" s="1439"/>
      <c r="AB57" s="1439"/>
      <c r="AC57" s="1439"/>
      <c r="AD57" s="1439"/>
      <c r="AE57" s="1439"/>
      <c r="AF57" s="1439"/>
      <c r="AG57" s="1439"/>
    </row>
    <row r="58" spans="1:33" ht="15.75" customHeight="1">
      <c r="A58" s="1443"/>
      <c r="B58" s="1452" t="s">
        <v>7392</v>
      </c>
      <c r="C58" s="1445">
        <v>1</v>
      </c>
      <c r="D58" s="1445" t="s">
        <v>3364</v>
      </c>
      <c r="E58" s="1445">
        <v>1</v>
      </c>
      <c r="F58" s="1446">
        <v>2.3849999999999998</v>
      </c>
      <c r="G58" s="1446">
        <v>0.38</v>
      </c>
      <c r="H58" s="1447">
        <v>0.2</v>
      </c>
      <c r="I58" s="1448">
        <f t="shared" si="3"/>
        <v>0.18</v>
      </c>
      <c r="J58" s="1449"/>
      <c r="K58" s="1439"/>
      <c r="L58" s="1439"/>
      <c r="M58" s="1439"/>
      <c r="N58" s="1439"/>
      <c r="O58" s="1439"/>
      <c r="P58" s="1439"/>
      <c r="Q58" s="1439"/>
      <c r="R58" s="1439"/>
      <c r="S58" s="1439"/>
      <c r="T58" s="1439"/>
      <c r="U58" s="1439"/>
      <c r="V58" s="1439"/>
      <c r="W58" s="1439"/>
      <c r="X58" s="1439"/>
      <c r="Y58" s="1439"/>
      <c r="Z58" s="1439"/>
      <c r="AA58" s="1439"/>
      <c r="AB58" s="1439"/>
      <c r="AC58" s="1439"/>
      <c r="AD58" s="1439"/>
      <c r="AE58" s="1439"/>
      <c r="AF58" s="1439"/>
      <c r="AG58" s="1439"/>
    </row>
    <row r="59" spans="1:33" ht="15.75" customHeight="1">
      <c r="A59" s="1443"/>
      <c r="B59" s="1450" t="s">
        <v>7039</v>
      </c>
      <c r="C59" s="1445">
        <v>1</v>
      </c>
      <c r="D59" s="1445" t="s">
        <v>3364</v>
      </c>
      <c r="E59" s="1445">
        <v>1</v>
      </c>
      <c r="F59" s="1446">
        <f>8.82+0.46</f>
        <v>9.2799999999999994</v>
      </c>
      <c r="G59" s="1446">
        <v>0.23</v>
      </c>
      <c r="H59" s="1447">
        <v>0.2</v>
      </c>
      <c r="I59" s="1448">
        <f t="shared" si="3"/>
        <v>0.43</v>
      </c>
      <c r="J59" s="1449"/>
      <c r="K59" s="1439"/>
      <c r="L59" s="1439"/>
      <c r="M59" s="1439"/>
      <c r="N59" s="1439"/>
      <c r="O59" s="1439"/>
      <c r="P59" s="1439"/>
      <c r="Q59" s="1439"/>
      <c r="R59" s="1439"/>
      <c r="S59" s="1439"/>
      <c r="T59" s="1439"/>
      <c r="U59" s="1439"/>
      <c r="V59" s="1439"/>
      <c r="W59" s="1439"/>
      <c r="X59" s="1439"/>
      <c r="Y59" s="1439"/>
      <c r="Z59" s="1439"/>
      <c r="AA59" s="1439"/>
      <c r="AB59" s="1439"/>
      <c r="AC59" s="1439"/>
      <c r="AD59" s="1439"/>
      <c r="AE59" s="1439"/>
      <c r="AF59" s="1439"/>
      <c r="AG59" s="1439"/>
    </row>
    <row r="60" spans="1:33" ht="15.75" customHeight="1">
      <c r="A60" s="1443"/>
      <c r="B60" s="1450" t="s">
        <v>7040</v>
      </c>
      <c r="C60" s="1445">
        <v>1</v>
      </c>
      <c r="D60" s="1445" t="s">
        <v>3364</v>
      </c>
      <c r="E60" s="1445">
        <v>1</v>
      </c>
      <c r="F60" s="1446">
        <v>3.3460000000000001</v>
      </c>
      <c r="G60" s="1446">
        <v>0.23</v>
      </c>
      <c r="H60" s="1447">
        <v>0.2</v>
      </c>
      <c r="I60" s="1448">
        <f t="shared" si="3"/>
        <v>0.15</v>
      </c>
      <c r="J60" s="1449"/>
      <c r="K60" s="1439">
        <f>1.75+0.9</f>
        <v>2.65</v>
      </c>
      <c r="L60" s="1439"/>
      <c r="M60" s="1439"/>
      <c r="N60" s="1439"/>
      <c r="O60" s="1439"/>
      <c r="P60" s="1439"/>
      <c r="Q60" s="1439"/>
      <c r="R60" s="1439"/>
      <c r="S60" s="1439"/>
      <c r="T60" s="1439"/>
      <c r="U60" s="1439"/>
      <c r="V60" s="1439"/>
      <c r="W60" s="1439"/>
      <c r="X60" s="1439"/>
      <c r="Y60" s="1439"/>
      <c r="Z60" s="1439"/>
      <c r="AA60" s="1439"/>
      <c r="AB60" s="1439"/>
      <c r="AC60" s="1439"/>
      <c r="AD60" s="1439"/>
      <c r="AE60" s="1439"/>
      <c r="AF60" s="1439"/>
      <c r="AG60" s="1439"/>
    </row>
    <row r="61" spans="1:33" ht="15.75" customHeight="1">
      <c r="A61" s="1443"/>
      <c r="B61" s="1452" t="s">
        <v>7393</v>
      </c>
      <c r="C61" s="1445">
        <v>1</v>
      </c>
      <c r="D61" s="1453" t="s">
        <v>3364</v>
      </c>
      <c r="E61" s="1445">
        <v>6</v>
      </c>
      <c r="F61" s="1446">
        <f>0.9+0.15</f>
        <v>1.05</v>
      </c>
      <c r="G61" s="1446">
        <v>1.05</v>
      </c>
      <c r="H61" s="1447">
        <v>0.2</v>
      </c>
      <c r="I61" s="1448">
        <f t="shared" si="3"/>
        <v>1.32</v>
      </c>
      <c r="J61" s="1449"/>
      <c r="K61" s="1439"/>
      <c r="L61" s="1439"/>
      <c r="M61" s="1439"/>
      <c r="N61" s="1439"/>
      <c r="O61" s="1439"/>
      <c r="P61" s="1439"/>
      <c r="Q61" s="1439"/>
      <c r="R61" s="1439"/>
      <c r="S61" s="1439"/>
      <c r="T61" s="1439"/>
      <c r="U61" s="1439"/>
      <c r="V61" s="1439"/>
      <c r="W61" s="1439"/>
      <c r="X61" s="1439"/>
      <c r="Y61" s="1439"/>
      <c r="Z61" s="1439"/>
      <c r="AA61" s="1439"/>
      <c r="AB61" s="1439"/>
      <c r="AC61" s="1439"/>
      <c r="AD61" s="1439"/>
      <c r="AE61" s="1439"/>
      <c r="AF61" s="1439"/>
      <c r="AG61" s="1439"/>
    </row>
    <row r="62" spans="1:33" ht="15.75" customHeight="1">
      <c r="A62" s="1443"/>
      <c r="B62" s="1450" t="s">
        <v>3370</v>
      </c>
      <c r="C62" s="1445">
        <v>1</v>
      </c>
      <c r="D62" s="1445" t="s">
        <v>3364</v>
      </c>
      <c r="E62" s="1445">
        <v>1</v>
      </c>
      <c r="F62" s="1446">
        <f>0.6+0.23+0.15+0.23</f>
        <v>1.21</v>
      </c>
      <c r="G62" s="1446">
        <f>0.6+0.23+0.15+0.23</f>
        <v>1.21</v>
      </c>
      <c r="H62" s="1447">
        <v>0.2</v>
      </c>
      <c r="I62" s="1448">
        <f t="shared" si="3"/>
        <v>0.28999999999999998</v>
      </c>
      <c r="J62" s="1449"/>
      <c r="K62" s="1439"/>
      <c r="L62" s="1439"/>
      <c r="M62" s="1439"/>
      <c r="N62" s="1439"/>
      <c r="O62" s="1439"/>
      <c r="P62" s="1439"/>
      <c r="Q62" s="1439"/>
      <c r="R62" s="1439"/>
      <c r="S62" s="1439"/>
      <c r="T62" s="1439"/>
      <c r="U62" s="1439"/>
      <c r="V62" s="1439"/>
      <c r="W62" s="1439"/>
      <c r="X62" s="1439"/>
      <c r="Y62" s="1439"/>
      <c r="Z62" s="1439"/>
      <c r="AA62" s="1439"/>
      <c r="AB62" s="1439"/>
      <c r="AC62" s="1439"/>
      <c r="AD62" s="1439"/>
      <c r="AE62" s="1439"/>
      <c r="AF62" s="1439"/>
      <c r="AG62" s="1439"/>
    </row>
    <row r="63" spans="1:33" ht="15.75" customHeight="1">
      <c r="A63" s="1443"/>
      <c r="B63" s="1450" t="s">
        <v>6525</v>
      </c>
      <c r="C63" s="1457">
        <v>0.5</v>
      </c>
      <c r="D63" s="1445" t="s">
        <v>3364</v>
      </c>
      <c r="E63" s="1445">
        <v>1</v>
      </c>
      <c r="F63" s="1446">
        <v>24.64</v>
      </c>
      <c r="G63" s="1446">
        <v>6</v>
      </c>
      <c r="H63" s="1447">
        <v>0.2</v>
      </c>
      <c r="I63" s="1448">
        <f t="shared" si="3"/>
        <v>14.78</v>
      </c>
      <c r="J63" s="1449"/>
      <c r="K63" s="1439"/>
      <c r="L63" s="1439"/>
      <c r="M63" s="1439"/>
      <c r="N63" s="1439"/>
      <c r="O63" s="1439"/>
      <c r="P63" s="1439"/>
      <c r="Q63" s="1439"/>
      <c r="R63" s="1439"/>
      <c r="S63" s="1439"/>
      <c r="T63" s="1439"/>
      <c r="U63" s="1439"/>
      <c r="V63" s="1439"/>
      <c r="W63" s="1439"/>
      <c r="X63" s="1439"/>
      <c r="Y63" s="1439"/>
      <c r="Z63" s="1439"/>
      <c r="AA63" s="1439"/>
      <c r="AB63" s="1439"/>
      <c r="AC63" s="1439"/>
      <c r="AD63" s="1439"/>
      <c r="AE63" s="1439"/>
      <c r="AF63" s="1439"/>
      <c r="AG63" s="1439"/>
    </row>
    <row r="64" spans="1:33" ht="15.75" customHeight="1">
      <c r="A64" s="1443"/>
      <c r="B64" s="1450" t="s">
        <v>3378</v>
      </c>
      <c r="C64" s="1445">
        <v>1</v>
      </c>
      <c r="D64" s="1445" t="s">
        <v>3364</v>
      </c>
      <c r="E64" s="1445">
        <v>1</v>
      </c>
      <c r="F64" s="1446">
        <v>24.64</v>
      </c>
      <c r="G64" s="1446">
        <v>17</v>
      </c>
      <c r="H64" s="1447">
        <v>0.2</v>
      </c>
      <c r="I64" s="1448">
        <f>PRODUCT(C64:H64)</f>
        <v>83.78</v>
      </c>
      <c r="J64" s="1449"/>
      <c r="K64" s="1439"/>
      <c r="L64" s="1439"/>
      <c r="M64" s="1439"/>
      <c r="N64" s="1439"/>
      <c r="O64" s="1439"/>
      <c r="P64" s="1439"/>
      <c r="Q64" s="1439"/>
      <c r="R64" s="1439"/>
      <c r="S64" s="1439"/>
      <c r="T64" s="1439"/>
      <c r="U64" s="1439"/>
      <c r="V64" s="1439"/>
      <c r="W64" s="1439"/>
      <c r="X64" s="1439"/>
      <c r="Y64" s="1439"/>
      <c r="Z64" s="1439"/>
      <c r="AA64" s="1439"/>
      <c r="AB64" s="1439"/>
      <c r="AC64" s="1439"/>
      <c r="AD64" s="1439"/>
      <c r="AE64" s="1439"/>
      <c r="AF64" s="1439"/>
      <c r="AG64" s="1439"/>
    </row>
    <row r="65" spans="1:33" ht="15.75" customHeight="1">
      <c r="A65" s="1443"/>
      <c r="B65" s="1450" t="s">
        <v>7042</v>
      </c>
      <c r="C65" s="1445">
        <v>2</v>
      </c>
      <c r="D65" s="1445" t="s">
        <v>3364</v>
      </c>
      <c r="E65" s="1445">
        <v>1</v>
      </c>
      <c r="F65" s="1446">
        <v>34.5</v>
      </c>
      <c r="G65" s="1446">
        <v>6</v>
      </c>
      <c r="H65" s="1447">
        <v>0.2</v>
      </c>
      <c r="I65" s="1448">
        <f>PRODUCT(C65:H65)</f>
        <v>82.8</v>
      </c>
      <c r="J65" s="1449"/>
      <c r="K65" s="1439"/>
      <c r="L65" s="1439"/>
      <c r="M65" s="1439"/>
      <c r="N65" s="1439"/>
      <c r="O65" s="1439"/>
      <c r="P65" s="1439"/>
      <c r="Q65" s="1439"/>
      <c r="R65" s="1439"/>
      <c r="S65" s="1439"/>
      <c r="T65" s="1439"/>
      <c r="U65" s="1439"/>
      <c r="V65" s="1439"/>
      <c r="W65" s="1439"/>
      <c r="X65" s="1439"/>
      <c r="Y65" s="1439"/>
      <c r="Z65" s="1439"/>
      <c r="AA65" s="1439"/>
      <c r="AB65" s="1439"/>
      <c r="AC65" s="1439"/>
      <c r="AD65" s="1439"/>
      <c r="AE65" s="1439"/>
      <c r="AF65" s="1463"/>
      <c r="AG65" s="1463"/>
    </row>
    <row r="66" spans="1:33" ht="15.75" customHeight="1">
      <c r="A66" s="1443"/>
      <c r="B66" s="1450" t="s">
        <v>7043</v>
      </c>
      <c r="C66" s="1445">
        <v>1</v>
      </c>
      <c r="D66" s="1445" t="s">
        <v>3364</v>
      </c>
      <c r="E66" s="1445">
        <v>1</v>
      </c>
      <c r="F66" s="1446">
        <v>17</v>
      </c>
      <c r="G66" s="1446">
        <v>6</v>
      </c>
      <c r="H66" s="1447">
        <v>0.2</v>
      </c>
      <c r="I66" s="1448">
        <f>PRODUCT(C66:H66)</f>
        <v>20.399999999999999</v>
      </c>
      <c r="J66" s="1449"/>
      <c r="K66" s="1439"/>
      <c r="L66" s="1439"/>
      <c r="M66" s="1439"/>
      <c r="N66" s="1439"/>
      <c r="O66" s="1439"/>
      <c r="P66" s="1439"/>
      <c r="Q66" s="1439"/>
      <c r="R66" s="1439"/>
      <c r="S66" s="1439"/>
      <c r="T66" s="1439"/>
      <c r="U66" s="1439"/>
      <c r="V66" s="1439"/>
      <c r="W66" s="1439"/>
      <c r="X66" s="1439"/>
      <c r="Y66" s="1439"/>
      <c r="Z66" s="1439"/>
      <c r="AA66" s="1439"/>
      <c r="AB66" s="1439"/>
      <c r="AC66" s="1439"/>
      <c r="AD66" s="1439"/>
      <c r="AE66" s="1439"/>
      <c r="AF66" s="1463"/>
      <c r="AG66" s="1463"/>
    </row>
    <row r="67" spans="1:33" ht="15.75" customHeight="1">
      <c r="A67" s="1443"/>
      <c r="B67" s="1450"/>
      <c r="C67" s="1445"/>
      <c r="D67" s="1445"/>
      <c r="E67" s="1445"/>
      <c r="F67" s="1446"/>
      <c r="G67" s="1458" t="s">
        <v>104</v>
      </c>
      <c r="H67" s="1447"/>
      <c r="I67" s="1459">
        <f>SUM(I52:I66)</f>
        <v>223.59</v>
      </c>
      <c r="J67" s="1449"/>
      <c r="K67" s="1439" t="e">
        <f>#REF!-0.2-0.125-0.3-0.15</f>
        <v>#REF!</v>
      </c>
      <c r="L67" s="1439"/>
      <c r="M67" s="1439"/>
      <c r="N67" s="1439"/>
      <c r="O67" s="1439"/>
      <c r="P67" s="1439"/>
      <c r="Q67" s="1439"/>
      <c r="R67" s="1439"/>
      <c r="S67" s="1439"/>
      <c r="T67" s="1439"/>
      <c r="U67" s="1439"/>
      <c r="V67" s="1439"/>
      <c r="W67" s="1439"/>
      <c r="X67" s="1439"/>
      <c r="Y67" s="1439"/>
      <c r="Z67" s="1439"/>
      <c r="AA67" s="1439"/>
      <c r="AB67" s="1439"/>
      <c r="AC67" s="1439"/>
      <c r="AD67" s="1439"/>
      <c r="AE67" s="1439"/>
      <c r="AF67" s="1439"/>
      <c r="AG67" s="1439"/>
    </row>
    <row r="68" spans="1:33" ht="15.75" customHeight="1">
      <c r="A68" s="1443"/>
      <c r="B68" s="1450"/>
      <c r="C68" s="1445"/>
      <c r="D68" s="1445"/>
      <c r="E68" s="1445"/>
      <c r="F68" s="1446"/>
      <c r="G68" s="1446"/>
      <c r="H68" s="1460" t="s">
        <v>2981</v>
      </c>
      <c r="I68" s="1459">
        <f>CEILING(I67,0.1)</f>
        <v>223.6</v>
      </c>
      <c r="J68" s="1449" t="s">
        <v>5</v>
      </c>
      <c r="K68" s="1439"/>
      <c r="L68" s="1439"/>
      <c r="M68" s="1439"/>
      <c r="N68" s="1439"/>
      <c r="O68" s="1439"/>
      <c r="P68" s="1439"/>
      <c r="Q68" s="1439"/>
      <c r="R68" s="1439"/>
      <c r="S68" s="1439"/>
      <c r="T68" s="1439"/>
      <c r="U68" s="1439"/>
      <c r="V68" s="1439"/>
      <c r="W68" s="1439"/>
      <c r="X68" s="1439"/>
      <c r="Y68" s="1439"/>
      <c r="Z68" s="1439"/>
      <c r="AA68" s="1439"/>
      <c r="AB68" s="1439"/>
      <c r="AC68" s="1439"/>
      <c r="AD68" s="1439"/>
      <c r="AE68" s="1439"/>
      <c r="AF68" s="1439"/>
      <c r="AG68" s="1439"/>
    </row>
    <row r="69" spans="1:33" ht="15.75" customHeight="1">
      <c r="A69" s="1443">
        <v>3.1</v>
      </c>
      <c r="B69" s="1444" t="s">
        <v>7044</v>
      </c>
      <c r="C69" s="1445"/>
      <c r="D69" s="1445"/>
      <c r="E69" s="1445"/>
      <c r="F69" s="1446"/>
      <c r="G69" s="1446"/>
      <c r="H69" s="1447"/>
      <c r="I69" s="1448"/>
      <c r="J69" s="1449"/>
      <c r="K69" s="1439"/>
      <c r="L69" s="1439"/>
      <c r="M69" s="1439"/>
      <c r="N69" s="1439"/>
      <c r="O69" s="1439"/>
      <c r="P69" s="1439"/>
      <c r="Q69" s="1439"/>
      <c r="R69" s="1439"/>
      <c r="S69" s="1439"/>
      <c r="T69" s="1439"/>
      <c r="U69" s="1439"/>
      <c r="V69" s="1439"/>
      <c r="W69" s="1439"/>
      <c r="X69" s="1439"/>
      <c r="Y69" s="1439"/>
      <c r="Z69" s="1439"/>
      <c r="AA69" s="1439"/>
      <c r="AB69" s="1439"/>
      <c r="AC69" s="1439"/>
      <c r="AD69" s="1439"/>
      <c r="AE69" s="1439"/>
      <c r="AF69" s="1439"/>
      <c r="AG69" s="1439"/>
    </row>
    <row r="70" spans="1:33" ht="15.75" customHeight="1">
      <c r="A70" s="1443"/>
      <c r="B70" s="1450" t="s">
        <v>6521</v>
      </c>
      <c r="C70" s="1445">
        <v>1</v>
      </c>
      <c r="D70" s="1445" t="s">
        <v>3364</v>
      </c>
      <c r="E70" s="1445">
        <v>5</v>
      </c>
      <c r="F70" s="1446">
        <f>2.6+0.15</f>
        <v>2.75</v>
      </c>
      <c r="G70" s="1446">
        <v>2.75</v>
      </c>
      <c r="H70" s="1447">
        <v>0.1</v>
      </c>
      <c r="I70" s="1448">
        <f t="shared" ref="I70:I76" si="4">PRODUCT(C70:H70)</f>
        <v>3.78</v>
      </c>
      <c r="J70" s="1449"/>
      <c r="K70" s="1439"/>
      <c r="L70" s="1439"/>
      <c r="M70" s="1439"/>
      <c r="N70" s="1439"/>
      <c r="O70" s="1439"/>
      <c r="P70" s="1439"/>
      <c r="Q70" s="1439"/>
      <c r="R70" s="1439"/>
      <c r="S70" s="1439"/>
      <c r="T70" s="1439"/>
      <c r="U70" s="1439"/>
      <c r="V70" s="1439"/>
      <c r="W70" s="1439"/>
      <c r="X70" s="1439"/>
      <c r="Y70" s="1439"/>
      <c r="Z70" s="1439"/>
      <c r="AA70" s="1439"/>
      <c r="AB70" s="1439"/>
      <c r="AC70" s="1439"/>
      <c r="AD70" s="1439"/>
      <c r="AE70" s="1439"/>
      <c r="AF70" s="1439"/>
      <c r="AG70" s="1439"/>
    </row>
    <row r="71" spans="1:33" ht="15.75" customHeight="1">
      <c r="A71" s="1443"/>
      <c r="B71" s="1450" t="s">
        <v>7034</v>
      </c>
      <c r="C71" s="1445">
        <v>1</v>
      </c>
      <c r="D71" s="1445" t="s">
        <v>3364</v>
      </c>
      <c r="E71" s="1445">
        <v>7</v>
      </c>
      <c r="F71" s="1446">
        <v>3.15</v>
      </c>
      <c r="G71" s="1446">
        <v>3.15</v>
      </c>
      <c r="H71" s="1447">
        <v>0.1</v>
      </c>
      <c r="I71" s="1448">
        <f t="shared" si="4"/>
        <v>6.95</v>
      </c>
      <c r="J71" s="1449"/>
      <c r="K71" s="1439"/>
      <c r="L71" s="1439"/>
      <c r="M71" s="1439"/>
      <c r="N71" s="1439"/>
      <c r="O71" s="1439"/>
      <c r="P71" s="1439"/>
      <c r="Q71" s="1439"/>
      <c r="R71" s="1439"/>
      <c r="S71" s="1439"/>
      <c r="T71" s="1439"/>
      <c r="U71" s="1439"/>
      <c r="V71" s="1439"/>
      <c r="W71" s="1439"/>
      <c r="X71" s="1439"/>
      <c r="Y71" s="1439"/>
      <c r="Z71" s="1439"/>
      <c r="AA71" s="1439"/>
      <c r="AB71" s="1439"/>
      <c r="AC71" s="1439"/>
      <c r="AD71" s="1439"/>
      <c r="AE71" s="1439"/>
      <c r="AF71" s="1439"/>
      <c r="AG71" s="1439"/>
    </row>
    <row r="72" spans="1:33" ht="15.75" customHeight="1">
      <c r="A72" s="1443"/>
      <c r="B72" s="1450" t="s">
        <v>7035</v>
      </c>
      <c r="C72" s="1445">
        <v>1</v>
      </c>
      <c r="D72" s="1445" t="s">
        <v>3364</v>
      </c>
      <c r="E72" s="1445">
        <v>6</v>
      </c>
      <c r="F72" s="1446">
        <v>3.3</v>
      </c>
      <c r="G72" s="1446">
        <v>3.3</v>
      </c>
      <c r="H72" s="1447">
        <v>0.1</v>
      </c>
      <c r="I72" s="1448">
        <f t="shared" si="4"/>
        <v>6.53</v>
      </c>
      <c r="J72" s="1449"/>
      <c r="K72" s="1439"/>
      <c r="L72" s="1439"/>
      <c r="M72" s="1439"/>
      <c r="N72" s="1439"/>
      <c r="O72" s="1439"/>
      <c r="P72" s="1439"/>
      <c r="Q72" s="1439"/>
      <c r="R72" s="1439"/>
      <c r="S72" s="1439"/>
      <c r="T72" s="1439"/>
      <c r="U72" s="1439"/>
      <c r="V72" s="1439"/>
      <c r="W72" s="1439"/>
      <c r="X72" s="1439"/>
      <c r="Y72" s="1439"/>
      <c r="Z72" s="1439"/>
      <c r="AA72" s="1439"/>
      <c r="AB72" s="1439"/>
      <c r="AC72" s="1439"/>
      <c r="AD72" s="1439"/>
      <c r="AE72" s="1439"/>
      <c r="AF72" s="1439"/>
      <c r="AG72" s="1439"/>
    </row>
    <row r="73" spans="1:33" ht="15.75" customHeight="1">
      <c r="A73" s="1443"/>
      <c r="B73" s="1450" t="s">
        <v>7036</v>
      </c>
      <c r="C73" s="1445">
        <v>1</v>
      </c>
      <c r="D73" s="1445" t="s">
        <v>3364</v>
      </c>
      <c r="E73" s="1445">
        <v>3</v>
      </c>
      <c r="F73" s="1446">
        <v>3.65</v>
      </c>
      <c r="G73" s="1446">
        <v>3.65</v>
      </c>
      <c r="H73" s="1447">
        <v>0.1</v>
      </c>
      <c r="I73" s="1448">
        <f t="shared" si="4"/>
        <v>4</v>
      </c>
      <c r="J73" s="1449"/>
      <c r="K73" s="1439"/>
      <c r="L73" s="1439"/>
      <c r="M73" s="1439"/>
      <c r="N73" s="1439"/>
      <c r="O73" s="1439"/>
      <c r="P73" s="1439"/>
      <c r="Q73" s="1439"/>
      <c r="R73" s="1439"/>
      <c r="S73" s="1439"/>
      <c r="T73" s="1439"/>
      <c r="U73" s="1439"/>
      <c r="V73" s="1439"/>
      <c r="W73" s="1439"/>
      <c r="X73" s="1439"/>
      <c r="Y73" s="1439"/>
      <c r="Z73" s="1439"/>
      <c r="AA73" s="1439"/>
      <c r="AB73" s="1439"/>
      <c r="AC73" s="1439"/>
      <c r="AD73" s="1439"/>
      <c r="AE73" s="1439"/>
      <c r="AF73" s="1439"/>
      <c r="AG73" s="1439"/>
    </row>
    <row r="74" spans="1:33" ht="15.75" customHeight="1">
      <c r="A74" s="1443"/>
      <c r="B74" s="1452" t="s">
        <v>7384</v>
      </c>
      <c r="C74" s="1445">
        <v>1</v>
      </c>
      <c r="D74" s="1445" t="s">
        <v>3364</v>
      </c>
      <c r="E74" s="1445">
        <v>4</v>
      </c>
      <c r="F74" s="1446">
        <v>3.95</v>
      </c>
      <c r="G74" s="1446">
        <v>3.95</v>
      </c>
      <c r="H74" s="1447">
        <v>0.1</v>
      </c>
      <c r="I74" s="1448">
        <f t="shared" si="4"/>
        <v>6.24</v>
      </c>
      <c r="J74" s="1449"/>
      <c r="K74" s="1439"/>
      <c r="L74" s="1439"/>
      <c r="M74" s="1439"/>
      <c r="N74" s="1439"/>
      <c r="O74" s="1439"/>
      <c r="P74" s="1439"/>
      <c r="Q74" s="1439"/>
      <c r="R74" s="1439"/>
      <c r="S74" s="1439"/>
      <c r="T74" s="1439"/>
      <c r="U74" s="1439"/>
      <c r="V74" s="1439"/>
      <c r="W74" s="1439"/>
      <c r="X74" s="1439"/>
      <c r="Y74" s="1439"/>
      <c r="Z74" s="1439"/>
      <c r="AA74" s="1439"/>
      <c r="AB74" s="1439"/>
      <c r="AC74" s="1439"/>
      <c r="AD74" s="1439"/>
      <c r="AE74" s="1439"/>
      <c r="AF74" s="1439"/>
      <c r="AG74" s="1439"/>
    </row>
    <row r="75" spans="1:33" ht="15.75" customHeight="1">
      <c r="A75" s="1443"/>
      <c r="B75" s="1452" t="s">
        <v>7385</v>
      </c>
      <c r="C75" s="1445">
        <v>1</v>
      </c>
      <c r="D75" s="1445" t="s">
        <v>3364</v>
      </c>
      <c r="E75" s="1445">
        <v>3</v>
      </c>
      <c r="F75" s="1446">
        <v>3.55</v>
      </c>
      <c r="G75" s="1446">
        <f>4.225+0.15</f>
        <v>4.375</v>
      </c>
      <c r="H75" s="1447">
        <v>0.1</v>
      </c>
      <c r="I75" s="1448">
        <f t="shared" si="4"/>
        <v>4.66</v>
      </c>
      <c r="J75" s="1449"/>
      <c r="K75" s="1439"/>
      <c r="L75" s="1439"/>
      <c r="M75" s="1439"/>
      <c r="N75" s="1439"/>
      <c r="O75" s="1439"/>
      <c r="P75" s="1439"/>
      <c r="Q75" s="1439"/>
      <c r="R75" s="1439"/>
      <c r="S75" s="1439"/>
      <c r="T75" s="1439"/>
      <c r="U75" s="1439"/>
      <c r="V75" s="1439"/>
      <c r="W75" s="1439"/>
      <c r="X75" s="1439"/>
      <c r="Y75" s="1439"/>
      <c r="Z75" s="1439"/>
      <c r="AA75" s="1439"/>
      <c r="AB75" s="1439"/>
      <c r="AC75" s="1439"/>
      <c r="AD75" s="1439"/>
      <c r="AE75" s="1439"/>
      <c r="AF75" s="1439"/>
      <c r="AG75" s="1439"/>
    </row>
    <row r="76" spans="1:33" ht="15.75" customHeight="1">
      <c r="A76" s="1443"/>
      <c r="B76" s="1452" t="s">
        <v>7386</v>
      </c>
      <c r="C76" s="1445">
        <v>1</v>
      </c>
      <c r="D76" s="1453" t="s">
        <v>3364</v>
      </c>
      <c r="E76" s="1445">
        <v>2</v>
      </c>
      <c r="F76" s="1446">
        <f>2.977+0.15</f>
        <v>3.1269999999999998</v>
      </c>
      <c r="G76" s="1454">
        <f>5.415+0.15</f>
        <v>5.5650000000000004</v>
      </c>
      <c r="H76" s="1447">
        <v>0.1</v>
      </c>
      <c r="I76" s="1448">
        <f t="shared" si="4"/>
        <v>3.48</v>
      </c>
      <c r="J76" s="1449"/>
      <c r="K76" s="1439"/>
      <c r="L76" s="1439"/>
      <c r="M76" s="1439"/>
      <c r="N76" s="1439"/>
      <c r="O76" s="1439"/>
      <c r="P76" s="1439"/>
      <c r="Q76" s="1439"/>
      <c r="R76" s="1439"/>
      <c r="S76" s="1439"/>
      <c r="T76" s="1439"/>
      <c r="U76" s="1439"/>
      <c r="V76" s="1439"/>
      <c r="W76" s="1439"/>
      <c r="X76" s="1439"/>
      <c r="Y76" s="1439"/>
      <c r="Z76" s="1439"/>
      <c r="AA76" s="1439"/>
      <c r="AB76" s="1439"/>
      <c r="AC76" s="1439"/>
      <c r="AD76" s="1439"/>
      <c r="AE76" s="1439"/>
      <c r="AF76" s="1439"/>
      <c r="AG76" s="1439"/>
    </row>
    <row r="77" spans="1:33" ht="15.75" customHeight="1">
      <c r="A77" s="1443"/>
      <c r="B77" s="1455" t="s">
        <v>7387</v>
      </c>
      <c r="C77" s="1445"/>
      <c r="D77" s="1445"/>
      <c r="E77" s="1445"/>
      <c r="F77" s="1446"/>
      <c r="G77" s="1446"/>
      <c r="H77" s="1447"/>
      <c r="I77" s="1448"/>
      <c r="J77" s="1449"/>
      <c r="K77" s="1439"/>
      <c r="L77" s="1439"/>
      <c r="M77" s="1439"/>
      <c r="N77" s="1439"/>
      <c r="O77" s="1439"/>
      <c r="P77" s="1439"/>
      <c r="Q77" s="1439"/>
      <c r="R77" s="1439"/>
      <c r="S77" s="1439"/>
      <c r="T77" s="1439"/>
      <c r="U77" s="1439"/>
      <c r="V77" s="1439"/>
      <c r="W77" s="1439"/>
      <c r="X77" s="1439"/>
      <c r="Y77" s="1439"/>
      <c r="Z77" s="1439"/>
      <c r="AA77" s="1439"/>
      <c r="AB77" s="1439"/>
      <c r="AC77" s="1439"/>
      <c r="AD77" s="1439"/>
      <c r="AE77" s="1439"/>
      <c r="AF77" s="1439"/>
      <c r="AG77" s="1439"/>
    </row>
    <row r="78" spans="1:33" ht="15.75" customHeight="1">
      <c r="A78" s="1443"/>
      <c r="B78" s="1452" t="s">
        <v>7388</v>
      </c>
      <c r="C78" s="1445">
        <v>1</v>
      </c>
      <c r="D78" s="1445" t="s">
        <v>3364</v>
      </c>
      <c r="E78" s="1445">
        <v>4</v>
      </c>
      <c r="F78" s="1446">
        <v>27.89</v>
      </c>
      <c r="G78" s="1446">
        <v>0.38</v>
      </c>
      <c r="H78" s="1447">
        <v>0.1</v>
      </c>
      <c r="I78" s="1448">
        <f t="shared" ref="I78:I91" si="5">PRODUCT(C78:H78)</f>
        <v>4.24</v>
      </c>
      <c r="J78" s="1449"/>
      <c r="K78" s="1439"/>
      <c r="L78" s="1439"/>
      <c r="M78" s="1439"/>
      <c r="N78" s="1439"/>
      <c r="O78" s="1439"/>
      <c r="P78" s="1439"/>
      <c r="Q78" s="1439"/>
      <c r="R78" s="1439"/>
      <c r="S78" s="1439"/>
      <c r="T78" s="1439"/>
      <c r="U78" s="1439"/>
      <c r="V78" s="1439"/>
      <c r="W78" s="1439"/>
      <c r="X78" s="1439"/>
      <c r="Y78" s="1439"/>
      <c r="Z78" s="1439"/>
      <c r="AA78" s="1439"/>
      <c r="AB78" s="1439"/>
      <c r="AC78" s="1439"/>
      <c r="AD78" s="1439"/>
      <c r="AE78" s="1439"/>
      <c r="AF78" s="1439"/>
      <c r="AG78" s="1439"/>
    </row>
    <row r="79" spans="1:33" ht="15.75" customHeight="1">
      <c r="A79" s="1443"/>
      <c r="B79" s="1452" t="s">
        <v>7389</v>
      </c>
      <c r="C79" s="1445">
        <v>1</v>
      </c>
      <c r="D79" s="1445" t="s">
        <v>3364</v>
      </c>
      <c r="E79" s="1445">
        <v>1</v>
      </c>
      <c r="F79" s="1446">
        <f>2.53+0.46</f>
        <v>2.99</v>
      </c>
      <c r="G79" s="1446">
        <v>0.38</v>
      </c>
      <c r="H79" s="1447">
        <v>0.1</v>
      </c>
      <c r="I79" s="1448">
        <f t="shared" si="5"/>
        <v>0.11</v>
      </c>
      <c r="J79" s="1449"/>
      <c r="K79" s="1439"/>
      <c r="L79" s="1439"/>
      <c r="M79" s="1439"/>
      <c r="N79" s="1439"/>
      <c r="O79" s="1439"/>
      <c r="P79" s="1439"/>
      <c r="Q79" s="1439"/>
      <c r="R79" s="1439"/>
      <c r="S79" s="1439"/>
      <c r="T79" s="1439"/>
      <c r="U79" s="1439"/>
      <c r="V79" s="1439"/>
      <c r="W79" s="1439"/>
      <c r="X79" s="1439"/>
      <c r="Y79" s="1439"/>
      <c r="Z79" s="1439"/>
      <c r="AA79" s="1439"/>
      <c r="AB79" s="1439"/>
      <c r="AC79" s="1439"/>
      <c r="AD79" s="1439"/>
      <c r="AE79" s="1439"/>
      <c r="AF79" s="1439"/>
      <c r="AG79" s="1439"/>
    </row>
    <row r="80" spans="1:33" ht="15.75" customHeight="1">
      <c r="A80" s="1443"/>
      <c r="B80" s="1452" t="s">
        <v>7390</v>
      </c>
      <c r="C80" s="1445">
        <v>1</v>
      </c>
      <c r="D80" s="1453" t="s">
        <v>3827</v>
      </c>
      <c r="E80" s="1445">
        <v>1</v>
      </c>
      <c r="F80" s="1446">
        <f>4.765+1.13+2.53+0.23</f>
        <v>8.6549999999999994</v>
      </c>
      <c r="G80" s="1446">
        <v>0.38</v>
      </c>
      <c r="H80" s="1447">
        <v>0.1</v>
      </c>
      <c r="I80" s="1448">
        <f t="shared" si="5"/>
        <v>0.33</v>
      </c>
      <c r="J80" s="1449"/>
      <c r="K80" s="1439"/>
      <c r="L80" s="1439"/>
      <c r="M80" s="1439"/>
      <c r="N80" s="1439"/>
      <c r="O80" s="1439"/>
      <c r="P80" s="1439"/>
      <c r="Q80" s="1439"/>
      <c r="R80" s="1439"/>
      <c r="S80" s="1439"/>
      <c r="T80" s="1439"/>
      <c r="U80" s="1439"/>
      <c r="V80" s="1439"/>
      <c r="W80" s="1439"/>
      <c r="X80" s="1439"/>
      <c r="Y80" s="1439"/>
      <c r="Z80" s="1439"/>
      <c r="AA80" s="1439"/>
      <c r="AB80" s="1439"/>
      <c r="AC80" s="1439"/>
      <c r="AD80" s="1439"/>
      <c r="AE80" s="1439"/>
      <c r="AF80" s="1439"/>
      <c r="AG80" s="1439"/>
    </row>
    <row r="81" spans="1:33" ht="15.75" customHeight="1">
      <c r="A81" s="1443"/>
      <c r="B81" s="1456" t="s">
        <v>7038</v>
      </c>
      <c r="C81" s="1445"/>
      <c r="D81" s="1445"/>
      <c r="E81" s="1445"/>
      <c r="F81" s="1446"/>
      <c r="G81" s="1446"/>
      <c r="H81" s="1447"/>
      <c r="I81" s="1448">
        <f t="shared" si="5"/>
        <v>0</v>
      </c>
      <c r="J81" s="1449"/>
      <c r="K81" s="1439"/>
      <c r="L81" s="1439"/>
      <c r="M81" s="1439"/>
      <c r="N81" s="1439"/>
      <c r="O81" s="1439"/>
      <c r="P81" s="1439"/>
      <c r="Q81" s="1439"/>
      <c r="R81" s="1439"/>
      <c r="S81" s="1439"/>
      <c r="T81" s="1439"/>
      <c r="U81" s="1439"/>
      <c r="V81" s="1439"/>
      <c r="W81" s="1439"/>
      <c r="X81" s="1439"/>
      <c r="Y81" s="1439"/>
      <c r="Z81" s="1439"/>
      <c r="AA81" s="1439"/>
      <c r="AB81" s="1439"/>
      <c r="AC81" s="1439"/>
      <c r="AD81" s="1439"/>
      <c r="AE81" s="1439"/>
      <c r="AF81" s="1439"/>
      <c r="AG81" s="1439"/>
    </row>
    <row r="82" spans="1:33" ht="15.75" customHeight="1">
      <c r="A82" s="1443"/>
      <c r="B82" s="1452" t="s">
        <v>7037</v>
      </c>
      <c r="C82" s="1445">
        <v>1</v>
      </c>
      <c r="D82" s="1445" t="s">
        <v>3364</v>
      </c>
      <c r="E82" s="1445">
        <v>7</v>
      </c>
      <c r="F82" s="1446">
        <v>18.079999999999998</v>
      </c>
      <c r="G82" s="1446">
        <v>0.38</v>
      </c>
      <c r="H82" s="1447">
        <v>0.1</v>
      </c>
      <c r="I82" s="1448">
        <f t="shared" si="5"/>
        <v>4.8099999999999996</v>
      </c>
      <c r="J82" s="1449"/>
      <c r="K82" s="1439"/>
      <c r="L82" s="1439"/>
      <c r="M82" s="1439"/>
      <c r="N82" s="1439"/>
      <c r="O82" s="1439"/>
      <c r="P82" s="1439"/>
      <c r="Q82" s="1439"/>
      <c r="R82" s="1439"/>
      <c r="S82" s="1439"/>
      <c r="T82" s="1439"/>
      <c r="U82" s="1439"/>
      <c r="V82" s="1439"/>
      <c r="W82" s="1439"/>
      <c r="X82" s="1439"/>
      <c r="Y82" s="1439"/>
      <c r="Z82" s="1439"/>
      <c r="AA82" s="1439"/>
      <c r="AB82" s="1439"/>
      <c r="AC82" s="1439"/>
      <c r="AD82" s="1439"/>
      <c r="AE82" s="1439"/>
      <c r="AF82" s="1439"/>
      <c r="AG82" s="1439"/>
    </row>
    <row r="83" spans="1:33" ht="15.75" customHeight="1">
      <c r="A83" s="1443"/>
      <c r="B83" s="1452" t="s">
        <v>7391</v>
      </c>
      <c r="C83" s="1445">
        <v>1</v>
      </c>
      <c r="D83" s="1445" t="s">
        <v>3364</v>
      </c>
      <c r="E83" s="1445">
        <v>4</v>
      </c>
      <c r="F83" s="1446">
        <v>1.54</v>
      </c>
      <c r="G83" s="1446">
        <v>0.38</v>
      </c>
      <c r="H83" s="1447">
        <v>0.1</v>
      </c>
      <c r="I83" s="1448">
        <f t="shared" si="5"/>
        <v>0.23</v>
      </c>
      <c r="J83" s="1449"/>
      <c r="K83" s="1439"/>
      <c r="L83" s="1439"/>
      <c r="M83" s="1439"/>
      <c r="N83" s="1439"/>
      <c r="O83" s="1439"/>
      <c r="P83" s="1439"/>
      <c r="Q83" s="1439"/>
      <c r="R83" s="1439"/>
      <c r="S83" s="1439"/>
      <c r="T83" s="1439"/>
      <c r="U83" s="1439"/>
      <c r="V83" s="1439"/>
      <c r="W83" s="1439"/>
      <c r="X83" s="1439"/>
      <c r="Y83" s="1439"/>
      <c r="Z83" s="1439"/>
      <c r="AA83" s="1439"/>
      <c r="AB83" s="1439"/>
      <c r="AC83" s="1439"/>
      <c r="AD83" s="1439"/>
      <c r="AE83" s="1439"/>
      <c r="AF83" s="1439"/>
      <c r="AG83" s="1439"/>
    </row>
    <row r="84" spans="1:33" ht="15.75" customHeight="1">
      <c r="A84" s="1443"/>
      <c r="B84" s="1452" t="s">
        <v>7392</v>
      </c>
      <c r="C84" s="1445">
        <v>1</v>
      </c>
      <c r="D84" s="1445" t="s">
        <v>3364</v>
      </c>
      <c r="E84" s="1445">
        <v>1</v>
      </c>
      <c r="F84" s="1446">
        <v>2.3849999999999998</v>
      </c>
      <c r="G84" s="1446">
        <v>0.38</v>
      </c>
      <c r="H84" s="1447">
        <v>0.1</v>
      </c>
      <c r="I84" s="1448">
        <f t="shared" si="5"/>
        <v>0.09</v>
      </c>
      <c r="J84" s="1449"/>
      <c r="K84" s="1439"/>
      <c r="L84" s="1439"/>
      <c r="M84" s="1439"/>
      <c r="N84" s="1439"/>
      <c r="O84" s="1439"/>
      <c r="P84" s="1439"/>
      <c r="Q84" s="1439"/>
      <c r="R84" s="1439"/>
      <c r="S84" s="1439"/>
      <c r="T84" s="1439"/>
      <c r="U84" s="1439"/>
      <c r="V84" s="1439"/>
      <c r="W84" s="1439"/>
      <c r="X84" s="1439"/>
      <c r="Y84" s="1439"/>
      <c r="Z84" s="1439"/>
      <c r="AA84" s="1439"/>
      <c r="AB84" s="1439"/>
      <c r="AC84" s="1439"/>
      <c r="AD84" s="1439"/>
      <c r="AE84" s="1439"/>
      <c r="AF84" s="1439"/>
      <c r="AG84" s="1439"/>
    </row>
    <row r="85" spans="1:33" ht="15.75" customHeight="1">
      <c r="A85" s="1443"/>
      <c r="B85" s="1450" t="s">
        <v>7039</v>
      </c>
      <c r="C85" s="1445">
        <v>1</v>
      </c>
      <c r="D85" s="1445" t="s">
        <v>3364</v>
      </c>
      <c r="E85" s="1445">
        <v>1</v>
      </c>
      <c r="F85" s="1446">
        <f>8.82+0.46</f>
        <v>9.2799999999999994</v>
      </c>
      <c r="G85" s="1446">
        <v>0.23</v>
      </c>
      <c r="H85" s="1447">
        <v>0.1</v>
      </c>
      <c r="I85" s="1448">
        <f t="shared" si="5"/>
        <v>0.21</v>
      </c>
      <c r="J85" s="1449"/>
      <c r="K85" s="1439"/>
      <c r="L85" s="1439"/>
      <c r="M85" s="1439"/>
      <c r="N85" s="1439"/>
      <c r="O85" s="1439"/>
      <c r="P85" s="1439"/>
      <c r="Q85" s="1439"/>
      <c r="R85" s="1439"/>
      <c r="S85" s="1439"/>
      <c r="T85" s="1439"/>
      <c r="U85" s="1439"/>
      <c r="V85" s="1439"/>
      <c r="W85" s="1439"/>
      <c r="X85" s="1439"/>
      <c r="Y85" s="1439"/>
      <c r="Z85" s="1439"/>
      <c r="AA85" s="1439"/>
      <c r="AB85" s="1439"/>
      <c r="AC85" s="1439"/>
      <c r="AD85" s="1439"/>
      <c r="AE85" s="1439"/>
      <c r="AF85" s="1439"/>
      <c r="AG85" s="1439"/>
    </row>
    <row r="86" spans="1:33" ht="15.75" customHeight="1">
      <c r="A86" s="1443"/>
      <c r="B86" s="1450" t="s">
        <v>7040</v>
      </c>
      <c r="C86" s="1445">
        <v>1</v>
      </c>
      <c r="D86" s="1445" t="s">
        <v>3364</v>
      </c>
      <c r="E86" s="1445">
        <v>1</v>
      </c>
      <c r="F86" s="1446">
        <v>3.3460000000000001</v>
      </c>
      <c r="G86" s="1446">
        <v>0.23</v>
      </c>
      <c r="H86" s="1447">
        <v>0.1</v>
      </c>
      <c r="I86" s="1448">
        <f t="shared" si="5"/>
        <v>0.08</v>
      </c>
      <c r="J86" s="1449"/>
      <c r="K86" s="1439">
        <f>1.75+0.9</f>
        <v>2.65</v>
      </c>
      <c r="L86" s="1439"/>
      <c r="M86" s="1439"/>
      <c r="N86" s="1439"/>
      <c r="O86" s="1439"/>
      <c r="P86" s="1439"/>
      <c r="Q86" s="1439"/>
      <c r="R86" s="1439"/>
      <c r="S86" s="1439"/>
      <c r="T86" s="1439"/>
      <c r="U86" s="1439"/>
      <c r="V86" s="1439"/>
      <c r="W86" s="1439"/>
      <c r="X86" s="1439"/>
      <c r="Y86" s="1439"/>
      <c r="Z86" s="1439"/>
      <c r="AA86" s="1439"/>
      <c r="AB86" s="1439"/>
      <c r="AC86" s="1439"/>
      <c r="AD86" s="1439"/>
      <c r="AE86" s="1439"/>
      <c r="AF86" s="1439"/>
      <c r="AG86" s="1439"/>
    </row>
    <row r="87" spans="1:33" ht="15.75" customHeight="1">
      <c r="A87" s="1443"/>
      <c r="B87" s="1452" t="s">
        <v>7393</v>
      </c>
      <c r="C87" s="1445">
        <v>1</v>
      </c>
      <c r="D87" s="1453" t="s">
        <v>3364</v>
      </c>
      <c r="E87" s="1445">
        <v>6</v>
      </c>
      <c r="F87" s="1446">
        <f>0.9+0.15</f>
        <v>1.05</v>
      </c>
      <c r="G87" s="1446">
        <v>1.05</v>
      </c>
      <c r="H87" s="1447">
        <v>0.1</v>
      </c>
      <c r="I87" s="1448">
        <f t="shared" si="5"/>
        <v>0.66</v>
      </c>
      <c r="J87" s="1449"/>
      <c r="K87" s="1439"/>
      <c r="L87" s="1439"/>
      <c r="M87" s="1439"/>
      <c r="N87" s="1439"/>
      <c r="O87" s="1439"/>
      <c r="P87" s="1439"/>
      <c r="Q87" s="1439"/>
      <c r="R87" s="1439"/>
      <c r="S87" s="1439"/>
      <c r="T87" s="1439"/>
      <c r="U87" s="1439"/>
      <c r="V87" s="1439"/>
      <c r="W87" s="1439"/>
      <c r="X87" s="1439"/>
      <c r="Y87" s="1439"/>
      <c r="Z87" s="1439"/>
      <c r="AA87" s="1439"/>
      <c r="AB87" s="1439"/>
      <c r="AC87" s="1439"/>
      <c r="AD87" s="1439"/>
      <c r="AE87" s="1439"/>
      <c r="AF87" s="1439"/>
      <c r="AG87" s="1439"/>
    </row>
    <row r="88" spans="1:33" ht="15.75" customHeight="1">
      <c r="A88" s="1443"/>
      <c r="B88" s="1450" t="s">
        <v>3370</v>
      </c>
      <c r="C88" s="1445">
        <v>1</v>
      </c>
      <c r="D88" s="1445" t="s">
        <v>3364</v>
      </c>
      <c r="E88" s="1445">
        <v>1</v>
      </c>
      <c r="F88" s="1446">
        <f>0.6+0.23+0.15+0.23</f>
        <v>1.21</v>
      </c>
      <c r="G88" s="1446">
        <f>0.6+0.23+0.15+0.23</f>
        <v>1.21</v>
      </c>
      <c r="H88" s="1447">
        <v>0.1</v>
      </c>
      <c r="I88" s="1448">
        <f t="shared" si="5"/>
        <v>0.15</v>
      </c>
      <c r="J88" s="1449"/>
      <c r="K88" s="1439"/>
      <c r="L88" s="1439"/>
      <c r="M88" s="1439"/>
      <c r="N88" s="1439"/>
      <c r="O88" s="1439"/>
      <c r="P88" s="1439"/>
      <c r="Q88" s="1439"/>
      <c r="R88" s="1439"/>
      <c r="S88" s="1439"/>
      <c r="T88" s="1439"/>
      <c r="U88" s="1439"/>
      <c r="V88" s="1439"/>
      <c r="W88" s="1439"/>
      <c r="X88" s="1439"/>
      <c r="Y88" s="1439"/>
      <c r="Z88" s="1439"/>
      <c r="AA88" s="1439"/>
      <c r="AB88" s="1439"/>
      <c r="AC88" s="1439"/>
      <c r="AD88" s="1439"/>
      <c r="AE88" s="1439"/>
      <c r="AF88" s="1439"/>
      <c r="AG88" s="1439"/>
    </row>
    <row r="89" spans="1:33" ht="15.75" customHeight="1">
      <c r="A89" s="1443"/>
      <c r="B89" s="1450" t="s">
        <v>6525</v>
      </c>
      <c r="C89" s="1457">
        <v>0.5</v>
      </c>
      <c r="D89" s="1445" t="s">
        <v>3364</v>
      </c>
      <c r="E89" s="1445">
        <v>1</v>
      </c>
      <c r="F89" s="1446">
        <v>24.64</v>
      </c>
      <c r="G89" s="1446">
        <v>6</v>
      </c>
      <c r="H89" s="1447">
        <v>0.1</v>
      </c>
      <c r="I89" s="1448">
        <f t="shared" si="5"/>
        <v>7.39</v>
      </c>
      <c r="J89" s="1449"/>
      <c r="K89" s="1439"/>
      <c r="L89" s="1439"/>
      <c r="M89" s="1439"/>
      <c r="N89" s="1439"/>
      <c r="O89" s="1439"/>
      <c r="P89" s="1439"/>
      <c r="Q89" s="1439"/>
      <c r="R89" s="1439"/>
      <c r="S89" s="1439"/>
      <c r="T89" s="1439"/>
      <c r="U89" s="1439"/>
      <c r="V89" s="1439"/>
      <c r="W89" s="1439"/>
      <c r="X89" s="1439"/>
      <c r="Y89" s="1439"/>
      <c r="Z89" s="1439"/>
      <c r="AA89" s="1439"/>
      <c r="AB89" s="1439"/>
      <c r="AC89" s="1439"/>
      <c r="AD89" s="1439"/>
      <c r="AE89" s="1439"/>
      <c r="AF89" s="1439"/>
      <c r="AG89" s="1439"/>
    </row>
    <row r="90" spans="1:33" ht="15.75" customHeight="1">
      <c r="A90" s="1443"/>
      <c r="B90" s="1450" t="s">
        <v>7042</v>
      </c>
      <c r="C90" s="1445">
        <v>2</v>
      </c>
      <c r="D90" s="1445" t="s">
        <v>3364</v>
      </c>
      <c r="E90" s="1445">
        <v>1</v>
      </c>
      <c r="F90" s="1446">
        <v>34.5</v>
      </c>
      <c r="G90" s="1446">
        <v>6</v>
      </c>
      <c r="H90" s="1447">
        <v>0.15</v>
      </c>
      <c r="I90" s="1448">
        <f t="shared" si="5"/>
        <v>62.1</v>
      </c>
      <c r="J90" s="1449"/>
      <c r="K90" s="1439"/>
      <c r="L90" s="1439"/>
      <c r="M90" s="1439"/>
      <c r="N90" s="1439"/>
      <c r="O90" s="1439"/>
      <c r="P90" s="1439"/>
      <c r="Q90" s="1439"/>
      <c r="R90" s="1439"/>
      <c r="S90" s="1439"/>
      <c r="T90" s="1439"/>
      <c r="U90" s="1439"/>
      <c r="V90" s="1439"/>
      <c r="W90" s="1439"/>
      <c r="X90" s="1439"/>
      <c r="Y90" s="1439"/>
      <c r="Z90" s="1439"/>
      <c r="AA90" s="1439"/>
      <c r="AB90" s="1439"/>
      <c r="AC90" s="1439"/>
      <c r="AD90" s="1439"/>
      <c r="AE90" s="1439"/>
      <c r="AF90" s="1463"/>
      <c r="AG90" s="1463"/>
    </row>
    <row r="91" spans="1:33" ht="15.75" customHeight="1">
      <c r="A91" s="1443"/>
      <c r="B91" s="1450" t="s">
        <v>7043</v>
      </c>
      <c r="C91" s="1445">
        <v>1</v>
      </c>
      <c r="D91" s="1445" t="s">
        <v>3364</v>
      </c>
      <c r="E91" s="1445">
        <v>1</v>
      </c>
      <c r="F91" s="1446">
        <v>17</v>
      </c>
      <c r="G91" s="1446">
        <v>6</v>
      </c>
      <c r="H91" s="1447">
        <v>0.15</v>
      </c>
      <c r="I91" s="1448">
        <f t="shared" si="5"/>
        <v>15.3</v>
      </c>
      <c r="J91" s="1449"/>
      <c r="K91" s="1439"/>
      <c r="L91" s="1439"/>
      <c r="M91" s="1439"/>
      <c r="N91" s="1439"/>
      <c r="O91" s="1439"/>
      <c r="P91" s="1439"/>
      <c r="Q91" s="1439"/>
      <c r="R91" s="1439"/>
      <c r="S91" s="1439"/>
      <c r="T91" s="1439"/>
      <c r="U91" s="1439"/>
      <c r="V91" s="1439"/>
      <c r="W91" s="1439"/>
      <c r="X91" s="1439"/>
      <c r="Y91" s="1439"/>
      <c r="Z91" s="1439"/>
      <c r="AA91" s="1439"/>
      <c r="AB91" s="1439"/>
      <c r="AC91" s="1439"/>
      <c r="AD91" s="1439"/>
      <c r="AE91" s="1439"/>
      <c r="AF91" s="1463"/>
      <c r="AG91" s="1463"/>
    </row>
    <row r="92" spans="1:33" ht="15.75" customHeight="1">
      <c r="A92" s="1443"/>
      <c r="B92" s="1450"/>
      <c r="C92" s="1445"/>
      <c r="D92" s="1445"/>
      <c r="E92" s="1445"/>
      <c r="F92" s="1446"/>
      <c r="G92" s="1458" t="s">
        <v>104</v>
      </c>
      <c r="H92" s="1447"/>
      <c r="I92" s="1459">
        <f>SUM(I70:I91)</f>
        <v>131.34</v>
      </c>
      <c r="J92" s="1449"/>
      <c r="K92" s="1439"/>
      <c r="L92" s="1439"/>
      <c r="M92" s="1439"/>
      <c r="N92" s="1439"/>
      <c r="O92" s="1439"/>
      <c r="P92" s="1439"/>
      <c r="Q92" s="1439"/>
      <c r="R92" s="1439"/>
      <c r="S92" s="1439"/>
      <c r="T92" s="1439"/>
      <c r="U92" s="1439"/>
      <c r="V92" s="1439"/>
      <c r="W92" s="1439"/>
      <c r="X92" s="1439"/>
      <c r="Y92" s="1439"/>
      <c r="Z92" s="1439"/>
      <c r="AA92" s="1439"/>
      <c r="AB92" s="1439"/>
      <c r="AC92" s="1439"/>
      <c r="AD92" s="1439"/>
      <c r="AE92" s="1439"/>
      <c r="AF92" s="1439"/>
      <c r="AG92" s="1439"/>
    </row>
    <row r="93" spans="1:33" ht="15.75" customHeight="1">
      <c r="A93" s="1443"/>
      <c r="B93" s="1450"/>
      <c r="C93" s="1445"/>
      <c r="D93" s="1445"/>
      <c r="E93" s="1445"/>
      <c r="F93" s="1446"/>
      <c r="G93" s="1446"/>
      <c r="H93" s="1460" t="s">
        <v>2981</v>
      </c>
      <c r="I93" s="1459">
        <f>CEILING(I92,0.1)</f>
        <v>131.4</v>
      </c>
      <c r="J93" s="1449" t="s">
        <v>5</v>
      </c>
      <c r="K93" s="1439"/>
      <c r="L93" s="1439"/>
      <c r="M93" s="1439"/>
      <c r="N93" s="1439"/>
      <c r="O93" s="1439"/>
      <c r="P93" s="1439"/>
      <c r="Q93" s="1439"/>
      <c r="R93" s="1439"/>
      <c r="S93" s="1439"/>
      <c r="T93" s="1439"/>
      <c r="U93" s="1439"/>
      <c r="V93" s="1439"/>
      <c r="W93" s="1439"/>
      <c r="X93" s="1439"/>
      <c r="Y93" s="1439"/>
      <c r="Z93" s="1439"/>
      <c r="AA93" s="1439"/>
      <c r="AB93" s="1439"/>
      <c r="AC93" s="1439"/>
      <c r="AD93" s="1439"/>
      <c r="AE93" s="1439"/>
      <c r="AF93" s="1439"/>
      <c r="AG93" s="1439"/>
    </row>
    <row r="94" spans="1:33" ht="15.75" customHeight="1">
      <c r="A94" s="1443">
        <v>3.2</v>
      </c>
      <c r="B94" s="1444" t="s">
        <v>7045</v>
      </c>
      <c r="C94" s="1445"/>
      <c r="D94" s="1445"/>
      <c r="E94" s="1445"/>
      <c r="F94" s="1446"/>
      <c r="G94" s="1446"/>
      <c r="H94" s="1447"/>
      <c r="I94" s="1448"/>
      <c r="J94" s="1449"/>
      <c r="K94" s="1439"/>
      <c r="L94" s="1439"/>
      <c r="M94" s="1439"/>
      <c r="N94" s="1439"/>
      <c r="O94" s="1439"/>
      <c r="P94" s="1439"/>
      <c r="Q94" s="1439"/>
      <c r="R94" s="1439"/>
      <c r="S94" s="1439"/>
      <c r="T94" s="1439"/>
      <c r="U94" s="1439"/>
      <c r="V94" s="1439"/>
      <c r="W94" s="1439"/>
      <c r="X94" s="1439"/>
      <c r="Y94" s="1439"/>
      <c r="Z94" s="1439"/>
      <c r="AA94" s="1439"/>
      <c r="AB94" s="1439"/>
      <c r="AC94" s="1439"/>
      <c r="AD94" s="1439"/>
      <c r="AE94" s="1439"/>
      <c r="AF94" s="1439"/>
      <c r="AG94" s="1439"/>
    </row>
    <row r="95" spans="1:33" ht="15.75" customHeight="1">
      <c r="A95" s="1443"/>
      <c r="B95" s="1450" t="s">
        <v>7042</v>
      </c>
      <c r="C95" s="1445">
        <v>2</v>
      </c>
      <c r="D95" s="1445" t="s">
        <v>3364</v>
      </c>
      <c r="E95" s="1445">
        <v>1</v>
      </c>
      <c r="F95" s="1446">
        <v>34.5</v>
      </c>
      <c r="G95" s="1446">
        <v>6</v>
      </c>
      <c r="H95" s="1447">
        <v>0.2</v>
      </c>
      <c r="I95" s="1448">
        <f>PRODUCT(C95:H95)</f>
        <v>82.8</v>
      </c>
      <c r="J95" s="1449"/>
      <c r="K95" s="1439"/>
      <c r="L95" s="1439"/>
      <c r="M95" s="1439"/>
      <c r="N95" s="1439"/>
      <c r="O95" s="1439"/>
      <c r="P95" s="1439"/>
      <c r="Q95" s="1439"/>
      <c r="R95" s="1439"/>
      <c r="S95" s="1439"/>
      <c r="T95" s="1439"/>
      <c r="U95" s="1439"/>
      <c r="V95" s="1439"/>
      <c r="W95" s="1439"/>
      <c r="X95" s="1439"/>
      <c r="Y95" s="1439"/>
      <c r="Z95" s="1439"/>
      <c r="AA95" s="1439"/>
      <c r="AB95" s="1439"/>
      <c r="AC95" s="1439"/>
      <c r="AD95" s="1439"/>
      <c r="AE95" s="1439"/>
      <c r="AF95" s="1463"/>
      <c r="AG95" s="1463"/>
    </row>
    <row r="96" spans="1:33" ht="15.75" customHeight="1">
      <c r="A96" s="1443"/>
      <c r="B96" s="1450" t="s">
        <v>7043</v>
      </c>
      <c r="C96" s="1445">
        <v>1</v>
      </c>
      <c r="D96" s="1445" t="s">
        <v>3364</v>
      </c>
      <c r="E96" s="1445">
        <v>1</v>
      </c>
      <c r="F96" s="1446">
        <v>17</v>
      </c>
      <c r="G96" s="1446">
        <v>6</v>
      </c>
      <c r="H96" s="1447">
        <v>0.2</v>
      </c>
      <c r="I96" s="1448">
        <f>PRODUCT(C96:H96)</f>
        <v>20.399999999999999</v>
      </c>
      <c r="J96" s="1449"/>
      <c r="K96" s="1439"/>
      <c r="L96" s="1439"/>
      <c r="M96" s="1439"/>
      <c r="N96" s="1439"/>
      <c r="O96" s="1439"/>
      <c r="P96" s="1439"/>
      <c r="Q96" s="1439"/>
      <c r="R96" s="1439"/>
      <c r="S96" s="1439"/>
      <c r="T96" s="1439"/>
      <c r="U96" s="1439"/>
      <c r="V96" s="1439"/>
      <c r="W96" s="1439"/>
      <c r="X96" s="1439"/>
      <c r="Y96" s="1439"/>
      <c r="Z96" s="1439"/>
      <c r="AA96" s="1439"/>
      <c r="AB96" s="1439"/>
      <c r="AC96" s="1439"/>
      <c r="AD96" s="1439"/>
      <c r="AE96" s="1439"/>
      <c r="AF96" s="1439"/>
      <c r="AG96" s="1439"/>
    </row>
    <row r="97" spans="1:33" ht="15.75" customHeight="1">
      <c r="A97" s="1443"/>
      <c r="B97" s="1450" t="s">
        <v>3378</v>
      </c>
      <c r="C97" s="1445">
        <v>1</v>
      </c>
      <c r="D97" s="1445" t="s">
        <v>3364</v>
      </c>
      <c r="E97" s="1445">
        <v>1</v>
      </c>
      <c r="F97" s="1446">
        <v>24.64</v>
      </c>
      <c r="G97" s="1446">
        <v>17</v>
      </c>
      <c r="H97" s="1447">
        <v>0.1</v>
      </c>
      <c r="I97" s="1448">
        <f>PRODUCT(C97:H97)</f>
        <v>41.89</v>
      </c>
      <c r="J97" s="1449"/>
      <c r="K97" s="1439"/>
      <c r="L97" s="1439"/>
      <c r="M97" s="1439"/>
      <c r="N97" s="1439"/>
      <c r="O97" s="1439"/>
      <c r="P97" s="1439"/>
      <c r="Q97" s="1439"/>
      <c r="R97" s="1439"/>
      <c r="S97" s="1439"/>
      <c r="T97" s="1439"/>
      <c r="U97" s="1439"/>
      <c r="V97" s="1439"/>
      <c r="W97" s="1439"/>
      <c r="X97" s="1439"/>
      <c r="Y97" s="1439"/>
      <c r="Z97" s="1439"/>
      <c r="AA97" s="1439"/>
      <c r="AB97" s="1439"/>
      <c r="AC97" s="1439"/>
      <c r="AD97" s="1439"/>
      <c r="AE97" s="1439"/>
      <c r="AF97" s="1439"/>
      <c r="AG97" s="1439"/>
    </row>
    <row r="98" spans="1:33" ht="15.75" customHeight="1">
      <c r="A98" s="1443"/>
      <c r="B98" s="1450"/>
      <c r="C98" s="1445"/>
      <c r="D98" s="1445"/>
      <c r="E98" s="1445"/>
      <c r="F98" s="1446"/>
      <c r="G98" s="1458" t="s">
        <v>104</v>
      </c>
      <c r="H98" s="1447"/>
      <c r="I98" s="1459">
        <f>SUM(I95:I97)</f>
        <v>145.09</v>
      </c>
      <c r="J98" s="1449"/>
      <c r="K98" s="1439"/>
      <c r="L98" s="1439"/>
      <c r="M98" s="1439"/>
      <c r="N98" s="1439"/>
      <c r="O98" s="1439"/>
      <c r="P98" s="1439"/>
      <c r="Q98" s="1439"/>
      <c r="R98" s="1439"/>
      <c r="S98" s="1439"/>
      <c r="T98" s="1439"/>
      <c r="U98" s="1439"/>
      <c r="V98" s="1439"/>
      <c r="W98" s="1439"/>
      <c r="X98" s="1439"/>
      <c r="Y98" s="1439"/>
      <c r="Z98" s="1439"/>
      <c r="AA98" s="1439"/>
      <c r="AB98" s="1439"/>
      <c r="AC98" s="1439"/>
      <c r="AD98" s="1439"/>
      <c r="AE98" s="1439"/>
      <c r="AF98" s="1439"/>
      <c r="AG98" s="1439"/>
    </row>
    <row r="99" spans="1:33" ht="15.75" customHeight="1">
      <c r="A99" s="1443"/>
      <c r="B99" s="1450"/>
      <c r="C99" s="1445"/>
      <c r="D99" s="1445"/>
      <c r="E99" s="1445"/>
      <c r="F99" s="1446"/>
      <c r="G99" s="1446"/>
      <c r="H99" s="1460" t="s">
        <v>2981</v>
      </c>
      <c r="I99" s="1459">
        <f>CEILING(I98,0.1)</f>
        <v>145.1</v>
      </c>
      <c r="J99" s="1449" t="s">
        <v>5</v>
      </c>
      <c r="K99" s="1439"/>
      <c r="L99" s="1439">
        <v>21.77</v>
      </c>
      <c r="M99" s="1439">
        <v>17</v>
      </c>
      <c r="N99" s="1439"/>
      <c r="O99" s="1439"/>
      <c r="P99" s="1439"/>
      <c r="Q99" s="1439"/>
      <c r="R99" s="1439"/>
      <c r="S99" s="1439"/>
      <c r="T99" s="1439"/>
      <c r="U99" s="1439"/>
      <c r="V99" s="1439"/>
      <c r="W99" s="1439"/>
      <c r="X99" s="1439"/>
      <c r="Y99" s="1439"/>
      <c r="Z99" s="1439"/>
      <c r="AA99" s="1439"/>
      <c r="AB99" s="1439"/>
      <c r="AC99" s="1439"/>
      <c r="AD99" s="1439"/>
      <c r="AE99" s="1439"/>
      <c r="AF99" s="1439"/>
      <c r="AG99" s="1439"/>
    </row>
    <row r="100" spans="1:33" ht="15.75" customHeight="1">
      <c r="A100" s="1443">
        <v>7.2</v>
      </c>
      <c r="B100" s="1444" t="s">
        <v>7046</v>
      </c>
      <c r="C100" s="1445"/>
      <c r="D100" s="1445"/>
      <c r="E100" s="1445"/>
      <c r="F100" s="1446"/>
      <c r="G100" s="1446"/>
      <c r="H100" s="1460"/>
      <c r="I100" s="1459"/>
      <c r="J100" s="1449"/>
      <c r="K100" s="1439"/>
      <c r="L100" s="1439"/>
      <c r="M100" s="1439"/>
      <c r="N100" s="1439"/>
      <c r="O100" s="1439"/>
      <c r="P100" s="1439"/>
      <c r="Q100" s="1439"/>
      <c r="R100" s="1439"/>
      <c r="S100" s="1439"/>
      <c r="T100" s="1439"/>
      <c r="U100" s="1439"/>
      <c r="V100" s="1439"/>
      <c r="W100" s="1439"/>
      <c r="X100" s="1439"/>
      <c r="Y100" s="1439"/>
      <c r="Z100" s="1439"/>
      <c r="AA100" s="1439"/>
      <c r="AB100" s="1439"/>
      <c r="AC100" s="1439"/>
      <c r="AD100" s="1439"/>
      <c r="AE100" s="1439"/>
      <c r="AF100" s="1439"/>
      <c r="AG100" s="1439"/>
    </row>
    <row r="101" spans="1:33" ht="15.75" customHeight="1">
      <c r="A101" s="1443"/>
      <c r="B101" s="1450" t="s">
        <v>3371</v>
      </c>
      <c r="C101" s="1445">
        <v>2</v>
      </c>
      <c r="D101" s="1445" t="s">
        <v>3364</v>
      </c>
      <c r="E101" s="1445">
        <v>10</v>
      </c>
      <c r="F101" s="1446">
        <v>6</v>
      </c>
      <c r="G101" s="1446"/>
      <c r="H101" s="1447">
        <v>0.3</v>
      </c>
      <c r="I101" s="1448">
        <f>PRODUCT(C101:H101)</f>
        <v>36</v>
      </c>
      <c r="J101" s="1449"/>
      <c r="K101" s="1439"/>
      <c r="L101" s="1439"/>
      <c r="M101" s="1439"/>
      <c r="N101" s="1439"/>
      <c r="O101" s="1439"/>
      <c r="P101" s="1439"/>
      <c r="Q101" s="1439"/>
      <c r="R101" s="1439"/>
      <c r="S101" s="1439"/>
      <c r="T101" s="1439"/>
      <c r="U101" s="1439"/>
      <c r="V101" s="1439"/>
      <c r="W101" s="1439"/>
      <c r="X101" s="1439"/>
      <c r="Y101" s="1439"/>
      <c r="Z101" s="1439"/>
      <c r="AA101" s="1439"/>
      <c r="AB101" s="1439"/>
      <c r="AC101" s="1439"/>
      <c r="AD101" s="1439"/>
      <c r="AE101" s="1439"/>
      <c r="AF101" s="1439"/>
      <c r="AG101" s="1439"/>
    </row>
    <row r="102" spans="1:33" ht="15.75" customHeight="1">
      <c r="A102" s="1443"/>
      <c r="B102" s="1450"/>
      <c r="C102" s="1445"/>
      <c r="D102" s="1445"/>
      <c r="E102" s="1445"/>
      <c r="F102" s="1446"/>
      <c r="G102" s="1446"/>
      <c r="H102" s="1460" t="s">
        <v>2981</v>
      </c>
      <c r="I102" s="1459">
        <f>CEILING(I101,0.1)</f>
        <v>36</v>
      </c>
      <c r="J102" s="1449" t="s">
        <v>468</v>
      </c>
      <c r="K102" s="1439"/>
      <c r="L102" s="1439"/>
      <c r="M102" s="1439"/>
      <c r="N102" s="1439"/>
      <c r="O102" s="1439"/>
      <c r="P102" s="1439"/>
      <c r="Q102" s="1439"/>
      <c r="R102" s="1439"/>
      <c r="S102" s="1439"/>
      <c r="T102" s="1439"/>
      <c r="U102" s="1439"/>
      <c r="V102" s="1439"/>
      <c r="W102" s="1439"/>
      <c r="X102" s="1439"/>
      <c r="Y102" s="1439"/>
      <c r="Z102" s="1439"/>
      <c r="AA102" s="1439"/>
      <c r="AB102" s="1439"/>
      <c r="AC102" s="1439"/>
      <c r="AD102" s="1439"/>
      <c r="AE102" s="1439"/>
      <c r="AF102" s="1439"/>
      <c r="AG102" s="1439"/>
    </row>
    <row r="103" spans="1:33" ht="126">
      <c r="A103" s="1451">
        <v>8.1999999999999993</v>
      </c>
      <c r="B103" s="1462" t="s">
        <v>7047</v>
      </c>
      <c r="C103" s="1445"/>
      <c r="D103" s="1445"/>
      <c r="E103" s="1445"/>
      <c r="F103" s="1446"/>
      <c r="G103" s="1446"/>
      <c r="H103" s="1447"/>
      <c r="I103" s="1448"/>
      <c r="J103" s="1449"/>
      <c r="K103" s="1439"/>
      <c r="L103" s="1439"/>
      <c r="M103" s="1439"/>
      <c r="N103" s="1439"/>
      <c r="O103" s="1439"/>
      <c r="P103" s="1439"/>
      <c r="Q103" s="1439"/>
      <c r="R103" s="1439"/>
      <c r="S103" s="1439"/>
      <c r="T103" s="1439"/>
      <c r="U103" s="1439"/>
      <c r="V103" s="1439"/>
      <c r="W103" s="1439"/>
      <c r="X103" s="1439"/>
      <c r="Y103" s="1439"/>
      <c r="Z103" s="1439"/>
      <c r="AA103" s="1439"/>
      <c r="AB103" s="1439"/>
      <c r="AC103" s="1439"/>
      <c r="AD103" s="1439"/>
      <c r="AE103" s="1439"/>
      <c r="AF103" s="1439"/>
      <c r="AG103" s="1439"/>
    </row>
    <row r="104" spans="1:33" ht="15.75" customHeight="1">
      <c r="A104" s="1451"/>
      <c r="B104" s="1444" t="s">
        <v>3377</v>
      </c>
      <c r="C104" s="1445"/>
      <c r="D104" s="1445"/>
      <c r="E104" s="1445"/>
      <c r="F104" s="1446"/>
      <c r="G104" s="1446"/>
      <c r="H104" s="1447"/>
      <c r="I104" s="1448"/>
      <c r="J104" s="1449"/>
      <c r="K104" s="1439"/>
      <c r="L104" s="1439"/>
      <c r="M104" s="1439"/>
      <c r="N104" s="1439"/>
      <c r="O104" s="1439"/>
      <c r="P104" s="1439"/>
      <c r="Q104" s="1439"/>
      <c r="R104" s="1439"/>
      <c r="S104" s="1439"/>
      <c r="T104" s="1439"/>
      <c r="U104" s="1439"/>
      <c r="V104" s="1439"/>
      <c r="W104" s="1439"/>
      <c r="X104" s="1439"/>
      <c r="Y104" s="1439"/>
      <c r="Z104" s="1439"/>
      <c r="AA104" s="1439"/>
      <c r="AB104" s="1439"/>
      <c r="AC104" s="1439"/>
      <c r="AD104" s="1439"/>
      <c r="AE104" s="1439"/>
      <c r="AF104" s="1439"/>
      <c r="AG104" s="1439"/>
    </row>
    <row r="105" spans="1:33" ht="15.75" customHeight="1">
      <c r="A105" s="1443"/>
      <c r="B105" s="1450" t="s">
        <v>6521</v>
      </c>
      <c r="C105" s="1445">
        <v>1</v>
      </c>
      <c r="D105" s="1445" t="s">
        <v>3364</v>
      </c>
      <c r="E105" s="1445">
        <v>5</v>
      </c>
      <c r="F105" s="1446">
        <v>2.6</v>
      </c>
      <c r="G105" s="1446">
        <v>2.6</v>
      </c>
      <c r="H105" s="1447">
        <v>0.45</v>
      </c>
      <c r="I105" s="1448">
        <f t="shared" ref="I105:I113" si="6">PRODUCT(C105:H105)</f>
        <v>15.21</v>
      </c>
      <c r="J105" s="1449"/>
      <c r="K105" s="1439"/>
      <c r="L105" s="1439"/>
      <c r="M105" s="1439"/>
      <c r="N105" s="1439"/>
      <c r="O105" s="1439"/>
      <c r="P105" s="1439"/>
      <c r="Q105" s="1439"/>
      <c r="R105" s="1439"/>
      <c r="S105" s="1439"/>
      <c r="T105" s="1439"/>
      <c r="U105" s="1439"/>
      <c r="V105" s="1439"/>
      <c r="W105" s="1439"/>
      <c r="X105" s="1439"/>
      <c r="Y105" s="1439"/>
      <c r="Z105" s="1439"/>
      <c r="AA105" s="1439"/>
      <c r="AB105" s="1439"/>
      <c r="AC105" s="1439"/>
      <c r="AD105" s="1439"/>
      <c r="AE105" s="1439"/>
      <c r="AF105" s="1439"/>
      <c r="AG105" s="1439"/>
    </row>
    <row r="106" spans="1:33" ht="15.75" customHeight="1">
      <c r="A106" s="1443"/>
      <c r="B106" s="1450" t="s">
        <v>7034</v>
      </c>
      <c r="C106" s="1445">
        <v>1</v>
      </c>
      <c r="D106" s="1445" t="s">
        <v>3364</v>
      </c>
      <c r="E106" s="1445">
        <v>7</v>
      </c>
      <c r="F106" s="1446">
        <v>3</v>
      </c>
      <c r="G106" s="1446">
        <v>3</v>
      </c>
      <c r="H106" s="1447">
        <v>0.7</v>
      </c>
      <c r="I106" s="1448">
        <f t="shared" si="6"/>
        <v>44.1</v>
      </c>
      <c r="J106" s="1449"/>
      <c r="K106" s="1439"/>
      <c r="L106" s="1439"/>
      <c r="M106" s="1439"/>
      <c r="N106" s="1439"/>
      <c r="O106" s="1439"/>
      <c r="P106" s="1439"/>
      <c r="Q106" s="1439"/>
      <c r="R106" s="1439"/>
      <c r="S106" s="1439"/>
      <c r="T106" s="1439"/>
      <c r="U106" s="1439"/>
      <c r="V106" s="1439"/>
      <c r="W106" s="1439"/>
      <c r="X106" s="1439"/>
      <c r="Y106" s="1439"/>
      <c r="Z106" s="1439"/>
      <c r="AA106" s="1439"/>
      <c r="AB106" s="1439"/>
      <c r="AC106" s="1439"/>
      <c r="AD106" s="1439"/>
      <c r="AE106" s="1439"/>
      <c r="AF106" s="1439"/>
      <c r="AG106" s="1439"/>
    </row>
    <row r="107" spans="1:33" ht="15.75" customHeight="1">
      <c r="A107" s="1443"/>
      <c r="B107" s="1450" t="s">
        <v>7035</v>
      </c>
      <c r="C107" s="1445">
        <v>1</v>
      </c>
      <c r="D107" s="1445" t="s">
        <v>3364</v>
      </c>
      <c r="E107" s="1445">
        <v>6</v>
      </c>
      <c r="F107" s="1446">
        <v>3.15</v>
      </c>
      <c r="G107" s="1446">
        <v>3.15</v>
      </c>
      <c r="H107" s="1447">
        <v>0.7</v>
      </c>
      <c r="I107" s="1448">
        <f t="shared" si="6"/>
        <v>41.67</v>
      </c>
      <c r="J107" s="1449"/>
      <c r="K107" s="1439"/>
      <c r="L107" s="1439"/>
      <c r="M107" s="1439"/>
      <c r="N107" s="1439"/>
      <c r="O107" s="1439"/>
      <c r="P107" s="1439"/>
      <c r="Q107" s="1439"/>
      <c r="R107" s="1439"/>
      <c r="S107" s="1439"/>
      <c r="T107" s="1439"/>
      <c r="U107" s="1439"/>
      <c r="V107" s="1439"/>
      <c r="W107" s="1439"/>
      <c r="X107" s="1439"/>
      <c r="Y107" s="1439"/>
      <c r="Z107" s="1439"/>
      <c r="AA107" s="1439"/>
      <c r="AB107" s="1439"/>
      <c r="AC107" s="1439"/>
      <c r="AD107" s="1439"/>
      <c r="AE107" s="1439"/>
      <c r="AF107" s="1439"/>
      <c r="AG107" s="1439"/>
    </row>
    <row r="108" spans="1:33" ht="15.75" customHeight="1">
      <c r="A108" s="1443"/>
      <c r="B108" s="1450" t="s">
        <v>7036</v>
      </c>
      <c r="C108" s="1445">
        <v>1</v>
      </c>
      <c r="D108" s="1445" t="s">
        <v>3364</v>
      </c>
      <c r="E108" s="1445">
        <v>3</v>
      </c>
      <c r="F108" s="1446">
        <v>3.53</v>
      </c>
      <c r="G108" s="1446">
        <v>3.53</v>
      </c>
      <c r="H108" s="1447">
        <v>0.7</v>
      </c>
      <c r="I108" s="1448">
        <f t="shared" si="6"/>
        <v>26.17</v>
      </c>
      <c r="J108" s="1449"/>
      <c r="K108" s="1439"/>
      <c r="L108" s="1439"/>
      <c r="M108" s="1439"/>
      <c r="N108" s="1439"/>
      <c r="O108" s="1439"/>
      <c r="P108" s="1439"/>
      <c r="Q108" s="1439"/>
      <c r="R108" s="1439"/>
      <c r="S108" s="1439"/>
      <c r="T108" s="1439"/>
      <c r="U108" s="1439"/>
      <c r="V108" s="1439"/>
      <c r="W108" s="1439"/>
      <c r="X108" s="1439"/>
      <c r="Y108" s="1439"/>
      <c r="Z108" s="1439"/>
      <c r="AA108" s="1439"/>
      <c r="AB108" s="1439"/>
      <c r="AC108" s="1439"/>
      <c r="AD108" s="1439"/>
      <c r="AE108" s="1439"/>
      <c r="AF108" s="1439"/>
      <c r="AG108" s="1439"/>
    </row>
    <row r="109" spans="1:33" ht="15.75" customHeight="1">
      <c r="A109" s="1443"/>
      <c r="B109" s="1452" t="s">
        <v>7384</v>
      </c>
      <c r="C109" s="1445">
        <v>1</v>
      </c>
      <c r="D109" s="1445" t="s">
        <v>3364</v>
      </c>
      <c r="E109" s="1445">
        <v>4</v>
      </c>
      <c r="F109" s="1446">
        <v>3.8</v>
      </c>
      <c r="G109" s="1446">
        <v>3.8</v>
      </c>
      <c r="H109" s="1447">
        <v>1.05</v>
      </c>
      <c r="I109" s="1448">
        <f t="shared" si="6"/>
        <v>60.65</v>
      </c>
      <c r="J109" s="1449"/>
      <c r="K109" s="1439"/>
      <c r="L109" s="1439"/>
      <c r="M109" s="1439"/>
      <c r="N109" s="1439"/>
      <c r="O109" s="1439"/>
      <c r="P109" s="1439"/>
      <c r="Q109" s="1439"/>
      <c r="R109" s="1439"/>
      <c r="S109" s="1439"/>
      <c r="T109" s="1439"/>
      <c r="U109" s="1439"/>
      <c r="V109" s="1439"/>
      <c r="W109" s="1439"/>
      <c r="X109" s="1439"/>
      <c r="Y109" s="1439"/>
      <c r="Z109" s="1439"/>
      <c r="AA109" s="1439"/>
      <c r="AB109" s="1439"/>
      <c r="AC109" s="1439"/>
      <c r="AD109" s="1439"/>
      <c r="AE109" s="1439"/>
      <c r="AF109" s="1439"/>
      <c r="AG109" s="1439"/>
    </row>
    <row r="110" spans="1:33" ht="15.75" customHeight="1">
      <c r="A110" s="1443"/>
      <c r="B110" s="1452" t="s">
        <v>7385</v>
      </c>
      <c r="C110" s="1445">
        <v>1</v>
      </c>
      <c r="D110" s="1445" t="s">
        <v>3364</v>
      </c>
      <c r="E110" s="1445">
        <v>3</v>
      </c>
      <c r="F110" s="1446">
        <v>3.4</v>
      </c>
      <c r="G110" s="1446">
        <v>4.2249999999999996</v>
      </c>
      <c r="H110" s="1447">
        <v>0.35</v>
      </c>
      <c r="I110" s="1448">
        <f t="shared" si="6"/>
        <v>15.08</v>
      </c>
      <c r="J110" s="1449"/>
      <c r="K110" s="1439"/>
      <c r="L110" s="1439"/>
      <c r="M110" s="1439"/>
      <c r="N110" s="1439"/>
      <c r="O110" s="1439"/>
      <c r="P110" s="1439"/>
      <c r="Q110" s="1439"/>
      <c r="R110" s="1439"/>
      <c r="S110" s="1439"/>
      <c r="T110" s="1439"/>
      <c r="U110" s="1439"/>
      <c r="V110" s="1439"/>
      <c r="W110" s="1439"/>
      <c r="X110" s="1439"/>
      <c r="Y110" s="1439"/>
      <c r="Z110" s="1439"/>
      <c r="AA110" s="1439"/>
      <c r="AB110" s="1439"/>
      <c r="AC110" s="1439"/>
      <c r="AD110" s="1439"/>
      <c r="AE110" s="1439"/>
      <c r="AF110" s="1439"/>
      <c r="AG110" s="1439"/>
    </row>
    <row r="111" spans="1:33" ht="15.75" customHeight="1">
      <c r="A111" s="1443"/>
      <c r="B111" s="1452" t="s">
        <v>7394</v>
      </c>
      <c r="C111" s="1445">
        <v>1</v>
      </c>
      <c r="D111" s="1453" t="s">
        <v>3364</v>
      </c>
      <c r="E111" s="1445">
        <v>3</v>
      </c>
      <c r="F111" s="1446">
        <v>4.2249999999999996</v>
      </c>
      <c r="G111" s="1446">
        <v>0.45</v>
      </c>
      <c r="H111" s="1447">
        <v>0.3</v>
      </c>
      <c r="I111" s="1448">
        <f t="shared" si="6"/>
        <v>1.71</v>
      </c>
      <c r="J111" s="1449"/>
      <c r="K111" s="1439"/>
      <c r="L111" s="1439"/>
      <c r="M111" s="1439"/>
      <c r="N111" s="1439"/>
      <c r="O111" s="1439"/>
      <c r="P111" s="1439"/>
      <c r="Q111" s="1439"/>
      <c r="R111" s="1439"/>
      <c r="S111" s="1439"/>
      <c r="T111" s="1439"/>
      <c r="U111" s="1439"/>
      <c r="V111" s="1439"/>
      <c r="W111" s="1439"/>
      <c r="X111" s="1439"/>
      <c r="Y111" s="1439"/>
      <c r="Z111" s="1439"/>
      <c r="AA111" s="1439"/>
      <c r="AB111" s="1439"/>
      <c r="AC111" s="1439"/>
      <c r="AD111" s="1439"/>
      <c r="AE111" s="1439"/>
      <c r="AF111" s="1439"/>
      <c r="AG111" s="1439"/>
    </row>
    <row r="112" spans="1:33" ht="15.75" customHeight="1">
      <c r="A112" s="1443"/>
      <c r="B112" s="1452" t="s">
        <v>7386</v>
      </c>
      <c r="C112" s="1445">
        <v>1</v>
      </c>
      <c r="D112" s="1453" t="s">
        <v>3364</v>
      </c>
      <c r="E112" s="1445">
        <v>2</v>
      </c>
      <c r="F112" s="1446">
        <v>2.9969999999999999</v>
      </c>
      <c r="G112" s="1454">
        <v>5.415</v>
      </c>
      <c r="H112" s="1447">
        <v>0.45</v>
      </c>
      <c r="I112" s="1448">
        <f t="shared" si="6"/>
        <v>14.61</v>
      </c>
      <c r="J112" s="1449"/>
      <c r="K112" s="1439"/>
      <c r="L112" s="1439"/>
      <c r="M112" s="1439"/>
      <c r="N112" s="1439"/>
      <c r="O112" s="1439"/>
      <c r="P112" s="1439"/>
      <c r="Q112" s="1439"/>
      <c r="R112" s="1439"/>
      <c r="S112" s="1439"/>
      <c r="T112" s="1439"/>
      <c r="U112" s="1439"/>
      <c r="V112" s="1439"/>
      <c r="W112" s="1439"/>
      <c r="X112" s="1439"/>
      <c r="Y112" s="1439"/>
      <c r="Z112" s="1439"/>
      <c r="AA112" s="1439"/>
      <c r="AB112" s="1439"/>
      <c r="AC112" s="1439"/>
      <c r="AD112" s="1439"/>
      <c r="AE112" s="1439"/>
      <c r="AF112" s="1439"/>
      <c r="AG112" s="1439"/>
    </row>
    <row r="113" spans="1:33" ht="15.75" customHeight="1">
      <c r="A113" s="1443"/>
      <c r="B113" s="1452" t="s">
        <v>7394</v>
      </c>
      <c r="C113" s="1445">
        <v>1</v>
      </c>
      <c r="D113" s="1453" t="s">
        <v>3364</v>
      </c>
      <c r="E113" s="1445">
        <v>2</v>
      </c>
      <c r="F113" s="1446">
        <v>5.415</v>
      </c>
      <c r="G113" s="1454">
        <v>0.45</v>
      </c>
      <c r="H113" s="1447">
        <v>0.35</v>
      </c>
      <c r="I113" s="1448">
        <f t="shared" si="6"/>
        <v>1.71</v>
      </c>
      <c r="J113" s="1449"/>
      <c r="K113" s="1439"/>
      <c r="L113" s="1439"/>
      <c r="M113" s="1439"/>
      <c r="N113" s="1439"/>
      <c r="O113" s="1439"/>
      <c r="P113" s="1439"/>
      <c r="Q113" s="1439"/>
      <c r="R113" s="1439"/>
      <c r="S113" s="1439"/>
      <c r="T113" s="1439"/>
      <c r="U113" s="1439"/>
      <c r="V113" s="1439"/>
      <c r="W113" s="1439"/>
      <c r="X113" s="1439"/>
      <c r="Y113" s="1439"/>
      <c r="Z113" s="1439"/>
      <c r="AA113" s="1439"/>
      <c r="AB113" s="1439"/>
      <c r="AC113" s="1439"/>
      <c r="AD113" s="1439"/>
      <c r="AE113" s="1439"/>
      <c r="AF113" s="1439"/>
      <c r="AG113" s="1439"/>
    </row>
    <row r="114" spans="1:33" ht="15.75" customHeight="1">
      <c r="A114" s="1443"/>
      <c r="B114" s="1455" t="s">
        <v>7387</v>
      </c>
      <c r="C114" s="1445"/>
      <c r="D114" s="1445"/>
      <c r="E114" s="1445"/>
      <c r="F114" s="1446"/>
      <c r="G114" s="1446"/>
      <c r="H114" s="1447"/>
      <c r="I114" s="1448"/>
      <c r="J114" s="1449"/>
      <c r="K114" s="1439"/>
      <c r="L114" s="1439"/>
      <c r="M114" s="1439"/>
      <c r="N114" s="1439"/>
      <c r="O114" s="1439"/>
      <c r="P114" s="1439"/>
      <c r="Q114" s="1439"/>
      <c r="R114" s="1439"/>
      <c r="S114" s="1439"/>
      <c r="T114" s="1439"/>
      <c r="U114" s="1439"/>
      <c r="V114" s="1439"/>
      <c r="W114" s="1439"/>
      <c r="X114" s="1439"/>
      <c r="Y114" s="1439"/>
      <c r="Z114" s="1439"/>
      <c r="AA114" s="1439"/>
      <c r="AB114" s="1439"/>
      <c r="AC114" s="1439"/>
      <c r="AD114" s="1439"/>
      <c r="AE114" s="1439"/>
      <c r="AF114" s="1439"/>
      <c r="AG114" s="1439"/>
    </row>
    <row r="115" spans="1:33" ht="15.75" customHeight="1">
      <c r="A115" s="1443"/>
      <c r="B115" s="1452" t="s">
        <v>7388</v>
      </c>
      <c r="C115" s="1445">
        <v>1</v>
      </c>
      <c r="D115" s="1445" t="s">
        <v>3364</v>
      </c>
      <c r="E115" s="1445">
        <v>4</v>
      </c>
      <c r="F115" s="1446">
        <v>27.89</v>
      </c>
      <c r="G115" s="1446">
        <v>0.23</v>
      </c>
      <c r="H115" s="1447">
        <v>0.4</v>
      </c>
      <c r="I115" s="1448">
        <f t="shared" ref="I115:I133" si="7">PRODUCT(C115:H115)</f>
        <v>10.26</v>
      </c>
      <c r="J115" s="1449"/>
      <c r="K115" s="1439"/>
      <c r="L115" s="1439"/>
      <c r="M115" s="1439"/>
      <c r="N115" s="1439"/>
      <c r="O115" s="1439"/>
      <c r="P115" s="1439"/>
      <c r="Q115" s="1439"/>
      <c r="R115" s="1439"/>
      <c r="S115" s="1439"/>
      <c r="T115" s="1439"/>
      <c r="U115" s="1439"/>
      <c r="V115" s="1439"/>
      <c r="W115" s="1439"/>
      <c r="X115" s="1439"/>
      <c r="Y115" s="1439"/>
      <c r="Z115" s="1439"/>
      <c r="AA115" s="1439"/>
      <c r="AB115" s="1439"/>
      <c r="AC115" s="1439"/>
      <c r="AD115" s="1439"/>
      <c r="AE115" s="1439"/>
      <c r="AF115" s="1439"/>
      <c r="AG115" s="1439"/>
    </row>
    <row r="116" spans="1:33" ht="15.75" customHeight="1">
      <c r="A116" s="1443"/>
      <c r="B116" s="1452" t="s">
        <v>7389</v>
      </c>
      <c r="C116" s="1445">
        <v>1</v>
      </c>
      <c r="D116" s="1445" t="s">
        <v>3364</v>
      </c>
      <c r="E116" s="1445">
        <v>1</v>
      </c>
      <c r="F116" s="1446">
        <f>2.53+0.46</f>
        <v>2.99</v>
      </c>
      <c r="G116" s="1446">
        <v>0.23</v>
      </c>
      <c r="H116" s="1447">
        <v>0.4</v>
      </c>
      <c r="I116" s="1448">
        <f t="shared" si="7"/>
        <v>0.28000000000000003</v>
      </c>
      <c r="J116" s="1449"/>
      <c r="K116" s="1439"/>
      <c r="L116" s="1439"/>
      <c r="M116" s="1439"/>
      <c r="N116" s="1439"/>
      <c r="O116" s="1439"/>
      <c r="P116" s="1439"/>
      <c r="Q116" s="1439"/>
      <c r="R116" s="1439"/>
      <c r="S116" s="1439"/>
      <c r="T116" s="1439"/>
      <c r="U116" s="1439"/>
      <c r="V116" s="1439"/>
      <c r="W116" s="1439"/>
      <c r="X116" s="1439"/>
      <c r="Y116" s="1439"/>
      <c r="Z116" s="1439"/>
      <c r="AA116" s="1439"/>
      <c r="AB116" s="1439"/>
      <c r="AC116" s="1439"/>
      <c r="AD116" s="1439"/>
      <c r="AE116" s="1439"/>
      <c r="AF116" s="1439"/>
      <c r="AG116" s="1439"/>
    </row>
    <row r="117" spans="1:33" ht="15.75" customHeight="1">
      <c r="A117" s="1443"/>
      <c r="B117" s="1452" t="s">
        <v>7390</v>
      </c>
      <c r="C117" s="1445">
        <v>1</v>
      </c>
      <c r="D117" s="1453" t="s">
        <v>3827</v>
      </c>
      <c r="E117" s="1445">
        <v>1</v>
      </c>
      <c r="F117" s="1446">
        <f>4.765+1.13+2.53+0.23</f>
        <v>8.6549999999999994</v>
      </c>
      <c r="G117" s="1446">
        <v>0.23</v>
      </c>
      <c r="H117" s="1447">
        <v>0.4</v>
      </c>
      <c r="I117" s="1448">
        <f t="shared" si="7"/>
        <v>0.8</v>
      </c>
      <c r="J117" s="1449"/>
      <c r="K117" s="1439"/>
      <c r="L117" s="1439"/>
      <c r="M117" s="1439"/>
      <c r="N117" s="1439"/>
      <c r="O117" s="1439"/>
      <c r="P117" s="1439"/>
      <c r="Q117" s="1439"/>
      <c r="R117" s="1439"/>
      <c r="S117" s="1439"/>
      <c r="T117" s="1439"/>
      <c r="U117" s="1439"/>
      <c r="V117" s="1439"/>
      <c r="W117" s="1439"/>
      <c r="X117" s="1439"/>
      <c r="Y117" s="1439"/>
      <c r="Z117" s="1439"/>
      <c r="AA117" s="1439"/>
      <c r="AB117" s="1439"/>
      <c r="AC117" s="1439"/>
      <c r="AD117" s="1439"/>
      <c r="AE117" s="1439"/>
      <c r="AF117" s="1439"/>
      <c r="AG117" s="1439"/>
    </row>
    <row r="118" spans="1:33" ht="15.75" customHeight="1">
      <c r="A118" s="1443"/>
      <c r="B118" s="1456" t="s">
        <v>7038</v>
      </c>
      <c r="C118" s="1445"/>
      <c r="D118" s="1445"/>
      <c r="E118" s="1445"/>
      <c r="F118" s="1446"/>
      <c r="G118" s="1446"/>
      <c r="H118" s="1447"/>
      <c r="I118" s="1448">
        <f t="shared" si="7"/>
        <v>0</v>
      </c>
      <c r="J118" s="1449"/>
      <c r="K118" s="1439"/>
      <c r="L118" s="1439"/>
      <c r="M118" s="1439"/>
      <c r="N118" s="1439"/>
      <c r="O118" s="1439"/>
      <c r="P118" s="1439"/>
      <c r="Q118" s="1439"/>
      <c r="R118" s="1439"/>
      <c r="S118" s="1439"/>
      <c r="T118" s="1439"/>
      <c r="U118" s="1439"/>
      <c r="V118" s="1439"/>
      <c r="W118" s="1439"/>
      <c r="X118" s="1439"/>
      <c r="Y118" s="1439"/>
      <c r="Z118" s="1439"/>
      <c r="AA118" s="1439"/>
      <c r="AB118" s="1439"/>
      <c r="AC118" s="1439"/>
      <c r="AD118" s="1439"/>
      <c r="AE118" s="1439"/>
      <c r="AF118" s="1439"/>
      <c r="AG118" s="1439"/>
    </row>
    <row r="119" spans="1:33" ht="15.75" customHeight="1">
      <c r="A119" s="1443"/>
      <c r="B119" s="1452" t="s">
        <v>7037</v>
      </c>
      <c r="C119" s="1445">
        <v>1</v>
      </c>
      <c r="D119" s="1445" t="s">
        <v>3364</v>
      </c>
      <c r="E119" s="1445">
        <v>7</v>
      </c>
      <c r="F119" s="1446">
        <v>18.079999999999998</v>
      </c>
      <c r="G119" s="1446">
        <v>0.23</v>
      </c>
      <c r="H119" s="1447">
        <v>0.4</v>
      </c>
      <c r="I119" s="1448">
        <f t="shared" si="7"/>
        <v>11.64</v>
      </c>
      <c r="J119" s="1449"/>
      <c r="K119" s="1439"/>
      <c r="L119" s="1439"/>
      <c r="M119" s="1439"/>
      <c r="N119" s="1439"/>
      <c r="O119" s="1439"/>
      <c r="P119" s="1439"/>
      <c r="Q119" s="1439"/>
      <c r="R119" s="1439"/>
      <c r="S119" s="1439"/>
      <c r="T119" s="1439"/>
      <c r="U119" s="1439"/>
      <c r="V119" s="1439"/>
      <c r="W119" s="1439"/>
      <c r="X119" s="1439"/>
      <c r="Y119" s="1439"/>
      <c r="Z119" s="1439"/>
      <c r="AA119" s="1439"/>
      <c r="AB119" s="1439"/>
      <c r="AC119" s="1439"/>
      <c r="AD119" s="1439"/>
      <c r="AE119" s="1439"/>
      <c r="AF119" s="1439"/>
      <c r="AG119" s="1439"/>
    </row>
    <row r="120" spans="1:33" ht="15.75" customHeight="1">
      <c r="A120" s="1443"/>
      <c r="B120" s="1452" t="s">
        <v>7391</v>
      </c>
      <c r="C120" s="1445">
        <v>1</v>
      </c>
      <c r="D120" s="1445" t="s">
        <v>3364</v>
      </c>
      <c r="E120" s="1445">
        <v>4</v>
      </c>
      <c r="F120" s="1446">
        <v>1.54</v>
      </c>
      <c r="G120" s="1446">
        <v>0.23</v>
      </c>
      <c r="H120" s="1447">
        <v>0.4</v>
      </c>
      <c r="I120" s="1448">
        <f t="shared" si="7"/>
        <v>0.56999999999999995</v>
      </c>
      <c r="J120" s="1449"/>
      <c r="K120" s="1439"/>
      <c r="L120" s="1439"/>
      <c r="M120" s="1439"/>
      <c r="N120" s="1439"/>
      <c r="O120" s="1439"/>
      <c r="P120" s="1439"/>
      <c r="Q120" s="1439"/>
      <c r="R120" s="1439"/>
      <c r="S120" s="1439"/>
      <c r="T120" s="1439"/>
      <c r="U120" s="1439"/>
      <c r="V120" s="1439"/>
      <c r="W120" s="1439"/>
      <c r="X120" s="1439"/>
      <c r="Y120" s="1439"/>
      <c r="Z120" s="1439"/>
      <c r="AA120" s="1439"/>
      <c r="AB120" s="1439"/>
      <c r="AC120" s="1439"/>
      <c r="AD120" s="1439"/>
      <c r="AE120" s="1439"/>
      <c r="AF120" s="1439"/>
      <c r="AG120" s="1439"/>
    </row>
    <row r="121" spans="1:33" ht="15.75" customHeight="1">
      <c r="A121" s="1443"/>
      <c r="B121" s="1452" t="s">
        <v>7392</v>
      </c>
      <c r="C121" s="1445">
        <v>1</v>
      </c>
      <c r="D121" s="1445" t="s">
        <v>3364</v>
      </c>
      <c r="E121" s="1445">
        <v>1</v>
      </c>
      <c r="F121" s="1446">
        <v>2.3849999999999998</v>
      </c>
      <c r="G121" s="1446">
        <v>0.23</v>
      </c>
      <c r="H121" s="1447">
        <v>0.4</v>
      </c>
      <c r="I121" s="1448">
        <f t="shared" si="7"/>
        <v>0.22</v>
      </c>
      <c r="J121" s="1449"/>
      <c r="K121" s="1439"/>
      <c r="L121" s="1439"/>
      <c r="M121" s="1439"/>
      <c r="N121" s="1439"/>
      <c r="O121" s="1439"/>
      <c r="P121" s="1439"/>
      <c r="Q121" s="1439"/>
      <c r="R121" s="1439"/>
      <c r="S121" s="1439"/>
      <c r="T121" s="1439"/>
      <c r="U121" s="1439"/>
      <c r="V121" s="1439"/>
      <c r="W121" s="1439"/>
      <c r="X121" s="1439"/>
      <c r="Y121" s="1439"/>
      <c r="Z121" s="1439"/>
      <c r="AA121" s="1439"/>
      <c r="AB121" s="1439"/>
      <c r="AC121" s="1439"/>
      <c r="AD121" s="1439"/>
      <c r="AE121" s="1439"/>
      <c r="AF121" s="1439"/>
      <c r="AG121" s="1439"/>
    </row>
    <row r="122" spans="1:33" ht="15.75" customHeight="1">
      <c r="A122" s="1443"/>
      <c r="B122" s="1450" t="s">
        <v>7039</v>
      </c>
      <c r="C122" s="1445">
        <v>1</v>
      </c>
      <c r="D122" s="1445" t="s">
        <v>3364</v>
      </c>
      <c r="E122" s="1445">
        <v>1</v>
      </c>
      <c r="F122" s="1446">
        <f>8.82+0.46</f>
        <v>9.2799999999999994</v>
      </c>
      <c r="G122" s="1446">
        <v>0.23</v>
      </c>
      <c r="H122" s="1447">
        <v>0.4</v>
      </c>
      <c r="I122" s="1448">
        <f t="shared" si="7"/>
        <v>0.85</v>
      </c>
      <c r="J122" s="1449"/>
      <c r="K122" s="1439"/>
      <c r="L122" s="1439"/>
      <c r="M122" s="1439"/>
      <c r="N122" s="1439"/>
      <c r="O122" s="1439"/>
      <c r="P122" s="1439"/>
      <c r="Q122" s="1439"/>
      <c r="R122" s="1439"/>
      <c r="S122" s="1439"/>
      <c r="T122" s="1439"/>
      <c r="U122" s="1439"/>
      <c r="V122" s="1439"/>
      <c r="W122" s="1439"/>
      <c r="X122" s="1439"/>
      <c r="Y122" s="1439"/>
      <c r="Z122" s="1439"/>
      <c r="AA122" s="1439"/>
      <c r="AB122" s="1439"/>
      <c r="AC122" s="1439"/>
      <c r="AD122" s="1439"/>
      <c r="AE122" s="1439"/>
      <c r="AF122" s="1439"/>
      <c r="AG122" s="1439"/>
    </row>
    <row r="123" spans="1:33" ht="15.75" customHeight="1">
      <c r="A123" s="1443"/>
      <c r="B123" s="1450" t="s">
        <v>7040</v>
      </c>
      <c r="C123" s="1445">
        <v>1</v>
      </c>
      <c r="D123" s="1445" t="s">
        <v>3364</v>
      </c>
      <c r="E123" s="1445">
        <v>1</v>
      </c>
      <c r="F123" s="1446">
        <v>3.3460000000000001</v>
      </c>
      <c r="G123" s="1446">
        <v>0.23</v>
      </c>
      <c r="H123" s="1447">
        <v>0.4</v>
      </c>
      <c r="I123" s="1448">
        <f t="shared" si="7"/>
        <v>0.31</v>
      </c>
      <c r="J123" s="1449"/>
      <c r="K123" s="1439"/>
      <c r="L123" s="1439"/>
      <c r="M123" s="1439"/>
      <c r="N123" s="1439"/>
      <c r="O123" s="1439"/>
      <c r="P123" s="1439"/>
      <c r="Q123" s="1439"/>
      <c r="R123" s="1439"/>
      <c r="S123" s="1439"/>
      <c r="T123" s="1439"/>
      <c r="U123" s="1439"/>
      <c r="V123" s="1439"/>
      <c r="W123" s="1439"/>
      <c r="X123" s="1439"/>
      <c r="Y123" s="1439"/>
      <c r="Z123" s="1439"/>
      <c r="AA123" s="1439"/>
      <c r="AB123" s="1439"/>
      <c r="AC123" s="1439"/>
      <c r="AD123" s="1439"/>
      <c r="AE123" s="1439"/>
      <c r="AF123" s="1439"/>
      <c r="AG123" s="1439"/>
    </row>
    <row r="124" spans="1:33" ht="15.75" customHeight="1">
      <c r="A124" s="1443"/>
      <c r="B124" s="1452" t="s">
        <v>7393</v>
      </c>
      <c r="C124" s="1445">
        <v>1</v>
      </c>
      <c r="D124" s="1453" t="s">
        <v>3364</v>
      </c>
      <c r="E124" s="1445">
        <v>6</v>
      </c>
      <c r="F124" s="1446">
        <v>0.9</v>
      </c>
      <c r="G124" s="1446">
        <v>0.9</v>
      </c>
      <c r="H124" s="1447">
        <v>0.2</v>
      </c>
      <c r="I124" s="1448">
        <f t="shared" si="7"/>
        <v>0.97</v>
      </c>
      <c r="J124" s="1449"/>
      <c r="K124" s="1439"/>
      <c r="L124" s="1439"/>
      <c r="M124" s="1439"/>
      <c r="N124" s="1439"/>
      <c r="O124" s="1439"/>
      <c r="P124" s="1439"/>
      <c r="Q124" s="1439"/>
      <c r="R124" s="1439"/>
      <c r="S124" s="1439"/>
      <c r="T124" s="1439"/>
      <c r="U124" s="1439"/>
      <c r="V124" s="1439"/>
      <c r="W124" s="1439"/>
      <c r="X124" s="1439"/>
      <c r="Y124" s="1439"/>
      <c r="Z124" s="1439"/>
      <c r="AA124" s="1439"/>
      <c r="AB124" s="1439"/>
      <c r="AC124" s="1439"/>
      <c r="AD124" s="1439"/>
      <c r="AE124" s="1439"/>
      <c r="AF124" s="1439"/>
      <c r="AG124" s="1439"/>
    </row>
    <row r="125" spans="1:33" ht="15.75" customHeight="1">
      <c r="A125" s="1443"/>
      <c r="B125" s="1455" t="s">
        <v>7395</v>
      </c>
      <c r="C125" s="1445"/>
      <c r="D125" s="1453"/>
      <c r="E125" s="1445"/>
      <c r="F125" s="1446"/>
      <c r="G125" s="1446"/>
      <c r="H125" s="1447"/>
      <c r="I125" s="1448"/>
      <c r="J125" s="1449"/>
      <c r="K125" s="1439"/>
      <c r="L125" s="1439"/>
      <c r="M125" s="1439"/>
      <c r="N125" s="1439"/>
      <c r="O125" s="1439"/>
      <c r="P125" s="1439"/>
      <c r="Q125" s="1439"/>
      <c r="R125" s="1439"/>
      <c r="S125" s="1439"/>
      <c r="T125" s="1439"/>
      <c r="U125" s="1439"/>
      <c r="V125" s="1439"/>
      <c r="W125" s="1439"/>
      <c r="X125" s="1439"/>
      <c r="Y125" s="1439"/>
      <c r="Z125" s="1439"/>
      <c r="AA125" s="1439"/>
      <c r="AB125" s="1439"/>
      <c r="AC125" s="1439"/>
      <c r="AD125" s="1439"/>
      <c r="AE125" s="1439"/>
      <c r="AF125" s="1439"/>
      <c r="AG125" s="1439"/>
    </row>
    <row r="126" spans="1:33" ht="15.75" customHeight="1">
      <c r="A126" s="1443"/>
      <c r="B126" s="1452" t="s">
        <v>7396</v>
      </c>
      <c r="C126" s="1445">
        <v>3</v>
      </c>
      <c r="D126" s="1453" t="s">
        <v>3364</v>
      </c>
      <c r="E126" s="1445">
        <v>1</v>
      </c>
      <c r="F126" s="1446">
        <v>0.23</v>
      </c>
      <c r="G126" s="1454">
        <v>0.3</v>
      </c>
      <c r="H126" s="1447">
        <v>2.65</v>
      </c>
      <c r="I126" s="1448">
        <f t="shared" si="7"/>
        <v>0.55000000000000004</v>
      </c>
      <c r="J126" s="1449"/>
      <c r="K126" s="1439"/>
      <c r="L126" s="1439"/>
      <c r="M126" s="1439"/>
      <c r="N126" s="1439"/>
      <c r="O126" s="1439"/>
      <c r="P126" s="1439"/>
      <c r="Q126" s="1439"/>
      <c r="R126" s="1439"/>
      <c r="S126" s="1439"/>
      <c r="T126" s="1439"/>
      <c r="U126" s="1439"/>
      <c r="V126" s="1439"/>
      <c r="W126" s="1439"/>
      <c r="X126" s="1439"/>
      <c r="Y126" s="1439"/>
      <c r="Z126" s="1439"/>
      <c r="AA126" s="1439"/>
      <c r="AB126" s="1439"/>
      <c r="AC126" s="1439"/>
      <c r="AD126" s="1439"/>
      <c r="AE126" s="1439"/>
      <c r="AF126" s="1439"/>
      <c r="AG126" s="1439"/>
    </row>
    <row r="127" spans="1:33" ht="15.75" customHeight="1">
      <c r="A127" s="1443"/>
      <c r="B127" s="1452" t="s">
        <v>7397</v>
      </c>
      <c r="C127" s="1445">
        <v>2</v>
      </c>
      <c r="D127" s="1453" t="s">
        <v>3364</v>
      </c>
      <c r="E127" s="1445">
        <v>1</v>
      </c>
      <c r="F127" s="1446">
        <v>0.23</v>
      </c>
      <c r="G127" s="1446">
        <v>0.38</v>
      </c>
      <c r="H127" s="1447">
        <v>2.65</v>
      </c>
      <c r="I127" s="1448">
        <f t="shared" si="7"/>
        <v>0.46</v>
      </c>
      <c r="J127" s="1449"/>
      <c r="K127" s="1439"/>
      <c r="L127" s="1439"/>
      <c r="M127" s="1439"/>
      <c r="N127" s="1439"/>
      <c r="O127" s="1439"/>
      <c r="P127" s="1439"/>
      <c r="Q127" s="1439"/>
      <c r="R127" s="1439"/>
      <c r="S127" s="1439"/>
      <c r="T127" s="1439"/>
      <c r="U127" s="1439"/>
      <c r="V127" s="1439"/>
      <c r="W127" s="1439"/>
      <c r="X127" s="1439"/>
      <c r="Y127" s="1439"/>
      <c r="Z127" s="1439"/>
      <c r="AA127" s="1439"/>
      <c r="AB127" s="1439"/>
      <c r="AC127" s="1439"/>
      <c r="AD127" s="1439"/>
      <c r="AE127" s="1439"/>
      <c r="AF127" s="1439"/>
      <c r="AG127" s="1439"/>
    </row>
    <row r="128" spans="1:33" ht="15.75" customHeight="1">
      <c r="A128" s="1443"/>
      <c r="B128" s="1452" t="s">
        <v>7398</v>
      </c>
      <c r="C128" s="1445">
        <v>4</v>
      </c>
      <c r="D128" s="1453" t="s">
        <v>3364</v>
      </c>
      <c r="E128" s="1445">
        <v>1</v>
      </c>
      <c r="F128" s="1446">
        <v>0.23</v>
      </c>
      <c r="G128" s="1446">
        <v>0.45</v>
      </c>
      <c r="H128" s="1447">
        <v>2.65</v>
      </c>
      <c r="I128" s="1448">
        <f t="shared" si="7"/>
        <v>1.1000000000000001</v>
      </c>
      <c r="J128" s="1449"/>
      <c r="K128" s="1439"/>
      <c r="L128" s="1439"/>
      <c r="M128" s="1439"/>
      <c r="N128" s="1439"/>
      <c r="O128" s="1439"/>
      <c r="P128" s="1439"/>
      <c r="Q128" s="1439"/>
      <c r="R128" s="1439"/>
      <c r="S128" s="1439"/>
      <c r="T128" s="1439"/>
      <c r="U128" s="1439"/>
      <c r="V128" s="1439"/>
      <c r="W128" s="1439"/>
      <c r="X128" s="1439"/>
      <c r="Y128" s="1439"/>
      <c r="Z128" s="1439"/>
      <c r="AA128" s="1439"/>
      <c r="AB128" s="1439"/>
      <c r="AC128" s="1439"/>
      <c r="AD128" s="1439"/>
      <c r="AE128" s="1439"/>
      <c r="AF128" s="1439"/>
      <c r="AG128" s="1439"/>
    </row>
    <row r="129" spans="1:33" ht="15.75" customHeight="1">
      <c r="A129" s="1443"/>
      <c r="B129" s="1452" t="s">
        <v>7399</v>
      </c>
      <c r="C129" s="1445">
        <v>5</v>
      </c>
      <c r="D129" s="1453" t="s">
        <v>3364</v>
      </c>
      <c r="E129" s="1445">
        <v>1</v>
      </c>
      <c r="F129" s="1446">
        <v>0.23</v>
      </c>
      <c r="G129" s="1446">
        <v>0.45</v>
      </c>
      <c r="H129" s="1447">
        <v>2.65</v>
      </c>
      <c r="I129" s="1448">
        <f t="shared" si="7"/>
        <v>1.37</v>
      </c>
      <c r="J129" s="1449"/>
      <c r="K129" s="1439"/>
      <c r="L129" s="1439"/>
      <c r="M129" s="1439"/>
      <c r="N129" s="1439"/>
      <c r="O129" s="1439"/>
      <c r="P129" s="1439"/>
      <c r="Q129" s="1439"/>
      <c r="R129" s="1439"/>
      <c r="S129" s="1439"/>
      <c r="T129" s="1439"/>
      <c r="U129" s="1439"/>
      <c r="V129" s="1439"/>
      <c r="W129" s="1439"/>
      <c r="X129" s="1439"/>
      <c r="Y129" s="1439"/>
      <c r="Z129" s="1439"/>
      <c r="AA129" s="1439"/>
      <c r="AB129" s="1439"/>
      <c r="AC129" s="1439"/>
      <c r="AD129" s="1439"/>
      <c r="AE129" s="1439"/>
      <c r="AF129" s="1439"/>
      <c r="AG129" s="1439"/>
    </row>
    <row r="130" spans="1:33" ht="15.75" customHeight="1">
      <c r="A130" s="1443"/>
      <c r="B130" s="1452" t="s">
        <v>7400</v>
      </c>
      <c r="C130" s="1445">
        <v>6</v>
      </c>
      <c r="D130" s="1453" t="s">
        <v>3364</v>
      </c>
      <c r="E130" s="1445">
        <v>1</v>
      </c>
      <c r="F130" s="1446">
        <v>0.3</v>
      </c>
      <c r="G130" s="1446">
        <v>0.45</v>
      </c>
      <c r="H130" s="1447">
        <v>2.65</v>
      </c>
      <c r="I130" s="1448">
        <f t="shared" si="7"/>
        <v>2.15</v>
      </c>
      <c r="J130" s="1449"/>
      <c r="K130" s="1439"/>
      <c r="L130" s="1439">
        <f>3-0.2-0.1-1.05</f>
        <v>1.65</v>
      </c>
      <c r="M130" s="1439"/>
      <c r="N130" s="1439"/>
      <c r="O130" s="1439"/>
      <c r="P130" s="1439"/>
      <c r="Q130" s="1439"/>
      <c r="R130" s="1439"/>
      <c r="S130" s="1439"/>
      <c r="T130" s="1439"/>
      <c r="U130" s="1439"/>
      <c r="V130" s="1439"/>
      <c r="W130" s="1439"/>
      <c r="X130" s="1439"/>
      <c r="Y130" s="1439"/>
      <c r="Z130" s="1439"/>
      <c r="AA130" s="1439"/>
      <c r="AB130" s="1439"/>
      <c r="AC130" s="1439"/>
      <c r="AD130" s="1439"/>
      <c r="AE130" s="1439"/>
      <c r="AF130" s="1439"/>
      <c r="AG130" s="1439"/>
    </row>
    <row r="131" spans="1:33" ht="15.75" customHeight="1">
      <c r="A131" s="1443"/>
      <c r="B131" s="1452" t="s">
        <v>7401</v>
      </c>
      <c r="C131" s="1445">
        <v>6</v>
      </c>
      <c r="D131" s="1453" t="s">
        <v>3364</v>
      </c>
      <c r="E131" s="1445">
        <v>1</v>
      </c>
      <c r="F131" s="1446">
        <v>0.3</v>
      </c>
      <c r="G131" s="1446">
        <v>0.45</v>
      </c>
      <c r="H131" s="1447">
        <v>2.65</v>
      </c>
      <c r="I131" s="1448">
        <f t="shared" si="7"/>
        <v>2.15</v>
      </c>
      <c r="J131" s="1449"/>
      <c r="K131" s="1439"/>
      <c r="L131" s="1439">
        <f>1.65+1</f>
        <v>2.65</v>
      </c>
      <c r="M131" s="1439"/>
      <c r="N131" s="1439"/>
      <c r="O131" s="1439"/>
      <c r="P131" s="1439"/>
      <c r="Q131" s="1439"/>
      <c r="R131" s="1439"/>
      <c r="S131" s="1439"/>
      <c r="T131" s="1439"/>
      <c r="U131" s="1439"/>
      <c r="V131" s="1439"/>
      <c r="W131" s="1439"/>
      <c r="X131" s="1439"/>
      <c r="Y131" s="1439"/>
      <c r="Z131" s="1439"/>
      <c r="AA131" s="1439"/>
      <c r="AB131" s="1439"/>
      <c r="AC131" s="1439"/>
      <c r="AD131" s="1439"/>
      <c r="AE131" s="1439"/>
      <c r="AF131" s="1439"/>
      <c r="AG131" s="1439"/>
    </row>
    <row r="132" spans="1:33" ht="15.75" customHeight="1">
      <c r="A132" s="1443"/>
      <c r="B132" s="1452" t="s">
        <v>7402</v>
      </c>
      <c r="C132" s="1445">
        <v>2</v>
      </c>
      <c r="D132" s="1453" t="s">
        <v>3364</v>
      </c>
      <c r="E132" s="1445">
        <v>1</v>
      </c>
      <c r="F132" s="1446">
        <v>0.3</v>
      </c>
      <c r="G132" s="1446">
        <v>0.6</v>
      </c>
      <c r="H132" s="1447">
        <v>2.65</v>
      </c>
      <c r="I132" s="1448">
        <f t="shared" si="7"/>
        <v>0.95</v>
      </c>
      <c r="J132" s="1449"/>
      <c r="K132" s="1439"/>
      <c r="L132" s="1439"/>
      <c r="M132" s="1439"/>
      <c r="N132" s="1439"/>
      <c r="O132" s="1439"/>
      <c r="P132" s="1439"/>
      <c r="Q132" s="1439"/>
      <c r="R132" s="1439"/>
      <c r="S132" s="1439"/>
      <c r="T132" s="1439"/>
      <c r="U132" s="1439"/>
      <c r="V132" s="1439"/>
      <c r="W132" s="1439"/>
      <c r="X132" s="1439"/>
      <c r="Y132" s="1439"/>
      <c r="Z132" s="1439"/>
      <c r="AA132" s="1439"/>
      <c r="AB132" s="1439"/>
      <c r="AC132" s="1439"/>
      <c r="AD132" s="1439"/>
      <c r="AE132" s="1439"/>
      <c r="AF132" s="1439"/>
      <c r="AG132" s="1439"/>
    </row>
    <row r="133" spans="1:33" ht="15.75" customHeight="1">
      <c r="A133" s="1443"/>
      <c r="B133" s="1452" t="s">
        <v>7403</v>
      </c>
      <c r="C133" s="1445">
        <v>6</v>
      </c>
      <c r="D133" s="1453" t="s">
        <v>3364</v>
      </c>
      <c r="E133" s="1445">
        <v>1</v>
      </c>
      <c r="F133" s="1446">
        <v>0.3</v>
      </c>
      <c r="G133" s="1446">
        <v>0.6</v>
      </c>
      <c r="H133" s="1447">
        <v>2.65</v>
      </c>
      <c r="I133" s="1448">
        <f t="shared" si="7"/>
        <v>2.86</v>
      </c>
      <c r="J133" s="1449"/>
      <c r="K133" s="1439"/>
      <c r="L133" s="1439"/>
      <c r="M133" s="1439"/>
      <c r="N133" s="1439"/>
      <c r="O133" s="1439"/>
      <c r="P133" s="1439"/>
      <c r="Q133" s="1439"/>
      <c r="R133" s="1439"/>
      <c r="S133" s="1439"/>
      <c r="T133" s="1439"/>
      <c r="U133" s="1439"/>
      <c r="V133" s="1439"/>
      <c r="W133" s="1439"/>
      <c r="X133" s="1439"/>
      <c r="Y133" s="1439"/>
      <c r="Z133" s="1439"/>
      <c r="AA133" s="1439"/>
      <c r="AB133" s="1439"/>
      <c r="AC133" s="1439"/>
      <c r="AD133" s="1439"/>
      <c r="AE133" s="1439"/>
      <c r="AF133" s="1439"/>
      <c r="AG133" s="1439"/>
    </row>
    <row r="134" spans="1:33" ht="15.75" customHeight="1">
      <c r="A134" s="1443"/>
      <c r="B134" s="1452"/>
      <c r="C134" s="1445"/>
      <c r="D134" s="1453"/>
      <c r="E134" s="1445"/>
      <c r="F134" s="1446"/>
      <c r="G134" s="1458" t="s">
        <v>104</v>
      </c>
      <c r="H134" s="1447"/>
      <c r="I134" s="1459">
        <f>SUM(I105:I133)</f>
        <v>258.39999999999998</v>
      </c>
      <c r="J134" s="1449"/>
      <c r="K134" s="1439"/>
      <c r="L134" s="1439"/>
      <c r="M134" s="1439"/>
      <c r="N134" s="1439"/>
      <c r="O134" s="1439"/>
      <c r="P134" s="1439"/>
      <c r="Q134" s="1439"/>
      <c r="R134" s="1439"/>
      <c r="S134" s="1439"/>
      <c r="T134" s="1439"/>
      <c r="U134" s="1439"/>
      <c r="V134" s="1439"/>
      <c r="W134" s="1439"/>
      <c r="X134" s="1439"/>
      <c r="Y134" s="1439"/>
      <c r="Z134" s="1439"/>
      <c r="AA134" s="1439"/>
      <c r="AB134" s="1439"/>
      <c r="AC134" s="1439"/>
      <c r="AD134" s="1439"/>
      <c r="AE134" s="1439"/>
      <c r="AF134" s="1439"/>
      <c r="AG134" s="1439"/>
    </row>
    <row r="135" spans="1:33" ht="15.75" customHeight="1">
      <c r="A135" s="1443"/>
      <c r="B135" s="1450"/>
      <c r="C135" s="1445"/>
      <c r="D135" s="1445"/>
      <c r="E135" s="1445"/>
      <c r="F135" s="1446"/>
      <c r="G135" s="1446"/>
      <c r="H135" s="1460" t="s">
        <v>2981</v>
      </c>
      <c r="I135" s="1459">
        <f>CEILING(I134,0.1)</f>
        <v>258.39999999999998</v>
      </c>
      <c r="J135" s="1449" t="s">
        <v>5</v>
      </c>
      <c r="K135" s="1439"/>
      <c r="L135" s="1439"/>
      <c r="M135" s="1439"/>
      <c r="N135" s="1439"/>
      <c r="O135" s="1439"/>
      <c r="P135" s="1439"/>
      <c r="Q135" s="1439"/>
      <c r="R135" s="1439"/>
      <c r="S135" s="1439"/>
      <c r="T135" s="1439"/>
      <c r="U135" s="1439"/>
      <c r="V135" s="1439"/>
      <c r="W135" s="1439"/>
      <c r="X135" s="1439"/>
      <c r="Y135" s="1439"/>
      <c r="Z135" s="1439"/>
      <c r="AA135" s="1439"/>
      <c r="AB135" s="1439"/>
      <c r="AC135" s="1439"/>
      <c r="AD135" s="1439"/>
      <c r="AE135" s="1439"/>
      <c r="AF135" s="1439"/>
      <c r="AG135" s="1439"/>
    </row>
    <row r="136" spans="1:33" ht="15.75" customHeight="1">
      <c r="A136" s="1464"/>
      <c r="B136" s="1456" t="s">
        <v>3380</v>
      </c>
      <c r="C136" s="1465"/>
      <c r="D136" s="1465"/>
      <c r="E136" s="1465"/>
      <c r="F136" s="1458"/>
      <c r="G136" s="1458"/>
      <c r="H136" s="1460"/>
      <c r="I136" s="1459"/>
      <c r="J136" s="1449"/>
      <c r="K136" s="1466"/>
      <c r="L136" s="1439"/>
      <c r="M136" s="1439"/>
      <c r="N136" s="1439"/>
      <c r="O136" s="1466"/>
      <c r="P136" s="1466"/>
      <c r="Q136" s="1466"/>
      <c r="R136" s="1466"/>
      <c r="S136" s="1466"/>
      <c r="T136" s="1466"/>
      <c r="U136" s="1466"/>
      <c r="V136" s="1466"/>
      <c r="W136" s="1466"/>
      <c r="X136" s="1466"/>
      <c r="Y136" s="1466"/>
      <c r="Z136" s="1466"/>
      <c r="AA136" s="1466"/>
      <c r="AB136" s="1466"/>
      <c r="AC136" s="1466"/>
      <c r="AD136" s="1466"/>
      <c r="AE136" s="1466"/>
      <c r="AF136" s="1466"/>
      <c r="AG136" s="1466"/>
    </row>
    <row r="137" spans="1:33" ht="15.75" customHeight="1">
      <c r="A137" s="1443"/>
      <c r="B137" s="1452" t="s">
        <v>7396</v>
      </c>
      <c r="C137" s="1445">
        <v>3</v>
      </c>
      <c r="D137" s="1453" t="s">
        <v>3364</v>
      </c>
      <c r="E137" s="1445">
        <v>1</v>
      </c>
      <c r="F137" s="1446">
        <v>0.23</v>
      </c>
      <c r="G137" s="1454">
        <v>0.3</v>
      </c>
      <c r="H137" s="1447">
        <v>2.9</v>
      </c>
      <c r="I137" s="1448">
        <f t="shared" ref="I137:I144" si="8">PRODUCT(C137:H137)</f>
        <v>0.6</v>
      </c>
      <c r="J137" s="1449"/>
      <c r="K137" s="1439"/>
      <c r="L137" s="1439"/>
      <c r="M137" s="1439"/>
      <c r="N137" s="1439"/>
      <c r="O137" s="1439"/>
      <c r="P137" s="1439"/>
      <c r="Q137" s="1439"/>
      <c r="R137" s="1439"/>
      <c r="S137" s="1439"/>
      <c r="T137" s="1439"/>
      <c r="U137" s="1439"/>
      <c r="V137" s="1439"/>
      <c r="W137" s="1439"/>
      <c r="X137" s="1439"/>
      <c r="Y137" s="1439"/>
      <c r="Z137" s="1439"/>
      <c r="AA137" s="1439"/>
      <c r="AB137" s="1439"/>
      <c r="AC137" s="1439"/>
      <c r="AD137" s="1439"/>
      <c r="AE137" s="1439"/>
      <c r="AF137" s="1439"/>
      <c r="AG137" s="1439"/>
    </row>
    <row r="138" spans="1:33" ht="15.75" customHeight="1">
      <c r="A138" s="1443"/>
      <c r="B138" s="1452" t="s">
        <v>7397</v>
      </c>
      <c r="C138" s="1445">
        <v>2</v>
      </c>
      <c r="D138" s="1453" t="s">
        <v>3364</v>
      </c>
      <c r="E138" s="1445">
        <v>1</v>
      </c>
      <c r="F138" s="1446">
        <v>0.23</v>
      </c>
      <c r="G138" s="1446">
        <v>0.38</v>
      </c>
      <c r="H138" s="1447">
        <v>2.9</v>
      </c>
      <c r="I138" s="1448">
        <f t="shared" si="8"/>
        <v>0.51</v>
      </c>
      <c r="J138" s="1449"/>
      <c r="K138" s="1439"/>
      <c r="L138" s="1439"/>
      <c r="M138" s="1439"/>
      <c r="N138" s="1439"/>
      <c r="O138" s="1439"/>
      <c r="P138" s="1439"/>
      <c r="Q138" s="1439"/>
      <c r="R138" s="1439"/>
      <c r="S138" s="1439"/>
      <c r="T138" s="1439"/>
      <c r="U138" s="1439"/>
      <c r="V138" s="1439"/>
      <c r="W138" s="1439"/>
      <c r="X138" s="1439"/>
      <c r="Y138" s="1439"/>
      <c r="Z138" s="1439"/>
      <c r="AA138" s="1439"/>
      <c r="AB138" s="1439"/>
      <c r="AC138" s="1439"/>
      <c r="AD138" s="1439"/>
      <c r="AE138" s="1439"/>
      <c r="AF138" s="1439"/>
      <c r="AG138" s="1439"/>
    </row>
    <row r="139" spans="1:33" ht="15.75" customHeight="1">
      <c r="A139" s="1443"/>
      <c r="B139" s="1452" t="s">
        <v>7398</v>
      </c>
      <c r="C139" s="1445">
        <v>4</v>
      </c>
      <c r="D139" s="1453" t="s">
        <v>3364</v>
      </c>
      <c r="E139" s="1445">
        <v>1</v>
      </c>
      <c r="F139" s="1446">
        <v>0.23</v>
      </c>
      <c r="G139" s="1446">
        <v>0.45</v>
      </c>
      <c r="H139" s="1447">
        <v>2.9</v>
      </c>
      <c r="I139" s="1448">
        <f t="shared" si="8"/>
        <v>1.2</v>
      </c>
      <c r="J139" s="1449"/>
      <c r="K139" s="1439"/>
      <c r="L139" s="1439">
        <f>3.6-0.45</f>
        <v>3.15</v>
      </c>
      <c r="M139" s="1439"/>
      <c r="N139" s="1439"/>
      <c r="O139" s="1439"/>
      <c r="P139" s="1439"/>
      <c r="Q139" s="1439"/>
      <c r="R139" s="1439"/>
      <c r="S139" s="1439"/>
      <c r="T139" s="1439"/>
      <c r="U139" s="1439"/>
      <c r="V139" s="1439"/>
      <c r="W139" s="1439"/>
      <c r="X139" s="1439"/>
      <c r="Y139" s="1439"/>
      <c r="Z139" s="1439"/>
      <c r="AA139" s="1439"/>
      <c r="AB139" s="1439"/>
      <c r="AC139" s="1439"/>
      <c r="AD139" s="1439"/>
      <c r="AE139" s="1439"/>
      <c r="AF139" s="1439"/>
      <c r="AG139" s="1439"/>
    </row>
    <row r="140" spans="1:33" ht="15.75" customHeight="1">
      <c r="A140" s="1443"/>
      <c r="B140" s="1452" t="s">
        <v>7399</v>
      </c>
      <c r="C140" s="1445">
        <v>5</v>
      </c>
      <c r="D140" s="1453" t="s">
        <v>3364</v>
      </c>
      <c r="E140" s="1445">
        <v>1</v>
      </c>
      <c r="F140" s="1446">
        <v>0.23</v>
      </c>
      <c r="G140" s="1446">
        <v>0.45</v>
      </c>
      <c r="H140" s="1447">
        <v>2.9</v>
      </c>
      <c r="I140" s="1448">
        <f t="shared" si="8"/>
        <v>1.5</v>
      </c>
      <c r="J140" s="1449"/>
      <c r="K140" s="1439"/>
      <c r="L140" s="1439"/>
      <c r="M140" s="1439"/>
      <c r="N140" s="1439"/>
      <c r="O140" s="1439"/>
      <c r="P140" s="1439"/>
      <c r="Q140" s="1439"/>
      <c r="R140" s="1439"/>
      <c r="S140" s="1439"/>
      <c r="T140" s="1439"/>
      <c r="U140" s="1439"/>
      <c r="V140" s="1439"/>
      <c r="W140" s="1439"/>
      <c r="X140" s="1439"/>
      <c r="Y140" s="1439"/>
      <c r="Z140" s="1439"/>
      <c r="AA140" s="1439"/>
      <c r="AB140" s="1439"/>
      <c r="AC140" s="1439"/>
      <c r="AD140" s="1439"/>
      <c r="AE140" s="1439"/>
      <c r="AF140" s="1439"/>
      <c r="AG140" s="1439"/>
    </row>
    <row r="141" spans="1:33" ht="15.75" customHeight="1">
      <c r="A141" s="1443"/>
      <c r="B141" s="1452" t="s">
        <v>7400</v>
      </c>
      <c r="C141" s="1445">
        <v>6</v>
      </c>
      <c r="D141" s="1453" t="s">
        <v>3364</v>
      </c>
      <c r="E141" s="1445">
        <v>1</v>
      </c>
      <c r="F141" s="1446">
        <v>0.3</v>
      </c>
      <c r="G141" s="1446">
        <v>0.45</v>
      </c>
      <c r="H141" s="1447">
        <v>2.9</v>
      </c>
      <c r="I141" s="1448">
        <f t="shared" si="8"/>
        <v>2.35</v>
      </c>
      <c r="J141" s="1449"/>
      <c r="K141" s="1439"/>
      <c r="L141" s="1439">
        <f>3-0.2-0.1-1.05</f>
        <v>1.65</v>
      </c>
      <c r="M141" s="1439"/>
      <c r="N141" s="1439"/>
      <c r="O141" s="1439"/>
      <c r="P141" s="1439"/>
      <c r="Q141" s="1439"/>
      <c r="R141" s="1439"/>
      <c r="S141" s="1439"/>
      <c r="T141" s="1439"/>
      <c r="U141" s="1439"/>
      <c r="V141" s="1439"/>
      <c r="W141" s="1439"/>
      <c r="X141" s="1439"/>
      <c r="Y141" s="1439"/>
      <c r="Z141" s="1439"/>
      <c r="AA141" s="1439"/>
      <c r="AB141" s="1439"/>
      <c r="AC141" s="1439"/>
      <c r="AD141" s="1439"/>
      <c r="AE141" s="1439"/>
      <c r="AF141" s="1439"/>
      <c r="AG141" s="1439"/>
    </row>
    <row r="142" spans="1:33" ht="15.75" customHeight="1">
      <c r="A142" s="1443"/>
      <c r="B142" s="1452" t="s">
        <v>7401</v>
      </c>
      <c r="C142" s="1445">
        <v>6</v>
      </c>
      <c r="D142" s="1453" t="s">
        <v>3364</v>
      </c>
      <c r="E142" s="1445">
        <v>1</v>
      </c>
      <c r="F142" s="1446">
        <v>0.3</v>
      </c>
      <c r="G142" s="1446">
        <v>0.45</v>
      </c>
      <c r="H142" s="1447">
        <v>2.9</v>
      </c>
      <c r="I142" s="1448">
        <f t="shared" si="8"/>
        <v>2.35</v>
      </c>
      <c r="J142" s="1449"/>
      <c r="K142" s="1439"/>
      <c r="L142" s="1439">
        <f>1.65+1</f>
        <v>2.65</v>
      </c>
      <c r="M142" s="1439"/>
      <c r="N142" s="1439"/>
      <c r="O142" s="1439"/>
      <c r="P142" s="1439"/>
      <c r="Q142" s="1439"/>
      <c r="R142" s="1439"/>
      <c r="S142" s="1439"/>
      <c r="T142" s="1439"/>
      <c r="U142" s="1439"/>
      <c r="V142" s="1439"/>
      <c r="W142" s="1439"/>
      <c r="X142" s="1439"/>
      <c r="Y142" s="1439"/>
      <c r="Z142" s="1439"/>
      <c r="AA142" s="1439"/>
      <c r="AB142" s="1439"/>
      <c r="AC142" s="1439"/>
      <c r="AD142" s="1439"/>
      <c r="AE142" s="1439"/>
      <c r="AF142" s="1439"/>
      <c r="AG142" s="1439"/>
    </row>
    <row r="143" spans="1:33" ht="15.75" customHeight="1">
      <c r="A143" s="1443"/>
      <c r="B143" s="1452" t="s">
        <v>7402</v>
      </c>
      <c r="C143" s="1445">
        <v>2</v>
      </c>
      <c r="D143" s="1453" t="s">
        <v>3364</v>
      </c>
      <c r="E143" s="1445">
        <v>1</v>
      </c>
      <c r="F143" s="1446">
        <v>0.3</v>
      </c>
      <c r="G143" s="1446">
        <v>0.6</v>
      </c>
      <c r="H143" s="1447">
        <v>2.9</v>
      </c>
      <c r="I143" s="1448">
        <f t="shared" si="8"/>
        <v>1.04</v>
      </c>
      <c r="J143" s="1449"/>
      <c r="K143" s="1439"/>
      <c r="L143" s="1439"/>
      <c r="M143" s="1439"/>
      <c r="N143" s="1439"/>
      <c r="O143" s="1439"/>
      <c r="P143" s="1439"/>
      <c r="Q143" s="1439"/>
      <c r="R143" s="1439"/>
      <c r="S143" s="1439"/>
      <c r="T143" s="1439"/>
      <c r="U143" s="1439"/>
      <c r="V143" s="1439"/>
      <c r="W143" s="1439"/>
      <c r="X143" s="1439"/>
      <c r="Y143" s="1439"/>
      <c r="Z143" s="1439"/>
      <c r="AA143" s="1439"/>
      <c r="AB143" s="1439"/>
      <c r="AC143" s="1439"/>
      <c r="AD143" s="1439"/>
      <c r="AE143" s="1439"/>
      <c r="AF143" s="1439"/>
      <c r="AG143" s="1439"/>
    </row>
    <row r="144" spans="1:33" ht="15.75" customHeight="1">
      <c r="A144" s="1443"/>
      <c r="B144" s="1452" t="s">
        <v>7403</v>
      </c>
      <c r="C144" s="1445">
        <v>6</v>
      </c>
      <c r="D144" s="1453" t="s">
        <v>3364</v>
      </c>
      <c r="E144" s="1445">
        <v>1</v>
      </c>
      <c r="F144" s="1446">
        <v>0.3</v>
      </c>
      <c r="G144" s="1446">
        <v>0.6</v>
      </c>
      <c r="H144" s="1447">
        <v>2.9</v>
      </c>
      <c r="I144" s="1448">
        <f t="shared" si="8"/>
        <v>3.13</v>
      </c>
      <c r="J144" s="1449"/>
      <c r="K144" s="1439"/>
      <c r="L144" s="1439"/>
      <c r="M144" s="1439"/>
      <c r="N144" s="1439"/>
      <c r="O144" s="1439"/>
      <c r="P144" s="1439"/>
      <c r="Q144" s="1439"/>
      <c r="R144" s="1439"/>
      <c r="S144" s="1439"/>
      <c r="T144" s="1439"/>
      <c r="U144" s="1439"/>
      <c r="V144" s="1439"/>
      <c r="W144" s="1439"/>
      <c r="X144" s="1439"/>
      <c r="Y144" s="1439"/>
      <c r="Z144" s="1439"/>
      <c r="AA144" s="1439"/>
      <c r="AB144" s="1439"/>
      <c r="AC144" s="1439"/>
      <c r="AD144" s="1439"/>
      <c r="AE144" s="1439"/>
      <c r="AF144" s="1439"/>
      <c r="AG144" s="1439"/>
    </row>
    <row r="145" spans="1:33" ht="31.5">
      <c r="A145" s="1443"/>
      <c r="B145" s="1456" t="s">
        <v>6853</v>
      </c>
      <c r="C145" s="1445">
        <v>2</v>
      </c>
      <c r="D145" s="1453" t="s">
        <v>3364</v>
      </c>
      <c r="E145" s="1445">
        <v>1</v>
      </c>
      <c r="F145" s="1446">
        <v>18.43</v>
      </c>
      <c r="G145" s="1446">
        <v>0.23</v>
      </c>
      <c r="H145" s="1447">
        <v>0.6</v>
      </c>
      <c r="I145" s="1448">
        <f t="shared" ref="I145:I177" si="9">PRODUCT(C145:H145)</f>
        <v>5.09</v>
      </c>
      <c r="J145" s="1449"/>
      <c r="K145" s="1439"/>
      <c r="L145" s="1439"/>
      <c r="M145" s="1439"/>
      <c r="N145" s="1439"/>
      <c r="O145" s="1439"/>
      <c r="P145" s="1439"/>
      <c r="Q145" s="1439"/>
      <c r="R145" s="1439"/>
      <c r="S145" s="1439"/>
      <c r="T145" s="1439"/>
      <c r="U145" s="1439"/>
      <c r="V145" s="1439"/>
      <c r="W145" s="1439"/>
      <c r="X145" s="1439"/>
      <c r="Y145" s="1439"/>
      <c r="Z145" s="1439"/>
      <c r="AA145" s="1439"/>
      <c r="AB145" s="1439"/>
      <c r="AC145" s="1439"/>
      <c r="AD145" s="1439"/>
      <c r="AE145" s="1439"/>
      <c r="AF145" s="1439"/>
      <c r="AG145" s="1439"/>
    </row>
    <row r="146" spans="1:33">
      <c r="A146" s="1443"/>
      <c r="B146" s="1455" t="s">
        <v>7407</v>
      </c>
      <c r="C146" s="1445"/>
      <c r="D146" s="1445"/>
      <c r="E146" s="1445"/>
      <c r="F146" s="1446"/>
      <c r="G146" s="1446"/>
      <c r="H146" s="1447"/>
      <c r="I146" s="1448"/>
      <c r="J146" s="1449"/>
      <c r="K146" s="1439"/>
      <c r="L146" s="1439"/>
      <c r="M146" s="1439"/>
      <c r="N146" s="1439"/>
      <c r="O146" s="1439"/>
      <c r="P146" s="1439"/>
      <c r="Q146" s="1439"/>
      <c r="R146" s="1439"/>
      <c r="S146" s="1439"/>
      <c r="T146" s="1439"/>
      <c r="U146" s="1439"/>
      <c r="V146" s="1439"/>
      <c r="W146" s="1439"/>
      <c r="X146" s="1439"/>
      <c r="Y146" s="1439"/>
      <c r="Z146" s="1439"/>
      <c r="AA146" s="1439"/>
      <c r="AB146" s="1439"/>
      <c r="AC146" s="1439"/>
      <c r="AD146" s="1439"/>
      <c r="AE146" s="1439"/>
      <c r="AF146" s="1439"/>
      <c r="AG146" s="1439"/>
    </row>
    <row r="147" spans="1:33" ht="15.75" customHeight="1">
      <c r="A147" s="1443"/>
      <c r="B147" s="1452" t="s">
        <v>7388</v>
      </c>
      <c r="C147" s="1445">
        <v>1</v>
      </c>
      <c r="D147" s="1445" t="s">
        <v>3364</v>
      </c>
      <c r="E147" s="1445">
        <v>4</v>
      </c>
      <c r="F147" s="1446">
        <v>27.89</v>
      </c>
      <c r="G147" s="1446">
        <v>0.23</v>
      </c>
      <c r="H147" s="1467">
        <v>0.45</v>
      </c>
      <c r="I147" s="1448">
        <f t="shared" si="9"/>
        <v>11.55</v>
      </c>
      <c r="J147" s="1449"/>
      <c r="K147" s="1439"/>
      <c r="L147" s="1439"/>
      <c r="M147" s="1439"/>
      <c r="N147" s="1439"/>
      <c r="O147" s="1439"/>
      <c r="P147" s="1439"/>
      <c r="Q147" s="1439"/>
      <c r="R147" s="1439"/>
      <c r="S147" s="1439"/>
      <c r="T147" s="1439"/>
      <c r="U147" s="1439"/>
      <c r="V147" s="1439"/>
      <c r="W147" s="1439"/>
      <c r="X147" s="1439"/>
      <c r="Y147" s="1439"/>
      <c r="Z147" s="1439"/>
      <c r="AA147" s="1439"/>
      <c r="AB147" s="1439"/>
      <c r="AC147" s="1439"/>
      <c r="AD147" s="1439"/>
      <c r="AE147" s="1439"/>
      <c r="AF147" s="1439"/>
      <c r="AG147" s="1439"/>
    </row>
    <row r="148" spans="1:33" ht="15.75" customHeight="1">
      <c r="A148" s="1443"/>
      <c r="B148" s="1452" t="s">
        <v>7389</v>
      </c>
      <c r="C148" s="1445">
        <v>1</v>
      </c>
      <c r="D148" s="1445" t="s">
        <v>3364</v>
      </c>
      <c r="E148" s="1445">
        <v>1</v>
      </c>
      <c r="F148" s="1446">
        <f>2.53+0.46</f>
        <v>2.99</v>
      </c>
      <c r="G148" s="1446">
        <v>0.23</v>
      </c>
      <c r="H148" s="1447">
        <v>0.45</v>
      </c>
      <c r="I148" s="1448">
        <f t="shared" si="9"/>
        <v>0.31</v>
      </c>
      <c r="J148" s="1449"/>
      <c r="K148" s="1439"/>
      <c r="L148" s="1439"/>
      <c r="M148" s="1439"/>
      <c r="N148" s="1439"/>
      <c r="O148" s="1439"/>
      <c r="P148" s="1439"/>
      <c r="Q148" s="1439"/>
      <c r="R148" s="1439"/>
      <c r="S148" s="1439"/>
      <c r="T148" s="1439"/>
      <c r="U148" s="1439"/>
      <c r="V148" s="1439"/>
      <c r="W148" s="1439"/>
      <c r="X148" s="1439"/>
      <c r="Y148" s="1439"/>
      <c r="Z148" s="1439"/>
      <c r="AA148" s="1439"/>
      <c r="AB148" s="1439"/>
      <c r="AC148" s="1439"/>
      <c r="AD148" s="1439"/>
      <c r="AE148" s="1439"/>
      <c r="AF148" s="1439"/>
      <c r="AG148" s="1439"/>
    </row>
    <row r="149" spans="1:33" ht="15.75" customHeight="1">
      <c r="A149" s="1443"/>
      <c r="B149" s="1452" t="s">
        <v>7390</v>
      </c>
      <c r="C149" s="1445">
        <v>1</v>
      </c>
      <c r="D149" s="1453" t="s">
        <v>3827</v>
      </c>
      <c r="E149" s="1445">
        <v>1</v>
      </c>
      <c r="F149" s="1446">
        <f>4.765+1.13+2.53+0.23</f>
        <v>8.6549999999999994</v>
      </c>
      <c r="G149" s="1446">
        <v>0.23</v>
      </c>
      <c r="H149" s="1447">
        <v>0.45</v>
      </c>
      <c r="I149" s="1448">
        <f t="shared" si="9"/>
        <v>0.9</v>
      </c>
      <c r="J149" s="1449"/>
      <c r="K149" s="1439"/>
      <c r="L149" s="1439"/>
      <c r="M149" s="1439"/>
      <c r="N149" s="1439"/>
      <c r="O149" s="1439"/>
      <c r="P149" s="1439"/>
      <c r="Q149" s="1439"/>
      <c r="R149" s="1439"/>
      <c r="S149" s="1439"/>
      <c r="T149" s="1439"/>
      <c r="U149" s="1439"/>
      <c r="V149" s="1439"/>
      <c r="W149" s="1439"/>
      <c r="X149" s="1439"/>
      <c r="Y149" s="1439"/>
      <c r="Z149" s="1439"/>
      <c r="AA149" s="1439"/>
      <c r="AB149" s="1439"/>
      <c r="AC149" s="1439"/>
      <c r="AD149" s="1439"/>
      <c r="AE149" s="1439"/>
      <c r="AF149" s="1439"/>
      <c r="AG149" s="1439"/>
    </row>
    <row r="150" spans="1:33" ht="15.75" customHeight="1">
      <c r="A150" s="1443"/>
      <c r="B150" s="1455" t="s">
        <v>7406</v>
      </c>
      <c r="C150" s="1445"/>
      <c r="D150" s="1445"/>
      <c r="E150" s="1445"/>
      <c r="F150" s="1446"/>
      <c r="G150" s="1446"/>
      <c r="H150" s="1447"/>
      <c r="I150" s="1448">
        <f t="shared" si="9"/>
        <v>0</v>
      </c>
      <c r="J150" s="1449"/>
      <c r="K150" s="1439"/>
      <c r="L150" s="1439"/>
      <c r="M150" s="1439"/>
      <c r="N150" s="1439"/>
      <c r="O150" s="1439"/>
      <c r="P150" s="1439"/>
      <c r="Q150" s="1439"/>
      <c r="R150" s="1439"/>
      <c r="S150" s="1439"/>
      <c r="T150" s="1439"/>
      <c r="U150" s="1439"/>
      <c r="V150" s="1439"/>
      <c r="W150" s="1439"/>
      <c r="X150" s="1439"/>
      <c r="Y150" s="1439"/>
      <c r="Z150" s="1439"/>
      <c r="AA150" s="1439"/>
      <c r="AB150" s="1439"/>
      <c r="AC150" s="1439"/>
      <c r="AD150" s="1439"/>
      <c r="AE150" s="1439"/>
      <c r="AF150" s="1439"/>
      <c r="AG150" s="1439"/>
    </row>
    <row r="151" spans="1:33" ht="15.75" customHeight="1">
      <c r="A151" s="1443"/>
      <c r="B151" s="1452" t="s">
        <v>7037</v>
      </c>
      <c r="C151" s="1445">
        <v>1</v>
      </c>
      <c r="D151" s="1445" t="s">
        <v>3364</v>
      </c>
      <c r="E151" s="1445">
        <v>7</v>
      </c>
      <c r="F151" s="1446">
        <v>18.079999999999998</v>
      </c>
      <c r="G151" s="1446">
        <v>0.23</v>
      </c>
      <c r="H151" s="1447">
        <v>0.6</v>
      </c>
      <c r="I151" s="1448">
        <f t="shared" si="9"/>
        <v>17.47</v>
      </c>
      <c r="J151" s="1449"/>
      <c r="K151" s="1439"/>
      <c r="L151" s="1439"/>
      <c r="M151" s="1439"/>
      <c r="N151" s="1439"/>
      <c r="O151" s="1439"/>
      <c r="P151" s="1439"/>
      <c r="Q151" s="1439"/>
      <c r="R151" s="1439"/>
      <c r="S151" s="1439"/>
      <c r="T151" s="1439"/>
      <c r="U151" s="1439"/>
      <c r="V151" s="1439"/>
      <c r="W151" s="1439"/>
      <c r="X151" s="1439"/>
      <c r="Y151" s="1439"/>
      <c r="Z151" s="1439"/>
      <c r="AA151" s="1439"/>
      <c r="AB151" s="1439"/>
      <c r="AC151" s="1439"/>
      <c r="AD151" s="1439"/>
      <c r="AE151" s="1439"/>
      <c r="AF151" s="1439"/>
      <c r="AG151" s="1439"/>
    </row>
    <row r="152" spans="1:33" ht="15.75" customHeight="1">
      <c r="A152" s="1443"/>
      <c r="B152" s="1452" t="s">
        <v>7391</v>
      </c>
      <c r="C152" s="1445">
        <v>1</v>
      </c>
      <c r="D152" s="1445" t="s">
        <v>3364</v>
      </c>
      <c r="E152" s="1445">
        <v>4</v>
      </c>
      <c r="F152" s="1446">
        <v>1.54</v>
      </c>
      <c r="G152" s="1446">
        <v>0.23</v>
      </c>
      <c r="H152" s="1447">
        <v>0.6</v>
      </c>
      <c r="I152" s="1448">
        <f t="shared" si="9"/>
        <v>0.85</v>
      </c>
      <c r="J152" s="1449"/>
      <c r="K152" s="1439"/>
      <c r="L152" s="1439"/>
      <c r="M152" s="1439"/>
      <c r="N152" s="1439"/>
      <c r="O152" s="1439"/>
      <c r="P152" s="1439"/>
      <c r="Q152" s="1439"/>
      <c r="R152" s="1439"/>
      <c r="S152" s="1439"/>
      <c r="T152" s="1439"/>
      <c r="U152" s="1439"/>
      <c r="V152" s="1439"/>
      <c r="W152" s="1439"/>
      <c r="X152" s="1439"/>
      <c r="Y152" s="1439"/>
      <c r="Z152" s="1439"/>
      <c r="AA152" s="1439"/>
      <c r="AB152" s="1439"/>
      <c r="AC152" s="1439"/>
      <c r="AD152" s="1439"/>
      <c r="AE152" s="1439"/>
      <c r="AF152" s="1439"/>
      <c r="AG152" s="1439"/>
    </row>
    <row r="153" spans="1:33" ht="15.75" customHeight="1">
      <c r="A153" s="1443"/>
      <c r="B153" s="1452" t="s">
        <v>7392</v>
      </c>
      <c r="C153" s="1445">
        <v>1</v>
      </c>
      <c r="D153" s="1445" t="s">
        <v>3364</v>
      </c>
      <c r="E153" s="1445">
        <v>1</v>
      </c>
      <c r="F153" s="1446">
        <v>2.3849999999999998</v>
      </c>
      <c r="G153" s="1446">
        <v>0.23</v>
      </c>
      <c r="H153" s="1447">
        <v>0.6</v>
      </c>
      <c r="I153" s="1448">
        <f t="shared" si="9"/>
        <v>0.33</v>
      </c>
      <c r="J153" s="1449"/>
      <c r="K153" s="1439"/>
      <c r="L153" s="1439"/>
      <c r="M153" s="1439"/>
      <c r="N153" s="1439"/>
      <c r="O153" s="1439"/>
      <c r="P153" s="1439"/>
      <c r="Q153" s="1439"/>
      <c r="R153" s="1439"/>
      <c r="S153" s="1439"/>
      <c r="T153" s="1439"/>
      <c r="U153" s="1439"/>
      <c r="V153" s="1439"/>
      <c r="W153" s="1439"/>
      <c r="X153" s="1439"/>
      <c r="Y153" s="1439"/>
      <c r="Z153" s="1439"/>
      <c r="AA153" s="1439"/>
      <c r="AB153" s="1439"/>
      <c r="AC153" s="1439"/>
      <c r="AD153" s="1439"/>
      <c r="AE153" s="1439"/>
      <c r="AF153" s="1439"/>
      <c r="AG153" s="1439"/>
    </row>
    <row r="154" spans="1:33" ht="15.75" customHeight="1">
      <c r="A154" s="1443"/>
      <c r="B154" s="1450" t="s">
        <v>7039</v>
      </c>
      <c r="C154" s="1445">
        <v>1</v>
      </c>
      <c r="D154" s="1445" t="s">
        <v>3364</v>
      </c>
      <c r="E154" s="1445">
        <v>1</v>
      </c>
      <c r="F154" s="1446">
        <f>8.82+0.46</f>
        <v>9.2799999999999994</v>
      </c>
      <c r="G154" s="1446">
        <v>0.23</v>
      </c>
      <c r="H154" s="1447">
        <v>0.6</v>
      </c>
      <c r="I154" s="1448">
        <f t="shared" si="9"/>
        <v>1.28</v>
      </c>
      <c r="J154" s="1449"/>
      <c r="K154" s="1439"/>
      <c r="L154" s="1439"/>
      <c r="M154" s="1439"/>
      <c r="N154" s="1439"/>
      <c r="O154" s="1439"/>
      <c r="P154" s="1439"/>
      <c r="Q154" s="1439"/>
      <c r="R154" s="1439"/>
      <c r="S154" s="1439"/>
      <c r="T154" s="1439"/>
      <c r="U154" s="1439"/>
      <c r="V154" s="1439"/>
      <c r="W154" s="1439"/>
      <c r="X154" s="1439"/>
      <c r="Y154" s="1439"/>
      <c r="Z154" s="1439"/>
      <c r="AA154" s="1439"/>
      <c r="AB154" s="1439"/>
      <c r="AC154" s="1439"/>
      <c r="AD154" s="1439"/>
      <c r="AE154" s="1439"/>
      <c r="AF154" s="1439"/>
      <c r="AG154" s="1439"/>
    </row>
    <row r="155" spans="1:33" ht="15.75" customHeight="1">
      <c r="A155" s="1443"/>
      <c r="B155" s="1452" t="s">
        <v>7404</v>
      </c>
      <c r="C155" s="1445">
        <v>1</v>
      </c>
      <c r="D155" s="1445" t="s">
        <v>3364</v>
      </c>
      <c r="E155" s="1445">
        <v>2</v>
      </c>
      <c r="F155" s="1446">
        <v>3.3460000000000001</v>
      </c>
      <c r="G155" s="1446">
        <v>0.23</v>
      </c>
      <c r="H155" s="1447">
        <v>0.6</v>
      </c>
      <c r="I155" s="1448">
        <f t="shared" si="9"/>
        <v>0.92</v>
      </c>
      <c r="J155" s="1449"/>
      <c r="K155" s="1439"/>
      <c r="L155" s="1439"/>
      <c r="M155" s="1439"/>
      <c r="N155" s="1439"/>
      <c r="O155" s="1439"/>
      <c r="P155" s="1439"/>
      <c r="Q155" s="1439"/>
      <c r="R155" s="1439"/>
      <c r="S155" s="1439"/>
      <c r="T155" s="1439"/>
      <c r="U155" s="1439"/>
      <c r="V155" s="1439"/>
      <c r="W155" s="1439"/>
      <c r="X155" s="1439"/>
      <c r="Y155" s="1439"/>
      <c r="Z155" s="1439"/>
      <c r="AA155" s="1439"/>
      <c r="AB155" s="1439"/>
      <c r="AC155" s="1439"/>
      <c r="AD155" s="1439"/>
      <c r="AE155" s="1439"/>
      <c r="AF155" s="1439"/>
      <c r="AG155" s="1439"/>
    </row>
    <row r="156" spans="1:33" ht="22.5" customHeight="1">
      <c r="A156" s="1443"/>
      <c r="B156" s="1452" t="s">
        <v>7405</v>
      </c>
      <c r="C156" s="1445">
        <v>1</v>
      </c>
      <c r="D156" s="1445" t="s">
        <v>3364</v>
      </c>
      <c r="E156" s="1445">
        <v>3</v>
      </c>
      <c r="F156" s="1446">
        <f>8.01</f>
        <v>8.01</v>
      </c>
      <c r="G156" s="1454">
        <v>4.5</v>
      </c>
      <c r="H156" s="1447">
        <v>0.15</v>
      </c>
      <c r="I156" s="1448">
        <f t="shared" si="9"/>
        <v>16.22</v>
      </c>
      <c r="J156" s="1449"/>
      <c r="K156" s="1439"/>
      <c r="L156" s="1439"/>
      <c r="M156" s="1439"/>
      <c r="N156" s="1439"/>
      <c r="O156" s="1439"/>
      <c r="P156" s="1439"/>
      <c r="Q156" s="1439"/>
      <c r="R156" s="1439"/>
      <c r="S156" s="1439"/>
      <c r="T156" s="1439"/>
      <c r="U156" s="1439"/>
      <c r="V156" s="1439"/>
      <c r="W156" s="1439"/>
      <c r="X156" s="1439"/>
      <c r="Y156" s="1439"/>
      <c r="Z156" s="1439"/>
      <c r="AA156" s="1439"/>
      <c r="AB156" s="1439"/>
      <c r="AC156" s="1439"/>
      <c r="AD156" s="1439"/>
      <c r="AE156" s="1439"/>
      <c r="AF156" s="1439"/>
      <c r="AG156" s="1439"/>
    </row>
    <row r="157" spans="1:33" ht="15.75" customHeight="1">
      <c r="A157" s="1443"/>
      <c r="B157" s="1452" t="s">
        <v>7048</v>
      </c>
      <c r="C157" s="1445">
        <v>1</v>
      </c>
      <c r="D157" s="1445" t="s">
        <v>3364</v>
      </c>
      <c r="E157" s="1445">
        <v>1</v>
      </c>
      <c r="F157" s="1446">
        <v>3.2</v>
      </c>
      <c r="G157" s="1446">
        <v>1.5</v>
      </c>
      <c r="H157" s="1447">
        <v>0.15</v>
      </c>
      <c r="I157" s="1448">
        <f t="shared" si="9"/>
        <v>0.72</v>
      </c>
      <c r="J157" s="1449"/>
      <c r="K157" s="1439"/>
      <c r="L157" s="1439"/>
      <c r="M157" s="1439"/>
      <c r="N157" s="1439"/>
      <c r="O157" s="1439"/>
      <c r="P157" s="1439"/>
      <c r="Q157" s="1439"/>
      <c r="R157" s="1439"/>
      <c r="S157" s="1439"/>
      <c r="T157" s="1439"/>
      <c r="U157" s="1439"/>
      <c r="V157" s="1439"/>
      <c r="W157" s="1439"/>
      <c r="X157" s="1439"/>
      <c r="Y157" s="1439"/>
      <c r="Z157" s="1439"/>
      <c r="AA157" s="1439"/>
      <c r="AB157" s="1439"/>
      <c r="AC157" s="1439"/>
      <c r="AD157" s="1439"/>
      <c r="AE157" s="1439"/>
      <c r="AF157" s="1439"/>
      <c r="AG157" s="1439"/>
    </row>
    <row r="158" spans="1:33" ht="15.75" customHeight="1">
      <c r="A158" s="1443"/>
      <c r="B158" s="1452" t="s">
        <v>7408</v>
      </c>
      <c r="C158" s="1445">
        <v>2</v>
      </c>
      <c r="D158" s="1453" t="s">
        <v>3364</v>
      </c>
      <c r="E158" s="1445">
        <v>1</v>
      </c>
      <c r="F158" s="1446">
        <v>2.4</v>
      </c>
      <c r="G158" s="1446">
        <v>1.5</v>
      </c>
      <c r="H158" s="1447">
        <v>0.15</v>
      </c>
      <c r="I158" s="1448">
        <f t="shared" si="9"/>
        <v>1.08</v>
      </c>
      <c r="J158" s="1449"/>
      <c r="K158" s="1439"/>
      <c r="L158" s="1439"/>
      <c r="M158" s="1439"/>
      <c r="N158" s="1439"/>
      <c r="O158" s="1439"/>
      <c r="P158" s="1439"/>
      <c r="Q158" s="1439"/>
      <c r="R158" s="1439"/>
      <c r="S158" s="1439"/>
      <c r="T158" s="1439"/>
      <c r="U158" s="1439"/>
      <c r="V158" s="1439"/>
      <c r="W158" s="1439"/>
      <c r="X158" s="1439"/>
      <c r="Y158" s="1439"/>
      <c r="Z158" s="1439"/>
      <c r="AA158" s="1439"/>
      <c r="AB158" s="1439"/>
      <c r="AC158" s="1439"/>
      <c r="AD158" s="1439"/>
      <c r="AE158" s="1439"/>
      <c r="AF158" s="1439"/>
      <c r="AG158" s="1439"/>
    </row>
    <row r="159" spans="1:33" ht="15.75" customHeight="1">
      <c r="A159" s="1443"/>
      <c r="B159" s="1452" t="s">
        <v>7409</v>
      </c>
      <c r="C159" s="1445">
        <v>1</v>
      </c>
      <c r="D159" s="1445" t="s">
        <v>3364</v>
      </c>
      <c r="E159" s="1445">
        <v>7</v>
      </c>
      <c r="F159" s="1446">
        <f>7.32+0.46+0.23</f>
        <v>8.01</v>
      </c>
      <c r="G159" s="1446">
        <v>4.96</v>
      </c>
      <c r="H159" s="1447">
        <v>0.15</v>
      </c>
      <c r="I159" s="1448">
        <f t="shared" si="9"/>
        <v>41.72</v>
      </c>
      <c r="J159" s="1449"/>
      <c r="K159" s="1439"/>
      <c r="L159" s="1439"/>
      <c r="M159" s="1439"/>
      <c r="N159" s="1439"/>
      <c r="O159" s="1439"/>
      <c r="P159" s="1439"/>
      <c r="Q159" s="1439"/>
      <c r="R159" s="1439"/>
      <c r="S159" s="1439"/>
      <c r="T159" s="1439"/>
      <c r="U159" s="1439"/>
      <c r="V159" s="1439"/>
      <c r="W159" s="1439"/>
      <c r="X159" s="1439"/>
      <c r="Y159" s="1439"/>
      <c r="Z159" s="1439"/>
      <c r="AA159" s="1439"/>
      <c r="AB159" s="1439"/>
      <c r="AC159" s="1439"/>
      <c r="AD159" s="1439"/>
      <c r="AE159" s="1439"/>
      <c r="AF159" s="1439"/>
      <c r="AG159" s="1439"/>
    </row>
    <row r="160" spans="1:33" ht="15.75" customHeight="1">
      <c r="A160" s="1443"/>
      <c r="B160" s="1450" t="s">
        <v>7049</v>
      </c>
      <c r="C160" s="1445">
        <v>1</v>
      </c>
      <c r="D160" s="1445" t="s">
        <v>3364</v>
      </c>
      <c r="E160" s="1445">
        <v>2</v>
      </c>
      <c r="F160" s="1446">
        <v>5.82</v>
      </c>
      <c r="G160" s="1446">
        <v>1.5</v>
      </c>
      <c r="H160" s="1447">
        <v>0.2</v>
      </c>
      <c r="I160" s="1448">
        <f t="shared" si="9"/>
        <v>3.49</v>
      </c>
      <c r="J160" s="1449"/>
      <c r="K160" s="1439"/>
      <c r="L160" s="1439"/>
      <c r="M160" s="1439"/>
      <c r="N160" s="1439"/>
      <c r="O160" s="1439"/>
      <c r="P160" s="1439"/>
      <c r="Q160" s="1439"/>
      <c r="R160" s="1439"/>
      <c r="S160" s="1439"/>
      <c r="T160" s="1439"/>
      <c r="U160" s="1439"/>
      <c r="V160" s="1439"/>
      <c r="W160" s="1439"/>
      <c r="X160" s="1439"/>
      <c r="Y160" s="1439"/>
      <c r="Z160" s="1439"/>
      <c r="AA160" s="1439"/>
      <c r="AB160" s="1439"/>
      <c r="AC160" s="1439"/>
      <c r="AD160" s="1439"/>
      <c r="AE160" s="1439"/>
      <c r="AF160" s="1439"/>
      <c r="AG160" s="1439"/>
    </row>
    <row r="161" spans="1:33" ht="15.75" customHeight="1">
      <c r="A161" s="1443"/>
      <c r="B161" s="1450" t="s">
        <v>3391</v>
      </c>
      <c r="C161" s="1445">
        <v>1</v>
      </c>
      <c r="D161" s="1445" t="s">
        <v>3364</v>
      </c>
      <c r="E161" s="1445">
        <v>1</v>
      </c>
      <c r="F161" s="1446">
        <v>3.6</v>
      </c>
      <c r="G161" s="1446">
        <v>1.5</v>
      </c>
      <c r="H161" s="1447">
        <v>0.2</v>
      </c>
      <c r="I161" s="1448">
        <f t="shared" si="9"/>
        <v>1.08</v>
      </c>
      <c r="J161" s="1449"/>
      <c r="K161" s="1439"/>
      <c r="L161" s="1439"/>
      <c r="M161" s="1439"/>
      <c r="N161" s="1439"/>
      <c r="O161" s="1439"/>
      <c r="P161" s="1439"/>
      <c r="Q161" s="1439"/>
      <c r="R161" s="1439"/>
      <c r="S161" s="1439"/>
      <c r="T161" s="1439"/>
      <c r="U161" s="1439"/>
      <c r="V161" s="1439"/>
      <c r="W161" s="1439"/>
      <c r="X161" s="1439"/>
      <c r="Y161" s="1439"/>
      <c r="Z161" s="1439"/>
      <c r="AA161" s="1439"/>
      <c r="AB161" s="1439"/>
      <c r="AC161" s="1439"/>
      <c r="AD161" s="1439"/>
      <c r="AE161" s="1439"/>
      <c r="AF161" s="1439"/>
      <c r="AG161" s="1439"/>
    </row>
    <row r="162" spans="1:33" ht="15.75" customHeight="1">
      <c r="A162" s="1443"/>
      <c r="B162" s="1450" t="s">
        <v>3392</v>
      </c>
      <c r="C162" s="1445">
        <v>1</v>
      </c>
      <c r="D162" s="1445" t="s">
        <v>3364</v>
      </c>
      <c r="E162" s="1445">
        <v>1</v>
      </c>
      <c r="F162" s="1446">
        <v>3.46</v>
      </c>
      <c r="G162" s="1446">
        <v>0.23</v>
      </c>
      <c r="H162" s="1447">
        <v>0.5</v>
      </c>
      <c r="I162" s="1448">
        <f t="shared" si="9"/>
        <v>0.4</v>
      </c>
      <c r="J162" s="1449"/>
      <c r="K162" s="1439"/>
      <c r="L162" s="1439"/>
      <c r="M162" s="1439"/>
      <c r="N162" s="1439"/>
      <c r="O162" s="1439"/>
      <c r="P162" s="1439"/>
      <c r="Q162" s="1439"/>
      <c r="R162" s="1439"/>
      <c r="S162" s="1439"/>
      <c r="T162" s="1439"/>
      <c r="U162" s="1439"/>
      <c r="V162" s="1439"/>
      <c r="W162" s="1439"/>
      <c r="X162" s="1439"/>
      <c r="Y162" s="1439"/>
      <c r="Z162" s="1439"/>
      <c r="AA162" s="1439"/>
      <c r="AB162" s="1439"/>
      <c r="AC162" s="1439"/>
      <c r="AD162" s="1439"/>
      <c r="AE162" s="1439"/>
      <c r="AF162" s="1439"/>
      <c r="AG162" s="1439"/>
    </row>
    <row r="163" spans="1:33" ht="15.75" customHeight="1">
      <c r="A163" s="1443"/>
      <c r="B163" s="1450" t="s">
        <v>3393</v>
      </c>
      <c r="C163" s="1457">
        <v>0.5</v>
      </c>
      <c r="D163" s="1445" t="s">
        <v>3364</v>
      </c>
      <c r="E163" s="1445">
        <v>22</v>
      </c>
      <c r="F163" s="1446">
        <v>1.35</v>
      </c>
      <c r="G163" s="1446">
        <v>0.3</v>
      </c>
      <c r="H163" s="1447">
        <v>0.2</v>
      </c>
      <c r="I163" s="1448">
        <f t="shared" si="9"/>
        <v>0.89</v>
      </c>
      <c r="J163" s="1449"/>
      <c r="K163" s="1439"/>
      <c r="L163" s="1439"/>
      <c r="M163" s="1439"/>
      <c r="N163" s="1439"/>
      <c r="O163" s="1439"/>
      <c r="P163" s="1439"/>
      <c r="Q163" s="1439"/>
      <c r="R163" s="1439"/>
      <c r="S163" s="1439"/>
      <c r="T163" s="1439"/>
      <c r="U163" s="1439"/>
      <c r="V163" s="1439"/>
      <c r="W163" s="1439"/>
      <c r="X163" s="1439"/>
      <c r="Y163" s="1439"/>
      <c r="Z163" s="1439"/>
      <c r="AA163" s="1439"/>
      <c r="AB163" s="1439"/>
      <c r="AC163" s="1439"/>
      <c r="AD163" s="1439"/>
      <c r="AE163" s="1439"/>
      <c r="AF163" s="1439"/>
      <c r="AG163" s="1439"/>
    </row>
    <row r="164" spans="1:33" ht="15.75" customHeight="1">
      <c r="A164" s="1443"/>
      <c r="B164" s="1452" t="s">
        <v>7410</v>
      </c>
      <c r="C164" s="1445">
        <v>1</v>
      </c>
      <c r="D164" s="1445" t="s">
        <v>3364</v>
      </c>
      <c r="E164" s="1445">
        <v>2</v>
      </c>
      <c r="F164" s="1446">
        <v>4.96</v>
      </c>
      <c r="G164" s="1446">
        <v>0.23</v>
      </c>
      <c r="H164" s="1447">
        <v>0.2</v>
      </c>
      <c r="I164" s="1448">
        <f t="shared" si="9"/>
        <v>0.46</v>
      </c>
      <c r="J164" s="1449"/>
      <c r="K164" s="1439"/>
      <c r="L164" s="1439"/>
      <c r="M164" s="1439"/>
      <c r="N164" s="1439"/>
      <c r="O164" s="1439"/>
      <c r="P164" s="1439"/>
      <c r="Q164" s="1439"/>
      <c r="R164" s="1439"/>
      <c r="S164" s="1439"/>
      <c r="T164" s="1439"/>
      <c r="U164" s="1439"/>
      <c r="V164" s="1439"/>
      <c r="W164" s="1439"/>
      <c r="X164" s="1439"/>
      <c r="Y164" s="1439"/>
      <c r="Z164" s="1439"/>
      <c r="AA164" s="1439"/>
      <c r="AB164" s="1439"/>
      <c r="AC164" s="1439"/>
      <c r="AD164" s="1439"/>
      <c r="AE164" s="1439"/>
      <c r="AF164" s="1439"/>
      <c r="AG164" s="1439"/>
    </row>
    <row r="165" spans="1:33" ht="15.75" customHeight="1">
      <c r="A165" s="1443"/>
      <c r="B165" s="1452" t="s">
        <v>7411</v>
      </c>
      <c r="C165" s="1445">
        <v>1</v>
      </c>
      <c r="D165" s="1445" t="s">
        <v>3364</v>
      </c>
      <c r="E165" s="1445">
        <v>1</v>
      </c>
      <c r="F165" s="1446">
        <v>4.96</v>
      </c>
      <c r="G165" s="1446">
        <v>0.6</v>
      </c>
      <c r="H165" s="1447">
        <v>0.1</v>
      </c>
      <c r="I165" s="1448">
        <f t="shared" si="9"/>
        <v>0.3</v>
      </c>
      <c r="J165" s="1449"/>
      <c r="K165" s="1439"/>
      <c r="L165" s="1439"/>
      <c r="M165" s="1439"/>
      <c r="N165" s="1439"/>
      <c r="O165" s="1439"/>
      <c r="P165" s="1439"/>
      <c r="Q165" s="1439"/>
      <c r="R165" s="1439"/>
      <c r="S165" s="1439"/>
      <c r="T165" s="1439"/>
      <c r="U165" s="1439"/>
      <c r="V165" s="1439"/>
      <c r="W165" s="1439"/>
      <c r="X165" s="1439"/>
      <c r="Y165" s="1439"/>
      <c r="Z165" s="1439"/>
      <c r="AA165" s="1439"/>
      <c r="AB165" s="1439"/>
      <c r="AC165" s="1439"/>
      <c r="AD165" s="1439"/>
      <c r="AE165" s="1439"/>
      <c r="AF165" s="1439"/>
      <c r="AG165" s="1439"/>
    </row>
    <row r="166" spans="1:33" ht="15.75" customHeight="1">
      <c r="A166" s="1443"/>
      <c r="B166" s="1452" t="s">
        <v>6908</v>
      </c>
      <c r="C166" s="1445">
        <v>1</v>
      </c>
      <c r="D166" s="1445" t="s">
        <v>3364</v>
      </c>
      <c r="E166" s="1445">
        <v>2</v>
      </c>
      <c r="F166" s="1446">
        <f>3.2+1.5</f>
        <v>4.7</v>
      </c>
      <c r="G166" s="1446">
        <v>0.6</v>
      </c>
      <c r="H166" s="1447">
        <v>0.1</v>
      </c>
      <c r="I166" s="1448">
        <f t="shared" si="9"/>
        <v>0.56000000000000005</v>
      </c>
      <c r="J166" s="1449"/>
      <c r="K166" s="1439"/>
      <c r="L166" s="1439"/>
      <c r="M166" s="1439"/>
      <c r="N166" s="1439"/>
      <c r="O166" s="1439"/>
      <c r="P166" s="1439"/>
      <c r="Q166" s="1439"/>
      <c r="R166" s="1439"/>
      <c r="S166" s="1439"/>
      <c r="T166" s="1439"/>
      <c r="U166" s="1439"/>
      <c r="V166" s="1439"/>
      <c r="W166" s="1439"/>
      <c r="X166" s="1439"/>
      <c r="Y166" s="1439"/>
      <c r="Z166" s="1439"/>
      <c r="AA166" s="1439"/>
      <c r="AB166" s="1439"/>
      <c r="AC166" s="1439"/>
      <c r="AD166" s="1439"/>
      <c r="AE166" s="1439"/>
      <c r="AF166" s="1439"/>
      <c r="AG166" s="1439"/>
    </row>
    <row r="167" spans="1:33" ht="15.75" customHeight="1">
      <c r="A167" s="1443"/>
      <c r="B167" s="1455" t="s">
        <v>7422</v>
      </c>
      <c r="C167" s="1445"/>
      <c r="D167" s="1445"/>
      <c r="E167" s="1445"/>
      <c r="F167" s="1446"/>
      <c r="G167" s="1446"/>
      <c r="H167" s="1447"/>
      <c r="I167" s="1448">
        <f t="shared" si="9"/>
        <v>0</v>
      </c>
      <c r="J167" s="1449"/>
      <c r="K167" s="1439"/>
      <c r="L167" s="1439"/>
      <c r="M167" s="1439"/>
      <c r="N167" s="1439"/>
      <c r="O167" s="1439"/>
      <c r="P167" s="1439"/>
      <c r="Q167" s="1439"/>
      <c r="R167" s="1439"/>
      <c r="S167" s="1439"/>
      <c r="T167" s="1439"/>
      <c r="U167" s="1439"/>
      <c r="V167" s="1439"/>
      <c r="W167" s="1439"/>
      <c r="X167" s="1439"/>
      <c r="Y167" s="1439"/>
      <c r="Z167" s="1439"/>
      <c r="AA167" s="1439"/>
      <c r="AB167" s="1439"/>
      <c r="AC167" s="1439"/>
      <c r="AD167" s="1439"/>
      <c r="AE167" s="1439"/>
      <c r="AF167" s="1439"/>
      <c r="AG167" s="1439"/>
    </row>
    <row r="168" spans="1:33" ht="15.75" customHeight="1">
      <c r="A168" s="1443"/>
      <c r="B168" s="1468" t="s">
        <v>3396</v>
      </c>
      <c r="C168" s="1445">
        <v>1</v>
      </c>
      <c r="D168" s="1445" t="s">
        <v>3364</v>
      </c>
      <c r="E168" s="1445">
        <v>1</v>
      </c>
      <c r="F168" s="1446">
        <f>1.2+0.46</f>
        <v>1.66</v>
      </c>
      <c r="G168" s="1446">
        <v>0.23</v>
      </c>
      <c r="H168" s="1447">
        <v>0.15</v>
      </c>
      <c r="I168" s="1448">
        <f t="shared" si="9"/>
        <v>0.06</v>
      </c>
      <c r="J168" s="1449"/>
      <c r="K168" s="1439"/>
      <c r="L168" s="1439"/>
      <c r="M168" s="1439"/>
      <c r="N168" s="1439"/>
      <c r="O168" s="1439"/>
      <c r="P168" s="1439"/>
      <c r="Q168" s="1439"/>
      <c r="R168" s="1439"/>
      <c r="S168" s="1439"/>
      <c r="T168" s="1439"/>
      <c r="U168" s="1439"/>
      <c r="V168" s="1439"/>
      <c r="W168" s="1439"/>
      <c r="X168" s="1439"/>
      <c r="Y168" s="1439"/>
      <c r="Z168" s="1439"/>
      <c r="AA168" s="1439"/>
      <c r="AB168" s="1439"/>
      <c r="AC168" s="1439"/>
      <c r="AD168" s="1439"/>
      <c r="AE168" s="1439"/>
      <c r="AF168" s="1439"/>
      <c r="AG168" s="1439"/>
    </row>
    <row r="169" spans="1:33" ht="15.75" customHeight="1">
      <c r="A169" s="1443"/>
      <c r="B169" s="1468" t="s">
        <v>3363</v>
      </c>
      <c r="C169" s="1445">
        <v>1</v>
      </c>
      <c r="D169" s="1445" t="s">
        <v>3364</v>
      </c>
      <c r="E169" s="1445">
        <v>1</v>
      </c>
      <c r="F169" s="1446">
        <v>1.46</v>
      </c>
      <c r="G169" s="1446">
        <v>0.23</v>
      </c>
      <c r="H169" s="1447">
        <v>0.15</v>
      </c>
      <c r="I169" s="1448">
        <f t="shared" si="9"/>
        <v>0.05</v>
      </c>
      <c r="J169" s="1449"/>
      <c r="K169" s="1439"/>
      <c r="L169" s="1439"/>
      <c r="M169" s="1439"/>
      <c r="N169" s="1439"/>
      <c r="O169" s="1439"/>
      <c r="P169" s="1439"/>
      <c r="Q169" s="1439"/>
      <c r="R169" s="1439"/>
      <c r="S169" s="1439"/>
      <c r="T169" s="1439"/>
      <c r="U169" s="1439"/>
      <c r="V169" s="1439"/>
      <c r="W169" s="1439"/>
      <c r="X169" s="1439"/>
      <c r="Y169" s="1439"/>
      <c r="Z169" s="1439"/>
      <c r="AA169" s="1439"/>
      <c r="AB169" s="1439"/>
      <c r="AC169" s="1439"/>
      <c r="AD169" s="1439"/>
      <c r="AE169" s="1439"/>
      <c r="AF169" s="1439"/>
      <c r="AG169" s="1439"/>
    </row>
    <row r="170" spans="1:33" ht="15.75" customHeight="1">
      <c r="A170" s="1443"/>
      <c r="B170" s="1468" t="s">
        <v>3398</v>
      </c>
      <c r="C170" s="1445">
        <v>1</v>
      </c>
      <c r="D170" s="1445" t="s">
        <v>3364</v>
      </c>
      <c r="E170" s="1445">
        <v>1</v>
      </c>
      <c r="F170" s="1446">
        <v>1.36</v>
      </c>
      <c r="G170" s="1446">
        <v>0.23</v>
      </c>
      <c r="H170" s="1447">
        <v>0.15</v>
      </c>
      <c r="I170" s="1448">
        <f t="shared" si="9"/>
        <v>0.05</v>
      </c>
      <c r="J170" s="1449"/>
      <c r="K170" s="1439"/>
      <c r="L170" s="1439"/>
      <c r="M170" s="1439"/>
      <c r="N170" s="1439"/>
      <c r="O170" s="1439"/>
      <c r="P170" s="1439"/>
      <c r="Q170" s="1439"/>
      <c r="R170" s="1439"/>
      <c r="S170" s="1439"/>
      <c r="T170" s="1439"/>
      <c r="U170" s="1439"/>
      <c r="V170" s="1439"/>
      <c r="W170" s="1439"/>
      <c r="X170" s="1439"/>
      <c r="Y170" s="1439"/>
      <c r="Z170" s="1439"/>
      <c r="AA170" s="1439"/>
      <c r="AB170" s="1439"/>
      <c r="AC170" s="1439"/>
      <c r="AD170" s="1439"/>
      <c r="AE170" s="1439"/>
      <c r="AF170" s="1439"/>
      <c r="AG170" s="1439"/>
    </row>
    <row r="171" spans="1:33" ht="15.75" customHeight="1">
      <c r="A171" s="1443"/>
      <c r="B171" s="1468" t="s">
        <v>3407</v>
      </c>
      <c r="C171" s="1445">
        <v>2</v>
      </c>
      <c r="D171" s="1445" t="s">
        <v>3364</v>
      </c>
      <c r="E171" s="1445">
        <v>1</v>
      </c>
      <c r="F171" s="1446">
        <v>1.21</v>
      </c>
      <c r="G171" s="1446">
        <v>0.23</v>
      </c>
      <c r="H171" s="1447">
        <v>0.15</v>
      </c>
      <c r="I171" s="1448">
        <f t="shared" si="9"/>
        <v>0.08</v>
      </c>
      <c r="J171" s="1449"/>
      <c r="K171" s="1439"/>
      <c r="L171" s="1439"/>
      <c r="M171" s="1439"/>
      <c r="N171" s="1439"/>
      <c r="O171" s="1439"/>
      <c r="P171" s="1439"/>
      <c r="Q171" s="1439"/>
      <c r="R171" s="1439"/>
      <c r="S171" s="1439"/>
      <c r="T171" s="1439"/>
      <c r="U171" s="1439"/>
      <c r="V171" s="1439"/>
      <c r="W171" s="1439"/>
      <c r="X171" s="1439"/>
      <c r="Y171" s="1439"/>
      <c r="Z171" s="1439"/>
      <c r="AA171" s="1439"/>
      <c r="AB171" s="1439"/>
      <c r="AC171" s="1439"/>
      <c r="AD171" s="1439"/>
      <c r="AE171" s="1439"/>
      <c r="AF171" s="1439"/>
      <c r="AG171" s="1439"/>
    </row>
    <row r="172" spans="1:33" ht="15.75" customHeight="1">
      <c r="A172" s="1443"/>
      <c r="B172" s="1468" t="s">
        <v>3497</v>
      </c>
      <c r="C172" s="1445">
        <v>1</v>
      </c>
      <c r="D172" s="1445" t="s">
        <v>3364</v>
      </c>
      <c r="E172" s="1445">
        <v>1</v>
      </c>
      <c r="F172" s="1446">
        <f>1.8+0.46</f>
        <v>2.2599999999999998</v>
      </c>
      <c r="G172" s="1446">
        <v>0.23</v>
      </c>
      <c r="H172" s="1447">
        <v>0.15</v>
      </c>
      <c r="I172" s="1448">
        <f t="shared" si="9"/>
        <v>0.08</v>
      </c>
      <c r="J172" s="1449"/>
      <c r="K172" s="1439"/>
      <c r="L172" s="1466"/>
      <c r="M172" s="1466"/>
      <c r="N172" s="1466"/>
      <c r="O172" s="1439"/>
      <c r="P172" s="1439"/>
      <c r="Q172" s="1439"/>
      <c r="R172" s="1439"/>
      <c r="S172" s="1439"/>
      <c r="T172" s="1439"/>
      <c r="U172" s="1439"/>
      <c r="V172" s="1439"/>
      <c r="W172" s="1439"/>
      <c r="X172" s="1439"/>
      <c r="Y172" s="1439"/>
      <c r="Z172" s="1439"/>
      <c r="AA172" s="1439"/>
      <c r="AB172" s="1439"/>
      <c r="AC172" s="1439"/>
      <c r="AD172" s="1439"/>
      <c r="AE172" s="1439"/>
      <c r="AF172" s="1439"/>
      <c r="AG172" s="1439"/>
    </row>
    <row r="173" spans="1:33" ht="15.75" customHeight="1">
      <c r="A173" s="1443"/>
      <c r="B173" s="1468" t="s">
        <v>3414</v>
      </c>
      <c r="C173" s="1445">
        <v>5</v>
      </c>
      <c r="D173" s="1445" t="s">
        <v>3364</v>
      </c>
      <c r="E173" s="1445">
        <v>1</v>
      </c>
      <c r="F173" s="1446">
        <v>2.2599999999999998</v>
      </c>
      <c r="G173" s="1446">
        <v>1.23</v>
      </c>
      <c r="H173" s="1447">
        <v>0.15</v>
      </c>
      <c r="I173" s="1448">
        <f t="shared" si="9"/>
        <v>2.08</v>
      </c>
      <c r="J173" s="1449"/>
      <c r="K173" s="1439"/>
      <c r="L173" s="1466"/>
      <c r="M173" s="1466"/>
      <c r="N173" s="1466"/>
      <c r="O173" s="1439"/>
      <c r="P173" s="1439"/>
      <c r="Q173" s="1439"/>
      <c r="R173" s="1439"/>
      <c r="S173" s="1439"/>
      <c r="T173" s="1439"/>
      <c r="U173" s="1439"/>
      <c r="V173" s="1439"/>
      <c r="W173" s="1439"/>
      <c r="X173" s="1439"/>
      <c r="Y173" s="1439"/>
      <c r="Z173" s="1439"/>
      <c r="AA173" s="1439"/>
      <c r="AB173" s="1439"/>
      <c r="AC173" s="1439"/>
      <c r="AD173" s="1439"/>
      <c r="AE173" s="1439"/>
      <c r="AF173" s="1439"/>
      <c r="AG173" s="1439"/>
    </row>
    <row r="174" spans="1:33" ht="15.75" customHeight="1">
      <c r="A174" s="1443"/>
      <c r="B174" s="1468" t="s">
        <v>3400</v>
      </c>
      <c r="C174" s="1445">
        <v>1</v>
      </c>
      <c r="D174" s="1445" t="s">
        <v>3364</v>
      </c>
      <c r="E174" s="1445">
        <v>1</v>
      </c>
      <c r="F174" s="1446">
        <v>1.96</v>
      </c>
      <c r="G174" s="1446">
        <v>0.23</v>
      </c>
      <c r="H174" s="1447">
        <v>0.15</v>
      </c>
      <c r="I174" s="1448">
        <f t="shared" si="9"/>
        <v>7.0000000000000007E-2</v>
      </c>
      <c r="J174" s="1449"/>
      <c r="K174" s="1439"/>
      <c r="L174" s="1439"/>
      <c r="M174" s="1439"/>
      <c r="N174" s="1439"/>
      <c r="O174" s="1439"/>
      <c r="P174" s="1439"/>
      <c r="Q174" s="1439"/>
      <c r="R174" s="1439"/>
      <c r="S174" s="1439"/>
      <c r="T174" s="1439"/>
      <c r="U174" s="1439"/>
      <c r="V174" s="1439"/>
      <c r="W174" s="1439"/>
      <c r="X174" s="1439"/>
      <c r="Y174" s="1439"/>
      <c r="Z174" s="1439"/>
      <c r="AA174" s="1439"/>
      <c r="AB174" s="1439"/>
      <c r="AC174" s="1439"/>
      <c r="AD174" s="1439"/>
      <c r="AE174" s="1439"/>
      <c r="AF174" s="1439"/>
      <c r="AG174" s="1439"/>
    </row>
    <row r="175" spans="1:33" ht="15.75" customHeight="1">
      <c r="A175" s="1443"/>
      <c r="B175" s="1468" t="s">
        <v>6964</v>
      </c>
      <c r="C175" s="1445">
        <v>2</v>
      </c>
      <c r="D175" s="1445" t="s">
        <v>3364</v>
      </c>
      <c r="E175" s="1445">
        <v>1</v>
      </c>
      <c r="F175" s="1446">
        <f>0.9+0.46</f>
        <v>1.36</v>
      </c>
      <c r="G175" s="1446">
        <v>0.23</v>
      </c>
      <c r="H175" s="1447">
        <v>0.15</v>
      </c>
      <c r="I175" s="1448">
        <f t="shared" si="9"/>
        <v>0.09</v>
      </c>
      <c r="J175" s="1449"/>
      <c r="K175" s="1439"/>
      <c r="L175" s="1439"/>
      <c r="M175" s="1439"/>
      <c r="N175" s="1439"/>
      <c r="O175" s="1439"/>
      <c r="P175" s="1439"/>
      <c r="Q175" s="1439"/>
      <c r="R175" s="1439"/>
      <c r="S175" s="1439"/>
      <c r="T175" s="1439"/>
      <c r="U175" s="1439"/>
      <c r="V175" s="1439"/>
      <c r="W175" s="1439"/>
      <c r="X175" s="1439"/>
      <c r="Y175" s="1439"/>
      <c r="Z175" s="1439"/>
      <c r="AA175" s="1439"/>
      <c r="AB175" s="1439"/>
      <c r="AC175" s="1439"/>
      <c r="AD175" s="1439"/>
      <c r="AE175" s="1439"/>
      <c r="AF175" s="1439"/>
      <c r="AG175" s="1439"/>
    </row>
    <row r="176" spans="1:33" ht="15.75" customHeight="1">
      <c r="A176" s="1443"/>
      <c r="B176" s="1468" t="s">
        <v>3401</v>
      </c>
      <c r="C176" s="1445">
        <v>2</v>
      </c>
      <c r="D176" s="1445" t="s">
        <v>3364</v>
      </c>
      <c r="E176" s="1445">
        <v>1</v>
      </c>
      <c r="F176" s="1446">
        <v>1.21</v>
      </c>
      <c r="G176" s="1446">
        <v>0.23</v>
      </c>
      <c r="H176" s="1447">
        <v>0.15</v>
      </c>
      <c r="I176" s="1448">
        <f t="shared" si="9"/>
        <v>0.08</v>
      </c>
      <c r="J176" s="1449"/>
      <c r="K176" s="1439"/>
      <c r="L176" s="1439"/>
      <c r="M176" s="1439"/>
      <c r="N176" s="1439"/>
      <c r="O176" s="1439"/>
      <c r="P176" s="1439"/>
      <c r="Q176" s="1439"/>
      <c r="R176" s="1439"/>
      <c r="S176" s="1439"/>
      <c r="T176" s="1439"/>
      <c r="U176" s="1439"/>
      <c r="V176" s="1439"/>
      <c r="W176" s="1439"/>
      <c r="X176" s="1439"/>
      <c r="Y176" s="1439"/>
      <c r="Z176" s="1439"/>
      <c r="AA176" s="1439"/>
      <c r="AB176" s="1439"/>
      <c r="AC176" s="1439"/>
      <c r="AD176" s="1439"/>
      <c r="AE176" s="1439"/>
      <c r="AF176" s="1439"/>
      <c r="AG176" s="1439"/>
    </row>
    <row r="177" spans="1:33" ht="15.75" customHeight="1">
      <c r="A177" s="1443"/>
      <c r="B177" s="1468" t="s">
        <v>7412</v>
      </c>
      <c r="C177" s="1445">
        <v>1</v>
      </c>
      <c r="D177" s="1445" t="s">
        <v>3364</v>
      </c>
      <c r="E177" s="1445">
        <v>1</v>
      </c>
      <c r="F177" s="1446">
        <v>1.36</v>
      </c>
      <c r="G177" s="1446">
        <v>0.23</v>
      </c>
      <c r="H177" s="1447">
        <v>0.15</v>
      </c>
      <c r="I177" s="1448">
        <f t="shared" si="9"/>
        <v>0.05</v>
      </c>
      <c r="J177" s="1449"/>
      <c r="K177" s="1439"/>
      <c r="L177" s="1439"/>
      <c r="M177" s="1439"/>
      <c r="N177" s="1439"/>
      <c r="O177" s="1439"/>
      <c r="P177" s="1439"/>
      <c r="Q177" s="1439"/>
      <c r="R177" s="1439"/>
      <c r="S177" s="1439"/>
      <c r="T177" s="1439"/>
      <c r="U177" s="1439"/>
      <c r="V177" s="1439"/>
      <c r="W177" s="1439"/>
      <c r="X177" s="1439"/>
      <c r="Y177" s="1439"/>
      <c r="Z177" s="1439"/>
      <c r="AA177" s="1439"/>
      <c r="AB177" s="1439"/>
      <c r="AC177" s="1439"/>
      <c r="AD177" s="1439"/>
      <c r="AE177" s="1439"/>
      <c r="AF177" s="1439"/>
      <c r="AG177" s="1439"/>
    </row>
    <row r="178" spans="1:33" ht="15.75" customHeight="1">
      <c r="A178" s="1443"/>
      <c r="B178" s="1469" t="s">
        <v>7423</v>
      </c>
      <c r="C178" s="1445"/>
      <c r="D178" s="1445"/>
      <c r="E178" s="1445"/>
      <c r="F178" s="1446"/>
      <c r="G178" s="1446"/>
      <c r="H178" s="1447"/>
      <c r="I178" s="1448"/>
      <c r="J178" s="1449"/>
      <c r="K178" s="1439"/>
      <c r="L178" s="1439"/>
      <c r="M178" s="1439"/>
      <c r="N178" s="1439"/>
      <c r="O178" s="1439"/>
      <c r="P178" s="1439"/>
      <c r="Q178" s="1439"/>
      <c r="R178" s="1439"/>
      <c r="S178" s="1439"/>
      <c r="T178" s="1439"/>
      <c r="U178" s="1439"/>
      <c r="V178" s="1439"/>
      <c r="W178" s="1439"/>
      <c r="X178" s="1439"/>
      <c r="Y178" s="1439"/>
      <c r="Z178" s="1439"/>
      <c r="AA178" s="1439"/>
      <c r="AB178" s="1439"/>
      <c r="AC178" s="1439"/>
      <c r="AD178" s="1439"/>
      <c r="AE178" s="1439"/>
      <c r="AF178" s="1439"/>
      <c r="AG178" s="1439"/>
    </row>
    <row r="179" spans="1:33" ht="15.75" customHeight="1">
      <c r="A179" s="1443"/>
      <c r="B179" s="1468" t="s">
        <v>3497</v>
      </c>
      <c r="C179" s="1445">
        <v>1</v>
      </c>
      <c r="D179" s="1445" t="s">
        <v>3364</v>
      </c>
      <c r="E179" s="1445">
        <v>1</v>
      </c>
      <c r="F179" s="1446">
        <f>1.8+0.46</f>
        <v>2.2599999999999998</v>
      </c>
      <c r="G179" s="1446">
        <v>0.23</v>
      </c>
      <c r="H179" s="1447">
        <v>0.05</v>
      </c>
      <c r="I179" s="1448">
        <f>PRODUCT(C179:H179)</f>
        <v>0.03</v>
      </c>
      <c r="J179" s="1449"/>
      <c r="K179" s="1439"/>
      <c r="L179" s="1466"/>
      <c r="M179" s="1466"/>
      <c r="N179" s="1466"/>
      <c r="O179" s="1439"/>
      <c r="P179" s="1439"/>
      <c r="Q179" s="1439"/>
      <c r="R179" s="1439"/>
      <c r="S179" s="1439"/>
      <c r="T179" s="1439"/>
      <c r="U179" s="1439"/>
      <c r="V179" s="1439"/>
      <c r="W179" s="1439"/>
      <c r="X179" s="1439"/>
      <c r="Y179" s="1439"/>
      <c r="Z179" s="1439"/>
      <c r="AA179" s="1439"/>
      <c r="AB179" s="1439"/>
      <c r="AC179" s="1439"/>
      <c r="AD179" s="1439"/>
      <c r="AE179" s="1439"/>
      <c r="AF179" s="1439"/>
      <c r="AG179" s="1439"/>
    </row>
    <row r="180" spans="1:33" ht="15.75" customHeight="1">
      <c r="A180" s="1443"/>
      <c r="B180" s="1468" t="s">
        <v>3414</v>
      </c>
      <c r="C180" s="1445">
        <v>5</v>
      </c>
      <c r="D180" s="1445" t="s">
        <v>3364</v>
      </c>
      <c r="E180" s="1445">
        <v>1</v>
      </c>
      <c r="F180" s="1446">
        <v>2.2599999999999998</v>
      </c>
      <c r="G180" s="1446">
        <v>1.23</v>
      </c>
      <c r="H180" s="1447">
        <v>0.05</v>
      </c>
      <c r="I180" s="1448">
        <f>PRODUCT(C180:H180)</f>
        <v>0.69</v>
      </c>
      <c r="J180" s="1449"/>
      <c r="K180" s="1439"/>
      <c r="L180" s="1466"/>
      <c r="M180" s="1466"/>
      <c r="N180" s="1466"/>
      <c r="O180" s="1439"/>
      <c r="P180" s="1439"/>
      <c r="Q180" s="1439"/>
      <c r="R180" s="1439"/>
      <c r="S180" s="1439"/>
      <c r="T180" s="1439"/>
      <c r="U180" s="1439"/>
      <c r="V180" s="1439"/>
      <c r="W180" s="1439"/>
      <c r="X180" s="1439"/>
      <c r="Y180" s="1439"/>
      <c r="Z180" s="1439"/>
      <c r="AA180" s="1439"/>
      <c r="AB180" s="1439"/>
      <c r="AC180" s="1439"/>
      <c r="AD180" s="1439"/>
      <c r="AE180" s="1439"/>
      <c r="AF180" s="1439"/>
      <c r="AG180" s="1439"/>
    </row>
    <row r="181" spans="1:33" ht="15.75" customHeight="1">
      <c r="A181" s="1443"/>
      <c r="B181" s="1468" t="s">
        <v>3400</v>
      </c>
      <c r="C181" s="1445">
        <v>1</v>
      </c>
      <c r="D181" s="1445" t="s">
        <v>3364</v>
      </c>
      <c r="E181" s="1445">
        <v>1</v>
      </c>
      <c r="F181" s="1446">
        <v>1.96</v>
      </c>
      <c r="G181" s="1446">
        <v>0.23</v>
      </c>
      <c r="H181" s="1447">
        <v>0.05</v>
      </c>
      <c r="I181" s="1448">
        <f>PRODUCT(C181:H181)</f>
        <v>0.02</v>
      </c>
      <c r="J181" s="1449"/>
      <c r="K181" s="1439"/>
      <c r="L181" s="1439"/>
      <c r="M181" s="1439"/>
      <c r="N181" s="1439"/>
      <c r="O181" s="1439"/>
      <c r="P181" s="1439"/>
      <c r="Q181" s="1439"/>
      <c r="R181" s="1439"/>
      <c r="S181" s="1439"/>
      <c r="T181" s="1439"/>
      <c r="U181" s="1439"/>
      <c r="V181" s="1439"/>
      <c r="W181" s="1439"/>
      <c r="X181" s="1439"/>
      <c r="Y181" s="1439"/>
      <c r="Z181" s="1439"/>
      <c r="AA181" s="1439"/>
      <c r="AB181" s="1439"/>
      <c r="AC181" s="1439"/>
      <c r="AD181" s="1439"/>
      <c r="AE181" s="1439"/>
      <c r="AF181" s="1439"/>
      <c r="AG181" s="1439"/>
    </row>
    <row r="182" spans="1:33" ht="15.75" customHeight="1">
      <c r="A182" s="1443"/>
      <c r="B182" s="1469" t="s">
        <v>7424</v>
      </c>
      <c r="C182" s="1445"/>
      <c r="D182" s="1445"/>
      <c r="E182" s="1445"/>
      <c r="F182" s="1446"/>
      <c r="G182" s="1446"/>
      <c r="H182" s="1447"/>
      <c r="I182" s="1448"/>
      <c r="J182" s="1449"/>
      <c r="K182" s="1439"/>
      <c r="L182" s="1439"/>
      <c r="M182" s="1439"/>
      <c r="N182" s="1439"/>
      <c r="O182" s="1439"/>
      <c r="P182" s="1439"/>
      <c r="Q182" s="1439"/>
      <c r="R182" s="1439"/>
      <c r="S182" s="1439"/>
      <c r="T182" s="1439"/>
      <c r="U182" s="1439"/>
      <c r="V182" s="1439"/>
      <c r="W182" s="1439"/>
      <c r="X182" s="1439"/>
      <c r="Y182" s="1439"/>
      <c r="Z182" s="1439"/>
      <c r="AA182" s="1439"/>
      <c r="AB182" s="1439"/>
      <c r="AC182" s="1439"/>
      <c r="AD182" s="1439"/>
      <c r="AE182" s="1439"/>
      <c r="AF182" s="1439"/>
      <c r="AG182" s="1439"/>
    </row>
    <row r="183" spans="1:33" ht="15.75" customHeight="1">
      <c r="A183" s="1443"/>
      <c r="B183" s="1468" t="s">
        <v>3497</v>
      </c>
      <c r="C183" s="1445">
        <v>1</v>
      </c>
      <c r="D183" s="1445" t="s">
        <v>3364</v>
      </c>
      <c r="E183" s="1445">
        <v>1</v>
      </c>
      <c r="F183" s="1446">
        <f>1.8+0.46</f>
        <v>2.2599999999999998</v>
      </c>
      <c r="G183" s="1446">
        <v>0.6</v>
      </c>
      <c r="H183" s="1447">
        <v>0.1</v>
      </c>
      <c r="I183" s="1448">
        <f>PRODUCT(C183:H183)</f>
        <v>0.14000000000000001</v>
      </c>
      <c r="J183" s="1449"/>
      <c r="K183" s="1439"/>
      <c r="L183" s="1466"/>
      <c r="M183" s="1466"/>
      <c r="N183" s="1466"/>
      <c r="O183" s="1439"/>
      <c r="P183" s="1439"/>
      <c r="Q183" s="1439"/>
      <c r="R183" s="1439"/>
      <c r="S183" s="1439"/>
      <c r="T183" s="1439"/>
      <c r="U183" s="1439"/>
      <c r="V183" s="1439"/>
      <c r="W183" s="1439"/>
      <c r="X183" s="1439"/>
      <c r="Y183" s="1439"/>
      <c r="Z183" s="1439"/>
      <c r="AA183" s="1439"/>
      <c r="AB183" s="1439"/>
      <c r="AC183" s="1439"/>
      <c r="AD183" s="1439"/>
      <c r="AE183" s="1439"/>
      <c r="AF183" s="1439"/>
      <c r="AG183" s="1439"/>
    </row>
    <row r="184" spans="1:33" ht="15.75" customHeight="1">
      <c r="A184" s="1443"/>
      <c r="B184" s="1468" t="s">
        <v>3414</v>
      </c>
      <c r="C184" s="1445">
        <v>5</v>
      </c>
      <c r="D184" s="1445" t="s">
        <v>3364</v>
      </c>
      <c r="E184" s="1445">
        <v>1</v>
      </c>
      <c r="F184" s="1446">
        <v>2.2599999999999998</v>
      </c>
      <c r="G184" s="1446">
        <v>0.6</v>
      </c>
      <c r="H184" s="1447">
        <v>0.1</v>
      </c>
      <c r="I184" s="1448">
        <f>PRODUCT(C184:H184)</f>
        <v>0.68</v>
      </c>
      <c r="J184" s="1449"/>
      <c r="K184" s="1439"/>
      <c r="L184" s="1466"/>
      <c r="M184" s="1466"/>
      <c r="N184" s="1466"/>
      <c r="O184" s="1439"/>
      <c r="P184" s="1439"/>
      <c r="Q184" s="1439"/>
      <c r="R184" s="1439"/>
      <c r="S184" s="1439"/>
      <c r="T184" s="1439"/>
      <c r="U184" s="1439"/>
      <c r="V184" s="1439"/>
      <c r="W184" s="1439"/>
      <c r="X184" s="1439"/>
      <c r="Y184" s="1439"/>
      <c r="Z184" s="1439"/>
      <c r="AA184" s="1439"/>
      <c r="AB184" s="1439"/>
      <c r="AC184" s="1439"/>
      <c r="AD184" s="1439"/>
      <c r="AE184" s="1439"/>
      <c r="AF184" s="1439"/>
      <c r="AG184" s="1439"/>
    </row>
    <row r="185" spans="1:33" ht="15.75" customHeight="1">
      <c r="A185" s="1443"/>
      <c r="B185" s="1468" t="s">
        <v>3400</v>
      </c>
      <c r="C185" s="1445">
        <v>1</v>
      </c>
      <c r="D185" s="1445" t="s">
        <v>3364</v>
      </c>
      <c r="E185" s="1445">
        <v>1</v>
      </c>
      <c r="F185" s="1446">
        <v>1.96</v>
      </c>
      <c r="G185" s="1446">
        <v>0.6</v>
      </c>
      <c r="H185" s="1447">
        <v>0.1</v>
      </c>
      <c r="I185" s="1448">
        <f>PRODUCT(C185:H185)</f>
        <v>0.12</v>
      </c>
      <c r="J185" s="1449"/>
      <c r="K185" s="1439"/>
      <c r="L185" s="1439"/>
      <c r="M185" s="1439"/>
      <c r="N185" s="1439"/>
      <c r="O185" s="1439"/>
      <c r="P185" s="1439"/>
      <c r="Q185" s="1439"/>
      <c r="R185" s="1439"/>
      <c r="S185" s="1439"/>
      <c r="T185" s="1439"/>
      <c r="U185" s="1439"/>
      <c r="V185" s="1439"/>
      <c r="W185" s="1439"/>
      <c r="X185" s="1439"/>
      <c r="Y185" s="1439"/>
      <c r="Z185" s="1439"/>
      <c r="AA185" s="1439"/>
      <c r="AB185" s="1439"/>
      <c r="AC185" s="1439"/>
      <c r="AD185" s="1439"/>
      <c r="AE185" s="1439"/>
      <c r="AF185" s="1439"/>
      <c r="AG185" s="1439"/>
    </row>
    <row r="186" spans="1:33" ht="15.75" customHeight="1">
      <c r="A186" s="1443"/>
      <c r="B186" s="1450"/>
      <c r="C186" s="1445"/>
      <c r="D186" s="1445"/>
      <c r="E186" s="1445"/>
      <c r="F186" s="1446"/>
      <c r="G186" s="1446"/>
      <c r="H186" s="1447"/>
      <c r="I186" s="1448">
        <f>SUM(I137:I185)</f>
        <v>122.67</v>
      </c>
      <c r="J186" s="1449"/>
      <c r="K186" s="1439"/>
      <c r="L186" s="1439"/>
      <c r="M186" s="1439"/>
      <c r="N186" s="1439"/>
      <c r="O186" s="1439"/>
      <c r="P186" s="1439"/>
      <c r="Q186" s="1439"/>
      <c r="R186" s="1439"/>
      <c r="S186" s="1439"/>
      <c r="T186" s="1439"/>
      <c r="U186" s="1439"/>
      <c r="V186" s="1439"/>
      <c r="W186" s="1439"/>
      <c r="X186" s="1439"/>
      <c r="Y186" s="1439"/>
      <c r="Z186" s="1439"/>
      <c r="AA186" s="1439"/>
      <c r="AB186" s="1439"/>
      <c r="AC186" s="1439"/>
      <c r="AD186" s="1439"/>
      <c r="AE186" s="1439"/>
      <c r="AF186" s="1439"/>
      <c r="AG186" s="1439"/>
    </row>
    <row r="187" spans="1:33" ht="15.75" customHeight="1">
      <c r="A187" s="1464"/>
      <c r="B187" s="1456"/>
      <c r="C187" s="1465"/>
      <c r="D187" s="1465"/>
      <c r="E187" s="1465"/>
      <c r="F187" s="1458"/>
      <c r="G187" s="1458"/>
      <c r="H187" s="1460" t="s">
        <v>2981</v>
      </c>
      <c r="I187" s="1459">
        <f>CEILING(I186,0.1)</f>
        <v>122.7</v>
      </c>
      <c r="J187" s="1449" t="s">
        <v>5</v>
      </c>
      <c r="K187" s="1466"/>
      <c r="L187" s="1439"/>
      <c r="M187" s="1439"/>
      <c r="N187" s="1439"/>
      <c r="O187" s="1466"/>
      <c r="P187" s="1466"/>
      <c r="Q187" s="1466"/>
      <c r="R187" s="1466"/>
      <c r="S187" s="1466"/>
      <c r="T187" s="1466"/>
      <c r="U187" s="1466"/>
      <c r="V187" s="1466"/>
      <c r="W187" s="1466"/>
      <c r="X187" s="1466"/>
      <c r="Y187" s="1466"/>
      <c r="Z187" s="1466"/>
      <c r="AA187" s="1466"/>
      <c r="AB187" s="1466"/>
      <c r="AC187" s="1466"/>
      <c r="AD187" s="1466"/>
      <c r="AE187" s="1466"/>
      <c r="AF187" s="1466"/>
      <c r="AG187" s="1466"/>
    </row>
    <row r="188" spans="1:33" ht="15.75" customHeight="1">
      <c r="A188" s="1470"/>
      <c r="B188" s="1471" t="s">
        <v>3404</v>
      </c>
      <c r="C188" s="1445"/>
      <c r="D188" s="1445"/>
      <c r="E188" s="1445"/>
      <c r="F188" s="1446"/>
      <c r="G188" s="1446"/>
      <c r="H188" s="1447"/>
      <c r="I188" s="1448"/>
      <c r="J188" s="1449"/>
      <c r="K188" s="1439"/>
      <c r="L188" s="1439"/>
      <c r="M188" s="1439"/>
      <c r="N188" s="1439"/>
      <c r="O188" s="1439"/>
      <c r="P188" s="1439"/>
      <c r="Q188" s="1439"/>
      <c r="R188" s="1439"/>
      <c r="S188" s="1439"/>
      <c r="T188" s="1439"/>
      <c r="U188" s="1439"/>
      <c r="V188" s="1439"/>
      <c r="W188" s="1439"/>
      <c r="X188" s="1439"/>
      <c r="Y188" s="1439"/>
      <c r="Z188" s="1439"/>
      <c r="AA188" s="1439"/>
      <c r="AB188" s="1439"/>
      <c r="AC188" s="1439"/>
      <c r="AD188" s="1439"/>
      <c r="AE188" s="1439"/>
      <c r="AF188" s="1439"/>
      <c r="AG188" s="1439"/>
    </row>
    <row r="189" spans="1:33" ht="15.75" customHeight="1">
      <c r="A189" s="1443"/>
      <c r="B189" s="1452" t="s">
        <v>7396</v>
      </c>
      <c r="C189" s="1445">
        <v>3</v>
      </c>
      <c r="D189" s="1453" t="s">
        <v>3364</v>
      </c>
      <c r="E189" s="1445">
        <v>1</v>
      </c>
      <c r="F189" s="1446">
        <v>0.23</v>
      </c>
      <c r="G189" s="1454">
        <v>0.3</v>
      </c>
      <c r="H189" s="1447">
        <v>2.9</v>
      </c>
      <c r="I189" s="1448">
        <f t="shared" ref="I189:I196" si="10">PRODUCT(C189:H189)</f>
        <v>0.6</v>
      </c>
      <c r="J189" s="1449"/>
      <c r="K189" s="1439"/>
      <c r="L189" s="1439"/>
      <c r="M189" s="1439"/>
      <c r="N189" s="1439"/>
      <c r="O189" s="1439"/>
      <c r="P189" s="1439"/>
      <c r="Q189" s="1439"/>
      <c r="R189" s="1439"/>
      <c r="S189" s="1439"/>
      <c r="T189" s="1439"/>
      <c r="U189" s="1439"/>
      <c r="V189" s="1439"/>
      <c r="W189" s="1439"/>
      <c r="X189" s="1439"/>
      <c r="Y189" s="1439"/>
      <c r="Z189" s="1439"/>
      <c r="AA189" s="1439"/>
      <c r="AB189" s="1439"/>
      <c r="AC189" s="1439"/>
      <c r="AD189" s="1439"/>
      <c r="AE189" s="1439"/>
      <c r="AF189" s="1439"/>
      <c r="AG189" s="1439"/>
    </row>
    <row r="190" spans="1:33" ht="15.75" customHeight="1">
      <c r="A190" s="1443"/>
      <c r="B190" s="1452" t="s">
        <v>7397</v>
      </c>
      <c r="C190" s="1445">
        <v>2</v>
      </c>
      <c r="D190" s="1453" t="s">
        <v>3364</v>
      </c>
      <c r="E190" s="1445">
        <v>1</v>
      </c>
      <c r="F190" s="1446">
        <v>0.23</v>
      </c>
      <c r="G190" s="1446">
        <v>0.38</v>
      </c>
      <c r="H190" s="1447">
        <v>2.9</v>
      </c>
      <c r="I190" s="1448">
        <f t="shared" si="10"/>
        <v>0.51</v>
      </c>
      <c r="J190" s="1449"/>
      <c r="K190" s="1439"/>
      <c r="L190" s="1439"/>
      <c r="M190" s="1439"/>
      <c r="N190" s="1439"/>
      <c r="O190" s="1439"/>
      <c r="P190" s="1439"/>
      <c r="Q190" s="1439"/>
      <c r="R190" s="1439"/>
      <c r="S190" s="1439"/>
      <c r="T190" s="1439"/>
      <c r="U190" s="1439"/>
      <c r="V190" s="1439"/>
      <c r="W190" s="1439"/>
      <c r="X190" s="1439"/>
      <c r="Y190" s="1439"/>
      <c r="Z190" s="1439"/>
      <c r="AA190" s="1439"/>
      <c r="AB190" s="1439"/>
      <c r="AC190" s="1439"/>
      <c r="AD190" s="1439"/>
      <c r="AE190" s="1439"/>
      <c r="AF190" s="1439"/>
      <c r="AG190" s="1439"/>
    </row>
    <row r="191" spans="1:33" ht="15.75" customHeight="1">
      <c r="A191" s="1443"/>
      <c r="B191" s="1452" t="s">
        <v>7398</v>
      </c>
      <c r="C191" s="1445">
        <v>4</v>
      </c>
      <c r="D191" s="1453" t="s">
        <v>3364</v>
      </c>
      <c r="E191" s="1445">
        <v>1</v>
      </c>
      <c r="F191" s="1446">
        <v>0.23</v>
      </c>
      <c r="G191" s="1446">
        <v>0.45</v>
      </c>
      <c r="H191" s="1447">
        <v>2.9</v>
      </c>
      <c r="I191" s="1448">
        <f t="shared" si="10"/>
        <v>1.2</v>
      </c>
      <c r="J191" s="1449"/>
      <c r="K191" s="1439"/>
      <c r="L191" s="1439"/>
      <c r="M191" s="1439"/>
      <c r="N191" s="1439"/>
      <c r="O191" s="1439"/>
      <c r="P191" s="1439"/>
      <c r="Q191" s="1439"/>
      <c r="R191" s="1439"/>
      <c r="S191" s="1439"/>
      <c r="T191" s="1439"/>
      <c r="U191" s="1439"/>
      <c r="V191" s="1439"/>
      <c r="W191" s="1439"/>
      <c r="X191" s="1439"/>
      <c r="Y191" s="1439"/>
      <c r="Z191" s="1439"/>
      <c r="AA191" s="1439"/>
      <c r="AB191" s="1439"/>
      <c r="AC191" s="1439"/>
      <c r="AD191" s="1439"/>
      <c r="AE191" s="1439"/>
      <c r="AF191" s="1439"/>
      <c r="AG191" s="1439"/>
    </row>
    <row r="192" spans="1:33" ht="15.75" customHeight="1">
      <c r="A192" s="1443"/>
      <c r="B192" s="1452" t="s">
        <v>7399</v>
      </c>
      <c r="C192" s="1445">
        <v>5</v>
      </c>
      <c r="D192" s="1453" t="s">
        <v>3364</v>
      </c>
      <c r="E192" s="1445">
        <v>1</v>
      </c>
      <c r="F192" s="1446">
        <v>0.23</v>
      </c>
      <c r="G192" s="1446">
        <v>0.45</v>
      </c>
      <c r="H192" s="1447">
        <v>2.9</v>
      </c>
      <c r="I192" s="1448">
        <f t="shared" si="10"/>
        <v>1.5</v>
      </c>
      <c r="J192" s="1449"/>
      <c r="K192" s="1439"/>
      <c r="L192" s="1439"/>
      <c r="M192" s="1439"/>
      <c r="N192" s="1439"/>
      <c r="O192" s="1439"/>
      <c r="P192" s="1439"/>
      <c r="Q192" s="1439"/>
      <c r="R192" s="1439"/>
      <c r="S192" s="1439"/>
      <c r="T192" s="1439"/>
      <c r="U192" s="1439"/>
      <c r="V192" s="1439"/>
      <c r="W192" s="1439"/>
      <c r="X192" s="1439"/>
      <c r="Y192" s="1439"/>
      <c r="Z192" s="1439"/>
      <c r="AA192" s="1439"/>
      <c r="AB192" s="1439"/>
      <c r="AC192" s="1439"/>
      <c r="AD192" s="1439"/>
      <c r="AE192" s="1439"/>
      <c r="AF192" s="1439"/>
      <c r="AG192" s="1439"/>
    </row>
    <row r="193" spans="1:33" ht="15.75" customHeight="1">
      <c r="A193" s="1443"/>
      <c r="B193" s="1452" t="s">
        <v>7400</v>
      </c>
      <c r="C193" s="1445">
        <v>6</v>
      </c>
      <c r="D193" s="1453" t="s">
        <v>3364</v>
      </c>
      <c r="E193" s="1445">
        <v>1</v>
      </c>
      <c r="F193" s="1446">
        <v>0.3</v>
      </c>
      <c r="G193" s="1446">
        <v>0.45</v>
      </c>
      <c r="H193" s="1447">
        <v>2.9</v>
      </c>
      <c r="I193" s="1448">
        <f t="shared" si="10"/>
        <v>2.35</v>
      </c>
      <c r="J193" s="1449"/>
      <c r="K193" s="1439"/>
      <c r="L193" s="1439">
        <f>3-0.2-0.1-1.05</f>
        <v>1.65</v>
      </c>
      <c r="M193" s="1439"/>
      <c r="N193" s="1439"/>
      <c r="O193" s="1439"/>
      <c r="P193" s="1439"/>
      <c r="Q193" s="1439"/>
      <c r="R193" s="1439"/>
      <c r="S193" s="1439"/>
      <c r="T193" s="1439"/>
      <c r="U193" s="1439"/>
      <c r="V193" s="1439"/>
      <c r="W193" s="1439"/>
      <c r="X193" s="1439"/>
      <c r="Y193" s="1439"/>
      <c r="Z193" s="1439"/>
      <c r="AA193" s="1439"/>
      <c r="AB193" s="1439"/>
      <c r="AC193" s="1439"/>
      <c r="AD193" s="1439"/>
      <c r="AE193" s="1439"/>
      <c r="AF193" s="1439"/>
      <c r="AG193" s="1439"/>
    </row>
    <row r="194" spans="1:33" ht="15.75" customHeight="1">
      <c r="A194" s="1443"/>
      <c r="B194" s="1452" t="s">
        <v>7401</v>
      </c>
      <c r="C194" s="1445">
        <v>6</v>
      </c>
      <c r="D194" s="1453" t="s">
        <v>3364</v>
      </c>
      <c r="E194" s="1445">
        <v>1</v>
      </c>
      <c r="F194" s="1446">
        <v>0.3</v>
      </c>
      <c r="G194" s="1446">
        <v>0.45</v>
      </c>
      <c r="H194" s="1447">
        <v>2.9</v>
      </c>
      <c r="I194" s="1448">
        <f t="shared" si="10"/>
        <v>2.35</v>
      </c>
      <c r="J194" s="1449"/>
      <c r="K194" s="1439"/>
      <c r="L194" s="1439">
        <f>1.65+1</f>
        <v>2.65</v>
      </c>
      <c r="M194" s="1439"/>
      <c r="N194" s="1439"/>
      <c r="O194" s="1439"/>
      <c r="P194" s="1439"/>
      <c r="Q194" s="1439"/>
      <c r="R194" s="1439"/>
      <c r="S194" s="1439"/>
      <c r="T194" s="1439"/>
      <c r="U194" s="1439"/>
      <c r="V194" s="1439"/>
      <c r="W194" s="1439"/>
      <c r="X194" s="1439"/>
      <c r="Y194" s="1439"/>
      <c r="Z194" s="1439"/>
      <c r="AA194" s="1439"/>
      <c r="AB194" s="1439"/>
      <c r="AC194" s="1439"/>
      <c r="AD194" s="1439"/>
      <c r="AE194" s="1439"/>
      <c r="AF194" s="1439"/>
      <c r="AG194" s="1439"/>
    </row>
    <row r="195" spans="1:33" ht="15.75" customHeight="1">
      <c r="A195" s="1443"/>
      <c r="B195" s="1452" t="s">
        <v>7402</v>
      </c>
      <c r="C195" s="1445">
        <v>2</v>
      </c>
      <c r="D195" s="1453" t="s">
        <v>3364</v>
      </c>
      <c r="E195" s="1445">
        <v>1</v>
      </c>
      <c r="F195" s="1446">
        <v>0.3</v>
      </c>
      <c r="G195" s="1446">
        <v>0.6</v>
      </c>
      <c r="H195" s="1447">
        <v>2.9</v>
      </c>
      <c r="I195" s="1448">
        <f t="shared" si="10"/>
        <v>1.04</v>
      </c>
      <c r="J195" s="1449"/>
      <c r="K195" s="1439"/>
      <c r="L195" s="1439"/>
      <c r="M195" s="1439"/>
      <c r="N195" s="1439"/>
      <c r="O195" s="1439"/>
      <c r="P195" s="1439"/>
      <c r="Q195" s="1439"/>
      <c r="R195" s="1439"/>
      <c r="S195" s="1439"/>
      <c r="T195" s="1439"/>
      <c r="U195" s="1439"/>
      <c r="V195" s="1439"/>
      <c r="W195" s="1439"/>
      <c r="X195" s="1439"/>
      <c r="Y195" s="1439"/>
      <c r="Z195" s="1439"/>
      <c r="AA195" s="1439"/>
      <c r="AB195" s="1439"/>
      <c r="AC195" s="1439"/>
      <c r="AD195" s="1439"/>
      <c r="AE195" s="1439"/>
      <c r="AF195" s="1439"/>
      <c r="AG195" s="1439"/>
    </row>
    <row r="196" spans="1:33" ht="15.75" customHeight="1">
      <c r="A196" s="1443"/>
      <c r="B196" s="1452" t="s">
        <v>7403</v>
      </c>
      <c r="C196" s="1445">
        <v>6</v>
      </c>
      <c r="D196" s="1453" t="s">
        <v>3364</v>
      </c>
      <c r="E196" s="1445">
        <v>1</v>
      </c>
      <c r="F196" s="1446">
        <v>0.3</v>
      </c>
      <c r="G196" s="1446">
        <v>0.6</v>
      </c>
      <c r="H196" s="1447">
        <v>2.9</v>
      </c>
      <c r="I196" s="1448">
        <f t="shared" si="10"/>
        <v>3.13</v>
      </c>
      <c r="J196" s="1449"/>
      <c r="K196" s="1439"/>
      <c r="L196" s="1439"/>
      <c r="M196" s="1439"/>
      <c r="N196" s="1439"/>
      <c r="O196" s="1439"/>
      <c r="P196" s="1439"/>
      <c r="Q196" s="1439"/>
      <c r="R196" s="1439"/>
      <c r="S196" s="1439"/>
      <c r="T196" s="1439"/>
      <c r="U196" s="1439"/>
      <c r="V196" s="1439"/>
      <c r="W196" s="1439"/>
      <c r="X196" s="1439"/>
      <c r="Y196" s="1439"/>
      <c r="Z196" s="1439"/>
      <c r="AA196" s="1439"/>
      <c r="AB196" s="1439"/>
      <c r="AC196" s="1439"/>
      <c r="AD196" s="1439"/>
      <c r="AE196" s="1439"/>
      <c r="AF196" s="1439"/>
      <c r="AG196" s="1439"/>
    </row>
    <row r="197" spans="1:33">
      <c r="A197" s="1443"/>
      <c r="B197" s="1455" t="s">
        <v>7407</v>
      </c>
      <c r="C197" s="1445"/>
      <c r="D197" s="1445"/>
      <c r="E197" s="1445"/>
      <c r="F197" s="1446"/>
      <c r="G197" s="1446"/>
      <c r="H197" s="1447"/>
      <c r="I197" s="1448"/>
      <c r="J197" s="1449"/>
      <c r="K197" s="1439"/>
      <c r="L197" s="1439"/>
      <c r="M197" s="1439"/>
      <c r="N197" s="1439"/>
      <c r="O197" s="1439"/>
      <c r="P197" s="1439"/>
      <c r="Q197" s="1439"/>
      <c r="R197" s="1439"/>
      <c r="S197" s="1439"/>
      <c r="T197" s="1439"/>
      <c r="U197" s="1439"/>
      <c r="V197" s="1439"/>
      <c r="W197" s="1439"/>
      <c r="X197" s="1439"/>
      <c r="Y197" s="1439"/>
      <c r="Z197" s="1439"/>
      <c r="AA197" s="1439"/>
      <c r="AB197" s="1439"/>
      <c r="AC197" s="1439"/>
      <c r="AD197" s="1439"/>
      <c r="AE197" s="1439"/>
      <c r="AF197" s="1439"/>
      <c r="AG197" s="1439"/>
    </row>
    <row r="198" spans="1:33" ht="15.75" customHeight="1">
      <c r="A198" s="1443"/>
      <c r="B198" s="1452" t="s">
        <v>7388</v>
      </c>
      <c r="C198" s="1445">
        <v>1</v>
      </c>
      <c r="D198" s="1445" t="s">
        <v>3364</v>
      </c>
      <c r="E198" s="1445">
        <v>4</v>
      </c>
      <c r="F198" s="1446">
        <v>27.89</v>
      </c>
      <c r="G198" s="1446">
        <v>0.23</v>
      </c>
      <c r="H198" s="1467">
        <v>0.45</v>
      </c>
      <c r="I198" s="1448">
        <f t="shared" ref="I198:I206" si="11">PRODUCT(C198:H198)</f>
        <v>11.55</v>
      </c>
      <c r="J198" s="1449"/>
      <c r="K198" s="1439"/>
      <c r="L198" s="1439"/>
      <c r="M198" s="1439"/>
      <c r="N198" s="1439"/>
      <c r="O198" s="1439"/>
      <c r="P198" s="1439"/>
      <c r="Q198" s="1439"/>
      <c r="R198" s="1439"/>
      <c r="S198" s="1439"/>
      <c r="T198" s="1439"/>
      <c r="U198" s="1439"/>
      <c r="V198" s="1439"/>
      <c r="W198" s="1439"/>
      <c r="X198" s="1439"/>
      <c r="Y198" s="1439"/>
      <c r="Z198" s="1439"/>
      <c r="AA198" s="1439"/>
      <c r="AB198" s="1439"/>
      <c r="AC198" s="1439"/>
      <c r="AD198" s="1439"/>
      <c r="AE198" s="1439"/>
      <c r="AF198" s="1439"/>
      <c r="AG198" s="1439"/>
    </row>
    <row r="199" spans="1:33" ht="15.75" customHeight="1">
      <c r="A199" s="1443"/>
      <c r="B199" s="1452" t="s">
        <v>7389</v>
      </c>
      <c r="C199" s="1445">
        <v>1</v>
      </c>
      <c r="D199" s="1445" t="s">
        <v>3364</v>
      </c>
      <c r="E199" s="1445">
        <v>1</v>
      </c>
      <c r="F199" s="1446">
        <f>2.53+0.46</f>
        <v>2.99</v>
      </c>
      <c r="G199" s="1446">
        <v>0.23</v>
      </c>
      <c r="H199" s="1447">
        <v>0.45</v>
      </c>
      <c r="I199" s="1448">
        <f t="shared" si="11"/>
        <v>0.31</v>
      </c>
      <c r="J199" s="1449"/>
      <c r="K199" s="1439"/>
      <c r="L199" s="1439"/>
      <c r="M199" s="1439"/>
      <c r="N199" s="1439"/>
      <c r="O199" s="1439"/>
      <c r="P199" s="1439"/>
      <c r="Q199" s="1439"/>
      <c r="R199" s="1439"/>
      <c r="S199" s="1439"/>
      <c r="T199" s="1439"/>
      <c r="U199" s="1439"/>
      <c r="V199" s="1439"/>
      <c r="W199" s="1439"/>
      <c r="X199" s="1439"/>
      <c r="Y199" s="1439"/>
      <c r="Z199" s="1439"/>
      <c r="AA199" s="1439"/>
      <c r="AB199" s="1439"/>
      <c r="AC199" s="1439"/>
      <c r="AD199" s="1439"/>
      <c r="AE199" s="1439"/>
      <c r="AF199" s="1439"/>
      <c r="AG199" s="1439"/>
    </row>
    <row r="200" spans="1:33" ht="15.75" customHeight="1">
      <c r="A200" s="1443"/>
      <c r="B200" s="1452" t="s">
        <v>7390</v>
      </c>
      <c r="C200" s="1445">
        <v>1</v>
      </c>
      <c r="D200" s="1453" t="s">
        <v>3827</v>
      </c>
      <c r="E200" s="1445">
        <v>1</v>
      </c>
      <c r="F200" s="1446">
        <f>4.765+1.13+2.53+0.23</f>
        <v>8.6549999999999994</v>
      </c>
      <c r="G200" s="1446">
        <v>0.23</v>
      </c>
      <c r="H200" s="1447">
        <v>0.45</v>
      </c>
      <c r="I200" s="1448">
        <f t="shared" si="11"/>
        <v>0.9</v>
      </c>
      <c r="J200" s="1449"/>
      <c r="K200" s="1439"/>
      <c r="L200" s="1439"/>
      <c r="M200" s="1439"/>
      <c r="N200" s="1439"/>
      <c r="O200" s="1439"/>
      <c r="P200" s="1439"/>
      <c r="Q200" s="1439"/>
      <c r="R200" s="1439"/>
      <c r="S200" s="1439"/>
      <c r="T200" s="1439"/>
      <c r="U200" s="1439"/>
      <c r="V200" s="1439"/>
      <c r="W200" s="1439"/>
      <c r="X200" s="1439"/>
      <c r="Y200" s="1439"/>
      <c r="Z200" s="1439"/>
      <c r="AA200" s="1439"/>
      <c r="AB200" s="1439"/>
      <c r="AC200" s="1439"/>
      <c r="AD200" s="1439"/>
      <c r="AE200" s="1439"/>
      <c r="AF200" s="1439"/>
      <c r="AG200" s="1439"/>
    </row>
    <row r="201" spans="1:33" ht="15.75" customHeight="1">
      <c r="A201" s="1443"/>
      <c r="B201" s="1455" t="s">
        <v>7406</v>
      </c>
      <c r="C201" s="1445"/>
      <c r="D201" s="1445"/>
      <c r="E201" s="1445"/>
      <c r="F201" s="1446"/>
      <c r="G201" s="1446"/>
      <c r="H201" s="1447"/>
      <c r="I201" s="1448">
        <f t="shared" si="11"/>
        <v>0</v>
      </c>
      <c r="J201" s="1449"/>
      <c r="K201" s="1439"/>
      <c r="L201" s="1439"/>
      <c r="M201" s="1439"/>
      <c r="N201" s="1439"/>
      <c r="O201" s="1439"/>
      <c r="P201" s="1439"/>
      <c r="Q201" s="1439"/>
      <c r="R201" s="1439"/>
      <c r="S201" s="1439"/>
      <c r="T201" s="1439"/>
      <c r="U201" s="1439"/>
      <c r="V201" s="1439"/>
      <c r="W201" s="1439"/>
      <c r="X201" s="1439"/>
      <c r="Y201" s="1439"/>
      <c r="Z201" s="1439"/>
      <c r="AA201" s="1439"/>
      <c r="AB201" s="1439"/>
      <c r="AC201" s="1439"/>
      <c r="AD201" s="1439"/>
      <c r="AE201" s="1439"/>
      <c r="AF201" s="1439"/>
      <c r="AG201" s="1439"/>
    </row>
    <row r="202" spans="1:33" ht="15.75" customHeight="1">
      <c r="A202" s="1443"/>
      <c r="B202" s="1452" t="s">
        <v>7037</v>
      </c>
      <c r="C202" s="1445">
        <v>1</v>
      </c>
      <c r="D202" s="1445" t="s">
        <v>3364</v>
      </c>
      <c r="E202" s="1445">
        <v>7</v>
      </c>
      <c r="F202" s="1446">
        <v>18.079999999999998</v>
      </c>
      <c r="G202" s="1446">
        <v>0.23</v>
      </c>
      <c r="H202" s="1447">
        <v>0.6</v>
      </c>
      <c r="I202" s="1448">
        <f t="shared" si="11"/>
        <v>17.47</v>
      </c>
      <c r="J202" s="1449"/>
      <c r="K202" s="1439"/>
      <c r="L202" s="1439"/>
      <c r="M202" s="1439"/>
      <c r="N202" s="1439"/>
      <c r="O202" s="1439"/>
      <c r="P202" s="1439"/>
      <c r="Q202" s="1439"/>
      <c r="R202" s="1439"/>
      <c r="S202" s="1439"/>
      <c r="T202" s="1439"/>
      <c r="U202" s="1439"/>
      <c r="V202" s="1439"/>
      <c r="W202" s="1439"/>
      <c r="X202" s="1439"/>
      <c r="Y202" s="1439"/>
      <c r="Z202" s="1439"/>
      <c r="AA202" s="1439"/>
      <c r="AB202" s="1439"/>
      <c r="AC202" s="1439"/>
      <c r="AD202" s="1439"/>
      <c r="AE202" s="1439"/>
      <c r="AF202" s="1439"/>
      <c r="AG202" s="1439"/>
    </row>
    <row r="203" spans="1:33" ht="15.75" customHeight="1">
      <c r="A203" s="1443"/>
      <c r="B203" s="1452" t="s">
        <v>7391</v>
      </c>
      <c r="C203" s="1445">
        <v>1</v>
      </c>
      <c r="D203" s="1445" t="s">
        <v>3364</v>
      </c>
      <c r="E203" s="1445">
        <v>4</v>
      </c>
      <c r="F203" s="1446">
        <v>1.54</v>
      </c>
      <c r="G203" s="1446">
        <v>0.23</v>
      </c>
      <c r="H203" s="1447">
        <v>0.6</v>
      </c>
      <c r="I203" s="1448">
        <f t="shared" si="11"/>
        <v>0.85</v>
      </c>
      <c r="J203" s="1449"/>
      <c r="K203" s="1439"/>
      <c r="L203" s="1439"/>
      <c r="M203" s="1439"/>
      <c r="N203" s="1439"/>
      <c r="O203" s="1439"/>
      <c r="P203" s="1439"/>
      <c r="Q203" s="1439"/>
      <c r="R203" s="1439"/>
      <c r="S203" s="1439"/>
      <c r="T203" s="1439"/>
      <c r="U203" s="1439"/>
      <c r="V203" s="1439"/>
      <c r="W203" s="1439"/>
      <c r="X203" s="1439"/>
      <c r="Y203" s="1439"/>
      <c r="Z203" s="1439"/>
      <c r="AA203" s="1439"/>
      <c r="AB203" s="1439"/>
      <c r="AC203" s="1439"/>
      <c r="AD203" s="1439"/>
      <c r="AE203" s="1439"/>
      <c r="AF203" s="1439"/>
      <c r="AG203" s="1439"/>
    </row>
    <row r="204" spans="1:33" ht="15.75" customHeight="1">
      <c r="A204" s="1443"/>
      <c r="B204" s="1452" t="s">
        <v>7392</v>
      </c>
      <c r="C204" s="1445">
        <v>1</v>
      </c>
      <c r="D204" s="1445" t="s">
        <v>3364</v>
      </c>
      <c r="E204" s="1445">
        <v>1</v>
      </c>
      <c r="F204" s="1446">
        <v>2.3849999999999998</v>
      </c>
      <c r="G204" s="1446">
        <v>0.23</v>
      </c>
      <c r="H204" s="1447">
        <v>0.6</v>
      </c>
      <c r="I204" s="1448">
        <f t="shared" si="11"/>
        <v>0.33</v>
      </c>
      <c r="J204" s="1449"/>
      <c r="K204" s="1439"/>
      <c r="L204" s="1439"/>
      <c r="M204" s="1439"/>
      <c r="N204" s="1439"/>
      <c r="O204" s="1439"/>
      <c r="P204" s="1439"/>
      <c r="Q204" s="1439"/>
      <c r="R204" s="1439"/>
      <c r="S204" s="1439"/>
      <c r="T204" s="1439"/>
      <c r="U204" s="1439"/>
      <c r="V204" s="1439"/>
      <c r="W204" s="1439"/>
      <c r="X204" s="1439"/>
      <c r="Y204" s="1439"/>
      <c r="Z204" s="1439"/>
      <c r="AA204" s="1439"/>
      <c r="AB204" s="1439"/>
      <c r="AC204" s="1439"/>
      <c r="AD204" s="1439"/>
      <c r="AE204" s="1439"/>
      <c r="AF204" s="1439"/>
      <c r="AG204" s="1439"/>
    </row>
    <row r="205" spans="1:33" ht="15.75" customHeight="1">
      <c r="A205" s="1443"/>
      <c r="B205" s="1450" t="s">
        <v>7039</v>
      </c>
      <c r="C205" s="1445">
        <v>1</v>
      </c>
      <c r="D205" s="1445" t="s">
        <v>3364</v>
      </c>
      <c r="E205" s="1445">
        <v>1</v>
      </c>
      <c r="F205" s="1446">
        <f>8.82+0.46</f>
        <v>9.2799999999999994</v>
      </c>
      <c r="G205" s="1446">
        <v>0.23</v>
      </c>
      <c r="H205" s="1447">
        <v>0.6</v>
      </c>
      <c r="I205" s="1448">
        <f t="shared" si="11"/>
        <v>1.28</v>
      </c>
      <c r="J205" s="1449"/>
      <c r="K205" s="1439"/>
      <c r="L205" s="1439"/>
      <c r="M205" s="1439"/>
      <c r="N205" s="1439"/>
      <c r="O205" s="1439"/>
      <c r="P205" s="1439"/>
      <c r="Q205" s="1439"/>
      <c r="R205" s="1439"/>
      <c r="S205" s="1439"/>
      <c r="T205" s="1439"/>
      <c r="U205" s="1439"/>
      <c r="V205" s="1439"/>
      <c r="W205" s="1439"/>
      <c r="X205" s="1439"/>
      <c r="Y205" s="1439"/>
      <c r="Z205" s="1439"/>
      <c r="AA205" s="1439"/>
      <c r="AB205" s="1439"/>
      <c r="AC205" s="1439"/>
      <c r="AD205" s="1439"/>
      <c r="AE205" s="1439"/>
      <c r="AF205" s="1439"/>
      <c r="AG205" s="1439"/>
    </row>
    <row r="206" spans="1:33" ht="15.75" customHeight="1">
      <c r="A206" s="1443"/>
      <c r="B206" s="1452" t="s">
        <v>7404</v>
      </c>
      <c r="C206" s="1445">
        <v>1</v>
      </c>
      <c r="D206" s="1445" t="s">
        <v>3364</v>
      </c>
      <c r="E206" s="1445">
        <v>2</v>
      </c>
      <c r="F206" s="1446">
        <v>3.3460000000000001</v>
      </c>
      <c r="G206" s="1446">
        <v>0.23</v>
      </c>
      <c r="H206" s="1447">
        <v>0.6</v>
      </c>
      <c r="I206" s="1448">
        <f t="shared" si="11"/>
        <v>0.92</v>
      </c>
      <c r="J206" s="1449"/>
      <c r="K206" s="1439"/>
      <c r="L206" s="1439"/>
      <c r="M206" s="1439"/>
      <c r="N206" s="1439"/>
      <c r="O206" s="1439"/>
      <c r="P206" s="1439"/>
      <c r="Q206" s="1439"/>
      <c r="R206" s="1439"/>
      <c r="S206" s="1439"/>
      <c r="T206" s="1439"/>
      <c r="U206" s="1439"/>
      <c r="V206" s="1439"/>
      <c r="W206" s="1439"/>
      <c r="X206" s="1439"/>
      <c r="Y206" s="1439"/>
      <c r="Z206" s="1439"/>
      <c r="AA206" s="1439"/>
      <c r="AB206" s="1439"/>
      <c r="AC206" s="1439"/>
      <c r="AD206" s="1439"/>
      <c r="AE206" s="1439"/>
      <c r="AF206" s="1439"/>
      <c r="AG206" s="1439"/>
    </row>
    <row r="207" spans="1:33" ht="15.75" customHeight="1">
      <c r="A207" s="1443"/>
      <c r="B207" s="1455" t="s">
        <v>3413</v>
      </c>
      <c r="C207" s="1445"/>
      <c r="D207" s="1445"/>
      <c r="E207" s="1445"/>
      <c r="F207" s="1446"/>
      <c r="G207" s="1446"/>
      <c r="H207" s="1447"/>
      <c r="I207" s="1448">
        <f t="shared" ref="I207:I228" si="12">PRODUCT(C207:H207)</f>
        <v>0</v>
      </c>
      <c r="J207" s="1449"/>
      <c r="K207" s="1439"/>
      <c r="L207" s="1439"/>
      <c r="M207" s="1439"/>
      <c r="N207" s="1439"/>
      <c r="O207" s="1439"/>
      <c r="P207" s="1439"/>
      <c r="Q207" s="1439"/>
      <c r="R207" s="1439"/>
      <c r="S207" s="1439"/>
      <c r="T207" s="1439"/>
      <c r="U207" s="1439"/>
      <c r="V207" s="1439"/>
      <c r="W207" s="1439"/>
      <c r="X207" s="1439"/>
      <c r="Y207" s="1439"/>
      <c r="Z207" s="1439"/>
      <c r="AA207" s="1439"/>
      <c r="AB207" s="1439"/>
      <c r="AC207" s="1439"/>
      <c r="AD207" s="1439"/>
      <c r="AE207" s="1439"/>
      <c r="AF207" s="1439"/>
      <c r="AG207" s="1439"/>
    </row>
    <row r="208" spans="1:33" ht="15.75" customHeight="1">
      <c r="A208" s="1443"/>
      <c r="B208" s="1450" t="s">
        <v>7425</v>
      </c>
      <c r="C208" s="1445">
        <v>1</v>
      </c>
      <c r="D208" s="1445" t="s">
        <v>3364</v>
      </c>
      <c r="E208" s="1445">
        <v>2</v>
      </c>
      <c r="F208" s="1446">
        <v>17</v>
      </c>
      <c r="G208" s="1446">
        <v>4.5</v>
      </c>
      <c r="H208" s="1447">
        <v>0.15</v>
      </c>
      <c r="I208" s="1448">
        <f t="shared" si="12"/>
        <v>22.95</v>
      </c>
      <c r="J208" s="1449"/>
      <c r="K208" s="1439"/>
      <c r="L208" s="1439"/>
      <c r="M208" s="1439"/>
      <c r="N208" s="1439"/>
      <c r="O208" s="1439"/>
      <c r="P208" s="1439"/>
      <c r="Q208" s="1439"/>
      <c r="R208" s="1439"/>
      <c r="S208" s="1439"/>
      <c r="T208" s="1439"/>
      <c r="U208" s="1439"/>
      <c r="V208" s="1439"/>
      <c r="W208" s="1439"/>
      <c r="X208" s="1439"/>
      <c r="Y208" s="1439"/>
      <c r="Z208" s="1439"/>
      <c r="AA208" s="1439"/>
      <c r="AB208" s="1439"/>
      <c r="AC208" s="1439"/>
      <c r="AD208" s="1439"/>
      <c r="AE208" s="1439"/>
      <c r="AF208" s="1439"/>
      <c r="AG208" s="1439"/>
    </row>
    <row r="209" spans="1:33" ht="15.75" customHeight="1">
      <c r="A209" s="1443"/>
      <c r="B209" s="1450" t="s">
        <v>7426</v>
      </c>
      <c r="C209" s="1445">
        <v>1</v>
      </c>
      <c r="D209" s="1445" t="s">
        <v>3364</v>
      </c>
      <c r="E209" s="1445">
        <v>1</v>
      </c>
      <c r="F209" s="1446">
        <f>4.8+4.8+0.23</f>
        <v>9.83</v>
      </c>
      <c r="G209" s="1446">
        <v>17</v>
      </c>
      <c r="H209" s="1447">
        <v>0.15</v>
      </c>
      <c r="I209" s="1448">
        <f t="shared" si="12"/>
        <v>25.07</v>
      </c>
      <c r="J209" s="1449"/>
      <c r="K209" s="1439"/>
      <c r="L209" s="1439"/>
      <c r="M209" s="1439"/>
      <c r="N209" s="1439"/>
      <c r="O209" s="1439"/>
      <c r="P209" s="1439"/>
      <c r="Q209" s="1439"/>
      <c r="R209" s="1439"/>
      <c r="S209" s="1439"/>
      <c r="T209" s="1439"/>
      <c r="U209" s="1439"/>
      <c r="V209" s="1439"/>
      <c r="W209" s="1439"/>
      <c r="X209" s="1439"/>
      <c r="Y209" s="1439"/>
      <c r="Z209" s="1439"/>
      <c r="AA209" s="1439"/>
      <c r="AB209" s="1439"/>
      <c r="AC209" s="1439"/>
      <c r="AD209" s="1439"/>
      <c r="AE209" s="1439"/>
      <c r="AF209" s="1439"/>
      <c r="AG209" s="1439"/>
    </row>
    <row r="210" spans="1:33" ht="15.75" customHeight="1">
      <c r="A210" s="1443"/>
      <c r="B210" s="1450" t="s">
        <v>7427</v>
      </c>
      <c r="C210" s="1457">
        <v>1</v>
      </c>
      <c r="D210" s="1445" t="s">
        <v>3364</v>
      </c>
      <c r="E210" s="1445">
        <v>1</v>
      </c>
      <c r="F210" s="1446">
        <v>4.6749999999999998</v>
      </c>
      <c r="G210" s="1446">
        <v>18.43</v>
      </c>
      <c r="H210" s="1447">
        <v>0.15</v>
      </c>
      <c r="I210" s="1448">
        <f t="shared" si="12"/>
        <v>12.92</v>
      </c>
      <c r="J210" s="1449"/>
      <c r="K210" s="1439"/>
      <c r="L210" s="1439"/>
      <c r="M210" s="1439"/>
      <c r="N210" s="1439"/>
      <c r="O210" s="1439"/>
      <c r="P210" s="1439"/>
      <c r="Q210" s="1439"/>
      <c r="R210" s="1439"/>
      <c r="S210" s="1439"/>
      <c r="T210" s="1439"/>
      <c r="U210" s="1439"/>
      <c r="V210" s="1439"/>
      <c r="W210" s="1439"/>
      <c r="X210" s="1439"/>
      <c r="Y210" s="1439"/>
      <c r="Z210" s="1439"/>
      <c r="AA210" s="1439"/>
      <c r="AB210" s="1439"/>
      <c r="AC210" s="1439"/>
      <c r="AD210" s="1439"/>
      <c r="AE210" s="1439"/>
      <c r="AF210" s="1439"/>
      <c r="AG210" s="1439"/>
    </row>
    <row r="211" spans="1:33" ht="15.75" customHeight="1">
      <c r="A211" s="1443"/>
      <c r="B211" s="1450" t="s">
        <v>7428</v>
      </c>
      <c r="C211" s="1445">
        <v>1</v>
      </c>
      <c r="D211" s="1445" t="s">
        <v>3364</v>
      </c>
      <c r="E211" s="1445">
        <v>1</v>
      </c>
      <c r="F211" s="1446">
        <f>5.37+4.08+0.9</f>
        <v>10.35</v>
      </c>
      <c r="G211" s="1446">
        <v>3.43</v>
      </c>
      <c r="H211" s="1447">
        <v>0.15</v>
      </c>
      <c r="I211" s="1448">
        <f t="shared" si="12"/>
        <v>5.33</v>
      </c>
      <c r="J211" s="1449"/>
      <c r="K211" s="1439"/>
      <c r="L211" s="1439"/>
      <c r="M211" s="1439"/>
      <c r="N211" s="1439"/>
      <c r="O211" s="1439"/>
      <c r="P211" s="1439"/>
      <c r="Q211" s="1439"/>
      <c r="R211" s="1439"/>
      <c r="S211" s="1439"/>
      <c r="T211" s="1439"/>
      <c r="U211" s="1439"/>
      <c r="V211" s="1439"/>
      <c r="W211" s="1439"/>
      <c r="X211" s="1439"/>
      <c r="Y211" s="1439"/>
      <c r="Z211" s="1439"/>
      <c r="AA211" s="1439"/>
      <c r="AB211" s="1439"/>
      <c r="AC211" s="1439"/>
      <c r="AD211" s="1439"/>
      <c r="AE211" s="1439"/>
      <c r="AF211" s="1439"/>
      <c r="AG211" s="1439"/>
    </row>
    <row r="212" spans="1:33" ht="15.75" customHeight="1">
      <c r="A212" s="1443"/>
      <c r="B212" s="1450" t="s">
        <v>7049</v>
      </c>
      <c r="C212" s="1445">
        <v>1</v>
      </c>
      <c r="D212" s="1445" t="s">
        <v>3364</v>
      </c>
      <c r="E212" s="1445">
        <v>2</v>
      </c>
      <c r="F212" s="1446">
        <v>5.82</v>
      </c>
      <c r="G212" s="1446">
        <v>1.5</v>
      </c>
      <c r="H212" s="1447">
        <v>0.2</v>
      </c>
      <c r="I212" s="1448">
        <f t="shared" si="12"/>
        <v>3.49</v>
      </c>
      <c r="J212" s="1449"/>
      <c r="K212" s="1439"/>
      <c r="L212" s="1439"/>
      <c r="M212" s="1439"/>
      <c r="N212" s="1439"/>
      <c r="O212" s="1439"/>
      <c r="P212" s="1439"/>
      <c r="Q212" s="1439"/>
      <c r="R212" s="1439"/>
      <c r="S212" s="1439"/>
      <c r="T212" s="1439"/>
      <c r="U212" s="1439"/>
      <c r="V212" s="1439"/>
      <c r="W212" s="1439"/>
      <c r="X212" s="1439"/>
      <c r="Y212" s="1439"/>
      <c r="Z212" s="1439"/>
      <c r="AA212" s="1439"/>
      <c r="AB212" s="1439"/>
      <c r="AC212" s="1439"/>
      <c r="AD212" s="1439"/>
      <c r="AE212" s="1439"/>
      <c r="AF212" s="1439"/>
      <c r="AG212" s="1439"/>
    </row>
    <row r="213" spans="1:33" ht="15.75" customHeight="1">
      <c r="A213" s="1443"/>
      <c r="B213" s="1450" t="s">
        <v>3391</v>
      </c>
      <c r="C213" s="1445">
        <v>1</v>
      </c>
      <c r="D213" s="1445" t="s">
        <v>3364</v>
      </c>
      <c r="E213" s="1445">
        <v>1</v>
      </c>
      <c r="F213" s="1446">
        <v>3.6</v>
      </c>
      <c r="G213" s="1446">
        <v>1.5</v>
      </c>
      <c r="H213" s="1447">
        <v>0.2</v>
      </c>
      <c r="I213" s="1448">
        <f t="shared" si="12"/>
        <v>1.08</v>
      </c>
      <c r="J213" s="1449"/>
      <c r="K213" s="1439"/>
      <c r="L213" s="1439"/>
      <c r="M213" s="1439"/>
      <c r="N213" s="1439"/>
      <c r="O213" s="1439"/>
      <c r="P213" s="1439"/>
      <c r="Q213" s="1439"/>
      <c r="R213" s="1439"/>
      <c r="S213" s="1439"/>
      <c r="T213" s="1439"/>
      <c r="U213" s="1439"/>
      <c r="V213" s="1439"/>
      <c r="W213" s="1439"/>
      <c r="X213" s="1439"/>
      <c r="Y213" s="1439"/>
      <c r="Z213" s="1439"/>
      <c r="AA213" s="1439"/>
      <c r="AB213" s="1439"/>
      <c r="AC213" s="1439"/>
      <c r="AD213" s="1439"/>
      <c r="AE213" s="1439"/>
      <c r="AF213" s="1439"/>
      <c r="AG213" s="1439"/>
    </row>
    <row r="214" spans="1:33" ht="15.75" customHeight="1">
      <c r="A214" s="1443"/>
      <c r="B214" s="1450" t="s">
        <v>3392</v>
      </c>
      <c r="C214" s="1445">
        <v>1</v>
      </c>
      <c r="D214" s="1445" t="s">
        <v>3364</v>
      </c>
      <c r="E214" s="1445">
        <v>1</v>
      </c>
      <c r="F214" s="1446">
        <v>3.46</v>
      </c>
      <c r="G214" s="1446">
        <v>0.23</v>
      </c>
      <c r="H214" s="1447">
        <v>0.5</v>
      </c>
      <c r="I214" s="1448">
        <f t="shared" si="12"/>
        <v>0.4</v>
      </c>
      <c r="J214" s="1449"/>
      <c r="K214" s="1439"/>
      <c r="L214" s="1439"/>
      <c r="M214" s="1439"/>
      <c r="N214" s="1439"/>
      <c r="O214" s="1439"/>
      <c r="P214" s="1439"/>
      <c r="Q214" s="1439"/>
      <c r="R214" s="1439"/>
      <c r="S214" s="1439"/>
      <c r="T214" s="1439"/>
      <c r="U214" s="1439"/>
      <c r="V214" s="1439"/>
      <c r="W214" s="1439"/>
      <c r="X214" s="1439"/>
      <c r="Y214" s="1439"/>
      <c r="Z214" s="1439"/>
      <c r="AA214" s="1439"/>
      <c r="AB214" s="1439"/>
      <c r="AC214" s="1439"/>
      <c r="AD214" s="1439"/>
      <c r="AE214" s="1439"/>
      <c r="AF214" s="1439"/>
      <c r="AG214" s="1439"/>
    </row>
    <row r="215" spans="1:33" ht="15.75" customHeight="1">
      <c r="A215" s="1443"/>
      <c r="B215" s="1450" t="s">
        <v>3393</v>
      </c>
      <c r="C215" s="1457">
        <v>0.5</v>
      </c>
      <c r="D215" s="1445" t="s">
        <v>3364</v>
      </c>
      <c r="E215" s="1445">
        <v>22</v>
      </c>
      <c r="F215" s="1446">
        <v>1.35</v>
      </c>
      <c r="G215" s="1446">
        <v>0.3</v>
      </c>
      <c r="H215" s="1447">
        <v>0.2</v>
      </c>
      <c r="I215" s="1448">
        <f t="shared" si="12"/>
        <v>0.89</v>
      </c>
      <c r="J215" s="1449"/>
      <c r="K215" s="1439"/>
      <c r="L215" s="1439"/>
      <c r="M215" s="1439"/>
      <c r="N215" s="1439"/>
      <c r="O215" s="1439"/>
      <c r="P215" s="1439"/>
      <c r="Q215" s="1439"/>
      <c r="R215" s="1439"/>
      <c r="S215" s="1439"/>
      <c r="T215" s="1439"/>
      <c r="U215" s="1439"/>
      <c r="V215" s="1439"/>
      <c r="W215" s="1439"/>
      <c r="X215" s="1439"/>
      <c r="Y215" s="1439"/>
      <c r="Z215" s="1439"/>
      <c r="AA215" s="1439"/>
      <c r="AB215" s="1439"/>
      <c r="AC215" s="1439"/>
      <c r="AD215" s="1439"/>
      <c r="AE215" s="1439"/>
      <c r="AF215" s="1439"/>
      <c r="AG215" s="1439"/>
    </row>
    <row r="216" spans="1:33" ht="15.75" customHeight="1">
      <c r="A216" s="1443"/>
      <c r="B216" s="1455" t="s">
        <v>7429</v>
      </c>
      <c r="C216" s="1457"/>
      <c r="D216" s="1445"/>
      <c r="E216" s="1445"/>
      <c r="F216" s="1446"/>
      <c r="G216" s="1446"/>
      <c r="H216" s="1447"/>
      <c r="I216" s="1448">
        <f t="shared" si="12"/>
        <v>0</v>
      </c>
      <c r="J216" s="1449"/>
      <c r="K216" s="1439"/>
      <c r="L216" s="1439"/>
      <c r="M216" s="1439"/>
      <c r="N216" s="1439"/>
      <c r="O216" s="1439"/>
      <c r="P216" s="1439"/>
      <c r="Q216" s="1439"/>
      <c r="R216" s="1439"/>
      <c r="S216" s="1439"/>
      <c r="T216" s="1439"/>
      <c r="U216" s="1439"/>
      <c r="V216" s="1439"/>
      <c r="W216" s="1439"/>
      <c r="X216" s="1439"/>
      <c r="Y216" s="1439"/>
      <c r="Z216" s="1439"/>
      <c r="AA216" s="1439"/>
      <c r="AB216" s="1439"/>
      <c r="AC216" s="1439"/>
      <c r="AD216" s="1439"/>
      <c r="AE216" s="1439"/>
      <c r="AF216" s="1439"/>
      <c r="AG216" s="1439"/>
    </row>
    <row r="217" spans="1:33" ht="15.75" customHeight="1">
      <c r="A217" s="1443"/>
      <c r="B217" s="1450" t="s">
        <v>7430</v>
      </c>
      <c r="C217" s="1445">
        <v>3</v>
      </c>
      <c r="D217" s="1445" t="s">
        <v>3364</v>
      </c>
      <c r="E217" s="1445">
        <v>1</v>
      </c>
      <c r="F217" s="1446">
        <f>9.37+0.43</f>
        <v>9.8000000000000007</v>
      </c>
      <c r="G217" s="1446">
        <v>0.23</v>
      </c>
      <c r="H217" s="1447">
        <v>0.2</v>
      </c>
      <c r="I217" s="1448">
        <f t="shared" si="12"/>
        <v>1.35</v>
      </c>
      <c r="J217" s="1449"/>
      <c r="K217" s="1439"/>
      <c r="L217" s="1439"/>
      <c r="M217" s="1439"/>
      <c r="N217" s="1439"/>
      <c r="O217" s="1439"/>
      <c r="P217" s="1439"/>
      <c r="Q217" s="1439"/>
      <c r="R217" s="1439"/>
      <c r="S217" s="1439"/>
      <c r="T217" s="1439"/>
      <c r="U217" s="1439"/>
      <c r="V217" s="1439"/>
      <c r="W217" s="1439"/>
      <c r="X217" s="1439"/>
      <c r="Y217" s="1439"/>
      <c r="Z217" s="1439"/>
      <c r="AA217" s="1439"/>
      <c r="AB217" s="1439"/>
      <c r="AC217" s="1439"/>
      <c r="AD217" s="1439"/>
      <c r="AE217" s="1439"/>
      <c r="AF217" s="1439"/>
      <c r="AG217" s="1439"/>
    </row>
    <row r="218" spans="1:33" ht="15.75" customHeight="1">
      <c r="A218" s="1443"/>
      <c r="B218" s="1450" t="s">
        <v>7431</v>
      </c>
      <c r="C218" s="1445">
        <v>2</v>
      </c>
      <c r="D218" s="1445" t="s">
        <v>3364</v>
      </c>
      <c r="E218" s="1445">
        <v>1</v>
      </c>
      <c r="F218" s="1446">
        <f>4.57+0.46</f>
        <v>5.03</v>
      </c>
      <c r="G218" s="1446">
        <v>0.23</v>
      </c>
      <c r="H218" s="1447">
        <v>0.2</v>
      </c>
      <c r="I218" s="1448">
        <f t="shared" si="12"/>
        <v>0.46</v>
      </c>
      <c r="J218" s="1449"/>
      <c r="K218" s="1439"/>
      <c r="L218" s="1439"/>
      <c r="M218" s="1439"/>
      <c r="N218" s="1439"/>
      <c r="O218" s="1439"/>
      <c r="P218" s="1439"/>
      <c r="Q218" s="1439"/>
      <c r="R218" s="1439"/>
      <c r="S218" s="1439"/>
      <c r="T218" s="1439"/>
      <c r="U218" s="1439"/>
      <c r="V218" s="1439"/>
      <c r="W218" s="1439"/>
      <c r="X218" s="1439"/>
      <c r="Y218" s="1439"/>
      <c r="Z218" s="1439"/>
      <c r="AA218" s="1439"/>
      <c r="AB218" s="1439"/>
      <c r="AC218" s="1439"/>
      <c r="AD218" s="1439"/>
      <c r="AE218" s="1439"/>
      <c r="AF218" s="1439"/>
      <c r="AG218" s="1439"/>
    </row>
    <row r="219" spans="1:33" ht="15.75" customHeight="1">
      <c r="A219" s="1443"/>
      <c r="B219" s="1455" t="s">
        <v>7432</v>
      </c>
      <c r="C219" s="1445"/>
      <c r="D219" s="1445"/>
      <c r="E219" s="1445"/>
      <c r="F219" s="1446"/>
      <c r="G219" s="1446"/>
      <c r="H219" s="1447"/>
      <c r="I219" s="1448">
        <f t="shared" si="12"/>
        <v>0</v>
      </c>
      <c r="J219" s="1449"/>
      <c r="K219" s="1439"/>
      <c r="L219" s="1439"/>
      <c r="M219" s="1439"/>
      <c r="N219" s="1439"/>
      <c r="O219" s="1439"/>
      <c r="P219" s="1439"/>
      <c r="Q219" s="1439"/>
      <c r="R219" s="1439"/>
      <c r="S219" s="1439"/>
      <c r="T219" s="1439"/>
      <c r="U219" s="1439"/>
      <c r="V219" s="1439"/>
      <c r="W219" s="1439"/>
      <c r="X219" s="1439"/>
      <c r="Y219" s="1439"/>
      <c r="Z219" s="1439"/>
      <c r="AA219" s="1439"/>
      <c r="AB219" s="1439"/>
      <c r="AC219" s="1439"/>
      <c r="AD219" s="1439"/>
      <c r="AE219" s="1439"/>
      <c r="AF219" s="1439"/>
      <c r="AG219" s="1439"/>
    </row>
    <row r="220" spans="1:33" ht="15.75" customHeight="1">
      <c r="A220" s="1443"/>
      <c r="B220" s="1450" t="s">
        <v>7430</v>
      </c>
      <c r="C220" s="1445">
        <v>3</v>
      </c>
      <c r="D220" s="1445" t="s">
        <v>3364</v>
      </c>
      <c r="E220" s="1445">
        <v>1</v>
      </c>
      <c r="F220" s="1446">
        <f>9.37+0.43</f>
        <v>9.8000000000000007</v>
      </c>
      <c r="G220" s="1446">
        <v>0.6</v>
      </c>
      <c r="H220" s="1447">
        <v>0.1</v>
      </c>
      <c r="I220" s="1448">
        <f t="shared" si="12"/>
        <v>1.76</v>
      </c>
      <c r="J220" s="1449"/>
      <c r="K220" s="1439"/>
      <c r="L220" s="1439"/>
      <c r="M220" s="1439"/>
      <c r="N220" s="1439"/>
      <c r="O220" s="1439"/>
      <c r="P220" s="1439"/>
      <c r="Q220" s="1439"/>
      <c r="R220" s="1439"/>
      <c r="S220" s="1439"/>
      <c r="T220" s="1439"/>
      <c r="U220" s="1439"/>
      <c r="V220" s="1439"/>
      <c r="W220" s="1439"/>
      <c r="X220" s="1439"/>
      <c r="Y220" s="1439"/>
      <c r="Z220" s="1439"/>
      <c r="AA220" s="1439"/>
      <c r="AB220" s="1439"/>
      <c r="AC220" s="1439"/>
      <c r="AD220" s="1439"/>
      <c r="AE220" s="1439"/>
      <c r="AF220" s="1439"/>
      <c r="AG220" s="1439"/>
    </row>
    <row r="221" spans="1:33" ht="15.75" customHeight="1">
      <c r="A221" s="1443"/>
      <c r="B221" s="1450" t="s">
        <v>7431</v>
      </c>
      <c r="C221" s="1445">
        <v>2</v>
      </c>
      <c r="D221" s="1453" t="s">
        <v>3364</v>
      </c>
      <c r="E221" s="1445">
        <v>1</v>
      </c>
      <c r="F221" s="1446">
        <f>4.57+0.46</f>
        <v>5.03</v>
      </c>
      <c r="G221" s="1446">
        <v>0.6</v>
      </c>
      <c r="H221" s="1447">
        <v>0.1</v>
      </c>
      <c r="I221" s="1448">
        <f t="shared" si="12"/>
        <v>0.6</v>
      </c>
      <c r="J221" s="1449"/>
      <c r="K221" s="1439"/>
      <c r="L221" s="1439"/>
      <c r="M221" s="1439"/>
      <c r="N221" s="1439"/>
      <c r="O221" s="1439"/>
      <c r="P221" s="1439"/>
      <c r="Q221" s="1439"/>
      <c r="R221" s="1439"/>
      <c r="S221" s="1439"/>
      <c r="T221" s="1439"/>
      <c r="U221" s="1439"/>
      <c r="V221" s="1439"/>
      <c r="W221" s="1439"/>
      <c r="X221" s="1439"/>
      <c r="Y221" s="1439"/>
      <c r="Z221" s="1439"/>
      <c r="AA221" s="1439"/>
      <c r="AB221" s="1439"/>
      <c r="AC221" s="1439"/>
      <c r="AD221" s="1439"/>
      <c r="AE221" s="1439"/>
      <c r="AF221" s="1439"/>
      <c r="AG221" s="1439"/>
    </row>
    <row r="222" spans="1:33" ht="15.75" customHeight="1">
      <c r="A222" s="1443"/>
      <c r="B222" s="1455" t="s">
        <v>7433</v>
      </c>
      <c r="C222" s="1445"/>
      <c r="D222" s="1445"/>
      <c r="E222" s="1445"/>
      <c r="F222" s="1446"/>
      <c r="G222" s="1446"/>
      <c r="H222" s="1472"/>
      <c r="I222" s="1448"/>
      <c r="J222" s="1449"/>
      <c r="K222" s="1439"/>
      <c r="L222" s="1439"/>
      <c r="M222" s="1439"/>
      <c r="N222" s="1439"/>
      <c r="O222" s="1439"/>
      <c r="P222" s="1439"/>
      <c r="Q222" s="1439"/>
      <c r="R222" s="1439"/>
      <c r="S222" s="1439"/>
      <c r="T222" s="1439"/>
      <c r="U222" s="1439"/>
      <c r="V222" s="1439"/>
      <c r="W222" s="1439"/>
      <c r="X222" s="1439"/>
      <c r="Y222" s="1439"/>
      <c r="Z222" s="1439"/>
      <c r="AA222" s="1439"/>
      <c r="AB222" s="1439"/>
      <c r="AC222" s="1439"/>
      <c r="AD222" s="1439"/>
      <c r="AE222" s="1439"/>
      <c r="AF222" s="1439"/>
      <c r="AG222" s="1439"/>
    </row>
    <row r="223" spans="1:33" ht="15.75" customHeight="1">
      <c r="A223" s="1443"/>
      <c r="B223" s="1450" t="s">
        <v>3363</v>
      </c>
      <c r="C223" s="1445">
        <v>5</v>
      </c>
      <c r="D223" s="1445" t="s">
        <v>3364</v>
      </c>
      <c r="E223" s="1445">
        <v>1</v>
      </c>
      <c r="F223" s="1446">
        <v>1.46</v>
      </c>
      <c r="G223" s="1446">
        <v>0.23</v>
      </c>
      <c r="H223" s="1472">
        <v>0.15</v>
      </c>
      <c r="I223" s="1448">
        <f t="shared" si="12"/>
        <v>0.25</v>
      </c>
      <c r="J223" s="1449"/>
      <c r="K223" s="1439"/>
      <c r="L223" s="1439"/>
      <c r="M223" s="1439"/>
      <c r="N223" s="1439"/>
      <c r="O223" s="1439"/>
      <c r="P223" s="1439"/>
      <c r="Q223" s="1439"/>
      <c r="R223" s="1439"/>
      <c r="S223" s="1439"/>
      <c r="T223" s="1439"/>
      <c r="U223" s="1439"/>
      <c r="V223" s="1439"/>
      <c r="W223" s="1439"/>
      <c r="X223" s="1439"/>
      <c r="Y223" s="1439"/>
      <c r="Z223" s="1439"/>
      <c r="AA223" s="1439"/>
      <c r="AB223" s="1439"/>
      <c r="AC223" s="1439"/>
      <c r="AD223" s="1439"/>
      <c r="AE223" s="1439"/>
      <c r="AF223" s="1439"/>
      <c r="AG223" s="1439"/>
    </row>
    <row r="224" spans="1:33" ht="15.75" customHeight="1">
      <c r="A224" s="1443"/>
      <c r="B224" s="1450" t="s">
        <v>3398</v>
      </c>
      <c r="C224" s="1445">
        <v>1</v>
      </c>
      <c r="D224" s="1445" t="s">
        <v>3364</v>
      </c>
      <c r="E224" s="1445">
        <v>1</v>
      </c>
      <c r="F224" s="1446">
        <v>1.36</v>
      </c>
      <c r="G224" s="1446">
        <v>0.23</v>
      </c>
      <c r="H224" s="1472">
        <v>0.15</v>
      </c>
      <c r="I224" s="1448">
        <f t="shared" si="12"/>
        <v>0.05</v>
      </c>
      <c r="J224" s="1449"/>
      <c r="K224" s="1439"/>
      <c r="L224" s="1439"/>
      <c r="M224" s="1439"/>
      <c r="N224" s="1439"/>
      <c r="O224" s="1439"/>
      <c r="P224" s="1439"/>
      <c r="Q224" s="1439"/>
      <c r="R224" s="1439"/>
      <c r="S224" s="1439"/>
      <c r="T224" s="1439"/>
      <c r="U224" s="1439"/>
      <c r="V224" s="1439"/>
      <c r="W224" s="1439"/>
      <c r="X224" s="1439"/>
      <c r="Y224" s="1439"/>
      <c r="Z224" s="1439"/>
      <c r="AA224" s="1439"/>
      <c r="AB224" s="1439"/>
      <c r="AC224" s="1439"/>
      <c r="AD224" s="1439"/>
      <c r="AE224" s="1439"/>
      <c r="AF224" s="1439"/>
      <c r="AG224" s="1439"/>
    </row>
    <row r="225" spans="1:33" ht="15.75" customHeight="1">
      <c r="A225" s="1443"/>
      <c r="B225" s="1450" t="s">
        <v>3407</v>
      </c>
      <c r="C225" s="1445">
        <v>6</v>
      </c>
      <c r="D225" s="1453" t="s">
        <v>3364</v>
      </c>
      <c r="E225" s="1445">
        <v>1</v>
      </c>
      <c r="F225" s="1446">
        <v>1.21</v>
      </c>
      <c r="G225" s="1446">
        <v>0.23</v>
      </c>
      <c r="H225" s="1472">
        <v>0.15</v>
      </c>
      <c r="I225" s="1448">
        <f t="shared" si="12"/>
        <v>0.25</v>
      </c>
      <c r="J225" s="1449"/>
      <c r="K225" s="1439"/>
      <c r="L225" s="1439"/>
      <c r="M225" s="1439"/>
      <c r="N225" s="1439"/>
      <c r="O225" s="1439"/>
      <c r="P225" s="1439"/>
      <c r="Q225" s="1439"/>
      <c r="R225" s="1439"/>
      <c r="S225" s="1439"/>
      <c r="T225" s="1439"/>
      <c r="U225" s="1439"/>
      <c r="V225" s="1439"/>
      <c r="W225" s="1439"/>
      <c r="X225" s="1439"/>
      <c r="Y225" s="1439"/>
      <c r="Z225" s="1439"/>
      <c r="AA225" s="1439"/>
      <c r="AB225" s="1439"/>
      <c r="AC225" s="1439"/>
      <c r="AD225" s="1439"/>
      <c r="AE225" s="1439"/>
      <c r="AF225" s="1439"/>
      <c r="AG225" s="1439"/>
    </row>
    <row r="226" spans="1:33" ht="15.75" customHeight="1">
      <c r="A226" s="1443"/>
      <c r="B226" s="1450" t="s">
        <v>3414</v>
      </c>
      <c r="C226" s="1445">
        <v>8</v>
      </c>
      <c r="D226" s="1445" t="s">
        <v>3364</v>
      </c>
      <c r="E226" s="1445">
        <v>1</v>
      </c>
      <c r="F226" s="1446">
        <v>2.2599999999999998</v>
      </c>
      <c r="G226" s="1446">
        <v>0.23</v>
      </c>
      <c r="H226" s="1472">
        <v>0.15</v>
      </c>
      <c r="I226" s="1448">
        <f t="shared" si="12"/>
        <v>0.62</v>
      </c>
      <c r="J226" s="1449"/>
      <c r="K226" s="1439"/>
      <c r="L226" s="1439"/>
      <c r="M226" s="1439"/>
      <c r="N226" s="1439"/>
      <c r="O226" s="1439"/>
      <c r="P226" s="1439"/>
      <c r="Q226" s="1439"/>
      <c r="R226" s="1439"/>
      <c r="S226" s="1439"/>
      <c r="T226" s="1439"/>
      <c r="U226" s="1439"/>
      <c r="V226" s="1439"/>
      <c r="W226" s="1439"/>
      <c r="X226" s="1439"/>
      <c r="Y226" s="1439"/>
      <c r="Z226" s="1439"/>
      <c r="AA226" s="1439"/>
      <c r="AB226" s="1439"/>
      <c r="AC226" s="1439"/>
      <c r="AD226" s="1439"/>
      <c r="AE226" s="1439"/>
      <c r="AF226" s="1439"/>
      <c r="AG226" s="1439"/>
    </row>
    <row r="227" spans="1:33" ht="15.75" customHeight="1">
      <c r="A227" s="1443"/>
      <c r="B227" s="1450" t="s">
        <v>3401</v>
      </c>
      <c r="C227" s="1445">
        <v>7</v>
      </c>
      <c r="D227" s="1445" t="s">
        <v>3364</v>
      </c>
      <c r="E227" s="1445">
        <v>1</v>
      </c>
      <c r="F227" s="1446">
        <v>1.21</v>
      </c>
      <c r="G227" s="1446">
        <v>0.23</v>
      </c>
      <c r="H227" s="1472">
        <v>0.15</v>
      </c>
      <c r="I227" s="1448">
        <f t="shared" si="12"/>
        <v>0.28999999999999998</v>
      </c>
      <c r="J227" s="1449"/>
      <c r="K227" s="1439"/>
      <c r="L227" s="1439"/>
      <c r="M227" s="1439"/>
      <c r="N227" s="1439"/>
      <c r="O227" s="1439"/>
      <c r="P227" s="1439"/>
      <c r="Q227" s="1439"/>
      <c r="R227" s="1439"/>
      <c r="S227" s="1439"/>
      <c r="T227" s="1439"/>
      <c r="U227" s="1439"/>
      <c r="V227" s="1439"/>
      <c r="W227" s="1439"/>
      <c r="X227" s="1439"/>
      <c r="Y227" s="1439"/>
      <c r="Z227" s="1439"/>
      <c r="AA227" s="1439"/>
      <c r="AB227" s="1439"/>
      <c r="AC227" s="1439"/>
      <c r="AD227" s="1439"/>
      <c r="AE227" s="1439"/>
      <c r="AF227" s="1439"/>
      <c r="AG227" s="1439"/>
    </row>
    <row r="228" spans="1:33" ht="15.75" customHeight="1">
      <c r="A228" s="1443"/>
      <c r="B228" s="1452" t="s">
        <v>3497</v>
      </c>
      <c r="C228" s="1445">
        <v>1</v>
      </c>
      <c r="D228" s="1453" t="s">
        <v>3364</v>
      </c>
      <c r="E228" s="1445">
        <v>1</v>
      </c>
      <c r="F228" s="1446">
        <v>2.2599999999999998</v>
      </c>
      <c r="G228" s="1446">
        <v>0.23</v>
      </c>
      <c r="H228" s="1472">
        <v>0.15</v>
      </c>
      <c r="I228" s="1448">
        <f t="shared" si="12"/>
        <v>0.08</v>
      </c>
      <c r="J228" s="1449"/>
      <c r="K228" s="1439"/>
      <c r="L228" s="1439"/>
      <c r="M228" s="1439"/>
      <c r="N228" s="1439"/>
      <c r="O228" s="1439"/>
      <c r="P228" s="1439"/>
      <c r="Q228" s="1439"/>
      <c r="R228" s="1439"/>
      <c r="S228" s="1439"/>
      <c r="T228" s="1439"/>
      <c r="U228" s="1439"/>
      <c r="V228" s="1439"/>
      <c r="W228" s="1439"/>
      <c r="X228" s="1439"/>
      <c r="Y228" s="1439"/>
      <c r="Z228" s="1439"/>
      <c r="AA228" s="1439"/>
      <c r="AB228" s="1439"/>
      <c r="AC228" s="1439"/>
      <c r="AD228" s="1439"/>
      <c r="AE228" s="1439"/>
      <c r="AF228" s="1439"/>
      <c r="AG228" s="1439"/>
    </row>
    <row r="229" spans="1:33" ht="15.75" customHeight="1">
      <c r="A229" s="1443"/>
      <c r="B229" s="1455" t="s">
        <v>7424</v>
      </c>
      <c r="C229" s="1445"/>
      <c r="D229" s="1445"/>
      <c r="E229" s="1445"/>
      <c r="F229" s="1446"/>
      <c r="G229" s="1446"/>
      <c r="H229" s="1447"/>
      <c r="I229" s="1448"/>
      <c r="J229" s="1449"/>
      <c r="K229" s="1439"/>
      <c r="L229" s="1439"/>
      <c r="M229" s="1439"/>
      <c r="N229" s="1439"/>
      <c r="O229" s="1439"/>
      <c r="P229" s="1439"/>
      <c r="Q229" s="1439"/>
      <c r="R229" s="1439"/>
      <c r="S229" s="1439"/>
      <c r="T229" s="1439"/>
      <c r="U229" s="1439"/>
      <c r="V229" s="1439"/>
      <c r="W229" s="1439"/>
      <c r="X229" s="1439"/>
      <c r="Y229" s="1439"/>
      <c r="Z229" s="1439"/>
      <c r="AA229" s="1439"/>
      <c r="AB229" s="1439"/>
      <c r="AC229" s="1439"/>
      <c r="AD229" s="1439"/>
      <c r="AE229" s="1439"/>
      <c r="AF229" s="1439"/>
      <c r="AG229" s="1439"/>
    </row>
    <row r="230" spans="1:33" ht="15.75" customHeight="1">
      <c r="A230" s="1443"/>
      <c r="B230" s="1450" t="s">
        <v>3414</v>
      </c>
      <c r="C230" s="1445">
        <v>8</v>
      </c>
      <c r="D230" s="1445" t="s">
        <v>3364</v>
      </c>
      <c r="E230" s="1445">
        <v>1</v>
      </c>
      <c r="F230" s="1446">
        <v>2.2599999999999998</v>
      </c>
      <c r="G230" s="1446">
        <v>0.6</v>
      </c>
      <c r="H230" s="1473">
        <v>0.1</v>
      </c>
      <c r="I230" s="1448">
        <f>PRODUCT(C230:H230)</f>
        <v>1.08</v>
      </c>
      <c r="J230" s="1449"/>
      <c r="K230" s="1439"/>
      <c r="L230" s="1439"/>
      <c r="M230" s="1439"/>
      <c r="N230" s="1439"/>
      <c r="O230" s="1439"/>
      <c r="P230" s="1439"/>
      <c r="Q230" s="1439"/>
      <c r="R230" s="1439"/>
      <c r="S230" s="1439"/>
      <c r="T230" s="1439"/>
      <c r="U230" s="1439"/>
      <c r="V230" s="1439"/>
      <c r="W230" s="1439"/>
      <c r="X230" s="1439"/>
      <c r="Y230" s="1439"/>
      <c r="Z230" s="1439"/>
      <c r="AA230" s="1439"/>
      <c r="AB230" s="1439"/>
      <c r="AC230" s="1439"/>
      <c r="AD230" s="1439"/>
      <c r="AE230" s="1439"/>
      <c r="AF230" s="1439"/>
      <c r="AG230" s="1439"/>
    </row>
    <row r="231" spans="1:33" ht="15.75" customHeight="1">
      <c r="A231" s="1443"/>
      <c r="B231" s="1452" t="s">
        <v>7434</v>
      </c>
      <c r="C231" s="1445">
        <v>1</v>
      </c>
      <c r="D231" s="1453" t="s">
        <v>3364</v>
      </c>
      <c r="E231" s="1445">
        <v>1</v>
      </c>
      <c r="F231" s="1446">
        <v>2.2599999999999998</v>
      </c>
      <c r="G231" s="1446">
        <v>0.6</v>
      </c>
      <c r="H231" s="1473">
        <v>0.1</v>
      </c>
      <c r="I231" s="1448">
        <f>PRODUCT(C231:H231)</f>
        <v>0.14000000000000001</v>
      </c>
      <c r="J231" s="1449"/>
      <c r="K231" s="1439"/>
      <c r="L231" s="1439"/>
      <c r="M231" s="1439"/>
      <c r="N231" s="1439"/>
      <c r="O231" s="1439"/>
      <c r="P231" s="1439"/>
      <c r="Q231" s="1439"/>
      <c r="R231" s="1439"/>
      <c r="S231" s="1439"/>
      <c r="T231" s="1439"/>
      <c r="U231" s="1439"/>
      <c r="V231" s="1439"/>
      <c r="W231" s="1439"/>
      <c r="X231" s="1439"/>
      <c r="Y231" s="1439"/>
      <c r="Z231" s="1439"/>
      <c r="AA231" s="1439"/>
      <c r="AB231" s="1439"/>
      <c r="AC231" s="1439"/>
      <c r="AD231" s="1439"/>
      <c r="AE231" s="1439"/>
      <c r="AF231" s="1439"/>
      <c r="AG231" s="1439"/>
    </row>
    <row r="232" spans="1:33" ht="15.75" customHeight="1">
      <c r="A232" s="1470"/>
      <c r="B232" s="1474"/>
      <c r="C232" s="1445"/>
      <c r="D232" s="1445"/>
      <c r="E232" s="1445"/>
      <c r="F232" s="1446"/>
      <c r="G232" s="1458" t="s">
        <v>104</v>
      </c>
      <c r="H232" s="1460"/>
      <c r="I232" s="1459">
        <f>SUM(I189:I231)</f>
        <v>125.35</v>
      </c>
      <c r="J232" s="1475"/>
      <c r="K232" s="1439"/>
      <c r="L232" s="1439"/>
      <c r="M232" s="1439"/>
      <c r="N232" s="1439"/>
      <c r="O232" s="1439"/>
      <c r="P232" s="1439"/>
      <c r="Q232" s="1439"/>
      <c r="R232" s="1439"/>
      <c r="S232" s="1439"/>
      <c r="T232" s="1439"/>
      <c r="U232" s="1439"/>
      <c r="V232" s="1439"/>
      <c r="W232" s="1439"/>
      <c r="X232" s="1439"/>
      <c r="Y232" s="1439"/>
      <c r="Z232" s="1439"/>
      <c r="AA232" s="1439"/>
      <c r="AB232" s="1439"/>
      <c r="AC232" s="1439"/>
      <c r="AD232" s="1439"/>
      <c r="AE232" s="1439"/>
      <c r="AF232" s="1439"/>
      <c r="AG232" s="1439"/>
    </row>
    <row r="233" spans="1:33" ht="15.75" customHeight="1">
      <c r="A233" s="1470"/>
      <c r="B233" s="1474"/>
      <c r="C233" s="1445"/>
      <c r="D233" s="1445"/>
      <c r="E233" s="1445"/>
      <c r="F233" s="1446"/>
      <c r="G233" s="1458"/>
      <c r="H233" s="1460" t="s">
        <v>2981</v>
      </c>
      <c r="I233" s="1459">
        <f>CEILING(I232,0.1)</f>
        <v>125.4</v>
      </c>
      <c r="J233" s="1449" t="s">
        <v>5</v>
      </c>
      <c r="K233" s="1439"/>
      <c r="L233" s="1439"/>
      <c r="M233" s="1439"/>
      <c r="N233" s="1439"/>
      <c r="O233" s="1439"/>
      <c r="P233" s="1439"/>
      <c r="Q233" s="1439"/>
      <c r="R233" s="1439"/>
      <c r="S233" s="1439"/>
      <c r="T233" s="1439"/>
      <c r="U233" s="1439"/>
      <c r="V233" s="1439"/>
      <c r="W233" s="1439"/>
      <c r="X233" s="1439"/>
      <c r="Y233" s="1439"/>
      <c r="Z233" s="1439"/>
      <c r="AA233" s="1439"/>
      <c r="AB233" s="1439"/>
      <c r="AC233" s="1439"/>
      <c r="AD233" s="1439"/>
      <c r="AE233" s="1439"/>
      <c r="AF233" s="1439"/>
      <c r="AG233" s="1439"/>
    </row>
    <row r="234" spans="1:33" ht="15.75" customHeight="1">
      <c r="A234" s="1470"/>
      <c r="B234" s="1471" t="s">
        <v>3412</v>
      </c>
      <c r="C234" s="1445"/>
      <c r="D234" s="1445"/>
      <c r="E234" s="1445"/>
      <c r="F234" s="1446"/>
      <c r="G234" s="1446"/>
      <c r="H234" s="1447"/>
      <c r="I234" s="1448"/>
      <c r="J234" s="1449"/>
      <c r="K234" s="1439"/>
      <c r="L234" s="1439"/>
      <c r="M234" s="1439"/>
      <c r="N234" s="1439"/>
      <c r="O234" s="1439"/>
      <c r="P234" s="1439"/>
      <c r="Q234" s="1439"/>
      <c r="R234" s="1439"/>
      <c r="S234" s="1439"/>
      <c r="T234" s="1439"/>
      <c r="U234" s="1439"/>
      <c r="V234" s="1439"/>
      <c r="W234" s="1439"/>
      <c r="X234" s="1439"/>
      <c r="Y234" s="1439"/>
      <c r="Z234" s="1439"/>
      <c r="AA234" s="1439"/>
      <c r="AB234" s="1439"/>
      <c r="AC234" s="1439"/>
      <c r="AD234" s="1439"/>
      <c r="AE234" s="1439"/>
      <c r="AF234" s="1439"/>
      <c r="AG234" s="1439"/>
    </row>
    <row r="235" spans="1:33" ht="15.75" customHeight="1">
      <c r="A235" s="1443"/>
      <c r="B235" s="1452" t="s">
        <v>7396</v>
      </c>
      <c r="C235" s="1445">
        <v>3</v>
      </c>
      <c r="D235" s="1453" t="s">
        <v>3364</v>
      </c>
      <c r="E235" s="1445">
        <v>1</v>
      </c>
      <c r="F235" s="1446">
        <v>0.23</v>
      </c>
      <c r="G235" s="1454">
        <v>0.3</v>
      </c>
      <c r="H235" s="1447">
        <v>2.9</v>
      </c>
      <c r="I235" s="1448">
        <f t="shared" ref="I235:I242" si="13">PRODUCT(C235:H235)</f>
        <v>0.6</v>
      </c>
      <c r="J235" s="1449"/>
      <c r="K235" s="1439"/>
      <c r="L235" s="1439"/>
      <c r="M235" s="1439"/>
      <c r="N235" s="1439"/>
      <c r="O235" s="1439"/>
      <c r="P235" s="1439"/>
      <c r="Q235" s="1439"/>
      <c r="R235" s="1439"/>
      <c r="S235" s="1439"/>
      <c r="T235" s="1439"/>
      <c r="U235" s="1439"/>
      <c r="V235" s="1439"/>
      <c r="W235" s="1439"/>
      <c r="X235" s="1439"/>
      <c r="Y235" s="1439"/>
      <c r="Z235" s="1439"/>
      <c r="AA235" s="1439"/>
      <c r="AB235" s="1439"/>
      <c r="AC235" s="1439"/>
      <c r="AD235" s="1439"/>
      <c r="AE235" s="1439"/>
      <c r="AF235" s="1439"/>
      <c r="AG235" s="1439"/>
    </row>
    <row r="236" spans="1:33" ht="15.75" customHeight="1">
      <c r="A236" s="1443"/>
      <c r="B236" s="1452" t="s">
        <v>7397</v>
      </c>
      <c r="C236" s="1445">
        <v>2</v>
      </c>
      <c r="D236" s="1453" t="s">
        <v>3364</v>
      </c>
      <c r="E236" s="1445">
        <v>1</v>
      </c>
      <c r="F236" s="1446">
        <v>0.23</v>
      </c>
      <c r="G236" s="1446">
        <v>0.38</v>
      </c>
      <c r="H236" s="1447">
        <v>2.9</v>
      </c>
      <c r="I236" s="1448">
        <f t="shared" si="13"/>
        <v>0.51</v>
      </c>
      <c r="J236" s="1449"/>
      <c r="K236" s="1439"/>
      <c r="L236" s="1439"/>
      <c r="M236" s="1439"/>
      <c r="N236" s="1439"/>
      <c r="O236" s="1439"/>
      <c r="P236" s="1439"/>
      <c r="Q236" s="1439"/>
      <c r="R236" s="1439"/>
      <c r="S236" s="1439"/>
      <c r="T236" s="1439"/>
      <c r="U236" s="1439"/>
      <c r="V236" s="1439"/>
      <c r="W236" s="1439"/>
      <c r="X236" s="1439"/>
      <c r="Y236" s="1439"/>
      <c r="Z236" s="1439"/>
      <c r="AA236" s="1439"/>
      <c r="AB236" s="1439"/>
      <c r="AC236" s="1439"/>
      <c r="AD236" s="1439"/>
      <c r="AE236" s="1439"/>
      <c r="AF236" s="1439"/>
      <c r="AG236" s="1439"/>
    </row>
    <row r="237" spans="1:33" ht="15.75" customHeight="1">
      <c r="A237" s="1443"/>
      <c r="B237" s="1452" t="s">
        <v>7398</v>
      </c>
      <c r="C237" s="1445">
        <v>4</v>
      </c>
      <c r="D237" s="1453" t="s">
        <v>3364</v>
      </c>
      <c r="E237" s="1445">
        <v>1</v>
      </c>
      <c r="F237" s="1446">
        <v>0.23</v>
      </c>
      <c r="G237" s="1446">
        <v>0.45</v>
      </c>
      <c r="H237" s="1447">
        <v>2.9</v>
      </c>
      <c r="I237" s="1448">
        <f t="shared" si="13"/>
        <v>1.2</v>
      </c>
      <c r="J237" s="1449"/>
      <c r="K237" s="1439"/>
      <c r="L237" s="1439"/>
      <c r="M237" s="1439"/>
      <c r="N237" s="1439"/>
      <c r="O237" s="1439"/>
      <c r="P237" s="1439"/>
      <c r="Q237" s="1439"/>
      <c r="R237" s="1439"/>
      <c r="S237" s="1439"/>
      <c r="T237" s="1439"/>
      <c r="U237" s="1439"/>
      <c r="V237" s="1439"/>
      <c r="W237" s="1439"/>
      <c r="X237" s="1439"/>
      <c r="Y237" s="1439"/>
      <c r="Z237" s="1439"/>
      <c r="AA237" s="1439"/>
      <c r="AB237" s="1439"/>
      <c r="AC237" s="1439"/>
      <c r="AD237" s="1439"/>
      <c r="AE237" s="1439"/>
      <c r="AF237" s="1439"/>
      <c r="AG237" s="1439"/>
    </row>
    <row r="238" spans="1:33" ht="15.75" customHeight="1">
      <c r="A238" s="1443"/>
      <c r="B238" s="1452" t="s">
        <v>7399</v>
      </c>
      <c r="C238" s="1445">
        <v>5</v>
      </c>
      <c r="D238" s="1453" t="s">
        <v>3364</v>
      </c>
      <c r="E238" s="1445">
        <v>1</v>
      </c>
      <c r="F238" s="1446">
        <v>0.23</v>
      </c>
      <c r="G238" s="1446">
        <v>0.45</v>
      </c>
      <c r="H238" s="1447">
        <v>2.9</v>
      </c>
      <c r="I238" s="1448">
        <f t="shared" si="13"/>
        <v>1.5</v>
      </c>
      <c r="J238" s="1449"/>
      <c r="K238" s="1439"/>
      <c r="L238" s="1439"/>
      <c r="M238" s="1439"/>
      <c r="N238" s="1439"/>
      <c r="O238" s="1439"/>
      <c r="P238" s="1439"/>
      <c r="Q238" s="1439"/>
      <c r="R238" s="1439"/>
      <c r="S238" s="1439"/>
      <c r="T238" s="1439"/>
      <c r="U238" s="1439"/>
      <c r="V238" s="1439"/>
      <c r="W238" s="1439"/>
      <c r="X238" s="1439"/>
      <c r="Y238" s="1439"/>
      <c r="Z238" s="1439"/>
      <c r="AA238" s="1439"/>
      <c r="AB238" s="1439"/>
      <c r="AC238" s="1439"/>
      <c r="AD238" s="1439"/>
      <c r="AE238" s="1439"/>
      <c r="AF238" s="1439"/>
      <c r="AG238" s="1439"/>
    </row>
    <row r="239" spans="1:33" ht="15.75" customHeight="1">
      <c r="A239" s="1443"/>
      <c r="B239" s="1452" t="s">
        <v>7400</v>
      </c>
      <c r="C239" s="1445">
        <v>6</v>
      </c>
      <c r="D239" s="1453" t="s">
        <v>3364</v>
      </c>
      <c r="E239" s="1445">
        <v>1</v>
      </c>
      <c r="F239" s="1446">
        <v>0.3</v>
      </c>
      <c r="G239" s="1446">
        <v>0.45</v>
      </c>
      <c r="H239" s="1447">
        <v>2.9</v>
      </c>
      <c r="I239" s="1448">
        <f t="shared" si="13"/>
        <v>2.35</v>
      </c>
      <c r="J239" s="1449"/>
      <c r="K239" s="1439"/>
      <c r="L239" s="1439">
        <f>3-0.2-0.1-1.05</f>
        <v>1.65</v>
      </c>
      <c r="M239" s="1439"/>
      <c r="N239" s="1439"/>
      <c r="O239" s="1439"/>
      <c r="P239" s="1439"/>
      <c r="Q239" s="1439"/>
      <c r="R239" s="1439"/>
      <c r="S239" s="1439"/>
      <c r="T239" s="1439"/>
      <c r="U239" s="1439"/>
      <c r="V239" s="1439"/>
      <c r="W239" s="1439"/>
      <c r="X239" s="1439"/>
      <c r="Y239" s="1439"/>
      <c r="Z239" s="1439"/>
      <c r="AA239" s="1439"/>
      <c r="AB239" s="1439"/>
      <c r="AC239" s="1439"/>
      <c r="AD239" s="1439"/>
      <c r="AE239" s="1439"/>
      <c r="AF239" s="1439"/>
      <c r="AG239" s="1439"/>
    </row>
    <row r="240" spans="1:33" ht="15.75" customHeight="1">
      <c r="A240" s="1443"/>
      <c r="B240" s="1452" t="s">
        <v>7401</v>
      </c>
      <c r="C240" s="1445">
        <v>6</v>
      </c>
      <c r="D240" s="1453" t="s">
        <v>3364</v>
      </c>
      <c r="E240" s="1445">
        <v>1</v>
      </c>
      <c r="F240" s="1446">
        <v>0.3</v>
      </c>
      <c r="G240" s="1446">
        <v>0.45</v>
      </c>
      <c r="H240" s="1447">
        <v>2.9</v>
      </c>
      <c r="I240" s="1448">
        <f t="shared" si="13"/>
        <v>2.35</v>
      </c>
      <c r="J240" s="1449"/>
      <c r="K240" s="1439"/>
      <c r="L240" s="1439">
        <f>1.65+1</f>
        <v>2.65</v>
      </c>
      <c r="M240" s="1439"/>
      <c r="N240" s="1439"/>
      <c r="O240" s="1439"/>
      <c r="P240" s="1439"/>
      <c r="Q240" s="1439"/>
      <c r="R240" s="1439"/>
      <c r="S240" s="1439"/>
      <c r="T240" s="1439"/>
      <c r="U240" s="1439"/>
      <c r="V240" s="1439"/>
      <c r="W240" s="1439"/>
      <c r="X240" s="1439"/>
      <c r="Y240" s="1439"/>
      <c r="Z240" s="1439"/>
      <c r="AA240" s="1439"/>
      <c r="AB240" s="1439"/>
      <c r="AC240" s="1439"/>
      <c r="AD240" s="1439"/>
      <c r="AE240" s="1439"/>
      <c r="AF240" s="1439"/>
      <c r="AG240" s="1439"/>
    </row>
    <row r="241" spans="1:33" ht="15.75" customHeight="1">
      <c r="A241" s="1443"/>
      <c r="B241" s="1452" t="s">
        <v>7402</v>
      </c>
      <c r="C241" s="1445">
        <v>2</v>
      </c>
      <c r="D241" s="1453" t="s">
        <v>3364</v>
      </c>
      <c r="E241" s="1445">
        <v>1</v>
      </c>
      <c r="F241" s="1446">
        <v>0.3</v>
      </c>
      <c r="G241" s="1446">
        <v>0.6</v>
      </c>
      <c r="H241" s="1447">
        <v>2.9</v>
      </c>
      <c r="I241" s="1448">
        <f t="shared" si="13"/>
        <v>1.04</v>
      </c>
      <c r="J241" s="1449"/>
      <c r="K241" s="1439"/>
      <c r="L241" s="1439"/>
      <c r="M241" s="1439"/>
      <c r="N241" s="1439"/>
      <c r="O241" s="1439"/>
      <c r="P241" s="1439"/>
      <c r="Q241" s="1439"/>
      <c r="R241" s="1439"/>
      <c r="S241" s="1439"/>
      <c r="T241" s="1439"/>
      <c r="U241" s="1439"/>
      <c r="V241" s="1439"/>
      <c r="W241" s="1439"/>
      <c r="X241" s="1439"/>
      <c r="Y241" s="1439"/>
      <c r="Z241" s="1439"/>
      <c r="AA241" s="1439"/>
      <c r="AB241" s="1439"/>
      <c r="AC241" s="1439"/>
      <c r="AD241" s="1439"/>
      <c r="AE241" s="1439"/>
      <c r="AF241" s="1439"/>
      <c r="AG241" s="1439"/>
    </row>
    <row r="242" spans="1:33" ht="15.75" customHeight="1">
      <c r="A242" s="1443"/>
      <c r="B242" s="1452" t="s">
        <v>7403</v>
      </c>
      <c r="C242" s="1445">
        <v>6</v>
      </c>
      <c r="D242" s="1453" t="s">
        <v>3364</v>
      </c>
      <c r="E242" s="1445">
        <v>1</v>
      </c>
      <c r="F242" s="1446">
        <v>0.3</v>
      </c>
      <c r="G242" s="1446">
        <v>0.6</v>
      </c>
      <c r="H242" s="1447">
        <v>2.9</v>
      </c>
      <c r="I242" s="1448">
        <f t="shared" si="13"/>
        <v>3.13</v>
      </c>
      <c r="J242" s="1449"/>
      <c r="K242" s="1439"/>
      <c r="L242" s="1439"/>
      <c r="M242" s="1439"/>
      <c r="N242" s="1439"/>
      <c r="O242" s="1439"/>
      <c r="P242" s="1439"/>
      <c r="Q242" s="1439"/>
      <c r="R242" s="1439"/>
      <c r="S242" s="1439"/>
      <c r="T242" s="1439"/>
      <c r="U242" s="1439"/>
      <c r="V242" s="1439"/>
      <c r="W242" s="1439"/>
      <c r="X242" s="1439"/>
      <c r="Y242" s="1439"/>
      <c r="Z242" s="1439"/>
      <c r="AA242" s="1439"/>
      <c r="AB242" s="1439"/>
      <c r="AC242" s="1439"/>
      <c r="AD242" s="1439"/>
      <c r="AE242" s="1439"/>
      <c r="AF242" s="1439"/>
      <c r="AG242" s="1439"/>
    </row>
    <row r="243" spans="1:33">
      <c r="A243" s="1443"/>
      <c r="B243" s="1455" t="s">
        <v>7407</v>
      </c>
      <c r="C243" s="1445"/>
      <c r="D243" s="1445"/>
      <c r="E243" s="1445"/>
      <c r="F243" s="1446"/>
      <c r="G243" s="1446"/>
      <c r="H243" s="1447"/>
      <c r="I243" s="1448"/>
      <c r="J243" s="1449"/>
      <c r="K243" s="1439"/>
      <c r="L243" s="1439"/>
      <c r="M243" s="1439"/>
      <c r="N243" s="1439"/>
      <c r="O243" s="1439"/>
      <c r="P243" s="1439"/>
      <c r="Q243" s="1439"/>
      <c r="R243" s="1439"/>
      <c r="S243" s="1439"/>
      <c r="T243" s="1439"/>
      <c r="U243" s="1439"/>
      <c r="V243" s="1439"/>
      <c r="W243" s="1439"/>
      <c r="X243" s="1439"/>
      <c r="Y243" s="1439"/>
      <c r="Z243" s="1439"/>
      <c r="AA243" s="1439"/>
      <c r="AB243" s="1439"/>
      <c r="AC243" s="1439"/>
      <c r="AD243" s="1439"/>
      <c r="AE243" s="1439"/>
      <c r="AF243" s="1439"/>
      <c r="AG243" s="1439"/>
    </row>
    <row r="244" spans="1:33" ht="15.75" customHeight="1">
      <c r="A244" s="1443"/>
      <c r="B244" s="1452" t="s">
        <v>7388</v>
      </c>
      <c r="C244" s="1445">
        <v>1</v>
      </c>
      <c r="D244" s="1445" t="s">
        <v>3364</v>
      </c>
      <c r="E244" s="1445">
        <v>4</v>
      </c>
      <c r="F244" s="1446">
        <v>27.89</v>
      </c>
      <c r="G244" s="1446">
        <v>0.23</v>
      </c>
      <c r="H244" s="1467">
        <v>0.45</v>
      </c>
      <c r="I244" s="1448">
        <f t="shared" ref="I244:I252" si="14">PRODUCT(C244:H244)</f>
        <v>11.55</v>
      </c>
      <c r="J244" s="1449"/>
      <c r="K244" s="1439"/>
      <c r="L244" s="1439"/>
      <c r="M244" s="1439"/>
      <c r="N244" s="1439"/>
      <c r="O244" s="1439"/>
      <c r="P244" s="1439"/>
      <c r="Q244" s="1439"/>
      <c r="R244" s="1439"/>
      <c r="S244" s="1439"/>
      <c r="T244" s="1439"/>
      <c r="U244" s="1439"/>
      <c r="V244" s="1439"/>
      <c r="W244" s="1439"/>
      <c r="X244" s="1439"/>
      <c r="Y244" s="1439"/>
      <c r="Z244" s="1439"/>
      <c r="AA244" s="1439"/>
      <c r="AB244" s="1439"/>
      <c r="AC244" s="1439"/>
      <c r="AD244" s="1439"/>
      <c r="AE244" s="1439"/>
      <c r="AF244" s="1439"/>
      <c r="AG244" s="1439"/>
    </row>
    <row r="245" spans="1:33" ht="15.75" customHeight="1">
      <c r="A245" s="1443"/>
      <c r="B245" s="1452" t="s">
        <v>7389</v>
      </c>
      <c r="C245" s="1445">
        <v>1</v>
      </c>
      <c r="D245" s="1445" t="s">
        <v>3364</v>
      </c>
      <c r="E245" s="1445">
        <v>1</v>
      </c>
      <c r="F245" s="1446">
        <f>2.53+0.46</f>
        <v>2.99</v>
      </c>
      <c r="G245" s="1446">
        <v>0.23</v>
      </c>
      <c r="H245" s="1447">
        <v>0.45</v>
      </c>
      <c r="I245" s="1448">
        <f t="shared" si="14"/>
        <v>0.31</v>
      </c>
      <c r="J245" s="1449"/>
      <c r="K245" s="1439"/>
      <c r="L245" s="1439"/>
      <c r="M245" s="1439"/>
      <c r="N245" s="1439"/>
      <c r="O245" s="1439"/>
      <c r="P245" s="1439"/>
      <c r="Q245" s="1439"/>
      <c r="R245" s="1439"/>
      <c r="S245" s="1439"/>
      <c r="T245" s="1439"/>
      <c r="U245" s="1439"/>
      <c r="V245" s="1439"/>
      <c r="W245" s="1439"/>
      <c r="X245" s="1439"/>
      <c r="Y245" s="1439"/>
      <c r="Z245" s="1439"/>
      <c r="AA245" s="1439"/>
      <c r="AB245" s="1439"/>
      <c r="AC245" s="1439"/>
      <c r="AD245" s="1439"/>
      <c r="AE245" s="1439"/>
      <c r="AF245" s="1439"/>
      <c r="AG245" s="1439"/>
    </row>
    <row r="246" spans="1:33" ht="15.75" customHeight="1">
      <c r="A246" s="1443"/>
      <c r="B246" s="1452" t="s">
        <v>7390</v>
      </c>
      <c r="C246" s="1445">
        <v>1</v>
      </c>
      <c r="D246" s="1453" t="s">
        <v>3827</v>
      </c>
      <c r="E246" s="1445">
        <v>1</v>
      </c>
      <c r="F246" s="1446">
        <f>4.765+1.13+2.53+0.23</f>
        <v>8.6549999999999994</v>
      </c>
      <c r="G246" s="1446">
        <v>0.23</v>
      </c>
      <c r="H246" s="1447">
        <v>0.45</v>
      </c>
      <c r="I246" s="1448">
        <f t="shared" si="14"/>
        <v>0.9</v>
      </c>
      <c r="J246" s="1449"/>
      <c r="K246" s="1439"/>
      <c r="L246" s="1439"/>
      <c r="M246" s="1439"/>
      <c r="N246" s="1439"/>
      <c r="O246" s="1439"/>
      <c r="P246" s="1439"/>
      <c r="Q246" s="1439"/>
      <c r="R246" s="1439"/>
      <c r="S246" s="1439"/>
      <c r="T246" s="1439"/>
      <c r="U246" s="1439"/>
      <c r="V246" s="1439"/>
      <c r="W246" s="1439"/>
      <c r="X246" s="1439"/>
      <c r="Y246" s="1439"/>
      <c r="Z246" s="1439"/>
      <c r="AA246" s="1439"/>
      <c r="AB246" s="1439"/>
      <c r="AC246" s="1439"/>
      <c r="AD246" s="1439"/>
      <c r="AE246" s="1439"/>
      <c r="AF246" s="1439"/>
      <c r="AG246" s="1439"/>
    </row>
    <row r="247" spans="1:33" ht="15.75" customHeight="1">
      <c r="A247" s="1443"/>
      <c r="B247" s="1455" t="s">
        <v>7406</v>
      </c>
      <c r="C247" s="1445"/>
      <c r="D247" s="1445"/>
      <c r="E247" s="1445"/>
      <c r="F247" s="1446"/>
      <c r="G247" s="1446"/>
      <c r="H247" s="1447"/>
      <c r="I247" s="1448">
        <f t="shared" si="14"/>
        <v>0</v>
      </c>
      <c r="J247" s="1449"/>
      <c r="K247" s="1439"/>
      <c r="L247" s="1439"/>
      <c r="M247" s="1439"/>
      <c r="N247" s="1439"/>
      <c r="O247" s="1439"/>
      <c r="P247" s="1439"/>
      <c r="Q247" s="1439"/>
      <c r="R247" s="1439"/>
      <c r="S247" s="1439"/>
      <c r="T247" s="1439"/>
      <c r="U247" s="1439"/>
      <c r="V247" s="1439"/>
      <c r="W247" s="1439"/>
      <c r="X247" s="1439"/>
      <c r="Y247" s="1439"/>
      <c r="Z247" s="1439"/>
      <c r="AA247" s="1439"/>
      <c r="AB247" s="1439"/>
      <c r="AC247" s="1439"/>
      <c r="AD247" s="1439"/>
      <c r="AE247" s="1439"/>
      <c r="AF247" s="1439"/>
      <c r="AG247" s="1439"/>
    </row>
    <row r="248" spans="1:33" ht="15.75" customHeight="1">
      <c r="A248" s="1443"/>
      <c r="B248" s="1452" t="s">
        <v>7037</v>
      </c>
      <c r="C248" s="1445">
        <v>1</v>
      </c>
      <c r="D248" s="1445" t="s">
        <v>3364</v>
      </c>
      <c r="E248" s="1445">
        <v>7</v>
      </c>
      <c r="F248" s="1446">
        <v>18.079999999999998</v>
      </c>
      <c r="G248" s="1446">
        <v>0.23</v>
      </c>
      <c r="H248" s="1447">
        <v>0.6</v>
      </c>
      <c r="I248" s="1448">
        <f t="shared" si="14"/>
        <v>17.47</v>
      </c>
      <c r="J248" s="1449"/>
      <c r="K248" s="1439"/>
      <c r="L248" s="1439"/>
      <c r="M248" s="1439"/>
      <c r="N248" s="1439"/>
      <c r="O248" s="1439"/>
      <c r="P248" s="1439"/>
      <c r="Q248" s="1439"/>
      <c r="R248" s="1439"/>
      <c r="S248" s="1439"/>
      <c r="T248" s="1439"/>
      <c r="U248" s="1439"/>
      <c r="V248" s="1439"/>
      <c r="W248" s="1439"/>
      <c r="X248" s="1439"/>
      <c r="Y248" s="1439"/>
      <c r="Z248" s="1439"/>
      <c r="AA248" s="1439"/>
      <c r="AB248" s="1439"/>
      <c r="AC248" s="1439"/>
      <c r="AD248" s="1439"/>
      <c r="AE248" s="1439"/>
      <c r="AF248" s="1439"/>
      <c r="AG248" s="1439"/>
    </row>
    <row r="249" spans="1:33" ht="15.75" customHeight="1">
      <c r="A249" s="1443"/>
      <c r="B249" s="1452" t="s">
        <v>7391</v>
      </c>
      <c r="C249" s="1445">
        <v>1</v>
      </c>
      <c r="D249" s="1445" t="s">
        <v>3364</v>
      </c>
      <c r="E249" s="1445">
        <v>4</v>
      </c>
      <c r="F249" s="1446">
        <v>1.54</v>
      </c>
      <c r="G249" s="1446">
        <v>0.23</v>
      </c>
      <c r="H249" s="1447">
        <v>0.6</v>
      </c>
      <c r="I249" s="1448">
        <f t="shared" si="14"/>
        <v>0.85</v>
      </c>
      <c r="J249" s="1449"/>
      <c r="K249" s="1439"/>
      <c r="L249" s="1439"/>
      <c r="M249" s="1439"/>
      <c r="N249" s="1439"/>
      <c r="O249" s="1439"/>
      <c r="P249" s="1439"/>
      <c r="Q249" s="1439"/>
      <c r="R249" s="1439"/>
      <c r="S249" s="1439"/>
      <c r="T249" s="1439"/>
      <c r="U249" s="1439"/>
      <c r="V249" s="1439"/>
      <c r="W249" s="1439"/>
      <c r="X249" s="1439"/>
      <c r="Y249" s="1439"/>
      <c r="Z249" s="1439"/>
      <c r="AA249" s="1439"/>
      <c r="AB249" s="1439"/>
      <c r="AC249" s="1439"/>
      <c r="AD249" s="1439"/>
      <c r="AE249" s="1439"/>
      <c r="AF249" s="1439"/>
      <c r="AG249" s="1439"/>
    </row>
    <row r="250" spans="1:33" ht="15.75" customHeight="1">
      <c r="A250" s="1443"/>
      <c r="B250" s="1452" t="s">
        <v>7392</v>
      </c>
      <c r="C250" s="1445">
        <v>1</v>
      </c>
      <c r="D250" s="1445" t="s">
        <v>3364</v>
      </c>
      <c r="E250" s="1445">
        <v>1</v>
      </c>
      <c r="F250" s="1446">
        <v>2.3849999999999998</v>
      </c>
      <c r="G250" s="1446">
        <v>0.23</v>
      </c>
      <c r="H250" s="1447">
        <v>0.6</v>
      </c>
      <c r="I250" s="1448">
        <f t="shared" si="14"/>
        <v>0.33</v>
      </c>
      <c r="J250" s="1449"/>
      <c r="K250" s="1439"/>
      <c r="L250" s="1439"/>
      <c r="M250" s="1439"/>
      <c r="N250" s="1439"/>
      <c r="O250" s="1439"/>
      <c r="P250" s="1439"/>
      <c r="Q250" s="1439"/>
      <c r="R250" s="1439"/>
      <c r="S250" s="1439"/>
      <c r="T250" s="1439"/>
      <c r="U250" s="1439"/>
      <c r="V250" s="1439"/>
      <c r="W250" s="1439"/>
      <c r="X250" s="1439"/>
      <c r="Y250" s="1439"/>
      <c r="Z250" s="1439"/>
      <c r="AA250" s="1439"/>
      <c r="AB250" s="1439"/>
      <c r="AC250" s="1439"/>
      <c r="AD250" s="1439"/>
      <c r="AE250" s="1439"/>
      <c r="AF250" s="1439"/>
      <c r="AG250" s="1439"/>
    </row>
    <row r="251" spans="1:33" ht="15.75" customHeight="1">
      <c r="A251" s="1443"/>
      <c r="B251" s="1450" t="s">
        <v>7039</v>
      </c>
      <c r="C251" s="1445">
        <v>1</v>
      </c>
      <c r="D251" s="1445" t="s">
        <v>3364</v>
      </c>
      <c r="E251" s="1445">
        <v>1</v>
      </c>
      <c r="F251" s="1446">
        <f>8.82+0.46</f>
        <v>9.2799999999999994</v>
      </c>
      <c r="G251" s="1446">
        <v>0.23</v>
      </c>
      <c r="H251" s="1447">
        <v>0.6</v>
      </c>
      <c r="I251" s="1448">
        <f t="shared" si="14"/>
        <v>1.28</v>
      </c>
      <c r="J251" s="1449"/>
      <c r="K251" s="1439"/>
      <c r="L251" s="1439"/>
      <c r="M251" s="1439"/>
      <c r="N251" s="1439"/>
      <c r="O251" s="1439"/>
      <c r="P251" s="1439"/>
      <c r="Q251" s="1439"/>
      <c r="R251" s="1439"/>
      <c r="S251" s="1439"/>
      <c r="T251" s="1439"/>
      <c r="U251" s="1439"/>
      <c r="V251" s="1439"/>
      <c r="W251" s="1439"/>
      <c r="X251" s="1439"/>
      <c r="Y251" s="1439"/>
      <c r="Z251" s="1439"/>
      <c r="AA251" s="1439"/>
      <c r="AB251" s="1439"/>
      <c r="AC251" s="1439"/>
      <c r="AD251" s="1439"/>
      <c r="AE251" s="1439"/>
      <c r="AF251" s="1439"/>
      <c r="AG251" s="1439"/>
    </row>
    <row r="252" spans="1:33" ht="15.75" customHeight="1">
      <c r="A252" s="1443"/>
      <c r="B252" s="1452" t="s">
        <v>7404</v>
      </c>
      <c r="C252" s="1445">
        <v>1</v>
      </c>
      <c r="D252" s="1445" t="s">
        <v>3364</v>
      </c>
      <c r="E252" s="1445">
        <v>2</v>
      </c>
      <c r="F252" s="1446">
        <v>3.3460000000000001</v>
      </c>
      <c r="G252" s="1446">
        <v>0.23</v>
      </c>
      <c r="H252" s="1447">
        <v>0.6</v>
      </c>
      <c r="I252" s="1448">
        <f t="shared" si="14"/>
        <v>0.92</v>
      </c>
      <c r="J252" s="1449"/>
      <c r="K252" s="1439"/>
      <c r="L252" s="1439"/>
      <c r="M252" s="1439"/>
      <c r="N252" s="1439"/>
      <c r="O252" s="1439"/>
      <c r="P252" s="1439"/>
      <c r="Q252" s="1439"/>
      <c r="R252" s="1439"/>
      <c r="S252" s="1439"/>
      <c r="T252" s="1439"/>
      <c r="U252" s="1439"/>
      <c r="V252" s="1439"/>
      <c r="W252" s="1439"/>
      <c r="X252" s="1439"/>
      <c r="Y252" s="1439"/>
      <c r="Z252" s="1439"/>
      <c r="AA252" s="1439"/>
      <c r="AB252" s="1439"/>
      <c r="AC252" s="1439"/>
      <c r="AD252" s="1439"/>
      <c r="AE252" s="1439"/>
      <c r="AF252" s="1439"/>
      <c r="AG252" s="1439"/>
    </row>
    <row r="253" spans="1:33" ht="15.75" customHeight="1">
      <c r="A253" s="1443"/>
      <c r="B253" s="1455" t="s">
        <v>3423</v>
      </c>
      <c r="C253" s="1445"/>
      <c r="D253" s="1445"/>
      <c r="E253" s="1445"/>
      <c r="F253" s="1446"/>
      <c r="G253" s="1446"/>
      <c r="H253" s="1447"/>
      <c r="I253" s="1448"/>
      <c r="J253" s="1449"/>
      <c r="K253" s="1439"/>
      <c r="L253" s="1439"/>
      <c r="M253" s="1439"/>
      <c r="N253" s="1439"/>
      <c r="O253" s="1439"/>
      <c r="P253" s="1439"/>
      <c r="Q253" s="1439"/>
      <c r="R253" s="1439"/>
      <c r="S253" s="1439"/>
      <c r="T253" s="1439"/>
      <c r="U253" s="1439"/>
      <c r="V253" s="1439"/>
      <c r="W253" s="1439"/>
      <c r="X253" s="1439"/>
      <c r="Y253" s="1439"/>
      <c r="Z253" s="1439"/>
      <c r="AA253" s="1439"/>
      <c r="AB253" s="1439"/>
      <c r="AC253" s="1439"/>
      <c r="AD253" s="1439"/>
      <c r="AE253" s="1439"/>
      <c r="AF253" s="1439"/>
      <c r="AG253" s="1439"/>
    </row>
    <row r="254" spans="1:33" ht="15.75" customHeight="1">
      <c r="A254" s="1443"/>
      <c r="B254" s="1452" t="s">
        <v>7435</v>
      </c>
      <c r="C254" s="1445">
        <v>1</v>
      </c>
      <c r="D254" s="1445" t="s">
        <v>3364</v>
      </c>
      <c r="E254" s="1445">
        <v>5</v>
      </c>
      <c r="F254" s="1446">
        <v>17</v>
      </c>
      <c r="G254" s="1446">
        <v>4.5</v>
      </c>
      <c r="H254" s="1447">
        <v>0.15</v>
      </c>
      <c r="I254" s="1448">
        <f t="shared" ref="I254:I282" si="15">PRODUCT(C254:H254)</f>
        <v>57.38</v>
      </c>
      <c r="J254" s="1449"/>
      <c r="K254" s="1439"/>
      <c r="L254" s="1439"/>
      <c r="M254" s="1439"/>
      <c r="N254" s="1439"/>
      <c r="O254" s="1439"/>
      <c r="P254" s="1439"/>
      <c r="Q254" s="1439"/>
      <c r="R254" s="1439"/>
      <c r="S254" s="1439"/>
      <c r="T254" s="1439"/>
      <c r="U254" s="1439"/>
      <c r="V254" s="1439"/>
      <c r="W254" s="1439"/>
      <c r="X254" s="1439"/>
      <c r="Y254" s="1439"/>
      <c r="Z254" s="1439"/>
      <c r="AA254" s="1439"/>
      <c r="AB254" s="1439"/>
      <c r="AC254" s="1439"/>
      <c r="AD254" s="1439"/>
      <c r="AE254" s="1439"/>
      <c r="AF254" s="1439"/>
      <c r="AG254" s="1439"/>
    </row>
    <row r="255" spans="1:33" ht="31.5">
      <c r="A255" s="1443"/>
      <c r="B255" s="1452" t="s">
        <v>7443</v>
      </c>
      <c r="C255" s="1445">
        <v>1</v>
      </c>
      <c r="D255" s="1445" t="s">
        <v>3364</v>
      </c>
      <c r="E255" s="1445">
        <v>1</v>
      </c>
      <c r="F255" s="1446">
        <f>4.8+4.8+0.23</f>
        <v>9.83</v>
      </c>
      <c r="G255" s="1446">
        <v>17</v>
      </c>
      <c r="H255" s="1447">
        <v>0.15</v>
      </c>
      <c r="I255" s="1448">
        <f t="shared" si="15"/>
        <v>25.07</v>
      </c>
      <c r="J255" s="1449"/>
      <c r="K255" s="1439"/>
      <c r="L255" s="1439"/>
      <c r="M255" s="1439"/>
      <c r="N255" s="1439"/>
      <c r="O255" s="1439"/>
      <c r="P255" s="1439"/>
      <c r="Q255" s="1439"/>
      <c r="R255" s="1439"/>
      <c r="S255" s="1439"/>
      <c r="T255" s="1439"/>
      <c r="U255" s="1439"/>
      <c r="V255" s="1439"/>
      <c r="W255" s="1439"/>
      <c r="X255" s="1439"/>
      <c r="Y255" s="1439"/>
      <c r="Z255" s="1439"/>
      <c r="AA255" s="1439"/>
      <c r="AB255" s="1439"/>
      <c r="AC255" s="1439"/>
      <c r="AD255" s="1439"/>
      <c r="AE255" s="1439"/>
      <c r="AF255" s="1439"/>
      <c r="AG255" s="1439"/>
    </row>
    <row r="256" spans="1:33" ht="15.75" customHeight="1">
      <c r="A256" s="1443"/>
      <c r="B256" s="1452" t="s">
        <v>7444</v>
      </c>
      <c r="C256" s="1457">
        <v>1</v>
      </c>
      <c r="D256" s="1445" t="s">
        <v>3364</v>
      </c>
      <c r="E256" s="1445">
        <v>1</v>
      </c>
      <c r="F256" s="1446">
        <v>4.6749999999999998</v>
      </c>
      <c r="G256" s="1446">
        <v>18.43</v>
      </c>
      <c r="H256" s="1447">
        <v>0.15</v>
      </c>
      <c r="I256" s="1448">
        <f t="shared" si="15"/>
        <v>12.92</v>
      </c>
      <c r="J256" s="1449"/>
      <c r="K256" s="1439"/>
      <c r="L256" s="1439"/>
      <c r="M256" s="1439"/>
      <c r="N256" s="1439"/>
      <c r="O256" s="1439"/>
      <c r="P256" s="1439"/>
      <c r="Q256" s="1439"/>
      <c r="R256" s="1439"/>
      <c r="S256" s="1439"/>
      <c r="T256" s="1439"/>
      <c r="U256" s="1439"/>
      <c r="V256" s="1439"/>
      <c r="W256" s="1439"/>
      <c r="X256" s="1439"/>
      <c r="Y256" s="1439"/>
      <c r="Z256" s="1439"/>
      <c r="AA256" s="1439"/>
      <c r="AB256" s="1439"/>
      <c r="AC256" s="1439"/>
      <c r="AD256" s="1439"/>
      <c r="AE256" s="1439"/>
      <c r="AF256" s="1439"/>
      <c r="AG256" s="1439"/>
    </row>
    <row r="257" spans="1:33" ht="15.75" customHeight="1">
      <c r="A257" s="1443"/>
      <c r="B257" s="1452" t="s">
        <v>7450</v>
      </c>
      <c r="C257" s="1457">
        <v>1</v>
      </c>
      <c r="D257" s="1453" t="s">
        <v>3364</v>
      </c>
      <c r="E257" s="1445">
        <v>1</v>
      </c>
      <c r="F257" s="1446">
        <f>4.765+1.13+2.53</f>
        <v>8.4250000000000007</v>
      </c>
      <c r="G257" s="1446">
        <v>1.54</v>
      </c>
      <c r="H257" s="1447">
        <v>0.15</v>
      </c>
      <c r="I257" s="1448">
        <f t="shared" si="15"/>
        <v>1.95</v>
      </c>
      <c r="J257" s="1449"/>
      <c r="K257" s="1439"/>
      <c r="L257" s="1439"/>
      <c r="M257" s="1439"/>
      <c r="N257" s="1439"/>
      <c r="O257" s="1439"/>
      <c r="P257" s="1439"/>
      <c r="Q257" s="1439"/>
      <c r="R257" s="1439"/>
      <c r="S257" s="1439"/>
      <c r="T257" s="1439"/>
      <c r="U257" s="1439"/>
      <c r="V257" s="1439"/>
      <c r="W257" s="1439"/>
      <c r="X257" s="1439"/>
      <c r="Y257" s="1439"/>
      <c r="Z257" s="1439"/>
      <c r="AA257" s="1439"/>
      <c r="AB257" s="1439"/>
      <c r="AC257" s="1439"/>
      <c r="AD257" s="1439"/>
      <c r="AE257" s="1439"/>
      <c r="AF257" s="1439"/>
      <c r="AG257" s="1439"/>
    </row>
    <row r="258" spans="1:33" ht="15.75" customHeight="1">
      <c r="A258" s="1443"/>
      <c r="B258" s="1450" t="s">
        <v>7049</v>
      </c>
      <c r="C258" s="1445">
        <v>1</v>
      </c>
      <c r="D258" s="1445" t="s">
        <v>3364</v>
      </c>
      <c r="E258" s="1445">
        <v>2</v>
      </c>
      <c r="F258" s="1446">
        <v>5.82</v>
      </c>
      <c r="G258" s="1446">
        <v>1.5</v>
      </c>
      <c r="H258" s="1447">
        <v>0.2</v>
      </c>
      <c r="I258" s="1448">
        <f t="shared" si="15"/>
        <v>3.49</v>
      </c>
      <c r="J258" s="1449"/>
      <c r="K258" s="1439"/>
      <c r="L258" s="1439"/>
      <c r="M258" s="1439"/>
      <c r="N258" s="1439"/>
      <c r="O258" s="1439"/>
      <c r="P258" s="1439"/>
      <c r="Q258" s="1439"/>
      <c r="R258" s="1439"/>
      <c r="S258" s="1439"/>
      <c r="T258" s="1439"/>
      <c r="U258" s="1439"/>
      <c r="V258" s="1439"/>
      <c r="W258" s="1439"/>
      <c r="X258" s="1439"/>
      <c r="Y258" s="1439"/>
      <c r="Z258" s="1439"/>
      <c r="AA258" s="1439"/>
      <c r="AB258" s="1439"/>
      <c r="AC258" s="1439"/>
      <c r="AD258" s="1439"/>
      <c r="AE258" s="1439"/>
      <c r="AF258" s="1439"/>
      <c r="AG258" s="1439"/>
    </row>
    <row r="259" spans="1:33" ht="15.75" customHeight="1">
      <c r="A259" s="1443"/>
      <c r="B259" s="1450" t="s">
        <v>3391</v>
      </c>
      <c r="C259" s="1445">
        <v>1</v>
      </c>
      <c r="D259" s="1445" t="s">
        <v>3364</v>
      </c>
      <c r="E259" s="1445">
        <v>1</v>
      </c>
      <c r="F259" s="1446">
        <v>3.6</v>
      </c>
      <c r="G259" s="1446">
        <v>1.5</v>
      </c>
      <c r="H259" s="1447">
        <v>0.2</v>
      </c>
      <c r="I259" s="1448">
        <f t="shared" si="15"/>
        <v>1.08</v>
      </c>
      <c r="J259" s="1449"/>
      <c r="K259" s="1439"/>
      <c r="L259" s="1439"/>
      <c r="M259" s="1439"/>
      <c r="N259" s="1439"/>
      <c r="O259" s="1439"/>
      <c r="P259" s="1439"/>
      <c r="Q259" s="1439"/>
      <c r="R259" s="1439"/>
      <c r="S259" s="1439"/>
      <c r="T259" s="1439"/>
      <c r="U259" s="1439"/>
      <c r="V259" s="1439"/>
      <c r="W259" s="1439"/>
      <c r="X259" s="1439"/>
      <c r="Y259" s="1439"/>
      <c r="Z259" s="1439"/>
      <c r="AA259" s="1439"/>
      <c r="AB259" s="1439"/>
      <c r="AC259" s="1439"/>
      <c r="AD259" s="1439"/>
      <c r="AE259" s="1439"/>
      <c r="AF259" s="1439"/>
      <c r="AG259" s="1439"/>
    </row>
    <row r="260" spans="1:33" ht="15.75" customHeight="1">
      <c r="A260" s="1443"/>
      <c r="B260" s="1450" t="s">
        <v>3392</v>
      </c>
      <c r="C260" s="1445">
        <v>1</v>
      </c>
      <c r="D260" s="1445" t="s">
        <v>3364</v>
      </c>
      <c r="E260" s="1445">
        <v>1</v>
      </c>
      <c r="F260" s="1446">
        <v>3.46</v>
      </c>
      <c r="G260" s="1446">
        <v>0.23</v>
      </c>
      <c r="H260" s="1447">
        <v>0.5</v>
      </c>
      <c r="I260" s="1448">
        <f t="shared" si="15"/>
        <v>0.4</v>
      </c>
      <c r="J260" s="1449"/>
      <c r="K260" s="1439"/>
      <c r="L260" s="1439"/>
      <c r="M260" s="1439"/>
      <c r="N260" s="1439"/>
      <c r="O260" s="1439"/>
      <c r="P260" s="1439"/>
      <c r="Q260" s="1439"/>
      <c r="R260" s="1439"/>
      <c r="S260" s="1439"/>
      <c r="T260" s="1439"/>
      <c r="U260" s="1439"/>
      <c r="V260" s="1439"/>
      <c r="W260" s="1439"/>
      <c r="X260" s="1439"/>
      <c r="Y260" s="1439"/>
      <c r="Z260" s="1439"/>
      <c r="AA260" s="1439"/>
      <c r="AB260" s="1439"/>
      <c r="AC260" s="1439"/>
      <c r="AD260" s="1439"/>
      <c r="AE260" s="1439"/>
      <c r="AF260" s="1439"/>
      <c r="AG260" s="1439"/>
    </row>
    <row r="261" spans="1:33" ht="15.75" customHeight="1">
      <c r="A261" s="1443"/>
      <c r="B261" s="1450" t="s">
        <v>3393</v>
      </c>
      <c r="C261" s="1457">
        <v>0.5</v>
      </c>
      <c r="D261" s="1445" t="s">
        <v>3364</v>
      </c>
      <c r="E261" s="1445">
        <v>22</v>
      </c>
      <c r="F261" s="1446">
        <v>1.35</v>
      </c>
      <c r="G261" s="1446">
        <v>0.3</v>
      </c>
      <c r="H261" s="1447">
        <v>0.2</v>
      </c>
      <c r="I261" s="1448">
        <f t="shared" si="15"/>
        <v>0.89</v>
      </c>
      <c r="J261" s="1449"/>
      <c r="K261" s="1439"/>
      <c r="L261" s="1439"/>
      <c r="M261" s="1439"/>
      <c r="N261" s="1439"/>
      <c r="O261" s="1439"/>
      <c r="P261" s="1439"/>
      <c r="Q261" s="1439"/>
      <c r="R261" s="1439"/>
      <c r="S261" s="1439"/>
      <c r="T261" s="1439"/>
      <c r="U261" s="1439"/>
      <c r="V261" s="1439"/>
      <c r="W261" s="1439"/>
      <c r="X261" s="1439"/>
      <c r="Y261" s="1439"/>
      <c r="Z261" s="1439"/>
      <c r="AA261" s="1439"/>
      <c r="AB261" s="1439"/>
      <c r="AC261" s="1439"/>
      <c r="AD261" s="1439"/>
      <c r="AE261" s="1439"/>
      <c r="AF261" s="1439"/>
      <c r="AG261" s="1439"/>
    </row>
    <row r="262" spans="1:33" ht="15.75" customHeight="1">
      <c r="A262" s="1443"/>
      <c r="B262" s="1455" t="s">
        <v>7436</v>
      </c>
      <c r="C262" s="1457"/>
      <c r="D262" s="1445"/>
      <c r="E262" s="1445"/>
      <c r="F262" s="1446"/>
      <c r="G262" s="1446"/>
      <c r="H262" s="1447"/>
      <c r="I262" s="1448">
        <f t="shared" si="15"/>
        <v>0</v>
      </c>
      <c r="J262" s="1449"/>
      <c r="K262" s="1439"/>
      <c r="L262" s="1439"/>
      <c r="M262" s="1439"/>
      <c r="N262" s="1439"/>
      <c r="O262" s="1439"/>
      <c r="P262" s="1439"/>
      <c r="Q262" s="1439"/>
      <c r="R262" s="1439"/>
      <c r="S262" s="1439"/>
      <c r="T262" s="1439"/>
      <c r="U262" s="1439"/>
      <c r="V262" s="1439"/>
      <c r="W262" s="1439"/>
      <c r="X262" s="1439"/>
      <c r="Y262" s="1439"/>
      <c r="Z262" s="1439"/>
      <c r="AA262" s="1439"/>
      <c r="AB262" s="1439"/>
      <c r="AC262" s="1439"/>
      <c r="AD262" s="1439"/>
      <c r="AE262" s="1439"/>
      <c r="AF262" s="1439"/>
      <c r="AG262" s="1439"/>
    </row>
    <row r="263" spans="1:33" ht="15.75" customHeight="1">
      <c r="A263" s="1443"/>
      <c r="B263" s="1452" t="s">
        <v>7437</v>
      </c>
      <c r="C263" s="1445">
        <v>1</v>
      </c>
      <c r="D263" s="1453" t="s">
        <v>3827</v>
      </c>
      <c r="E263" s="1445">
        <v>1</v>
      </c>
      <c r="F263" s="1446">
        <f>5.58+0.46</f>
        <v>6.04</v>
      </c>
      <c r="G263" s="1446">
        <v>0.23</v>
      </c>
      <c r="H263" s="1447">
        <v>0.15</v>
      </c>
      <c r="I263" s="1448">
        <f t="shared" si="15"/>
        <v>0.21</v>
      </c>
      <c r="J263" s="1449"/>
      <c r="K263" s="1439"/>
      <c r="L263" s="1439"/>
      <c r="M263" s="1439"/>
      <c r="N263" s="1439"/>
      <c r="O263" s="1439"/>
      <c r="P263" s="1439"/>
      <c r="Q263" s="1439"/>
      <c r="R263" s="1439"/>
      <c r="S263" s="1439"/>
      <c r="T263" s="1439"/>
      <c r="U263" s="1439"/>
      <c r="V263" s="1439"/>
      <c r="W263" s="1439"/>
      <c r="X263" s="1439"/>
      <c r="Y263" s="1439"/>
      <c r="Z263" s="1439"/>
      <c r="AA263" s="1439"/>
      <c r="AB263" s="1439"/>
      <c r="AC263" s="1439"/>
      <c r="AD263" s="1439"/>
      <c r="AE263" s="1439"/>
      <c r="AF263" s="1439"/>
      <c r="AG263" s="1439"/>
    </row>
    <row r="264" spans="1:33" ht="15.75" customHeight="1">
      <c r="A264" s="1443"/>
      <c r="B264" s="1452" t="s">
        <v>7438</v>
      </c>
      <c r="C264" s="1445">
        <v>4</v>
      </c>
      <c r="D264" s="1453" t="s">
        <v>3364</v>
      </c>
      <c r="E264" s="1445">
        <v>1</v>
      </c>
      <c r="F264" s="1446">
        <f>4.57+0.46</f>
        <v>5.03</v>
      </c>
      <c r="G264" s="1454">
        <v>0.23</v>
      </c>
      <c r="H264" s="1447">
        <v>0.15</v>
      </c>
      <c r="I264" s="1448">
        <f t="shared" si="15"/>
        <v>0.69</v>
      </c>
      <c r="J264" s="1449"/>
      <c r="K264" s="1439"/>
      <c r="L264" s="1439"/>
      <c r="M264" s="1439"/>
      <c r="N264" s="1439"/>
      <c r="O264" s="1439"/>
      <c r="P264" s="1439"/>
      <c r="Q264" s="1439"/>
      <c r="R264" s="1439"/>
      <c r="S264" s="1439"/>
      <c r="T264" s="1439"/>
      <c r="U264" s="1439"/>
      <c r="V264" s="1439"/>
      <c r="W264" s="1439"/>
      <c r="X264" s="1439"/>
      <c r="Y264" s="1439"/>
      <c r="Z264" s="1439"/>
      <c r="AA264" s="1439"/>
      <c r="AB264" s="1439"/>
      <c r="AC264" s="1439"/>
      <c r="AD264" s="1439"/>
      <c r="AE264" s="1439"/>
      <c r="AF264" s="1439"/>
      <c r="AG264" s="1439"/>
    </row>
    <row r="265" spans="1:33" ht="15.75" customHeight="1">
      <c r="A265" s="1443"/>
      <c r="B265" s="1452" t="s">
        <v>7439</v>
      </c>
      <c r="C265" s="1445">
        <v>2</v>
      </c>
      <c r="D265" s="1453" t="s">
        <v>3364</v>
      </c>
      <c r="E265" s="1445">
        <v>1</v>
      </c>
      <c r="F265" s="1446">
        <f>5.035+0.46</f>
        <v>5.4950000000000001</v>
      </c>
      <c r="G265" s="1446">
        <v>0.23</v>
      </c>
      <c r="H265" s="1447">
        <v>0.15</v>
      </c>
      <c r="I265" s="1448">
        <f t="shared" si="15"/>
        <v>0.38</v>
      </c>
      <c r="J265" s="1449"/>
      <c r="K265" s="1439"/>
      <c r="L265" s="1439"/>
      <c r="M265" s="1439"/>
      <c r="N265" s="1439"/>
      <c r="O265" s="1439"/>
      <c r="P265" s="1439"/>
      <c r="Q265" s="1439"/>
      <c r="R265" s="1439"/>
      <c r="S265" s="1439"/>
      <c r="T265" s="1439"/>
      <c r="U265" s="1439"/>
      <c r="V265" s="1439"/>
      <c r="W265" s="1439"/>
      <c r="X265" s="1439"/>
      <c r="Y265" s="1439"/>
      <c r="Z265" s="1439"/>
      <c r="AA265" s="1439"/>
      <c r="AB265" s="1439"/>
      <c r="AC265" s="1439"/>
      <c r="AD265" s="1439"/>
      <c r="AE265" s="1439"/>
      <c r="AF265" s="1439"/>
      <c r="AG265" s="1439"/>
    </row>
    <row r="266" spans="1:33" ht="15.75" customHeight="1">
      <c r="A266" s="1443"/>
      <c r="B266" s="1455" t="s">
        <v>7432</v>
      </c>
      <c r="C266" s="1457"/>
      <c r="D266" s="1453"/>
      <c r="E266" s="1445"/>
      <c r="F266" s="1446"/>
      <c r="G266" s="1446"/>
      <c r="H266" s="1447"/>
      <c r="I266" s="1448">
        <f t="shared" si="15"/>
        <v>0</v>
      </c>
      <c r="J266" s="1449"/>
      <c r="K266" s="1439"/>
      <c r="L266" s="1439"/>
      <c r="M266" s="1439"/>
      <c r="N266" s="1439"/>
      <c r="O266" s="1439"/>
      <c r="P266" s="1439"/>
      <c r="Q266" s="1439"/>
      <c r="R266" s="1439"/>
      <c r="S266" s="1439"/>
      <c r="T266" s="1439"/>
      <c r="U266" s="1439"/>
      <c r="V266" s="1439"/>
      <c r="W266" s="1439"/>
      <c r="X266" s="1439"/>
      <c r="Y266" s="1439"/>
      <c r="Z266" s="1439"/>
      <c r="AA266" s="1439"/>
      <c r="AB266" s="1439"/>
      <c r="AC266" s="1439"/>
      <c r="AD266" s="1439"/>
      <c r="AE266" s="1439"/>
      <c r="AF266" s="1439"/>
      <c r="AG266" s="1439"/>
    </row>
    <row r="267" spans="1:33" ht="15.75" customHeight="1">
      <c r="A267" s="1443"/>
      <c r="B267" s="1452" t="s">
        <v>7437</v>
      </c>
      <c r="C267" s="1445">
        <v>1</v>
      </c>
      <c r="D267" s="1453" t="s">
        <v>3827</v>
      </c>
      <c r="E267" s="1445">
        <v>1</v>
      </c>
      <c r="F267" s="1446">
        <f>5.58+0.46</f>
        <v>6.04</v>
      </c>
      <c r="G267" s="1446">
        <v>0.6</v>
      </c>
      <c r="H267" s="1447">
        <v>0.1</v>
      </c>
      <c r="I267" s="1448">
        <f t="shared" si="15"/>
        <v>0.36</v>
      </c>
      <c r="J267" s="1449"/>
      <c r="K267" s="1439"/>
      <c r="L267" s="1439"/>
      <c r="M267" s="1439"/>
      <c r="N267" s="1439"/>
      <c r="O267" s="1439"/>
      <c r="P267" s="1439"/>
      <c r="Q267" s="1439"/>
      <c r="R267" s="1439"/>
      <c r="S267" s="1439"/>
      <c r="T267" s="1439"/>
      <c r="U267" s="1439"/>
      <c r="V267" s="1439"/>
      <c r="W267" s="1439"/>
      <c r="X267" s="1439"/>
      <c r="Y267" s="1439"/>
      <c r="Z267" s="1439"/>
      <c r="AA267" s="1439"/>
      <c r="AB267" s="1439"/>
      <c r="AC267" s="1439"/>
      <c r="AD267" s="1439"/>
      <c r="AE267" s="1439"/>
      <c r="AF267" s="1439"/>
      <c r="AG267" s="1439"/>
    </row>
    <row r="268" spans="1:33" ht="15.75" customHeight="1">
      <c r="A268" s="1443"/>
      <c r="B268" s="1452" t="s">
        <v>7438</v>
      </c>
      <c r="C268" s="1445">
        <v>4</v>
      </c>
      <c r="D268" s="1453" t="s">
        <v>3364</v>
      </c>
      <c r="E268" s="1445">
        <v>1</v>
      </c>
      <c r="F268" s="1446">
        <f>4.57+0.46</f>
        <v>5.03</v>
      </c>
      <c r="G268" s="1446">
        <v>0.6</v>
      </c>
      <c r="H268" s="1447">
        <v>0.1</v>
      </c>
      <c r="I268" s="1448">
        <f t="shared" si="15"/>
        <v>1.21</v>
      </c>
      <c r="J268" s="1449"/>
      <c r="K268" s="1439"/>
      <c r="L268" s="1439"/>
      <c r="M268" s="1439"/>
      <c r="N268" s="1439"/>
      <c r="O268" s="1439"/>
      <c r="P268" s="1439"/>
      <c r="Q268" s="1439"/>
      <c r="R268" s="1439"/>
      <c r="S268" s="1439"/>
      <c r="T268" s="1439"/>
      <c r="U268" s="1439"/>
      <c r="V268" s="1439"/>
      <c r="W268" s="1439"/>
      <c r="X268" s="1439"/>
      <c r="Y268" s="1439"/>
      <c r="Z268" s="1439"/>
      <c r="AA268" s="1439"/>
      <c r="AB268" s="1439"/>
      <c r="AC268" s="1439"/>
      <c r="AD268" s="1439"/>
      <c r="AE268" s="1439"/>
      <c r="AF268" s="1439"/>
      <c r="AG268" s="1439"/>
    </row>
    <row r="269" spans="1:33" ht="15.75" customHeight="1">
      <c r="A269" s="1443"/>
      <c r="B269" s="1452" t="s">
        <v>7439</v>
      </c>
      <c r="C269" s="1445">
        <v>2</v>
      </c>
      <c r="D269" s="1453" t="s">
        <v>3364</v>
      </c>
      <c r="E269" s="1445">
        <v>1</v>
      </c>
      <c r="F269" s="1446">
        <f>5.035+0.46</f>
        <v>5.4950000000000001</v>
      </c>
      <c r="G269" s="1446">
        <v>0.6</v>
      </c>
      <c r="H269" s="1447">
        <v>0.1</v>
      </c>
      <c r="I269" s="1448">
        <f t="shared" si="15"/>
        <v>0.66</v>
      </c>
      <c r="J269" s="1449"/>
      <c r="K269" s="1439"/>
      <c r="L269" s="1439"/>
      <c r="M269" s="1439"/>
      <c r="N269" s="1439"/>
      <c r="O269" s="1439"/>
      <c r="P269" s="1439"/>
      <c r="Q269" s="1439"/>
      <c r="R269" s="1439"/>
      <c r="S269" s="1439"/>
      <c r="T269" s="1439"/>
      <c r="U269" s="1439"/>
      <c r="V269" s="1439"/>
      <c r="W269" s="1439"/>
      <c r="X269" s="1439"/>
      <c r="Y269" s="1439"/>
      <c r="Z269" s="1439"/>
      <c r="AA269" s="1439"/>
      <c r="AB269" s="1439"/>
      <c r="AC269" s="1439"/>
      <c r="AD269" s="1439"/>
      <c r="AE269" s="1439"/>
      <c r="AF269" s="1439"/>
      <c r="AG269" s="1439"/>
    </row>
    <row r="270" spans="1:33" ht="15.75" customHeight="1">
      <c r="A270" s="1443"/>
      <c r="B270" s="1455" t="s">
        <v>7433</v>
      </c>
      <c r="C270" s="1445"/>
      <c r="D270" s="1453"/>
      <c r="E270" s="1445"/>
      <c r="F270" s="1446"/>
      <c r="G270" s="1446"/>
      <c r="H270" s="1447"/>
      <c r="I270" s="1448">
        <f t="shared" si="15"/>
        <v>0</v>
      </c>
      <c r="J270" s="1449"/>
      <c r="K270" s="1439"/>
      <c r="L270" s="1439"/>
      <c r="M270" s="1439"/>
      <c r="N270" s="1439"/>
      <c r="O270" s="1439"/>
      <c r="P270" s="1439"/>
      <c r="Q270" s="1439"/>
      <c r="R270" s="1439"/>
      <c r="S270" s="1439"/>
      <c r="T270" s="1439"/>
      <c r="U270" s="1439"/>
      <c r="V270" s="1439"/>
      <c r="W270" s="1439"/>
      <c r="X270" s="1439"/>
      <c r="Y270" s="1439"/>
      <c r="Z270" s="1439"/>
      <c r="AA270" s="1439"/>
      <c r="AB270" s="1439"/>
      <c r="AC270" s="1439"/>
      <c r="AD270" s="1439"/>
      <c r="AE270" s="1439"/>
      <c r="AF270" s="1439"/>
      <c r="AG270" s="1439"/>
    </row>
    <row r="271" spans="1:33" ht="15.75" customHeight="1">
      <c r="A271" s="1443"/>
      <c r="B271" s="1452" t="s">
        <v>3363</v>
      </c>
      <c r="C271" s="1445">
        <v>9</v>
      </c>
      <c r="D271" s="1453" t="s">
        <v>3364</v>
      </c>
      <c r="E271" s="1445">
        <v>1</v>
      </c>
      <c r="F271" s="1446">
        <v>1.46</v>
      </c>
      <c r="G271" s="1446">
        <v>0.23</v>
      </c>
      <c r="H271" s="1447">
        <v>0.15</v>
      </c>
      <c r="I271" s="1448">
        <f t="shared" si="15"/>
        <v>0.45</v>
      </c>
      <c r="J271" s="1449"/>
      <c r="K271" s="1439"/>
      <c r="L271" s="1439"/>
      <c r="M271" s="1439"/>
      <c r="N271" s="1439"/>
      <c r="O271" s="1439"/>
      <c r="P271" s="1439"/>
      <c r="Q271" s="1439"/>
      <c r="R271" s="1439"/>
      <c r="S271" s="1439"/>
      <c r="T271" s="1439"/>
      <c r="U271" s="1439"/>
      <c r="V271" s="1439"/>
      <c r="W271" s="1439"/>
      <c r="X271" s="1439"/>
      <c r="Y271" s="1439"/>
      <c r="Z271" s="1439"/>
      <c r="AA271" s="1439"/>
      <c r="AB271" s="1439"/>
      <c r="AC271" s="1439"/>
      <c r="AD271" s="1439"/>
      <c r="AE271" s="1439"/>
      <c r="AF271" s="1439"/>
      <c r="AG271" s="1439"/>
    </row>
    <row r="272" spans="1:33" ht="15.75" customHeight="1">
      <c r="A272" s="1443"/>
      <c r="B272" s="1452" t="s">
        <v>3398</v>
      </c>
      <c r="C272" s="1445">
        <v>1</v>
      </c>
      <c r="D272" s="1453" t="s">
        <v>3364</v>
      </c>
      <c r="E272" s="1445">
        <v>1</v>
      </c>
      <c r="F272" s="1446">
        <v>1.36</v>
      </c>
      <c r="G272" s="1446">
        <v>0.23</v>
      </c>
      <c r="H272" s="1447">
        <v>0.15</v>
      </c>
      <c r="I272" s="1448">
        <f t="shared" si="15"/>
        <v>0.05</v>
      </c>
      <c r="J272" s="1449"/>
      <c r="K272" s="1439"/>
      <c r="L272" s="1439"/>
      <c r="M272" s="1439"/>
      <c r="N272" s="1439"/>
      <c r="O272" s="1439"/>
      <c r="P272" s="1439"/>
      <c r="Q272" s="1439"/>
      <c r="R272" s="1439"/>
      <c r="S272" s="1439"/>
      <c r="T272" s="1439"/>
      <c r="U272" s="1439"/>
      <c r="V272" s="1439"/>
      <c r="W272" s="1439"/>
      <c r="X272" s="1439"/>
      <c r="Y272" s="1439"/>
      <c r="Z272" s="1439"/>
      <c r="AA272" s="1439"/>
      <c r="AB272" s="1439"/>
      <c r="AC272" s="1439"/>
      <c r="AD272" s="1439"/>
      <c r="AE272" s="1439"/>
      <c r="AF272" s="1439"/>
      <c r="AG272" s="1439"/>
    </row>
    <row r="273" spans="1:33" ht="15.75" customHeight="1">
      <c r="A273" s="1443"/>
      <c r="B273" s="1452" t="s">
        <v>3407</v>
      </c>
      <c r="C273" s="1445">
        <v>14</v>
      </c>
      <c r="D273" s="1453" t="s">
        <v>3364</v>
      </c>
      <c r="E273" s="1445">
        <v>1</v>
      </c>
      <c r="F273" s="1446">
        <v>1.21</v>
      </c>
      <c r="G273" s="1446">
        <v>0.23</v>
      </c>
      <c r="H273" s="1447">
        <v>0.15</v>
      </c>
      <c r="I273" s="1448">
        <f t="shared" si="15"/>
        <v>0.57999999999999996</v>
      </c>
      <c r="J273" s="1449"/>
      <c r="K273" s="1439"/>
      <c r="L273" s="1439"/>
      <c r="M273" s="1439"/>
      <c r="N273" s="1439"/>
      <c r="O273" s="1439"/>
      <c r="P273" s="1439"/>
      <c r="Q273" s="1439"/>
      <c r="R273" s="1439"/>
      <c r="S273" s="1439"/>
      <c r="T273" s="1439"/>
      <c r="U273" s="1439"/>
      <c r="V273" s="1439"/>
      <c r="W273" s="1439"/>
      <c r="X273" s="1439"/>
      <c r="Y273" s="1439"/>
      <c r="Z273" s="1439"/>
      <c r="AA273" s="1439"/>
      <c r="AB273" s="1439"/>
      <c r="AC273" s="1439"/>
      <c r="AD273" s="1439"/>
      <c r="AE273" s="1439"/>
      <c r="AF273" s="1439"/>
      <c r="AG273" s="1439"/>
    </row>
    <row r="274" spans="1:33" ht="15.75" customHeight="1">
      <c r="A274" s="1443"/>
      <c r="B274" s="1452" t="s">
        <v>3497</v>
      </c>
      <c r="C274" s="1445">
        <v>1</v>
      </c>
      <c r="D274" s="1453" t="s">
        <v>3364</v>
      </c>
      <c r="E274" s="1445">
        <v>1</v>
      </c>
      <c r="F274" s="1446">
        <v>2.2599999999999998</v>
      </c>
      <c r="G274" s="1446">
        <v>0.23</v>
      </c>
      <c r="H274" s="1447">
        <v>0.15</v>
      </c>
      <c r="I274" s="1448">
        <f t="shared" si="15"/>
        <v>0.08</v>
      </c>
      <c r="J274" s="1449"/>
      <c r="K274" s="1439"/>
      <c r="L274" s="1439"/>
      <c r="M274" s="1439"/>
      <c r="N274" s="1439"/>
      <c r="O274" s="1439"/>
      <c r="P274" s="1439"/>
      <c r="Q274" s="1439"/>
      <c r="R274" s="1439"/>
      <c r="S274" s="1439"/>
      <c r="T274" s="1439"/>
      <c r="U274" s="1439"/>
      <c r="V274" s="1439"/>
      <c r="W274" s="1439"/>
      <c r="X274" s="1439"/>
      <c r="Y274" s="1439"/>
      <c r="Z274" s="1439"/>
      <c r="AA274" s="1439"/>
      <c r="AB274" s="1439"/>
      <c r="AC274" s="1439"/>
      <c r="AD274" s="1439"/>
      <c r="AE274" s="1439"/>
      <c r="AF274" s="1439"/>
      <c r="AG274" s="1439"/>
    </row>
    <row r="275" spans="1:33" ht="15.75" customHeight="1">
      <c r="A275" s="1443"/>
      <c r="B275" s="1452" t="s">
        <v>3414</v>
      </c>
      <c r="C275" s="1445">
        <v>15</v>
      </c>
      <c r="D275" s="1453" t="s">
        <v>3364</v>
      </c>
      <c r="E275" s="1445">
        <v>1</v>
      </c>
      <c r="F275" s="1446">
        <v>2.2599999999999998</v>
      </c>
      <c r="G275" s="1446">
        <v>0.23</v>
      </c>
      <c r="H275" s="1447">
        <v>0.15</v>
      </c>
      <c r="I275" s="1448">
        <f t="shared" si="15"/>
        <v>1.17</v>
      </c>
      <c r="J275" s="1449"/>
      <c r="K275" s="1439"/>
      <c r="L275" s="1439"/>
      <c r="M275" s="1439"/>
      <c r="N275" s="1439"/>
      <c r="O275" s="1439"/>
      <c r="P275" s="1439"/>
      <c r="Q275" s="1439"/>
      <c r="R275" s="1439"/>
      <c r="S275" s="1439"/>
      <c r="T275" s="1439"/>
      <c r="U275" s="1439"/>
      <c r="V275" s="1439"/>
      <c r="W275" s="1439"/>
      <c r="X275" s="1439"/>
      <c r="Y275" s="1439"/>
      <c r="Z275" s="1439"/>
      <c r="AA275" s="1439"/>
      <c r="AB275" s="1439"/>
      <c r="AC275" s="1439"/>
      <c r="AD275" s="1439"/>
      <c r="AE275" s="1439"/>
      <c r="AF275" s="1439"/>
      <c r="AG275" s="1439"/>
    </row>
    <row r="276" spans="1:33" ht="15.75" customHeight="1">
      <c r="A276" s="1443"/>
      <c r="B276" s="1452" t="s">
        <v>6964</v>
      </c>
      <c r="C276" s="1445">
        <v>2</v>
      </c>
      <c r="D276" s="1453" t="s">
        <v>3364</v>
      </c>
      <c r="E276" s="1445">
        <v>1</v>
      </c>
      <c r="F276" s="1446">
        <v>1.36</v>
      </c>
      <c r="G276" s="1446">
        <v>0.23</v>
      </c>
      <c r="H276" s="1447">
        <v>0.15</v>
      </c>
      <c r="I276" s="1448">
        <f t="shared" si="15"/>
        <v>0.09</v>
      </c>
      <c r="J276" s="1449"/>
      <c r="K276" s="1439"/>
      <c r="L276" s="1439"/>
      <c r="M276" s="1439"/>
      <c r="N276" s="1439"/>
      <c r="O276" s="1439"/>
      <c r="P276" s="1439"/>
      <c r="Q276" s="1439"/>
      <c r="R276" s="1439"/>
      <c r="S276" s="1439"/>
      <c r="T276" s="1439"/>
      <c r="U276" s="1439"/>
      <c r="V276" s="1439"/>
      <c r="W276" s="1439"/>
      <c r="X276" s="1439"/>
      <c r="Y276" s="1439"/>
      <c r="Z276" s="1439"/>
      <c r="AA276" s="1439"/>
      <c r="AB276" s="1439"/>
      <c r="AC276" s="1439"/>
      <c r="AD276" s="1439"/>
      <c r="AE276" s="1439"/>
      <c r="AF276" s="1439"/>
      <c r="AG276" s="1439"/>
    </row>
    <row r="277" spans="1:33" ht="16.5" customHeight="1">
      <c r="A277" s="1443"/>
      <c r="B277" s="1452" t="s">
        <v>3401</v>
      </c>
      <c r="C277" s="1445">
        <v>12</v>
      </c>
      <c r="D277" s="1453" t="s">
        <v>3364</v>
      </c>
      <c r="E277" s="1445">
        <v>1</v>
      </c>
      <c r="F277" s="1446">
        <v>1.21</v>
      </c>
      <c r="G277" s="1446">
        <v>0.23</v>
      </c>
      <c r="H277" s="1447">
        <v>0.15</v>
      </c>
      <c r="I277" s="1448">
        <f t="shared" si="15"/>
        <v>0.5</v>
      </c>
      <c r="J277" s="1449"/>
      <c r="K277" s="1439"/>
      <c r="L277" s="1439"/>
      <c r="M277" s="1439"/>
      <c r="N277" s="1439"/>
      <c r="O277" s="1439"/>
      <c r="P277" s="1439"/>
      <c r="Q277" s="1439"/>
      <c r="R277" s="1439"/>
      <c r="S277" s="1439"/>
      <c r="T277" s="1439"/>
      <c r="U277" s="1439"/>
      <c r="V277" s="1439"/>
      <c r="W277" s="1439"/>
      <c r="X277" s="1439"/>
      <c r="Y277" s="1439"/>
      <c r="Z277" s="1439"/>
      <c r="AA277" s="1439"/>
      <c r="AB277" s="1439"/>
      <c r="AC277" s="1439"/>
      <c r="AD277" s="1439"/>
      <c r="AE277" s="1439"/>
      <c r="AF277" s="1439"/>
      <c r="AG277" s="1439"/>
    </row>
    <row r="278" spans="1:33" ht="15.75" customHeight="1">
      <c r="A278" s="1443"/>
      <c r="B278" s="1452" t="s">
        <v>7413</v>
      </c>
      <c r="C278" s="1445">
        <v>1</v>
      </c>
      <c r="D278" s="1453" t="s">
        <v>3364</v>
      </c>
      <c r="E278" s="1445">
        <v>1</v>
      </c>
      <c r="F278" s="1446">
        <v>1.36</v>
      </c>
      <c r="G278" s="1446">
        <v>0.23</v>
      </c>
      <c r="H278" s="1447">
        <v>0.15</v>
      </c>
      <c r="I278" s="1448">
        <f t="shared" si="15"/>
        <v>0.05</v>
      </c>
      <c r="J278" s="1449"/>
      <c r="K278" s="1439"/>
      <c r="L278" s="1439"/>
      <c r="M278" s="1439"/>
      <c r="N278" s="1439"/>
      <c r="O278" s="1439"/>
      <c r="P278" s="1439"/>
      <c r="Q278" s="1439"/>
      <c r="R278" s="1439"/>
      <c r="S278" s="1439"/>
      <c r="T278" s="1439"/>
      <c r="U278" s="1439"/>
      <c r="V278" s="1439"/>
      <c r="W278" s="1439"/>
      <c r="X278" s="1439"/>
      <c r="Y278" s="1439"/>
      <c r="Z278" s="1439"/>
      <c r="AA278" s="1439"/>
      <c r="AB278" s="1439"/>
      <c r="AC278" s="1439"/>
      <c r="AD278" s="1439"/>
      <c r="AE278" s="1439"/>
      <c r="AF278" s="1439"/>
      <c r="AG278" s="1439"/>
    </row>
    <row r="279" spans="1:33" ht="15.75" customHeight="1">
      <c r="A279" s="1443"/>
      <c r="B279" s="1455" t="s">
        <v>7440</v>
      </c>
      <c r="C279" s="1445"/>
      <c r="D279" s="1453"/>
      <c r="E279" s="1445"/>
      <c r="F279" s="1446"/>
      <c r="G279" s="1446"/>
      <c r="H279" s="1447"/>
      <c r="I279" s="1448">
        <f t="shared" si="15"/>
        <v>0</v>
      </c>
      <c r="J279" s="1449"/>
      <c r="K279" s="1439"/>
      <c r="L279" s="1439"/>
      <c r="M279" s="1439"/>
      <c r="N279" s="1439"/>
      <c r="O279" s="1439"/>
      <c r="P279" s="1439"/>
      <c r="Q279" s="1439"/>
      <c r="R279" s="1439"/>
      <c r="S279" s="1439"/>
      <c r="T279" s="1439"/>
      <c r="U279" s="1439"/>
      <c r="V279" s="1439"/>
      <c r="W279" s="1439"/>
      <c r="X279" s="1439"/>
      <c r="Y279" s="1439"/>
      <c r="Z279" s="1439"/>
      <c r="AA279" s="1439"/>
      <c r="AB279" s="1439"/>
      <c r="AC279" s="1439"/>
      <c r="AD279" s="1439"/>
      <c r="AE279" s="1439"/>
      <c r="AF279" s="1439"/>
      <c r="AG279" s="1439"/>
    </row>
    <row r="280" spans="1:33" ht="15.75" customHeight="1">
      <c r="A280" s="1443"/>
      <c r="B280" s="1452" t="s">
        <v>3497</v>
      </c>
      <c r="C280" s="1445">
        <v>1</v>
      </c>
      <c r="D280" s="1453" t="s">
        <v>3364</v>
      </c>
      <c r="E280" s="1445">
        <v>1</v>
      </c>
      <c r="F280" s="1446">
        <v>2.2599999999999998</v>
      </c>
      <c r="G280" s="1446">
        <v>0.6</v>
      </c>
      <c r="H280" s="1447">
        <v>0.1</v>
      </c>
      <c r="I280" s="1448">
        <f t="shared" si="15"/>
        <v>0.14000000000000001</v>
      </c>
      <c r="J280" s="1449"/>
      <c r="K280" s="1439"/>
      <c r="L280" s="1439"/>
      <c r="M280" s="1439"/>
      <c r="N280" s="1439"/>
      <c r="O280" s="1439"/>
      <c r="P280" s="1439"/>
      <c r="Q280" s="1439"/>
      <c r="R280" s="1439"/>
      <c r="S280" s="1439"/>
      <c r="T280" s="1439"/>
      <c r="U280" s="1439"/>
      <c r="V280" s="1439"/>
      <c r="W280" s="1439"/>
      <c r="X280" s="1439"/>
      <c r="Y280" s="1439"/>
      <c r="Z280" s="1439"/>
      <c r="AA280" s="1439"/>
      <c r="AB280" s="1439"/>
      <c r="AC280" s="1439"/>
      <c r="AD280" s="1439"/>
      <c r="AE280" s="1439"/>
      <c r="AF280" s="1439"/>
      <c r="AG280" s="1439"/>
    </row>
    <row r="281" spans="1:33" ht="15.75" customHeight="1">
      <c r="A281" s="1443"/>
      <c r="B281" s="1452" t="s">
        <v>3414</v>
      </c>
      <c r="C281" s="1445">
        <v>15</v>
      </c>
      <c r="D281" s="1453" t="s">
        <v>3364</v>
      </c>
      <c r="E281" s="1445">
        <v>1</v>
      </c>
      <c r="F281" s="1446">
        <v>2.2599999999999998</v>
      </c>
      <c r="G281" s="1446">
        <v>0.6</v>
      </c>
      <c r="H281" s="1447">
        <v>0.1</v>
      </c>
      <c r="I281" s="1448">
        <f t="shared" si="15"/>
        <v>2.0299999999999998</v>
      </c>
      <c r="J281" s="1449"/>
      <c r="K281" s="1439"/>
      <c r="L281" s="1439"/>
      <c r="M281" s="1439"/>
      <c r="N281" s="1439"/>
      <c r="O281" s="1439"/>
      <c r="P281" s="1439"/>
      <c r="Q281" s="1439"/>
      <c r="R281" s="1439"/>
      <c r="S281" s="1439"/>
      <c r="T281" s="1439"/>
      <c r="U281" s="1439"/>
      <c r="V281" s="1439"/>
      <c r="W281" s="1439"/>
      <c r="X281" s="1439"/>
      <c r="Y281" s="1439"/>
      <c r="Z281" s="1439"/>
      <c r="AA281" s="1439"/>
      <c r="AB281" s="1439"/>
      <c r="AC281" s="1439"/>
      <c r="AD281" s="1439"/>
      <c r="AE281" s="1439"/>
      <c r="AF281" s="1439"/>
      <c r="AG281" s="1439"/>
    </row>
    <row r="282" spans="1:33" ht="15.75" customHeight="1">
      <c r="A282" s="1443"/>
      <c r="B282" s="1452" t="s">
        <v>7413</v>
      </c>
      <c r="C282" s="1445">
        <v>1</v>
      </c>
      <c r="D282" s="1453" t="s">
        <v>3364</v>
      </c>
      <c r="E282" s="1445">
        <v>1</v>
      </c>
      <c r="F282" s="1446">
        <v>1.36</v>
      </c>
      <c r="G282" s="1446">
        <v>0.6</v>
      </c>
      <c r="H282" s="1447">
        <v>0.1</v>
      </c>
      <c r="I282" s="1448">
        <f t="shared" si="15"/>
        <v>0.08</v>
      </c>
      <c r="J282" s="1449"/>
      <c r="K282" s="1439"/>
      <c r="L282" s="1439"/>
      <c r="M282" s="1439"/>
      <c r="N282" s="1439"/>
      <c r="O282" s="1439"/>
      <c r="P282" s="1439"/>
      <c r="Q282" s="1439"/>
      <c r="R282" s="1439"/>
      <c r="S282" s="1439"/>
      <c r="T282" s="1439"/>
      <c r="U282" s="1439"/>
      <c r="V282" s="1439"/>
      <c r="W282" s="1439"/>
      <c r="X282" s="1439"/>
      <c r="Y282" s="1439"/>
      <c r="Z282" s="1439"/>
      <c r="AA282" s="1439"/>
      <c r="AB282" s="1439"/>
      <c r="AC282" s="1439"/>
      <c r="AD282" s="1439"/>
      <c r="AE282" s="1439"/>
      <c r="AF282" s="1439"/>
      <c r="AG282" s="1439"/>
    </row>
    <row r="283" spans="1:33" ht="15.75" customHeight="1">
      <c r="A283" s="1443"/>
      <c r="B283" s="1452"/>
      <c r="C283" s="1445"/>
      <c r="D283" s="1453"/>
      <c r="E283" s="1445"/>
      <c r="F283" s="1446"/>
      <c r="G283" s="1446"/>
      <c r="H283" s="1447"/>
      <c r="I283" s="1448"/>
      <c r="J283" s="1449"/>
      <c r="K283" s="1439"/>
      <c r="L283" s="1439"/>
      <c r="M283" s="1439"/>
      <c r="N283" s="1439"/>
      <c r="O283" s="1439"/>
      <c r="P283" s="1439"/>
      <c r="Q283" s="1439"/>
      <c r="R283" s="1439"/>
      <c r="S283" s="1439"/>
      <c r="T283" s="1439"/>
      <c r="U283" s="1439"/>
      <c r="V283" s="1439"/>
      <c r="W283" s="1439"/>
      <c r="X283" s="1439"/>
      <c r="Y283" s="1439"/>
      <c r="Z283" s="1439"/>
      <c r="AA283" s="1439"/>
      <c r="AB283" s="1439"/>
      <c r="AC283" s="1439"/>
      <c r="AD283" s="1439"/>
      <c r="AE283" s="1439"/>
      <c r="AF283" s="1439"/>
      <c r="AG283" s="1439"/>
    </row>
    <row r="284" spans="1:33" ht="15.75" customHeight="1">
      <c r="A284" s="1470"/>
      <c r="B284" s="1474"/>
      <c r="C284" s="1445"/>
      <c r="D284" s="1445"/>
      <c r="E284" s="1445"/>
      <c r="F284" s="1446"/>
      <c r="G284" s="1458" t="s">
        <v>104</v>
      </c>
      <c r="H284" s="1460"/>
      <c r="I284" s="1459">
        <f>SUM(I235:I282)</f>
        <v>158.19999999999999</v>
      </c>
      <c r="J284" s="1475"/>
      <c r="K284" s="1439"/>
      <c r="L284" s="1439"/>
      <c r="M284" s="1439"/>
      <c r="N284" s="1439"/>
      <c r="O284" s="1439"/>
      <c r="P284" s="1439"/>
      <c r="Q284" s="1439"/>
      <c r="R284" s="1439"/>
      <c r="S284" s="1439"/>
      <c r="T284" s="1439"/>
      <c r="U284" s="1439"/>
      <c r="V284" s="1439"/>
      <c r="W284" s="1439"/>
      <c r="X284" s="1439"/>
      <c r="Y284" s="1439"/>
      <c r="Z284" s="1439"/>
      <c r="AA284" s="1439"/>
      <c r="AB284" s="1439"/>
      <c r="AC284" s="1439"/>
      <c r="AD284" s="1439"/>
      <c r="AE284" s="1439"/>
      <c r="AF284" s="1439"/>
      <c r="AG284" s="1439"/>
    </row>
    <row r="285" spans="1:33" ht="15.75" customHeight="1">
      <c r="A285" s="1470"/>
      <c r="B285" s="1474"/>
      <c r="C285" s="1445"/>
      <c r="D285" s="1445"/>
      <c r="E285" s="1445"/>
      <c r="F285" s="1446"/>
      <c r="G285" s="1458"/>
      <c r="H285" s="1460" t="s">
        <v>2981</v>
      </c>
      <c r="I285" s="1459">
        <f>CEILING(I284,0.1)</f>
        <v>158.19999999999999</v>
      </c>
      <c r="J285" s="1449" t="s">
        <v>5</v>
      </c>
      <c r="K285" s="1439"/>
      <c r="L285" s="1439"/>
      <c r="M285" s="1439"/>
      <c r="N285" s="1439"/>
      <c r="O285" s="1439"/>
      <c r="P285" s="1439"/>
      <c r="Q285" s="1439"/>
      <c r="R285" s="1439"/>
      <c r="S285" s="1439"/>
      <c r="T285" s="1439"/>
      <c r="U285" s="1439"/>
      <c r="V285" s="1439"/>
      <c r="W285" s="1439"/>
      <c r="X285" s="1439"/>
      <c r="Y285" s="1439"/>
      <c r="Z285" s="1439"/>
      <c r="AA285" s="1439"/>
      <c r="AB285" s="1439"/>
      <c r="AC285" s="1439"/>
      <c r="AD285" s="1439"/>
      <c r="AE285" s="1439"/>
      <c r="AF285" s="1439"/>
      <c r="AG285" s="1439"/>
    </row>
    <row r="286" spans="1:33" ht="15.75" customHeight="1">
      <c r="A286" s="1470"/>
      <c r="B286" s="1471" t="s">
        <v>3422</v>
      </c>
      <c r="C286" s="1445"/>
      <c r="D286" s="1445"/>
      <c r="E286" s="1445"/>
      <c r="F286" s="1446"/>
      <c r="G286" s="1446"/>
      <c r="H286" s="1447"/>
      <c r="I286" s="1448"/>
      <c r="J286" s="1449"/>
      <c r="K286" s="1439"/>
      <c r="L286" s="1439"/>
      <c r="M286" s="1439"/>
      <c r="N286" s="1439"/>
      <c r="O286" s="1439"/>
      <c r="P286" s="1439"/>
      <c r="Q286" s="1439"/>
      <c r="R286" s="1439"/>
      <c r="S286" s="1439"/>
      <c r="T286" s="1439"/>
      <c r="U286" s="1439"/>
      <c r="V286" s="1439"/>
      <c r="W286" s="1439"/>
      <c r="X286" s="1439"/>
      <c r="Y286" s="1439"/>
      <c r="Z286" s="1439"/>
      <c r="AA286" s="1439"/>
      <c r="AB286" s="1439"/>
      <c r="AC286" s="1439"/>
      <c r="AD286" s="1439"/>
      <c r="AE286" s="1439"/>
      <c r="AF286" s="1439"/>
      <c r="AG286" s="1439"/>
    </row>
    <row r="287" spans="1:33" ht="15.75" customHeight="1">
      <c r="A287" s="1443"/>
      <c r="B287" s="1452" t="s">
        <v>7396</v>
      </c>
      <c r="C287" s="1445">
        <v>3</v>
      </c>
      <c r="D287" s="1453" t="s">
        <v>3364</v>
      </c>
      <c r="E287" s="1445">
        <v>1</v>
      </c>
      <c r="F287" s="1446">
        <v>0.23</v>
      </c>
      <c r="G287" s="1454">
        <v>0.3</v>
      </c>
      <c r="H287" s="1447">
        <v>2.9</v>
      </c>
      <c r="I287" s="1448">
        <f t="shared" ref="I287:I294" si="16">PRODUCT(C287:H287)</f>
        <v>0.6</v>
      </c>
      <c r="J287" s="1449"/>
      <c r="K287" s="1439"/>
      <c r="L287" s="1439"/>
      <c r="M287" s="1439"/>
      <c r="N287" s="1439"/>
      <c r="O287" s="1439"/>
      <c r="P287" s="1439"/>
      <c r="Q287" s="1439"/>
      <c r="R287" s="1439"/>
      <c r="S287" s="1439"/>
      <c r="T287" s="1439"/>
      <c r="U287" s="1439"/>
      <c r="V287" s="1439"/>
      <c r="W287" s="1439"/>
      <c r="X287" s="1439"/>
      <c r="Y287" s="1439"/>
      <c r="Z287" s="1439"/>
      <c r="AA287" s="1439"/>
      <c r="AB287" s="1439"/>
      <c r="AC287" s="1439"/>
      <c r="AD287" s="1439"/>
      <c r="AE287" s="1439"/>
      <c r="AF287" s="1439"/>
      <c r="AG287" s="1439"/>
    </row>
    <row r="288" spans="1:33" ht="15.75" customHeight="1">
      <c r="A288" s="1443"/>
      <c r="B288" s="1452" t="s">
        <v>7397</v>
      </c>
      <c r="C288" s="1445">
        <v>2</v>
      </c>
      <c r="D288" s="1453" t="s">
        <v>3364</v>
      </c>
      <c r="E288" s="1445">
        <v>1</v>
      </c>
      <c r="F288" s="1446">
        <v>0.23</v>
      </c>
      <c r="G288" s="1446">
        <v>0.38</v>
      </c>
      <c r="H288" s="1447">
        <v>2.9</v>
      </c>
      <c r="I288" s="1448">
        <f t="shared" si="16"/>
        <v>0.51</v>
      </c>
      <c r="J288" s="1449"/>
      <c r="K288" s="1439"/>
      <c r="L288" s="1439"/>
      <c r="M288" s="1439"/>
      <c r="N288" s="1439"/>
      <c r="O288" s="1439"/>
      <c r="P288" s="1439"/>
      <c r="Q288" s="1439"/>
      <c r="R288" s="1439"/>
      <c r="S288" s="1439"/>
      <c r="T288" s="1439"/>
      <c r="U288" s="1439"/>
      <c r="V288" s="1439"/>
      <c r="W288" s="1439"/>
      <c r="X288" s="1439"/>
      <c r="Y288" s="1439"/>
      <c r="Z288" s="1439"/>
      <c r="AA288" s="1439"/>
      <c r="AB288" s="1439"/>
      <c r="AC288" s="1439"/>
      <c r="AD288" s="1439"/>
      <c r="AE288" s="1439"/>
      <c r="AF288" s="1439"/>
      <c r="AG288" s="1439"/>
    </row>
    <row r="289" spans="1:33" ht="15.75" customHeight="1">
      <c r="A289" s="1443"/>
      <c r="B289" s="1452" t="s">
        <v>7398</v>
      </c>
      <c r="C289" s="1445">
        <v>4</v>
      </c>
      <c r="D289" s="1453" t="s">
        <v>3364</v>
      </c>
      <c r="E289" s="1445">
        <v>1</v>
      </c>
      <c r="F289" s="1446">
        <v>0.23</v>
      </c>
      <c r="G289" s="1446">
        <v>0.45</v>
      </c>
      <c r="H289" s="1447">
        <v>2.9</v>
      </c>
      <c r="I289" s="1448">
        <f t="shared" si="16"/>
        <v>1.2</v>
      </c>
      <c r="J289" s="1449"/>
      <c r="K289" s="1439"/>
      <c r="L289" s="1439"/>
      <c r="M289" s="1439"/>
      <c r="N289" s="1439"/>
      <c r="O289" s="1439"/>
      <c r="P289" s="1439"/>
      <c r="Q289" s="1439"/>
      <c r="R289" s="1439"/>
      <c r="S289" s="1439"/>
      <c r="T289" s="1439"/>
      <c r="U289" s="1439"/>
      <c r="V289" s="1439"/>
      <c r="W289" s="1439"/>
      <c r="X289" s="1439"/>
      <c r="Y289" s="1439"/>
      <c r="Z289" s="1439"/>
      <c r="AA289" s="1439"/>
      <c r="AB289" s="1439"/>
      <c r="AC289" s="1439"/>
      <c r="AD289" s="1439"/>
      <c r="AE289" s="1439"/>
      <c r="AF289" s="1439"/>
      <c r="AG289" s="1439"/>
    </row>
    <row r="290" spans="1:33" ht="15.75" customHeight="1">
      <c r="A290" s="1443"/>
      <c r="B290" s="1452" t="s">
        <v>7399</v>
      </c>
      <c r="C290" s="1445">
        <v>5</v>
      </c>
      <c r="D290" s="1453" t="s">
        <v>3364</v>
      </c>
      <c r="E290" s="1445">
        <v>1</v>
      </c>
      <c r="F290" s="1446">
        <v>0.23</v>
      </c>
      <c r="G290" s="1446">
        <v>0.45</v>
      </c>
      <c r="H290" s="1447">
        <v>2.9</v>
      </c>
      <c r="I290" s="1448">
        <f t="shared" si="16"/>
        <v>1.5</v>
      </c>
      <c r="J290" s="1449"/>
      <c r="K290" s="1439"/>
      <c r="L290" s="1439"/>
      <c r="M290" s="1439"/>
      <c r="N290" s="1439"/>
      <c r="O290" s="1439"/>
      <c r="P290" s="1439"/>
      <c r="Q290" s="1439"/>
      <c r="R290" s="1439"/>
      <c r="S290" s="1439"/>
      <c r="T290" s="1439"/>
      <c r="U290" s="1439"/>
      <c r="V290" s="1439"/>
      <c r="W290" s="1439"/>
      <c r="X290" s="1439"/>
      <c r="Y290" s="1439"/>
      <c r="Z290" s="1439"/>
      <c r="AA290" s="1439"/>
      <c r="AB290" s="1439"/>
      <c r="AC290" s="1439"/>
      <c r="AD290" s="1439"/>
      <c r="AE290" s="1439"/>
      <c r="AF290" s="1439"/>
      <c r="AG290" s="1439"/>
    </row>
    <row r="291" spans="1:33" ht="15.75" customHeight="1">
      <c r="A291" s="1443"/>
      <c r="B291" s="1452" t="s">
        <v>7400</v>
      </c>
      <c r="C291" s="1445">
        <v>6</v>
      </c>
      <c r="D291" s="1453" t="s">
        <v>3364</v>
      </c>
      <c r="E291" s="1445">
        <v>1</v>
      </c>
      <c r="F291" s="1446">
        <v>0.3</v>
      </c>
      <c r="G291" s="1446">
        <v>0.45</v>
      </c>
      <c r="H291" s="1447">
        <v>2.9</v>
      </c>
      <c r="I291" s="1448">
        <f t="shared" si="16"/>
        <v>2.35</v>
      </c>
      <c r="J291" s="1449"/>
      <c r="K291" s="1439"/>
      <c r="L291" s="1439">
        <f>3-0.2-0.1-1.05</f>
        <v>1.65</v>
      </c>
      <c r="M291" s="1439"/>
      <c r="N291" s="1439"/>
      <c r="O291" s="1439"/>
      <c r="P291" s="1439"/>
      <c r="Q291" s="1439"/>
      <c r="R291" s="1439"/>
      <c r="S291" s="1439"/>
      <c r="T291" s="1439"/>
      <c r="U291" s="1439"/>
      <c r="V291" s="1439"/>
      <c r="W291" s="1439"/>
      <c r="X291" s="1439"/>
      <c r="Y291" s="1439"/>
      <c r="Z291" s="1439"/>
      <c r="AA291" s="1439"/>
      <c r="AB291" s="1439"/>
      <c r="AC291" s="1439"/>
      <c r="AD291" s="1439"/>
      <c r="AE291" s="1439"/>
      <c r="AF291" s="1439"/>
      <c r="AG291" s="1439"/>
    </row>
    <row r="292" spans="1:33" ht="15.75" customHeight="1">
      <c r="A292" s="1443"/>
      <c r="B292" s="1452" t="s">
        <v>7401</v>
      </c>
      <c r="C292" s="1445">
        <v>6</v>
      </c>
      <c r="D292" s="1453" t="s">
        <v>3364</v>
      </c>
      <c r="E292" s="1445">
        <v>1</v>
      </c>
      <c r="F292" s="1446">
        <v>0.3</v>
      </c>
      <c r="G292" s="1446">
        <v>0.45</v>
      </c>
      <c r="H292" s="1447">
        <v>2.9</v>
      </c>
      <c r="I292" s="1448">
        <f t="shared" si="16"/>
        <v>2.35</v>
      </c>
      <c r="J292" s="1449"/>
      <c r="K292" s="1439"/>
      <c r="L292" s="1439">
        <f>1.65+1</f>
        <v>2.65</v>
      </c>
      <c r="M292" s="1439"/>
      <c r="N292" s="1439"/>
      <c r="O292" s="1439"/>
      <c r="P292" s="1439"/>
      <c r="Q292" s="1439"/>
      <c r="R292" s="1439"/>
      <c r="S292" s="1439"/>
      <c r="T292" s="1439"/>
      <c r="U292" s="1439"/>
      <c r="V292" s="1439"/>
      <c r="W292" s="1439"/>
      <c r="X292" s="1439"/>
      <c r="Y292" s="1439"/>
      <c r="Z292" s="1439"/>
      <c r="AA292" s="1439"/>
      <c r="AB292" s="1439"/>
      <c r="AC292" s="1439"/>
      <c r="AD292" s="1439"/>
      <c r="AE292" s="1439"/>
      <c r="AF292" s="1439"/>
      <c r="AG292" s="1439"/>
    </row>
    <row r="293" spans="1:33" ht="15.75" customHeight="1">
      <c r="A293" s="1443"/>
      <c r="B293" s="1452" t="s">
        <v>7402</v>
      </c>
      <c r="C293" s="1445">
        <v>2</v>
      </c>
      <c r="D293" s="1453" t="s">
        <v>3364</v>
      </c>
      <c r="E293" s="1445">
        <v>1</v>
      </c>
      <c r="F293" s="1446">
        <v>0.3</v>
      </c>
      <c r="G293" s="1446">
        <v>0.6</v>
      </c>
      <c r="H293" s="1447">
        <v>2.9</v>
      </c>
      <c r="I293" s="1448">
        <f t="shared" si="16"/>
        <v>1.04</v>
      </c>
      <c r="J293" s="1449"/>
      <c r="K293" s="1439"/>
      <c r="L293" s="1439"/>
      <c r="M293" s="1439"/>
      <c r="N293" s="1439"/>
      <c r="O293" s="1439"/>
      <c r="P293" s="1439"/>
      <c r="Q293" s="1439"/>
      <c r="R293" s="1439"/>
      <c r="S293" s="1439"/>
      <c r="T293" s="1439"/>
      <c r="U293" s="1439"/>
      <c r="V293" s="1439"/>
      <c r="W293" s="1439"/>
      <c r="X293" s="1439"/>
      <c r="Y293" s="1439"/>
      <c r="Z293" s="1439"/>
      <c r="AA293" s="1439"/>
      <c r="AB293" s="1439"/>
      <c r="AC293" s="1439"/>
      <c r="AD293" s="1439"/>
      <c r="AE293" s="1439"/>
      <c r="AF293" s="1439"/>
      <c r="AG293" s="1439"/>
    </row>
    <row r="294" spans="1:33" ht="15.75" customHeight="1">
      <c r="A294" s="1443"/>
      <c r="B294" s="1452" t="s">
        <v>7403</v>
      </c>
      <c r="C294" s="1445">
        <v>6</v>
      </c>
      <c r="D294" s="1453" t="s">
        <v>3364</v>
      </c>
      <c r="E294" s="1445">
        <v>1</v>
      </c>
      <c r="F294" s="1446">
        <v>0.3</v>
      </c>
      <c r="G294" s="1446">
        <v>0.6</v>
      </c>
      <c r="H294" s="1447">
        <v>2.9</v>
      </c>
      <c r="I294" s="1448">
        <f t="shared" si="16"/>
        <v>3.13</v>
      </c>
      <c r="J294" s="1449"/>
      <c r="K294" s="1439"/>
      <c r="L294" s="1439"/>
      <c r="M294" s="1439"/>
      <c r="N294" s="1439"/>
      <c r="O294" s="1439"/>
      <c r="P294" s="1439"/>
      <c r="Q294" s="1439"/>
      <c r="R294" s="1439"/>
      <c r="S294" s="1439"/>
      <c r="T294" s="1439"/>
      <c r="U294" s="1439"/>
      <c r="V294" s="1439"/>
      <c r="W294" s="1439"/>
      <c r="X294" s="1439"/>
      <c r="Y294" s="1439"/>
      <c r="Z294" s="1439"/>
      <c r="AA294" s="1439"/>
      <c r="AB294" s="1439"/>
      <c r="AC294" s="1439"/>
      <c r="AD294" s="1439"/>
      <c r="AE294" s="1439"/>
      <c r="AF294" s="1439"/>
      <c r="AG294" s="1439"/>
    </row>
    <row r="295" spans="1:33">
      <c r="A295" s="1443"/>
      <c r="B295" s="1455" t="s">
        <v>7407</v>
      </c>
      <c r="C295" s="1445"/>
      <c r="D295" s="1445"/>
      <c r="E295" s="1445"/>
      <c r="F295" s="1446"/>
      <c r="G295" s="1446"/>
      <c r="H295" s="1447"/>
      <c r="I295" s="1448"/>
      <c r="J295" s="1449"/>
      <c r="K295" s="1439"/>
      <c r="L295" s="1439"/>
      <c r="M295" s="1439"/>
      <c r="N295" s="1439"/>
      <c r="O295" s="1439"/>
      <c r="P295" s="1439"/>
      <c r="Q295" s="1439"/>
      <c r="R295" s="1439"/>
      <c r="S295" s="1439"/>
      <c r="T295" s="1439"/>
      <c r="U295" s="1439"/>
      <c r="V295" s="1439"/>
      <c r="W295" s="1439"/>
      <c r="X295" s="1439"/>
      <c r="Y295" s="1439"/>
      <c r="Z295" s="1439"/>
      <c r="AA295" s="1439"/>
      <c r="AB295" s="1439"/>
      <c r="AC295" s="1439"/>
      <c r="AD295" s="1439"/>
      <c r="AE295" s="1439"/>
      <c r="AF295" s="1439"/>
      <c r="AG295" s="1439"/>
    </row>
    <row r="296" spans="1:33" ht="15.75" customHeight="1">
      <c r="A296" s="1443"/>
      <c r="B296" s="1452" t="s">
        <v>7388</v>
      </c>
      <c r="C296" s="1445">
        <v>1</v>
      </c>
      <c r="D296" s="1445" t="s">
        <v>3364</v>
      </c>
      <c r="E296" s="1445">
        <v>4</v>
      </c>
      <c r="F296" s="1446">
        <v>27.89</v>
      </c>
      <c r="G296" s="1446">
        <v>0.23</v>
      </c>
      <c r="H296" s="1467">
        <v>0.45</v>
      </c>
      <c r="I296" s="1448">
        <f t="shared" ref="I296:I338" si="17">PRODUCT(C296:H296)</f>
        <v>11.55</v>
      </c>
      <c r="J296" s="1449"/>
      <c r="K296" s="1439"/>
      <c r="L296" s="1439"/>
      <c r="M296" s="1439"/>
      <c r="N296" s="1439"/>
      <c r="O296" s="1439"/>
      <c r="P296" s="1439"/>
      <c r="Q296" s="1439"/>
      <c r="R296" s="1439"/>
      <c r="S296" s="1439"/>
      <c r="T296" s="1439"/>
      <c r="U296" s="1439"/>
      <c r="V296" s="1439"/>
      <c r="W296" s="1439"/>
      <c r="X296" s="1439"/>
      <c r="Y296" s="1439"/>
      <c r="Z296" s="1439"/>
      <c r="AA296" s="1439"/>
      <c r="AB296" s="1439"/>
      <c r="AC296" s="1439"/>
      <c r="AD296" s="1439"/>
      <c r="AE296" s="1439"/>
      <c r="AF296" s="1439"/>
      <c r="AG296" s="1439"/>
    </row>
    <row r="297" spans="1:33" ht="15.75" customHeight="1">
      <c r="A297" s="1443"/>
      <c r="B297" s="1452" t="s">
        <v>7389</v>
      </c>
      <c r="C297" s="1445">
        <v>1</v>
      </c>
      <c r="D297" s="1445" t="s">
        <v>3364</v>
      </c>
      <c r="E297" s="1445">
        <v>1</v>
      </c>
      <c r="F297" s="1446">
        <f>2.53+0.46</f>
        <v>2.99</v>
      </c>
      <c r="G297" s="1446">
        <v>0.23</v>
      </c>
      <c r="H297" s="1447">
        <v>0.45</v>
      </c>
      <c r="I297" s="1448">
        <f t="shared" si="17"/>
        <v>0.31</v>
      </c>
      <c r="J297" s="1449"/>
      <c r="K297" s="1439"/>
      <c r="L297" s="1439"/>
      <c r="M297" s="1439"/>
      <c r="N297" s="1439"/>
      <c r="O297" s="1439"/>
      <c r="P297" s="1439"/>
      <c r="Q297" s="1439"/>
      <c r="R297" s="1439"/>
      <c r="S297" s="1439"/>
      <c r="T297" s="1439"/>
      <c r="U297" s="1439"/>
      <c r="V297" s="1439"/>
      <c r="W297" s="1439"/>
      <c r="X297" s="1439"/>
      <c r="Y297" s="1439"/>
      <c r="Z297" s="1439"/>
      <c r="AA297" s="1439"/>
      <c r="AB297" s="1439"/>
      <c r="AC297" s="1439"/>
      <c r="AD297" s="1439"/>
      <c r="AE297" s="1439"/>
      <c r="AF297" s="1439"/>
      <c r="AG297" s="1439"/>
    </row>
    <row r="298" spans="1:33" ht="15.75" customHeight="1">
      <c r="A298" s="1443"/>
      <c r="B298" s="1452" t="s">
        <v>7390</v>
      </c>
      <c r="C298" s="1445">
        <v>1</v>
      </c>
      <c r="D298" s="1453" t="s">
        <v>3827</v>
      </c>
      <c r="E298" s="1445">
        <v>1</v>
      </c>
      <c r="F298" s="1446">
        <f>4.765+1.13+2.53+0.23</f>
        <v>8.6549999999999994</v>
      </c>
      <c r="G298" s="1446">
        <v>0.23</v>
      </c>
      <c r="H298" s="1447">
        <v>0.45</v>
      </c>
      <c r="I298" s="1448">
        <f t="shared" si="17"/>
        <v>0.9</v>
      </c>
      <c r="J298" s="1449"/>
      <c r="K298" s="1439"/>
      <c r="L298" s="1439"/>
      <c r="M298" s="1439"/>
      <c r="N298" s="1439"/>
      <c r="O298" s="1439"/>
      <c r="P298" s="1439"/>
      <c r="Q298" s="1439"/>
      <c r="R298" s="1439"/>
      <c r="S298" s="1439"/>
      <c r="T298" s="1439"/>
      <c r="U298" s="1439"/>
      <c r="V298" s="1439"/>
      <c r="W298" s="1439"/>
      <c r="X298" s="1439"/>
      <c r="Y298" s="1439"/>
      <c r="Z298" s="1439"/>
      <c r="AA298" s="1439"/>
      <c r="AB298" s="1439"/>
      <c r="AC298" s="1439"/>
      <c r="AD298" s="1439"/>
      <c r="AE298" s="1439"/>
      <c r="AF298" s="1439"/>
      <c r="AG298" s="1439"/>
    </row>
    <row r="299" spans="1:33" ht="15.75" customHeight="1">
      <c r="A299" s="1443"/>
      <c r="B299" s="1455" t="s">
        <v>7406</v>
      </c>
      <c r="C299" s="1445"/>
      <c r="D299" s="1445"/>
      <c r="E299" s="1445"/>
      <c r="F299" s="1446"/>
      <c r="G299" s="1446"/>
      <c r="H299" s="1447"/>
      <c r="I299" s="1448">
        <f t="shared" si="17"/>
        <v>0</v>
      </c>
      <c r="J299" s="1449"/>
      <c r="K299" s="1439"/>
      <c r="L299" s="1439"/>
      <c r="M299" s="1439"/>
      <c r="N299" s="1439"/>
      <c r="O299" s="1439"/>
      <c r="P299" s="1439"/>
      <c r="Q299" s="1439"/>
      <c r="R299" s="1439"/>
      <c r="S299" s="1439"/>
      <c r="T299" s="1439"/>
      <c r="U299" s="1439"/>
      <c r="V299" s="1439"/>
      <c r="W299" s="1439"/>
      <c r="X299" s="1439"/>
      <c r="Y299" s="1439"/>
      <c r="Z299" s="1439"/>
      <c r="AA299" s="1439"/>
      <c r="AB299" s="1439"/>
      <c r="AC299" s="1439"/>
      <c r="AD299" s="1439"/>
      <c r="AE299" s="1439"/>
      <c r="AF299" s="1439"/>
      <c r="AG299" s="1439"/>
    </row>
    <row r="300" spans="1:33" ht="15.75" customHeight="1">
      <c r="A300" s="1443"/>
      <c r="B300" s="1452" t="s">
        <v>7037</v>
      </c>
      <c r="C300" s="1445">
        <v>1</v>
      </c>
      <c r="D300" s="1445" t="s">
        <v>3364</v>
      </c>
      <c r="E300" s="1445">
        <v>7</v>
      </c>
      <c r="F300" s="1446">
        <v>18.079999999999998</v>
      </c>
      <c r="G300" s="1446">
        <v>0.23</v>
      </c>
      <c r="H300" s="1447">
        <v>0.6</v>
      </c>
      <c r="I300" s="1448">
        <f t="shared" si="17"/>
        <v>17.47</v>
      </c>
      <c r="J300" s="1449"/>
      <c r="K300" s="1439"/>
      <c r="L300" s="1439"/>
      <c r="M300" s="1439"/>
      <c r="N300" s="1439"/>
      <c r="O300" s="1439"/>
      <c r="P300" s="1439"/>
      <c r="Q300" s="1439"/>
      <c r="R300" s="1439"/>
      <c r="S300" s="1439"/>
      <c r="T300" s="1439"/>
      <c r="U300" s="1439"/>
      <c r="V300" s="1439"/>
      <c r="W300" s="1439"/>
      <c r="X300" s="1439"/>
      <c r="Y300" s="1439"/>
      <c r="Z300" s="1439"/>
      <c r="AA300" s="1439"/>
      <c r="AB300" s="1439"/>
      <c r="AC300" s="1439"/>
      <c r="AD300" s="1439"/>
      <c r="AE300" s="1439"/>
      <c r="AF300" s="1439"/>
      <c r="AG300" s="1439"/>
    </row>
    <row r="301" spans="1:33" ht="15.75" customHeight="1">
      <c r="A301" s="1443"/>
      <c r="B301" s="1452" t="s">
        <v>7391</v>
      </c>
      <c r="C301" s="1445">
        <v>1</v>
      </c>
      <c r="D301" s="1445" t="s">
        <v>3364</v>
      </c>
      <c r="E301" s="1445">
        <v>4</v>
      </c>
      <c r="F301" s="1446">
        <v>1.54</v>
      </c>
      <c r="G301" s="1446">
        <v>0.23</v>
      </c>
      <c r="H301" s="1447">
        <v>0.6</v>
      </c>
      <c r="I301" s="1448">
        <f t="shared" si="17"/>
        <v>0.85</v>
      </c>
      <c r="J301" s="1449"/>
      <c r="K301" s="1439"/>
      <c r="L301" s="1439"/>
      <c r="M301" s="1439"/>
      <c r="N301" s="1439"/>
      <c r="O301" s="1439"/>
      <c r="P301" s="1439"/>
      <c r="Q301" s="1439"/>
      <c r="R301" s="1439"/>
      <c r="S301" s="1439"/>
      <c r="T301" s="1439"/>
      <c r="U301" s="1439"/>
      <c r="V301" s="1439"/>
      <c r="W301" s="1439"/>
      <c r="X301" s="1439"/>
      <c r="Y301" s="1439"/>
      <c r="Z301" s="1439"/>
      <c r="AA301" s="1439"/>
      <c r="AB301" s="1439"/>
      <c r="AC301" s="1439"/>
      <c r="AD301" s="1439"/>
      <c r="AE301" s="1439"/>
      <c r="AF301" s="1439"/>
      <c r="AG301" s="1439"/>
    </row>
    <row r="302" spans="1:33" ht="15.75" customHeight="1">
      <c r="A302" s="1443"/>
      <c r="B302" s="1452" t="s">
        <v>7392</v>
      </c>
      <c r="C302" s="1445">
        <v>1</v>
      </c>
      <c r="D302" s="1445" t="s">
        <v>3364</v>
      </c>
      <c r="E302" s="1445">
        <v>1</v>
      </c>
      <c r="F302" s="1446">
        <v>2.3849999999999998</v>
      </c>
      <c r="G302" s="1446">
        <v>0.23</v>
      </c>
      <c r="H302" s="1447">
        <v>0.6</v>
      </c>
      <c r="I302" s="1448">
        <f t="shared" si="17"/>
        <v>0.33</v>
      </c>
      <c r="J302" s="1449"/>
      <c r="K302" s="1439"/>
      <c r="L302" s="1439"/>
      <c r="M302" s="1439"/>
      <c r="N302" s="1439"/>
      <c r="O302" s="1439"/>
      <c r="P302" s="1439"/>
      <c r="Q302" s="1439"/>
      <c r="R302" s="1439"/>
      <c r="S302" s="1439"/>
      <c r="T302" s="1439"/>
      <c r="U302" s="1439"/>
      <c r="V302" s="1439"/>
      <c r="W302" s="1439"/>
      <c r="X302" s="1439"/>
      <c r="Y302" s="1439"/>
      <c r="Z302" s="1439"/>
      <c r="AA302" s="1439"/>
      <c r="AB302" s="1439"/>
      <c r="AC302" s="1439"/>
      <c r="AD302" s="1439"/>
      <c r="AE302" s="1439"/>
      <c r="AF302" s="1439"/>
      <c r="AG302" s="1439"/>
    </row>
    <row r="303" spans="1:33" ht="15.75" customHeight="1">
      <c r="A303" s="1443"/>
      <c r="B303" s="1450" t="s">
        <v>7039</v>
      </c>
      <c r="C303" s="1445">
        <v>1</v>
      </c>
      <c r="D303" s="1445" t="s">
        <v>3364</v>
      </c>
      <c r="E303" s="1445">
        <v>1</v>
      </c>
      <c r="F303" s="1446">
        <f>8.82+0.46</f>
        <v>9.2799999999999994</v>
      </c>
      <c r="G303" s="1446">
        <v>0.23</v>
      </c>
      <c r="H303" s="1447">
        <v>0.6</v>
      </c>
      <c r="I303" s="1448">
        <f t="shared" si="17"/>
        <v>1.28</v>
      </c>
      <c r="J303" s="1449"/>
      <c r="K303" s="1439"/>
      <c r="L303" s="1439"/>
      <c r="M303" s="1439"/>
      <c r="N303" s="1439"/>
      <c r="O303" s="1439"/>
      <c r="P303" s="1439"/>
      <c r="Q303" s="1439"/>
      <c r="R303" s="1439"/>
      <c r="S303" s="1439"/>
      <c r="T303" s="1439"/>
      <c r="U303" s="1439"/>
      <c r="V303" s="1439"/>
      <c r="W303" s="1439"/>
      <c r="X303" s="1439"/>
      <c r="Y303" s="1439"/>
      <c r="Z303" s="1439"/>
      <c r="AA303" s="1439"/>
      <c r="AB303" s="1439"/>
      <c r="AC303" s="1439"/>
      <c r="AD303" s="1439"/>
      <c r="AE303" s="1439"/>
      <c r="AF303" s="1439"/>
      <c r="AG303" s="1439"/>
    </row>
    <row r="304" spans="1:33" ht="15.75" customHeight="1">
      <c r="A304" s="1443"/>
      <c r="B304" s="1452" t="s">
        <v>7404</v>
      </c>
      <c r="C304" s="1445">
        <v>1</v>
      </c>
      <c r="D304" s="1445" t="s">
        <v>3364</v>
      </c>
      <c r="E304" s="1445">
        <v>2</v>
      </c>
      <c r="F304" s="1446">
        <v>3.3460000000000001</v>
      </c>
      <c r="G304" s="1446">
        <v>0.23</v>
      </c>
      <c r="H304" s="1447">
        <v>0.6</v>
      </c>
      <c r="I304" s="1448">
        <f t="shared" si="17"/>
        <v>0.92</v>
      </c>
      <c r="J304" s="1449"/>
      <c r="K304" s="1439"/>
      <c r="L304" s="1439"/>
      <c r="M304" s="1439"/>
      <c r="N304" s="1439"/>
      <c r="O304" s="1439"/>
      <c r="P304" s="1439"/>
      <c r="Q304" s="1439"/>
      <c r="R304" s="1439"/>
      <c r="S304" s="1439"/>
      <c r="T304" s="1439"/>
      <c r="U304" s="1439"/>
      <c r="V304" s="1439"/>
      <c r="W304" s="1439"/>
      <c r="X304" s="1439"/>
      <c r="Y304" s="1439"/>
      <c r="Z304" s="1439"/>
      <c r="AA304" s="1439"/>
      <c r="AB304" s="1439"/>
      <c r="AC304" s="1439"/>
      <c r="AD304" s="1439"/>
      <c r="AE304" s="1439"/>
      <c r="AF304" s="1439"/>
      <c r="AG304" s="1439"/>
    </row>
    <row r="305" spans="1:33" ht="15.75" customHeight="1">
      <c r="A305" s="1443"/>
      <c r="B305" s="1455" t="s">
        <v>3423</v>
      </c>
      <c r="C305" s="1445"/>
      <c r="D305" s="1445"/>
      <c r="E305" s="1445"/>
      <c r="F305" s="1446"/>
      <c r="G305" s="1446"/>
      <c r="H305" s="1447"/>
      <c r="I305" s="1448">
        <f t="shared" si="17"/>
        <v>0</v>
      </c>
      <c r="J305" s="1449"/>
      <c r="K305" s="1439"/>
      <c r="L305" s="1439"/>
      <c r="M305" s="1439"/>
      <c r="N305" s="1439"/>
      <c r="O305" s="1439"/>
      <c r="P305" s="1439"/>
      <c r="Q305" s="1439"/>
      <c r="R305" s="1439"/>
      <c r="S305" s="1439"/>
      <c r="T305" s="1439"/>
      <c r="U305" s="1439"/>
      <c r="V305" s="1439"/>
      <c r="W305" s="1439"/>
      <c r="X305" s="1439"/>
      <c r="Y305" s="1439"/>
      <c r="Z305" s="1439"/>
      <c r="AA305" s="1439"/>
      <c r="AB305" s="1439"/>
      <c r="AC305" s="1439"/>
      <c r="AD305" s="1439"/>
      <c r="AE305" s="1439"/>
      <c r="AF305" s="1439"/>
      <c r="AG305" s="1439"/>
    </row>
    <row r="306" spans="1:33" ht="15.75" customHeight="1">
      <c r="A306" s="1443"/>
      <c r="B306" s="1452" t="s">
        <v>7435</v>
      </c>
      <c r="C306" s="1445">
        <v>1</v>
      </c>
      <c r="D306" s="1445" t="s">
        <v>3364</v>
      </c>
      <c r="E306" s="1445">
        <v>1</v>
      </c>
      <c r="F306" s="1446">
        <v>17</v>
      </c>
      <c r="G306" s="1446">
        <f>27.625+0.23-4.765-1.13-2.53</f>
        <v>19.43</v>
      </c>
      <c r="H306" s="1447">
        <v>0.15</v>
      </c>
      <c r="I306" s="1448">
        <f t="shared" si="17"/>
        <v>49.55</v>
      </c>
      <c r="J306" s="1449"/>
      <c r="K306" s="1439"/>
      <c r="L306" s="1439"/>
      <c r="M306" s="1439"/>
      <c r="N306" s="1439"/>
      <c r="O306" s="1439"/>
      <c r="P306" s="1439"/>
      <c r="Q306" s="1439"/>
      <c r="R306" s="1439"/>
      <c r="S306" s="1439"/>
      <c r="T306" s="1439"/>
      <c r="U306" s="1439"/>
      <c r="V306" s="1439"/>
      <c r="W306" s="1439"/>
      <c r="X306" s="1439"/>
      <c r="Y306" s="1439"/>
      <c r="Z306" s="1439"/>
      <c r="AA306" s="1439"/>
      <c r="AB306" s="1439"/>
      <c r="AC306" s="1439"/>
      <c r="AD306" s="1439"/>
      <c r="AE306" s="1439"/>
      <c r="AF306" s="1439"/>
      <c r="AG306" s="1439"/>
    </row>
    <row r="307" spans="1:33" ht="31.5">
      <c r="A307" s="1443"/>
      <c r="B307" s="1452" t="s">
        <v>7441</v>
      </c>
      <c r="C307" s="1445">
        <v>1</v>
      </c>
      <c r="D307" s="1445" t="s">
        <v>3364</v>
      </c>
      <c r="E307" s="1445">
        <v>1</v>
      </c>
      <c r="F307" s="1446">
        <f>4.8+4.8+0.23</f>
        <v>9.83</v>
      </c>
      <c r="G307" s="1446">
        <v>17</v>
      </c>
      <c r="H307" s="1447">
        <v>0.15</v>
      </c>
      <c r="I307" s="1448">
        <f t="shared" si="17"/>
        <v>25.07</v>
      </c>
      <c r="J307" s="1449"/>
      <c r="K307" s="1439"/>
      <c r="L307" s="1439"/>
      <c r="M307" s="1439"/>
      <c r="N307" s="1439"/>
      <c r="O307" s="1439"/>
      <c r="P307" s="1439"/>
      <c r="Q307" s="1439"/>
      <c r="R307" s="1439"/>
      <c r="S307" s="1439"/>
      <c r="T307" s="1439"/>
      <c r="U307" s="1439"/>
      <c r="V307" s="1439"/>
      <c r="W307" s="1439"/>
      <c r="X307" s="1439"/>
      <c r="Y307" s="1439"/>
      <c r="Z307" s="1439"/>
      <c r="AA307" s="1439"/>
      <c r="AB307" s="1439"/>
      <c r="AC307" s="1439"/>
      <c r="AD307" s="1439"/>
      <c r="AE307" s="1439"/>
      <c r="AF307" s="1439"/>
      <c r="AG307" s="1439"/>
    </row>
    <row r="308" spans="1:33" ht="15.75" customHeight="1">
      <c r="A308" s="1443"/>
      <c r="B308" s="1452" t="s">
        <v>7442</v>
      </c>
      <c r="C308" s="1457">
        <v>1</v>
      </c>
      <c r="D308" s="1445" t="s">
        <v>3364</v>
      </c>
      <c r="E308" s="1445">
        <v>1</v>
      </c>
      <c r="F308" s="1446">
        <v>4.6749999999999998</v>
      </c>
      <c r="G308" s="1446">
        <v>18.43</v>
      </c>
      <c r="H308" s="1447">
        <v>0.15</v>
      </c>
      <c r="I308" s="1448">
        <f t="shared" si="17"/>
        <v>12.92</v>
      </c>
      <c r="J308" s="1449"/>
      <c r="K308" s="1439"/>
      <c r="L308" s="1439"/>
      <c r="M308" s="1439"/>
      <c r="N308" s="1439"/>
      <c r="O308" s="1439"/>
      <c r="P308" s="1439"/>
      <c r="Q308" s="1439"/>
      <c r="R308" s="1439"/>
      <c r="S308" s="1439"/>
      <c r="T308" s="1439"/>
      <c r="U308" s="1439"/>
      <c r="V308" s="1439"/>
      <c r="W308" s="1439"/>
      <c r="X308" s="1439"/>
      <c r="Y308" s="1439"/>
      <c r="Z308" s="1439"/>
      <c r="AA308" s="1439"/>
      <c r="AB308" s="1439"/>
      <c r="AC308" s="1439"/>
      <c r="AD308" s="1439"/>
      <c r="AE308" s="1439"/>
      <c r="AF308" s="1439"/>
      <c r="AG308" s="1439"/>
    </row>
    <row r="309" spans="1:33" ht="15.75" customHeight="1">
      <c r="A309" s="1443"/>
      <c r="B309" s="1450" t="s">
        <v>7428</v>
      </c>
      <c r="C309" s="1445">
        <v>1</v>
      </c>
      <c r="D309" s="1445" t="s">
        <v>3364</v>
      </c>
      <c r="E309" s="1445">
        <v>1</v>
      </c>
      <c r="F309" s="1446">
        <f>5.37+4.08+0.9</f>
        <v>10.35</v>
      </c>
      <c r="G309" s="1446">
        <v>3.43</v>
      </c>
      <c r="H309" s="1447">
        <v>0.15</v>
      </c>
      <c r="I309" s="1448">
        <f t="shared" si="17"/>
        <v>5.33</v>
      </c>
      <c r="J309" s="1449"/>
      <c r="K309" s="1439"/>
      <c r="L309" s="1439"/>
      <c r="M309" s="1439"/>
      <c r="N309" s="1439"/>
      <c r="O309" s="1439"/>
      <c r="P309" s="1439"/>
      <c r="Q309" s="1439"/>
      <c r="R309" s="1439"/>
      <c r="S309" s="1439"/>
      <c r="T309" s="1439"/>
      <c r="U309" s="1439"/>
      <c r="V309" s="1439"/>
      <c r="W309" s="1439"/>
      <c r="X309" s="1439"/>
      <c r="Y309" s="1439"/>
      <c r="Z309" s="1439"/>
      <c r="AA309" s="1439"/>
      <c r="AB309" s="1439"/>
      <c r="AC309" s="1439"/>
      <c r="AD309" s="1439"/>
      <c r="AE309" s="1439"/>
      <c r="AF309" s="1439"/>
      <c r="AG309" s="1439"/>
    </row>
    <row r="310" spans="1:33" ht="15.75" customHeight="1">
      <c r="A310" s="1443"/>
      <c r="B310" s="1450" t="s">
        <v>7049</v>
      </c>
      <c r="C310" s="1445">
        <v>1</v>
      </c>
      <c r="D310" s="1445" t="s">
        <v>3364</v>
      </c>
      <c r="E310" s="1445">
        <v>2</v>
      </c>
      <c r="F310" s="1446">
        <v>5.82</v>
      </c>
      <c r="G310" s="1446">
        <v>1.5</v>
      </c>
      <c r="H310" s="1447">
        <v>0.2</v>
      </c>
      <c r="I310" s="1448">
        <f t="shared" si="17"/>
        <v>3.49</v>
      </c>
      <c r="J310" s="1449"/>
      <c r="K310" s="1439"/>
      <c r="L310" s="1439"/>
      <c r="M310" s="1439"/>
      <c r="N310" s="1439"/>
      <c r="O310" s="1439"/>
      <c r="P310" s="1439"/>
      <c r="Q310" s="1439"/>
      <c r="R310" s="1439"/>
      <c r="S310" s="1439"/>
      <c r="T310" s="1439"/>
      <c r="U310" s="1439"/>
      <c r="V310" s="1439"/>
      <c r="W310" s="1439"/>
      <c r="X310" s="1439"/>
      <c r="Y310" s="1439"/>
      <c r="Z310" s="1439"/>
      <c r="AA310" s="1439"/>
      <c r="AB310" s="1439"/>
      <c r="AC310" s="1439"/>
      <c r="AD310" s="1439"/>
      <c r="AE310" s="1439"/>
      <c r="AF310" s="1439"/>
      <c r="AG310" s="1439"/>
    </row>
    <row r="311" spans="1:33" ht="15.75" customHeight="1">
      <c r="A311" s="1443"/>
      <c r="B311" s="1450" t="s">
        <v>3391</v>
      </c>
      <c r="C311" s="1445">
        <v>1</v>
      </c>
      <c r="D311" s="1445" t="s">
        <v>3364</v>
      </c>
      <c r="E311" s="1445">
        <v>1</v>
      </c>
      <c r="F311" s="1446">
        <v>3.6</v>
      </c>
      <c r="G311" s="1446">
        <v>1.5</v>
      </c>
      <c r="H311" s="1447">
        <v>0.2</v>
      </c>
      <c r="I311" s="1448">
        <f t="shared" si="17"/>
        <v>1.08</v>
      </c>
      <c r="J311" s="1449"/>
      <c r="K311" s="1439"/>
      <c r="L311" s="1439"/>
      <c r="M311" s="1439"/>
      <c r="N311" s="1439"/>
      <c r="O311" s="1439"/>
      <c r="P311" s="1439"/>
      <c r="Q311" s="1439"/>
      <c r="R311" s="1439"/>
      <c r="S311" s="1439"/>
      <c r="T311" s="1439"/>
      <c r="U311" s="1439"/>
      <c r="V311" s="1439"/>
      <c r="W311" s="1439"/>
      <c r="X311" s="1439"/>
      <c r="Y311" s="1439"/>
      <c r="Z311" s="1439"/>
      <c r="AA311" s="1439"/>
      <c r="AB311" s="1439"/>
      <c r="AC311" s="1439"/>
      <c r="AD311" s="1439"/>
      <c r="AE311" s="1439"/>
      <c r="AF311" s="1439"/>
      <c r="AG311" s="1439"/>
    </row>
    <row r="312" spans="1:33" ht="15.75" customHeight="1">
      <c r="A312" s="1443"/>
      <c r="B312" s="1450" t="s">
        <v>3392</v>
      </c>
      <c r="C312" s="1445">
        <v>1</v>
      </c>
      <c r="D312" s="1445" t="s">
        <v>3364</v>
      </c>
      <c r="E312" s="1445">
        <v>1</v>
      </c>
      <c r="F312" s="1446">
        <v>3.46</v>
      </c>
      <c r="G312" s="1446">
        <v>0.23</v>
      </c>
      <c r="H312" s="1447">
        <v>0.5</v>
      </c>
      <c r="I312" s="1448">
        <f t="shared" si="17"/>
        <v>0.4</v>
      </c>
      <c r="J312" s="1449"/>
      <c r="K312" s="1439"/>
      <c r="L312" s="1439"/>
      <c r="M312" s="1439"/>
      <c r="N312" s="1439"/>
      <c r="O312" s="1439"/>
      <c r="P312" s="1439"/>
      <c r="Q312" s="1439"/>
      <c r="R312" s="1439"/>
      <c r="S312" s="1439"/>
      <c r="T312" s="1439"/>
      <c r="U312" s="1439"/>
      <c r="V312" s="1439"/>
      <c r="W312" s="1439"/>
      <c r="X312" s="1439"/>
      <c r="Y312" s="1439"/>
      <c r="Z312" s="1439"/>
      <c r="AA312" s="1439"/>
      <c r="AB312" s="1439"/>
      <c r="AC312" s="1439"/>
      <c r="AD312" s="1439"/>
      <c r="AE312" s="1439"/>
      <c r="AF312" s="1439"/>
      <c r="AG312" s="1439"/>
    </row>
    <row r="313" spans="1:33" ht="15.75" customHeight="1">
      <c r="A313" s="1443"/>
      <c r="B313" s="1450" t="s">
        <v>3393</v>
      </c>
      <c r="C313" s="1457">
        <v>0.5</v>
      </c>
      <c r="D313" s="1445" t="s">
        <v>3364</v>
      </c>
      <c r="E313" s="1445">
        <v>22</v>
      </c>
      <c r="F313" s="1446">
        <v>1.35</v>
      </c>
      <c r="G313" s="1446">
        <v>0.3</v>
      </c>
      <c r="H313" s="1447">
        <v>0.2</v>
      </c>
      <c r="I313" s="1448">
        <f t="shared" si="17"/>
        <v>0.89</v>
      </c>
      <c r="J313" s="1449"/>
      <c r="K313" s="1439"/>
      <c r="L313" s="1439"/>
      <c r="M313" s="1439"/>
      <c r="N313" s="1439"/>
      <c r="O313" s="1439"/>
      <c r="P313" s="1439"/>
      <c r="Q313" s="1439"/>
      <c r="R313" s="1439"/>
      <c r="S313" s="1439"/>
      <c r="T313" s="1439"/>
      <c r="U313" s="1439"/>
      <c r="V313" s="1439"/>
      <c r="W313" s="1439"/>
      <c r="X313" s="1439"/>
      <c r="Y313" s="1439"/>
      <c r="Z313" s="1439"/>
      <c r="AA313" s="1439"/>
      <c r="AB313" s="1439"/>
      <c r="AC313" s="1439"/>
      <c r="AD313" s="1439"/>
      <c r="AE313" s="1439"/>
      <c r="AF313" s="1439"/>
      <c r="AG313" s="1439"/>
    </row>
    <row r="314" spans="1:33" ht="15.75" customHeight="1">
      <c r="A314" s="1443"/>
      <c r="B314" s="1455" t="s">
        <v>7436</v>
      </c>
      <c r="C314" s="1457"/>
      <c r="D314" s="1445"/>
      <c r="E314" s="1445"/>
      <c r="F314" s="1446"/>
      <c r="G314" s="1446"/>
      <c r="H314" s="1447"/>
      <c r="I314" s="1448">
        <f t="shared" si="17"/>
        <v>0</v>
      </c>
      <c r="J314" s="1449"/>
      <c r="K314" s="1439"/>
      <c r="L314" s="1439"/>
      <c r="M314" s="1439"/>
      <c r="N314" s="1439"/>
      <c r="O314" s="1439"/>
      <c r="P314" s="1439"/>
      <c r="Q314" s="1439"/>
      <c r="R314" s="1439"/>
      <c r="S314" s="1439"/>
      <c r="T314" s="1439"/>
      <c r="U314" s="1439"/>
      <c r="V314" s="1439"/>
      <c r="W314" s="1439"/>
      <c r="X314" s="1439"/>
      <c r="Y314" s="1439"/>
      <c r="Z314" s="1439"/>
      <c r="AA314" s="1439"/>
      <c r="AB314" s="1439"/>
      <c r="AC314" s="1439"/>
      <c r="AD314" s="1439"/>
      <c r="AE314" s="1439"/>
      <c r="AF314" s="1439"/>
      <c r="AG314" s="1439"/>
    </row>
    <row r="315" spans="1:33" ht="15.75" customHeight="1">
      <c r="A315" s="1443"/>
      <c r="B315" s="1452" t="s">
        <v>7445</v>
      </c>
      <c r="C315" s="1457">
        <v>2</v>
      </c>
      <c r="D315" s="1453" t="s">
        <v>3364</v>
      </c>
      <c r="E315" s="1445">
        <v>1</v>
      </c>
      <c r="F315" s="1446">
        <f>5.035+0.46</f>
        <v>5.4950000000000001</v>
      </c>
      <c r="G315" s="1446">
        <v>0.23</v>
      </c>
      <c r="H315" s="1447">
        <v>0.15</v>
      </c>
      <c r="I315" s="1448">
        <f t="shared" si="17"/>
        <v>0.38</v>
      </c>
      <c r="J315" s="1449"/>
      <c r="K315" s="1439"/>
      <c r="L315" s="1439"/>
      <c r="M315" s="1439"/>
      <c r="N315" s="1439"/>
      <c r="O315" s="1439"/>
      <c r="P315" s="1439"/>
      <c r="Q315" s="1439"/>
      <c r="R315" s="1439"/>
      <c r="S315" s="1439"/>
      <c r="T315" s="1439"/>
      <c r="U315" s="1439"/>
      <c r="V315" s="1439"/>
      <c r="W315" s="1439"/>
      <c r="X315" s="1439"/>
      <c r="Y315" s="1439"/>
      <c r="Z315" s="1439"/>
      <c r="AA315" s="1439"/>
      <c r="AB315" s="1439"/>
      <c r="AC315" s="1439"/>
      <c r="AD315" s="1439"/>
      <c r="AE315" s="1439"/>
      <c r="AF315" s="1439"/>
      <c r="AG315" s="1439"/>
    </row>
    <row r="316" spans="1:33" ht="15.75" customHeight="1">
      <c r="A316" s="1443"/>
      <c r="B316" s="1452" t="s">
        <v>7446</v>
      </c>
      <c r="C316" s="1457">
        <v>1</v>
      </c>
      <c r="D316" s="1453" t="s">
        <v>3364</v>
      </c>
      <c r="E316" s="1445">
        <v>1</v>
      </c>
      <c r="F316" s="1446">
        <f>4.57+0.46</f>
        <v>5.03</v>
      </c>
      <c r="G316" s="1446">
        <v>0.23</v>
      </c>
      <c r="H316" s="1447">
        <v>0.15</v>
      </c>
      <c r="I316" s="1448">
        <f t="shared" si="17"/>
        <v>0.17</v>
      </c>
      <c r="J316" s="1449"/>
      <c r="K316" s="1439"/>
      <c r="L316" s="1439"/>
      <c r="M316" s="1439"/>
      <c r="N316" s="1439"/>
      <c r="O316" s="1439"/>
      <c r="P316" s="1439"/>
      <c r="Q316" s="1439"/>
      <c r="R316" s="1439"/>
      <c r="S316" s="1439"/>
      <c r="T316" s="1439"/>
      <c r="U316" s="1439"/>
      <c r="V316" s="1439"/>
      <c r="W316" s="1439"/>
      <c r="X316" s="1439"/>
      <c r="Y316" s="1439"/>
      <c r="Z316" s="1439"/>
      <c r="AA316" s="1439"/>
      <c r="AB316" s="1439"/>
      <c r="AC316" s="1439"/>
      <c r="AD316" s="1439"/>
      <c r="AE316" s="1439"/>
      <c r="AF316" s="1439"/>
      <c r="AG316" s="1439"/>
    </row>
    <row r="317" spans="1:33" ht="15.75" customHeight="1">
      <c r="A317" s="1443"/>
      <c r="B317" s="1452" t="s">
        <v>7447</v>
      </c>
      <c r="C317" s="1445">
        <v>3</v>
      </c>
      <c r="D317" s="1453" t="s">
        <v>3364</v>
      </c>
      <c r="E317" s="1445">
        <v>1</v>
      </c>
      <c r="F317" s="1446">
        <f>4.57+0.46</f>
        <v>5.03</v>
      </c>
      <c r="G317" s="1446">
        <v>0.23</v>
      </c>
      <c r="H317" s="1447">
        <v>0.15</v>
      </c>
      <c r="I317" s="1448">
        <f t="shared" si="17"/>
        <v>0.52</v>
      </c>
      <c r="J317" s="1449"/>
      <c r="K317" s="1439"/>
      <c r="L317" s="1439"/>
      <c r="M317" s="1439"/>
      <c r="N317" s="1439"/>
      <c r="O317" s="1439"/>
      <c r="P317" s="1439"/>
      <c r="Q317" s="1439"/>
      <c r="R317" s="1439"/>
      <c r="S317" s="1439"/>
      <c r="T317" s="1439"/>
      <c r="U317" s="1439"/>
      <c r="V317" s="1439"/>
      <c r="W317" s="1439"/>
      <c r="X317" s="1439"/>
      <c r="Y317" s="1439"/>
      <c r="Z317" s="1439"/>
      <c r="AA317" s="1439"/>
      <c r="AB317" s="1439"/>
      <c r="AC317" s="1439"/>
      <c r="AD317" s="1439"/>
      <c r="AE317" s="1439"/>
      <c r="AF317" s="1439"/>
      <c r="AG317" s="1439"/>
    </row>
    <row r="318" spans="1:33" ht="15.75" customHeight="1">
      <c r="A318" s="1443"/>
      <c r="B318" s="1452" t="s">
        <v>7448</v>
      </c>
      <c r="C318" s="1445">
        <v>2</v>
      </c>
      <c r="D318" s="1453" t="s">
        <v>3364</v>
      </c>
      <c r="E318" s="1445">
        <v>1</v>
      </c>
      <c r="F318" s="1446">
        <f>4.57+0.46</f>
        <v>5.03</v>
      </c>
      <c r="G318" s="1454">
        <v>0.23</v>
      </c>
      <c r="H318" s="1447">
        <v>0.15</v>
      </c>
      <c r="I318" s="1448">
        <f t="shared" si="17"/>
        <v>0.35</v>
      </c>
      <c r="J318" s="1449"/>
      <c r="K318" s="1439"/>
      <c r="L318" s="1439"/>
      <c r="M318" s="1439"/>
      <c r="N318" s="1439"/>
      <c r="O318" s="1439"/>
      <c r="P318" s="1439"/>
      <c r="Q318" s="1439"/>
      <c r="R318" s="1439"/>
      <c r="S318" s="1439"/>
      <c r="T318" s="1439"/>
      <c r="U318" s="1439"/>
      <c r="V318" s="1439"/>
      <c r="W318" s="1439"/>
      <c r="X318" s="1439"/>
      <c r="Y318" s="1439"/>
      <c r="Z318" s="1439"/>
      <c r="AA318" s="1439"/>
      <c r="AB318" s="1439"/>
      <c r="AC318" s="1439"/>
      <c r="AD318" s="1439"/>
      <c r="AE318" s="1439"/>
      <c r="AF318" s="1439"/>
      <c r="AG318" s="1439"/>
    </row>
    <row r="319" spans="1:33" ht="15.75" customHeight="1">
      <c r="A319" s="1443"/>
      <c r="B319" s="1452" t="s">
        <v>7449</v>
      </c>
      <c r="C319" s="1445">
        <v>1</v>
      </c>
      <c r="D319" s="1453" t="s">
        <v>3364</v>
      </c>
      <c r="E319" s="1445">
        <v>1</v>
      </c>
      <c r="F319" s="1446">
        <f>3.43+0.43</f>
        <v>3.86</v>
      </c>
      <c r="G319" s="1446">
        <v>0.23</v>
      </c>
      <c r="H319" s="1447">
        <v>0.15</v>
      </c>
      <c r="I319" s="1448">
        <f t="shared" si="17"/>
        <v>0.13</v>
      </c>
      <c r="J319" s="1449"/>
      <c r="K319" s="1439"/>
      <c r="L319" s="1439"/>
      <c r="M319" s="1439"/>
      <c r="N319" s="1439"/>
      <c r="O319" s="1439"/>
      <c r="P319" s="1439"/>
      <c r="Q319" s="1439"/>
      <c r="R319" s="1439"/>
      <c r="S319" s="1439"/>
      <c r="T319" s="1439"/>
      <c r="U319" s="1439"/>
      <c r="V319" s="1439"/>
      <c r="W319" s="1439"/>
      <c r="X319" s="1439"/>
      <c r="Y319" s="1439"/>
      <c r="Z319" s="1439"/>
      <c r="AA319" s="1439"/>
      <c r="AB319" s="1439"/>
      <c r="AC319" s="1439"/>
      <c r="AD319" s="1439"/>
      <c r="AE319" s="1439"/>
      <c r="AF319" s="1439"/>
      <c r="AG319" s="1439"/>
    </row>
    <row r="320" spans="1:33" ht="15.75" customHeight="1">
      <c r="A320" s="1443"/>
      <c r="B320" s="1455" t="s">
        <v>7432</v>
      </c>
      <c r="C320" s="1457"/>
      <c r="D320" s="1453"/>
      <c r="E320" s="1445"/>
      <c r="F320" s="1446"/>
      <c r="G320" s="1446"/>
      <c r="H320" s="1447"/>
      <c r="I320" s="1448">
        <f t="shared" si="17"/>
        <v>0</v>
      </c>
      <c r="J320" s="1449"/>
      <c r="K320" s="1439"/>
      <c r="L320" s="1439"/>
      <c r="M320" s="1439"/>
      <c r="N320" s="1439"/>
      <c r="O320" s="1439"/>
      <c r="P320" s="1439"/>
      <c r="Q320" s="1439"/>
      <c r="R320" s="1439"/>
      <c r="S320" s="1439"/>
      <c r="T320" s="1439"/>
      <c r="U320" s="1439"/>
      <c r="V320" s="1439"/>
      <c r="W320" s="1439"/>
      <c r="X320" s="1439"/>
      <c r="Y320" s="1439"/>
      <c r="Z320" s="1439"/>
      <c r="AA320" s="1439"/>
      <c r="AB320" s="1439"/>
      <c r="AC320" s="1439"/>
      <c r="AD320" s="1439"/>
      <c r="AE320" s="1439"/>
      <c r="AF320" s="1439"/>
      <c r="AG320" s="1439"/>
    </row>
    <row r="321" spans="1:33" ht="15.75" customHeight="1">
      <c r="A321" s="1443"/>
      <c r="B321" s="1452" t="s">
        <v>7445</v>
      </c>
      <c r="C321" s="1457">
        <v>2</v>
      </c>
      <c r="D321" s="1453" t="s">
        <v>3364</v>
      </c>
      <c r="E321" s="1445">
        <v>1</v>
      </c>
      <c r="F321" s="1446">
        <f>5.035+0.46</f>
        <v>5.4950000000000001</v>
      </c>
      <c r="G321" s="1446">
        <v>0.6</v>
      </c>
      <c r="H321" s="1447">
        <v>0.1</v>
      </c>
      <c r="I321" s="1448">
        <f>PRODUCT(C321:H321)</f>
        <v>0.66</v>
      </c>
      <c r="J321" s="1449"/>
      <c r="K321" s="1439"/>
      <c r="L321" s="1439"/>
      <c r="M321" s="1439"/>
      <c r="N321" s="1439"/>
      <c r="O321" s="1439"/>
      <c r="P321" s="1439"/>
      <c r="Q321" s="1439"/>
      <c r="R321" s="1439"/>
      <c r="S321" s="1439"/>
      <c r="T321" s="1439"/>
      <c r="U321" s="1439"/>
      <c r="V321" s="1439"/>
      <c r="W321" s="1439"/>
      <c r="X321" s="1439"/>
      <c r="Y321" s="1439"/>
      <c r="Z321" s="1439"/>
      <c r="AA321" s="1439"/>
      <c r="AB321" s="1439"/>
      <c r="AC321" s="1439"/>
      <c r="AD321" s="1439"/>
      <c r="AE321" s="1439"/>
      <c r="AF321" s="1439"/>
      <c r="AG321" s="1439"/>
    </row>
    <row r="322" spans="1:33" ht="15.75" customHeight="1">
      <c r="A322" s="1443"/>
      <c r="B322" s="1452" t="s">
        <v>7446</v>
      </c>
      <c r="C322" s="1457">
        <v>1</v>
      </c>
      <c r="D322" s="1453" t="s">
        <v>3364</v>
      </c>
      <c r="E322" s="1445">
        <v>1</v>
      </c>
      <c r="F322" s="1446">
        <f>4.57+0.46</f>
        <v>5.03</v>
      </c>
      <c r="G322" s="1446">
        <v>0.6</v>
      </c>
      <c r="H322" s="1447">
        <v>0.1</v>
      </c>
      <c r="I322" s="1448">
        <f>PRODUCT(C322:H322)</f>
        <v>0.3</v>
      </c>
      <c r="J322" s="1449"/>
      <c r="K322" s="1439"/>
      <c r="L322" s="1439"/>
      <c r="M322" s="1439"/>
      <c r="N322" s="1439"/>
      <c r="O322" s="1439"/>
      <c r="P322" s="1439"/>
      <c r="Q322" s="1439"/>
      <c r="R322" s="1439"/>
      <c r="S322" s="1439"/>
      <c r="T322" s="1439"/>
      <c r="U322" s="1439"/>
      <c r="V322" s="1439"/>
      <c r="W322" s="1439"/>
      <c r="X322" s="1439"/>
      <c r="Y322" s="1439"/>
      <c r="Z322" s="1439"/>
      <c r="AA322" s="1439"/>
      <c r="AB322" s="1439"/>
      <c r="AC322" s="1439"/>
      <c r="AD322" s="1439"/>
      <c r="AE322" s="1439"/>
      <c r="AF322" s="1439"/>
      <c r="AG322" s="1439"/>
    </row>
    <row r="323" spans="1:33" ht="15.75" customHeight="1">
      <c r="A323" s="1443"/>
      <c r="B323" s="1452" t="s">
        <v>7447</v>
      </c>
      <c r="C323" s="1445">
        <v>3</v>
      </c>
      <c r="D323" s="1453" t="s">
        <v>3364</v>
      </c>
      <c r="E323" s="1445">
        <v>1</v>
      </c>
      <c r="F323" s="1446">
        <f>4.57+0.46</f>
        <v>5.03</v>
      </c>
      <c r="G323" s="1446">
        <v>0.6</v>
      </c>
      <c r="H323" s="1447">
        <v>0.1</v>
      </c>
      <c r="I323" s="1448">
        <f>PRODUCT(C323:H323)</f>
        <v>0.91</v>
      </c>
      <c r="J323" s="1449"/>
      <c r="K323" s="1439"/>
      <c r="L323" s="1439"/>
      <c r="M323" s="1439"/>
      <c r="N323" s="1439"/>
      <c r="O323" s="1439"/>
      <c r="P323" s="1439"/>
      <c r="Q323" s="1439"/>
      <c r="R323" s="1439"/>
      <c r="S323" s="1439"/>
      <c r="T323" s="1439"/>
      <c r="U323" s="1439"/>
      <c r="V323" s="1439"/>
      <c r="W323" s="1439"/>
      <c r="X323" s="1439"/>
      <c r="Y323" s="1439"/>
      <c r="Z323" s="1439"/>
      <c r="AA323" s="1439"/>
      <c r="AB323" s="1439"/>
      <c r="AC323" s="1439"/>
      <c r="AD323" s="1439"/>
      <c r="AE323" s="1439"/>
      <c r="AF323" s="1439"/>
      <c r="AG323" s="1439"/>
    </row>
    <row r="324" spans="1:33" ht="15.75" customHeight="1">
      <c r="A324" s="1443"/>
      <c r="B324" s="1452" t="s">
        <v>7448</v>
      </c>
      <c r="C324" s="1445">
        <v>2</v>
      </c>
      <c r="D324" s="1453" t="s">
        <v>3364</v>
      </c>
      <c r="E324" s="1445">
        <v>1</v>
      </c>
      <c r="F324" s="1446">
        <f>4.57+0.46</f>
        <v>5.03</v>
      </c>
      <c r="G324" s="1446">
        <v>0.6</v>
      </c>
      <c r="H324" s="1447">
        <v>0.1</v>
      </c>
      <c r="I324" s="1448">
        <f>PRODUCT(C324:H324)</f>
        <v>0.6</v>
      </c>
      <c r="J324" s="1449"/>
      <c r="K324" s="1439"/>
      <c r="L324" s="1439"/>
      <c r="M324" s="1439"/>
      <c r="N324" s="1439"/>
      <c r="O324" s="1439"/>
      <c r="P324" s="1439"/>
      <c r="Q324" s="1439"/>
      <c r="R324" s="1439"/>
      <c r="S324" s="1439"/>
      <c r="T324" s="1439"/>
      <c r="U324" s="1439"/>
      <c r="V324" s="1439"/>
      <c r="W324" s="1439"/>
      <c r="X324" s="1439"/>
      <c r="Y324" s="1439"/>
      <c r="Z324" s="1439"/>
      <c r="AA324" s="1439"/>
      <c r="AB324" s="1439"/>
      <c r="AC324" s="1439"/>
      <c r="AD324" s="1439"/>
      <c r="AE324" s="1439"/>
      <c r="AF324" s="1439"/>
      <c r="AG324" s="1439"/>
    </row>
    <row r="325" spans="1:33" ht="15.75" customHeight="1">
      <c r="A325" s="1443"/>
      <c r="B325" s="1452" t="s">
        <v>7449</v>
      </c>
      <c r="C325" s="1445">
        <v>1</v>
      </c>
      <c r="D325" s="1453" t="s">
        <v>3364</v>
      </c>
      <c r="E325" s="1445">
        <v>1</v>
      </c>
      <c r="F325" s="1446">
        <f>3.43+0.43</f>
        <v>3.86</v>
      </c>
      <c r="G325" s="1446">
        <v>0.6</v>
      </c>
      <c r="H325" s="1447">
        <v>0.1</v>
      </c>
      <c r="I325" s="1448">
        <f>PRODUCT(C325:H325)</f>
        <v>0.23</v>
      </c>
      <c r="J325" s="1449"/>
      <c r="K325" s="1439"/>
      <c r="L325" s="1439"/>
      <c r="M325" s="1439"/>
      <c r="N325" s="1439"/>
      <c r="O325" s="1439"/>
      <c r="P325" s="1439"/>
      <c r="Q325" s="1439"/>
      <c r="R325" s="1439"/>
      <c r="S325" s="1439"/>
      <c r="T325" s="1439"/>
      <c r="U325" s="1439"/>
      <c r="V325" s="1439"/>
      <c r="W325" s="1439"/>
      <c r="X325" s="1439"/>
      <c r="Y325" s="1439"/>
      <c r="Z325" s="1439"/>
      <c r="AA325" s="1439"/>
      <c r="AB325" s="1439"/>
      <c r="AC325" s="1439"/>
      <c r="AD325" s="1439"/>
      <c r="AE325" s="1439"/>
      <c r="AF325" s="1439"/>
      <c r="AG325" s="1439"/>
    </row>
    <row r="326" spans="1:33" ht="15.75" customHeight="1">
      <c r="A326" s="1443"/>
      <c r="B326" s="1455" t="s">
        <v>7433</v>
      </c>
      <c r="C326" s="1445"/>
      <c r="D326" s="1453"/>
      <c r="E326" s="1445"/>
      <c r="F326" s="1446"/>
      <c r="G326" s="1446"/>
      <c r="H326" s="1447"/>
      <c r="I326" s="1448">
        <f t="shared" si="17"/>
        <v>0</v>
      </c>
      <c r="J326" s="1449"/>
      <c r="K326" s="1439"/>
      <c r="L326" s="1439"/>
      <c r="M326" s="1439"/>
      <c r="N326" s="1439"/>
      <c r="O326" s="1439"/>
      <c r="P326" s="1439"/>
      <c r="Q326" s="1439"/>
      <c r="R326" s="1439"/>
      <c r="S326" s="1439"/>
      <c r="T326" s="1439"/>
      <c r="U326" s="1439"/>
      <c r="V326" s="1439"/>
      <c r="W326" s="1439"/>
      <c r="X326" s="1439"/>
      <c r="Y326" s="1439"/>
      <c r="Z326" s="1439"/>
      <c r="AA326" s="1439"/>
      <c r="AB326" s="1439"/>
      <c r="AC326" s="1439"/>
      <c r="AD326" s="1439"/>
      <c r="AE326" s="1439"/>
      <c r="AF326" s="1439"/>
      <c r="AG326" s="1439"/>
    </row>
    <row r="327" spans="1:33" ht="15.75" customHeight="1">
      <c r="A327" s="1443"/>
      <c r="B327" s="1452" t="s">
        <v>3363</v>
      </c>
      <c r="C327" s="1445">
        <v>9</v>
      </c>
      <c r="D327" s="1453" t="s">
        <v>3364</v>
      </c>
      <c r="E327" s="1445">
        <v>1</v>
      </c>
      <c r="F327" s="1446">
        <v>1</v>
      </c>
      <c r="G327" s="1446">
        <v>0.23</v>
      </c>
      <c r="H327" s="1447">
        <v>0.15</v>
      </c>
      <c r="I327" s="1448">
        <f>PRODUCT(C327:H327)</f>
        <v>0.31</v>
      </c>
      <c r="J327" s="1449"/>
      <c r="K327" s="1439"/>
      <c r="L327" s="1439"/>
      <c r="M327" s="1439"/>
      <c r="N327" s="1439"/>
      <c r="O327" s="1439"/>
      <c r="P327" s="1439"/>
      <c r="Q327" s="1439"/>
      <c r="R327" s="1439"/>
      <c r="S327" s="1439"/>
      <c r="T327" s="1439"/>
      <c r="U327" s="1439"/>
      <c r="V327" s="1439"/>
      <c r="W327" s="1439"/>
      <c r="X327" s="1439"/>
      <c r="Y327" s="1439"/>
      <c r="Z327" s="1439"/>
      <c r="AA327" s="1439"/>
      <c r="AB327" s="1439"/>
      <c r="AC327" s="1439"/>
      <c r="AD327" s="1439"/>
      <c r="AE327" s="1439"/>
      <c r="AF327" s="1439"/>
      <c r="AG327" s="1439"/>
    </row>
    <row r="328" spans="1:33" ht="15.75" customHeight="1">
      <c r="A328" s="1443"/>
      <c r="B328" s="1452" t="s">
        <v>3398</v>
      </c>
      <c r="C328" s="1445">
        <v>1</v>
      </c>
      <c r="D328" s="1453" t="s">
        <v>3364</v>
      </c>
      <c r="E328" s="1445">
        <v>1</v>
      </c>
      <c r="F328" s="1446">
        <v>0.9</v>
      </c>
      <c r="G328" s="1446">
        <v>0.23</v>
      </c>
      <c r="H328" s="1447">
        <v>0.15</v>
      </c>
      <c r="I328" s="1448">
        <f t="shared" si="17"/>
        <v>0.03</v>
      </c>
      <c r="J328" s="1449"/>
      <c r="K328" s="1439"/>
      <c r="L328" s="1439"/>
      <c r="M328" s="1439"/>
      <c r="N328" s="1439"/>
      <c r="O328" s="1439"/>
      <c r="P328" s="1439"/>
      <c r="Q328" s="1439"/>
      <c r="R328" s="1439"/>
      <c r="S328" s="1439"/>
      <c r="T328" s="1439"/>
      <c r="U328" s="1439"/>
      <c r="V328" s="1439"/>
      <c r="W328" s="1439"/>
      <c r="X328" s="1439"/>
      <c r="Y328" s="1439"/>
      <c r="Z328" s="1439"/>
      <c r="AA328" s="1439"/>
      <c r="AB328" s="1439"/>
      <c r="AC328" s="1439"/>
      <c r="AD328" s="1439"/>
      <c r="AE328" s="1439"/>
      <c r="AF328" s="1439"/>
      <c r="AG328" s="1439"/>
    </row>
    <row r="329" spans="1:33" ht="15.75" customHeight="1">
      <c r="A329" s="1443"/>
      <c r="B329" s="1452" t="s">
        <v>3407</v>
      </c>
      <c r="C329" s="1445">
        <v>13</v>
      </c>
      <c r="D329" s="1453" t="s">
        <v>3364</v>
      </c>
      <c r="E329" s="1445">
        <v>1</v>
      </c>
      <c r="F329" s="1446">
        <v>0.75</v>
      </c>
      <c r="G329" s="1446">
        <v>0.23</v>
      </c>
      <c r="H329" s="1447">
        <v>0.15</v>
      </c>
      <c r="I329" s="1448">
        <f t="shared" si="17"/>
        <v>0.34</v>
      </c>
      <c r="J329" s="1449"/>
      <c r="K329" s="1439"/>
      <c r="L329" s="1439"/>
      <c r="M329" s="1439"/>
      <c r="N329" s="1439"/>
      <c r="O329" s="1439"/>
      <c r="P329" s="1439"/>
      <c r="Q329" s="1439"/>
      <c r="R329" s="1439"/>
      <c r="S329" s="1439"/>
      <c r="T329" s="1439"/>
      <c r="U329" s="1439"/>
      <c r="V329" s="1439"/>
      <c r="W329" s="1439"/>
      <c r="X329" s="1439"/>
      <c r="Y329" s="1439"/>
      <c r="Z329" s="1439"/>
      <c r="AA329" s="1439"/>
      <c r="AB329" s="1439"/>
      <c r="AC329" s="1439"/>
      <c r="AD329" s="1439"/>
      <c r="AE329" s="1439"/>
      <c r="AF329" s="1439"/>
      <c r="AG329" s="1439"/>
    </row>
    <row r="330" spans="1:33" ht="15.75" customHeight="1">
      <c r="A330" s="1443"/>
      <c r="B330" s="1452" t="s">
        <v>3497</v>
      </c>
      <c r="C330" s="1445">
        <v>1</v>
      </c>
      <c r="D330" s="1453" t="s">
        <v>3364</v>
      </c>
      <c r="E330" s="1445">
        <v>1</v>
      </c>
      <c r="F330" s="1446">
        <v>1.8</v>
      </c>
      <c r="G330" s="1446">
        <v>0.23</v>
      </c>
      <c r="H330" s="1447">
        <v>0.15</v>
      </c>
      <c r="I330" s="1448">
        <f t="shared" si="17"/>
        <v>0.06</v>
      </c>
      <c r="J330" s="1449"/>
      <c r="K330" s="1439"/>
      <c r="L330" s="1439"/>
      <c r="M330" s="1439"/>
      <c r="N330" s="1439"/>
      <c r="O330" s="1439"/>
      <c r="P330" s="1439"/>
      <c r="Q330" s="1439"/>
      <c r="R330" s="1439"/>
      <c r="S330" s="1439"/>
      <c r="T330" s="1439"/>
      <c r="U330" s="1439"/>
      <c r="V330" s="1439"/>
      <c r="W330" s="1439"/>
      <c r="X330" s="1439"/>
      <c r="Y330" s="1439"/>
      <c r="Z330" s="1439"/>
      <c r="AA330" s="1439"/>
      <c r="AB330" s="1439"/>
      <c r="AC330" s="1439"/>
      <c r="AD330" s="1439"/>
      <c r="AE330" s="1439"/>
      <c r="AF330" s="1439"/>
      <c r="AG330" s="1439"/>
    </row>
    <row r="331" spans="1:33" ht="15.75" customHeight="1">
      <c r="A331" s="1443"/>
      <c r="B331" s="1452" t="s">
        <v>3414</v>
      </c>
      <c r="C331" s="1445">
        <v>13</v>
      </c>
      <c r="D331" s="1453" t="s">
        <v>3364</v>
      </c>
      <c r="E331" s="1445">
        <v>1</v>
      </c>
      <c r="F331" s="1446">
        <v>1.8</v>
      </c>
      <c r="G331" s="1446">
        <v>0.23</v>
      </c>
      <c r="H331" s="1447">
        <v>0.15</v>
      </c>
      <c r="I331" s="1448">
        <f t="shared" si="17"/>
        <v>0.81</v>
      </c>
      <c r="J331" s="1449"/>
      <c r="K331" s="1439"/>
      <c r="L331" s="1439"/>
      <c r="M331" s="1439"/>
      <c r="N331" s="1439"/>
      <c r="O331" s="1439"/>
      <c r="P331" s="1439"/>
      <c r="Q331" s="1439"/>
      <c r="R331" s="1439"/>
      <c r="S331" s="1439"/>
      <c r="T331" s="1439"/>
      <c r="U331" s="1439"/>
      <c r="V331" s="1439"/>
      <c r="W331" s="1439"/>
      <c r="X331" s="1439"/>
      <c r="Y331" s="1439"/>
      <c r="Z331" s="1439"/>
      <c r="AA331" s="1439"/>
      <c r="AB331" s="1439"/>
      <c r="AC331" s="1439"/>
      <c r="AD331" s="1439"/>
      <c r="AE331" s="1439"/>
      <c r="AF331" s="1439"/>
      <c r="AG331" s="1439"/>
    </row>
    <row r="332" spans="1:33" ht="15.75" customHeight="1">
      <c r="A332" s="1443"/>
      <c r="B332" s="1452" t="s">
        <v>6964</v>
      </c>
      <c r="C332" s="1445">
        <v>3</v>
      </c>
      <c r="D332" s="1453" t="s">
        <v>3364</v>
      </c>
      <c r="E332" s="1445">
        <v>1</v>
      </c>
      <c r="F332" s="1446">
        <v>0.9</v>
      </c>
      <c r="G332" s="1446">
        <v>0.23</v>
      </c>
      <c r="H332" s="1447">
        <v>0.15</v>
      </c>
      <c r="I332" s="1448">
        <f t="shared" si="17"/>
        <v>0.09</v>
      </c>
      <c r="J332" s="1449"/>
      <c r="K332" s="1439"/>
      <c r="L332" s="1439"/>
      <c r="M332" s="1439"/>
      <c r="N332" s="1439"/>
      <c r="O332" s="1439"/>
      <c r="P332" s="1439"/>
      <c r="Q332" s="1439"/>
      <c r="R332" s="1439"/>
      <c r="S332" s="1439"/>
      <c r="T332" s="1439"/>
      <c r="U332" s="1439"/>
      <c r="V332" s="1439"/>
      <c r="W332" s="1439"/>
      <c r="X332" s="1439"/>
      <c r="Y332" s="1439"/>
      <c r="Z332" s="1439"/>
      <c r="AA332" s="1439"/>
      <c r="AB332" s="1439"/>
      <c r="AC332" s="1439"/>
      <c r="AD332" s="1439"/>
      <c r="AE332" s="1439"/>
      <c r="AF332" s="1439"/>
      <c r="AG332" s="1439"/>
    </row>
    <row r="333" spans="1:33" ht="16.5" customHeight="1">
      <c r="A333" s="1443"/>
      <c r="B333" s="1452" t="s">
        <v>3401</v>
      </c>
      <c r="C333" s="1445">
        <v>9</v>
      </c>
      <c r="D333" s="1453" t="s">
        <v>3364</v>
      </c>
      <c r="E333" s="1445">
        <v>1</v>
      </c>
      <c r="F333" s="1446">
        <v>0.75</v>
      </c>
      <c r="G333" s="1446">
        <v>0.23</v>
      </c>
      <c r="H333" s="1447">
        <v>0.15</v>
      </c>
      <c r="I333" s="1448">
        <f t="shared" si="17"/>
        <v>0.23</v>
      </c>
      <c r="J333" s="1449"/>
      <c r="K333" s="1439"/>
      <c r="L333" s="1439"/>
      <c r="M333" s="1439"/>
      <c r="N333" s="1439"/>
      <c r="O333" s="1439"/>
      <c r="P333" s="1439"/>
      <c r="Q333" s="1439"/>
      <c r="R333" s="1439"/>
      <c r="S333" s="1439"/>
      <c r="T333" s="1439"/>
      <c r="U333" s="1439"/>
      <c r="V333" s="1439"/>
      <c r="W333" s="1439"/>
      <c r="X333" s="1439"/>
      <c r="Y333" s="1439"/>
      <c r="Z333" s="1439"/>
      <c r="AA333" s="1439"/>
      <c r="AB333" s="1439"/>
      <c r="AC333" s="1439"/>
      <c r="AD333" s="1439"/>
      <c r="AE333" s="1439"/>
      <c r="AF333" s="1439"/>
      <c r="AG333" s="1439"/>
    </row>
    <row r="334" spans="1:33" ht="15.75" customHeight="1">
      <c r="A334" s="1443"/>
      <c r="B334" s="1452" t="s">
        <v>7413</v>
      </c>
      <c r="C334" s="1445">
        <v>1</v>
      </c>
      <c r="D334" s="1453" t="s">
        <v>3364</v>
      </c>
      <c r="E334" s="1445">
        <v>1</v>
      </c>
      <c r="F334" s="1446">
        <v>0.9</v>
      </c>
      <c r="G334" s="1446">
        <v>0.23</v>
      </c>
      <c r="H334" s="1447">
        <v>0.15</v>
      </c>
      <c r="I334" s="1448">
        <f t="shared" si="17"/>
        <v>0.03</v>
      </c>
      <c r="J334" s="1449"/>
      <c r="K334" s="1439"/>
      <c r="L334" s="1439"/>
      <c r="M334" s="1439"/>
      <c r="N334" s="1439"/>
      <c r="O334" s="1439"/>
      <c r="P334" s="1439"/>
      <c r="Q334" s="1439"/>
      <c r="R334" s="1439"/>
      <c r="S334" s="1439"/>
      <c r="T334" s="1439"/>
      <c r="U334" s="1439"/>
      <c r="V334" s="1439"/>
      <c r="W334" s="1439"/>
      <c r="X334" s="1439"/>
      <c r="Y334" s="1439"/>
      <c r="Z334" s="1439"/>
      <c r="AA334" s="1439"/>
      <c r="AB334" s="1439"/>
      <c r="AC334" s="1439"/>
      <c r="AD334" s="1439"/>
      <c r="AE334" s="1439"/>
      <c r="AF334" s="1439"/>
      <c r="AG334" s="1439"/>
    </row>
    <row r="335" spans="1:33" ht="15.75" customHeight="1">
      <c r="A335" s="1443"/>
      <c r="B335" s="1455" t="s">
        <v>7440</v>
      </c>
      <c r="C335" s="1445"/>
      <c r="D335" s="1453"/>
      <c r="E335" s="1445"/>
      <c r="F335" s="1446"/>
      <c r="G335" s="1446"/>
      <c r="H335" s="1447"/>
      <c r="I335" s="1448">
        <f t="shared" si="17"/>
        <v>0</v>
      </c>
      <c r="J335" s="1449"/>
      <c r="K335" s="1439"/>
      <c r="L335" s="1439"/>
      <c r="M335" s="1439"/>
      <c r="N335" s="1439"/>
      <c r="O335" s="1439"/>
      <c r="P335" s="1439"/>
      <c r="Q335" s="1439"/>
      <c r="R335" s="1439"/>
      <c r="S335" s="1439"/>
      <c r="T335" s="1439"/>
      <c r="U335" s="1439"/>
      <c r="V335" s="1439"/>
      <c r="W335" s="1439"/>
      <c r="X335" s="1439"/>
      <c r="Y335" s="1439"/>
      <c r="Z335" s="1439"/>
      <c r="AA335" s="1439"/>
      <c r="AB335" s="1439"/>
      <c r="AC335" s="1439"/>
      <c r="AD335" s="1439"/>
      <c r="AE335" s="1439"/>
      <c r="AF335" s="1439"/>
      <c r="AG335" s="1439"/>
    </row>
    <row r="336" spans="1:33" ht="15.75" customHeight="1">
      <c r="A336" s="1443"/>
      <c r="B336" s="1452" t="s">
        <v>3497</v>
      </c>
      <c r="C336" s="1445">
        <v>1</v>
      </c>
      <c r="D336" s="1453" t="s">
        <v>3364</v>
      </c>
      <c r="E336" s="1445">
        <v>1</v>
      </c>
      <c r="F336" s="1446">
        <v>2.2599999999999998</v>
      </c>
      <c r="G336" s="1446">
        <v>0.6</v>
      </c>
      <c r="H336" s="1447">
        <v>0.1</v>
      </c>
      <c r="I336" s="1448">
        <f t="shared" si="17"/>
        <v>0.14000000000000001</v>
      </c>
      <c r="J336" s="1449"/>
      <c r="K336" s="1439"/>
      <c r="L336" s="1439"/>
      <c r="M336" s="1439"/>
      <c r="N336" s="1439"/>
      <c r="O336" s="1439"/>
      <c r="P336" s="1439"/>
      <c r="Q336" s="1439"/>
      <c r="R336" s="1439"/>
      <c r="S336" s="1439"/>
      <c r="T336" s="1439"/>
      <c r="U336" s="1439"/>
      <c r="V336" s="1439"/>
      <c r="W336" s="1439"/>
      <c r="X336" s="1439"/>
      <c r="Y336" s="1439"/>
      <c r="Z336" s="1439"/>
      <c r="AA336" s="1439"/>
      <c r="AB336" s="1439"/>
      <c r="AC336" s="1439"/>
      <c r="AD336" s="1439"/>
      <c r="AE336" s="1439"/>
      <c r="AF336" s="1439"/>
      <c r="AG336" s="1439"/>
    </row>
    <row r="337" spans="1:33" ht="15.75" customHeight="1">
      <c r="A337" s="1443"/>
      <c r="B337" s="1452" t="s">
        <v>3414</v>
      </c>
      <c r="C337" s="1445">
        <v>13</v>
      </c>
      <c r="D337" s="1453" t="s">
        <v>3364</v>
      </c>
      <c r="E337" s="1445">
        <v>1</v>
      </c>
      <c r="F337" s="1446">
        <v>2.2599999999999998</v>
      </c>
      <c r="G337" s="1446">
        <v>0.6</v>
      </c>
      <c r="H337" s="1447">
        <v>0.1</v>
      </c>
      <c r="I337" s="1448">
        <f t="shared" si="17"/>
        <v>1.76</v>
      </c>
      <c r="J337" s="1449"/>
      <c r="K337" s="1439"/>
      <c r="L337" s="1439"/>
      <c r="M337" s="1439"/>
      <c r="N337" s="1439"/>
      <c r="O337" s="1439"/>
      <c r="P337" s="1439"/>
      <c r="Q337" s="1439"/>
      <c r="R337" s="1439"/>
      <c r="S337" s="1439"/>
      <c r="T337" s="1439"/>
      <c r="U337" s="1439"/>
      <c r="V337" s="1439"/>
      <c r="W337" s="1439"/>
      <c r="X337" s="1439"/>
      <c r="Y337" s="1439"/>
      <c r="Z337" s="1439"/>
      <c r="AA337" s="1439"/>
      <c r="AB337" s="1439"/>
      <c r="AC337" s="1439"/>
      <c r="AD337" s="1439"/>
      <c r="AE337" s="1439"/>
      <c r="AF337" s="1439"/>
      <c r="AG337" s="1439"/>
    </row>
    <row r="338" spans="1:33" ht="15.75" customHeight="1">
      <c r="A338" s="1443"/>
      <c r="B338" s="1452" t="s">
        <v>7413</v>
      </c>
      <c r="C338" s="1445">
        <v>1</v>
      </c>
      <c r="D338" s="1453" t="s">
        <v>3364</v>
      </c>
      <c r="E338" s="1445">
        <v>1</v>
      </c>
      <c r="F338" s="1446">
        <v>1.36</v>
      </c>
      <c r="G338" s="1446">
        <v>0.6</v>
      </c>
      <c r="H338" s="1447">
        <v>0.1</v>
      </c>
      <c r="I338" s="1448">
        <f t="shared" si="17"/>
        <v>0.08</v>
      </c>
      <c r="J338" s="1449"/>
      <c r="K338" s="1439"/>
      <c r="L338" s="1439"/>
      <c r="M338" s="1439"/>
      <c r="N338" s="1439"/>
      <c r="O338" s="1439"/>
      <c r="P338" s="1439"/>
      <c r="Q338" s="1439"/>
      <c r="R338" s="1439"/>
      <c r="S338" s="1439"/>
      <c r="T338" s="1439"/>
      <c r="U338" s="1439"/>
      <c r="V338" s="1439"/>
      <c r="W338" s="1439"/>
      <c r="X338" s="1439"/>
      <c r="Y338" s="1439"/>
      <c r="Z338" s="1439"/>
      <c r="AA338" s="1439"/>
      <c r="AB338" s="1439"/>
      <c r="AC338" s="1439"/>
      <c r="AD338" s="1439"/>
      <c r="AE338" s="1439"/>
      <c r="AF338" s="1439"/>
      <c r="AG338" s="1439"/>
    </row>
    <row r="339" spans="1:33" ht="15.75" customHeight="1">
      <c r="A339" s="1470"/>
      <c r="B339" s="1474"/>
      <c r="C339" s="1445"/>
      <c r="D339" s="1445"/>
      <c r="E339" s="1445"/>
      <c r="F339" s="1446"/>
      <c r="G339" s="1458" t="s">
        <v>104</v>
      </c>
      <c r="H339" s="1460"/>
      <c r="I339" s="1459">
        <f>SUM(I287:I338)</f>
        <v>153.15</v>
      </c>
      <c r="J339" s="1475"/>
      <c r="K339" s="1439"/>
      <c r="L339" s="1439"/>
      <c r="M339" s="1439"/>
      <c r="N339" s="1439"/>
      <c r="O339" s="1439"/>
      <c r="P339" s="1439"/>
      <c r="Q339" s="1439"/>
      <c r="R339" s="1439"/>
      <c r="S339" s="1439"/>
      <c r="T339" s="1439"/>
      <c r="U339" s="1439"/>
      <c r="V339" s="1439"/>
      <c r="W339" s="1439"/>
      <c r="X339" s="1439"/>
      <c r="Y339" s="1439"/>
      <c r="Z339" s="1439"/>
      <c r="AA339" s="1439"/>
      <c r="AB339" s="1439"/>
      <c r="AC339" s="1439"/>
      <c r="AD339" s="1439"/>
      <c r="AE339" s="1439"/>
      <c r="AF339" s="1439"/>
      <c r="AG339" s="1439"/>
    </row>
    <row r="340" spans="1:33" ht="15.75" customHeight="1">
      <c r="A340" s="1470"/>
      <c r="B340" s="1474"/>
      <c r="C340" s="1445"/>
      <c r="D340" s="1445"/>
      <c r="E340" s="1445"/>
      <c r="F340" s="1446"/>
      <c r="G340" s="1458"/>
      <c r="H340" s="1460" t="s">
        <v>2981</v>
      </c>
      <c r="I340" s="1459">
        <f>CEILING(I339,0.1)</f>
        <v>153.19999999999999</v>
      </c>
      <c r="J340" s="1449" t="s">
        <v>5</v>
      </c>
      <c r="K340" s="1439"/>
      <c r="L340" s="1439"/>
      <c r="M340" s="1439"/>
      <c r="N340" s="1439"/>
      <c r="O340" s="1439"/>
      <c r="P340" s="1439"/>
      <c r="Q340" s="1439"/>
      <c r="R340" s="1439"/>
      <c r="S340" s="1439"/>
      <c r="T340" s="1439"/>
      <c r="U340" s="1439"/>
      <c r="V340" s="1439"/>
      <c r="W340" s="1439"/>
      <c r="X340" s="1439"/>
      <c r="Y340" s="1439"/>
      <c r="Z340" s="1439"/>
      <c r="AA340" s="1439"/>
      <c r="AB340" s="1439"/>
      <c r="AC340" s="1439"/>
      <c r="AD340" s="1439"/>
      <c r="AE340" s="1439"/>
      <c r="AF340" s="1439"/>
      <c r="AG340" s="1439"/>
    </row>
    <row r="341" spans="1:33" ht="15.75" customHeight="1">
      <c r="A341" s="1470"/>
      <c r="B341" s="1471" t="s">
        <v>3431</v>
      </c>
      <c r="C341" s="1445"/>
      <c r="D341" s="1445"/>
      <c r="E341" s="1445"/>
      <c r="F341" s="1446"/>
      <c r="G341" s="1446"/>
      <c r="H341" s="1447"/>
      <c r="I341" s="1448"/>
      <c r="J341" s="1449"/>
      <c r="K341" s="1439"/>
      <c r="L341" s="1439"/>
      <c r="M341" s="1439"/>
      <c r="N341" s="1439"/>
      <c r="O341" s="1439"/>
      <c r="P341" s="1439"/>
      <c r="Q341" s="1439"/>
      <c r="R341" s="1439"/>
      <c r="S341" s="1439"/>
      <c r="T341" s="1439"/>
      <c r="U341" s="1439"/>
      <c r="V341" s="1439"/>
      <c r="W341" s="1439"/>
      <c r="X341" s="1439"/>
      <c r="Y341" s="1439"/>
      <c r="Z341" s="1439"/>
      <c r="AA341" s="1439"/>
      <c r="AB341" s="1439"/>
      <c r="AC341" s="1439"/>
      <c r="AD341" s="1439"/>
      <c r="AE341" s="1439"/>
      <c r="AF341" s="1439"/>
      <c r="AG341" s="1439"/>
    </row>
    <row r="342" spans="1:33" ht="15.75" customHeight="1">
      <c r="A342" s="1443"/>
      <c r="B342" s="1452" t="s">
        <v>7396</v>
      </c>
      <c r="C342" s="1445">
        <v>3</v>
      </c>
      <c r="D342" s="1453" t="s">
        <v>3364</v>
      </c>
      <c r="E342" s="1445">
        <v>1</v>
      </c>
      <c r="F342" s="1446">
        <v>0.23</v>
      </c>
      <c r="G342" s="1454">
        <v>0.3</v>
      </c>
      <c r="H342" s="1447">
        <v>2.9</v>
      </c>
      <c r="I342" s="1448">
        <f t="shared" ref="I342:I349" si="18">PRODUCT(C342:H342)</f>
        <v>0.6</v>
      </c>
      <c r="J342" s="1449"/>
      <c r="K342" s="1439"/>
      <c r="L342" s="1439"/>
      <c r="M342" s="1439"/>
      <c r="N342" s="1439"/>
      <c r="O342" s="1439"/>
      <c r="P342" s="1439"/>
      <c r="Q342" s="1439"/>
      <c r="R342" s="1439"/>
      <c r="S342" s="1439"/>
      <c r="T342" s="1439"/>
      <c r="U342" s="1439"/>
      <c r="V342" s="1439"/>
      <c r="W342" s="1439"/>
      <c r="X342" s="1439"/>
      <c r="Y342" s="1439"/>
      <c r="Z342" s="1439"/>
      <c r="AA342" s="1439"/>
      <c r="AB342" s="1439"/>
      <c r="AC342" s="1439"/>
      <c r="AD342" s="1439"/>
      <c r="AE342" s="1439"/>
      <c r="AF342" s="1439"/>
      <c r="AG342" s="1439"/>
    </row>
    <row r="343" spans="1:33" ht="15.75" customHeight="1">
      <c r="A343" s="1443"/>
      <c r="B343" s="1452" t="s">
        <v>7397</v>
      </c>
      <c r="C343" s="1445">
        <v>2</v>
      </c>
      <c r="D343" s="1453" t="s">
        <v>3364</v>
      </c>
      <c r="E343" s="1445">
        <v>1</v>
      </c>
      <c r="F343" s="1446">
        <v>0.23</v>
      </c>
      <c r="G343" s="1446">
        <v>0.38</v>
      </c>
      <c r="H343" s="1447">
        <v>2.9</v>
      </c>
      <c r="I343" s="1448">
        <f t="shared" si="18"/>
        <v>0.51</v>
      </c>
      <c r="J343" s="1449"/>
      <c r="K343" s="1439"/>
      <c r="L343" s="1439"/>
      <c r="M343" s="1439"/>
      <c r="N343" s="1439"/>
      <c r="O343" s="1439"/>
      <c r="P343" s="1439"/>
      <c r="Q343" s="1439"/>
      <c r="R343" s="1439"/>
      <c r="S343" s="1439"/>
      <c r="T343" s="1439"/>
      <c r="U343" s="1439"/>
      <c r="V343" s="1439"/>
      <c r="W343" s="1439"/>
      <c r="X343" s="1439"/>
      <c r="Y343" s="1439"/>
      <c r="Z343" s="1439"/>
      <c r="AA343" s="1439"/>
      <c r="AB343" s="1439"/>
      <c r="AC343" s="1439"/>
      <c r="AD343" s="1439"/>
      <c r="AE343" s="1439"/>
      <c r="AF343" s="1439"/>
      <c r="AG343" s="1439"/>
    </row>
    <row r="344" spans="1:33" ht="15.75" customHeight="1">
      <c r="A344" s="1443"/>
      <c r="B344" s="1452" t="s">
        <v>7398</v>
      </c>
      <c r="C344" s="1445">
        <v>4</v>
      </c>
      <c r="D344" s="1453" t="s">
        <v>3364</v>
      </c>
      <c r="E344" s="1445">
        <v>1</v>
      </c>
      <c r="F344" s="1446">
        <v>0.23</v>
      </c>
      <c r="G344" s="1446">
        <v>0.45</v>
      </c>
      <c r="H344" s="1447">
        <v>2.9</v>
      </c>
      <c r="I344" s="1448">
        <f t="shared" si="18"/>
        <v>1.2</v>
      </c>
      <c r="J344" s="1449"/>
      <c r="K344" s="1439"/>
      <c r="L344" s="1439"/>
      <c r="M344" s="1439"/>
      <c r="N344" s="1439"/>
      <c r="O344" s="1439"/>
      <c r="P344" s="1439"/>
      <c r="Q344" s="1439"/>
      <c r="R344" s="1439"/>
      <c r="S344" s="1439"/>
      <c r="T344" s="1439"/>
      <c r="U344" s="1439"/>
      <c r="V344" s="1439"/>
      <c r="W344" s="1439"/>
      <c r="X344" s="1439"/>
      <c r="Y344" s="1439"/>
      <c r="Z344" s="1439"/>
      <c r="AA344" s="1439"/>
      <c r="AB344" s="1439"/>
      <c r="AC344" s="1439"/>
      <c r="AD344" s="1439"/>
      <c r="AE344" s="1439"/>
      <c r="AF344" s="1439"/>
      <c r="AG344" s="1439"/>
    </row>
    <row r="345" spans="1:33" ht="15.75" customHeight="1">
      <c r="A345" s="1443"/>
      <c r="B345" s="1452" t="s">
        <v>7399</v>
      </c>
      <c r="C345" s="1445">
        <v>5</v>
      </c>
      <c r="D345" s="1453" t="s">
        <v>3364</v>
      </c>
      <c r="E345" s="1445">
        <v>1</v>
      </c>
      <c r="F345" s="1446">
        <v>0.23</v>
      </c>
      <c r="G345" s="1446">
        <v>0.45</v>
      </c>
      <c r="H345" s="1447">
        <v>2.9</v>
      </c>
      <c r="I345" s="1448">
        <f t="shared" si="18"/>
        <v>1.5</v>
      </c>
      <c r="J345" s="1449"/>
      <c r="K345" s="1439"/>
      <c r="L345" s="1439"/>
      <c r="M345" s="1439"/>
      <c r="N345" s="1439"/>
      <c r="O345" s="1439"/>
      <c r="P345" s="1439"/>
      <c r="Q345" s="1439"/>
      <c r="R345" s="1439"/>
      <c r="S345" s="1439"/>
      <c r="T345" s="1439"/>
      <c r="U345" s="1439"/>
      <c r="V345" s="1439"/>
      <c r="W345" s="1439"/>
      <c r="X345" s="1439"/>
      <c r="Y345" s="1439"/>
      <c r="Z345" s="1439"/>
      <c r="AA345" s="1439"/>
      <c r="AB345" s="1439"/>
      <c r="AC345" s="1439"/>
      <c r="AD345" s="1439"/>
      <c r="AE345" s="1439"/>
      <c r="AF345" s="1439"/>
      <c r="AG345" s="1439"/>
    </row>
    <row r="346" spans="1:33" ht="15.75" customHeight="1">
      <c r="A346" s="1443"/>
      <c r="B346" s="1452" t="s">
        <v>7400</v>
      </c>
      <c r="C346" s="1445">
        <v>6</v>
      </c>
      <c r="D346" s="1453" t="s">
        <v>3364</v>
      </c>
      <c r="E346" s="1445">
        <v>1</v>
      </c>
      <c r="F346" s="1446">
        <v>0.3</v>
      </c>
      <c r="G346" s="1446">
        <v>0.45</v>
      </c>
      <c r="H346" s="1447">
        <v>2.9</v>
      </c>
      <c r="I346" s="1448">
        <f t="shared" si="18"/>
        <v>2.35</v>
      </c>
      <c r="J346" s="1449"/>
      <c r="K346" s="1439"/>
      <c r="L346" s="1439">
        <f>3-0.2-0.1-1.05</f>
        <v>1.65</v>
      </c>
      <c r="M346" s="1439"/>
      <c r="N346" s="1439"/>
      <c r="O346" s="1439"/>
      <c r="P346" s="1439"/>
      <c r="Q346" s="1439"/>
      <c r="R346" s="1439"/>
      <c r="S346" s="1439"/>
      <c r="T346" s="1439"/>
      <c r="U346" s="1439"/>
      <c r="V346" s="1439"/>
      <c r="W346" s="1439"/>
      <c r="X346" s="1439"/>
      <c r="Y346" s="1439"/>
      <c r="Z346" s="1439"/>
      <c r="AA346" s="1439"/>
      <c r="AB346" s="1439"/>
      <c r="AC346" s="1439"/>
      <c r="AD346" s="1439"/>
      <c r="AE346" s="1439"/>
      <c r="AF346" s="1439"/>
      <c r="AG346" s="1439"/>
    </row>
    <row r="347" spans="1:33" ht="15.75" customHeight="1">
      <c r="A347" s="1443"/>
      <c r="B347" s="1452" t="s">
        <v>7401</v>
      </c>
      <c r="C347" s="1445">
        <v>6</v>
      </c>
      <c r="D347" s="1453" t="s">
        <v>3364</v>
      </c>
      <c r="E347" s="1445">
        <v>1</v>
      </c>
      <c r="F347" s="1446">
        <v>0.3</v>
      </c>
      <c r="G347" s="1446">
        <v>0.45</v>
      </c>
      <c r="H347" s="1447">
        <v>2.9</v>
      </c>
      <c r="I347" s="1448">
        <f t="shared" si="18"/>
        <v>2.35</v>
      </c>
      <c r="J347" s="1449"/>
      <c r="K347" s="1439"/>
      <c r="L347" s="1439">
        <f>1.65+1</f>
        <v>2.65</v>
      </c>
      <c r="M347" s="1439"/>
      <c r="N347" s="1439"/>
      <c r="O347" s="1439"/>
      <c r="P347" s="1439"/>
      <c r="Q347" s="1439"/>
      <c r="R347" s="1439"/>
      <c r="S347" s="1439"/>
      <c r="T347" s="1439"/>
      <c r="U347" s="1439"/>
      <c r="V347" s="1439"/>
      <c r="W347" s="1439"/>
      <c r="X347" s="1439"/>
      <c r="Y347" s="1439"/>
      <c r="Z347" s="1439"/>
      <c r="AA347" s="1439"/>
      <c r="AB347" s="1439"/>
      <c r="AC347" s="1439"/>
      <c r="AD347" s="1439"/>
      <c r="AE347" s="1439"/>
      <c r="AF347" s="1439"/>
      <c r="AG347" s="1439"/>
    </row>
    <row r="348" spans="1:33" ht="15.75" customHeight="1">
      <c r="A348" s="1443"/>
      <c r="B348" s="1452" t="s">
        <v>7402</v>
      </c>
      <c r="C348" s="1445">
        <v>2</v>
      </c>
      <c r="D348" s="1453" t="s">
        <v>3364</v>
      </c>
      <c r="E348" s="1445">
        <v>1</v>
      </c>
      <c r="F348" s="1446">
        <v>0.3</v>
      </c>
      <c r="G348" s="1446">
        <v>0.6</v>
      </c>
      <c r="H348" s="1447">
        <v>2.9</v>
      </c>
      <c r="I348" s="1448">
        <f t="shared" si="18"/>
        <v>1.04</v>
      </c>
      <c r="J348" s="1449"/>
      <c r="K348" s="1439"/>
      <c r="L348" s="1439"/>
      <c r="M348" s="1439"/>
      <c r="N348" s="1439"/>
      <c r="O348" s="1439"/>
      <c r="P348" s="1439"/>
      <c r="Q348" s="1439"/>
      <c r="R348" s="1439"/>
      <c r="S348" s="1439"/>
      <c r="T348" s="1439"/>
      <c r="U348" s="1439"/>
      <c r="V348" s="1439"/>
      <c r="W348" s="1439"/>
      <c r="X348" s="1439"/>
      <c r="Y348" s="1439"/>
      <c r="Z348" s="1439"/>
      <c r="AA348" s="1439"/>
      <c r="AB348" s="1439"/>
      <c r="AC348" s="1439"/>
      <c r="AD348" s="1439"/>
      <c r="AE348" s="1439"/>
      <c r="AF348" s="1439"/>
      <c r="AG348" s="1439"/>
    </row>
    <row r="349" spans="1:33" ht="15.75" customHeight="1">
      <c r="A349" s="1443"/>
      <c r="B349" s="1452" t="s">
        <v>7403</v>
      </c>
      <c r="C349" s="1445">
        <v>6</v>
      </c>
      <c r="D349" s="1453" t="s">
        <v>3364</v>
      </c>
      <c r="E349" s="1445">
        <v>1</v>
      </c>
      <c r="F349" s="1446">
        <v>0.3</v>
      </c>
      <c r="G349" s="1446">
        <v>0.6</v>
      </c>
      <c r="H349" s="1447">
        <v>2.9</v>
      </c>
      <c r="I349" s="1448">
        <f t="shared" si="18"/>
        <v>3.13</v>
      </c>
      <c r="J349" s="1449"/>
      <c r="K349" s="1439"/>
      <c r="L349" s="1439"/>
      <c r="M349" s="1439"/>
      <c r="N349" s="1439"/>
      <c r="O349" s="1439"/>
      <c r="P349" s="1439"/>
      <c r="Q349" s="1439"/>
      <c r="R349" s="1439"/>
      <c r="S349" s="1439"/>
      <c r="T349" s="1439"/>
      <c r="U349" s="1439"/>
      <c r="V349" s="1439"/>
      <c r="W349" s="1439"/>
      <c r="X349" s="1439"/>
      <c r="Y349" s="1439"/>
      <c r="Z349" s="1439"/>
      <c r="AA349" s="1439"/>
      <c r="AB349" s="1439"/>
      <c r="AC349" s="1439"/>
      <c r="AD349" s="1439"/>
      <c r="AE349" s="1439"/>
      <c r="AF349" s="1439"/>
      <c r="AG349" s="1439"/>
    </row>
    <row r="350" spans="1:33">
      <c r="A350" s="1443"/>
      <c r="B350" s="1455" t="s">
        <v>7407</v>
      </c>
      <c r="C350" s="1445"/>
      <c r="D350" s="1445"/>
      <c r="E350" s="1445"/>
      <c r="F350" s="1446"/>
      <c r="G350" s="1446"/>
      <c r="H350" s="1447"/>
      <c r="I350" s="1448"/>
      <c r="J350" s="1449"/>
      <c r="K350" s="1439"/>
      <c r="L350" s="1439"/>
      <c r="M350" s="1439"/>
      <c r="N350" s="1439"/>
      <c r="O350" s="1439"/>
      <c r="P350" s="1439"/>
      <c r="Q350" s="1439"/>
      <c r="R350" s="1439"/>
      <c r="S350" s="1439"/>
      <c r="T350" s="1439"/>
      <c r="U350" s="1439"/>
      <c r="V350" s="1439"/>
      <c r="W350" s="1439"/>
      <c r="X350" s="1439"/>
      <c r="Y350" s="1439"/>
      <c r="Z350" s="1439"/>
      <c r="AA350" s="1439"/>
      <c r="AB350" s="1439"/>
      <c r="AC350" s="1439"/>
      <c r="AD350" s="1439"/>
      <c r="AE350" s="1439"/>
      <c r="AF350" s="1439"/>
      <c r="AG350" s="1439"/>
    </row>
    <row r="351" spans="1:33" ht="15.75" customHeight="1">
      <c r="A351" s="1443"/>
      <c r="B351" s="1452" t="s">
        <v>7388</v>
      </c>
      <c r="C351" s="1445">
        <v>1</v>
      </c>
      <c r="D351" s="1445" t="s">
        <v>3364</v>
      </c>
      <c r="E351" s="1445">
        <v>4</v>
      </c>
      <c r="F351" s="1446">
        <v>27.89</v>
      </c>
      <c r="G351" s="1446">
        <v>0.23</v>
      </c>
      <c r="H351" s="1467">
        <v>0.45</v>
      </c>
      <c r="I351" s="1448">
        <f t="shared" ref="I351:I359" si="19">PRODUCT(C351:H351)</f>
        <v>11.55</v>
      </c>
      <c r="J351" s="1449"/>
      <c r="K351" s="1439"/>
      <c r="L351" s="1439"/>
      <c r="M351" s="1439"/>
      <c r="N351" s="1439"/>
      <c r="O351" s="1439"/>
      <c r="P351" s="1439"/>
      <c r="Q351" s="1439"/>
      <c r="R351" s="1439"/>
      <c r="S351" s="1439"/>
      <c r="T351" s="1439"/>
      <c r="U351" s="1439"/>
      <c r="V351" s="1439"/>
      <c r="W351" s="1439"/>
      <c r="X351" s="1439"/>
      <c r="Y351" s="1439"/>
      <c r="Z351" s="1439"/>
      <c r="AA351" s="1439"/>
      <c r="AB351" s="1439"/>
      <c r="AC351" s="1439"/>
      <c r="AD351" s="1439"/>
      <c r="AE351" s="1439"/>
      <c r="AF351" s="1439"/>
      <c r="AG351" s="1439"/>
    </row>
    <row r="352" spans="1:33" ht="15.75" customHeight="1">
      <c r="A352" s="1443"/>
      <c r="B352" s="1452" t="s">
        <v>7389</v>
      </c>
      <c r="C352" s="1445">
        <v>1</v>
      </c>
      <c r="D352" s="1445" t="s">
        <v>3364</v>
      </c>
      <c r="E352" s="1445">
        <v>1</v>
      </c>
      <c r="F352" s="1446">
        <f>2.53+0.46</f>
        <v>2.99</v>
      </c>
      <c r="G352" s="1446">
        <v>0.23</v>
      </c>
      <c r="H352" s="1447">
        <v>0.45</v>
      </c>
      <c r="I352" s="1448">
        <f t="shared" si="19"/>
        <v>0.31</v>
      </c>
      <c r="J352" s="1449"/>
      <c r="K352" s="1439"/>
      <c r="L352" s="1439"/>
      <c r="M352" s="1439"/>
      <c r="N352" s="1439"/>
      <c r="O352" s="1439"/>
      <c r="P352" s="1439"/>
      <c r="Q352" s="1439"/>
      <c r="R352" s="1439"/>
      <c r="S352" s="1439"/>
      <c r="T352" s="1439"/>
      <c r="U352" s="1439"/>
      <c r="V352" s="1439"/>
      <c r="W352" s="1439"/>
      <c r="X352" s="1439"/>
      <c r="Y352" s="1439"/>
      <c r="Z352" s="1439"/>
      <c r="AA352" s="1439"/>
      <c r="AB352" s="1439"/>
      <c r="AC352" s="1439"/>
      <c r="AD352" s="1439"/>
      <c r="AE352" s="1439"/>
      <c r="AF352" s="1439"/>
      <c r="AG352" s="1439"/>
    </row>
    <row r="353" spans="1:33" ht="15.75" customHeight="1">
      <c r="A353" s="1443"/>
      <c r="B353" s="1452" t="s">
        <v>7390</v>
      </c>
      <c r="C353" s="1445">
        <v>1</v>
      </c>
      <c r="D353" s="1453" t="s">
        <v>3827</v>
      </c>
      <c r="E353" s="1445">
        <v>1</v>
      </c>
      <c r="F353" s="1446">
        <f>4.765+1.13+2.53+0.23</f>
        <v>8.6549999999999994</v>
      </c>
      <c r="G353" s="1446">
        <v>0.23</v>
      </c>
      <c r="H353" s="1447">
        <v>0.45</v>
      </c>
      <c r="I353" s="1448">
        <f t="shared" si="19"/>
        <v>0.9</v>
      </c>
      <c r="J353" s="1449"/>
      <c r="K353" s="1439"/>
      <c r="L353" s="1439"/>
      <c r="M353" s="1439"/>
      <c r="N353" s="1439"/>
      <c r="O353" s="1439"/>
      <c r="P353" s="1439"/>
      <c r="Q353" s="1439"/>
      <c r="R353" s="1439"/>
      <c r="S353" s="1439"/>
      <c r="T353" s="1439"/>
      <c r="U353" s="1439"/>
      <c r="V353" s="1439"/>
      <c r="W353" s="1439"/>
      <c r="X353" s="1439"/>
      <c r="Y353" s="1439"/>
      <c r="Z353" s="1439"/>
      <c r="AA353" s="1439"/>
      <c r="AB353" s="1439"/>
      <c r="AC353" s="1439"/>
      <c r="AD353" s="1439"/>
      <c r="AE353" s="1439"/>
      <c r="AF353" s="1439"/>
      <c r="AG353" s="1439"/>
    </row>
    <row r="354" spans="1:33" ht="15.75" customHeight="1">
      <c r="A354" s="1443"/>
      <c r="B354" s="1455" t="s">
        <v>7406</v>
      </c>
      <c r="C354" s="1445"/>
      <c r="D354" s="1445"/>
      <c r="E354" s="1445"/>
      <c r="F354" s="1446"/>
      <c r="G354" s="1446"/>
      <c r="H354" s="1447"/>
      <c r="I354" s="1448">
        <f t="shared" si="19"/>
        <v>0</v>
      </c>
      <c r="J354" s="1449"/>
      <c r="K354" s="1439"/>
      <c r="L354" s="1439"/>
      <c r="M354" s="1439"/>
      <c r="N354" s="1439"/>
      <c r="O354" s="1439"/>
      <c r="P354" s="1439"/>
      <c r="Q354" s="1439"/>
      <c r="R354" s="1439"/>
      <c r="S354" s="1439"/>
      <c r="T354" s="1439"/>
      <c r="U354" s="1439"/>
      <c r="V354" s="1439"/>
      <c r="W354" s="1439"/>
      <c r="X354" s="1439"/>
      <c r="Y354" s="1439"/>
      <c r="Z354" s="1439"/>
      <c r="AA354" s="1439"/>
      <c r="AB354" s="1439"/>
      <c r="AC354" s="1439"/>
      <c r="AD354" s="1439"/>
      <c r="AE354" s="1439"/>
      <c r="AF354" s="1439"/>
      <c r="AG354" s="1439"/>
    </row>
    <row r="355" spans="1:33" ht="15.75" customHeight="1">
      <c r="A355" s="1443"/>
      <c r="B355" s="1452" t="s">
        <v>7037</v>
      </c>
      <c r="C355" s="1445">
        <v>1</v>
      </c>
      <c r="D355" s="1445" t="s">
        <v>3364</v>
      </c>
      <c r="E355" s="1445">
        <v>7</v>
      </c>
      <c r="F355" s="1446">
        <v>18.079999999999998</v>
      </c>
      <c r="G355" s="1446">
        <v>0.23</v>
      </c>
      <c r="H355" s="1447">
        <v>0.6</v>
      </c>
      <c r="I355" s="1448">
        <f t="shared" si="19"/>
        <v>17.47</v>
      </c>
      <c r="J355" s="1449"/>
      <c r="K355" s="1439"/>
      <c r="L355" s="1439"/>
      <c r="M355" s="1439"/>
      <c r="N355" s="1439"/>
      <c r="O355" s="1439"/>
      <c r="P355" s="1439"/>
      <c r="Q355" s="1439"/>
      <c r="R355" s="1439"/>
      <c r="S355" s="1439"/>
      <c r="T355" s="1439"/>
      <c r="U355" s="1439"/>
      <c r="V355" s="1439"/>
      <c r="W355" s="1439"/>
      <c r="X355" s="1439"/>
      <c r="Y355" s="1439"/>
      <c r="Z355" s="1439"/>
      <c r="AA355" s="1439"/>
      <c r="AB355" s="1439"/>
      <c r="AC355" s="1439"/>
      <c r="AD355" s="1439"/>
      <c r="AE355" s="1439"/>
      <c r="AF355" s="1439"/>
      <c r="AG355" s="1439"/>
    </row>
    <row r="356" spans="1:33" ht="15.75" customHeight="1">
      <c r="A356" s="1443"/>
      <c r="B356" s="1452" t="s">
        <v>7391</v>
      </c>
      <c r="C356" s="1445">
        <v>1</v>
      </c>
      <c r="D356" s="1445" t="s">
        <v>3364</v>
      </c>
      <c r="E356" s="1445">
        <v>4</v>
      </c>
      <c r="F356" s="1446">
        <v>1.54</v>
      </c>
      <c r="G356" s="1446">
        <v>0.23</v>
      </c>
      <c r="H356" s="1447">
        <v>0.6</v>
      </c>
      <c r="I356" s="1448">
        <f t="shared" si="19"/>
        <v>0.85</v>
      </c>
      <c r="J356" s="1449"/>
      <c r="K356" s="1439"/>
      <c r="L356" s="1439"/>
      <c r="M356" s="1439"/>
      <c r="N356" s="1439"/>
      <c r="O356" s="1439"/>
      <c r="P356" s="1439"/>
      <c r="Q356" s="1439"/>
      <c r="R356" s="1439"/>
      <c r="S356" s="1439"/>
      <c r="T356" s="1439"/>
      <c r="U356" s="1439"/>
      <c r="V356" s="1439"/>
      <c r="W356" s="1439"/>
      <c r="X356" s="1439"/>
      <c r="Y356" s="1439"/>
      <c r="Z356" s="1439"/>
      <c r="AA356" s="1439"/>
      <c r="AB356" s="1439"/>
      <c r="AC356" s="1439"/>
      <c r="AD356" s="1439"/>
      <c r="AE356" s="1439"/>
      <c r="AF356" s="1439"/>
      <c r="AG356" s="1439"/>
    </row>
    <row r="357" spans="1:33" ht="15.75" customHeight="1">
      <c r="A357" s="1443"/>
      <c r="B357" s="1452" t="s">
        <v>7392</v>
      </c>
      <c r="C357" s="1445">
        <v>1</v>
      </c>
      <c r="D357" s="1445" t="s">
        <v>3364</v>
      </c>
      <c r="E357" s="1445">
        <v>1</v>
      </c>
      <c r="F357" s="1446">
        <v>2.3849999999999998</v>
      </c>
      <c r="G357" s="1446">
        <v>0.23</v>
      </c>
      <c r="H357" s="1447">
        <v>0.6</v>
      </c>
      <c r="I357" s="1448">
        <f t="shared" si="19"/>
        <v>0.33</v>
      </c>
      <c r="J357" s="1449"/>
      <c r="K357" s="1439"/>
      <c r="L357" s="1439"/>
      <c r="M357" s="1439"/>
      <c r="N357" s="1439"/>
      <c r="O357" s="1439"/>
      <c r="P357" s="1439"/>
      <c r="Q357" s="1439"/>
      <c r="R357" s="1439"/>
      <c r="S357" s="1439"/>
      <c r="T357" s="1439"/>
      <c r="U357" s="1439"/>
      <c r="V357" s="1439"/>
      <c r="W357" s="1439"/>
      <c r="X357" s="1439"/>
      <c r="Y357" s="1439"/>
      <c r="Z357" s="1439"/>
      <c r="AA357" s="1439"/>
      <c r="AB357" s="1439"/>
      <c r="AC357" s="1439"/>
      <c r="AD357" s="1439"/>
      <c r="AE357" s="1439"/>
      <c r="AF357" s="1439"/>
      <c r="AG357" s="1439"/>
    </row>
    <row r="358" spans="1:33" ht="15.75" customHeight="1">
      <c r="A358" s="1443"/>
      <c r="B358" s="1450" t="s">
        <v>7039</v>
      </c>
      <c r="C358" s="1445">
        <v>1</v>
      </c>
      <c r="D358" s="1445" t="s">
        <v>3364</v>
      </c>
      <c r="E358" s="1445">
        <v>1</v>
      </c>
      <c r="F358" s="1446">
        <f>8.82+0.46</f>
        <v>9.2799999999999994</v>
      </c>
      <c r="G358" s="1446">
        <v>0.23</v>
      </c>
      <c r="H358" s="1447">
        <v>0.6</v>
      </c>
      <c r="I358" s="1448">
        <f t="shared" si="19"/>
        <v>1.28</v>
      </c>
      <c r="J358" s="1449"/>
      <c r="K358" s="1439"/>
      <c r="L358" s="1439"/>
      <c r="M358" s="1439"/>
      <c r="N358" s="1439"/>
      <c r="O358" s="1439"/>
      <c r="P358" s="1439"/>
      <c r="Q358" s="1439"/>
      <c r="R358" s="1439"/>
      <c r="S358" s="1439"/>
      <c r="T358" s="1439"/>
      <c r="U358" s="1439"/>
      <c r="V358" s="1439"/>
      <c r="W358" s="1439"/>
      <c r="X358" s="1439"/>
      <c r="Y358" s="1439"/>
      <c r="Z358" s="1439"/>
      <c r="AA358" s="1439"/>
      <c r="AB358" s="1439"/>
      <c r="AC358" s="1439"/>
      <c r="AD358" s="1439"/>
      <c r="AE358" s="1439"/>
      <c r="AF358" s="1439"/>
      <c r="AG358" s="1439"/>
    </row>
    <row r="359" spans="1:33" ht="15.75" customHeight="1">
      <c r="A359" s="1443"/>
      <c r="B359" s="1452" t="s">
        <v>7404</v>
      </c>
      <c r="C359" s="1445">
        <v>1</v>
      </c>
      <c r="D359" s="1445" t="s">
        <v>3364</v>
      </c>
      <c r="E359" s="1445">
        <v>2</v>
      </c>
      <c r="F359" s="1446">
        <v>3.3460000000000001</v>
      </c>
      <c r="G359" s="1446">
        <v>0.23</v>
      </c>
      <c r="H359" s="1447">
        <v>0.6</v>
      </c>
      <c r="I359" s="1448">
        <f t="shared" si="19"/>
        <v>0.92</v>
      </c>
      <c r="J359" s="1449"/>
      <c r="K359" s="1439"/>
      <c r="L359" s="1439"/>
      <c r="M359" s="1439"/>
      <c r="N359" s="1439"/>
      <c r="O359" s="1439"/>
      <c r="P359" s="1439"/>
      <c r="Q359" s="1439"/>
      <c r="R359" s="1439"/>
      <c r="S359" s="1439"/>
      <c r="T359" s="1439"/>
      <c r="U359" s="1439"/>
      <c r="V359" s="1439"/>
      <c r="W359" s="1439"/>
      <c r="X359" s="1439"/>
      <c r="Y359" s="1439"/>
      <c r="Z359" s="1439"/>
      <c r="AA359" s="1439"/>
      <c r="AB359" s="1439"/>
      <c r="AC359" s="1439"/>
      <c r="AD359" s="1439"/>
      <c r="AE359" s="1439"/>
      <c r="AF359" s="1439"/>
      <c r="AG359" s="1439"/>
    </row>
    <row r="360" spans="1:33" ht="15.75" customHeight="1">
      <c r="A360" s="1443"/>
      <c r="B360" s="1455" t="s">
        <v>3423</v>
      </c>
      <c r="C360" s="1445"/>
      <c r="D360" s="1445"/>
      <c r="E360" s="1445"/>
      <c r="F360" s="1446"/>
      <c r="G360" s="1446"/>
      <c r="H360" s="1447"/>
      <c r="I360" s="1448">
        <f t="shared" ref="I360:I381" si="20">PRODUCT(C360:H360)</f>
        <v>0</v>
      </c>
      <c r="J360" s="1449"/>
      <c r="K360" s="1439"/>
      <c r="L360" s="1439"/>
      <c r="M360" s="1439"/>
      <c r="N360" s="1439"/>
      <c r="O360" s="1439"/>
      <c r="P360" s="1439"/>
      <c r="Q360" s="1439"/>
      <c r="R360" s="1439"/>
      <c r="S360" s="1439"/>
      <c r="T360" s="1439"/>
      <c r="U360" s="1439"/>
      <c r="V360" s="1439"/>
      <c r="W360" s="1439"/>
      <c r="X360" s="1439"/>
      <c r="Y360" s="1439"/>
      <c r="Z360" s="1439"/>
      <c r="AA360" s="1439"/>
      <c r="AB360" s="1439"/>
      <c r="AC360" s="1439"/>
      <c r="AD360" s="1439"/>
      <c r="AE360" s="1439"/>
      <c r="AF360" s="1439"/>
      <c r="AG360" s="1439"/>
    </row>
    <row r="361" spans="1:33" ht="15.75" customHeight="1">
      <c r="A361" s="1443"/>
      <c r="B361" s="1452" t="s">
        <v>7435</v>
      </c>
      <c r="C361" s="1445">
        <v>1</v>
      </c>
      <c r="D361" s="1445" t="s">
        <v>3364</v>
      </c>
      <c r="E361" s="1445">
        <v>1</v>
      </c>
      <c r="F361" s="1446">
        <v>17</v>
      </c>
      <c r="G361" s="1446">
        <f>27.625+0.23-4.765-1.13-2.53</f>
        <v>19.43</v>
      </c>
      <c r="H361" s="1447">
        <v>0.15</v>
      </c>
      <c r="I361" s="1448">
        <f t="shared" si="20"/>
        <v>49.55</v>
      </c>
      <c r="J361" s="1449"/>
      <c r="K361" s="1439"/>
      <c r="L361" s="1439"/>
      <c r="M361" s="1439"/>
      <c r="N361" s="1439"/>
      <c r="O361" s="1439"/>
      <c r="P361" s="1439"/>
      <c r="Q361" s="1439"/>
      <c r="R361" s="1439"/>
      <c r="S361" s="1439"/>
      <c r="T361" s="1439"/>
      <c r="U361" s="1439"/>
      <c r="V361" s="1439"/>
      <c r="W361" s="1439"/>
      <c r="X361" s="1439"/>
      <c r="Y361" s="1439"/>
      <c r="Z361" s="1439"/>
      <c r="AA361" s="1439"/>
      <c r="AB361" s="1439"/>
      <c r="AC361" s="1439"/>
      <c r="AD361" s="1439"/>
      <c r="AE361" s="1439"/>
      <c r="AF361" s="1439"/>
      <c r="AG361" s="1439"/>
    </row>
    <row r="362" spans="1:33" ht="31.5">
      <c r="A362" s="1443"/>
      <c r="B362" s="1452" t="s">
        <v>7441</v>
      </c>
      <c r="C362" s="1445">
        <v>1</v>
      </c>
      <c r="D362" s="1445" t="s">
        <v>3364</v>
      </c>
      <c r="E362" s="1445">
        <v>1</v>
      </c>
      <c r="F362" s="1446">
        <f>4.8+4.8+0.23</f>
        <v>9.83</v>
      </c>
      <c r="G362" s="1446">
        <v>17</v>
      </c>
      <c r="H362" s="1447">
        <v>0.15</v>
      </c>
      <c r="I362" s="1448">
        <f t="shared" si="20"/>
        <v>25.07</v>
      </c>
      <c r="J362" s="1449"/>
      <c r="K362" s="1439"/>
      <c r="L362" s="1439"/>
      <c r="M362" s="1439"/>
      <c r="N362" s="1439"/>
      <c r="O362" s="1439"/>
      <c r="P362" s="1439"/>
      <c r="Q362" s="1439"/>
      <c r="R362" s="1439"/>
      <c r="S362" s="1439"/>
      <c r="T362" s="1439"/>
      <c r="U362" s="1439"/>
      <c r="V362" s="1439"/>
      <c r="W362" s="1439"/>
      <c r="X362" s="1439"/>
      <c r="Y362" s="1439"/>
      <c r="Z362" s="1439"/>
      <c r="AA362" s="1439"/>
      <c r="AB362" s="1439"/>
      <c r="AC362" s="1439"/>
      <c r="AD362" s="1439"/>
      <c r="AE362" s="1439"/>
      <c r="AF362" s="1439"/>
      <c r="AG362" s="1439"/>
    </row>
    <row r="363" spans="1:33" ht="15.75" customHeight="1">
      <c r="A363" s="1443"/>
      <c r="B363" s="1452" t="s">
        <v>7442</v>
      </c>
      <c r="C363" s="1457">
        <v>1</v>
      </c>
      <c r="D363" s="1445" t="s">
        <v>3364</v>
      </c>
      <c r="E363" s="1445">
        <v>1</v>
      </c>
      <c r="F363" s="1446">
        <v>4.6749999999999998</v>
      </c>
      <c r="G363" s="1446">
        <v>18.43</v>
      </c>
      <c r="H363" s="1447">
        <v>0.15</v>
      </c>
      <c r="I363" s="1448">
        <f t="shared" si="20"/>
        <v>12.92</v>
      </c>
      <c r="J363" s="1449"/>
      <c r="K363" s="1439"/>
      <c r="L363" s="1439"/>
      <c r="M363" s="1439"/>
      <c r="N363" s="1439"/>
      <c r="O363" s="1439"/>
      <c r="P363" s="1439"/>
      <c r="Q363" s="1439"/>
      <c r="R363" s="1439"/>
      <c r="S363" s="1439"/>
      <c r="T363" s="1439"/>
      <c r="U363" s="1439"/>
      <c r="V363" s="1439"/>
      <c r="W363" s="1439"/>
      <c r="X363" s="1439"/>
      <c r="Y363" s="1439"/>
      <c r="Z363" s="1439"/>
      <c r="AA363" s="1439"/>
      <c r="AB363" s="1439"/>
      <c r="AC363" s="1439"/>
      <c r="AD363" s="1439"/>
      <c r="AE363" s="1439"/>
      <c r="AF363" s="1439"/>
      <c r="AG363" s="1439"/>
    </row>
    <row r="364" spans="1:33" ht="15.75" customHeight="1">
      <c r="A364" s="1443"/>
      <c r="B364" s="1450" t="s">
        <v>7428</v>
      </c>
      <c r="C364" s="1445">
        <v>1</v>
      </c>
      <c r="D364" s="1445" t="s">
        <v>3364</v>
      </c>
      <c r="E364" s="1445">
        <v>1</v>
      </c>
      <c r="F364" s="1446">
        <f>5.37+4.08+0.9</f>
        <v>10.35</v>
      </c>
      <c r="G364" s="1446">
        <v>3.43</v>
      </c>
      <c r="H364" s="1447">
        <v>0.15</v>
      </c>
      <c r="I364" s="1448">
        <f t="shared" si="20"/>
        <v>5.33</v>
      </c>
      <c r="J364" s="1449"/>
      <c r="K364" s="1439"/>
      <c r="L364" s="1439"/>
      <c r="M364" s="1439"/>
      <c r="N364" s="1439"/>
      <c r="O364" s="1439"/>
      <c r="P364" s="1439"/>
      <c r="Q364" s="1439"/>
      <c r="R364" s="1439"/>
      <c r="S364" s="1439"/>
      <c r="T364" s="1439"/>
      <c r="U364" s="1439"/>
      <c r="V364" s="1439"/>
      <c r="W364" s="1439"/>
      <c r="X364" s="1439"/>
      <c r="Y364" s="1439"/>
      <c r="Z364" s="1439"/>
      <c r="AA364" s="1439"/>
      <c r="AB364" s="1439"/>
      <c r="AC364" s="1439"/>
      <c r="AD364" s="1439"/>
      <c r="AE364" s="1439"/>
      <c r="AF364" s="1439"/>
      <c r="AG364" s="1439"/>
    </row>
    <row r="365" spans="1:33" ht="15.75" customHeight="1">
      <c r="A365" s="1443"/>
      <c r="B365" s="1450" t="s">
        <v>7049</v>
      </c>
      <c r="C365" s="1445">
        <v>1</v>
      </c>
      <c r="D365" s="1445" t="s">
        <v>3364</v>
      </c>
      <c r="E365" s="1445">
        <v>2</v>
      </c>
      <c r="F365" s="1446">
        <v>5.82</v>
      </c>
      <c r="G365" s="1446">
        <v>1.5</v>
      </c>
      <c r="H365" s="1447">
        <v>0.2</v>
      </c>
      <c r="I365" s="1448">
        <f t="shared" si="20"/>
        <v>3.49</v>
      </c>
      <c r="J365" s="1449"/>
      <c r="K365" s="1439"/>
      <c r="L365" s="1439"/>
      <c r="M365" s="1439"/>
      <c r="N365" s="1439"/>
      <c r="O365" s="1439"/>
      <c r="P365" s="1439"/>
      <c r="Q365" s="1439"/>
      <c r="R365" s="1439"/>
      <c r="S365" s="1439"/>
      <c r="T365" s="1439"/>
      <c r="U365" s="1439"/>
      <c r="V365" s="1439"/>
      <c r="W365" s="1439"/>
      <c r="X365" s="1439"/>
      <c r="Y365" s="1439"/>
      <c r="Z365" s="1439"/>
      <c r="AA365" s="1439"/>
      <c r="AB365" s="1439"/>
      <c r="AC365" s="1439"/>
      <c r="AD365" s="1439"/>
      <c r="AE365" s="1439"/>
      <c r="AF365" s="1439"/>
      <c r="AG365" s="1439"/>
    </row>
    <row r="366" spans="1:33" ht="15.75" customHeight="1">
      <c r="A366" s="1443"/>
      <c r="B366" s="1450" t="s">
        <v>3391</v>
      </c>
      <c r="C366" s="1445">
        <v>1</v>
      </c>
      <c r="D366" s="1445" t="s">
        <v>3364</v>
      </c>
      <c r="E366" s="1445">
        <v>1</v>
      </c>
      <c r="F366" s="1446">
        <v>3.6</v>
      </c>
      <c r="G366" s="1446">
        <v>1.5</v>
      </c>
      <c r="H366" s="1447">
        <v>0.2</v>
      </c>
      <c r="I366" s="1448">
        <f t="shared" si="20"/>
        <v>1.08</v>
      </c>
      <c r="J366" s="1449"/>
      <c r="K366" s="1439"/>
      <c r="L366" s="1439"/>
      <c r="M366" s="1439"/>
      <c r="N366" s="1439"/>
      <c r="O366" s="1439"/>
      <c r="P366" s="1439"/>
      <c r="Q366" s="1439"/>
      <c r="R366" s="1439"/>
      <c r="S366" s="1439"/>
      <c r="T366" s="1439"/>
      <c r="U366" s="1439"/>
      <c r="V366" s="1439"/>
      <c r="W366" s="1439"/>
      <c r="X366" s="1439"/>
      <c r="Y366" s="1439"/>
      <c r="Z366" s="1439"/>
      <c r="AA366" s="1439"/>
      <c r="AB366" s="1439"/>
      <c r="AC366" s="1439"/>
      <c r="AD366" s="1439"/>
      <c r="AE366" s="1439"/>
      <c r="AF366" s="1439"/>
      <c r="AG366" s="1439"/>
    </row>
    <row r="367" spans="1:33" ht="15.75" customHeight="1">
      <c r="A367" s="1443"/>
      <c r="B367" s="1450" t="s">
        <v>3392</v>
      </c>
      <c r="C367" s="1445">
        <v>1</v>
      </c>
      <c r="D367" s="1445" t="s">
        <v>3364</v>
      </c>
      <c r="E367" s="1445">
        <v>1</v>
      </c>
      <c r="F367" s="1446">
        <v>3.46</v>
      </c>
      <c r="G367" s="1446">
        <v>0.23</v>
      </c>
      <c r="H367" s="1447">
        <v>0.5</v>
      </c>
      <c r="I367" s="1448">
        <f t="shared" si="20"/>
        <v>0.4</v>
      </c>
      <c r="J367" s="1449"/>
      <c r="K367" s="1439"/>
      <c r="L367" s="1439"/>
      <c r="M367" s="1439"/>
      <c r="N367" s="1439"/>
      <c r="O367" s="1439"/>
      <c r="P367" s="1439"/>
      <c r="Q367" s="1439"/>
      <c r="R367" s="1439"/>
      <c r="S367" s="1439"/>
      <c r="T367" s="1439"/>
      <c r="U367" s="1439"/>
      <c r="V367" s="1439"/>
      <c r="W367" s="1439"/>
      <c r="X367" s="1439"/>
      <c r="Y367" s="1439"/>
      <c r="Z367" s="1439"/>
      <c r="AA367" s="1439"/>
      <c r="AB367" s="1439"/>
      <c r="AC367" s="1439"/>
      <c r="AD367" s="1439"/>
      <c r="AE367" s="1439"/>
      <c r="AF367" s="1439"/>
      <c r="AG367" s="1439"/>
    </row>
    <row r="368" spans="1:33" ht="15.75" customHeight="1">
      <c r="A368" s="1443"/>
      <c r="B368" s="1450" t="s">
        <v>3393</v>
      </c>
      <c r="C368" s="1457">
        <v>0.5</v>
      </c>
      <c r="D368" s="1445" t="s">
        <v>3364</v>
      </c>
      <c r="E368" s="1445">
        <v>22</v>
      </c>
      <c r="F368" s="1446">
        <v>1.35</v>
      </c>
      <c r="G368" s="1446">
        <v>0.3</v>
      </c>
      <c r="H368" s="1447">
        <v>0.2</v>
      </c>
      <c r="I368" s="1448">
        <f t="shared" si="20"/>
        <v>0.89</v>
      </c>
      <c r="J368" s="1449"/>
      <c r="K368" s="1439"/>
      <c r="L368" s="1439"/>
      <c r="M368" s="1439"/>
      <c r="N368" s="1439"/>
      <c r="O368" s="1439"/>
      <c r="P368" s="1439"/>
      <c r="Q368" s="1439"/>
      <c r="R368" s="1439"/>
      <c r="S368" s="1439"/>
      <c r="T368" s="1439"/>
      <c r="U368" s="1439"/>
      <c r="V368" s="1439"/>
      <c r="W368" s="1439"/>
      <c r="X368" s="1439"/>
      <c r="Y368" s="1439"/>
      <c r="Z368" s="1439"/>
      <c r="AA368" s="1439"/>
      <c r="AB368" s="1439"/>
      <c r="AC368" s="1439"/>
      <c r="AD368" s="1439"/>
      <c r="AE368" s="1439"/>
      <c r="AF368" s="1439"/>
      <c r="AG368" s="1439"/>
    </row>
    <row r="369" spans="1:33" ht="15.75" customHeight="1">
      <c r="A369" s="1443"/>
      <c r="B369" s="1455" t="s">
        <v>7436</v>
      </c>
      <c r="C369" s="1457"/>
      <c r="D369" s="1445"/>
      <c r="E369" s="1445"/>
      <c r="F369" s="1446"/>
      <c r="G369" s="1446"/>
      <c r="H369" s="1447"/>
      <c r="I369" s="1448">
        <f t="shared" si="20"/>
        <v>0</v>
      </c>
      <c r="J369" s="1449"/>
      <c r="K369" s="1439"/>
      <c r="L369" s="1439"/>
      <c r="M369" s="1439"/>
      <c r="N369" s="1439"/>
      <c r="O369" s="1439"/>
      <c r="P369" s="1439"/>
      <c r="Q369" s="1439"/>
      <c r="R369" s="1439"/>
      <c r="S369" s="1439"/>
      <c r="T369" s="1439"/>
      <c r="U369" s="1439"/>
      <c r="V369" s="1439"/>
      <c r="W369" s="1439"/>
      <c r="X369" s="1439"/>
      <c r="Y369" s="1439"/>
      <c r="Z369" s="1439"/>
      <c r="AA369" s="1439"/>
      <c r="AB369" s="1439"/>
      <c r="AC369" s="1439"/>
      <c r="AD369" s="1439"/>
      <c r="AE369" s="1439"/>
      <c r="AF369" s="1439"/>
      <c r="AG369" s="1439"/>
    </row>
    <row r="370" spans="1:33" ht="15.75" customHeight="1">
      <c r="A370" s="1443"/>
      <c r="B370" s="1452" t="s">
        <v>6922</v>
      </c>
      <c r="C370" s="1457">
        <v>2</v>
      </c>
      <c r="D370" s="1453" t="s">
        <v>3364</v>
      </c>
      <c r="E370" s="1445">
        <v>1</v>
      </c>
      <c r="F370" s="1446">
        <f>5.035+0.46</f>
        <v>5.4950000000000001</v>
      </c>
      <c r="G370" s="1446">
        <v>0.23</v>
      </c>
      <c r="H370" s="1447">
        <v>0.15</v>
      </c>
      <c r="I370" s="1448">
        <f t="shared" si="20"/>
        <v>0.38</v>
      </c>
      <c r="J370" s="1449"/>
      <c r="K370" s="1439"/>
      <c r="L370" s="1439"/>
      <c r="M370" s="1439"/>
      <c r="N370" s="1439"/>
      <c r="O370" s="1439"/>
      <c r="P370" s="1439"/>
      <c r="Q370" s="1439"/>
      <c r="R370" s="1439"/>
      <c r="S370" s="1439"/>
      <c r="T370" s="1439"/>
      <c r="U370" s="1439"/>
      <c r="V370" s="1439"/>
      <c r="W370" s="1439"/>
      <c r="X370" s="1439"/>
      <c r="Y370" s="1439"/>
      <c r="Z370" s="1439"/>
      <c r="AA370" s="1439"/>
      <c r="AB370" s="1439"/>
      <c r="AC370" s="1439"/>
      <c r="AD370" s="1439"/>
      <c r="AE370" s="1439"/>
      <c r="AF370" s="1439"/>
      <c r="AG370" s="1439"/>
    </row>
    <row r="371" spans="1:33" ht="15.75" customHeight="1">
      <c r="A371" s="1443"/>
      <c r="B371" s="1452" t="s">
        <v>7451</v>
      </c>
      <c r="C371" s="1457">
        <v>1</v>
      </c>
      <c r="D371" s="1453" t="s">
        <v>3364</v>
      </c>
      <c r="E371" s="1445">
        <v>1</v>
      </c>
      <c r="F371" s="1446">
        <f>4.57+0.46</f>
        <v>5.03</v>
      </c>
      <c r="G371" s="1446">
        <v>0.23</v>
      </c>
      <c r="H371" s="1447">
        <v>0.15</v>
      </c>
      <c r="I371" s="1448">
        <f t="shared" si="20"/>
        <v>0.17</v>
      </c>
      <c r="J371" s="1449"/>
      <c r="K371" s="1439"/>
      <c r="L371" s="1439"/>
      <c r="M371" s="1439"/>
      <c r="N371" s="1439"/>
      <c r="O371" s="1439"/>
      <c r="P371" s="1439"/>
      <c r="Q371" s="1439"/>
      <c r="R371" s="1439"/>
      <c r="S371" s="1439"/>
      <c r="T371" s="1439"/>
      <c r="U371" s="1439"/>
      <c r="V371" s="1439"/>
      <c r="W371" s="1439"/>
      <c r="X371" s="1439"/>
      <c r="Y371" s="1439"/>
      <c r="Z371" s="1439"/>
      <c r="AA371" s="1439"/>
      <c r="AB371" s="1439"/>
      <c r="AC371" s="1439"/>
      <c r="AD371" s="1439"/>
      <c r="AE371" s="1439"/>
      <c r="AF371" s="1439"/>
      <c r="AG371" s="1439"/>
    </row>
    <row r="372" spans="1:33" ht="15.75" customHeight="1">
      <c r="A372" s="1443"/>
      <c r="B372" s="1452" t="s">
        <v>7452</v>
      </c>
      <c r="C372" s="1445">
        <v>2</v>
      </c>
      <c r="D372" s="1453" t="s">
        <v>3364</v>
      </c>
      <c r="E372" s="1445">
        <v>1</v>
      </c>
      <c r="F372" s="1446">
        <f>5.7+6.3+2.53+10.47</f>
        <v>25</v>
      </c>
      <c r="G372" s="1454">
        <v>0.23</v>
      </c>
      <c r="H372" s="1447">
        <v>0.15</v>
      </c>
      <c r="I372" s="1448">
        <f t="shared" si="20"/>
        <v>1.73</v>
      </c>
      <c r="J372" s="1449"/>
      <c r="K372" s="1439"/>
      <c r="L372" s="1439"/>
      <c r="M372" s="1439"/>
      <c r="N372" s="1439"/>
      <c r="O372" s="1439"/>
      <c r="P372" s="1439"/>
      <c r="Q372" s="1439"/>
      <c r="R372" s="1439"/>
      <c r="S372" s="1439"/>
      <c r="T372" s="1439"/>
      <c r="U372" s="1439"/>
      <c r="V372" s="1439"/>
      <c r="W372" s="1439"/>
      <c r="X372" s="1439"/>
      <c r="Y372" s="1439"/>
      <c r="Z372" s="1439"/>
      <c r="AA372" s="1439"/>
      <c r="AB372" s="1439"/>
      <c r="AC372" s="1439"/>
      <c r="AD372" s="1439"/>
      <c r="AE372" s="1439"/>
      <c r="AF372" s="1439"/>
      <c r="AG372" s="1439"/>
    </row>
    <row r="373" spans="1:33" ht="15.75" customHeight="1">
      <c r="A373" s="1443"/>
      <c r="B373" s="1455" t="s">
        <v>7432</v>
      </c>
      <c r="C373" s="1457"/>
      <c r="D373" s="1453"/>
      <c r="E373" s="1445"/>
      <c r="F373" s="1446"/>
      <c r="G373" s="1446"/>
      <c r="H373" s="1447"/>
      <c r="I373" s="1448">
        <f t="shared" si="20"/>
        <v>0</v>
      </c>
      <c r="J373" s="1449"/>
      <c r="K373" s="1439"/>
      <c r="L373" s="1439"/>
      <c r="M373" s="1439"/>
      <c r="N373" s="1439"/>
      <c r="O373" s="1439"/>
      <c r="P373" s="1439"/>
      <c r="Q373" s="1439"/>
      <c r="R373" s="1439"/>
      <c r="S373" s="1439"/>
      <c r="T373" s="1439"/>
      <c r="U373" s="1439"/>
      <c r="V373" s="1439"/>
      <c r="W373" s="1439"/>
      <c r="X373" s="1439"/>
      <c r="Y373" s="1439"/>
      <c r="Z373" s="1439"/>
      <c r="AA373" s="1439"/>
      <c r="AB373" s="1439"/>
      <c r="AC373" s="1439"/>
      <c r="AD373" s="1439"/>
      <c r="AE373" s="1439"/>
      <c r="AF373" s="1439"/>
      <c r="AG373" s="1439"/>
    </row>
    <row r="374" spans="1:33" ht="15.75" customHeight="1">
      <c r="A374" s="1443"/>
      <c r="B374" s="1452" t="s">
        <v>6922</v>
      </c>
      <c r="C374" s="1457">
        <v>2</v>
      </c>
      <c r="D374" s="1453" t="s">
        <v>3364</v>
      </c>
      <c r="E374" s="1445">
        <v>1</v>
      </c>
      <c r="F374" s="1446">
        <f>5.035+0.46</f>
        <v>5.4950000000000001</v>
      </c>
      <c r="G374" s="1446">
        <v>0.6</v>
      </c>
      <c r="H374" s="1447">
        <v>0.15</v>
      </c>
      <c r="I374" s="1448">
        <f>PRODUCT(C374:H374)</f>
        <v>0.99</v>
      </c>
      <c r="J374" s="1449"/>
      <c r="K374" s="1439"/>
      <c r="L374" s="1439"/>
      <c r="M374" s="1439"/>
      <c r="N374" s="1439"/>
      <c r="O374" s="1439"/>
      <c r="P374" s="1439"/>
      <c r="Q374" s="1439"/>
      <c r="R374" s="1439"/>
      <c r="S374" s="1439"/>
      <c r="T374" s="1439"/>
      <c r="U374" s="1439"/>
      <c r="V374" s="1439"/>
      <c r="W374" s="1439"/>
      <c r="X374" s="1439"/>
      <c r="Y374" s="1439"/>
      <c r="Z374" s="1439"/>
      <c r="AA374" s="1439"/>
      <c r="AB374" s="1439"/>
      <c r="AC374" s="1439"/>
      <c r="AD374" s="1439"/>
      <c r="AE374" s="1439"/>
      <c r="AF374" s="1439"/>
      <c r="AG374" s="1439"/>
    </row>
    <row r="375" spans="1:33" ht="15.75" customHeight="1">
      <c r="A375" s="1443"/>
      <c r="B375" s="1452" t="s">
        <v>7451</v>
      </c>
      <c r="C375" s="1457">
        <v>1</v>
      </c>
      <c r="D375" s="1453" t="s">
        <v>3364</v>
      </c>
      <c r="E375" s="1445">
        <v>1</v>
      </c>
      <c r="F375" s="1446">
        <f>4.57+0.46</f>
        <v>5.03</v>
      </c>
      <c r="G375" s="1446">
        <v>0.6</v>
      </c>
      <c r="H375" s="1447">
        <v>0.15</v>
      </c>
      <c r="I375" s="1448">
        <f>PRODUCT(C375:H375)</f>
        <v>0.45</v>
      </c>
      <c r="J375" s="1449"/>
      <c r="K375" s="1439"/>
      <c r="L375" s="1439"/>
      <c r="M375" s="1439"/>
      <c r="N375" s="1439"/>
      <c r="O375" s="1439"/>
      <c r="P375" s="1439"/>
      <c r="Q375" s="1439"/>
      <c r="R375" s="1439"/>
      <c r="S375" s="1439"/>
      <c r="T375" s="1439"/>
      <c r="U375" s="1439"/>
      <c r="V375" s="1439"/>
      <c r="W375" s="1439"/>
      <c r="X375" s="1439"/>
      <c r="Y375" s="1439"/>
      <c r="Z375" s="1439"/>
      <c r="AA375" s="1439"/>
      <c r="AB375" s="1439"/>
      <c r="AC375" s="1439"/>
      <c r="AD375" s="1439"/>
      <c r="AE375" s="1439"/>
      <c r="AF375" s="1439"/>
      <c r="AG375" s="1439"/>
    </row>
    <row r="376" spans="1:33" ht="15.75" customHeight="1">
      <c r="A376" s="1443"/>
      <c r="B376" s="1452" t="s">
        <v>7452</v>
      </c>
      <c r="C376" s="1445">
        <v>2</v>
      </c>
      <c r="D376" s="1453" t="s">
        <v>3364</v>
      </c>
      <c r="E376" s="1445">
        <v>1</v>
      </c>
      <c r="F376" s="1446">
        <f>5.7+6.3+2.53+10.47</f>
        <v>25</v>
      </c>
      <c r="G376" s="1446">
        <v>0.6</v>
      </c>
      <c r="H376" s="1447">
        <v>0.15</v>
      </c>
      <c r="I376" s="1448">
        <f>PRODUCT(C376:H376)</f>
        <v>4.5</v>
      </c>
      <c r="J376" s="1449"/>
      <c r="K376" s="1439"/>
      <c r="L376" s="1439"/>
      <c r="M376" s="1439"/>
      <c r="N376" s="1439"/>
      <c r="O376" s="1439"/>
      <c r="P376" s="1439"/>
      <c r="Q376" s="1439"/>
      <c r="R376" s="1439"/>
      <c r="S376" s="1439"/>
      <c r="T376" s="1439"/>
      <c r="U376" s="1439"/>
      <c r="V376" s="1439"/>
      <c r="W376" s="1439"/>
      <c r="X376" s="1439"/>
      <c r="Y376" s="1439"/>
      <c r="Z376" s="1439"/>
      <c r="AA376" s="1439"/>
      <c r="AB376" s="1439"/>
      <c r="AC376" s="1439"/>
      <c r="AD376" s="1439"/>
      <c r="AE376" s="1439"/>
      <c r="AF376" s="1439"/>
      <c r="AG376" s="1439"/>
    </row>
    <row r="377" spans="1:33" ht="15.75" customHeight="1">
      <c r="A377" s="1443"/>
      <c r="B377" s="1455" t="s">
        <v>7433</v>
      </c>
      <c r="C377" s="1445"/>
      <c r="D377" s="1453"/>
      <c r="E377" s="1445"/>
      <c r="F377" s="1446"/>
      <c r="G377" s="1446"/>
      <c r="H377" s="1447"/>
      <c r="I377" s="1448">
        <f t="shared" si="20"/>
        <v>0</v>
      </c>
      <c r="J377" s="1449"/>
      <c r="K377" s="1439"/>
      <c r="L377" s="1439"/>
      <c r="M377" s="1439"/>
      <c r="N377" s="1439"/>
      <c r="O377" s="1439"/>
      <c r="P377" s="1439"/>
      <c r="Q377" s="1439"/>
      <c r="R377" s="1439"/>
      <c r="S377" s="1439"/>
      <c r="T377" s="1439"/>
      <c r="U377" s="1439"/>
      <c r="V377" s="1439"/>
      <c r="W377" s="1439"/>
      <c r="X377" s="1439"/>
      <c r="Y377" s="1439"/>
      <c r="Z377" s="1439"/>
      <c r="AA377" s="1439"/>
      <c r="AB377" s="1439"/>
      <c r="AC377" s="1439"/>
      <c r="AD377" s="1439"/>
      <c r="AE377" s="1439"/>
      <c r="AF377" s="1439"/>
      <c r="AG377" s="1439"/>
    </row>
    <row r="378" spans="1:33" ht="15.75" customHeight="1">
      <c r="A378" s="1443"/>
      <c r="B378" s="1452" t="s">
        <v>3363</v>
      </c>
      <c r="C378" s="1445">
        <v>6</v>
      </c>
      <c r="D378" s="1453" t="s">
        <v>3364</v>
      </c>
      <c r="E378" s="1445">
        <v>1</v>
      </c>
      <c r="F378" s="1446">
        <v>1.46</v>
      </c>
      <c r="G378" s="1446">
        <v>0.23</v>
      </c>
      <c r="H378" s="1447">
        <v>0.15</v>
      </c>
      <c r="I378" s="1448">
        <f t="shared" si="20"/>
        <v>0.3</v>
      </c>
      <c r="J378" s="1449"/>
      <c r="K378" s="1439"/>
      <c r="L378" s="1439"/>
      <c r="M378" s="1439"/>
      <c r="N378" s="1439"/>
      <c r="O378" s="1439"/>
      <c r="P378" s="1439"/>
      <c r="Q378" s="1439"/>
      <c r="R378" s="1439"/>
      <c r="S378" s="1439"/>
      <c r="T378" s="1439"/>
      <c r="U378" s="1439"/>
      <c r="V378" s="1439"/>
      <c r="W378" s="1439"/>
      <c r="X378" s="1439"/>
      <c r="Y378" s="1439"/>
      <c r="Z378" s="1439"/>
      <c r="AA378" s="1439"/>
      <c r="AB378" s="1439"/>
      <c r="AC378" s="1439"/>
      <c r="AD378" s="1439"/>
      <c r="AE378" s="1439"/>
      <c r="AF378" s="1439"/>
      <c r="AG378" s="1439"/>
    </row>
    <row r="379" spans="1:33" ht="15.75" customHeight="1">
      <c r="A379" s="1443"/>
      <c r="B379" s="1452" t="s">
        <v>3407</v>
      </c>
      <c r="C379" s="1445">
        <v>9</v>
      </c>
      <c r="D379" s="1453" t="s">
        <v>3364</v>
      </c>
      <c r="E379" s="1445">
        <v>1</v>
      </c>
      <c r="F379" s="1446">
        <v>1.21</v>
      </c>
      <c r="G379" s="1446">
        <v>0.23</v>
      </c>
      <c r="H379" s="1447">
        <v>0.15</v>
      </c>
      <c r="I379" s="1448">
        <f t="shared" si="20"/>
        <v>0.38</v>
      </c>
      <c r="J379" s="1449"/>
      <c r="K379" s="1439"/>
      <c r="L379" s="1439"/>
      <c r="M379" s="1439"/>
      <c r="N379" s="1439"/>
      <c r="O379" s="1439"/>
      <c r="P379" s="1439"/>
      <c r="Q379" s="1439"/>
      <c r="R379" s="1439"/>
      <c r="S379" s="1439"/>
      <c r="T379" s="1439"/>
      <c r="U379" s="1439"/>
      <c r="V379" s="1439"/>
      <c r="W379" s="1439"/>
      <c r="X379" s="1439"/>
      <c r="Y379" s="1439"/>
      <c r="Z379" s="1439"/>
      <c r="AA379" s="1439"/>
      <c r="AB379" s="1439"/>
      <c r="AC379" s="1439"/>
      <c r="AD379" s="1439"/>
      <c r="AE379" s="1439"/>
      <c r="AF379" s="1439"/>
      <c r="AG379" s="1439"/>
    </row>
    <row r="380" spans="1:33" ht="15.75" customHeight="1">
      <c r="A380" s="1443"/>
      <c r="B380" s="1452" t="s">
        <v>3497</v>
      </c>
      <c r="C380" s="1445">
        <v>1</v>
      </c>
      <c r="D380" s="1453" t="s">
        <v>3364</v>
      </c>
      <c r="E380" s="1445">
        <v>1</v>
      </c>
      <c r="F380" s="1446">
        <v>2.2599999999999998</v>
      </c>
      <c r="G380" s="1446">
        <v>0.23</v>
      </c>
      <c r="H380" s="1447">
        <v>0.15</v>
      </c>
      <c r="I380" s="1448">
        <f t="shared" si="20"/>
        <v>0.08</v>
      </c>
      <c r="J380" s="1449"/>
      <c r="K380" s="1439"/>
      <c r="L380" s="1439"/>
      <c r="M380" s="1439"/>
      <c r="N380" s="1439"/>
      <c r="O380" s="1439"/>
      <c r="P380" s="1439"/>
      <c r="Q380" s="1439"/>
      <c r="R380" s="1439"/>
      <c r="S380" s="1439"/>
      <c r="T380" s="1439"/>
      <c r="U380" s="1439"/>
      <c r="V380" s="1439"/>
      <c r="W380" s="1439"/>
      <c r="X380" s="1439"/>
      <c r="Y380" s="1439"/>
      <c r="Z380" s="1439"/>
      <c r="AA380" s="1439"/>
      <c r="AB380" s="1439"/>
      <c r="AC380" s="1439"/>
      <c r="AD380" s="1439"/>
      <c r="AE380" s="1439"/>
      <c r="AF380" s="1439"/>
      <c r="AG380" s="1439"/>
    </row>
    <row r="381" spans="1:33" ht="15.75" customHeight="1">
      <c r="A381" s="1443"/>
      <c r="B381" s="1452" t="s">
        <v>3414</v>
      </c>
      <c r="C381" s="1445">
        <v>14</v>
      </c>
      <c r="D381" s="1453" t="s">
        <v>3364</v>
      </c>
      <c r="E381" s="1445">
        <v>1</v>
      </c>
      <c r="F381" s="1446">
        <v>2.2599999999999998</v>
      </c>
      <c r="G381" s="1446">
        <v>0.23</v>
      </c>
      <c r="H381" s="1447">
        <v>0.15</v>
      </c>
      <c r="I381" s="1448">
        <f t="shared" si="20"/>
        <v>1.0900000000000001</v>
      </c>
      <c r="J381" s="1449"/>
      <c r="K381" s="1439"/>
      <c r="L381" s="1439"/>
      <c r="M381" s="1439"/>
      <c r="N381" s="1439"/>
      <c r="O381" s="1439"/>
      <c r="P381" s="1439"/>
      <c r="Q381" s="1439"/>
      <c r="R381" s="1439"/>
      <c r="S381" s="1439"/>
      <c r="T381" s="1439"/>
      <c r="U381" s="1439"/>
      <c r="V381" s="1439"/>
      <c r="W381" s="1439"/>
      <c r="X381" s="1439"/>
      <c r="Y381" s="1439"/>
      <c r="Z381" s="1439"/>
      <c r="AA381" s="1439"/>
      <c r="AB381" s="1439"/>
      <c r="AC381" s="1439"/>
      <c r="AD381" s="1439"/>
      <c r="AE381" s="1439"/>
      <c r="AF381" s="1439"/>
      <c r="AG381" s="1439"/>
    </row>
    <row r="382" spans="1:33" ht="15.75" customHeight="1">
      <c r="A382" s="1443"/>
      <c r="B382" s="1452" t="s">
        <v>6964</v>
      </c>
      <c r="C382" s="1445">
        <v>3</v>
      </c>
      <c r="D382" s="1453" t="s">
        <v>3364</v>
      </c>
      <c r="E382" s="1445">
        <v>1</v>
      </c>
      <c r="F382" s="1446">
        <v>1.36</v>
      </c>
      <c r="G382" s="1446">
        <v>0.23</v>
      </c>
      <c r="H382" s="1447">
        <v>0.15</v>
      </c>
      <c r="I382" s="1448">
        <f>PRODUCT(C382:H382)</f>
        <v>0.14000000000000001</v>
      </c>
      <c r="J382" s="1449"/>
      <c r="K382" s="1439"/>
      <c r="L382" s="1439"/>
      <c r="M382" s="1439"/>
      <c r="N382" s="1439"/>
      <c r="O382" s="1439"/>
      <c r="P382" s="1439"/>
      <c r="Q382" s="1439"/>
      <c r="R382" s="1439"/>
      <c r="S382" s="1439"/>
      <c r="T382" s="1439"/>
      <c r="U382" s="1439"/>
      <c r="V382" s="1439"/>
      <c r="W382" s="1439"/>
      <c r="X382" s="1439"/>
      <c r="Y382" s="1439"/>
      <c r="Z382" s="1439"/>
      <c r="AA382" s="1439"/>
      <c r="AB382" s="1439"/>
      <c r="AC382" s="1439"/>
      <c r="AD382" s="1439"/>
      <c r="AE382" s="1439"/>
      <c r="AF382" s="1439"/>
      <c r="AG382" s="1439"/>
    </row>
    <row r="383" spans="1:33" ht="15.75" customHeight="1">
      <c r="A383" s="1443"/>
      <c r="B383" s="1452" t="s">
        <v>3401</v>
      </c>
      <c r="C383" s="1445">
        <v>12</v>
      </c>
      <c r="D383" s="1453" t="s">
        <v>3364</v>
      </c>
      <c r="E383" s="1445">
        <v>1</v>
      </c>
      <c r="F383" s="1446">
        <v>1.21</v>
      </c>
      <c r="G383" s="1446">
        <v>0.23</v>
      </c>
      <c r="H383" s="1447">
        <v>0.15</v>
      </c>
      <c r="I383" s="1448">
        <f t="shared" ref="I383:I388" si="21">PRODUCT(C383:H383)</f>
        <v>0.5</v>
      </c>
      <c r="J383" s="1449"/>
      <c r="K383" s="1439"/>
      <c r="L383" s="1439"/>
      <c r="M383" s="1439"/>
      <c r="N383" s="1439"/>
      <c r="O383" s="1439"/>
      <c r="P383" s="1439"/>
      <c r="Q383" s="1439"/>
      <c r="R383" s="1439"/>
      <c r="S383" s="1439"/>
      <c r="T383" s="1439"/>
      <c r="U383" s="1439"/>
      <c r="V383" s="1439"/>
      <c r="W383" s="1439"/>
      <c r="X383" s="1439"/>
      <c r="Y383" s="1439"/>
      <c r="Z383" s="1439"/>
      <c r="AA383" s="1439"/>
      <c r="AB383" s="1439"/>
      <c r="AC383" s="1439"/>
      <c r="AD383" s="1439"/>
      <c r="AE383" s="1439"/>
      <c r="AF383" s="1439"/>
      <c r="AG383" s="1439"/>
    </row>
    <row r="384" spans="1:33" ht="15.75" customHeight="1">
      <c r="A384" s="1443"/>
      <c r="B384" s="1452" t="s">
        <v>7413</v>
      </c>
      <c r="C384" s="1445">
        <v>1</v>
      </c>
      <c r="D384" s="1453" t="s">
        <v>3364</v>
      </c>
      <c r="E384" s="1445">
        <v>1</v>
      </c>
      <c r="F384" s="1446">
        <v>1.36</v>
      </c>
      <c r="G384" s="1446">
        <v>0.23</v>
      </c>
      <c r="H384" s="1447">
        <v>0.15</v>
      </c>
      <c r="I384" s="1448">
        <f t="shared" si="21"/>
        <v>0.05</v>
      </c>
      <c r="J384" s="1449"/>
      <c r="K384" s="1439"/>
      <c r="L384" s="1439"/>
      <c r="M384" s="1439"/>
      <c r="N384" s="1439"/>
      <c r="O384" s="1439"/>
      <c r="P384" s="1439"/>
      <c r="Q384" s="1439"/>
      <c r="R384" s="1439"/>
      <c r="S384" s="1439"/>
      <c r="T384" s="1439"/>
      <c r="U384" s="1439"/>
      <c r="V384" s="1439"/>
      <c r="W384" s="1439"/>
      <c r="X384" s="1439"/>
      <c r="Y384" s="1439"/>
      <c r="Z384" s="1439"/>
      <c r="AA384" s="1439"/>
      <c r="AB384" s="1439"/>
      <c r="AC384" s="1439"/>
      <c r="AD384" s="1439"/>
      <c r="AE384" s="1439"/>
      <c r="AF384" s="1439"/>
      <c r="AG384" s="1439"/>
    </row>
    <row r="385" spans="1:33" ht="15.75" customHeight="1">
      <c r="A385" s="1443"/>
      <c r="B385" s="1455" t="s">
        <v>7440</v>
      </c>
      <c r="C385" s="1445"/>
      <c r="D385" s="1453"/>
      <c r="E385" s="1445"/>
      <c r="F385" s="1446"/>
      <c r="G385" s="1446"/>
      <c r="H385" s="1447"/>
      <c r="I385" s="1448">
        <f t="shared" si="21"/>
        <v>0</v>
      </c>
      <c r="J385" s="1449"/>
      <c r="K385" s="1439"/>
      <c r="L385" s="1439"/>
      <c r="M385" s="1439"/>
      <c r="N385" s="1439"/>
      <c r="O385" s="1439"/>
      <c r="P385" s="1439"/>
      <c r="Q385" s="1439"/>
      <c r="R385" s="1439"/>
      <c r="S385" s="1439"/>
      <c r="T385" s="1439"/>
      <c r="U385" s="1439"/>
      <c r="V385" s="1439"/>
      <c r="W385" s="1439"/>
      <c r="X385" s="1439"/>
      <c r="Y385" s="1439"/>
      <c r="Z385" s="1439"/>
      <c r="AA385" s="1439"/>
      <c r="AB385" s="1439"/>
      <c r="AC385" s="1439"/>
      <c r="AD385" s="1439"/>
      <c r="AE385" s="1439"/>
      <c r="AF385" s="1439"/>
      <c r="AG385" s="1439"/>
    </row>
    <row r="386" spans="1:33" ht="15.75" customHeight="1">
      <c r="A386" s="1443"/>
      <c r="B386" s="1452" t="s">
        <v>3497</v>
      </c>
      <c r="C386" s="1445">
        <v>1</v>
      </c>
      <c r="D386" s="1453" t="s">
        <v>3364</v>
      </c>
      <c r="E386" s="1445">
        <v>1</v>
      </c>
      <c r="F386" s="1446">
        <v>2.2599999999999998</v>
      </c>
      <c r="G386" s="1446">
        <v>0.6</v>
      </c>
      <c r="H386" s="1447">
        <v>0.1</v>
      </c>
      <c r="I386" s="1448">
        <f t="shared" si="21"/>
        <v>0.14000000000000001</v>
      </c>
      <c r="J386" s="1449"/>
      <c r="K386" s="1439"/>
      <c r="L386" s="1439"/>
      <c r="M386" s="1439"/>
      <c r="N386" s="1439"/>
      <c r="O386" s="1439"/>
      <c r="P386" s="1439"/>
      <c r="Q386" s="1439"/>
      <c r="R386" s="1439"/>
      <c r="S386" s="1439"/>
      <c r="T386" s="1439"/>
      <c r="U386" s="1439"/>
      <c r="V386" s="1439"/>
      <c r="W386" s="1439"/>
      <c r="X386" s="1439"/>
      <c r="Y386" s="1439"/>
      <c r="Z386" s="1439"/>
      <c r="AA386" s="1439"/>
      <c r="AB386" s="1439"/>
      <c r="AC386" s="1439"/>
      <c r="AD386" s="1439"/>
      <c r="AE386" s="1439"/>
      <c r="AF386" s="1439"/>
      <c r="AG386" s="1439"/>
    </row>
    <row r="387" spans="1:33" ht="15.75" customHeight="1">
      <c r="A387" s="1443"/>
      <c r="B387" s="1452" t="s">
        <v>3414</v>
      </c>
      <c r="C387" s="1445">
        <v>14</v>
      </c>
      <c r="D387" s="1453" t="s">
        <v>3364</v>
      </c>
      <c r="E387" s="1445">
        <v>1</v>
      </c>
      <c r="F387" s="1446">
        <v>2.2599999999999998</v>
      </c>
      <c r="G387" s="1446">
        <v>0.6</v>
      </c>
      <c r="H387" s="1447">
        <v>0.1</v>
      </c>
      <c r="I387" s="1448">
        <f t="shared" si="21"/>
        <v>1.9</v>
      </c>
      <c r="J387" s="1449"/>
      <c r="K387" s="1439"/>
      <c r="L387" s="1439"/>
      <c r="M387" s="1439"/>
      <c r="N387" s="1439"/>
      <c r="O387" s="1439"/>
      <c r="P387" s="1439"/>
      <c r="Q387" s="1439"/>
      <c r="R387" s="1439"/>
      <c r="S387" s="1439"/>
      <c r="T387" s="1439"/>
      <c r="U387" s="1439"/>
      <c r="V387" s="1439"/>
      <c r="W387" s="1439"/>
      <c r="X387" s="1439"/>
      <c r="Y387" s="1439"/>
      <c r="Z387" s="1439"/>
      <c r="AA387" s="1439"/>
      <c r="AB387" s="1439"/>
      <c r="AC387" s="1439"/>
      <c r="AD387" s="1439"/>
      <c r="AE387" s="1439"/>
      <c r="AF387" s="1439"/>
      <c r="AG387" s="1439"/>
    </row>
    <row r="388" spans="1:33" ht="15.75" customHeight="1">
      <c r="A388" s="1443"/>
      <c r="B388" s="1452" t="s">
        <v>7413</v>
      </c>
      <c r="C388" s="1445">
        <v>1</v>
      </c>
      <c r="D388" s="1453" t="s">
        <v>3364</v>
      </c>
      <c r="E388" s="1445">
        <v>1</v>
      </c>
      <c r="F388" s="1446">
        <v>1.36</v>
      </c>
      <c r="G388" s="1446">
        <v>0.6</v>
      </c>
      <c r="H388" s="1447">
        <v>0.1</v>
      </c>
      <c r="I388" s="1448">
        <f t="shared" si="21"/>
        <v>0.08</v>
      </c>
      <c r="J388" s="1449"/>
      <c r="K388" s="1439"/>
      <c r="L388" s="1439"/>
      <c r="M388" s="1439"/>
      <c r="N388" s="1439"/>
      <c r="O388" s="1439"/>
      <c r="P388" s="1439"/>
      <c r="Q388" s="1439"/>
      <c r="R388" s="1439"/>
      <c r="S388" s="1439"/>
      <c r="T388" s="1439"/>
      <c r="U388" s="1439"/>
      <c r="V388" s="1439"/>
      <c r="W388" s="1439"/>
      <c r="X388" s="1439"/>
      <c r="Y388" s="1439"/>
      <c r="Z388" s="1439"/>
      <c r="AA388" s="1439"/>
      <c r="AB388" s="1439"/>
      <c r="AC388" s="1439"/>
      <c r="AD388" s="1439"/>
      <c r="AE388" s="1439"/>
      <c r="AF388" s="1439"/>
      <c r="AG388" s="1439"/>
    </row>
    <row r="389" spans="1:33" ht="15.75" customHeight="1">
      <c r="A389" s="1470"/>
      <c r="B389" s="1474"/>
      <c r="C389" s="1445"/>
      <c r="D389" s="1445"/>
      <c r="E389" s="1445"/>
      <c r="F389" s="1446"/>
      <c r="G389" s="1458" t="s">
        <v>104</v>
      </c>
      <c r="H389" s="1460"/>
      <c r="I389" s="1459">
        <f>SUM(I342:I388)</f>
        <v>157.9</v>
      </c>
      <c r="J389" s="1475"/>
      <c r="K389" s="1439"/>
      <c r="L389" s="1439"/>
      <c r="M389" s="1439"/>
      <c r="N389" s="1439"/>
      <c r="O389" s="1439"/>
      <c r="P389" s="1439"/>
      <c r="Q389" s="1439"/>
      <c r="R389" s="1439"/>
      <c r="S389" s="1439"/>
      <c r="T389" s="1439"/>
      <c r="U389" s="1439"/>
      <c r="V389" s="1439"/>
      <c r="W389" s="1439"/>
      <c r="X389" s="1439"/>
      <c r="Y389" s="1439"/>
      <c r="Z389" s="1439"/>
      <c r="AA389" s="1439"/>
      <c r="AB389" s="1439"/>
      <c r="AC389" s="1439"/>
      <c r="AD389" s="1439"/>
      <c r="AE389" s="1439"/>
      <c r="AF389" s="1439"/>
      <c r="AG389" s="1439"/>
    </row>
    <row r="390" spans="1:33" ht="15.75" customHeight="1">
      <c r="A390" s="1470"/>
      <c r="B390" s="1474"/>
      <c r="C390" s="1445"/>
      <c r="D390" s="1445"/>
      <c r="E390" s="1445"/>
      <c r="F390" s="1446"/>
      <c r="G390" s="1458"/>
      <c r="H390" s="1460" t="s">
        <v>2981</v>
      </c>
      <c r="I390" s="1459">
        <f>CEILING(I389,0.1)</f>
        <v>157.9</v>
      </c>
      <c r="J390" s="1449" t="s">
        <v>5</v>
      </c>
      <c r="K390" s="1439"/>
      <c r="L390" s="1439"/>
      <c r="M390" s="1439"/>
      <c r="N390" s="1439"/>
      <c r="O390" s="1439"/>
      <c r="P390" s="1439"/>
      <c r="Q390" s="1439"/>
      <c r="R390" s="1439"/>
      <c r="S390" s="1439"/>
      <c r="T390" s="1439"/>
      <c r="U390" s="1439"/>
      <c r="V390" s="1439"/>
      <c r="W390" s="1439"/>
      <c r="X390" s="1439"/>
      <c r="Y390" s="1439"/>
      <c r="Z390" s="1439"/>
      <c r="AA390" s="1439"/>
      <c r="AB390" s="1439"/>
      <c r="AC390" s="1439"/>
      <c r="AD390" s="1439"/>
      <c r="AE390" s="1439"/>
      <c r="AF390" s="1439"/>
      <c r="AG390" s="1439"/>
    </row>
    <row r="391" spans="1:33" ht="15.75" customHeight="1">
      <c r="A391" s="1470"/>
      <c r="B391" s="1471" t="s">
        <v>7050</v>
      </c>
      <c r="C391" s="1445"/>
      <c r="D391" s="1445"/>
      <c r="E391" s="1445"/>
      <c r="F391" s="1446"/>
      <c r="G391" s="1446"/>
      <c r="H391" s="1447"/>
      <c r="I391" s="1448"/>
      <c r="J391" s="1449"/>
      <c r="K391" s="1439"/>
      <c r="L391" s="1439"/>
      <c r="M391" s="1439"/>
      <c r="N391" s="1439"/>
      <c r="O391" s="1439"/>
      <c r="P391" s="1439"/>
      <c r="Q391" s="1439"/>
      <c r="R391" s="1439"/>
      <c r="S391" s="1439"/>
      <c r="T391" s="1439"/>
      <c r="U391" s="1439"/>
      <c r="V391" s="1439"/>
      <c r="W391" s="1439"/>
      <c r="X391" s="1439"/>
      <c r="Y391" s="1439"/>
      <c r="Z391" s="1439"/>
      <c r="AA391" s="1439"/>
      <c r="AB391" s="1439"/>
      <c r="AC391" s="1439"/>
      <c r="AD391" s="1439"/>
      <c r="AE391" s="1439"/>
      <c r="AF391" s="1439"/>
      <c r="AG391" s="1439"/>
    </row>
    <row r="392" spans="1:33" ht="15.75" customHeight="1">
      <c r="A392" s="1443"/>
      <c r="B392" s="1452" t="s">
        <v>7396</v>
      </c>
      <c r="C392" s="1445">
        <v>3</v>
      </c>
      <c r="D392" s="1453" t="s">
        <v>3364</v>
      </c>
      <c r="E392" s="1445">
        <v>1</v>
      </c>
      <c r="F392" s="1446">
        <v>0.23</v>
      </c>
      <c r="G392" s="1454">
        <v>0.3</v>
      </c>
      <c r="H392" s="1447">
        <v>1.2</v>
      </c>
      <c r="I392" s="1448">
        <f t="shared" ref="I392:I399" si="22">PRODUCT(C392:H392)</f>
        <v>0.25</v>
      </c>
      <c r="J392" s="1449"/>
      <c r="K392" s="1439"/>
      <c r="L392" s="1439"/>
      <c r="M392" s="1439"/>
      <c r="N392" s="1439"/>
      <c r="O392" s="1439"/>
      <c r="P392" s="1439"/>
      <c r="Q392" s="1439"/>
      <c r="R392" s="1439"/>
      <c r="S392" s="1439"/>
      <c r="T392" s="1439"/>
      <c r="U392" s="1439"/>
      <c r="V392" s="1439"/>
      <c r="W392" s="1439"/>
      <c r="X392" s="1439"/>
      <c r="Y392" s="1439"/>
      <c r="Z392" s="1439"/>
      <c r="AA392" s="1439"/>
      <c r="AB392" s="1439"/>
      <c r="AC392" s="1439"/>
      <c r="AD392" s="1439"/>
      <c r="AE392" s="1439"/>
      <c r="AF392" s="1439"/>
      <c r="AG392" s="1439"/>
    </row>
    <row r="393" spans="1:33" ht="15.75" customHeight="1">
      <c r="A393" s="1443"/>
      <c r="B393" s="1452" t="s">
        <v>7397</v>
      </c>
      <c r="C393" s="1445">
        <v>2</v>
      </c>
      <c r="D393" s="1453" t="s">
        <v>3364</v>
      </c>
      <c r="E393" s="1445">
        <v>1</v>
      </c>
      <c r="F393" s="1446">
        <v>0.23</v>
      </c>
      <c r="G393" s="1446">
        <v>0.38</v>
      </c>
      <c r="H393" s="1447">
        <v>1.2</v>
      </c>
      <c r="I393" s="1448">
        <f t="shared" si="22"/>
        <v>0.21</v>
      </c>
      <c r="J393" s="1449"/>
      <c r="K393" s="1439"/>
      <c r="L393" s="1439"/>
      <c r="M393" s="1439"/>
      <c r="N393" s="1439"/>
      <c r="O393" s="1439"/>
      <c r="P393" s="1439"/>
      <c r="Q393" s="1439"/>
      <c r="R393" s="1439"/>
      <c r="S393" s="1439"/>
      <c r="T393" s="1439"/>
      <c r="U393" s="1439"/>
      <c r="V393" s="1439"/>
      <c r="W393" s="1439"/>
      <c r="X393" s="1439"/>
      <c r="Y393" s="1439"/>
      <c r="Z393" s="1439"/>
      <c r="AA393" s="1439"/>
      <c r="AB393" s="1439"/>
      <c r="AC393" s="1439"/>
      <c r="AD393" s="1439"/>
      <c r="AE393" s="1439"/>
      <c r="AF393" s="1439"/>
      <c r="AG393" s="1439"/>
    </row>
    <row r="394" spans="1:33" ht="15.75" customHeight="1">
      <c r="A394" s="1443"/>
      <c r="B394" s="1452" t="s">
        <v>7398</v>
      </c>
      <c r="C394" s="1445">
        <v>4</v>
      </c>
      <c r="D394" s="1453" t="s">
        <v>3364</v>
      </c>
      <c r="E394" s="1445">
        <v>1</v>
      </c>
      <c r="F394" s="1446">
        <v>0.23</v>
      </c>
      <c r="G394" s="1446">
        <v>0.45</v>
      </c>
      <c r="H394" s="1447">
        <v>1.2</v>
      </c>
      <c r="I394" s="1448">
        <f t="shared" si="22"/>
        <v>0.5</v>
      </c>
      <c r="J394" s="1449"/>
      <c r="K394" s="1439"/>
      <c r="L394" s="1439"/>
      <c r="M394" s="1439"/>
      <c r="N394" s="1439"/>
      <c r="O394" s="1439"/>
      <c r="P394" s="1439"/>
      <c r="Q394" s="1439"/>
      <c r="R394" s="1439"/>
      <c r="S394" s="1439"/>
      <c r="T394" s="1439"/>
      <c r="U394" s="1439"/>
      <c r="V394" s="1439"/>
      <c r="W394" s="1439"/>
      <c r="X394" s="1439"/>
      <c r="Y394" s="1439"/>
      <c r="Z394" s="1439"/>
      <c r="AA394" s="1439"/>
      <c r="AB394" s="1439"/>
      <c r="AC394" s="1439"/>
      <c r="AD394" s="1439"/>
      <c r="AE394" s="1439"/>
      <c r="AF394" s="1439"/>
      <c r="AG394" s="1439"/>
    </row>
    <row r="395" spans="1:33" ht="15.75" customHeight="1">
      <c r="A395" s="1443"/>
      <c r="B395" s="1452" t="s">
        <v>7399</v>
      </c>
      <c r="C395" s="1445">
        <v>5</v>
      </c>
      <c r="D395" s="1453" t="s">
        <v>3364</v>
      </c>
      <c r="E395" s="1445">
        <v>1</v>
      </c>
      <c r="F395" s="1446">
        <v>0.23</v>
      </c>
      <c r="G395" s="1446">
        <v>0.45</v>
      </c>
      <c r="H395" s="1447">
        <v>1.2</v>
      </c>
      <c r="I395" s="1448">
        <f t="shared" si="22"/>
        <v>0.62</v>
      </c>
      <c r="J395" s="1449"/>
      <c r="K395" s="1439"/>
      <c r="L395" s="1439"/>
      <c r="M395" s="1439"/>
      <c r="N395" s="1439"/>
      <c r="O395" s="1439"/>
      <c r="P395" s="1439"/>
      <c r="Q395" s="1439"/>
      <c r="R395" s="1439"/>
      <c r="S395" s="1439"/>
      <c r="T395" s="1439"/>
      <c r="U395" s="1439"/>
      <c r="V395" s="1439"/>
      <c r="W395" s="1439"/>
      <c r="X395" s="1439"/>
      <c r="Y395" s="1439"/>
      <c r="Z395" s="1439"/>
      <c r="AA395" s="1439"/>
      <c r="AB395" s="1439"/>
      <c r="AC395" s="1439"/>
      <c r="AD395" s="1439"/>
      <c r="AE395" s="1439"/>
      <c r="AF395" s="1439"/>
      <c r="AG395" s="1439"/>
    </row>
    <row r="396" spans="1:33" ht="15.75" customHeight="1">
      <c r="A396" s="1443"/>
      <c r="B396" s="1452" t="s">
        <v>7400</v>
      </c>
      <c r="C396" s="1445">
        <v>6</v>
      </c>
      <c r="D396" s="1453" t="s">
        <v>3364</v>
      </c>
      <c r="E396" s="1445">
        <v>1</v>
      </c>
      <c r="F396" s="1446">
        <v>0.3</v>
      </c>
      <c r="G396" s="1446">
        <v>0.45</v>
      </c>
      <c r="H396" s="1447">
        <v>1.2</v>
      </c>
      <c r="I396" s="1448">
        <f t="shared" si="22"/>
        <v>0.97</v>
      </c>
      <c r="J396" s="1449"/>
      <c r="K396" s="1439"/>
      <c r="L396" s="1439">
        <f>3-0.2-0.1-1.05</f>
        <v>1.65</v>
      </c>
      <c r="M396" s="1439"/>
      <c r="N396" s="1439"/>
      <c r="O396" s="1439"/>
      <c r="P396" s="1439"/>
      <c r="Q396" s="1439"/>
      <c r="R396" s="1439"/>
      <c r="S396" s="1439"/>
      <c r="T396" s="1439"/>
      <c r="U396" s="1439"/>
      <c r="V396" s="1439"/>
      <c r="W396" s="1439"/>
      <c r="X396" s="1439"/>
      <c r="Y396" s="1439"/>
      <c r="Z396" s="1439"/>
      <c r="AA396" s="1439"/>
      <c r="AB396" s="1439"/>
      <c r="AC396" s="1439"/>
      <c r="AD396" s="1439"/>
      <c r="AE396" s="1439"/>
      <c r="AF396" s="1439"/>
      <c r="AG396" s="1439"/>
    </row>
    <row r="397" spans="1:33" ht="15.75" customHeight="1">
      <c r="A397" s="1443"/>
      <c r="B397" s="1452" t="s">
        <v>7401</v>
      </c>
      <c r="C397" s="1445">
        <v>6</v>
      </c>
      <c r="D397" s="1453" t="s">
        <v>3364</v>
      </c>
      <c r="E397" s="1445">
        <v>1</v>
      </c>
      <c r="F397" s="1446">
        <v>0.3</v>
      </c>
      <c r="G397" s="1446">
        <v>0.45</v>
      </c>
      <c r="H397" s="1447">
        <v>1.2</v>
      </c>
      <c r="I397" s="1448">
        <f t="shared" si="22"/>
        <v>0.97</v>
      </c>
      <c r="J397" s="1449"/>
      <c r="K397" s="1439"/>
      <c r="L397" s="1439">
        <f>1.65+1</f>
        <v>2.65</v>
      </c>
      <c r="M397" s="1439"/>
      <c r="N397" s="1439"/>
      <c r="O397" s="1439"/>
      <c r="P397" s="1439"/>
      <c r="Q397" s="1439"/>
      <c r="R397" s="1439"/>
      <c r="S397" s="1439"/>
      <c r="T397" s="1439"/>
      <c r="U397" s="1439"/>
      <c r="V397" s="1439"/>
      <c r="W397" s="1439"/>
      <c r="X397" s="1439"/>
      <c r="Y397" s="1439"/>
      <c r="Z397" s="1439"/>
      <c r="AA397" s="1439"/>
      <c r="AB397" s="1439"/>
      <c r="AC397" s="1439"/>
      <c r="AD397" s="1439"/>
      <c r="AE397" s="1439"/>
      <c r="AF397" s="1439"/>
      <c r="AG397" s="1439"/>
    </row>
    <row r="398" spans="1:33" ht="15.75" customHeight="1">
      <c r="A398" s="1443"/>
      <c r="B398" s="1452" t="s">
        <v>7402</v>
      </c>
      <c r="C398" s="1445">
        <v>2</v>
      </c>
      <c r="D398" s="1453" t="s">
        <v>3364</v>
      </c>
      <c r="E398" s="1445">
        <v>1</v>
      </c>
      <c r="F398" s="1446">
        <v>0.3</v>
      </c>
      <c r="G398" s="1446">
        <v>0.6</v>
      </c>
      <c r="H398" s="1447">
        <v>1.2</v>
      </c>
      <c r="I398" s="1448">
        <f t="shared" si="22"/>
        <v>0.43</v>
      </c>
      <c r="J398" s="1449"/>
      <c r="K398" s="1439"/>
      <c r="L398" s="1439"/>
      <c r="M398" s="1439"/>
      <c r="N398" s="1439"/>
      <c r="O398" s="1439"/>
      <c r="P398" s="1439"/>
      <c r="Q398" s="1439"/>
      <c r="R398" s="1439"/>
      <c r="S398" s="1439"/>
      <c r="T398" s="1439"/>
      <c r="U398" s="1439"/>
      <c r="V398" s="1439"/>
      <c r="W398" s="1439"/>
      <c r="X398" s="1439"/>
      <c r="Y398" s="1439"/>
      <c r="Z398" s="1439"/>
      <c r="AA398" s="1439"/>
      <c r="AB398" s="1439"/>
      <c r="AC398" s="1439"/>
      <c r="AD398" s="1439"/>
      <c r="AE398" s="1439"/>
      <c r="AF398" s="1439"/>
      <c r="AG398" s="1439"/>
    </row>
    <row r="399" spans="1:33" ht="15.75" customHeight="1">
      <c r="A399" s="1443"/>
      <c r="B399" s="1452" t="s">
        <v>7403</v>
      </c>
      <c r="C399" s="1445">
        <v>6</v>
      </c>
      <c r="D399" s="1453" t="s">
        <v>3364</v>
      </c>
      <c r="E399" s="1445">
        <v>1</v>
      </c>
      <c r="F399" s="1446">
        <v>0.3</v>
      </c>
      <c r="G399" s="1446">
        <v>0.6</v>
      </c>
      <c r="H399" s="1447">
        <v>1.2</v>
      </c>
      <c r="I399" s="1448">
        <f t="shared" si="22"/>
        <v>1.3</v>
      </c>
      <c r="J399" s="1449"/>
      <c r="K399" s="1439"/>
      <c r="L399" s="1439"/>
      <c r="M399" s="1439"/>
      <c r="N399" s="1439"/>
      <c r="O399" s="1439"/>
      <c r="P399" s="1439"/>
      <c r="Q399" s="1439"/>
      <c r="R399" s="1439"/>
      <c r="S399" s="1439"/>
      <c r="T399" s="1439"/>
      <c r="U399" s="1439"/>
      <c r="V399" s="1439"/>
      <c r="W399" s="1439"/>
      <c r="X399" s="1439"/>
      <c r="Y399" s="1439"/>
      <c r="Z399" s="1439"/>
      <c r="AA399" s="1439"/>
      <c r="AB399" s="1439"/>
      <c r="AC399" s="1439"/>
      <c r="AD399" s="1439"/>
      <c r="AE399" s="1439"/>
      <c r="AF399" s="1439"/>
      <c r="AG399" s="1439"/>
    </row>
    <row r="400" spans="1:33" ht="15.75" customHeight="1">
      <c r="A400" s="1443"/>
      <c r="B400" s="1450" t="s">
        <v>3432</v>
      </c>
      <c r="C400" s="1445"/>
      <c r="D400" s="1445"/>
      <c r="E400" s="1445"/>
      <c r="F400" s="1446"/>
      <c r="G400" s="1446"/>
      <c r="H400" s="1447"/>
      <c r="I400" s="1448">
        <f t="shared" ref="I400:I412" si="23">PRODUCT(C400:H400)</f>
        <v>0</v>
      </c>
      <c r="J400" s="1449"/>
      <c r="K400" s="1439"/>
      <c r="L400" s="1439"/>
      <c r="M400" s="1439"/>
      <c r="N400" s="1439"/>
      <c r="O400" s="1439"/>
      <c r="P400" s="1439"/>
      <c r="Q400" s="1439"/>
      <c r="R400" s="1439"/>
      <c r="S400" s="1439"/>
      <c r="T400" s="1439"/>
      <c r="U400" s="1439"/>
      <c r="V400" s="1439"/>
      <c r="W400" s="1439"/>
      <c r="X400" s="1439"/>
      <c r="Y400" s="1439"/>
      <c r="Z400" s="1439"/>
      <c r="AA400" s="1439"/>
      <c r="AB400" s="1439"/>
      <c r="AC400" s="1439"/>
      <c r="AD400" s="1439"/>
      <c r="AE400" s="1439"/>
      <c r="AF400" s="1439"/>
      <c r="AG400" s="1439"/>
    </row>
    <row r="401" spans="1:33" ht="15.75" customHeight="1">
      <c r="A401" s="1443"/>
      <c r="B401" s="1450" t="s">
        <v>3433</v>
      </c>
      <c r="C401" s="1445">
        <v>1</v>
      </c>
      <c r="D401" s="1445" t="s">
        <v>3364</v>
      </c>
      <c r="E401" s="1445">
        <v>1</v>
      </c>
      <c r="F401" s="1446">
        <v>7.46</v>
      </c>
      <c r="G401" s="1446">
        <f>3.43+0.46</f>
        <v>3.89</v>
      </c>
      <c r="H401" s="1447">
        <v>0.2</v>
      </c>
      <c r="I401" s="1448">
        <f t="shared" si="23"/>
        <v>5.8</v>
      </c>
      <c r="J401" s="1449"/>
      <c r="K401" s="1439"/>
      <c r="L401" s="1439"/>
      <c r="M401" s="1439"/>
      <c r="N401" s="1439"/>
      <c r="O401" s="1439"/>
      <c r="P401" s="1439"/>
      <c r="Q401" s="1439"/>
      <c r="R401" s="1439"/>
      <c r="S401" s="1439"/>
      <c r="T401" s="1439"/>
      <c r="U401" s="1439"/>
      <c r="V401" s="1439"/>
      <c r="W401" s="1439"/>
      <c r="X401" s="1439"/>
      <c r="Y401" s="1439"/>
      <c r="Z401" s="1439"/>
      <c r="AA401" s="1439"/>
      <c r="AB401" s="1439"/>
      <c r="AC401" s="1439"/>
      <c r="AD401" s="1439"/>
      <c r="AE401" s="1439"/>
      <c r="AF401" s="1439"/>
      <c r="AG401" s="1439"/>
    </row>
    <row r="402" spans="1:33" ht="18" customHeight="1">
      <c r="A402" s="1443"/>
      <c r="B402" s="1450" t="s">
        <v>3434</v>
      </c>
      <c r="C402" s="1445">
        <v>1</v>
      </c>
      <c r="D402" s="1445" t="s">
        <v>3364</v>
      </c>
      <c r="E402" s="1445">
        <v>2</v>
      </c>
      <c r="F402" s="1446">
        <v>7.46</v>
      </c>
      <c r="G402" s="1446">
        <v>0.23</v>
      </c>
      <c r="H402" s="1447">
        <v>0.4</v>
      </c>
      <c r="I402" s="1448">
        <f t="shared" si="23"/>
        <v>1.37</v>
      </c>
      <c r="J402" s="1449"/>
      <c r="K402" s="1439"/>
      <c r="L402" s="1439"/>
      <c r="M402" s="1439"/>
      <c r="N402" s="1439"/>
      <c r="O402" s="1439"/>
      <c r="P402" s="1439"/>
      <c r="Q402" s="1439"/>
      <c r="R402" s="1439"/>
      <c r="S402" s="1439"/>
      <c r="T402" s="1439"/>
      <c r="U402" s="1439"/>
      <c r="V402" s="1439"/>
      <c r="W402" s="1439"/>
      <c r="X402" s="1439"/>
      <c r="Y402" s="1439"/>
      <c r="Z402" s="1439"/>
      <c r="AA402" s="1439"/>
      <c r="AB402" s="1439"/>
      <c r="AC402" s="1439"/>
      <c r="AD402" s="1439"/>
      <c r="AE402" s="1439"/>
      <c r="AF402" s="1439"/>
      <c r="AG402" s="1439"/>
    </row>
    <row r="403" spans="1:33" ht="15.75" customHeight="1">
      <c r="A403" s="1443"/>
      <c r="B403" s="1450" t="s">
        <v>3435</v>
      </c>
      <c r="C403" s="1445">
        <v>1</v>
      </c>
      <c r="D403" s="1445" t="s">
        <v>3364</v>
      </c>
      <c r="E403" s="1445">
        <v>2</v>
      </c>
      <c r="F403" s="1446">
        <v>3.89</v>
      </c>
      <c r="G403" s="1446">
        <v>0.23</v>
      </c>
      <c r="H403" s="1447">
        <v>0.4</v>
      </c>
      <c r="I403" s="1448">
        <f t="shared" si="23"/>
        <v>0.72</v>
      </c>
      <c r="J403" s="1449"/>
      <c r="K403" s="1439"/>
      <c r="L403" s="1439"/>
      <c r="M403" s="1439"/>
      <c r="N403" s="1439"/>
      <c r="O403" s="1439"/>
      <c r="P403" s="1439"/>
      <c r="Q403" s="1439"/>
      <c r="R403" s="1439"/>
      <c r="S403" s="1439"/>
      <c r="T403" s="1439"/>
      <c r="U403" s="1439"/>
      <c r="V403" s="1439"/>
      <c r="W403" s="1439"/>
      <c r="X403" s="1439"/>
      <c r="Y403" s="1439"/>
      <c r="Z403" s="1439"/>
      <c r="AA403" s="1439"/>
      <c r="AB403" s="1439"/>
      <c r="AC403" s="1439"/>
      <c r="AD403" s="1439"/>
      <c r="AE403" s="1439"/>
      <c r="AF403" s="1439"/>
      <c r="AG403" s="1439"/>
    </row>
    <row r="404" spans="1:33" ht="15.75" customHeight="1">
      <c r="A404" s="1443"/>
      <c r="B404" s="1455" t="s">
        <v>3436</v>
      </c>
      <c r="C404" s="1445"/>
      <c r="D404" s="1445"/>
      <c r="E404" s="1445"/>
      <c r="F404" s="1446"/>
      <c r="G404" s="1446"/>
      <c r="H404" s="1447"/>
      <c r="I404" s="1448">
        <f t="shared" si="23"/>
        <v>0</v>
      </c>
      <c r="J404" s="1449"/>
      <c r="K404" s="1439"/>
      <c r="L404" s="1439"/>
      <c r="M404" s="1439"/>
      <c r="N404" s="1439"/>
      <c r="O404" s="1439"/>
      <c r="P404" s="1439"/>
      <c r="Q404" s="1439"/>
      <c r="R404" s="1439"/>
      <c r="S404" s="1439"/>
      <c r="T404" s="1439"/>
      <c r="U404" s="1439"/>
      <c r="V404" s="1439"/>
      <c r="W404" s="1439"/>
      <c r="X404" s="1439"/>
      <c r="Y404" s="1439"/>
      <c r="Z404" s="1439"/>
      <c r="AA404" s="1439"/>
      <c r="AB404" s="1439"/>
      <c r="AC404" s="1439"/>
      <c r="AD404" s="1439"/>
      <c r="AE404" s="1439"/>
      <c r="AF404" s="1439"/>
      <c r="AG404" s="1439"/>
    </row>
    <row r="405" spans="1:33" ht="18" customHeight="1">
      <c r="A405" s="1443"/>
      <c r="B405" s="1450" t="s">
        <v>3433</v>
      </c>
      <c r="C405" s="1445">
        <v>1</v>
      </c>
      <c r="D405" s="1445" t="s">
        <v>3364</v>
      </c>
      <c r="E405" s="1445">
        <v>1</v>
      </c>
      <c r="F405" s="1446">
        <f>4.96</f>
        <v>4.96</v>
      </c>
      <c r="G405" s="1446">
        <v>5.46</v>
      </c>
      <c r="H405" s="1447">
        <v>0.2</v>
      </c>
      <c r="I405" s="1448">
        <f t="shared" si="23"/>
        <v>5.42</v>
      </c>
      <c r="J405" s="1449"/>
      <c r="K405" s="1439"/>
      <c r="L405" s="1439"/>
      <c r="M405" s="1439"/>
      <c r="N405" s="1439"/>
      <c r="O405" s="1439"/>
      <c r="P405" s="1439"/>
      <c r="Q405" s="1439"/>
      <c r="R405" s="1439"/>
      <c r="S405" s="1439"/>
      <c r="T405" s="1439"/>
      <c r="U405" s="1439"/>
      <c r="V405" s="1439"/>
      <c r="W405" s="1439"/>
      <c r="X405" s="1439"/>
      <c r="Y405" s="1439"/>
      <c r="Z405" s="1439"/>
      <c r="AA405" s="1439"/>
      <c r="AB405" s="1439"/>
      <c r="AC405" s="1439"/>
      <c r="AD405" s="1439"/>
      <c r="AE405" s="1439"/>
      <c r="AF405" s="1439"/>
      <c r="AG405" s="1439"/>
    </row>
    <row r="406" spans="1:33" ht="15.75" customHeight="1">
      <c r="A406" s="1443"/>
      <c r="B406" s="1450" t="s">
        <v>3434</v>
      </c>
      <c r="C406" s="1445">
        <v>1</v>
      </c>
      <c r="D406" s="1445" t="s">
        <v>3364</v>
      </c>
      <c r="E406" s="1445">
        <v>2</v>
      </c>
      <c r="F406" s="1446">
        <v>5.46</v>
      </c>
      <c r="G406" s="1446">
        <v>0.23</v>
      </c>
      <c r="H406" s="1447">
        <v>0.4</v>
      </c>
      <c r="I406" s="1448">
        <f t="shared" si="23"/>
        <v>1</v>
      </c>
      <c r="J406" s="1449"/>
      <c r="K406" s="1439"/>
      <c r="L406" s="1439"/>
      <c r="M406" s="1439"/>
      <c r="N406" s="1439"/>
      <c r="O406" s="1439"/>
      <c r="P406" s="1439"/>
      <c r="Q406" s="1439"/>
      <c r="R406" s="1439"/>
      <c r="S406" s="1439"/>
      <c r="T406" s="1439"/>
      <c r="U406" s="1439"/>
      <c r="V406" s="1439"/>
      <c r="W406" s="1439"/>
      <c r="X406" s="1439"/>
      <c r="Y406" s="1439"/>
      <c r="Z406" s="1439"/>
      <c r="AA406" s="1439"/>
      <c r="AB406" s="1439"/>
      <c r="AC406" s="1439"/>
      <c r="AD406" s="1439"/>
      <c r="AE406" s="1439"/>
      <c r="AF406" s="1439"/>
      <c r="AG406" s="1439"/>
    </row>
    <row r="407" spans="1:33" ht="15.75" customHeight="1">
      <c r="A407" s="1476"/>
      <c r="B407" s="1450" t="s">
        <v>3435</v>
      </c>
      <c r="C407" s="1445">
        <v>1</v>
      </c>
      <c r="D407" s="1445" t="s">
        <v>3364</v>
      </c>
      <c r="E407" s="1445">
        <v>2</v>
      </c>
      <c r="F407" s="1446">
        <v>4.96</v>
      </c>
      <c r="G407" s="1446">
        <v>0.23</v>
      </c>
      <c r="H407" s="1447">
        <v>0.4</v>
      </c>
      <c r="I407" s="1448">
        <f t="shared" si="23"/>
        <v>0.91</v>
      </c>
      <c r="J407" s="1449"/>
      <c r="K407" s="1439"/>
      <c r="L407" s="1439"/>
      <c r="M407" s="1439"/>
      <c r="N407" s="1439"/>
      <c r="O407" s="1439"/>
      <c r="P407" s="1439"/>
      <c r="Q407" s="1439"/>
      <c r="R407" s="1439"/>
      <c r="S407" s="1439"/>
      <c r="T407" s="1439"/>
      <c r="U407" s="1439"/>
      <c r="V407" s="1439"/>
      <c r="W407" s="1439"/>
      <c r="X407" s="1439"/>
      <c r="Y407" s="1439"/>
      <c r="Z407" s="1439"/>
      <c r="AA407" s="1439"/>
      <c r="AB407" s="1439"/>
      <c r="AC407" s="1439"/>
      <c r="AD407" s="1439"/>
      <c r="AE407" s="1439"/>
      <c r="AF407" s="1439"/>
      <c r="AG407" s="1439"/>
    </row>
    <row r="408" spans="1:33" ht="15.75" customHeight="1">
      <c r="A408" s="1476"/>
      <c r="B408" s="1450" t="s">
        <v>3437</v>
      </c>
      <c r="C408" s="1445">
        <v>1</v>
      </c>
      <c r="D408" s="1445" t="s">
        <v>3364</v>
      </c>
      <c r="E408" s="1445">
        <v>1</v>
      </c>
      <c r="F408" s="1446">
        <f>4.5+4.5+7</f>
        <v>16</v>
      </c>
      <c r="G408" s="1446">
        <v>0.115</v>
      </c>
      <c r="H408" s="1447">
        <v>1</v>
      </c>
      <c r="I408" s="1448">
        <f t="shared" si="23"/>
        <v>1.84</v>
      </c>
      <c r="J408" s="1449"/>
      <c r="K408" s="1439"/>
      <c r="L408" s="1439"/>
      <c r="M408" s="1439"/>
      <c r="N408" s="1439"/>
      <c r="O408" s="1439"/>
      <c r="P408" s="1439"/>
      <c r="Q408" s="1439"/>
      <c r="R408" s="1439"/>
      <c r="S408" s="1439"/>
      <c r="T408" s="1439"/>
      <c r="U408" s="1439"/>
      <c r="V408" s="1439"/>
      <c r="W408" s="1439"/>
      <c r="X408" s="1439"/>
      <c r="Y408" s="1439"/>
      <c r="Z408" s="1439"/>
      <c r="AA408" s="1439"/>
      <c r="AB408" s="1439"/>
      <c r="AC408" s="1439"/>
      <c r="AD408" s="1439"/>
      <c r="AE408" s="1439"/>
      <c r="AF408" s="1439"/>
      <c r="AG408" s="1439"/>
    </row>
    <row r="409" spans="1:33" ht="18" customHeight="1">
      <c r="A409" s="1443"/>
      <c r="B409" s="1450" t="s">
        <v>3438</v>
      </c>
      <c r="C409" s="1445">
        <v>1</v>
      </c>
      <c r="D409" s="1445" t="s">
        <v>3364</v>
      </c>
      <c r="E409" s="1445">
        <v>1</v>
      </c>
      <c r="F409" s="1446">
        <v>4.96</v>
      </c>
      <c r="G409" s="1446">
        <v>3.96</v>
      </c>
      <c r="H409" s="1447">
        <v>0.2</v>
      </c>
      <c r="I409" s="1448">
        <f t="shared" si="23"/>
        <v>3.93</v>
      </c>
      <c r="J409" s="1449"/>
      <c r="K409" s="1439"/>
      <c r="L409" s="1439"/>
      <c r="M409" s="1439"/>
      <c r="N409" s="1439"/>
      <c r="O409" s="1439"/>
      <c r="P409" s="1439"/>
      <c r="Q409" s="1439"/>
      <c r="R409" s="1439"/>
      <c r="S409" s="1439"/>
      <c r="T409" s="1439"/>
      <c r="U409" s="1439"/>
      <c r="V409" s="1439"/>
      <c r="W409" s="1439"/>
      <c r="X409" s="1439"/>
      <c r="Y409" s="1439"/>
      <c r="Z409" s="1439"/>
      <c r="AA409" s="1439"/>
      <c r="AB409" s="1439"/>
      <c r="AC409" s="1439"/>
      <c r="AD409" s="1439"/>
      <c r="AE409" s="1439"/>
      <c r="AF409" s="1439"/>
      <c r="AG409" s="1439"/>
    </row>
    <row r="410" spans="1:33" ht="15.75" customHeight="1">
      <c r="A410" s="1443"/>
      <c r="B410" s="1450" t="s">
        <v>3439</v>
      </c>
      <c r="C410" s="1445"/>
      <c r="D410" s="1445"/>
      <c r="E410" s="1445"/>
      <c r="F410" s="1446"/>
      <c r="G410" s="1446"/>
      <c r="H410" s="1447"/>
      <c r="I410" s="1448">
        <f t="shared" si="23"/>
        <v>0</v>
      </c>
      <c r="J410" s="1449"/>
      <c r="K410" s="1439"/>
      <c r="L410" s="1439"/>
      <c r="M410" s="1439"/>
      <c r="N410" s="1439"/>
      <c r="O410" s="1439"/>
      <c r="P410" s="1439"/>
      <c r="Q410" s="1439"/>
      <c r="R410" s="1439"/>
      <c r="S410" s="1439"/>
      <c r="T410" s="1439"/>
      <c r="U410" s="1439"/>
      <c r="V410" s="1439"/>
      <c r="W410" s="1439"/>
      <c r="X410" s="1439"/>
      <c r="Y410" s="1439"/>
      <c r="Z410" s="1439"/>
      <c r="AA410" s="1439"/>
      <c r="AB410" s="1439"/>
      <c r="AC410" s="1439"/>
      <c r="AD410" s="1439"/>
      <c r="AE410" s="1439"/>
      <c r="AF410" s="1439"/>
      <c r="AG410" s="1439"/>
    </row>
    <row r="411" spans="1:33" ht="15.75" customHeight="1">
      <c r="A411" s="1443"/>
      <c r="B411" s="1450" t="s">
        <v>3440</v>
      </c>
      <c r="C411" s="1445">
        <v>1</v>
      </c>
      <c r="D411" s="1445" t="s">
        <v>3364</v>
      </c>
      <c r="E411" s="1445">
        <v>1</v>
      </c>
      <c r="F411" s="1446">
        <f>1+0.46</f>
        <v>1.46</v>
      </c>
      <c r="G411" s="1446">
        <v>0.23</v>
      </c>
      <c r="H411" s="1447">
        <v>0.2</v>
      </c>
      <c r="I411" s="1448">
        <f t="shared" si="23"/>
        <v>7.0000000000000007E-2</v>
      </c>
      <c r="J411" s="1449"/>
      <c r="K411" s="1439"/>
      <c r="L411" s="1439"/>
      <c r="M411" s="1439"/>
      <c r="N411" s="1439"/>
      <c r="O411" s="1439"/>
      <c r="P411" s="1439"/>
      <c r="Q411" s="1439"/>
      <c r="R411" s="1439"/>
      <c r="S411" s="1439"/>
      <c r="T411" s="1439"/>
      <c r="U411" s="1439"/>
      <c r="V411" s="1439"/>
      <c r="W411" s="1439"/>
      <c r="X411" s="1439"/>
      <c r="Y411" s="1439"/>
      <c r="Z411" s="1439"/>
      <c r="AA411" s="1439"/>
      <c r="AB411" s="1439"/>
      <c r="AC411" s="1439"/>
      <c r="AD411" s="1439"/>
      <c r="AE411" s="1439"/>
      <c r="AF411" s="1439"/>
      <c r="AG411" s="1439"/>
    </row>
    <row r="412" spans="1:33" ht="15.75" customHeight="1">
      <c r="A412" s="1443"/>
      <c r="B412" s="1450" t="s">
        <v>3441</v>
      </c>
      <c r="C412" s="1445">
        <v>1</v>
      </c>
      <c r="D412" s="1445" t="s">
        <v>3364</v>
      </c>
      <c r="E412" s="1445">
        <v>14</v>
      </c>
      <c r="F412" s="1446">
        <v>1.96</v>
      </c>
      <c r="G412" s="1446">
        <v>0.6</v>
      </c>
      <c r="H412" s="1447">
        <v>0.1</v>
      </c>
      <c r="I412" s="1448">
        <f t="shared" si="23"/>
        <v>1.65</v>
      </c>
      <c r="J412" s="1449"/>
      <c r="K412" s="1439"/>
      <c r="L412" s="1439"/>
      <c r="M412" s="1439"/>
      <c r="N412" s="1439"/>
      <c r="O412" s="1439"/>
      <c r="P412" s="1439"/>
      <c r="Q412" s="1439"/>
      <c r="R412" s="1439"/>
      <c r="S412" s="1439"/>
      <c r="T412" s="1439"/>
      <c r="U412" s="1439"/>
      <c r="V412" s="1439"/>
      <c r="W412" s="1439"/>
      <c r="X412" s="1439"/>
      <c r="Y412" s="1439"/>
      <c r="Z412" s="1439"/>
      <c r="AA412" s="1439"/>
      <c r="AB412" s="1439"/>
      <c r="AC412" s="1439"/>
      <c r="AD412" s="1439"/>
      <c r="AE412" s="1439"/>
      <c r="AF412" s="1439"/>
      <c r="AG412" s="1439"/>
    </row>
    <row r="413" spans="1:33" ht="15.75" customHeight="1">
      <c r="A413" s="1470"/>
      <c r="B413" s="1474"/>
      <c r="C413" s="1445"/>
      <c r="D413" s="1445"/>
      <c r="E413" s="1445"/>
      <c r="F413" s="1446"/>
      <c r="G413" s="1458" t="s">
        <v>104</v>
      </c>
      <c r="H413" s="1460"/>
      <c r="I413" s="1459">
        <f>SUM(I392:I412)</f>
        <v>27.96</v>
      </c>
      <c r="J413" s="1475"/>
      <c r="K413" s="1439"/>
      <c r="L413" s="1439"/>
      <c r="M413" s="1439"/>
      <c r="N413" s="1439"/>
      <c r="O413" s="1439"/>
      <c r="P413" s="1439"/>
      <c r="Q413" s="1439"/>
      <c r="R413" s="1439"/>
      <c r="S413" s="1439"/>
      <c r="T413" s="1439"/>
      <c r="U413" s="1439"/>
      <c r="V413" s="1439"/>
      <c r="W413" s="1439"/>
      <c r="X413" s="1439"/>
      <c r="Y413" s="1439"/>
      <c r="Z413" s="1439"/>
      <c r="AA413" s="1439"/>
      <c r="AB413" s="1439"/>
      <c r="AC413" s="1439"/>
      <c r="AD413" s="1439"/>
      <c r="AE413" s="1439"/>
      <c r="AF413" s="1439"/>
      <c r="AG413" s="1439"/>
    </row>
    <row r="414" spans="1:33" ht="15.75" customHeight="1">
      <c r="A414" s="1470"/>
      <c r="B414" s="1474"/>
      <c r="C414" s="1445"/>
      <c r="D414" s="1445"/>
      <c r="E414" s="1445"/>
      <c r="F414" s="1446"/>
      <c r="G414" s="1458"/>
      <c r="H414" s="1460" t="s">
        <v>2981</v>
      </c>
      <c r="I414" s="1459">
        <f>CEILING(I413,0.1)</f>
        <v>28</v>
      </c>
      <c r="J414" s="1449" t="s">
        <v>5</v>
      </c>
      <c r="K414" s="1439"/>
      <c r="L414" s="1439"/>
      <c r="M414" s="1439"/>
      <c r="N414" s="1439"/>
      <c r="O414" s="1439"/>
      <c r="P414" s="1439"/>
      <c r="Q414" s="1439"/>
      <c r="R414" s="1439"/>
      <c r="S414" s="1439"/>
      <c r="T414" s="1439"/>
      <c r="U414" s="1439"/>
      <c r="V414" s="1439"/>
      <c r="W414" s="1439"/>
      <c r="X414" s="1439"/>
      <c r="Y414" s="1439"/>
      <c r="Z414" s="1439"/>
      <c r="AA414" s="1439"/>
      <c r="AB414" s="1439"/>
      <c r="AC414" s="1439"/>
      <c r="AD414" s="1439"/>
      <c r="AE414" s="1439"/>
      <c r="AF414" s="1439"/>
      <c r="AG414" s="1439"/>
    </row>
    <row r="415" spans="1:33" ht="126">
      <c r="A415" s="1451">
        <v>6.2</v>
      </c>
      <c r="B415" s="1462" t="s">
        <v>7053</v>
      </c>
      <c r="C415" s="1445"/>
      <c r="D415" s="1445"/>
      <c r="E415" s="1445"/>
      <c r="F415" s="1446"/>
      <c r="G415" s="1446"/>
      <c r="H415" s="1447"/>
      <c r="I415" s="1448"/>
      <c r="J415" s="1449"/>
      <c r="K415" s="1439"/>
      <c r="L415" s="1439"/>
      <c r="M415" s="1439"/>
      <c r="N415" s="1439"/>
      <c r="O415" s="1439"/>
      <c r="P415" s="1439"/>
      <c r="Q415" s="1439"/>
      <c r="R415" s="1439"/>
      <c r="S415" s="1439"/>
      <c r="T415" s="1439"/>
      <c r="U415" s="1439"/>
      <c r="V415" s="1439"/>
      <c r="W415" s="1439"/>
      <c r="X415" s="1439"/>
      <c r="Y415" s="1439"/>
      <c r="Z415" s="1439"/>
      <c r="AA415" s="1439"/>
      <c r="AB415" s="1439"/>
      <c r="AC415" s="1439"/>
      <c r="AD415" s="1439"/>
      <c r="AE415" s="1439"/>
      <c r="AF415" s="1439"/>
      <c r="AG415" s="1439"/>
    </row>
    <row r="416" spans="1:33" ht="15.75" customHeight="1">
      <c r="A416" s="1443"/>
      <c r="B416" s="1455" t="s">
        <v>7387</v>
      </c>
      <c r="C416" s="1445"/>
      <c r="D416" s="1445"/>
      <c r="E416" s="1445"/>
      <c r="F416" s="1446"/>
      <c r="G416" s="1446"/>
      <c r="H416" s="1447"/>
      <c r="I416" s="1448"/>
      <c r="J416" s="1449"/>
      <c r="K416" s="1439"/>
      <c r="L416" s="1439"/>
      <c r="M416" s="1439"/>
      <c r="N416" s="1439"/>
      <c r="O416" s="1439"/>
      <c r="P416" s="1439"/>
      <c r="Q416" s="1439"/>
      <c r="R416" s="1439"/>
      <c r="S416" s="1439"/>
      <c r="T416" s="1439"/>
      <c r="U416" s="1439"/>
      <c r="V416" s="1439"/>
      <c r="W416" s="1439"/>
      <c r="X416" s="1439"/>
      <c r="Y416" s="1439"/>
      <c r="Z416" s="1439"/>
      <c r="AA416" s="1439"/>
      <c r="AB416" s="1439"/>
      <c r="AC416" s="1439"/>
      <c r="AD416" s="1439"/>
      <c r="AE416" s="1439"/>
      <c r="AF416" s="1439"/>
      <c r="AG416" s="1439"/>
    </row>
    <row r="417" spans="1:33" ht="15.75" customHeight="1">
      <c r="A417" s="1443"/>
      <c r="B417" s="1452" t="s">
        <v>7388</v>
      </c>
      <c r="C417" s="1445">
        <v>1</v>
      </c>
      <c r="D417" s="1445" t="s">
        <v>3364</v>
      </c>
      <c r="E417" s="1445">
        <v>4</v>
      </c>
      <c r="F417" s="1446">
        <v>27.89</v>
      </c>
      <c r="G417" s="1446">
        <v>0.23</v>
      </c>
      <c r="H417" s="1467">
        <v>1</v>
      </c>
      <c r="I417" s="1448">
        <f t="shared" ref="I417:I434" si="24">PRODUCT(C417:H417)</f>
        <v>25.66</v>
      </c>
      <c r="J417" s="1449"/>
      <c r="K417" s="1439"/>
      <c r="L417" s="1439"/>
      <c r="M417" s="1439"/>
      <c r="N417" s="1439"/>
      <c r="O417" s="1439"/>
      <c r="P417" s="1439"/>
      <c r="Q417" s="1439"/>
      <c r="R417" s="1439"/>
      <c r="S417" s="1439"/>
      <c r="T417" s="1439"/>
      <c r="U417" s="1439"/>
      <c r="V417" s="1439"/>
      <c r="W417" s="1439"/>
      <c r="X417" s="1439"/>
      <c r="Y417" s="1439"/>
      <c r="Z417" s="1439"/>
      <c r="AA417" s="1439"/>
      <c r="AB417" s="1439"/>
      <c r="AC417" s="1439"/>
      <c r="AD417" s="1439"/>
      <c r="AE417" s="1439"/>
      <c r="AF417" s="1439"/>
      <c r="AG417" s="1439"/>
    </row>
    <row r="418" spans="1:33" ht="15.75" customHeight="1">
      <c r="A418" s="1443"/>
      <c r="B418" s="1452" t="s">
        <v>7389</v>
      </c>
      <c r="C418" s="1445">
        <v>1</v>
      </c>
      <c r="D418" s="1445" t="s">
        <v>3364</v>
      </c>
      <c r="E418" s="1445">
        <v>1</v>
      </c>
      <c r="F418" s="1446">
        <f>2.53+0.46</f>
        <v>2.99</v>
      </c>
      <c r="G418" s="1446">
        <v>0.23</v>
      </c>
      <c r="H418" s="1467">
        <v>1</v>
      </c>
      <c r="I418" s="1448">
        <f t="shared" si="24"/>
        <v>0.69</v>
      </c>
      <c r="J418" s="1449"/>
      <c r="K418" s="1439"/>
      <c r="L418" s="1439"/>
      <c r="M418" s="1439"/>
      <c r="N418" s="1439"/>
      <c r="O418" s="1439"/>
      <c r="P418" s="1439"/>
      <c r="Q418" s="1439"/>
      <c r="R418" s="1439"/>
      <c r="S418" s="1439"/>
      <c r="T418" s="1439"/>
      <c r="U418" s="1439"/>
      <c r="V418" s="1439"/>
      <c r="W418" s="1439"/>
      <c r="X418" s="1439"/>
      <c r="Y418" s="1439"/>
      <c r="Z418" s="1439"/>
      <c r="AA418" s="1439"/>
      <c r="AB418" s="1439"/>
      <c r="AC418" s="1439"/>
      <c r="AD418" s="1439"/>
      <c r="AE418" s="1439"/>
      <c r="AF418" s="1439"/>
      <c r="AG418" s="1439"/>
    </row>
    <row r="419" spans="1:33" ht="15.75" customHeight="1">
      <c r="A419" s="1443"/>
      <c r="B419" s="1452" t="s">
        <v>7390</v>
      </c>
      <c r="C419" s="1445">
        <v>1</v>
      </c>
      <c r="D419" s="1453" t="s">
        <v>3827</v>
      </c>
      <c r="E419" s="1445">
        <v>1</v>
      </c>
      <c r="F419" s="1446">
        <f>4.765+1.13+2.53+0.23</f>
        <v>8.6549999999999994</v>
      </c>
      <c r="G419" s="1446">
        <v>0.23</v>
      </c>
      <c r="H419" s="1467">
        <v>1</v>
      </c>
      <c r="I419" s="1448">
        <f t="shared" si="24"/>
        <v>1.99</v>
      </c>
      <c r="J419" s="1449"/>
      <c r="K419" s="1439"/>
      <c r="L419" s="1439"/>
      <c r="M419" s="1439"/>
      <c r="N419" s="1439"/>
      <c r="O419" s="1439"/>
      <c r="P419" s="1439"/>
      <c r="Q419" s="1439"/>
      <c r="R419" s="1439"/>
      <c r="S419" s="1439"/>
      <c r="T419" s="1439"/>
      <c r="U419" s="1439"/>
      <c r="V419" s="1439"/>
      <c r="W419" s="1439"/>
      <c r="X419" s="1439"/>
      <c r="Y419" s="1439"/>
      <c r="Z419" s="1439"/>
      <c r="AA419" s="1439"/>
      <c r="AB419" s="1439"/>
      <c r="AC419" s="1439"/>
      <c r="AD419" s="1439"/>
      <c r="AE419" s="1439"/>
      <c r="AF419" s="1439"/>
      <c r="AG419" s="1439"/>
    </row>
    <row r="420" spans="1:33" ht="15.75" customHeight="1">
      <c r="A420" s="1443"/>
      <c r="B420" s="1456" t="s">
        <v>7038</v>
      </c>
      <c r="C420" s="1445"/>
      <c r="D420" s="1445"/>
      <c r="E420" s="1445"/>
      <c r="F420" s="1446"/>
      <c r="G420" s="1446"/>
      <c r="H420" s="1467"/>
      <c r="I420" s="1448">
        <f t="shared" si="24"/>
        <v>0</v>
      </c>
      <c r="J420" s="1449"/>
      <c r="K420" s="1439"/>
      <c r="L420" s="1439"/>
      <c r="M420" s="1439"/>
      <c r="N420" s="1439"/>
      <c r="O420" s="1439"/>
      <c r="P420" s="1439"/>
      <c r="Q420" s="1439"/>
      <c r="R420" s="1439"/>
      <c r="S420" s="1439"/>
      <c r="T420" s="1439"/>
      <c r="U420" s="1439"/>
      <c r="V420" s="1439"/>
      <c r="W420" s="1439"/>
      <c r="X420" s="1439"/>
      <c r="Y420" s="1439"/>
      <c r="Z420" s="1439"/>
      <c r="AA420" s="1439"/>
      <c r="AB420" s="1439"/>
      <c r="AC420" s="1439"/>
      <c r="AD420" s="1439"/>
      <c r="AE420" s="1439"/>
      <c r="AF420" s="1439"/>
      <c r="AG420" s="1439"/>
    </row>
    <row r="421" spans="1:33" ht="15.75" customHeight="1">
      <c r="A421" s="1443"/>
      <c r="B421" s="1452" t="s">
        <v>7037</v>
      </c>
      <c r="C421" s="1445">
        <v>1</v>
      </c>
      <c r="D421" s="1445" t="s">
        <v>3364</v>
      </c>
      <c r="E421" s="1445">
        <v>7</v>
      </c>
      <c r="F421" s="1446">
        <v>18.079999999999998</v>
      </c>
      <c r="G421" s="1446">
        <v>0.23</v>
      </c>
      <c r="H421" s="1467">
        <v>1</v>
      </c>
      <c r="I421" s="1448">
        <f t="shared" si="24"/>
        <v>29.11</v>
      </c>
      <c r="J421" s="1449"/>
      <c r="K421" s="1439"/>
      <c r="L421" s="1439"/>
      <c r="M421" s="1439"/>
      <c r="N421" s="1439"/>
      <c r="O421" s="1439"/>
      <c r="P421" s="1439"/>
      <c r="Q421" s="1439"/>
      <c r="R421" s="1439"/>
      <c r="S421" s="1439"/>
      <c r="T421" s="1439"/>
      <c r="U421" s="1439"/>
      <c r="V421" s="1439"/>
      <c r="W421" s="1439"/>
      <c r="X421" s="1439"/>
      <c r="Y421" s="1439"/>
      <c r="Z421" s="1439"/>
      <c r="AA421" s="1439"/>
      <c r="AB421" s="1439"/>
      <c r="AC421" s="1439"/>
      <c r="AD421" s="1439"/>
      <c r="AE421" s="1439"/>
      <c r="AF421" s="1439"/>
      <c r="AG421" s="1439"/>
    </row>
    <row r="422" spans="1:33" ht="15.75" customHeight="1">
      <c r="A422" s="1443"/>
      <c r="B422" s="1452" t="s">
        <v>7391</v>
      </c>
      <c r="C422" s="1445">
        <v>1</v>
      </c>
      <c r="D422" s="1445" t="s">
        <v>3364</v>
      </c>
      <c r="E422" s="1445">
        <v>4</v>
      </c>
      <c r="F422" s="1446">
        <v>1.54</v>
      </c>
      <c r="G422" s="1446">
        <v>0.23</v>
      </c>
      <c r="H422" s="1467">
        <v>1</v>
      </c>
      <c r="I422" s="1448">
        <f t="shared" si="24"/>
        <v>1.42</v>
      </c>
      <c r="J422" s="1449"/>
      <c r="K422" s="1439"/>
      <c r="L422" s="1439"/>
      <c r="M422" s="1439"/>
      <c r="N422" s="1439"/>
      <c r="O422" s="1439"/>
      <c r="P422" s="1439"/>
      <c r="Q422" s="1439"/>
      <c r="R422" s="1439"/>
      <c r="S422" s="1439"/>
      <c r="T422" s="1439"/>
      <c r="U422" s="1439"/>
      <c r="V422" s="1439"/>
      <c r="W422" s="1439"/>
      <c r="X422" s="1439"/>
      <c r="Y422" s="1439"/>
      <c r="Z422" s="1439"/>
      <c r="AA422" s="1439"/>
      <c r="AB422" s="1439"/>
      <c r="AC422" s="1439"/>
      <c r="AD422" s="1439"/>
      <c r="AE422" s="1439"/>
      <c r="AF422" s="1439"/>
      <c r="AG422" s="1439"/>
    </row>
    <row r="423" spans="1:33" ht="15.75" customHeight="1">
      <c r="A423" s="1443"/>
      <c r="B423" s="1452" t="s">
        <v>7392</v>
      </c>
      <c r="C423" s="1445">
        <v>1</v>
      </c>
      <c r="D423" s="1445" t="s">
        <v>3364</v>
      </c>
      <c r="E423" s="1445">
        <v>1</v>
      </c>
      <c r="F423" s="1446">
        <v>2.3849999999999998</v>
      </c>
      <c r="G423" s="1446">
        <v>0.23</v>
      </c>
      <c r="H423" s="1467">
        <v>1</v>
      </c>
      <c r="I423" s="1448">
        <f t="shared" si="24"/>
        <v>0.55000000000000004</v>
      </c>
      <c r="J423" s="1449"/>
      <c r="K423" s="1439"/>
      <c r="L423" s="1439"/>
      <c r="M423" s="1439"/>
      <c r="N423" s="1439"/>
      <c r="O423" s="1439"/>
      <c r="P423" s="1439"/>
      <c r="Q423" s="1439"/>
      <c r="R423" s="1439"/>
      <c r="S423" s="1439"/>
      <c r="T423" s="1439"/>
      <c r="U423" s="1439"/>
      <c r="V423" s="1439"/>
      <c r="W423" s="1439"/>
      <c r="X423" s="1439"/>
      <c r="Y423" s="1439"/>
      <c r="Z423" s="1439"/>
      <c r="AA423" s="1439"/>
      <c r="AB423" s="1439"/>
      <c r="AC423" s="1439"/>
      <c r="AD423" s="1439"/>
      <c r="AE423" s="1439"/>
      <c r="AF423" s="1439"/>
      <c r="AG423" s="1439"/>
    </row>
    <row r="424" spans="1:33" ht="15.75" customHeight="1">
      <c r="A424" s="1443"/>
      <c r="B424" s="1450" t="s">
        <v>7039</v>
      </c>
      <c r="C424" s="1445">
        <v>1</v>
      </c>
      <c r="D424" s="1445" t="s">
        <v>3364</v>
      </c>
      <c r="E424" s="1445">
        <v>1</v>
      </c>
      <c r="F424" s="1446">
        <f>8.82+0.46</f>
        <v>9.2799999999999994</v>
      </c>
      <c r="G424" s="1446">
        <v>0.23</v>
      </c>
      <c r="H424" s="1467">
        <v>1</v>
      </c>
      <c r="I424" s="1448">
        <f t="shared" si="24"/>
        <v>2.13</v>
      </c>
      <c r="J424" s="1449"/>
      <c r="K424" s="1439"/>
      <c r="L424" s="1439"/>
      <c r="M424" s="1439"/>
      <c r="N424" s="1439"/>
      <c r="O424" s="1439"/>
      <c r="P424" s="1439"/>
      <c r="Q424" s="1439"/>
      <c r="R424" s="1439"/>
      <c r="S424" s="1439"/>
      <c r="T424" s="1439"/>
      <c r="U424" s="1439"/>
      <c r="V424" s="1439"/>
      <c r="W424" s="1439"/>
      <c r="X424" s="1439"/>
      <c r="Y424" s="1439"/>
      <c r="Z424" s="1439"/>
      <c r="AA424" s="1439"/>
      <c r="AB424" s="1439"/>
      <c r="AC424" s="1439"/>
      <c r="AD424" s="1439"/>
      <c r="AE424" s="1439"/>
      <c r="AF424" s="1439"/>
      <c r="AG424" s="1439"/>
    </row>
    <row r="425" spans="1:33" ht="15.75" customHeight="1">
      <c r="A425" s="1443"/>
      <c r="B425" s="1450" t="s">
        <v>7040</v>
      </c>
      <c r="C425" s="1445">
        <v>1</v>
      </c>
      <c r="D425" s="1445" t="s">
        <v>3364</v>
      </c>
      <c r="E425" s="1445">
        <v>1</v>
      </c>
      <c r="F425" s="1446">
        <v>3.3460000000000001</v>
      </c>
      <c r="G425" s="1446">
        <v>0.23</v>
      </c>
      <c r="H425" s="1467">
        <v>1</v>
      </c>
      <c r="I425" s="1448">
        <f t="shared" si="24"/>
        <v>0.77</v>
      </c>
      <c r="J425" s="1449"/>
      <c r="K425" s="1439">
        <f>1.75+0.9</f>
        <v>2.65</v>
      </c>
      <c r="L425" s="1439"/>
      <c r="M425" s="1439"/>
      <c r="N425" s="1439"/>
      <c r="O425" s="1439"/>
      <c r="P425" s="1439"/>
      <c r="Q425" s="1439"/>
      <c r="R425" s="1439"/>
      <c r="S425" s="1439"/>
      <c r="T425" s="1439"/>
      <c r="U425" s="1439"/>
      <c r="V425" s="1439"/>
      <c r="W425" s="1439"/>
      <c r="X425" s="1439"/>
      <c r="Y425" s="1439"/>
      <c r="Z425" s="1439"/>
      <c r="AA425" s="1439"/>
      <c r="AB425" s="1439"/>
      <c r="AC425" s="1439"/>
      <c r="AD425" s="1439"/>
      <c r="AE425" s="1439"/>
      <c r="AF425" s="1439"/>
      <c r="AG425" s="1439"/>
    </row>
    <row r="426" spans="1:33" ht="15.75" customHeight="1">
      <c r="A426" s="1443"/>
      <c r="B426" s="1455" t="s">
        <v>3443</v>
      </c>
      <c r="C426" s="1445"/>
      <c r="D426" s="1445"/>
      <c r="E426" s="1445"/>
      <c r="F426" s="1446"/>
      <c r="G426" s="1446"/>
      <c r="H426" s="1447"/>
      <c r="I426" s="1448"/>
      <c r="J426" s="1449"/>
      <c r="K426" s="1439"/>
      <c r="L426" s="1439"/>
      <c r="M426" s="1439"/>
      <c r="N426" s="1439"/>
      <c r="O426" s="1439"/>
      <c r="P426" s="1439"/>
      <c r="Q426" s="1439"/>
      <c r="R426" s="1439"/>
      <c r="S426" s="1439"/>
      <c r="T426" s="1439"/>
      <c r="U426" s="1439"/>
      <c r="V426" s="1439"/>
      <c r="W426" s="1439"/>
      <c r="X426" s="1439"/>
      <c r="Y426" s="1439"/>
      <c r="Z426" s="1439"/>
      <c r="AA426" s="1439"/>
      <c r="AB426" s="1439"/>
      <c r="AC426" s="1439"/>
      <c r="AD426" s="1439"/>
      <c r="AE426" s="1439"/>
      <c r="AF426" s="1439"/>
      <c r="AG426" s="1439"/>
    </row>
    <row r="427" spans="1:33" ht="15.75" customHeight="1">
      <c r="A427" s="1443"/>
      <c r="B427" s="1452" t="s">
        <v>7396</v>
      </c>
      <c r="C427" s="1445">
        <v>3</v>
      </c>
      <c r="D427" s="1453" t="s">
        <v>3364</v>
      </c>
      <c r="E427" s="1445">
        <v>-1</v>
      </c>
      <c r="F427" s="1446">
        <v>0.23</v>
      </c>
      <c r="G427" s="1454">
        <v>0.3</v>
      </c>
      <c r="H427" s="1447">
        <v>1</v>
      </c>
      <c r="I427" s="1448">
        <f t="shared" si="24"/>
        <v>-0.21</v>
      </c>
      <c r="J427" s="1449"/>
      <c r="K427" s="1439"/>
      <c r="L427" s="1439"/>
      <c r="M427" s="1439"/>
      <c r="N427" s="1439"/>
      <c r="O427" s="1439"/>
      <c r="P427" s="1439"/>
      <c r="Q427" s="1439"/>
      <c r="R427" s="1439"/>
      <c r="S427" s="1439"/>
      <c r="T427" s="1439"/>
      <c r="U427" s="1439"/>
      <c r="V427" s="1439"/>
      <c r="W427" s="1439"/>
      <c r="X427" s="1439"/>
      <c r="Y427" s="1439"/>
      <c r="Z427" s="1439"/>
      <c r="AA427" s="1439"/>
      <c r="AB427" s="1439"/>
      <c r="AC427" s="1439"/>
      <c r="AD427" s="1439"/>
      <c r="AE427" s="1439"/>
      <c r="AF427" s="1439"/>
      <c r="AG427" s="1439"/>
    </row>
    <row r="428" spans="1:33" ht="15.75" customHeight="1">
      <c r="A428" s="1443"/>
      <c r="B428" s="1452" t="s">
        <v>7397</v>
      </c>
      <c r="C428" s="1445">
        <v>2</v>
      </c>
      <c r="D428" s="1453" t="s">
        <v>3364</v>
      </c>
      <c r="E428" s="1445">
        <v>-1</v>
      </c>
      <c r="F428" s="1446">
        <v>0.23</v>
      </c>
      <c r="G428" s="1446">
        <v>0.38</v>
      </c>
      <c r="H428" s="1447">
        <v>1</v>
      </c>
      <c r="I428" s="1448">
        <f t="shared" si="24"/>
        <v>-0.17</v>
      </c>
      <c r="J428" s="1449"/>
      <c r="K428" s="1439"/>
      <c r="L428" s="1439"/>
      <c r="M428" s="1439"/>
      <c r="N428" s="1439"/>
      <c r="O428" s="1439"/>
      <c r="P428" s="1439"/>
      <c r="Q428" s="1439"/>
      <c r="R428" s="1439"/>
      <c r="S428" s="1439"/>
      <c r="T428" s="1439"/>
      <c r="U428" s="1439"/>
      <c r="V428" s="1439"/>
      <c r="W428" s="1439"/>
      <c r="X428" s="1439"/>
      <c r="Y428" s="1439"/>
      <c r="Z428" s="1439"/>
      <c r="AA428" s="1439"/>
      <c r="AB428" s="1439"/>
      <c r="AC428" s="1439"/>
      <c r="AD428" s="1439"/>
      <c r="AE428" s="1439"/>
      <c r="AF428" s="1439"/>
      <c r="AG428" s="1439"/>
    </row>
    <row r="429" spans="1:33" ht="15.75" customHeight="1">
      <c r="A429" s="1443"/>
      <c r="B429" s="1452" t="s">
        <v>7398</v>
      </c>
      <c r="C429" s="1445">
        <v>4</v>
      </c>
      <c r="D429" s="1453" t="s">
        <v>3364</v>
      </c>
      <c r="E429" s="1445">
        <v>-1</v>
      </c>
      <c r="F429" s="1446">
        <v>0.23</v>
      </c>
      <c r="G429" s="1446">
        <v>0.45</v>
      </c>
      <c r="H429" s="1447">
        <v>1</v>
      </c>
      <c r="I429" s="1448">
        <f t="shared" si="24"/>
        <v>-0.41</v>
      </c>
      <c r="J429" s="1449"/>
      <c r="K429" s="1439"/>
      <c r="L429" s="1439"/>
      <c r="M429" s="1439"/>
      <c r="N429" s="1439"/>
      <c r="O429" s="1439"/>
      <c r="P429" s="1439"/>
      <c r="Q429" s="1439"/>
      <c r="R429" s="1439"/>
      <c r="S429" s="1439"/>
      <c r="T429" s="1439"/>
      <c r="U429" s="1439"/>
      <c r="V429" s="1439"/>
      <c r="W429" s="1439"/>
      <c r="X429" s="1439"/>
      <c r="Y429" s="1439"/>
      <c r="Z429" s="1439"/>
      <c r="AA429" s="1439"/>
      <c r="AB429" s="1439"/>
      <c r="AC429" s="1439"/>
      <c r="AD429" s="1439"/>
      <c r="AE429" s="1439"/>
      <c r="AF429" s="1439"/>
      <c r="AG429" s="1439"/>
    </row>
    <row r="430" spans="1:33" ht="15.75" customHeight="1">
      <c r="A430" s="1443"/>
      <c r="B430" s="1452" t="s">
        <v>7399</v>
      </c>
      <c r="C430" s="1445">
        <v>5</v>
      </c>
      <c r="D430" s="1453" t="s">
        <v>3364</v>
      </c>
      <c r="E430" s="1445">
        <v>-1</v>
      </c>
      <c r="F430" s="1446">
        <v>0.23</v>
      </c>
      <c r="G430" s="1446">
        <v>0.45</v>
      </c>
      <c r="H430" s="1447">
        <v>1</v>
      </c>
      <c r="I430" s="1448">
        <f t="shared" si="24"/>
        <v>-0.52</v>
      </c>
      <c r="J430" s="1449"/>
      <c r="K430" s="1439"/>
      <c r="L430" s="1439"/>
      <c r="M430" s="1439"/>
      <c r="N430" s="1439"/>
      <c r="O430" s="1439"/>
      <c r="P430" s="1439"/>
      <c r="Q430" s="1439"/>
      <c r="R430" s="1439"/>
      <c r="S430" s="1439"/>
      <c r="T430" s="1439"/>
      <c r="U430" s="1439"/>
      <c r="V430" s="1439"/>
      <c r="W430" s="1439"/>
      <c r="X430" s="1439"/>
      <c r="Y430" s="1439"/>
      <c r="Z430" s="1439"/>
      <c r="AA430" s="1439"/>
      <c r="AB430" s="1439"/>
      <c r="AC430" s="1439"/>
      <c r="AD430" s="1439"/>
      <c r="AE430" s="1439"/>
      <c r="AF430" s="1439"/>
      <c r="AG430" s="1439"/>
    </row>
    <row r="431" spans="1:33" ht="15.75" customHeight="1">
      <c r="A431" s="1443"/>
      <c r="B431" s="1452" t="s">
        <v>7400</v>
      </c>
      <c r="C431" s="1445">
        <v>6</v>
      </c>
      <c r="D431" s="1453" t="s">
        <v>3364</v>
      </c>
      <c r="E431" s="1445">
        <v>-1</v>
      </c>
      <c r="F431" s="1446">
        <v>0.3</v>
      </c>
      <c r="G431" s="1446">
        <v>0.45</v>
      </c>
      <c r="H431" s="1447">
        <v>1</v>
      </c>
      <c r="I431" s="1448">
        <f t="shared" si="24"/>
        <v>-0.81</v>
      </c>
      <c r="J431" s="1449"/>
      <c r="K431" s="1439"/>
      <c r="L431" s="1439">
        <f>3-0.2-0.1-1.05</f>
        <v>1.65</v>
      </c>
      <c r="M431" s="1439"/>
      <c r="N431" s="1439"/>
      <c r="O431" s="1439"/>
      <c r="P431" s="1439"/>
      <c r="Q431" s="1439"/>
      <c r="R431" s="1439"/>
      <c r="S431" s="1439"/>
      <c r="T431" s="1439"/>
      <c r="U431" s="1439"/>
      <c r="V431" s="1439"/>
      <c r="W431" s="1439"/>
      <c r="X431" s="1439"/>
      <c r="Y431" s="1439"/>
      <c r="Z431" s="1439"/>
      <c r="AA431" s="1439"/>
      <c r="AB431" s="1439"/>
      <c r="AC431" s="1439"/>
      <c r="AD431" s="1439"/>
      <c r="AE431" s="1439"/>
      <c r="AF431" s="1439"/>
      <c r="AG431" s="1439"/>
    </row>
    <row r="432" spans="1:33" ht="15.75" customHeight="1">
      <c r="A432" s="1443"/>
      <c r="B432" s="1452" t="s">
        <v>7401</v>
      </c>
      <c r="C432" s="1445">
        <v>6</v>
      </c>
      <c r="D432" s="1453" t="s">
        <v>3364</v>
      </c>
      <c r="E432" s="1445">
        <v>-1</v>
      </c>
      <c r="F432" s="1446">
        <v>0.3</v>
      </c>
      <c r="G432" s="1446">
        <v>0.45</v>
      </c>
      <c r="H432" s="1447">
        <v>1</v>
      </c>
      <c r="I432" s="1448">
        <f t="shared" si="24"/>
        <v>-0.81</v>
      </c>
      <c r="J432" s="1449"/>
      <c r="K432" s="1439"/>
      <c r="L432" s="1439">
        <f>1.65+1</f>
        <v>2.65</v>
      </c>
      <c r="M432" s="1439"/>
      <c r="N432" s="1439"/>
      <c r="O432" s="1439"/>
      <c r="P432" s="1439"/>
      <c r="Q432" s="1439"/>
      <c r="R432" s="1439"/>
      <c r="S432" s="1439"/>
      <c r="T432" s="1439"/>
      <c r="U432" s="1439"/>
      <c r="V432" s="1439"/>
      <c r="W432" s="1439"/>
      <c r="X432" s="1439"/>
      <c r="Y432" s="1439"/>
      <c r="Z432" s="1439"/>
      <c r="AA432" s="1439"/>
      <c r="AB432" s="1439"/>
      <c r="AC432" s="1439"/>
      <c r="AD432" s="1439"/>
      <c r="AE432" s="1439"/>
      <c r="AF432" s="1439"/>
      <c r="AG432" s="1439"/>
    </row>
    <row r="433" spans="1:33" ht="15.75" customHeight="1">
      <c r="A433" s="1443"/>
      <c r="B433" s="1452" t="s">
        <v>7402</v>
      </c>
      <c r="C433" s="1445">
        <v>2</v>
      </c>
      <c r="D433" s="1453" t="s">
        <v>3364</v>
      </c>
      <c r="E433" s="1445">
        <v>-1</v>
      </c>
      <c r="F433" s="1446">
        <v>0.3</v>
      </c>
      <c r="G433" s="1446">
        <v>0.6</v>
      </c>
      <c r="H433" s="1447">
        <v>1</v>
      </c>
      <c r="I433" s="1448">
        <f t="shared" si="24"/>
        <v>-0.36</v>
      </c>
      <c r="J433" s="1449"/>
      <c r="K433" s="1439"/>
      <c r="L433" s="1439"/>
      <c r="M433" s="1439"/>
      <c r="N433" s="1439"/>
      <c r="O433" s="1439"/>
      <c r="P433" s="1439"/>
      <c r="Q433" s="1439"/>
      <c r="R433" s="1439"/>
      <c r="S433" s="1439"/>
      <c r="T433" s="1439"/>
      <c r="U433" s="1439"/>
      <c r="V433" s="1439"/>
      <c r="W433" s="1439"/>
      <c r="X433" s="1439"/>
      <c r="Y433" s="1439"/>
      <c r="Z433" s="1439"/>
      <c r="AA433" s="1439"/>
      <c r="AB433" s="1439"/>
      <c r="AC433" s="1439"/>
      <c r="AD433" s="1439"/>
      <c r="AE433" s="1439"/>
      <c r="AF433" s="1439"/>
      <c r="AG433" s="1439"/>
    </row>
    <row r="434" spans="1:33" ht="15.75" customHeight="1">
      <c r="A434" s="1443"/>
      <c r="B434" s="1452" t="s">
        <v>7403</v>
      </c>
      <c r="C434" s="1445">
        <v>6</v>
      </c>
      <c r="D434" s="1453" t="s">
        <v>3364</v>
      </c>
      <c r="E434" s="1445">
        <v>-1</v>
      </c>
      <c r="F434" s="1446">
        <v>0.3</v>
      </c>
      <c r="G434" s="1446">
        <v>0.6</v>
      </c>
      <c r="H434" s="1447">
        <v>1</v>
      </c>
      <c r="I434" s="1448">
        <f t="shared" si="24"/>
        <v>-1.08</v>
      </c>
      <c r="J434" s="1449"/>
      <c r="K434" s="1439"/>
      <c r="L434" s="1439"/>
      <c r="M434" s="1439"/>
      <c r="N434" s="1439"/>
      <c r="O434" s="1439"/>
      <c r="P434" s="1439"/>
      <c r="Q434" s="1439"/>
      <c r="R434" s="1439"/>
      <c r="S434" s="1439"/>
      <c r="T434" s="1439"/>
      <c r="U434" s="1439"/>
      <c r="V434" s="1439"/>
      <c r="W434" s="1439"/>
      <c r="X434" s="1439"/>
      <c r="Y434" s="1439"/>
      <c r="Z434" s="1439"/>
      <c r="AA434" s="1439"/>
      <c r="AB434" s="1439"/>
      <c r="AC434" s="1439"/>
      <c r="AD434" s="1439"/>
      <c r="AE434" s="1439"/>
      <c r="AF434" s="1439"/>
      <c r="AG434" s="1439"/>
    </row>
    <row r="435" spans="1:33" ht="15.75" customHeight="1">
      <c r="A435" s="1443"/>
      <c r="B435" s="1450"/>
      <c r="C435" s="1477"/>
      <c r="D435" s="1477"/>
      <c r="E435" s="1477"/>
      <c r="F435" s="1478"/>
      <c r="G435" s="1458" t="s">
        <v>104</v>
      </c>
      <c r="H435" s="1447"/>
      <c r="I435" s="1479">
        <f>SUM(I416:I434)</f>
        <v>57.95</v>
      </c>
      <c r="J435" s="1449"/>
      <c r="K435" s="1439"/>
      <c r="L435" s="1439"/>
      <c r="M435" s="1439"/>
      <c r="N435" s="1439"/>
      <c r="O435" s="1439"/>
      <c r="P435" s="1439"/>
      <c r="Q435" s="1439"/>
      <c r="R435" s="1439"/>
      <c r="S435" s="1439"/>
      <c r="T435" s="1439"/>
      <c r="U435" s="1439"/>
      <c r="V435" s="1439"/>
      <c r="W435" s="1439"/>
      <c r="X435" s="1439"/>
      <c r="Y435" s="1439"/>
      <c r="Z435" s="1439"/>
      <c r="AA435" s="1439"/>
      <c r="AB435" s="1439"/>
      <c r="AC435" s="1439"/>
      <c r="AD435" s="1439"/>
      <c r="AE435" s="1439"/>
      <c r="AF435" s="1439"/>
      <c r="AG435" s="1439"/>
    </row>
    <row r="436" spans="1:33" ht="15.75" customHeight="1">
      <c r="A436" s="1443"/>
      <c r="B436" s="1450"/>
      <c r="C436" s="1477"/>
      <c r="D436" s="1477"/>
      <c r="E436" s="1477"/>
      <c r="F436" s="1478"/>
      <c r="G436" s="1446"/>
      <c r="H436" s="1460" t="s">
        <v>2981</v>
      </c>
      <c r="I436" s="1459">
        <f>CEILING(I435,0.1)</f>
        <v>58</v>
      </c>
      <c r="J436" s="1449" t="s">
        <v>5</v>
      </c>
      <c r="K436" s="1439"/>
      <c r="L436" s="1439"/>
      <c r="M436" s="1439"/>
      <c r="N436" s="1439"/>
      <c r="O436" s="1439"/>
      <c r="P436" s="1439"/>
      <c r="Q436" s="1439"/>
      <c r="R436" s="1439"/>
      <c r="S436" s="1439"/>
      <c r="T436" s="1439"/>
      <c r="U436" s="1439"/>
      <c r="V436" s="1439"/>
      <c r="W436" s="1439"/>
      <c r="X436" s="1439"/>
      <c r="Y436" s="1439"/>
      <c r="Z436" s="1439"/>
      <c r="AA436" s="1439"/>
      <c r="AB436" s="1439"/>
      <c r="AC436" s="1439"/>
      <c r="AD436" s="1439"/>
      <c r="AE436" s="1439"/>
      <c r="AF436" s="1439"/>
      <c r="AG436" s="1439"/>
    </row>
    <row r="437" spans="1:33" ht="141.75">
      <c r="A437" s="1451">
        <v>9.1999999999999993</v>
      </c>
      <c r="B437" s="1444" t="s">
        <v>7054</v>
      </c>
      <c r="C437" s="1445"/>
      <c r="D437" s="1445"/>
      <c r="E437" s="1445"/>
      <c r="F437" s="1446"/>
      <c r="G437" s="1446"/>
      <c r="H437" s="1447"/>
      <c r="I437" s="1448"/>
      <c r="J437" s="1475"/>
      <c r="K437" s="1439"/>
      <c r="L437" s="1439">
        <f>63/236</f>
        <v>0.266949152542373</v>
      </c>
      <c r="M437" s="1439">
        <f>3.84*400</f>
        <v>1536</v>
      </c>
      <c r="N437" s="1439"/>
      <c r="O437" s="1439"/>
      <c r="P437" s="1439"/>
      <c r="Q437" s="1439"/>
      <c r="R437" s="1439"/>
      <c r="S437" s="1439"/>
      <c r="T437" s="1439"/>
      <c r="U437" s="1439"/>
      <c r="V437" s="1439"/>
      <c r="W437" s="1439"/>
      <c r="X437" s="1439"/>
      <c r="Y437" s="1439"/>
      <c r="Z437" s="1439"/>
      <c r="AA437" s="1439"/>
      <c r="AB437" s="1439"/>
      <c r="AC437" s="1439"/>
      <c r="AD437" s="1439"/>
      <c r="AE437" s="1439"/>
      <c r="AF437" s="1439"/>
      <c r="AG437" s="1439"/>
    </row>
    <row r="438" spans="1:33" ht="15.75" customHeight="1">
      <c r="A438" s="1470"/>
      <c r="B438" s="1471" t="s">
        <v>3445</v>
      </c>
      <c r="C438" s="1445"/>
      <c r="D438" s="1445"/>
      <c r="E438" s="1445"/>
      <c r="F438" s="1446"/>
      <c r="G438" s="1446"/>
      <c r="H438" s="1447"/>
      <c r="I438" s="1448"/>
      <c r="J438" s="1475"/>
      <c r="K438" s="1439"/>
      <c r="L438" s="1439">
        <f>L437*395</f>
        <v>105.444915254237</v>
      </c>
      <c r="M438" s="1439"/>
      <c r="N438" s="1439"/>
      <c r="O438" s="1439"/>
      <c r="P438" s="1439"/>
      <c r="Q438" s="1439"/>
      <c r="R438" s="1439"/>
      <c r="S438" s="1439"/>
      <c r="T438" s="1439"/>
      <c r="U438" s="1439"/>
      <c r="V438" s="1439"/>
      <c r="W438" s="1439"/>
      <c r="X438" s="1439"/>
      <c r="Y438" s="1439"/>
      <c r="Z438" s="1439"/>
      <c r="AA438" s="1439"/>
      <c r="AB438" s="1439"/>
      <c r="AC438" s="1439"/>
      <c r="AD438" s="1439"/>
      <c r="AE438" s="1439"/>
      <c r="AF438" s="1439"/>
      <c r="AG438" s="1439"/>
    </row>
    <row r="439" spans="1:33" ht="15.75" customHeight="1">
      <c r="A439" s="1448"/>
      <c r="B439" s="1480" t="s">
        <v>7055</v>
      </c>
      <c r="C439" s="1445">
        <v>1</v>
      </c>
      <c r="D439" s="1447" t="s">
        <v>3364</v>
      </c>
      <c r="E439" s="1445">
        <v>3</v>
      </c>
      <c r="F439" s="1446">
        <v>17</v>
      </c>
      <c r="G439" s="1446">
        <v>0.23</v>
      </c>
      <c r="H439" s="1447">
        <v>2.9</v>
      </c>
      <c r="I439" s="1448">
        <f t="shared" ref="I439:I467" si="25">PRODUCT(C439:H439)</f>
        <v>34.020000000000003</v>
      </c>
      <c r="J439" s="1449"/>
      <c r="K439" s="1481"/>
      <c r="L439" s="1481"/>
      <c r="M439" s="1481"/>
      <c r="N439" s="1481"/>
      <c r="O439" s="1481"/>
      <c r="P439" s="1481"/>
      <c r="Q439" s="1481"/>
      <c r="R439" s="1481"/>
      <c r="S439" s="1481"/>
      <c r="T439" s="1481"/>
      <c r="U439" s="1481"/>
      <c r="V439" s="1481"/>
      <c r="W439" s="1481"/>
      <c r="X439" s="1481"/>
      <c r="Y439" s="1481"/>
      <c r="Z439" s="1481"/>
      <c r="AA439" s="1481"/>
      <c r="AB439" s="1481"/>
      <c r="AC439" s="1481"/>
      <c r="AD439" s="1481"/>
      <c r="AE439" s="1481"/>
      <c r="AF439" s="1481"/>
      <c r="AG439" s="1481"/>
    </row>
    <row r="440" spans="1:33" ht="15.75" customHeight="1">
      <c r="A440" s="1448"/>
      <c r="B440" s="1480" t="s">
        <v>7056</v>
      </c>
      <c r="C440" s="1445">
        <v>2</v>
      </c>
      <c r="D440" s="1447" t="s">
        <v>3364</v>
      </c>
      <c r="E440" s="1445">
        <v>2</v>
      </c>
      <c r="F440" s="1446">
        <f>1.5+0.23</f>
        <v>1.73</v>
      </c>
      <c r="G440" s="1446">
        <v>0.23</v>
      </c>
      <c r="H440" s="1447">
        <v>2.9</v>
      </c>
      <c r="I440" s="1448">
        <f t="shared" si="25"/>
        <v>4.62</v>
      </c>
      <c r="J440" s="1449"/>
      <c r="K440" s="1481"/>
      <c r="L440" s="1481"/>
      <c r="M440" s="1481"/>
      <c r="N440" s="1481"/>
      <c r="O440" s="1481"/>
      <c r="P440" s="1481"/>
      <c r="Q440" s="1481"/>
      <c r="R440" s="1481"/>
      <c r="S440" s="1481"/>
      <c r="T440" s="1481"/>
      <c r="U440" s="1481"/>
      <c r="V440" s="1481"/>
      <c r="W440" s="1481"/>
      <c r="X440" s="1481"/>
      <c r="Y440" s="1481"/>
      <c r="Z440" s="1481"/>
      <c r="AA440" s="1481"/>
      <c r="AB440" s="1481"/>
      <c r="AC440" s="1481"/>
      <c r="AD440" s="1481"/>
      <c r="AE440" s="1481"/>
      <c r="AF440" s="1481"/>
      <c r="AG440" s="1481"/>
    </row>
    <row r="441" spans="1:33" ht="15.75" customHeight="1">
      <c r="A441" s="1448"/>
      <c r="B441" s="1480" t="s">
        <v>7057</v>
      </c>
      <c r="C441" s="1445">
        <v>2</v>
      </c>
      <c r="D441" s="1447" t="s">
        <v>3364</v>
      </c>
      <c r="E441" s="1445">
        <v>1</v>
      </c>
      <c r="F441" s="1446">
        <v>2.2999999999999998</v>
      </c>
      <c r="G441" s="1446">
        <v>0.23</v>
      </c>
      <c r="H441" s="1447">
        <v>2.9</v>
      </c>
      <c r="I441" s="1448">
        <f t="shared" si="25"/>
        <v>3.07</v>
      </c>
      <c r="J441" s="1449"/>
      <c r="K441" s="1481"/>
      <c r="L441" s="1481"/>
      <c r="M441" s="1481"/>
      <c r="N441" s="1481"/>
      <c r="O441" s="1481"/>
      <c r="P441" s="1481"/>
      <c r="Q441" s="1481"/>
      <c r="R441" s="1481"/>
      <c r="S441" s="1481"/>
      <c r="T441" s="1481"/>
      <c r="U441" s="1481"/>
      <c r="V441" s="1481"/>
      <c r="W441" s="1481"/>
      <c r="X441" s="1481"/>
      <c r="Y441" s="1481"/>
      <c r="Z441" s="1481"/>
      <c r="AA441" s="1481"/>
      <c r="AB441" s="1481"/>
      <c r="AC441" s="1481"/>
      <c r="AD441" s="1481"/>
      <c r="AE441" s="1481"/>
      <c r="AF441" s="1481"/>
      <c r="AG441" s="1481"/>
    </row>
    <row r="442" spans="1:33" ht="15.75" customHeight="1">
      <c r="A442" s="1448"/>
      <c r="B442" s="1480" t="s">
        <v>7058</v>
      </c>
      <c r="C442" s="1445">
        <v>1</v>
      </c>
      <c r="D442" s="1447" t="s">
        <v>3364</v>
      </c>
      <c r="E442" s="1445">
        <v>2</v>
      </c>
      <c r="F442" s="1446">
        <v>7.5540000000000003</v>
      </c>
      <c r="G442" s="1446">
        <v>0.23</v>
      </c>
      <c r="H442" s="1447">
        <v>2.9</v>
      </c>
      <c r="I442" s="1448">
        <f t="shared" si="25"/>
        <v>10.08</v>
      </c>
      <c r="J442" s="1449"/>
      <c r="K442" s="1481"/>
      <c r="L442" s="1481"/>
      <c r="M442" s="1481"/>
      <c r="N442" s="1481"/>
      <c r="O442" s="1481"/>
      <c r="P442" s="1481"/>
      <c r="Q442" s="1481"/>
      <c r="R442" s="1481"/>
      <c r="S442" s="1481"/>
      <c r="T442" s="1481"/>
      <c r="U442" s="1481"/>
      <c r="V442" s="1481"/>
      <c r="W442" s="1481"/>
      <c r="X442" s="1481"/>
      <c r="Y442" s="1481"/>
      <c r="Z442" s="1481"/>
      <c r="AA442" s="1481"/>
      <c r="AB442" s="1481"/>
      <c r="AC442" s="1481"/>
      <c r="AD442" s="1481"/>
      <c r="AE442" s="1481"/>
      <c r="AF442" s="1481"/>
      <c r="AG442" s="1481"/>
    </row>
    <row r="443" spans="1:33" ht="15.75" customHeight="1">
      <c r="A443" s="1448"/>
      <c r="B443" s="1480" t="s">
        <v>7059</v>
      </c>
      <c r="C443" s="1445">
        <v>2</v>
      </c>
      <c r="D443" s="1447" t="s">
        <v>3364</v>
      </c>
      <c r="E443" s="1445">
        <v>2</v>
      </c>
      <c r="F443" s="1446">
        <v>2.5299999999999998</v>
      </c>
      <c r="G443" s="1446">
        <v>0.23</v>
      </c>
      <c r="H443" s="1447">
        <v>2.9</v>
      </c>
      <c r="I443" s="1448">
        <f t="shared" si="25"/>
        <v>6.75</v>
      </c>
      <c r="J443" s="1449"/>
      <c r="K443" s="1481"/>
      <c r="L443" s="1481"/>
      <c r="M443" s="1481"/>
      <c r="N443" s="1481"/>
      <c r="O443" s="1481"/>
      <c r="P443" s="1481"/>
      <c r="Q443" s="1481"/>
      <c r="R443" s="1481"/>
      <c r="S443" s="1481"/>
      <c r="T443" s="1481"/>
      <c r="U443" s="1481"/>
      <c r="V443" s="1481"/>
      <c r="W443" s="1481"/>
      <c r="X443" s="1481"/>
      <c r="Y443" s="1481"/>
      <c r="Z443" s="1481"/>
      <c r="AA443" s="1481"/>
      <c r="AB443" s="1481"/>
      <c r="AC443" s="1481"/>
      <c r="AD443" s="1481"/>
      <c r="AE443" s="1481"/>
      <c r="AF443" s="1481"/>
      <c r="AG443" s="1481"/>
    </row>
    <row r="444" spans="1:33" ht="15.75" customHeight="1">
      <c r="A444" s="1448"/>
      <c r="B444" s="1482" t="s">
        <v>7453</v>
      </c>
      <c r="C444" s="1445">
        <v>1</v>
      </c>
      <c r="D444" s="1447" t="s">
        <v>3364</v>
      </c>
      <c r="E444" s="1445">
        <v>2</v>
      </c>
      <c r="F444" s="1446">
        <v>3.895</v>
      </c>
      <c r="G444" s="1446">
        <v>0.23</v>
      </c>
      <c r="H444" s="1447">
        <v>2.9</v>
      </c>
      <c r="I444" s="1448">
        <f t="shared" si="25"/>
        <v>5.2</v>
      </c>
      <c r="J444" s="1449"/>
      <c r="K444" s="1481"/>
      <c r="L444" s="1481"/>
      <c r="M444" s="1481"/>
      <c r="N444" s="1481"/>
      <c r="O444" s="1481"/>
      <c r="P444" s="1481"/>
      <c r="Q444" s="1481"/>
      <c r="R444" s="1481"/>
      <c r="S444" s="1481"/>
      <c r="T444" s="1481"/>
      <c r="U444" s="1481"/>
      <c r="V444" s="1481"/>
      <c r="W444" s="1481"/>
      <c r="X444" s="1481"/>
      <c r="Y444" s="1481"/>
      <c r="Z444" s="1481"/>
      <c r="AA444" s="1481"/>
      <c r="AB444" s="1481"/>
      <c r="AC444" s="1481"/>
      <c r="AD444" s="1481"/>
      <c r="AE444" s="1481"/>
      <c r="AF444" s="1481"/>
      <c r="AG444" s="1481"/>
    </row>
    <row r="445" spans="1:33" ht="15.75" customHeight="1">
      <c r="A445" s="1448"/>
      <c r="B445" s="1482" t="s">
        <v>7454</v>
      </c>
      <c r="C445" s="1445">
        <v>1</v>
      </c>
      <c r="D445" s="1467" t="s">
        <v>3364</v>
      </c>
      <c r="E445" s="1445">
        <v>1</v>
      </c>
      <c r="F445" s="1446">
        <v>3.43</v>
      </c>
      <c r="G445" s="1446">
        <v>0.23</v>
      </c>
      <c r="H445" s="1447">
        <v>2.9</v>
      </c>
      <c r="I445" s="1448">
        <f t="shared" si="25"/>
        <v>2.29</v>
      </c>
      <c r="J445" s="1449"/>
      <c r="K445" s="1481"/>
      <c r="L445" s="1481"/>
      <c r="M445" s="1481"/>
      <c r="N445" s="1481"/>
      <c r="O445" s="1481"/>
      <c r="P445" s="1481"/>
      <c r="Q445" s="1481"/>
      <c r="R445" s="1481"/>
      <c r="S445" s="1481"/>
      <c r="T445" s="1481"/>
      <c r="U445" s="1481"/>
      <c r="V445" s="1481"/>
      <c r="W445" s="1481"/>
      <c r="X445" s="1481"/>
      <c r="Y445" s="1481"/>
      <c r="Z445" s="1481"/>
      <c r="AA445" s="1481"/>
      <c r="AB445" s="1481"/>
      <c r="AC445" s="1481"/>
      <c r="AD445" s="1481"/>
      <c r="AE445" s="1481"/>
      <c r="AF445" s="1481"/>
      <c r="AG445" s="1481"/>
    </row>
    <row r="446" spans="1:33" ht="15.75" customHeight="1">
      <c r="A446" s="1448"/>
      <c r="B446" s="1483" t="s">
        <v>3443</v>
      </c>
      <c r="C446" s="1445"/>
      <c r="D446" s="1467"/>
      <c r="E446" s="1445"/>
      <c r="F446" s="1446"/>
      <c r="G446" s="1446"/>
      <c r="H446" s="1447"/>
      <c r="I446" s="1448"/>
      <c r="J446" s="1449"/>
      <c r="K446" s="1481"/>
      <c r="L446" s="1481"/>
      <c r="M446" s="1481"/>
      <c r="N446" s="1481"/>
      <c r="O446" s="1481"/>
      <c r="P446" s="1481"/>
      <c r="Q446" s="1481"/>
      <c r="R446" s="1481"/>
      <c r="S446" s="1481"/>
      <c r="T446" s="1481"/>
      <c r="U446" s="1481"/>
      <c r="V446" s="1481"/>
      <c r="W446" s="1481"/>
      <c r="X446" s="1481"/>
      <c r="Y446" s="1481"/>
      <c r="Z446" s="1481"/>
      <c r="AA446" s="1481"/>
      <c r="AB446" s="1481"/>
      <c r="AC446" s="1481"/>
      <c r="AD446" s="1481"/>
      <c r="AE446" s="1481"/>
      <c r="AF446" s="1481"/>
      <c r="AG446" s="1481"/>
    </row>
    <row r="447" spans="1:33" ht="15.75" customHeight="1">
      <c r="A447" s="1443"/>
      <c r="B447" s="1468" t="s">
        <v>3396</v>
      </c>
      <c r="C447" s="1445">
        <v>1</v>
      </c>
      <c r="D447" s="1445" t="s">
        <v>3364</v>
      </c>
      <c r="E447" s="1445">
        <v>-1</v>
      </c>
      <c r="F447" s="1446">
        <v>1.2</v>
      </c>
      <c r="G447" s="1446">
        <v>0.23</v>
      </c>
      <c r="H447" s="1446">
        <v>2.1</v>
      </c>
      <c r="I447" s="1448">
        <f t="shared" ref="I447:I456" si="26">PRODUCT(C447:H447)</f>
        <v>-0.57999999999999996</v>
      </c>
      <c r="J447" s="1449"/>
      <c r="K447" s="1439"/>
      <c r="L447" s="1439"/>
      <c r="M447" s="1439"/>
      <c r="N447" s="1439"/>
      <c r="O447" s="1439"/>
      <c r="P447" s="1439"/>
      <c r="Q447" s="1439"/>
      <c r="R447" s="1439"/>
      <c r="S447" s="1439"/>
      <c r="T447" s="1439"/>
      <c r="U447" s="1439"/>
      <c r="V447" s="1439"/>
      <c r="W447" s="1439"/>
      <c r="X447" s="1439"/>
      <c r="Y447" s="1439"/>
      <c r="Z447" s="1439"/>
      <c r="AA447" s="1439"/>
      <c r="AB447" s="1439"/>
      <c r="AC447" s="1439"/>
      <c r="AD447" s="1439"/>
      <c r="AE447" s="1439"/>
      <c r="AF447" s="1439"/>
      <c r="AG447" s="1439"/>
    </row>
    <row r="448" spans="1:33" ht="15.75" customHeight="1">
      <c r="A448" s="1443"/>
      <c r="B448" s="1468" t="s">
        <v>3363</v>
      </c>
      <c r="C448" s="1445">
        <v>1</v>
      </c>
      <c r="D448" s="1445" t="s">
        <v>3364</v>
      </c>
      <c r="E448" s="1445">
        <v>-1</v>
      </c>
      <c r="F448" s="1446">
        <v>1</v>
      </c>
      <c r="G448" s="1446">
        <v>0.23</v>
      </c>
      <c r="H448" s="1446">
        <v>2.1</v>
      </c>
      <c r="I448" s="1448">
        <f t="shared" si="26"/>
        <v>-0.48</v>
      </c>
      <c r="J448" s="1449"/>
      <c r="K448" s="1439"/>
      <c r="L448" s="1439"/>
      <c r="M448" s="1439"/>
      <c r="N448" s="1439"/>
      <c r="O448" s="1439"/>
      <c r="P448" s="1439"/>
      <c r="Q448" s="1439"/>
      <c r="R448" s="1439"/>
      <c r="S448" s="1439"/>
      <c r="T448" s="1439"/>
      <c r="U448" s="1439"/>
      <c r="V448" s="1439"/>
      <c r="W448" s="1439"/>
      <c r="X448" s="1439"/>
      <c r="Y448" s="1439"/>
      <c r="Z448" s="1439"/>
      <c r="AA448" s="1439"/>
      <c r="AB448" s="1439"/>
      <c r="AC448" s="1439"/>
      <c r="AD448" s="1439"/>
      <c r="AE448" s="1439"/>
      <c r="AF448" s="1439"/>
      <c r="AG448" s="1439"/>
    </row>
    <row r="449" spans="1:33" ht="15.75" customHeight="1">
      <c r="A449" s="1443"/>
      <c r="B449" s="1468" t="s">
        <v>3398</v>
      </c>
      <c r="C449" s="1445">
        <v>1</v>
      </c>
      <c r="D449" s="1445" t="s">
        <v>3364</v>
      </c>
      <c r="E449" s="1445">
        <v>-1</v>
      </c>
      <c r="F449" s="1446">
        <v>0.9</v>
      </c>
      <c r="G449" s="1446">
        <v>0.23</v>
      </c>
      <c r="H449" s="1446">
        <v>2.1</v>
      </c>
      <c r="I449" s="1448">
        <f t="shared" si="26"/>
        <v>-0.43</v>
      </c>
      <c r="J449" s="1449"/>
      <c r="K449" s="1439"/>
      <c r="L449" s="1439"/>
      <c r="M449" s="1439"/>
      <c r="N449" s="1439"/>
      <c r="O449" s="1439"/>
      <c r="P449" s="1439"/>
      <c r="Q449" s="1439"/>
      <c r="R449" s="1439"/>
      <c r="S449" s="1439"/>
      <c r="T449" s="1439"/>
      <c r="U449" s="1439"/>
      <c r="V449" s="1439"/>
      <c r="W449" s="1439"/>
      <c r="X449" s="1439"/>
      <c r="Y449" s="1439"/>
      <c r="Z449" s="1439"/>
      <c r="AA449" s="1439"/>
      <c r="AB449" s="1439"/>
      <c r="AC449" s="1439"/>
      <c r="AD449" s="1439"/>
      <c r="AE449" s="1439"/>
      <c r="AF449" s="1439"/>
      <c r="AG449" s="1439"/>
    </row>
    <row r="450" spans="1:33" ht="15.75" customHeight="1">
      <c r="A450" s="1443"/>
      <c r="B450" s="1468" t="s">
        <v>3407</v>
      </c>
      <c r="C450" s="1445">
        <v>2</v>
      </c>
      <c r="D450" s="1445" t="s">
        <v>3364</v>
      </c>
      <c r="E450" s="1445">
        <v>-1</v>
      </c>
      <c r="F450" s="1446">
        <v>0.75</v>
      </c>
      <c r="G450" s="1446">
        <v>0.23</v>
      </c>
      <c r="H450" s="1446">
        <v>2.1</v>
      </c>
      <c r="I450" s="1448">
        <f t="shared" si="26"/>
        <v>-0.72</v>
      </c>
      <c r="J450" s="1449"/>
      <c r="K450" s="1439"/>
      <c r="L450" s="1439"/>
      <c r="M450" s="1439"/>
      <c r="N450" s="1439"/>
      <c r="O450" s="1439"/>
      <c r="P450" s="1439"/>
      <c r="Q450" s="1439"/>
      <c r="R450" s="1439"/>
      <c r="S450" s="1439"/>
      <c r="T450" s="1439"/>
      <c r="U450" s="1439"/>
      <c r="V450" s="1439"/>
      <c r="W450" s="1439"/>
      <c r="X450" s="1439"/>
      <c r="Y450" s="1439"/>
      <c r="Z450" s="1439"/>
      <c r="AA450" s="1439"/>
      <c r="AB450" s="1439"/>
      <c r="AC450" s="1439"/>
      <c r="AD450" s="1439"/>
      <c r="AE450" s="1439"/>
      <c r="AF450" s="1439"/>
      <c r="AG450" s="1439"/>
    </row>
    <row r="451" spans="1:33" ht="15.75" customHeight="1">
      <c r="A451" s="1443"/>
      <c r="B451" s="1468" t="s">
        <v>3497</v>
      </c>
      <c r="C451" s="1445">
        <v>1</v>
      </c>
      <c r="D451" s="1445" t="s">
        <v>3364</v>
      </c>
      <c r="E451" s="1445">
        <v>-1</v>
      </c>
      <c r="F451" s="1446">
        <v>1.8</v>
      </c>
      <c r="G451" s="1446">
        <v>0.23</v>
      </c>
      <c r="H451" s="1446">
        <v>2</v>
      </c>
      <c r="I451" s="1448">
        <f t="shared" si="26"/>
        <v>-0.83</v>
      </c>
      <c r="J451" s="1449"/>
      <c r="K451" s="1439"/>
      <c r="L451" s="1466"/>
      <c r="M451" s="1466"/>
      <c r="N451" s="1466"/>
      <c r="O451" s="1439"/>
      <c r="P451" s="1439"/>
      <c r="Q451" s="1439"/>
      <c r="R451" s="1439"/>
      <c r="S451" s="1439"/>
      <c r="T451" s="1439"/>
      <c r="U451" s="1439"/>
      <c r="V451" s="1439"/>
      <c r="W451" s="1439"/>
      <c r="X451" s="1439"/>
      <c r="Y451" s="1439"/>
      <c r="Z451" s="1439"/>
      <c r="AA451" s="1439"/>
      <c r="AB451" s="1439"/>
      <c r="AC451" s="1439"/>
      <c r="AD451" s="1439"/>
      <c r="AE451" s="1439"/>
      <c r="AF451" s="1439"/>
      <c r="AG451" s="1439"/>
    </row>
    <row r="452" spans="1:33" ht="15.75" customHeight="1">
      <c r="A452" s="1443"/>
      <c r="B452" s="1468" t="s">
        <v>3414</v>
      </c>
      <c r="C452" s="1445">
        <v>5</v>
      </c>
      <c r="D452" s="1445" t="s">
        <v>3364</v>
      </c>
      <c r="E452" s="1445">
        <v>-1</v>
      </c>
      <c r="F452" s="1446">
        <v>1.8</v>
      </c>
      <c r="G452" s="1446">
        <v>0.23</v>
      </c>
      <c r="H452" s="1446">
        <v>1.35</v>
      </c>
      <c r="I452" s="1448">
        <f t="shared" si="26"/>
        <v>-2.79</v>
      </c>
      <c r="J452" s="1449"/>
      <c r="K452" s="1439"/>
      <c r="L452" s="1466"/>
      <c r="M452" s="1466"/>
      <c r="N452" s="1466"/>
      <c r="O452" s="1439"/>
      <c r="P452" s="1439"/>
      <c r="Q452" s="1439"/>
      <c r="R452" s="1439"/>
      <c r="S452" s="1439"/>
      <c r="T452" s="1439"/>
      <c r="U452" s="1439"/>
      <c r="V452" s="1439"/>
      <c r="W452" s="1439"/>
      <c r="X452" s="1439"/>
      <c r="Y452" s="1439"/>
      <c r="Z452" s="1439"/>
      <c r="AA452" s="1439"/>
      <c r="AB452" s="1439"/>
      <c r="AC452" s="1439"/>
      <c r="AD452" s="1439"/>
      <c r="AE452" s="1439"/>
      <c r="AF452" s="1439"/>
      <c r="AG452" s="1439"/>
    </row>
    <row r="453" spans="1:33" ht="15.75" customHeight="1">
      <c r="A453" s="1443"/>
      <c r="B453" s="1468" t="s">
        <v>3400</v>
      </c>
      <c r="C453" s="1445">
        <v>1</v>
      </c>
      <c r="D453" s="1445" t="s">
        <v>3364</v>
      </c>
      <c r="E453" s="1445">
        <v>-1</v>
      </c>
      <c r="F453" s="1446">
        <v>1.5</v>
      </c>
      <c r="G453" s="1446">
        <v>0.23</v>
      </c>
      <c r="H453" s="1446">
        <v>0.6</v>
      </c>
      <c r="I453" s="1448">
        <f t="shared" si="26"/>
        <v>-0.21</v>
      </c>
      <c r="J453" s="1449"/>
      <c r="K453" s="1439"/>
      <c r="L453" s="1439"/>
      <c r="M453" s="1439"/>
      <c r="N453" s="1439"/>
      <c r="O453" s="1439"/>
      <c r="P453" s="1439"/>
      <c r="Q453" s="1439"/>
      <c r="R453" s="1439"/>
      <c r="S453" s="1439"/>
      <c r="T453" s="1439"/>
      <c r="U453" s="1439"/>
      <c r="V453" s="1439"/>
      <c r="W453" s="1439"/>
      <c r="X453" s="1439"/>
      <c r="Y453" s="1439"/>
      <c r="Z453" s="1439"/>
      <c r="AA453" s="1439"/>
      <c r="AB453" s="1439"/>
      <c r="AC453" s="1439"/>
      <c r="AD453" s="1439"/>
      <c r="AE453" s="1439"/>
      <c r="AF453" s="1439"/>
      <c r="AG453" s="1439"/>
    </row>
    <row r="454" spans="1:33" ht="15.75" customHeight="1">
      <c r="A454" s="1443"/>
      <c r="B454" s="1468" t="s">
        <v>6964</v>
      </c>
      <c r="C454" s="1445">
        <v>2</v>
      </c>
      <c r="D454" s="1445" t="s">
        <v>3364</v>
      </c>
      <c r="E454" s="1445">
        <v>-1</v>
      </c>
      <c r="F454" s="1446">
        <v>0.9</v>
      </c>
      <c r="G454" s="1446">
        <v>0.23</v>
      </c>
      <c r="H454" s="1446">
        <v>0.6</v>
      </c>
      <c r="I454" s="1448">
        <f t="shared" si="26"/>
        <v>-0.25</v>
      </c>
      <c r="J454" s="1449"/>
      <c r="K454" s="1439"/>
      <c r="L454" s="1439"/>
      <c r="M454" s="1439"/>
      <c r="N454" s="1439"/>
      <c r="O454" s="1439"/>
      <c r="P454" s="1439"/>
      <c r="Q454" s="1439"/>
      <c r="R454" s="1439"/>
      <c r="S454" s="1439"/>
      <c r="T454" s="1439"/>
      <c r="U454" s="1439"/>
      <c r="V454" s="1439"/>
      <c r="W454" s="1439"/>
      <c r="X454" s="1439"/>
      <c r="Y454" s="1439"/>
      <c r="Z454" s="1439"/>
      <c r="AA454" s="1439"/>
      <c r="AB454" s="1439"/>
      <c r="AC454" s="1439"/>
      <c r="AD454" s="1439"/>
      <c r="AE454" s="1439"/>
      <c r="AF454" s="1439"/>
      <c r="AG454" s="1439"/>
    </row>
    <row r="455" spans="1:33" ht="15.75" customHeight="1">
      <c r="A455" s="1443"/>
      <c r="B455" s="1468" t="s">
        <v>3401</v>
      </c>
      <c r="C455" s="1445">
        <v>2</v>
      </c>
      <c r="D455" s="1445" t="s">
        <v>3364</v>
      </c>
      <c r="E455" s="1445">
        <v>-1</v>
      </c>
      <c r="F455" s="1446">
        <v>0.75</v>
      </c>
      <c r="G455" s="1446">
        <v>0.23</v>
      </c>
      <c r="H455" s="1446">
        <v>0.6</v>
      </c>
      <c r="I455" s="1448">
        <f t="shared" si="26"/>
        <v>-0.21</v>
      </c>
      <c r="J455" s="1449"/>
      <c r="K455" s="1439"/>
      <c r="L455" s="1439"/>
      <c r="M455" s="1439"/>
      <c r="N455" s="1439"/>
      <c r="O455" s="1439"/>
      <c r="P455" s="1439"/>
      <c r="Q455" s="1439"/>
      <c r="R455" s="1439"/>
      <c r="S455" s="1439"/>
      <c r="T455" s="1439"/>
      <c r="U455" s="1439"/>
      <c r="V455" s="1439"/>
      <c r="W455" s="1439"/>
      <c r="X455" s="1439"/>
      <c r="Y455" s="1439"/>
      <c r="Z455" s="1439"/>
      <c r="AA455" s="1439"/>
      <c r="AB455" s="1439"/>
      <c r="AC455" s="1439"/>
      <c r="AD455" s="1439"/>
      <c r="AE455" s="1439"/>
      <c r="AF455" s="1439"/>
      <c r="AG455" s="1439"/>
    </row>
    <row r="456" spans="1:33" ht="15.75" customHeight="1">
      <c r="A456" s="1443"/>
      <c r="B456" s="1468" t="s">
        <v>7412</v>
      </c>
      <c r="C456" s="1445">
        <v>1</v>
      </c>
      <c r="D456" s="1445" t="s">
        <v>3364</v>
      </c>
      <c r="E456" s="1445">
        <v>-1</v>
      </c>
      <c r="F456" s="1446">
        <v>0.9</v>
      </c>
      <c r="G456" s="1446">
        <v>0.23</v>
      </c>
      <c r="H456" s="1446">
        <v>2.1</v>
      </c>
      <c r="I456" s="1448">
        <f t="shared" si="26"/>
        <v>-0.43</v>
      </c>
      <c r="J456" s="1449"/>
      <c r="K456" s="1439"/>
      <c r="L456" s="1439"/>
      <c r="M456" s="1439"/>
      <c r="N456" s="1439"/>
      <c r="O456" s="1439"/>
      <c r="P456" s="1439"/>
      <c r="Q456" s="1439"/>
      <c r="R456" s="1439"/>
      <c r="S456" s="1439"/>
      <c r="T456" s="1439"/>
      <c r="U456" s="1439"/>
      <c r="V456" s="1439"/>
      <c r="W456" s="1439"/>
      <c r="X456" s="1439"/>
      <c r="Y456" s="1439"/>
      <c r="Z456" s="1439"/>
      <c r="AA456" s="1439"/>
      <c r="AB456" s="1439"/>
      <c r="AC456" s="1439"/>
      <c r="AD456" s="1439"/>
      <c r="AE456" s="1439"/>
      <c r="AF456" s="1439"/>
      <c r="AG456" s="1439"/>
    </row>
    <row r="457" spans="1:33" ht="15.75" customHeight="1">
      <c r="A457" s="1443"/>
      <c r="B457" s="1455" t="s">
        <v>7422</v>
      </c>
      <c r="C457" s="1445"/>
      <c r="D457" s="1445"/>
      <c r="E457" s="1445"/>
      <c r="F457" s="1446"/>
      <c r="G457" s="1446"/>
      <c r="H457" s="1447"/>
      <c r="I457" s="1448"/>
      <c r="J457" s="1449"/>
      <c r="K457" s="1439"/>
      <c r="L457" s="1439"/>
      <c r="M457" s="1439"/>
      <c r="N457" s="1439"/>
      <c r="O457" s="1439"/>
      <c r="P457" s="1439"/>
      <c r="Q457" s="1439"/>
      <c r="R457" s="1439"/>
      <c r="S457" s="1439"/>
      <c r="T457" s="1439"/>
      <c r="U457" s="1439"/>
      <c r="V457" s="1439"/>
      <c r="W457" s="1439"/>
      <c r="X457" s="1439"/>
      <c r="Y457" s="1439"/>
      <c r="Z457" s="1439"/>
      <c r="AA457" s="1439"/>
      <c r="AB457" s="1439"/>
      <c r="AC457" s="1439"/>
      <c r="AD457" s="1439"/>
      <c r="AE457" s="1439"/>
      <c r="AF457" s="1439"/>
      <c r="AG457" s="1439"/>
    </row>
    <row r="458" spans="1:33" ht="15.75" customHeight="1">
      <c r="A458" s="1443"/>
      <c r="B458" s="1468" t="s">
        <v>3396</v>
      </c>
      <c r="C458" s="1445">
        <v>1</v>
      </c>
      <c r="D458" s="1445" t="s">
        <v>3364</v>
      </c>
      <c r="E458" s="1445">
        <v>-1</v>
      </c>
      <c r="F458" s="1446">
        <f>1.2+0.46</f>
        <v>1.66</v>
      </c>
      <c r="G458" s="1446">
        <v>0.23</v>
      </c>
      <c r="H458" s="1447">
        <v>0.15</v>
      </c>
      <c r="I458" s="1448">
        <f t="shared" si="25"/>
        <v>-0.06</v>
      </c>
      <c r="J458" s="1449"/>
      <c r="K458" s="1439"/>
      <c r="L458" s="1439"/>
      <c r="M458" s="1439"/>
      <c r="N458" s="1439"/>
      <c r="O458" s="1439"/>
      <c r="P458" s="1439"/>
      <c r="Q458" s="1439"/>
      <c r="R458" s="1439"/>
      <c r="S458" s="1439"/>
      <c r="T458" s="1439"/>
      <c r="U458" s="1439"/>
      <c r="V458" s="1439"/>
      <c r="W458" s="1439"/>
      <c r="X458" s="1439"/>
      <c r="Y458" s="1439"/>
      <c r="Z458" s="1439"/>
      <c r="AA458" s="1439"/>
      <c r="AB458" s="1439"/>
      <c r="AC458" s="1439"/>
      <c r="AD458" s="1439"/>
      <c r="AE458" s="1439"/>
      <c r="AF458" s="1439"/>
      <c r="AG458" s="1439"/>
    </row>
    <row r="459" spans="1:33" ht="15.75" customHeight="1">
      <c r="A459" s="1443"/>
      <c r="B459" s="1468" t="s">
        <v>3363</v>
      </c>
      <c r="C459" s="1445">
        <v>1</v>
      </c>
      <c r="D459" s="1445" t="s">
        <v>3364</v>
      </c>
      <c r="E459" s="1445">
        <v>-1</v>
      </c>
      <c r="F459" s="1446">
        <v>1.46</v>
      </c>
      <c r="G459" s="1446">
        <v>0.23</v>
      </c>
      <c r="H459" s="1447">
        <v>0.15</v>
      </c>
      <c r="I459" s="1448">
        <f t="shared" si="25"/>
        <v>-0.05</v>
      </c>
      <c r="J459" s="1449"/>
      <c r="K459" s="1439"/>
      <c r="L459" s="1439"/>
      <c r="M459" s="1439"/>
      <c r="N459" s="1439"/>
      <c r="O459" s="1439"/>
      <c r="P459" s="1439"/>
      <c r="Q459" s="1439"/>
      <c r="R459" s="1439"/>
      <c r="S459" s="1439"/>
      <c r="T459" s="1439"/>
      <c r="U459" s="1439"/>
      <c r="V459" s="1439"/>
      <c r="W459" s="1439"/>
      <c r="X459" s="1439"/>
      <c r="Y459" s="1439"/>
      <c r="Z459" s="1439"/>
      <c r="AA459" s="1439"/>
      <c r="AB459" s="1439"/>
      <c r="AC459" s="1439"/>
      <c r="AD459" s="1439"/>
      <c r="AE459" s="1439"/>
      <c r="AF459" s="1439"/>
      <c r="AG459" s="1439"/>
    </row>
    <row r="460" spans="1:33" ht="15.75" customHeight="1">
      <c r="A460" s="1443"/>
      <c r="B460" s="1468" t="s">
        <v>3398</v>
      </c>
      <c r="C460" s="1445">
        <v>1</v>
      </c>
      <c r="D460" s="1445" t="s">
        <v>3364</v>
      </c>
      <c r="E460" s="1445">
        <v>-1</v>
      </c>
      <c r="F460" s="1446">
        <v>1.36</v>
      </c>
      <c r="G460" s="1446">
        <v>0.23</v>
      </c>
      <c r="H460" s="1447">
        <v>0.15</v>
      </c>
      <c r="I460" s="1448">
        <f t="shared" si="25"/>
        <v>-0.05</v>
      </c>
      <c r="J460" s="1449"/>
      <c r="K460" s="1439"/>
      <c r="L460" s="1439"/>
      <c r="M460" s="1439"/>
      <c r="N460" s="1439"/>
      <c r="O460" s="1439"/>
      <c r="P460" s="1439"/>
      <c r="Q460" s="1439"/>
      <c r="R460" s="1439"/>
      <c r="S460" s="1439"/>
      <c r="T460" s="1439"/>
      <c r="U460" s="1439"/>
      <c r="V460" s="1439"/>
      <c r="W460" s="1439"/>
      <c r="X460" s="1439"/>
      <c r="Y460" s="1439"/>
      <c r="Z460" s="1439"/>
      <c r="AA460" s="1439"/>
      <c r="AB460" s="1439"/>
      <c r="AC460" s="1439"/>
      <c r="AD460" s="1439"/>
      <c r="AE460" s="1439"/>
      <c r="AF460" s="1439"/>
      <c r="AG460" s="1439"/>
    </row>
    <row r="461" spans="1:33" ht="15.75" customHeight="1">
      <c r="A461" s="1443"/>
      <c r="B461" s="1468" t="s">
        <v>3407</v>
      </c>
      <c r="C461" s="1445">
        <v>2</v>
      </c>
      <c r="D461" s="1445" t="s">
        <v>3364</v>
      </c>
      <c r="E461" s="1445">
        <v>-1</v>
      </c>
      <c r="F461" s="1446">
        <v>1.21</v>
      </c>
      <c r="G461" s="1446">
        <v>0.23</v>
      </c>
      <c r="H461" s="1447">
        <v>0.15</v>
      </c>
      <c r="I461" s="1448">
        <f t="shared" si="25"/>
        <v>-0.08</v>
      </c>
      <c r="J461" s="1449"/>
      <c r="K461" s="1439"/>
      <c r="L461" s="1439"/>
      <c r="M461" s="1439"/>
      <c r="N461" s="1439"/>
      <c r="O461" s="1439"/>
      <c r="P461" s="1439"/>
      <c r="Q461" s="1439"/>
      <c r="R461" s="1439"/>
      <c r="S461" s="1439"/>
      <c r="T461" s="1439"/>
      <c r="U461" s="1439"/>
      <c r="V461" s="1439"/>
      <c r="W461" s="1439"/>
      <c r="X461" s="1439"/>
      <c r="Y461" s="1439"/>
      <c r="Z461" s="1439"/>
      <c r="AA461" s="1439"/>
      <c r="AB461" s="1439"/>
      <c r="AC461" s="1439"/>
      <c r="AD461" s="1439"/>
      <c r="AE461" s="1439"/>
      <c r="AF461" s="1439"/>
      <c r="AG461" s="1439"/>
    </row>
    <row r="462" spans="1:33" ht="15.75" customHeight="1">
      <c r="A462" s="1443"/>
      <c r="B462" s="1468" t="s">
        <v>3497</v>
      </c>
      <c r="C462" s="1445">
        <v>1</v>
      </c>
      <c r="D462" s="1445" t="s">
        <v>3364</v>
      </c>
      <c r="E462" s="1445">
        <v>-1</v>
      </c>
      <c r="F462" s="1446">
        <f>1.8+0.46</f>
        <v>2.2599999999999998</v>
      </c>
      <c r="G462" s="1446">
        <v>0.23</v>
      </c>
      <c r="H462" s="1447">
        <v>0.15</v>
      </c>
      <c r="I462" s="1448">
        <f t="shared" si="25"/>
        <v>-0.08</v>
      </c>
      <c r="J462" s="1449"/>
      <c r="K462" s="1439"/>
      <c r="L462" s="1466"/>
      <c r="M462" s="1466"/>
      <c r="N462" s="1466"/>
      <c r="O462" s="1439"/>
      <c r="P462" s="1439"/>
      <c r="Q462" s="1439"/>
      <c r="R462" s="1439"/>
      <c r="S462" s="1439"/>
      <c r="T462" s="1439"/>
      <c r="U462" s="1439"/>
      <c r="V462" s="1439"/>
      <c r="W462" s="1439"/>
      <c r="X462" s="1439"/>
      <c r="Y462" s="1439"/>
      <c r="Z462" s="1439"/>
      <c r="AA462" s="1439"/>
      <c r="AB462" s="1439"/>
      <c r="AC462" s="1439"/>
      <c r="AD462" s="1439"/>
      <c r="AE462" s="1439"/>
      <c r="AF462" s="1439"/>
      <c r="AG462" s="1439"/>
    </row>
    <row r="463" spans="1:33" ht="15.75" customHeight="1">
      <c r="A463" s="1443"/>
      <c r="B463" s="1468" t="s">
        <v>3414</v>
      </c>
      <c r="C463" s="1445">
        <v>5</v>
      </c>
      <c r="D463" s="1445" t="s">
        <v>3364</v>
      </c>
      <c r="E463" s="1445">
        <v>-1</v>
      </c>
      <c r="F463" s="1446">
        <v>2.2599999999999998</v>
      </c>
      <c r="G463" s="1446">
        <v>1.23</v>
      </c>
      <c r="H463" s="1447">
        <v>0.15</v>
      </c>
      <c r="I463" s="1448">
        <f t="shared" si="25"/>
        <v>-2.08</v>
      </c>
      <c r="J463" s="1449"/>
      <c r="K463" s="1439"/>
      <c r="L463" s="1466"/>
      <c r="M463" s="1466"/>
      <c r="N463" s="1466"/>
      <c r="O463" s="1439"/>
      <c r="P463" s="1439"/>
      <c r="Q463" s="1439"/>
      <c r="R463" s="1439"/>
      <c r="S463" s="1439"/>
      <c r="T463" s="1439"/>
      <c r="U463" s="1439"/>
      <c r="V463" s="1439"/>
      <c r="W463" s="1439"/>
      <c r="X463" s="1439"/>
      <c r="Y463" s="1439"/>
      <c r="Z463" s="1439"/>
      <c r="AA463" s="1439"/>
      <c r="AB463" s="1439"/>
      <c r="AC463" s="1439"/>
      <c r="AD463" s="1439"/>
      <c r="AE463" s="1439"/>
      <c r="AF463" s="1439"/>
      <c r="AG463" s="1439"/>
    </row>
    <row r="464" spans="1:33" ht="15.75" customHeight="1">
      <c r="A464" s="1443"/>
      <c r="B464" s="1468" t="s">
        <v>3400</v>
      </c>
      <c r="C464" s="1445">
        <v>1</v>
      </c>
      <c r="D464" s="1445" t="s">
        <v>3364</v>
      </c>
      <c r="E464" s="1445">
        <v>-1</v>
      </c>
      <c r="F464" s="1446">
        <v>1.96</v>
      </c>
      <c r="G464" s="1446">
        <v>0.23</v>
      </c>
      <c r="H464" s="1447">
        <v>0.15</v>
      </c>
      <c r="I464" s="1448">
        <f t="shared" si="25"/>
        <v>-7.0000000000000007E-2</v>
      </c>
      <c r="J464" s="1449"/>
      <c r="K464" s="1439"/>
      <c r="L464" s="1439"/>
      <c r="M464" s="1439"/>
      <c r="N464" s="1439"/>
      <c r="O464" s="1439"/>
      <c r="P464" s="1439"/>
      <c r="Q464" s="1439"/>
      <c r="R464" s="1439"/>
      <c r="S464" s="1439"/>
      <c r="T464" s="1439"/>
      <c r="U464" s="1439"/>
      <c r="V464" s="1439"/>
      <c r="W464" s="1439"/>
      <c r="X464" s="1439"/>
      <c r="Y464" s="1439"/>
      <c r="Z464" s="1439"/>
      <c r="AA464" s="1439"/>
      <c r="AB464" s="1439"/>
      <c r="AC464" s="1439"/>
      <c r="AD464" s="1439"/>
      <c r="AE464" s="1439"/>
      <c r="AF464" s="1439"/>
      <c r="AG464" s="1439"/>
    </row>
    <row r="465" spans="1:33" ht="15.75" customHeight="1">
      <c r="A465" s="1443"/>
      <c r="B465" s="1468" t="s">
        <v>6964</v>
      </c>
      <c r="C465" s="1445">
        <v>2</v>
      </c>
      <c r="D465" s="1445" t="s">
        <v>3364</v>
      </c>
      <c r="E465" s="1445">
        <v>-1</v>
      </c>
      <c r="F465" s="1446">
        <f>0.9+0.46</f>
        <v>1.36</v>
      </c>
      <c r="G465" s="1446">
        <v>0.23</v>
      </c>
      <c r="H465" s="1447">
        <v>0.15</v>
      </c>
      <c r="I465" s="1448">
        <f t="shared" si="25"/>
        <v>-0.09</v>
      </c>
      <c r="J465" s="1449"/>
      <c r="K465" s="1439"/>
      <c r="L465" s="1439"/>
      <c r="M465" s="1439"/>
      <c r="N465" s="1439"/>
      <c r="O465" s="1439"/>
      <c r="P465" s="1439"/>
      <c r="Q465" s="1439"/>
      <c r="R465" s="1439"/>
      <c r="S465" s="1439"/>
      <c r="T465" s="1439"/>
      <c r="U465" s="1439"/>
      <c r="V465" s="1439"/>
      <c r="W465" s="1439"/>
      <c r="X465" s="1439"/>
      <c r="Y465" s="1439"/>
      <c r="Z465" s="1439"/>
      <c r="AA465" s="1439"/>
      <c r="AB465" s="1439"/>
      <c r="AC465" s="1439"/>
      <c r="AD465" s="1439"/>
      <c r="AE465" s="1439"/>
      <c r="AF465" s="1439"/>
      <c r="AG465" s="1439"/>
    </row>
    <row r="466" spans="1:33" ht="15.75" customHeight="1">
      <c r="A466" s="1443"/>
      <c r="B466" s="1468" t="s">
        <v>3401</v>
      </c>
      <c r="C466" s="1445">
        <v>2</v>
      </c>
      <c r="D466" s="1445" t="s">
        <v>3364</v>
      </c>
      <c r="E466" s="1445">
        <v>-1</v>
      </c>
      <c r="F466" s="1446">
        <v>1.21</v>
      </c>
      <c r="G466" s="1446">
        <v>0.23</v>
      </c>
      <c r="H466" s="1447">
        <v>0.15</v>
      </c>
      <c r="I466" s="1448">
        <f t="shared" si="25"/>
        <v>-0.08</v>
      </c>
      <c r="J466" s="1449"/>
      <c r="K466" s="1439"/>
      <c r="L466" s="1439"/>
      <c r="M466" s="1439"/>
      <c r="N466" s="1439"/>
      <c r="O466" s="1439"/>
      <c r="P466" s="1439"/>
      <c r="Q466" s="1439"/>
      <c r="R466" s="1439"/>
      <c r="S466" s="1439"/>
      <c r="T466" s="1439"/>
      <c r="U466" s="1439"/>
      <c r="V466" s="1439"/>
      <c r="W466" s="1439"/>
      <c r="X466" s="1439"/>
      <c r="Y466" s="1439"/>
      <c r="Z466" s="1439"/>
      <c r="AA466" s="1439"/>
      <c r="AB466" s="1439"/>
      <c r="AC466" s="1439"/>
      <c r="AD466" s="1439"/>
      <c r="AE466" s="1439"/>
      <c r="AF466" s="1439"/>
      <c r="AG466" s="1439"/>
    </row>
    <row r="467" spans="1:33" ht="15.75" customHeight="1">
      <c r="A467" s="1443"/>
      <c r="B467" s="1468" t="s">
        <v>7412</v>
      </c>
      <c r="C467" s="1445">
        <v>1</v>
      </c>
      <c r="D467" s="1445" t="s">
        <v>3364</v>
      </c>
      <c r="E467" s="1445">
        <v>-1</v>
      </c>
      <c r="F467" s="1446">
        <v>1.36</v>
      </c>
      <c r="G467" s="1446">
        <v>0.23</v>
      </c>
      <c r="H467" s="1447">
        <v>0.15</v>
      </c>
      <c r="I467" s="1448">
        <f t="shared" si="25"/>
        <v>-0.05</v>
      </c>
      <c r="J467" s="1449"/>
      <c r="K467" s="1439"/>
      <c r="L467" s="1439"/>
      <c r="M467" s="1439"/>
      <c r="N467" s="1439"/>
      <c r="O467" s="1439"/>
      <c r="P467" s="1439"/>
      <c r="Q467" s="1439"/>
      <c r="R467" s="1439"/>
      <c r="S467" s="1439"/>
      <c r="T467" s="1439"/>
      <c r="U467" s="1439"/>
      <c r="V467" s="1439"/>
      <c r="W467" s="1439"/>
      <c r="X467" s="1439"/>
      <c r="Y467" s="1439"/>
      <c r="Z467" s="1439"/>
      <c r="AA467" s="1439"/>
      <c r="AB467" s="1439"/>
      <c r="AC467" s="1439"/>
      <c r="AD467" s="1439"/>
      <c r="AE467" s="1439"/>
      <c r="AF467" s="1439"/>
      <c r="AG467" s="1439"/>
    </row>
    <row r="468" spans="1:33" ht="15.75" customHeight="1">
      <c r="A468" s="1443"/>
      <c r="B468" s="1469" t="s">
        <v>7423</v>
      </c>
      <c r="C468" s="1445"/>
      <c r="D468" s="1445"/>
      <c r="E468" s="1445"/>
      <c r="F468" s="1446"/>
      <c r="G468" s="1446"/>
      <c r="H468" s="1447"/>
      <c r="I468" s="1448"/>
      <c r="J468" s="1449"/>
      <c r="K468" s="1439"/>
      <c r="L468" s="1439"/>
      <c r="M468" s="1439"/>
      <c r="N468" s="1439"/>
      <c r="O468" s="1439"/>
      <c r="P468" s="1439"/>
      <c r="Q468" s="1439"/>
      <c r="R468" s="1439"/>
      <c r="S468" s="1439"/>
      <c r="T468" s="1439"/>
      <c r="U468" s="1439"/>
      <c r="V468" s="1439"/>
      <c r="W468" s="1439"/>
      <c r="X468" s="1439"/>
      <c r="Y468" s="1439"/>
      <c r="Z468" s="1439"/>
      <c r="AA468" s="1439"/>
      <c r="AB468" s="1439"/>
      <c r="AC468" s="1439"/>
      <c r="AD468" s="1439"/>
      <c r="AE468" s="1439"/>
      <c r="AF468" s="1439"/>
      <c r="AG468" s="1439"/>
    </row>
    <row r="469" spans="1:33" ht="15.75" customHeight="1">
      <c r="A469" s="1443"/>
      <c r="B469" s="1468" t="s">
        <v>3497</v>
      </c>
      <c r="C469" s="1445">
        <v>1</v>
      </c>
      <c r="D469" s="1445" t="s">
        <v>3364</v>
      </c>
      <c r="E469" s="1445">
        <v>-1</v>
      </c>
      <c r="F469" s="1446">
        <f>1.8+0.46</f>
        <v>2.2599999999999998</v>
      </c>
      <c r="G469" s="1446">
        <v>0.23</v>
      </c>
      <c r="H469" s="1447">
        <v>0.05</v>
      </c>
      <c r="I469" s="1448">
        <f>PRODUCT(C469:H469)</f>
        <v>-0.03</v>
      </c>
      <c r="J469" s="1449"/>
      <c r="K469" s="1439"/>
      <c r="L469" s="1466"/>
      <c r="M469" s="1466"/>
      <c r="N469" s="1466"/>
      <c r="O469" s="1439"/>
      <c r="P469" s="1439"/>
      <c r="Q469" s="1439"/>
      <c r="R469" s="1439"/>
      <c r="S469" s="1439"/>
      <c r="T469" s="1439"/>
      <c r="U469" s="1439"/>
      <c r="V469" s="1439"/>
      <c r="W469" s="1439"/>
      <c r="X469" s="1439"/>
      <c r="Y469" s="1439"/>
      <c r="Z469" s="1439"/>
      <c r="AA469" s="1439"/>
      <c r="AB469" s="1439"/>
      <c r="AC469" s="1439"/>
      <c r="AD469" s="1439"/>
      <c r="AE469" s="1439"/>
      <c r="AF469" s="1439"/>
      <c r="AG469" s="1439"/>
    </row>
    <row r="470" spans="1:33" ht="15.75" customHeight="1">
      <c r="A470" s="1443"/>
      <c r="B470" s="1468" t="s">
        <v>3414</v>
      </c>
      <c r="C470" s="1445">
        <v>5</v>
      </c>
      <c r="D470" s="1445" t="s">
        <v>3364</v>
      </c>
      <c r="E470" s="1445">
        <v>-1</v>
      </c>
      <c r="F470" s="1446">
        <v>2.2599999999999998</v>
      </c>
      <c r="G470" s="1446">
        <v>1.23</v>
      </c>
      <c r="H470" s="1447">
        <v>0.05</v>
      </c>
      <c r="I470" s="1448">
        <f>PRODUCT(C470:H470)</f>
        <v>-0.69</v>
      </c>
      <c r="J470" s="1449"/>
      <c r="K470" s="1439"/>
      <c r="L470" s="1466"/>
      <c r="M470" s="1466"/>
      <c r="N470" s="1466"/>
      <c r="O470" s="1439"/>
      <c r="P470" s="1439"/>
      <c r="Q470" s="1439"/>
      <c r="R470" s="1439"/>
      <c r="S470" s="1439"/>
      <c r="T470" s="1439"/>
      <c r="U470" s="1439"/>
      <c r="V470" s="1439"/>
      <c r="W470" s="1439"/>
      <c r="X470" s="1439"/>
      <c r="Y470" s="1439"/>
      <c r="Z470" s="1439"/>
      <c r="AA470" s="1439"/>
      <c r="AB470" s="1439"/>
      <c r="AC470" s="1439"/>
      <c r="AD470" s="1439"/>
      <c r="AE470" s="1439"/>
      <c r="AF470" s="1439"/>
      <c r="AG470" s="1439"/>
    </row>
    <row r="471" spans="1:33" ht="15.75" customHeight="1">
      <c r="A471" s="1443"/>
      <c r="B471" s="1468" t="s">
        <v>3400</v>
      </c>
      <c r="C471" s="1445">
        <v>1</v>
      </c>
      <c r="D471" s="1445" t="s">
        <v>3364</v>
      </c>
      <c r="E471" s="1445">
        <v>-1</v>
      </c>
      <c r="F471" s="1446">
        <v>1.96</v>
      </c>
      <c r="G471" s="1446">
        <v>0.23</v>
      </c>
      <c r="H471" s="1447">
        <v>0.05</v>
      </c>
      <c r="I471" s="1448">
        <f>PRODUCT(C471:H471)</f>
        <v>-0.02</v>
      </c>
      <c r="J471" s="1449"/>
      <c r="K471" s="1439"/>
      <c r="L471" s="1439"/>
      <c r="M471" s="1439"/>
      <c r="N471" s="1439"/>
      <c r="O471" s="1439"/>
      <c r="P471" s="1439"/>
      <c r="Q471" s="1439"/>
      <c r="R471" s="1439"/>
      <c r="S471" s="1439"/>
      <c r="T471" s="1439"/>
      <c r="U471" s="1439"/>
      <c r="V471" s="1439"/>
      <c r="W471" s="1439"/>
      <c r="X471" s="1439"/>
      <c r="Y471" s="1439"/>
      <c r="Z471" s="1439"/>
      <c r="AA471" s="1439"/>
      <c r="AB471" s="1439"/>
      <c r="AC471" s="1439"/>
      <c r="AD471" s="1439"/>
      <c r="AE471" s="1439"/>
      <c r="AF471" s="1439"/>
      <c r="AG471" s="1439"/>
    </row>
    <row r="472" spans="1:33" ht="15.75" customHeight="1">
      <c r="A472" s="1443"/>
      <c r="B472" s="1469" t="s">
        <v>7466</v>
      </c>
      <c r="C472" s="1445"/>
      <c r="D472" s="1445"/>
      <c r="E472" s="1445"/>
      <c r="F472" s="1446"/>
      <c r="G472" s="1446"/>
      <c r="H472" s="1447"/>
      <c r="I472" s="1448"/>
      <c r="J472" s="1449"/>
      <c r="K472" s="1439"/>
      <c r="L472" s="1439"/>
      <c r="M472" s="1439"/>
      <c r="N472" s="1439"/>
      <c r="O472" s="1439"/>
      <c r="P472" s="1439"/>
      <c r="Q472" s="1439"/>
      <c r="R472" s="1439"/>
      <c r="S472" s="1439"/>
      <c r="T472" s="1439"/>
      <c r="U472" s="1439"/>
      <c r="V472" s="1439"/>
      <c r="W472" s="1439"/>
      <c r="X472" s="1439"/>
      <c r="Y472" s="1439"/>
      <c r="Z472" s="1439"/>
      <c r="AA472" s="1439"/>
      <c r="AB472" s="1439"/>
      <c r="AC472" s="1439"/>
      <c r="AD472" s="1439"/>
      <c r="AE472" s="1439"/>
      <c r="AF472" s="1439"/>
      <c r="AG472" s="1439"/>
    </row>
    <row r="473" spans="1:33" ht="15.75" customHeight="1">
      <c r="A473" s="1443"/>
      <c r="B473" s="1452" t="s">
        <v>7396</v>
      </c>
      <c r="C473" s="1445">
        <v>3</v>
      </c>
      <c r="D473" s="1453" t="s">
        <v>3364</v>
      </c>
      <c r="E473" s="1445">
        <v>-1</v>
      </c>
      <c r="F473" s="1446">
        <v>0.23</v>
      </c>
      <c r="G473" s="1454">
        <v>0.3</v>
      </c>
      <c r="H473" s="1447">
        <v>3.15</v>
      </c>
      <c r="I473" s="1448">
        <f t="shared" ref="I473:I480" si="27">PRODUCT(C473:H473)</f>
        <v>-0.65</v>
      </c>
      <c r="J473" s="1449"/>
      <c r="K473" s="1439"/>
      <c r="L473" s="1439"/>
      <c r="M473" s="1439"/>
      <c r="N473" s="1439"/>
      <c r="O473" s="1439"/>
      <c r="P473" s="1439"/>
      <c r="Q473" s="1439"/>
      <c r="R473" s="1439"/>
      <c r="S473" s="1439"/>
      <c r="T473" s="1439"/>
      <c r="U473" s="1439"/>
      <c r="V473" s="1439"/>
      <c r="W473" s="1439"/>
      <c r="X473" s="1439"/>
      <c r="Y473" s="1439"/>
      <c r="Z473" s="1439"/>
      <c r="AA473" s="1439"/>
      <c r="AB473" s="1439"/>
      <c r="AC473" s="1439"/>
      <c r="AD473" s="1439"/>
      <c r="AE473" s="1439"/>
      <c r="AF473" s="1439"/>
      <c r="AG473" s="1439"/>
    </row>
    <row r="474" spans="1:33" ht="15.75" customHeight="1">
      <c r="A474" s="1443"/>
      <c r="B474" s="1452" t="s">
        <v>7397</v>
      </c>
      <c r="C474" s="1445">
        <v>2</v>
      </c>
      <c r="D474" s="1453" t="s">
        <v>3364</v>
      </c>
      <c r="E474" s="1445">
        <v>-1</v>
      </c>
      <c r="F474" s="1446">
        <v>0.23</v>
      </c>
      <c r="G474" s="1446">
        <v>0.38</v>
      </c>
      <c r="H474" s="1447">
        <v>3.15</v>
      </c>
      <c r="I474" s="1448">
        <f t="shared" si="27"/>
        <v>-0.55000000000000004</v>
      </c>
      <c r="J474" s="1449"/>
      <c r="K474" s="1439"/>
      <c r="L474" s="1439"/>
      <c r="M474" s="1439"/>
      <c r="N474" s="1439"/>
      <c r="O474" s="1439"/>
      <c r="P474" s="1439"/>
      <c r="Q474" s="1439"/>
      <c r="R474" s="1439"/>
      <c r="S474" s="1439"/>
      <c r="T474" s="1439"/>
      <c r="U474" s="1439"/>
      <c r="V474" s="1439"/>
      <c r="W474" s="1439"/>
      <c r="X474" s="1439"/>
      <c r="Y474" s="1439"/>
      <c r="Z474" s="1439"/>
      <c r="AA474" s="1439"/>
      <c r="AB474" s="1439"/>
      <c r="AC474" s="1439"/>
      <c r="AD474" s="1439"/>
      <c r="AE474" s="1439"/>
      <c r="AF474" s="1439"/>
      <c r="AG474" s="1439"/>
    </row>
    <row r="475" spans="1:33" ht="15.75" customHeight="1">
      <c r="A475" s="1443"/>
      <c r="B475" s="1452" t="s">
        <v>7398</v>
      </c>
      <c r="C475" s="1445">
        <v>4</v>
      </c>
      <c r="D475" s="1453" t="s">
        <v>3364</v>
      </c>
      <c r="E475" s="1445">
        <v>-1</v>
      </c>
      <c r="F475" s="1446">
        <v>0.23</v>
      </c>
      <c r="G475" s="1446">
        <v>0.45</v>
      </c>
      <c r="H475" s="1447">
        <v>3.15</v>
      </c>
      <c r="I475" s="1448">
        <f t="shared" si="27"/>
        <v>-1.3</v>
      </c>
      <c r="J475" s="1449"/>
      <c r="K475" s="1439"/>
      <c r="L475" s="1439">
        <f>3.6-0.45</f>
        <v>3.15</v>
      </c>
      <c r="M475" s="1439"/>
      <c r="N475" s="1439"/>
      <c r="O475" s="1439"/>
      <c r="P475" s="1439"/>
      <c r="Q475" s="1439"/>
      <c r="R475" s="1439"/>
      <c r="S475" s="1439"/>
      <c r="T475" s="1439"/>
      <c r="U475" s="1439"/>
      <c r="V475" s="1439"/>
      <c r="W475" s="1439"/>
      <c r="X475" s="1439"/>
      <c r="Y475" s="1439"/>
      <c r="Z475" s="1439"/>
      <c r="AA475" s="1439"/>
      <c r="AB475" s="1439"/>
      <c r="AC475" s="1439"/>
      <c r="AD475" s="1439"/>
      <c r="AE475" s="1439"/>
      <c r="AF475" s="1439"/>
      <c r="AG475" s="1439"/>
    </row>
    <row r="476" spans="1:33" ht="15.75" customHeight="1">
      <c r="A476" s="1443"/>
      <c r="B476" s="1452" t="s">
        <v>7399</v>
      </c>
      <c r="C476" s="1445">
        <v>5</v>
      </c>
      <c r="D476" s="1453" t="s">
        <v>3364</v>
      </c>
      <c r="E476" s="1445">
        <v>-1</v>
      </c>
      <c r="F476" s="1446">
        <v>0.23</v>
      </c>
      <c r="G476" s="1446">
        <v>0.45</v>
      </c>
      <c r="H476" s="1447">
        <v>3.15</v>
      </c>
      <c r="I476" s="1448">
        <f t="shared" si="27"/>
        <v>-1.63</v>
      </c>
      <c r="J476" s="1449"/>
      <c r="K476" s="1439"/>
      <c r="L476" s="1439"/>
      <c r="M476" s="1439"/>
      <c r="N476" s="1439"/>
      <c r="O476" s="1439"/>
      <c r="P476" s="1439"/>
      <c r="Q476" s="1439"/>
      <c r="R476" s="1439"/>
      <c r="S476" s="1439"/>
      <c r="T476" s="1439"/>
      <c r="U476" s="1439"/>
      <c r="V476" s="1439"/>
      <c r="W476" s="1439"/>
      <c r="X476" s="1439"/>
      <c r="Y476" s="1439"/>
      <c r="Z476" s="1439"/>
      <c r="AA476" s="1439"/>
      <c r="AB476" s="1439"/>
      <c r="AC476" s="1439"/>
      <c r="AD476" s="1439"/>
      <c r="AE476" s="1439"/>
      <c r="AF476" s="1439"/>
      <c r="AG476" s="1439"/>
    </row>
    <row r="477" spans="1:33" ht="15.75" customHeight="1">
      <c r="A477" s="1443"/>
      <c r="B477" s="1452" t="s">
        <v>7400</v>
      </c>
      <c r="C477" s="1445">
        <v>6</v>
      </c>
      <c r="D477" s="1453" t="s">
        <v>3364</v>
      </c>
      <c r="E477" s="1445">
        <v>-1</v>
      </c>
      <c r="F477" s="1446">
        <v>0.3</v>
      </c>
      <c r="G477" s="1446">
        <v>0.45</v>
      </c>
      <c r="H477" s="1447">
        <v>3.15</v>
      </c>
      <c r="I477" s="1448">
        <f t="shared" si="27"/>
        <v>-2.5499999999999998</v>
      </c>
      <c r="J477" s="1449"/>
      <c r="K477" s="1439"/>
      <c r="L477" s="1439">
        <f>3-0.2-0.1-1.05</f>
        <v>1.65</v>
      </c>
      <c r="M477" s="1439"/>
      <c r="N477" s="1439"/>
      <c r="O477" s="1439"/>
      <c r="P477" s="1439"/>
      <c r="Q477" s="1439"/>
      <c r="R477" s="1439"/>
      <c r="S477" s="1439"/>
      <c r="T477" s="1439"/>
      <c r="U477" s="1439"/>
      <c r="V477" s="1439"/>
      <c r="W477" s="1439"/>
      <c r="X477" s="1439"/>
      <c r="Y477" s="1439"/>
      <c r="Z477" s="1439"/>
      <c r="AA477" s="1439"/>
      <c r="AB477" s="1439"/>
      <c r="AC477" s="1439"/>
      <c r="AD477" s="1439"/>
      <c r="AE477" s="1439"/>
      <c r="AF477" s="1439"/>
      <c r="AG477" s="1439"/>
    </row>
    <row r="478" spans="1:33" ht="15.75" customHeight="1">
      <c r="A478" s="1443"/>
      <c r="B478" s="1452" t="s">
        <v>7401</v>
      </c>
      <c r="C478" s="1445">
        <v>6</v>
      </c>
      <c r="D478" s="1453" t="s">
        <v>3364</v>
      </c>
      <c r="E478" s="1445">
        <v>-1</v>
      </c>
      <c r="F478" s="1446">
        <v>0.3</v>
      </c>
      <c r="G478" s="1446">
        <v>0.45</v>
      </c>
      <c r="H478" s="1447">
        <v>3.15</v>
      </c>
      <c r="I478" s="1448">
        <f t="shared" si="27"/>
        <v>-2.5499999999999998</v>
      </c>
      <c r="J478" s="1449"/>
      <c r="K478" s="1439"/>
      <c r="L478" s="1439">
        <f>1.65+1</f>
        <v>2.65</v>
      </c>
      <c r="M478" s="1439"/>
      <c r="N478" s="1439"/>
      <c r="O478" s="1439"/>
      <c r="P478" s="1439"/>
      <c r="Q478" s="1439"/>
      <c r="R478" s="1439"/>
      <c r="S478" s="1439"/>
      <c r="T478" s="1439"/>
      <c r="U478" s="1439"/>
      <c r="V478" s="1439"/>
      <c r="W478" s="1439"/>
      <c r="X478" s="1439"/>
      <c r="Y478" s="1439"/>
      <c r="Z478" s="1439"/>
      <c r="AA478" s="1439"/>
      <c r="AB478" s="1439"/>
      <c r="AC478" s="1439"/>
      <c r="AD478" s="1439"/>
      <c r="AE478" s="1439"/>
      <c r="AF478" s="1439"/>
      <c r="AG478" s="1439"/>
    </row>
    <row r="479" spans="1:33" ht="15.75" customHeight="1">
      <c r="A479" s="1443"/>
      <c r="B479" s="1452" t="s">
        <v>7402</v>
      </c>
      <c r="C479" s="1445">
        <v>2</v>
      </c>
      <c r="D479" s="1453" t="s">
        <v>3364</v>
      </c>
      <c r="E479" s="1445">
        <v>-1</v>
      </c>
      <c r="F479" s="1446">
        <v>0.3</v>
      </c>
      <c r="G479" s="1446">
        <v>0.6</v>
      </c>
      <c r="H479" s="1447">
        <v>3.15</v>
      </c>
      <c r="I479" s="1448">
        <f t="shared" si="27"/>
        <v>-1.1299999999999999</v>
      </c>
      <c r="J479" s="1449"/>
      <c r="K479" s="1439"/>
      <c r="L479" s="1439"/>
      <c r="M479" s="1439"/>
      <c r="N479" s="1439"/>
      <c r="O479" s="1439"/>
      <c r="P479" s="1439"/>
      <c r="Q479" s="1439"/>
      <c r="R479" s="1439"/>
      <c r="S479" s="1439"/>
      <c r="T479" s="1439"/>
      <c r="U479" s="1439"/>
      <c r="V479" s="1439"/>
      <c r="W479" s="1439"/>
      <c r="X479" s="1439"/>
      <c r="Y479" s="1439"/>
      <c r="Z479" s="1439"/>
      <c r="AA479" s="1439"/>
      <c r="AB479" s="1439"/>
      <c r="AC479" s="1439"/>
      <c r="AD479" s="1439"/>
      <c r="AE479" s="1439"/>
      <c r="AF479" s="1439"/>
      <c r="AG479" s="1439"/>
    </row>
    <row r="480" spans="1:33" ht="15.75" customHeight="1">
      <c r="A480" s="1443"/>
      <c r="B480" s="1452" t="s">
        <v>7403</v>
      </c>
      <c r="C480" s="1445">
        <v>6</v>
      </c>
      <c r="D480" s="1453" t="s">
        <v>3364</v>
      </c>
      <c r="E480" s="1445">
        <v>-1</v>
      </c>
      <c r="F480" s="1446">
        <v>0.3</v>
      </c>
      <c r="G480" s="1446">
        <v>0.6</v>
      </c>
      <c r="H480" s="1447">
        <v>3.15</v>
      </c>
      <c r="I480" s="1448">
        <f t="shared" si="27"/>
        <v>-3.4</v>
      </c>
      <c r="J480" s="1449"/>
      <c r="K480" s="1439"/>
      <c r="L480" s="1439"/>
      <c r="M480" s="1439"/>
      <c r="N480" s="1439"/>
      <c r="O480" s="1439"/>
      <c r="P480" s="1439"/>
      <c r="Q480" s="1439"/>
      <c r="R480" s="1439"/>
      <c r="S480" s="1439"/>
      <c r="T480" s="1439"/>
      <c r="U480" s="1439"/>
      <c r="V480" s="1439"/>
      <c r="W480" s="1439"/>
      <c r="X480" s="1439"/>
      <c r="Y480" s="1439"/>
      <c r="Z480" s="1439"/>
      <c r="AA480" s="1439"/>
      <c r="AB480" s="1439"/>
      <c r="AC480" s="1439"/>
      <c r="AD480" s="1439"/>
      <c r="AE480" s="1439"/>
      <c r="AF480" s="1439"/>
      <c r="AG480" s="1439"/>
    </row>
    <row r="481" spans="1:33" ht="15.75" customHeight="1">
      <c r="A481" s="1443"/>
      <c r="B481" s="1450"/>
      <c r="C481" s="1477"/>
      <c r="D481" s="1477"/>
      <c r="E481" s="1477"/>
      <c r="F481" s="1478"/>
      <c r="G481" s="1458" t="s">
        <v>104</v>
      </c>
      <c r="H481" s="1447"/>
      <c r="I481" s="1479">
        <f>SUM(I439:I480)</f>
        <v>41.91</v>
      </c>
      <c r="J481" s="1449"/>
      <c r="K481" s="1439"/>
      <c r="L481" s="1439"/>
      <c r="M481" s="1439"/>
      <c r="N481" s="1439"/>
      <c r="O481" s="1439"/>
      <c r="P481" s="1439"/>
      <c r="Q481" s="1439"/>
      <c r="R481" s="1439"/>
      <c r="S481" s="1439"/>
      <c r="T481" s="1439"/>
      <c r="U481" s="1439"/>
      <c r="V481" s="1439"/>
      <c r="W481" s="1439"/>
      <c r="X481" s="1439"/>
      <c r="Y481" s="1439"/>
      <c r="Z481" s="1439"/>
      <c r="AA481" s="1439"/>
      <c r="AB481" s="1439"/>
      <c r="AC481" s="1439"/>
      <c r="AD481" s="1439"/>
      <c r="AE481" s="1439"/>
      <c r="AF481" s="1439"/>
      <c r="AG481" s="1439"/>
    </row>
    <row r="482" spans="1:33" ht="15.75" customHeight="1">
      <c r="A482" s="1443"/>
      <c r="B482" s="1450"/>
      <c r="C482" s="1477"/>
      <c r="D482" s="1477"/>
      <c r="E482" s="1477"/>
      <c r="F482" s="1478"/>
      <c r="G482" s="1446"/>
      <c r="H482" s="1460" t="s">
        <v>2981</v>
      </c>
      <c r="I482" s="1459">
        <f>CEILING(I481,0.1)</f>
        <v>42</v>
      </c>
      <c r="J482" s="1449" t="s">
        <v>5</v>
      </c>
      <c r="K482" s="1439"/>
      <c r="L482" s="1439"/>
      <c r="M482" s="1439"/>
      <c r="N482" s="1439"/>
      <c r="O482" s="1439"/>
      <c r="P482" s="1439"/>
      <c r="Q482" s="1439"/>
      <c r="R482" s="1439"/>
      <c r="S482" s="1439"/>
      <c r="T482" s="1439"/>
      <c r="U482" s="1439"/>
      <c r="V482" s="1439"/>
      <c r="W482" s="1439"/>
      <c r="X482" s="1439"/>
      <c r="Y482" s="1439"/>
      <c r="Z482" s="1439"/>
      <c r="AA482" s="1439"/>
      <c r="AB482" s="1439"/>
      <c r="AC482" s="1439"/>
      <c r="AD482" s="1439"/>
      <c r="AE482" s="1439"/>
      <c r="AF482" s="1439"/>
      <c r="AG482" s="1439"/>
    </row>
    <row r="483" spans="1:33" ht="15.75" customHeight="1">
      <c r="A483" s="1470"/>
      <c r="B483" s="1456" t="s">
        <v>7061</v>
      </c>
      <c r="C483" s="1484"/>
      <c r="D483" s="1484"/>
      <c r="E483" s="1484"/>
      <c r="F483" s="1446"/>
      <c r="G483" s="1458"/>
      <c r="H483" s="1460"/>
      <c r="I483" s="1459"/>
      <c r="J483" s="1475"/>
      <c r="K483" s="1439"/>
      <c r="L483" s="1439"/>
      <c r="M483" s="1439"/>
      <c r="N483" s="1439"/>
      <c r="O483" s="1439"/>
      <c r="P483" s="1439"/>
      <c r="Q483" s="1439"/>
      <c r="R483" s="1439"/>
      <c r="S483" s="1439"/>
      <c r="T483" s="1439"/>
      <c r="U483" s="1439"/>
      <c r="V483" s="1439"/>
      <c r="W483" s="1439"/>
      <c r="X483" s="1439"/>
      <c r="Y483" s="1439"/>
      <c r="Z483" s="1439"/>
      <c r="AA483" s="1439"/>
      <c r="AB483" s="1439"/>
      <c r="AC483" s="1439"/>
      <c r="AD483" s="1439"/>
      <c r="AE483" s="1439"/>
      <c r="AF483" s="1439"/>
      <c r="AG483" s="1439"/>
    </row>
    <row r="484" spans="1:33" ht="15.75" customHeight="1">
      <c r="A484" s="1448"/>
      <c r="B484" s="1480" t="s">
        <v>7055</v>
      </c>
      <c r="C484" s="1445">
        <v>1</v>
      </c>
      <c r="D484" s="1447" t="s">
        <v>3364</v>
      </c>
      <c r="E484" s="1445">
        <v>2</v>
      </c>
      <c r="F484" s="1446">
        <v>17</v>
      </c>
      <c r="G484" s="1446">
        <v>0.23</v>
      </c>
      <c r="H484" s="1447">
        <v>2.9</v>
      </c>
      <c r="I484" s="1448">
        <f t="shared" ref="I484:I508" si="28">PRODUCT(C484:H484)</f>
        <v>22.68</v>
      </c>
      <c r="J484" s="1449"/>
      <c r="K484" s="1481"/>
      <c r="L484" s="1481"/>
      <c r="M484" s="1481"/>
      <c r="N484" s="1481"/>
      <c r="O484" s="1481"/>
      <c r="P484" s="1481"/>
      <c r="Q484" s="1481"/>
      <c r="R484" s="1481"/>
      <c r="S484" s="1481"/>
      <c r="T484" s="1481"/>
      <c r="U484" s="1481"/>
      <c r="V484" s="1481"/>
      <c r="W484" s="1481"/>
      <c r="X484" s="1481"/>
      <c r="Y484" s="1481"/>
      <c r="Z484" s="1481"/>
      <c r="AA484" s="1481"/>
      <c r="AB484" s="1481"/>
      <c r="AC484" s="1481"/>
      <c r="AD484" s="1481"/>
      <c r="AE484" s="1481"/>
      <c r="AF484" s="1481"/>
      <c r="AG484" s="1481"/>
    </row>
    <row r="485" spans="1:33" ht="15.75" customHeight="1">
      <c r="A485" s="1448"/>
      <c r="B485" s="1480" t="s">
        <v>7056</v>
      </c>
      <c r="C485" s="1445">
        <v>1</v>
      </c>
      <c r="D485" s="1447" t="s">
        <v>3364</v>
      </c>
      <c r="E485" s="1445">
        <v>3</v>
      </c>
      <c r="F485" s="1446">
        <v>18.43</v>
      </c>
      <c r="G485" s="1446">
        <v>0.23</v>
      </c>
      <c r="H485" s="1447">
        <v>2.9</v>
      </c>
      <c r="I485" s="1448">
        <f t="shared" si="28"/>
        <v>36.880000000000003</v>
      </c>
      <c r="J485" s="1449"/>
      <c r="K485" s="1481"/>
      <c r="L485" s="1481"/>
      <c r="M485" s="1481"/>
      <c r="N485" s="1481"/>
      <c r="O485" s="1481"/>
      <c r="P485" s="1481"/>
      <c r="Q485" s="1481"/>
      <c r="R485" s="1481"/>
      <c r="S485" s="1481"/>
      <c r="T485" s="1481"/>
      <c r="U485" s="1481"/>
      <c r="V485" s="1481"/>
      <c r="W485" s="1481"/>
      <c r="X485" s="1481"/>
      <c r="Y485" s="1481"/>
      <c r="Z485" s="1481"/>
      <c r="AA485" s="1481"/>
      <c r="AB485" s="1481"/>
      <c r="AC485" s="1481"/>
      <c r="AD485" s="1481"/>
      <c r="AE485" s="1481"/>
      <c r="AF485" s="1481"/>
      <c r="AG485" s="1481"/>
    </row>
    <row r="486" spans="1:33" ht="15.75" customHeight="1">
      <c r="A486" s="1448"/>
      <c r="B486" s="1482" t="s">
        <v>7455</v>
      </c>
      <c r="C486" s="1445">
        <v>1</v>
      </c>
      <c r="D486" s="1467" t="s">
        <v>3364</v>
      </c>
      <c r="E486" s="1445">
        <v>1</v>
      </c>
      <c r="F486" s="1446">
        <v>7.0549999999999997</v>
      </c>
      <c r="G486" s="1446">
        <v>0.23</v>
      </c>
      <c r="H486" s="1447">
        <v>2.9</v>
      </c>
      <c r="I486" s="1448">
        <f t="shared" si="28"/>
        <v>4.71</v>
      </c>
      <c r="J486" s="1449"/>
      <c r="K486" s="1481"/>
      <c r="L486" s="1481"/>
      <c r="M486" s="1481"/>
      <c r="N486" s="1481"/>
      <c r="O486" s="1481"/>
      <c r="P486" s="1481"/>
      <c r="Q486" s="1481"/>
      <c r="R486" s="1481"/>
      <c r="S486" s="1481"/>
      <c r="T486" s="1481"/>
      <c r="U486" s="1481"/>
      <c r="V486" s="1481"/>
      <c r="W486" s="1481"/>
      <c r="X486" s="1481"/>
      <c r="Y486" s="1481"/>
      <c r="Z486" s="1481"/>
      <c r="AA486" s="1481"/>
      <c r="AB486" s="1481"/>
      <c r="AC486" s="1481"/>
      <c r="AD486" s="1481"/>
      <c r="AE486" s="1481"/>
      <c r="AF486" s="1481"/>
      <c r="AG486" s="1481"/>
    </row>
    <row r="487" spans="1:33" ht="15.75" customHeight="1">
      <c r="A487" s="1448"/>
      <c r="B487" s="1482" t="s">
        <v>7456</v>
      </c>
      <c r="C487" s="1445">
        <v>1</v>
      </c>
      <c r="D487" s="1467" t="s">
        <v>3364</v>
      </c>
      <c r="E487" s="1445">
        <v>1</v>
      </c>
      <c r="F487" s="1446">
        <f>4.57+0.46</f>
        <v>5.03</v>
      </c>
      <c r="G487" s="1446">
        <v>0.23</v>
      </c>
      <c r="H487" s="1447">
        <v>2.9</v>
      </c>
      <c r="I487" s="1448">
        <f t="shared" si="28"/>
        <v>3.36</v>
      </c>
      <c r="J487" s="1449"/>
      <c r="K487" s="1481"/>
      <c r="L487" s="1481"/>
      <c r="M487" s="1481"/>
      <c r="N487" s="1481"/>
      <c r="O487" s="1481"/>
      <c r="P487" s="1481"/>
      <c r="Q487" s="1481"/>
      <c r="R487" s="1481"/>
      <c r="S487" s="1481"/>
      <c r="T487" s="1481"/>
      <c r="U487" s="1481"/>
      <c r="V487" s="1481"/>
      <c r="W487" s="1481"/>
      <c r="X487" s="1481"/>
      <c r="Y487" s="1481"/>
      <c r="Z487" s="1481"/>
      <c r="AA487" s="1481"/>
      <c r="AB487" s="1481"/>
      <c r="AC487" s="1481"/>
      <c r="AD487" s="1481"/>
      <c r="AE487" s="1481"/>
      <c r="AF487" s="1481"/>
      <c r="AG487" s="1481"/>
    </row>
    <row r="488" spans="1:33" ht="15.75" customHeight="1">
      <c r="A488" s="1448"/>
      <c r="B488" s="1480" t="s">
        <v>7057</v>
      </c>
      <c r="C488" s="1445">
        <v>2</v>
      </c>
      <c r="D488" s="1447" t="s">
        <v>3364</v>
      </c>
      <c r="E488" s="1445">
        <v>1</v>
      </c>
      <c r="F488" s="1446">
        <v>2.2999999999999998</v>
      </c>
      <c r="G488" s="1446">
        <v>0.23</v>
      </c>
      <c r="H488" s="1447">
        <v>2.9</v>
      </c>
      <c r="I488" s="1448">
        <f t="shared" si="28"/>
        <v>3.07</v>
      </c>
      <c r="J488" s="1449"/>
      <c r="K488" s="1481"/>
      <c r="L488" s="1481"/>
      <c r="M488" s="1481"/>
      <c r="N488" s="1481"/>
      <c r="O488" s="1481"/>
      <c r="P488" s="1481"/>
      <c r="Q488" s="1481"/>
      <c r="R488" s="1481"/>
      <c r="S488" s="1481"/>
      <c r="T488" s="1481"/>
      <c r="U488" s="1481"/>
      <c r="V488" s="1481"/>
      <c r="W488" s="1481"/>
      <c r="X488" s="1481"/>
      <c r="Y488" s="1481"/>
      <c r="Z488" s="1481"/>
      <c r="AA488" s="1481"/>
      <c r="AB488" s="1481"/>
      <c r="AC488" s="1481"/>
      <c r="AD488" s="1481"/>
      <c r="AE488" s="1481"/>
      <c r="AF488" s="1481"/>
      <c r="AG488" s="1481"/>
    </row>
    <row r="489" spans="1:33" ht="15.75" customHeight="1">
      <c r="A489" s="1448"/>
      <c r="B489" s="1482" t="s">
        <v>7457</v>
      </c>
      <c r="C489" s="1445">
        <v>2</v>
      </c>
      <c r="D489" s="1447" t="s">
        <v>3364</v>
      </c>
      <c r="E489" s="1445">
        <v>1</v>
      </c>
      <c r="F489" s="1446">
        <f>9.37+4.57+3.4+0.46</f>
        <v>17.8</v>
      </c>
      <c r="G489" s="1446">
        <v>0.23</v>
      </c>
      <c r="H489" s="1447">
        <v>2.9</v>
      </c>
      <c r="I489" s="1448">
        <f>PRODUCT(C489:H489)</f>
        <v>23.75</v>
      </c>
      <c r="J489" s="1449"/>
      <c r="K489" s="1481"/>
      <c r="L489" s="1481"/>
      <c r="M489" s="1481"/>
      <c r="N489" s="1481"/>
      <c r="O489" s="1481"/>
      <c r="P489" s="1481"/>
      <c r="Q489" s="1481"/>
      <c r="R489" s="1481"/>
      <c r="S489" s="1481"/>
      <c r="T489" s="1481"/>
      <c r="U489" s="1481"/>
      <c r="V489" s="1481"/>
      <c r="W489" s="1481"/>
      <c r="X489" s="1481"/>
      <c r="Y489" s="1481"/>
      <c r="Z489" s="1481"/>
      <c r="AA489" s="1481"/>
      <c r="AB489" s="1481"/>
      <c r="AC489" s="1481"/>
      <c r="AD489" s="1481"/>
      <c r="AE489" s="1481"/>
      <c r="AF489" s="1481"/>
      <c r="AG489" s="1481"/>
    </row>
    <row r="490" spans="1:33" ht="15.75" customHeight="1">
      <c r="A490" s="1448"/>
      <c r="B490" s="1480" t="s">
        <v>7058</v>
      </c>
      <c r="C490" s="1445">
        <v>2</v>
      </c>
      <c r="D490" s="1447" t="s">
        <v>3364</v>
      </c>
      <c r="E490" s="1445">
        <v>1</v>
      </c>
      <c r="F490" s="1446">
        <f>9.37+4.57+3.4+0.46</f>
        <v>17.8</v>
      </c>
      <c r="G490" s="1446">
        <v>0.23</v>
      </c>
      <c r="H490" s="1447">
        <v>2.9</v>
      </c>
      <c r="I490" s="1448">
        <f t="shared" si="28"/>
        <v>23.75</v>
      </c>
      <c r="J490" s="1449"/>
      <c r="K490" s="1481"/>
      <c r="L490" s="1481"/>
      <c r="M490" s="1481"/>
      <c r="N490" s="1481"/>
      <c r="O490" s="1481"/>
      <c r="P490" s="1481"/>
      <c r="Q490" s="1481"/>
      <c r="R490" s="1481"/>
      <c r="S490" s="1481"/>
      <c r="T490" s="1481"/>
      <c r="U490" s="1481"/>
      <c r="V490" s="1481"/>
      <c r="W490" s="1481"/>
      <c r="X490" s="1481"/>
      <c r="Y490" s="1481"/>
      <c r="Z490" s="1481"/>
      <c r="AA490" s="1481"/>
      <c r="AB490" s="1481"/>
      <c r="AC490" s="1481"/>
      <c r="AD490" s="1481"/>
      <c r="AE490" s="1481"/>
      <c r="AF490" s="1481"/>
      <c r="AG490" s="1481"/>
    </row>
    <row r="491" spans="1:33" ht="15.75" customHeight="1">
      <c r="A491" s="1448"/>
      <c r="B491" s="1480" t="s">
        <v>7059</v>
      </c>
      <c r="C491" s="1445">
        <v>2</v>
      </c>
      <c r="D491" s="1447" t="s">
        <v>3364</v>
      </c>
      <c r="E491" s="1445">
        <v>2</v>
      </c>
      <c r="F491" s="1446">
        <v>2.5299999999999998</v>
      </c>
      <c r="G491" s="1446">
        <v>0.23</v>
      </c>
      <c r="H491" s="1447">
        <v>2.9</v>
      </c>
      <c r="I491" s="1448">
        <f t="shared" si="28"/>
        <v>6.75</v>
      </c>
      <c r="J491" s="1449"/>
      <c r="K491" s="1481"/>
      <c r="L491" s="1481"/>
      <c r="M491" s="1481"/>
      <c r="N491" s="1481"/>
      <c r="O491" s="1481"/>
      <c r="P491" s="1481"/>
      <c r="Q491" s="1481"/>
      <c r="R491" s="1481"/>
      <c r="S491" s="1481"/>
      <c r="T491" s="1481"/>
      <c r="U491" s="1481"/>
      <c r="V491" s="1481"/>
      <c r="W491" s="1481"/>
      <c r="X491" s="1481"/>
      <c r="Y491" s="1481"/>
      <c r="Z491" s="1481"/>
      <c r="AA491" s="1481"/>
      <c r="AB491" s="1481"/>
      <c r="AC491" s="1481"/>
      <c r="AD491" s="1481"/>
      <c r="AE491" s="1481"/>
      <c r="AF491" s="1481"/>
      <c r="AG491" s="1481"/>
    </row>
    <row r="492" spans="1:33" ht="15.75" customHeight="1">
      <c r="A492" s="1448"/>
      <c r="B492" s="1482" t="s">
        <v>7453</v>
      </c>
      <c r="C492" s="1445">
        <v>1</v>
      </c>
      <c r="D492" s="1447" t="s">
        <v>3364</v>
      </c>
      <c r="E492" s="1445">
        <v>2</v>
      </c>
      <c r="F492" s="1446">
        <v>3.895</v>
      </c>
      <c r="G492" s="1446">
        <v>0.23</v>
      </c>
      <c r="H492" s="1447">
        <v>2.9</v>
      </c>
      <c r="I492" s="1448">
        <f t="shared" si="28"/>
        <v>5.2</v>
      </c>
      <c r="J492" s="1449"/>
      <c r="K492" s="1481"/>
      <c r="L492" s="1481"/>
      <c r="M492" s="1481"/>
      <c r="N492" s="1481"/>
      <c r="O492" s="1481"/>
      <c r="P492" s="1481"/>
      <c r="Q492" s="1481"/>
      <c r="R492" s="1481"/>
      <c r="S492" s="1481"/>
      <c r="T492" s="1481"/>
      <c r="U492" s="1481"/>
      <c r="V492" s="1481"/>
      <c r="W492" s="1481"/>
      <c r="X492" s="1481"/>
      <c r="Y492" s="1481"/>
      <c r="Z492" s="1481"/>
      <c r="AA492" s="1481"/>
      <c r="AB492" s="1481"/>
      <c r="AC492" s="1481"/>
      <c r="AD492" s="1481"/>
      <c r="AE492" s="1481"/>
      <c r="AF492" s="1481"/>
      <c r="AG492" s="1481"/>
    </row>
    <row r="493" spans="1:33" ht="15.75" customHeight="1">
      <c r="A493" s="1448"/>
      <c r="B493" s="1482" t="s">
        <v>7454</v>
      </c>
      <c r="C493" s="1445">
        <v>1</v>
      </c>
      <c r="D493" s="1467" t="s">
        <v>3364</v>
      </c>
      <c r="E493" s="1445">
        <v>1</v>
      </c>
      <c r="F493" s="1446">
        <v>3.43</v>
      </c>
      <c r="G493" s="1446">
        <v>0.23</v>
      </c>
      <c r="H493" s="1447">
        <v>2.9</v>
      </c>
      <c r="I493" s="1448">
        <f t="shared" si="28"/>
        <v>2.29</v>
      </c>
      <c r="J493" s="1449"/>
      <c r="K493" s="1481"/>
      <c r="L493" s="1481"/>
      <c r="M493" s="1481"/>
      <c r="N493" s="1481"/>
      <c r="O493" s="1481"/>
      <c r="P493" s="1481"/>
      <c r="Q493" s="1481"/>
      <c r="R493" s="1481"/>
      <c r="S493" s="1481"/>
      <c r="T493" s="1481"/>
      <c r="U493" s="1481"/>
      <c r="V493" s="1481"/>
      <c r="W493" s="1481"/>
      <c r="X493" s="1481"/>
      <c r="Y493" s="1481"/>
      <c r="Z493" s="1481"/>
      <c r="AA493" s="1481"/>
      <c r="AB493" s="1481"/>
      <c r="AC493" s="1481"/>
      <c r="AD493" s="1481"/>
      <c r="AE493" s="1481"/>
      <c r="AF493" s="1481"/>
      <c r="AG493" s="1481"/>
    </row>
    <row r="494" spans="1:33" ht="15.75" customHeight="1">
      <c r="A494" s="1448"/>
      <c r="B494" s="1482" t="s">
        <v>7458</v>
      </c>
      <c r="C494" s="1445">
        <v>-1</v>
      </c>
      <c r="D494" s="1467" t="s">
        <v>3364</v>
      </c>
      <c r="E494" s="1445">
        <v>3</v>
      </c>
      <c r="F494" s="1446">
        <v>3.43</v>
      </c>
      <c r="G494" s="1446">
        <v>0.23</v>
      </c>
      <c r="H494" s="1447">
        <v>2.9</v>
      </c>
      <c r="I494" s="1448">
        <f t="shared" si="28"/>
        <v>-6.86</v>
      </c>
      <c r="J494" s="1449"/>
      <c r="K494" s="1481"/>
      <c r="L494" s="1481"/>
      <c r="M494" s="1481"/>
      <c r="N494" s="1481"/>
      <c r="O494" s="1481"/>
      <c r="P494" s="1481"/>
      <c r="Q494" s="1481"/>
      <c r="R494" s="1481"/>
      <c r="S494" s="1481"/>
      <c r="T494" s="1481"/>
      <c r="U494" s="1481"/>
      <c r="V494" s="1481"/>
      <c r="W494" s="1481"/>
      <c r="X494" s="1481"/>
      <c r="Y494" s="1481"/>
      <c r="Z494" s="1481"/>
      <c r="AA494" s="1481"/>
      <c r="AB494" s="1481"/>
      <c r="AC494" s="1481"/>
      <c r="AD494" s="1481"/>
      <c r="AE494" s="1481"/>
      <c r="AF494" s="1481"/>
      <c r="AG494" s="1481"/>
    </row>
    <row r="495" spans="1:33" ht="15.75" customHeight="1">
      <c r="A495" s="1448"/>
      <c r="B495" s="1483" t="s">
        <v>3443</v>
      </c>
      <c r="C495" s="1445"/>
      <c r="D495" s="1447"/>
      <c r="E495" s="1445"/>
      <c r="F495" s="1446"/>
      <c r="G495" s="1446"/>
      <c r="H495" s="1447"/>
      <c r="I495" s="1448"/>
      <c r="J495" s="1449"/>
      <c r="K495" s="1481"/>
      <c r="L495" s="1481"/>
      <c r="M495" s="1481"/>
      <c r="N495" s="1481"/>
      <c r="O495" s="1481"/>
      <c r="P495" s="1481"/>
      <c r="Q495" s="1481"/>
      <c r="R495" s="1481"/>
      <c r="S495" s="1481"/>
      <c r="T495" s="1481"/>
      <c r="U495" s="1481"/>
      <c r="V495" s="1481"/>
      <c r="W495" s="1481"/>
      <c r="X495" s="1481"/>
      <c r="Y495" s="1481"/>
      <c r="Z495" s="1481"/>
      <c r="AA495" s="1481"/>
      <c r="AB495" s="1481"/>
      <c r="AC495" s="1481"/>
      <c r="AD495" s="1481"/>
      <c r="AE495" s="1481"/>
      <c r="AF495" s="1481"/>
      <c r="AG495" s="1481"/>
    </row>
    <row r="496" spans="1:33" ht="15.75" customHeight="1">
      <c r="A496" s="1448"/>
      <c r="B496" s="1480" t="s">
        <v>3363</v>
      </c>
      <c r="C496" s="1445">
        <v>5</v>
      </c>
      <c r="D496" s="1467" t="s">
        <v>3364</v>
      </c>
      <c r="E496" s="1445">
        <v>-1</v>
      </c>
      <c r="F496" s="1446">
        <v>1</v>
      </c>
      <c r="G496" s="1446">
        <v>0.23</v>
      </c>
      <c r="H496" s="1447">
        <v>2.1</v>
      </c>
      <c r="I496" s="1448">
        <f t="shared" si="28"/>
        <v>-2.42</v>
      </c>
      <c r="J496" s="1449"/>
      <c r="K496" s="1481"/>
      <c r="L496" s="1481"/>
      <c r="M496" s="1481"/>
      <c r="N496" s="1481"/>
      <c r="O496" s="1481"/>
      <c r="P496" s="1481"/>
      <c r="Q496" s="1481"/>
      <c r="R496" s="1481"/>
      <c r="S496" s="1481"/>
      <c r="T496" s="1481"/>
      <c r="U496" s="1481"/>
      <c r="V496" s="1481"/>
      <c r="W496" s="1481"/>
      <c r="X496" s="1481"/>
      <c r="Y496" s="1481"/>
      <c r="Z496" s="1481"/>
      <c r="AA496" s="1481"/>
      <c r="AB496" s="1481"/>
      <c r="AC496" s="1481"/>
      <c r="AD496" s="1481"/>
      <c r="AE496" s="1481"/>
      <c r="AF496" s="1481"/>
      <c r="AG496" s="1481"/>
    </row>
    <row r="497" spans="1:33" ht="15.75" customHeight="1">
      <c r="A497" s="1448"/>
      <c r="B497" s="1480" t="s">
        <v>3398</v>
      </c>
      <c r="C497" s="1445">
        <v>1</v>
      </c>
      <c r="D497" s="1467" t="s">
        <v>3364</v>
      </c>
      <c r="E497" s="1445">
        <v>-1</v>
      </c>
      <c r="F497" s="1446">
        <v>0.9</v>
      </c>
      <c r="G497" s="1446">
        <v>0.23</v>
      </c>
      <c r="H497" s="1447">
        <v>2.1</v>
      </c>
      <c r="I497" s="1448">
        <f t="shared" si="28"/>
        <v>-0.43</v>
      </c>
      <c r="J497" s="1449"/>
      <c r="K497" s="1481"/>
      <c r="L497" s="1481"/>
      <c r="M497" s="1481"/>
      <c r="N497" s="1481"/>
      <c r="O497" s="1481"/>
      <c r="P497" s="1481"/>
      <c r="Q497" s="1481"/>
      <c r="R497" s="1481"/>
      <c r="S497" s="1481"/>
      <c r="T497" s="1481"/>
      <c r="U497" s="1481"/>
      <c r="V497" s="1481"/>
      <c r="W497" s="1481"/>
      <c r="X497" s="1481"/>
      <c r="Y497" s="1481"/>
      <c r="Z497" s="1481"/>
      <c r="AA497" s="1481"/>
      <c r="AB497" s="1481"/>
      <c r="AC497" s="1481"/>
      <c r="AD497" s="1481"/>
      <c r="AE497" s="1481"/>
      <c r="AF497" s="1481"/>
      <c r="AG497" s="1481"/>
    </row>
    <row r="498" spans="1:33" ht="15.75" customHeight="1">
      <c r="A498" s="1448"/>
      <c r="B498" s="1480" t="s">
        <v>3407</v>
      </c>
      <c r="C498" s="1445">
        <v>6</v>
      </c>
      <c r="D498" s="1467" t="s">
        <v>3364</v>
      </c>
      <c r="E498" s="1445">
        <v>-1</v>
      </c>
      <c r="F498" s="1446">
        <v>0.75</v>
      </c>
      <c r="G498" s="1446">
        <v>0.23</v>
      </c>
      <c r="H498" s="1447">
        <v>2.1</v>
      </c>
      <c r="I498" s="1448">
        <f t="shared" si="28"/>
        <v>-2.17</v>
      </c>
      <c r="J498" s="1449"/>
      <c r="K498" s="1481"/>
      <c r="L498" s="1481"/>
      <c r="M498" s="1481"/>
      <c r="N498" s="1481"/>
      <c r="O498" s="1481"/>
      <c r="P498" s="1481"/>
      <c r="Q498" s="1481"/>
      <c r="R498" s="1481"/>
      <c r="S498" s="1481"/>
      <c r="T498" s="1481"/>
      <c r="U498" s="1481"/>
      <c r="V498" s="1481"/>
      <c r="W498" s="1481"/>
      <c r="X498" s="1481"/>
      <c r="Y498" s="1481"/>
      <c r="Z498" s="1481"/>
      <c r="AA498" s="1481"/>
      <c r="AB498" s="1481"/>
      <c r="AC498" s="1481"/>
      <c r="AD498" s="1481"/>
      <c r="AE498" s="1481"/>
      <c r="AF498" s="1481"/>
      <c r="AG498" s="1481"/>
    </row>
    <row r="499" spans="1:33" ht="15.75" customHeight="1">
      <c r="A499" s="1448"/>
      <c r="B499" s="1480" t="s">
        <v>3497</v>
      </c>
      <c r="C499" s="1445">
        <v>1</v>
      </c>
      <c r="D499" s="1467" t="s">
        <v>3364</v>
      </c>
      <c r="E499" s="1445">
        <v>-1</v>
      </c>
      <c r="F499" s="1446">
        <v>1.8</v>
      </c>
      <c r="G499" s="1446">
        <v>0.23</v>
      </c>
      <c r="H499" s="1447">
        <v>2</v>
      </c>
      <c r="I499" s="1448">
        <f t="shared" si="28"/>
        <v>-0.83</v>
      </c>
      <c r="J499" s="1449"/>
      <c r="K499" s="1481"/>
      <c r="L499" s="1481"/>
      <c r="M499" s="1481"/>
      <c r="N499" s="1481"/>
      <c r="O499" s="1481"/>
      <c r="P499" s="1481"/>
      <c r="Q499" s="1481"/>
      <c r="R499" s="1481"/>
      <c r="S499" s="1481"/>
      <c r="T499" s="1481"/>
      <c r="U499" s="1481"/>
      <c r="V499" s="1481"/>
      <c r="W499" s="1481"/>
      <c r="X499" s="1481"/>
      <c r="Y499" s="1481"/>
      <c r="Z499" s="1481"/>
      <c r="AA499" s="1481"/>
      <c r="AB499" s="1481"/>
      <c r="AC499" s="1481"/>
      <c r="AD499" s="1481"/>
      <c r="AE499" s="1481"/>
      <c r="AF499" s="1481"/>
      <c r="AG499" s="1481"/>
    </row>
    <row r="500" spans="1:33" ht="15.75" customHeight="1">
      <c r="A500" s="1448"/>
      <c r="B500" s="1480" t="s">
        <v>3414</v>
      </c>
      <c r="C500" s="1445">
        <v>8</v>
      </c>
      <c r="D500" s="1467" t="s">
        <v>3364</v>
      </c>
      <c r="E500" s="1445">
        <v>-1</v>
      </c>
      <c r="F500" s="1446">
        <v>1.8</v>
      </c>
      <c r="G500" s="1446">
        <v>0.23</v>
      </c>
      <c r="H500" s="1447">
        <v>1.35</v>
      </c>
      <c r="I500" s="1448">
        <f t="shared" si="28"/>
        <v>-4.47</v>
      </c>
      <c r="J500" s="1449"/>
      <c r="K500" s="1481"/>
      <c r="L500" s="1481"/>
      <c r="M500" s="1481"/>
      <c r="N500" s="1481"/>
      <c r="O500" s="1481"/>
      <c r="P500" s="1481"/>
      <c r="Q500" s="1481"/>
      <c r="R500" s="1481"/>
      <c r="S500" s="1481"/>
      <c r="T500" s="1481"/>
      <c r="U500" s="1481"/>
      <c r="V500" s="1481"/>
      <c r="W500" s="1481"/>
      <c r="X500" s="1481"/>
      <c r="Y500" s="1481"/>
      <c r="Z500" s="1481"/>
      <c r="AA500" s="1481"/>
      <c r="AB500" s="1481"/>
      <c r="AC500" s="1481"/>
      <c r="AD500" s="1481"/>
      <c r="AE500" s="1481"/>
      <c r="AF500" s="1481"/>
      <c r="AG500" s="1481"/>
    </row>
    <row r="501" spans="1:33" ht="15.75" customHeight="1">
      <c r="A501" s="1448"/>
      <c r="B501" s="1480" t="s">
        <v>3401</v>
      </c>
      <c r="C501" s="1445">
        <v>7</v>
      </c>
      <c r="D501" s="1467" t="s">
        <v>3364</v>
      </c>
      <c r="E501" s="1445">
        <v>-1</v>
      </c>
      <c r="F501" s="1446">
        <v>0.75</v>
      </c>
      <c r="G501" s="1446">
        <v>0.23</v>
      </c>
      <c r="H501" s="1447">
        <v>0.6</v>
      </c>
      <c r="I501" s="1448">
        <f t="shared" si="28"/>
        <v>-0.72</v>
      </c>
      <c r="J501" s="1449"/>
      <c r="K501" s="1481"/>
      <c r="L501" s="1481"/>
      <c r="M501" s="1481"/>
      <c r="N501" s="1481"/>
      <c r="O501" s="1481"/>
      <c r="P501" s="1481"/>
      <c r="Q501" s="1481"/>
      <c r="R501" s="1481"/>
      <c r="S501" s="1481"/>
      <c r="T501" s="1481"/>
      <c r="U501" s="1481"/>
      <c r="V501" s="1481"/>
      <c r="W501" s="1481"/>
      <c r="X501" s="1481"/>
      <c r="Y501" s="1481"/>
      <c r="Z501" s="1481"/>
      <c r="AA501" s="1481"/>
      <c r="AB501" s="1481"/>
      <c r="AC501" s="1481"/>
      <c r="AD501" s="1481"/>
      <c r="AE501" s="1481"/>
      <c r="AF501" s="1481"/>
      <c r="AG501" s="1481"/>
    </row>
    <row r="502" spans="1:33" ht="15.75" customHeight="1">
      <c r="A502" s="1448"/>
      <c r="B502" s="1480" t="s">
        <v>7413</v>
      </c>
      <c r="C502" s="1445">
        <v>1</v>
      </c>
      <c r="D502" s="1467" t="s">
        <v>3364</v>
      </c>
      <c r="E502" s="1445">
        <v>-1</v>
      </c>
      <c r="F502" s="1446">
        <v>0.9</v>
      </c>
      <c r="G502" s="1446">
        <v>0.23</v>
      </c>
      <c r="H502" s="1447">
        <v>2</v>
      </c>
      <c r="I502" s="1448">
        <f t="shared" si="28"/>
        <v>-0.41</v>
      </c>
      <c r="J502" s="1449"/>
      <c r="K502" s="1481"/>
      <c r="L502" s="1481"/>
      <c r="M502" s="1481"/>
      <c r="N502" s="1481"/>
      <c r="O502" s="1481"/>
      <c r="P502" s="1481"/>
      <c r="Q502" s="1481"/>
      <c r="R502" s="1481"/>
      <c r="S502" s="1481"/>
      <c r="T502" s="1481"/>
      <c r="U502" s="1481"/>
      <c r="V502" s="1481"/>
      <c r="W502" s="1481"/>
      <c r="X502" s="1481"/>
      <c r="Y502" s="1481"/>
      <c r="Z502" s="1481"/>
      <c r="AA502" s="1481"/>
      <c r="AB502" s="1481"/>
      <c r="AC502" s="1481"/>
      <c r="AD502" s="1481"/>
      <c r="AE502" s="1481"/>
      <c r="AF502" s="1481"/>
      <c r="AG502" s="1481"/>
    </row>
    <row r="503" spans="1:33" ht="15.75" customHeight="1">
      <c r="A503" s="1443"/>
      <c r="B503" s="1455" t="s">
        <v>7429</v>
      </c>
      <c r="C503" s="1457"/>
      <c r="D503" s="1445"/>
      <c r="E503" s="1445"/>
      <c r="F503" s="1446"/>
      <c r="G503" s="1446"/>
      <c r="H503" s="1447"/>
      <c r="I503" s="1448">
        <f t="shared" si="28"/>
        <v>0</v>
      </c>
      <c r="J503" s="1449"/>
      <c r="K503" s="1439"/>
      <c r="L503" s="1439"/>
      <c r="M503" s="1439"/>
      <c r="N503" s="1439"/>
      <c r="O503" s="1439"/>
      <c r="P503" s="1439"/>
      <c r="Q503" s="1439"/>
      <c r="R503" s="1439"/>
      <c r="S503" s="1439"/>
      <c r="T503" s="1439"/>
      <c r="U503" s="1439"/>
      <c r="V503" s="1439"/>
      <c r="W503" s="1439"/>
      <c r="X503" s="1439"/>
      <c r="Y503" s="1439"/>
      <c r="Z503" s="1439"/>
      <c r="AA503" s="1439"/>
      <c r="AB503" s="1439"/>
      <c r="AC503" s="1439"/>
      <c r="AD503" s="1439"/>
      <c r="AE503" s="1439"/>
      <c r="AF503" s="1439"/>
      <c r="AG503" s="1439"/>
    </row>
    <row r="504" spans="1:33" ht="15.75" customHeight="1">
      <c r="A504" s="1443"/>
      <c r="B504" s="1450" t="s">
        <v>7430</v>
      </c>
      <c r="C504" s="1445">
        <v>3</v>
      </c>
      <c r="D504" s="1445" t="s">
        <v>3364</v>
      </c>
      <c r="E504" s="1445">
        <v>-1</v>
      </c>
      <c r="F504" s="1446">
        <f>9.37+0.43</f>
        <v>9.8000000000000007</v>
      </c>
      <c r="G504" s="1446">
        <v>0.23</v>
      </c>
      <c r="H504" s="1447">
        <v>0.2</v>
      </c>
      <c r="I504" s="1448">
        <f t="shared" si="28"/>
        <v>-1.35</v>
      </c>
      <c r="J504" s="1449"/>
      <c r="K504" s="1439"/>
      <c r="L504" s="1439"/>
      <c r="M504" s="1439"/>
      <c r="N504" s="1439"/>
      <c r="O504" s="1439"/>
      <c r="P504" s="1439"/>
      <c r="Q504" s="1439"/>
      <c r="R504" s="1439"/>
      <c r="S504" s="1439"/>
      <c r="T504" s="1439"/>
      <c r="U504" s="1439"/>
      <c r="V504" s="1439"/>
      <c r="W504" s="1439"/>
      <c r="X504" s="1439"/>
      <c r="Y504" s="1439"/>
      <c r="Z504" s="1439"/>
      <c r="AA504" s="1439"/>
      <c r="AB504" s="1439"/>
      <c r="AC504" s="1439"/>
      <c r="AD504" s="1439"/>
      <c r="AE504" s="1439"/>
      <c r="AF504" s="1439"/>
      <c r="AG504" s="1439"/>
    </row>
    <row r="505" spans="1:33" ht="15.75" customHeight="1">
      <c r="A505" s="1443"/>
      <c r="B505" s="1450" t="s">
        <v>7431</v>
      </c>
      <c r="C505" s="1445">
        <v>2</v>
      </c>
      <c r="D505" s="1445" t="s">
        <v>3364</v>
      </c>
      <c r="E505" s="1445">
        <v>-1</v>
      </c>
      <c r="F505" s="1446">
        <f>4.57+0.46</f>
        <v>5.03</v>
      </c>
      <c r="G505" s="1446">
        <v>0.23</v>
      </c>
      <c r="H505" s="1447">
        <v>0.2</v>
      </c>
      <c r="I505" s="1448">
        <f t="shared" si="28"/>
        <v>-0.46</v>
      </c>
      <c r="J505" s="1449"/>
      <c r="K505" s="1439"/>
      <c r="L505" s="1439"/>
      <c r="M505" s="1439"/>
      <c r="N505" s="1439"/>
      <c r="O505" s="1439"/>
      <c r="P505" s="1439"/>
      <c r="Q505" s="1439"/>
      <c r="R505" s="1439"/>
      <c r="S505" s="1439"/>
      <c r="T505" s="1439"/>
      <c r="U505" s="1439"/>
      <c r="V505" s="1439"/>
      <c r="W505" s="1439"/>
      <c r="X505" s="1439"/>
      <c r="Y505" s="1439"/>
      <c r="Z505" s="1439"/>
      <c r="AA505" s="1439"/>
      <c r="AB505" s="1439"/>
      <c r="AC505" s="1439"/>
      <c r="AD505" s="1439"/>
      <c r="AE505" s="1439"/>
      <c r="AF505" s="1439"/>
      <c r="AG505" s="1439"/>
    </row>
    <row r="506" spans="1:33" ht="15.75" customHeight="1">
      <c r="A506" s="1443"/>
      <c r="B506" s="1455" t="s">
        <v>7432</v>
      </c>
      <c r="C506" s="1445"/>
      <c r="D506" s="1445"/>
      <c r="E506" s="1445"/>
      <c r="F506" s="1446"/>
      <c r="G506" s="1446"/>
      <c r="H506" s="1447"/>
      <c r="I506" s="1448">
        <f t="shared" si="28"/>
        <v>0</v>
      </c>
      <c r="J506" s="1449"/>
      <c r="K506" s="1439"/>
      <c r="L506" s="1439"/>
      <c r="M506" s="1439"/>
      <c r="N506" s="1439"/>
      <c r="O506" s="1439"/>
      <c r="P506" s="1439"/>
      <c r="Q506" s="1439"/>
      <c r="R506" s="1439"/>
      <c r="S506" s="1439"/>
      <c r="T506" s="1439"/>
      <c r="U506" s="1439"/>
      <c r="V506" s="1439"/>
      <c r="W506" s="1439"/>
      <c r="X506" s="1439"/>
      <c r="Y506" s="1439"/>
      <c r="Z506" s="1439"/>
      <c r="AA506" s="1439"/>
      <c r="AB506" s="1439"/>
      <c r="AC506" s="1439"/>
      <c r="AD506" s="1439"/>
      <c r="AE506" s="1439"/>
      <c r="AF506" s="1439"/>
      <c r="AG506" s="1439"/>
    </row>
    <row r="507" spans="1:33" ht="15.75" customHeight="1">
      <c r="A507" s="1443"/>
      <c r="B507" s="1450" t="s">
        <v>7430</v>
      </c>
      <c r="C507" s="1445">
        <v>3</v>
      </c>
      <c r="D507" s="1445" t="s">
        <v>3364</v>
      </c>
      <c r="E507" s="1445">
        <v>-1</v>
      </c>
      <c r="F507" s="1446">
        <f>9.37+0.43</f>
        <v>9.8000000000000007</v>
      </c>
      <c r="G507" s="1446">
        <v>0.6</v>
      </c>
      <c r="H507" s="1447">
        <v>0.1</v>
      </c>
      <c r="I507" s="1448">
        <f t="shared" si="28"/>
        <v>-1.76</v>
      </c>
      <c r="J507" s="1449"/>
      <c r="K507" s="1439"/>
      <c r="L507" s="1439"/>
      <c r="M507" s="1439"/>
      <c r="N507" s="1439"/>
      <c r="O507" s="1439"/>
      <c r="P507" s="1439"/>
      <c r="Q507" s="1439"/>
      <c r="R507" s="1439"/>
      <c r="S507" s="1439"/>
      <c r="T507" s="1439"/>
      <c r="U507" s="1439"/>
      <c r="V507" s="1439"/>
      <c r="W507" s="1439"/>
      <c r="X507" s="1439"/>
      <c r="Y507" s="1439"/>
      <c r="Z507" s="1439"/>
      <c r="AA507" s="1439"/>
      <c r="AB507" s="1439"/>
      <c r="AC507" s="1439"/>
      <c r="AD507" s="1439"/>
      <c r="AE507" s="1439"/>
      <c r="AF507" s="1439"/>
      <c r="AG507" s="1439"/>
    </row>
    <row r="508" spans="1:33" ht="15.75" customHeight="1">
      <c r="A508" s="1443"/>
      <c r="B508" s="1450" t="s">
        <v>7431</v>
      </c>
      <c r="C508" s="1445">
        <v>2</v>
      </c>
      <c r="D508" s="1453" t="s">
        <v>3364</v>
      </c>
      <c r="E508" s="1445">
        <v>-1</v>
      </c>
      <c r="F508" s="1446">
        <f>4.57+0.46</f>
        <v>5.03</v>
      </c>
      <c r="G508" s="1446">
        <v>0.6</v>
      </c>
      <c r="H508" s="1447">
        <v>0.1</v>
      </c>
      <c r="I508" s="1448">
        <f t="shared" si="28"/>
        <v>-0.6</v>
      </c>
      <c r="J508" s="1449"/>
      <c r="K508" s="1439"/>
      <c r="L508" s="1439"/>
      <c r="M508" s="1439"/>
      <c r="N508" s="1439"/>
      <c r="O508" s="1439"/>
      <c r="P508" s="1439"/>
      <c r="Q508" s="1439"/>
      <c r="R508" s="1439"/>
      <c r="S508" s="1439"/>
      <c r="T508" s="1439"/>
      <c r="U508" s="1439"/>
      <c r="V508" s="1439"/>
      <c r="W508" s="1439"/>
      <c r="X508" s="1439"/>
      <c r="Y508" s="1439"/>
      <c r="Z508" s="1439"/>
      <c r="AA508" s="1439"/>
      <c r="AB508" s="1439"/>
      <c r="AC508" s="1439"/>
      <c r="AD508" s="1439"/>
      <c r="AE508" s="1439"/>
      <c r="AF508" s="1439"/>
      <c r="AG508" s="1439"/>
    </row>
    <row r="509" spans="1:33" ht="15.75" customHeight="1">
      <c r="A509" s="1443"/>
      <c r="B509" s="1455" t="s">
        <v>7433</v>
      </c>
      <c r="C509" s="1445"/>
      <c r="D509" s="1445"/>
      <c r="E509" s="1445"/>
      <c r="F509" s="1446"/>
      <c r="G509" s="1446"/>
      <c r="H509" s="1472"/>
      <c r="I509" s="1448"/>
      <c r="J509" s="1449"/>
      <c r="K509" s="1439"/>
      <c r="L509" s="1439"/>
      <c r="M509" s="1439"/>
      <c r="N509" s="1439"/>
      <c r="O509" s="1439"/>
      <c r="P509" s="1439"/>
      <c r="Q509" s="1439"/>
      <c r="R509" s="1439"/>
      <c r="S509" s="1439"/>
      <c r="T509" s="1439"/>
      <c r="U509" s="1439"/>
      <c r="V509" s="1439"/>
      <c r="W509" s="1439"/>
      <c r="X509" s="1439"/>
      <c r="Y509" s="1439"/>
      <c r="Z509" s="1439"/>
      <c r="AA509" s="1439"/>
      <c r="AB509" s="1439"/>
      <c r="AC509" s="1439"/>
      <c r="AD509" s="1439"/>
      <c r="AE509" s="1439"/>
      <c r="AF509" s="1439"/>
      <c r="AG509" s="1439"/>
    </row>
    <row r="510" spans="1:33" ht="15.75" customHeight="1">
      <c r="A510" s="1443"/>
      <c r="B510" s="1450" t="s">
        <v>3363</v>
      </c>
      <c r="C510" s="1445">
        <v>5</v>
      </c>
      <c r="D510" s="1445" t="s">
        <v>3364</v>
      </c>
      <c r="E510" s="1445">
        <v>-1</v>
      </c>
      <c r="F510" s="1446">
        <v>1.46</v>
      </c>
      <c r="G510" s="1446">
        <v>0.23</v>
      </c>
      <c r="H510" s="1472">
        <v>0.15</v>
      </c>
      <c r="I510" s="1448">
        <f t="shared" ref="I510:I515" si="29">PRODUCT(C510:H510)</f>
        <v>-0.25</v>
      </c>
      <c r="J510" s="1449"/>
      <c r="K510" s="1439"/>
      <c r="L510" s="1439"/>
      <c r="M510" s="1439"/>
      <c r="N510" s="1439"/>
      <c r="O510" s="1439"/>
      <c r="P510" s="1439"/>
      <c r="Q510" s="1439"/>
      <c r="R510" s="1439"/>
      <c r="S510" s="1439"/>
      <c r="T510" s="1439"/>
      <c r="U510" s="1439"/>
      <c r="V510" s="1439"/>
      <c r="W510" s="1439"/>
      <c r="X510" s="1439"/>
      <c r="Y510" s="1439"/>
      <c r="Z510" s="1439"/>
      <c r="AA510" s="1439"/>
      <c r="AB510" s="1439"/>
      <c r="AC510" s="1439"/>
      <c r="AD510" s="1439"/>
      <c r="AE510" s="1439"/>
      <c r="AF510" s="1439"/>
      <c r="AG510" s="1439"/>
    </row>
    <row r="511" spans="1:33" ht="15.75" customHeight="1">
      <c r="A511" s="1443"/>
      <c r="B511" s="1450" t="s">
        <v>3398</v>
      </c>
      <c r="C511" s="1445">
        <v>1</v>
      </c>
      <c r="D511" s="1445" t="s">
        <v>3364</v>
      </c>
      <c r="E511" s="1445">
        <v>-1</v>
      </c>
      <c r="F511" s="1446">
        <v>1.36</v>
      </c>
      <c r="G511" s="1446">
        <v>0.23</v>
      </c>
      <c r="H511" s="1472">
        <v>0.15</v>
      </c>
      <c r="I511" s="1448">
        <f t="shared" si="29"/>
        <v>-0.05</v>
      </c>
      <c r="J511" s="1449"/>
      <c r="K511" s="1439"/>
      <c r="L511" s="1439"/>
      <c r="M511" s="1439"/>
      <c r="N511" s="1439"/>
      <c r="O511" s="1439"/>
      <c r="P511" s="1439"/>
      <c r="Q511" s="1439"/>
      <c r="R511" s="1439"/>
      <c r="S511" s="1439"/>
      <c r="T511" s="1439"/>
      <c r="U511" s="1439"/>
      <c r="V511" s="1439"/>
      <c r="W511" s="1439"/>
      <c r="X511" s="1439"/>
      <c r="Y511" s="1439"/>
      <c r="Z511" s="1439"/>
      <c r="AA511" s="1439"/>
      <c r="AB511" s="1439"/>
      <c r="AC511" s="1439"/>
      <c r="AD511" s="1439"/>
      <c r="AE511" s="1439"/>
      <c r="AF511" s="1439"/>
      <c r="AG511" s="1439"/>
    </row>
    <row r="512" spans="1:33" ht="15.75" customHeight="1">
      <c r="A512" s="1443"/>
      <c r="B512" s="1450" t="s">
        <v>3407</v>
      </c>
      <c r="C512" s="1445">
        <v>6</v>
      </c>
      <c r="D512" s="1453" t="s">
        <v>3364</v>
      </c>
      <c r="E512" s="1445">
        <v>-1</v>
      </c>
      <c r="F512" s="1446">
        <v>1.21</v>
      </c>
      <c r="G512" s="1446">
        <v>0.23</v>
      </c>
      <c r="H512" s="1472">
        <v>0.15</v>
      </c>
      <c r="I512" s="1448">
        <f t="shared" si="29"/>
        <v>-0.25</v>
      </c>
      <c r="J512" s="1449"/>
      <c r="K512" s="1439"/>
      <c r="L512" s="1439"/>
      <c r="M512" s="1439"/>
      <c r="N512" s="1439"/>
      <c r="O512" s="1439"/>
      <c r="P512" s="1439"/>
      <c r="Q512" s="1439"/>
      <c r="R512" s="1439"/>
      <c r="S512" s="1439"/>
      <c r="T512" s="1439"/>
      <c r="U512" s="1439"/>
      <c r="V512" s="1439"/>
      <c r="W512" s="1439"/>
      <c r="X512" s="1439"/>
      <c r="Y512" s="1439"/>
      <c r="Z512" s="1439"/>
      <c r="AA512" s="1439"/>
      <c r="AB512" s="1439"/>
      <c r="AC512" s="1439"/>
      <c r="AD512" s="1439"/>
      <c r="AE512" s="1439"/>
      <c r="AF512" s="1439"/>
      <c r="AG512" s="1439"/>
    </row>
    <row r="513" spans="1:33" ht="15.75" customHeight="1">
      <c r="A513" s="1443"/>
      <c r="B513" s="1450" t="s">
        <v>3414</v>
      </c>
      <c r="C513" s="1445">
        <v>8</v>
      </c>
      <c r="D513" s="1445" t="s">
        <v>3364</v>
      </c>
      <c r="E513" s="1445">
        <v>-1</v>
      </c>
      <c r="F513" s="1446">
        <v>2.2599999999999998</v>
      </c>
      <c r="G513" s="1446">
        <v>0.23</v>
      </c>
      <c r="H513" s="1472">
        <v>0.15</v>
      </c>
      <c r="I513" s="1448">
        <f t="shared" si="29"/>
        <v>-0.62</v>
      </c>
      <c r="J513" s="1449"/>
      <c r="K513" s="1439"/>
      <c r="L513" s="1439"/>
      <c r="M513" s="1439"/>
      <c r="N513" s="1439"/>
      <c r="O513" s="1439"/>
      <c r="P513" s="1439"/>
      <c r="Q513" s="1439"/>
      <c r="R513" s="1439"/>
      <c r="S513" s="1439"/>
      <c r="T513" s="1439"/>
      <c r="U513" s="1439"/>
      <c r="V513" s="1439"/>
      <c r="W513" s="1439"/>
      <c r="X513" s="1439"/>
      <c r="Y513" s="1439"/>
      <c r="Z513" s="1439"/>
      <c r="AA513" s="1439"/>
      <c r="AB513" s="1439"/>
      <c r="AC513" s="1439"/>
      <c r="AD513" s="1439"/>
      <c r="AE513" s="1439"/>
      <c r="AF513" s="1439"/>
      <c r="AG513" s="1439"/>
    </row>
    <row r="514" spans="1:33" ht="15.75" customHeight="1">
      <c r="A514" s="1443"/>
      <c r="B514" s="1450" t="s">
        <v>3401</v>
      </c>
      <c r="C514" s="1445">
        <v>7</v>
      </c>
      <c r="D514" s="1445" t="s">
        <v>3364</v>
      </c>
      <c r="E514" s="1445">
        <v>-1</v>
      </c>
      <c r="F514" s="1446">
        <v>1.21</v>
      </c>
      <c r="G514" s="1446">
        <v>0.23</v>
      </c>
      <c r="H514" s="1472">
        <v>0.15</v>
      </c>
      <c r="I514" s="1448">
        <f t="shared" si="29"/>
        <v>-0.28999999999999998</v>
      </c>
      <c r="J514" s="1449"/>
      <c r="K514" s="1439"/>
      <c r="L514" s="1439"/>
      <c r="M514" s="1439"/>
      <c r="N514" s="1439"/>
      <c r="O514" s="1439"/>
      <c r="P514" s="1439"/>
      <c r="Q514" s="1439"/>
      <c r="R514" s="1439"/>
      <c r="S514" s="1439"/>
      <c r="T514" s="1439"/>
      <c r="U514" s="1439"/>
      <c r="V514" s="1439"/>
      <c r="W514" s="1439"/>
      <c r="X514" s="1439"/>
      <c r="Y514" s="1439"/>
      <c r="Z514" s="1439"/>
      <c r="AA514" s="1439"/>
      <c r="AB514" s="1439"/>
      <c r="AC514" s="1439"/>
      <c r="AD514" s="1439"/>
      <c r="AE514" s="1439"/>
      <c r="AF514" s="1439"/>
      <c r="AG514" s="1439"/>
    </row>
    <row r="515" spans="1:33" ht="15.75" customHeight="1">
      <c r="A515" s="1443"/>
      <c r="B515" s="1452" t="s">
        <v>3497</v>
      </c>
      <c r="C515" s="1445">
        <v>1</v>
      </c>
      <c r="D515" s="1453" t="s">
        <v>3364</v>
      </c>
      <c r="E515" s="1445">
        <v>-1</v>
      </c>
      <c r="F515" s="1446">
        <v>2.2599999999999998</v>
      </c>
      <c r="G515" s="1446">
        <v>0.23</v>
      </c>
      <c r="H515" s="1472">
        <v>0.15</v>
      </c>
      <c r="I515" s="1448">
        <f t="shared" si="29"/>
        <v>-0.08</v>
      </c>
      <c r="J515" s="1449"/>
      <c r="K515" s="1439"/>
      <c r="L515" s="1439"/>
      <c r="M515" s="1439"/>
      <c r="N515" s="1439"/>
      <c r="O515" s="1439"/>
      <c r="P515" s="1439"/>
      <c r="Q515" s="1439"/>
      <c r="R515" s="1439"/>
      <c r="S515" s="1439"/>
      <c r="T515" s="1439"/>
      <c r="U515" s="1439"/>
      <c r="V515" s="1439"/>
      <c r="W515" s="1439"/>
      <c r="X515" s="1439"/>
      <c r="Y515" s="1439"/>
      <c r="Z515" s="1439"/>
      <c r="AA515" s="1439"/>
      <c r="AB515" s="1439"/>
      <c r="AC515" s="1439"/>
      <c r="AD515" s="1439"/>
      <c r="AE515" s="1439"/>
      <c r="AF515" s="1439"/>
      <c r="AG515" s="1439"/>
    </row>
    <row r="516" spans="1:33" ht="15.75" customHeight="1">
      <c r="A516" s="1443"/>
      <c r="B516" s="1469" t="s">
        <v>7466</v>
      </c>
      <c r="C516" s="1445"/>
      <c r="D516" s="1445"/>
      <c r="E516" s="1445"/>
      <c r="F516" s="1446"/>
      <c r="G516" s="1446"/>
      <c r="H516" s="1447"/>
      <c r="I516" s="1448"/>
      <c r="J516" s="1449"/>
      <c r="K516" s="1439"/>
      <c r="L516" s="1439"/>
      <c r="M516" s="1439"/>
      <c r="N516" s="1439"/>
      <c r="O516" s="1439"/>
      <c r="P516" s="1439"/>
      <c r="Q516" s="1439"/>
      <c r="R516" s="1439"/>
      <c r="S516" s="1439"/>
      <c r="T516" s="1439"/>
      <c r="U516" s="1439"/>
      <c r="V516" s="1439"/>
      <c r="W516" s="1439"/>
      <c r="X516" s="1439"/>
      <c r="Y516" s="1439"/>
      <c r="Z516" s="1439"/>
      <c r="AA516" s="1439"/>
      <c r="AB516" s="1439"/>
      <c r="AC516" s="1439"/>
      <c r="AD516" s="1439"/>
      <c r="AE516" s="1439"/>
      <c r="AF516" s="1439"/>
      <c r="AG516" s="1439"/>
    </row>
    <row r="517" spans="1:33" ht="15.75" customHeight="1">
      <c r="A517" s="1443"/>
      <c r="B517" s="1452" t="s">
        <v>7396</v>
      </c>
      <c r="C517" s="1445">
        <v>3</v>
      </c>
      <c r="D517" s="1453" t="s">
        <v>3364</v>
      </c>
      <c r="E517" s="1445">
        <v>-1</v>
      </c>
      <c r="F517" s="1446">
        <v>0.23</v>
      </c>
      <c r="G517" s="1454">
        <v>0.3</v>
      </c>
      <c r="H517" s="1447">
        <v>2.9</v>
      </c>
      <c r="I517" s="1448">
        <f t="shared" ref="I517:I524" si="30">PRODUCT(C517:H517)</f>
        <v>-0.6</v>
      </c>
      <c r="J517" s="1449"/>
      <c r="K517" s="1439"/>
      <c r="L517" s="1439"/>
      <c r="M517" s="1439"/>
      <c r="N517" s="1439"/>
      <c r="O517" s="1439"/>
      <c r="P517" s="1439"/>
      <c r="Q517" s="1439"/>
      <c r="R517" s="1439"/>
      <c r="S517" s="1439"/>
      <c r="T517" s="1439"/>
      <c r="U517" s="1439"/>
      <c r="V517" s="1439"/>
      <c r="W517" s="1439"/>
      <c r="X517" s="1439"/>
      <c r="Y517" s="1439"/>
      <c r="Z517" s="1439"/>
      <c r="AA517" s="1439"/>
      <c r="AB517" s="1439"/>
      <c r="AC517" s="1439"/>
      <c r="AD517" s="1439"/>
      <c r="AE517" s="1439"/>
      <c r="AF517" s="1439"/>
      <c r="AG517" s="1439"/>
    </row>
    <row r="518" spans="1:33" ht="15.75" customHeight="1">
      <c r="A518" s="1443"/>
      <c r="B518" s="1452" t="s">
        <v>7397</v>
      </c>
      <c r="C518" s="1445">
        <v>2</v>
      </c>
      <c r="D518" s="1453" t="s">
        <v>3364</v>
      </c>
      <c r="E518" s="1445">
        <v>-1</v>
      </c>
      <c r="F518" s="1446">
        <v>0.23</v>
      </c>
      <c r="G518" s="1446">
        <v>0.38</v>
      </c>
      <c r="H518" s="1447">
        <v>2.9</v>
      </c>
      <c r="I518" s="1448">
        <f t="shared" si="30"/>
        <v>-0.51</v>
      </c>
      <c r="J518" s="1449"/>
      <c r="K518" s="1439"/>
      <c r="L518" s="1439"/>
      <c r="M518" s="1439"/>
      <c r="N518" s="1439"/>
      <c r="O518" s="1439"/>
      <c r="P518" s="1439"/>
      <c r="Q518" s="1439"/>
      <c r="R518" s="1439"/>
      <c r="S518" s="1439"/>
      <c r="T518" s="1439"/>
      <c r="U518" s="1439"/>
      <c r="V518" s="1439"/>
      <c r="W518" s="1439"/>
      <c r="X518" s="1439"/>
      <c r="Y518" s="1439"/>
      <c r="Z518" s="1439"/>
      <c r="AA518" s="1439"/>
      <c r="AB518" s="1439"/>
      <c r="AC518" s="1439"/>
      <c r="AD518" s="1439"/>
      <c r="AE518" s="1439"/>
      <c r="AF518" s="1439"/>
      <c r="AG518" s="1439"/>
    </row>
    <row r="519" spans="1:33" ht="15.75" customHeight="1">
      <c r="A519" s="1443"/>
      <c r="B519" s="1452" t="s">
        <v>7398</v>
      </c>
      <c r="C519" s="1445">
        <v>4</v>
      </c>
      <c r="D519" s="1453" t="s">
        <v>3364</v>
      </c>
      <c r="E519" s="1445">
        <v>-1</v>
      </c>
      <c r="F519" s="1446">
        <v>0.23</v>
      </c>
      <c r="G519" s="1446">
        <v>0.45</v>
      </c>
      <c r="H519" s="1447">
        <v>2.9</v>
      </c>
      <c r="I519" s="1448">
        <f t="shared" si="30"/>
        <v>-1.2</v>
      </c>
      <c r="J519" s="1449"/>
      <c r="K519" s="1439"/>
      <c r="L519" s="1439">
        <f>3.6-0.45</f>
        <v>3.15</v>
      </c>
      <c r="M519" s="1439"/>
      <c r="N519" s="1439"/>
      <c r="O519" s="1439"/>
      <c r="P519" s="1439"/>
      <c r="Q519" s="1439"/>
      <c r="R519" s="1439"/>
      <c r="S519" s="1439"/>
      <c r="T519" s="1439"/>
      <c r="U519" s="1439"/>
      <c r="V519" s="1439"/>
      <c r="W519" s="1439"/>
      <c r="X519" s="1439"/>
      <c r="Y519" s="1439"/>
      <c r="Z519" s="1439"/>
      <c r="AA519" s="1439"/>
      <c r="AB519" s="1439"/>
      <c r="AC519" s="1439"/>
      <c r="AD519" s="1439"/>
      <c r="AE519" s="1439"/>
      <c r="AF519" s="1439"/>
      <c r="AG519" s="1439"/>
    </row>
    <row r="520" spans="1:33" ht="15.75" customHeight="1">
      <c r="A520" s="1443"/>
      <c r="B520" s="1452" t="s">
        <v>7399</v>
      </c>
      <c r="C520" s="1445">
        <v>5</v>
      </c>
      <c r="D520" s="1453" t="s">
        <v>3364</v>
      </c>
      <c r="E520" s="1445">
        <v>-1</v>
      </c>
      <c r="F520" s="1446">
        <v>0.23</v>
      </c>
      <c r="G520" s="1446">
        <v>0.45</v>
      </c>
      <c r="H520" s="1447">
        <v>2.9</v>
      </c>
      <c r="I520" s="1448">
        <f t="shared" si="30"/>
        <v>-1.5</v>
      </c>
      <c r="J520" s="1449"/>
      <c r="K520" s="1439"/>
      <c r="L520" s="1439"/>
      <c r="M520" s="1439"/>
      <c r="N520" s="1439"/>
      <c r="O520" s="1439"/>
      <c r="P520" s="1439"/>
      <c r="Q520" s="1439"/>
      <c r="R520" s="1439"/>
      <c r="S520" s="1439"/>
      <c r="T520" s="1439"/>
      <c r="U520" s="1439"/>
      <c r="V520" s="1439"/>
      <c r="W520" s="1439"/>
      <c r="X520" s="1439"/>
      <c r="Y520" s="1439"/>
      <c r="Z520" s="1439"/>
      <c r="AA520" s="1439"/>
      <c r="AB520" s="1439"/>
      <c r="AC520" s="1439"/>
      <c r="AD520" s="1439"/>
      <c r="AE520" s="1439"/>
      <c r="AF520" s="1439"/>
      <c r="AG520" s="1439"/>
    </row>
    <row r="521" spans="1:33" ht="15.75" customHeight="1">
      <c r="A521" s="1443"/>
      <c r="B521" s="1452" t="s">
        <v>7400</v>
      </c>
      <c r="C521" s="1445">
        <v>6</v>
      </c>
      <c r="D521" s="1453" t="s">
        <v>3364</v>
      </c>
      <c r="E521" s="1445">
        <v>-1</v>
      </c>
      <c r="F521" s="1446">
        <v>0.3</v>
      </c>
      <c r="G521" s="1446">
        <v>0.45</v>
      </c>
      <c r="H521" s="1447">
        <v>2.9</v>
      </c>
      <c r="I521" s="1448">
        <f t="shared" si="30"/>
        <v>-2.35</v>
      </c>
      <c r="J521" s="1449"/>
      <c r="K521" s="1439"/>
      <c r="L521" s="1439">
        <f>3-0.2-0.1-1.05</f>
        <v>1.65</v>
      </c>
      <c r="M521" s="1439"/>
      <c r="N521" s="1439"/>
      <c r="O521" s="1439"/>
      <c r="P521" s="1439"/>
      <c r="Q521" s="1439"/>
      <c r="R521" s="1439"/>
      <c r="S521" s="1439"/>
      <c r="T521" s="1439"/>
      <c r="U521" s="1439"/>
      <c r="V521" s="1439"/>
      <c r="W521" s="1439"/>
      <c r="X521" s="1439"/>
      <c r="Y521" s="1439"/>
      <c r="Z521" s="1439"/>
      <c r="AA521" s="1439"/>
      <c r="AB521" s="1439"/>
      <c r="AC521" s="1439"/>
      <c r="AD521" s="1439"/>
      <c r="AE521" s="1439"/>
      <c r="AF521" s="1439"/>
      <c r="AG521" s="1439"/>
    </row>
    <row r="522" spans="1:33" ht="15.75" customHeight="1">
      <c r="A522" s="1443"/>
      <c r="B522" s="1452" t="s">
        <v>7401</v>
      </c>
      <c r="C522" s="1445">
        <v>6</v>
      </c>
      <c r="D522" s="1453" t="s">
        <v>3364</v>
      </c>
      <c r="E522" s="1445">
        <v>-1</v>
      </c>
      <c r="F522" s="1446">
        <v>0.3</v>
      </c>
      <c r="G522" s="1446">
        <v>0.45</v>
      </c>
      <c r="H522" s="1447">
        <v>2.9</v>
      </c>
      <c r="I522" s="1448">
        <f t="shared" si="30"/>
        <v>-2.35</v>
      </c>
      <c r="J522" s="1449"/>
      <c r="K522" s="1439"/>
      <c r="L522" s="1439">
        <f>1.65+1</f>
        <v>2.65</v>
      </c>
      <c r="M522" s="1439"/>
      <c r="N522" s="1439"/>
      <c r="O522" s="1439"/>
      <c r="P522" s="1439"/>
      <c r="Q522" s="1439"/>
      <c r="R522" s="1439"/>
      <c r="S522" s="1439"/>
      <c r="T522" s="1439"/>
      <c r="U522" s="1439"/>
      <c r="V522" s="1439"/>
      <c r="W522" s="1439"/>
      <c r="X522" s="1439"/>
      <c r="Y522" s="1439"/>
      <c r="Z522" s="1439"/>
      <c r="AA522" s="1439"/>
      <c r="AB522" s="1439"/>
      <c r="AC522" s="1439"/>
      <c r="AD522" s="1439"/>
      <c r="AE522" s="1439"/>
      <c r="AF522" s="1439"/>
      <c r="AG522" s="1439"/>
    </row>
    <row r="523" spans="1:33" ht="15.75" customHeight="1">
      <c r="A523" s="1443"/>
      <c r="B523" s="1452" t="s">
        <v>7402</v>
      </c>
      <c r="C523" s="1445">
        <v>2</v>
      </c>
      <c r="D523" s="1453" t="s">
        <v>3364</v>
      </c>
      <c r="E523" s="1445">
        <v>-1</v>
      </c>
      <c r="F523" s="1446">
        <v>0.3</v>
      </c>
      <c r="G523" s="1446">
        <v>0.6</v>
      </c>
      <c r="H523" s="1447">
        <v>2.9</v>
      </c>
      <c r="I523" s="1448">
        <f t="shared" si="30"/>
        <v>-1.04</v>
      </c>
      <c r="J523" s="1449"/>
      <c r="K523" s="1439"/>
      <c r="L523" s="1439"/>
      <c r="M523" s="1439"/>
      <c r="N523" s="1439"/>
      <c r="O523" s="1439"/>
      <c r="P523" s="1439"/>
      <c r="Q523" s="1439"/>
      <c r="R523" s="1439"/>
      <c r="S523" s="1439"/>
      <c r="T523" s="1439"/>
      <c r="U523" s="1439"/>
      <c r="V523" s="1439"/>
      <c r="W523" s="1439"/>
      <c r="X523" s="1439"/>
      <c r="Y523" s="1439"/>
      <c r="Z523" s="1439"/>
      <c r="AA523" s="1439"/>
      <c r="AB523" s="1439"/>
      <c r="AC523" s="1439"/>
      <c r="AD523" s="1439"/>
      <c r="AE523" s="1439"/>
      <c r="AF523" s="1439"/>
      <c r="AG523" s="1439"/>
    </row>
    <row r="524" spans="1:33" ht="15.75" customHeight="1">
      <c r="A524" s="1443"/>
      <c r="B524" s="1452" t="s">
        <v>7403</v>
      </c>
      <c r="C524" s="1445">
        <v>6</v>
      </c>
      <c r="D524" s="1453" t="s">
        <v>3364</v>
      </c>
      <c r="E524" s="1445">
        <v>-1</v>
      </c>
      <c r="F524" s="1446">
        <v>0.3</v>
      </c>
      <c r="G524" s="1446">
        <v>0.6</v>
      </c>
      <c r="H524" s="1447">
        <v>2.9</v>
      </c>
      <c r="I524" s="1448">
        <f t="shared" si="30"/>
        <v>-3.13</v>
      </c>
      <c r="J524" s="1449"/>
      <c r="K524" s="1439"/>
      <c r="L524" s="1439"/>
      <c r="M524" s="1439"/>
      <c r="N524" s="1439"/>
      <c r="O524" s="1439"/>
      <c r="P524" s="1439"/>
      <c r="Q524" s="1439"/>
      <c r="R524" s="1439"/>
      <c r="S524" s="1439"/>
      <c r="T524" s="1439"/>
      <c r="U524" s="1439"/>
      <c r="V524" s="1439"/>
      <c r="W524" s="1439"/>
      <c r="X524" s="1439"/>
      <c r="Y524" s="1439"/>
      <c r="Z524" s="1439"/>
      <c r="AA524" s="1439"/>
      <c r="AB524" s="1439"/>
      <c r="AC524" s="1439"/>
      <c r="AD524" s="1439"/>
      <c r="AE524" s="1439"/>
      <c r="AF524" s="1439"/>
      <c r="AG524" s="1439"/>
    </row>
    <row r="525" spans="1:33" ht="15.75" customHeight="1">
      <c r="A525" s="1470"/>
      <c r="B525" s="1450"/>
      <c r="C525" s="1484"/>
      <c r="D525" s="1484"/>
      <c r="E525" s="1484"/>
      <c r="F525" s="1446"/>
      <c r="G525" s="1458" t="s">
        <v>104</v>
      </c>
      <c r="H525" s="1460"/>
      <c r="I525" s="1459">
        <f>SUM(I484:I524)</f>
        <v>95.74</v>
      </c>
      <c r="J525" s="1475"/>
      <c r="K525" s="1439"/>
      <c r="L525" s="1439"/>
      <c r="M525" s="1439"/>
      <c r="N525" s="1439"/>
      <c r="O525" s="1439"/>
      <c r="P525" s="1439"/>
      <c r="Q525" s="1439"/>
      <c r="R525" s="1439"/>
      <c r="S525" s="1439"/>
      <c r="T525" s="1439"/>
      <c r="U525" s="1439"/>
      <c r="V525" s="1439"/>
      <c r="W525" s="1439"/>
      <c r="X525" s="1439"/>
      <c r="Y525" s="1439"/>
      <c r="Z525" s="1439"/>
      <c r="AA525" s="1439"/>
      <c r="AB525" s="1439"/>
      <c r="AC525" s="1439"/>
      <c r="AD525" s="1439"/>
      <c r="AE525" s="1439"/>
      <c r="AF525" s="1439"/>
      <c r="AG525" s="1439"/>
    </row>
    <row r="526" spans="1:33" ht="15.75" customHeight="1">
      <c r="A526" s="1470"/>
      <c r="B526" s="1450"/>
      <c r="C526" s="1484"/>
      <c r="D526" s="1484"/>
      <c r="E526" s="1484"/>
      <c r="F526" s="1446"/>
      <c r="G526" s="1458"/>
      <c r="H526" s="1460" t="s">
        <v>2981</v>
      </c>
      <c r="I526" s="1459">
        <f>CEILING(I525,0.1)</f>
        <v>95.8</v>
      </c>
      <c r="J526" s="1475" t="s">
        <v>5</v>
      </c>
      <c r="K526" s="1439"/>
      <c r="L526" s="1439"/>
      <c r="M526" s="1439"/>
      <c r="N526" s="1439"/>
      <c r="O526" s="1439"/>
      <c r="P526" s="1439"/>
      <c r="Q526" s="1439"/>
      <c r="R526" s="1439"/>
      <c r="S526" s="1439"/>
      <c r="T526" s="1439"/>
      <c r="U526" s="1439"/>
      <c r="V526" s="1439"/>
      <c r="W526" s="1439"/>
      <c r="X526" s="1439"/>
      <c r="Y526" s="1439"/>
      <c r="Z526" s="1439"/>
      <c r="AA526" s="1439"/>
      <c r="AB526" s="1439"/>
      <c r="AC526" s="1439"/>
      <c r="AD526" s="1439"/>
      <c r="AE526" s="1439"/>
      <c r="AF526" s="1439"/>
      <c r="AG526" s="1439"/>
    </row>
    <row r="527" spans="1:33" ht="15.75" customHeight="1">
      <c r="A527" s="1470"/>
      <c r="B527" s="1456" t="s">
        <v>3447</v>
      </c>
      <c r="C527" s="1484"/>
      <c r="D527" s="1484"/>
      <c r="E527" s="1484"/>
      <c r="F527" s="1446"/>
      <c r="G527" s="1458"/>
      <c r="H527" s="1460"/>
      <c r="I527" s="1459"/>
      <c r="J527" s="1475"/>
      <c r="K527" s="1439"/>
      <c r="L527" s="1439"/>
      <c r="M527" s="1439"/>
      <c r="N527" s="1439"/>
      <c r="O527" s="1439"/>
      <c r="P527" s="1439"/>
      <c r="Q527" s="1439"/>
      <c r="R527" s="1439"/>
      <c r="S527" s="1439"/>
      <c r="T527" s="1439"/>
      <c r="U527" s="1439"/>
      <c r="V527" s="1439"/>
      <c r="W527" s="1439"/>
      <c r="X527" s="1439"/>
      <c r="Y527" s="1439"/>
      <c r="Z527" s="1439"/>
      <c r="AA527" s="1439"/>
      <c r="AB527" s="1439"/>
      <c r="AC527" s="1439"/>
      <c r="AD527" s="1439"/>
      <c r="AE527" s="1439"/>
      <c r="AF527" s="1439"/>
      <c r="AG527" s="1439"/>
    </row>
    <row r="528" spans="1:33" ht="15.75" customHeight="1">
      <c r="A528" s="1448"/>
      <c r="B528" s="1480" t="s">
        <v>7062</v>
      </c>
      <c r="C528" s="1445">
        <v>1</v>
      </c>
      <c r="D528" s="1447" t="s">
        <v>3364</v>
      </c>
      <c r="E528" s="1445">
        <v>2</v>
      </c>
      <c r="F528" s="1446">
        <v>17</v>
      </c>
      <c r="G528" s="1446">
        <v>0.23</v>
      </c>
      <c r="H528" s="1447">
        <v>2.9</v>
      </c>
      <c r="I528" s="1448">
        <f t="shared" ref="I528:I558" si="31">PRODUCT(C528:H528)</f>
        <v>22.68</v>
      </c>
      <c r="J528" s="1449"/>
      <c r="K528" s="1481"/>
      <c r="L528" s="1481"/>
      <c r="M528" s="1481"/>
      <c r="N528" s="1481"/>
      <c r="O528" s="1481"/>
      <c r="P528" s="1481"/>
      <c r="Q528" s="1481"/>
      <c r="R528" s="1481"/>
      <c r="S528" s="1481"/>
      <c r="T528" s="1481"/>
      <c r="U528" s="1481"/>
      <c r="V528" s="1481"/>
      <c r="W528" s="1481"/>
      <c r="X528" s="1481"/>
      <c r="Y528" s="1481"/>
      <c r="Z528" s="1481"/>
      <c r="AA528" s="1481"/>
      <c r="AB528" s="1481"/>
      <c r="AC528" s="1481"/>
      <c r="AD528" s="1481"/>
      <c r="AE528" s="1481"/>
      <c r="AF528" s="1481"/>
      <c r="AG528" s="1481"/>
    </row>
    <row r="529" spans="1:33" ht="15.75" customHeight="1">
      <c r="A529" s="1448"/>
      <c r="B529" s="1482" t="s">
        <v>7459</v>
      </c>
      <c r="C529" s="1445">
        <v>1</v>
      </c>
      <c r="D529" s="1447" t="s">
        <v>3364</v>
      </c>
      <c r="E529" s="1445">
        <v>1</v>
      </c>
      <c r="F529" s="1446">
        <v>7.0549999999999997</v>
      </c>
      <c r="G529" s="1446">
        <v>0.23</v>
      </c>
      <c r="H529" s="1447">
        <v>2.9</v>
      </c>
      <c r="I529" s="1448">
        <f t="shared" si="31"/>
        <v>4.71</v>
      </c>
      <c r="J529" s="1449"/>
      <c r="K529" s="1481"/>
      <c r="L529" s="1481"/>
      <c r="M529" s="1481"/>
      <c r="N529" s="1481"/>
      <c r="O529" s="1481"/>
      <c r="P529" s="1481"/>
      <c r="Q529" s="1481"/>
      <c r="R529" s="1481"/>
      <c r="S529" s="1481"/>
      <c r="T529" s="1481"/>
      <c r="U529" s="1481"/>
      <c r="V529" s="1481"/>
      <c r="W529" s="1481"/>
      <c r="X529" s="1481"/>
      <c r="Y529" s="1481"/>
      <c r="Z529" s="1481"/>
      <c r="AA529" s="1481"/>
      <c r="AB529" s="1481"/>
      <c r="AC529" s="1481"/>
      <c r="AD529" s="1481"/>
      <c r="AE529" s="1481"/>
      <c r="AF529" s="1481"/>
      <c r="AG529" s="1481"/>
    </row>
    <row r="530" spans="1:33" ht="15.75" customHeight="1">
      <c r="A530" s="1448"/>
      <c r="B530" s="1482" t="s">
        <v>7064</v>
      </c>
      <c r="C530" s="1445">
        <v>2</v>
      </c>
      <c r="D530" s="1447" t="s">
        <v>3364</v>
      </c>
      <c r="E530" s="1445">
        <v>1</v>
      </c>
      <c r="F530" s="1446">
        <v>8.4849999999999994</v>
      </c>
      <c r="G530" s="1446">
        <v>0.23</v>
      </c>
      <c r="H530" s="1447">
        <v>2.9</v>
      </c>
      <c r="I530" s="1448">
        <f t="shared" si="31"/>
        <v>11.32</v>
      </c>
      <c r="J530" s="1449"/>
      <c r="K530" s="1481"/>
      <c r="L530" s="1481"/>
      <c r="M530" s="1481"/>
      <c r="N530" s="1481"/>
      <c r="O530" s="1481"/>
      <c r="P530" s="1481"/>
      <c r="Q530" s="1481"/>
      <c r="R530" s="1481"/>
      <c r="S530" s="1481"/>
      <c r="T530" s="1481"/>
      <c r="U530" s="1481"/>
      <c r="V530" s="1481"/>
      <c r="W530" s="1481"/>
      <c r="X530" s="1481"/>
      <c r="Y530" s="1481"/>
      <c r="Z530" s="1481"/>
      <c r="AA530" s="1481"/>
      <c r="AB530" s="1481"/>
      <c r="AC530" s="1481"/>
      <c r="AD530" s="1481"/>
      <c r="AE530" s="1481"/>
      <c r="AF530" s="1481"/>
      <c r="AG530" s="1481"/>
    </row>
    <row r="531" spans="1:33" ht="15.75" customHeight="1">
      <c r="A531" s="1448"/>
      <c r="B531" s="1482" t="s">
        <v>7460</v>
      </c>
      <c r="C531" s="1445">
        <v>1</v>
      </c>
      <c r="D531" s="1447" t="s">
        <v>3364</v>
      </c>
      <c r="E531" s="1445">
        <v>1</v>
      </c>
      <c r="F531" s="1446">
        <v>18.43</v>
      </c>
      <c r="G531" s="1446">
        <v>0.23</v>
      </c>
      <c r="H531" s="1447">
        <v>2.9</v>
      </c>
      <c r="I531" s="1448">
        <f t="shared" si="31"/>
        <v>12.29</v>
      </c>
      <c r="J531" s="1449"/>
      <c r="K531" s="1481"/>
      <c r="L531" s="1481"/>
      <c r="M531" s="1481"/>
      <c r="N531" s="1481"/>
      <c r="O531" s="1481"/>
      <c r="P531" s="1481"/>
      <c r="Q531" s="1481"/>
      <c r="R531" s="1481"/>
      <c r="S531" s="1481"/>
      <c r="T531" s="1481"/>
      <c r="U531" s="1481"/>
      <c r="V531" s="1481"/>
      <c r="W531" s="1481"/>
      <c r="X531" s="1481"/>
      <c r="Y531" s="1481"/>
      <c r="Z531" s="1481"/>
      <c r="AA531" s="1481"/>
      <c r="AB531" s="1481"/>
      <c r="AC531" s="1481"/>
      <c r="AD531" s="1481"/>
      <c r="AE531" s="1481"/>
      <c r="AF531" s="1481"/>
      <c r="AG531" s="1481"/>
    </row>
    <row r="532" spans="1:33" ht="15.75" customHeight="1">
      <c r="A532" s="1448"/>
      <c r="B532" s="1482" t="s">
        <v>7461</v>
      </c>
      <c r="C532" s="1445">
        <v>3</v>
      </c>
      <c r="D532" s="1447" t="s">
        <v>3364</v>
      </c>
      <c r="E532" s="1445">
        <v>1</v>
      </c>
      <c r="F532" s="1446">
        <v>5.0350000000000001</v>
      </c>
      <c r="G532" s="1446">
        <v>0.23</v>
      </c>
      <c r="H532" s="1447">
        <v>2.9</v>
      </c>
      <c r="I532" s="1448">
        <f t="shared" si="31"/>
        <v>10.08</v>
      </c>
      <c r="J532" s="1449"/>
      <c r="K532" s="1481"/>
      <c r="L532" s="1481"/>
      <c r="M532" s="1481"/>
      <c r="N532" s="1481"/>
      <c r="O532" s="1481"/>
      <c r="P532" s="1481"/>
      <c r="Q532" s="1481"/>
      <c r="R532" s="1481"/>
      <c r="S532" s="1481"/>
      <c r="T532" s="1481"/>
      <c r="U532" s="1481"/>
      <c r="V532" s="1481"/>
      <c r="W532" s="1481"/>
      <c r="X532" s="1481"/>
      <c r="Y532" s="1481"/>
      <c r="Z532" s="1481"/>
      <c r="AA532" s="1481"/>
      <c r="AB532" s="1481"/>
      <c r="AC532" s="1481"/>
      <c r="AD532" s="1481"/>
      <c r="AE532" s="1481"/>
      <c r="AF532" s="1481"/>
      <c r="AG532" s="1481"/>
    </row>
    <row r="533" spans="1:33" ht="15.75" customHeight="1">
      <c r="A533" s="1448"/>
      <c r="B533" s="1482" t="s">
        <v>7462</v>
      </c>
      <c r="C533" s="1445">
        <v>1</v>
      </c>
      <c r="D533" s="1447" t="s">
        <v>3364</v>
      </c>
      <c r="E533" s="1445">
        <v>1</v>
      </c>
      <c r="F533" s="1446">
        <v>4.57</v>
      </c>
      <c r="G533" s="1446">
        <v>0.23</v>
      </c>
      <c r="H533" s="1447">
        <v>2.9</v>
      </c>
      <c r="I533" s="1448">
        <f t="shared" si="31"/>
        <v>3.05</v>
      </c>
      <c r="J533" s="1449"/>
      <c r="K533" s="1481"/>
      <c r="L533" s="1481"/>
      <c r="M533" s="1481"/>
      <c r="N533" s="1481"/>
      <c r="O533" s="1481"/>
      <c r="P533" s="1481"/>
      <c r="Q533" s="1481"/>
      <c r="R533" s="1481"/>
      <c r="S533" s="1481"/>
      <c r="T533" s="1481"/>
      <c r="U533" s="1481"/>
      <c r="V533" s="1481"/>
      <c r="W533" s="1481"/>
      <c r="X533" s="1481"/>
      <c r="Y533" s="1481"/>
      <c r="Z533" s="1481"/>
      <c r="AA533" s="1481"/>
      <c r="AB533" s="1481"/>
      <c r="AC533" s="1481"/>
      <c r="AD533" s="1481"/>
      <c r="AE533" s="1481"/>
      <c r="AF533" s="1481"/>
      <c r="AG533" s="1481"/>
    </row>
    <row r="534" spans="1:33" ht="15.75" customHeight="1">
      <c r="A534" s="1448"/>
      <c r="B534" s="1482" t="s">
        <v>7463</v>
      </c>
      <c r="C534" s="1445">
        <v>5</v>
      </c>
      <c r="D534" s="1447" t="s">
        <v>3364</v>
      </c>
      <c r="E534" s="1445">
        <v>1</v>
      </c>
      <c r="F534" s="1446">
        <v>1.89</v>
      </c>
      <c r="G534" s="1446">
        <v>0.23</v>
      </c>
      <c r="H534" s="1447">
        <v>2.9</v>
      </c>
      <c r="I534" s="1448">
        <f t="shared" si="31"/>
        <v>6.3</v>
      </c>
      <c r="J534" s="1449"/>
      <c r="K534" s="1481"/>
      <c r="L534" s="1481"/>
      <c r="M534" s="1481"/>
      <c r="N534" s="1481"/>
      <c r="O534" s="1481"/>
      <c r="P534" s="1481"/>
      <c r="Q534" s="1481"/>
      <c r="R534" s="1481"/>
      <c r="S534" s="1481"/>
      <c r="T534" s="1481"/>
      <c r="U534" s="1481"/>
      <c r="V534" s="1481"/>
      <c r="W534" s="1481"/>
      <c r="X534" s="1481"/>
      <c r="Y534" s="1481"/>
      <c r="Z534" s="1481"/>
      <c r="AA534" s="1481"/>
      <c r="AB534" s="1481"/>
      <c r="AC534" s="1481"/>
      <c r="AD534" s="1481"/>
      <c r="AE534" s="1481"/>
      <c r="AF534" s="1481"/>
      <c r="AG534" s="1481"/>
    </row>
    <row r="535" spans="1:33" ht="15.75" customHeight="1">
      <c r="A535" s="1448" t="s">
        <v>7063</v>
      </c>
      <c r="B535" s="1482" t="s">
        <v>7464</v>
      </c>
      <c r="C535" s="1445">
        <v>2</v>
      </c>
      <c r="D535" s="1447" t="s">
        <v>3364</v>
      </c>
      <c r="E535" s="1445">
        <v>2</v>
      </c>
      <c r="F535" s="1446">
        <v>27.89</v>
      </c>
      <c r="G535" s="1446">
        <v>0.23</v>
      </c>
      <c r="H535" s="1447">
        <v>2.9</v>
      </c>
      <c r="I535" s="1448">
        <f t="shared" si="31"/>
        <v>74.41</v>
      </c>
      <c r="J535" s="1449"/>
      <c r="K535" s="1481"/>
      <c r="L535" s="1481"/>
      <c r="M535" s="1481"/>
      <c r="N535" s="1481"/>
      <c r="O535" s="1481"/>
      <c r="P535" s="1481"/>
      <c r="Q535" s="1481"/>
      <c r="R535" s="1481"/>
      <c r="S535" s="1481"/>
      <c r="T535" s="1481"/>
      <c r="U535" s="1481"/>
      <c r="V535" s="1481"/>
      <c r="W535" s="1481"/>
      <c r="X535" s="1481"/>
      <c r="Y535" s="1481"/>
      <c r="Z535" s="1481"/>
      <c r="AA535" s="1481"/>
      <c r="AB535" s="1481"/>
      <c r="AC535" s="1481"/>
      <c r="AD535" s="1481"/>
      <c r="AE535" s="1481"/>
      <c r="AF535" s="1481"/>
      <c r="AG535" s="1481"/>
    </row>
    <row r="536" spans="1:33" ht="15.75" customHeight="1">
      <c r="A536" s="1448"/>
      <c r="B536" s="1482" t="s">
        <v>7465</v>
      </c>
      <c r="C536" s="1445">
        <v>-1</v>
      </c>
      <c r="D536" s="1447" t="s">
        <v>3364</v>
      </c>
      <c r="E536" s="1445">
        <v>1</v>
      </c>
      <c r="F536" s="1446">
        <f>3.43+6.5</f>
        <v>9.93</v>
      </c>
      <c r="G536" s="1446">
        <v>0.23</v>
      </c>
      <c r="H536" s="1447">
        <v>2.9</v>
      </c>
      <c r="I536" s="1448">
        <f t="shared" si="31"/>
        <v>-6.62</v>
      </c>
      <c r="J536" s="1449"/>
      <c r="K536" s="1481"/>
      <c r="L536" s="1481"/>
      <c r="M536" s="1481"/>
      <c r="N536" s="1481"/>
      <c r="O536" s="1481"/>
      <c r="P536" s="1481"/>
      <c r="Q536" s="1481"/>
      <c r="R536" s="1481"/>
      <c r="S536" s="1481"/>
      <c r="T536" s="1481"/>
      <c r="U536" s="1481"/>
      <c r="V536" s="1481"/>
      <c r="W536" s="1481"/>
      <c r="X536" s="1481"/>
      <c r="Y536" s="1481"/>
      <c r="Z536" s="1481"/>
      <c r="AA536" s="1481"/>
      <c r="AB536" s="1481"/>
      <c r="AC536" s="1481"/>
      <c r="AD536" s="1481"/>
      <c r="AE536" s="1481"/>
      <c r="AF536" s="1481"/>
      <c r="AG536" s="1481"/>
    </row>
    <row r="537" spans="1:33" ht="15.75" customHeight="1">
      <c r="A537" s="1443"/>
      <c r="B537" s="1455" t="s">
        <v>7436</v>
      </c>
      <c r="C537" s="1457"/>
      <c r="D537" s="1445"/>
      <c r="E537" s="1445"/>
      <c r="F537" s="1446"/>
      <c r="G537" s="1446"/>
      <c r="H537" s="1447"/>
      <c r="I537" s="1448">
        <f t="shared" si="31"/>
        <v>0</v>
      </c>
      <c r="J537" s="1449"/>
      <c r="K537" s="1439"/>
      <c r="L537" s="1439"/>
      <c r="M537" s="1439"/>
      <c r="N537" s="1439"/>
      <c r="O537" s="1439"/>
      <c r="P537" s="1439"/>
      <c r="Q537" s="1439"/>
      <c r="R537" s="1439"/>
      <c r="S537" s="1439"/>
      <c r="T537" s="1439"/>
      <c r="U537" s="1439"/>
      <c r="V537" s="1439"/>
      <c r="W537" s="1439"/>
      <c r="X537" s="1439"/>
      <c r="Y537" s="1439"/>
      <c r="Z537" s="1439"/>
      <c r="AA537" s="1439"/>
      <c r="AB537" s="1439"/>
      <c r="AC537" s="1439"/>
      <c r="AD537" s="1439"/>
      <c r="AE537" s="1439"/>
      <c r="AF537" s="1439"/>
      <c r="AG537" s="1439"/>
    </row>
    <row r="538" spans="1:33" ht="15.75" customHeight="1">
      <c r="A538" s="1443"/>
      <c r="B538" s="1452" t="s">
        <v>7437</v>
      </c>
      <c r="C538" s="1445">
        <v>1</v>
      </c>
      <c r="D538" s="1453" t="s">
        <v>3827</v>
      </c>
      <c r="E538" s="1445">
        <v>-1</v>
      </c>
      <c r="F538" s="1446">
        <f>5.58+0.46</f>
        <v>6.04</v>
      </c>
      <c r="G538" s="1446">
        <v>0.23</v>
      </c>
      <c r="H538" s="1447">
        <v>0.15</v>
      </c>
      <c r="I538" s="1448">
        <f t="shared" si="31"/>
        <v>-0.21</v>
      </c>
      <c r="J538" s="1449"/>
      <c r="K538" s="1439"/>
      <c r="L538" s="1439"/>
      <c r="M538" s="1439"/>
      <c r="N538" s="1439"/>
      <c r="O538" s="1439"/>
      <c r="P538" s="1439"/>
      <c r="Q538" s="1439"/>
      <c r="R538" s="1439"/>
      <c r="S538" s="1439"/>
      <c r="T538" s="1439"/>
      <c r="U538" s="1439"/>
      <c r="V538" s="1439"/>
      <c r="W538" s="1439"/>
      <c r="X538" s="1439"/>
      <c r="Y538" s="1439"/>
      <c r="Z538" s="1439"/>
      <c r="AA538" s="1439"/>
      <c r="AB538" s="1439"/>
      <c r="AC538" s="1439"/>
      <c r="AD538" s="1439"/>
      <c r="AE538" s="1439"/>
      <c r="AF538" s="1439"/>
      <c r="AG538" s="1439"/>
    </row>
    <row r="539" spans="1:33" ht="15.75" customHeight="1">
      <c r="A539" s="1443"/>
      <c r="B539" s="1452" t="s">
        <v>7438</v>
      </c>
      <c r="C539" s="1445">
        <v>4</v>
      </c>
      <c r="D539" s="1453" t="s">
        <v>3364</v>
      </c>
      <c r="E539" s="1445">
        <v>-1</v>
      </c>
      <c r="F539" s="1446">
        <f>4.57+0.46</f>
        <v>5.03</v>
      </c>
      <c r="G539" s="1454">
        <v>0.23</v>
      </c>
      <c r="H539" s="1447">
        <v>0.15</v>
      </c>
      <c r="I539" s="1448">
        <f t="shared" si="31"/>
        <v>-0.69</v>
      </c>
      <c r="J539" s="1449"/>
      <c r="K539" s="1439"/>
      <c r="L539" s="1439"/>
      <c r="M539" s="1439"/>
      <c r="N539" s="1439"/>
      <c r="O539" s="1439"/>
      <c r="P539" s="1439"/>
      <c r="Q539" s="1439"/>
      <c r="R539" s="1439"/>
      <c r="S539" s="1439"/>
      <c r="T539" s="1439"/>
      <c r="U539" s="1439"/>
      <c r="V539" s="1439"/>
      <c r="W539" s="1439"/>
      <c r="X539" s="1439"/>
      <c r="Y539" s="1439"/>
      <c r="Z539" s="1439"/>
      <c r="AA539" s="1439"/>
      <c r="AB539" s="1439"/>
      <c r="AC539" s="1439"/>
      <c r="AD539" s="1439"/>
      <c r="AE539" s="1439"/>
      <c r="AF539" s="1439"/>
      <c r="AG539" s="1439"/>
    </row>
    <row r="540" spans="1:33" ht="15.75" customHeight="1">
      <c r="A540" s="1443"/>
      <c r="B540" s="1452" t="s">
        <v>7439</v>
      </c>
      <c r="C540" s="1445">
        <v>2</v>
      </c>
      <c r="D540" s="1453" t="s">
        <v>3364</v>
      </c>
      <c r="E540" s="1445">
        <v>-1</v>
      </c>
      <c r="F540" s="1446">
        <f>5.035+0.46</f>
        <v>5.4950000000000001</v>
      </c>
      <c r="G540" s="1446">
        <v>0.23</v>
      </c>
      <c r="H540" s="1447">
        <v>0.15</v>
      </c>
      <c r="I540" s="1448">
        <f t="shared" si="31"/>
        <v>-0.38</v>
      </c>
      <c r="J540" s="1449"/>
      <c r="K540" s="1439"/>
      <c r="L540" s="1439"/>
      <c r="M540" s="1439"/>
      <c r="N540" s="1439"/>
      <c r="O540" s="1439"/>
      <c r="P540" s="1439"/>
      <c r="Q540" s="1439"/>
      <c r="R540" s="1439"/>
      <c r="S540" s="1439"/>
      <c r="T540" s="1439"/>
      <c r="U540" s="1439"/>
      <c r="V540" s="1439"/>
      <c r="W540" s="1439"/>
      <c r="X540" s="1439"/>
      <c r="Y540" s="1439"/>
      <c r="Z540" s="1439"/>
      <c r="AA540" s="1439"/>
      <c r="AB540" s="1439"/>
      <c r="AC540" s="1439"/>
      <c r="AD540" s="1439"/>
      <c r="AE540" s="1439"/>
      <c r="AF540" s="1439"/>
      <c r="AG540" s="1439"/>
    </row>
    <row r="541" spans="1:33" ht="15.75" customHeight="1">
      <c r="A541" s="1443"/>
      <c r="B541" s="1455" t="s">
        <v>3443</v>
      </c>
      <c r="C541" s="1445"/>
      <c r="D541" s="1453"/>
      <c r="E541" s="1445"/>
      <c r="F541" s="1446"/>
      <c r="G541" s="1446"/>
      <c r="H541" s="1447"/>
      <c r="I541" s="1448">
        <f t="shared" si="31"/>
        <v>0</v>
      </c>
      <c r="J541" s="1449"/>
      <c r="K541" s="1439"/>
      <c r="L541" s="1439"/>
      <c r="M541" s="1439"/>
      <c r="N541" s="1439"/>
      <c r="O541" s="1439"/>
      <c r="P541" s="1439"/>
      <c r="Q541" s="1439"/>
      <c r="R541" s="1439"/>
      <c r="S541" s="1439"/>
      <c r="T541" s="1439"/>
      <c r="U541" s="1439"/>
      <c r="V541" s="1439"/>
      <c r="W541" s="1439"/>
      <c r="X541" s="1439"/>
      <c r="Y541" s="1439"/>
      <c r="Z541" s="1439"/>
      <c r="AA541" s="1439"/>
      <c r="AB541" s="1439"/>
      <c r="AC541" s="1439"/>
      <c r="AD541" s="1439"/>
      <c r="AE541" s="1439"/>
      <c r="AF541" s="1439"/>
      <c r="AG541" s="1439"/>
    </row>
    <row r="542" spans="1:33" ht="15.75" customHeight="1">
      <c r="A542" s="1443"/>
      <c r="B542" s="1452" t="s">
        <v>3363</v>
      </c>
      <c r="C542" s="1445">
        <v>9</v>
      </c>
      <c r="D542" s="1453" t="s">
        <v>3364</v>
      </c>
      <c r="E542" s="1445">
        <v>-1</v>
      </c>
      <c r="F542" s="1446">
        <v>1</v>
      </c>
      <c r="G542" s="1446">
        <v>0.23</v>
      </c>
      <c r="H542" s="1447">
        <v>2.1</v>
      </c>
      <c r="I542" s="1448">
        <f t="shared" si="31"/>
        <v>-4.3499999999999996</v>
      </c>
      <c r="J542" s="1449"/>
      <c r="K542" s="1439"/>
      <c r="L542" s="1439"/>
      <c r="M542" s="1439"/>
      <c r="N542" s="1439"/>
      <c r="O542" s="1439"/>
      <c r="P542" s="1439"/>
      <c r="Q542" s="1439"/>
      <c r="R542" s="1439"/>
      <c r="S542" s="1439"/>
      <c r="T542" s="1439"/>
      <c r="U542" s="1439"/>
      <c r="V542" s="1439"/>
      <c r="W542" s="1439"/>
      <c r="X542" s="1439"/>
      <c r="Y542" s="1439"/>
      <c r="Z542" s="1439"/>
      <c r="AA542" s="1439"/>
      <c r="AB542" s="1439"/>
      <c r="AC542" s="1439"/>
      <c r="AD542" s="1439"/>
      <c r="AE542" s="1439"/>
      <c r="AF542" s="1439"/>
      <c r="AG542" s="1439"/>
    </row>
    <row r="543" spans="1:33" ht="15.75" customHeight="1">
      <c r="A543" s="1443"/>
      <c r="B543" s="1452" t="s">
        <v>3398</v>
      </c>
      <c r="C543" s="1445">
        <v>1</v>
      </c>
      <c r="D543" s="1453" t="s">
        <v>3364</v>
      </c>
      <c r="E543" s="1445">
        <v>-1</v>
      </c>
      <c r="F543" s="1446">
        <v>0.9</v>
      </c>
      <c r="G543" s="1446">
        <v>0.23</v>
      </c>
      <c r="H543" s="1447">
        <v>2.1</v>
      </c>
      <c r="I543" s="1448">
        <f t="shared" si="31"/>
        <v>-0.43</v>
      </c>
      <c r="J543" s="1449"/>
      <c r="K543" s="1439"/>
      <c r="L543" s="1439"/>
      <c r="M543" s="1439"/>
      <c r="N543" s="1439"/>
      <c r="O543" s="1439"/>
      <c r="P543" s="1439"/>
      <c r="Q543" s="1439"/>
      <c r="R543" s="1439"/>
      <c r="S543" s="1439"/>
      <c r="T543" s="1439"/>
      <c r="U543" s="1439"/>
      <c r="V543" s="1439"/>
      <c r="W543" s="1439"/>
      <c r="X543" s="1439"/>
      <c r="Y543" s="1439"/>
      <c r="Z543" s="1439"/>
      <c r="AA543" s="1439"/>
      <c r="AB543" s="1439"/>
      <c r="AC543" s="1439"/>
      <c r="AD543" s="1439"/>
      <c r="AE543" s="1439"/>
      <c r="AF543" s="1439"/>
      <c r="AG543" s="1439"/>
    </row>
    <row r="544" spans="1:33" ht="15.75" customHeight="1">
      <c r="A544" s="1443"/>
      <c r="B544" s="1452" t="s">
        <v>3407</v>
      </c>
      <c r="C544" s="1445">
        <v>14</v>
      </c>
      <c r="D544" s="1453" t="s">
        <v>3364</v>
      </c>
      <c r="E544" s="1445">
        <v>-1</v>
      </c>
      <c r="F544" s="1446">
        <v>0.75</v>
      </c>
      <c r="G544" s="1446">
        <v>0.23</v>
      </c>
      <c r="H544" s="1447">
        <v>2.1</v>
      </c>
      <c r="I544" s="1448">
        <f t="shared" si="31"/>
        <v>-5.07</v>
      </c>
      <c r="J544" s="1449"/>
      <c r="K544" s="1439"/>
      <c r="L544" s="1439"/>
      <c r="M544" s="1439"/>
      <c r="N544" s="1439"/>
      <c r="O544" s="1439"/>
      <c r="P544" s="1439"/>
      <c r="Q544" s="1439"/>
      <c r="R544" s="1439"/>
      <c r="S544" s="1439"/>
      <c r="T544" s="1439"/>
      <c r="U544" s="1439"/>
      <c r="V544" s="1439"/>
      <c r="W544" s="1439"/>
      <c r="X544" s="1439"/>
      <c r="Y544" s="1439"/>
      <c r="Z544" s="1439"/>
      <c r="AA544" s="1439"/>
      <c r="AB544" s="1439"/>
      <c r="AC544" s="1439"/>
      <c r="AD544" s="1439"/>
      <c r="AE544" s="1439"/>
      <c r="AF544" s="1439"/>
      <c r="AG544" s="1439"/>
    </row>
    <row r="545" spans="1:33" ht="15.75" customHeight="1">
      <c r="A545" s="1443"/>
      <c r="B545" s="1452" t="s">
        <v>3497</v>
      </c>
      <c r="C545" s="1445">
        <v>1</v>
      </c>
      <c r="D545" s="1453" t="s">
        <v>3364</v>
      </c>
      <c r="E545" s="1445">
        <v>-1</v>
      </c>
      <c r="F545" s="1446">
        <v>1.8</v>
      </c>
      <c r="G545" s="1446">
        <v>0.23</v>
      </c>
      <c r="H545" s="1447">
        <v>2</v>
      </c>
      <c r="I545" s="1448">
        <f t="shared" si="31"/>
        <v>-0.83</v>
      </c>
      <c r="J545" s="1449"/>
      <c r="K545" s="1439"/>
      <c r="L545" s="1439"/>
      <c r="M545" s="1439"/>
      <c r="N545" s="1439"/>
      <c r="O545" s="1439"/>
      <c r="P545" s="1439"/>
      <c r="Q545" s="1439"/>
      <c r="R545" s="1439"/>
      <c r="S545" s="1439"/>
      <c r="T545" s="1439"/>
      <c r="U545" s="1439"/>
      <c r="V545" s="1439"/>
      <c r="W545" s="1439"/>
      <c r="X545" s="1439"/>
      <c r="Y545" s="1439"/>
      <c r="Z545" s="1439"/>
      <c r="AA545" s="1439"/>
      <c r="AB545" s="1439"/>
      <c r="AC545" s="1439"/>
      <c r="AD545" s="1439"/>
      <c r="AE545" s="1439"/>
      <c r="AF545" s="1439"/>
      <c r="AG545" s="1439"/>
    </row>
    <row r="546" spans="1:33" ht="15.75" customHeight="1">
      <c r="A546" s="1443"/>
      <c r="B546" s="1452" t="s">
        <v>3414</v>
      </c>
      <c r="C546" s="1445">
        <v>15</v>
      </c>
      <c r="D546" s="1453" t="s">
        <v>3364</v>
      </c>
      <c r="E546" s="1445">
        <v>-1</v>
      </c>
      <c r="F546" s="1446">
        <v>1.8</v>
      </c>
      <c r="G546" s="1446">
        <v>0.23</v>
      </c>
      <c r="H546" s="1447">
        <v>1.35</v>
      </c>
      <c r="I546" s="1448">
        <f t="shared" si="31"/>
        <v>-8.3800000000000008</v>
      </c>
      <c r="J546" s="1449"/>
      <c r="K546" s="1439"/>
      <c r="L546" s="1439"/>
      <c r="M546" s="1439"/>
      <c r="N546" s="1439"/>
      <c r="O546" s="1439"/>
      <c r="P546" s="1439"/>
      <c r="Q546" s="1439"/>
      <c r="R546" s="1439"/>
      <c r="S546" s="1439"/>
      <c r="T546" s="1439"/>
      <c r="U546" s="1439"/>
      <c r="V546" s="1439"/>
      <c r="W546" s="1439"/>
      <c r="X546" s="1439"/>
      <c r="Y546" s="1439"/>
      <c r="Z546" s="1439"/>
      <c r="AA546" s="1439"/>
      <c r="AB546" s="1439"/>
      <c r="AC546" s="1439"/>
      <c r="AD546" s="1439"/>
      <c r="AE546" s="1439"/>
      <c r="AF546" s="1439"/>
      <c r="AG546" s="1439"/>
    </row>
    <row r="547" spans="1:33" ht="15.75" customHeight="1">
      <c r="A547" s="1443"/>
      <c r="B547" s="1452" t="s">
        <v>6964</v>
      </c>
      <c r="C547" s="1445">
        <v>2</v>
      </c>
      <c r="D547" s="1453" t="s">
        <v>3364</v>
      </c>
      <c r="E547" s="1445">
        <v>-1</v>
      </c>
      <c r="F547" s="1446">
        <v>0.9</v>
      </c>
      <c r="G547" s="1446">
        <v>0.23</v>
      </c>
      <c r="H547" s="1447">
        <v>0.6</v>
      </c>
      <c r="I547" s="1448">
        <f t="shared" si="31"/>
        <v>-0.25</v>
      </c>
      <c r="J547" s="1449"/>
      <c r="K547" s="1439"/>
      <c r="L547" s="1439"/>
      <c r="M547" s="1439"/>
      <c r="N547" s="1439"/>
      <c r="O547" s="1439"/>
      <c r="P547" s="1439"/>
      <c r="Q547" s="1439"/>
      <c r="R547" s="1439"/>
      <c r="S547" s="1439"/>
      <c r="T547" s="1439"/>
      <c r="U547" s="1439"/>
      <c r="V547" s="1439"/>
      <c r="W547" s="1439"/>
      <c r="X547" s="1439"/>
      <c r="Y547" s="1439"/>
      <c r="Z547" s="1439"/>
      <c r="AA547" s="1439"/>
      <c r="AB547" s="1439"/>
      <c r="AC547" s="1439"/>
      <c r="AD547" s="1439"/>
      <c r="AE547" s="1439"/>
      <c r="AF547" s="1439"/>
      <c r="AG547" s="1439"/>
    </row>
    <row r="548" spans="1:33" ht="16.5" customHeight="1">
      <c r="A548" s="1443"/>
      <c r="B548" s="1452" t="s">
        <v>3401</v>
      </c>
      <c r="C548" s="1445">
        <v>12</v>
      </c>
      <c r="D548" s="1453" t="s">
        <v>3364</v>
      </c>
      <c r="E548" s="1445">
        <v>-1</v>
      </c>
      <c r="F548" s="1446">
        <v>0.75</v>
      </c>
      <c r="G548" s="1446">
        <v>0.23</v>
      </c>
      <c r="H548" s="1447">
        <v>0.6</v>
      </c>
      <c r="I548" s="1448">
        <f t="shared" si="31"/>
        <v>-1.24</v>
      </c>
      <c r="J548" s="1449"/>
      <c r="K548" s="1439"/>
      <c r="L548" s="1439"/>
      <c r="M548" s="1439"/>
      <c r="N548" s="1439"/>
      <c r="O548" s="1439"/>
      <c r="P548" s="1439"/>
      <c r="Q548" s="1439"/>
      <c r="R548" s="1439"/>
      <c r="S548" s="1439"/>
      <c r="T548" s="1439"/>
      <c r="U548" s="1439"/>
      <c r="V548" s="1439"/>
      <c r="W548" s="1439"/>
      <c r="X548" s="1439"/>
      <c r="Y548" s="1439"/>
      <c r="Z548" s="1439"/>
      <c r="AA548" s="1439"/>
      <c r="AB548" s="1439"/>
      <c r="AC548" s="1439"/>
      <c r="AD548" s="1439"/>
      <c r="AE548" s="1439"/>
      <c r="AF548" s="1439"/>
      <c r="AG548" s="1439"/>
    </row>
    <row r="549" spans="1:33" ht="15.75" customHeight="1">
      <c r="A549" s="1443"/>
      <c r="B549" s="1452" t="s">
        <v>7413</v>
      </c>
      <c r="C549" s="1445">
        <v>1</v>
      </c>
      <c r="D549" s="1453" t="s">
        <v>3364</v>
      </c>
      <c r="E549" s="1445">
        <v>-1</v>
      </c>
      <c r="F549" s="1446">
        <v>0.9</v>
      </c>
      <c r="G549" s="1446">
        <v>0.23</v>
      </c>
      <c r="H549" s="1447">
        <v>2</v>
      </c>
      <c r="I549" s="1448">
        <f t="shared" si="31"/>
        <v>-0.41</v>
      </c>
      <c r="J549" s="1449"/>
      <c r="K549" s="1439"/>
      <c r="L549" s="1439"/>
      <c r="M549" s="1439"/>
      <c r="N549" s="1439"/>
      <c r="O549" s="1439"/>
      <c r="P549" s="1439"/>
      <c r="Q549" s="1439"/>
      <c r="R549" s="1439"/>
      <c r="S549" s="1439"/>
      <c r="T549" s="1439"/>
      <c r="U549" s="1439"/>
      <c r="V549" s="1439"/>
      <c r="W549" s="1439"/>
      <c r="X549" s="1439"/>
      <c r="Y549" s="1439"/>
      <c r="Z549" s="1439"/>
      <c r="AA549" s="1439"/>
      <c r="AB549" s="1439"/>
      <c r="AC549" s="1439"/>
      <c r="AD549" s="1439"/>
      <c r="AE549" s="1439"/>
      <c r="AF549" s="1439"/>
      <c r="AG549" s="1439"/>
    </row>
    <row r="550" spans="1:33" ht="15.75" customHeight="1">
      <c r="A550" s="1443"/>
      <c r="B550" s="1455" t="s">
        <v>7433</v>
      </c>
      <c r="C550" s="1445"/>
      <c r="D550" s="1453"/>
      <c r="E550" s="1445"/>
      <c r="F550" s="1446"/>
      <c r="G550" s="1446"/>
      <c r="H550" s="1447"/>
      <c r="I550" s="1448">
        <f t="shared" si="31"/>
        <v>0</v>
      </c>
      <c r="J550" s="1449"/>
      <c r="K550" s="1439"/>
      <c r="L550" s="1439"/>
      <c r="M550" s="1439"/>
      <c r="N550" s="1439"/>
      <c r="O550" s="1439"/>
      <c r="P550" s="1439"/>
      <c r="Q550" s="1439"/>
      <c r="R550" s="1439"/>
      <c r="S550" s="1439"/>
      <c r="T550" s="1439"/>
      <c r="U550" s="1439"/>
      <c r="V550" s="1439"/>
      <c r="W550" s="1439"/>
      <c r="X550" s="1439"/>
      <c r="Y550" s="1439"/>
      <c r="Z550" s="1439"/>
      <c r="AA550" s="1439"/>
      <c r="AB550" s="1439"/>
      <c r="AC550" s="1439"/>
      <c r="AD550" s="1439"/>
      <c r="AE550" s="1439"/>
      <c r="AF550" s="1439"/>
      <c r="AG550" s="1439"/>
    </row>
    <row r="551" spans="1:33" ht="15.75" customHeight="1">
      <c r="A551" s="1443"/>
      <c r="B551" s="1452" t="s">
        <v>3363</v>
      </c>
      <c r="C551" s="1445">
        <v>9</v>
      </c>
      <c r="D551" s="1453" t="s">
        <v>3364</v>
      </c>
      <c r="E551" s="1445">
        <v>-1</v>
      </c>
      <c r="F551" s="1446">
        <v>1.46</v>
      </c>
      <c r="G551" s="1446">
        <v>0.23</v>
      </c>
      <c r="H551" s="1447">
        <v>0.15</v>
      </c>
      <c r="I551" s="1448">
        <f t="shared" si="31"/>
        <v>-0.45</v>
      </c>
      <c r="J551" s="1449"/>
      <c r="K551" s="1439"/>
      <c r="L551" s="1439"/>
      <c r="M551" s="1439"/>
      <c r="N551" s="1439"/>
      <c r="O551" s="1439"/>
      <c r="P551" s="1439"/>
      <c r="Q551" s="1439"/>
      <c r="R551" s="1439"/>
      <c r="S551" s="1439"/>
      <c r="T551" s="1439"/>
      <c r="U551" s="1439"/>
      <c r="V551" s="1439"/>
      <c r="W551" s="1439"/>
      <c r="X551" s="1439"/>
      <c r="Y551" s="1439"/>
      <c r="Z551" s="1439"/>
      <c r="AA551" s="1439"/>
      <c r="AB551" s="1439"/>
      <c r="AC551" s="1439"/>
      <c r="AD551" s="1439"/>
      <c r="AE551" s="1439"/>
      <c r="AF551" s="1439"/>
      <c r="AG551" s="1439"/>
    </row>
    <row r="552" spans="1:33" ht="15.75" customHeight="1">
      <c r="A552" s="1443"/>
      <c r="B552" s="1452" t="s">
        <v>3398</v>
      </c>
      <c r="C552" s="1445">
        <v>1</v>
      </c>
      <c r="D552" s="1453" t="s">
        <v>3364</v>
      </c>
      <c r="E552" s="1445">
        <v>-1</v>
      </c>
      <c r="F552" s="1446">
        <v>1.36</v>
      </c>
      <c r="G552" s="1446">
        <v>0.23</v>
      </c>
      <c r="H552" s="1447">
        <v>0.15</v>
      </c>
      <c r="I552" s="1448">
        <f t="shared" si="31"/>
        <v>-0.05</v>
      </c>
      <c r="J552" s="1449"/>
      <c r="K552" s="1439"/>
      <c r="L552" s="1439"/>
      <c r="M552" s="1439"/>
      <c r="N552" s="1439"/>
      <c r="O552" s="1439"/>
      <c r="P552" s="1439"/>
      <c r="Q552" s="1439"/>
      <c r="R552" s="1439"/>
      <c r="S552" s="1439"/>
      <c r="T552" s="1439"/>
      <c r="U552" s="1439"/>
      <c r="V552" s="1439"/>
      <c r="W552" s="1439"/>
      <c r="X552" s="1439"/>
      <c r="Y552" s="1439"/>
      <c r="Z552" s="1439"/>
      <c r="AA552" s="1439"/>
      <c r="AB552" s="1439"/>
      <c r="AC552" s="1439"/>
      <c r="AD552" s="1439"/>
      <c r="AE552" s="1439"/>
      <c r="AF552" s="1439"/>
      <c r="AG552" s="1439"/>
    </row>
    <row r="553" spans="1:33" ht="15.75" customHeight="1">
      <c r="A553" s="1443"/>
      <c r="B553" s="1452" t="s">
        <v>3407</v>
      </c>
      <c r="C553" s="1445">
        <v>14</v>
      </c>
      <c r="D553" s="1453" t="s">
        <v>3364</v>
      </c>
      <c r="E553" s="1445">
        <v>-1</v>
      </c>
      <c r="F553" s="1446">
        <v>1.21</v>
      </c>
      <c r="G553" s="1446">
        <v>0.23</v>
      </c>
      <c r="H553" s="1447">
        <v>0.15</v>
      </c>
      <c r="I553" s="1448">
        <f t="shared" si="31"/>
        <v>-0.57999999999999996</v>
      </c>
      <c r="J553" s="1449"/>
      <c r="K553" s="1439"/>
      <c r="L553" s="1439"/>
      <c r="M553" s="1439"/>
      <c r="N553" s="1439"/>
      <c r="O553" s="1439"/>
      <c r="P553" s="1439"/>
      <c r="Q553" s="1439"/>
      <c r="R553" s="1439"/>
      <c r="S553" s="1439"/>
      <c r="T553" s="1439"/>
      <c r="U553" s="1439"/>
      <c r="V553" s="1439"/>
      <c r="W553" s="1439"/>
      <c r="X553" s="1439"/>
      <c r="Y553" s="1439"/>
      <c r="Z553" s="1439"/>
      <c r="AA553" s="1439"/>
      <c r="AB553" s="1439"/>
      <c r="AC553" s="1439"/>
      <c r="AD553" s="1439"/>
      <c r="AE553" s="1439"/>
      <c r="AF553" s="1439"/>
      <c r="AG553" s="1439"/>
    </row>
    <row r="554" spans="1:33" ht="15.75" customHeight="1">
      <c r="A554" s="1443"/>
      <c r="B554" s="1452" t="s">
        <v>3497</v>
      </c>
      <c r="C554" s="1445">
        <v>1</v>
      </c>
      <c r="D554" s="1453" t="s">
        <v>3364</v>
      </c>
      <c r="E554" s="1445">
        <v>-1</v>
      </c>
      <c r="F554" s="1446">
        <v>2.2599999999999998</v>
      </c>
      <c r="G554" s="1446">
        <v>0.23</v>
      </c>
      <c r="H554" s="1447">
        <v>0.15</v>
      </c>
      <c r="I554" s="1448">
        <f t="shared" si="31"/>
        <v>-0.08</v>
      </c>
      <c r="J554" s="1449"/>
      <c r="K554" s="1439"/>
      <c r="L554" s="1439"/>
      <c r="M554" s="1439"/>
      <c r="N554" s="1439"/>
      <c r="O554" s="1439"/>
      <c r="P554" s="1439"/>
      <c r="Q554" s="1439"/>
      <c r="R554" s="1439"/>
      <c r="S554" s="1439"/>
      <c r="T554" s="1439"/>
      <c r="U554" s="1439"/>
      <c r="V554" s="1439"/>
      <c r="W554" s="1439"/>
      <c r="X554" s="1439"/>
      <c r="Y554" s="1439"/>
      <c r="Z554" s="1439"/>
      <c r="AA554" s="1439"/>
      <c r="AB554" s="1439"/>
      <c r="AC554" s="1439"/>
      <c r="AD554" s="1439"/>
      <c r="AE554" s="1439"/>
      <c r="AF554" s="1439"/>
      <c r="AG554" s="1439"/>
    </row>
    <row r="555" spans="1:33" ht="15.75" customHeight="1">
      <c r="A555" s="1443"/>
      <c r="B555" s="1452" t="s">
        <v>3414</v>
      </c>
      <c r="C555" s="1445">
        <v>15</v>
      </c>
      <c r="D555" s="1453" t="s">
        <v>3364</v>
      </c>
      <c r="E555" s="1445">
        <v>-1</v>
      </c>
      <c r="F555" s="1446">
        <v>2.2599999999999998</v>
      </c>
      <c r="G555" s="1446">
        <v>0.23</v>
      </c>
      <c r="H555" s="1447">
        <v>0.15</v>
      </c>
      <c r="I555" s="1448">
        <f t="shared" si="31"/>
        <v>-1.17</v>
      </c>
      <c r="J555" s="1449"/>
      <c r="K555" s="1439"/>
      <c r="L555" s="1439"/>
      <c r="M555" s="1439"/>
      <c r="N555" s="1439"/>
      <c r="O555" s="1439"/>
      <c r="P555" s="1439"/>
      <c r="Q555" s="1439"/>
      <c r="R555" s="1439"/>
      <c r="S555" s="1439"/>
      <c r="T555" s="1439"/>
      <c r="U555" s="1439"/>
      <c r="V555" s="1439"/>
      <c r="W555" s="1439"/>
      <c r="X555" s="1439"/>
      <c r="Y555" s="1439"/>
      <c r="Z555" s="1439"/>
      <c r="AA555" s="1439"/>
      <c r="AB555" s="1439"/>
      <c r="AC555" s="1439"/>
      <c r="AD555" s="1439"/>
      <c r="AE555" s="1439"/>
      <c r="AF555" s="1439"/>
      <c r="AG555" s="1439"/>
    </row>
    <row r="556" spans="1:33" ht="15.75" customHeight="1">
      <c r="A556" s="1443"/>
      <c r="B556" s="1452" t="s">
        <v>6964</v>
      </c>
      <c r="C556" s="1445">
        <v>2</v>
      </c>
      <c r="D556" s="1453" t="s">
        <v>3364</v>
      </c>
      <c r="E556" s="1445">
        <v>-1</v>
      </c>
      <c r="F556" s="1446">
        <v>1.36</v>
      </c>
      <c r="G556" s="1446">
        <v>0.23</v>
      </c>
      <c r="H556" s="1447">
        <v>0.15</v>
      </c>
      <c r="I556" s="1448">
        <f t="shared" si="31"/>
        <v>-0.09</v>
      </c>
      <c r="J556" s="1449"/>
      <c r="K556" s="1439"/>
      <c r="L556" s="1439"/>
      <c r="M556" s="1439"/>
      <c r="N556" s="1439"/>
      <c r="O556" s="1439"/>
      <c r="P556" s="1439"/>
      <c r="Q556" s="1439"/>
      <c r="R556" s="1439"/>
      <c r="S556" s="1439"/>
      <c r="T556" s="1439"/>
      <c r="U556" s="1439"/>
      <c r="V556" s="1439"/>
      <c r="W556" s="1439"/>
      <c r="X556" s="1439"/>
      <c r="Y556" s="1439"/>
      <c r="Z556" s="1439"/>
      <c r="AA556" s="1439"/>
      <c r="AB556" s="1439"/>
      <c r="AC556" s="1439"/>
      <c r="AD556" s="1439"/>
      <c r="AE556" s="1439"/>
      <c r="AF556" s="1439"/>
      <c r="AG556" s="1439"/>
    </row>
    <row r="557" spans="1:33" ht="16.5" customHeight="1">
      <c r="A557" s="1443"/>
      <c r="B557" s="1452" t="s">
        <v>3401</v>
      </c>
      <c r="C557" s="1445">
        <v>12</v>
      </c>
      <c r="D557" s="1453" t="s">
        <v>3364</v>
      </c>
      <c r="E557" s="1445">
        <v>-1</v>
      </c>
      <c r="F557" s="1446">
        <v>1.21</v>
      </c>
      <c r="G557" s="1446">
        <v>0.23</v>
      </c>
      <c r="H557" s="1447">
        <v>0.15</v>
      </c>
      <c r="I557" s="1448">
        <f t="shared" si="31"/>
        <v>-0.5</v>
      </c>
      <c r="J557" s="1449"/>
      <c r="K557" s="1439"/>
      <c r="L557" s="1439"/>
      <c r="M557" s="1439"/>
      <c r="N557" s="1439"/>
      <c r="O557" s="1439"/>
      <c r="P557" s="1439"/>
      <c r="Q557" s="1439"/>
      <c r="R557" s="1439"/>
      <c r="S557" s="1439"/>
      <c r="T557" s="1439"/>
      <c r="U557" s="1439"/>
      <c r="V557" s="1439"/>
      <c r="W557" s="1439"/>
      <c r="X557" s="1439"/>
      <c r="Y557" s="1439"/>
      <c r="Z557" s="1439"/>
      <c r="AA557" s="1439"/>
      <c r="AB557" s="1439"/>
      <c r="AC557" s="1439"/>
      <c r="AD557" s="1439"/>
      <c r="AE557" s="1439"/>
      <c r="AF557" s="1439"/>
      <c r="AG557" s="1439"/>
    </row>
    <row r="558" spans="1:33" ht="15.75" customHeight="1">
      <c r="A558" s="1443"/>
      <c r="B558" s="1452" t="s">
        <v>7413</v>
      </c>
      <c r="C558" s="1445">
        <v>1</v>
      </c>
      <c r="D558" s="1453" t="s">
        <v>3364</v>
      </c>
      <c r="E558" s="1445">
        <v>-1</v>
      </c>
      <c r="F558" s="1446">
        <v>1.36</v>
      </c>
      <c r="G558" s="1446">
        <v>0.23</v>
      </c>
      <c r="H558" s="1447">
        <v>0.15</v>
      </c>
      <c r="I558" s="1448">
        <f t="shared" si="31"/>
        <v>-0.05</v>
      </c>
      <c r="J558" s="1449"/>
      <c r="K558" s="1439"/>
      <c r="L558" s="1439"/>
      <c r="M558" s="1439"/>
      <c r="N558" s="1439"/>
      <c r="O558" s="1439"/>
      <c r="P558" s="1439"/>
      <c r="Q558" s="1439"/>
      <c r="R558" s="1439"/>
      <c r="S558" s="1439"/>
      <c r="T558" s="1439"/>
      <c r="U558" s="1439"/>
      <c r="V558" s="1439"/>
      <c r="W558" s="1439"/>
      <c r="X558" s="1439"/>
      <c r="Y558" s="1439"/>
      <c r="Z558" s="1439"/>
      <c r="AA558" s="1439"/>
      <c r="AB558" s="1439"/>
      <c r="AC558" s="1439"/>
      <c r="AD558" s="1439"/>
      <c r="AE558" s="1439"/>
      <c r="AF558" s="1439"/>
      <c r="AG558" s="1439"/>
    </row>
    <row r="559" spans="1:33" ht="15.75" customHeight="1">
      <c r="A559" s="1443"/>
      <c r="B559" s="1469" t="s">
        <v>7466</v>
      </c>
      <c r="C559" s="1445"/>
      <c r="D559" s="1445"/>
      <c r="E559" s="1445"/>
      <c r="F559" s="1446"/>
      <c r="G559" s="1446"/>
      <c r="H559" s="1447"/>
      <c r="I559" s="1448"/>
      <c r="J559" s="1449"/>
      <c r="K559" s="1439"/>
      <c r="L559" s="1439"/>
      <c r="M559" s="1439"/>
      <c r="N559" s="1439"/>
      <c r="O559" s="1439"/>
      <c r="P559" s="1439"/>
      <c r="Q559" s="1439"/>
      <c r="R559" s="1439"/>
      <c r="S559" s="1439"/>
      <c r="T559" s="1439"/>
      <c r="U559" s="1439"/>
      <c r="V559" s="1439"/>
      <c r="W559" s="1439"/>
      <c r="X559" s="1439"/>
      <c r="Y559" s="1439"/>
      <c r="Z559" s="1439"/>
      <c r="AA559" s="1439"/>
      <c r="AB559" s="1439"/>
      <c r="AC559" s="1439"/>
      <c r="AD559" s="1439"/>
      <c r="AE559" s="1439"/>
      <c r="AF559" s="1439"/>
      <c r="AG559" s="1439"/>
    </row>
    <row r="560" spans="1:33" ht="15.75" customHeight="1">
      <c r="A560" s="1443"/>
      <c r="B560" s="1452" t="s">
        <v>7396</v>
      </c>
      <c r="C560" s="1445">
        <v>3</v>
      </c>
      <c r="D560" s="1453" t="s">
        <v>3364</v>
      </c>
      <c r="E560" s="1445">
        <v>-1</v>
      </c>
      <c r="F560" s="1446">
        <v>0.23</v>
      </c>
      <c r="G560" s="1454">
        <v>0.3</v>
      </c>
      <c r="H560" s="1447">
        <v>2.9</v>
      </c>
      <c r="I560" s="1448">
        <f t="shared" ref="I560:I567" si="32">PRODUCT(C560:H560)</f>
        <v>-0.6</v>
      </c>
      <c r="J560" s="1449"/>
      <c r="K560" s="1439"/>
      <c r="L560" s="1439"/>
      <c r="M560" s="1439"/>
      <c r="N560" s="1439"/>
      <c r="O560" s="1439"/>
      <c r="P560" s="1439"/>
      <c r="Q560" s="1439"/>
      <c r="R560" s="1439"/>
      <c r="S560" s="1439"/>
      <c r="T560" s="1439"/>
      <c r="U560" s="1439"/>
      <c r="V560" s="1439"/>
      <c r="W560" s="1439"/>
      <c r="X560" s="1439"/>
      <c r="Y560" s="1439"/>
      <c r="Z560" s="1439"/>
      <c r="AA560" s="1439"/>
      <c r="AB560" s="1439"/>
      <c r="AC560" s="1439"/>
      <c r="AD560" s="1439"/>
      <c r="AE560" s="1439"/>
      <c r="AF560" s="1439"/>
      <c r="AG560" s="1439"/>
    </row>
    <row r="561" spans="1:33" ht="15.75" customHeight="1">
      <c r="A561" s="1443"/>
      <c r="B561" s="1452" t="s">
        <v>7397</v>
      </c>
      <c r="C561" s="1445">
        <v>2</v>
      </c>
      <c r="D561" s="1453" t="s">
        <v>3364</v>
      </c>
      <c r="E561" s="1445">
        <v>-1</v>
      </c>
      <c r="F561" s="1446">
        <v>0.23</v>
      </c>
      <c r="G561" s="1446">
        <v>0.38</v>
      </c>
      <c r="H561" s="1447">
        <v>2.9</v>
      </c>
      <c r="I561" s="1448">
        <f t="shared" si="32"/>
        <v>-0.51</v>
      </c>
      <c r="J561" s="1449"/>
      <c r="K561" s="1439"/>
      <c r="L561" s="1439"/>
      <c r="M561" s="1439"/>
      <c r="N561" s="1439"/>
      <c r="O561" s="1439"/>
      <c r="P561" s="1439"/>
      <c r="Q561" s="1439"/>
      <c r="R561" s="1439"/>
      <c r="S561" s="1439"/>
      <c r="T561" s="1439"/>
      <c r="U561" s="1439"/>
      <c r="V561" s="1439"/>
      <c r="W561" s="1439"/>
      <c r="X561" s="1439"/>
      <c r="Y561" s="1439"/>
      <c r="Z561" s="1439"/>
      <c r="AA561" s="1439"/>
      <c r="AB561" s="1439"/>
      <c r="AC561" s="1439"/>
      <c r="AD561" s="1439"/>
      <c r="AE561" s="1439"/>
      <c r="AF561" s="1439"/>
      <c r="AG561" s="1439"/>
    </row>
    <row r="562" spans="1:33" ht="15.75" customHeight="1">
      <c r="A562" s="1443"/>
      <c r="B562" s="1452" t="s">
        <v>7398</v>
      </c>
      <c r="C562" s="1445">
        <v>4</v>
      </c>
      <c r="D562" s="1453" t="s">
        <v>3364</v>
      </c>
      <c r="E562" s="1445">
        <v>-1</v>
      </c>
      <c r="F562" s="1446">
        <v>0.23</v>
      </c>
      <c r="G562" s="1446">
        <v>0.45</v>
      </c>
      <c r="H562" s="1447">
        <v>2.9</v>
      </c>
      <c r="I562" s="1448">
        <f t="shared" si="32"/>
        <v>-1.2</v>
      </c>
      <c r="J562" s="1449"/>
      <c r="K562" s="1439"/>
      <c r="L562" s="1439">
        <f>3.6-0.45</f>
        <v>3.15</v>
      </c>
      <c r="M562" s="1439"/>
      <c r="N562" s="1439"/>
      <c r="O562" s="1439"/>
      <c r="P562" s="1439"/>
      <c r="Q562" s="1439"/>
      <c r="R562" s="1439"/>
      <c r="S562" s="1439"/>
      <c r="T562" s="1439"/>
      <c r="U562" s="1439"/>
      <c r="V562" s="1439"/>
      <c r="W562" s="1439"/>
      <c r="X562" s="1439"/>
      <c r="Y562" s="1439"/>
      <c r="Z562" s="1439"/>
      <c r="AA562" s="1439"/>
      <c r="AB562" s="1439"/>
      <c r="AC562" s="1439"/>
      <c r="AD562" s="1439"/>
      <c r="AE562" s="1439"/>
      <c r="AF562" s="1439"/>
      <c r="AG562" s="1439"/>
    </row>
    <row r="563" spans="1:33" ht="15.75" customHeight="1">
      <c r="A563" s="1443"/>
      <c r="B563" s="1452" t="s">
        <v>7399</v>
      </c>
      <c r="C563" s="1445">
        <v>5</v>
      </c>
      <c r="D563" s="1453" t="s">
        <v>3364</v>
      </c>
      <c r="E563" s="1445">
        <v>-1</v>
      </c>
      <c r="F563" s="1446">
        <v>0.23</v>
      </c>
      <c r="G563" s="1446">
        <v>0.45</v>
      </c>
      <c r="H563" s="1447">
        <v>2.9</v>
      </c>
      <c r="I563" s="1448">
        <f t="shared" si="32"/>
        <v>-1.5</v>
      </c>
      <c r="J563" s="1449"/>
      <c r="K563" s="1439"/>
      <c r="L563" s="1439"/>
      <c r="M563" s="1439"/>
      <c r="N563" s="1439"/>
      <c r="O563" s="1439"/>
      <c r="P563" s="1439"/>
      <c r="Q563" s="1439"/>
      <c r="R563" s="1439"/>
      <c r="S563" s="1439"/>
      <c r="T563" s="1439"/>
      <c r="U563" s="1439"/>
      <c r="V563" s="1439"/>
      <c r="W563" s="1439"/>
      <c r="X563" s="1439"/>
      <c r="Y563" s="1439"/>
      <c r="Z563" s="1439"/>
      <c r="AA563" s="1439"/>
      <c r="AB563" s="1439"/>
      <c r="AC563" s="1439"/>
      <c r="AD563" s="1439"/>
      <c r="AE563" s="1439"/>
      <c r="AF563" s="1439"/>
      <c r="AG563" s="1439"/>
    </row>
    <row r="564" spans="1:33" ht="15.75" customHeight="1">
      <c r="A564" s="1443"/>
      <c r="B564" s="1452" t="s">
        <v>7400</v>
      </c>
      <c r="C564" s="1445">
        <v>6</v>
      </c>
      <c r="D564" s="1453" t="s">
        <v>3364</v>
      </c>
      <c r="E564" s="1445">
        <v>-1</v>
      </c>
      <c r="F564" s="1446">
        <v>0.3</v>
      </c>
      <c r="G564" s="1446">
        <v>0.45</v>
      </c>
      <c r="H564" s="1447">
        <v>2.9</v>
      </c>
      <c r="I564" s="1448">
        <f t="shared" si="32"/>
        <v>-2.35</v>
      </c>
      <c r="J564" s="1449"/>
      <c r="K564" s="1439"/>
      <c r="L564" s="1439">
        <f>3-0.2-0.1-1.05</f>
        <v>1.65</v>
      </c>
      <c r="M564" s="1439"/>
      <c r="N564" s="1439"/>
      <c r="O564" s="1439"/>
      <c r="P564" s="1439"/>
      <c r="Q564" s="1439"/>
      <c r="R564" s="1439"/>
      <c r="S564" s="1439"/>
      <c r="T564" s="1439"/>
      <c r="U564" s="1439"/>
      <c r="V564" s="1439"/>
      <c r="W564" s="1439"/>
      <c r="X564" s="1439"/>
      <c r="Y564" s="1439"/>
      <c r="Z564" s="1439"/>
      <c r="AA564" s="1439"/>
      <c r="AB564" s="1439"/>
      <c r="AC564" s="1439"/>
      <c r="AD564" s="1439"/>
      <c r="AE564" s="1439"/>
      <c r="AF564" s="1439"/>
      <c r="AG564" s="1439"/>
    </row>
    <row r="565" spans="1:33" ht="15.75" customHeight="1">
      <c r="A565" s="1443"/>
      <c r="B565" s="1452" t="s">
        <v>7401</v>
      </c>
      <c r="C565" s="1445">
        <v>6</v>
      </c>
      <c r="D565" s="1453" t="s">
        <v>3364</v>
      </c>
      <c r="E565" s="1445">
        <v>-1</v>
      </c>
      <c r="F565" s="1446">
        <v>0.3</v>
      </c>
      <c r="G565" s="1446">
        <v>0.45</v>
      </c>
      <c r="H565" s="1447">
        <v>2.9</v>
      </c>
      <c r="I565" s="1448">
        <f t="shared" si="32"/>
        <v>-2.35</v>
      </c>
      <c r="J565" s="1449"/>
      <c r="K565" s="1439"/>
      <c r="L565" s="1439">
        <f>1.65+1</f>
        <v>2.65</v>
      </c>
      <c r="M565" s="1439"/>
      <c r="N565" s="1439"/>
      <c r="O565" s="1439"/>
      <c r="P565" s="1439"/>
      <c r="Q565" s="1439"/>
      <c r="R565" s="1439"/>
      <c r="S565" s="1439"/>
      <c r="T565" s="1439"/>
      <c r="U565" s="1439"/>
      <c r="V565" s="1439"/>
      <c r="W565" s="1439"/>
      <c r="X565" s="1439"/>
      <c r="Y565" s="1439"/>
      <c r="Z565" s="1439"/>
      <c r="AA565" s="1439"/>
      <c r="AB565" s="1439"/>
      <c r="AC565" s="1439"/>
      <c r="AD565" s="1439"/>
      <c r="AE565" s="1439"/>
      <c r="AF565" s="1439"/>
      <c r="AG565" s="1439"/>
    </row>
    <row r="566" spans="1:33" ht="15.75" customHeight="1">
      <c r="A566" s="1443"/>
      <c r="B566" s="1452" t="s">
        <v>7402</v>
      </c>
      <c r="C566" s="1445">
        <v>2</v>
      </c>
      <c r="D566" s="1453" t="s">
        <v>3364</v>
      </c>
      <c r="E566" s="1445">
        <v>-1</v>
      </c>
      <c r="F566" s="1446">
        <v>0.3</v>
      </c>
      <c r="G566" s="1446">
        <v>0.6</v>
      </c>
      <c r="H566" s="1447">
        <v>2.9</v>
      </c>
      <c r="I566" s="1448">
        <f t="shared" si="32"/>
        <v>-1.04</v>
      </c>
      <c r="J566" s="1449"/>
      <c r="K566" s="1439"/>
      <c r="L566" s="1439"/>
      <c r="M566" s="1439"/>
      <c r="N566" s="1439"/>
      <c r="O566" s="1439"/>
      <c r="P566" s="1439"/>
      <c r="Q566" s="1439"/>
      <c r="R566" s="1439"/>
      <c r="S566" s="1439"/>
      <c r="T566" s="1439"/>
      <c r="U566" s="1439"/>
      <c r="V566" s="1439"/>
      <c r="W566" s="1439"/>
      <c r="X566" s="1439"/>
      <c r="Y566" s="1439"/>
      <c r="Z566" s="1439"/>
      <c r="AA566" s="1439"/>
      <c r="AB566" s="1439"/>
      <c r="AC566" s="1439"/>
      <c r="AD566" s="1439"/>
      <c r="AE566" s="1439"/>
      <c r="AF566" s="1439"/>
      <c r="AG566" s="1439"/>
    </row>
    <row r="567" spans="1:33" ht="15.75" customHeight="1">
      <c r="A567" s="1443"/>
      <c r="B567" s="1452" t="s">
        <v>7403</v>
      </c>
      <c r="C567" s="1445">
        <v>6</v>
      </c>
      <c r="D567" s="1453" t="s">
        <v>3364</v>
      </c>
      <c r="E567" s="1445">
        <v>-1</v>
      </c>
      <c r="F567" s="1446">
        <v>0.3</v>
      </c>
      <c r="G567" s="1446">
        <v>0.6</v>
      </c>
      <c r="H567" s="1447">
        <v>2.9</v>
      </c>
      <c r="I567" s="1448">
        <f t="shared" si="32"/>
        <v>-3.13</v>
      </c>
      <c r="J567" s="1449"/>
      <c r="K567" s="1439"/>
      <c r="L567" s="1439"/>
      <c r="M567" s="1439"/>
      <c r="N567" s="1439"/>
      <c r="O567" s="1439"/>
      <c r="P567" s="1439"/>
      <c r="Q567" s="1439"/>
      <c r="R567" s="1439"/>
      <c r="S567" s="1439"/>
      <c r="T567" s="1439"/>
      <c r="U567" s="1439"/>
      <c r="V567" s="1439"/>
      <c r="W567" s="1439"/>
      <c r="X567" s="1439"/>
      <c r="Y567" s="1439"/>
      <c r="Z567" s="1439"/>
      <c r="AA567" s="1439"/>
      <c r="AB567" s="1439"/>
      <c r="AC567" s="1439"/>
      <c r="AD567" s="1439"/>
      <c r="AE567" s="1439"/>
      <c r="AF567" s="1439"/>
      <c r="AG567" s="1439"/>
    </row>
    <row r="568" spans="1:33" ht="15.75" customHeight="1">
      <c r="A568" s="1443"/>
      <c r="B568" s="1450"/>
      <c r="C568" s="1477"/>
      <c r="D568" s="1477"/>
      <c r="E568" s="1477"/>
      <c r="F568" s="1478"/>
      <c r="G568" s="1458" t="s">
        <v>104</v>
      </c>
      <c r="H568" s="1447"/>
      <c r="I568" s="1479">
        <f>SUM(I528:I567)</f>
        <v>100.33</v>
      </c>
      <c r="J568" s="1449"/>
      <c r="K568" s="1439"/>
      <c r="L568" s="1439"/>
      <c r="M568" s="1439"/>
      <c r="N568" s="1439"/>
      <c r="O568" s="1439"/>
      <c r="P568" s="1439"/>
      <c r="Q568" s="1439"/>
      <c r="R568" s="1439"/>
      <c r="S568" s="1439"/>
      <c r="T568" s="1439"/>
      <c r="U568" s="1439"/>
      <c r="V568" s="1439"/>
      <c r="W568" s="1439"/>
      <c r="X568" s="1439"/>
      <c r="Y568" s="1439"/>
      <c r="Z568" s="1439"/>
      <c r="AA568" s="1439"/>
      <c r="AB568" s="1439"/>
      <c r="AC568" s="1439"/>
      <c r="AD568" s="1439"/>
      <c r="AE568" s="1439"/>
      <c r="AF568" s="1439"/>
      <c r="AG568" s="1439"/>
    </row>
    <row r="569" spans="1:33" ht="15.75" customHeight="1">
      <c r="A569" s="1443"/>
      <c r="B569" s="1450"/>
      <c r="C569" s="1477"/>
      <c r="D569" s="1477"/>
      <c r="E569" s="1477"/>
      <c r="F569" s="1478"/>
      <c r="G569" s="1446"/>
      <c r="H569" s="1460" t="s">
        <v>2981</v>
      </c>
      <c r="I569" s="1459">
        <f>CEILING(I568,0.1)</f>
        <v>100.4</v>
      </c>
      <c r="J569" s="1449" t="s">
        <v>5</v>
      </c>
      <c r="K569" s="1439"/>
      <c r="L569" s="1439"/>
      <c r="M569" s="1439"/>
      <c r="N569" s="1439"/>
      <c r="O569" s="1439"/>
      <c r="P569" s="1439"/>
      <c r="Q569" s="1439"/>
      <c r="R569" s="1439"/>
      <c r="S569" s="1439"/>
      <c r="T569" s="1439"/>
      <c r="U569" s="1439"/>
      <c r="V569" s="1439"/>
      <c r="W569" s="1439"/>
      <c r="X569" s="1439"/>
      <c r="Y569" s="1439"/>
      <c r="Z569" s="1439"/>
      <c r="AA569" s="1439"/>
      <c r="AB569" s="1439"/>
      <c r="AC569" s="1439"/>
      <c r="AD569" s="1439"/>
      <c r="AE569" s="1439"/>
      <c r="AF569" s="1439"/>
      <c r="AG569" s="1439"/>
    </row>
    <row r="570" spans="1:33" ht="15.75" customHeight="1">
      <c r="A570" s="1470"/>
      <c r="B570" s="1456" t="s">
        <v>3448</v>
      </c>
      <c r="C570" s="1484"/>
      <c r="D570" s="1484"/>
      <c r="E570" s="1484"/>
      <c r="F570" s="1446"/>
      <c r="G570" s="1458"/>
      <c r="H570" s="1460"/>
      <c r="I570" s="1459"/>
      <c r="J570" s="1475"/>
      <c r="K570" s="1439"/>
      <c r="L570" s="1439"/>
      <c r="M570" s="1439"/>
      <c r="N570" s="1439"/>
      <c r="O570" s="1439"/>
      <c r="P570" s="1439"/>
      <c r="Q570" s="1439"/>
      <c r="R570" s="1439"/>
      <c r="S570" s="1439"/>
      <c r="T570" s="1439"/>
      <c r="U570" s="1439"/>
      <c r="V570" s="1439"/>
      <c r="W570" s="1439"/>
      <c r="X570" s="1439"/>
      <c r="Y570" s="1439"/>
      <c r="Z570" s="1439"/>
      <c r="AA570" s="1439"/>
      <c r="AB570" s="1439"/>
      <c r="AC570" s="1439"/>
      <c r="AD570" s="1439"/>
      <c r="AE570" s="1439"/>
      <c r="AF570" s="1439"/>
      <c r="AG570" s="1439"/>
    </row>
    <row r="571" spans="1:33" ht="15.75" customHeight="1">
      <c r="A571" s="1448"/>
      <c r="B571" s="1480" t="s">
        <v>7062</v>
      </c>
      <c r="C571" s="1445">
        <v>1</v>
      </c>
      <c r="D571" s="1447" t="s">
        <v>3364</v>
      </c>
      <c r="E571" s="1445">
        <v>2</v>
      </c>
      <c r="F571" s="1446">
        <v>17</v>
      </c>
      <c r="G571" s="1446">
        <v>0.23</v>
      </c>
      <c r="H571" s="1447">
        <v>2.9</v>
      </c>
      <c r="I571" s="1448">
        <f t="shared" ref="I571:I588" si="33">PRODUCT(C571:H571)</f>
        <v>22.68</v>
      </c>
      <c r="J571" s="1449"/>
      <c r="K571" s="1481"/>
      <c r="L571" s="1481"/>
      <c r="M571" s="1481"/>
      <c r="N571" s="1481"/>
      <c r="O571" s="1481"/>
      <c r="P571" s="1481"/>
      <c r="Q571" s="1481"/>
      <c r="R571" s="1481"/>
      <c r="S571" s="1481"/>
      <c r="T571" s="1481"/>
      <c r="U571" s="1481"/>
      <c r="V571" s="1481"/>
      <c r="W571" s="1481"/>
      <c r="X571" s="1481"/>
      <c r="Y571" s="1481"/>
      <c r="Z571" s="1481"/>
      <c r="AA571" s="1481"/>
      <c r="AB571" s="1481"/>
      <c r="AC571" s="1481"/>
      <c r="AD571" s="1481"/>
      <c r="AE571" s="1481"/>
      <c r="AF571" s="1481"/>
      <c r="AG571" s="1481"/>
    </row>
    <row r="572" spans="1:33" ht="15.75" customHeight="1">
      <c r="A572" s="1448"/>
      <c r="B572" s="1482" t="s">
        <v>7459</v>
      </c>
      <c r="C572" s="1445">
        <v>1</v>
      </c>
      <c r="D572" s="1447" t="s">
        <v>3364</v>
      </c>
      <c r="E572" s="1445">
        <v>1</v>
      </c>
      <c r="F572" s="1446">
        <v>7.0549999999999997</v>
      </c>
      <c r="G572" s="1446">
        <v>0.23</v>
      </c>
      <c r="H572" s="1447">
        <v>2.9</v>
      </c>
      <c r="I572" s="1448">
        <f t="shared" si="33"/>
        <v>4.71</v>
      </c>
      <c r="J572" s="1449"/>
      <c r="K572" s="1481"/>
      <c r="L572" s="1481"/>
      <c r="M572" s="1481"/>
      <c r="N572" s="1481"/>
      <c r="O572" s="1481"/>
      <c r="P572" s="1481"/>
      <c r="Q572" s="1481"/>
      <c r="R572" s="1481"/>
      <c r="S572" s="1481"/>
      <c r="T572" s="1481"/>
      <c r="U572" s="1481"/>
      <c r="V572" s="1481"/>
      <c r="W572" s="1481"/>
      <c r="X572" s="1481"/>
      <c r="Y572" s="1481"/>
      <c r="Z572" s="1481"/>
      <c r="AA572" s="1481"/>
      <c r="AB572" s="1481"/>
      <c r="AC572" s="1481"/>
      <c r="AD572" s="1481"/>
      <c r="AE572" s="1481"/>
      <c r="AF572" s="1481"/>
      <c r="AG572" s="1481"/>
    </row>
    <row r="573" spans="1:33" ht="15.75" customHeight="1">
      <c r="A573" s="1448"/>
      <c r="B573" s="1482" t="s">
        <v>7064</v>
      </c>
      <c r="C573" s="1445">
        <v>2</v>
      </c>
      <c r="D573" s="1447" t="s">
        <v>3364</v>
      </c>
      <c r="E573" s="1445">
        <v>1</v>
      </c>
      <c r="F573" s="1446">
        <v>8.4849999999999994</v>
      </c>
      <c r="G573" s="1446">
        <v>0.23</v>
      </c>
      <c r="H573" s="1447">
        <v>2.9</v>
      </c>
      <c r="I573" s="1448">
        <f t="shared" si="33"/>
        <v>11.32</v>
      </c>
      <c r="J573" s="1449"/>
      <c r="K573" s="1481"/>
      <c r="L573" s="1481"/>
      <c r="M573" s="1481"/>
      <c r="N573" s="1481"/>
      <c r="O573" s="1481"/>
      <c r="P573" s="1481"/>
      <c r="Q573" s="1481"/>
      <c r="R573" s="1481"/>
      <c r="S573" s="1481"/>
      <c r="T573" s="1481"/>
      <c r="U573" s="1481"/>
      <c r="V573" s="1481"/>
      <c r="W573" s="1481"/>
      <c r="X573" s="1481"/>
      <c r="Y573" s="1481"/>
      <c r="Z573" s="1481"/>
      <c r="AA573" s="1481"/>
      <c r="AB573" s="1481"/>
      <c r="AC573" s="1481"/>
      <c r="AD573" s="1481"/>
      <c r="AE573" s="1481"/>
      <c r="AF573" s="1481"/>
      <c r="AG573" s="1481"/>
    </row>
    <row r="574" spans="1:33" ht="15.75" customHeight="1">
      <c r="A574" s="1448"/>
      <c r="B574" s="1482" t="s">
        <v>7460</v>
      </c>
      <c r="C574" s="1445">
        <v>1</v>
      </c>
      <c r="D574" s="1447" t="s">
        <v>3364</v>
      </c>
      <c r="E574" s="1445">
        <v>1</v>
      </c>
      <c r="F574" s="1446">
        <v>18.43</v>
      </c>
      <c r="G574" s="1446">
        <v>0.23</v>
      </c>
      <c r="H574" s="1447">
        <v>2.9</v>
      </c>
      <c r="I574" s="1448">
        <f t="shared" si="33"/>
        <v>12.29</v>
      </c>
      <c r="J574" s="1449"/>
      <c r="K574" s="1481"/>
      <c r="L574" s="1481"/>
      <c r="M574" s="1481"/>
      <c r="N574" s="1481"/>
      <c r="O574" s="1481"/>
      <c r="P574" s="1481"/>
      <c r="Q574" s="1481"/>
      <c r="R574" s="1481"/>
      <c r="S574" s="1481"/>
      <c r="T574" s="1481"/>
      <c r="U574" s="1481"/>
      <c r="V574" s="1481"/>
      <c r="W574" s="1481"/>
      <c r="X574" s="1481"/>
      <c r="Y574" s="1481"/>
      <c r="Z574" s="1481"/>
      <c r="AA574" s="1481"/>
      <c r="AB574" s="1481"/>
      <c r="AC574" s="1481"/>
      <c r="AD574" s="1481"/>
      <c r="AE574" s="1481"/>
      <c r="AF574" s="1481"/>
      <c r="AG574" s="1481"/>
    </row>
    <row r="575" spans="1:33" ht="15.75" customHeight="1">
      <c r="A575" s="1448"/>
      <c r="B575" s="1482" t="s">
        <v>7461</v>
      </c>
      <c r="C575" s="1445">
        <v>3</v>
      </c>
      <c r="D575" s="1447" t="s">
        <v>3364</v>
      </c>
      <c r="E575" s="1445">
        <v>1</v>
      </c>
      <c r="F575" s="1446">
        <v>5.0350000000000001</v>
      </c>
      <c r="G575" s="1446">
        <v>0.23</v>
      </c>
      <c r="H575" s="1447">
        <v>2.9</v>
      </c>
      <c r="I575" s="1448">
        <f t="shared" si="33"/>
        <v>10.08</v>
      </c>
      <c r="J575" s="1449"/>
      <c r="K575" s="1481"/>
      <c r="L575" s="1481"/>
      <c r="M575" s="1481"/>
      <c r="N575" s="1481"/>
      <c r="O575" s="1481"/>
      <c r="P575" s="1481"/>
      <c r="Q575" s="1481"/>
      <c r="R575" s="1481"/>
      <c r="S575" s="1481"/>
      <c r="T575" s="1481"/>
      <c r="U575" s="1481"/>
      <c r="V575" s="1481"/>
      <c r="W575" s="1481"/>
      <c r="X575" s="1481"/>
      <c r="Y575" s="1481"/>
      <c r="Z575" s="1481"/>
      <c r="AA575" s="1481"/>
      <c r="AB575" s="1481"/>
      <c r="AC575" s="1481"/>
      <c r="AD575" s="1481"/>
      <c r="AE575" s="1481"/>
      <c r="AF575" s="1481"/>
      <c r="AG575" s="1481"/>
    </row>
    <row r="576" spans="1:33" ht="15.75" customHeight="1">
      <c r="A576" s="1448"/>
      <c r="B576" s="1482" t="s">
        <v>7462</v>
      </c>
      <c r="C576" s="1445">
        <v>1</v>
      </c>
      <c r="D576" s="1447" t="s">
        <v>3364</v>
      </c>
      <c r="E576" s="1445">
        <v>1</v>
      </c>
      <c r="F576" s="1446">
        <v>4.57</v>
      </c>
      <c r="G576" s="1446">
        <v>0.23</v>
      </c>
      <c r="H576" s="1447">
        <v>2.9</v>
      </c>
      <c r="I576" s="1448">
        <f t="shared" si="33"/>
        <v>3.05</v>
      </c>
      <c r="J576" s="1449"/>
      <c r="K576" s="1481"/>
      <c r="L576" s="1481"/>
      <c r="M576" s="1481"/>
      <c r="N576" s="1481"/>
      <c r="O576" s="1481"/>
      <c r="P576" s="1481"/>
      <c r="Q576" s="1481"/>
      <c r="R576" s="1481"/>
      <c r="S576" s="1481"/>
      <c r="T576" s="1481"/>
      <c r="U576" s="1481"/>
      <c r="V576" s="1481"/>
      <c r="W576" s="1481"/>
      <c r="X576" s="1481"/>
      <c r="Y576" s="1481"/>
      <c r="Z576" s="1481"/>
      <c r="AA576" s="1481"/>
      <c r="AB576" s="1481"/>
      <c r="AC576" s="1481"/>
      <c r="AD576" s="1481"/>
      <c r="AE576" s="1481"/>
      <c r="AF576" s="1481"/>
      <c r="AG576" s="1481"/>
    </row>
    <row r="577" spans="1:33" ht="15.75" customHeight="1">
      <c r="A577" s="1448"/>
      <c r="B577" s="1482" t="s">
        <v>7463</v>
      </c>
      <c r="C577" s="1445">
        <v>5</v>
      </c>
      <c r="D577" s="1447" t="s">
        <v>3364</v>
      </c>
      <c r="E577" s="1445">
        <v>1</v>
      </c>
      <c r="F577" s="1446">
        <v>1.89</v>
      </c>
      <c r="G577" s="1446">
        <v>0.23</v>
      </c>
      <c r="H577" s="1447">
        <v>2.9</v>
      </c>
      <c r="I577" s="1448">
        <f t="shared" si="33"/>
        <v>6.3</v>
      </c>
      <c r="J577" s="1449"/>
      <c r="K577" s="1481"/>
      <c r="L577" s="1481"/>
      <c r="M577" s="1481"/>
      <c r="N577" s="1481"/>
      <c r="O577" s="1481"/>
      <c r="P577" s="1481"/>
      <c r="Q577" s="1481"/>
      <c r="R577" s="1481"/>
      <c r="S577" s="1481"/>
      <c r="T577" s="1481"/>
      <c r="U577" s="1481"/>
      <c r="V577" s="1481"/>
      <c r="W577" s="1481"/>
      <c r="X577" s="1481"/>
      <c r="Y577" s="1481"/>
      <c r="Z577" s="1481"/>
      <c r="AA577" s="1481"/>
      <c r="AB577" s="1481"/>
      <c r="AC577" s="1481"/>
      <c r="AD577" s="1481"/>
      <c r="AE577" s="1481"/>
      <c r="AF577" s="1481"/>
      <c r="AG577" s="1481"/>
    </row>
    <row r="578" spans="1:33" ht="15.75" customHeight="1">
      <c r="A578" s="1448"/>
      <c r="B578" s="1482" t="s">
        <v>7464</v>
      </c>
      <c r="C578" s="1445">
        <v>2</v>
      </c>
      <c r="D578" s="1447" t="s">
        <v>3364</v>
      </c>
      <c r="E578" s="1445">
        <v>2</v>
      </c>
      <c r="F578" s="1446">
        <v>27.89</v>
      </c>
      <c r="G578" s="1446">
        <v>0.23</v>
      </c>
      <c r="H578" s="1447">
        <v>2.9</v>
      </c>
      <c r="I578" s="1448">
        <f t="shared" si="33"/>
        <v>74.41</v>
      </c>
      <c r="J578" s="1449"/>
      <c r="K578" s="1481"/>
      <c r="L578" s="1481"/>
      <c r="M578" s="1481"/>
      <c r="N578" s="1481"/>
      <c r="O578" s="1481"/>
      <c r="P578" s="1481"/>
      <c r="Q578" s="1481"/>
      <c r="R578" s="1481"/>
      <c r="S578" s="1481"/>
      <c r="T578" s="1481"/>
      <c r="U578" s="1481"/>
      <c r="V578" s="1481"/>
      <c r="W578" s="1481"/>
      <c r="X578" s="1481"/>
      <c r="Y578" s="1481"/>
      <c r="Z578" s="1481"/>
      <c r="AA578" s="1481"/>
      <c r="AB578" s="1481"/>
      <c r="AC578" s="1481"/>
      <c r="AD578" s="1481"/>
      <c r="AE578" s="1481"/>
      <c r="AF578" s="1481"/>
      <c r="AG578" s="1481"/>
    </row>
    <row r="579" spans="1:33" ht="15.75" customHeight="1">
      <c r="A579" s="1448"/>
      <c r="B579" s="1482" t="s">
        <v>7468</v>
      </c>
      <c r="C579" s="1445">
        <v>-1</v>
      </c>
      <c r="D579" s="1447" t="s">
        <v>3364</v>
      </c>
      <c r="E579" s="1445">
        <v>1</v>
      </c>
      <c r="F579" s="1446">
        <f>3.43+6.5</f>
        <v>9.93</v>
      </c>
      <c r="G579" s="1446">
        <v>0.23</v>
      </c>
      <c r="H579" s="1447">
        <v>2.9</v>
      </c>
      <c r="I579" s="1448">
        <f t="shared" si="33"/>
        <v>-6.62</v>
      </c>
      <c r="J579" s="1449"/>
      <c r="K579" s="1481"/>
      <c r="L579" s="1481"/>
      <c r="M579" s="1481"/>
      <c r="N579" s="1481"/>
      <c r="O579" s="1481"/>
      <c r="P579" s="1481"/>
      <c r="Q579" s="1481"/>
      <c r="R579" s="1481"/>
      <c r="S579" s="1481"/>
      <c r="T579" s="1481"/>
      <c r="U579" s="1481"/>
      <c r="V579" s="1481"/>
      <c r="W579" s="1481"/>
      <c r="X579" s="1481"/>
      <c r="Y579" s="1481"/>
      <c r="Z579" s="1481"/>
      <c r="AA579" s="1481"/>
      <c r="AB579" s="1481"/>
      <c r="AC579" s="1481"/>
      <c r="AD579" s="1481"/>
      <c r="AE579" s="1481"/>
      <c r="AF579" s="1481"/>
      <c r="AG579" s="1481"/>
    </row>
    <row r="580" spans="1:33" ht="15.75" customHeight="1">
      <c r="A580" s="1448"/>
      <c r="B580" s="1482" t="s">
        <v>7467</v>
      </c>
      <c r="C580" s="1445">
        <v>-1</v>
      </c>
      <c r="D580" s="1467" t="s">
        <v>3364</v>
      </c>
      <c r="E580" s="1445">
        <v>1</v>
      </c>
      <c r="F580" s="1446">
        <v>2</v>
      </c>
      <c r="G580" s="1446">
        <v>0.23</v>
      </c>
      <c r="H580" s="1447">
        <v>2.9</v>
      </c>
      <c r="I580" s="1448">
        <f t="shared" si="33"/>
        <v>-1.33</v>
      </c>
      <c r="J580" s="1449"/>
      <c r="K580" s="1481"/>
      <c r="L580" s="1481"/>
      <c r="M580" s="1481"/>
      <c r="N580" s="1481"/>
      <c r="O580" s="1481"/>
      <c r="P580" s="1481"/>
      <c r="Q580" s="1481"/>
      <c r="R580" s="1481"/>
      <c r="S580" s="1481"/>
      <c r="T580" s="1481"/>
      <c r="U580" s="1481"/>
      <c r="V580" s="1481"/>
      <c r="W580" s="1481"/>
      <c r="X580" s="1481"/>
      <c r="Y580" s="1481"/>
      <c r="Z580" s="1481"/>
      <c r="AA580" s="1481"/>
      <c r="AB580" s="1481"/>
      <c r="AC580" s="1481"/>
      <c r="AD580" s="1481"/>
      <c r="AE580" s="1481"/>
      <c r="AF580" s="1481"/>
      <c r="AG580" s="1481"/>
    </row>
    <row r="581" spans="1:33" ht="15.75" customHeight="1">
      <c r="A581" s="1448"/>
      <c r="B581" s="1483" t="s">
        <v>3446</v>
      </c>
      <c r="C581" s="1445"/>
      <c r="D581" s="1447"/>
      <c r="E581" s="1445"/>
      <c r="F581" s="1446"/>
      <c r="G581" s="1446"/>
      <c r="H581" s="1447"/>
      <c r="I581" s="1448"/>
      <c r="J581" s="1449"/>
      <c r="K581" s="1481"/>
      <c r="L581" s="1481"/>
      <c r="M581" s="1481"/>
      <c r="N581" s="1481"/>
      <c r="O581" s="1481"/>
      <c r="P581" s="1481"/>
      <c r="Q581" s="1481"/>
      <c r="R581" s="1481"/>
      <c r="S581" s="1481"/>
      <c r="T581" s="1481"/>
      <c r="U581" s="1481"/>
      <c r="V581" s="1481"/>
      <c r="W581" s="1481"/>
      <c r="X581" s="1481"/>
      <c r="Y581" s="1481"/>
      <c r="Z581" s="1481"/>
      <c r="AA581" s="1481"/>
      <c r="AB581" s="1481"/>
      <c r="AC581" s="1481"/>
      <c r="AD581" s="1481"/>
      <c r="AE581" s="1481"/>
      <c r="AF581" s="1481"/>
      <c r="AG581" s="1481"/>
    </row>
    <row r="582" spans="1:33" ht="15.75" customHeight="1">
      <c r="A582" s="1443"/>
      <c r="B582" s="1455" t="s">
        <v>7436</v>
      </c>
      <c r="C582" s="1457"/>
      <c r="D582" s="1445"/>
      <c r="E582" s="1445"/>
      <c r="F582" s="1446"/>
      <c r="G582" s="1446"/>
      <c r="H582" s="1447"/>
      <c r="I582" s="1448">
        <f t="shared" si="33"/>
        <v>0</v>
      </c>
      <c r="J582" s="1449"/>
      <c r="K582" s="1439"/>
      <c r="L582" s="1439"/>
      <c r="M582" s="1439"/>
      <c r="N582" s="1439"/>
      <c r="O582" s="1439"/>
      <c r="P582" s="1439"/>
      <c r="Q582" s="1439"/>
      <c r="R582" s="1439"/>
      <c r="S582" s="1439"/>
      <c r="T582" s="1439"/>
      <c r="U582" s="1439"/>
      <c r="V582" s="1439"/>
      <c r="W582" s="1439"/>
      <c r="X582" s="1439"/>
      <c r="Y582" s="1439"/>
      <c r="Z582" s="1439"/>
      <c r="AA582" s="1439"/>
      <c r="AB582" s="1439"/>
      <c r="AC582" s="1439"/>
      <c r="AD582" s="1439"/>
      <c r="AE582" s="1439"/>
      <c r="AF582" s="1439"/>
      <c r="AG582" s="1439"/>
    </row>
    <row r="583" spans="1:33" ht="15.75" customHeight="1">
      <c r="A583" s="1443"/>
      <c r="B583" s="1452" t="s">
        <v>7445</v>
      </c>
      <c r="C583" s="1445">
        <v>2</v>
      </c>
      <c r="D583" s="1453" t="s">
        <v>3364</v>
      </c>
      <c r="E583" s="1445">
        <v>-1</v>
      </c>
      <c r="F583" s="1446">
        <f>5.035+0.46</f>
        <v>5.4950000000000001</v>
      </c>
      <c r="G583" s="1446">
        <v>0.23</v>
      </c>
      <c r="H583" s="1447">
        <v>0.15</v>
      </c>
      <c r="I583" s="1448">
        <f t="shared" si="33"/>
        <v>-0.38</v>
      </c>
      <c r="J583" s="1449"/>
      <c r="K583" s="1439"/>
      <c r="L583" s="1439"/>
      <c r="M583" s="1439"/>
      <c r="N583" s="1439"/>
      <c r="O583" s="1439"/>
      <c r="P583" s="1439"/>
      <c r="Q583" s="1439"/>
      <c r="R583" s="1439"/>
      <c r="S583" s="1439"/>
      <c r="T583" s="1439"/>
      <c r="U583" s="1439"/>
      <c r="V583" s="1439"/>
      <c r="W583" s="1439"/>
      <c r="X583" s="1439"/>
      <c r="Y583" s="1439"/>
      <c r="Z583" s="1439"/>
      <c r="AA583" s="1439"/>
      <c r="AB583" s="1439"/>
      <c r="AC583" s="1439"/>
      <c r="AD583" s="1439"/>
      <c r="AE583" s="1439"/>
      <c r="AF583" s="1439"/>
      <c r="AG583" s="1439"/>
    </row>
    <row r="584" spans="1:33" ht="15.75" customHeight="1">
      <c r="A584" s="1443"/>
      <c r="B584" s="1452" t="s">
        <v>7446</v>
      </c>
      <c r="C584" s="1445">
        <v>1</v>
      </c>
      <c r="D584" s="1453" t="s">
        <v>3364</v>
      </c>
      <c r="E584" s="1445">
        <v>-1</v>
      </c>
      <c r="F584" s="1446">
        <f>4.57+0.46</f>
        <v>5.03</v>
      </c>
      <c r="G584" s="1446">
        <v>0.23</v>
      </c>
      <c r="H584" s="1447">
        <v>0.15</v>
      </c>
      <c r="I584" s="1448">
        <f t="shared" si="33"/>
        <v>-0.17</v>
      </c>
      <c r="J584" s="1449"/>
      <c r="K584" s="1439"/>
      <c r="L584" s="1439"/>
      <c r="M584" s="1439"/>
      <c r="N584" s="1439"/>
      <c r="O584" s="1439"/>
      <c r="P584" s="1439"/>
      <c r="Q584" s="1439"/>
      <c r="R584" s="1439"/>
      <c r="S584" s="1439"/>
      <c r="T584" s="1439"/>
      <c r="U584" s="1439"/>
      <c r="V584" s="1439"/>
      <c r="W584" s="1439"/>
      <c r="X584" s="1439"/>
      <c r="Y584" s="1439"/>
      <c r="Z584" s="1439"/>
      <c r="AA584" s="1439"/>
      <c r="AB584" s="1439"/>
      <c r="AC584" s="1439"/>
      <c r="AD584" s="1439"/>
      <c r="AE584" s="1439"/>
      <c r="AF584" s="1439"/>
      <c r="AG584" s="1439"/>
    </row>
    <row r="585" spans="1:33" ht="15.75" customHeight="1">
      <c r="A585" s="1443"/>
      <c r="B585" s="1452" t="s">
        <v>7447</v>
      </c>
      <c r="C585" s="1445">
        <v>3</v>
      </c>
      <c r="D585" s="1453" t="s">
        <v>3364</v>
      </c>
      <c r="E585" s="1445">
        <v>-1</v>
      </c>
      <c r="F585" s="1446">
        <f>4.57+0.46</f>
        <v>5.03</v>
      </c>
      <c r="G585" s="1446">
        <v>0.23</v>
      </c>
      <c r="H585" s="1447">
        <v>0.15</v>
      </c>
      <c r="I585" s="1448">
        <f t="shared" si="33"/>
        <v>-0.52</v>
      </c>
      <c r="J585" s="1449"/>
      <c r="K585" s="1439"/>
      <c r="L585" s="1439"/>
      <c r="M585" s="1439"/>
      <c r="N585" s="1439"/>
      <c r="O585" s="1439"/>
      <c r="P585" s="1439"/>
      <c r="Q585" s="1439"/>
      <c r="R585" s="1439"/>
      <c r="S585" s="1439"/>
      <c r="T585" s="1439"/>
      <c r="U585" s="1439"/>
      <c r="V585" s="1439"/>
      <c r="W585" s="1439"/>
      <c r="X585" s="1439"/>
      <c r="Y585" s="1439"/>
      <c r="Z585" s="1439"/>
      <c r="AA585" s="1439"/>
      <c r="AB585" s="1439"/>
      <c r="AC585" s="1439"/>
      <c r="AD585" s="1439"/>
      <c r="AE585" s="1439"/>
      <c r="AF585" s="1439"/>
      <c r="AG585" s="1439"/>
    </row>
    <row r="586" spans="1:33" ht="15.75" customHeight="1">
      <c r="A586" s="1443"/>
      <c r="B586" s="1452" t="s">
        <v>7448</v>
      </c>
      <c r="C586" s="1445">
        <v>2</v>
      </c>
      <c r="D586" s="1453" t="s">
        <v>3364</v>
      </c>
      <c r="E586" s="1445">
        <v>-1</v>
      </c>
      <c r="F586" s="1446">
        <f>4.57+0.46</f>
        <v>5.03</v>
      </c>
      <c r="G586" s="1454">
        <v>0.23</v>
      </c>
      <c r="H586" s="1447">
        <v>0.15</v>
      </c>
      <c r="I586" s="1448">
        <f t="shared" si="33"/>
        <v>-0.35</v>
      </c>
      <c r="J586" s="1449"/>
      <c r="K586" s="1439"/>
      <c r="L586" s="1439"/>
      <c r="M586" s="1439"/>
      <c r="N586" s="1439"/>
      <c r="O586" s="1439"/>
      <c r="P586" s="1439"/>
      <c r="Q586" s="1439"/>
      <c r="R586" s="1439"/>
      <c r="S586" s="1439"/>
      <c r="T586" s="1439"/>
      <c r="U586" s="1439"/>
      <c r="V586" s="1439"/>
      <c r="W586" s="1439"/>
      <c r="X586" s="1439"/>
      <c r="Y586" s="1439"/>
      <c r="Z586" s="1439"/>
      <c r="AA586" s="1439"/>
      <c r="AB586" s="1439"/>
      <c r="AC586" s="1439"/>
      <c r="AD586" s="1439"/>
      <c r="AE586" s="1439"/>
      <c r="AF586" s="1439"/>
      <c r="AG586" s="1439"/>
    </row>
    <row r="587" spans="1:33" ht="15.75" customHeight="1">
      <c r="A587" s="1443"/>
      <c r="B587" s="1452" t="s">
        <v>7449</v>
      </c>
      <c r="C587" s="1445">
        <v>1</v>
      </c>
      <c r="D587" s="1453" t="s">
        <v>3364</v>
      </c>
      <c r="E587" s="1445">
        <v>-1</v>
      </c>
      <c r="F587" s="1446">
        <f>3.43+0.43</f>
        <v>3.86</v>
      </c>
      <c r="G587" s="1446">
        <v>0.23</v>
      </c>
      <c r="H587" s="1447">
        <v>0.15</v>
      </c>
      <c r="I587" s="1448">
        <f t="shared" si="33"/>
        <v>-0.13</v>
      </c>
      <c r="J587" s="1449"/>
      <c r="K587" s="1439"/>
      <c r="L587" s="1439"/>
      <c r="M587" s="1439"/>
      <c r="N587" s="1439"/>
      <c r="O587" s="1439"/>
      <c r="P587" s="1439"/>
      <c r="Q587" s="1439"/>
      <c r="R587" s="1439"/>
      <c r="S587" s="1439"/>
      <c r="T587" s="1439"/>
      <c r="U587" s="1439"/>
      <c r="V587" s="1439"/>
      <c r="W587" s="1439"/>
      <c r="X587" s="1439"/>
      <c r="Y587" s="1439"/>
      <c r="Z587" s="1439"/>
      <c r="AA587" s="1439"/>
      <c r="AB587" s="1439"/>
      <c r="AC587" s="1439"/>
      <c r="AD587" s="1439"/>
      <c r="AE587" s="1439"/>
      <c r="AF587" s="1439"/>
      <c r="AG587" s="1439"/>
    </row>
    <row r="588" spans="1:33" ht="15.75" customHeight="1">
      <c r="A588" s="1443"/>
      <c r="B588" s="1455" t="s">
        <v>7471</v>
      </c>
      <c r="C588" s="1445"/>
      <c r="D588" s="1453"/>
      <c r="E588" s="1445"/>
      <c r="F588" s="1446"/>
      <c r="G588" s="1446"/>
      <c r="H588" s="1447"/>
      <c r="I588" s="1448">
        <f t="shared" si="33"/>
        <v>0</v>
      </c>
      <c r="J588" s="1449"/>
      <c r="K588" s="1439"/>
      <c r="L588" s="1439"/>
      <c r="M588" s="1439"/>
      <c r="N588" s="1439"/>
      <c r="O588" s="1439"/>
      <c r="P588" s="1439"/>
      <c r="Q588" s="1439"/>
      <c r="R588" s="1439"/>
      <c r="S588" s="1439"/>
      <c r="T588" s="1439"/>
      <c r="U588" s="1439"/>
      <c r="V588" s="1439"/>
      <c r="W588" s="1439"/>
      <c r="X588" s="1439"/>
      <c r="Y588" s="1439"/>
      <c r="Z588" s="1439"/>
      <c r="AA588" s="1439"/>
      <c r="AB588" s="1439"/>
      <c r="AC588" s="1439"/>
      <c r="AD588" s="1439"/>
      <c r="AE588" s="1439"/>
      <c r="AF588" s="1439"/>
      <c r="AG588" s="1439"/>
    </row>
    <row r="589" spans="1:33" ht="15.75" customHeight="1">
      <c r="A589" s="1443"/>
      <c r="B589" s="1452" t="s">
        <v>3396</v>
      </c>
      <c r="C589" s="1445">
        <v>3</v>
      </c>
      <c r="D589" s="1453" t="s">
        <v>3364</v>
      </c>
      <c r="E589" s="1445">
        <v>-1</v>
      </c>
      <c r="F589" s="1446">
        <v>1.2</v>
      </c>
      <c r="G589" s="1446">
        <v>0.23</v>
      </c>
      <c r="H589" s="1447">
        <v>2.1</v>
      </c>
      <c r="I589" s="1448">
        <f>PRODUCT(C589:H589)</f>
        <v>-1.74</v>
      </c>
      <c r="J589" s="1449"/>
      <c r="K589" s="1439"/>
      <c r="L589" s="1439"/>
      <c r="M589" s="1439"/>
      <c r="N589" s="1439"/>
      <c r="O589" s="1439"/>
      <c r="P589" s="1439"/>
      <c r="Q589" s="1439"/>
      <c r="R589" s="1439"/>
      <c r="S589" s="1439"/>
      <c r="T589" s="1439"/>
      <c r="U589" s="1439"/>
      <c r="V589" s="1439"/>
      <c r="W589" s="1439"/>
      <c r="X589" s="1439"/>
      <c r="Y589" s="1439"/>
      <c r="Z589" s="1439"/>
      <c r="AA589" s="1439"/>
      <c r="AB589" s="1439"/>
      <c r="AC589" s="1439"/>
      <c r="AD589" s="1439"/>
      <c r="AE589" s="1439"/>
      <c r="AF589" s="1439"/>
      <c r="AG589" s="1439"/>
    </row>
    <row r="590" spans="1:33" ht="15.75" customHeight="1">
      <c r="A590" s="1443"/>
      <c r="B590" s="1452" t="s">
        <v>3363</v>
      </c>
      <c r="C590" s="1445">
        <v>9</v>
      </c>
      <c r="D590" s="1453" t="s">
        <v>3364</v>
      </c>
      <c r="E590" s="1445">
        <v>-1</v>
      </c>
      <c r="F590" s="1446">
        <v>1</v>
      </c>
      <c r="G590" s="1446">
        <v>0.23</v>
      </c>
      <c r="H590" s="1447">
        <v>2.1</v>
      </c>
      <c r="I590" s="1448">
        <f t="shared" ref="I590:I598" si="34">PRODUCT(C590:H590)</f>
        <v>-4.3499999999999996</v>
      </c>
      <c r="J590" s="1449"/>
      <c r="K590" s="1439"/>
      <c r="L590" s="1439"/>
      <c r="M590" s="1439"/>
      <c r="N590" s="1439"/>
      <c r="O590" s="1439"/>
      <c r="P590" s="1439"/>
      <c r="Q590" s="1439"/>
      <c r="R590" s="1439"/>
      <c r="S590" s="1439"/>
      <c r="T590" s="1439"/>
      <c r="U590" s="1439"/>
      <c r="V590" s="1439"/>
      <c r="W590" s="1439"/>
      <c r="X590" s="1439"/>
      <c r="Y590" s="1439"/>
      <c r="Z590" s="1439"/>
      <c r="AA590" s="1439"/>
      <c r="AB590" s="1439"/>
      <c r="AC590" s="1439"/>
      <c r="AD590" s="1439"/>
      <c r="AE590" s="1439"/>
      <c r="AF590" s="1439"/>
      <c r="AG590" s="1439"/>
    </row>
    <row r="591" spans="1:33" ht="15.75" customHeight="1">
      <c r="A591" s="1443"/>
      <c r="B591" s="1452" t="s">
        <v>3398</v>
      </c>
      <c r="C591" s="1445">
        <v>1</v>
      </c>
      <c r="D591" s="1453" t="s">
        <v>3364</v>
      </c>
      <c r="E591" s="1445">
        <v>-1</v>
      </c>
      <c r="F591" s="1446">
        <v>0.9</v>
      </c>
      <c r="G591" s="1446">
        <v>0.23</v>
      </c>
      <c r="H591" s="1447">
        <v>2.1</v>
      </c>
      <c r="I591" s="1448">
        <f t="shared" si="34"/>
        <v>-0.43</v>
      </c>
      <c r="J591" s="1449"/>
      <c r="K591" s="1439"/>
      <c r="L591" s="1439"/>
      <c r="M591" s="1439"/>
      <c r="N591" s="1439"/>
      <c r="O591" s="1439"/>
      <c r="P591" s="1439"/>
      <c r="Q591" s="1439"/>
      <c r="R591" s="1439"/>
      <c r="S591" s="1439"/>
      <c r="T591" s="1439"/>
      <c r="U591" s="1439"/>
      <c r="V591" s="1439"/>
      <c r="W591" s="1439"/>
      <c r="X591" s="1439"/>
      <c r="Y591" s="1439"/>
      <c r="Z591" s="1439"/>
      <c r="AA591" s="1439"/>
      <c r="AB591" s="1439"/>
      <c r="AC591" s="1439"/>
      <c r="AD591" s="1439"/>
      <c r="AE591" s="1439"/>
      <c r="AF591" s="1439"/>
      <c r="AG591" s="1439"/>
    </row>
    <row r="592" spans="1:33" ht="15.75" customHeight="1">
      <c r="A592" s="1443"/>
      <c r="B592" s="1452" t="s">
        <v>3407</v>
      </c>
      <c r="C592" s="1445">
        <v>13</v>
      </c>
      <c r="D592" s="1453" t="s">
        <v>3364</v>
      </c>
      <c r="E592" s="1445">
        <v>-1</v>
      </c>
      <c r="F592" s="1446">
        <v>0.75</v>
      </c>
      <c r="G592" s="1446">
        <v>0.23</v>
      </c>
      <c r="H592" s="1447">
        <v>2.1</v>
      </c>
      <c r="I592" s="1448">
        <f t="shared" si="34"/>
        <v>-4.71</v>
      </c>
      <c r="J592" s="1449"/>
      <c r="K592" s="1439"/>
      <c r="L592" s="1439"/>
      <c r="M592" s="1439"/>
      <c r="N592" s="1439"/>
      <c r="O592" s="1439"/>
      <c r="P592" s="1439"/>
      <c r="Q592" s="1439"/>
      <c r="R592" s="1439"/>
      <c r="S592" s="1439"/>
      <c r="T592" s="1439"/>
      <c r="U592" s="1439"/>
      <c r="V592" s="1439"/>
      <c r="W592" s="1439"/>
      <c r="X592" s="1439"/>
      <c r="Y592" s="1439"/>
      <c r="Z592" s="1439"/>
      <c r="AA592" s="1439"/>
      <c r="AB592" s="1439"/>
      <c r="AC592" s="1439"/>
      <c r="AD592" s="1439"/>
      <c r="AE592" s="1439"/>
      <c r="AF592" s="1439"/>
      <c r="AG592" s="1439"/>
    </row>
    <row r="593" spans="1:33" ht="15.75" customHeight="1">
      <c r="A593" s="1443"/>
      <c r="B593" s="1452" t="s">
        <v>3497</v>
      </c>
      <c r="C593" s="1445">
        <v>1</v>
      </c>
      <c r="D593" s="1453" t="s">
        <v>3364</v>
      </c>
      <c r="E593" s="1445">
        <v>-1</v>
      </c>
      <c r="F593" s="1446">
        <v>1.8</v>
      </c>
      <c r="G593" s="1446">
        <v>0.23</v>
      </c>
      <c r="H593" s="1447">
        <v>2</v>
      </c>
      <c r="I593" s="1448">
        <f t="shared" si="34"/>
        <v>-0.83</v>
      </c>
      <c r="J593" s="1449"/>
      <c r="K593" s="1439"/>
      <c r="L593" s="1439"/>
      <c r="M593" s="1439"/>
      <c r="N593" s="1439"/>
      <c r="O593" s="1439"/>
      <c r="P593" s="1439"/>
      <c r="Q593" s="1439"/>
      <c r="R593" s="1439"/>
      <c r="S593" s="1439"/>
      <c r="T593" s="1439"/>
      <c r="U593" s="1439"/>
      <c r="V593" s="1439"/>
      <c r="W593" s="1439"/>
      <c r="X593" s="1439"/>
      <c r="Y593" s="1439"/>
      <c r="Z593" s="1439"/>
      <c r="AA593" s="1439"/>
      <c r="AB593" s="1439"/>
      <c r="AC593" s="1439"/>
      <c r="AD593" s="1439"/>
      <c r="AE593" s="1439"/>
      <c r="AF593" s="1439"/>
      <c r="AG593" s="1439"/>
    </row>
    <row r="594" spans="1:33" ht="15.75" customHeight="1">
      <c r="A594" s="1443"/>
      <c r="B594" s="1452" t="s">
        <v>3414</v>
      </c>
      <c r="C594" s="1445">
        <v>13</v>
      </c>
      <c r="D594" s="1453" t="s">
        <v>3364</v>
      </c>
      <c r="E594" s="1445">
        <v>-1</v>
      </c>
      <c r="F594" s="1446">
        <v>1.8</v>
      </c>
      <c r="G594" s="1446">
        <v>0.23</v>
      </c>
      <c r="H594" s="1447">
        <v>1.35</v>
      </c>
      <c r="I594" s="1448">
        <f t="shared" si="34"/>
        <v>-7.27</v>
      </c>
      <c r="J594" s="1449"/>
      <c r="K594" s="1439"/>
      <c r="L594" s="1439"/>
      <c r="M594" s="1439"/>
      <c r="N594" s="1439"/>
      <c r="O594" s="1439"/>
      <c r="P594" s="1439"/>
      <c r="Q594" s="1439"/>
      <c r="R594" s="1439"/>
      <c r="S594" s="1439"/>
      <c r="T594" s="1439"/>
      <c r="U594" s="1439"/>
      <c r="V594" s="1439"/>
      <c r="W594" s="1439"/>
      <c r="X594" s="1439"/>
      <c r="Y594" s="1439"/>
      <c r="Z594" s="1439"/>
      <c r="AA594" s="1439"/>
      <c r="AB594" s="1439"/>
      <c r="AC594" s="1439"/>
      <c r="AD594" s="1439"/>
      <c r="AE594" s="1439"/>
      <c r="AF594" s="1439"/>
      <c r="AG594" s="1439"/>
    </row>
    <row r="595" spans="1:33" ht="16.5" customHeight="1">
      <c r="A595" s="1443"/>
      <c r="B595" s="1452" t="s">
        <v>6964</v>
      </c>
      <c r="C595" s="1445">
        <v>3</v>
      </c>
      <c r="D595" s="1453" t="s">
        <v>3364</v>
      </c>
      <c r="E595" s="1445">
        <v>-1</v>
      </c>
      <c r="F595" s="1446">
        <v>0.9</v>
      </c>
      <c r="G595" s="1446">
        <v>0.23</v>
      </c>
      <c r="H595" s="1447">
        <v>0.6</v>
      </c>
      <c r="I595" s="1448">
        <f t="shared" si="34"/>
        <v>-0.37</v>
      </c>
      <c r="J595" s="1449"/>
      <c r="K595" s="1439"/>
      <c r="L595" s="1439"/>
      <c r="M595" s="1439"/>
      <c r="N595" s="1439"/>
      <c r="O595" s="1439"/>
      <c r="P595" s="1439"/>
      <c r="Q595" s="1439"/>
      <c r="R595" s="1439"/>
      <c r="S595" s="1439"/>
      <c r="T595" s="1439"/>
      <c r="U595" s="1439"/>
      <c r="V595" s="1439"/>
      <c r="W595" s="1439"/>
      <c r="X595" s="1439"/>
      <c r="Y595" s="1439"/>
      <c r="Z595" s="1439"/>
      <c r="AA595" s="1439"/>
      <c r="AB595" s="1439"/>
      <c r="AC595" s="1439"/>
      <c r="AD595" s="1439"/>
      <c r="AE595" s="1439"/>
      <c r="AF595" s="1439"/>
      <c r="AG595" s="1439"/>
    </row>
    <row r="596" spans="1:33" ht="15.75" customHeight="1">
      <c r="A596" s="1443"/>
      <c r="B596" s="1452" t="s">
        <v>3401</v>
      </c>
      <c r="C596" s="1445">
        <v>9</v>
      </c>
      <c r="D596" s="1453" t="s">
        <v>3364</v>
      </c>
      <c r="E596" s="1445">
        <v>-1</v>
      </c>
      <c r="F596" s="1446">
        <v>0.75</v>
      </c>
      <c r="G596" s="1446">
        <v>0.23</v>
      </c>
      <c r="H596" s="1447">
        <v>0.6</v>
      </c>
      <c r="I596" s="1448">
        <f t="shared" si="34"/>
        <v>-0.93</v>
      </c>
      <c r="J596" s="1449"/>
      <c r="K596" s="1439"/>
      <c r="L596" s="1439"/>
      <c r="M596" s="1439"/>
      <c r="N596" s="1439"/>
      <c r="O596" s="1439"/>
      <c r="P596" s="1439"/>
      <c r="Q596" s="1439"/>
      <c r="R596" s="1439"/>
      <c r="S596" s="1439"/>
      <c r="T596" s="1439"/>
      <c r="U596" s="1439"/>
      <c r="V596" s="1439"/>
      <c r="W596" s="1439"/>
      <c r="X596" s="1439"/>
      <c r="Y596" s="1439"/>
      <c r="Z596" s="1439"/>
      <c r="AA596" s="1439"/>
      <c r="AB596" s="1439"/>
      <c r="AC596" s="1439"/>
      <c r="AD596" s="1439"/>
      <c r="AE596" s="1439"/>
      <c r="AF596" s="1439"/>
      <c r="AG596" s="1439"/>
    </row>
    <row r="597" spans="1:33" ht="15.75" customHeight="1">
      <c r="A597" s="1443"/>
      <c r="B597" s="1452" t="s">
        <v>6968</v>
      </c>
      <c r="C597" s="1445">
        <v>1</v>
      </c>
      <c r="D597" s="1453" t="s">
        <v>3364</v>
      </c>
      <c r="E597" s="1445">
        <v>-1</v>
      </c>
      <c r="F597" s="1446">
        <v>1.5</v>
      </c>
      <c r="G597" s="1446">
        <v>0.23</v>
      </c>
      <c r="H597" s="1447">
        <v>1.05</v>
      </c>
      <c r="I597" s="1448">
        <f t="shared" si="34"/>
        <v>-0.36</v>
      </c>
      <c r="J597" s="1449"/>
      <c r="K597" s="1439"/>
      <c r="L597" s="1439"/>
      <c r="M597" s="1439"/>
      <c r="N597" s="1439"/>
      <c r="O597" s="1439"/>
      <c r="P597" s="1439"/>
      <c r="Q597" s="1439"/>
      <c r="R597" s="1439"/>
      <c r="S597" s="1439"/>
      <c r="T597" s="1439"/>
      <c r="U597" s="1439"/>
      <c r="V597" s="1439"/>
      <c r="W597" s="1439"/>
      <c r="X597" s="1439"/>
      <c r="Y597" s="1439"/>
      <c r="Z597" s="1439"/>
      <c r="AA597" s="1439"/>
      <c r="AB597" s="1439"/>
      <c r="AC597" s="1439"/>
      <c r="AD597" s="1439"/>
      <c r="AE597" s="1439"/>
      <c r="AF597" s="1439"/>
      <c r="AG597" s="1439"/>
    </row>
    <row r="598" spans="1:33" ht="15.75" customHeight="1">
      <c r="A598" s="1443"/>
      <c r="B598" s="1452" t="s">
        <v>7413</v>
      </c>
      <c r="C598" s="1445">
        <v>1</v>
      </c>
      <c r="D598" s="1453" t="s">
        <v>3364</v>
      </c>
      <c r="E598" s="1445">
        <v>-1</v>
      </c>
      <c r="F598" s="1446">
        <v>0.9</v>
      </c>
      <c r="G598" s="1446">
        <v>0.23</v>
      </c>
      <c r="H598" s="1447">
        <v>2</v>
      </c>
      <c r="I598" s="1448">
        <f t="shared" si="34"/>
        <v>-0.41</v>
      </c>
      <c r="J598" s="1449"/>
      <c r="K598" s="1439"/>
      <c r="L598" s="1439"/>
      <c r="M598" s="1439"/>
      <c r="N598" s="1439"/>
      <c r="O598" s="1439"/>
      <c r="P598" s="1439"/>
      <c r="Q598" s="1439"/>
      <c r="R598" s="1439"/>
      <c r="S598" s="1439"/>
      <c r="T598" s="1439"/>
      <c r="U598" s="1439"/>
      <c r="V598" s="1439"/>
      <c r="W598" s="1439"/>
      <c r="X598" s="1439"/>
      <c r="Y598" s="1439"/>
      <c r="Z598" s="1439"/>
      <c r="AA598" s="1439"/>
      <c r="AB598" s="1439"/>
      <c r="AC598" s="1439"/>
      <c r="AD598" s="1439"/>
      <c r="AE598" s="1439"/>
      <c r="AF598" s="1439"/>
      <c r="AG598" s="1439"/>
    </row>
    <row r="599" spans="1:33" ht="15.75" customHeight="1">
      <c r="A599" s="1443"/>
      <c r="B599" s="1455" t="s">
        <v>7433</v>
      </c>
      <c r="C599" s="1445"/>
      <c r="D599" s="1453"/>
      <c r="E599" s="1445"/>
      <c r="F599" s="1446"/>
      <c r="G599" s="1446"/>
      <c r="H599" s="1447"/>
      <c r="I599" s="1448">
        <f>PRODUCT(C599:H599)</f>
        <v>0</v>
      </c>
      <c r="J599" s="1449"/>
      <c r="K599" s="1439"/>
      <c r="L599" s="1439"/>
      <c r="M599" s="1439"/>
      <c r="N599" s="1439"/>
      <c r="O599" s="1439"/>
      <c r="P599" s="1439"/>
      <c r="Q599" s="1439"/>
      <c r="R599" s="1439"/>
      <c r="S599" s="1439"/>
      <c r="T599" s="1439"/>
      <c r="U599" s="1439"/>
      <c r="V599" s="1439"/>
      <c r="W599" s="1439"/>
      <c r="X599" s="1439"/>
      <c r="Y599" s="1439"/>
      <c r="Z599" s="1439"/>
      <c r="AA599" s="1439"/>
      <c r="AB599" s="1439"/>
      <c r="AC599" s="1439"/>
      <c r="AD599" s="1439"/>
      <c r="AE599" s="1439"/>
      <c r="AF599" s="1439"/>
      <c r="AG599" s="1439"/>
    </row>
    <row r="600" spans="1:33" ht="15.75" customHeight="1">
      <c r="A600" s="1443"/>
      <c r="B600" s="1452" t="s">
        <v>3396</v>
      </c>
      <c r="C600" s="1445">
        <v>3</v>
      </c>
      <c r="D600" s="1453" t="s">
        <v>3364</v>
      </c>
      <c r="E600" s="1445">
        <v>-1</v>
      </c>
      <c r="F600" s="1446">
        <v>1.2</v>
      </c>
      <c r="G600" s="1446">
        <v>0.23</v>
      </c>
      <c r="H600" s="1447">
        <v>0.15</v>
      </c>
      <c r="I600" s="1448">
        <f>PRODUCT(C600:H600)</f>
        <v>-0.12</v>
      </c>
      <c r="J600" s="1449"/>
      <c r="K600" s="1439"/>
      <c r="L600" s="1439"/>
      <c r="M600" s="1439"/>
      <c r="N600" s="1439"/>
      <c r="O600" s="1439"/>
      <c r="P600" s="1439"/>
      <c r="Q600" s="1439"/>
      <c r="R600" s="1439"/>
      <c r="S600" s="1439"/>
      <c r="T600" s="1439"/>
      <c r="U600" s="1439"/>
      <c r="V600" s="1439"/>
      <c r="W600" s="1439"/>
      <c r="X600" s="1439"/>
      <c r="Y600" s="1439"/>
      <c r="Z600" s="1439"/>
      <c r="AA600" s="1439"/>
      <c r="AB600" s="1439"/>
      <c r="AC600" s="1439"/>
      <c r="AD600" s="1439"/>
      <c r="AE600" s="1439"/>
      <c r="AF600" s="1439"/>
      <c r="AG600" s="1439"/>
    </row>
    <row r="601" spans="1:33" ht="15.75" customHeight="1">
      <c r="A601" s="1443"/>
      <c r="B601" s="1452" t="s">
        <v>3363</v>
      </c>
      <c r="C601" s="1445">
        <v>9</v>
      </c>
      <c r="D601" s="1453" t="s">
        <v>3364</v>
      </c>
      <c r="E601" s="1445">
        <v>-1</v>
      </c>
      <c r="F601" s="1446">
        <v>1</v>
      </c>
      <c r="G601" s="1446">
        <v>0.23</v>
      </c>
      <c r="H601" s="1447">
        <v>0.15</v>
      </c>
      <c r="I601" s="1448">
        <f>PRODUCT(C601:H601)</f>
        <v>-0.31</v>
      </c>
      <c r="J601" s="1449"/>
      <c r="K601" s="1439"/>
      <c r="L601" s="1439"/>
      <c r="M601" s="1439"/>
      <c r="N601" s="1439"/>
      <c r="O601" s="1439"/>
      <c r="P601" s="1439"/>
      <c r="Q601" s="1439"/>
      <c r="R601" s="1439"/>
      <c r="S601" s="1439"/>
      <c r="T601" s="1439"/>
      <c r="U601" s="1439"/>
      <c r="V601" s="1439"/>
      <c r="W601" s="1439"/>
      <c r="X601" s="1439"/>
      <c r="Y601" s="1439"/>
      <c r="Z601" s="1439"/>
      <c r="AA601" s="1439"/>
      <c r="AB601" s="1439"/>
      <c r="AC601" s="1439"/>
      <c r="AD601" s="1439"/>
      <c r="AE601" s="1439"/>
      <c r="AF601" s="1439"/>
      <c r="AG601" s="1439"/>
    </row>
    <row r="602" spans="1:33" ht="15.75" customHeight="1">
      <c r="A602" s="1443"/>
      <c r="B602" s="1452" t="s">
        <v>3398</v>
      </c>
      <c r="C602" s="1445">
        <v>1</v>
      </c>
      <c r="D602" s="1453" t="s">
        <v>3364</v>
      </c>
      <c r="E602" s="1445">
        <v>-1</v>
      </c>
      <c r="F602" s="1446">
        <v>0.9</v>
      </c>
      <c r="G602" s="1446">
        <v>0.23</v>
      </c>
      <c r="H602" s="1447">
        <v>0.15</v>
      </c>
      <c r="I602" s="1448">
        <f t="shared" ref="I602:I609" si="35">PRODUCT(C602:H602)</f>
        <v>-0.03</v>
      </c>
      <c r="J602" s="1449"/>
      <c r="K602" s="1439"/>
      <c r="L602" s="1439"/>
      <c r="M602" s="1439"/>
      <c r="N602" s="1439"/>
      <c r="O602" s="1439"/>
      <c r="P602" s="1439"/>
      <c r="Q602" s="1439"/>
      <c r="R602" s="1439"/>
      <c r="S602" s="1439"/>
      <c r="T602" s="1439"/>
      <c r="U602" s="1439"/>
      <c r="V602" s="1439"/>
      <c r="W602" s="1439"/>
      <c r="X602" s="1439"/>
      <c r="Y602" s="1439"/>
      <c r="Z602" s="1439"/>
      <c r="AA602" s="1439"/>
      <c r="AB602" s="1439"/>
      <c r="AC602" s="1439"/>
      <c r="AD602" s="1439"/>
      <c r="AE602" s="1439"/>
      <c r="AF602" s="1439"/>
      <c r="AG602" s="1439"/>
    </row>
    <row r="603" spans="1:33" ht="15.75" customHeight="1">
      <c r="A603" s="1443"/>
      <c r="B603" s="1452" t="s">
        <v>3407</v>
      </c>
      <c r="C603" s="1445">
        <v>13</v>
      </c>
      <c r="D603" s="1453" t="s">
        <v>3364</v>
      </c>
      <c r="E603" s="1445">
        <v>-1</v>
      </c>
      <c r="F603" s="1446">
        <v>0.75</v>
      </c>
      <c r="G603" s="1446">
        <v>0.23</v>
      </c>
      <c r="H603" s="1447">
        <v>0.15</v>
      </c>
      <c r="I603" s="1448">
        <f t="shared" si="35"/>
        <v>-0.34</v>
      </c>
      <c r="J603" s="1449"/>
      <c r="K603" s="1439"/>
      <c r="L603" s="1439"/>
      <c r="M603" s="1439"/>
      <c r="N603" s="1439"/>
      <c r="O603" s="1439"/>
      <c r="P603" s="1439"/>
      <c r="Q603" s="1439"/>
      <c r="R603" s="1439"/>
      <c r="S603" s="1439"/>
      <c r="T603" s="1439"/>
      <c r="U603" s="1439"/>
      <c r="V603" s="1439"/>
      <c r="W603" s="1439"/>
      <c r="X603" s="1439"/>
      <c r="Y603" s="1439"/>
      <c r="Z603" s="1439"/>
      <c r="AA603" s="1439"/>
      <c r="AB603" s="1439"/>
      <c r="AC603" s="1439"/>
      <c r="AD603" s="1439"/>
      <c r="AE603" s="1439"/>
      <c r="AF603" s="1439"/>
      <c r="AG603" s="1439"/>
    </row>
    <row r="604" spans="1:33" ht="15.75" customHeight="1">
      <c r="A604" s="1443"/>
      <c r="B604" s="1452" t="s">
        <v>3497</v>
      </c>
      <c r="C604" s="1445">
        <v>1</v>
      </c>
      <c r="D604" s="1453" t="s">
        <v>3364</v>
      </c>
      <c r="E604" s="1445">
        <v>-1</v>
      </c>
      <c r="F604" s="1446">
        <v>1.8</v>
      </c>
      <c r="G604" s="1446">
        <v>0.23</v>
      </c>
      <c r="H604" s="1447">
        <v>0.15</v>
      </c>
      <c r="I604" s="1448">
        <f t="shared" si="35"/>
        <v>-0.06</v>
      </c>
      <c r="J604" s="1449"/>
      <c r="K604" s="1439"/>
      <c r="L604" s="1439"/>
      <c r="M604" s="1439"/>
      <c r="N604" s="1439"/>
      <c r="O604" s="1439"/>
      <c r="P604" s="1439"/>
      <c r="Q604" s="1439"/>
      <c r="R604" s="1439"/>
      <c r="S604" s="1439"/>
      <c r="T604" s="1439"/>
      <c r="U604" s="1439"/>
      <c r="V604" s="1439"/>
      <c r="W604" s="1439"/>
      <c r="X604" s="1439"/>
      <c r="Y604" s="1439"/>
      <c r="Z604" s="1439"/>
      <c r="AA604" s="1439"/>
      <c r="AB604" s="1439"/>
      <c r="AC604" s="1439"/>
      <c r="AD604" s="1439"/>
      <c r="AE604" s="1439"/>
      <c r="AF604" s="1439"/>
      <c r="AG604" s="1439"/>
    </row>
    <row r="605" spans="1:33" ht="15.75" customHeight="1">
      <c r="A605" s="1443"/>
      <c r="B605" s="1452" t="s">
        <v>3414</v>
      </c>
      <c r="C605" s="1445">
        <v>13</v>
      </c>
      <c r="D605" s="1453" t="s">
        <v>3364</v>
      </c>
      <c r="E605" s="1445">
        <v>-1</v>
      </c>
      <c r="F605" s="1446">
        <v>1.8</v>
      </c>
      <c r="G605" s="1446">
        <v>0.23</v>
      </c>
      <c r="H605" s="1447">
        <v>0.15</v>
      </c>
      <c r="I605" s="1448">
        <f t="shared" si="35"/>
        <v>-0.81</v>
      </c>
      <c r="J605" s="1449"/>
      <c r="K605" s="1439"/>
      <c r="L605" s="1439"/>
      <c r="M605" s="1439"/>
      <c r="N605" s="1439"/>
      <c r="O605" s="1439"/>
      <c r="P605" s="1439"/>
      <c r="Q605" s="1439"/>
      <c r="R605" s="1439"/>
      <c r="S605" s="1439"/>
      <c r="T605" s="1439"/>
      <c r="U605" s="1439"/>
      <c r="V605" s="1439"/>
      <c r="W605" s="1439"/>
      <c r="X605" s="1439"/>
      <c r="Y605" s="1439"/>
      <c r="Z605" s="1439"/>
      <c r="AA605" s="1439"/>
      <c r="AB605" s="1439"/>
      <c r="AC605" s="1439"/>
      <c r="AD605" s="1439"/>
      <c r="AE605" s="1439"/>
      <c r="AF605" s="1439"/>
      <c r="AG605" s="1439"/>
    </row>
    <row r="606" spans="1:33" ht="15.75" customHeight="1">
      <c r="A606" s="1443"/>
      <c r="B606" s="1452" t="s">
        <v>6964</v>
      </c>
      <c r="C606" s="1445">
        <v>3</v>
      </c>
      <c r="D606" s="1453" t="s">
        <v>3364</v>
      </c>
      <c r="E606" s="1445">
        <v>-1</v>
      </c>
      <c r="F606" s="1446">
        <v>0.9</v>
      </c>
      <c r="G606" s="1446">
        <v>0.23</v>
      </c>
      <c r="H606" s="1447">
        <v>0.15</v>
      </c>
      <c r="I606" s="1448">
        <f t="shared" si="35"/>
        <v>-0.09</v>
      </c>
      <c r="J606" s="1449"/>
      <c r="K606" s="1439"/>
      <c r="L606" s="1439"/>
      <c r="M606" s="1439"/>
      <c r="N606" s="1439"/>
      <c r="O606" s="1439"/>
      <c r="P606" s="1439"/>
      <c r="Q606" s="1439"/>
      <c r="R606" s="1439"/>
      <c r="S606" s="1439"/>
      <c r="T606" s="1439"/>
      <c r="U606" s="1439"/>
      <c r="V606" s="1439"/>
      <c r="W606" s="1439"/>
      <c r="X606" s="1439"/>
      <c r="Y606" s="1439"/>
      <c r="Z606" s="1439"/>
      <c r="AA606" s="1439"/>
      <c r="AB606" s="1439"/>
      <c r="AC606" s="1439"/>
      <c r="AD606" s="1439"/>
      <c r="AE606" s="1439"/>
      <c r="AF606" s="1439"/>
      <c r="AG606" s="1439"/>
    </row>
    <row r="607" spans="1:33" ht="16.5" customHeight="1">
      <c r="A607" s="1443"/>
      <c r="B607" s="1452" t="s">
        <v>3401</v>
      </c>
      <c r="C607" s="1445">
        <v>9</v>
      </c>
      <c r="D607" s="1453" t="s">
        <v>3364</v>
      </c>
      <c r="E607" s="1445">
        <v>-1</v>
      </c>
      <c r="F607" s="1446">
        <v>0.75</v>
      </c>
      <c r="G607" s="1446">
        <v>0.23</v>
      </c>
      <c r="H607" s="1447">
        <v>0.15</v>
      </c>
      <c r="I607" s="1448">
        <f t="shared" si="35"/>
        <v>-0.23</v>
      </c>
      <c r="J607" s="1449"/>
      <c r="K607" s="1439"/>
      <c r="L607" s="1439"/>
      <c r="M607" s="1439"/>
      <c r="N607" s="1439"/>
      <c r="O607" s="1439"/>
      <c r="P607" s="1439"/>
      <c r="Q607" s="1439"/>
      <c r="R607" s="1439"/>
      <c r="S607" s="1439"/>
      <c r="T607" s="1439"/>
      <c r="U607" s="1439"/>
      <c r="V607" s="1439"/>
      <c r="W607" s="1439"/>
      <c r="X607" s="1439"/>
      <c r="Y607" s="1439"/>
      <c r="Z607" s="1439"/>
      <c r="AA607" s="1439"/>
      <c r="AB607" s="1439"/>
      <c r="AC607" s="1439"/>
      <c r="AD607" s="1439"/>
      <c r="AE607" s="1439"/>
      <c r="AF607" s="1439"/>
      <c r="AG607" s="1439"/>
    </row>
    <row r="608" spans="1:33" ht="15.75" customHeight="1">
      <c r="A608" s="1443"/>
      <c r="B608" s="1452" t="s">
        <v>6968</v>
      </c>
      <c r="C608" s="1445">
        <v>1</v>
      </c>
      <c r="D608" s="1453" t="s">
        <v>3364</v>
      </c>
      <c r="E608" s="1445">
        <v>-1</v>
      </c>
      <c r="F608" s="1446">
        <v>1.5</v>
      </c>
      <c r="G608" s="1446">
        <v>0.23</v>
      </c>
      <c r="H608" s="1447">
        <v>0.15</v>
      </c>
      <c r="I608" s="1448">
        <f t="shared" si="35"/>
        <v>-0.05</v>
      </c>
      <c r="J608" s="1449"/>
      <c r="K608" s="1439"/>
      <c r="L608" s="1439"/>
      <c r="M608" s="1439"/>
      <c r="N608" s="1439"/>
      <c r="O608" s="1439"/>
      <c r="P608" s="1439"/>
      <c r="Q608" s="1439"/>
      <c r="R608" s="1439"/>
      <c r="S608" s="1439"/>
      <c r="T608" s="1439"/>
      <c r="U608" s="1439"/>
      <c r="V608" s="1439"/>
      <c r="W608" s="1439"/>
      <c r="X608" s="1439"/>
      <c r="Y608" s="1439"/>
      <c r="Z608" s="1439"/>
      <c r="AA608" s="1439"/>
      <c r="AB608" s="1439"/>
      <c r="AC608" s="1439"/>
      <c r="AD608" s="1439"/>
      <c r="AE608" s="1439"/>
      <c r="AF608" s="1439"/>
      <c r="AG608" s="1439"/>
    </row>
    <row r="609" spans="1:33" ht="15.75" customHeight="1">
      <c r="A609" s="1443"/>
      <c r="B609" s="1452" t="s">
        <v>7413</v>
      </c>
      <c r="C609" s="1445">
        <v>1</v>
      </c>
      <c r="D609" s="1453" t="s">
        <v>3364</v>
      </c>
      <c r="E609" s="1445">
        <v>-1</v>
      </c>
      <c r="F609" s="1446">
        <v>0.9</v>
      </c>
      <c r="G609" s="1446">
        <v>0.23</v>
      </c>
      <c r="H609" s="1447">
        <v>0.15</v>
      </c>
      <c r="I609" s="1448">
        <f t="shared" si="35"/>
        <v>-0.03</v>
      </c>
      <c r="J609" s="1449"/>
      <c r="K609" s="1439"/>
      <c r="L609" s="1439"/>
      <c r="M609" s="1439"/>
      <c r="N609" s="1439"/>
      <c r="O609" s="1439"/>
      <c r="P609" s="1439"/>
      <c r="Q609" s="1439"/>
      <c r="R609" s="1439"/>
      <c r="S609" s="1439"/>
      <c r="T609" s="1439"/>
      <c r="U609" s="1439"/>
      <c r="V609" s="1439"/>
      <c r="W609" s="1439"/>
      <c r="X609" s="1439"/>
      <c r="Y609" s="1439"/>
      <c r="Z609" s="1439"/>
      <c r="AA609" s="1439"/>
      <c r="AB609" s="1439"/>
      <c r="AC609" s="1439"/>
      <c r="AD609" s="1439"/>
      <c r="AE609" s="1439"/>
      <c r="AF609" s="1439"/>
      <c r="AG609" s="1439"/>
    </row>
    <row r="610" spans="1:33" ht="15.75" customHeight="1">
      <c r="A610" s="1443"/>
      <c r="B610" s="1469" t="s">
        <v>7466</v>
      </c>
      <c r="C610" s="1445"/>
      <c r="D610" s="1445"/>
      <c r="E610" s="1445"/>
      <c r="F610" s="1446"/>
      <c r="G610" s="1446"/>
      <c r="H610" s="1447"/>
      <c r="I610" s="1448"/>
      <c r="J610" s="1449"/>
      <c r="K610" s="1439"/>
      <c r="L610" s="1439"/>
      <c r="M610" s="1439"/>
      <c r="N610" s="1439"/>
      <c r="O610" s="1439"/>
      <c r="P610" s="1439"/>
      <c r="Q610" s="1439"/>
      <c r="R610" s="1439"/>
      <c r="S610" s="1439"/>
      <c r="T610" s="1439"/>
      <c r="U610" s="1439"/>
      <c r="V610" s="1439"/>
      <c r="W610" s="1439"/>
      <c r="X610" s="1439"/>
      <c r="Y610" s="1439"/>
      <c r="Z610" s="1439"/>
      <c r="AA610" s="1439"/>
      <c r="AB610" s="1439"/>
      <c r="AC610" s="1439"/>
      <c r="AD610" s="1439"/>
      <c r="AE610" s="1439"/>
      <c r="AF610" s="1439"/>
      <c r="AG610" s="1439"/>
    </row>
    <row r="611" spans="1:33" ht="15.75" customHeight="1">
      <c r="A611" s="1443"/>
      <c r="B611" s="1452" t="s">
        <v>7396</v>
      </c>
      <c r="C611" s="1445">
        <v>3</v>
      </c>
      <c r="D611" s="1453" t="s">
        <v>3364</v>
      </c>
      <c r="E611" s="1445">
        <v>-1</v>
      </c>
      <c r="F611" s="1446">
        <v>0.23</v>
      </c>
      <c r="G611" s="1454">
        <v>0.3</v>
      </c>
      <c r="H611" s="1447">
        <v>2.9</v>
      </c>
      <c r="I611" s="1448">
        <f t="shared" ref="I611:I618" si="36">PRODUCT(C611:H611)</f>
        <v>-0.6</v>
      </c>
      <c r="J611" s="1449"/>
      <c r="K611" s="1439"/>
      <c r="L611" s="1439"/>
      <c r="M611" s="1439"/>
      <c r="N611" s="1439"/>
      <c r="O611" s="1439"/>
      <c r="P611" s="1439"/>
      <c r="Q611" s="1439"/>
      <c r="R611" s="1439"/>
      <c r="S611" s="1439"/>
      <c r="T611" s="1439"/>
      <c r="U611" s="1439"/>
      <c r="V611" s="1439"/>
      <c r="W611" s="1439"/>
      <c r="X611" s="1439"/>
      <c r="Y611" s="1439"/>
      <c r="Z611" s="1439"/>
      <c r="AA611" s="1439"/>
      <c r="AB611" s="1439"/>
      <c r="AC611" s="1439"/>
      <c r="AD611" s="1439"/>
      <c r="AE611" s="1439"/>
      <c r="AF611" s="1439"/>
      <c r="AG611" s="1439"/>
    </row>
    <row r="612" spans="1:33" ht="15.75" customHeight="1">
      <c r="A612" s="1443"/>
      <c r="B612" s="1452" t="s">
        <v>7397</v>
      </c>
      <c r="C612" s="1445">
        <v>2</v>
      </c>
      <c r="D612" s="1453" t="s">
        <v>3364</v>
      </c>
      <c r="E612" s="1445">
        <v>-1</v>
      </c>
      <c r="F612" s="1446">
        <v>0.23</v>
      </c>
      <c r="G612" s="1446">
        <v>0.38</v>
      </c>
      <c r="H612" s="1447">
        <v>2.9</v>
      </c>
      <c r="I612" s="1448">
        <f t="shared" si="36"/>
        <v>-0.51</v>
      </c>
      <c r="J612" s="1449"/>
      <c r="K612" s="1439"/>
      <c r="L612" s="1439"/>
      <c r="M612" s="1439"/>
      <c r="N612" s="1439"/>
      <c r="O612" s="1439"/>
      <c r="P612" s="1439"/>
      <c r="Q612" s="1439"/>
      <c r="R612" s="1439"/>
      <c r="S612" s="1439"/>
      <c r="T612" s="1439"/>
      <c r="U612" s="1439"/>
      <c r="V612" s="1439"/>
      <c r="W612" s="1439"/>
      <c r="X612" s="1439"/>
      <c r="Y612" s="1439"/>
      <c r="Z612" s="1439"/>
      <c r="AA612" s="1439"/>
      <c r="AB612" s="1439"/>
      <c r="AC612" s="1439"/>
      <c r="AD612" s="1439"/>
      <c r="AE612" s="1439"/>
      <c r="AF612" s="1439"/>
      <c r="AG612" s="1439"/>
    </row>
    <row r="613" spans="1:33" ht="15.75" customHeight="1">
      <c r="A613" s="1443"/>
      <c r="B613" s="1452" t="s">
        <v>7398</v>
      </c>
      <c r="C613" s="1445">
        <v>4</v>
      </c>
      <c r="D613" s="1453" t="s">
        <v>3364</v>
      </c>
      <c r="E613" s="1445">
        <v>-1</v>
      </c>
      <c r="F613" s="1446">
        <v>0.23</v>
      </c>
      <c r="G613" s="1446">
        <v>0.45</v>
      </c>
      <c r="H613" s="1447">
        <v>2.9</v>
      </c>
      <c r="I613" s="1448">
        <f t="shared" si="36"/>
        <v>-1.2</v>
      </c>
      <c r="J613" s="1449"/>
      <c r="K613" s="1439"/>
      <c r="L613" s="1439">
        <f>3.6-0.45</f>
        <v>3.15</v>
      </c>
      <c r="M613" s="1439"/>
      <c r="N613" s="1439"/>
      <c r="O613" s="1439"/>
      <c r="P613" s="1439"/>
      <c r="Q613" s="1439"/>
      <c r="R613" s="1439"/>
      <c r="S613" s="1439"/>
      <c r="T613" s="1439"/>
      <c r="U613" s="1439"/>
      <c r="V613" s="1439"/>
      <c r="W613" s="1439"/>
      <c r="X613" s="1439"/>
      <c r="Y613" s="1439"/>
      <c r="Z613" s="1439"/>
      <c r="AA613" s="1439"/>
      <c r="AB613" s="1439"/>
      <c r="AC613" s="1439"/>
      <c r="AD613" s="1439"/>
      <c r="AE613" s="1439"/>
      <c r="AF613" s="1439"/>
      <c r="AG613" s="1439"/>
    </row>
    <row r="614" spans="1:33" ht="15.75" customHeight="1">
      <c r="A614" s="1443"/>
      <c r="B614" s="1452" t="s">
        <v>7399</v>
      </c>
      <c r="C614" s="1445">
        <v>5</v>
      </c>
      <c r="D614" s="1453" t="s">
        <v>3364</v>
      </c>
      <c r="E614" s="1445">
        <v>-1</v>
      </c>
      <c r="F614" s="1446">
        <v>0.23</v>
      </c>
      <c r="G614" s="1446">
        <v>0.45</v>
      </c>
      <c r="H614" s="1447">
        <v>2.9</v>
      </c>
      <c r="I614" s="1448">
        <f t="shared" si="36"/>
        <v>-1.5</v>
      </c>
      <c r="J614" s="1449"/>
      <c r="K614" s="1439"/>
      <c r="L614" s="1439"/>
      <c r="M614" s="1439"/>
      <c r="N614" s="1439"/>
      <c r="O614" s="1439"/>
      <c r="P614" s="1439"/>
      <c r="Q614" s="1439"/>
      <c r="R614" s="1439"/>
      <c r="S614" s="1439"/>
      <c r="T614" s="1439"/>
      <c r="U614" s="1439"/>
      <c r="V614" s="1439"/>
      <c r="W614" s="1439"/>
      <c r="X614" s="1439"/>
      <c r="Y614" s="1439"/>
      <c r="Z614" s="1439"/>
      <c r="AA614" s="1439"/>
      <c r="AB614" s="1439"/>
      <c r="AC614" s="1439"/>
      <c r="AD614" s="1439"/>
      <c r="AE614" s="1439"/>
      <c r="AF614" s="1439"/>
      <c r="AG614" s="1439"/>
    </row>
    <row r="615" spans="1:33" ht="15.75" customHeight="1">
      <c r="A615" s="1443"/>
      <c r="B615" s="1452" t="s">
        <v>7400</v>
      </c>
      <c r="C615" s="1445">
        <v>6</v>
      </c>
      <c r="D615" s="1453" t="s">
        <v>3364</v>
      </c>
      <c r="E615" s="1445">
        <v>-1</v>
      </c>
      <c r="F615" s="1446">
        <v>0.3</v>
      </c>
      <c r="G615" s="1446">
        <v>0.45</v>
      </c>
      <c r="H615" s="1447">
        <v>2.9</v>
      </c>
      <c r="I615" s="1448">
        <f t="shared" si="36"/>
        <v>-2.35</v>
      </c>
      <c r="J615" s="1449"/>
      <c r="K615" s="1439"/>
      <c r="L615" s="1439">
        <f>3-0.2-0.1-1.05</f>
        <v>1.65</v>
      </c>
      <c r="M615" s="1439"/>
      <c r="N615" s="1439"/>
      <c r="O615" s="1439"/>
      <c r="P615" s="1439"/>
      <c r="Q615" s="1439"/>
      <c r="R615" s="1439"/>
      <c r="S615" s="1439"/>
      <c r="T615" s="1439"/>
      <c r="U615" s="1439"/>
      <c r="V615" s="1439"/>
      <c r="W615" s="1439"/>
      <c r="X615" s="1439"/>
      <c r="Y615" s="1439"/>
      <c r="Z615" s="1439"/>
      <c r="AA615" s="1439"/>
      <c r="AB615" s="1439"/>
      <c r="AC615" s="1439"/>
      <c r="AD615" s="1439"/>
      <c r="AE615" s="1439"/>
      <c r="AF615" s="1439"/>
      <c r="AG615" s="1439"/>
    </row>
    <row r="616" spans="1:33" ht="15.75" customHeight="1">
      <c r="A616" s="1443"/>
      <c r="B616" s="1452" t="s">
        <v>7401</v>
      </c>
      <c r="C616" s="1445">
        <v>6</v>
      </c>
      <c r="D616" s="1453" t="s">
        <v>3364</v>
      </c>
      <c r="E616" s="1445">
        <v>-1</v>
      </c>
      <c r="F616" s="1446">
        <v>0.3</v>
      </c>
      <c r="G616" s="1446">
        <v>0.45</v>
      </c>
      <c r="H616" s="1447">
        <v>2.9</v>
      </c>
      <c r="I616" s="1448">
        <f t="shared" si="36"/>
        <v>-2.35</v>
      </c>
      <c r="J616" s="1449"/>
      <c r="K616" s="1439"/>
      <c r="L616" s="1439">
        <f>1.65+1</f>
        <v>2.65</v>
      </c>
      <c r="M616" s="1439"/>
      <c r="N616" s="1439"/>
      <c r="O616" s="1439"/>
      <c r="P616" s="1439"/>
      <c r="Q616" s="1439"/>
      <c r="R616" s="1439"/>
      <c r="S616" s="1439"/>
      <c r="T616" s="1439"/>
      <c r="U616" s="1439"/>
      <c r="V616" s="1439"/>
      <c r="W616" s="1439"/>
      <c r="X616" s="1439"/>
      <c r="Y616" s="1439"/>
      <c r="Z616" s="1439"/>
      <c r="AA616" s="1439"/>
      <c r="AB616" s="1439"/>
      <c r="AC616" s="1439"/>
      <c r="AD616" s="1439"/>
      <c r="AE616" s="1439"/>
      <c r="AF616" s="1439"/>
      <c r="AG616" s="1439"/>
    </row>
    <row r="617" spans="1:33" ht="15.75" customHeight="1">
      <c r="A617" s="1443"/>
      <c r="B617" s="1452" t="s">
        <v>7402</v>
      </c>
      <c r="C617" s="1445">
        <v>2</v>
      </c>
      <c r="D617" s="1453" t="s">
        <v>3364</v>
      </c>
      <c r="E617" s="1445">
        <v>-1</v>
      </c>
      <c r="F617" s="1446">
        <v>0.3</v>
      </c>
      <c r="G617" s="1446">
        <v>0.6</v>
      </c>
      <c r="H617" s="1447">
        <v>2.9</v>
      </c>
      <c r="I617" s="1448">
        <f t="shared" si="36"/>
        <v>-1.04</v>
      </c>
      <c r="J617" s="1449"/>
      <c r="K617" s="1439"/>
      <c r="L617" s="1439"/>
      <c r="M617" s="1439"/>
      <c r="N617" s="1439"/>
      <c r="O617" s="1439"/>
      <c r="P617" s="1439"/>
      <c r="Q617" s="1439"/>
      <c r="R617" s="1439"/>
      <c r="S617" s="1439"/>
      <c r="T617" s="1439"/>
      <c r="U617" s="1439"/>
      <c r="V617" s="1439"/>
      <c r="W617" s="1439"/>
      <c r="X617" s="1439"/>
      <c r="Y617" s="1439"/>
      <c r="Z617" s="1439"/>
      <c r="AA617" s="1439"/>
      <c r="AB617" s="1439"/>
      <c r="AC617" s="1439"/>
      <c r="AD617" s="1439"/>
      <c r="AE617" s="1439"/>
      <c r="AF617" s="1439"/>
      <c r="AG617" s="1439"/>
    </row>
    <row r="618" spans="1:33" ht="15.75" customHeight="1">
      <c r="A618" s="1443"/>
      <c r="B618" s="1452" t="s">
        <v>7403</v>
      </c>
      <c r="C618" s="1445">
        <v>6</v>
      </c>
      <c r="D618" s="1453" t="s">
        <v>3364</v>
      </c>
      <c r="E618" s="1445">
        <v>-1</v>
      </c>
      <c r="F618" s="1446">
        <v>0.3</v>
      </c>
      <c r="G618" s="1446">
        <v>0.6</v>
      </c>
      <c r="H618" s="1447">
        <v>2.9</v>
      </c>
      <c r="I618" s="1448">
        <f t="shared" si="36"/>
        <v>-3.13</v>
      </c>
      <c r="J618" s="1449"/>
      <c r="K618" s="1439"/>
      <c r="L618" s="1439"/>
      <c r="M618" s="1439"/>
      <c r="N618" s="1439"/>
      <c r="O618" s="1439"/>
      <c r="P618" s="1439"/>
      <c r="Q618" s="1439"/>
      <c r="R618" s="1439"/>
      <c r="S618" s="1439"/>
      <c r="T618" s="1439"/>
      <c r="U618" s="1439"/>
      <c r="V618" s="1439"/>
      <c r="W618" s="1439"/>
      <c r="X618" s="1439"/>
      <c r="Y618" s="1439"/>
      <c r="Z618" s="1439"/>
      <c r="AA618" s="1439"/>
      <c r="AB618" s="1439"/>
      <c r="AC618" s="1439"/>
      <c r="AD618" s="1439"/>
      <c r="AE618" s="1439"/>
      <c r="AF618" s="1439"/>
      <c r="AG618" s="1439"/>
    </row>
    <row r="619" spans="1:33" ht="15.75" customHeight="1">
      <c r="A619" s="1443"/>
      <c r="B619" s="1450"/>
      <c r="C619" s="1477"/>
      <c r="D619" s="1477"/>
      <c r="E619" s="1477"/>
      <c r="F619" s="1478"/>
      <c r="G619" s="1458" t="s">
        <v>104</v>
      </c>
      <c r="H619" s="1447"/>
      <c r="I619" s="1479">
        <f>SUM(I571:I618)</f>
        <v>99.19</v>
      </c>
      <c r="J619" s="1449"/>
      <c r="K619" s="1439"/>
      <c r="L619" s="1439"/>
      <c r="M619" s="1439"/>
      <c r="N619" s="1439"/>
      <c r="O619" s="1439"/>
      <c r="P619" s="1439"/>
      <c r="Q619" s="1439"/>
      <c r="R619" s="1439"/>
      <c r="S619" s="1439"/>
      <c r="T619" s="1439"/>
      <c r="U619" s="1439"/>
      <c r="V619" s="1439"/>
      <c r="W619" s="1439"/>
      <c r="X619" s="1439"/>
      <c r="Y619" s="1439"/>
      <c r="Z619" s="1439"/>
      <c r="AA619" s="1439"/>
      <c r="AB619" s="1439"/>
      <c r="AC619" s="1439"/>
      <c r="AD619" s="1439"/>
      <c r="AE619" s="1439"/>
      <c r="AF619" s="1439"/>
      <c r="AG619" s="1439"/>
    </row>
    <row r="620" spans="1:33" ht="15.75" customHeight="1">
      <c r="A620" s="1443"/>
      <c r="B620" s="1450"/>
      <c r="C620" s="1477"/>
      <c r="D620" s="1477"/>
      <c r="E620" s="1477"/>
      <c r="F620" s="1478"/>
      <c r="G620" s="1446"/>
      <c r="H620" s="1460" t="s">
        <v>2981</v>
      </c>
      <c r="I620" s="1459">
        <f>CEILING(I619,0.1)</f>
        <v>99.2</v>
      </c>
      <c r="J620" s="1449" t="s">
        <v>5</v>
      </c>
      <c r="K620" s="1439"/>
      <c r="L620" s="1439"/>
      <c r="M620" s="1439"/>
      <c r="N620" s="1439"/>
      <c r="O620" s="1439"/>
      <c r="P620" s="1439"/>
      <c r="Q620" s="1439"/>
      <c r="R620" s="1439"/>
      <c r="S620" s="1439"/>
      <c r="T620" s="1439"/>
      <c r="U620" s="1439"/>
      <c r="V620" s="1439"/>
      <c r="W620" s="1439"/>
      <c r="X620" s="1439"/>
      <c r="Y620" s="1439"/>
      <c r="Z620" s="1439"/>
      <c r="AA620" s="1439"/>
      <c r="AB620" s="1439"/>
      <c r="AC620" s="1439"/>
      <c r="AD620" s="1439"/>
      <c r="AE620" s="1439"/>
      <c r="AF620" s="1439"/>
      <c r="AG620" s="1439"/>
    </row>
    <row r="621" spans="1:33" ht="15.75" customHeight="1">
      <c r="A621" s="1470"/>
      <c r="B621" s="1456" t="s">
        <v>7067</v>
      </c>
      <c r="C621" s="1484"/>
      <c r="D621" s="1484"/>
      <c r="E621" s="1484"/>
      <c r="F621" s="1446"/>
      <c r="G621" s="1458"/>
      <c r="H621" s="1460"/>
      <c r="I621" s="1459"/>
      <c r="J621" s="1475"/>
      <c r="K621" s="1439"/>
      <c r="L621" s="1439"/>
      <c r="M621" s="1439"/>
      <c r="N621" s="1439"/>
      <c r="O621" s="1439"/>
      <c r="P621" s="1439"/>
      <c r="Q621" s="1439"/>
      <c r="R621" s="1439"/>
      <c r="S621" s="1439"/>
      <c r="T621" s="1439"/>
      <c r="U621" s="1439"/>
      <c r="V621" s="1439"/>
      <c r="W621" s="1439"/>
      <c r="X621" s="1439"/>
      <c r="Y621" s="1439"/>
      <c r="Z621" s="1439"/>
      <c r="AA621" s="1439"/>
      <c r="AB621" s="1439"/>
      <c r="AC621" s="1439"/>
      <c r="AD621" s="1439"/>
      <c r="AE621" s="1439"/>
      <c r="AF621" s="1439"/>
      <c r="AG621" s="1439"/>
    </row>
    <row r="622" spans="1:33" ht="15.75" customHeight="1">
      <c r="A622" s="1448"/>
      <c r="B622" s="1482" t="s">
        <v>7472</v>
      </c>
      <c r="C622" s="1445">
        <v>1</v>
      </c>
      <c r="D622" s="1447" t="s">
        <v>3364</v>
      </c>
      <c r="E622" s="1445">
        <v>1</v>
      </c>
      <c r="F622" s="1446">
        <f>17+27.89+27.89+18.43+1.99</f>
        <v>93.2</v>
      </c>
      <c r="G622" s="1446">
        <v>0.23</v>
      </c>
      <c r="H622" s="1447">
        <v>1.2</v>
      </c>
      <c r="I622" s="1448">
        <f>PRODUCT(C622:H622)</f>
        <v>25.72</v>
      </c>
      <c r="J622" s="1449"/>
      <c r="K622" s="1481"/>
      <c r="L622" s="1481"/>
      <c r="M622" s="1481"/>
      <c r="N622" s="1481"/>
      <c r="O622" s="1481"/>
      <c r="P622" s="1481"/>
      <c r="Q622" s="1481"/>
      <c r="R622" s="1481"/>
      <c r="S622" s="1481"/>
      <c r="T622" s="1481"/>
      <c r="U622" s="1481"/>
      <c r="V622" s="1481"/>
      <c r="W622" s="1481"/>
      <c r="X622" s="1481"/>
      <c r="Y622" s="1481"/>
      <c r="Z622" s="1481"/>
      <c r="AA622" s="1481"/>
      <c r="AB622" s="1481"/>
      <c r="AC622" s="1481"/>
      <c r="AD622" s="1481"/>
      <c r="AE622" s="1481"/>
      <c r="AF622" s="1481"/>
      <c r="AG622" s="1481"/>
    </row>
    <row r="623" spans="1:33" ht="15.75" customHeight="1">
      <c r="A623" s="1448"/>
      <c r="B623" s="1482" t="s">
        <v>7469</v>
      </c>
      <c r="C623" s="1445">
        <v>1</v>
      </c>
      <c r="D623" s="1447" t="s">
        <v>3364</v>
      </c>
      <c r="E623" s="1445">
        <v>1</v>
      </c>
      <c r="F623" s="1446">
        <f>17+27.89+27.89+18.43+1.99</f>
        <v>93.2</v>
      </c>
      <c r="G623" s="1446">
        <v>0.23</v>
      </c>
      <c r="H623" s="1447">
        <v>2.9</v>
      </c>
      <c r="I623" s="1448">
        <f t="shared" ref="I623:I628" si="37">PRODUCT(C623:H623)</f>
        <v>62.16</v>
      </c>
      <c r="J623" s="1449"/>
      <c r="K623" s="1481"/>
      <c r="L623" s="1481"/>
      <c r="M623" s="1481"/>
      <c r="N623" s="1481"/>
      <c r="O623" s="1481"/>
      <c r="P623" s="1481"/>
      <c r="Q623" s="1481"/>
      <c r="R623" s="1481"/>
      <c r="S623" s="1481"/>
      <c r="T623" s="1481"/>
      <c r="U623" s="1481"/>
      <c r="V623" s="1481"/>
      <c r="W623" s="1481"/>
      <c r="X623" s="1481"/>
      <c r="Y623" s="1481"/>
      <c r="Z623" s="1481"/>
      <c r="AA623" s="1481"/>
      <c r="AB623" s="1481"/>
      <c r="AC623" s="1481"/>
      <c r="AD623" s="1481"/>
      <c r="AE623" s="1481"/>
      <c r="AF623" s="1481"/>
      <c r="AG623" s="1481"/>
    </row>
    <row r="624" spans="1:33" ht="15.75" customHeight="1">
      <c r="A624" s="1448"/>
      <c r="B624" s="1482" t="s">
        <v>6903</v>
      </c>
      <c r="C624" s="1445">
        <v>2</v>
      </c>
      <c r="D624" s="1447" t="s">
        <v>3364</v>
      </c>
      <c r="E624" s="1445">
        <v>1</v>
      </c>
      <c r="F624" s="1446">
        <v>9.0449999999999999</v>
      </c>
      <c r="G624" s="1446">
        <v>0.23</v>
      </c>
      <c r="H624" s="1447">
        <v>2.9</v>
      </c>
      <c r="I624" s="1448">
        <f t="shared" si="37"/>
        <v>12.07</v>
      </c>
      <c r="J624" s="1449"/>
      <c r="K624" s="1481"/>
      <c r="L624" s="1481"/>
      <c r="M624" s="1481"/>
      <c r="N624" s="1481"/>
      <c r="O624" s="1481"/>
      <c r="P624" s="1481"/>
      <c r="Q624" s="1481"/>
      <c r="R624" s="1481"/>
      <c r="S624" s="1481"/>
      <c r="T624" s="1481"/>
      <c r="U624" s="1481"/>
      <c r="V624" s="1481"/>
      <c r="W624" s="1481"/>
      <c r="X624" s="1481"/>
      <c r="Y624" s="1481"/>
      <c r="Z624" s="1481"/>
      <c r="AA624" s="1481"/>
      <c r="AB624" s="1481"/>
      <c r="AC624" s="1481"/>
      <c r="AD624" s="1481"/>
      <c r="AE624" s="1481"/>
      <c r="AF624" s="1481"/>
      <c r="AG624" s="1481"/>
    </row>
    <row r="625" spans="1:33" ht="15.75" customHeight="1">
      <c r="A625" s="1448"/>
      <c r="B625" s="1482" t="s">
        <v>7470</v>
      </c>
      <c r="C625" s="1445">
        <v>2</v>
      </c>
      <c r="D625" s="1447" t="s">
        <v>3364</v>
      </c>
      <c r="E625" s="1445">
        <v>1</v>
      </c>
      <c r="F625" s="1446">
        <v>5.0350000000000001</v>
      </c>
      <c r="G625" s="1446">
        <v>0.23</v>
      </c>
      <c r="H625" s="1447">
        <v>2.9</v>
      </c>
      <c r="I625" s="1448">
        <f t="shared" si="37"/>
        <v>6.72</v>
      </c>
      <c r="J625" s="1449"/>
      <c r="K625" s="1481"/>
      <c r="L625" s="1481"/>
      <c r="M625" s="1481"/>
      <c r="N625" s="1481"/>
      <c r="O625" s="1481"/>
      <c r="P625" s="1481"/>
      <c r="Q625" s="1481"/>
      <c r="R625" s="1481"/>
      <c r="S625" s="1481"/>
      <c r="T625" s="1481"/>
      <c r="U625" s="1481"/>
      <c r="V625" s="1481"/>
      <c r="W625" s="1481"/>
      <c r="X625" s="1481"/>
      <c r="Y625" s="1481"/>
      <c r="Z625" s="1481"/>
      <c r="AA625" s="1481"/>
      <c r="AB625" s="1481"/>
      <c r="AC625" s="1481"/>
      <c r="AD625" s="1481"/>
      <c r="AE625" s="1481"/>
      <c r="AF625" s="1481"/>
      <c r="AG625" s="1481"/>
    </row>
    <row r="626" spans="1:33" ht="15.75" customHeight="1">
      <c r="A626" s="1448"/>
      <c r="B626" s="1482" t="s">
        <v>7464</v>
      </c>
      <c r="C626" s="1445">
        <v>2</v>
      </c>
      <c r="D626" s="1447" t="s">
        <v>3364</v>
      </c>
      <c r="E626" s="1445">
        <v>2</v>
      </c>
      <c r="F626" s="1446">
        <v>27.89</v>
      </c>
      <c r="G626" s="1446">
        <v>0.23</v>
      </c>
      <c r="H626" s="1447">
        <v>2.9</v>
      </c>
      <c r="I626" s="1448">
        <f t="shared" si="37"/>
        <v>74.41</v>
      </c>
      <c r="J626" s="1449"/>
      <c r="K626" s="1481"/>
      <c r="L626" s="1481"/>
      <c r="M626" s="1481"/>
      <c r="N626" s="1481"/>
      <c r="O626" s="1481"/>
      <c r="P626" s="1481"/>
      <c r="Q626" s="1481"/>
      <c r="R626" s="1481"/>
      <c r="S626" s="1481"/>
      <c r="T626" s="1481"/>
      <c r="U626" s="1481"/>
      <c r="V626" s="1481"/>
      <c r="W626" s="1481"/>
      <c r="X626" s="1481"/>
      <c r="Y626" s="1481"/>
      <c r="Z626" s="1481"/>
      <c r="AA626" s="1481"/>
      <c r="AB626" s="1481"/>
      <c r="AC626" s="1481"/>
      <c r="AD626" s="1481"/>
      <c r="AE626" s="1481"/>
      <c r="AF626" s="1481"/>
      <c r="AG626" s="1481"/>
    </row>
    <row r="627" spans="1:33" ht="15.75" customHeight="1">
      <c r="A627" s="1448"/>
      <c r="B627" s="1482" t="s">
        <v>7468</v>
      </c>
      <c r="C627" s="1445">
        <v>-1</v>
      </c>
      <c r="D627" s="1447" t="s">
        <v>3364</v>
      </c>
      <c r="E627" s="1445">
        <v>1</v>
      </c>
      <c r="F627" s="1446">
        <v>3.43</v>
      </c>
      <c r="G627" s="1446">
        <v>0.23</v>
      </c>
      <c r="H627" s="1447">
        <v>2.9</v>
      </c>
      <c r="I627" s="1448">
        <f t="shared" si="37"/>
        <v>-2.29</v>
      </c>
      <c r="J627" s="1449"/>
      <c r="K627" s="1481"/>
      <c r="L627" s="1481"/>
      <c r="M627" s="1481"/>
      <c r="N627" s="1481"/>
      <c r="O627" s="1481"/>
      <c r="P627" s="1481"/>
      <c r="Q627" s="1481"/>
      <c r="R627" s="1481"/>
      <c r="S627" s="1481"/>
      <c r="T627" s="1481"/>
      <c r="U627" s="1481"/>
      <c r="V627" s="1481"/>
      <c r="W627" s="1481"/>
      <c r="X627" s="1481"/>
      <c r="Y627" s="1481"/>
      <c r="Z627" s="1481"/>
      <c r="AA627" s="1481"/>
      <c r="AB627" s="1481"/>
      <c r="AC627" s="1481"/>
      <c r="AD627" s="1481"/>
      <c r="AE627" s="1481"/>
      <c r="AF627" s="1481"/>
      <c r="AG627" s="1481"/>
    </row>
    <row r="628" spans="1:33" ht="15.75" customHeight="1">
      <c r="A628" s="1448"/>
      <c r="B628" s="1482" t="s">
        <v>7467</v>
      </c>
      <c r="C628" s="1445">
        <v>-1</v>
      </c>
      <c r="D628" s="1467" t="s">
        <v>3364</v>
      </c>
      <c r="E628" s="1445">
        <v>1</v>
      </c>
      <c r="F628" s="1446">
        <v>2</v>
      </c>
      <c r="G628" s="1446">
        <v>0.23</v>
      </c>
      <c r="H628" s="1447">
        <v>3.45</v>
      </c>
      <c r="I628" s="1448">
        <f t="shared" si="37"/>
        <v>-1.59</v>
      </c>
      <c r="J628" s="1449"/>
      <c r="K628" s="1481"/>
      <c r="L628" s="1481"/>
      <c r="M628" s="1481"/>
      <c r="N628" s="1481"/>
      <c r="O628" s="1481"/>
      <c r="P628" s="1481"/>
      <c r="Q628" s="1481"/>
      <c r="R628" s="1481"/>
      <c r="S628" s="1481"/>
      <c r="T628" s="1481"/>
      <c r="U628" s="1481"/>
      <c r="V628" s="1481"/>
      <c r="W628" s="1481"/>
      <c r="X628" s="1481"/>
      <c r="Y628" s="1481"/>
      <c r="Z628" s="1481"/>
      <c r="AA628" s="1481"/>
      <c r="AB628" s="1481"/>
      <c r="AC628" s="1481"/>
      <c r="AD628" s="1481"/>
      <c r="AE628" s="1481"/>
      <c r="AF628" s="1481"/>
      <c r="AG628" s="1481"/>
    </row>
    <row r="629" spans="1:33" ht="15.75" customHeight="1">
      <c r="A629" s="1448"/>
      <c r="B629" s="1482" t="s">
        <v>7474</v>
      </c>
      <c r="C629" s="1445">
        <v>-1</v>
      </c>
      <c r="D629" s="1467" t="s">
        <v>3364</v>
      </c>
      <c r="E629" s="1445">
        <v>1</v>
      </c>
      <c r="F629" s="1446"/>
      <c r="G629" s="1446"/>
      <c r="H629" s="1447"/>
      <c r="I629" s="1448"/>
      <c r="J629" s="1449"/>
      <c r="K629" s="1481"/>
      <c r="L629" s="1481"/>
      <c r="M629" s="1481"/>
      <c r="N629" s="1481"/>
      <c r="O629" s="1481"/>
      <c r="P629" s="1481"/>
      <c r="Q629" s="1481"/>
      <c r="R629" s="1481"/>
      <c r="S629" s="1481"/>
      <c r="T629" s="1481"/>
      <c r="U629" s="1481"/>
      <c r="V629" s="1481"/>
      <c r="W629" s="1481"/>
      <c r="X629" s="1481"/>
      <c r="Y629" s="1481"/>
      <c r="Z629" s="1481"/>
      <c r="AA629" s="1481"/>
      <c r="AB629" s="1481"/>
      <c r="AC629" s="1481"/>
      <c r="AD629" s="1481"/>
      <c r="AE629" s="1481"/>
      <c r="AF629" s="1481"/>
      <c r="AG629" s="1481"/>
    </row>
    <row r="630" spans="1:33" ht="15.75" customHeight="1">
      <c r="A630" s="1448"/>
      <c r="B630" s="1483" t="s">
        <v>3446</v>
      </c>
      <c r="C630" s="1445"/>
      <c r="D630" s="1447"/>
      <c r="E630" s="1445"/>
      <c r="F630" s="1446"/>
      <c r="G630" s="1446"/>
      <c r="H630" s="1447"/>
      <c r="I630" s="1448"/>
      <c r="J630" s="1449"/>
      <c r="K630" s="1481"/>
      <c r="L630" s="1481"/>
      <c r="M630" s="1481"/>
      <c r="N630" s="1481"/>
      <c r="O630" s="1481"/>
      <c r="P630" s="1481"/>
      <c r="Q630" s="1481"/>
      <c r="R630" s="1481"/>
      <c r="S630" s="1481"/>
      <c r="T630" s="1481"/>
      <c r="U630" s="1481"/>
      <c r="V630" s="1481"/>
      <c r="W630" s="1481"/>
      <c r="X630" s="1481"/>
      <c r="Y630" s="1481"/>
      <c r="Z630" s="1481"/>
      <c r="AA630" s="1481"/>
      <c r="AB630" s="1481"/>
      <c r="AC630" s="1481"/>
      <c r="AD630" s="1481"/>
      <c r="AE630" s="1481"/>
      <c r="AF630" s="1481"/>
      <c r="AG630" s="1481"/>
    </row>
    <row r="631" spans="1:33" ht="18.75" customHeight="1">
      <c r="A631" s="1448"/>
      <c r="B631" s="1480" t="s">
        <v>7069</v>
      </c>
      <c r="C631" s="1445">
        <v>-1</v>
      </c>
      <c r="D631" s="1447" t="s">
        <v>3364</v>
      </c>
      <c r="E631" s="1445">
        <v>2</v>
      </c>
      <c r="F631" s="1446">
        <v>11.35</v>
      </c>
      <c r="G631" s="1446">
        <v>0.23</v>
      </c>
      <c r="H631" s="1447">
        <v>1.2</v>
      </c>
      <c r="I631" s="1448">
        <f t="shared" ref="I631:I639" si="38">PRODUCT(C631:H631)</f>
        <v>-6.27</v>
      </c>
      <c r="J631" s="1449"/>
      <c r="K631" s="1481"/>
      <c r="L631" s="1481"/>
      <c r="M631" s="1481"/>
      <c r="N631" s="1481"/>
      <c r="O631" s="1481"/>
      <c r="P631" s="1481"/>
      <c r="Q631" s="1481"/>
      <c r="R631" s="1481"/>
      <c r="S631" s="1481"/>
      <c r="T631" s="1481"/>
      <c r="U631" s="1481"/>
      <c r="V631" s="1481"/>
      <c r="W631" s="1481"/>
      <c r="X631" s="1481"/>
      <c r="Y631" s="1481"/>
      <c r="Z631" s="1481"/>
      <c r="AA631" s="1481"/>
      <c r="AB631" s="1481"/>
      <c r="AC631" s="1481"/>
      <c r="AD631" s="1481"/>
      <c r="AE631" s="1481"/>
      <c r="AF631" s="1481"/>
      <c r="AG631" s="1481"/>
    </row>
    <row r="632" spans="1:33" ht="18.75" customHeight="1">
      <c r="A632" s="1448"/>
      <c r="B632" s="1480" t="s">
        <v>7070</v>
      </c>
      <c r="C632" s="1445">
        <v>-1</v>
      </c>
      <c r="D632" s="1447" t="s">
        <v>3364</v>
      </c>
      <c r="E632" s="1445">
        <v>2</v>
      </c>
      <c r="F632" s="1446">
        <v>3.34</v>
      </c>
      <c r="G632" s="1446">
        <v>0.23</v>
      </c>
      <c r="H632" s="1467">
        <v>1.2</v>
      </c>
      <c r="I632" s="1448">
        <f t="shared" si="38"/>
        <v>-1.84</v>
      </c>
      <c r="J632" s="1449"/>
      <c r="K632" s="1481"/>
      <c r="L632" s="1481"/>
      <c r="M632" s="1481"/>
      <c r="N632" s="1481"/>
      <c r="O632" s="1481"/>
      <c r="P632" s="1481"/>
      <c r="Q632" s="1481"/>
      <c r="R632" s="1481"/>
      <c r="S632" s="1481"/>
      <c r="T632" s="1481"/>
      <c r="U632" s="1481"/>
      <c r="V632" s="1481"/>
      <c r="W632" s="1481"/>
      <c r="X632" s="1481"/>
      <c r="Y632" s="1481"/>
      <c r="Z632" s="1481"/>
      <c r="AA632" s="1481"/>
      <c r="AB632" s="1481"/>
      <c r="AC632" s="1481"/>
      <c r="AD632" s="1481"/>
      <c r="AE632" s="1481"/>
      <c r="AF632" s="1481"/>
      <c r="AG632" s="1481"/>
    </row>
    <row r="633" spans="1:33" ht="18.75" customHeight="1">
      <c r="A633" s="1448"/>
      <c r="B633" s="1480" t="s">
        <v>7057</v>
      </c>
      <c r="C633" s="1445">
        <v>-1</v>
      </c>
      <c r="D633" s="1447" t="s">
        <v>3364</v>
      </c>
      <c r="E633" s="1445">
        <v>1</v>
      </c>
      <c r="F633" s="1446">
        <v>2.2999999999999998</v>
      </c>
      <c r="G633" s="1446">
        <v>0.23</v>
      </c>
      <c r="H633" s="1447">
        <v>1.2</v>
      </c>
      <c r="I633" s="1448">
        <f t="shared" si="38"/>
        <v>-0.63</v>
      </c>
      <c r="J633" s="1449"/>
      <c r="K633" s="1481"/>
      <c r="L633" s="1481"/>
      <c r="M633" s="1481"/>
      <c r="N633" s="1481"/>
      <c r="O633" s="1481"/>
      <c r="P633" s="1481"/>
      <c r="Q633" s="1481"/>
      <c r="R633" s="1481"/>
      <c r="S633" s="1481"/>
      <c r="T633" s="1481"/>
      <c r="U633" s="1481"/>
      <c r="V633" s="1481"/>
      <c r="W633" s="1481"/>
      <c r="X633" s="1481"/>
      <c r="Y633" s="1481"/>
      <c r="Z633" s="1481"/>
      <c r="AA633" s="1481"/>
      <c r="AB633" s="1481"/>
      <c r="AC633" s="1481"/>
      <c r="AD633" s="1481"/>
      <c r="AE633" s="1481"/>
      <c r="AF633" s="1481"/>
      <c r="AG633" s="1481"/>
    </row>
    <row r="634" spans="1:33" ht="15.75" customHeight="1">
      <c r="A634" s="1443"/>
      <c r="B634" s="1455" t="s">
        <v>7436</v>
      </c>
      <c r="C634" s="1457"/>
      <c r="D634" s="1445"/>
      <c r="E634" s="1445"/>
      <c r="F634" s="1446"/>
      <c r="G634" s="1446"/>
      <c r="H634" s="1447"/>
      <c r="I634" s="1448">
        <f t="shared" si="38"/>
        <v>0</v>
      </c>
      <c r="J634" s="1449"/>
      <c r="K634" s="1439"/>
      <c r="L634" s="1439"/>
      <c r="M634" s="1439"/>
      <c r="N634" s="1439"/>
      <c r="O634" s="1439"/>
      <c r="P634" s="1439"/>
      <c r="Q634" s="1439"/>
      <c r="R634" s="1439"/>
      <c r="S634" s="1439"/>
      <c r="T634" s="1439"/>
      <c r="U634" s="1439"/>
      <c r="V634" s="1439"/>
      <c r="W634" s="1439"/>
      <c r="X634" s="1439"/>
      <c r="Y634" s="1439"/>
      <c r="Z634" s="1439"/>
      <c r="AA634" s="1439"/>
      <c r="AB634" s="1439"/>
      <c r="AC634" s="1439"/>
      <c r="AD634" s="1439"/>
      <c r="AE634" s="1439"/>
      <c r="AF634" s="1439"/>
      <c r="AG634" s="1439"/>
    </row>
    <row r="635" spans="1:33" ht="15.75" customHeight="1">
      <c r="A635" s="1443"/>
      <c r="B635" s="1452" t="s">
        <v>6922</v>
      </c>
      <c r="C635" s="1457">
        <v>2</v>
      </c>
      <c r="D635" s="1453" t="s">
        <v>3364</v>
      </c>
      <c r="E635" s="1445">
        <v>-1</v>
      </c>
      <c r="F635" s="1446">
        <f>5.035+0.46</f>
        <v>5.4950000000000001</v>
      </c>
      <c r="G635" s="1446">
        <v>0.23</v>
      </c>
      <c r="H635" s="1447">
        <v>0.15</v>
      </c>
      <c r="I635" s="1448">
        <f t="shared" si="38"/>
        <v>-0.38</v>
      </c>
      <c r="J635" s="1449"/>
      <c r="K635" s="1439"/>
      <c r="L635" s="1439"/>
      <c r="M635" s="1439"/>
      <c r="N635" s="1439"/>
      <c r="O635" s="1439"/>
      <c r="P635" s="1439"/>
      <c r="Q635" s="1439"/>
      <c r="R635" s="1439"/>
      <c r="S635" s="1439"/>
      <c r="T635" s="1439"/>
      <c r="U635" s="1439"/>
      <c r="V635" s="1439"/>
      <c r="W635" s="1439"/>
      <c r="X635" s="1439"/>
      <c r="Y635" s="1439"/>
      <c r="Z635" s="1439"/>
      <c r="AA635" s="1439"/>
      <c r="AB635" s="1439"/>
      <c r="AC635" s="1439"/>
      <c r="AD635" s="1439"/>
      <c r="AE635" s="1439"/>
      <c r="AF635" s="1439"/>
      <c r="AG635" s="1439"/>
    </row>
    <row r="636" spans="1:33" ht="15.75" customHeight="1">
      <c r="A636" s="1443"/>
      <c r="B636" s="1452" t="s">
        <v>7451</v>
      </c>
      <c r="C636" s="1457">
        <v>1</v>
      </c>
      <c r="D636" s="1453" t="s">
        <v>3364</v>
      </c>
      <c r="E636" s="1445">
        <v>-1</v>
      </c>
      <c r="F636" s="1446">
        <f>4.57+0.46</f>
        <v>5.03</v>
      </c>
      <c r="G636" s="1446">
        <v>0.23</v>
      </c>
      <c r="H636" s="1447">
        <v>0.15</v>
      </c>
      <c r="I636" s="1448">
        <f t="shared" si="38"/>
        <v>-0.17</v>
      </c>
      <c r="J636" s="1449"/>
      <c r="K636" s="1439"/>
      <c r="L636" s="1439"/>
      <c r="M636" s="1439"/>
      <c r="N636" s="1439"/>
      <c r="O636" s="1439"/>
      <c r="P636" s="1439"/>
      <c r="Q636" s="1439"/>
      <c r="R636" s="1439"/>
      <c r="S636" s="1439"/>
      <c r="T636" s="1439"/>
      <c r="U636" s="1439"/>
      <c r="V636" s="1439"/>
      <c r="W636" s="1439"/>
      <c r="X636" s="1439"/>
      <c r="Y636" s="1439"/>
      <c r="Z636" s="1439"/>
      <c r="AA636" s="1439"/>
      <c r="AB636" s="1439"/>
      <c r="AC636" s="1439"/>
      <c r="AD636" s="1439"/>
      <c r="AE636" s="1439"/>
      <c r="AF636" s="1439"/>
      <c r="AG636" s="1439"/>
    </row>
    <row r="637" spans="1:33" ht="15.75" customHeight="1">
      <c r="A637" s="1443"/>
      <c r="B637" s="1452" t="s">
        <v>7452</v>
      </c>
      <c r="C637" s="1445">
        <v>2</v>
      </c>
      <c r="D637" s="1453" t="s">
        <v>3364</v>
      </c>
      <c r="E637" s="1445">
        <v>-1</v>
      </c>
      <c r="F637" s="1446">
        <f>5.7+6.3+2.53+10.47</f>
        <v>25</v>
      </c>
      <c r="G637" s="1454">
        <v>0.23</v>
      </c>
      <c r="H637" s="1447">
        <v>0.15</v>
      </c>
      <c r="I637" s="1448">
        <f t="shared" si="38"/>
        <v>-1.73</v>
      </c>
      <c r="J637" s="1449"/>
      <c r="K637" s="1439"/>
      <c r="L637" s="1439"/>
      <c r="M637" s="1439"/>
      <c r="N637" s="1439"/>
      <c r="O637" s="1439"/>
      <c r="P637" s="1439"/>
      <c r="Q637" s="1439"/>
      <c r="R637" s="1439"/>
      <c r="S637" s="1439"/>
      <c r="T637" s="1439"/>
      <c r="U637" s="1439"/>
      <c r="V637" s="1439"/>
      <c r="W637" s="1439"/>
      <c r="X637" s="1439"/>
      <c r="Y637" s="1439"/>
      <c r="Z637" s="1439"/>
      <c r="AA637" s="1439"/>
      <c r="AB637" s="1439"/>
      <c r="AC637" s="1439"/>
      <c r="AD637" s="1439"/>
      <c r="AE637" s="1439"/>
      <c r="AF637" s="1439"/>
      <c r="AG637" s="1439"/>
    </row>
    <row r="638" spans="1:33" ht="15.75" customHeight="1">
      <c r="A638" s="1443"/>
      <c r="B638" s="1455" t="s">
        <v>7471</v>
      </c>
      <c r="C638" s="1445"/>
      <c r="D638" s="1453"/>
      <c r="E638" s="1445"/>
      <c r="F638" s="1446"/>
      <c r="G638" s="1446"/>
      <c r="H638" s="1447"/>
      <c r="I638" s="1448">
        <f t="shared" si="38"/>
        <v>0</v>
      </c>
      <c r="J638" s="1449"/>
      <c r="K638" s="1439"/>
      <c r="L638" s="1439"/>
      <c r="M638" s="1439"/>
      <c r="N638" s="1439"/>
      <c r="O638" s="1439"/>
      <c r="P638" s="1439"/>
      <c r="Q638" s="1439"/>
      <c r="R638" s="1439"/>
      <c r="S638" s="1439"/>
      <c r="T638" s="1439"/>
      <c r="U638" s="1439"/>
      <c r="V638" s="1439"/>
      <c r="W638" s="1439"/>
      <c r="X638" s="1439"/>
      <c r="Y638" s="1439"/>
      <c r="Z638" s="1439"/>
      <c r="AA638" s="1439"/>
      <c r="AB638" s="1439"/>
      <c r="AC638" s="1439"/>
      <c r="AD638" s="1439"/>
      <c r="AE638" s="1439"/>
      <c r="AF638" s="1439"/>
      <c r="AG638" s="1439"/>
    </row>
    <row r="639" spans="1:33" ht="15.75" customHeight="1">
      <c r="A639" s="1443"/>
      <c r="B639" s="1452" t="s">
        <v>3396</v>
      </c>
      <c r="C639" s="1445">
        <v>3</v>
      </c>
      <c r="D639" s="1453" t="s">
        <v>3364</v>
      </c>
      <c r="E639" s="1445">
        <v>-1</v>
      </c>
      <c r="F639" s="1446">
        <v>1.2</v>
      </c>
      <c r="G639" s="1446">
        <v>0.23</v>
      </c>
      <c r="H639" s="1447">
        <v>2.1</v>
      </c>
      <c r="I639" s="1448">
        <f t="shared" si="38"/>
        <v>-1.74</v>
      </c>
      <c r="J639" s="1449"/>
      <c r="K639" s="1439"/>
      <c r="L639" s="1439"/>
      <c r="M639" s="1439"/>
      <c r="N639" s="1439"/>
      <c r="O639" s="1439"/>
      <c r="P639" s="1439"/>
      <c r="Q639" s="1439"/>
      <c r="R639" s="1439"/>
      <c r="S639" s="1439"/>
      <c r="T639" s="1439"/>
      <c r="U639" s="1439"/>
      <c r="V639" s="1439"/>
      <c r="W639" s="1439"/>
      <c r="X639" s="1439"/>
      <c r="Y639" s="1439"/>
      <c r="Z639" s="1439"/>
      <c r="AA639" s="1439"/>
      <c r="AB639" s="1439"/>
      <c r="AC639" s="1439"/>
      <c r="AD639" s="1439"/>
      <c r="AE639" s="1439"/>
      <c r="AF639" s="1439"/>
      <c r="AG639" s="1439"/>
    </row>
    <row r="640" spans="1:33" ht="15.75" customHeight="1">
      <c r="A640" s="1443"/>
      <c r="B640" s="1452" t="s">
        <v>3363</v>
      </c>
      <c r="C640" s="1445">
        <v>6</v>
      </c>
      <c r="D640" s="1453" t="s">
        <v>3364</v>
      </c>
      <c r="E640" s="1445">
        <v>-1</v>
      </c>
      <c r="F640" s="1446">
        <v>1</v>
      </c>
      <c r="G640" s="1446">
        <v>0.23</v>
      </c>
      <c r="H640" s="1447">
        <v>2.1</v>
      </c>
      <c r="I640" s="1448">
        <f t="shared" ref="I640:I646" si="39">PRODUCT(C640:H640)</f>
        <v>-2.9</v>
      </c>
      <c r="J640" s="1449"/>
      <c r="K640" s="1439"/>
      <c r="L640" s="1439"/>
      <c r="M640" s="1439"/>
      <c r="N640" s="1439"/>
      <c r="O640" s="1439"/>
      <c r="P640" s="1439"/>
      <c r="Q640" s="1439"/>
      <c r="R640" s="1439"/>
      <c r="S640" s="1439"/>
      <c r="T640" s="1439"/>
      <c r="U640" s="1439"/>
      <c r="V640" s="1439"/>
      <c r="W640" s="1439"/>
      <c r="X640" s="1439"/>
      <c r="Y640" s="1439"/>
      <c r="Z640" s="1439"/>
      <c r="AA640" s="1439"/>
      <c r="AB640" s="1439"/>
      <c r="AC640" s="1439"/>
      <c r="AD640" s="1439"/>
      <c r="AE640" s="1439"/>
      <c r="AF640" s="1439"/>
      <c r="AG640" s="1439"/>
    </row>
    <row r="641" spans="1:33" ht="15.75" customHeight="1">
      <c r="A641" s="1443"/>
      <c r="B641" s="1452" t="s">
        <v>3407</v>
      </c>
      <c r="C641" s="1445">
        <v>9</v>
      </c>
      <c r="D641" s="1453" t="s">
        <v>3364</v>
      </c>
      <c r="E641" s="1445">
        <v>-1</v>
      </c>
      <c r="F641" s="1446">
        <v>0.75</v>
      </c>
      <c r="G641" s="1446">
        <v>0.23</v>
      </c>
      <c r="H641" s="1447">
        <v>2.1</v>
      </c>
      <c r="I641" s="1448">
        <f t="shared" si="39"/>
        <v>-3.26</v>
      </c>
      <c r="J641" s="1449"/>
      <c r="K641" s="1439"/>
      <c r="L641" s="1439"/>
      <c r="M641" s="1439"/>
      <c r="N641" s="1439"/>
      <c r="O641" s="1439"/>
      <c r="P641" s="1439"/>
      <c r="Q641" s="1439"/>
      <c r="R641" s="1439"/>
      <c r="S641" s="1439"/>
      <c r="T641" s="1439"/>
      <c r="U641" s="1439"/>
      <c r="V641" s="1439"/>
      <c r="W641" s="1439"/>
      <c r="X641" s="1439"/>
      <c r="Y641" s="1439"/>
      <c r="Z641" s="1439"/>
      <c r="AA641" s="1439"/>
      <c r="AB641" s="1439"/>
      <c r="AC641" s="1439"/>
      <c r="AD641" s="1439"/>
      <c r="AE641" s="1439"/>
      <c r="AF641" s="1439"/>
      <c r="AG641" s="1439"/>
    </row>
    <row r="642" spans="1:33" ht="15.75" customHeight="1">
      <c r="A642" s="1443"/>
      <c r="B642" s="1452" t="s">
        <v>3497</v>
      </c>
      <c r="C642" s="1445">
        <v>1</v>
      </c>
      <c r="D642" s="1453" t="s">
        <v>3364</v>
      </c>
      <c r="E642" s="1445">
        <v>-1</v>
      </c>
      <c r="F642" s="1446">
        <v>1.8</v>
      </c>
      <c r="G642" s="1446">
        <v>0.23</v>
      </c>
      <c r="H642" s="1447">
        <v>2</v>
      </c>
      <c r="I642" s="1448">
        <f t="shared" si="39"/>
        <v>-0.83</v>
      </c>
      <c r="J642" s="1449"/>
      <c r="K642" s="1439"/>
      <c r="L642" s="1439"/>
      <c r="M642" s="1439"/>
      <c r="N642" s="1439"/>
      <c r="O642" s="1439"/>
      <c r="P642" s="1439"/>
      <c r="Q642" s="1439"/>
      <c r="R642" s="1439"/>
      <c r="S642" s="1439"/>
      <c r="T642" s="1439"/>
      <c r="U642" s="1439"/>
      <c r="V642" s="1439"/>
      <c r="W642" s="1439"/>
      <c r="X642" s="1439"/>
      <c r="Y642" s="1439"/>
      <c r="Z642" s="1439"/>
      <c r="AA642" s="1439"/>
      <c r="AB642" s="1439"/>
      <c r="AC642" s="1439"/>
      <c r="AD642" s="1439"/>
      <c r="AE642" s="1439"/>
      <c r="AF642" s="1439"/>
      <c r="AG642" s="1439"/>
    </row>
    <row r="643" spans="1:33" ht="15.75" customHeight="1">
      <c r="A643" s="1443"/>
      <c r="B643" s="1452" t="s">
        <v>3414</v>
      </c>
      <c r="C643" s="1445">
        <v>14</v>
      </c>
      <c r="D643" s="1453" t="s">
        <v>3364</v>
      </c>
      <c r="E643" s="1445">
        <v>-1</v>
      </c>
      <c r="F643" s="1446">
        <v>1.8</v>
      </c>
      <c r="G643" s="1446">
        <v>0.23</v>
      </c>
      <c r="H643" s="1447">
        <v>1.35</v>
      </c>
      <c r="I643" s="1448">
        <f t="shared" si="39"/>
        <v>-7.82</v>
      </c>
      <c r="J643" s="1449"/>
      <c r="K643" s="1439"/>
      <c r="L643" s="1439"/>
      <c r="M643" s="1439"/>
      <c r="N643" s="1439"/>
      <c r="O643" s="1439"/>
      <c r="P643" s="1439"/>
      <c r="Q643" s="1439"/>
      <c r="R643" s="1439"/>
      <c r="S643" s="1439"/>
      <c r="T643" s="1439"/>
      <c r="U643" s="1439"/>
      <c r="V643" s="1439"/>
      <c r="W643" s="1439"/>
      <c r="X643" s="1439"/>
      <c r="Y643" s="1439"/>
      <c r="Z643" s="1439"/>
      <c r="AA643" s="1439"/>
      <c r="AB643" s="1439"/>
      <c r="AC643" s="1439"/>
      <c r="AD643" s="1439"/>
      <c r="AE643" s="1439"/>
      <c r="AF643" s="1439"/>
      <c r="AG643" s="1439"/>
    </row>
    <row r="644" spans="1:33" ht="15.75" customHeight="1">
      <c r="A644" s="1443"/>
      <c r="B644" s="1452" t="s">
        <v>6964</v>
      </c>
      <c r="C644" s="1445">
        <v>3</v>
      </c>
      <c r="D644" s="1453" t="s">
        <v>3364</v>
      </c>
      <c r="E644" s="1445">
        <v>-1</v>
      </c>
      <c r="F644" s="1446">
        <v>0.9</v>
      </c>
      <c r="G644" s="1446">
        <v>0.23</v>
      </c>
      <c r="H644" s="1447">
        <v>0.6</v>
      </c>
      <c r="I644" s="1448">
        <f t="shared" si="39"/>
        <v>-0.37</v>
      </c>
      <c r="J644" s="1449"/>
      <c r="K644" s="1439"/>
      <c r="L644" s="1439"/>
      <c r="M644" s="1439"/>
      <c r="N644" s="1439"/>
      <c r="O644" s="1439"/>
      <c r="P644" s="1439"/>
      <c r="Q644" s="1439"/>
      <c r="R644" s="1439"/>
      <c r="S644" s="1439"/>
      <c r="T644" s="1439"/>
      <c r="U644" s="1439"/>
      <c r="V644" s="1439"/>
      <c r="W644" s="1439"/>
      <c r="X644" s="1439"/>
      <c r="Y644" s="1439"/>
      <c r="Z644" s="1439"/>
      <c r="AA644" s="1439"/>
      <c r="AB644" s="1439"/>
      <c r="AC644" s="1439"/>
      <c r="AD644" s="1439"/>
      <c r="AE644" s="1439"/>
      <c r="AF644" s="1439"/>
      <c r="AG644" s="1439"/>
    </row>
    <row r="645" spans="1:33" ht="16.5" customHeight="1">
      <c r="A645" s="1443"/>
      <c r="B645" s="1452" t="s">
        <v>3401</v>
      </c>
      <c r="C645" s="1445">
        <v>12</v>
      </c>
      <c r="D645" s="1453" t="s">
        <v>3364</v>
      </c>
      <c r="E645" s="1445">
        <v>-1</v>
      </c>
      <c r="F645" s="1446">
        <v>0.75</v>
      </c>
      <c r="G645" s="1446">
        <v>0.23</v>
      </c>
      <c r="H645" s="1447">
        <v>0.6</v>
      </c>
      <c r="I645" s="1448">
        <f t="shared" si="39"/>
        <v>-1.24</v>
      </c>
      <c r="J645" s="1449"/>
      <c r="K645" s="1439"/>
      <c r="L645" s="1439"/>
      <c r="M645" s="1439"/>
      <c r="N645" s="1439"/>
      <c r="O645" s="1439"/>
      <c r="P645" s="1439"/>
      <c r="Q645" s="1439"/>
      <c r="R645" s="1439"/>
      <c r="S645" s="1439"/>
      <c r="T645" s="1439"/>
      <c r="U645" s="1439"/>
      <c r="V645" s="1439"/>
      <c r="W645" s="1439"/>
      <c r="X645" s="1439"/>
      <c r="Y645" s="1439"/>
      <c r="Z645" s="1439"/>
      <c r="AA645" s="1439"/>
      <c r="AB645" s="1439"/>
      <c r="AC645" s="1439"/>
      <c r="AD645" s="1439"/>
      <c r="AE645" s="1439"/>
      <c r="AF645" s="1439"/>
      <c r="AG645" s="1439"/>
    </row>
    <row r="646" spans="1:33" ht="15.75" customHeight="1">
      <c r="A646" s="1443"/>
      <c r="B646" s="1452" t="s">
        <v>7413</v>
      </c>
      <c r="C646" s="1445">
        <v>1</v>
      </c>
      <c r="D646" s="1453" t="s">
        <v>3364</v>
      </c>
      <c r="E646" s="1445">
        <v>-1</v>
      </c>
      <c r="F646" s="1446">
        <v>0.9</v>
      </c>
      <c r="G646" s="1446">
        <v>0.23</v>
      </c>
      <c r="H646" s="1447">
        <v>2</v>
      </c>
      <c r="I646" s="1448">
        <f t="shared" si="39"/>
        <v>-0.41</v>
      </c>
      <c r="J646" s="1449"/>
      <c r="K646" s="1439"/>
      <c r="L646" s="1439"/>
      <c r="M646" s="1439"/>
      <c r="N646" s="1439"/>
      <c r="O646" s="1439"/>
      <c r="P646" s="1439"/>
      <c r="Q646" s="1439"/>
      <c r="R646" s="1439"/>
      <c r="S646" s="1439"/>
      <c r="T646" s="1439"/>
      <c r="U646" s="1439"/>
      <c r="V646" s="1439"/>
      <c r="W646" s="1439"/>
      <c r="X646" s="1439"/>
      <c r="Y646" s="1439"/>
      <c r="Z646" s="1439"/>
      <c r="AA646" s="1439"/>
      <c r="AB646" s="1439"/>
      <c r="AC646" s="1439"/>
      <c r="AD646" s="1439"/>
      <c r="AE646" s="1439"/>
      <c r="AF646" s="1439"/>
      <c r="AG646" s="1439"/>
    </row>
    <row r="647" spans="1:33" ht="15.75" customHeight="1">
      <c r="A647" s="1443"/>
      <c r="B647" s="1455" t="s">
        <v>7433</v>
      </c>
      <c r="C647" s="1445"/>
      <c r="D647" s="1453"/>
      <c r="E647" s="1445"/>
      <c r="F647" s="1446"/>
      <c r="G647" s="1446"/>
      <c r="H647" s="1447"/>
      <c r="I647" s="1448">
        <f t="shared" ref="I647:I652" si="40">PRODUCT(C647:H647)</f>
        <v>0</v>
      </c>
      <c r="J647" s="1449"/>
      <c r="K647" s="1439"/>
      <c r="L647" s="1439"/>
      <c r="M647" s="1439"/>
      <c r="N647" s="1439"/>
      <c r="O647" s="1439"/>
      <c r="P647" s="1439"/>
      <c r="Q647" s="1439"/>
      <c r="R647" s="1439"/>
      <c r="S647" s="1439"/>
      <c r="T647" s="1439"/>
      <c r="U647" s="1439"/>
      <c r="V647" s="1439"/>
      <c r="W647" s="1439"/>
      <c r="X647" s="1439"/>
      <c r="Y647" s="1439"/>
      <c r="Z647" s="1439"/>
      <c r="AA647" s="1439"/>
      <c r="AB647" s="1439"/>
      <c r="AC647" s="1439"/>
      <c r="AD647" s="1439"/>
      <c r="AE647" s="1439"/>
      <c r="AF647" s="1439"/>
      <c r="AG647" s="1439"/>
    </row>
    <row r="648" spans="1:33" ht="15.75" customHeight="1">
      <c r="A648" s="1443"/>
      <c r="B648" s="1452" t="s">
        <v>3396</v>
      </c>
      <c r="C648" s="1445">
        <v>3</v>
      </c>
      <c r="D648" s="1453" t="s">
        <v>3364</v>
      </c>
      <c r="E648" s="1445">
        <v>-1</v>
      </c>
      <c r="F648" s="1446">
        <v>1.2</v>
      </c>
      <c r="G648" s="1446">
        <v>0.23</v>
      </c>
      <c r="H648" s="1447">
        <v>0.15</v>
      </c>
      <c r="I648" s="1448">
        <f>PRODUCT(C648:H648)</f>
        <v>-0.12</v>
      </c>
      <c r="J648" s="1449"/>
      <c r="K648" s="1439"/>
      <c r="L648" s="1439"/>
      <c r="M648" s="1439"/>
      <c r="N648" s="1439"/>
      <c r="O648" s="1439"/>
      <c r="P648" s="1439"/>
      <c r="Q648" s="1439"/>
      <c r="R648" s="1439"/>
      <c r="S648" s="1439"/>
      <c r="T648" s="1439"/>
      <c r="U648" s="1439"/>
      <c r="V648" s="1439"/>
      <c r="W648" s="1439"/>
      <c r="X648" s="1439"/>
      <c r="Y648" s="1439"/>
      <c r="Z648" s="1439"/>
      <c r="AA648" s="1439"/>
      <c r="AB648" s="1439"/>
      <c r="AC648" s="1439"/>
      <c r="AD648" s="1439"/>
      <c r="AE648" s="1439"/>
      <c r="AF648" s="1439"/>
      <c r="AG648" s="1439"/>
    </row>
    <row r="649" spans="1:33" ht="15.75" customHeight="1">
      <c r="A649" s="1443"/>
      <c r="B649" s="1452" t="s">
        <v>3363</v>
      </c>
      <c r="C649" s="1445">
        <v>6</v>
      </c>
      <c r="D649" s="1453" t="s">
        <v>3364</v>
      </c>
      <c r="E649" s="1445">
        <v>-1</v>
      </c>
      <c r="F649" s="1446">
        <v>1.46</v>
      </c>
      <c r="G649" s="1446">
        <v>0.23</v>
      </c>
      <c r="H649" s="1447">
        <v>0.15</v>
      </c>
      <c r="I649" s="1448">
        <f t="shared" si="40"/>
        <v>-0.3</v>
      </c>
      <c r="J649" s="1449"/>
      <c r="K649" s="1439"/>
      <c r="L649" s="1439"/>
      <c r="M649" s="1439"/>
      <c r="N649" s="1439"/>
      <c r="O649" s="1439"/>
      <c r="P649" s="1439"/>
      <c r="Q649" s="1439"/>
      <c r="R649" s="1439"/>
      <c r="S649" s="1439"/>
      <c r="T649" s="1439"/>
      <c r="U649" s="1439"/>
      <c r="V649" s="1439"/>
      <c r="W649" s="1439"/>
      <c r="X649" s="1439"/>
      <c r="Y649" s="1439"/>
      <c r="Z649" s="1439"/>
      <c r="AA649" s="1439"/>
      <c r="AB649" s="1439"/>
      <c r="AC649" s="1439"/>
      <c r="AD649" s="1439"/>
      <c r="AE649" s="1439"/>
      <c r="AF649" s="1439"/>
      <c r="AG649" s="1439"/>
    </row>
    <row r="650" spans="1:33" ht="15.75" customHeight="1">
      <c r="A650" s="1443"/>
      <c r="B650" s="1452" t="s">
        <v>3407</v>
      </c>
      <c r="C650" s="1445">
        <v>9</v>
      </c>
      <c r="D650" s="1453" t="s">
        <v>3364</v>
      </c>
      <c r="E650" s="1445">
        <v>-1</v>
      </c>
      <c r="F650" s="1446">
        <v>1.21</v>
      </c>
      <c r="G650" s="1446">
        <v>0.23</v>
      </c>
      <c r="H650" s="1447">
        <v>0.15</v>
      </c>
      <c r="I650" s="1448">
        <f t="shared" si="40"/>
        <v>-0.38</v>
      </c>
      <c r="J650" s="1449"/>
      <c r="K650" s="1439"/>
      <c r="L650" s="1439"/>
      <c r="M650" s="1439"/>
      <c r="N650" s="1439"/>
      <c r="O650" s="1439"/>
      <c r="P650" s="1439"/>
      <c r="Q650" s="1439"/>
      <c r="R650" s="1439"/>
      <c r="S650" s="1439"/>
      <c r="T650" s="1439"/>
      <c r="U650" s="1439"/>
      <c r="V650" s="1439"/>
      <c r="W650" s="1439"/>
      <c r="X650" s="1439"/>
      <c r="Y650" s="1439"/>
      <c r="Z650" s="1439"/>
      <c r="AA650" s="1439"/>
      <c r="AB650" s="1439"/>
      <c r="AC650" s="1439"/>
      <c r="AD650" s="1439"/>
      <c r="AE650" s="1439"/>
      <c r="AF650" s="1439"/>
      <c r="AG650" s="1439"/>
    </row>
    <row r="651" spans="1:33" ht="15.75" customHeight="1">
      <c r="A651" s="1443"/>
      <c r="B651" s="1452" t="s">
        <v>3497</v>
      </c>
      <c r="C651" s="1445">
        <v>1</v>
      </c>
      <c r="D651" s="1453" t="s">
        <v>3364</v>
      </c>
      <c r="E651" s="1445">
        <v>-1</v>
      </c>
      <c r="F651" s="1446">
        <v>2.2599999999999998</v>
      </c>
      <c r="G651" s="1446">
        <v>0.23</v>
      </c>
      <c r="H651" s="1447">
        <v>0.15</v>
      </c>
      <c r="I651" s="1448">
        <f t="shared" si="40"/>
        <v>-0.08</v>
      </c>
      <c r="J651" s="1449"/>
      <c r="K651" s="1439"/>
      <c r="L651" s="1439"/>
      <c r="M651" s="1439"/>
      <c r="N651" s="1439"/>
      <c r="O651" s="1439"/>
      <c r="P651" s="1439"/>
      <c r="Q651" s="1439"/>
      <c r="R651" s="1439"/>
      <c r="S651" s="1439"/>
      <c r="T651" s="1439"/>
      <c r="U651" s="1439"/>
      <c r="V651" s="1439"/>
      <c r="W651" s="1439"/>
      <c r="X651" s="1439"/>
      <c r="Y651" s="1439"/>
      <c r="Z651" s="1439"/>
      <c r="AA651" s="1439"/>
      <c r="AB651" s="1439"/>
      <c r="AC651" s="1439"/>
      <c r="AD651" s="1439"/>
      <c r="AE651" s="1439"/>
      <c r="AF651" s="1439"/>
      <c r="AG651" s="1439"/>
    </row>
    <row r="652" spans="1:33" ht="15.75" customHeight="1">
      <c r="A652" s="1443"/>
      <c r="B652" s="1452" t="s">
        <v>3414</v>
      </c>
      <c r="C652" s="1445">
        <v>14</v>
      </c>
      <c r="D652" s="1453" t="s">
        <v>3364</v>
      </c>
      <c r="E652" s="1445">
        <v>-1</v>
      </c>
      <c r="F652" s="1446">
        <v>2.2599999999999998</v>
      </c>
      <c r="G652" s="1446">
        <v>0.23</v>
      </c>
      <c r="H652" s="1447">
        <v>0.15</v>
      </c>
      <c r="I652" s="1448">
        <f t="shared" si="40"/>
        <v>-1.0900000000000001</v>
      </c>
      <c r="J652" s="1449"/>
      <c r="K652" s="1439"/>
      <c r="L652" s="1439"/>
      <c r="M652" s="1439"/>
      <c r="N652" s="1439"/>
      <c r="O652" s="1439"/>
      <c r="P652" s="1439"/>
      <c r="Q652" s="1439"/>
      <c r="R652" s="1439"/>
      <c r="S652" s="1439"/>
      <c r="T652" s="1439"/>
      <c r="U652" s="1439"/>
      <c r="V652" s="1439"/>
      <c r="W652" s="1439"/>
      <c r="X652" s="1439"/>
      <c r="Y652" s="1439"/>
      <c r="Z652" s="1439"/>
      <c r="AA652" s="1439"/>
      <c r="AB652" s="1439"/>
      <c r="AC652" s="1439"/>
      <c r="AD652" s="1439"/>
      <c r="AE652" s="1439"/>
      <c r="AF652" s="1439"/>
      <c r="AG652" s="1439"/>
    </row>
    <row r="653" spans="1:33" ht="15.75" customHeight="1">
      <c r="A653" s="1443"/>
      <c r="B653" s="1452" t="s">
        <v>6964</v>
      </c>
      <c r="C653" s="1445">
        <v>3</v>
      </c>
      <c r="D653" s="1453" t="s">
        <v>3364</v>
      </c>
      <c r="E653" s="1445">
        <v>-1</v>
      </c>
      <c r="F653" s="1446">
        <v>1.36</v>
      </c>
      <c r="G653" s="1446">
        <v>0.23</v>
      </c>
      <c r="H653" s="1447">
        <v>0.15</v>
      </c>
      <c r="I653" s="1448">
        <f>PRODUCT(C653:H653)</f>
        <v>-0.14000000000000001</v>
      </c>
      <c r="J653" s="1449"/>
      <c r="K653" s="1439"/>
      <c r="L653" s="1439"/>
      <c r="M653" s="1439"/>
      <c r="N653" s="1439"/>
      <c r="O653" s="1439"/>
      <c r="P653" s="1439"/>
      <c r="Q653" s="1439"/>
      <c r="R653" s="1439"/>
      <c r="S653" s="1439"/>
      <c r="T653" s="1439"/>
      <c r="U653" s="1439"/>
      <c r="V653" s="1439"/>
      <c r="W653" s="1439"/>
      <c r="X653" s="1439"/>
      <c r="Y653" s="1439"/>
      <c r="Z653" s="1439"/>
      <c r="AA653" s="1439"/>
      <c r="AB653" s="1439"/>
      <c r="AC653" s="1439"/>
      <c r="AD653" s="1439"/>
      <c r="AE653" s="1439"/>
      <c r="AF653" s="1439"/>
      <c r="AG653" s="1439"/>
    </row>
    <row r="654" spans="1:33" ht="15.75" customHeight="1">
      <c r="A654" s="1443"/>
      <c r="B654" s="1452" t="s">
        <v>3401</v>
      </c>
      <c r="C654" s="1445">
        <v>12</v>
      </c>
      <c r="D654" s="1453" t="s">
        <v>3364</v>
      </c>
      <c r="E654" s="1445">
        <v>-1</v>
      </c>
      <c r="F654" s="1446">
        <v>1.21</v>
      </c>
      <c r="G654" s="1446">
        <v>0.23</v>
      </c>
      <c r="H654" s="1447">
        <v>0.15</v>
      </c>
      <c r="I654" s="1448">
        <f>PRODUCT(C654:H654)</f>
        <v>-0.5</v>
      </c>
      <c r="J654" s="1449"/>
      <c r="K654" s="1439"/>
      <c r="L654" s="1439"/>
      <c r="M654" s="1439"/>
      <c r="N654" s="1439"/>
      <c r="O654" s="1439"/>
      <c r="P654" s="1439"/>
      <c r="Q654" s="1439"/>
      <c r="R654" s="1439"/>
      <c r="S654" s="1439"/>
      <c r="T654" s="1439"/>
      <c r="U654" s="1439"/>
      <c r="V654" s="1439"/>
      <c r="W654" s="1439"/>
      <c r="X654" s="1439"/>
      <c r="Y654" s="1439"/>
      <c r="Z654" s="1439"/>
      <c r="AA654" s="1439"/>
      <c r="AB654" s="1439"/>
      <c r="AC654" s="1439"/>
      <c r="AD654" s="1439"/>
      <c r="AE654" s="1439"/>
      <c r="AF654" s="1439"/>
      <c r="AG654" s="1439"/>
    </row>
    <row r="655" spans="1:33" ht="21.75" customHeight="1">
      <c r="A655" s="1443"/>
      <c r="B655" s="1452" t="s">
        <v>7413</v>
      </c>
      <c r="C655" s="1445">
        <v>1</v>
      </c>
      <c r="D655" s="1453" t="s">
        <v>3364</v>
      </c>
      <c r="E655" s="1445">
        <v>-1</v>
      </c>
      <c r="F655" s="1446">
        <v>1.36</v>
      </c>
      <c r="G655" s="1446">
        <v>0.23</v>
      </c>
      <c r="H655" s="1447">
        <v>0.15</v>
      </c>
      <c r="I655" s="1448">
        <f>PRODUCT(C655:H655)</f>
        <v>-0.05</v>
      </c>
      <c r="J655" s="1449"/>
      <c r="K655" s="1439"/>
      <c r="L655" s="1439"/>
      <c r="M655" s="1439"/>
      <c r="N655" s="1439"/>
      <c r="O655" s="1439"/>
      <c r="P655" s="1439"/>
      <c r="Q655" s="1439"/>
      <c r="R655" s="1439"/>
      <c r="S655" s="1439"/>
      <c r="T655" s="1439"/>
      <c r="U655" s="1439"/>
      <c r="V655" s="1439"/>
      <c r="W655" s="1439"/>
      <c r="X655" s="1439"/>
      <c r="Y655" s="1439"/>
      <c r="Z655" s="1439"/>
      <c r="AA655" s="1439"/>
      <c r="AB655" s="1439"/>
      <c r="AC655" s="1439"/>
      <c r="AD655" s="1439"/>
      <c r="AE655" s="1439"/>
      <c r="AF655" s="1439"/>
      <c r="AG655" s="1439"/>
    </row>
    <row r="656" spans="1:33" ht="15.75" customHeight="1">
      <c r="A656" s="1443"/>
      <c r="B656" s="1469" t="s">
        <v>7466</v>
      </c>
      <c r="C656" s="1445"/>
      <c r="D656" s="1445"/>
      <c r="E656" s="1445"/>
      <c r="F656" s="1446"/>
      <c r="G656" s="1446"/>
      <c r="H656" s="1447"/>
      <c r="I656" s="1448"/>
      <c r="J656" s="1449"/>
      <c r="K656" s="1439"/>
      <c r="L656" s="1439"/>
      <c r="M656" s="1439"/>
      <c r="N656" s="1439"/>
      <c r="O656" s="1439"/>
      <c r="P656" s="1439"/>
      <c r="Q656" s="1439"/>
      <c r="R656" s="1439"/>
      <c r="S656" s="1439"/>
      <c r="T656" s="1439"/>
      <c r="U656" s="1439"/>
      <c r="V656" s="1439"/>
      <c r="W656" s="1439"/>
      <c r="X656" s="1439"/>
      <c r="Y656" s="1439"/>
      <c r="Z656" s="1439"/>
      <c r="AA656" s="1439"/>
      <c r="AB656" s="1439"/>
      <c r="AC656" s="1439"/>
      <c r="AD656" s="1439"/>
      <c r="AE656" s="1439"/>
      <c r="AF656" s="1439"/>
      <c r="AG656" s="1439"/>
    </row>
    <row r="657" spans="1:33" ht="15.75" customHeight="1">
      <c r="A657" s="1443"/>
      <c r="B657" s="1452" t="s">
        <v>7396</v>
      </c>
      <c r="C657" s="1445">
        <v>3</v>
      </c>
      <c r="D657" s="1453" t="s">
        <v>3364</v>
      </c>
      <c r="E657" s="1445">
        <v>-1</v>
      </c>
      <c r="F657" s="1446">
        <v>0.23</v>
      </c>
      <c r="G657" s="1454">
        <v>0.3</v>
      </c>
      <c r="H657" s="1447">
        <v>2.9</v>
      </c>
      <c r="I657" s="1448">
        <f t="shared" ref="I657:I664" si="41">PRODUCT(C657:H657)</f>
        <v>-0.6</v>
      </c>
      <c r="J657" s="1449"/>
      <c r="K657" s="1439"/>
      <c r="L657" s="1439"/>
      <c r="M657" s="1439"/>
      <c r="N657" s="1439"/>
      <c r="O657" s="1439"/>
      <c r="P657" s="1439"/>
      <c r="Q657" s="1439"/>
      <c r="R657" s="1439"/>
      <c r="S657" s="1439"/>
      <c r="T657" s="1439"/>
      <c r="U657" s="1439"/>
      <c r="V657" s="1439"/>
      <c r="W657" s="1439"/>
      <c r="X657" s="1439"/>
      <c r="Y657" s="1439"/>
      <c r="Z657" s="1439"/>
      <c r="AA657" s="1439"/>
      <c r="AB657" s="1439"/>
      <c r="AC657" s="1439"/>
      <c r="AD657" s="1439"/>
      <c r="AE657" s="1439"/>
      <c r="AF657" s="1439"/>
      <c r="AG657" s="1439"/>
    </row>
    <row r="658" spans="1:33" ht="15.75" customHeight="1">
      <c r="A658" s="1443"/>
      <c r="B658" s="1452" t="s">
        <v>7397</v>
      </c>
      <c r="C658" s="1445">
        <v>2</v>
      </c>
      <c r="D658" s="1453" t="s">
        <v>3364</v>
      </c>
      <c r="E658" s="1445">
        <v>-1</v>
      </c>
      <c r="F658" s="1446">
        <v>0.23</v>
      </c>
      <c r="G658" s="1446">
        <v>0.38</v>
      </c>
      <c r="H658" s="1447">
        <v>2.9</v>
      </c>
      <c r="I658" s="1448">
        <f t="shared" si="41"/>
        <v>-0.51</v>
      </c>
      <c r="J658" s="1449"/>
      <c r="K658" s="1439"/>
      <c r="L658" s="1439"/>
      <c r="M658" s="1439"/>
      <c r="N658" s="1439"/>
      <c r="O658" s="1439"/>
      <c r="P658" s="1439"/>
      <c r="Q658" s="1439"/>
      <c r="R658" s="1439"/>
      <c r="S658" s="1439"/>
      <c r="T658" s="1439"/>
      <c r="U658" s="1439"/>
      <c r="V658" s="1439"/>
      <c r="W658" s="1439"/>
      <c r="X658" s="1439"/>
      <c r="Y658" s="1439"/>
      <c r="Z658" s="1439"/>
      <c r="AA658" s="1439"/>
      <c r="AB658" s="1439"/>
      <c r="AC658" s="1439"/>
      <c r="AD658" s="1439"/>
      <c r="AE658" s="1439"/>
      <c r="AF658" s="1439"/>
      <c r="AG658" s="1439"/>
    </row>
    <row r="659" spans="1:33" ht="15.75" customHeight="1">
      <c r="A659" s="1443"/>
      <c r="B659" s="1452" t="s">
        <v>7398</v>
      </c>
      <c r="C659" s="1445">
        <v>4</v>
      </c>
      <c r="D659" s="1453" t="s">
        <v>3364</v>
      </c>
      <c r="E659" s="1445">
        <v>-1</v>
      </c>
      <c r="F659" s="1446">
        <v>0.23</v>
      </c>
      <c r="G659" s="1446">
        <v>0.45</v>
      </c>
      <c r="H659" s="1447">
        <v>2.9</v>
      </c>
      <c r="I659" s="1448">
        <f t="shared" si="41"/>
        <v>-1.2</v>
      </c>
      <c r="J659" s="1449"/>
      <c r="K659" s="1439"/>
      <c r="L659" s="1439">
        <f>3.6-0.45</f>
        <v>3.15</v>
      </c>
      <c r="M659" s="1439"/>
      <c r="N659" s="1439"/>
      <c r="O659" s="1439"/>
      <c r="P659" s="1439"/>
      <c r="Q659" s="1439"/>
      <c r="R659" s="1439"/>
      <c r="S659" s="1439"/>
      <c r="T659" s="1439"/>
      <c r="U659" s="1439"/>
      <c r="V659" s="1439"/>
      <c r="W659" s="1439"/>
      <c r="X659" s="1439"/>
      <c r="Y659" s="1439"/>
      <c r="Z659" s="1439"/>
      <c r="AA659" s="1439"/>
      <c r="AB659" s="1439"/>
      <c r="AC659" s="1439"/>
      <c r="AD659" s="1439"/>
      <c r="AE659" s="1439"/>
      <c r="AF659" s="1439"/>
      <c r="AG659" s="1439"/>
    </row>
    <row r="660" spans="1:33" ht="15.75" customHeight="1">
      <c r="A660" s="1443"/>
      <c r="B660" s="1452" t="s">
        <v>7399</v>
      </c>
      <c r="C660" s="1445">
        <v>5</v>
      </c>
      <c r="D660" s="1453" t="s">
        <v>3364</v>
      </c>
      <c r="E660" s="1445">
        <v>-1</v>
      </c>
      <c r="F660" s="1446">
        <v>0.23</v>
      </c>
      <c r="G660" s="1446">
        <v>0.45</v>
      </c>
      <c r="H660" s="1447">
        <v>2.9</v>
      </c>
      <c r="I660" s="1448">
        <f t="shared" si="41"/>
        <v>-1.5</v>
      </c>
      <c r="J660" s="1449"/>
      <c r="K660" s="1439"/>
      <c r="L660" s="1439"/>
      <c r="M660" s="1439"/>
      <c r="N660" s="1439"/>
      <c r="O660" s="1439"/>
      <c r="P660" s="1439"/>
      <c r="Q660" s="1439"/>
      <c r="R660" s="1439"/>
      <c r="S660" s="1439"/>
      <c r="T660" s="1439"/>
      <c r="U660" s="1439"/>
      <c r="V660" s="1439"/>
      <c r="W660" s="1439"/>
      <c r="X660" s="1439"/>
      <c r="Y660" s="1439"/>
      <c r="Z660" s="1439"/>
      <c r="AA660" s="1439"/>
      <c r="AB660" s="1439"/>
      <c r="AC660" s="1439"/>
      <c r="AD660" s="1439"/>
      <c r="AE660" s="1439"/>
      <c r="AF660" s="1439"/>
      <c r="AG660" s="1439"/>
    </row>
    <row r="661" spans="1:33" ht="15.75" customHeight="1">
      <c r="A661" s="1443"/>
      <c r="B661" s="1452" t="s">
        <v>7400</v>
      </c>
      <c r="C661" s="1445">
        <v>6</v>
      </c>
      <c r="D661" s="1453" t="s">
        <v>3364</v>
      </c>
      <c r="E661" s="1445">
        <v>-1</v>
      </c>
      <c r="F661" s="1446">
        <v>0.3</v>
      </c>
      <c r="G661" s="1446">
        <v>0.45</v>
      </c>
      <c r="H661" s="1447">
        <v>2.9</v>
      </c>
      <c r="I661" s="1448">
        <f t="shared" si="41"/>
        <v>-2.35</v>
      </c>
      <c r="J661" s="1449"/>
      <c r="K661" s="1439"/>
      <c r="L661" s="1439">
        <f>3-0.2-0.1-1.05</f>
        <v>1.65</v>
      </c>
      <c r="M661" s="1439"/>
      <c r="N661" s="1439"/>
      <c r="O661" s="1439"/>
      <c r="P661" s="1439"/>
      <c r="Q661" s="1439"/>
      <c r="R661" s="1439"/>
      <c r="S661" s="1439"/>
      <c r="T661" s="1439"/>
      <c r="U661" s="1439"/>
      <c r="V661" s="1439"/>
      <c r="W661" s="1439"/>
      <c r="X661" s="1439"/>
      <c r="Y661" s="1439"/>
      <c r="Z661" s="1439"/>
      <c r="AA661" s="1439"/>
      <c r="AB661" s="1439"/>
      <c r="AC661" s="1439"/>
      <c r="AD661" s="1439"/>
      <c r="AE661" s="1439"/>
      <c r="AF661" s="1439"/>
      <c r="AG661" s="1439"/>
    </row>
    <row r="662" spans="1:33" ht="15.75" customHeight="1">
      <c r="A662" s="1443"/>
      <c r="B662" s="1452" t="s">
        <v>7401</v>
      </c>
      <c r="C662" s="1445">
        <v>6</v>
      </c>
      <c r="D662" s="1453" t="s">
        <v>3364</v>
      </c>
      <c r="E662" s="1445">
        <v>-1</v>
      </c>
      <c r="F662" s="1446">
        <v>0.3</v>
      </c>
      <c r="G662" s="1446">
        <v>0.45</v>
      </c>
      <c r="H662" s="1447">
        <v>2.9</v>
      </c>
      <c r="I662" s="1448">
        <f t="shared" si="41"/>
        <v>-2.35</v>
      </c>
      <c r="J662" s="1449"/>
      <c r="K662" s="1439"/>
      <c r="L662" s="1439">
        <f>1.65+1</f>
        <v>2.65</v>
      </c>
      <c r="M662" s="1439"/>
      <c r="N662" s="1439"/>
      <c r="O662" s="1439"/>
      <c r="P662" s="1439"/>
      <c r="Q662" s="1439"/>
      <c r="R662" s="1439"/>
      <c r="S662" s="1439"/>
      <c r="T662" s="1439"/>
      <c r="U662" s="1439"/>
      <c r="V662" s="1439"/>
      <c r="W662" s="1439"/>
      <c r="X662" s="1439"/>
      <c r="Y662" s="1439"/>
      <c r="Z662" s="1439"/>
      <c r="AA662" s="1439"/>
      <c r="AB662" s="1439"/>
      <c r="AC662" s="1439"/>
      <c r="AD662" s="1439"/>
      <c r="AE662" s="1439"/>
      <c r="AF662" s="1439"/>
      <c r="AG662" s="1439"/>
    </row>
    <row r="663" spans="1:33" ht="15.75" customHeight="1">
      <c r="A663" s="1443"/>
      <c r="B663" s="1452" t="s">
        <v>7402</v>
      </c>
      <c r="C663" s="1445">
        <v>2</v>
      </c>
      <c r="D663" s="1453" t="s">
        <v>3364</v>
      </c>
      <c r="E663" s="1445">
        <v>-1</v>
      </c>
      <c r="F663" s="1446">
        <v>0.3</v>
      </c>
      <c r="G663" s="1446">
        <v>0.6</v>
      </c>
      <c r="H663" s="1447">
        <v>2.9</v>
      </c>
      <c r="I663" s="1448">
        <f t="shared" si="41"/>
        <v>-1.04</v>
      </c>
      <c r="J663" s="1449"/>
      <c r="K663" s="1439"/>
      <c r="L663" s="1439"/>
      <c r="M663" s="1439"/>
      <c r="N663" s="1439"/>
      <c r="O663" s="1439"/>
      <c r="P663" s="1439"/>
      <c r="Q663" s="1439"/>
      <c r="R663" s="1439"/>
      <c r="S663" s="1439"/>
      <c r="T663" s="1439"/>
      <c r="U663" s="1439"/>
      <c r="V663" s="1439"/>
      <c r="W663" s="1439"/>
      <c r="X663" s="1439"/>
      <c r="Y663" s="1439"/>
      <c r="Z663" s="1439"/>
      <c r="AA663" s="1439"/>
      <c r="AB663" s="1439"/>
      <c r="AC663" s="1439"/>
      <c r="AD663" s="1439"/>
      <c r="AE663" s="1439"/>
      <c r="AF663" s="1439"/>
      <c r="AG663" s="1439"/>
    </row>
    <row r="664" spans="1:33" ht="15.75" customHeight="1">
      <c r="A664" s="1443"/>
      <c r="B664" s="1452" t="s">
        <v>7403</v>
      </c>
      <c r="C664" s="1445">
        <v>6</v>
      </c>
      <c r="D664" s="1453" t="s">
        <v>3364</v>
      </c>
      <c r="E664" s="1445">
        <v>-1</v>
      </c>
      <c r="F664" s="1446">
        <v>0.3</v>
      </c>
      <c r="G664" s="1446">
        <v>0.6</v>
      </c>
      <c r="H664" s="1447">
        <v>2.9</v>
      </c>
      <c r="I664" s="1448">
        <f t="shared" si="41"/>
        <v>-3.13</v>
      </c>
      <c r="J664" s="1449"/>
      <c r="K664" s="1439"/>
      <c r="L664" s="1439"/>
      <c r="M664" s="1439"/>
      <c r="N664" s="1439"/>
      <c r="O664" s="1439"/>
      <c r="P664" s="1439"/>
      <c r="Q664" s="1439"/>
      <c r="R664" s="1439"/>
      <c r="S664" s="1439"/>
      <c r="T664" s="1439"/>
      <c r="U664" s="1439"/>
      <c r="V664" s="1439"/>
      <c r="W664" s="1439"/>
      <c r="X664" s="1439"/>
      <c r="Y664" s="1439"/>
      <c r="Z664" s="1439"/>
      <c r="AA664" s="1439"/>
      <c r="AB664" s="1439"/>
      <c r="AC664" s="1439"/>
      <c r="AD664" s="1439"/>
      <c r="AE664" s="1439"/>
      <c r="AF664" s="1439"/>
      <c r="AG664" s="1439"/>
    </row>
    <row r="665" spans="1:33" ht="15.75" customHeight="1">
      <c r="A665" s="1443"/>
      <c r="B665" s="1469" t="s">
        <v>7473</v>
      </c>
      <c r="C665" s="1445"/>
      <c r="D665" s="1445"/>
      <c r="E665" s="1445"/>
      <c r="F665" s="1446"/>
      <c r="G665" s="1446"/>
      <c r="H665" s="1447"/>
      <c r="I665" s="1448"/>
      <c r="J665" s="1449"/>
      <c r="K665" s="1439"/>
      <c r="L665" s="1439"/>
      <c r="M665" s="1439"/>
      <c r="N665" s="1439"/>
      <c r="O665" s="1439"/>
      <c r="P665" s="1439"/>
      <c r="Q665" s="1439"/>
      <c r="R665" s="1439"/>
      <c r="S665" s="1439"/>
      <c r="T665" s="1439"/>
      <c r="U665" s="1439"/>
      <c r="V665" s="1439"/>
      <c r="W665" s="1439"/>
      <c r="X665" s="1439"/>
      <c r="Y665" s="1439"/>
      <c r="Z665" s="1439"/>
      <c r="AA665" s="1439"/>
      <c r="AB665" s="1439"/>
      <c r="AC665" s="1439"/>
      <c r="AD665" s="1439"/>
      <c r="AE665" s="1439"/>
      <c r="AF665" s="1439"/>
      <c r="AG665" s="1439"/>
    </row>
    <row r="666" spans="1:33" ht="15.75" customHeight="1">
      <c r="A666" s="1443"/>
      <c r="B666" s="1452" t="s">
        <v>7396</v>
      </c>
      <c r="C666" s="1445">
        <v>3</v>
      </c>
      <c r="D666" s="1453" t="s">
        <v>3364</v>
      </c>
      <c r="E666" s="1445">
        <v>-1</v>
      </c>
      <c r="F666" s="1446">
        <v>0.23</v>
      </c>
      <c r="G666" s="1454">
        <v>0.3</v>
      </c>
      <c r="H666" s="1447">
        <v>1.2</v>
      </c>
      <c r="I666" s="1448">
        <f t="shared" ref="I666:I671" si="42">PRODUCT(C666:H666)</f>
        <v>-0.25</v>
      </c>
      <c r="J666" s="1449"/>
      <c r="K666" s="1439"/>
      <c r="L666" s="1439"/>
      <c r="M666" s="1439"/>
      <c r="N666" s="1439"/>
      <c r="O666" s="1439"/>
      <c r="P666" s="1439"/>
      <c r="Q666" s="1439"/>
      <c r="R666" s="1439"/>
      <c r="S666" s="1439"/>
      <c r="T666" s="1439"/>
      <c r="U666" s="1439"/>
      <c r="V666" s="1439"/>
      <c r="W666" s="1439"/>
      <c r="X666" s="1439"/>
      <c r="Y666" s="1439"/>
      <c r="Z666" s="1439"/>
      <c r="AA666" s="1439"/>
      <c r="AB666" s="1439"/>
      <c r="AC666" s="1439"/>
      <c r="AD666" s="1439"/>
      <c r="AE666" s="1439"/>
      <c r="AF666" s="1439"/>
      <c r="AG666" s="1439"/>
    </row>
    <row r="667" spans="1:33" ht="15.75" customHeight="1">
      <c r="A667" s="1443"/>
      <c r="B667" s="1452" t="s">
        <v>7397</v>
      </c>
      <c r="C667" s="1445">
        <v>1</v>
      </c>
      <c r="D667" s="1453" t="s">
        <v>3364</v>
      </c>
      <c r="E667" s="1445">
        <v>-1</v>
      </c>
      <c r="F667" s="1446">
        <v>0.23</v>
      </c>
      <c r="G667" s="1446">
        <v>0.38</v>
      </c>
      <c r="H667" s="1447">
        <v>1.2</v>
      </c>
      <c r="I667" s="1448">
        <f t="shared" si="42"/>
        <v>-0.1</v>
      </c>
      <c r="J667" s="1449"/>
      <c r="K667" s="1439"/>
      <c r="L667" s="1439"/>
      <c r="M667" s="1439"/>
      <c r="N667" s="1439"/>
      <c r="O667" s="1439"/>
      <c r="P667" s="1439"/>
      <c r="Q667" s="1439"/>
      <c r="R667" s="1439"/>
      <c r="S667" s="1439"/>
      <c r="T667" s="1439"/>
      <c r="U667" s="1439"/>
      <c r="V667" s="1439"/>
      <c r="W667" s="1439"/>
      <c r="X667" s="1439"/>
      <c r="Y667" s="1439"/>
      <c r="Z667" s="1439"/>
      <c r="AA667" s="1439"/>
      <c r="AB667" s="1439"/>
      <c r="AC667" s="1439"/>
      <c r="AD667" s="1439"/>
      <c r="AE667" s="1439"/>
      <c r="AF667" s="1439"/>
      <c r="AG667" s="1439"/>
    </row>
    <row r="668" spans="1:33" ht="15.75" customHeight="1">
      <c r="A668" s="1443"/>
      <c r="B668" s="1452" t="s">
        <v>7398</v>
      </c>
      <c r="C668" s="1445">
        <v>4</v>
      </c>
      <c r="D668" s="1453" t="s">
        <v>3364</v>
      </c>
      <c r="E668" s="1445">
        <v>-1</v>
      </c>
      <c r="F668" s="1446">
        <v>0.23</v>
      </c>
      <c r="G668" s="1446">
        <v>0.45</v>
      </c>
      <c r="H668" s="1447">
        <v>1.2</v>
      </c>
      <c r="I668" s="1448">
        <f t="shared" si="42"/>
        <v>-0.5</v>
      </c>
      <c r="J668" s="1449"/>
      <c r="K668" s="1439"/>
      <c r="L668" s="1439">
        <f>3.6-0.45</f>
        <v>3.15</v>
      </c>
      <c r="M668" s="1439"/>
      <c r="N668" s="1439"/>
      <c r="O668" s="1439"/>
      <c r="P668" s="1439"/>
      <c r="Q668" s="1439"/>
      <c r="R668" s="1439"/>
      <c r="S668" s="1439"/>
      <c r="T668" s="1439"/>
      <c r="U668" s="1439"/>
      <c r="V668" s="1439"/>
      <c r="W668" s="1439"/>
      <c r="X668" s="1439"/>
      <c r="Y668" s="1439"/>
      <c r="Z668" s="1439"/>
      <c r="AA668" s="1439"/>
      <c r="AB668" s="1439"/>
      <c r="AC668" s="1439"/>
      <c r="AD668" s="1439"/>
      <c r="AE668" s="1439"/>
      <c r="AF668" s="1439"/>
      <c r="AG668" s="1439"/>
    </row>
    <row r="669" spans="1:33" ht="15.75" customHeight="1">
      <c r="A669" s="1443"/>
      <c r="B669" s="1452" t="s">
        <v>7399</v>
      </c>
      <c r="C669" s="1445">
        <v>5</v>
      </c>
      <c r="D669" s="1453" t="s">
        <v>3364</v>
      </c>
      <c r="E669" s="1445">
        <v>-1</v>
      </c>
      <c r="F669" s="1446">
        <v>0.23</v>
      </c>
      <c r="G669" s="1446">
        <v>0.45</v>
      </c>
      <c r="H669" s="1447">
        <v>1.2</v>
      </c>
      <c r="I669" s="1448">
        <f t="shared" si="42"/>
        <v>-0.62</v>
      </c>
      <c r="J669" s="1449"/>
      <c r="K669" s="1439"/>
      <c r="L669" s="1439"/>
      <c r="M669" s="1439"/>
      <c r="N669" s="1439"/>
      <c r="O669" s="1439"/>
      <c r="P669" s="1439"/>
      <c r="Q669" s="1439"/>
      <c r="R669" s="1439"/>
      <c r="S669" s="1439"/>
      <c r="T669" s="1439"/>
      <c r="U669" s="1439"/>
      <c r="V669" s="1439"/>
      <c r="W669" s="1439"/>
      <c r="X669" s="1439"/>
      <c r="Y669" s="1439"/>
      <c r="Z669" s="1439"/>
      <c r="AA669" s="1439"/>
      <c r="AB669" s="1439"/>
      <c r="AC669" s="1439"/>
      <c r="AD669" s="1439"/>
      <c r="AE669" s="1439"/>
      <c r="AF669" s="1439"/>
      <c r="AG669" s="1439"/>
    </row>
    <row r="670" spans="1:33" ht="15.75" customHeight="1">
      <c r="A670" s="1443"/>
      <c r="B670" s="1452" t="s">
        <v>7400</v>
      </c>
      <c r="C670" s="1445">
        <v>6</v>
      </c>
      <c r="D670" s="1453" t="s">
        <v>3364</v>
      </c>
      <c r="E670" s="1445">
        <v>-1</v>
      </c>
      <c r="F670" s="1446">
        <v>0.3</v>
      </c>
      <c r="G670" s="1446">
        <v>0.45</v>
      </c>
      <c r="H670" s="1447">
        <v>1.2</v>
      </c>
      <c r="I670" s="1448">
        <f t="shared" si="42"/>
        <v>-0.97</v>
      </c>
      <c r="J670" s="1449"/>
      <c r="K670" s="1439"/>
      <c r="L670" s="1439">
        <f>3-0.2-0.1-1.05</f>
        <v>1.65</v>
      </c>
      <c r="M670" s="1439"/>
      <c r="N670" s="1439"/>
      <c r="O670" s="1439"/>
      <c r="P670" s="1439"/>
      <c r="Q670" s="1439"/>
      <c r="R670" s="1439"/>
      <c r="S670" s="1439"/>
      <c r="T670" s="1439"/>
      <c r="U670" s="1439"/>
      <c r="V670" s="1439"/>
      <c r="W670" s="1439"/>
      <c r="X670" s="1439"/>
      <c r="Y670" s="1439"/>
      <c r="Z670" s="1439"/>
      <c r="AA670" s="1439"/>
      <c r="AB670" s="1439"/>
      <c r="AC670" s="1439"/>
      <c r="AD670" s="1439"/>
      <c r="AE670" s="1439"/>
      <c r="AF670" s="1439"/>
      <c r="AG670" s="1439"/>
    </row>
    <row r="671" spans="1:33" ht="15.75" customHeight="1">
      <c r="A671" s="1443"/>
      <c r="B671" s="1452" t="s">
        <v>7401</v>
      </c>
      <c r="C671" s="1445">
        <v>6</v>
      </c>
      <c r="D671" s="1453" t="s">
        <v>3364</v>
      </c>
      <c r="E671" s="1445">
        <v>-1</v>
      </c>
      <c r="F671" s="1446">
        <v>0.3</v>
      </c>
      <c r="G671" s="1446">
        <v>0.45</v>
      </c>
      <c r="H671" s="1447">
        <v>1.2</v>
      </c>
      <c r="I671" s="1448">
        <f t="shared" si="42"/>
        <v>-0.97</v>
      </c>
      <c r="J671" s="1449"/>
      <c r="K671" s="1439"/>
      <c r="L671" s="1439">
        <f>1.65+1</f>
        <v>2.65</v>
      </c>
      <c r="M671" s="1439"/>
      <c r="N671" s="1439"/>
      <c r="O671" s="1439"/>
      <c r="P671" s="1439"/>
      <c r="Q671" s="1439"/>
      <c r="R671" s="1439"/>
      <c r="S671" s="1439"/>
      <c r="T671" s="1439"/>
      <c r="U671" s="1439"/>
      <c r="V671" s="1439"/>
      <c r="W671" s="1439"/>
      <c r="X671" s="1439"/>
      <c r="Y671" s="1439"/>
      <c r="Z671" s="1439"/>
      <c r="AA671" s="1439"/>
      <c r="AB671" s="1439"/>
      <c r="AC671" s="1439"/>
      <c r="AD671" s="1439"/>
      <c r="AE671" s="1439"/>
      <c r="AF671" s="1439"/>
      <c r="AG671" s="1439"/>
    </row>
    <row r="672" spans="1:33" ht="15.75" customHeight="1">
      <c r="A672" s="1470"/>
      <c r="B672" s="1450"/>
      <c r="C672" s="1484"/>
      <c r="D672" s="1484"/>
      <c r="E672" s="1484"/>
      <c r="F672" s="1446"/>
      <c r="G672" s="1458" t="s">
        <v>104</v>
      </c>
      <c r="H672" s="1447"/>
      <c r="I672" s="1479">
        <f>SUM(I622:I671)</f>
        <v>128.86000000000001</v>
      </c>
      <c r="J672" s="1449"/>
      <c r="K672" s="1439"/>
      <c r="L672" s="1439"/>
      <c r="M672" s="1439"/>
      <c r="N672" s="1439"/>
      <c r="O672" s="1439"/>
      <c r="P672" s="1439"/>
      <c r="Q672" s="1439"/>
      <c r="R672" s="1439"/>
      <c r="S672" s="1439"/>
      <c r="T672" s="1439"/>
      <c r="U672" s="1439"/>
      <c r="V672" s="1439"/>
      <c r="W672" s="1439"/>
      <c r="X672" s="1439"/>
      <c r="Y672" s="1439"/>
      <c r="Z672" s="1439"/>
      <c r="AA672" s="1439"/>
      <c r="AB672" s="1439"/>
      <c r="AC672" s="1439"/>
      <c r="AD672" s="1439"/>
      <c r="AE672" s="1439"/>
      <c r="AF672" s="1439"/>
      <c r="AG672" s="1439"/>
    </row>
    <row r="673" spans="1:33" ht="15.75" customHeight="1">
      <c r="A673" s="1470"/>
      <c r="B673" s="1450"/>
      <c r="C673" s="1484"/>
      <c r="D673" s="1484"/>
      <c r="E673" s="1484"/>
      <c r="F673" s="1446"/>
      <c r="G673" s="1446"/>
      <c r="H673" s="1460" t="s">
        <v>2981</v>
      </c>
      <c r="I673" s="1459">
        <f>CEILING(I672,0.1)</f>
        <v>128.9</v>
      </c>
      <c r="J673" s="1449" t="s">
        <v>5</v>
      </c>
      <c r="K673" s="1439"/>
      <c r="L673" s="1439"/>
      <c r="M673" s="1439"/>
      <c r="N673" s="1439"/>
      <c r="O673" s="1439"/>
      <c r="P673" s="1439"/>
      <c r="Q673" s="1439"/>
      <c r="R673" s="1439"/>
      <c r="S673" s="1439"/>
      <c r="T673" s="1439"/>
      <c r="U673" s="1439"/>
      <c r="V673" s="1439"/>
      <c r="W673" s="1439"/>
      <c r="X673" s="1439"/>
      <c r="Y673" s="1439"/>
      <c r="Z673" s="1439"/>
      <c r="AA673" s="1439"/>
      <c r="AB673" s="1439"/>
      <c r="AC673" s="1439"/>
      <c r="AD673" s="1439"/>
      <c r="AE673" s="1439"/>
      <c r="AF673" s="1439"/>
      <c r="AG673" s="1439"/>
    </row>
    <row r="674" spans="1:33" ht="18.75" customHeight="1">
      <c r="A674" s="1448"/>
      <c r="B674" s="1485" t="s">
        <v>7068</v>
      </c>
      <c r="C674" s="1445"/>
      <c r="D674" s="1447"/>
      <c r="E674" s="1445"/>
      <c r="F674" s="1446"/>
      <c r="G674" s="1446"/>
      <c r="H674" s="1447"/>
      <c r="I674" s="1448"/>
      <c r="J674" s="1449"/>
      <c r="K674" s="1481"/>
      <c r="L674" s="1481"/>
      <c r="M674" s="1481"/>
      <c r="N674" s="1481"/>
      <c r="O674" s="1481"/>
      <c r="P674" s="1481"/>
      <c r="Q674" s="1481"/>
      <c r="R674" s="1481"/>
      <c r="S674" s="1481"/>
      <c r="T674" s="1481"/>
      <c r="U674" s="1481"/>
      <c r="V674" s="1481"/>
      <c r="W674" s="1481"/>
      <c r="X674" s="1481"/>
      <c r="Y674" s="1481"/>
      <c r="Z674" s="1481"/>
      <c r="AA674" s="1481"/>
      <c r="AB674" s="1481"/>
      <c r="AC674" s="1481"/>
      <c r="AD674" s="1481"/>
      <c r="AE674" s="1481"/>
      <c r="AF674" s="1481"/>
      <c r="AG674" s="1481"/>
    </row>
    <row r="675" spans="1:33" ht="18.75" customHeight="1">
      <c r="A675" s="1448"/>
      <c r="B675" s="1480" t="s">
        <v>7069</v>
      </c>
      <c r="C675" s="1445">
        <v>1</v>
      </c>
      <c r="D675" s="1447" t="s">
        <v>3364</v>
      </c>
      <c r="E675" s="1445">
        <v>2</v>
      </c>
      <c r="F675" s="1446">
        <v>11.35</v>
      </c>
      <c r="G675" s="1446">
        <v>0.23</v>
      </c>
      <c r="H675" s="1447">
        <f>3-1.2</f>
        <v>1.8</v>
      </c>
      <c r="I675" s="1448">
        <f t="shared" ref="I675:I682" si="43">PRODUCT(C675:H675)</f>
        <v>9.4</v>
      </c>
      <c r="J675" s="1449"/>
      <c r="K675" s="1481"/>
      <c r="L675" s="1481"/>
      <c r="M675" s="1481"/>
      <c r="N675" s="1481"/>
      <c r="O675" s="1481"/>
      <c r="P675" s="1481"/>
      <c r="Q675" s="1481"/>
      <c r="R675" s="1481"/>
      <c r="S675" s="1481"/>
      <c r="T675" s="1481"/>
      <c r="U675" s="1481"/>
      <c r="V675" s="1481"/>
      <c r="W675" s="1481"/>
      <c r="X675" s="1481"/>
      <c r="Y675" s="1481"/>
      <c r="Z675" s="1481"/>
      <c r="AA675" s="1481"/>
      <c r="AB675" s="1481"/>
      <c r="AC675" s="1481"/>
      <c r="AD675" s="1481"/>
      <c r="AE675" s="1481"/>
      <c r="AF675" s="1481"/>
      <c r="AG675" s="1481"/>
    </row>
    <row r="676" spans="1:33" ht="18.75" customHeight="1">
      <c r="A676" s="1448"/>
      <c r="B676" s="1480" t="s">
        <v>7070</v>
      </c>
      <c r="C676" s="1445">
        <v>1</v>
      </c>
      <c r="D676" s="1447" t="s">
        <v>3364</v>
      </c>
      <c r="E676" s="1445">
        <v>2</v>
      </c>
      <c r="F676" s="1446">
        <v>3.34</v>
      </c>
      <c r="G676" s="1446">
        <v>0.23</v>
      </c>
      <c r="H676" s="1447">
        <f>3-1.2</f>
        <v>1.8</v>
      </c>
      <c r="I676" s="1448">
        <f t="shared" si="43"/>
        <v>2.77</v>
      </c>
      <c r="J676" s="1449"/>
      <c r="K676" s="1481"/>
      <c r="L676" s="1481"/>
      <c r="M676" s="1481"/>
      <c r="N676" s="1481"/>
      <c r="O676" s="1481"/>
      <c r="P676" s="1481"/>
      <c r="Q676" s="1481"/>
      <c r="R676" s="1481"/>
      <c r="S676" s="1481"/>
      <c r="T676" s="1481"/>
      <c r="U676" s="1481"/>
      <c r="V676" s="1481"/>
      <c r="W676" s="1481"/>
      <c r="X676" s="1481"/>
      <c r="Y676" s="1481"/>
      <c r="Z676" s="1481"/>
      <c r="AA676" s="1481"/>
      <c r="AB676" s="1481"/>
      <c r="AC676" s="1481"/>
      <c r="AD676" s="1481"/>
      <c r="AE676" s="1481"/>
      <c r="AF676" s="1481"/>
      <c r="AG676" s="1481"/>
    </row>
    <row r="677" spans="1:33" ht="18.75" customHeight="1">
      <c r="A677" s="1448"/>
      <c r="B677" s="1480" t="s">
        <v>7057</v>
      </c>
      <c r="C677" s="1445">
        <v>1</v>
      </c>
      <c r="D677" s="1447" t="s">
        <v>3364</v>
      </c>
      <c r="E677" s="1445">
        <v>1</v>
      </c>
      <c r="F677" s="1446">
        <v>2.2999999999999998</v>
      </c>
      <c r="G677" s="1446">
        <v>0.23</v>
      </c>
      <c r="H677" s="1447">
        <f>3-1.2</f>
        <v>1.8</v>
      </c>
      <c r="I677" s="1448">
        <f t="shared" si="43"/>
        <v>0.95</v>
      </c>
      <c r="J677" s="1449"/>
      <c r="K677" s="1481"/>
      <c r="L677" s="1481"/>
      <c r="M677" s="1481"/>
      <c r="N677" s="1481"/>
      <c r="O677" s="1481"/>
      <c r="P677" s="1481"/>
      <c r="Q677" s="1481"/>
      <c r="R677" s="1481"/>
      <c r="S677" s="1481"/>
      <c r="T677" s="1481"/>
      <c r="U677" s="1481"/>
      <c r="V677" s="1481"/>
      <c r="W677" s="1481"/>
      <c r="X677" s="1481"/>
      <c r="Y677" s="1481"/>
      <c r="Z677" s="1481"/>
      <c r="AA677" s="1481"/>
      <c r="AB677" s="1481"/>
      <c r="AC677" s="1481"/>
      <c r="AD677" s="1481"/>
      <c r="AE677" s="1481"/>
      <c r="AF677" s="1481"/>
      <c r="AG677" s="1481"/>
    </row>
    <row r="678" spans="1:33" ht="18.75" customHeight="1">
      <c r="A678" s="1448"/>
      <c r="B678" s="1480" t="s">
        <v>7066</v>
      </c>
      <c r="C678" s="1445"/>
      <c r="D678" s="1447"/>
      <c r="E678" s="1445"/>
      <c r="F678" s="1446"/>
      <c r="G678" s="1446"/>
      <c r="H678" s="1447"/>
      <c r="I678" s="1448">
        <f t="shared" si="43"/>
        <v>0</v>
      </c>
      <c r="J678" s="1449"/>
      <c r="K678" s="1481"/>
      <c r="L678" s="1481"/>
      <c r="M678" s="1481"/>
      <c r="N678" s="1481"/>
      <c r="O678" s="1481"/>
      <c r="P678" s="1481"/>
      <c r="Q678" s="1481"/>
      <c r="R678" s="1481"/>
      <c r="S678" s="1481"/>
      <c r="T678" s="1481"/>
      <c r="U678" s="1481"/>
      <c r="V678" s="1481"/>
      <c r="W678" s="1481"/>
      <c r="X678" s="1481"/>
      <c r="Y678" s="1481"/>
      <c r="Z678" s="1481"/>
      <c r="AA678" s="1481"/>
      <c r="AB678" s="1481"/>
      <c r="AC678" s="1481"/>
      <c r="AD678" s="1481"/>
      <c r="AE678" s="1481"/>
      <c r="AF678" s="1481"/>
      <c r="AG678" s="1481"/>
    </row>
    <row r="679" spans="1:33" ht="18.75" customHeight="1">
      <c r="A679" s="1448"/>
      <c r="B679" s="1480" t="s">
        <v>7071</v>
      </c>
      <c r="C679" s="1445">
        <v>-1</v>
      </c>
      <c r="D679" s="1447" t="s">
        <v>3364</v>
      </c>
      <c r="E679" s="1445">
        <v>1</v>
      </c>
      <c r="F679" s="1446">
        <v>1.46</v>
      </c>
      <c r="G679" s="1446">
        <v>0.23</v>
      </c>
      <c r="H679" s="1447">
        <v>2.1</v>
      </c>
      <c r="I679" s="1448">
        <f t="shared" si="43"/>
        <v>-0.71</v>
      </c>
      <c r="J679" s="1449"/>
      <c r="K679" s="1481"/>
      <c r="L679" s="1481"/>
      <c r="M679" s="1481"/>
      <c r="N679" s="1481"/>
      <c r="O679" s="1481"/>
      <c r="P679" s="1481"/>
      <c r="Q679" s="1481"/>
      <c r="R679" s="1481"/>
      <c r="S679" s="1481"/>
      <c r="T679" s="1481"/>
      <c r="U679" s="1481"/>
      <c r="V679" s="1481"/>
      <c r="W679" s="1481"/>
      <c r="X679" s="1481"/>
      <c r="Y679" s="1481"/>
      <c r="Z679" s="1481"/>
      <c r="AA679" s="1481"/>
      <c r="AB679" s="1481"/>
      <c r="AC679" s="1481"/>
      <c r="AD679" s="1481"/>
      <c r="AE679" s="1481"/>
      <c r="AF679" s="1481"/>
      <c r="AG679" s="1481"/>
    </row>
    <row r="680" spans="1:33" ht="15.75" customHeight="1">
      <c r="A680" s="1443"/>
      <c r="B680" s="1452" t="s">
        <v>7397</v>
      </c>
      <c r="C680" s="1445">
        <v>1</v>
      </c>
      <c r="D680" s="1453" t="s">
        <v>3364</v>
      </c>
      <c r="E680" s="1445">
        <v>-1</v>
      </c>
      <c r="F680" s="1446">
        <v>0.23</v>
      </c>
      <c r="G680" s="1446">
        <v>0.38</v>
      </c>
      <c r="H680" s="1447">
        <v>1.2</v>
      </c>
      <c r="I680" s="1448">
        <f t="shared" si="43"/>
        <v>-0.1</v>
      </c>
      <c r="J680" s="1449"/>
      <c r="K680" s="1439"/>
      <c r="L680" s="1439"/>
      <c r="M680" s="1439"/>
      <c r="N680" s="1439"/>
      <c r="O680" s="1439"/>
      <c r="P680" s="1439"/>
      <c r="Q680" s="1439"/>
      <c r="R680" s="1439"/>
      <c r="S680" s="1439"/>
      <c r="T680" s="1439"/>
      <c r="U680" s="1439"/>
      <c r="V680" s="1439"/>
      <c r="W680" s="1439"/>
      <c r="X680" s="1439"/>
      <c r="Y680" s="1439"/>
      <c r="Z680" s="1439"/>
      <c r="AA680" s="1439"/>
      <c r="AB680" s="1439"/>
      <c r="AC680" s="1439"/>
      <c r="AD680" s="1439"/>
      <c r="AE680" s="1439"/>
      <c r="AF680" s="1439"/>
      <c r="AG680" s="1439"/>
    </row>
    <row r="681" spans="1:33" ht="15.75" customHeight="1">
      <c r="A681" s="1443"/>
      <c r="B681" s="1452" t="s">
        <v>7398</v>
      </c>
      <c r="C681" s="1445">
        <v>4</v>
      </c>
      <c r="D681" s="1453" t="s">
        <v>3364</v>
      </c>
      <c r="E681" s="1445">
        <v>-1</v>
      </c>
      <c r="F681" s="1446">
        <v>0.23</v>
      </c>
      <c r="G681" s="1446">
        <v>0.45</v>
      </c>
      <c r="H681" s="1447">
        <v>1.2</v>
      </c>
      <c r="I681" s="1448">
        <f t="shared" si="43"/>
        <v>-0.5</v>
      </c>
      <c r="J681" s="1449"/>
      <c r="K681" s="1439"/>
      <c r="L681" s="1439">
        <f>3.6-0.45</f>
        <v>3.15</v>
      </c>
      <c r="M681" s="1439"/>
      <c r="N681" s="1439"/>
      <c r="O681" s="1439"/>
      <c r="P681" s="1439"/>
      <c r="Q681" s="1439"/>
      <c r="R681" s="1439"/>
      <c r="S681" s="1439"/>
      <c r="T681" s="1439"/>
      <c r="U681" s="1439"/>
      <c r="V681" s="1439"/>
      <c r="W681" s="1439"/>
      <c r="X681" s="1439"/>
      <c r="Y681" s="1439"/>
      <c r="Z681" s="1439"/>
      <c r="AA681" s="1439"/>
      <c r="AB681" s="1439"/>
      <c r="AC681" s="1439"/>
      <c r="AD681" s="1439"/>
      <c r="AE681" s="1439"/>
      <c r="AF681" s="1439"/>
      <c r="AG681" s="1439"/>
    </row>
    <row r="682" spans="1:33" ht="15.75" customHeight="1">
      <c r="A682" s="1443"/>
      <c r="B682" s="1452" t="s">
        <v>7399</v>
      </c>
      <c r="C682" s="1445">
        <v>4</v>
      </c>
      <c r="D682" s="1453" t="s">
        <v>3364</v>
      </c>
      <c r="E682" s="1445">
        <v>-1</v>
      </c>
      <c r="F682" s="1446">
        <v>0.23</v>
      </c>
      <c r="G682" s="1446">
        <v>0.45</v>
      </c>
      <c r="H682" s="1447">
        <v>1.2</v>
      </c>
      <c r="I682" s="1448">
        <f t="shared" si="43"/>
        <v>-0.5</v>
      </c>
      <c r="J682" s="1449"/>
      <c r="K682" s="1439"/>
      <c r="L682" s="1439"/>
      <c r="M682" s="1439"/>
      <c r="N682" s="1439"/>
      <c r="O682" s="1439"/>
      <c r="P682" s="1439"/>
      <c r="Q682" s="1439"/>
      <c r="R682" s="1439"/>
      <c r="S682" s="1439"/>
      <c r="T682" s="1439"/>
      <c r="U682" s="1439"/>
      <c r="V682" s="1439"/>
      <c r="W682" s="1439"/>
      <c r="X682" s="1439"/>
      <c r="Y682" s="1439"/>
      <c r="Z682" s="1439"/>
      <c r="AA682" s="1439"/>
      <c r="AB682" s="1439"/>
      <c r="AC682" s="1439"/>
      <c r="AD682" s="1439"/>
      <c r="AE682" s="1439"/>
      <c r="AF682" s="1439"/>
      <c r="AG682" s="1439"/>
    </row>
    <row r="683" spans="1:33" ht="15.75" customHeight="1">
      <c r="A683" s="1448"/>
      <c r="B683" s="1480"/>
      <c r="C683" s="1445"/>
      <c r="D683" s="1447"/>
      <c r="E683" s="1445"/>
      <c r="F683" s="1446"/>
      <c r="G683" s="1458" t="s">
        <v>104</v>
      </c>
      <c r="H683" s="1460"/>
      <c r="I683" s="1459">
        <f>SUM(I675:I682)</f>
        <v>11.31</v>
      </c>
      <c r="J683" s="1449"/>
      <c r="K683" s="1481"/>
      <c r="L683" s="1481"/>
      <c r="M683" s="1481"/>
      <c r="N683" s="1481"/>
      <c r="O683" s="1481"/>
      <c r="P683" s="1481"/>
      <c r="Q683" s="1481"/>
      <c r="R683" s="1481"/>
      <c r="S683" s="1481"/>
      <c r="T683" s="1481"/>
      <c r="U683" s="1481"/>
      <c r="V683" s="1481"/>
      <c r="W683" s="1481"/>
      <c r="X683" s="1481"/>
      <c r="Y683" s="1481"/>
      <c r="Z683" s="1481"/>
      <c r="AA683" s="1481"/>
      <c r="AB683" s="1481"/>
      <c r="AC683" s="1481"/>
      <c r="AD683" s="1481"/>
      <c r="AE683" s="1481"/>
      <c r="AF683" s="1481"/>
      <c r="AG683" s="1481"/>
    </row>
    <row r="684" spans="1:33" ht="15.75" customHeight="1">
      <c r="A684" s="1448"/>
      <c r="B684" s="1480"/>
      <c r="C684" s="1445"/>
      <c r="D684" s="1447"/>
      <c r="E684" s="1445"/>
      <c r="F684" s="1446"/>
      <c r="G684" s="1458"/>
      <c r="H684" s="1460" t="s">
        <v>2981</v>
      </c>
      <c r="I684" s="1459">
        <f>CEILING(I683,0.1)</f>
        <v>11.4</v>
      </c>
      <c r="J684" s="1449" t="s">
        <v>5</v>
      </c>
      <c r="K684" s="1481"/>
      <c r="L684" s="1481"/>
      <c r="M684" s="1481"/>
      <c r="N684" s="1481"/>
      <c r="O684" s="1481"/>
      <c r="P684" s="1481"/>
      <c r="Q684" s="1481"/>
      <c r="R684" s="1481"/>
      <c r="S684" s="1481"/>
      <c r="T684" s="1481"/>
      <c r="U684" s="1481"/>
      <c r="V684" s="1481"/>
      <c r="W684" s="1481"/>
      <c r="X684" s="1481"/>
      <c r="Y684" s="1481"/>
      <c r="Z684" s="1481"/>
      <c r="AA684" s="1481"/>
      <c r="AB684" s="1481"/>
      <c r="AC684" s="1481"/>
      <c r="AD684" s="1481"/>
      <c r="AE684" s="1481"/>
      <c r="AF684" s="1481"/>
      <c r="AG684" s="1481"/>
    </row>
    <row r="685" spans="1:33" ht="189">
      <c r="A685" s="1451">
        <v>10.199999999999999</v>
      </c>
      <c r="B685" s="1444" t="s">
        <v>7072</v>
      </c>
      <c r="C685" s="1484"/>
      <c r="D685" s="1484"/>
      <c r="E685" s="1484"/>
      <c r="F685" s="1446"/>
      <c r="G685" s="1446"/>
      <c r="H685" s="1447"/>
      <c r="I685" s="1448"/>
      <c r="J685" s="1475"/>
      <c r="K685" s="1439"/>
      <c r="L685" s="1439"/>
      <c r="M685" s="1439"/>
      <c r="N685" s="1439"/>
      <c r="O685" s="1439"/>
      <c r="P685" s="1439"/>
      <c r="Q685" s="1439"/>
      <c r="R685" s="1439"/>
      <c r="S685" s="1439"/>
      <c r="T685" s="1439"/>
      <c r="U685" s="1439"/>
      <c r="V685" s="1439"/>
      <c r="W685" s="1439"/>
      <c r="X685" s="1439"/>
      <c r="Y685" s="1439"/>
      <c r="Z685" s="1439"/>
      <c r="AA685" s="1439"/>
      <c r="AB685" s="1439"/>
      <c r="AC685" s="1439"/>
      <c r="AD685" s="1439"/>
      <c r="AE685" s="1439"/>
      <c r="AF685" s="1439"/>
      <c r="AG685" s="1439"/>
    </row>
    <row r="686" spans="1:33" ht="15.75" customHeight="1">
      <c r="A686" s="1470"/>
      <c r="B686" s="1456" t="s">
        <v>3453</v>
      </c>
      <c r="C686" s="1484"/>
      <c r="D686" s="1484"/>
      <c r="E686" s="1484"/>
      <c r="F686" s="1446"/>
      <c r="G686" s="1446"/>
      <c r="H686" s="1447"/>
      <c r="I686" s="1448"/>
      <c r="J686" s="1475"/>
      <c r="K686" s="1439"/>
      <c r="L686" s="1439"/>
      <c r="M686" s="1439"/>
      <c r="N686" s="1439"/>
      <c r="O686" s="1439"/>
      <c r="P686" s="1439"/>
      <c r="Q686" s="1439"/>
      <c r="R686" s="1439"/>
      <c r="S686" s="1439"/>
      <c r="T686" s="1439"/>
      <c r="U686" s="1439"/>
      <c r="V686" s="1439"/>
      <c r="W686" s="1439"/>
      <c r="X686" s="1439"/>
      <c r="Y686" s="1439"/>
      <c r="Z686" s="1439"/>
      <c r="AA686" s="1439"/>
      <c r="AB686" s="1439"/>
      <c r="AC686" s="1439"/>
      <c r="AD686" s="1439"/>
      <c r="AE686" s="1439"/>
      <c r="AF686" s="1439"/>
      <c r="AG686" s="1439"/>
    </row>
    <row r="687" spans="1:33" ht="15.75" customHeight="1">
      <c r="A687" s="1448"/>
      <c r="B687" s="1482" t="s">
        <v>7475</v>
      </c>
      <c r="C687" s="1445">
        <v>3</v>
      </c>
      <c r="D687" s="1447" t="s">
        <v>3364</v>
      </c>
      <c r="E687" s="1445">
        <v>1</v>
      </c>
      <c r="F687" s="1446">
        <v>1.5</v>
      </c>
      <c r="G687" s="1446"/>
      <c r="H687" s="1447">
        <v>3.15</v>
      </c>
      <c r="I687" s="1448">
        <f>PRODUCT(C687:H687)</f>
        <v>14.18</v>
      </c>
      <c r="J687" s="1449"/>
      <c r="K687" s="1481"/>
      <c r="L687" s="1481"/>
      <c r="M687" s="1481"/>
      <c r="N687" s="1481"/>
      <c r="O687" s="1481"/>
      <c r="P687" s="1481"/>
      <c r="Q687" s="1481"/>
      <c r="R687" s="1481"/>
      <c r="S687" s="1481"/>
      <c r="T687" s="1481"/>
      <c r="U687" s="1481"/>
      <c r="V687" s="1481"/>
      <c r="W687" s="1481"/>
      <c r="X687" s="1481"/>
      <c r="Y687" s="1481"/>
      <c r="Z687" s="1481"/>
      <c r="AA687" s="1481"/>
      <c r="AB687" s="1481"/>
      <c r="AC687" s="1481"/>
      <c r="AD687" s="1481"/>
      <c r="AE687" s="1481"/>
      <c r="AF687" s="1481"/>
      <c r="AG687" s="1481"/>
    </row>
    <row r="688" spans="1:33" ht="15.75" customHeight="1">
      <c r="A688" s="1470"/>
      <c r="B688" s="1471"/>
      <c r="C688" s="1484"/>
      <c r="D688" s="1484"/>
      <c r="E688" s="1484"/>
      <c r="F688" s="1446"/>
      <c r="G688" s="1458" t="s">
        <v>104</v>
      </c>
      <c r="H688" s="1447"/>
      <c r="I688" s="1479">
        <f>SUM(I687:I687)</f>
        <v>14.18</v>
      </c>
      <c r="J688" s="1475"/>
      <c r="K688" s="1439"/>
      <c r="L688" s="1439"/>
      <c r="M688" s="1439"/>
      <c r="N688" s="1439"/>
      <c r="O688" s="1439"/>
      <c r="P688" s="1439"/>
      <c r="Q688" s="1439"/>
      <c r="R688" s="1439"/>
      <c r="S688" s="1439"/>
      <c r="T688" s="1439"/>
      <c r="U688" s="1439"/>
      <c r="V688" s="1439"/>
      <c r="W688" s="1439"/>
      <c r="X688" s="1439"/>
      <c r="Y688" s="1439"/>
      <c r="Z688" s="1439"/>
      <c r="AA688" s="1439"/>
      <c r="AB688" s="1439"/>
      <c r="AC688" s="1439"/>
      <c r="AD688" s="1439"/>
      <c r="AE688" s="1439"/>
      <c r="AF688" s="1439"/>
      <c r="AG688" s="1439"/>
    </row>
    <row r="689" spans="1:33" ht="15.75" customHeight="1">
      <c r="A689" s="1470"/>
      <c r="B689" s="1450"/>
      <c r="C689" s="1484"/>
      <c r="D689" s="1484"/>
      <c r="E689" s="1484"/>
      <c r="F689" s="1446"/>
      <c r="G689" s="1446"/>
      <c r="H689" s="1460" t="s">
        <v>2981</v>
      </c>
      <c r="I689" s="1459">
        <f>CEILING(I688,0.1)</f>
        <v>14.2</v>
      </c>
      <c r="J689" s="1475" t="s">
        <v>724</v>
      </c>
      <c r="K689" s="1439"/>
      <c r="L689" s="1439"/>
      <c r="M689" s="1439"/>
      <c r="N689" s="1439"/>
      <c r="O689" s="1439"/>
      <c r="P689" s="1439"/>
      <c r="Q689" s="1439"/>
      <c r="R689" s="1439"/>
      <c r="S689" s="1439"/>
      <c r="T689" s="1439"/>
      <c r="U689" s="1439"/>
      <c r="V689" s="1439"/>
      <c r="W689" s="1439"/>
      <c r="X689" s="1439"/>
      <c r="Y689" s="1439"/>
      <c r="Z689" s="1439"/>
      <c r="AA689" s="1439"/>
      <c r="AB689" s="1439"/>
      <c r="AC689" s="1439"/>
      <c r="AD689" s="1439"/>
      <c r="AE689" s="1439"/>
      <c r="AF689" s="1439"/>
      <c r="AG689" s="1439"/>
    </row>
    <row r="690" spans="1:33" ht="15.75" customHeight="1">
      <c r="A690" s="1470"/>
      <c r="B690" s="1456" t="s">
        <v>7073</v>
      </c>
      <c r="C690" s="1484"/>
      <c r="D690" s="1484"/>
      <c r="E690" s="1484"/>
      <c r="F690" s="1446"/>
      <c r="G690" s="1446"/>
      <c r="H690" s="1447"/>
      <c r="I690" s="1448"/>
      <c r="J690" s="1475"/>
      <c r="K690" s="1439"/>
      <c r="L690" s="1439"/>
      <c r="M690" s="1439"/>
      <c r="N690" s="1439"/>
      <c r="O690" s="1439"/>
      <c r="P690" s="1439"/>
      <c r="Q690" s="1439"/>
      <c r="R690" s="1439"/>
      <c r="S690" s="1439"/>
      <c r="T690" s="1439"/>
      <c r="U690" s="1439"/>
      <c r="V690" s="1439"/>
      <c r="W690" s="1439"/>
      <c r="X690" s="1439"/>
      <c r="Y690" s="1439"/>
      <c r="Z690" s="1439"/>
      <c r="AA690" s="1439"/>
      <c r="AB690" s="1439"/>
      <c r="AC690" s="1439"/>
      <c r="AD690" s="1439"/>
      <c r="AE690" s="1439"/>
      <c r="AF690" s="1439"/>
      <c r="AG690" s="1439"/>
    </row>
    <row r="691" spans="1:33" ht="15.75" customHeight="1">
      <c r="A691" s="1448"/>
      <c r="B691" s="1482" t="s">
        <v>7477</v>
      </c>
      <c r="C691" s="1445">
        <v>1</v>
      </c>
      <c r="D691" s="1447" t="s">
        <v>3364</v>
      </c>
      <c r="E691" s="1445">
        <v>2</v>
      </c>
      <c r="F691" s="1446">
        <f>1.89+1.76</f>
        <v>3.65</v>
      </c>
      <c r="G691" s="1446"/>
      <c r="H691" s="1447">
        <v>3.15</v>
      </c>
      <c r="I691" s="1448">
        <f>PRODUCT(C691:H691)</f>
        <v>23</v>
      </c>
      <c r="J691" s="1449"/>
      <c r="K691" s="1481"/>
      <c r="L691" s="1481"/>
      <c r="M691" s="1481"/>
      <c r="N691" s="1481"/>
      <c r="O691" s="1481"/>
      <c r="P691" s="1481"/>
      <c r="Q691" s="1481"/>
      <c r="R691" s="1481"/>
      <c r="S691" s="1481"/>
      <c r="T691" s="1481"/>
      <c r="U691" s="1481"/>
      <c r="V691" s="1481"/>
      <c r="W691" s="1481"/>
      <c r="X691" s="1481"/>
      <c r="Y691" s="1481"/>
      <c r="Z691" s="1481"/>
      <c r="AA691" s="1481"/>
      <c r="AB691" s="1481"/>
      <c r="AC691" s="1481"/>
      <c r="AD691" s="1481"/>
      <c r="AE691" s="1481"/>
      <c r="AF691" s="1481"/>
      <c r="AG691" s="1481"/>
    </row>
    <row r="692" spans="1:33" ht="15.75" customHeight="1">
      <c r="A692" s="1448"/>
      <c r="B692" s="1482" t="s">
        <v>7476</v>
      </c>
      <c r="C692" s="1445">
        <v>1</v>
      </c>
      <c r="D692" s="1467" t="s">
        <v>3364</v>
      </c>
      <c r="E692" s="1445">
        <v>1</v>
      </c>
      <c r="F692" s="1446">
        <f>2.4+1.255</f>
        <v>3.6549999999999998</v>
      </c>
      <c r="G692" s="1446"/>
      <c r="H692" s="1447">
        <v>3.15</v>
      </c>
      <c r="I692" s="1448">
        <f>PRODUCT(C692:H692)</f>
        <v>11.51</v>
      </c>
      <c r="J692" s="1449"/>
      <c r="K692" s="1481"/>
      <c r="L692" s="1481"/>
      <c r="M692" s="1481"/>
      <c r="N692" s="1481"/>
      <c r="O692" s="1481"/>
      <c r="P692" s="1481"/>
      <c r="Q692" s="1481"/>
      <c r="R692" s="1481"/>
      <c r="S692" s="1481"/>
      <c r="T692" s="1481"/>
      <c r="U692" s="1481"/>
      <c r="V692" s="1481"/>
      <c r="W692" s="1481"/>
      <c r="X692" s="1481"/>
      <c r="Y692" s="1481"/>
      <c r="Z692" s="1481"/>
      <c r="AA692" s="1481"/>
      <c r="AB692" s="1481"/>
      <c r="AC692" s="1481"/>
      <c r="AD692" s="1481"/>
      <c r="AE692" s="1481"/>
      <c r="AF692" s="1481"/>
      <c r="AG692" s="1481"/>
    </row>
    <row r="693" spans="1:33" ht="15.75" customHeight="1">
      <c r="A693" s="1448"/>
      <c r="B693" s="1482" t="s">
        <v>6675</v>
      </c>
      <c r="C693" s="1445">
        <v>3</v>
      </c>
      <c r="D693" s="1467" t="s">
        <v>3364</v>
      </c>
      <c r="E693" s="1445">
        <v>1</v>
      </c>
      <c r="F693" s="1446">
        <f>1.5+1.4</f>
        <v>2.9</v>
      </c>
      <c r="G693" s="1446"/>
      <c r="H693" s="1447">
        <v>3.15</v>
      </c>
      <c r="I693" s="1448">
        <f>PRODUCT(C693:H693)</f>
        <v>27.41</v>
      </c>
      <c r="J693" s="1449"/>
      <c r="K693" s="1481"/>
      <c r="L693" s="1481"/>
      <c r="M693" s="1481"/>
      <c r="N693" s="1481"/>
      <c r="O693" s="1481"/>
      <c r="P693" s="1481"/>
      <c r="Q693" s="1481"/>
      <c r="R693" s="1481"/>
      <c r="S693" s="1481"/>
      <c r="T693" s="1481"/>
      <c r="U693" s="1481"/>
      <c r="V693" s="1481"/>
      <c r="W693" s="1481"/>
      <c r="X693" s="1481"/>
      <c r="Y693" s="1481"/>
      <c r="Z693" s="1481"/>
      <c r="AA693" s="1481"/>
      <c r="AB693" s="1481"/>
      <c r="AC693" s="1481"/>
      <c r="AD693" s="1481"/>
      <c r="AE693" s="1481"/>
      <c r="AF693" s="1481"/>
      <c r="AG693" s="1481"/>
    </row>
    <row r="694" spans="1:33" ht="18.75" customHeight="1">
      <c r="A694" s="1443"/>
      <c r="B694" s="1450" t="s">
        <v>7074</v>
      </c>
      <c r="C694" s="1445">
        <v>-1</v>
      </c>
      <c r="D694" s="1445" t="s">
        <v>3364</v>
      </c>
      <c r="E694" s="1445">
        <v>6</v>
      </c>
      <c r="F694" s="1446">
        <v>0.75</v>
      </c>
      <c r="G694" s="1446"/>
      <c r="H694" s="1447">
        <v>2.1</v>
      </c>
      <c r="I694" s="1448">
        <f>PRODUCT(C694:H694)</f>
        <v>-9.4499999999999993</v>
      </c>
      <c r="J694" s="1449"/>
      <c r="K694" s="1439"/>
      <c r="L694" s="1439"/>
      <c r="M694" s="1439"/>
      <c r="N694" s="1439"/>
      <c r="O694" s="1439"/>
      <c r="P694" s="1439"/>
      <c r="Q694" s="1439"/>
      <c r="R694" s="1439"/>
      <c r="S694" s="1439"/>
      <c r="T694" s="1439"/>
      <c r="U694" s="1439"/>
      <c r="V694" s="1439"/>
      <c r="W694" s="1439"/>
      <c r="X694" s="1439"/>
      <c r="Y694" s="1439"/>
      <c r="Z694" s="1439"/>
      <c r="AA694" s="1439"/>
      <c r="AB694" s="1439"/>
      <c r="AC694" s="1439"/>
      <c r="AD694" s="1439"/>
      <c r="AE694" s="1439"/>
      <c r="AF694" s="1439"/>
      <c r="AG694" s="1439"/>
    </row>
    <row r="695" spans="1:33" ht="15.75" customHeight="1">
      <c r="A695" s="1470"/>
      <c r="B695" s="1471"/>
      <c r="C695" s="1484"/>
      <c r="D695" s="1484"/>
      <c r="E695" s="1484"/>
      <c r="F695" s="1446"/>
      <c r="G695" s="1458" t="s">
        <v>104</v>
      </c>
      <c r="H695" s="1447"/>
      <c r="I695" s="1479">
        <f>SUM(I691:I694)</f>
        <v>52.47</v>
      </c>
      <c r="J695" s="1475"/>
      <c r="K695" s="1439"/>
      <c r="L695" s="1439"/>
      <c r="M695" s="1439"/>
      <c r="N695" s="1439"/>
      <c r="O695" s="1439"/>
      <c r="P695" s="1439"/>
      <c r="Q695" s="1439"/>
      <c r="R695" s="1439"/>
      <c r="S695" s="1439"/>
      <c r="T695" s="1439"/>
      <c r="U695" s="1439"/>
      <c r="V695" s="1439"/>
      <c r="W695" s="1439"/>
      <c r="X695" s="1439"/>
      <c r="Y695" s="1439"/>
      <c r="Z695" s="1439"/>
      <c r="AA695" s="1439"/>
      <c r="AB695" s="1439"/>
      <c r="AC695" s="1439"/>
      <c r="AD695" s="1439"/>
      <c r="AE695" s="1439"/>
      <c r="AF695" s="1439"/>
      <c r="AG695" s="1439"/>
    </row>
    <row r="696" spans="1:33" ht="15.75" customHeight="1">
      <c r="A696" s="1470"/>
      <c r="B696" s="1450"/>
      <c r="C696" s="1484"/>
      <c r="D696" s="1484"/>
      <c r="E696" s="1484"/>
      <c r="F696" s="1446"/>
      <c r="G696" s="1446"/>
      <c r="H696" s="1460" t="s">
        <v>2981</v>
      </c>
      <c r="I696" s="1459">
        <f>CEILING(I695,0.1)</f>
        <v>52.5</v>
      </c>
      <c r="J696" s="1475" t="s">
        <v>724</v>
      </c>
      <c r="K696" s="1439"/>
      <c r="L696" s="1439"/>
      <c r="M696" s="1439"/>
      <c r="N696" s="1439"/>
      <c r="O696" s="1439"/>
      <c r="P696" s="1439"/>
      <c r="Q696" s="1439"/>
      <c r="R696" s="1439"/>
      <c r="S696" s="1439"/>
      <c r="T696" s="1439"/>
      <c r="U696" s="1439"/>
      <c r="V696" s="1439"/>
      <c r="W696" s="1439"/>
      <c r="X696" s="1439"/>
      <c r="Y696" s="1439"/>
      <c r="Z696" s="1439"/>
      <c r="AA696" s="1439"/>
      <c r="AB696" s="1439"/>
      <c r="AC696" s="1439"/>
      <c r="AD696" s="1439"/>
      <c r="AE696" s="1439"/>
      <c r="AF696" s="1439"/>
      <c r="AG696" s="1439"/>
    </row>
    <row r="697" spans="1:33" ht="15.75" customHeight="1">
      <c r="A697" s="1470"/>
      <c r="B697" s="1456" t="s">
        <v>7075</v>
      </c>
      <c r="C697" s="1484"/>
      <c r="D697" s="1484"/>
      <c r="E697" s="1484"/>
      <c r="F697" s="1446"/>
      <c r="G697" s="1446"/>
      <c r="H697" s="1447"/>
      <c r="I697" s="1448"/>
      <c r="J697" s="1475"/>
      <c r="K697" s="1439"/>
      <c r="L697" s="1439"/>
      <c r="M697" s="1439"/>
      <c r="N697" s="1439"/>
      <c r="O697" s="1439"/>
      <c r="P697" s="1439"/>
      <c r="Q697" s="1439"/>
      <c r="R697" s="1439"/>
      <c r="S697" s="1439"/>
      <c r="T697" s="1439"/>
      <c r="U697" s="1439"/>
      <c r="V697" s="1439"/>
      <c r="W697" s="1439"/>
      <c r="X697" s="1439"/>
      <c r="Y697" s="1439"/>
      <c r="Z697" s="1439"/>
      <c r="AA697" s="1439"/>
      <c r="AB697" s="1439"/>
      <c r="AC697" s="1439"/>
      <c r="AD697" s="1439"/>
      <c r="AE697" s="1439"/>
      <c r="AF697" s="1439"/>
      <c r="AG697" s="1439"/>
    </row>
    <row r="698" spans="1:33" ht="15.75" customHeight="1">
      <c r="A698" s="1448"/>
      <c r="B698" s="1482" t="s">
        <v>7478</v>
      </c>
      <c r="C698" s="1445">
        <v>1</v>
      </c>
      <c r="D698" s="1447" t="s">
        <v>3364</v>
      </c>
      <c r="E698" s="1445">
        <v>4</v>
      </c>
      <c r="F698" s="1446">
        <f>1.89+1.76</f>
        <v>3.65</v>
      </c>
      <c r="G698" s="1458"/>
      <c r="H698" s="1447">
        <v>3.15</v>
      </c>
      <c r="I698" s="1448">
        <f t="shared" ref="I698:I704" si="44">PRODUCT(C698:H698)</f>
        <v>45.99</v>
      </c>
      <c r="J698" s="1449"/>
      <c r="K698" s="1481"/>
      <c r="L698" s="1481"/>
      <c r="M698" s="1481"/>
      <c r="N698" s="1481"/>
      <c r="O698" s="1481"/>
      <c r="P698" s="1481"/>
      <c r="Q698" s="1481"/>
      <c r="R698" s="1481"/>
      <c r="S698" s="1481"/>
      <c r="T698" s="1481"/>
      <c r="U698" s="1481"/>
      <c r="V698" s="1481"/>
      <c r="W698" s="1481"/>
      <c r="X698" s="1481"/>
      <c r="Y698" s="1481"/>
      <c r="Z698" s="1481"/>
      <c r="AA698" s="1481"/>
      <c r="AB698" s="1481"/>
      <c r="AC698" s="1481"/>
      <c r="AD698" s="1481"/>
      <c r="AE698" s="1481"/>
      <c r="AF698" s="1481"/>
      <c r="AG698" s="1481"/>
    </row>
    <row r="699" spans="1:33" ht="15.75" customHeight="1">
      <c r="A699" s="1448"/>
      <c r="B699" s="1482" t="s">
        <v>7479</v>
      </c>
      <c r="C699" s="1445">
        <v>2</v>
      </c>
      <c r="D699" s="1467" t="s">
        <v>3364</v>
      </c>
      <c r="E699" s="1445">
        <v>1</v>
      </c>
      <c r="F699" s="1446">
        <f>2.1+1.2</f>
        <v>3.3</v>
      </c>
      <c r="G699" s="1458"/>
      <c r="H699" s="1447">
        <v>3.15</v>
      </c>
      <c r="I699" s="1448">
        <f t="shared" si="44"/>
        <v>20.79</v>
      </c>
      <c r="J699" s="1449"/>
      <c r="K699" s="1481"/>
      <c r="L699" s="1481"/>
      <c r="M699" s="1481"/>
      <c r="N699" s="1481"/>
      <c r="O699" s="1481"/>
      <c r="P699" s="1481"/>
      <c r="Q699" s="1481"/>
      <c r="R699" s="1481"/>
      <c r="S699" s="1481"/>
      <c r="T699" s="1481"/>
      <c r="U699" s="1481"/>
      <c r="V699" s="1481"/>
      <c r="W699" s="1481"/>
      <c r="X699" s="1481"/>
      <c r="Y699" s="1481"/>
      <c r="Z699" s="1481"/>
      <c r="AA699" s="1481"/>
      <c r="AB699" s="1481"/>
      <c r="AC699" s="1481"/>
      <c r="AD699" s="1481"/>
      <c r="AE699" s="1481"/>
      <c r="AF699" s="1481"/>
      <c r="AG699" s="1481"/>
    </row>
    <row r="700" spans="1:33" ht="15.75" customHeight="1">
      <c r="A700" s="1448"/>
      <c r="B700" s="1482" t="s">
        <v>7480</v>
      </c>
      <c r="C700" s="1445">
        <v>1</v>
      </c>
      <c r="D700" s="1467" t="s">
        <v>3364</v>
      </c>
      <c r="E700" s="1445">
        <v>1</v>
      </c>
      <c r="F700" s="1446">
        <v>4</v>
      </c>
      <c r="G700" s="1458"/>
      <c r="H700" s="1447">
        <v>3.15</v>
      </c>
      <c r="I700" s="1448">
        <f t="shared" si="44"/>
        <v>12.6</v>
      </c>
      <c r="J700" s="1449"/>
      <c r="K700" s="1481"/>
      <c r="L700" s="1481"/>
      <c r="M700" s="1481"/>
      <c r="N700" s="1481"/>
      <c r="O700" s="1481"/>
      <c r="P700" s="1481"/>
      <c r="Q700" s="1481"/>
      <c r="R700" s="1481"/>
      <c r="S700" s="1481"/>
      <c r="T700" s="1481"/>
      <c r="U700" s="1481"/>
      <c r="V700" s="1481"/>
      <c r="W700" s="1481"/>
      <c r="X700" s="1481"/>
      <c r="Y700" s="1481"/>
      <c r="Z700" s="1481"/>
      <c r="AA700" s="1481"/>
      <c r="AB700" s="1481"/>
      <c r="AC700" s="1481"/>
      <c r="AD700" s="1481"/>
      <c r="AE700" s="1481"/>
      <c r="AF700" s="1481"/>
      <c r="AG700" s="1481"/>
    </row>
    <row r="701" spans="1:33" ht="15.75" customHeight="1">
      <c r="A701" s="1448"/>
      <c r="B701" s="1482" t="s">
        <v>3487</v>
      </c>
      <c r="C701" s="1445">
        <v>3</v>
      </c>
      <c r="D701" s="1467" t="s">
        <v>3364</v>
      </c>
      <c r="E701" s="1445">
        <v>1</v>
      </c>
      <c r="F701" s="1446">
        <f>1.2+1.4</f>
        <v>2.6</v>
      </c>
      <c r="G701" s="1458"/>
      <c r="H701" s="1447">
        <v>3.15</v>
      </c>
      <c r="I701" s="1448">
        <f t="shared" si="44"/>
        <v>24.57</v>
      </c>
      <c r="J701" s="1449"/>
      <c r="K701" s="1481"/>
      <c r="L701" s="1481"/>
      <c r="M701" s="1481"/>
      <c r="N701" s="1481"/>
      <c r="O701" s="1481"/>
      <c r="P701" s="1481"/>
      <c r="Q701" s="1481"/>
      <c r="R701" s="1481"/>
      <c r="S701" s="1481"/>
      <c r="T701" s="1481"/>
      <c r="U701" s="1481"/>
      <c r="V701" s="1481"/>
      <c r="W701" s="1481"/>
      <c r="X701" s="1481"/>
      <c r="Y701" s="1481"/>
      <c r="Z701" s="1481"/>
      <c r="AA701" s="1481"/>
      <c r="AB701" s="1481"/>
      <c r="AC701" s="1481"/>
      <c r="AD701" s="1481"/>
      <c r="AE701" s="1481"/>
      <c r="AF701" s="1481"/>
      <c r="AG701" s="1481"/>
    </row>
    <row r="702" spans="1:33" ht="15.75" customHeight="1">
      <c r="A702" s="1448"/>
      <c r="B702" s="1482" t="s">
        <v>7269</v>
      </c>
      <c r="C702" s="1445">
        <v>3</v>
      </c>
      <c r="D702" s="1467" t="s">
        <v>3364</v>
      </c>
      <c r="E702" s="1445">
        <v>1</v>
      </c>
      <c r="F702" s="1446">
        <f>1.2+1.62</f>
        <v>2.82</v>
      </c>
      <c r="G702" s="1458"/>
      <c r="H702" s="1447">
        <v>3.15</v>
      </c>
      <c r="I702" s="1448">
        <f t="shared" si="44"/>
        <v>26.65</v>
      </c>
      <c r="J702" s="1449"/>
      <c r="K702" s="1481"/>
      <c r="L702" s="1481"/>
      <c r="M702" s="1481"/>
      <c r="N702" s="1481"/>
      <c r="O702" s="1481"/>
      <c r="P702" s="1481"/>
      <c r="Q702" s="1481"/>
      <c r="R702" s="1481"/>
      <c r="S702" s="1481"/>
      <c r="T702" s="1481"/>
      <c r="U702" s="1481"/>
      <c r="V702" s="1481"/>
      <c r="W702" s="1481"/>
      <c r="X702" s="1481"/>
      <c r="Y702" s="1481"/>
      <c r="Z702" s="1481"/>
      <c r="AA702" s="1481"/>
      <c r="AB702" s="1481"/>
      <c r="AC702" s="1481"/>
      <c r="AD702" s="1481"/>
      <c r="AE702" s="1481"/>
      <c r="AF702" s="1481"/>
      <c r="AG702" s="1481"/>
    </row>
    <row r="703" spans="1:33" ht="15.75" customHeight="1">
      <c r="A703" s="1448"/>
      <c r="B703" s="1482" t="s">
        <v>7481</v>
      </c>
      <c r="C703" s="1445">
        <v>1</v>
      </c>
      <c r="D703" s="1467" t="s">
        <v>3364</v>
      </c>
      <c r="E703" s="1445">
        <v>1</v>
      </c>
      <c r="F703" s="1446">
        <v>1.4</v>
      </c>
      <c r="G703" s="1458"/>
      <c r="H703" s="1447">
        <v>3.15</v>
      </c>
      <c r="I703" s="1448">
        <f t="shared" si="44"/>
        <v>4.41</v>
      </c>
      <c r="J703" s="1449"/>
      <c r="K703" s="1481"/>
      <c r="L703" s="1481"/>
      <c r="M703" s="1481"/>
      <c r="N703" s="1481"/>
      <c r="O703" s="1481"/>
      <c r="P703" s="1481"/>
      <c r="Q703" s="1481"/>
      <c r="R703" s="1481"/>
      <c r="S703" s="1481"/>
      <c r="T703" s="1481"/>
      <c r="U703" s="1481"/>
      <c r="V703" s="1481"/>
      <c r="W703" s="1481"/>
      <c r="X703" s="1481"/>
      <c r="Y703" s="1481"/>
      <c r="Z703" s="1481"/>
      <c r="AA703" s="1481"/>
      <c r="AB703" s="1481"/>
      <c r="AC703" s="1481"/>
      <c r="AD703" s="1481"/>
      <c r="AE703" s="1481"/>
      <c r="AF703" s="1481"/>
      <c r="AG703" s="1481"/>
    </row>
    <row r="704" spans="1:33" ht="15.75" customHeight="1">
      <c r="A704" s="1448"/>
      <c r="B704" s="1480" t="s">
        <v>7060</v>
      </c>
      <c r="C704" s="1445">
        <v>-1</v>
      </c>
      <c r="D704" s="1447" t="s">
        <v>3364</v>
      </c>
      <c r="E704" s="1445">
        <v>14</v>
      </c>
      <c r="F704" s="1446">
        <v>0.75</v>
      </c>
      <c r="G704" s="1458"/>
      <c r="H704" s="1447">
        <v>2.1</v>
      </c>
      <c r="I704" s="1448">
        <f t="shared" si="44"/>
        <v>-22.05</v>
      </c>
      <c r="J704" s="1449"/>
      <c r="K704" s="1481"/>
      <c r="L704" s="1481"/>
      <c r="M704" s="1481"/>
      <c r="N704" s="1481"/>
      <c r="O704" s="1481"/>
      <c r="P704" s="1481"/>
      <c r="Q704" s="1481"/>
      <c r="R704" s="1481"/>
      <c r="S704" s="1481"/>
      <c r="T704" s="1481"/>
      <c r="U704" s="1481"/>
      <c r="V704" s="1481"/>
      <c r="W704" s="1481"/>
      <c r="X704" s="1481"/>
      <c r="Y704" s="1481"/>
      <c r="Z704" s="1481"/>
      <c r="AA704" s="1481"/>
      <c r="AB704" s="1481"/>
      <c r="AC704" s="1481"/>
      <c r="AD704" s="1481"/>
      <c r="AE704" s="1481"/>
      <c r="AF704" s="1481"/>
      <c r="AG704" s="1481"/>
    </row>
    <row r="705" spans="1:33" ht="15.75" customHeight="1">
      <c r="A705" s="1470"/>
      <c r="B705" s="1471"/>
      <c r="C705" s="1484"/>
      <c r="D705" s="1484"/>
      <c r="E705" s="1484"/>
      <c r="F705" s="1446"/>
      <c r="G705" s="1458" t="s">
        <v>104</v>
      </c>
      <c r="H705" s="1447"/>
      <c r="I705" s="1479">
        <f>SUM(I698:I704)</f>
        <v>112.96</v>
      </c>
      <c r="J705" s="1475"/>
      <c r="K705" s="1439"/>
      <c r="L705" s="1439"/>
      <c r="M705" s="1439"/>
      <c r="N705" s="1439"/>
      <c r="O705" s="1439"/>
      <c r="P705" s="1439"/>
      <c r="Q705" s="1439"/>
      <c r="R705" s="1439"/>
      <c r="S705" s="1439"/>
      <c r="T705" s="1439"/>
      <c r="U705" s="1439"/>
      <c r="V705" s="1439"/>
      <c r="W705" s="1439"/>
      <c r="X705" s="1439"/>
      <c r="Y705" s="1439"/>
      <c r="Z705" s="1439"/>
      <c r="AA705" s="1439"/>
      <c r="AB705" s="1439"/>
      <c r="AC705" s="1439"/>
      <c r="AD705" s="1439"/>
      <c r="AE705" s="1439"/>
      <c r="AF705" s="1439"/>
      <c r="AG705" s="1439"/>
    </row>
    <row r="706" spans="1:33" ht="15.75" customHeight="1">
      <c r="A706" s="1470"/>
      <c r="B706" s="1450"/>
      <c r="C706" s="1484"/>
      <c r="D706" s="1484"/>
      <c r="E706" s="1484"/>
      <c r="F706" s="1446"/>
      <c r="G706" s="1446"/>
      <c r="H706" s="1460" t="s">
        <v>2981</v>
      </c>
      <c r="I706" s="1459">
        <f>CEILING(I705,0.1)</f>
        <v>113</v>
      </c>
      <c r="J706" s="1475" t="s">
        <v>724</v>
      </c>
      <c r="K706" s="1439"/>
      <c r="L706" s="1439"/>
      <c r="M706" s="1439"/>
      <c r="N706" s="1439"/>
      <c r="O706" s="1439"/>
      <c r="P706" s="1439"/>
      <c r="Q706" s="1439"/>
      <c r="R706" s="1439"/>
      <c r="S706" s="1439"/>
      <c r="T706" s="1439"/>
      <c r="U706" s="1439"/>
      <c r="V706" s="1439"/>
      <c r="W706" s="1439"/>
      <c r="X706" s="1439"/>
      <c r="Y706" s="1439"/>
      <c r="Z706" s="1439"/>
      <c r="AA706" s="1439"/>
      <c r="AB706" s="1439"/>
      <c r="AC706" s="1439"/>
      <c r="AD706" s="1439"/>
      <c r="AE706" s="1439"/>
      <c r="AF706" s="1439"/>
      <c r="AG706" s="1439"/>
    </row>
    <row r="707" spans="1:33" ht="15.75" customHeight="1">
      <c r="A707" s="1470"/>
      <c r="B707" s="1456" t="s">
        <v>7076</v>
      </c>
      <c r="C707" s="1484"/>
      <c r="D707" s="1484"/>
      <c r="E707" s="1484"/>
      <c r="F707" s="1446"/>
      <c r="G707" s="1446"/>
      <c r="H707" s="1447"/>
      <c r="I707" s="1448"/>
      <c r="J707" s="1475"/>
      <c r="K707" s="1439"/>
      <c r="L707" s="1439"/>
      <c r="M707" s="1439"/>
      <c r="N707" s="1439"/>
      <c r="O707" s="1439"/>
      <c r="P707" s="1439"/>
      <c r="Q707" s="1439"/>
      <c r="R707" s="1439"/>
      <c r="S707" s="1439"/>
      <c r="T707" s="1439"/>
      <c r="U707" s="1439"/>
      <c r="V707" s="1439"/>
      <c r="W707" s="1439"/>
      <c r="X707" s="1439"/>
      <c r="Y707" s="1439"/>
      <c r="Z707" s="1439"/>
      <c r="AA707" s="1439"/>
      <c r="AB707" s="1439"/>
      <c r="AC707" s="1439"/>
      <c r="AD707" s="1439"/>
      <c r="AE707" s="1439"/>
      <c r="AF707" s="1439"/>
      <c r="AG707" s="1439"/>
    </row>
    <row r="708" spans="1:33" ht="18.75" customHeight="1">
      <c r="A708" s="1448"/>
      <c r="B708" s="1482" t="s">
        <v>7482</v>
      </c>
      <c r="C708" s="1445">
        <v>1</v>
      </c>
      <c r="D708" s="1467" t="s">
        <v>3364</v>
      </c>
      <c r="E708" s="1445">
        <v>1</v>
      </c>
      <c r="F708" s="1446">
        <f>1.54+2.52</f>
        <v>4.0599999999999996</v>
      </c>
      <c r="G708" s="1446"/>
      <c r="H708" s="1447">
        <f>3.6-0.3</f>
        <v>3.3</v>
      </c>
      <c r="I708" s="1448">
        <f t="shared" ref="I708:I715" si="45">PRODUCT(C708:H708)</f>
        <v>13.4</v>
      </c>
      <c r="J708" s="1449"/>
      <c r="K708" s="1481"/>
      <c r="L708" s="1481"/>
      <c r="M708" s="1481"/>
      <c r="N708" s="1481"/>
      <c r="O708" s="1481"/>
      <c r="P708" s="1481"/>
      <c r="Q708" s="1481"/>
      <c r="R708" s="1481"/>
      <c r="S708" s="1481"/>
      <c r="T708" s="1481"/>
      <c r="U708" s="1481"/>
      <c r="V708" s="1481"/>
      <c r="W708" s="1481"/>
      <c r="X708" s="1481"/>
      <c r="Y708" s="1481"/>
      <c r="Z708" s="1481"/>
      <c r="AA708" s="1481"/>
      <c r="AB708" s="1481"/>
      <c r="AC708" s="1481"/>
      <c r="AD708" s="1481"/>
      <c r="AE708" s="1481"/>
      <c r="AF708" s="1481"/>
      <c r="AG708" s="1481"/>
    </row>
    <row r="709" spans="1:33" ht="18.75" customHeight="1">
      <c r="A709" s="1448"/>
      <c r="B709" s="1482" t="s">
        <v>7483</v>
      </c>
      <c r="C709" s="1445">
        <v>2</v>
      </c>
      <c r="D709" s="1467" t="s">
        <v>3364</v>
      </c>
      <c r="E709" s="1445">
        <v>1</v>
      </c>
      <c r="F709" s="1446">
        <f>1.89+1.89+1.76+1.76</f>
        <v>7.3</v>
      </c>
      <c r="G709" s="1446"/>
      <c r="H709" s="1447">
        <f>3.6-0.3</f>
        <v>3.3</v>
      </c>
      <c r="I709" s="1448">
        <f t="shared" si="45"/>
        <v>48.18</v>
      </c>
      <c r="J709" s="1449"/>
      <c r="K709" s="1481"/>
      <c r="L709" s="1481"/>
      <c r="M709" s="1481"/>
      <c r="N709" s="1481"/>
      <c r="O709" s="1481"/>
      <c r="P709" s="1481"/>
      <c r="Q709" s="1481"/>
      <c r="R709" s="1481"/>
      <c r="S709" s="1481"/>
      <c r="T709" s="1481"/>
      <c r="U709" s="1481"/>
      <c r="V709" s="1481"/>
      <c r="W709" s="1481"/>
      <c r="X709" s="1481"/>
      <c r="Y709" s="1481"/>
      <c r="Z709" s="1481"/>
      <c r="AA709" s="1481"/>
      <c r="AB709" s="1481"/>
      <c r="AC709" s="1481"/>
      <c r="AD709" s="1481"/>
      <c r="AE709" s="1481"/>
      <c r="AF709" s="1481"/>
      <c r="AG709" s="1481"/>
    </row>
    <row r="710" spans="1:33" ht="18.75" customHeight="1">
      <c r="A710" s="1448"/>
      <c r="B710" s="1482" t="s">
        <v>7484</v>
      </c>
      <c r="C710" s="1445">
        <v>1</v>
      </c>
      <c r="D710" s="1467" t="s">
        <v>3364</v>
      </c>
      <c r="E710" s="1445">
        <v>1</v>
      </c>
      <c r="F710" s="1446">
        <f>2.4+1.2</f>
        <v>3.6</v>
      </c>
      <c r="G710" s="1446"/>
      <c r="H710" s="1447">
        <f>3.6-0.3</f>
        <v>3.3</v>
      </c>
      <c r="I710" s="1448">
        <f t="shared" si="45"/>
        <v>11.88</v>
      </c>
      <c r="J710" s="1449"/>
      <c r="K710" s="1481"/>
      <c r="L710" s="1481"/>
      <c r="M710" s="1481"/>
      <c r="N710" s="1481"/>
      <c r="O710" s="1481"/>
      <c r="P710" s="1481"/>
      <c r="Q710" s="1481"/>
      <c r="R710" s="1481"/>
      <c r="S710" s="1481"/>
      <c r="T710" s="1481"/>
      <c r="U710" s="1481"/>
      <c r="V710" s="1481"/>
      <c r="W710" s="1481"/>
      <c r="X710" s="1481"/>
      <c r="Y710" s="1481"/>
      <c r="Z710" s="1481"/>
      <c r="AA710" s="1481"/>
      <c r="AB710" s="1481"/>
      <c r="AC710" s="1481"/>
      <c r="AD710" s="1481"/>
      <c r="AE710" s="1481"/>
      <c r="AF710" s="1481"/>
      <c r="AG710" s="1481"/>
    </row>
    <row r="711" spans="1:33" ht="15.75" customHeight="1">
      <c r="A711" s="1448"/>
      <c r="B711" s="1482" t="s">
        <v>7480</v>
      </c>
      <c r="C711" s="1445">
        <v>1</v>
      </c>
      <c r="D711" s="1467" t="s">
        <v>3364</v>
      </c>
      <c r="E711" s="1445">
        <v>1</v>
      </c>
      <c r="F711" s="1446">
        <v>4</v>
      </c>
      <c r="G711" s="1458"/>
      <c r="H711" s="1447">
        <v>2.9</v>
      </c>
      <c r="I711" s="1448">
        <f t="shared" si="45"/>
        <v>11.6</v>
      </c>
      <c r="J711" s="1449"/>
      <c r="K711" s="1481"/>
      <c r="L711" s="1481"/>
      <c r="M711" s="1481"/>
      <c r="N711" s="1481"/>
      <c r="O711" s="1481"/>
      <c r="P711" s="1481"/>
      <c r="Q711" s="1481"/>
      <c r="R711" s="1481"/>
      <c r="S711" s="1481"/>
      <c r="T711" s="1481"/>
      <c r="U711" s="1481"/>
      <c r="V711" s="1481"/>
      <c r="W711" s="1481"/>
      <c r="X711" s="1481"/>
      <c r="Y711" s="1481"/>
      <c r="Z711" s="1481"/>
      <c r="AA711" s="1481"/>
      <c r="AB711" s="1481"/>
      <c r="AC711" s="1481"/>
      <c r="AD711" s="1481"/>
      <c r="AE711" s="1481"/>
      <c r="AF711" s="1481"/>
      <c r="AG711" s="1481"/>
    </row>
    <row r="712" spans="1:33" ht="15.75" customHeight="1">
      <c r="A712" s="1448"/>
      <c r="B712" s="1482" t="s">
        <v>3487</v>
      </c>
      <c r="C712" s="1445">
        <v>3</v>
      </c>
      <c r="D712" s="1467" t="s">
        <v>3364</v>
      </c>
      <c r="E712" s="1445">
        <v>1</v>
      </c>
      <c r="F712" s="1446">
        <f>1.2+1.4</f>
        <v>2.6</v>
      </c>
      <c r="G712" s="1458"/>
      <c r="H712" s="1447">
        <v>2.9</v>
      </c>
      <c r="I712" s="1448">
        <f t="shared" si="45"/>
        <v>22.62</v>
      </c>
      <c r="J712" s="1449"/>
      <c r="K712" s="1481"/>
      <c r="L712" s="1481"/>
      <c r="M712" s="1481"/>
      <c r="N712" s="1481"/>
      <c r="O712" s="1481"/>
      <c r="P712" s="1481"/>
      <c r="Q712" s="1481"/>
      <c r="R712" s="1481"/>
      <c r="S712" s="1481"/>
      <c r="T712" s="1481"/>
      <c r="U712" s="1481"/>
      <c r="V712" s="1481"/>
      <c r="W712" s="1481"/>
      <c r="X712" s="1481"/>
      <c r="Y712" s="1481"/>
      <c r="Z712" s="1481"/>
      <c r="AA712" s="1481"/>
      <c r="AB712" s="1481"/>
      <c r="AC712" s="1481"/>
      <c r="AD712" s="1481"/>
      <c r="AE712" s="1481"/>
      <c r="AF712" s="1481"/>
      <c r="AG712" s="1481"/>
    </row>
    <row r="713" spans="1:33" ht="15.75" customHeight="1">
      <c r="A713" s="1448"/>
      <c r="B713" s="1482" t="s">
        <v>7269</v>
      </c>
      <c r="C713" s="1445">
        <v>3</v>
      </c>
      <c r="D713" s="1467" t="s">
        <v>3364</v>
      </c>
      <c r="E713" s="1445">
        <v>1</v>
      </c>
      <c r="F713" s="1446">
        <f>1.2+1.62</f>
        <v>2.82</v>
      </c>
      <c r="G713" s="1458"/>
      <c r="H713" s="1447">
        <v>2.9</v>
      </c>
      <c r="I713" s="1448">
        <f t="shared" si="45"/>
        <v>24.53</v>
      </c>
      <c r="J713" s="1449"/>
      <c r="K713" s="1481"/>
      <c r="L713" s="1481"/>
      <c r="M713" s="1481"/>
      <c r="N713" s="1481"/>
      <c r="O713" s="1481"/>
      <c r="P713" s="1481"/>
      <c r="Q713" s="1481"/>
      <c r="R713" s="1481"/>
      <c r="S713" s="1481"/>
      <c r="T713" s="1481"/>
      <c r="U713" s="1481"/>
      <c r="V713" s="1481"/>
      <c r="W713" s="1481"/>
      <c r="X713" s="1481"/>
      <c r="Y713" s="1481"/>
      <c r="Z713" s="1481"/>
      <c r="AA713" s="1481"/>
      <c r="AB713" s="1481"/>
      <c r="AC713" s="1481"/>
      <c r="AD713" s="1481"/>
      <c r="AE713" s="1481"/>
      <c r="AF713" s="1481"/>
      <c r="AG713" s="1481"/>
    </row>
    <row r="714" spans="1:33" ht="15.75" customHeight="1">
      <c r="A714" s="1448"/>
      <c r="B714" s="1482" t="s">
        <v>7481</v>
      </c>
      <c r="C714" s="1445">
        <v>1</v>
      </c>
      <c r="D714" s="1467" t="s">
        <v>3364</v>
      </c>
      <c r="E714" s="1445">
        <v>1</v>
      </c>
      <c r="F714" s="1446">
        <v>1.4</v>
      </c>
      <c r="G714" s="1458"/>
      <c r="H714" s="1447">
        <v>2.9</v>
      </c>
      <c r="I714" s="1448">
        <f t="shared" si="45"/>
        <v>4.0599999999999996</v>
      </c>
      <c r="J714" s="1449"/>
      <c r="K714" s="1481"/>
      <c r="L714" s="1481"/>
      <c r="M714" s="1481"/>
      <c r="N714" s="1481"/>
      <c r="O714" s="1481"/>
      <c r="P714" s="1481"/>
      <c r="Q714" s="1481"/>
      <c r="R714" s="1481"/>
      <c r="S714" s="1481"/>
      <c r="T714" s="1481"/>
      <c r="U714" s="1481"/>
      <c r="V714" s="1481"/>
      <c r="W714" s="1481"/>
      <c r="X714" s="1481"/>
      <c r="Y714" s="1481"/>
      <c r="Z714" s="1481"/>
      <c r="AA714" s="1481"/>
      <c r="AB714" s="1481"/>
      <c r="AC714" s="1481"/>
      <c r="AD714" s="1481"/>
      <c r="AE714" s="1481"/>
      <c r="AF714" s="1481"/>
      <c r="AG714" s="1481"/>
    </row>
    <row r="715" spans="1:33" ht="15.75" customHeight="1">
      <c r="A715" s="1448"/>
      <c r="B715" s="1480" t="s">
        <v>7060</v>
      </c>
      <c r="C715" s="1445">
        <v>-1</v>
      </c>
      <c r="D715" s="1447" t="s">
        <v>3364</v>
      </c>
      <c r="E715" s="1445">
        <v>12</v>
      </c>
      <c r="F715" s="1446">
        <v>0.75</v>
      </c>
      <c r="G715" s="1458"/>
      <c r="H715" s="1447">
        <v>2.1</v>
      </c>
      <c r="I715" s="1448">
        <f t="shared" si="45"/>
        <v>-18.899999999999999</v>
      </c>
      <c r="J715" s="1449"/>
      <c r="K715" s="1481"/>
      <c r="L715" s="1481"/>
      <c r="M715" s="1481"/>
      <c r="N715" s="1481"/>
      <c r="O715" s="1481"/>
      <c r="P715" s="1481"/>
      <c r="Q715" s="1481"/>
      <c r="R715" s="1481"/>
      <c r="S715" s="1481"/>
      <c r="T715" s="1481"/>
      <c r="U715" s="1481"/>
      <c r="V715" s="1481"/>
      <c r="W715" s="1481"/>
      <c r="X715" s="1481"/>
      <c r="Y715" s="1481"/>
      <c r="Z715" s="1481"/>
      <c r="AA715" s="1481"/>
      <c r="AB715" s="1481"/>
      <c r="AC715" s="1481"/>
      <c r="AD715" s="1481"/>
      <c r="AE715" s="1481"/>
      <c r="AF715" s="1481"/>
      <c r="AG715" s="1481"/>
    </row>
    <row r="716" spans="1:33" ht="15.75" customHeight="1">
      <c r="A716" s="1470"/>
      <c r="B716" s="1471"/>
      <c r="C716" s="1484"/>
      <c r="D716" s="1484"/>
      <c r="E716" s="1484"/>
      <c r="F716" s="1446"/>
      <c r="G716" s="1458" t="s">
        <v>104</v>
      </c>
      <c r="H716" s="1447"/>
      <c r="I716" s="1479">
        <f>SUM(I708:I715)</f>
        <v>117.37</v>
      </c>
      <c r="J716" s="1475"/>
      <c r="K716" s="1439"/>
      <c r="L716" s="1439"/>
      <c r="M716" s="1439"/>
      <c r="N716" s="1439"/>
      <c r="O716" s="1439"/>
      <c r="P716" s="1439"/>
      <c r="Q716" s="1439"/>
      <c r="R716" s="1439"/>
      <c r="S716" s="1439"/>
      <c r="T716" s="1439"/>
      <c r="U716" s="1439"/>
      <c r="V716" s="1439"/>
      <c r="W716" s="1439"/>
      <c r="X716" s="1439"/>
      <c r="Y716" s="1439"/>
      <c r="Z716" s="1439"/>
      <c r="AA716" s="1439"/>
      <c r="AB716" s="1439"/>
      <c r="AC716" s="1439"/>
      <c r="AD716" s="1439"/>
      <c r="AE716" s="1439"/>
      <c r="AF716" s="1439"/>
      <c r="AG716" s="1439"/>
    </row>
    <row r="717" spans="1:33" ht="15.75" customHeight="1">
      <c r="A717" s="1470"/>
      <c r="B717" s="1450"/>
      <c r="C717" s="1484"/>
      <c r="D717" s="1484"/>
      <c r="E717" s="1484"/>
      <c r="F717" s="1446"/>
      <c r="G717" s="1446"/>
      <c r="H717" s="1460" t="s">
        <v>2981</v>
      </c>
      <c r="I717" s="1459">
        <f>CEILING(I716,0.1)</f>
        <v>117.4</v>
      </c>
      <c r="J717" s="1475" t="s">
        <v>724</v>
      </c>
      <c r="K717" s="1439"/>
      <c r="L717" s="1439"/>
      <c r="M717" s="1439"/>
      <c r="N717" s="1439"/>
      <c r="O717" s="1439"/>
      <c r="P717" s="1439"/>
      <c r="Q717" s="1439"/>
      <c r="R717" s="1439"/>
      <c r="S717" s="1439"/>
      <c r="T717" s="1439"/>
      <c r="U717" s="1439"/>
      <c r="V717" s="1439"/>
      <c r="W717" s="1439"/>
      <c r="X717" s="1439"/>
      <c r="Y717" s="1439"/>
      <c r="Z717" s="1439"/>
      <c r="AA717" s="1439"/>
      <c r="AB717" s="1439"/>
      <c r="AC717" s="1439"/>
      <c r="AD717" s="1439"/>
      <c r="AE717" s="1439"/>
      <c r="AF717" s="1439"/>
      <c r="AG717" s="1439"/>
    </row>
    <row r="718" spans="1:33" ht="18.75" customHeight="1">
      <c r="A718" s="1448"/>
      <c r="B718" s="1485" t="s">
        <v>7077</v>
      </c>
      <c r="C718" s="1445"/>
      <c r="D718" s="1447"/>
      <c r="E718" s="1445"/>
      <c r="F718" s="1446"/>
      <c r="G718" s="1446"/>
      <c r="H718" s="1447"/>
      <c r="I718" s="1448"/>
      <c r="J718" s="1449"/>
      <c r="K718" s="1481"/>
      <c r="L718" s="1481"/>
      <c r="M718" s="1481"/>
      <c r="N718" s="1481"/>
      <c r="O718" s="1481"/>
      <c r="P718" s="1481"/>
      <c r="Q718" s="1481"/>
      <c r="R718" s="1481"/>
      <c r="S718" s="1481"/>
      <c r="T718" s="1481"/>
      <c r="U718" s="1481"/>
      <c r="V718" s="1481"/>
      <c r="W718" s="1481"/>
      <c r="X718" s="1481"/>
      <c r="Y718" s="1481"/>
      <c r="Z718" s="1481"/>
      <c r="AA718" s="1481"/>
      <c r="AB718" s="1481"/>
      <c r="AC718" s="1481"/>
      <c r="AD718" s="1481"/>
      <c r="AE718" s="1481"/>
      <c r="AF718" s="1481"/>
      <c r="AG718" s="1481"/>
    </row>
    <row r="719" spans="1:33" ht="15.75" customHeight="1">
      <c r="A719" s="1448"/>
      <c r="B719" s="1482" t="s">
        <v>7480</v>
      </c>
      <c r="C719" s="1445">
        <v>1</v>
      </c>
      <c r="D719" s="1467" t="s">
        <v>3364</v>
      </c>
      <c r="E719" s="1445">
        <v>1</v>
      </c>
      <c r="F719" s="1446">
        <v>4</v>
      </c>
      <c r="G719" s="1458"/>
      <c r="H719" s="1447">
        <v>2.9</v>
      </c>
      <c r="I719" s="1448">
        <f>PRODUCT(C719:H719)</f>
        <v>11.6</v>
      </c>
      <c r="J719" s="1449"/>
      <c r="K719" s="1481"/>
      <c r="L719" s="1481"/>
      <c r="M719" s="1481"/>
      <c r="N719" s="1481"/>
      <c r="O719" s="1481"/>
      <c r="P719" s="1481"/>
      <c r="Q719" s="1481"/>
      <c r="R719" s="1481"/>
      <c r="S719" s="1481"/>
      <c r="T719" s="1481"/>
      <c r="U719" s="1481"/>
      <c r="V719" s="1481"/>
      <c r="W719" s="1481"/>
      <c r="X719" s="1481"/>
      <c r="Y719" s="1481"/>
      <c r="Z719" s="1481"/>
      <c r="AA719" s="1481"/>
      <c r="AB719" s="1481"/>
      <c r="AC719" s="1481"/>
      <c r="AD719" s="1481"/>
      <c r="AE719" s="1481"/>
      <c r="AF719" s="1481"/>
      <c r="AG719" s="1481"/>
    </row>
    <row r="720" spans="1:33" ht="15.75" customHeight="1">
      <c r="A720" s="1448"/>
      <c r="B720" s="1482" t="s">
        <v>3487</v>
      </c>
      <c r="C720" s="1445">
        <v>3</v>
      </c>
      <c r="D720" s="1467" t="s">
        <v>3364</v>
      </c>
      <c r="E720" s="1445">
        <v>1</v>
      </c>
      <c r="F720" s="1446">
        <f>1.2+1.4</f>
        <v>2.6</v>
      </c>
      <c r="G720" s="1458"/>
      <c r="H720" s="1447">
        <v>2.9</v>
      </c>
      <c r="I720" s="1448">
        <f>PRODUCT(C720:H720)</f>
        <v>22.62</v>
      </c>
      <c r="J720" s="1449"/>
      <c r="K720" s="1481"/>
      <c r="L720" s="1481"/>
      <c r="M720" s="1481"/>
      <c r="N720" s="1481"/>
      <c r="O720" s="1481"/>
      <c r="P720" s="1481"/>
      <c r="Q720" s="1481"/>
      <c r="R720" s="1481"/>
      <c r="S720" s="1481"/>
      <c r="T720" s="1481"/>
      <c r="U720" s="1481"/>
      <c r="V720" s="1481"/>
      <c r="W720" s="1481"/>
      <c r="X720" s="1481"/>
      <c r="Y720" s="1481"/>
      <c r="Z720" s="1481"/>
      <c r="AA720" s="1481"/>
      <c r="AB720" s="1481"/>
      <c r="AC720" s="1481"/>
      <c r="AD720" s="1481"/>
      <c r="AE720" s="1481"/>
      <c r="AF720" s="1481"/>
      <c r="AG720" s="1481"/>
    </row>
    <row r="721" spans="1:33" ht="15.75" customHeight="1">
      <c r="A721" s="1448"/>
      <c r="B721" s="1482" t="s">
        <v>7269</v>
      </c>
      <c r="C721" s="1445">
        <v>3</v>
      </c>
      <c r="D721" s="1467" t="s">
        <v>3364</v>
      </c>
      <c r="E721" s="1445">
        <v>1</v>
      </c>
      <c r="F721" s="1446">
        <f>1.2+1.62</f>
        <v>2.82</v>
      </c>
      <c r="G721" s="1458"/>
      <c r="H721" s="1447">
        <v>2.9</v>
      </c>
      <c r="I721" s="1448">
        <f>PRODUCT(C721:H721)</f>
        <v>24.53</v>
      </c>
      <c r="J721" s="1449"/>
      <c r="K721" s="1481"/>
      <c r="L721" s="1481"/>
      <c r="M721" s="1481"/>
      <c r="N721" s="1481"/>
      <c r="O721" s="1481"/>
      <c r="P721" s="1481"/>
      <c r="Q721" s="1481"/>
      <c r="R721" s="1481"/>
      <c r="S721" s="1481"/>
      <c r="T721" s="1481"/>
      <c r="U721" s="1481"/>
      <c r="V721" s="1481"/>
      <c r="W721" s="1481"/>
      <c r="X721" s="1481"/>
      <c r="Y721" s="1481"/>
      <c r="Z721" s="1481"/>
      <c r="AA721" s="1481"/>
      <c r="AB721" s="1481"/>
      <c r="AC721" s="1481"/>
      <c r="AD721" s="1481"/>
      <c r="AE721" s="1481"/>
      <c r="AF721" s="1481"/>
      <c r="AG721" s="1481"/>
    </row>
    <row r="722" spans="1:33" ht="15.75" customHeight="1">
      <c r="A722" s="1448"/>
      <c r="B722" s="1482" t="s">
        <v>7481</v>
      </c>
      <c r="C722" s="1445">
        <v>1</v>
      </c>
      <c r="D722" s="1467" t="s">
        <v>3364</v>
      </c>
      <c r="E722" s="1445">
        <v>1</v>
      </c>
      <c r="F722" s="1446">
        <v>1.4</v>
      </c>
      <c r="G722" s="1458"/>
      <c r="H722" s="1447">
        <v>2.9</v>
      </c>
      <c r="I722" s="1448">
        <f>PRODUCT(C722:H722)</f>
        <v>4.0599999999999996</v>
      </c>
      <c r="J722" s="1449"/>
      <c r="K722" s="1481"/>
      <c r="L722" s="1481"/>
      <c r="M722" s="1481"/>
      <c r="N722" s="1481"/>
      <c r="O722" s="1481"/>
      <c r="P722" s="1481"/>
      <c r="Q722" s="1481"/>
      <c r="R722" s="1481"/>
      <c r="S722" s="1481"/>
      <c r="T722" s="1481"/>
      <c r="U722" s="1481"/>
      <c r="V722" s="1481"/>
      <c r="W722" s="1481"/>
      <c r="X722" s="1481"/>
      <c r="Y722" s="1481"/>
      <c r="Z722" s="1481"/>
      <c r="AA722" s="1481"/>
      <c r="AB722" s="1481"/>
      <c r="AC722" s="1481"/>
      <c r="AD722" s="1481"/>
      <c r="AE722" s="1481"/>
      <c r="AF722" s="1481"/>
      <c r="AG722" s="1481"/>
    </row>
    <row r="723" spans="1:33" ht="15.75" customHeight="1">
      <c r="A723" s="1448"/>
      <c r="B723" s="1480" t="s">
        <v>7060</v>
      </c>
      <c r="C723" s="1445">
        <v>-1</v>
      </c>
      <c r="D723" s="1447" t="s">
        <v>3364</v>
      </c>
      <c r="E723" s="1445">
        <v>8</v>
      </c>
      <c r="F723" s="1446">
        <v>0.75</v>
      </c>
      <c r="G723" s="1458"/>
      <c r="H723" s="1447">
        <v>2.1</v>
      </c>
      <c r="I723" s="1448">
        <f>PRODUCT(C723:H723)</f>
        <v>-12.6</v>
      </c>
      <c r="J723" s="1449"/>
      <c r="K723" s="1481"/>
      <c r="L723" s="1481"/>
      <c r="M723" s="1481"/>
      <c r="N723" s="1481"/>
      <c r="O723" s="1481"/>
      <c r="P723" s="1481"/>
      <c r="Q723" s="1481"/>
      <c r="R723" s="1481"/>
      <c r="S723" s="1481"/>
      <c r="T723" s="1481"/>
      <c r="U723" s="1481"/>
      <c r="V723" s="1481"/>
      <c r="W723" s="1481"/>
      <c r="X723" s="1481"/>
      <c r="Y723" s="1481"/>
      <c r="Z723" s="1481"/>
      <c r="AA723" s="1481"/>
      <c r="AB723" s="1481"/>
      <c r="AC723" s="1481"/>
      <c r="AD723" s="1481"/>
      <c r="AE723" s="1481"/>
      <c r="AF723" s="1481"/>
      <c r="AG723" s="1481"/>
    </row>
    <row r="724" spans="1:33" ht="18.75" customHeight="1">
      <c r="A724" s="1448"/>
      <c r="B724" s="1480"/>
      <c r="C724" s="1445"/>
      <c r="D724" s="1447"/>
      <c r="E724" s="1445"/>
      <c r="F724" s="1446"/>
      <c r="G724" s="1458" t="s">
        <v>104</v>
      </c>
      <c r="H724" s="1447"/>
      <c r="I724" s="1479">
        <f>SUM(I719:I723)</f>
        <v>50.21</v>
      </c>
      <c r="J724" s="1475"/>
      <c r="K724" s="1481"/>
      <c r="L724" s="1481"/>
      <c r="M724" s="1481"/>
      <c r="N724" s="1481"/>
      <c r="O724" s="1481"/>
      <c r="P724" s="1481"/>
      <c r="Q724" s="1481"/>
      <c r="R724" s="1481"/>
      <c r="S724" s="1481"/>
      <c r="T724" s="1481"/>
      <c r="U724" s="1481"/>
      <c r="V724" s="1481"/>
      <c r="W724" s="1481"/>
      <c r="X724" s="1481"/>
      <c r="Y724" s="1481"/>
      <c r="Z724" s="1481"/>
      <c r="AA724" s="1481"/>
      <c r="AB724" s="1481"/>
      <c r="AC724" s="1481"/>
      <c r="AD724" s="1481"/>
      <c r="AE724" s="1481"/>
      <c r="AF724" s="1481"/>
      <c r="AG724" s="1481"/>
    </row>
    <row r="725" spans="1:33" ht="15.75" customHeight="1">
      <c r="A725" s="1470"/>
      <c r="B725" s="1450"/>
      <c r="C725" s="1484"/>
      <c r="D725" s="1484"/>
      <c r="E725" s="1484"/>
      <c r="F725" s="1446"/>
      <c r="G725" s="1446"/>
      <c r="H725" s="1460" t="s">
        <v>2981</v>
      </c>
      <c r="I725" s="1459">
        <f>CEILING(I724,0.1)</f>
        <v>50.3</v>
      </c>
      <c r="J725" s="1475" t="s">
        <v>724</v>
      </c>
      <c r="K725" s="1439"/>
      <c r="L725" s="1439"/>
      <c r="M725" s="1439"/>
      <c r="N725" s="1439"/>
      <c r="O725" s="1439"/>
      <c r="P725" s="1439"/>
      <c r="Q725" s="1439"/>
      <c r="R725" s="1439"/>
      <c r="S725" s="1439"/>
      <c r="T725" s="1439"/>
      <c r="U725" s="1439"/>
      <c r="V725" s="1439"/>
      <c r="W725" s="1439"/>
      <c r="X725" s="1439"/>
      <c r="Y725" s="1439"/>
      <c r="Z725" s="1439"/>
      <c r="AA725" s="1439"/>
      <c r="AB725" s="1439"/>
      <c r="AC725" s="1439"/>
      <c r="AD725" s="1439"/>
      <c r="AE725" s="1439"/>
      <c r="AF725" s="1439"/>
      <c r="AG725" s="1439"/>
    </row>
    <row r="726" spans="1:33" ht="189">
      <c r="A726" s="1451">
        <v>11.2</v>
      </c>
      <c r="B726" s="1444" t="s">
        <v>7078</v>
      </c>
      <c r="C726" s="1484"/>
      <c r="D726" s="1484"/>
      <c r="E726" s="1484"/>
      <c r="F726" s="1446"/>
      <c r="G726" s="1446"/>
      <c r="H726" s="1447"/>
      <c r="I726" s="1448"/>
      <c r="J726" s="1475"/>
      <c r="K726" s="1439"/>
      <c r="L726" s="1439"/>
      <c r="M726" s="1439">
        <f>3.3/2</f>
        <v>1.65</v>
      </c>
      <c r="N726" s="1439"/>
      <c r="O726" s="1439"/>
      <c r="P726" s="1439"/>
      <c r="Q726" s="1439"/>
      <c r="R726" s="1439"/>
      <c r="S726" s="1439"/>
      <c r="T726" s="1439"/>
      <c r="U726" s="1439"/>
      <c r="V726" s="1439"/>
      <c r="W726" s="1439"/>
      <c r="X726" s="1439"/>
      <c r="Y726" s="1439"/>
      <c r="Z726" s="1439"/>
      <c r="AA726" s="1439"/>
      <c r="AB726" s="1439"/>
      <c r="AC726" s="1439"/>
      <c r="AD726" s="1439"/>
      <c r="AE726" s="1439"/>
      <c r="AF726" s="1439"/>
      <c r="AG726" s="1439"/>
    </row>
    <row r="727" spans="1:33" ht="15.75" customHeight="1">
      <c r="A727" s="1451"/>
      <c r="B727" s="1444" t="s">
        <v>3456</v>
      </c>
      <c r="C727" s="1484"/>
      <c r="D727" s="1484"/>
      <c r="E727" s="1484"/>
      <c r="F727" s="1446"/>
      <c r="G727" s="1446"/>
      <c r="H727" s="1447"/>
      <c r="I727" s="1448"/>
      <c r="J727" s="1475"/>
      <c r="K727" s="1439"/>
      <c r="L727" s="1439"/>
      <c r="M727" s="1439"/>
      <c r="N727" s="1439"/>
      <c r="O727" s="1439"/>
      <c r="P727" s="1439"/>
      <c r="Q727" s="1439"/>
      <c r="R727" s="1439"/>
      <c r="S727" s="1439"/>
      <c r="T727" s="1439"/>
      <c r="U727" s="1439"/>
      <c r="V727" s="1439"/>
      <c r="W727" s="1439"/>
      <c r="X727" s="1439"/>
      <c r="Y727" s="1439"/>
      <c r="Z727" s="1439"/>
      <c r="AA727" s="1439"/>
      <c r="AB727" s="1439"/>
      <c r="AC727" s="1439"/>
      <c r="AD727" s="1439"/>
      <c r="AE727" s="1439"/>
      <c r="AF727" s="1439"/>
      <c r="AG727" s="1439"/>
    </row>
    <row r="728" spans="1:33" ht="15.75" customHeight="1">
      <c r="A728" s="1448"/>
      <c r="B728" s="1480" t="s">
        <v>7079</v>
      </c>
      <c r="C728" s="1445">
        <v>2</v>
      </c>
      <c r="D728" s="1447" t="s">
        <v>3364</v>
      </c>
      <c r="E728" s="1445">
        <v>2</v>
      </c>
      <c r="F728" s="1446">
        <v>0.6</v>
      </c>
      <c r="G728" s="1446"/>
      <c r="H728" s="1447">
        <v>2.1</v>
      </c>
      <c r="I728" s="1448">
        <f>PRODUCT(C728:H728)</f>
        <v>5.04</v>
      </c>
      <c r="J728" s="1449"/>
      <c r="K728" s="1481"/>
      <c r="L728" s="1481"/>
      <c r="M728" s="1481"/>
      <c r="N728" s="1481"/>
      <c r="O728" s="1481"/>
      <c r="P728" s="1481"/>
      <c r="Q728" s="1481"/>
      <c r="R728" s="1481"/>
      <c r="S728" s="1481"/>
      <c r="T728" s="1481"/>
      <c r="U728" s="1481"/>
      <c r="V728" s="1481"/>
      <c r="W728" s="1481"/>
      <c r="X728" s="1481"/>
      <c r="Y728" s="1481"/>
      <c r="Z728" s="1481"/>
      <c r="AA728" s="1481"/>
      <c r="AB728" s="1481"/>
      <c r="AC728" s="1481"/>
      <c r="AD728" s="1481"/>
      <c r="AE728" s="1481"/>
      <c r="AF728" s="1481"/>
      <c r="AG728" s="1481"/>
    </row>
    <row r="729" spans="1:33" ht="15.75" customHeight="1">
      <c r="A729" s="1448"/>
      <c r="B729" s="1480" t="s">
        <v>6723</v>
      </c>
      <c r="C729" s="1445">
        <v>2</v>
      </c>
      <c r="D729" s="1447" t="s">
        <v>3364</v>
      </c>
      <c r="E729" s="1445">
        <v>2</v>
      </c>
      <c r="F729" s="1446">
        <v>0.6</v>
      </c>
      <c r="G729" s="1446"/>
      <c r="H729" s="1447">
        <v>2.1</v>
      </c>
      <c r="I729" s="1448">
        <f>PRODUCT(C729:H729)</f>
        <v>5.04</v>
      </c>
      <c r="J729" s="1449"/>
      <c r="K729" s="1481"/>
      <c r="L729" s="1481"/>
      <c r="M729" s="1481"/>
      <c r="N729" s="1481"/>
      <c r="O729" s="1481"/>
      <c r="P729" s="1481"/>
      <c r="Q729" s="1481"/>
      <c r="R729" s="1481"/>
      <c r="S729" s="1481"/>
      <c r="T729" s="1481"/>
      <c r="U729" s="1481"/>
      <c r="V729" s="1481"/>
      <c r="W729" s="1481"/>
      <c r="X729" s="1481"/>
      <c r="Y729" s="1481"/>
      <c r="Z729" s="1481"/>
      <c r="AA729" s="1481"/>
      <c r="AB729" s="1481"/>
      <c r="AC729" s="1481"/>
      <c r="AD729" s="1481"/>
      <c r="AE729" s="1481"/>
      <c r="AF729" s="1481"/>
      <c r="AG729" s="1481"/>
    </row>
    <row r="730" spans="1:33" ht="15.75" customHeight="1">
      <c r="A730" s="1443"/>
      <c r="B730" s="1450"/>
      <c r="C730" s="1445"/>
      <c r="D730" s="1445"/>
      <c r="E730" s="1445"/>
      <c r="F730" s="1446"/>
      <c r="G730" s="1458" t="s">
        <v>104</v>
      </c>
      <c r="H730" s="1447"/>
      <c r="I730" s="1479">
        <f>SUM(I728:I729)</f>
        <v>10.08</v>
      </c>
      <c r="J730" s="1449"/>
      <c r="K730" s="1439"/>
      <c r="L730" s="1439"/>
      <c r="M730" s="1439"/>
      <c r="N730" s="1439"/>
      <c r="O730" s="1439"/>
      <c r="P730" s="1439"/>
      <c r="Q730" s="1439"/>
      <c r="R730" s="1439"/>
      <c r="S730" s="1439"/>
      <c r="T730" s="1439"/>
      <c r="U730" s="1439"/>
      <c r="V730" s="1439"/>
      <c r="W730" s="1439"/>
      <c r="X730" s="1439"/>
      <c r="Y730" s="1439"/>
      <c r="Z730" s="1439"/>
      <c r="AA730" s="1439"/>
      <c r="AB730" s="1439"/>
      <c r="AC730" s="1439"/>
      <c r="AD730" s="1439"/>
      <c r="AE730" s="1439"/>
      <c r="AF730" s="1439"/>
      <c r="AG730" s="1439"/>
    </row>
    <row r="731" spans="1:33" ht="15.75" customHeight="1">
      <c r="A731" s="1464"/>
      <c r="B731" s="1456"/>
      <c r="C731" s="1465"/>
      <c r="D731" s="1465"/>
      <c r="E731" s="1465"/>
      <c r="F731" s="1458"/>
      <c r="G731" s="1446"/>
      <c r="H731" s="1460" t="s">
        <v>2981</v>
      </c>
      <c r="I731" s="1459">
        <f>CEILING(I730,0.1)</f>
        <v>10.1</v>
      </c>
      <c r="J731" s="1449" t="s">
        <v>724</v>
      </c>
      <c r="K731" s="1466"/>
      <c r="L731" s="1466"/>
      <c r="M731" s="1466"/>
      <c r="N731" s="1466"/>
      <c r="O731" s="1466"/>
      <c r="P731" s="1466"/>
      <c r="Q731" s="1466"/>
      <c r="R731" s="1466"/>
      <c r="S731" s="1466"/>
      <c r="T731" s="1466"/>
      <c r="U731" s="1466"/>
      <c r="V731" s="1466"/>
      <c r="W731" s="1466"/>
      <c r="X731" s="1466"/>
      <c r="Y731" s="1466"/>
      <c r="Z731" s="1466"/>
      <c r="AA731" s="1466"/>
      <c r="AB731" s="1466"/>
      <c r="AC731" s="1466"/>
      <c r="AD731" s="1466"/>
      <c r="AE731" s="1466"/>
      <c r="AF731" s="1466"/>
      <c r="AG731" s="1466"/>
    </row>
    <row r="732" spans="1:33" ht="15.75" customHeight="1">
      <c r="A732" s="1451"/>
      <c r="B732" s="1444" t="s">
        <v>3457</v>
      </c>
      <c r="C732" s="1484"/>
      <c r="D732" s="1484"/>
      <c r="E732" s="1484"/>
      <c r="F732" s="1446"/>
      <c r="G732" s="1446"/>
      <c r="H732" s="1447"/>
      <c r="I732" s="1448"/>
      <c r="J732" s="1475"/>
      <c r="K732" s="1439"/>
      <c r="L732" s="1439"/>
      <c r="M732" s="1439"/>
      <c r="N732" s="1439"/>
      <c r="O732" s="1439"/>
      <c r="P732" s="1439"/>
      <c r="Q732" s="1439"/>
      <c r="R732" s="1439"/>
      <c r="S732" s="1439"/>
      <c r="T732" s="1439"/>
      <c r="U732" s="1439"/>
      <c r="V732" s="1439"/>
      <c r="W732" s="1439"/>
      <c r="X732" s="1439"/>
      <c r="Y732" s="1439"/>
      <c r="Z732" s="1439"/>
      <c r="AA732" s="1439"/>
      <c r="AB732" s="1439"/>
      <c r="AC732" s="1439"/>
      <c r="AD732" s="1439"/>
      <c r="AE732" s="1439"/>
      <c r="AF732" s="1439"/>
      <c r="AG732" s="1439"/>
    </row>
    <row r="733" spans="1:33" ht="15.75" customHeight="1">
      <c r="A733" s="1448"/>
      <c r="B733" s="1480" t="s">
        <v>7081</v>
      </c>
      <c r="C733" s="1445">
        <v>2</v>
      </c>
      <c r="D733" s="1447" t="s">
        <v>3364</v>
      </c>
      <c r="E733" s="1445">
        <v>3</v>
      </c>
      <c r="F733" s="1446">
        <v>0.6</v>
      </c>
      <c r="G733" s="1446"/>
      <c r="H733" s="1447">
        <v>2.1</v>
      </c>
      <c r="I733" s="1448">
        <f>PRODUCT(C733:H733)</f>
        <v>7.56</v>
      </c>
      <c r="J733" s="1449"/>
      <c r="K733" s="1481"/>
      <c r="L733" s="1481"/>
      <c r="M733" s="1481"/>
      <c r="N733" s="1481"/>
      <c r="O733" s="1481"/>
      <c r="P733" s="1481"/>
      <c r="Q733" s="1481"/>
      <c r="R733" s="1481"/>
      <c r="S733" s="1481"/>
      <c r="T733" s="1481"/>
      <c r="U733" s="1481"/>
      <c r="V733" s="1481"/>
      <c r="W733" s="1481"/>
      <c r="X733" s="1481"/>
      <c r="Y733" s="1481"/>
      <c r="Z733" s="1481"/>
      <c r="AA733" s="1481"/>
      <c r="AB733" s="1481"/>
      <c r="AC733" s="1481"/>
      <c r="AD733" s="1481"/>
      <c r="AE733" s="1481"/>
      <c r="AF733" s="1481"/>
      <c r="AG733" s="1481"/>
    </row>
    <row r="734" spans="1:33" ht="15.75" customHeight="1">
      <c r="A734" s="1448"/>
      <c r="B734" s="1480" t="s">
        <v>7082</v>
      </c>
      <c r="C734" s="1445">
        <v>2</v>
      </c>
      <c r="D734" s="1447" t="s">
        <v>3364</v>
      </c>
      <c r="E734" s="1445">
        <v>2</v>
      </c>
      <c r="F734" s="1446">
        <v>0.6</v>
      </c>
      <c r="G734" s="1446"/>
      <c r="H734" s="1447">
        <v>2.1</v>
      </c>
      <c r="I734" s="1448">
        <f>PRODUCT(C734:H734)</f>
        <v>5.04</v>
      </c>
      <c r="J734" s="1449"/>
      <c r="K734" s="1481"/>
      <c r="L734" s="1481"/>
      <c r="M734" s="1481"/>
      <c r="N734" s="1481"/>
      <c r="O734" s="1481"/>
      <c r="P734" s="1481"/>
      <c r="Q734" s="1481"/>
      <c r="R734" s="1481"/>
      <c r="S734" s="1481"/>
      <c r="T734" s="1481"/>
      <c r="U734" s="1481"/>
      <c r="V734" s="1481"/>
      <c r="W734" s="1481"/>
      <c r="X734" s="1481"/>
      <c r="Y734" s="1481"/>
      <c r="Z734" s="1481"/>
      <c r="AA734" s="1481"/>
      <c r="AB734" s="1481"/>
      <c r="AC734" s="1481"/>
      <c r="AD734" s="1481"/>
      <c r="AE734" s="1481"/>
      <c r="AF734" s="1481"/>
      <c r="AG734" s="1481"/>
    </row>
    <row r="735" spans="1:33" ht="15.75" customHeight="1">
      <c r="A735" s="1448"/>
      <c r="B735" s="1482" t="s">
        <v>7485</v>
      </c>
      <c r="C735" s="1445">
        <v>2</v>
      </c>
      <c r="D735" s="1467" t="s">
        <v>3364</v>
      </c>
      <c r="E735" s="1445">
        <v>3</v>
      </c>
      <c r="F735" s="1446">
        <v>0.6</v>
      </c>
      <c r="G735" s="1446"/>
      <c r="H735" s="1447">
        <v>2.1</v>
      </c>
      <c r="I735" s="1448">
        <f>PRODUCT(C735:H735)</f>
        <v>7.56</v>
      </c>
      <c r="J735" s="1449"/>
      <c r="K735" s="1481"/>
      <c r="L735" s="1481"/>
      <c r="M735" s="1481"/>
      <c r="N735" s="1481"/>
      <c r="O735" s="1481"/>
      <c r="P735" s="1481"/>
      <c r="Q735" s="1481"/>
      <c r="R735" s="1481"/>
      <c r="S735" s="1481"/>
      <c r="T735" s="1481"/>
      <c r="U735" s="1481"/>
      <c r="V735" s="1481"/>
      <c r="W735" s="1481"/>
      <c r="X735" s="1481"/>
      <c r="Y735" s="1481"/>
      <c r="Z735" s="1481"/>
      <c r="AA735" s="1481"/>
      <c r="AB735" s="1481"/>
      <c r="AC735" s="1481"/>
      <c r="AD735" s="1481"/>
      <c r="AE735" s="1481"/>
      <c r="AF735" s="1481"/>
      <c r="AG735" s="1481"/>
    </row>
    <row r="736" spans="1:33" ht="15.75" customHeight="1">
      <c r="A736" s="1448"/>
      <c r="B736" s="1482" t="s">
        <v>7486</v>
      </c>
      <c r="C736" s="1445">
        <v>2</v>
      </c>
      <c r="D736" s="1467" t="s">
        <v>3364</v>
      </c>
      <c r="E736" s="1445">
        <v>3</v>
      </c>
      <c r="F736" s="1446">
        <v>0.6</v>
      </c>
      <c r="G736" s="1446"/>
      <c r="H736" s="1447">
        <v>2.1</v>
      </c>
      <c r="I736" s="1448">
        <f>PRODUCT(C736:H736)</f>
        <v>7.56</v>
      </c>
      <c r="J736" s="1449"/>
      <c r="K736" s="1481"/>
      <c r="L736" s="1481"/>
      <c r="M736" s="1481"/>
      <c r="N736" s="1481"/>
      <c r="O736" s="1481"/>
      <c r="P736" s="1481"/>
      <c r="Q736" s="1481"/>
      <c r="R736" s="1481"/>
      <c r="S736" s="1481"/>
      <c r="T736" s="1481"/>
      <c r="U736" s="1481"/>
      <c r="V736" s="1481"/>
      <c r="W736" s="1481"/>
      <c r="X736" s="1481"/>
      <c r="Y736" s="1481"/>
      <c r="Z736" s="1481"/>
      <c r="AA736" s="1481"/>
      <c r="AB736" s="1481"/>
      <c r="AC736" s="1481"/>
      <c r="AD736" s="1481"/>
      <c r="AE736" s="1481"/>
      <c r="AF736" s="1481"/>
      <c r="AG736" s="1481"/>
    </row>
    <row r="737" spans="1:33" ht="15.75" customHeight="1">
      <c r="A737" s="1448"/>
      <c r="B737" s="1482" t="s">
        <v>7487</v>
      </c>
      <c r="C737" s="1445">
        <v>2</v>
      </c>
      <c r="D737" s="1447" t="s">
        <v>3364</v>
      </c>
      <c r="E737" s="1445">
        <v>4</v>
      </c>
      <c r="F737" s="1446">
        <v>0.6</v>
      </c>
      <c r="G737" s="1446"/>
      <c r="H737" s="1447">
        <v>2.1</v>
      </c>
      <c r="I737" s="1448">
        <f>PRODUCT(C737:H737)</f>
        <v>10.08</v>
      </c>
      <c r="J737" s="1449"/>
      <c r="K737" s="1481"/>
      <c r="L737" s="1481"/>
      <c r="M737" s="1481"/>
      <c r="N737" s="1481"/>
      <c r="O737" s="1481"/>
      <c r="P737" s="1481"/>
      <c r="Q737" s="1481"/>
      <c r="R737" s="1481"/>
      <c r="S737" s="1481"/>
      <c r="T737" s="1481"/>
      <c r="U737" s="1481"/>
      <c r="V737" s="1481"/>
      <c r="W737" s="1481"/>
      <c r="X737" s="1481"/>
      <c r="Y737" s="1481"/>
      <c r="Z737" s="1481"/>
      <c r="AA737" s="1481"/>
      <c r="AB737" s="1481"/>
      <c r="AC737" s="1481"/>
      <c r="AD737" s="1481"/>
      <c r="AE737" s="1481"/>
      <c r="AF737" s="1481"/>
      <c r="AG737" s="1481"/>
    </row>
    <row r="738" spans="1:33" ht="15.75" customHeight="1">
      <c r="A738" s="1443"/>
      <c r="B738" s="1450"/>
      <c r="C738" s="1445"/>
      <c r="D738" s="1445"/>
      <c r="E738" s="1445"/>
      <c r="F738" s="1446"/>
      <c r="G738" s="1458" t="s">
        <v>104</v>
      </c>
      <c r="H738" s="1447"/>
      <c r="I738" s="1479">
        <f>SUM(I733:I737)</f>
        <v>37.799999999999997</v>
      </c>
      <c r="J738" s="1449"/>
      <c r="K738" s="1439"/>
      <c r="L738" s="1439"/>
      <c r="M738" s="1439"/>
      <c r="N738" s="1439"/>
      <c r="O738" s="1439"/>
      <c r="P738" s="1439"/>
      <c r="Q738" s="1439"/>
      <c r="R738" s="1439"/>
      <c r="S738" s="1439"/>
      <c r="T738" s="1439"/>
      <c r="U738" s="1439"/>
      <c r="V738" s="1439"/>
      <c r="W738" s="1439"/>
      <c r="X738" s="1439"/>
      <c r="Y738" s="1439"/>
      <c r="Z738" s="1439"/>
      <c r="AA738" s="1439"/>
      <c r="AB738" s="1439"/>
      <c r="AC738" s="1439"/>
      <c r="AD738" s="1439"/>
      <c r="AE738" s="1439"/>
      <c r="AF738" s="1439"/>
      <c r="AG738" s="1439"/>
    </row>
    <row r="739" spans="1:33" ht="15.75" customHeight="1">
      <c r="A739" s="1464"/>
      <c r="B739" s="1456"/>
      <c r="C739" s="1465"/>
      <c r="D739" s="1465"/>
      <c r="E739" s="1465"/>
      <c r="F739" s="1458"/>
      <c r="G739" s="1446"/>
      <c r="H739" s="1460" t="s">
        <v>2981</v>
      </c>
      <c r="I739" s="1459">
        <f>CEILING(I738,0.1)</f>
        <v>37.799999999999997</v>
      </c>
      <c r="J739" s="1449" t="s">
        <v>724</v>
      </c>
      <c r="K739" s="1466"/>
      <c r="L739" s="1466"/>
      <c r="M739" s="1466"/>
      <c r="N739" s="1466"/>
      <c r="O739" s="1466"/>
      <c r="P739" s="1466"/>
      <c r="Q739" s="1466"/>
      <c r="R739" s="1466"/>
      <c r="S739" s="1466"/>
      <c r="T739" s="1466"/>
      <c r="U739" s="1466"/>
      <c r="V739" s="1466"/>
      <c r="W739" s="1466"/>
      <c r="X739" s="1466"/>
      <c r="Y739" s="1466"/>
      <c r="Z739" s="1466"/>
      <c r="AA739" s="1466"/>
      <c r="AB739" s="1466"/>
      <c r="AC739" s="1466"/>
      <c r="AD739" s="1466"/>
      <c r="AE739" s="1466"/>
      <c r="AF739" s="1466"/>
      <c r="AG739" s="1466"/>
    </row>
    <row r="740" spans="1:33" ht="15.75" customHeight="1">
      <c r="A740" s="1451"/>
      <c r="B740" s="1444" t="s">
        <v>3461</v>
      </c>
      <c r="C740" s="1484"/>
      <c r="D740" s="1484"/>
      <c r="E740" s="1484"/>
      <c r="F740" s="1446"/>
      <c r="G740" s="1446"/>
      <c r="H740" s="1447"/>
      <c r="I740" s="1448"/>
      <c r="J740" s="1475"/>
      <c r="K740" s="1439"/>
      <c r="L740" s="1439"/>
      <c r="M740" s="1439"/>
      <c r="N740" s="1439"/>
      <c r="O740" s="1439"/>
      <c r="P740" s="1439"/>
      <c r="Q740" s="1439"/>
      <c r="R740" s="1439"/>
      <c r="S740" s="1439"/>
      <c r="T740" s="1439"/>
      <c r="U740" s="1439"/>
      <c r="V740" s="1439"/>
      <c r="W740" s="1439"/>
      <c r="X740" s="1439"/>
      <c r="Y740" s="1439"/>
      <c r="Z740" s="1439"/>
      <c r="AA740" s="1439"/>
      <c r="AB740" s="1439"/>
      <c r="AC740" s="1439"/>
      <c r="AD740" s="1439"/>
      <c r="AE740" s="1439"/>
      <c r="AF740" s="1439"/>
      <c r="AG740" s="1439"/>
    </row>
    <row r="741" spans="1:33" ht="15.75" customHeight="1">
      <c r="A741" s="1486"/>
      <c r="B741" s="1487" t="s">
        <v>7488</v>
      </c>
      <c r="C741" s="1488">
        <v>1</v>
      </c>
      <c r="D741" s="1488" t="s">
        <v>3364</v>
      </c>
      <c r="E741" s="1488">
        <v>2</v>
      </c>
      <c r="F741" s="1454">
        <v>0.6</v>
      </c>
      <c r="G741" s="1454"/>
      <c r="H741" s="1467">
        <v>2.1</v>
      </c>
      <c r="I741" s="1448">
        <f t="shared" ref="I741:I749" si="46">PRODUCT(C741:H741)</f>
        <v>2.52</v>
      </c>
      <c r="J741" s="1489"/>
      <c r="K741" s="1490"/>
      <c r="L741" s="1490"/>
      <c r="M741" s="1490"/>
      <c r="N741" s="1490"/>
      <c r="O741" s="1490"/>
      <c r="P741" s="1490"/>
      <c r="Q741" s="1490"/>
      <c r="R741" s="1490"/>
      <c r="S741" s="1490"/>
      <c r="T741" s="1490"/>
      <c r="U741" s="1490"/>
      <c r="V741" s="1490"/>
      <c r="W741" s="1490"/>
      <c r="X741" s="1490"/>
      <c r="Y741" s="1490"/>
      <c r="Z741" s="1490"/>
      <c r="AA741" s="1490"/>
      <c r="AB741" s="1490"/>
      <c r="AC741" s="1490"/>
      <c r="AD741" s="1490"/>
      <c r="AE741" s="1490"/>
      <c r="AF741" s="1490"/>
      <c r="AG741" s="1490"/>
    </row>
    <row r="742" spans="1:33" ht="15.75" customHeight="1">
      <c r="A742" s="1448"/>
      <c r="B742" s="1480" t="s">
        <v>7084</v>
      </c>
      <c r="C742" s="1445">
        <v>3</v>
      </c>
      <c r="D742" s="1447" t="s">
        <v>3364</v>
      </c>
      <c r="E742" s="1445">
        <v>2</v>
      </c>
      <c r="F742" s="1446">
        <v>0.6</v>
      </c>
      <c r="G742" s="1446"/>
      <c r="H742" s="1447">
        <v>2.1</v>
      </c>
      <c r="I742" s="1448">
        <f t="shared" si="46"/>
        <v>7.56</v>
      </c>
      <c r="J742" s="1449"/>
      <c r="K742" s="1481"/>
      <c r="L742" s="1481"/>
      <c r="M742" s="1481"/>
      <c r="N742" s="1481"/>
      <c r="O742" s="1481"/>
      <c r="P742" s="1481"/>
      <c r="Q742" s="1481"/>
      <c r="R742" s="1481"/>
      <c r="S742" s="1481"/>
      <c r="T742" s="1481"/>
      <c r="U742" s="1481"/>
      <c r="V742" s="1481"/>
      <c r="W742" s="1481"/>
      <c r="X742" s="1481"/>
      <c r="Y742" s="1481"/>
      <c r="Z742" s="1481"/>
      <c r="AA742" s="1481"/>
      <c r="AB742" s="1481"/>
      <c r="AC742" s="1481"/>
      <c r="AD742" s="1481"/>
      <c r="AE742" s="1481"/>
      <c r="AF742" s="1481"/>
      <c r="AG742" s="1481"/>
    </row>
    <row r="743" spans="1:33" ht="15.75" customHeight="1">
      <c r="A743" s="1448"/>
      <c r="B743" s="1480" t="s">
        <v>7085</v>
      </c>
      <c r="C743" s="1445">
        <v>1</v>
      </c>
      <c r="D743" s="1447" t="s">
        <v>3364</v>
      </c>
      <c r="E743" s="1445">
        <v>4</v>
      </c>
      <c r="F743" s="1446">
        <v>0.6</v>
      </c>
      <c r="G743" s="1446"/>
      <c r="H743" s="1447">
        <v>2.1</v>
      </c>
      <c r="I743" s="1448">
        <f t="shared" si="46"/>
        <v>5.04</v>
      </c>
      <c r="J743" s="1449"/>
      <c r="K743" s="1481"/>
      <c r="L743" s="1481"/>
      <c r="M743" s="1481"/>
      <c r="N743" s="1481"/>
      <c r="O743" s="1481"/>
      <c r="P743" s="1481"/>
      <c r="Q743" s="1481"/>
      <c r="R743" s="1481"/>
      <c r="S743" s="1481"/>
      <c r="T743" s="1481"/>
      <c r="U743" s="1481"/>
      <c r="V743" s="1481"/>
      <c r="W743" s="1481"/>
      <c r="X743" s="1481"/>
      <c r="Y743" s="1481"/>
      <c r="Z743" s="1481"/>
      <c r="AA743" s="1481"/>
      <c r="AB743" s="1481"/>
      <c r="AC743" s="1481"/>
      <c r="AD743" s="1481"/>
      <c r="AE743" s="1481"/>
      <c r="AF743" s="1481"/>
      <c r="AG743" s="1481"/>
    </row>
    <row r="744" spans="1:33" ht="15.75" customHeight="1">
      <c r="A744" s="1448"/>
      <c r="B744" s="1482" t="s">
        <v>7489</v>
      </c>
      <c r="C744" s="1445">
        <v>1</v>
      </c>
      <c r="D744" s="1447" t="s">
        <v>3364</v>
      </c>
      <c r="E744" s="1445">
        <v>4</v>
      </c>
      <c r="F744" s="1446">
        <v>0.6</v>
      </c>
      <c r="G744" s="1446"/>
      <c r="H744" s="1447">
        <v>2.1</v>
      </c>
      <c r="I744" s="1448">
        <f t="shared" si="46"/>
        <v>5.04</v>
      </c>
      <c r="J744" s="1449"/>
      <c r="K744" s="1481"/>
      <c r="L744" s="1481"/>
      <c r="M744" s="1481"/>
      <c r="N744" s="1481"/>
      <c r="O744" s="1481"/>
      <c r="P744" s="1481"/>
      <c r="Q744" s="1481"/>
      <c r="R744" s="1481"/>
      <c r="S744" s="1481"/>
      <c r="T744" s="1481"/>
      <c r="U744" s="1481"/>
      <c r="V744" s="1481"/>
      <c r="W744" s="1481"/>
      <c r="X744" s="1481"/>
      <c r="Y744" s="1481"/>
      <c r="Z744" s="1481"/>
      <c r="AA744" s="1481"/>
      <c r="AB744" s="1481"/>
      <c r="AC744" s="1481"/>
      <c r="AD744" s="1481"/>
      <c r="AE744" s="1481"/>
      <c r="AF744" s="1481"/>
      <c r="AG744" s="1481"/>
    </row>
    <row r="745" spans="1:33" ht="15.75" customHeight="1">
      <c r="A745" s="1448"/>
      <c r="B745" s="1482" t="s">
        <v>7490</v>
      </c>
      <c r="C745" s="1445">
        <v>1</v>
      </c>
      <c r="D745" s="1447" t="s">
        <v>3364</v>
      </c>
      <c r="E745" s="1445">
        <v>1</v>
      </c>
      <c r="F745" s="1446">
        <v>0.6</v>
      </c>
      <c r="G745" s="1446"/>
      <c r="H745" s="1447">
        <v>2.1</v>
      </c>
      <c r="I745" s="1448">
        <f t="shared" si="46"/>
        <v>1.26</v>
      </c>
      <c r="J745" s="1449"/>
      <c r="K745" s="1481"/>
      <c r="L745" s="1481"/>
      <c r="M745" s="1481"/>
      <c r="N745" s="1481"/>
      <c r="O745" s="1481"/>
      <c r="P745" s="1481"/>
      <c r="Q745" s="1481"/>
      <c r="R745" s="1481"/>
      <c r="S745" s="1481"/>
      <c r="T745" s="1481"/>
      <c r="U745" s="1481"/>
      <c r="V745" s="1481"/>
      <c r="W745" s="1481"/>
      <c r="X745" s="1481"/>
      <c r="Y745" s="1481"/>
      <c r="Z745" s="1481"/>
      <c r="AA745" s="1481"/>
      <c r="AB745" s="1481"/>
      <c r="AC745" s="1481"/>
      <c r="AD745" s="1481"/>
      <c r="AE745" s="1481"/>
      <c r="AF745" s="1481"/>
      <c r="AG745" s="1481"/>
    </row>
    <row r="746" spans="1:33" ht="15.75" customHeight="1">
      <c r="A746" s="1448"/>
      <c r="B746" s="1480" t="s">
        <v>7087</v>
      </c>
      <c r="C746" s="1445">
        <v>1</v>
      </c>
      <c r="D746" s="1447" t="s">
        <v>3364</v>
      </c>
      <c r="E746" s="1445">
        <v>1</v>
      </c>
      <c r="F746" s="1446">
        <v>0.6</v>
      </c>
      <c r="G746" s="1446"/>
      <c r="H746" s="1447">
        <v>2.1</v>
      </c>
      <c r="I746" s="1448">
        <f t="shared" si="46"/>
        <v>1.26</v>
      </c>
      <c r="J746" s="1449"/>
      <c r="K746" s="1481"/>
      <c r="L746" s="1481"/>
      <c r="M746" s="1481"/>
      <c r="N746" s="1481"/>
      <c r="O746" s="1481"/>
      <c r="P746" s="1481"/>
      <c r="Q746" s="1481"/>
      <c r="R746" s="1481"/>
      <c r="S746" s="1481"/>
      <c r="T746" s="1481"/>
      <c r="U746" s="1481"/>
      <c r="V746" s="1481"/>
      <c r="W746" s="1481"/>
      <c r="X746" s="1481"/>
      <c r="Y746" s="1481"/>
      <c r="Z746" s="1481"/>
      <c r="AA746" s="1481"/>
      <c r="AB746" s="1481"/>
      <c r="AC746" s="1481"/>
      <c r="AD746" s="1481"/>
      <c r="AE746" s="1481"/>
      <c r="AF746" s="1481"/>
      <c r="AG746" s="1481"/>
    </row>
    <row r="747" spans="1:33" ht="15.75" customHeight="1">
      <c r="A747" s="1448"/>
      <c r="B747" s="1480" t="s">
        <v>7088</v>
      </c>
      <c r="C747" s="1445">
        <v>1</v>
      </c>
      <c r="D747" s="1447" t="s">
        <v>3364</v>
      </c>
      <c r="E747" s="1445">
        <v>1</v>
      </c>
      <c r="F747" s="1446">
        <v>0.6</v>
      </c>
      <c r="G747" s="1446"/>
      <c r="H747" s="1447">
        <v>2.1</v>
      </c>
      <c r="I747" s="1448">
        <f t="shared" si="46"/>
        <v>1.26</v>
      </c>
      <c r="J747" s="1449"/>
      <c r="K747" s="1481"/>
      <c r="L747" s="1481"/>
      <c r="M747" s="1481"/>
      <c r="N747" s="1481"/>
      <c r="O747" s="1481"/>
      <c r="P747" s="1481"/>
      <c r="Q747" s="1481"/>
      <c r="R747" s="1481"/>
      <c r="S747" s="1481"/>
      <c r="T747" s="1481"/>
      <c r="U747" s="1481"/>
      <c r="V747" s="1481"/>
      <c r="W747" s="1481"/>
      <c r="X747" s="1481"/>
      <c r="Y747" s="1481"/>
      <c r="Z747" s="1481"/>
      <c r="AA747" s="1481"/>
      <c r="AB747" s="1481"/>
      <c r="AC747" s="1481"/>
      <c r="AD747" s="1481"/>
      <c r="AE747" s="1481"/>
      <c r="AF747" s="1481"/>
      <c r="AG747" s="1481"/>
    </row>
    <row r="748" spans="1:33" ht="15.75" customHeight="1">
      <c r="A748" s="1448"/>
      <c r="B748" s="1480" t="s">
        <v>6689</v>
      </c>
      <c r="C748" s="1445">
        <v>1</v>
      </c>
      <c r="D748" s="1447" t="s">
        <v>3364</v>
      </c>
      <c r="E748" s="1445">
        <v>1</v>
      </c>
      <c r="F748" s="1446">
        <v>0.6</v>
      </c>
      <c r="G748" s="1446"/>
      <c r="H748" s="1447">
        <v>2.1</v>
      </c>
      <c r="I748" s="1448">
        <f t="shared" si="46"/>
        <v>1.26</v>
      </c>
      <c r="J748" s="1449"/>
      <c r="K748" s="1481"/>
      <c r="L748" s="1481"/>
      <c r="M748" s="1481"/>
      <c r="N748" s="1481"/>
      <c r="O748" s="1481"/>
      <c r="P748" s="1481"/>
      <c r="Q748" s="1481"/>
      <c r="R748" s="1481"/>
      <c r="S748" s="1481"/>
      <c r="T748" s="1481"/>
      <c r="U748" s="1481"/>
      <c r="V748" s="1481"/>
      <c r="W748" s="1481"/>
      <c r="X748" s="1481"/>
      <c r="Y748" s="1481"/>
      <c r="Z748" s="1481"/>
      <c r="AA748" s="1481"/>
      <c r="AB748" s="1481"/>
      <c r="AC748" s="1481"/>
      <c r="AD748" s="1481"/>
      <c r="AE748" s="1481"/>
      <c r="AF748" s="1481"/>
      <c r="AG748" s="1481"/>
    </row>
    <row r="749" spans="1:33" ht="15.75" customHeight="1">
      <c r="A749" s="1448"/>
      <c r="B749" s="1480" t="s">
        <v>7089</v>
      </c>
      <c r="C749" s="1445">
        <v>1</v>
      </c>
      <c r="D749" s="1447" t="s">
        <v>3364</v>
      </c>
      <c r="E749" s="1445">
        <v>1</v>
      </c>
      <c r="F749" s="1446">
        <v>0.6</v>
      </c>
      <c r="G749" s="1446"/>
      <c r="H749" s="1447">
        <v>2.1</v>
      </c>
      <c r="I749" s="1448">
        <f t="shared" si="46"/>
        <v>1.26</v>
      </c>
      <c r="J749" s="1449"/>
      <c r="K749" s="1481"/>
      <c r="L749" s="1481"/>
      <c r="M749" s="1481"/>
      <c r="N749" s="1481"/>
      <c r="O749" s="1481"/>
      <c r="P749" s="1481"/>
      <c r="Q749" s="1481"/>
      <c r="R749" s="1481"/>
      <c r="S749" s="1481"/>
      <c r="T749" s="1481"/>
      <c r="U749" s="1481"/>
      <c r="V749" s="1481"/>
      <c r="W749" s="1481"/>
      <c r="X749" s="1481"/>
      <c r="Y749" s="1481"/>
      <c r="Z749" s="1481"/>
      <c r="AA749" s="1481"/>
      <c r="AB749" s="1481"/>
      <c r="AC749" s="1481"/>
      <c r="AD749" s="1481"/>
      <c r="AE749" s="1481"/>
      <c r="AF749" s="1481"/>
      <c r="AG749" s="1481"/>
    </row>
    <row r="750" spans="1:33" ht="15.75" customHeight="1">
      <c r="A750" s="1443"/>
      <c r="B750" s="1450"/>
      <c r="C750" s="1445"/>
      <c r="D750" s="1445"/>
      <c r="E750" s="1445"/>
      <c r="F750" s="1446"/>
      <c r="G750" s="1446"/>
      <c r="H750" s="1447"/>
      <c r="I750" s="1448">
        <f>SUM(I741:I749)</f>
        <v>26.46</v>
      </c>
      <c r="J750" s="1449"/>
      <c r="K750" s="1439"/>
      <c r="L750" s="1439"/>
      <c r="M750" s="1439"/>
      <c r="N750" s="1439"/>
      <c r="O750" s="1439"/>
      <c r="P750" s="1439"/>
      <c r="Q750" s="1439"/>
      <c r="R750" s="1439"/>
      <c r="S750" s="1439"/>
      <c r="T750" s="1439"/>
      <c r="U750" s="1439"/>
      <c r="V750" s="1439"/>
      <c r="W750" s="1439"/>
      <c r="X750" s="1439"/>
      <c r="Y750" s="1439"/>
      <c r="Z750" s="1439"/>
      <c r="AA750" s="1439"/>
      <c r="AB750" s="1439"/>
      <c r="AC750" s="1439"/>
      <c r="AD750" s="1439"/>
      <c r="AE750" s="1439"/>
      <c r="AF750" s="1439"/>
      <c r="AG750" s="1439"/>
    </row>
    <row r="751" spans="1:33" ht="15.75" customHeight="1">
      <c r="A751" s="1464"/>
      <c r="B751" s="1456"/>
      <c r="C751" s="1465"/>
      <c r="D751" s="1465"/>
      <c r="E751" s="1465"/>
      <c r="F751" s="1458"/>
      <c r="G751" s="1458"/>
      <c r="H751" s="1460" t="s">
        <v>2981</v>
      </c>
      <c r="I751" s="1459">
        <f>CEILING(I750,0.1)</f>
        <v>26.5</v>
      </c>
      <c r="J751" s="1449" t="s">
        <v>724</v>
      </c>
      <c r="K751" s="1466"/>
      <c r="L751" s="1466"/>
      <c r="M751" s="1466"/>
      <c r="N751" s="1466"/>
      <c r="O751" s="1466"/>
      <c r="P751" s="1466"/>
      <c r="Q751" s="1466"/>
      <c r="R751" s="1466"/>
      <c r="S751" s="1466"/>
      <c r="T751" s="1466"/>
      <c r="U751" s="1466"/>
      <c r="V751" s="1466"/>
      <c r="W751" s="1466"/>
      <c r="X751" s="1466"/>
      <c r="Y751" s="1466"/>
      <c r="Z751" s="1466"/>
      <c r="AA751" s="1466"/>
      <c r="AB751" s="1466"/>
      <c r="AC751" s="1466"/>
      <c r="AD751" s="1466"/>
      <c r="AE751" s="1466"/>
      <c r="AF751" s="1466"/>
      <c r="AG751" s="1466"/>
    </row>
    <row r="752" spans="1:33" ht="15.75" customHeight="1">
      <c r="A752" s="1451"/>
      <c r="B752" s="1444" t="s">
        <v>7090</v>
      </c>
      <c r="C752" s="1484"/>
      <c r="D752" s="1484"/>
      <c r="E752" s="1484"/>
      <c r="F752" s="1446"/>
      <c r="G752" s="1446"/>
      <c r="H752" s="1447"/>
      <c r="I752" s="1448"/>
      <c r="J752" s="1475"/>
      <c r="K752" s="1439"/>
      <c r="L752" s="1439"/>
      <c r="M752" s="1439"/>
      <c r="N752" s="1439"/>
      <c r="O752" s="1466"/>
      <c r="P752" s="1466"/>
      <c r="Q752" s="1466"/>
      <c r="R752" s="1466"/>
      <c r="S752" s="1466"/>
      <c r="T752" s="1466"/>
      <c r="U752" s="1466"/>
      <c r="V752" s="1466"/>
      <c r="W752" s="1466"/>
      <c r="X752" s="1466"/>
      <c r="Y752" s="1466"/>
      <c r="Z752" s="1466"/>
      <c r="AA752" s="1466"/>
      <c r="AB752" s="1466"/>
      <c r="AC752" s="1466"/>
      <c r="AD752" s="1466"/>
      <c r="AE752" s="1466"/>
      <c r="AF752" s="1466"/>
      <c r="AG752" s="1466"/>
    </row>
    <row r="753" spans="1:33" ht="15.75" customHeight="1">
      <c r="A753" s="1448"/>
      <c r="B753" s="1482" t="s">
        <v>7491</v>
      </c>
      <c r="C753" s="1445">
        <v>4</v>
      </c>
      <c r="D753" s="1447" t="s">
        <v>3364</v>
      </c>
      <c r="E753" s="1445">
        <v>2</v>
      </c>
      <c r="F753" s="1446">
        <v>0.6</v>
      </c>
      <c r="G753" s="1446"/>
      <c r="H753" s="1447">
        <v>2.1</v>
      </c>
      <c r="I753" s="1448">
        <f>PRODUCT(C753:H753)</f>
        <v>10.08</v>
      </c>
      <c r="J753" s="1449"/>
      <c r="K753" s="1481"/>
      <c r="L753" s="1481"/>
      <c r="M753" s="1481"/>
      <c r="N753" s="1481"/>
      <c r="O753" s="1481"/>
      <c r="P753" s="1481"/>
      <c r="Q753" s="1481"/>
      <c r="R753" s="1481"/>
      <c r="S753" s="1481"/>
      <c r="T753" s="1481"/>
      <c r="U753" s="1481"/>
      <c r="V753" s="1481"/>
      <c r="W753" s="1481"/>
      <c r="X753" s="1481"/>
      <c r="Y753" s="1481"/>
      <c r="Z753" s="1481"/>
      <c r="AA753" s="1481"/>
      <c r="AB753" s="1481"/>
      <c r="AC753" s="1481"/>
      <c r="AD753" s="1481"/>
      <c r="AE753" s="1481"/>
      <c r="AF753" s="1481"/>
      <c r="AG753" s="1481"/>
    </row>
    <row r="754" spans="1:33" ht="15.75" customHeight="1">
      <c r="A754" s="1448"/>
      <c r="B754" s="1480" t="s">
        <v>7065</v>
      </c>
      <c r="C754" s="1445">
        <v>2</v>
      </c>
      <c r="D754" s="1447" t="s">
        <v>3364</v>
      </c>
      <c r="E754" s="1445">
        <v>2</v>
      </c>
      <c r="F754" s="1446">
        <v>0.6</v>
      </c>
      <c r="G754" s="1446"/>
      <c r="H754" s="1447">
        <v>2.1</v>
      </c>
      <c r="I754" s="1448">
        <f>PRODUCT(C754:H754)</f>
        <v>5.04</v>
      </c>
      <c r="J754" s="1449"/>
      <c r="K754" s="1481"/>
      <c r="L754" s="1481"/>
      <c r="M754" s="1481"/>
      <c r="N754" s="1481"/>
      <c r="O754" s="1481"/>
      <c r="P754" s="1481"/>
      <c r="Q754" s="1481"/>
      <c r="R754" s="1481"/>
      <c r="S754" s="1481"/>
      <c r="T754" s="1481"/>
      <c r="U754" s="1481"/>
      <c r="V754" s="1481"/>
      <c r="W754" s="1481"/>
      <c r="X754" s="1481"/>
      <c r="Y754" s="1481"/>
      <c r="Z754" s="1481"/>
      <c r="AA754" s="1481"/>
      <c r="AB754" s="1481"/>
      <c r="AC754" s="1481"/>
      <c r="AD754" s="1481"/>
      <c r="AE754" s="1481"/>
      <c r="AF754" s="1481"/>
      <c r="AG754" s="1481"/>
    </row>
    <row r="755" spans="1:33" ht="15.75" customHeight="1">
      <c r="A755" s="1448"/>
      <c r="B755" s="1480" t="s">
        <v>7092</v>
      </c>
      <c r="C755" s="1445">
        <v>2</v>
      </c>
      <c r="D755" s="1447" t="s">
        <v>3364</v>
      </c>
      <c r="E755" s="1445">
        <v>2</v>
      </c>
      <c r="F755" s="1446">
        <v>0.6</v>
      </c>
      <c r="G755" s="1446"/>
      <c r="H755" s="1447">
        <v>2.1</v>
      </c>
      <c r="I755" s="1448">
        <f>PRODUCT(C755:H755)</f>
        <v>5.04</v>
      </c>
      <c r="J755" s="1449"/>
      <c r="K755" s="1481"/>
      <c r="L755" s="1481"/>
      <c r="M755" s="1481"/>
      <c r="N755" s="1481"/>
      <c r="O755" s="1481"/>
      <c r="P755" s="1481"/>
      <c r="Q755" s="1481"/>
      <c r="R755" s="1481"/>
      <c r="S755" s="1481"/>
      <c r="T755" s="1481"/>
      <c r="U755" s="1481"/>
      <c r="V755" s="1481"/>
      <c r="W755" s="1481"/>
      <c r="X755" s="1481"/>
      <c r="Y755" s="1481"/>
      <c r="Z755" s="1481"/>
      <c r="AA755" s="1481"/>
      <c r="AB755" s="1481"/>
      <c r="AC755" s="1481"/>
      <c r="AD755" s="1481"/>
      <c r="AE755" s="1481"/>
      <c r="AF755" s="1481"/>
      <c r="AG755" s="1481"/>
    </row>
    <row r="756" spans="1:33" ht="15.75" customHeight="1">
      <c r="A756" s="1448"/>
      <c r="B756" s="1482" t="s">
        <v>7492</v>
      </c>
      <c r="C756" s="1445">
        <v>2</v>
      </c>
      <c r="D756" s="1447" t="s">
        <v>3364</v>
      </c>
      <c r="E756" s="1445">
        <v>2</v>
      </c>
      <c r="F756" s="1446">
        <v>0.6</v>
      </c>
      <c r="G756" s="1446"/>
      <c r="H756" s="1447">
        <v>2.1</v>
      </c>
      <c r="I756" s="1448">
        <f>PRODUCT(C756:H756)</f>
        <v>5.04</v>
      </c>
      <c r="J756" s="1449"/>
      <c r="K756" s="1481"/>
      <c r="L756" s="1481"/>
      <c r="M756" s="1481"/>
      <c r="N756" s="1481"/>
      <c r="O756" s="1481"/>
      <c r="P756" s="1481"/>
      <c r="Q756" s="1481"/>
      <c r="R756" s="1481"/>
      <c r="S756" s="1481"/>
      <c r="T756" s="1481"/>
      <c r="U756" s="1481"/>
      <c r="V756" s="1481"/>
      <c r="W756" s="1481"/>
      <c r="X756" s="1481"/>
      <c r="Y756" s="1481"/>
      <c r="Z756" s="1481"/>
      <c r="AA756" s="1481"/>
      <c r="AB756" s="1481"/>
      <c r="AC756" s="1481"/>
      <c r="AD756" s="1481"/>
      <c r="AE756" s="1481"/>
      <c r="AF756" s="1481"/>
      <c r="AG756" s="1481"/>
    </row>
    <row r="757" spans="1:33" ht="15.75" customHeight="1">
      <c r="A757" s="1448"/>
      <c r="B757" s="1482" t="s">
        <v>7493</v>
      </c>
      <c r="C757" s="1445">
        <v>2</v>
      </c>
      <c r="D757" s="1447" t="s">
        <v>3364</v>
      </c>
      <c r="E757" s="1445">
        <v>1</v>
      </c>
      <c r="F757" s="1446">
        <v>0.6</v>
      </c>
      <c r="G757" s="1446"/>
      <c r="H757" s="1447">
        <v>0.6</v>
      </c>
      <c r="I757" s="1448">
        <f>PRODUCT(C757:H757)</f>
        <v>0.72</v>
      </c>
      <c r="J757" s="1449"/>
      <c r="K757" s="1481"/>
      <c r="L757" s="1481"/>
      <c r="M757" s="1481"/>
      <c r="N757" s="1481"/>
      <c r="O757" s="1481"/>
      <c r="P757" s="1481"/>
      <c r="Q757" s="1481"/>
      <c r="R757" s="1481"/>
      <c r="S757" s="1481"/>
      <c r="T757" s="1481"/>
      <c r="U757" s="1481"/>
      <c r="V757" s="1481"/>
      <c r="W757" s="1481"/>
      <c r="X757" s="1481"/>
      <c r="Y757" s="1481"/>
      <c r="Z757" s="1481"/>
      <c r="AA757" s="1481"/>
      <c r="AB757" s="1481"/>
      <c r="AC757" s="1481"/>
      <c r="AD757" s="1481"/>
      <c r="AE757" s="1481"/>
      <c r="AF757" s="1481"/>
      <c r="AG757" s="1481"/>
    </row>
    <row r="758" spans="1:33" ht="15.75" customHeight="1">
      <c r="A758" s="1443"/>
      <c r="B758" s="1450"/>
      <c r="C758" s="1445"/>
      <c r="D758" s="1445"/>
      <c r="E758" s="1445"/>
      <c r="F758" s="1446"/>
      <c r="G758" s="1446"/>
      <c r="H758" s="1447"/>
      <c r="I758" s="1448">
        <f>SUM(I753:I757)</f>
        <v>25.92</v>
      </c>
      <c r="J758" s="1449"/>
      <c r="K758" s="1439"/>
      <c r="L758" s="1439"/>
      <c r="M758" s="1439"/>
      <c r="N758" s="1439"/>
      <c r="O758" s="1466"/>
      <c r="P758" s="1466"/>
      <c r="Q758" s="1466"/>
      <c r="R758" s="1466"/>
      <c r="S758" s="1466"/>
      <c r="T758" s="1466"/>
      <c r="U758" s="1466"/>
      <c r="V758" s="1466"/>
      <c r="W758" s="1466"/>
      <c r="X758" s="1466"/>
      <c r="Y758" s="1466"/>
      <c r="Z758" s="1466"/>
      <c r="AA758" s="1466"/>
      <c r="AB758" s="1466"/>
      <c r="AC758" s="1466"/>
      <c r="AD758" s="1466"/>
      <c r="AE758" s="1466"/>
      <c r="AF758" s="1466"/>
      <c r="AG758" s="1466"/>
    </row>
    <row r="759" spans="1:33" ht="15.75" customHeight="1">
      <c r="A759" s="1464"/>
      <c r="B759" s="1456"/>
      <c r="C759" s="1465"/>
      <c r="D759" s="1465"/>
      <c r="E759" s="1465"/>
      <c r="F759" s="1458"/>
      <c r="G759" s="1458"/>
      <c r="H759" s="1460" t="s">
        <v>2981</v>
      </c>
      <c r="I759" s="1459">
        <f>CEILING(I758,0.1)</f>
        <v>26</v>
      </c>
      <c r="J759" s="1449" t="s">
        <v>724</v>
      </c>
      <c r="K759" s="1466"/>
      <c r="L759" s="1466"/>
      <c r="M759" s="1466"/>
      <c r="N759" s="1466"/>
      <c r="O759" s="1466"/>
      <c r="P759" s="1466"/>
      <c r="Q759" s="1466"/>
      <c r="R759" s="1466"/>
      <c r="S759" s="1466"/>
      <c r="T759" s="1466"/>
      <c r="U759" s="1466"/>
      <c r="V759" s="1466"/>
      <c r="W759" s="1466"/>
      <c r="X759" s="1466"/>
      <c r="Y759" s="1466"/>
      <c r="Z759" s="1466"/>
      <c r="AA759" s="1466"/>
      <c r="AB759" s="1466"/>
      <c r="AC759" s="1466"/>
      <c r="AD759" s="1466"/>
      <c r="AE759" s="1466"/>
      <c r="AF759" s="1466"/>
      <c r="AG759" s="1466"/>
    </row>
    <row r="760" spans="1:33" ht="15.75" customHeight="1">
      <c r="A760" s="1448"/>
      <c r="B760" s="1471" t="s">
        <v>7077</v>
      </c>
      <c r="C760" s="1445"/>
      <c r="D760" s="1447"/>
      <c r="E760" s="1445"/>
      <c r="F760" s="1446"/>
      <c r="G760" s="1446"/>
      <c r="H760" s="1447"/>
      <c r="I760" s="1448">
        <f>PRODUCT(C760:H760)</f>
        <v>0</v>
      </c>
      <c r="J760" s="1449"/>
      <c r="K760" s="1481"/>
      <c r="L760" s="1481"/>
      <c r="M760" s="1481"/>
      <c r="N760" s="1481"/>
      <c r="O760" s="1481"/>
      <c r="P760" s="1481"/>
      <c r="Q760" s="1481"/>
      <c r="R760" s="1481"/>
      <c r="S760" s="1481"/>
      <c r="T760" s="1481"/>
      <c r="U760" s="1481"/>
      <c r="V760" s="1481"/>
      <c r="W760" s="1481"/>
      <c r="X760" s="1481"/>
      <c r="Y760" s="1481"/>
      <c r="Z760" s="1481"/>
      <c r="AA760" s="1481"/>
      <c r="AB760" s="1481"/>
      <c r="AC760" s="1481"/>
      <c r="AD760" s="1481"/>
      <c r="AE760" s="1481"/>
      <c r="AF760" s="1481"/>
      <c r="AG760" s="1481"/>
    </row>
    <row r="761" spans="1:33" ht="15.75" customHeight="1">
      <c r="A761" s="1448"/>
      <c r="B761" s="1482" t="s">
        <v>7215</v>
      </c>
      <c r="C761" s="1445">
        <v>4</v>
      </c>
      <c r="D761" s="1447" t="s">
        <v>3364</v>
      </c>
      <c r="E761" s="1445">
        <v>2</v>
      </c>
      <c r="F761" s="1446">
        <v>0.6</v>
      </c>
      <c r="G761" s="1446"/>
      <c r="H761" s="1447">
        <v>2.1</v>
      </c>
      <c r="I761" s="1448">
        <f>PRODUCT(C761:H761)</f>
        <v>10.08</v>
      </c>
      <c r="J761" s="1449"/>
      <c r="K761" s="1481"/>
      <c r="L761" s="1481"/>
      <c r="M761" s="1481"/>
      <c r="N761" s="1481"/>
      <c r="O761" s="1481"/>
      <c r="P761" s="1481"/>
      <c r="Q761" s="1481"/>
      <c r="R761" s="1481"/>
      <c r="S761" s="1481"/>
      <c r="T761" s="1481"/>
      <c r="U761" s="1481"/>
      <c r="V761" s="1481"/>
      <c r="W761" s="1481"/>
      <c r="X761" s="1481"/>
      <c r="Y761" s="1481"/>
      <c r="Z761" s="1481"/>
      <c r="AA761" s="1481"/>
      <c r="AB761" s="1481"/>
      <c r="AC761" s="1481"/>
      <c r="AD761" s="1481"/>
      <c r="AE761" s="1481"/>
      <c r="AF761" s="1481"/>
      <c r="AG761" s="1481"/>
    </row>
    <row r="762" spans="1:33" ht="15.75" customHeight="1">
      <c r="A762" s="1448"/>
      <c r="B762" s="1482" t="s">
        <v>7494</v>
      </c>
      <c r="C762" s="1445">
        <v>4</v>
      </c>
      <c r="D762" s="1447" t="s">
        <v>3364</v>
      </c>
      <c r="E762" s="1445">
        <v>2</v>
      </c>
      <c r="F762" s="1446">
        <v>0.6</v>
      </c>
      <c r="G762" s="1446"/>
      <c r="H762" s="1447">
        <v>2.1</v>
      </c>
      <c r="I762" s="1448">
        <f>PRODUCT(C762:H762)</f>
        <v>10.08</v>
      </c>
      <c r="J762" s="1449"/>
      <c r="K762" s="1481"/>
      <c r="L762" s="1481"/>
      <c r="M762" s="1481"/>
      <c r="N762" s="1481"/>
      <c r="O762" s="1481"/>
      <c r="P762" s="1481"/>
      <c r="Q762" s="1481"/>
      <c r="R762" s="1481"/>
      <c r="S762" s="1481"/>
      <c r="T762" s="1481"/>
      <c r="U762" s="1481"/>
      <c r="V762" s="1481"/>
      <c r="W762" s="1481"/>
      <c r="X762" s="1481"/>
      <c r="Y762" s="1481"/>
      <c r="Z762" s="1481"/>
      <c r="AA762" s="1481"/>
      <c r="AB762" s="1481"/>
      <c r="AC762" s="1481"/>
      <c r="AD762" s="1481"/>
      <c r="AE762" s="1481"/>
      <c r="AF762" s="1481"/>
      <c r="AG762" s="1481"/>
    </row>
    <row r="763" spans="1:33" ht="15.75" customHeight="1">
      <c r="A763" s="1448"/>
      <c r="B763" s="1482" t="s">
        <v>6760</v>
      </c>
      <c r="C763" s="1445">
        <v>2</v>
      </c>
      <c r="D763" s="1447" t="s">
        <v>3364</v>
      </c>
      <c r="E763" s="1445">
        <v>1</v>
      </c>
      <c r="F763" s="1446">
        <v>0.6</v>
      </c>
      <c r="G763" s="1446"/>
      <c r="H763" s="1447">
        <v>2.1</v>
      </c>
      <c r="I763" s="1448">
        <f>PRODUCT(C763:H763)</f>
        <v>2.52</v>
      </c>
      <c r="J763" s="1449"/>
      <c r="K763" s="1481"/>
      <c r="L763" s="1481"/>
      <c r="M763" s="1481"/>
      <c r="N763" s="1481"/>
      <c r="O763" s="1481"/>
      <c r="P763" s="1481"/>
      <c r="Q763" s="1481"/>
      <c r="R763" s="1481"/>
      <c r="S763" s="1481"/>
      <c r="T763" s="1481"/>
      <c r="U763" s="1481"/>
      <c r="V763" s="1481"/>
      <c r="W763" s="1481"/>
      <c r="X763" s="1481"/>
      <c r="Y763" s="1481"/>
      <c r="Z763" s="1481"/>
      <c r="AA763" s="1481"/>
      <c r="AB763" s="1481"/>
      <c r="AC763" s="1481"/>
      <c r="AD763" s="1481"/>
      <c r="AE763" s="1481"/>
      <c r="AF763" s="1481"/>
      <c r="AG763" s="1481"/>
    </row>
    <row r="764" spans="1:33" ht="15.75" customHeight="1">
      <c r="A764" s="1448"/>
      <c r="B764" s="1480" t="s">
        <v>7093</v>
      </c>
      <c r="C764" s="1445">
        <v>1</v>
      </c>
      <c r="D764" s="1447" t="s">
        <v>3364</v>
      </c>
      <c r="E764" s="1445">
        <v>1</v>
      </c>
      <c r="F764" s="1446">
        <v>0.6</v>
      </c>
      <c r="G764" s="1446"/>
      <c r="H764" s="1447">
        <v>0.6</v>
      </c>
      <c r="I764" s="1448">
        <f>PRODUCT(C764:H764)</f>
        <v>0.36</v>
      </c>
      <c r="J764" s="1449"/>
      <c r="K764" s="1481"/>
      <c r="L764" s="1481"/>
      <c r="M764" s="1481"/>
      <c r="N764" s="1481"/>
      <c r="O764" s="1481"/>
      <c r="P764" s="1481"/>
      <c r="Q764" s="1481"/>
      <c r="R764" s="1481"/>
      <c r="S764" s="1481"/>
      <c r="T764" s="1481"/>
      <c r="U764" s="1481"/>
      <c r="V764" s="1481"/>
      <c r="W764" s="1481"/>
      <c r="X764" s="1481"/>
      <c r="Y764" s="1481"/>
      <c r="Z764" s="1481"/>
      <c r="AA764" s="1481"/>
      <c r="AB764" s="1481"/>
      <c r="AC764" s="1481"/>
      <c r="AD764" s="1481"/>
      <c r="AE764" s="1481"/>
      <c r="AF764" s="1481"/>
      <c r="AG764" s="1481"/>
    </row>
    <row r="765" spans="1:33" ht="15.75" customHeight="1">
      <c r="A765" s="1448"/>
      <c r="B765" s="1480"/>
      <c r="C765" s="1445"/>
      <c r="D765" s="1447"/>
      <c r="E765" s="1445"/>
      <c r="F765" s="1446"/>
      <c r="G765" s="1446"/>
      <c r="H765" s="1447"/>
      <c r="I765" s="1448">
        <f>SUM(I760:I764)</f>
        <v>23.04</v>
      </c>
      <c r="J765" s="1449"/>
      <c r="K765" s="1481"/>
      <c r="L765" s="1481"/>
      <c r="M765" s="1481"/>
      <c r="N765" s="1481"/>
      <c r="O765" s="1481"/>
      <c r="P765" s="1481"/>
      <c r="Q765" s="1481"/>
      <c r="R765" s="1481"/>
      <c r="S765" s="1481"/>
      <c r="T765" s="1481"/>
      <c r="U765" s="1481"/>
      <c r="V765" s="1481"/>
      <c r="W765" s="1481"/>
      <c r="X765" s="1481"/>
      <c r="Y765" s="1481"/>
      <c r="Z765" s="1481"/>
      <c r="AA765" s="1481"/>
      <c r="AB765" s="1481"/>
      <c r="AC765" s="1481"/>
      <c r="AD765" s="1481"/>
      <c r="AE765" s="1481"/>
      <c r="AF765" s="1481"/>
      <c r="AG765" s="1481"/>
    </row>
    <row r="766" spans="1:33" ht="15.75" customHeight="1">
      <c r="A766" s="1448"/>
      <c r="B766" s="1480"/>
      <c r="C766" s="1445"/>
      <c r="D766" s="1447"/>
      <c r="E766" s="1445"/>
      <c r="F766" s="1446"/>
      <c r="G766" s="1446"/>
      <c r="H766" s="1460" t="s">
        <v>2981</v>
      </c>
      <c r="I766" s="1459">
        <f>CEILING(I765,0.1)</f>
        <v>23.1</v>
      </c>
      <c r="J766" s="1449" t="s">
        <v>724</v>
      </c>
      <c r="K766" s="1481"/>
      <c r="L766" s="1481"/>
      <c r="M766" s="1481"/>
      <c r="N766" s="1481"/>
      <c r="O766" s="1481"/>
      <c r="P766" s="1481"/>
      <c r="Q766" s="1481"/>
      <c r="R766" s="1481"/>
      <c r="S766" s="1481"/>
      <c r="T766" s="1481"/>
      <c r="U766" s="1481"/>
      <c r="V766" s="1481"/>
      <c r="W766" s="1481"/>
      <c r="X766" s="1481"/>
      <c r="Y766" s="1481"/>
      <c r="Z766" s="1481"/>
      <c r="AA766" s="1481"/>
      <c r="AB766" s="1481"/>
      <c r="AC766" s="1481"/>
      <c r="AD766" s="1481"/>
      <c r="AE766" s="1481"/>
      <c r="AF766" s="1481"/>
      <c r="AG766" s="1481"/>
    </row>
    <row r="767" spans="1:33" ht="34.5" customHeight="1">
      <c r="A767" s="1451">
        <v>11.2</v>
      </c>
      <c r="B767" s="1491" t="s">
        <v>5717</v>
      </c>
      <c r="C767" s="1484"/>
      <c r="D767" s="1484"/>
      <c r="E767" s="1484"/>
      <c r="F767" s="1446"/>
      <c r="G767" s="1446"/>
      <c r="H767" s="1447"/>
      <c r="I767" s="1448"/>
      <c r="J767" s="1475"/>
      <c r="K767" s="1439"/>
      <c r="L767" s="1439"/>
      <c r="M767" s="1439"/>
      <c r="N767" s="1439"/>
      <c r="O767" s="1439"/>
      <c r="P767" s="1439"/>
      <c r="Q767" s="1439"/>
      <c r="R767" s="1439"/>
      <c r="S767" s="1439"/>
      <c r="T767" s="1439"/>
      <c r="U767" s="1439"/>
      <c r="V767" s="1439"/>
      <c r="W767" s="1439"/>
      <c r="X767" s="1439"/>
      <c r="Y767" s="1439"/>
      <c r="Z767" s="1439"/>
      <c r="AA767" s="1439"/>
      <c r="AB767" s="1439"/>
      <c r="AC767" s="1439"/>
      <c r="AD767" s="1439"/>
      <c r="AE767" s="1439"/>
      <c r="AF767" s="1439"/>
      <c r="AG767" s="1439"/>
    </row>
    <row r="768" spans="1:33" ht="18.75">
      <c r="A768" s="1470"/>
      <c r="B768" s="1450" t="s">
        <v>7094</v>
      </c>
      <c r="C768" s="1484">
        <v>1</v>
      </c>
      <c r="D768" s="1484" t="s">
        <v>3364</v>
      </c>
      <c r="E768" s="1484">
        <v>1</v>
      </c>
      <c r="F768" s="1446">
        <v>2.5</v>
      </c>
      <c r="G768" s="1446"/>
      <c r="H768" s="1447">
        <v>0.9</v>
      </c>
      <c r="I768" s="1448">
        <f t="shared" ref="I768:I778" si="47">PRODUCT(C768:H768)</f>
        <v>2.25</v>
      </c>
      <c r="J768" s="1492"/>
      <c r="K768" s="1439"/>
      <c r="L768" s="1439"/>
      <c r="M768" s="1439"/>
      <c r="N768" s="1439"/>
      <c r="O768" s="1439"/>
      <c r="P768" s="1439"/>
      <c r="Q768" s="1439"/>
      <c r="R768" s="1439"/>
      <c r="S768" s="1439"/>
      <c r="T768" s="1439"/>
      <c r="U768" s="1439"/>
      <c r="V768" s="1439"/>
      <c r="W768" s="1439"/>
      <c r="X768" s="1439"/>
      <c r="Y768" s="1439"/>
      <c r="Z768" s="1439"/>
      <c r="AA768" s="1439"/>
      <c r="AB768" s="1439"/>
      <c r="AC768" s="1439"/>
      <c r="AD768" s="1439"/>
      <c r="AE768" s="1439"/>
      <c r="AF768" s="1439"/>
      <c r="AG768" s="1439"/>
    </row>
    <row r="769" spans="1:33" ht="18.75">
      <c r="A769" s="1470"/>
      <c r="B769" s="1450" t="s">
        <v>7095</v>
      </c>
      <c r="C769" s="1484">
        <v>1</v>
      </c>
      <c r="D769" s="1484" t="s">
        <v>3364</v>
      </c>
      <c r="E769" s="1484">
        <v>1</v>
      </c>
      <c r="F769" s="1446">
        <f>8.82-3</f>
        <v>5.82</v>
      </c>
      <c r="G769" s="1446"/>
      <c r="H769" s="1447">
        <v>0.9</v>
      </c>
      <c r="I769" s="1448">
        <f t="shared" si="47"/>
        <v>5.24</v>
      </c>
      <c r="J769" s="1492"/>
      <c r="K769" s="1439"/>
      <c r="L769" s="1439"/>
      <c r="M769" s="1439"/>
      <c r="N769" s="1439"/>
      <c r="O769" s="1439"/>
      <c r="P769" s="1439"/>
      <c r="Q769" s="1439"/>
      <c r="R769" s="1439"/>
      <c r="S769" s="1439"/>
      <c r="T769" s="1439"/>
      <c r="U769" s="1439"/>
      <c r="V769" s="1439"/>
      <c r="W769" s="1439"/>
      <c r="X769" s="1439"/>
      <c r="Y769" s="1439"/>
      <c r="Z769" s="1439"/>
      <c r="AA769" s="1439"/>
      <c r="AB769" s="1439"/>
      <c r="AC769" s="1439"/>
      <c r="AD769" s="1439"/>
      <c r="AE769" s="1439"/>
      <c r="AF769" s="1439"/>
      <c r="AG769" s="1439"/>
    </row>
    <row r="770" spans="1:33" ht="18.75">
      <c r="A770" s="1470"/>
      <c r="B770" s="1450" t="s">
        <v>7096</v>
      </c>
      <c r="C770" s="1484">
        <v>1</v>
      </c>
      <c r="D770" s="1484" t="s">
        <v>3364</v>
      </c>
      <c r="E770" s="1484">
        <v>1</v>
      </c>
      <c r="F770" s="1446">
        <v>5.82</v>
      </c>
      <c r="G770" s="1446"/>
      <c r="H770" s="1447">
        <v>0.9</v>
      </c>
      <c r="I770" s="1448">
        <f t="shared" si="47"/>
        <v>5.24</v>
      </c>
      <c r="J770" s="1492"/>
      <c r="K770" s="1439"/>
      <c r="L770" s="1439"/>
      <c r="M770" s="1439"/>
      <c r="N770" s="1439"/>
      <c r="O770" s="1439"/>
      <c r="P770" s="1439"/>
      <c r="Q770" s="1439"/>
      <c r="R770" s="1439"/>
      <c r="S770" s="1439"/>
      <c r="T770" s="1439"/>
      <c r="U770" s="1439"/>
      <c r="V770" s="1439"/>
      <c r="W770" s="1439"/>
      <c r="X770" s="1439"/>
      <c r="Y770" s="1439"/>
      <c r="Z770" s="1439"/>
      <c r="AA770" s="1439"/>
      <c r="AB770" s="1439"/>
      <c r="AC770" s="1439"/>
      <c r="AD770" s="1439"/>
      <c r="AE770" s="1439"/>
      <c r="AF770" s="1439"/>
      <c r="AG770" s="1439"/>
    </row>
    <row r="771" spans="1:33" ht="18.75">
      <c r="A771" s="1470"/>
      <c r="B771" s="1450" t="s">
        <v>7097</v>
      </c>
      <c r="C771" s="1484">
        <v>1</v>
      </c>
      <c r="D771" s="1484" t="s">
        <v>3364</v>
      </c>
      <c r="E771" s="1484">
        <v>1</v>
      </c>
      <c r="F771" s="1446">
        <v>5.82</v>
      </c>
      <c r="G771" s="1446"/>
      <c r="H771" s="1447">
        <v>0.9</v>
      </c>
      <c r="I771" s="1448">
        <f t="shared" si="47"/>
        <v>5.24</v>
      </c>
      <c r="J771" s="1492"/>
      <c r="K771" s="1439"/>
      <c r="L771" s="1439"/>
      <c r="M771" s="1439"/>
      <c r="N771" s="1439"/>
      <c r="O771" s="1439"/>
      <c r="P771" s="1439"/>
      <c r="Q771" s="1439"/>
      <c r="R771" s="1439"/>
      <c r="S771" s="1439"/>
      <c r="T771" s="1439"/>
      <c r="U771" s="1439"/>
      <c r="V771" s="1439"/>
      <c r="W771" s="1439"/>
      <c r="X771" s="1439"/>
      <c r="Y771" s="1439"/>
      <c r="Z771" s="1439"/>
      <c r="AA771" s="1439"/>
      <c r="AB771" s="1439"/>
      <c r="AC771" s="1439"/>
      <c r="AD771" s="1439"/>
      <c r="AE771" s="1439"/>
      <c r="AF771" s="1439"/>
      <c r="AG771" s="1439"/>
    </row>
    <row r="772" spans="1:33" ht="18.75">
      <c r="A772" s="1470"/>
      <c r="B772" s="1450" t="s">
        <v>7098</v>
      </c>
      <c r="C772" s="1484">
        <v>1</v>
      </c>
      <c r="D772" s="1484" t="s">
        <v>3364</v>
      </c>
      <c r="E772" s="1484">
        <v>1</v>
      </c>
      <c r="F772" s="1446">
        <v>5.82</v>
      </c>
      <c r="G772" s="1446"/>
      <c r="H772" s="1447">
        <v>0.9</v>
      </c>
      <c r="I772" s="1448">
        <f t="shared" si="47"/>
        <v>5.24</v>
      </c>
      <c r="J772" s="1492"/>
      <c r="K772" s="1439"/>
      <c r="L772" s="1439"/>
      <c r="M772" s="1439"/>
      <c r="N772" s="1439"/>
      <c r="O772" s="1439"/>
      <c r="P772" s="1439"/>
      <c r="Q772" s="1439"/>
      <c r="R772" s="1439"/>
      <c r="S772" s="1439"/>
      <c r="T772" s="1439"/>
      <c r="U772" s="1439"/>
      <c r="V772" s="1439"/>
      <c r="W772" s="1439"/>
      <c r="X772" s="1439"/>
      <c r="Y772" s="1439"/>
      <c r="Z772" s="1439"/>
      <c r="AA772" s="1439"/>
      <c r="AB772" s="1439"/>
      <c r="AC772" s="1439"/>
      <c r="AD772" s="1439"/>
      <c r="AE772" s="1439"/>
      <c r="AF772" s="1439"/>
      <c r="AG772" s="1439"/>
    </row>
    <row r="773" spans="1:33" ht="18.75">
      <c r="A773" s="1470"/>
      <c r="B773" s="1450" t="s">
        <v>7099</v>
      </c>
      <c r="C773" s="1484">
        <v>1</v>
      </c>
      <c r="D773" s="1484" t="s">
        <v>3364</v>
      </c>
      <c r="E773" s="1484">
        <v>1</v>
      </c>
      <c r="F773" s="1446">
        <v>5.82</v>
      </c>
      <c r="G773" s="1446"/>
      <c r="H773" s="1447">
        <v>0.9</v>
      </c>
      <c r="I773" s="1448">
        <f t="shared" si="47"/>
        <v>5.24</v>
      </c>
      <c r="J773" s="1492"/>
      <c r="K773" s="1439"/>
      <c r="L773" s="1439"/>
      <c r="M773" s="1439"/>
      <c r="N773" s="1439"/>
      <c r="O773" s="1439"/>
      <c r="P773" s="1439"/>
      <c r="Q773" s="1439"/>
      <c r="R773" s="1439"/>
      <c r="S773" s="1439"/>
      <c r="T773" s="1439"/>
      <c r="U773" s="1439"/>
      <c r="V773" s="1439"/>
      <c r="W773" s="1439"/>
      <c r="X773" s="1439"/>
      <c r="Y773" s="1439"/>
      <c r="Z773" s="1439"/>
      <c r="AA773" s="1439"/>
      <c r="AB773" s="1439"/>
      <c r="AC773" s="1439"/>
      <c r="AD773" s="1439"/>
      <c r="AE773" s="1439"/>
      <c r="AF773" s="1439"/>
      <c r="AG773" s="1439"/>
    </row>
    <row r="774" spans="1:33" ht="18.75">
      <c r="A774" s="1470"/>
      <c r="B774" s="1450" t="s">
        <v>7100</v>
      </c>
      <c r="C774" s="1484">
        <v>1</v>
      </c>
      <c r="D774" s="1484" t="s">
        <v>3364</v>
      </c>
      <c r="E774" s="1484">
        <v>1</v>
      </c>
      <c r="F774" s="1446">
        <v>5.82</v>
      </c>
      <c r="G774" s="1446"/>
      <c r="H774" s="1447">
        <v>0.9</v>
      </c>
      <c r="I774" s="1448">
        <f t="shared" si="47"/>
        <v>5.24</v>
      </c>
      <c r="J774" s="1492"/>
      <c r="K774" s="1439"/>
      <c r="L774" s="1439"/>
      <c r="M774" s="1439"/>
      <c r="N774" s="1439"/>
      <c r="O774" s="1439"/>
      <c r="P774" s="1439"/>
      <c r="Q774" s="1439"/>
      <c r="R774" s="1439"/>
      <c r="S774" s="1439"/>
      <c r="T774" s="1439"/>
      <c r="U774" s="1439"/>
      <c r="V774" s="1439"/>
      <c r="W774" s="1439"/>
      <c r="X774" s="1439"/>
      <c r="Y774" s="1439"/>
      <c r="Z774" s="1439"/>
      <c r="AA774" s="1439"/>
      <c r="AB774" s="1439"/>
      <c r="AC774" s="1439"/>
      <c r="AD774" s="1439"/>
      <c r="AE774" s="1439"/>
      <c r="AF774" s="1439"/>
      <c r="AG774" s="1439"/>
    </row>
    <row r="775" spans="1:33" ht="18.75">
      <c r="A775" s="1470"/>
      <c r="B775" s="1450" t="s">
        <v>7101</v>
      </c>
      <c r="C775" s="1484">
        <v>1</v>
      </c>
      <c r="D775" s="1484" t="s">
        <v>3364</v>
      </c>
      <c r="E775" s="1484">
        <v>1</v>
      </c>
      <c r="F775" s="1446">
        <v>5.82</v>
      </c>
      <c r="G775" s="1446"/>
      <c r="H775" s="1447">
        <v>0.9</v>
      </c>
      <c r="I775" s="1448">
        <f t="shared" si="47"/>
        <v>5.24</v>
      </c>
      <c r="J775" s="1492"/>
      <c r="K775" s="1439"/>
      <c r="L775" s="1439"/>
      <c r="M775" s="1439"/>
      <c r="N775" s="1439"/>
      <c r="O775" s="1439"/>
      <c r="P775" s="1439"/>
      <c r="Q775" s="1439"/>
      <c r="R775" s="1439"/>
      <c r="S775" s="1439"/>
      <c r="T775" s="1439"/>
      <c r="U775" s="1439"/>
      <c r="V775" s="1439"/>
      <c r="W775" s="1439"/>
      <c r="X775" s="1439"/>
      <c r="Y775" s="1439"/>
      <c r="Z775" s="1439"/>
      <c r="AA775" s="1439"/>
      <c r="AB775" s="1439"/>
      <c r="AC775" s="1439"/>
      <c r="AD775" s="1439"/>
      <c r="AE775" s="1439"/>
      <c r="AF775" s="1439"/>
      <c r="AG775" s="1439"/>
    </row>
    <row r="776" spans="1:33" ht="18.75">
      <c r="A776" s="1470"/>
      <c r="B776" s="1450" t="s">
        <v>7100</v>
      </c>
      <c r="C776" s="1484">
        <v>1</v>
      </c>
      <c r="D776" s="1484" t="s">
        <v>3364</v>
      </c>
      <c r="E776" s="1484">
        <v>1</v>
      </c>
      <c r="F776" s="1446">
        <v>5.82</v>
      </c>
      <c r="G776" s="1446"/>
      <c r="H776" s="1447">
        <v>0.9</v>
      </c>
      <c r="I776" s="1448">
        <f t="shared" si="47"/>
        <v>5.24</v>
      </c>
      <c r="J776" s="1492"/>
      <c r="K776" s="1439"/>
      <c r="L776" s="1439"/>
      <c r="M776" s="1439"/>
      <c r="N776" s="1439"/>
      <c r="O776" s="1439"/>
      <c r="P776" s="1439"/>
      <c r="Q776" s="1439"/>
      <c r="R776" s="1439"/>
      <c r="S776" s="1439"/>
      <c r="T776" s="1439"/>
      <c r="U776" s="1439"/>
      <c r="V776" s="1439"/>
      <c r="W776" s="1439"/>
      <c r="X776" s="1439"/>
      <c r="Y776" s="1439"/>
      <c r="Z776" s="1439"/>
      <c r="AA776" s="1439"/>
      <c r="AB776" s="1439"/>
      <c r="AC776" s="1439"/>
      <c r="AD776" s="1439"/>
      <c r="AE776" s="1439"/>
      <c r="AF776" s="1439"/>
      <c r="AG776" s="1439"/>
    </row>
    <row r="777" spans="1:33" ht="18.75">
      <c r="A777" s="1470"/>
      <c r="B777" s="1450" t="s">
        <v>7101</v>
      </c>
      <c r="C777" s="1484">
        <v>1</v>
      </c>
      <c r="D777" s="1484" t="s">
        <v>3364</v>
      </c>
      <c r="E777" s="1484">
        <v>1</v>
      </c>
      <c r="F777" s="1446">
        <v>5.82</v>
      </c>
      <c r="G777" s="1446"/>
      <c r="H777" s="1447">
        <v>0.9</v>
      </c>
      <c r="I777" s="1448">
        <f t="shared" si="47"/>
        <v>5.24</v>
      </c>
      <c r="J777" s="1492"/>
      <c r="K777" s="1439"/>
      <c r="L777" s="1439"/>
      <c r="M777" s="1439"/>
      <c r="N777" s="1439"/>
      <c r="O777" s="1439"/>
      <c r="P777" s="1439"/>
      <c r="Q777" s="1439"/>
      <c r="R777" s="1439"/>
      <c r="S777" s="1439"/>
      <c r="T777" s="1439"/>
      <c r="U777" s="1439"/>
      <c r="V777" s="1439"/>
      <c r="W777" s="1439"/>
      <c r="X777" s="1439"/>
      <c r="Y777" s="1439"/>
      <c r="Z777" s="1439"/>
      <c r="AA777" s="1439"/>
      <c r="AB777" s="1439"/>
      <c r="AC777" s="1439"/>
      <c r="AD777" s="1439"/>
      <c r="AE777" s="1439"/>
      <c r="AF777" s="1439"/>
      <c r="AG777" s="1439"/>
    </row>
    <row r="778" spans="1:33" ht="15.75" customHeight="1">
      <c r="A778" s="1470"/>
      <c r="B778" s="1450" t="s">
        <v>6617</v>
      </c>
      <c r="C778" s="1484">
        <v>1</v>
      </c>
      <c r="D778" s="1484" t="s">
        <v>3364</v>
      </c>
      <c r="E778" s="1484">
        <v>1</v>
      </c>
      <c r="F778" s="1446">
        <v>1.5</v>
      </c>
      <c r="G778" s="1446"/>
      <c r="H778" s="1447">
        <v>0.9</v>
      </c>
      <c r="I778" s="1448">
        <f t="shared" si="47"/>
        <v>1.35</v>
      </c>
      <c r="J778" s="1475"/>
      <c r="K778" s="1439"/>
      <c r="L778" s="1439"/>
      <c r="M778" s="1439"/>
      <c r="N778" s="1439"/>
      <c r="O778" s="1439"/>
      <c r="P778" s="1439"/>
      <c r="Q778" s="1439"/>
      <c r="R778" s="1439"/>
      <c r="S778" s="1439"/>
      <c r="T778" s="1439"/>
      <c r="U778" s="1439"/>
      <c r="V778" s="1439"/>
      <c r="W778" s="1439"/>
      <c r="X778" s="1439"/>
      <c r="Y778" s="1439"/>
      <c r="Z778" s="1439"/>
      <c r="AA778" s="1439"/>
      <c r="AB778" s="1439"/>
      <c r="AC778" s="1439"/>
      <c r="AD778" s="1439"/>
      <c r="AE778" s="1439"/>
      <c r="AF778" s="1439"/>
      <c r="AG778" s="1439"/>
    </row>
    <row r="779" spans="1:33" ht="15" customHeight="1">
      <c r="A779" s="1470"/>
      <c r="B779" s="1450"/>
      <c r="C779" s="1484"/>
      <c r="D779" s="1484"/>
      <c r="E779" s="1484"/>
      <c r="F779" s="1446"/>
      <c r="G779" s="1446"/>
      <c r="H779" s="1447"/>
      <c r="I779" s="1448">
        <f>SUM(I768:I778)</f>
        <v>50.76</v>
      </c>
      <c r="J779" s="1492"/>
      <c r="K779" s="1439"/>
      <c r="L779" s="1439"/>
      <c r="M779" s="1439"/>
      <c r="N779" s="1439"/>
      <c r="O779" s="1439"/>
      <c r="P779" s="1439"/>
      <c r="Q779" s="1439"/>
      <c r="R779" s="1439"/>
      <c r="S779" s="1439"/>
      <c r="T779" s="1439"/>
      <c r="U779" s="1439"/>
      <c r="V779" s="1439"/>
      <c r="W779" s="1439"/>
      <c r="X779" s="1439"/>
      <c r="Y779" s="1439"/>
      <c r="Z779" s="1439"/>
      <c r="AA779" s="1439"/>
      <c r="AB779" s="1439"/>
      <c r="AC779" s="1439"/>
      <c r="AD779" s="1439"/>
      <c r="AE779" s="1439"/>
      <c r="AF779" s="1439"/>
      <c r="AG779" s="1439"/>
    </row>
    <row r="780" spans="1:33" ht="15" customHeight="1">
      <c r="A780" s="1470"/>
      <c r="B780" s="1450"/>
      <c r="C780" s="1484"/>
      <c r="D780" s="1484"/>
      <c r="E780" s="1484"/>
      <c r="F780" s="1446"/>
      <c r="G780" s="1446"/>
      <c r="H780" s="1447" t="s">
        <v>2981</v>
      </c>
      <c r="I780" s="1459">
        <f>CEILING(I779,0.1)</f>
        <v>50.8</v>
      </c>
      <c r="J780" s="1492" t="s">
        <v>724</v>
      </c>
      <c r="K780" s="1439"/>
      <c r="L780" s="1439"/>
      <c r="M780" s="1439"/>
      <c r="N780" s="1439"/>
      <c r="O780" s="1439"/>
      <c r="P780" s="1439"/>
      <c r="Q780" s="1439"/>
      <c r="R780" s="1439"/>
      <c r="S780" s="1439"/>
      <c r="T780" s="1439"/>
      <c r="U780" s="1439"/>
      <c r="V780" s="1439"/>
      <c r="W780" s="1439"/>
      <c r="X780" s="1439"/>
      <c r="Y780" s="1439"/>
      <c r="Z780" s="1439"/>
      <c r="AA780" s="1439"/>
      <c r="AB780" s="1439"/>
      <c r="AC780" s="1439"/>
      <c r="AD780" s="1439"/>
      <c r="AE780" s="1439"/>
      <c r="AF780" s="1439"/>
      <c r="AG780" s="1439"/>
    </row>
    <row r="781" spans="1:33" ht="110.25">
      <c r="A781" s="1470">
        <v>13.1</v>
      </c>
      <c r="B781" s="1444" t="s">
        <v>7102</v>
      </c>
      <c r="C781" s="1484"/>
      <c r="D781" s="1484"/>
      <c r="E781" s="1484"/>
      <c r="F781" s="1446"/>
      <c r="G781" s="1446"/>
      <c r="H781" s="1447"/>
      <c r="I781" s="1448"/>
      <c r="J781" s="1475"/>
      <c r="K781" s="1439"/>
      <c r="L781" s="1439"/>
      <c r="M781" s="1439"/>
      <c r="N781" s="1439"/>
      <c r="O781" s="1439"/>
      <c r="P781" s="1439"/>
      <c r="Q781" s="1439"/>
      <c r="R781" s="1439"/>
      <c r="S781" s="1439"/>
      <c r="T781" s="1439"/>
      <c r="U781" s="1439"/>
      <c r="V781" s="1439"/>
      <c r="W781" s="1439"/>
      <c r="X781" s="1439"/>
      <c r="Y781" s="1439"/>
      <c r="Z781" s="1439"/>
      <c r="AA781" s="1439"/>
      <c r="AB781" s="1439"/>
      <c r="AC781" s="1439"/>
      <c r="AD781" s="1439"/>
      <c r="AE781" s="1439"/>
      <c r="AF781" s="1439"/>
      <c r="AG781" s="1439"/>
    </row>
    <row r="782" spans="1:33" ht="15.75" customHeight="1">
      <c r="A782" s="1443"/>
      <c r="B782" s="1450" t="s">
        <v>7103</v>
      </c>
      <c r="C782" s="1445">
        <v>5</v>
      </c>
      <c r="D782" s="1445" t="s">
        <v>3364</v>
      </c>
      <c r="E782" s="1445">
        <v>1</v>
      </c>
      <c r="F782" s="1446">
        <v>4.5</v>
      </c>
      <c r="G782" s="1446">
        <v>17</v>
      </c>
      <c r="H782" s="1447">
        <v>0.3</v>
      </c>
      <c r="I782" s="1448">
        <f t="shared" ref="I782:I788" si="48">PRODUCT(C782:H782)</f>
        <v>114.75</v>
      </c>
      <c r="J782" s="1449"/>
      <c r="K782" s="1439"/>
      <c r="L782" s="1439"/>
      <c r="M782" s="1439"/>
      <c r="N782" s="1439"/>
      <c r="O782" s="1439"/>
      <c r="P782" s="1439"/>
      <c r="Q782" s="1439"/>
      <c r="R782" s="1439"/>
      <c r="S782" s="1439"/>
      <c r="T782" s="1439"/>
      <c r="U782" s="1439"/>
      <c r="V782" s="1439"/>
      <c r="W782" s="1439"/>
      <c r="X782" s="1439"/>
      <c r="Y782" s="1439"/>
      <c r="Z782" s="1439"/>
      <c r="AA782" s="1439"/>
      <c r="AB782" s="1439"/>
      <c r="AC782" s="1439"/>
      <c r="AD782" s="1439"/>
      <c r="AE782" s="1439"/>
      <c r="AF782" s="1439"/>
      <c r="AG782" s="1439"/>
    </row>
    <row r="783" spans="1:33" ht="15.75" customHeight="1">
      <c r="A783" s="1443"/>
      <c r="B783" s="1452" t="s">
        <v>7495</v>
      </c>
      <c r="C783" s="1445">
        <v>1</v>
      </c>
      <c r="D783" s="1445" t="s">
        <v>3364</v>
      </c>
      <c r="E783" s="1445">
        <v>1</v>
      </c>
      <c r="F783" s="1446">
        <v>3.2</v>
      </c>
      <c r="G783" s="1446">
        <v>1.5</v>
      </c>
      <c r="H783" s="1447">
        <v>0.3</v>
      </c>
      <c r="I783" s="1448">
        <f t="shared" si="48"/>
        <v>1.44</v>
      </c>
      <c r="J783" s="1449"/>
      <c r="K783" s="1439"/>
      <c r="L783" s="1439"/>
      <c r="M783" s="1439"/>
      <c r="N783" s="1439"/>
      <c r="O783" s="1439"/>
      <c r="P783" s="1439"/>
      <c r="Q783" s="1439"/>
      <c r="R783" s="1439"/>
      <c r="S783" s="1439"/>
      <c r="T783" s="1439"/>
      <c r="U783" s="1439"/>
      <c r="V783" s="1439"/>
      <c r="W783" s="1439"/>
      <c r="X783" s="1439"/>
      <c r="Y783" s="1439"/>
      <c r="Z783" s="1439"/>
      <c r="AA783" s="1439"/>
      <c r="AB783" s="1439"/>
      <c r="AC783" s="1439"/>
      <c r="AD783" s="1439"/>
      <c r="AE783" s="1439"/>
      <c r="AF783" s="1439"/>
      <c r="AG783" s="1439"/>
    </row>
    <row r="784" spans="1:33" ht="15.75" customHeight="1">
      <c r="A784" s="1443"/>
      <c r="B784" s="1452" t="s">
        <v>7496</v>
      </c>
      <c r="C784" s="1445">
        <v>1</v>
      </c>
      <c r="D784" s="1445" t="s">
        <v>3364</v>
      </c>
      <c r="E784" s="1445">
        <v>1</v>
      </c>
      <c r="F784" s="1446">
        <v>2.4</v>
      </c>
      <c r="G784" s="1446">
        <v>1.5</v>
      </c>
      <c r="H784" s="1447">
        <v>0.3</v>
      </c>
      <c r="I784" s="1448">
        <f t="shared" si="48"/>
        <v>1.08</v>
      </c>
      <c r="J784" s="1449"/>
      <c r="K784" s="1439"/>
      <c r="L784" s="1439"/>
      <c r="M784" s="1439"/>
      <c r="N784" s="1439"/>
      <c r="O784" s="1439"/>
      <c r="P784" s="1439"/>
      <c r="Q784" s="1439"/>
      <c r="R784" s="1439"/>
      <c r="S784" s="1439"/>
      <c r="T784" s="1439"/>
      <c r="U784" s="1439"/>
      <c r="V784" s="1439"/>
      <c r="W784" s="1439"/>
      <c r="X784" s="1439"/>
      <c r="Y784" s="1439"/>
      <c r="Z784" s="1439"/>
      <c r="AA784" s="1439"/>
      <c r="AB784" s="1439"/>
      <c r="AC784" s="1439"/>
      <c r="AD784" s="1439"/>
      <c r="AE784" s="1439"/>
      <c r="AF784" s="1439"/>
      <c r="AG784" s="1439"/>
    </row>
    <row r="785" spans="1:33" ht="15.75" customHeight="1">
      <c r="A785" s="1443"/>
      <c r="B785" s="1452" t="s">
        <v>6727</v>
      </c>
      <c r="C785" s="1445">
        <v>1</v>
      </c>
      <c r="D785" s="1445" t="s">
        <v>3364</v>
      </c>
      <c r="E785" s="1445">
        <v>1</v>
      </c>
      <c r="F785" s="1446">
        <v>2.4</v>
      </c>
      <c r="G785" s="1446">
        <v>1.5</v>
      </c>
      <c r="H785" s="1447">
        <v>0.3</v>
      </c>
      <c r="I785" s="1448">
        <f t="shared" si="48"/>
        <v>1.08</v>
      </c>
      <c r="J785" s="1449"/>
      <c r="K785" s="1439"/>
      <c r="L785" s="1439"/>
      <c r="M785" s="1439"/>
      <c r="N785" s="1439"/>
      <c r="O785" s="1439"/>
      <c r="P785" s="1439"/>
      <c r="Q785" s="1439"/>
      <c r="R785" s="1439"/>
      <c r="S785" s="1439"/>
      <c r="T785" s="1439"/>
      <c r="U785" s="1439"/>
      <c r="V785" s="1439"/>
      <c r="W785" s="1439"/>
      <c r="X785" s="1439"/>
      <c r="Y785" s="1439"/>
      <c r="Z785" s="1439"/>
      <c r="AA785" s="1439"/>
      <c r="AB785" s="1439"/>
      <c r="AC785" s="1439"/>
      <c r="AD785" s="1439"/>
      <c r="AE785" s="1439"/>
      <c r="AF785" s="1439"/>
      <c r="AG785" s="1439"/>
    </row>
    <row r="786" spans="1:33" ht="15.75" customHeight="1">
      <c r="A786" s="1443"/>
      <c r="B786" s="1452" t="s">
        <v>7453</v>
      </c>
      <c r="C786" s="1445">
        <v>1</v>
      </c>
      <c r="D786" s="1445" t="s">
        <v>3364</v>
      </c>
      <c r="E786" s="1445">
        <v>1</v>
      </c>
      <c r="F786" s="1446">
        <v>3.43</v>
      </c>
      <c r="G786" s="1446">
        <v>4.96</v>
      </c>
      <c r="H786" s="1447">
        <v>0.3</v>
      </c>
      <c r="I786" s="1448">
        <f t="shared" si="48"/>
        <v>5.0999999999999996</v>
      </c>
      <c r="J786" s="1449"/>
      <c r="K786" s="1439"/>
      <c r="L786" s="1439"/>
      <c r="M786" s="1439"/>
      <c r="N786" s="1439"/>
      <c r="O786" s="1439"/>
      <c r="P786" s="1439"/>
      <c r="Q786" s="1439"/>
      <c r="R786" s="1439"/>
      <c r="S786" s="1439"/>
      <c r="T786" s="1439"/>
      <c r="U786" s="1439"/>
      <c r="V786" s="1439"/>
      <c r="W786" s="1439"/>
      <c r="X786" s="1439"/>
      <c r="Y786" s="1439"/>
      <c r="Z786" s="1439"/>
      <c r="AA786" s="1439"/>
      <c r="AB786" s="1439"/>
      <c r="AC786" s="1439"/>
      <c r="AD786" s="1439"/>
      <c r="AE786" s="1439"/>
      <c r="AF786" s="1439"/>
      <c r="AG786" s="1439"/>
    </row>
    <row r="787" spans="1:33" ht="15.75" customHeight="1">
      <c r="A787" s="1443"/>
      <c r="B787" s="1450" t="s">
        <v>7104</v>
      </c>
      <c r="C787" s="1445">
        <v>1</v>
      </c>
      <c r="D787" s="1445" t="s">
        <v>3364</v>
      </c>
      <c r="E787" s="1445">
        <v>1</v>
      </c>
      <c r="F787" s="1446">
        <v>3.37</v>
      </c>
      <c r="G787" s="1446">
        <v>2.13</v>
      </c>
      <c r="H787" s="1447">
        <v>0.3</v>
      </c>
      <c r="I787" s="1448">
        <f t="shared" si="48"/>
        <v>2.15</v>
      </c>
      <c r="J787" s="1449"/>
      <c r="K787" s="1439"/>
      <c r="L787" s="1439"/>
      <c r="M787" s="1439"/>
      <c r="N787" s="1439"/>
      <c r="O787" s="1439"/>
      <c r="P787" s="1439"/>
      <c r="Q787" s="1439"/>
      <c r="R787" s="1439"/>
      <c r="S787" s="1439"/>
      <c r="T787" s="1439"/>
      <c r="U787" s="1439"/>
      <c r="V787" s="1439"/>
      <c r="W787" s="1439"/>
      <c r="X787" s="1439"/>
      <c r="Y787" s="1439"/>
      <c r="Z787" s="1439"/>
      <c r="AA787" s="1439"/>
      <c r="AB787" s="1439"/>
      <c r="AC787" s="1439"/>
      <c r="AD787" s="1439"/>
      <c r="AE787" s="1439"/>
      <c r="AF787" s="1439"/>
      <c r="AG787" s="1439"/>
    </row>
    <row r="788" spans="1:33" ht="15.75" customHeight="1">
      <c r="A788" s="1443"/>
      <c r="B788" s="1452" t="s">
        <v>3492</v>
      </c>
      <c r="C788" s="1445">
        <v>1</v>
      </c>
      <c r="D788" s="1445" t="s">
        <v>3364</v>
      </c>
      <c r="E788" s="1445">
        <v>1</v>
      </c>
      <c r="F788" s="1446">
        <v>3.43</v>
      </c>
      <c r="G788" s="1446">
        <v>4.9619999999999997</v>
      </c>
      <c r="H788" s="1447">
        <v>0.3</v>
      </c>
      <c r="I788" s="1448">
        <f t="shared" si="48"/>
        <v>5.1100000000000003</v>
      </c>
      <c r="J788" s="1449"/>
      <c r="K788" s="1439"/>
      <c r="L788" s="1439"/>
      <c r="M788" s="1439"/>
      <c r="N788" s="1439"/>
      <c r="O788" s="1439"/>
      <c r="P788" s="1439"/>
      <c r="Q788" s="1439"/>
      <c r="R788" s="1439"/>
      <c r="S788" s="1439"/>
      <c r="T788" s="1439"/>
      <c r="U788" s="1439"/>
      <c r="V788" s="1439"/>
      <c r="W788" s="1439"/>
      <c r="X788" s="1439"/>
      <c r="Y788" s="1439"/>
      <c r="Z788" s="1439"/>
      <c r="AA788" s="1439"/>
      <c r="AB788" s="1439"/>
      <c r="AC788" s="1439"/>
      <c r="AD788" s="1439"/>
      <c r="AE788" s="1439"/>
      <c r="AF788" s="1439"/>
      <c r="AG788" s="1439"/>
    </row>
    <row r="789" spans="1:33" ht="15.75" customHeight="1">
      <c r="A789" s="1470"/>
      <c r="B789" s="1450"/>
      <c r="C789" s="1484"/>
      <c r="D789" s="1484"/>
      <c r="E789" s="1484"/>
      <c r="F789" s="1446"/>
      <c r="G789" s="1458" t="s">
        <v>104</v>
      </c>
      <c r="H789" s="1460"/>
      <c r="I789" s="1448">
        <f>SUM(I782:I788)</f>
        <v>130.71</v>
      </c>
      <c r="J789" s="1475"/>
      <c r="K789" s="1439"/>
      <c r="L789" s="1439"/>
      <c r="M789" s="1439"/>
      <c r="N789" s="1439"/>
      <c r="O789" s="1439"/>
      <c r="P789" s="1439"/>
      <c r="Q789" s="1439"/>
      <c r="R789" s="1439"/>
      <c r="S789" s="1439"/>
      <c r="T789" s="1439"/>
      <c r="U789" s="1439"/>
      <c r="V789" s="1439"/>
      <c r="W789" s="1439"/>
      <c r="X789" s="1439"/>
      <c r="Y789" s="1439"/>
      <c r="Z789" s="1439"/>
      <c r="AA789" s="1439"/>
      <c r="AB789" s="1439"/>
      <c r="AC789" s="1439"/>
      <c r="AD789" s="1439"/>
      <c r="AE789" s="1439"/>
      <c r="AF789" s="1439"/>
      <c r="AG789" s="1439"/>
    </row>
    <row r="790" spans="1:33" ht="15.75" customHeight="1">
      <c r="A790" s="1470"/>
      <c r="B790" s="1450"/>
      <c r="C790" s="1484"/>
      <c r="D790" s="1484"/>
      <c r="E790" s="1484"/>
      <c r="F790" s="1446"/>
      <c r="G790" s="1458"/>
      <c r="H790" s="1460" t="s">
        <v>2981</v>
      </c>
      <c r="I790" s="1459">
        <f>CEILING(I789,0.1)</f>
        <v>130.80000000000001</v>
      </c>
      <c r="J790" s="1475" t="s">
        <v>724</v>
      </c>
      <c r="K790" s="1439"/>
      <c r="L790" s="1439"/>
      <c r="M790" s="1439"/>
      <c r="N790" s="1439"/>
      <c r="O790" s="1439"/>
      <c r="P790" s="1439"/>
      <c r="Q790" s="1439"/>
      <c r="R790" s="1439"/>
      <c r="S790" s="1439"/>
      <c r="T790" s="1439"/>
      <c r="U790" s="1439"/>
      <c r="V790" s="1439"/>
      <c r="W790" s="1439"/>
      <c r="X790" s="1439"/>
      <c r="Y790" s="1439"/>
      <c r="Z790" s="1439"/>
      <c r="AA790" s="1439"/>
      <c r="AB790" s="1439"/>
      <c r="AC790" s="1439"/>
      <c r="AD790" s="1439"/>
      <c r="AE790" s="1439"/>
      <c r="AF790" s="1439"/>
      <c r="AG790" s="1439"/>
    </row>
    <row r="791" spans="1:33" ht="189">
      <c r="A791" s="1451">
        <v>15.1</v>
      </c>
      <c r="B791" s="1462" t="s">
        <v>6624</v>
      </c>
      <c r="C791" s="1484"/>
      <c r="D791" s="1484"/>
      <c r="E791" s="1484"/>
      <c r="F791" s="1446"/>
      <c r="G791" s="1446"/>
      <c r="H791" s="1447"/>
      <c r="I791" s="1448"/>
      <c r="J791" s="1475"/>
      <c r="K791" s="1439"/>
      <c r="L791" s="1439"/>
      <c r="M791" s="1439"/>
      <c r="N791" s="1439"/>
      <c r="O791" s="1439"/>
      <c r="P791" s="1439"/>
      <c r="Q791" s="1439"/>
      <c r="R791" s="1439"/>
      <c r="S791" s="1439"/>
      <c r="T791" s="1439"/>
      <c r="U791" s="1439"/>
      <c r="V791" s="1439"/>
      <c r="W791" s="1439"/>
      <c r="X791" s="1439"/>
      <c r="Y791" s="1439"/>
      <c r="Z791" s="1439"/>
      <c r="AA791" s="1439"/>
      <c r="AB791" s="1439"/>
      <c r="AC791" s="1439"/>
      <c r="AD791" s="1439"/>
      <c r="AE791" s="1439"/>
      <c r="AF791" s="1439"/>
      <c r="AG791" s="1439"/>
    </row>
    <row r="792" spans="1:33" ht="15.75" customHeight="1">
      <c r="A792" s="1451"/>
      <c r="B792" s="1456" t="s">
        <v>3464</v>
      </c>
      <c r="C792" s="1484"/>
      <c r="D792" s="1484"/>
      <c r="E792" s="1484"/>
      <c r="F792" s="1446"/>
      <c r="G792" s="1446"/>
      <c r="H792" s="1447"/>
      <c r="I792" s="1448"/>
      <c r="J792" s="1475"/>
      <c r="K792" s="1439"/>
      <c r="L792" s="1439"/>
      <c r="M792" s="1439"/>
      <c r="N792" s="1439"/>
      <c r="O792" s="1439"/>
      <c r="P792" s="1439"/>
      <c r="Q792" s="1439"/>
      <c r="R792" s="1439"/>
      <c r="S792" s="1439"/>
      <c r="T792" s="1439"/>
      <c r="U792" s="1439"/>
      <c r="V792" s="1439"/>
      <c r="W792" s="1439"/>
      <c r="X792" s="1439"/>
      <c r="Y792" s="1439"/>
      <c r="Z792" s="1439"/>
      <c r="AA792" s="1439"/>
      <c r="AB792" s="1439"/>
      <c r="AC792" s="1439"/>
      <c r="AD792" s="1439"/>
      <c r="AE792" s="1439"/>
      <c r="AF792" s="1439"/>
      <c r="AG792" s="1439"/>
    </row>
    <row r="793" spans="1:33" ht="15.75" customHeight="1">
      <c r="A793" s="1451"/>
      <c r="B793" s="1444" t="s">
        <v>3456</v>
      </c>
      <c r="C793" s="1484"/>
      <c r="D793" s="1484"/>
      <c r="E793" s="1484"/>
      <c r="F793" s="1446"/>
      <c r="G793" s="1446"/>
      <c r="H793" s="1447"/>
      <c r="I793" s="1448"/>
      <c r="J793" s="1475"/>
      <c r="K793" s="1439"/>
      <c r="L793" s="1439"/>
      <c r="M793" s="1439"/>
      <c r="N793" s="1439"/>
      <c r="O793" s="1439"/>
      <c r="P793" s="1439"/>
      <c r="Q793" s="1439"/>
      <c r="R793" s="1439"/>
      <c r="S793" s="1439"/>
      <c r="T793" s="1439"/>
      <c r="U793" s="1439"/>
      <c r="V793" s="1439"/>
      <c r="W793" s="1439"/>
      <c r="X793" s="1439"/>
      <c r="Y793" s="1439"/>
      <c r="Z793" s="1439"/>
      <c r="AA793" s="1439"/>
      <c r="AB793" s="1439"/>
      <c r="AC793" s="1439"/>
      <c r="AD793" s="1439"/>
      <c r="AE793" s="1439"/>
      <c r="AF793" s="1439"/>
      <c r="AG793" s="1439"/>
    </row>
    <row r="794" spans="1:33" ht="15.75" customHeight="1">
      <c r="A794" s="1448"/>
      <c r="B794" s="1480" t="s">
        <v>7079</v>
      </c>
      <c r="C794" s="1445">
        <v>2</v>
      </c>
      <c r="D794" s="1447" t="s">
        <v>3364</v>
      </c>
      <c r="E794" s="1445">
        <v>2</v>
      </c>
      <c r="F794" s="1446">
        <v>1.2</v>
      </c>
      <c r="G794" s="1446">
        <v>0.6</v>
      </c>
      <c r="H794" s="1447"/>
      <c r="I794" s="1448">
        <f>PRODUCT(C794:H794)</f>
        <v>2.88</v>
      </c>
      <c r="J794" s="1449"/>
      <c r="K794" s="1481"/>
      <c r="L794" s="1481"/>
      <c r="M794" s="1481"/>
      <c r="N794" s="1481"/>
      <c r="O794" s="1481"/>
      <c r="P794" s="1481"/>
      <c r="Q794" s="1481"/>
      <c r="R794" s="1481"/>
      <c r="S794" s="1481"/>
      <c r="T794" s="1481"/>
      <c r="U794" s="1481"/>
      <c r="V794" s="1481"/>
      <c r="W794" s="1481"/>
      <c r="X794" s="1481"/>
      <c r="Y794" s="1481"/>
      <c r="Z794" s="1481"/>
      <c r="AA794" s="1481"/>
      <c r="AB794" s="1481"/>
      <c r="AC794" s="1481"/>
      <c r="AD794" s="1481"/>
      <c r="AE794" s="1481"/>
      <c r="AF794" s="1481"/>
      <c r="AG794" s="1481"/>
    </row>
    <row r="795" spans="1:33" ht="15.75" customHeight="1">
      <c r="A795" s="1448"/>
      <c r="B795" s="1480" t="s">
        <v>6723</v>
      </c>
      <c r="C795" s="1445">
        <v>2</v>
      </c>
      <c r="D795" s="1447" t="s">
        <v>3364</v>
      </c>
      <c r="E795" s="1445">
        <v>2</v>
      </c>
      <c r="F795" s="1446">
        <v>1.2</v>
      </c>
      <c r="G795" s="1446">
        <v>0.6</v>
      </c>
      <c r="H795" s="1447"/>
      <c r="I795" s="1448">
        <f>PRODUCT(C795:H795)</f>
        <v>2.88</v>
      </c>
      <c r="J795" s="1449"/>
      <c r="K795" s="1481"/>
      <c r="L795" s="1481"/>
      <c r="M795" s="1481"/>
      <c r="N795" s="1481"/>
      <c r="O795" s="1481"/>
      <c r="P795" s="1481"/>
      <c r="Q795" s="1481"/>
      <c r="R795" s="1481"/>
      <c r="S795" s="1481"/>
      <c r="T795" s="1481"/>
      <c r="U795" s="1481"/>
      <c r="V795" s="1481"/>
      <c r="W795" s="1481"/>
      <c r="X795" s="1481"/>
      <c r="Y795" s="1481"/>
      <c r="Z795" s="1481"/>
      <c r="AA795" s="1481"/>
      <c r="AB795" s="1481"/>
      <c r="AC795" s="1481"/>
      <c r="AD795" s="1481"/>
      <c r="AE795" s="1481"/>
      <c r="AF795" s="1481"/>
      <c r="AG795" s="1481"/>
    </row>
    <row r="796" spans="1:33" ht="15.75" customHeight="1">
      <c r="A796" s="1443"/>
      <c r="B796" s="1450"/>
      <c r="C796" s="1445"/>
      <c r="D796" s="1445"/>
      <c r="E796" s="1445"/>
      <c r="F796" s="1446"/>
      <c r="G796" s="1458" t="s">
        <v>104</v>
      </c>
      <c r="H796" s="1447"/>
      <c r="I796" s="1479">
        <f>SUM(I794:I795)</f>
        <v>5.76</v>
      </c>
      <c r="J796" s="1449"/>
      <c r="K796" s="1439"/>
      <c r="L796" s="1439"/>
      <c r="M796" s="1439"/>
      <c r="N796" s="1439"/>
      <c r="O796" s="1439"/>
      <c r="P796" s="1439"/>
      <c r="Q796" s="1439"/>
      <c r="R796" s="1439"/>
      <c r="S796" s="1439"/>
      <c r="T796" s="1439"/>
      <c r="U796" s="1439"/>
      <c r="V796" s="1439"/>
      <c r="W796" s="1439"/>
      <c r="X796" s="1439"/>
      <c r="Y796" s="1439"/>
      <c r="Z796" s="1439"/>
      <c r="AA796" s="1439"/>
      <c r="AB796" s="1439"/>
      <c r="AC796" s="1439"/>
      <c r="AD796" s="1439"/>
      <c r="AE796" s="1439"/>
      <c r="AF796" s="1439"/>
      <c r="AG796" s="1439"/>
    </row>
    <row r="797" spans="1:33" ht="15.75" customHeight="1">
      <c r="A797" s="1464"/>
      <c r="B797" s="1456"/>
      <c r="C797" s="1465"/>
      <c r="D797" s="1465"/>
      <c r="E797" s="1465"/>
      <c r="F797" s="1458"/>
      <c r="G797" s="1446"/>
      <c r="H797" s="1460" t="s">
        <v>2981</v>
      </c>
      <c r="I797" s="1459">
        <f>CEILING(I796,0.1)</f>
        <v>5.8</v>
      </c>
      <c r="J797" s="1449" t="s">
        <v>724</v>
      </c>
      <c r="K797" s="1466"/>
      <c r="L797" s="1466"/>
      <c r="M797" s="1466"/>
      <c r="N797" s="1466"/>
      <c r="O797" s="1466"/>
      <c r="P797" s="1466"/>
      <c r="Q797" s="1466"/>
      <c r="R797" s="1466"/>
      <c r="S797" s="1466"/>
      <c r="T797" s="1466"/>
      <c r="U797" s="1466"/>
      <c r="V797" s="1466"/>
      <c r="W797" s="1466"/>
      <c r="X797" s="1466"/>
      <c r="Y797" s="1466"/>
      <c r="Z797" s="1466"/>
      <c r="AA797" s="1466"/>
      <c r="AB797" s="1466"/>
      <c r="AC797" s="1466"/>
      <c r="AD797" s="1466"/>
      <c r="AE797" s="1466"/>
      <c r="AF797" s="1466"/>
      <c r="AG797" s="1466"/>
    </row>
    <row r="798" spans="1:33" ht="15.75" customHeight="1">
      <c r="A798" s="1451"/>
      <c r="B798" s="1444" t="s">
        <v>3457</v>
      </c>
      <c r="C798" s="1484"/>
      <c r="D798" s="1484"/>
      <c r="E798" s="1484"/>
      <c r="F798" s="1446"/>
      <c r="G798" s="1446"/>
      <c r="H798" s="1447"/>
      <c r="I798" s="1448"/>
      <c r="J798" s="1475"/>
      <c r="K798" s="1439"/>
      <c r="L798" s="1439"/>
      <c r="M798" s="1439"/>
      <c r="N798" s="1439"/>
      <c r="O798" s="1439"/>
      <c r="P798" s="1439"/>
      <c r="Q798" s="1439"/>
      <c r="R798" s="1439"/>
      <c r="S798" s="1439"/>
      <c r="T798" s="1439"/>
      <c r="U798" s="1439"/>
      <c r="V798" s="1439"/>
      <c r="W798" s="1439"/>
      <c r="X798" s="1439"/>
      <c r="Y798" s="1439"/>
      <c r="Z798" s="1439"/>
      <c r="AA798" s="1439"/>
      <c r="AB798" s="1439"/>
      <c r="AC798" s="1439"/>
      <c r="AD798" s="1439"/>
      <c r="AE798" s="1439"/>
      <c r="AF798" s="1439"/>
      <c r="AG798" s="1439"/>
    </row>
    <row r="799" spans="1:33" ht="15.75" customHeight="1">
      <c r="A799" s="1448"/>
      <c r="B799" s="1480" t="s">
        <v>7081</v>
      </c>
      <c r="C799" s="1445">
        <v>2</v>
      </c>
      <c r="D799" s="1447" t="s">
        <v>3364</v>
      </c>
      <c r="E799" s="1445">
        <v>3</v>
      </c>
      <c r="F799" s="1446">
        <v>1.2</v>
      </c>
      <c r="G799" s="1446">
        <v>0.6</v>
      </c>
      <c r="H799" s="1447"/>
      <c r="I799" s="1448">
        <f>PRODUCT(C799:H799)</f>
        <v>4.32</v>
      </c>
      <c r="J799" s="1449"/>
      <c r="K799" s="1481"/>
      <c r="L799" s="1481"/>
      <c r="M799" s="1481"/>
      <c r="N799" s="1481"/>
      <c r="O799" s="1481"/>
      <c r="P799" s="1481"/>
      <c r="Q799" s="1481"/>
      <c r="R799" s="1481"/>
      <c r="S799" s="1481"/>
      <c r="T799" s="1481"/>
      <c r="U799" s="1481"/>
      <c r="V799" s="1481"/>
      <c r="W799" s="1481"/>
      <c r="X799" s="1481"/>
      <c r="Y799" s="1481"/>
      <c r="Z799" s="1481"/>
      <c r="AA799" s="1481"/>
      <c r="AB799" s="1481"/>
      <c r="AC799" s="1481"/>
      <c r="AD799" s="1481"/>
      <c r="AE799" s="1481"/>
      <c r="AF799" s="1481"/>
      <c r="AG799" s="1481"/>
    </row>
    <row r="800" spans="1:33" ht="15.75" customHeight="1">
      <c r="A800" s="1448"/>
      <c r="B800" s="1480" t="s">
        <v>7082</v>
      </c>
      <c r="C800" s="1445">
        <v>2</v>
      </c>
      <c r="D800" s="1447" t="s">
        <v>3364</v>
      </c>
      <c r="E800" s="1445">
        <v>2</v>
      </c>
      <c r="F800" s="1446">
        <v>1.2</v>
      </c>
      <c r="G800" s="1446">
        <v>0.6</v>
      </c>
      <c r="H800" s="1447"/>
      <c r="I800" s="1448">
        <f>PRODUCT(C800:H800)</f>
        <v>2.88</v>
      </c>
      <c r="J800" s="1449"/>
      <c r="K800" s="1481"/>
      <c r="L800" s="1481"/>
      <c r="M800" s="1481"/>
      <c r="N800" s="1481"/>
      <c r="O800" s="1481"/>
      <c r="P800" s="1481"/>
      <c r="Q800" s="1481"/>
      <c r="R800" s="1481"/>
      <c r="S800" s="1481"/>
      <c r="T800" s="1481"/>
      <c r="U800" s="1481"/>
      <c r="V800" s="1481"/>
      <c r="W800" s="1481"/>
      <c r="X800" s="1481"/>
      <c r="Y800" s="1481"/>
      <c r="Z800" s="1481"/>
      <c r="AA800" s="1481"/>
      <c r="AB800" s="1481"/>
      <c r="AC800" s="1481"/>
      <c r="AD800" s="1481"/>
      <c r="AE800" s="1481"/>
      <c r="AF800" s="1481"/>
      <c r="AG800" s="1481"/>
    </row>
    <row r="801" spans="1:33" ht="15.75" customHeight="1">
      <c r="A801" s="1448"/>
      <c r="B801" s="1482" t="s">
        <v>7485</v>
      </c>
      <c r="C801" s="1445">
        <v>2</v>
      </c>
      <c r="D801" s="1467" t="s">
        <v>3364</v>
      </c>
      <c r="E801" s="1445">
        <v>3</v>
      </c>
      <c r="F801" s="1446">
        <v>1.2</v>
      </c>
      <c r="G801" s="1446">
        <v>0.6</v>
      </c>
      <c r="H801" s="1447"/>
      <c r="I801" s="1448">
        <f>PRODUCT(C801:H801)</f>
        <v>4.32</v>
      </c>
      <c r="J801" s="1449"/>
      <c r="K801" s="1481"/>
      <c r="L801" s="1481"/>
      <c r="M801" s="1481"/>
      <c r="N801" s="1481"/>
      <c r="O801" s="1481"/>
      <c r="P801" s="1481"/>
      <c r="Q801" s="1481"/>
      <c r="R801" s="1481"/>
      <c r="S801" s="1481"/>
      <c r="T801" s="1481"/>
      <c r="U801" s="1481"/>
      <c r="V801" s="1481"/>
      <c r="W801" s="1481"/>
      <c r="X801" s="1481"/>
      <c r="Y801" s="1481"/>
      <c r="Z801" s="1481"/>
      <c r="AA801" s="1481"/>
      <c r="AB801" s="1481"/>
      <c r="AC801" s="1481"/>
      <c r="AD801" s="1481"/>
      <c r="AE801" s="1481"/>
      <c r="AF801" s="1481"/>
      <c r="AG801" s="1481"/>
    </row>
    <row r="802" spans="1:33" ht="15.75" customHeight="1">
      <c r="A802" s="1448"/>
      <c r="B802" s="1482" t="s">
        <v>7486</v>
      </c>
      <c r="C802" s="1445">
        <v>2</v>
      </c>
      <c r="D802" s="1467" t="s">
        <v>3364</v>
      </c>
      <c r="E802" s="1445">
        <v>3</v>
      </c>
      <c r="F802" s="1446">
        <v>1.2</v>
      </c>
      <c r="G802" s="1446">
        <v>0.6</v>
      </c>
      <c r="H802" s="1447"/>
      <c r="I802" s="1448">
        <f>PRODUCT(C802:H802)</f>
        <v>4.32</v>
      </c>
      <c r="J802" s="1449"/>
      <c r="K802" s="1481"/>
      <c r="L802" s="1481"/>
      <c r="M802" s="1481"/>
      <c r="N802" s="1481"/>
      <c r="O802" s="1481"/>
      <c r="P802" s="1481"/>
      <c r="Q802" s="1481"/>
      <c r="R802" s="1481"/>
      <c r="S802" s="1481"/>
      <c r="T802" s="1481"/>
      <c r="U802" s="1481"/>
      <c r="V802" s="1481"/>
      <c r="W802" s="1481"/>
      <c r="X802" s="1481"/>
      <c r="Y802" s="1481"/>
      <c r="Z802" s="1481"/>
      <c r="AA802" s="1481"/>
      <c r="AB802" s="1481"/>
      <c r="AC802" s="1481"/>
      <c r="AD802" s="1481"/>
      <c r="AE802" s="1481"/>
      <c r="AF802" s="1481"/>
      <c r="AG802" s="1481"/>
    </row>
    <row r="803" spans="1:33" ht="15.75" customHeight="1">
      <c r="A803" s="1448"/>
      <c r="B803" s="1482" t="s">
        <v>7487</v>
      </c>
      <c r="C803" s="1445">
        <v>2</v>
      </c>
      <c r="D803" s="1447" t="s">
        <v>3364</v>
      </c>
      <c r="E803" s="1445">
        <v>4</v>
      </c>
      <c r="F803" s="1446">
        <v>1.2</v>
      </c>
      <c r="G803" s="1446">
        <v>0.6</v>
      </c>
      <c r="H803" s="1447"/>
      <c r="I803" s="1448">
        <f>PRODUCT(C803:H803)</f>
        <v>5.76</v>
      </c>
      <c r="J803" s="1449"/>
      <c r="K803" s="1481"/>
      <c r="L803" s="1481"/>
      <c r="M803" s="1481"/>
      <c r="N803" s="1481"/>
      <c r="O803" s="1481"/>
      <c r="P803" s="1481"/>
      <c r="Q803" s="1481"/>
      <c r="R803" s="1481"/>
      <c r="S803" s="1481"/>
      <c r="T803" s="1481"/>
      <c r="U803" s="1481"/>
      <c r="V803" s="1481"/>
      <c r="W803" s="1481"/>
      <c r="X803" s="1481"/>
      <c r="Y803" s="1481"/>
      <c r="Z803" s="1481"/>
      <c r="AA803" s="1481"/>
      <c r="AB803" s="1481"/>
      <c r="AC803" s="1481"/>
      <c r="AD803" s="1481"/>
      <c r="AE803" s="1481"/>
      <c r="AF803" s="1481"/>
      <c r="AG803" s="1481"/>
    </row>
    <row r="804" spans="1:33" ht="15.75" customHeight="1">
      <c r="A804" s="1443"/>
      <c r="B804" s="1450"/>
      <c r="C804" s="1445"/>
      <c r="D804" s="1445"/>
      <c r="E804" s="1445"/>
      <c r="F804" s="1446"/>
      <c r="G804" s="1458" t="s">
        <v>104</v>
      </c>
      <c r="H804" s="1447"/>
      <c r="I804" s="1479">
        <f>SUM(I799:I803)</f>
        <v>21.6</v>
      </c>
      <c r="J804" s="1449"/>
      <c r="K804" s="1439"/>
      <c r="L804" s="1439"/>
      <c r="M804" s="1439"/>
      <c r="N804" s="1439"/>
      <c r="O804" s="1439"/>
      <c r="P804" s="1439"/>
      <c r="Q804" s="1439"/>
      <c r="R804" s="1439"/>
      <c r="S804" s="1439"/>
      <c r="T804" s="1439"/>
      <c r="U804" s="1439"/>
      <c r="V804" s="1439"/>
      <c r="W804" s="1439"/>
      <c r="X804" s="1439"/>
      <c r="Y804" s="1439"/>
      <c r="Z804" s="1439"/>
      <c r="AA804" s="1439"/>
      <c r="AB804" s="1439"/>
      <c r="AC804" s="1439"/>
      <c r="AD804" s="1439"/>
      <c r="AE804" s="1439"/>
      <c r="AF804" s="1439"/>
      <c r="AG804" s="1439"/>
    </row>
    <row r="805" spans="1:33" ht="15.75" customHeight="1">
      <c r="A805" s="1464"/>
      <c r="B805" s="1456"/>
      <c r="C805" s="1465"/>
      <c r="D805" s="1465"/>
      <c r="E805" s="1465"/>
      <c r="F805" s="1458"/>
      <c r="G805" s="1446"/>
      <c r="H805" s="1460" t="s">
        <v>2981</v>
      </c>
      <c r="I805" s="1459">
        <f>CEILING(I804,0.1)</f>
        <v>21.6</v>
      </c>
      <c r="J805" s="1449" t="s">
        <v>724</v>
      </c>
      <c r="K805" s="1466"/>
      <c r="L805" s="1466"/>
      <c r="M805" s="1466"/>
      <c r="N805" s="1466"/>
      <c r="O805" s="1466"/>
      <c r="P805" s="1466"/>
      <c r="Q805" s="1466"/>
      <c r="R805" s="1466"/>
      <c r="S805" s="1466"/>
      <c r="T805" s="1466"/>
      <c r="U805" s="1466"/>
      <c r="V805" s="1466"/>
      <c r="W805" s="1466"/>
      <c r="X805" s="1466"/>
      <c r="Y805" s="1466"/>
      <c r="Z805" s="1466"/>
      <c r="AA805" s="1466"/>
      <c r="AB805" s="1466"/>
      <c r="AC805" s="1466"/>
      <c r="AD805" s="1466"/>
      <c r="AE805" s="1466"/>
      <c r="AF805" s="1466"/>
      <c r="AG805" s="1466"/>
    </row>
    <row r="806" spans="1:33" ht="15.75" customHeight="1">
      <c r="A806" s="1451"/>
      <c r="B806" s="1444" t="s">
        <v>3461</v>
      </c>
      <c r="C806" s="1484"/>
      <c r="D806" s="1484"/>
      <c r="E806" s="1484"/>
      <c r="F806" s="1446"/>
      <c r="G806" s="1446"/>
      <c r="H806" s="1447"/>
      <c r="I806" s="1448"/>
      <c r="J806" s="1475"/>
      <c r="K806" s="1439"/>
      <c r="L806" s="1439"/>
      <c r="M806" s="1439"/>
      <c r="N806" s="1439"/>
      <c r="O806" s="1439"/>
      <c r="P806" s="1439"/>
      <c r="Q806" s="1439"/>
      <c r="R806" s="1439"/>
      <c r="S806" s="1439"/>
      <c r="T806" s="1439"/>
      <c r="U806" s="1439"/>
      <c r="V806" s="1439"/>
      <c r="W806" s="1439"/>
      <c r="X806" s="1439"/>
      <c r="Y806" s="1439"/>
      <c r="Z806" s="1439"/>
      <c r="AA806" s="1439"/>
      <c r="AB806" s="1439"/>
      <c r="AC806" s="1439"/>
      <c r="AD806" s="1439"/>
      <c r="AE806" s="1439"/>
      <c r="AF806" s="1439"/>
      <c r="AG806" s="1439"/>
    </row>
    <row r="807" spans="1:33" ht="15.75" customHeight="1">
      <c r="A807" s="1486"/>
      <c r="B807" s="1487" t="s">
        <v>7488</v>
      </c>
      <c r="C807" s="1488">
        <v>1</v>
      </c>
      <c r="D807" s="1488" t="s">
        <v>3364</v>
      </c>
      <c r="E807" s="1488">
        <v>2</v>
      </c>
      <c r="F807" s="1454">
        <v>1.2</v>
      </c>
      <c r="G807" s="1454">
        <v>0.6</v>
      </c>
      <c r="H807" s="1467"/>
      <c r="I807" s="1448">
        <f t="shared" ref="I807:I815" si="49">PRODUCT(C807:H807)</f>
        <v>1.44</v>
      </c>
      <c r="J807" s="1489"/>
      <c r="K807" s="1490"/>
      <c r="L807" s="1490"/>
      <c r="M807" s="1490"/>
      <c r="N807" s="1490"/>
      <c r="O807" s="1490"/>
      <c r="P807" s="1490"/>
      <c r="Q807" s="1490"/>
      <c r="R807" s="1490"/>
      <c r="S807" s="1490"/>
      <c r="T807" s="1490"/>
      <c r="U807" s="1490"/>
      <c r="V807" s="1490"/>
      <c r="W807" s="1490"/>
      <c r="X807" s="1490"/>
      <c r="Y807" s="1490"/>
      <c r="Z807" s="1490"/>
      <c r="AA807" s="1490"/>
      <c r="AB807" s="1490"/>
      <c r="AC807" s="1490"/>
      <c r="AD807" s="1490"/>
      <c r="AE807" s="1490"/>
      <c r="AF807" s="1490"/>
      <c r="AG807" s="1490"/>
    </row>
    <row r="808" spans="1:33" ht="15.75" customHeight="1">
      <c r="A808" s="1448"/>
      <c r="B808" s="1480" t="s">
        <v>7084</v>
      </c>
      <c r="C808" s="1445">
        <v>3</v>
      </c>
      <c r="D808" s="1447" t="s">
        <v>3364</v>
      </c>
      <c r="E808" s="1445">
        <v>2</v>
      </c>
      <c r="F808" s="1454">
        <v>1.2</v>
      </c>
      <c r="G808" s="1446">
        <v>0.6</v>
      </c>
      <c r="H808" s="1447"/>
      <c r="I808" s="1448">
        <f t="shared" si="49"/>
        <v>4.32</v>
      </c>
      <c r="J808" s="1449"/>
      <c r="K808" s="1481"/>
      <c r="L808" s="1481"/>
      <c r="M808" s="1481"/>
      <c r="N808" s="1481"/>
      <c r="O808" s="1481"/>
      <c r="P808" s="1481"/>
      <c r="Q808" s="1481"/>
      <c r="R808" s="1481"/>
      <c r="S808" s="1481"/>
      <c r="T808" s="1481"/>
      <c r="U808" s="1481"/>
      <c r="V808" s="1481"/>
      <c r="W808" s="1481"/>
      <c r="X808" s="1481"/>
      <c r="Y808" s="1481"/>
      <c r="Z808" s="1481"/>
      <c r="AA808" s="1481"/>
      <c r="AB808" s="1481"/>
      <c r="AC808" s="1481"/>
      <c r="AD808" s="1481"/>
      <c r="AE808" s="1481"/>
      <c r="AF808" s="1481"/>
      <c r="AG808" s="1481"/>
    </row>
    <row r="809" spans="1:33" ht="15.75" customHeight="1">
      <c r="A809" s="1448"/>
      <c r="B809" s="1480" t="s">
        <v>7085</v>
      </c>
      <c r="C809" s="1445">
        <v>2</v>
      </c>
      <c r="D809" s="1447" t="s">
        <v>3364</v>
      </c>
      <c r="E809" s="1445">
        <v>4</v>
      </c>
      <c r="F809" s="1454">
        <v>1.2</v>
      </c>
      <c r="G809" s="1446">
        <v>0.6</v>
      </c>
      <c r="H809" s="1447"/>
      <c r="I809" s="1448">
        <f t="shared" si="49"/>
        <v>5.76</v>
      </c>
      <c r="J809" s="1449"/>
      <c r="K809" s="1481"/>
      <c r="L809" s="1481"/>
      <c r="M809" s="1481"/>
      <c r="N809" s="1481"/>
      <c r="O809" s="1481"/>
      <c r="P809" s="1481"/>
      <c r="Q809" s="1481"/>
      <c r="R809" s="1481"/>
      <c r="S809" s="1481"/>
      <c r="T809" s="1481"/>
      <c r="U809" s="1481"/>
      <c r="V809" s="1481"/>
      <c r="W809" s="1481"/>
      <c r="X809" s="1481"/>
      <c r="Y809" s="1481"/>
      <c r="Z809" s="1481"/>
      <c r="AA809" s="1481"/>
      <c r="AB809" s="1481"/>
      <c r="AC809" s="1481"/>
      <c r="AD809" s="1481"/>
      <c r="AE809" s="1481"/>
      <c r="AF809" s="1481"/>
      <c r="AG809" s="1481"/>
    </row>
    <row r="810" spans="1:33" ht="15.75" customHeight="1">
      <c r="A810" s="1448"/>
      <c r="B810" s="1482" t="s">
        <v>7489</v>
      </c>
      <c r="C810" s="1445">
        <v>2</v>
      </c>
      <c r="D810" s="1447" t="s">
        <v>3364</v>
      </c>
      <c r="E810" s="1445">
        <v>4</v>
      </c>
      <c r="F810" s="1454">
        <v>1.2</v>
      </c>
      <c r="G810" s="1446">
        <v>0.6</v>
      </c>
      <c r="H810" s="1447"/>
      <c r="I810" s="1448">
        <f t="shared" si="49"/>
        <v>5.76</v>
      </c>
      <c r="J810" s="1449"/>
      <c r="K810" s="1481"/>
      <c r="L810" s="1481"/>
      <c r="M810" s="1481"/>
      <c r="N810" s="1481"/>
      <c r="O810" s="1481"/>
      <c r="P810" s="1481"/>
      <c r="Q810" s="1481"/>
      <c r="R810" s="1481"/>
      <c r="S810" s="1481"/>
      <c r="T810" s="1481"/>
      <c r="U810" s="1481"/>
      <c r="V810" s="1481"/>
      <c r="W810" s="1481"/>
      <c r="X810" s="1481"/>
      <c r="Y810" s="1481"/>
      <c r="Z810" s="1481"/>
      <c r="AA810" s="1481"/>
      <c r="AB810" s="1481"/>
      <c r="AC810" s="1481"/>
      <c r="AD810" s="1481"/>
      <c r="AE810" s="1481"/>
      <c r="AF810" s="1481"/>
      <c r="AG810" s="1481"/>
    </row>
    <row r="811" spans="1:33" ht="15.75" customHeight="1">
      <c r="A811" s="1448"/>
      <c r="B811" s="1482" t="s">
        <v>7490</v>
      </c>
      <c r="C811" s="1445">
        <v>2</v>
      </c>
      <c r="D811" s="1447" t="s">
        <v>3364</v>
      </c>
      <c r="E811" s="1445">
        <v>1</v>
      </c>
      <c r="F811" s="1454">
        <v>1.2</v>
      </c>
      <c r="G811" s="1446">
        <v>0.6</v>
      </c>
      <c r="H811" s="1447"/>
      <c r="I811" s="1448">
        <f t="shared" si="49"/>
        <v>1.44</v>
      </c>
      <c r="J811" s="1449"/>
      <c r="K811" s="1481"/>
      <c r="L811" s="1481"/>
      <c r="M811" s="1481"/>
      <c r="N811" s="1481"/>
      <c r="O811" s="1481"/>
      <c r="P811" s="1481"/>
      <c r="Q811" s="1481"/>
      <c r="R811" s="1481"/>
      <c r="S811" s="1481"/>
      <c r="T811" s="1481"/>
      <c r="U811" s="1481"/>
      <c r="V811" s="1481"/>
      <c r="W811" s="1481"/>
      <c r="X811" s="1481"/>
      <c r="Y811" s="1481"/>
      <c r="Z811" s="1481"/>
      <c r="AA811" s="1481"/>
      <c r="AB811" s="1481"/>
      <c r="AC811" s="1481"/>
      <c r="AD811" s="1481"/>
      <c r="AE811" s="1481"/>
      <c r="AF811" s="1481"/>
      <c r="AG811" s="1481"/>
    </row>
    <row r="812" spans="1:33" ht="15.75" customHeight="1">
      <c r="A812" s="1448"/>
      <c r="B812" s="1480" t="s">
        <v>7087</v>
      </c>
      <c r="C812" s="1445">
        <v>2</v>
      </c>
      <c r="D812" s="1447" t="s">
        <v>3364</v>
      </c>
      <c r="E812" s="1445">
        <v>1</v>
      </c>
      <c r="F812" s="1454">
        <v>1.2</v>
      </c>
      <c r="G812" s="1446">
        <v>0.6</v>
      </c>
      <c r="H812" s="1447"/>
      <c r="I812" s="1448">
        <f t="shared" si="49"/>
        <v>1.44</v>
      </c>
      <c r="J812" s="1449"/>
      <c r="K812" s="1481"/>
      <c r="L812" s="1481"/>
      <c r="M812" s="1481"/>
      <c r="N812" s="1481"/>
      <c r="O812" s="1481"/>
      <c r="P812" s="1481"/>
      <c r="Q812" s="1481"/>
      <c r="R812" s="1481"/>
      <c r="S812" s="1481"/>
      <c r="T812" s="1481"/>
      <c r="U812" s="1481"/>
      <c r="V812" s="1481"/>
      <c r="W812" s="1481"/>
      <c r="X812" s="1481"/>
      <c r="Y812" s="1481"/>
      <c r="Z812" s="1481"/>
      <c r="AA812" s="1481"/>
      <c r="AB812" s="1481"/>
      <c r="AC812" s="1481"/>
      <c r="AD812" s="1481"/>
      <c r="AE812" s="1481"/>
      <c r="AF812" s="1481"/>
      <c r="AG812" s="1481"/>
    </row>
    <row r="813" spans="1:33" ht="15.75" customHeight="1">
      <c r="A813" s="1448"/>
      <c r="B813" s="1480" t="s">
        <v>7088</v>
      </c>
      <c r="C813" s="1445">
        <v>2</v>
      </c>
      <c r="D813" s="1447" t="s">
        <v>3364</v>
      </c>
      <c r="E813" s="1445">
        <v>1</v>
      </c>
      <c r="F813" s="1454">
        <v>1.2</v>
      </c>
      <c r="G813" s="1446">
        <v>0.6</v>
      </c>
      <c r="H813" s="1447"/>
      <c r="I813" s="1448">
        <f t="shared" si="49"/>
        <v>1.44</v>
      </c>
      <c r="J813" s="1449"/>
      <c r="K813" s="1481"/>
      <c r="L813" s="1481"/>
      <c r="M813" s="1481"/>
      <c r="N813" s="1481"/>
      <c r="O813" s="1481"/>
      <c r="P813" s="1481"/>
      <c r="Q813" s="1481"/>
      <c r="R813" s="1481"/>
      <c r="S813" s="1481"/>
      <c r="T813" s="1481"/>
      <c r="U813" s="1481"/>
      <c r="V813" s="1481"/>
      <c r="W813" s="1481"/>
      <c r="X813" s="1481"/>
      <c r="Y813" s="1481"/>
      <c r="Z813" s="1481"/>
      <c r="AA813" s="1481"/>
      <c r="AB813" s="1481"/>
      <c r="AC813" s="1481"/>
      <c r="AD813" s="1481"/>
      <c r="AE813" s="1481"/>
      <c r="AF813" s="1481"/>
      <c r="AG813" s="1481"/>
    </row>
    <row r="814" spans="1:33" ht="15.75" customHeight="1">
      <c r="A814" s="1448"/>
      <c r="B814" s="1480" t="s">
        <v>6689</v>
      </c>
      <c r="C814" s="1445">
        <v>2</v>
      </c>
      <c r="D814" s="1447" t="s">
        <v>3364</v>
      </c>
      <c r="E814" s="1445">
        <v>1</v>
      </c>
      <c r="F814" s="1454">
        <v>1.2</v>
      </c>
      <c r="G814" s="1446">
        <v>0.6</v>
      </c>
      <c r="H814" s="1447"/>
      <c r="I814" s="1448">
        <f t="shared" si="49"/>
        <v>1.44</v>
      </c>
      <c r="J814" s="1449"/>
      <c r="K814" s="1481"/>
      <c r="L814" s="1481"/>
      <c r="M814" s="1481"/>
      <c r="N814" s="1481"/>
      <c r="O814" s="1481"/>
      <c r="P814" s="1481"/>
      <c r="Q814" s="1481"/>
      <c r="R814" s="1481"/>
      <c r="S814" s="1481"/>
      <c r="T814" s="1481"/>
      <c r="U814" s="1481"/>
      <c r="V814" s="1481"/>
      <c r="W814" s="1481"/>
      <c r="X814" s="1481"/>
      <c r="Y814" s="1481"/>
      <c r="Z814" s="1481"/>
      <c r="AA814" s="1481"/>
      <c r="AB814" s="1481"/>
      <c r="AC814" s="1481"/>
      <c r="AD814" s="1481"/>
      <c r="AE814" s="1481"/>
      <c r="AF814" s="1481"/>
      <c r="AG814" s="1481"/>
    </row>
    <row r="815" spans="1:33" ht="15.75" customHeight="1">
      <c r="A815" s="1448"/>
      <c r="B815" s="1480" t="s">
        <v>7089</v>
      </c>
      <c r="C815" s="1445">
        <v>2</v>
      </c>
      <c r="D815" s="1447" t="s">
        <v>3364</v>
      </c>
      <c r="E815" s="1445">
        <v>1</v>
      </c>
      <c r="F815" s="1454">
        <v>1.2</v>
      </c>
      <c r="G815" s="1446">
        <v>0.6</v>
      </c>
      <c r="H815" s="1447"/>
      <c r="I815" s="1448">
        <f t="shared" si="49"/>
        <v>1.44</v>
      </c>
      <c r="J815" s="1449"/>
      <c r="K815" s="1481"/>
      <c r="L815" s="1481"/>
      <c r="M815" s="1481"/>
      <c r="N815" s="1481"/>
      <c r="O815" s="1481"/>
      <c r="P815" s="1481"/>
      <c r="Q815" s="1481"/>
      <c r="R815" s="1481"/>
      <c r="S815" s="1481"/>
      <c r="T815" s="1481"/>
      <c r="U815" s="1481"/>
      <c r="V815" s="1481"/>
      <c r="W815" s="1481"/>
      <c r="X815" s="1481"/>
      <c r="Y815" s="1481"/>
      <c r="Z815" s="1481"/>
      <c r="AA815" s="1481"/>
      <c r="AB815" s="1481"/>
      <c r="AC815" s="1481"/>
      <c r="AD815" s="1481"/>
      <c r="AE815" s="1481"/>
      <c r="AF815" s="1481"/>
      <c r="AG815" s="1481"/>
    </row>
    <row r="816" spans="1:33" ht="15.75" customHeight="1">
      <c r="A816" s="1443"/>
      <c r="B816" s="1450"/>
      <c r="C816" s="1445"/>
      <c r="D816" s="1445"/>
      <c r="E816" s="1445"/>
      <c r="F816" s="1446"/>
      <c r="G816" s="1446"/>
      <c r="H816" s="1447"/>
      <c r="I816" s="1448">
        <f>SUM(I807:I815)</f>
        <v>24.48</v>
      </c>
      <c r="J816" s="1449"/>
      <c r="K816" s="1439"/>
      <c r="L816" s="1439"/>
      <c r="M816" s="1439"/>
      <c r="N816" s="1439"/>
      <c r="O816" s="1439"/>
      <c r="P816" s="1439"/>
      <c r="Q816" s="1439"/>
      <c r="R816" s="1439"/>
      <c r="S816" s="1439"/>
      <c r="T816" s="1439"/>
      <c r="U816" s="1439"/>
      <c r="V816" s="1439"/>
      <c r="W816" s="1439"/>
      <c r="X816" s="1439"/>
      <c r="Y816" s="1439"/>
      <c r="Z816" s="1439"/>
      <c r="AA816" s="1439"/>
      <c r="AB816" s="1439"/>
      <c r="AC816" s="1439"/>
      <c r="AD816" s="1439"/>
      <c r="AE816" s="1439"/>
      <c r="AF816" s="1439"/>
      <c r="AG816" s="1439"/>
    </row>
    <row r="817" spans="1:33" ht="15.75" customHeight="1">
      <c r="A817" s="1464"/>
      <c r="B817" s="1456"/>
      <c r="C817" s="1465"/>
      <c r="D817" s="1465"/>
      <c r="E817" s="1465"/>
      <c r="F817" s="1458"/>
      <c r="G817" s="1458"/>
      <c r="H817" s="1460" t="s">
        <v>2981</v>
      </c>
      <c r="I817" s="1459">
        <f>CEILING(I816,0.1)</f>
        <v>24.5</v>
      </c>
      <c r="J817" s="1449" t="s">
        <v>724</v>
      </c>
      <c r="K817" s="1466"/>
      <c r="L817" s="1466"/>
      <c r="M817" s="1466"/>
      <c r="N817" s="1466"/>
      <c r="O817" s="1466"/>
      <c r="P817" s="1466"/>
      <c r="Q817" s="1466"/>
      <c r="R817" s="1466"/>
      <c r="S817" s="1466"/>
      <c r="T817" s="1466"/>
      <c r="U817" s="1466"/>
      <c r="V817" s="1466"/>
      <c r="W817" s="1466"/>
      <c r="X817" s="1466"/>
      <c r="Y817" s="1466"/>
      <c r="Z817" s="1466"/>
      <c r="AA817" s="1466"/>
      <c r="AB817" s="1466"/>
      <c r="AC817" s="1466"/>
      <c r="AD817" s="1466"/>
      <c r="AE817" s="1466"/>
      <c r="AF817" s="1466"/>
      <c r="AG817" s="1466"/>
    </row>
    <row r="818" spans="1:33" ht="15.75" customHeight="1">
      <c r="A818" s="1451"/>
      <c r="B818" s="1444" t="s">
        <v>7090</v>
      </c>
      <c r="C818" s="1484"/>
      <c r="D818" s="1484"/>
      <c r="E818" s="1484"/>
      <c r="F818" s="1446"/>
      <c r="G818" s="1446"/>
      <c r="H818" s="1447"/>
      <c r="I818" s="1448"/>
      <c r="J818" s="1475"/>
      <c r="K818" s="1439"/>
      <c r="L818" s="1439"/>
      <c r="M818" s="1439"/>
      <c r="N818" s="1439"/>
      <c r="O818" s="1466"/>
      <c r="P818" s="1466"/>
      <c r="Q818" s="1466"/>
      <c r="R818" s="1466"/>
      <c r="S818" s="1466"/>
      <c r="T818" s="1466"/>
      <c r="U818" s="1466"/>
      <c r="V818" s="1466"/>
      <c r="W818" s="1466"/>
      <c r="X818" s="1466"/>
      <c r="Y818" s="1466"/>
      <c r="Z818" s="1466"/>
      <c r="AA818" s="1466"/>
      <c r="AB818" s="1466"/>
      <c r="AC818" s="1466"/>
      <c r="AD818" s="1466"/>
      <c r="AE818" s="1466"/>
      <c r="AF818" s="1466"/>
      <c r="AG818" s="1466"/>
    </row>
    <row r="819" spans="1:33" ht="15.75" customHeight="1">
      <c r="A819" s="1448"/>
      <c r="B819" s="1482" t="s">
        <v>7491</v>
      </c>
      <c r="C819" s="1445">
        <v>4</v>
      </c>
      <c r="D819" s="1447" t="s">
        <v>3364</v>
      </c>
      <c r="E819" s="1445">
        <v>2</v>
      </c>
      <c r="F819" s="1446">
        <v>1.2</v>
      </c>
      <c r="G819" s="1446">
        <v>0.6</v>
      </c>
      <c r="H819" s="1447"/>
      <c r="I819" s="1448">
        <f>PRODUCT(C819:H819)</f>
        <v>5.76</v>
      </c>
      <c r="J819" s="1449"/>
      <c r="K819" s="1481"/>
      <c r="L819" s="1481"/>
      <c r="M819" s="1481"/>
      <c r="N819" s="1481"/>
      <c r="O819" s="1481"/>
      <c r="P819" s="1481"/>
      <c r="Q819" s="1481"/>
      <c r="R819" s="1481"/>
      <c r="S819" s="1481"/>
      <c r="T819" s="1481"/>
      <c r="U819" s="1481"/>
      <c r="V819" s="1481"/>
      <c r="W819" s="1481"/>
      <c r="X819" s="1481"/>
      <c r="Y819" s="1481"/>
      <c r="Z819" s="1481"/>
      <c r="AA819" s="1481"/>
      <c r="AB819" s="1481"/>
      <c r="AC819" s="1481"/>
      <c r="AD819" s="1481"/>
      <c r="AE819" s="1481"/>
      <c r="AF819" s="1481"/>
      <c r="AG819" s="1481"/>
    </row>
    <row r="820" spans="1:33" ht="15.75" customHeight="1">
      <c r="A820" s="1448"/>
      <c r="B820" s="1480" t="s">
        <v>7065</v>
      </c>
      <c r="C820" s="1445">
        <v>2</v>
      </c>
      <c r="D820" s="1447" t="s">
        <v>3364</v>
      </c>
      <c r="E820" s="1445">
        <v>2</v>
      </c>
      <c r="F820" s="1446">
        <v>1.2</v>
      </c>
      <c r="G820" s="1446">
        <v>0.6</v>
      </c>
      <c r="H820" s="1447"/>
      <c r="I820" s="1448">
        <f>PRODUCT(C820:H820)</f>
        <v>2.88</v>
      </c>
      <c r="J820" s="1449"/>
      <c r="K820" s="1481"/>
      <c r="L820" s="1481"/>
      <c r="M820" s="1481"/>
      <c r="N820" s="1481"/>
      <c r="O820" s="1481"/>
      <c r="P820" s="1481"/>
      <c r="Q820" s="1481"/>
      <c r="R820" s="1481"/>
      <c r="S820" s="1481"/>
      <c r="T820" s="1481"/>
      <c r="U820" s="1481"/>
      <c r="V820" s="1481"/>
      <c r="W820" s="1481"/>
      <c r="X820" s="1481"/>
      <c r="Y820" s="1481"/>
      <c r="Z820" s="1481"/>
      <c r="AA820" s="1481"/>
      <c r="AB820" s="1481"/>
      <c r="AC820" s="1481"/>
      <c r="AD820" s="1481"/>
      <c r="AE820" s="1481"/>
      <c r="AF820" s="1481"/>
      <c r="AG820" s="1481"/>
    </row>
    <row r="821" spans="1:33" ht="15.75" customHeight="1">
      <c r="A821" s="1448"/>
      <c r="B821" s="1480" t="s">
        <v>7092</v>
      </c>
      <c r="C821" s="1445">
        <v>2</v>
      </c>
      <c r="D821" s="1447" t="s">
        <v>3364</v>
      </c>
      <c r="E821" s="1445">
        <v>2</v>
      </c>
      <c r="F821" s="1446">
        <v>1.2</v>
      </c>
      <c r="G821" s="1446">
        <v>0.6</v>
      </c>
      <c r="H821" s="1447"/>
      <c r="I821" s="1448">
        <f>PRODUCT(C821:H821)</f>
        <v>2.88</v>
      </c>
      <c r="J821" s="1449"/>
      <c r="K821" s="1481"/>
      <c r="L821" s="1481"/>
      <c r="M821" s="1481"/>
      <c r="N821" s="1481"/>
      <c r="O821" s="1481"/>
      <c r="P821" s="1481"/>
      <c r="Q821" s="1481"/>
      <c r="R821" s="1481"/>
      <c r="S821" s="1481"/>
      <c r="T821" s="1481"/>
      <c r="U821" s="1481"/>
      <c r="V821" s="1481"/>
      <c r="W821" s="1481"/>
      <c r="X821" s="1481"/>
      <c r="Y821" s="1481"/>
      <c r="Z821" s="1481"/>
      <c r="AA821" s="1481"/>
      <c r="AB821" s="1481"/>
      <c r="AC821" s="1481"/>
      <c r="AD821" s="1481"/>
      <c r="AE821" s="1481"/>
      <c r="AF821" s="1481"/>
      <c r="AG821" s="1481"/>
    </row>
    <row r="822" spans="1:33" ht="15.75" customHeight="1">
      <c r="A822" s="1448"/>
      <c r="B822" s="1482" t="s">
        <v>7492</v>
      </c>
      <c r="C822" s="1445">
        <v>2</v>
      </c>
      <c r="D822" s="1447" t="s">
        <v>3364</v>
      </c>
      <c r="E822" s="1445">
        <v>2</v>
      </c>
      <c r="F822" s="1446">
        <v>1.2</v>
      </c>
      <c r="G822" s="1446">
        <v>0.6</v>
      </c>
      <c r="H822" s="1447"/>
      <c r="I822" s="1448">
        <f>PRODUCT(C822:H822)</f>
        <v>2.88</v>
      </c>
      <c r="J822" s="1449"/>
      <c r="K822" s="1481"/>
      <c r="L822" s="1481"/>
      <c r="M822" s="1481"/>
      <c r="N822" s="1481"/>
      <c r="O822" s="1481"/>
      <c r="P822" s="1481"/>
      <c r="Q822" s="1481"/>
      <c r="R822" s="1481"/>
      <c r="S822" s="1481"/>
      <c r="T822" s="1481"/>
      <c r="U822" s="1481"/>
      <c r="V822" s="1481"/>
      <c r="W822" s="1481"/>
      <c r="X822" s="1481"/>
      <c r="Y822" s="1481"/>
      <c r="Z822" s="1481"/>
      <c r="AA822" s="1481"/>
      <c r="AB822" s="1481"/>
      <c r="AC822" s="1481"/>
      <c r="AD822" s="1481"/>
      <c r="AE822" s="1481"/>
      <c r="AF822" s="1481"/>
      <c r="AG822" s="1481"/>
    </row>
    <row r="823" spans="1:33" ht="15.75" customHeight="1">
      <c r="A823" s="1448"/>
      <c r="B823" s="1482" t="s">
        <v>7493</v>
      </c>
      <c r="C823" s="1445">
        <v>2</v>
      </c>
      <c r="D823" s="1447" t="s">
        <v>3364</v>
      </c>
      <c r="E823" s="1445">
        <v>1</v>
      </c>
      <c r="F823" s="1446">
        <v>1.2</v>
      </c>
      <c r="G823" s="1446">
        <v>0.6</v>
      </c>
      <c r="H823" s="1447"/>
      <c r="I823" s="1448">
        <f>PRODUCT(C823:H823)</f>
        <v>1.44</v>
      </c>
      <c r="J823" s="1449"/>
      <c r="K823" s="1481"/>
      <c r="L823" s="1481"/>
      <c r="M823" s="1481"/>
      <c r="N823" s="1481"/>
      <c r="O823" s="1481"/>
      <c r="P823" s="1481"/>
      <c r="Q823" s="1481"/>
      <c r="R823" s="1481"/>
      <c r="S823" s="1481"/>
      <c r="T823" s="1481"/>
      <c r="U823" s="1481"/>
      <c r="V823" s="1481"/>
      <c r="W823" s="1481"/>
      <c r="X823" s="1481"/>
      <c r="Y823" s="1481"/>
      <c r="Z823" s="1481"/>
      <c r="AA823" s="1481"/>
      <c r="AB823" s="1481"/>
      <c r="AC823" s="1481"/>
      <c r="AD823" s="1481"/>
      <c r="AE823" s="1481"/>
      <c r="AF823" s="1481"/>
      <c r="AG823" s="1481"/>
    </row>
    <row r="824" spans="1:33" ht="15.75" customHeight="1">
      <c r="A824" s="1443"/>
      <c r="B824" s="1450"/>
      <c r="C824" s="1445"/>
      <c r="D824" s="1445"/>
      <c r="E824" s="1445"/>
      <c r="F824" s="1446"/>
      <c r="G824" s="1446"/>
      <c r="H824" s="1447"/>
      <c r="I824" s="1448">
        <f>SUM(I819:I823)</f>
        <v>15.84</v>
      </c>
      <c r="J824" s="1449"/>
      <c r="K824" s="1439"/>
      <c r="L824" s="1439"/>
      <c r="M824" s="1439"/>
      <c r="N824" s="1439"/>
      <c r="O824" s="1466"/>
      <c r="P824" s="1466"/>
      <c r="Q824" s="1466"/>
      <c r="R824" s="1466"/>
      <c r="S824" s="1466"/>
      <c r="T824" s="1466"/>
      <c r="U824" s="1466"/>
      <c r="V824" s="1466"/>
      <c r="W824" s="1466"/>
      <c r="X824" s="1466"/>
      <c r="Y824" s="1466"/>
      <c r="Z824" s="1466"/>
      <c r="AA824" s="1466"/>
      <c r="AB824" s="1466"/>
      <c r="AC824" s="1466"/>
      <c r="AD824" s="1466"/>
      <c r="AE824" s="1466"/>
      <c r="AF824" s="1466"/>
      <c r="AG824" s="1466"/>
    </row>
    <row r="825" spans="1:33" ht="15.75" customHeight="1">
      <c r="A825" s="1464"/>
      <c r="B825" s="1456"/>
      <c r="C825" s="1465"/>
      <c r="D825" s="1465"/>
      <c r="E825" s="1465"/>
      <c r="F825" s="1458"/>
      <c r="G825" s="1458"/>
      <c r="H825" s="1460" t="s">
        <v>2981</v>
      </c>
      <c r="I825" s="1459">
        <f>CEILING(I824,0.1)</f>
        <v>15.9</v>
      </c>
      <c r="J825" s="1449" t="s">
        <v>724</v>
      </c>
      <c r="K825" s="1466"/>
      <c r="L825" s="1466"/>
      <c r="M825" s="1466"/>
      <c r="N825" s="1466"/>
      <c r="O825" s="1466"/>
      <c r="P825" s="1466"/>
      <c r="Q825" s="1466"/>
      <c r="R825" s="1466"/>
      <c r="S825" s="1466"/>
      <c r="T825" s="1466"/>
      <c r="U825" s="1466"/>
      <c r="V825" s="1466"/>
      <c r="W825" s="1466"/>
      <c r="X825" s="1466"/>
      <c r="Y825" s="1466"/>
      <c r="Z825" s="1466"/>
      <c r="AA825" s="1466"/>
      <c r="AB825" s="1466"/>
      <c r="AC825" s="1466"/>
      <c r="AD825" s="1466"/>
      <c r="AE825" s="1466"/>
      <c r="AF825" s="1466"/>
      <c r="AG825" s="1466"/>
    </row>
    <row r="826" spans="1:33" ht="15.75" customHeight="1">
      <c r="A826" s="1448"/>
      <c r="B826" s="1471" t="s">
        <v>7077</v>
      </c>
      <c r="C826" s="1445"/>
      <c r="D826" s="1447"/>
      <c r="E826" s="1445"/>
      <c r="F826" s="1446"/>
      <c r="G826" s="1446"/>
      <c r="H826" s="1447"/>
      <c r="I826" s="1448">
        <f>PRODUCT(C826:H826)</f>
        <v>0</v>
      </c>
      <c r="J826" s="1449"/>
      <c r="K826" s="1481"/>
      <c r="L826" s="1481"/>
      <c r="M826" s="1481"/>
      <c r="N826" s="1481"/>
      <c r="O826" s="1481"/>
      <c r="P826" s="1481"/>
      <c r="Q826" s="1481"/>
      <c r="R826" s="1481"/>
      <c r="S826" s="1481"/>
      <c r="T826" s="1481"/>
      <c r="U826" s="1481"/>
      <c r="V826" s="1481"/>
      <c r="W826" s="1481"/>
      <c r="X826" s="1481"/>
      <c r="Y826" s="1481"/>
      <c r="Z826" s="1481"/>
      <c r="AA826" s="1481"/>
      <c r="AB826" s="1481"/>
      <c r="AC826" s="1481"/>
      <c r="AD826" s="1481"/>
      <c r="AE826" s="1481"/>
      <c r="AF826" s="1481"/>
      <c r="AG826" s="1481"/>
    </row>
    <row r="827" spans="1:33" ht="15.75" customHeight="1">
      <c r="A827" s="1448"/>
      <c r="B827" s="1482" t="s">
        <v>7215</v>
      </c>
      <c r="C827" s="1445">
        <v>4</v>
      </c>
      <c r="D827" s="1447" t="s">
        <v>3364</v>
      </c>
      <c r="E827" s="1445">
        <v>2</v>
      </c>
      <c r="F827" s="1446">
        <v>1.2</v>
      </c>
      <c r="G827" s="1446">
        <v>0.6</v>
      </c>
      <c r="H827" s="1447"/>
      <c r="I827" s="1448">
        <f>PRODUCT(C827:H827)</f>
        <v>5.76</v>
      </c>
      <c r="J827" s="1449"/>
      <c r="K827" s="1481"/>
      <c r="L827" s="1481"/>
      <c r="M827" s="1481"/>
      <c r="N827" s="1481"/>
      <c r="O827" s="1481"/>
      <c r="P827" s="1481"/>
      <c r="Q827" s="1481"/>
      <c r="R827" s="1481"/>
      <c r="S827" s="1481"/>
      <c r="T827" s="1481"/>
      <c r="U827" s="1481"/>
      <c r="V827" s="1481"/>
      <c r="W827" s="1481"/>
      <c r="X827" s="1481"/>
      <c r="Y827" s="1481"/>
      <c r="Z827" s="1481"/>
      <c r="AA827" s="1481"/>
      <c r="AB827" s="1481"/>
      <c r="AC827" s="1481"/>
      <c r="AD827" s="1481"/>
      <c r="AE827" s="1481"/>
      <c r="AF827" s="1481"/>
      <c r="AG827" s="1481"/>
    </row>
    <row r="828" spans="1:33" ht="15.75" customHeight="1">
      <c r="A828" s="1448"/>
      <c r="B828" s="1482" t="s">
        <v>7494</v>
      </c>
      <c r="C828" s="1445">
        <v>4</v>
      </c>
      <c r="D828" s="1447" t="s">
        <v>3364</v>
      </c>
      <c r="E828" s="1445">
        <v>2</v>
      </c>
      <c r="F828" s="1446">
        <v>1.2</v>
      </c>
      <c r="G828" s="1446">
        <v>0.6</v>
      </c>
      <c r="H828" s="1447"/>
      <c r="I828" s="1448">
        <f>PRODUCT(C828:H828)</f>
        <v>5.76</v>
      </c>
      <c r="J828" s="1449"/>
      <c r="K828" s="1481"/>
      <c r="L828" s="1481"/>
      <c r="M828" s="1481"/>
      <c r="N828" s="1481"/>
      <c r="O828" s="1481"/>
      <c r="P828" s="1481"/>
      <c r="Q828" s="1481"/>
      <c r="R828" s="1481"/>
      <c r="S828" s="1481"/>
      <c r="T828" s="1481"/>
      <c r="U828" s="1481"/>
      <c r="V828" s="1481"/>
      <c r="W828" s="1481"/>
      <c r="X828" s="1481"/>
      <c r="Y828" s="1481"/>
      <c r="Z828" s="1481"/>
      <c r="AA828" s="1481"/>
      <c r="AB828" s="1481"/>
      <c r="AC828" s="1481"/>
      <c r="AD828" s="1481"/>
      <c r="AE828" s="1481"/>
      <c r="AF828" s="1481"/>
      <c r="AG828" s="1481"/>
    </row>
    <row r="829" spans="1:33" ht="15.75" customHeight="1">
      <c r="A829" s="1448"/>
      <c r="B829" s="1482" t="s">
        <v>6760</v>
      </c>
      <c r="C829" s="1445">
        <v>2</v>
      </c>
      <c r="D829" s="1447" t="s">
        <v>3364</v>
      </c>
      <c r="E829" s="1445">
        <v>1</v>
      </c>
      <c r="F829" s="1446">
        <v>1.2</v>
      </c>
      <c r="G829" s="1446">
        <v>0.6</v>
      </c>
      <c r="H829" s="1447"/>
      <c r="I829" s="1448">
        <f>PRODUCT(C829:H829)</f>
        <v>1.44</v>
      </c>
      <c r="J829" s="1449"/>
      <c r="K829" s="1481"/>
      <c r="L829" s="1481"/>
      <c r="M829" s="1481"/>
      <c r="N829" s="1481"/>
      <c r="O829" s="1481"/>
      <c r="P829" s="1481"/>
      <c r="Q829" s="1481"/>
      <c r="R829" s="1481"/>
      <c r="S829" s="1481"/>
      <c r="T829" s="1481"/>
      <c r="U829" s="1481"/>
      <c r="V829" s="1481"/>
      <c r="W829" s="1481"/>
      <c r="X829" s="1481"/>
      <c r="Y829" s="1481"/>
      <c r="Z829" s="1481"/>
      <c r="AA829" s="1481"/>
      <c r="AB829" s="1481"/>
      <c r="AC829" s="1481"/>
      <c r="AD829" s="1481"/>
      <c r="AE829" s="1481"/>
      <c r="AF829" s="1481"/>
      <c r="AG829" s="1481"/>
    </row>
    <row r="830" spans="1:33" ht="15.75" customHeight="1">
      <c r="A830" s="1448"/>
      <c r="B830" s="1480" t="s">
        <v>7093</v>
      </c>
      <c r="C830" s="1445">
        <v>1</v>
      </c>
      <c r="D830" s="1447" t="s">
        <v>3364</v>
      </c>
      <c r="E830" s="1445">
        <v>1</v>
      </c>
      <c r="F830" s="1446">
        <v>1.2</v>
      </c>
      <c r="G830" s="1446">
        <v>0.6</v>
      </c>
      <c r="H830" s="1447"/>
      <c r="I830" s="1448">
        <f>PRODUCT(C830:H830)</f>
        <v>0.72</v>
      </c>
      <c r="J830" s="1449"/>
      <c r="K830" s="1481"/>
      <c r="L830" s="1481"/>
      <c r="M830" s="1481"/>
      <c r="N830" s="1481"/>
      <c r="O830" s="1481"/>
      <c r="P830" s="1481"/>
      <c r="Q830" s="1481"/>
      <c r="R830" s="1481"/>
      <c r="S830" s="1481"/>
      <c r="T830" s="1481"/>
      <c r="U830" s="1481"/>
      <c r="V830" s="1481"/>
      <c r="W830" s="1481"/>
      <c r="X830" s="1481"/>
      <c r="Y830" s="1481"/>
      <c r="Z830" s="1481"/>
      <c r="AA830" s="1481"/>
      <c r="AB830" s="1481"/>
      <c r="AC830" s="1481"/>
      <c r="AD830" s="1481"/>
      <c r="AE830" s="1481"/>
      <c r="AF830" s="1481"/>
      <c r="AG830" s="1481"/>
    </row>
    <row r="831" spans="1:33" ht="15.75" customHeight="1">
      <c r="A831" s="1448"/>
      <c r="B831" s="1480"/>
      <c r="C831" s="1445"/>
      <c r="D831" s="1447"/>
      <c r="E831" s="1445"/>
      <c r="F831" s="1446"/>
      <c r="G831" s="1446"/>
      <c r="H831" s="1447"/>
      <c r="I831" s="1448">
        <f>SUM(I826:I830)</f>
        <v>13.68</v>
      </c>
      <c r="J831" s="1449"/>
      <c r="K831" s="1481"/>
      <c r="L831" s="1481"/>
      <c r="M831" s="1481"/>
      <c r="N831" s="1481"/>
      <c r="O831" s="1481"/>
      <c r="P831" s="1481"/>
      <c r="Q831" s="1481"/>
      <c r="R831" s="1481"/>
      <c r="S831" s="1481"/>
      <c r="T831" s="1481"/>
      <c r="U831" s="1481"/>
      <c r="V831" s="1481"/>
      <c r="W831" s="1481"/>
      <c r="X831" s="1481"/>
      <c r="Y831" s="1481"/>
      <c r="Z831" s="1481"/>
      <c r="AA831" s="1481"/>
      <c r="AB831" s="1481"/>
      <c r="AC831" s="1481"/>
      <c r="AD831" s="1481"/>
      <c r="AE831" s="1481"/>
      <c r="AF831" s="1481"/>
      <c r="AG831" s="1481"/>
    </row>
    <row r="832" spans="1:33" ht="15.75" customHeight="1">
      <c r="A832" s="1448"/>
      <c r="B832" s="1480"/>
      <c r="C832" s="1445"/>
      <c r="D832" s="1447"/>
      <c r="E832" s="1445"/>
      <c r="F832" s="1446"/>
      <c r="G832" s="1446"/>
      <c r="H832" s="1460" t="s">
        <v>2981</v>
      </c>
      <c r="I832" s="1459">
        <f>CEILING(I831,0.1)</f>
        <v>13.7</v>
      </c>
      <c r="J832" s="1449" t="s">
        <v>724</v>
      </c>
      <c r="K832" s="1481"/>
      <c r="L832" s="1481"/>
      <c r="M832" s="1481"/>
      <c r="N832" s="1481"/>
      <c r="O832" s="1481"/>
      <c r="P832" s="1481"/>
      <c r="Q832" s="1481"/>
      <c r="R832" s="1481"/>
      <c r="S832" s="1481"/>
      <c r="T832" s="1481"/>
      <c r="U832" s="1481"/>
      <c r="V832" s="1481"/>
      <c r="W832" s="1481"/>
      <c r="X832" s="1481"/>
      <c r="Y832" s="1481"/>
      <c r="Z832" s="1481"/>
      <c r="AA832" s="1481"/>
      <c r="AB832" s="1481"/>
      <c r="AC832" s="1481"/>
      <c r="AD832" s="1481"/>
      <c r="AE832" s="1481"/>
      <c r="AF832" s="1481"/>
      <c r="AG832" s="1481"/>
    </row>
    <row r="833" spans="1:33" ht="15.75" customHeight="1">
      <c r="A833" s="1451" t="s">
        <v>3465</v>
      </c>
      <c r="B833" s="1456" t="s">
        <v>6625</v>
      </c>
      <c r="C833" s="1484"/>
      <c r="D833" s="1484"/>
      <c r="E833" s="1484"/>
      <c r="F833" s="1446"/>
      <c r="G833" s="1446"/>
      <c r="H833" s="1447"/>
      <c r="I833" s="1448"/>
      <c r="J833" s="1475"/>
      <c r="K833" s="1439"/>
      <c r="L833" s="1439"/>
      <c r="M833" s="1439"/>
      <c r="N833" s="1439"/>
      <c r="O833" s="1439"/>
      <c r="P833" s="1439"/>
      <c r="Q833" s="1439"/>
      <c r="R833" s="1439"/>
      <c r="S833" s="1439"/>
      <c r="T833" s="1439"/>
      <c r="U833" s="1439"/>
      <c r="V833" s="1439"/>
      <c r="W833" s="1439"/>
      <c r="X833" s="1439"/>
      <c r="Y833" s="1439"/>
      <c r="Z833" s="1439"/>
      <c r="AA833" s="1439"/>
      <c r="AB833" s="1439"/>
      <c r="AC833" s="1439"/>
      <c r="AD833" s="1439"/>
      <c r="AE833" s="1439"/>
      <c r="AF833" s="1439"/>
      <c r="AG833" s="1439"/>
    </row>
    <row r="834" spans="1:33" ht="15.75" customHeight="1">
      <c r="A834" s="1451"/>
      <c r="B834" s="1444" t="s">
        <v>3456</v>
      </c>
      <c r="C834" s="1484"/>
      <c r="D834" s="1484"/>
      <c r="E834" s="1484"/>
      <c r="F834" s="1446"/>
      <c r="G834" s="1446"/>
      <c r="H834" s="1447"/>
      <c r="I834" s="1448"/>
      <c r="J834" s="1475"/>
      <c r="K834" s="1439"/>
      <c r="L834" s="1439"/>
      <c r="M834" s="1439"/>
      <c r="N834" s="1439"/>
      <c r="O834" s="1439"/>
      <c r="P834" s="1439"/>
      <c r="Q834" s="1439"/>
      <c r="R834" s="1439"/>
      <c r="S834" s="1439"/>
      <c r="T834" s="1439"/>
      <c r="U834" s="1439"/>
      <c r="V834" s="1439"/>
      <c r="W834" s="1439"/>
      <c r="X834" s="1439"/>
      <c r="Y834" s="1439"/>
      <c r="Z834" s="1439"/>
      <c r="AA834" s="1439"/>
      <c r="AB834" s="1439"/>
      <c r="AC834" s="1439"/>
      <c r="AD834" s="1439"/>
      <c r="AE834" s="1439"/>
      <c r="AF834" s="1439"/>
      <c r="AG834" s="1439"/>
    </row>
    <row r="835" spans="1:33" ht="15.75" customHeight="1">
      <c r="A835" s="1448"/>
      <c r="B835" s="1480" t="s">
        <v>7079</v>
      </c>
      <c r="C835" s="1445">
        <v>2</v>
      </c>
      <c r="D835" s="1447" t="s">
        <v>3364</v>
      </c>
      <c r="E835" s="1445">
        <v>1</v>
      </c>
      <c r="F835" s="1446">
        <v>1.2</v>
      </c>
      <c r="G835" s="1446">
        <v>0.6</v>
      </c>
      <c r="H835" s="1447"/>
      <c r="I835" s="1448">
        <f>PRODUCT(C835:H835)</f>
        <v>1.44</v>
      </c>
      <c r="J835" s="1449"/>
      <c r="K835" s="1481"/>
      <c r="L835" s="1481"/>
      <c r="M835" s="1481"/>
      <c r="N835" s="1481"/>
      <c r="O835" s="1481"/>
      <c r="P835" s="1481"/>
      <c r="Q835" s="1481"/>
      <c r="R835" s="1481"/>
      <c r="S835" s="1481"/>
      <c r="T835" s="1481"/>
      <c r="U835" s="1481"/>
      <c r="V835" s="1481"/>
      <c r="W835" s="1481"/>
      <c r="X835" s="1481"/>
      <c r="Y835" s="1481"/>
      <c r="Z835" s="1481"/>
      <c r="AA835" s="1481"/>
      <c r="AB835" s="1481"/>
      <c r="AC835" s="1481"/>
      <c r="AD835" s="1481"/>
      <c r="AE835" s="1481"/>
      <c r="AF835" s="1481"/>
      <c r="AG835" s="1481"/>
    </row>
    <row r="836" spans="1:33" ht="15.75" customHeight="1">
      <c r="A836" s="1448"/>
      <c r="B836" s="1480" t="s">
        <v>6723</v>
      </c>
      <c r="C836" s="1445">
        <v>2</v>
      </c>
      <c r="D836" s="1447" t="s">
        <v>3364</v>
      </c>
      <c r="E836" s="1445">
        <v>1</v>
      </c>
      <c r="F836" s="1446">
        <v>1.2</v>
      </c>
      <c r="G836" s="1446">
        <v>0.6</v>
      </c>
      <c r="H836" s="1447"/>
      <c r="I836" s="1448">
        <f>PRODUCT(C836:H836)</f>
        <v>1.44</v>
      </c>
      <c r="J836" s="1449"/>
      <c r="K836" s="1481"/>
      <c r="L836" s="1481"/>
      <c r="M836" s="1481"/>
      <c r="N836" s="1481"/>
      <c r="O836" s="1481"/>
      <c r="P836" s="1481"/>
      <c r="Q836" s="1481"/>
      <c r="R836" s="1481"/>
      <c r="S836" s="1481"/>
      <c r="T836" s="1481"/>
      <c r="U836" s="1481"/>
      <c r="V836" s="1481"/>
      <c r="W836" s="1481"/>
      <c r="X836" s="1481"/>
      <c r="Y836" s="1481"/>
      <c r="Z836" s="1481"/>
      <c r="AA836" s="1481"/>
      <c r="AB836" s="1481"/>
      <c r="AC836" s="1481"/>
      <c r="AD836" s="1481"/>
      <c r="AE836" s="1481"/>
      <c r="AF836" s="1481"/>
      <c r="AG836" s="1481"/>
    </row>
    <row r="837" spans="1:33" ht="15.75" customHeight="1">
      <c r="A837" s="1443"/>
      <c r="B837" s="1450"/>
      <c r="C837" s="1445"/>
      <c r="D837" s="1445"/>
      <c r="E837" s="1445"/>
      <c r="F837" s="1446"/>
      <c r="G837" s="1458" t="s">
        <v>104</v>
      </c>
      <c r="H837" s="1447"/>
      <c r="I837" s="1479">
        <f>SUM(I835:I836)</f>
        <v>2.88</v>
      </c>
      <c r="J837" s="1449"/>
      <c r="K837" s="1439"/>
      <c r="L837" s="1439"/>
      <c r="M837" s="1439"/>
      <c r="N837" s="1439"/>
      <c r="O837" s="1439"/>
      <c r="P837" s="1439"/>
      <c r="Q837" s="1439"/>
      <c r="R837" s="1439"/>
      <c r="S837" s="1439"/>
      <c r="T837" s="1439"/>
      <c r="U837" s="1439"/>
      <c r="V837" s="1439"/>
      <c r="W837" s="1439"/>
      <c r="X837" s="1439"/>
      <c r="Y837" s="1439"/>
      <c r="Z837" s="1439"/>
      <c r="AA837" s="1439"/>
      <c r="AB837" s="1439"/>
      <c r="AC837" s="1439"/>
      <c r="AD837" s="1439"/>
      <c r="AE837" s="1439"/>
      <c r="AF837" s="1439"/>
      <c r="AG837" s="1439"/>
    </row>
    <row r="838" spans="1:33" ht="15.75" customHeight="1">
      <c r="A838" s="1464"/>
      <c r="B838" s="1456"/>
      <c r="C838" s="1465"/>
      <c r="D838" s="1465"/>
      <c r="E838" s="1465"/>
      <c r="F838" s="1458"/>
      <c r="G838" s="1446"/>
      <c r="H838" s="1460" t="s">
        <v>2981</v>
      </c>
      <c r="I838" s="1459">
        <f>CEILING(I837,0.1)</f>
        <v>2.9</v>
      </c>
      <c r="J838" s="1449" t="s">
        <v>724</v>
      </c>
      <c r="K838" s="1466"/>
      <c r="L838" s="1466"/>
      <c r="M838" s="1466"/>
      <c r="N838" s="1466"/>
      <c r="O838" s="1466"/>
      <c r="P838" s="1466"/>
      <c r="Q838" s="1466"/>
      <c r="R838" s="1466"/>
      <c r="S838" s="1466"/>
      <c r="T838" s="1466"/>
      <c r="U838" s="1466"/>
      <c r="V838" s="1466"/>
      <c r="W838" s="1466"/>
      <c r="X838" s="1466"/>
      <c r="Y838" s="1466"/>
      <c r="Z838" s="1466"/>
      <c r="AA838" s="1466"/>
      <c r="AB838" s="1466"/>
      <c r="AC838" s="1466"/>
      <c r="AD838" s="1466"/>
      <c r="AE838" s="1466"/>
      <c r="AF838" s="1466"/>
      <c r="AG838" s="1466"/>
    </row>
    <row r="839" spans="1:33" ht="15.75" customHeight="1">
      <c r="A839" s="1451"/>
      <c r="B839" s="1444" t="s">
        <v>3457</v>
      </c>
      <c r="C839" s="1484"/>
      <c r="D839" s="1484"/>
      <c r="E839" s="1484"/>
      <c r="F839" s="1446"/>
      <c r="G839" s="1446"/>
      <c r="H839" s="1447"/>
      <c r="I839" s="1448"/>
      <c r="J839" s="1475"/>
      <c r="K839" s="1439"/>
      <c r="L839" s="1439"/>
      <c r="M839" s="1439"/>
      <c r="N839" s="1439"/>
      <c r="O839" s="1439"/>
      <c r="P839" s="1439"/>
      <c r="Q839" s="1439"/>
      <c r="R839" s="1439"/>
      <c r="S839" s="1439"/>
      <c r="T839" s="1439"/>
      <c r="U839" s="1439"/>
      <c r="V839" s="1439"/>
      <c r="W839" s="1439"/>
      <c r="X839" s="1439"/>
      <c r="Y839" s="1439"/>
      <c r="Z839" s="1439"/>
      <c r="AA839" s="1439"/>
      <c r="AB839" s="1439"/>
      <c r="AC839" s="1439"/>
      <c r="AD839" s="1439"/>
      <c r="AE839" s="1439"/>
      <c r="AF839" s="1439"/>
      <c r="AG839" s="1439"/>
    </row>
    <row r="840" spans="1:33" ht="15.75" customHeight="1">
      <c r="A840" s="1448"/>
      <c r="B840" s="1480" t="s">
        <v>7081</v>
      </c>
      <c r="C840" s="1445">
        <v>2</v>
      </c>
      <c r="D840" s="1447" t="s">
        <v>3364</v>
      </c>
      <c r="E840" s="1445">
        <v>1</v>
      </c>
      <c r="F840" s="1446">
        <v>1.2</v>
      </c>
      <c r="G840" s="1446">
        <v>0.6</v>
      </c>
      <c r="H840" s="1447"/>
      <c r="I840" s="1448">
        <f>PRODUCT(C840:H840)</f>
        <v>1.44</v>
      </c>
      <c r="J840" s="1449"/>
      <c r="K840" s="1481"/>
      <c r="L840" s="1481"/>
      <c r="M840" s="1481"/>
      <c r="N840" s="1481"/>
      <c r="O840" s="1481"/>
      <c r="P840" s="1481"/>
      <c r="Q840" s="1481"/>
      <c r="R840" s="1481"/>
      <c r="S840" s="1481"/>
      <c r="T840" s="1481"/>
      <c r="U840" s="1481"/>
      <c r="V840" s="1481"/>
      <c r="W840" s="1481"/>
      <c r="X840" s="1481"/>
      <c r="Y840" s="1481"/>
      <c r="Z840" s="1481"/>
      <c r="AA840" s="1481"/>
      <c r="AB840" s="1481"/>
      <c r="AC840" s="1481"/>
      <c r="AD840" s="1481"/>
      <c r="AE840" s="1481"/>
      <c r="AF840" s="1481"/>
      <c r="AG840" s="1481"/>
    </row>
    <row r="841" spans="1:33" ht="15.75" customHeight="1">
      <c r="A841" s="1448"/>
      <c r="B841" s="1480" t="s">
        <v>7082</v>
      </c>
      <c r="C841" s="1445">
        <v>2</v>
      </c>
      <c r="D841" s="1447" t="s">
        <v>3364</v>
      </c>
      <c r="E841" s="1445">
        <v>1</v>
      </c>
      <c r="F841" s="1446">
        <v>1.2</v>
      </c>
      <c r="G841" s="1446">
        <v>0.6</v>
      </c>
      <c r="H841" s="1447"/>
      <c r="I841" s="1448">
        <f>PRODUCT(C841:H841)</f>
        <v>1.44</v>
      </c>
      <c r="J841" s="1449"/>
      <c r="K841" s="1481"/>
      <c r="L841" s="1481"/>
      <c r="M841" s="1481"/>
      <c r="N841" s="1481"/>
      <c r="O841" s="1481"/>
      <c r="P841" s="1481"/>
      <c r="Q841" s="1481"/>
      <c r="R841" s="1481"/>
      <c r="S841" s="1481"/>
      <c r="T841" s="1481"/>
      <c r="U841" s="1481"/>
      <c r="V841" s="1481"/>
      <c r="W841" s="1481"/>
      <c r="X841" s="1481"/>
      <c r="Y841" s="1481"/>
      <c r="Z841" s="1481"/>
      <c r="AA841" s="1481"/>
      <c r="AB841" s="1481"/>
      <c r="AC841" s="1481"/>
      <c r="AD841" s="1481"/>
      <c r="AE841" s="1481"/>
      <c r="AF841" s="1481"/>
      <c r="AG841" s="1481"/>
    </row>
    <row r="842" spans="1:33" ht="15.75" customHeight="1">
      <c r="A842" s="1448"/>
      <c r="B842" s="1482" t="s">
        <v>7485</v>
      </c>
      <c r="C842" s="1445">
        <v>2</v>
      </c>
      <c r="D842" s="1467" t="s">
        <v>3364</v>
      </c>
      <c r="E842" s="1445">
        <v>1</v>
      </c>
      <c r="F842" s="1446">
        <v>1.2</v>
      </c>
      <c r="G842" s="1446">
        <v>0.6</v>
      </c>
      <c r="H842" s="1447"/>
      <c r="I842" s="1448">
        <f>PRODUCT(C842:H842)</f>
        <v>1.44</v>
      </c>
      <c r="J842" s="1449"/>
      <c r="K842" s="1481"/>
      <c r="L842" s="1481"/>
      <c r="M842" s="1481"/>
      <c r="N842" s="1481"/>
      <c r="O842" s="1481"/>
      <c r="P842" s="1481"/>
      <c r="Q842" s="1481"/>
      <c r="R842" s="1481"/>
      <c r="S842" s="1481"/>
      <c r="T842" s="1481"/>
      <c r="U842" s="1481"/>
      <c r="V842" s="1481"/>
      <c r="W842" s="1481"/>
      <c r="X842" s="1481"/>
      <c r="Y842" s="1481"/>
      <c r="Z842" s="1481"/>
      <c r="AA842" s="1481"/>
      <c r="AB842" s="1481"/>
      <c r="AC842" s="1481"/>
      <c r="AD842" s="1481"/>
      <c r="AE842" s="1481"/>
      <c r="AF842" s="1481"/>
      <c r="AG842" s="1481"/>
    </row>
    <row r="843" spans="1:33" ht="15.75" customHeight="1">
      <c r="A843" s="1448"/>
      <c r="B843" s="1482" t="s">
        <v>7486</v>
      </c>
      <c r="C843" s="1445">
        <v>2</v>
      </c>
      <c r="D843" s="1467" t="s">
        <v>3364</v>
      </c>
      <c r="E843" s="1445">
        <v>1</v>
      </c>
      <c r="F843" s="1446">
        <v>1.2</v>
      </c>
      <c r="G843" s="1446">
        <v>0.6</v>
      </c>
      <c r="H843" s="1447"/>
      <c r="I843" s="1448">
        <f>PRODUCT(C843:H843)</f>
        <v>1.44</v>
      </c>
      <c r="J843" s="1449"/>
      <c r="K843" s="1481"/>
      <c r="L843" s="1481"/>
      <c r="M843" s="1481"/>
      <c r="N843" s="1481"/>
      <c r="O843" s="1481"/>
      <c r="P843" s="1481"/>
      <c r="Q843" s="1481"/>
      <c r="R843" s="1481"/>
      <c r="S843" s="1481"/>
      <c r="T843" s="1481"/>
      <c r="U843" s="1481"/>
      <c r="V843" s="1481"/>
      <c r="W843" s="1481"/>
      <c r="X843" s="1481"/>
      <c r="Y843" s="1481"/>
      <c r="Z843" s="1481"/>
      <c r="AA843" s="1481"/>
      <c r="AB843" s="1481"/>
      <c r="AC843" s="1481"/>
      <c r="AD843" s="1481"/>
      <c r="AE843" s="1481"/>
      <c r="AF843" s="1481"/>
      <c r="AG843" s="1481"/>
    </row>
    <row r="844" spans="1:33" ht="15.75" customHeight="1">
      <c r="A844" s="1448"/>
      <c r="B844" s="1482" t="s">
        <v>7487</v>
      </c>
      <c r="C844" s="1445">
        <v>2</v>
      </c>
      <c r="D844" s="1447" t="s">
        <v>3364</v>
      </c>
      <c r="E844" s="1445">
        <v>1</v>
      </c>
      <c r="F844" s="1446">
        <v>1.2</v>
      </c>
      <c r="G844" s="1446">
        <v>0.6</v>
      </c>
      <c r="H844" s="1447"/>
      <c r="I844" s="1448">
        <f>PRODUCT(C844:H844)</f>
        <v>1.44</v>
      </c>
      <c r="J844" s="1449"/>
      <c r="K844" s="1481"/>
      <c r="L844" s="1481"/>
      <c r="M844" s="1481"/>
      <c r="N844" s="1481"/>
      <c r="O844" s="1481"/>
      <c r="P844" s="1481"/>
      <c r="Q844" s="1481"/>
      <c r="R844" s="1481"/>
      <c r="S844" s="1481"/>
      <c r="T844" s="1481"/>
      <c r="U844" s="1481"/>
      <c r="V844" s="1481"/>
      <c r="W844" s="1481"/>
      <c r="X844" s="1481"/>
      <c r="Y844" s="1481"/>
      <c r="Z844" s="1481"/>
      <c r="AA844" s="1481"/>
      <c r="AB844" s="1481"/>
      <c r="AC844" s="1481"/>
      <c r="AD844" s="1481"/>
      <c r="AE844" s="1481"/>
      <c r="AF844" s="1481"/>
      <c r="AG844" s="1481"/>
    </row>
    <row r="845" spans="1:33" ht="15.75" customHeight="1">
      <c r="A845" s="1443"/>
      <c r="B845" s="1450"/>
      <c r="C845" s="1445"/>
      <c r="D845" s="1445"/>
      <c r="E845" s="1445"/>
      <c r="F845" s="1446"/>
      <c r="G845" s="1458" t="s">
        <v>104</v>
      </c>
      <c r="H845" s="1447"/>
      <c r="I845" s="1479">
        <f>SUM(I840:I844)</f>
        <v>7.2</v>
      </c>
      <c r="J845" s="1449"/>
      <c r="K845" s="1439"/>
      <c r="L845" s="1439"/>
      <c r="M845" s="1439"/>
      <c r="N845" s="1439"/>
      <c r="O845" s="1439"/>
      <c r="P845" s="1439"/>
      <c r="Q845" s="1439"/>
      <c r="R845" s="1439"/>
      <c r="S845" s="1439"/>
      <c r="T845" s="1439"/>
      <c r="U845" s="1439"/>
      <c r="V845" s="1439"/>
      <c r="W845" s="1439"/>
      <c r="X845" s="1439"/>
      <c r="Y845" s="1439"/>
      <c r="Z845" s="1439"/>
      <c r="AA845" s="1439"/>
      <c r="AB845" s="1439"/>
      <c r="AC845" s="1439"/>
      <c r="AD845" s="1439"/>
      <c r="AE845" s="1439"/>
      <c r="AF845" s="1439"/>
      <c r="AG845" s="1439"/>
    </row>
    <row r="846" spans="1:33" ht="15.75" customHeight="1">
      <c r="A846" s="1464"/>
      <c r="B846" s="1456"/>
      <c r="C846" s="1465"/>
      <c r="D846" s="1465"/>
      <c r="E846" s="1465"/>
      <c r="F846" s="1458"/>
      <c r="G846" s="1446"/>
      <c r="H846" s="1460" t="s">
        <v>2981</v>
      </c>
      <c r="I846" s="1459">
        <f>CEILING(I845,0.1)</f>
        <v>7.2</v>
      </c>
      <c r="J846" s="1449" t="s">
        <v>724</v>
      </c>
      <c r="K846" s="1466"/>
      <c r="L846" s="1466"/>
      <c r="M846" s="1466"/>
      <c r="N846" s="1466"/>
      <c r="O846" s="1466"/>
      <c r="P846" s="1466"/>
      <c r="Q846" s="1466"/>
      <c r="R846" s="1466"/>
      <c r="S846" s="1466"/>
      <c r="T846" s="1466"/>
      <c r="U846" s="1466"/>
      <c r="V846" s="1466"/>
      <c r="W846" s="1466"/>
      <c r="X846" s="1466"/>
      <c r="Y846" s="1466"/>
      <c r="Z846" s="1466"/>
      <c r="AA846" s="1466"/>
      <c r="AB846" s="1466"/>
      <c r="AC846" s="1466"/>
      <c r="AD846" s="1466"/>
      <c r="AE846" s="1466"/>
      <c r="AF846" s="1466"/>
      <c r="AG846" s="1466"/>
    </row>
    <row r="847" spans="1:33" ht="15.75" customHeight="1">
      <c r="A847" s="1451"/>
      <c r="B847" s="1444" t="s">
        <v>3461</v>
      </c>
      <c r="C847" s="1484"/>
      <c r="D847" s="1484"/>
      <c r="E847" s="1484"/>
      <c r="F847" s="1446"/>
      <c r="G847" s="1446"/>
      <c r="H847" s="1447"/>
      <c r="I847" s="1448"/>
      <c r="J847" s="1475"/>
      <c r="K847" s="1439"/>
      <c r="L847" s="1439"/>
      <c r="M847" s="1439"/>
      <c r="N847" s="1439"/>
      <c r="O847" s="1439"/>
      <c r="P847" s="1439"/>
      <c r="Q847" s="1439"/>
      <c r="R847" s="1439"/>
      <c r="S847" s="1439"/>
      <c r="T847" s="1439"/>
      <c r="U847" s="1439"/>
      <c r="V847" s="1439"/>
      <c r="W847" s="1439"/>
      <c r="X847" s="1439"/>
      <c r="Y847" s="1439"/>
      <c r="Z847" s="1439"/>
      <c r="AA847" s="1439"/>
      <c r="AB847" s="1439"/>
      <c r="AC847" s="1439"/>
      <c r="AD847" s="1439"/>
      <c r="AE847" s="1439"/>
      <c r="AF847" s="1439"/>
      <c r="AG847" s="1439"/>
    </row>
    <row r="848" spans="1:33" ht="15.75" customHeight="1">
      <c r="A848" s="1486"/>
      <c r="B848" s="1487" t="s">
        <v>7488</v>
      </c>
      <c r="C848" s="1488">
        <v>1</v>
      </c>
      <c r="D848" s="1488" t="s">
        <v>3364</v>
      </c>
      <c r="E848" s="1488">
        <v>1</v>
      </c>
      <c r="F848" s="1454">
        <v>1.2</v>
      </c>
      <c r="G848" s="1454">
        <v>0.6</v>
      </c>
      <c r="H848" s="1467"/>
      <c r="I848" s="1448">
        <f t="shared" ref="I848:I856" si="50">PRODUCT(C848:H848)</f>
        <v>0.72</v>
      </c>
      <c r="J848" s="1489"/>
      <c r="K848" s="1490"/>
      <c r="L848" s="1490"/>
      <c r="M848" s="1490"/>
      <c r="N848" s="1490"/>
      <c r="O848" s="1490"/>
      <c r="P848" s="1490"/>
      <c r="Q848" s="1490"/>
      <c r="R848" s="1490"/>
      <c r="S848" s="1490"/>
      <c r="T848" s="1490"/>
      <c r="U848" s="1490"/>
      <c r="V848" s="1490"/>
      <c r="W848" s="1490"/>
      <c r="X848" s="1490"/>
      <c r="Y848" s="1490"/>
      <c r="Z848" s="1490"/>
      <c r="AA848" s="1490"/>
      <c r="AB848" s="1490"/>
      <c r="AC848" s="1490"/>
      <c r="AD848" s="1490"/>
      <c r="AE848" s="1490"/>
      <c r="AF848" s="1490"/>
      <c r="AG848" s="1490"/>
    </row>
    <row r="849" spans="1:33" ht="15.75" customHeight="1">
      <c r="A849" s="1448"/>
      <c r="B849" s="1480" t="s">
        <v>7084</v>
      </c>
      <c r="C849" s="1445">
        <v>3</v>
      </c>
      <c r="D849" s="1447" t="s">
        <v>3364</v>
      </c>
      <c r="E849" s="1488">
        <v>1</v>
      </c>
      <c r="F849" s="1454">
        <v>1.2</v>
      </c>
      <c r="G849" s="1446">
        <v>0.6</v>
      </c>
      <c r="H849" s="1447"/>
      <c r="I849" s="1448">
        <f t="shared" si="50"/>
        <v>2.16</v>
      </c>
      <c r="J849" s="1449"/>
      <c r="K849" s="1481"/>
      <c r="L849" s="1481"/>
      <c r="M849" s="1481"/>
      <c r="N849" s="1481"/>
      <c r="O849" s="1481"/>
      <c r="P849" s="1481"/>
      <c r="Q849" s="1481"/>
      <c r="R849" s="1481"/>
      <c r="S849" s="1481"/>
      <c r="T849" s="1481"/>
      <c r="U849" s="1481"/>
      <c r="V849" s="1481"/>
      <c r="W849" s="1481"/>
      <c r="X849" s="1481"/>
      <c r="Y849" s="1481"/>
      <c r="Z849" s="1481"/>
      <c r="AA849" s="1481"/>
      <c r="AB849" s="1481"/>
      <c r="AC849" s="1481"/>
      <c r="AD849" s="1481"/>
      <c r="AE849" s="1481"/>
      <c r="AF849" s="1481"/>
      <c r="AG849" s="1481"/>
    </row>
    <row r="850" spans="1:33" ht="15.75" customHeight="1">
      <c r="A850" s="1448"/>
      <c r="B850" s="1480" t="s">
        <v>7085</v>
      </c>
      <c r="C850" s="1445">
        <v>2</v>
      </c>
      <c r="D850" s="1447" t="s">
        <v>3364</v>
      </c>
      <c r="E850" s="1488">
        <v>1</v>
      </c>
      <c r="F850" s="1454">
        <v>1.2</v>
      </c>
      <c r="G850" s="1446">
        <v>0.6</v>
      </c>
      <c r="H850" s="1447"/>
      <c r="I850" s="1448">
        <f t="shared" si="50"/>
        <v>1.44</v>
      </c>
      <c r="J850" s="1449"/>
      <c r="K850" s="1481"/>
      <c r="L850" s="1481"/>
      <c r="M850" s="1481"/>
      <c r="N850" s="1481"/>
      <c r="O850" s="1481"/>
      <c r="P850" s="1481"/>
      <c r="Q850" s="1481"/>
      <c r="R850" s="1481"/>
      <c r="S850" s="1481"/>
      <c r="T850" s="1481"/>
      <c r="U850" s="1481"/>
      <c r="V850" s="1481"/>
      <c r="W850" s="1481"/>
      <c r="X850" s="1481"/>
      <c r="Y850" s="1481"/>
      <c r="Z850" s="1481"/>
      <c r="AA850" s="1481"/>
      <c r="AB850" s="1481"/>
      <c r="AC850" s="1481"/>
      <c r="AD850" s="1481"/>
      <c r="AE850" s="1481"/>
      <c r="AF850" s="1481"/>
      <c r="AG850" s="1481"/>
    </row>
    <row r="851" spans="1:33" ht="15.75" customHeight="1">
      <c r="A851" s="1448"/>
      <c r="B851" s="1482" t="s">
        <v>7489</v>
      </c>
      <c r="C851" s="1445">
        <v>2</v>
      </c>
      <c r="D851" s="1447" t="s">
        <v>3364</v>
      </c>
      <c r="E851" s="1488">
        <v>1</v>
      </c>
      <c r="F851" s="1454">
        <v>1.2</v>
      </c>
      <c r="G851" s="1446">
        <v>0.6</v>
      </c>
      <c r="H851" s="1447"/>
      <c r="I851" s="1448">
        <f t="shared" si="50"/>
        <v>1.44</v>
      </c>
      <c r="J851" s="1449"/>
      <c r="K851" s="1481"/>
      <c r="L851" s="1481"/>
      <c r="M851" s="1481"/>
      <c r="N851" s="1481"/>
      <c r="O851" s="1481"/>
      <c r="P851" s="1481"/>
      <c r="Q851" s="1481"/>
      <c r="R851" s="1481"/>
      <c r="S851" s="1481"/>
      <c r="T851" s="1481"/>
      <c r="U851" s="1481"/>
      <c r="V851" s="1481"/>
      <c r="W851" s="1481"/>
      <c r="X851" s="1481"/>
      <c r="Y851" s="1481"/>
      <c r="Z851" s="1481"/>
      <c r="AA851" s="1481"/>
      <c r="AB851" s="1481"/>
      <c r="AC851" s="1481"/>
      <c r="AD851" s="1481"/>
      <c r="AE851" s="1481"/>
      <c r="AF851" s="1481"/>
      <c r="AG851" s="1481"/>
    </row>
    <row r="852" spans="1:33" ht="15.75" customHeight="1">
      <c r="A852" s="1448"/>
      <c r="B852" s="1482" t="s">
        <v>7490</v>
      </c>
      <c r="C852" s="1445">
        <v>2</v>
      </c>
      <c r="D852" s="1447" t="s">
        <v>3364</v>
      </c>
      <c r="E852" s="1488">
        <v>1</v>
      </c>
      <c r="F852" s="1454">
        <v>1.2</v>
      </c>
      <c r="G852" s="1446">
        <v>0.6</v>
      </c>
      <c r="H852" s="1447"/>
      <c r="I852" s="1448">
        <f t="shared" si="50"/>
        <v>1.44</v>
      </c>
      <c r="J852" s="1449"/>
      <c r="K852" s="1481"/>
      <c r="L852" s="1481"/>
      <c r="M852" s="1481"/>
      <c r="N852" s="1481"/>
      <c r="O852" s="1481"/>
      <c r="P852" s="1481"/>
      <c r="Q852" s="1481"/>
      <c r="R852" s="1481"/>
      <c r="S852" s="1481"/>
      <c r="T852" s="1481"/>
      <c r="U852" s="1481"/>
      <c r="V852" s="1481"/>
      <c r="W852" s="1481"/>
      <c r="X852" s="1481"/>
      <c r="Y852" s="1481"/>
      <c r="Z852" s="1481"/>
      <c r="AA852" s="1481"/>
      <c r="AB852" s="1481"/>
      <c r="AC852" s="1481"/>
      <c r="AD852" s="1481"/>
      <c r="AE852" s="1481"/>
      <c r="AF852" s="1481"/>
      <c r="AG852" s="1481"/>
    </row>
    <row r="853" spans="1:33" ht="15.75" customHeight="1">
      <c r="A853" s="1448"/>
      <c r="B853" s="1480" t="s">
        <v>7087</v>
      </c>
      <c r="C853" s="1445">
        <v>2</v>
      </c>
      <c r="D853" s="1447" t="s">
        <v>3364</v>
      </c>
      <c r="E853" s="1488">
        <v>1</v>
      </c>
      <c r="F853" s="1454">
        <v>1.2</v>
      </c>
      <c r="G853" s="1446">
        <v>0.6</v>
      </c>
      <c r="H853" s="1447"/>
      <c r="I853" s="1448">
        <f t="shared" si="50"/>
        <v>1.44</v>
      </c>
      <c r="J853" s="1449"/>
      <c r="K853" s="1481"/>
      <c r="L853" s="1481"/>
      <c r="M853" s="1481"/>
      <c r="N853" s="1481"/>
      <c r="O853" s="1481"/>
      <c r="P853" s="1481"/>
      <c r="Q853" s="1481"/>
      <c r="R853" s="1481"/>
      <c r="S853" s="1481"/>
      <c r="T853" s="1481"/>
      <c r="U853" s="1481"/>
      <c r="V853" s="1481"/>
      <c r="W853" s="1481"/>
      <c r="X853" s="1481"/>
      <c r="Y853" s="1481"/>
      <c r="Z853" s="1481"/>
      <c r="AA853" s="1481"/>
      <c r="AB853" s="1481"/>
      <c r="AC853" s="1481"/>
      <c r="AD853" s="1481"/>
      <c r="AE853" s="1481"/>
      <c r="AF853" s="1481"/>
      <c r="AG853" s="1481"/>
    </row>
    <row r="854" spans="1:33" ht="15.75" customHeight="1">
      <c r="A854" s="1448"/>
      <c r="B854" s="1480" t="s">
        <v>7088</v>
      </c>
      <c r="C854" s="1445">
        <v>2</v>
      </c>
      <c r="D854" s="1447" t="s">
        <v>3364</v>
      </c>
      <c r="E854" s="1488">
        <v>1</v>
      </c>
      <c r="F854" s="1454">
        <v>1.2</v>
      </c>
      <c r="G854" s="1446">
        <v>0.6</v>
      </c>
      <c r="H854" s="1447"/>
      <c r="I854" s="1448">
        <f t="shared" si="50"/>
        <v>1.44</v>
      </c>
      <c r="J854" s="1449"/>
      <c r="K854" s="1481"/>
      <c r="L854" s="1481"/>
      <c r="M854" s="1481"/>
      <c r="N854" s="1481"/>
      <c r="O854" s="1481"/>
      <c r="P854" s="1481"/>
      <c r="Q854" s="1481"/>
      <c r="R854" s="1481"/>
      <c r="S854" s="1481"/>
      <c r="T854" s="1481"/>
      <c r="U854" s="1481"/>
      <c r="V854" s="1481"/>
      <c r="W854" s="1481"/>
      <c r="X854" s="1481"/>
      <c r="Y854" s="1481"/>
      <c r="Z854" s="1481"/>
      <c r="AA854" s="1481"/>
      <c r="AB854" s="1481"/>
      <c r="AC854" s="1481"/>
      <c r="AD854" s="1481"/>
      <c r="AE854" s="1481"/>
      <c r="AF854" s="1481"/>
      <c r="AG854" s="1481"/>
    </row>
    <row r="855" spans="1:33" ht="15.75" customHeight="1">
      <c r="A855" s="1448"/>
      <c r="B855" s="1480" t="s">
        <v>6689</v>
      </c>
      <c r="C855" s="1445">
        <v>2</v>
      </c>
      <c r="D855" s="1447" t="s">
        <v>3364</v>
      </c>
      <c r="E855" s="1488">
        <v>1</v>
      </c>
      <c r="F855" s="1454">
        <v>1.2</v>
      </c>
      <c r="G855" s="1446">
        <v>0.6</v>
      </c>
      <c r="H855" s="1447"/>
      <c r="I855" s="1448">
        <f t="shared" si="50"/>
        <v>1.44</v>
      </c>
      <c r="J855" s="1449"/>
      <c r="K855" s="1481"/>
      <c r="L855" s="1481"/>
      <c r="M855" s="1481"/>
      <c r="N855" s="1481"/>
      <c r="O855" s="1481"/>
      <c r="P855" s="1481"/>
      <c r="Q855" s="1481"/>
      <c r="R855" s="1481"/>
      <c r="S855" s="1481"/>
      <c r="T855" s="1481"/>
      <c r="U855" s="1481"/>
      <c r="V855" s="1481"/>
      <c r="W855" s="1481"/>
      <c r="X855" s="1481"/>
      <c r="Y855" s="1481"/>
      <c r="Z855" s="1481"/>
      <c r="AA855" s="1481"/>
      <c r="AB855" s="1481"/>
      <c r="AC855" s="1481"/>
      <c r="AD855" s="1481"/>
      <c r="AE855" s="1481"/>
      <c r="AF855" s="1481"/>
      <c r="AG855" s="1481"/>
    </row>
    <row r="856" spans="1:33" ht="15.75" customHeight="1">
      <c r="A856" s="1448"/>
      <c r="B856" s="1480" t="s">
        <v>7089</v>
      </c>
      <c r="C856" s="1445">
        <v>2</v>
      </c>
      <c r="D856" s="1447" t="s">
        <v>3364</v>
      </c>
      <c r="E856" s="1488">
        <v>1</v>
      </c>
      <c r="F856" s="1454">
        <v>1.2</v>
      </c>
      <c r="G856" s="1446">
        <v>0.6</v>
      </c>
      <c r="H856" s="1447"/>
      <c r="I856" s="1448">
        <f t="shared" si="50"/>
        <v>1.44</v>
      </c>
      <c r="J856" s="1449"/>
      <c r="K856" s="1481"/>
      <c r="L856" s="1481"/>
      <c r="M856" s="1481"/>
      <c r="N856" s="1481"/>
      <c r="O856" s="1481"/>
      <c r="P856" s="1481"/>
      <c r="Q856" s="1481"/>
      <c r="R856" s="1481"/>
      <c r="S856" s="1481"/>
      <c r="T856" s="1481"/>
      <c r="U856" s="1481"/>
      <c r="V856" s="1481"/>
      <c r="W856" s="1481"/>
      <c r="X856" s="1481"/>
      <c r="Y856" s="1481"/>
      <c r="Z856" s="1481"/>
      <c r="AA856" s="1481"/>
      <c r="AB856" s="1481"/>
      <c r="AC856" s="1481"/>
      <c r="AD856" s="1481"/>
      <c r="AE856" s="1481"/>
      <c r="AF856" s="1481"/>
      <c r="AG856" s="1481"/>
    </row>
    <row r="857" spans="1:33" ht="15.75" customHeight="1">
      <c r="A857" s="1443"/>
      <c r="B857" s="1450"/>
      <c r="C857" s="1445"/>
      <c r="D857" s="1445"/>
      <c r="E857" s="1445"/>
      <c r="F857" s="1446"/>
      <c r="G857" s="1446"/>
      <c r="H857" s="1447"/>
      <c r="I857" s="1448">
        <f>SUM(I848:I856)</f>
        <v>12.96</v>
      </c>
      <c r="J857" s="1449"/>
      <c r="K857" s="1439"/>
      <c r="L857" s="1439"/>
      <c r="M857" s="1439"/>
      <c r="N857" s="1439"/>
      <c r="O857" s="1439"/>
      <c r="P857" s="1439"/>
      <c r="Q857" s="1439"/>
      <c r="R857" s="1439"/>
      <c r="S857" s="1439"/>
      <c r="T857" s="1439"/>
      <c r="U857" s="1439"/>
      <c r="V857" s="1439"/>
      <c r="W857" s="1439"/>
      <c r="X857" s="1439"/>
      <c r="Y857" s="1439"/>
      <c r="Z857" s="1439"/>
      <c r="AA857" s="1439"/>
      <c r="AB857" s="1439"/>
      <c r="AC857" s="1439"/>
      <c r="AD857" s="1439"/>
      <c r="AE857" s="1439"/>
      <c r="AF857" s="1439"/>
      <c r="AG857" s="1439"/>
    </row>
    <row r="858" spans="1:33" ht="15.75" customHeight="1">
      <c r="A858" s="1464"/>
      <c r="B858" s="1456"/>
      <c r="C858" s="1465"/>
      <c r="D858" s="1465"/>
      <c r="E858" s="1465"/>
      <c r="F858" s="1458"/>
      <c r="G858" s="1458"/>
      <c r="H858" s="1460" t="s">
        <v>2981</v>
      </c>
      <c r="I858" s="1459">
        <f>CEILING(I857,0.1)</f>
        <v>13</v>
      </c>
      <c r="J858" s="1449" t="s">
        <v>724</v>
      </c>
      <c r="K858" s="1466"/>
      <c r="L858" s="1466"/>
      <c r="M858" s="1466"/>
      <c r="N858" s="1466"/>
      <c r="O858" s="1466"/>
      <c r="P858" s="1466"/>
      <c r="Q858" s="1466"/>
      <c r="R858" s="1466"/>
      <c r="S858" s="1466"/>
      <c r="T858" s="1466"/>
      <c r="U858" s="1466"/>
      <c r="V858" s="1466"/>
      <c r="W858" s="1466"/>
      <c r="X858" s="1466"/>
      <c r="Y858" s="1466"/>
      <c r="Z858" s="1466"/>
      <c r="AA858" s="1466"/>
      <c r="AB858" s="1466"/>
      <c r="AC858" s="1466"/>
      <c r="AD858" s="1466"/>
      <c r="AE858" s="1466"/>
      <c r="AF858" s="1466"/>
      <c r="AG858" s="1466"/>
    </row>
    <row r="859" spans="1:33" ht="15.75" customHeight="1">
      <c r="A859" s="1451"/>
      <c r="B859" s="1444" t="s">
        <v>7090</v>
      </c>
      <c r="C859" s="1484"/>
      <c r="D859" s="1484"/>
      <c r="E859" s="1484"/>
      <c r="F859" s="1446"/>
      <c r="G859" s="1446"/>
      <c r="H859" s="1447"/>
      <c r="I859" s="1448"/>
      <c r="J859" s="1475"/>
      <c r="K859" s="1439"/>
      <c r="L859" s="1439"/>
      <c r="M859" s="1439"/>
      <c r="N859" s="1439"/>
      <c r="O859" s="1466"/>
      <c r="P859" s="1466"/>
      <c r="Q859" s="1466"/>
      <c r="R859" s="1466"/>
      <c r="S859" s="1466"/>
      <c r="T859" s="1466"/>
      <c r="U859" s="1466"/>
      <c r="V859" s="1466"/>
      <c r="W859" s="1466"/>
      <c r="X859" s="1466"/>
      <c r="Y859" s="1466"/>
      <c r="Z859" s="1466"/>
      <c r="AA859" s="1466"/>
      <c r="AB859" s="1466"/>
      <c r="AC859" s="1466"/>
      <c r="AD859" s="1466"/>
      <c r="AE859" s="1466"/>
      <c r="AF859" s="1466"/>
      <c r="AG859" s="1466"/>
    </row>
    <row r="860" spans="1:33" ht="15.75" customHeight="1">
      <c r="A860" s="1448"/>
      <c r="B860" s="1482" t="s">
        <v>7491</v>
      </c>
      <c r="C860" s="1445">
        <v>4</v>
      </c>
      <c r="D860" s="1447" t="s">
        <v>3364</v>
      </c>
      <c r="E860" s="1445">
        <v>1</v>
      </c>
      <c r="F860" s="1446">
        <v>1.2</v>
      </c>
      <c r="G860" s="1446">
        <v>0.6</v>
      </c>
      <c r="H860" s="1447"/>
      <c r="I860" s="1448">
        <f>PRODUCT(C860:H860)</f>
        <v>2.88</v>
      </c>
      <c r="J860" s="1449"/>
      <c r="K860" s="1481"/>
      <c r="L860" s="1481"/>
      <c r="M860" s="1481"/>
      <c r="N860" s="1481"/>
      <c r="O860" s="1481"/>
      <c r="P860" s="1481"/>
      <c r="Q860" s="1481"/>
      <c r="R860" s="1481"/>
      <c r="S860" s="1481"/>
      <c r="T860" s="1481"/>
      <c r="U860" s="1481"/>
      <c r="V860" s="1481"/>
      <c r="W860" s="1481"/>
      <c r="X860" s="1481"/>
      <c r="Y860" s="1481"/>
      <c r="Z860" s="1481"/>
      <c r="AA860" s="1481"/>
      <c r="AB860" s="1481"/>
      <c r="AC860" s="1481"/>
      <c r="AD860" s="1481"/>
      <c r="AE860" s="1481"/>
      <c r="AF860" s="1481"/>
      <c r="AG860" s="1481"/>
    </row>
    <row r="861" spans="1:33" ht="15.75" customHeight="1">
      <c r="A861" s="1448"/>
      <c r="B861" s="1480" t="s">
        <v>7065</v>
      </c>
      <c r="C861" s="1445">
        <v>2</v>
      </c>
      <c r="D861" s="1447" t="s">
        <v>3364</v>
      </c>
      <c r="E861" s="1445">
        <v>1</v>
      </c>
      <c r="F861" s="1446">
        <v>1.2</v>
      </c>
      <c r="G861" s="1446">
        <v>0.6</v>
      </c>
      <c r="H861" s="1447"/>
      <c r="I861" s="1448">
        <f>PRODUCT(C861:H861)</f>
        <v>1.44</v>
      </c>
      <c r="J861" s="1449"/>
      <c r="K861" s="1481"/>
      <c r="L861" s="1481"/>
      <c r="M861" s="1481"/>
      <c r="N861" s="1481"/>
      <c r="O861" s="1481"/>
      <c r="P861" s="1481"/>
      <c r="Q861" s="1481"/>
      <c r="R861" s="1481"/>
      <c r="S861" s="1481"/>
      <c r="T861" s="1481"/>
      <c r="U861" s="1481"/>
      <c r="V861" s="1481"/>
      <c r="W861" s="1481"/>
      <c r="X861" s="1481"/>
      <c r="Y861" s="1481"/>
      <c r="Z861" s="1481"/>
      <c r="AA861" s="1481"/>
      <c r="AB861" s="1481"/>
      <c r="AC861" s="1481"/>
      <c r="AD861" s="1481"/>
      <c r="AE861" s="1481"/>
      <c r="AF861" s="1481"/>
      <c r="AG861" s="1481"/>
    </row>
    <row r="862" spans="1:33" ht="15.75" customHeight="1">
      <c r="A862" s="1448"/>
      <c r="B862" s="1480" t="s">
        <v>7092</v>
      </c>
      <c r="C862" s="1445">
        <v>2</v>
      </c>
      <c r="D862" s="1447" t="s">
        <v>3364</v>
      </c>
      <c r="E862" s="1445">
        <v>1</v>
      </c>
      <c r="F862" s="1446">
        <v>1.2</v>
      </c>
      <c r="G862" s="1446">
        <v>0.6</v>
      </c>
      <c r="H862" s="1447"/>
      <c r="I862" s="1448">
        <f>PRODUCT(C862:H862)</f>
        <v>1.44</v>
      </c>
      <c r="J862" s="1449"/>
      <c r="K862" s="1481"/>
      <c r="L862" s="1481"/>
      <c r="M862" s="1481"/>
      <c r="N862" s="1481"/>
      <c r="O862" s="1481"/>
      <c r="P862" s="1481"/>
      <c r="Q862" s="1481"/>
      <c r="R862" s="1481"/>
      <c r="S862" s="1481"/>
      <c r="T862" s="1481"/>
      <c r="U862" s="1481"/>
      <c r="V862" s="1481"/>
      <c r="W862" s="1481"/>
      <c r="X862" s="1481"/>
      <c r="Y862" s="1481"/>
      <c r="Z862" s="1481"/>
      <c r="AA862" s="1481"/>
      <c r="AB862" s="1481"/>
      <c r="AC862" s="1481"/>
      <c r="AD862" s="1481"/>
      <c r="AE862" s="1481"/>
      <c r="AF862" s="1481"/>
      <c r="AG862" s="1481"/>
    </row>
    <row r="863" spans="1:33" ht="15.75" customHeight="1">
      <c r="A863" s="1448"/>
      <c r="B863" s="1482" t="s">
        <v>7492</v>
      </c>
      <c r="C863" s="1445">
        <v>2</v>
      </c>
      <c r="D863" s="1447" t="s">
        <v>3364</v>
      </c>
      <c r="E863" s="1445">
        <v>1</v>
      </c>
      <c r="F863" s="1446">
        <v>1.2</v>
      </c>
      <c r="G863" s="1446">
        <v>0.6</v>
      </c>
      <c r="H863" s="1447"/>
      <c r="I863" s="1448">
        <f>PRODUCT(C863:H863)</f>
        <v>1.44</v>
      </c>
      <c r="J863" s="1449"/>
      <c r="K863" s="1481"/>
      <c r="L863" s="1481"/>
      <c r="M863" s="1481"/>
      <c r="N863" s="1481"/>
      <c r="O863" s="1481"/>
      <c r="P863" s="1481"/>
      <c r="Q863" s="1481"/>
      <c r="R863" s="1481"/>
      <c r="S863" s="1481"/>
      <c r="T863" s="1481"/>
      <c r="U863" s="1481"/>
      <c r="V863" s="1481"/>
      <c r="W863" s="1481"/>
      <c r="X863" s="1481"/>
      <c r="Y863" s="1481"/>
      <c r="Z863" s="1481"/>
      <c r="AA863" s="1481"/>
      <c r="AB863" s="1481"/>
      <c r="AC863" s="1481"/>
      <c r="AD863" s="1481"/>
      <c r="AE863" s="1481"/>
      <c r="AF863" s="1481"/>
      <c r="AG863" s="1481"/>
    </row>
    <row r="864" spans="1:33" ht="15.75" customHeight="1">
      <c r="A864" s="1448"/>
      <c r="B864" s="1482" t="s">
        <v>7493</v>
      </c>
      <c r="C864" s="1445">
        <v>2</v>
      </c>
      <c r="D864" s="1447" t="s">
        <v>3364</v>
      </c>
      <c r="E864" s="1445">
        <v>1</v>
      </c>
      <c r="F864" s="1446">
        <v>1.2</v>
      </c>
      <c r="G864" s="1446">
        <v>0.6</v>
      </c>
      <c r="H864" s="1447"/>
      <c r="I864" s="1448">
        <f>PRODUCT(C864:H864)</f>
        <v>1.44</v>
      </c>
      <c r="J864" s="1449"/>
      <c r="K864" s="1481"/>
      <c r="L864" s="1481"/>
      <c r="M864" s="1481"/>
      <c r="N864" s="1481"/>
      <c r="O864" s="1481"/>
      <c r="P864" s="1481"/>
      <c r="Q864" s="1481"/>
      <c r="R864" s="1481"/>
      <c r="S864" s="1481"/>
      <c r="T864" s="1481"/>
      <c r="U864" s="1481"/>
      <c r="V864" s="1481"/>
      <c r="W864" s="1481"/>
      <c r="X864" s="1481"/>
      <c r="Y864" s="1481"/>
      <c r="Z864" s="1481"/>
      <c r="AA864" s="1481"/>
      <c r="AB864" s="1481"/>
      <c r="AC864" s="1481"/>
      <c r="AD864" s="1481"/>
      <c r="AE864" s="1481"/>
      <c r="AF864" s="1481"/>
      <c r="AG864" s="1481"/>
    </row>
    <row r="865" spans="1:33" ht="15.75" customHeight="1">
      <c r="A865" s="1443"/>
      <c r="B865" s="1450"/>
      <c r="C865" s="1445"/>
      <c r="D865" s="1445"/>
      <c r="E865" s="1445"/>
      <c r="F865" s="1446"/>
      <c r="G865" s="1446"/>
      <c r="H865" s="1447"/>
      <c r="I865" s="1448">
        <f>SUM(I860:I864)</f>
        <v>8.64</v>
      </c>
      <c r="J865" s="1449"/>
      <c r="K865" s="1439"/>
      <c r="L865" s="1439"/>
      <c r="M865" s="1439"/>
      <c r="N865" s="1439"/>
      <c r="O865" s="1466"/>
      <c r="P865" s="1466"/>
      <c r="Q865" s="1466"/>
      <c r="R865" s="1466"/>
      <c r="S865" s="1466"/>
      <c r="T865" s="1466"/>
      <c r="U865" s="1466"/>
      <c r="V865" s="1466"/>
      <c r="W865" s="1466"/>
      <c r="X865" s="1466"/>
      <c r="Y865" s="1466"/>
      <c r="Z865" s="1466"/>
      <c r="AA865" s="1466"/>
      <c r="AB865" s="1466"/>
      <c r="AC865" s="1466"/>
      <c r="AD865" s="1466"/>
      <c r="AE865" s="1466"/>
      <c r="AF865" s="1466"/>
      <c r="AG865" s="1466"/>
    </row>
    <row r="866" spans="1:33" ht="15.75" customHeight="1">
      <c r="A866" s="1464"/>
      <c r="B866" s="1456"/>
      <c r="C866" s="1465"/>
      <c r="D866" s="1465"/>
      <c r="E866" s="1465"/>
      <c r="F866" s="1458"/>
      <c r="G866" s="1458"/>
      <c r="H866" s="1460" t="s">
        <v>2981</v>
      </c>
      <c r="I866" s="1459">
        <f>CEILING(I865,0.1)</f>
        <v>8.6999999999999993</v>
      </c>
      <c r="J866" s="1449" t="s">
        <v>724</v>
      </c>
      <c r="K866" s="1466"/>
      <c r="L866" s="1466"/>
      <c r="M866" s="1466"/>
      <c r="N866" s="1466"/>
      <c r="O866" s="1466"/>
      <c r="P866" s="1466"/>
      <c r="Q866" s="1466"/>
      <c r="R866" s="1466"/>
      <c r="S866" s="1466"/>
      <c r="T866" s="1466"/>
      <c r="U866" s="1466"/>
      <c r="V866" s="1466"/>
      <c r="W866" s="1466"/>
      <c r="X866" s="1466"/>
      <c r="Y866" s="1466"/>
      <c r="Z866" s="1466"/>
      <c r="AA866" s="1466"/>
      <c r="AB866" s="1466"/>
      <c r="AC866" s="1466"/>
      <c r="AD866" s="1466"/>
      <c r="AE866" s="1466"/>
      <c r="AF866" s="1466"/>
      <c r="AG866" s="1466"/>
    </row>
    <row r="867" spans="1:33" ht="15.75" customHeight="1">
      <c r="A867" s="1448"/>
      <c r="B867" s="1471" t="s">
        <v>7077</v>
      </c>
      <c r="C867" s="1445"/>
      <c r="D867" s="1447"/>
      <c r="E867" s="1445"/>
      <c r="F867" s="1446"/>
      <c r="G867" s="1446"/>
      <c r="H867" s="1447"/>
      <c r="I867" s="1448">
        <f>PRODUCT(C867:H867)</f>
        <v>0</v>
      </c>
      <c r="J867" s="1449"/>
      <c r="K867" s="1481"/>
      <c r="L867" s="1481"/>
      <c r="M867" s="1481"/>
      <c r="N867" s="1481"/>
      <c r="O867" s="1481"/>
      <c r="P867" s="1481"/>
      <c r="Q867" s="1481"/>
      <c r="R867" s="1481"/>
      <c r="S867" s="1481"/>
      <c r="T867" s="1481"/>
      <c r="U867" s="1481"/>
      <c r="V867" s="1481"/>
      <c r="W867" s="1481"/>
      <c r="X867" s="1481"/>
      <c r="Y867" s="1481"/>
      <c r="Z867" s="1481"/>
      <c r="AA867" s="1481"/>
      <c r="AB867" s="1481"/>
      <c r="AC867" s="1481"/>
      <c r="AD867" s="1481"/>
      <c r="AE867" s="1481"/>
      <c r="AF867" s="1481"/>
      <c r="AG867" s="1481"/>
    </row>
    <row r="868" spans="1:33" ht="15.75" customHeight="1">
      <c r="A868" s="1448"/>
      <c r="B868" s="1482" t="s">
        <v>7215</v>
      </c>
      <c r="C868" s="1445">
        <v>4</v>
      </c>
      <c r="D868" s="1447" t="s">
        <v>3364</v>
      </c>
      <c r="E868" s="1445">
        <v>1</v>
      </c>
      <c r="F868" s="1446">
        <v>1.2</v>
      </c>
      <c r="G868" s="1446">
        <v>0.6</v>
      </c>
      <c r="H868" s="1447"/>
      <c r="I868" s="1448">
        <f>PRODUCT(C868:H868)</f>
        <v>2.88</v>
      </c>
      <c r="J868" s="1449"/>
      <c r="K868" s="1481"/>
      <c r="L868" s="1481"/>
      <c r="M868" s="1481"/>
      <c r="N868" s="1481"/>
      <c r="O868" s="1481"/>
      <c r="P868" s="1481"/>
      <c r="Q868" s="1481"/>
      <c r="R868" s="1481"/>
      <c r="S868" s="1481"/>
      <c r="T868" s="1481"/>
      <c r="U868" s="1481"/>
      <c r="V868" s="1481"/>
      <c r="W868" s="1481"/>
      <c r="X868" s="1481"/>
      <c r="Y868" s="1481"/>
      <c r="Z868" s="1481"/>
      <c r="AA868" s="1481"/>
      <c r="AB868" s="1481"/>
      <c r="AC868" s="1481"/>
      <c r="AD868" s="1481"/>
      <c r="AE868" s="1481"/>
      <c r="AF868" s="1481"/>
      <c r="AG868" s="1481"/>
    </row>
    <row r="869" spans="1:33" ht="15.75" customHeight="1">
      <c r="A869" s="1448"/>
      <c r="B869" s="1482" t="s">
        <v>7494</v>
      </c>
      <c r="C869" s="1445">
        <v>4</v>
      </c>
      <c r="D869" s="1447" t="s">
        <v>3364</v>
      </c>
      <c r="E869" s="1445">
        <v>1</v>
      </c>
      <c r="F869" s="1446">
        <v>1.2</v>
      </c>
      <c r="G869" s="1446">
        <v>0.6</v>
      </c>
      <c r="H869" s="1447"/>
      <c r="I869" s="1448">
        <f>PRODUCT(C869:H869)</f>
        <v>2.88</v>
      </c>
      <c r="J869" s="1449"/>
      <c r="K869" s="1481"/>
      <c r="L869" s="1481"/>
      <c r="M869" s="1481"/>
      <c r="N869" s="1481"/>
      <c r="O869" s="1481"/>
      <c r="P869" s="1481"/>
      <c r="Q869" s="1481"/>
      <c r="R869" s="1481"/>
      <c r="S869" s="1481"/>
      <c r="T869" s="1481"/>
      <c r="U869" s="1481"/>
      <c r="V869" s="1481"/>
      <c r="W869" s="1481"/>
      <c r="X869" s="1481"/>
      <c r="Y869" s="1481"/>
      <c r="Z869" s="1481"/>
      <c r="AA869" s="1481"/>
      <c r="AB869" s="1481"/>
      <c r="AC869" s="1481"/>
      <c r="AD869" s="1481"/>
      <c r="AE869" s="1481"/>
      <c r="AF869" s="1481"/>
      <c r="AG869" s="1481"/>
    </row>
    <row r="870" spans="1:33" ht="15.75" customHeight="1">
      <c r="A870" s="1448"/>
      <c r="B870" s="1482" t="s">
        <v>6760</v>
      </c>
      <c r="C870" s="1445">
        <v>2</v>
      </c>
      <c r="D870" s="1447" t="s">
        <v>3364</v>
      </c>
      <c r="E870" s="1445">
        <v>1</v>
      </c>
      <c r="F870" s="1446">
        <v>1.2</v>
      </c>
      <c r="G870" s="1446">
        <v>0.6</v>
      </c>
      <c r="H870" s="1447"/>
      <c r="I870" s="1448">
        <f>PRODUCT(C870:H870)</f>
        <v>1.44</v>
      </c>
      <c r="J870" s="1449"/>
      <c r="K870" s="1481"/>
      <c r="L870" s="1481"/>
      <c r="M870" s="1481"/>
      <c r="N870" s="1481"/>
      <c r="O870" s="1481"/>
      <c r="P870" s="1481"/>
      <c r="Q870" s="1481"/>
      <c r="R870" s="1481"/>
      <c r="S870" s="1481"/>
      <c r="T870" s="1481"/>
      <c r="U870" s="1481"/>
      <c r="V870" s="1481"/>
      <c r="W870" s="1481"/>
      <c r="X870" s="1481"/>
      <c r="Y870" s="1481"/>
      <c r="Z870" s="1481"/>
      <c r="AA870" s="1481"/>
      <c r="AB870" s="1481"/>
      <c r="AC870" s="1481"/>
      <c r="AD870" s="1481"/>
      <c r="AE870" s="1481"/>
      <c r="AF870" s="1481"/>
      <c r="AG870" s="1481"/>
    </row>
    <row r="871" spans="1:33" ht="15.75" customHeight="1">
      <c r="A871" s="1448"/>
      <c r="B871" s="1480" t="s">
        <v>7093</v>
      </c>
      <c r="C871" s="1445">
        <v>1</v>
      </c>
      <c r="D871" s="1447" t="s">
        <v>3364</v>
      </c>
      <c r="E871" s="1445">
        <v>1</v>
      </c>
      <c r="F871" s="1446">
        <v>1.2</v>
      </c>
      <c r="G871" s="1446">
        <v>0.6</v>
      </c>
      <c r="H871" s="1447"/>
      <c r="I871" s="1448">
        <f>PRODUCT(C871:H871)</f>
        <v>0.72</v>
      </c>
      <c r="J871" s="1449"/>
      <c r="K871" s="1481"/>
      <c r="L871" s="1481"/>
      <c r="M871" s="1481"/>
      <c r="N871" s="1481"/>
      <c r="O871" s="1481"/>
      <c r="P871" s="1481"/>
      <c r="Q871" s="1481"/>
      <c r="R871" s="1481"/>
      <c r="S871" s="1481"/>
      <c r="T871" s="1481"/>
      <c r="U871" s="1481"/>
      <c r="V871" s="1481"/>
      <c r="W871" s="1481"/>
      <c r="X871" s="1481"/>
      <c r="Y871" s="1481"/>
      <c r="Z871" s="1481"/>
      <c r="AA871" s="1481"/>
      <c r="AB871" s="1481"/>
      <c r="AC871" s="1481"/>
      <c r="AD871" s="1481"/>
      <c r="AE871" s="1481"/>
      <c r="AF871" s="1481"/>
      <c r="AG871" s="1481"/>
    </row>
    <row r="872" spans="1:33" ht="15.75" customHeight="1">
      <c r="A872" s="1448"/>
      <c r="B872" s="1480"/>
      <c r="C872" s="1445"/>
      <c r="D872" s="1447"/>
      <c r="E872" s="1445"/>
      <c r="F872" s="1446"/>
      <c r="G872" s="1446"/>
      <c r="H872" s="1447"/>
      <c r="I872" s="1448">
        <f>SUM(I867:I871)</f>
        <v>7.92</v>
      </c>
      <c r="J872" s="1449"/>
      <c r="K872" s="1481"/>
      <c r="L872" s="1481"/>
      <c r="M872" s="1481"/>
      <c r="N872" s="1481"/>
      <c r="O872" s="1481"/>
      <c r="P872" s="1481"/>
      <c r="Q872" s="1481"/>
      <c r="R872" s="1481"/>
      <c r="S872" s="1481"/>
      <c r="T872" s="1481"/>
      <c r="U872" s="1481"/>
      <c r="V872" s="1481"/>
      <c r="W872" s="1481"/>
      <c r="X872" s="1481"/>
      <c r="Y872" s="1481"/>
      <c r="Z872" s="1481"/>
      <c r="AA872" s="1481"/>
      <c r="AB872" s="1481"/>
      <c r="AC872" s="1481"/>
      <c r="AD872" s="1481"/>
      <c r="AE872" s="1481"/>
      <c r="AF872" s="1481"/>
      <c r="AG872" s="1481"/>
    </row>
    <row r="873" spans="1:33" ht="15.75" customHeight="1">
      <c r="A873" s="1448"/>
      <c r="B873" s="1480"/>
      <c r="C873" s="1445"/>
      <c r="D873" s="1447"/>
      <c r="E873" s="1445"/>
      <c r="F873" s="1446"/>
      <c r="G873" s="1446"/>
      <c r="H873" s="1460" t="s">
        <v>2981</v>
      </c>
      <c r="I873" s="1459">
        <f>CEILING(I872,0.1)</f>
        <v>8</v>
      </c>
      <c r="J873" s="1449" t="s">
        <v>724</v>
      </c>
      <c r="K873" s="1481"/>
      <c r="L873" s="1481"/>
      <c r="M873" s="1481"/>
      <c r="N873" s="1481"/>
      <c r="O873" s="1481"/>
      <c r="P873" s="1481"/>
      <c r="Q873" s="1481"/>
      <c r="R873" s="1481"/>
      <c r="S873" s="1481"/>
      <c r="T873" s="1481"/>
      <c r="U873" s="1481"/>
      <c r="V873" s="1481"/>
      <c r="W873" s="1481"/>
      <c r="X873" s="1481"/>
      <c r="Y873" s="1481"/>
      <c r="Z873" s="1481"/>
      <c r="AA873" s="1481"/>
      <c r="AB873" s="1481"/>
      <c r="AC873" s="1481"/>
      <c r="AD873" s="1481"/>
      <c r="AE873" s="1481"/>
      <c r="AF873" s="1481"/>
      <c r="AG873" s="1481"/>
    </row>
    <row r="874" spans="1:33" ht="15.75" customHeight="1">
      <c r="A874" s="1470">
        <v>21.2</v>
      </c>
      <c r="B874" s="1493" t="s">
        <v>3467</v>
      </c>
      <c r="C874" s="1484"/>
      <c r="D874" s="1484"/>
      <c r="E874" s="1484"/>
      <c r="F874" s="1446"/>
      <c r="G874" s="1458"/>
      <c r="H874" s="1447"/>
      <c r="I874" s="1494"/>
      <c r="J874" s="1475"/>
      <c r="K874" s="1439"/>
      <c r="L874" s="1439"/>
      <c r="M874" s="1439"/>
      <c r="N874" s="1439"/>
      <c r="O874" s="1439"/>
      <c r="P874" s="1439"/>
      <c r="Q874" s="1439"/>
      <c r="R874" s="1439"/>
      <c r="S874" s="1439"/>
      <c r="T874" s="1439"/>
      <c r="U874" s="1439"/>
      <c r="V874" s="1439"/>
      <c r="W874" s="1439"/>
      <c r="X874" s="1439"/>
      <c r="Y874" s="1439"/>
      <c r="Z874" s="1439"/>
      <c r="AA874" s="1439"/>
      <c r="AB874" s="1439"/>
      <c r="AC874" s="1439"/>
      <c r="AD874" s="1439"/>
      <c r="AE874" s="1439"/>
      <c r="AF874" s="1439"/>
      <c r="AG874" s="1439"/>
    </row>
    <row r="875" spans="1:33" ht="15.75" customHeight="1">
      <c r="A875" s="1470"/>
      <c r="B875" s="1493" t="s">
        <v>3468</v>
      </c>
      <c r="C875" s="1484"/>
      <c r="D875" s="1484"/>
      <c r="E875" s="1484"/>
      <c r="F875" s="1446"/>
      <c r="G875" s="1458"/>
      <c r="H875" s="1447"/>
      <c r="I875" s="1494"/>
      <c r="J875" s="1475"/>
      <c r="K875" s="1439"/>
      <c r="L875" s="1439"/>
      <c r="M875" s="1439"/>
      <c r="N875" s="1439"/>
      <c r="O875" s="1439"/>
      <c r="P875" s="1439"/>
      <c r="Q875" s="1439"/>
      <c r="R875" s="1439"/>
      <c r="S875" s="1439"/>
      <c r="T875" s="1439"/>
      <c r="U875" s="1439"/>
      <c r="V875" s="1439"/>
      <c r="W875" s="1439"/>
      <c r="X875" s="1439"/>
      <c r="Y875" s="1439"/>
      <c r="Z875" s="1439"/>
      <c r="AA875" s="1439"/>
      <c r="AB875" s="1439"/>
      <c r="AC875" s="1439"/>
      <c r="AD875" s="1439"/>
      <c r="AE875" s="1439"/>
      <c r="AF875" s="1439"/>
      <c r="AG875" s="1439"/>
    </row>
    <row r="876" spans="1:33" ht="15.75" customHeight="1">
      <c r="A876" s="1470"/>
      <c r="B876" s="1493" t="s">
        <v>7105</v>
      </c>
      <c r="C876" s="1484">
        <f>Joineries!K2</f>
        <v>7</v>
      </c>
      <c r="D876" s="1484" t="s">
        <v>3364</v>
      </c>
      <c r="E876" s="1484">
        <v>2</v>
      </c>
      <c r="F876" s="1446">
        <v>0.1</v>
      </c>
      <c r="G876" s="1458">
        <v>0.15</v>
      </c>
      <c r="H876" s="1447">
        <v>2.1</v>
      </c>
      <c r="I876" s="1495">
        <f>PRODUCT(C876:H876)</f>
        <v>0.441</v>
      </c>
      <c r="J876" s="1475"/>
      <c r="K876" s="1439"/>
      <c r="L876" s="1439"/>
      <c r="M876" s="1439"/>
      <c r="N876" s="1439"/>
      <c r="O876" s="1439"/>
      <c r="P876" s="1439"/>
      <c r="Q876" s="1439"/>
      <c r="R876" s="1439"/>
      <c r="S876" s="1439"/>
      <c r="T876" s="1439"/>
      <c r="U876" s="1439"/>
      <c r="V876" s="1439"/>
      <c r="W876" s="1439"/>
      <c r="X876" s="1439"/>
      <c r="Y876" s="1439"/>
      <c r="Z876" s="1439"/>
      <c r="AA876" s="1439"/>
      <c r="AB876" s="1439"/>
      <c r="AC876" s="1439"/>
      <c r="AD876" s="1439"/>
      <c r="AE876" s="1439"/>
      <c r="AF876" s="1439"/>
      <c r="AG876" s="1439"/>
    </row>
    <row r="877" spans="1:33" ht="15.75" customHeight="1">
      <c r="A877" s="1470"/>
      <c r="B877" s="1496" t="s">
        <v>3363</v>
      </c>
      <c r="C877" s="1484">
        <f>C890</f>
        <v>31</v>
      </c>
      <c r="D877" s="1484" t="s">
        <v>3364</v>
      </c>
      <c r="E877" s="1484">
        <v>2</v>
      </c>
      <c r="F877" s="1446">
        <v>0.1</v>
      </c>
      <c r="G877" s="1458">
        <v>0.15</v>
      </c>
      <c r="H877" s="1447">
        <v>2.1</v>
      </c>
      <c r="I877" s="1495"/>
      <c r="J877" s="1475"/>
      <c r="K877" s="1439"/>
      <c r="L877" s="1439"/>
      <c r="M877" s="1439"/>
      <c r="N877" s="1439"/>
      <c r="O877" s="1439"/>
      <c r="P877" s="1439"/>
      <c r="Q877" s="1439"/>
      <c r="R877" s="1439"/>
      <c r="S877" s="1439"/>
      <c r="T877" s="1439"/>
      <c r="U877" s="1439"/>
      <c r="V877" s="1439"/>
      <c r="W877" s="1439"/>
      <c r="X877" s="1439"/>
      <c r="Y877" s="1439"/>
      <c r="Z877" s="1439"/>
      <c r="AA877" s="1439"/>
      <c r="AB877" s="1439"/>
      <c r="AC877" s="1439"/>
      <c r="AD877" s="1439"/>
      <c r="AE877" s="1439"/>
      <c r="AF877" s="1439"/>
      <c r="AG877" s="1439"/>
    </row>
    <row r="878" spans="1:33" ht="15.75" customHeight="1">
      <c r="A878" s="1470"/>
      <c r="B878" s="1493"/>
      <c r="C878" s="1484"/>
      <c r="D878" s="1484"/>
      <c r="E878" s="1484"/>
      <c r="F878" s="1446"/>
      <c r="G878" s="1458"/>
      <c r="H878" s="1447"/>
      <c r="I878" s="1497">
        <f>SUM(I876:I877)</f>
        <v>0.441</v>
      </c>
      <c r="J878" s="1475"/>
      <c r="K878" s="1439"/>
      <c r="L878" s="1439"/>
      <c r="M878" s="1439"/>
      <c r="N878" s="1439"/>
      <c r="O878" s="1439"/>
      <c r="P878" s="1439"/>
      <c r="Q878" s="1439"/>
      <c r="R878" s="1439"/>
      <c r="S878" s="1439"/>
      <c r="T878" s="1439"/>
      <c r="U878" s="1439"/>
      <c r="V878" s="1439"/>
      <c r="W878" s="1439"/>
      <c r="X878" s="1439"/>
      <c r="Y878" s="1439"/>
      <c r="Z878" s="1439"/>
      <c r="AA878" s="1439"/>
      <c r="AB878" s="1439"/>
      <c r="AC878" s="1439"/>
      <c r="AD878" s="1439"/>
      <c r="AE878" s="1439"/>
      <c r="AF878" s="1439"/>
      <c r="AG878" s="1439"/>
    </row>
    <row r="879" spans="1:33" ht="15.75" customHeight="1">
      <c r="A879" s="1470"/>
      <c r="B879" s="1493"/>
      <c r="C879" s="1484"/>
      <c r="D879" s="1484"/>
      <c r="E879" s="1484"/>
      <c r="F879" s="1446"/>
      <c r="G879" s="1458"/>
      <c r="H879" s="1447" t="s">
        <v>2981</v>
      </c>
      <c r="I879" s="1498">
        <f>I878</f>
        <v>0.441</v>
      </c>
      <c r="J879" s="1475" t="s">
        <v>5</v>
      </c>
      <c r="K879" s="1439"/>
      <c r="L879" s="1439"/>
      <c r="M879" s="1439"/>
      <c r="N879" s="1439"/>
      <c r="O879" s="1439"/>
      <c r="P879" s="1439"/>
      <c r="Q879" s="1439"/>
      <c r="R879" s="1439"/>
      <c r="S879" s="1439"/>
      <c r="T879" s="1439"/>
      <c r="U879" s="1439"/>
      <c r="V879" s="1439"/>
      <c r="W879" s="1439"/>
      <c r="X879" s="1439"/>
      <c r="Y879" s="1439"/>
      <c r="Z879" s="1439"/>
      <c r="AA879" s="1439"/>
      <c r="AB879" s="1439"/>
      <c r="AC879" s="1439"/>
      <c r="AD879" s="1439"/>
      <c r="AE879" s="1439"/>
      <c r="AF879" s="1439"/>
      <c r="AG879" s="1439"/>
    </row>
    <row r="880" spans="1:33" ht="15.75" customHeight="1">
      <c r="A880" s="1470"/>
      <c r="B880" s="1493" t="s">
        <v>3469</v>
      </c>
      <c r="C880" s="1484"/>
      <c r="D880" s="1484"/>
      <c r="E880" s="1484"/>
      <c r="F880" s="1446"/>
      <c r="G880" s="1458"/>
      <c r="H880" s="1447"/>
      <c r="I880" s="1494"/>
      <c r="J880" s="1475"/>
      <c r="K880" s="1439"/>
      <c r="L880" s="1439"/>
      <c r="M880" s="1439"/>
      <c r="N880" s="1439"/>
      <c r="O880" s="1439"/>
      <c r="P880" s="1439"/>
      <c r="Q880" s="1439"/>
      <c r="R880" s="1439"/>
      <c r="S880" s="1439"/>
      <c r="T880" s="1439"/>
      <c r="U880" s="1439"/>
      <c r="V880" s="1439"/>
      <c r="W880" s="1439"/>
      <c r="X880" s="1439"/>
      <c r="Y880" s="1439"/>
      <c r="Z880" s="1439"/>
      <c r="AA880" s="1439"/>
      <c r="AB880" s="1439"/>
      <c r="AC880" s="1439"/>
      <c r="AD880" s="1439"/>
      <c r="AE880" s="1439"/>
      <c r="AF880" s="1439"/>
      <c r="AG880" s="1439"/>
    </row>
    <row r="881" spans="1:33" ht="15.75" customHeight="1">
      <c r="A881" s="1470"/>
      <c r="B881" s="1493" t="s">
        <v>7105</v>
      </c>
      <c r="C881" s="1484">
        <f>C876</f>
        <v>7</v>
      </c>
      <c r="D881" s="1484" t="s">
        <v>3364</v>
      </c>
      <c r="E881" s="1484">
        <v>2</v>
      </c>
      <c r="F881" s="1446">
        <f>Joineries!C2</f>
        <v>1.2</v>
      </c>
      <c r="G881" s="1458">
        <v>0.15</v>
      </c>
      <c r="H881" s="1447">
        <v>0.1</v>
      </c>
      <c r="I881" s="1495">
        <f>PRODUCT(C881:H881)</f>
        <v>0.252</v>
      </c>
      <c r="J881" s="1475"/>
      <c r="K881" s="1439"/>
      <c r="L881" s="1439"/>
      <c r="M881" s="1439"/>
      <c r="N881" s="1439"/>
      <c r="O881" s="1439"/>
      <c r="P881" s="1439"/>
      <c r="Q881" s="1439"/>
      <c r="R881" s="1439"/>
      <c r="S881" s="1439"/>
      <c r="T881" s="1439"/>
      <c r="U881" s="1439"/>
      <c r="V881" s="1439"/>
      <c r="W881" s="1439"/>
      <c r="X881" s="1439"/>
      <c r="Y881" s="1439"/>
      <c r="Z881" s="1439"/>
      <c r="AA881" s="1439"/>
      <c r="AB881" s="1439"/>
      <c r="AC881" s="1439"/>
      <c r="AD881" s="1439"/>
      <c r="AE881" s="1439"/>
      <c r="AF881" s="1439"/>
      <c r="AG881" s="1439"/>
    </row>
    <row r="882" spans="1:33" ht="15.75" customHeight="1">
      <c r="A882" s="1470"/>
      <c r="B882" s="1493" t="str">
        <f>B877</f>
        <v>D</v>
      </c>
      <c r="C882" s="1484">
        <f>C877</f>
        <v>31</v>
      </c>
      <c r="D882" s="1484" t="s">
        <v>3364</v>
      </c>
      <c r="E882" s="1484">
        <f>E877</f>
        <v>2</v>
      </c>
      <c r="F882" s="1446">
        <v>1</v>
      </c>
      <c r="G882" s="1458">
        <v>0.15</v>
      </c>
      <c r="H882" s="1447">
        <v>0.1</v>
      </c>
      <c r="I882" s="1495"/>
      <c r="J882" s="1475"/>
      <c r="K882" s="1439"/>
      <c r="L882" s="1439"/>
      <c r="M882" s="1439"/>
      <c r="N882" s="1439"/>
      <c r="O882" s="1439"/>
      <c r="P882" s="1439"/>
      <c r="Q882" s="1439"/>
      <c r="R882" s="1439"/>
      <c r="S882" s="1439"/>
      <c r="T882" s="1439"/>
      <c r="U882" s="1439"/>
      <c r="V882" s="1439"/>
      <c r="W882" s="1439"/>
      <c r="X882" s="1439"/>
      <c r="Y882" s="1439"/>
      <c r="Z882" s="1439"/>
      <c r="AA882" s="1439"/>
      <c r="AB882" s="1439"/>
      <c r="AC882" s="1439"/>
      <c r="AD882" s="1439"/>
      <c r="AE882" s="1439"/>
      <c r="AF882" s="1439"/>
      <c r="AG882" s="1439"/>
    </row>
    <row r="883" spans="1:33" ht="15.75" customHeight="1">
      <c r="A883" s="1470"/>
      <c r="B883" s="1493"/>
      <c r="C883" s="1484"/>
      <c r="D883" s="1484"/>
      <c r="E883" s="1484"/>
      <c r="F883" s="1446"/>
      <c r="G883" s="1458"/>
      <c r="H883" s="1447"/>
      <c r="I883" s="1495">
        <f>SUM(I881:I882)</f>
        <v>0.252</v>
      </c>
      <c r="J883" s="1475"/>
      <c r="K883" s="1439"/>
      <c r="L883" s="1439"/>
      <c r="M883" s="1439"/>
      <c r="N883" s="1439"/>
      <c r="O883" s="1439"/>
      <c r="P883" s="1439"/>
      <c r="Q883" s="1439"/>
      <c r="R883" s="1439"/>
      <c r="S883" s="1439"/>
      <c r="T883" s="1439"/>
      <c r="U883" s="1439"/>
      <c r="V883" s="1439"/>
      <c r="W883" s="1439"/>
      <c r="X883" s="1439"/>
      <c r="Y883" s="1439"/>
      <c r="Z883" s="1439"/>
      <c r="AA883" s="1439"/>
      <c r="AB883" s="1439"/>
      <c r="AC883" s="1439"/>
      <c r="AD883" s="1439"/>
      <c r="AE883" s="1439"/>
      <c r="AF883" s="1439"/>
      <c r="AG883" s="1439"/>
    </row>
    <row r="884" spans="1:33" ht="15.75" customHeight="1">
      <c r="A884" s="1470"/>
      <c r="B884" s="1493"/>
      <c r="C884" s="1484"/>
      <c r="D884" s="1484"/>
      <c r="E884" s="1484"/>
      <c r="F884" s="1446"/>
      <c r="G884" s="1458"/>
      <c r="H884" s="1447" t="s">
        <v>2981</v>
      </c>
      <c r="I884" s="1498">
        <f>I883</f>
        <v>0.252</v>
      </c>
      <c r="J884" s="1475" t="s">
        <v>5</v>
      </c>
      <c r="K884" s="1439"/>
      <c r="L884" s="1439"/>
      <c r="M884" s="1439"/>
      <c r="N884" s="1439"/>
      <c r="O884" s="1439"/>
      <c r="P884" s="1439"/>
      <c r="Q884" s="1439"/>
      <c r="R884" s="1439"/>
      <c r="S884" s="1439"/>
      <c r="T884" s="1439"/>
      <c r="U884" s="1439"/>
      <c r="V884" s="1439"/>
      <c r="W884" s="1439"/>
      <c r="X884" s="1439"/>
      <c r="Y884" s="1439"/>
      <c r="Z884" s="1439"/>
      <c r="AA884" s="1439"/>
      <c r="AB884" s="1439"/>
      <c r="AC884" s="1439"/>
      <c r="AD884" s="1439"/>
      <c r="AE884" s="1439"/>
      <c r="AF884" s="1439"/>
      <c r="AG884" s="1439"/>
    </row>
    <row r="885" spans="1:33" ht="31.5">
      <c r="A885" s="1470">
        <v>22.1</v>
      </c>
      <c r="B885" s="1491" t="s">
        <v>3631</v>
      </c>
      <c r="C885" s="1484"/>
      <c r="D885" s="1484"/>
      <c r="E885" s="1484"/>
      <c r="F885" s="1446"/>
      <c r="G885" s="1478"/>
      <c r="H885" s="1442"/>
      <c r="I885" s="1459"/>
      <c r="J885" s="1475"/>
      <c r="K885" s="1439"/>
      <c r="L885" s="1439"/>
      <c r="M885" s="1439"/>
      <c r="N885" s="1439"/>
      <c r="O885" s="1439"/>
      <c r="P885" s="1439"/>
      <c r="Q885" s="1439"/>
      <c r="R885" s="1439"/>
      <c r="S885" s="1439"/>
      <c r="T885" s="1439"/>
      <c r="U885" s="1439"/>
      <c r="V885" s="1439"/>
      <c r="W885" s="1439"/>
      <c r="X885" s="1439"/>
      <c r="Y885" s="1439"/>
      <c r="Z885" s="1439"/>
      <c r="AA885" s="1439"/>
      <c r="AB885" s="1439"/>
      <c r="AC885" s="1439"/>
      <c r="AD885" s="1439"/>
      <c r="AE885" s="1439"/>
      <c r="AF885" s="1439"/>
      <c r="AG885" s="1439"/>
    </row>
    <row r="886" spans="1:33" ht="15.75" customHeight="1">
      <c r="A886" s="1470"/>
      <c r="B886" s="1499" t="s">
        <v>7497</v>
      </c>
      <c r="C886" s="1484"/>
      <c r="D886" s="1484"/>
      <c r="E886" s="1484"/>
      <c r="F886" s="1446"/>
      <c r="G886" s="1478"/>
      <c r="H886" s="1442"/>
      <c r="I886" s="1448"/>
      <c r="J886" s="1475"/>
      <c r="K886" s="1439"/>
      <c r="L886" s="1439"/>
      <c r="M886" s="1439"/>
      <c r="N886" s="1439"/>
      <c r="O886" s="1439"/>
      <c r="P886" s="1439"/>
      <c r="Q886" s="1439"/>
      <c r="R886" s="1439"/>
      <c r="S886" s="1439"/>
      <c r="T886" s="1439"/>
      <c r="U886" s="1439"/>
      <c r="V886" s="1439"/>
      <c r="W886" s="1439"/>
      <c r="X886" s="1439"/>
      <c r="Y886" s="1439"/>
      <c r="Z886" s="1439"/>
      <c r="AA886" s="1439"/>
      <c r="AB886" s="1439"/>
      <c r="AC886" s="1439"/>
      <c r="AD886" s="1439"/>
      <c r="AE886" s="1439"/>
      <c r="AF886" s="1439"/>
      <c r="AG886" s="1439"/>
    </row>
    <row r="887" spans="1:33" ht="15.75" customHeight="1">
      <c r="A887" s="1470"/>
      <c r="B887" s="1474" t="s">
        <v>3396</v>
      </c>
      <c r="C887" s="1484">
        <f>C876</f>
        <v>7</v>
      </c>
      <c r="D887" s="1484" t="s">
        <v>3364</v>
      </c>
      <c r="E887" s="1484">
        <v>1</v>
      </c>
      <c r="F887" s="1446">
        <v>1.2</v>
      </c>
      <c r="G887" s="1478"/>
      <c r="H887" s="1442">
        <v>2.1</v>
      </c>
      <c r="I887" s="1495">
        <f>PRODUCT(C887:H887)</f>
        <v>17.64</v>
      </c>
      <c r="J887" s="1475"/>
      <c r="K887" s="1439"/>
      <c r="L887" s="1439"/>
      <c r="M887" s="1439"/>
      <c r="N887" s="1439"/>
      <c r="O887" s="1439"/>
      <c r="P887" s="1439"/>
      <c r="Q887" s="1439"/>
      <c r="R887" s="1439"/>
      <c r="S887" s="1439"/>
      <c r="T887" s="1439"/>
      <c r="U887" s="1439"/>
      <c r="V887" s="1439"/>
      <c r="W887" s="1439"/>
      <c r="X887" s="1439"/>
      <c r="Y887" s="1439"/>
      <c r="Z887" s="1439"/>
      <c r="AA887" s="1439"/>
      <c r="AB887" s="1439"/>
      <c r="AC887" s="1439"/>
      <c r="AD887" s="1439"/>
      <c r="AE887" s="1439"/>
      <c r="AF887" s="1439"/>
      <c r="AG887" s="1439"/>
    </row>
    <row r="888" spans="1:33" ht="15.75" customHeight="1">
      <c r="A888" s="1470"/>
      <c r="B888" s="1450"/>
      <c r="C888" s="1484"/>
      <c r="D888" s="1484"/>
      <c r="E888" s="1484"/>
      <c r="F888" s="1446"/>
      <c r="G888" s="1478"/>
      <c r="H888" s="1442" t="s">
        <v>2981</v>
      </c>
      <c r="I888" s="1459">
        <f>SUM(I887)</f>
        <v>17.64</v>
      </c>
      <c r="J888" s="1475" t="s">
        <v>724</v>
      </c>
      <c r="K888" s="1439"/>
      <c r="L888" s="1439"/>
      <c r="M888" s="1439"/>
      <c r="N888" s="1439"/>
      <c r="O888" s="1439"/>
      <c r="P888" s="1439"/>
      <c r="Q888" s="1439"/>
      <c r="R888" s="1439"/>
      <c r="S888" s="1439"/>
      <c r="T888" s="1439"/>
      <c r="U888" s="1439"/>
      <c r="V888" s="1439"/>
      <c r="W888" s="1439"/>
      <c r="X888" s="1439"/>
      <c r="Y888" s="1439"/>
      <c r="Z888" s="1439"/>
      <c r="AA888" s="1439"/>
      <c r="AB888" s="1439"/>
      <c r="AC888" s="1439"/>
      <c r="AD888" s="1439"/>
      <c r="AE888" s="1439"/>
      <c r="AF888" s="1439"/>
      <c r="AG888" s="1439"/>
    </row>
    <row r="889" spans="1:33" ht="31.5">
      <c r="A889" s="1470"/>
      <c r="B889" s="1491" t="s">
        <v>7501</v>
      </c>
      <c r="C889" s="1484"/>
      <c r="D889" s="1484"/>
      <c r="E889" s="1484"/>
      <c r="F889" s="1446"/>
      <c r="G889" s="1478"/>
      <c r="H889" s="1442"/>
      <c r="I889" s="1459"/>
      <c r="J889" s="1475"/>
      <c r="K889" s="1439"/>
      <c r="L889" s="1439"/>
      <c r="M889" s="1439"/>
      <c r="N889" s="1439"/>
      <c r="O889" s="1439"/>
      <c r="P889" s="1439"/>
      <c r="Q889" s="1439"/>
      <c r="R889" s="1439"/>
      <c r="S889" s="1439"/>
      <c r="T889" s="1439"/>
      <c r="U889" s="1439"/>
      <c r="V889" s="1439"/>
      <c r="W889" s="1439"/>
      <c r="X889" s="1439"/>
      <c r="Y889" s="1439"/>
      <c r="Z889" s="1439"/>
      <c r="AA889" s="1439"/>
      <c r="AB889" s="1439"/>
      <c r="AC889" s="1439"/>
      <c r="AD889" s="1439"/>
      <c r="AE889" s="1439"/>
      <c r="AF889" s="1439"/>
      <c r="AG889" s="1439"/>
    </row>
    <row r="890" spans="1:33" ht="15.75" customHeight="1">
      <c r="A890" s="1470"/>
      <c r="B890" s="1499" t="s">
        <v>7498</v>
      </c>
      <c r="C890" s="1484">
        <f>Joineries!K3</f>
        <v>31</v>
      </c>
      <c r="D890" s="1484" t="s">
        <v>3364</v>
      </c>
      <c r="E890" s="1484">
        <v>1</v>
      </c>
      <c r="F890" s="1446">
        <v>1</v>
      </c>
      <c r="G890" s="1478"/>
      <c r="H890" s="1442">
        <v>2.1</v>
      </c>
      <c r="I890" s="1448">
        <f>PRODUCT(C890:H890)</f>
        <v>65.099999999999994</v>
      </c>
      <c r="J890" s="1475"/>
      <c r="K890" s="1439"/>
      <c r="L890" s="1439"/>
      <c r="M890" s="1439"/>
      <c r="N890" s="1439"/>
      <c r="O890" s="1439"/>
      <c r="P890" s="1439"/>
      <c r="Q890" s="1439"/>
      <c r="R890" s="1439"/>
      <c r="S890" s="1439"/>
      <c r="T890" s="1439"/>
      <c r="U890" s="1439"/>
      <c r="V890" s="1439"/>
      <c r="W890" s="1439"/>
      <c r="X890" s="1439"/>
      <c r="Y890" s="1439"/>
      <c r="Z890" s="1439"/>
      <c r="AA890" s="1439"/>
      <c r="AB890" s="1439"/>
      <c r="AC890" s="1439"/>
      <c r="AD890" s="1439"/>
      <c r="AE890" s="1439"/>
      <c r="AF890" s="1439"/>
      <c r="AG890" s="1439"/>
    </row>
    <row r="891" spans="1:33" ht="15.75" customHeight="1">
      <c r="A891" s="1470"/>
      <c r="B891" s="1450"/>
      <c r="C891" s="1484"/>
      <c r="D891" s="1484"/>
      <c r="E891" s="1484"/>
      <c r="F891" s="1446"/>
      <c r="G891" s="1478"/>
      <c r="H891" s="1442" t="s">
        <v>2981</v>
      </c>
      <c r="I891" s="1459">
        <f>CEILING(I890,0.1)</f>
        <v>65.099999999999994</v>
      </c>
      <c r="J891" s="1475" t="s">
        <v>724</v>
      </c>
      <c r="K891" s="1439"/>
      <c r="L891" s="1439"/>
      <c r="M891" s="1439"/>
      <c r="N891" s="1439"/>
      <c r="O891" s="1439"/>
      <c r="P891" s="1439"/>
      <c r="Q891" s="1439"/>
      <c r="R891" s="1439"/>
      <c r="S891" s="1439"/>
      <c r="T891" s="1439"/>
      <c r="U891" s="1439"/>
      <c r="V891" s="1439"/>
      <c r="W891" s="1439"/>
      <c r="X891" s="1439"/>
      <c r="Y891" s="1439"/>
      <c r="Z891" s="1439"/>
      <c r="AA891" s="1439"/>
      <c r="AB891" s="1439"/>
      <c r="AC891" s="1439"/>
      <c r="AD891" s="1439"/>
      <c r="AE891" s="1439"/>
      <c r="AF891" s="1439"/>
      <c r="AG891" s="1439"/>
    </row>
    <row r="892" spans="1:33" ht="47.25">
      <c r="A892" s="1451" t="s">
        <v>3633</v>
      </c>
      <c r="B892" s="1456" t="s">
        <v>6626</v>
      </c>
      <c r="C892" s="1477"/>
      <c r="D892" s="1477"/>
      <c r="E892" s="1477"/>
      <c r="F892" s="1478"/>
      <c r="G892" s="1478"/>
      <c r="H892" s="1500"/>
      <c r="I892" s="1494"/>
      <c r="J892" s="1501"/>
      <c r="K892" s="1439"/>
      <c r="L892" s="1439"/>
      <c r="M892" s="1439"/>
      <c r="N892" s="1439"/>
      <c r="O892" s="1439"/>
      <c r="P892" s="1439"/>
      <c r="Q892" s="1439"/>
      <c r="R892" s="1439"/>
      <c r="S892" s="1439"/>
      <c r="T892" s="1439"/>
      <c r="U892" s="1439"/>
      <c r="V892" s="1439"/>
      <c r="W892" s="1439"/>
      <c r="X892" s="1439"/>
      <c r="Y892" s="1439"/>
      <c r="Z892" s="1439"/>
      <c r="AA892" s="1439"/>
      <c r="AB892" s="1439"/>
      <c r="AC892" s="1439"/>
      <c r="AD892" s="1439"/>
      <c r="AE892" s="1439"/>
      <c r="AF892" s="1439"/>
      <c r="AG892" s="1439"/>
    </row>
    <row r="893" spans="1:33" ht="15.75" customHeight="1">
      <c r="A893" s="1451"/>
      <c r="B893" s="1455" t="s">
        <v>7499</v>
      </c>
      <c r="C893" s="1477"/>
      <c r="D893" s="1477"/>
      <c r="E893" s="1477"/>
      <c r="F893" s="1478"/>
      <c r="G893" s="1478"/>
      <c r="H893" s="1500"/>
      <c r="I893" s="1494"/>
      <c r="J893" s="1501"/>
      <c r="K893" s="1439"/>
      <c r="L893" s="1439"/>
      <c r="M893" s="1439"/>
      <c r="N893" s="1439"/>
      <c r="O893" s="1439"/>
      <c r="P893" s="1439"/>
      <c r="Q893" s="1439"/>
      <c r="R893" s="1439"/>
      <c r="S893" s="1439"/>
      <c r="T893" s="1439"/>
      <c r="U893" s="1439"/>
      <c r="V893" s="1439"/>
      <c r="W893" s="1439"/>
      <c r="X893" s="1439"/>
      <c r="Y893" s="1439"/>
      <c r="Z893" s="1439"/>
      <c r="AA893" s="1439"/>
      <c r="AB893" s="1439"/>
      <c r="AC893" s="1439"/>
      <c r="AD893" s="1439"/>
      <c r="AE893" s="1439"/>
      <c r="AF893" s="1439"/>
      <c r="AG893" s="1439"/>
    </row>
    <row r="894" spans="1:33" ht="15.75" customHeight="1">
      <c r="A894" s="1470"/>
      <c r="B894" s="1452" t="s">
        <v>7500</v>
      </c>
      <c r="C894" s="1484">
        <f>Joineries!K4</f>
        <v>4</v>
      </c>
      <c r="D894" s="1477" t="s">
        <v>3364</v>
      </c>
      <c r="E894" s="1484">
        <v>1</v>
      </c>
      <c r="F894" s="1446">
        <v>0.9</v>
      </c>
      <c r="G894" s="1446"/>
      <c r="H894" s="1447">
        <v>2.1</v>
      </c>
      <c r="I894" s="1448">
        <f>PRODUCT(C894:H894)</f>
        <v>7.56</v>
      </c>
      <c r="J894" s="1475"/>
      <c r="K894" s="1439"/>
      <c r="L894" s="1439"/>
      <c r="M894" s="1439"/>
      <c r="N894" s="1439"/>
      <c r="O894" s="1439"/>
      <c r="P894" s="1439"/>
      <c r="Q894" s="1439"/>
      <c r="R894" s="1439"/>
      <c r="S894" s="1439"/>
      <c r="T894" s="1439"/>
      <c r="U894" s="1439"/>
      <c r="V894" s="1439"/>
      <c r="W894" s="1439"/>
      <c r="X894" s="1439"/>
      <c r="Y894" s="1439"/>
      <c r="Z894" s="1439"/>
      <c r="AA894" s="1439"/>
      <c r="AB894" s="1439"/>
      <c r="AC894" s="1439"/>
      <c r="AD894" s="1439"/>
      <c r="AE894" s="1439"/>
      <c r="AF894" s="1439"/>
      <c r="AG894" s="1439"/>
    </row>
    <row r="895" spans="1:33" ht="15.75" customHeight="1">
      <c r="A895" s="1470"/>
      <c r="B895" s="1450"/>
      <c r="C895" s="1484"/>
      <c r="D895" s="1477"/>
      <c r="E895" s="1484"/>
      <c r="F895" s="1446"/>
      <c r="G895" s="1446" t="s">
        <v>2981</v>
      </c>
      <c r="H895" s="1447"/>
      <c r="I895" s="1459">
        <f>CEILING(I894,0.1)</f>
        <v>7.6</v>
      </c>
      <c r="J895" s="1475" t="s">
        <v>724</v>
      </c>
      <c r="K895" s="1439"/>
      <c r="L895" s="1439"/>
      <c r="M895" s="1439"/>
      <c r="N895" s="1439"/>
      <c r="O895" s="1439"/>
      <c r="P895" s="1439"/>
      <c r="Q895" s="1439"/>
      <c r="R895" s="1439"/>
      <c r="S895" s="1439"/>
      <c r="T895" s="1439"/>
      <c r="U895" s="1439"/>
      <c r="V895" s="1439"/>
      <c r="W895" s="1439"/>
      <c r="X895" s="1439"/>
      <c r="Y895" s="1439"/>
      <c r="Z895" s="1439"/>
      <c r="AA895" s="1439"/>
      <c r="AB895" s="1439"/>
      <c r="AC895" s="1439"/>
      <c r="AD895" s="1439"/>
      <c r="AE895" s="1439"/>
      <c r="AF895" s="1439"/>
      <c r="AG895" s="1439"/>
    </row>
    <row r="896" spans="1:33" ht="141.75">
      <c r="A896" s="1451">
        <v>23.3</v>
      </c>
      <c r="B896" s="1462" t="s">
        <v>7106</v>
      </c>
      <c r="C896" s="1477"/>
      <c r="D896" s="1477"/>
      <c r="E896" s="1477"/>
      <c r="F896" s="1478"/>
      <c r="G896" s="1478"/>
      <c r="H896" s="1500"/>
      <c r="I896" s="1494"/>
      <c r="J896" s="1475"/>
      <c r="K896" s="1439"/>
      <c r="L896" s="1439"/>
      <c r="M896" s="1439"/>
      <c r="N896" s="1439"/>
      <c r="O896" s="1439"/>
      <c r="P896" s="1439"/>
      <c r="Q896" s="1439"/>
      <c r="R896" s="1439"/>
      <c r="S896" s="1439"/>
      <c r="T896" s="1439"/>
      <c r="U896" s="1439"/>
      <c r="V896" s="1439"/>
      <c r="W896" s="1439"/>
      <c r="X896" s="1439"/>
      <c r="Y896" s="1439"/>
      <c r="Z896" s="1439"/>
      <c r="AA896" s="1439"/>
      <c r="AB896" s="1439"/>
      <c r="AC896" s="1439"/>
      <c r="AD896" s="1439"/>
      <c r="AE896" s="1439"/>
      <c r="AF896" s="1439"/>
      <c r="AG896" s="1439"/>
    </row>
    <row r="897" spans="1:33" ht="15.75" customHeight="1">
      <c r="A897" s="1451"/>
      <c r="B897" s="1450" t="s">
        <v>3396</v>
      </c>
      <c r="C897" s="1477">
        <f>Joineries!K2</f>
        <v>7</v>
      </c>
      <c r="D897" s="1477" t="s">
        <v>3364</v>
      </c>
      <c r="E897" s="1477">
        <v>2</v>
      </c>
      <c r="F897" s="1478"/>
      <c r="G897" s="1478"/>
      <c r="H897" s="1500"/>
      <c r="I897" s="1494">
        <f>PRODUCT(C897:H897)</f>
        <v>14</v>
      </c>
      <c r="J897" s="1475"/>
      <c r="K897" s="1439"/>
      <c r="L897" s="1439"/>
      <c r="M897" s="1439"/>
      <c r="N897" s="1439"/>
      <c r="O897" s="1439"/>
      <c r="P897" s="1439"/>
      <c r="Q897" s="1439"/>
      <c r="R897" s="1439"/>
      <c r="S897" s="1439"/>
      <c r="T897" s="1439"/>
      <c r="U897" s="1439"/>
      <c r="V897" s="1439"/>
      <c r="W897" s="1439"/>
      <c r="X897" s="1439"/>
      <c r="Y897" s="1439"/>
      <c r="Z897" s="1439"/>
      <c r="AA897" s="1439"/>
      <c r="AB897" s="1439"/>
      <c r="AC897" s="1439"/>
      <c r="AD897" s="1439"/>
      <c r="AE897" s="1439"/>
      <c r="AF897" s="1439"/>
      <c r="AG897" s="1439"/>
    </row>
    <row r="898" spans="1:33" ht="15.75" customHeight="1">
      <c r="A898" s="1451"/>
      <c r="B898" s="1450" t="s">
        <v>3363</v>
      </c>
      <c r="C898" s="1477">
        <f>Joineries!K3</f>
        <v>31</v>
      </c>
      <c r="D898" s="1477" t="s">
        <v>3364</v>
      </c>
      <c r="E898" s="1477">
        <v>1</v>
      </c>
      <c r="F898" s="1478"/>
      <c r="G898" s="1478"/>
      <c r="H898" s="1500"/>
      <c r="I898" s="1494">
        <f>PRODUCT(C898:H898)</f>
        <v>31</v>
      </c>
      <c r="J898" s="1475"/>
      <c r="K898" s="1439"/>
      <c r="L898" s="1439"/>
      <c r="M898" s="1439"/>
      <c r="N898" s="1439"/>
      <c r="O898" s="1439"/>
      <c r="P898" s="1439"/>
      <c r="Q898" s="1439"/>
      <c r="R898" s="1439"/>
      <c r="S898" s="1439"/>
      <c r="T898" s="1439"/>
      <c r="U898" s="1439"/>
      <c r="V898" s="1439"/>
      <c r="W898" s="1439"/>
      <c r="X898" s="1439"/>
      <c r="Y898" s="1439"/>
      <c r="Z898" s="1439"/>
      <c r="AA898" s="1439"/>
      <c r="AB898" s="1439"/>
      <c r="AC898" s="1439"/>
      <c r="AD898" s="1439"/>
      <c r="AE898" s="1439"/>
      <c r="AF898" s="1439"/>
      <c r="AG898" s="1439"/>
    </row>
    <row r="899" spans="1:33" ht="15.75" customHeight="1">
      <c r="A899" s="1451"/>
      <c r="B899" s="1450" t="s">
        <v>3398</v>
      </c>
      <c r="C899" s="1477">
        <f>Joineries!K4</f>
        <v>4</v>
      </c>
      <c r="D899" s="1477" t="s">
        <v>3364</v>
      </c>
      <c r="E899" s="1477">
        <v>1</v>
      </c>
      <c r="F899" s="1478"/>
      <c r="G899" s="1478"/>
      <c r="H899" s="1500"/>
      <c r="I899" s="1494">
        <f>PRODUCT(C899:H899)</f>
        <v>4</v>
      </c>
      <c r="J899" s="1475"/>
      <c r="K899" s="1439"/>
      <c r="L899" s="1439"/>
      <c r="M899" s="1439"/>
      <c r="N899" s="1439"/>
      <c r="O899" s="1439"/>
      <c r="P899" s="1439"/>
      <c r="Q899" s="1439"/>
      <c r="R899" s="1439"/>
      <c r="S899" s="1439"/>
      <c r="T899" s="1439"/>
      <c r="U899" s="1439"/>
      <c r="V899" s="1439"/>
      <c r="W899" s="1439"/>
      <c r="X899" s="1439"/>
      <c r="Y899" s="1439"/>
      <c r="Z899" s="1439"/>
      <c r="AA899" s="1439"/>
      <c r="AB899" s="1439"/>
      <c r="AC899" s="1439"/>
      <c r="AD899" s="1439"/>
      <c r="AE899" s="1439"/>
      <c r="AF899" s="1439"/>
      <c r="AG899" s="1439"/>
    </row>
    <row r="900" spans="1:33" ht="15.75" customHeight="1">
      <c r="A900" s="1470"/>
      <c r="B900" s="1450"/>
      <c r="C900" s="1484"/>
      <c r="D900" s="1484"/>
      <c r="E900" s="1484"/>
      <c r="F900" s="1446"/>
      <c r="G900" s="1446"/>
      <c r="H900" s="1447"/>
      <c r="I900" s="1459">
        <f>SUM(I897:I899)</f>
        <v>49</v>
      </c>
      <c r="J900" s="1475" t="s">
        <v>3471</v>
      </c>
      <c r="K900" s="1502">
        <f>SUM(C897:C899)</f>
        <v>42</v>
      </c>
      <c r="L900" s="1439"/>
      <c r="M900" s="1439"/>
      <c r="N900" s="1439"/>
      <c r="O900" s="1439"/>
      <c r="P900" s="1439"/>
      <c r="Q900" s="1439"/>
      <c r="R900" s="1439"/>
      <c r="S900" s="1439"/>
      <c r="T900" s="1439"/>
      <c r="U900" s="1439"/>
      <c r="V900" s="1439"/>
      <c r="W900" s="1439"/>
      <c r="X900" s="1439"/>
      <c r="Y900" s="1439"/>
      <c r="Z900" s="1439"/>
      <c r="AA900" s="1439"/>
      <c r="AB900" s="1439"/>
      <c r="AC900" s="1439"/>
      <c r="AD900" s="1439"/>
      <c r="AE900" s="1439"/>
      <c r="AF900" s="1439"/>
      <c r="AG900" s="1439"/>
    </row>
    <row r="901" spans="1:33" ht="15.75" customHeight="1">
      <c r="A901" s="1451">
        <v>25</v>
      </c>
      <c r="B901" s="1462" t="s">
        <v>7107</v>
      </c>
      <c r="C901" s="1477"/>
      <c r="D901" s="1477"/>
      <c r="E901" s="1477"/>
      <c r="F901" s="1478"/>
      <c r="G901" s="1478"/>
      <c r="H901" s="1500"/>
      <c r="I901" s="1494"/>
      <c r="J901" s="1475"/>
      <c r="K901" s="1439"/>
      <c r="L901" s="1439"/>
      <c r="M901" s="1439"/>
      <c r="N901" s="1439"/>
      <c r="O901" s="1439"/>
      <c r="P901" s="1439"/>
      <c r="Q901" s="1439"/>
      <c r="R901" s="1439"/>
      <c r="S901" s="1439"/>
      <c r="T901" s="1439"/>
      <c r="U901" s="1439"/>
      <c r="V901" s="1439"/>
      <c r="W901" s="1439"/>
      <c r="X901" s="1439"/>
      <c r="Y901" s="1439"/>
      <c r="Z901" s="1439"/>
      <c r="AA901" s="1439"/>
      <c r="AB901" s="1439"/>
      <c r="AC901" s="1439"/>
      <c r="AD901" s="1439"/>
      <c r="AE901" s="1439"/>
      <c r="AF901" s="1439"/>
      <c r="AG901" s="1439"/>
    </row>
    <row r="902" spans="1:33" ht="15.75" customHeight="1">
      <c r="A902" s="1451"/>
      <c r="B902" s="1450" t="s">
        <v>7108</v>
      </c>
      <c r="C902" s="1477">
        <v>42</v>
      </c>
      <c r="D902" s="1477" t="s">
        <v>3364</v>
      </c>
      <c r="E902" s="1477">
        <v>6</v>
      </c>
      <c r="F902" s="1478"/>
      <c r="G902" s="1478"/>
      <c r="H902" s="1500"/>
      <c r="I902" s="1494">
        <f>PRODUCT(C902:H902)</f>
        <v>252</v>
      </c>
      <c r="J902" s="1475"/>
      <c r="K902" s="1439"/>
      <c r="L902" s="1439"/>
      <c r="M902" s="1439"/>
      <c r="N902" s="1439"/>
      <c r="O902" s="1439"/>
      <c r="P902" s="1439"/>
      <c r="Q902" s="1439"/>
      <c r="R902" s="1439"/>
      <c r="S902" s="1439"/>
      <c r="T902" s="1439"/>
      <c r="U902" s="1439"/>
      <c r="V902" s="1439"/>
      <c r="W902" s="1439"/>
      <c r="X902" s="1439"/>
      <c r="Y902" s="1439"/>
      <c r="Z902" s="1439"/>
      <c r="AA902" s="1439"/>
      <c r="AB902" s="1439"/>
      <c r="AC902" s="1439"/>
      <c r="AD902" s="1439"/>
      <c r="AE902" s="1439"/>
      <c r="AF902" s="1439"/>
      <c r="AG902" s="1439"/>
    </row>
    <row r="903" spans="1:33" ht="15.75" customHeight="1">
      <c r="A903" s="1470"/>
      <c r="B903" s="1450"/>
      <c r="C903" s="1484"/>
      <c r="D903" s="1484"/>
      <c r="E903" s="1484"/>
      <c r="F903" s="1446"/>
      <c r="G903" s="1446"/>
      <c r="H903" s="1442" t="s">
        <v>3473</v>
      </c>
      <c r="I903" s="1459">
        <f>SUM(I902)</f>
        <v>252</v>
      </c>
      <c r="J903" s="1475" t="s">
        <v>3471</v>
      </c>
      <c r="K903" s="1439"/>
      <c r="L903" s="1439"/>
      <c r="M903" s="1439"/>
      <c r="N903" s="1439"/>
      <c r="O903" s="1439"/>
      <c r="P903" s="1439"/>
      <c r="Q903" s="1439"/>
      <c r="R903" s="1439"/>
      <c r="S903" s="1439"/>
      <c r="T903" s="1439"/>
      <c r="U903" s="1439"/>
      <c r="V903" s="1439"/>
      <c r="W903" s="1439"/>
      <c r="X903" s="1439"/>
      <c r="Y903" s="1439"/>
      <c r="Z903" s="1439"/>
      <c r="AA903" s="1439"/>
      <c r="AB903" s="1439"/>
      <c r="AC903" s="1439"/>
      <c r="AD903" s="1439"/>
      <c r="AE903" s="1439"/>
      <c r="AF903" s="1439"/>
      <c r="AG903" s="1439"/>
    </row>
    <row r="904" spans="1:33" ht="126">
      <c r="A904" s="1451">
        <v>26</v>
      </c>
      <c r="B904" s="1444" t="s">
        <v>7109</v>
      </c>
      <c r="C904" s="1484"/>
      <c r="D904" s="1484"/>
      <c r="E904" s="1484"/>
      <c r="F904" s="1446"/>
      <c r="G904" s="1446"/>
      <c r="H904" s="1447"/>
      <c r="I904" s="1448"/>
      <c r="J904" s="1475"/>
      <c r="K904" s="1439"/>
      <c r="L904" s="1439"/>
      <c r="M904" s="1439"/>
      <c r="N904" s="1439"/>
      <c r="O904" s="1439"/>
      <c r="P904" s="1439"/>
      <c r="Q904" s="1439"/>
      <c r="R904" s="1439"/>
      <c r="S904" s="1439"/>
      <c r="T904" s="1439"/>
      <c r="U904" s="1439"/>
      <c r="V904" s="1439"/>
      <c r="W904" s="1439"/>
      <c r="X904" s="1439"/>
      <c r="Y904" s="1439"/>
      <c r="Z904" s="1439"/>
      <c r="AA904" s="1439"/>
      <c r="AB904" s="1439"/>
      <c r="AC904" s="1439"/>
      <c r="AD904" s="1439"/>
      <c r="AE904" s="1439"/>
      <c r="AF904" s="1439"/>
      <c r="AG904" s="1439"/>
    </row>
    <row r="905" spans="1:33" ht="15.75" customHeight="1">
      <c r="A905" s="1443"/>
      <c r="B905" s="1450" t="s">
        <v>7103</v>
      </c>
      <c r="C905" s="1445">
        <v>5</v>
      </c>
      <c r="D905" s="1445" t="s">
        <v>3364</v>
      </c>
      <c r="E905" s="1445">
        <v>1</v>
      </c>
      <c r="F905" s="1446">
        <v>4.5</v>
      </c>
      <c r="G905" s="1446">
        <v>17</v>
      </c>
      <c r="H905" s="1447">
        <v>0.15</v>
      </c>
      <c r="I905" s="1448">
        <f t="shared" ref="I905:I911" si="51">PRODUCT(C905:H905)</f>
        <v>57.38</v>
      </c>
      <c r="J905" s="1449"/>
      <c r="K905" s="1439"/>
      <c r="L905" s="1439"/>
      <c r="M905" s="1439"/>
      <c r="N905" s="1439"/>
      <c r="O905" s="1439"/>
      <c r="P905" s="1439"/>
      <c r="Q905" s="1439"/>
      <c r="R905" s="1439"/>
      <c r="S905" s="1439"/>
      <c r="T905" s="1439"/>
      <c r="U905" s="1439"/>
      <c r="V905" s="1439"/>
      <c r="W905" s="1439"/>
      <c r="X905" s="1439"/>
      <c r="Y905" s="1439"/>
      <c r="Z905" s="1439"/>
      <c r="AA905" s="1439"/>
      <c r="AB905" s="1439"/>
      <c r="AC905" s="1439"/>
      <c r="AD905" s="1439"/>
      <c r="AE905" s="1439"/>
      <c r="AF905" s="1439"/>
      <c r="AG905" s="1439"/>
    </row>
    <row r="906" spans="1:33" ht="15.75" customHeight="1">
      <c r="A906" s="1443"/>
      <c r="B906" s="1452" t="s">
        <v>7495</v>
      </c>
      <c r="C906" s="1445">
        <v>1</v>
      </c>
      <c r="D906" s="1445" t="s">
        <v>3364</v>
      </c>
      <c r="E906" s="1445">
        <v>1</v>
      </c>
      <c r="F906" s="1446">
        <v>3.2</v>
      </c>
      <c r="G906" s="1446">
        <v>1.5</v>
      </c>
      <c r="H906" s="1447">
        <v>0.1</v>
      </c>
      <c r="I906" s="1448">
        <f t="shared" si="51"/>
        <v>0.48</v>
      </c>
      <c r="J906" s="1449"/>
      <c r="K906" s="1439"/>
      <c r="L906" s="1439"/>
      <c r="M906" s="1439"/>
      <c r="N906" s="1439"/>
      <c r="O906" s="1439"/>
      <c r="P906" s="1439"/>
      <c r="Q906" s="1439"/>
      <c r="R906" s="1439"/>
      <c r="S906" s="1439"/>
      <c r="T906" s="1439"/>
      <c r="U906" s="1439"/>
      <c r="V906" s="1439"/>
      <c r="W906" s="1439"/>
      <c r="X906" s="1439"/>
      <c r="Y906" s="1439"/>
      <c r="Z906" s="1439"/>
      <c r="AA906" s="1439"/>
      <c r="AB906" s="1439"/>
      <c r="AC906" s="1439"/>
      <c r="AD906" s="1439"/>
      <c r="AE906" s="1439"/>
      <c r="AF906" s="1439"/>
      <c r="AG906" s="1439"/>
    </row>
    <row r="907" spans="1:33" ht="15.75" customHeight="1">
      <c r="A907" s="1443"/>
      <c r="B907" s="1452" t="s">
        <v>7496</v>
      </c>
      <c r="C907" s="1445">
        <v>1</v>
      </c>
      <c r="D907" s="1445" t="s">
        <v>3364</v>
      </c>
      <c r="E907" s="1445">
        <v>1</v>
      </c>
      <c r="F907" s="1446">
        <v>2.4</v>
      </c>
      <c r="G907" s="1446">
        <v>1.5</v>
      </c>
      <c r="H907" s="1447">
        <v>0.1</v>
      </c>
      <c r="I907" s="1448">
        <f t="shared" si="51"/>
        <v>0.36</v>
      </c>
      <c r="J907" s="1449"/>
      <c r="K907" s="1439"/>
      <c r="L907" s="1439"/>
      <c r="M907" s="1439"/>
      <c r="N907" s="1439"/>
      <c r="O907" s="1439"/>
      <c r="P907" s="1439"/>
      <c r="Q907" s="1439"/>
      <c r="R907" s="1439"/>
      <c r="S907" s="1439"/>
      <c r="T907" s="1439"/>
      <c r="U907" s="1439"/>
      <c r="V907" s="1439"/>
      <c r="W907" s="1439"/>
      <c r="X907" s="1439"/>
      <c r="Y907" s="1439"/>
      <c r="Z907" s="1439"/>
      <c r="AA907" s="1439"/>
      <c r="AB907" s="1439"/>
      <c r="AC907" s="1439"/>
      <c r="AD907" s="1439"/>
      <c r="AE907" s="1439"/>
      <c r="AF907" s="1439"/>
      <c r="AG907" s="1439"/>
    </row>
    <row r="908" spans="1:33" ht="15.75" customHeight="1">
      <c r="A908" s="1443"/>
      <c r="B908" s="1452" t="s">
        <v>6727</v>
      </c>
      <c r="C908" s="1445">
        <v>1</v>
      </c>
      <c r="D908" s="1445" t="s">
        <v>3364</v>
      </c>
      <c r="E908" s="1445">
        <v>1</v>
      </c>
      <c r="F908" s="1446">
        <v>2.4</v>
      </c>
      <c r="G908" s="1446">
        <v>1.5</v>
      </c>
      <c r="H908" s="1447">
        <v>0.1</v>
      </c>
      <c r="I908" s="1448">
        <f t="shared" si="51"/>
        <v>0.36</v>
      </c>
      <c r="J908" s="1449"/>
      <c r="K908" s="1439"/>
      <c r="L908" s="1439"/>
      <c r="M908" s="1439"/>
      <c r="N908" s="1439"/>
      <c r="O908" s="1439"/>
      <c r="P908" s="1439"/>
      <c r="Q908" s="1439"/>
      <c r="R908" s="1439"/>
      <c r="S908" s="1439"/>
      <c r="T908" s="1439"/>
      <c r="U908" s="1439"/>
      <c r="V908" s="1439"/>
      <c r="W908" s="1439"/>
      <c r="X908" s="1439"/>
      <c r="Y908" s="1439"/>
      <c r="Z908" s="1439"/>
      <c r="AA908" s="1439"/>
      <c r="AB908" s="1439"/>
      <c r="AC908" s="1439"/>
      <c r="AD908" s="1439"/>
      <c r="AE908" s="1439"/>
      <c r="AF908" s="1439"/>
      <c r="AG908" s="1439"/>
    </row>
    <row r="909" spans="1:33" ht="15.75" customHeight="1">
      <c r="A909" s="1443"/>
      <c r="B909" s="1452" t="s">
        <v>7453</v>
      </c>
      <c r="C909" s="1445">
        <v>1</v>
      </c>
      <c r="D909" s="1445" t="s">
        <v>3364</v>
      </c>
      <c r="E909" s="1445">
        <v>1</v>
      </c>
      <c r="F909" s="1446">
        <v>3.43</v>
      </c>
      <c r="G909" s="1446">
        <v>4.96</v>
      </c>
      <c r="H909" s="1447">
        <v>0.1</v>
      </c>
      <c r="I909" s="1448">
        <f t="shared" si="51"/>
        <v>1.7</v>
      </c>
      <c r="J909" s="1449"/>
      <c r="K909" s="1439"/>
      <c r="L909" s="1439"/>
      <c r="M909" s="1439"/>
      <c r="N909" s="1439"/>
      <c r="O909" s="1439"/>
      <c r="P909" s="1439"/>
      <c r="Q909" s="1439"/>
      <c r="R909" s="1439"/>
      <c r="S909" s="1439"/>
      <c r="T909" s="1439"/>
      <c r="U909" s="1439"/>
      <c r="V909" s="1439"/>
      <c r="W909" s="1439"/>
      <c r="X909" s="1439"/>
      <c r="Y909" s="1439"/>
      <c r="Z909" s="1439"/>
      <c r="AA909" s="1439"/>
      <c r="AB909" s="1439"/>
      <c r="AC909" s="1439"/>
      <c r="AD909" s="1439"/>
      <c r="AE909" s="1439"/>
      <c r="AF909" s="1439"/>
      <c r="AG909" s="1439"/>
    </row>
    <row r="910" spans="1:33" ht="15.75" customHeight="1">
      <c r="A910" s="1443"/>
      <c r="B910" s="1450" t="s">
        <v>7104</v>
      </c>
      <c r="C910" s="1445">
        <v>1</v>
      </c>
      <c r="D910" s="1445" t="s">
        <v>3364</v>
      </c>
      <c r="E910" s="1445">
        <v>1</v>
      </c>
      <c r="F910" s="1446">
        <v>3.37</v>
      </c>
      <c r="G910" s="1446">
        <v>2.13</v>
      </c>
      <c r="H910" s="1447">
        <v>0.1</v>
      </c>
      <c r="I910" s="1448">
        <f t="shared" si="51"/>
        <v>0.72</v>
      </c>
      <c r="J910" s="1449"/>
      <c r="K910" s="1439"/>
      <c r="L910" s="1439"/>
      <c r="M910" s="1439"/>
      <c r="N910" s="1439"/>
      <c r="O910" s="1439"/>
      <c r="P910" s="1439"/>
      <c r="Q910" s="1439"/>
      <c r="R910" s="1439"/>
      <c r="S910" s="1439"/>
      <c r="T910" s="1439"/>
      <c r="U910" s="1439"/>
      <c r="V910" s="1439"/>
      <c r="W910" s="1439"/>
      <c r="X910" s="1439"/>
      <c r="Y910" s="1439"/>
      <c r="Z910" s="1439"/>
      <c r="AA910" s="1439"/>
      <c r="AB910" s="1439"/>
      <c r="AC910" s="1439"/>
      <c r="AD910" s="1439"/>
      <c r="AE910" s="1439"/>
      <c r="AF910" s="1439"/>
      <c r="AG910" s="1439"/>
    </row>
    <row r="911" spans="1:33" ht="15.75" customHeight="1">
      <c r="A911" s="1443"/>
      <c r="B911" s="1452" t="s">
        <v>3492</v>
      </c>
      <c r="C911" s="1445">
        <v>1</v>
      </c>
      <c r="D911" s="1445" t="s">
        <v>3364</v>
      </c>
      <c r="E911" s="1445">
        <v>1</v>
      </c>
      <c r="F911" s="1446">
        <v>3.43</v>
      </c>
      <c r="G911" s="1446">
        <v>4.9619999999999997</v>
      </c>
      <c r="H911" s="1447">
        <v>0.1</v>
      </c>
      <c r="I911" s="1448">
        <f t="shared" si="51"/>
        <v>1.7</v>
      </c>
      <c r="J911" s="1449"/>
      <c r="K911" s="1439"/>
      <c r="L911" s="1439"/>
      <c r="M911" s="1439"/>
      <c r="N911" s="1439"/>
      <c r="O911" s="1439"/>
      <c r="P911" s="1439"/>
      <c r="Q911" s="1439"/>
      <c r="R911" s="1439"/>
      <c r="S911" s="1439"/>
      <c r="T911" s="1439"/>
      <c r="U911" s="1439"/>
      <c r="V911" s="1439"/>
      <c r="W911" s="1439"/>
      <c r="X911" s="1439"/>
      <c r="Y911" s="1439"/>
      <c r="Z911" s="1439"/>
      <c r="AA911" s="1439"/>
      <c r="AB911" s="1439"/>
      <c r="AC911" s="1439"/>
      <c r="AD911" s="1439"/>
      <c r="AE911" s="1439"/>
      <c r="AF911" s="1439"/>
      <c r="AG911" s="1439"/>
    </row>
    <row r="912" spans="1:33" ht="15.75" customHeight="1">
      <c r="A912" s="1470"/>
      <c r="B912" s="1450"/>
      <c r="C912" s="1484"/>
      <c r="D912" s="1484"/>
      <c r="E912" s="1484"/>
      <c r="F912" s="1446"/>
      <c r="G912" s="1458" t="s">
        <v>104</v>
      </c>
      <c r="H912" s="1447"/>
      <c r="I912" s="1448">
        <f>SUM(I905:I911)</f>
        <v>62.7</v>
      </c>
      <c r="J912" s="1475"/>
      <c r="K912" s="1439"/>
      <c r="L912" s="1439"/>
      <c r="M912" s="1439"/>
      <c r="N912" s="1439"/>
      <c r="O912" s="1439"/>
      <c r="P912" s="1439"/>
      <c r="Q912" s="1439"/>
      <c r="R912" s="1439"/>
      <c r="S912" s="1439"/>
      <c r="T912" s="1439"/>
      <c r="U912" s="1439"/>
      <c r="V912" s="1439"/>
      <c r="W912" s="1439"/>
      <c r="X912" s="1439"/>
      <c r="Y912" s="1439"/>
      <c r="Z912" s="1439"/>
      <c r="AA912" s="1439"/>
      <c r="AB912" s="1439"/>
      <c r="AC912" s="1439"/>
      <c r="AD912" s="1439"/>
      <c r="AE912" s="1439"/>
      <c r="AF912" s="1439"/>
      <c r="AG912" s="1439"/>
    </row>
    <row r="913" spans="1:33" ht="15.75" customHeight="1">
      <c r="A913" s="1470"/>
      <c r="B913" s="1450"/>
      <c r="C913" s="1484"/>
      <c r="D913" s="1484"/>
      <c r="E913" s="1484"/>
      <c r="F913" s="1446"/>
      <c r="G913" s="1458"/>
      <c r="H913" s="1460" t="s">
        <v>2981</v>
      </c>
      <c r="I913" s="1459">
        <f>CEILING(I912,0.1)</f>
        <v>62.7</v>
      </c>
      <c r="J913" s="1475" t="s">
        <v>724</v>
      </c>
      <c r="K913" s="1439"/>
      <c r="L913" s="1439"/>
      <c r="M913" s="1439"/>
      <c r="N913" s="1439"/>
      <c r="O913" s="1439"/>
      <c r="P913" s="1439"/>
      <c r="Q913" s="1439"/>
      <c r="R913" s="1439"/>
      <c r="S913" s="1439"/>
      <c r="T913" s="1439"/>
      <c r="U913" s="1439"/>
      <c r="V913" s="1439"/>
      <c r="W913" s="1439"/>
      <c r="X913" s="1439"/>
      <c r="Y913" s="1439"/>
      <c r="Z913" s="1439"/>
      <c r="AA913" s="1439"/>
      <c r="AB913" s="1439"/>
      <c r="AC913" s="1439"/>
      <c r="AD913" s="1439"/>
      <c r="AE913" s="1439"/>
      <c r="AF913" s="1439"/>
      <c r="AG913" s="1439"/>
    </row>
    <row r="914" spans="1:33" ht="126">
      <c r="A914" s="1451">
        <v>28</v>
      </c>
      <c r="B914" s="1444" t="s">
        <v>7110</v>
      </c>
      <c r="C914" s="1477"/>
      <c r="D914" s="1477"/>
      <c r="E914" s="1477"/>
      <c r="F914" s="1478"/>
      <c r="G914" s="1478"/>
      <c r="H914" s="1500"/>
      <c r="I914" s="1494"/>
      <c r="J914" s="1475"/>
      <c r="K914" s="1439"/>
      <c r="L914" s="1439"/>
      <c r="M914" s="1439"/>
      <c r="N914" s="1439"/>
      <c r="O914" s="1439"/>
      <c r="P914" s="1439"/>
      <c r="Q914" s="1439"/>
      <c r="R914" s="1439"/>
      <c r="S914" s="1439"/>
      <c r="T914" s="1439"/>
      <c r="U914" s="1439"/>
      <c r="V914" s="1439"/>
      <c r="W914" s="1439"/>
      <c r="X914" s="1439"/>
      <c r="Y914" s="1439"/>
      <c r="Z914" s="1439"/>
      <c r="AA914" s="1439"/>
      <c r="AB914" s="1439"/>
      <c r="AC914" s="1439"/>
      <c r="AD914" s="1439"/>
      <c r="AE914" s="1439"/>
      <c r="AF914" s="1439"/>
      <c r="AG914" s="1439"/>
    </row>
    <row r="915" spans="1:33" ht="15.75" customHeight="1">
      <c r="A915" s="1451"/>
      <c r="B915" s="1452" t="s">
        <v>7502</v>
      </c>
      <c r="C915" s="1477">
        <v>1</v>
      </c>
      <c r="D915" s="1477" t="s">
        <v>3364</v>
      </c>
      <c r="E915" s="1477">
        <v>20</v>
      </c>
      <c r="F915" s="1478">
        <v>0.6</v>
      </c>
      <c r="G915" s="1478">
        <v>0.6</v>
      </c>
      <c r="H915" s="1500"/>
      <c r="I915" s="1494">
        <f t="shared" ref="I915:I922" si="52">PRODUCT(C915:H915)</f>
        <v>7.2</v>
      </c>
      <c r="J915" s="1475"/>
      <c r="K915" s="1439"/>
      <c r="L915" s="1439"/>
      <c r="M915" s="1439"/>
      <c r="N915" s="1439"/>
      <c r="O915" s="1439"/>
      <c r="P915" s="1439"/>
      <c r="Q915" s="1439"/>
      <c r="R915" s="1439"/>
      <c r="S915" s="1439"/>
      <c r="T915" s="1439"/>
      <c r="U915" s="1439"/>
      <c r="V915" s="1439"/>
      <c r="W915" s="1439"/>
      <c r="X915" s="1439"/>
      <c r="Y915" s="1439"/>
      <c r="Z915" s="1439"/>
      <c r="AA915" s="1439"/>
      <c r="AB915" s="1439"/>
      <c r="AC915" s="1439"/>
      <c r="AD915" s="1439"/>
      <c r="AE915" s="1439"/>
      <c r="AF915" s="1439"/>
      <c r="AG915" s="1439"/>
    </row>
    <row r="916" spans="1:33" ht="15.75" customHeight="1">
      <c r="A916" s="1451"/>
      <c r="B916" s="1450" t="s">
        <v>6630</v>
      </c>
      <c r="C916" s="1477">
        <v>1</v>
      </c>
      <c r="D916" s="1477" t="s">
        <v>3364</v>
      </c>
      <c r="E916" s="1477">
        <v>1</v>
      </c>
      <c r="F916" s="1478">
        <v>3.5</v>
      </c>
      <c r="G916" s="1478"/>
      <c r="H916" s="1500">
        <v>0.5</v>
      </c>
      <c r="I916" s="1494">
        <f t="shared" si="52"/>
        <v>1.75</v>
      </c>
      <c r="J916" s="1475"/>
      <c r="K916" s="1439"/>
      <c r="L916" s="1439"/>
      <c r="M916" s="1439"/>
      <c r="N916" s="1439"/>
      <c r="O916" s="1439"/>
      <c r="P916" s="1439"/>
      <c r="Q916" s="1439"/>
      <c r="R916" s="1439"/>
      <c r="S916" s="1439"/>
      <c r="T916" s="1439"/>
      <c r="U916" s="1439"/>
      <c r="V916" s="1439"/>
      <c r="W916" s="1439"/>
      <c r="X916" s="1439"/>
      <c r="Y916" s="1439"/>
      <c r="Z916" s="1439"/>
      <c r="AA916" s="1439"/>
      <c r="AB916" s="1439"/>
      <c r="AC916" s="1439"/>
      <c r="AD916" s="1439"/>
      <c r="AE916" s="1439"/>
      <c r="AF916" s="1439"/>
      <c r="AG916" s="1439"/>
    </row>
    <row r="917" spans="1:33" ht="15.75" customHeight="1">
      <c r="A917" s="1451"/>
      <c r="B917" s="1450" t="s">
        <v>6630</v>
      </c>
      <c r="C917" s="1477">
        <v>1</v>
      </c>
      <c r="D917" s="1477" t="s">
        <v>3364</v>
      </c>
      <c r="E917" s="1477">
        <v>2</v>
      </c>
      <c r="F917" s="1478">
        <v>3.5</v>
      </c>
      <c r="G917" s="1478"/>
      <c r="H917" s="1500">
        <v>0.2</v>
      </c>
      <c r="I917" s="1494">
        <f t="shared" si="52"/>
        <v>1.4</v>
      </c>
      <c r="J917" s="1475"/>
      <c r="K917" s="1439"/>
      <c r="L917" s="1439"/>
      <c r="M917" s="1439"/>
      <c r="N917" s="1439"/>
      <c r="O917" s="1439"/>
      <c r="P917" s="1439"/>
      <c r="Q917" s="1439"/>
      <c r="R917" s="1439"/>
      <c r="S917" s="1439"/>
      <c r="T917" s="1439"/>
      <c r="U917" s="1439"/>
      <c r="V917" s="1439"/>
      <c r="W917" s="1439"/>
      <c r="X917" s="1439"/>
      <c r="Y917" s="1439"/>
      <c r="Z917" s="1439"/>
      <c r="AA917" s="1439"/>
      <c r="AB917" s="1439"/>
      <c r="AC917" s="1439"/>
      <c r="AD917" s="1439"/>
      <c r="AE917" s="1439"/>
      <c r="AF917" s="1439"/>
      <c r="AG917" s="1439"/>
    </row>
    <row r="918" spans="1:33" ht="15.75" customHeight="1">
      <c r="A918" s="1451"/>
      <c r="B918" s="1450" t="s">
        <v>6631</v>
      </c>
      <c r="C918" s="1477">
        <v>1</v>
      </c>
      <c r="D918" s="1477" t="s">
        <v>3364</v>
      </c>
      <c r="E918" s="1477">
        <v>2</v>
      </c>
      <c r="F918" s="1478">
        <v>3.5</v>
      </c>
      <c r="G918" s="1478">
        <v>0.3</v>
      </c>
      <c r="H918" s="1500"/>
      <c r="I918" s="1494">
        <f t="shared" si="52"/>
        <v>2.1</v>
      </c>
      <c r="J918" s="1475"/>
      <c r="K918" s="1439"/>
      <c r="L918" s="1439"/>
      <c r="M918" s="1439"/>
      <c r="N918" s="1439"/>
      <c r="O918" s="1439"/>
      <c r="P918" s="1439"/>
      <c r="Q918" s="1439"/>
      <c r="R918" s="1439"/>
      <c r="S918" s="1439"/>
      <c r="T918" s="1439"/>
      <c r="U918" s="1439"/>
      <c r="V918" s="1439"/>
      <c r="W918" s="1439"/>
      <c r="X918" s="1439"/>
      <c r="Y918" s="1439"/>
      <c r="Z918" s="1439"/>
      <c r="AA918" s="1439"/>
      <c r="AB918" s="1439"/>
      <c r="AC918" s="1439"/>
      <c r="AD918" s="1439"/>
      <c r="AE918" s="1439"/>
      <c r="AF918" s="1439"/>
      <c r="AG918" s="1439"/>
    </row>
    <row r="919" spans="1:33" ht="15.75" customHeight="1">
      <c r="A919" s="1451"/>
      <c r="B919" s="1450" t="s">
        <v>6631</v>
      </c>
      <c r="C919" s="1477">
        <v>1</v>
      </c>
      <c r="D919" s="1477" t="s">
        <v>3364</v>
      </c>
      <c r="E919" s="1477">
        <v>1</v>
      </c>
      <c r="F919" s="1478">
        <v>3.5</v>
      </c>
      <c r="G919" s="1478">
        <v>0.9</v>
      </c>
      <c r="H919" s="1500"/>
      <c r="I919" s="1494">
        <f t="shared" si="52"/>
        <v>3.15</v>
      </c>
      <c r="J919" s="1475"/>
      <c r="K919" s="1439"/>
      <c r="L919" s="1439"/>
      <c r="M919" s="1439"/>
      <c r="N919" s="1439"/>
      <c r="O919" s="1439"/>
      <c r="P919" s="1439"/>
      <c r="Q919" s="1439"/>
      <c r="R919" s="1439"/>
      <c r="S919" s="1439"/>
      <c r="T919" s="1439"/>
      <c r="U919" s="1439"/>
      <c r="V919" s="1439"/>
      <c r="W919" s="1439"/>
      <c r="X919" s="1439"/>
      <c r="Y919" s="1439"/>
      <c r="Z919" s="1439"/>
      <c r="AA919" s="1439"/>
      <c r="AB919" s="1439"/>
      <c r="AC919" s="1439"/>
      <c r="AD919" s="1439"/>
      <c r="AE919" s="1439"/>
      <c r="AF919" s="1439"/>
      <c r="AG919" s="1439"/>
    </row>
    <row r="920" spans="1:33" ht="15.75" customHeight="1">
      <c r="A920" s="1451"/>
      <c r="B920" s="1450" t="s">
        <v>6632</v>
      </c>
      <c r="C920" s="1477">
        <v>1</v>
      </c>
      <c r="D920" s="1477" t="s">
        <v>3364</v>
      </c>
      <c r="E920" s="1477">
        <v>1</v>
      </c>
      <c r="F920" s="1478">
        <v>1.5</v>
      </c>
      <c r="G920" s="1478"/>
      <c r="H920" s="1500">
        <v>0.5</v>
      </c>
      <c r="I920" s="1494">
        <f t="shared" si="52"/>
        <v>0.75</v>
      </c>
      <c r="J920" s="1475"/>
      <c r="K920" s="1439"/>
      <c r="L920" s="1439"/>
      <c r="M920" s="1439"/>
      <c r="N920" s="1439"/>
      <c r="O920" s="1439"/>
      <c r="P920" s="1439"/>
      <c r="Q920" s="1439"/>
      <c r="R920" s="1439"/>
      <c r="S920" s="1439"/>
      <c r="T920" s="1439"/>
      <c r="U920" s="1439"/>
      <c r="V920" s="1439"/>
      <c r="W920" s="1439"/>
      <c r="X920" s="1439"/>
      <c r="Y920" s="1439"/>
      <c r="Z920" s="1439"/>
      <c r="AA920" s="1439"/>
      <c r="AB920" s="1439"/>
      <c r="AC920" s="1439"/>
      <c r="AD920" s="1439"/>
      <c r="AE920" s="1439"/>
      <c r="AF920" s="1439"/>
      <c r="AG920" s="1439"/>
    </row>
    <row r="921" spans="1:33" ht="15.75" customHeight="1">
      <c r="A921" s="1451"/>
      <c r="B921" s="1450" t="s">
        <v>6632</v>
      </c>
      <c r="C921" s="1477">
        <v>1</v>
      </c>
      <c r="D921" s="1477" t="s">
        <v>3364</v>
      </c>
      <c r="E921" s="1477">
        <v>1</v>
      </c>
      <c r="F921" s="1478">
        <v>1.2</v>
      </c>
      <c r="G921" s="1478"/>
      <c r="H921" s="1500">
        <v>0.2</v>
      </c>
      <c r="I921" s="1494">
        <f t="shared" si="52"/>
        <v>0.24</v>
      </c>
      <c r="J921" s="1475"/>
      <c r="K921" s="1439"/>
      <c r="L921" s="1439"/>
      <c r="M921" s="1439"/>
      <c r="N921" s="1439"/>
      <c r="O921" s="1439"/>
      <c r="P921" s="1439"/>
      <c r="Q921" s="1439"/>
      <c r="R921" s="1439"/>
      <c r="S921" s="1439"/>
      <c r="T921" s="1439"/>
      <c r="U921" s="1439"/>
      <c r="V921" s="1439"/>
      <c r="W921" s="1439"/>
      <c r="X921" s="1439"/>
      <c r="Y921" s="1439"/>
      <c r="Z921" s="1439"/>
      <c r="AA921" s="1439"/>
      <c r="AB921" s="1439"/>
      <c r="AC921" s="1439"/>
      <c r="AD921" s="1439"/>
      <c r="AE921" s="1439"/>
      <c r="AF921" s="1439"/>
      <c r="AG921" s="1439"/>
    </row>
    <row r="922" spans="1:33" ht="15.75" customHeight="1">
      <c r="A922" s="1451"/>
      <c r="B922" s="1450" t="s">
        <v>6632</v>
      </c>
      <c r="C922" s="1477">
        <v>1</v>
      </c>
      <c r="D922" s="1477" t="s">
        <v>3364</v>
      </c>
      <c r="E922" s="1477">
        <v>1</v>
      </c>
      <c r="F922" s="1478">
        <v>0.9</v>
      </c>
      <c r="G922" s="1478"/>
      <c r="H922" s="1500">
        <v>0.2</v>
      </c>
      <c r="I922" s="1494">
        <f t="shared" si="52"/>
        <v>0.18</v>
      </c>
      <c r="J922" s="1475"/>
      <c r="K922" s="1439"/>
      <c r="L922" s="1439"/>
      <c r="M922" s="1439"/>
      <c r="N922" s="1439"/>
      <c r="O922" s="1439"/>
      <c r="P922" s="1439"/>
      <c r="Q922" s="1439"/>
      <c r="R922" s="1439"/>
      <c r="S922" s="1439"/>
      <c r="T922" s="1439"/>
      <c r="U922" s="1439"/>
      <c r="V922" s="1439"/>
      <c r="W922" s="1439"/>
      <c r="X922" s="1439"/>
      <c r="Y922" s="1439"/>
      <c r="Z922" s="1439"/>
      <c r="AA922" s="1439"/>
      <c r="AB922" s="1439"/>
      <c r="AC922" s="1439"/>
      <c r="AD922" s="1439"/>
      <c r="AE922" s="1439"/>
      <c r="AF922" s="1439"/>
      <c r="AG922" s="1439"/>
    </row>
    <row r="923" spans="1:33" ht="15.75" customHeight="1">
      <c r="A923" s="1451"/>
      <c r="B923" s="1462"/>
      <c r="C923" s="1477"/>
      <c r="D923" s="1477"/>
      <c r="E923" s="1477"/>
      <c r="F923" s="1478"/>
      <c r="G923" s="1478"/>
      <c r="H923" s="1500"/>
      <c r="I923" s="1448">
        <f>SUM(I915:I922)</f>
        <v>16.77</v>
      </c>
      <c r="J923" s="1475"/>
      <c r="K923" s="1439"/>
      <c r="L923" s="1463"/>
      <c r="M923" s="1463"/>
      <c r="N923" s="1463"/>
      <c r="O923" s="1439"/>
      <c r="P923" s="1439"/>
      <c r="Q923" s="1439"/>
      <c r="R923" s="1439"/>
      <c r="S923" s="1439"/>
      <c r="T923" s="1439"/>
      <c r="U923" s="1439"/>
      <c r="V923" s="1439"/>
      <c r="W923" s="1439"/>
      <c r="X923" s="1439"/>
      <c r="Y923" s="1439"/>
      <c r="Z923" s="1439"/>
      <c r="AA923" s="1439"/>
      <c r="AB923" s="1439"/>
      <c r="AC923" s="1439"/>
      <c r="AD923" s="1439"/>
      <c r="AE923" s="1439"/>
      <c r="AF923" s="1439"/>
      <c r="AG923" s="1439"/>
    </row>
    <row r="924" spans="1:33" ht="15.75" customHeight="1">
      <c r="A924" s="1451"/>
      <c r="B924" s="1444"/>
      <c r="C924" s="1477"/>
      <c r="D924" s="1477"/>
      <c r="E924" s="1477"/>
      <c r="F924" s="1478"/>
      <c r="G924" s="1478"/>
      <c r="H924" s="1500"/>
      <c r="I924" s="1459">
        <f>CEILING(I923,0.1)</f>
        <v>16.8</v>
      </c>
      <c r="J924" s="1475" t="s">
        <v>724</v>
      </c>
      <c r="K924" s="1439"/>
      <c r="L924" s="1439">
        <f>2.04+0.46</f>
        <v>2.5</v>
      </c>
      <c r="M924" s="1439"/>
      <c r="N924" s="1439"/>
      <c r="O924" s="1439"/>
      <c r="P924" s="1439"/>
      <c r="Q924" s="1439"/>
      <c r="R924" s="1439"/>
      <c r="S924" s="1439"/>
      <c r="T924" s="1439"/>
      <c r="U924" s="1439"/>
      <c r="V924" s="1439"/>
      <c r="W924" s="1439"/>
      <c r="X924" s="1439"/>
      <c r="Y924" s="1439"/>
      <c r="Z924" s="1439"/>
      <c r="AA924" s="1439"/>
      <c r="AB924" s="1439"/>
      <c r="AC924" s="1439"/>
      <c r="AD924" s="1439"/>
      <c r="AE924" s="1439"/>
      <c r="AF924" s="1439"/>
      <c r="AG924" s="1439"/>
    </row>
    <row r="925" spans="1:33" ht="15.75" customHeight="1">
      <c r="A925" s="1451"/>
      <c r="B925" s="1444" t="s">
        <v>3697</v>
      </c>
      <c r="C925" s="1477"/>
      <c r="D925" s="1477"/>
      <c r="E925" s="1477"/>
      <c r="F925" s="1478"/>
      <c r="G925" s="1478"/>
      <c r="H925" s="1500"/>
      <c r="I925" s="1494"/>
      <c r="J925" s="1475"/>
      <c r="K925" s="1439"/>
      <c r="L925" s="1463"/>
      <c r="M925" s="1463"/>
      <c r="N925" s="1463"/>
      <c r="O925" s="1439"/>
      <c r="P925" s="1439"/>
      <c r="Q925" s="1439"/>
      <c r="R925" s="1439"/>
      <c r="S925" s="1439"/>
      <c r="T925" s="1439"/>
      <c r="U925" s="1439"/>
      <c r="V925" s="1439"/>
      <c r="W925" s="1439"/>
      <c r="X925" s="1439"/>
      <c r="Y925" s="1439"/>
      <c r="Z925" s="1439"/>
      <c r="AA925" s="1439"/>
      <c r="AB925" s="1439"/>
      <c r="AC925" s="1439"/>
      <c r="AD925" s="1439"/>
      <c r="AE925" s="1439"/>
      <c r="AF925" s="1439"/>
      <c r="AG925" s="1439"/>
    </row>
    <row r="926" spans="1:33" ht="15.75" customHeight="1">
      <c r="A926" s="1470"/>
      <c r="B926" s="1503"/>
      <c r="C926" s="1477"/>
      <c r="D926" s="1477"/>
      <c r="E926" s="1504"/>
      <c r="F926" s="1478"/>
      <c r="G926" s="1500"/>
      <c r="H926" s="1494"/>
      <c r="I926" s="1494"/>
      <c r="J926" s="1475"/>
      <c r="K926" s="1439"/>
      <c r="L926" s="1463"/>
      <c r="M926" s="1463"/>
      <c r="N926" s="1463"/>
      <c r="O926" s="1439"/>
      <c r="P926" s="1439"/>
      <c r="Q926" s="1439"/>
      <c r="R926" s="1439"/>
      <c r="S926" s="1439"/>
      <c r="T926" s="1439"/>
      <c r="U926" s="1439"/>
      <c r="V926" s="1439"/>
      <c r="W926" s="1439"/>
      <c r="X926" s="1439"/>
      <c r="Y926" s="1439"/>
      <c r="Z926" s="1439"/>
      <c r="AA926" s="1439"/>
      <c r="AB926" s="1439"/>
      <c r="AC926" s="1439"/>
      <c r="AD926" s="1439"/>
      <c r="AE926" s="1439"/>
      <c r="AF926" s="1439"/>
      <c r="AG926" s="1439"/>
    </row>
    <row r="927" spans="1:33" ht="15.75" customHeight="1">
      <c r="A927" s="1451"/>
      <c r="B927" s="1462" t="s">
        <v>7111</v>
      </c>
      <c r="C927" s="1477">
        <v>2</v>
      </c>
      <c r="D927" s="1477" t="s">
        <v>3364</v>
      </c>
      <c r="E927" s="1477">
        <v>1</v>
      </c>
      <c r="F927" s="1478">
        <v>4.47</v>
      </c>
      <c r="G927" s="1478">
        <v>1.8</v>
      </c>
      <c r="H927" s="1500"/>
      <c r="I927" s="1494">
        <f t="shared" ref="I927:I932" si="53">PRODUCT(C927:H927)</f>
        <v>16.09</v>
      </c>
      <c r="J927" s="1492"/>
      <c r="K927" s="1439"/>
      <c r="L927" s="1439"/>
      <c r="M927" s="1439"/>
      <c r="N927" s="1439"/>
      <c r="O927" s="1439"/>
      <c r="P927" s="1439"/>
      <c r="Q927" s="1439"/>
      <c r="R927" s="1439"/>
      <c r="S927" s="1439"/>
      <c r="T927" s="1439"/>
      <c r="U927" s="1439"/>
      <c r="V927" s="1439"/>
      <c r="W927" s="1439"/>
      <c r="X927" s="1439"/>
      <c r="Y927" s="1439"/>
      <c r="Z927" s="1439"/>
      <c r="AA927" s="1439"/>
      <c r="AB927" s="1439"/>
      <c r="AC927" s="1439"/>
      <c r="AD927" s="1439"/>
      <c r="AE927" s="1439"/>
      <c r="AF927" s="1439"/>
      <c r="AG927" s="1439"/>
    </row>
    <row r="928" spans="1:33" ht="15.75" customHeight="1">
      <c r="A928" s="1451"/>
      <c r="B928" s="1462" t="s">
        <v>7112</v>
      </c>
      <c r="C928" s="1477">
        <v>2</v>
      </c>
      <c r="D928" s="1477" t="s">
        <v>3364</v>
      </c>
      <c r="E928" s="1477">
        <v>1</v>
      </c>
      <c r="F928" s="1478">
        <v>4.79</v>
      </c>
      <c r="G928" s="1478">
        <v>3.83</v>
      </c>
      <c r="H928" s="1500"/>
      <c r="I928" s="1494">
        <f t="shared" si="53"/>
        <v>36.69</v>
      </c>
      <c r="J928" s="1492"/>
      <c r="K928" s="1439"/>
      <c r="L928" s="1439"/>
      <c r="M928" s="1439"/>
      <c r="N928" s="1439"/>
      <c r="O928" s="1439"/>
      <c r="P928" s="1439"/>
      <c r="Q928" s="1439"/>
      <c r="R928" s="1439"/>
      <c r="S928" s="1439"/>
      <c r="T928" s="1439"/>
      <c r="U928" s="1439"/>
      <c r="V928" s="1439"/>
      <c r="W928" s="1439"/>
      <c r="X928" s="1439"/>
      <c r="Y928" s="1439"/>
      <c r="Z928" s="1439"/>
      <c r="AA928" s="1439"/>
      <c r="AB928" s="1439"/>
      <c r="AC928" s="1439"/>
      <c r="AD928" s="1439"/>
      <c r="AE928" s="1439"/>
      <c r="AF928" s="1439"/>
      <c r="AG928" s="1439"/>
    </row>
    <row r="929" spans="1:33" ht="15.75" customHeight="1">
      <c r="A929" s="1505"/>
      <c r="B929" s="1493" t="s">
        <v>7113</v>
      </c>
      <c r="C929" s="1477">
        <v>2</v>
      </c>
      <c r="D929" s="1506" t="s">
        <v>3364</v>
      </c>
      <c r="E929" s="1506">
        <v>1</v>
      </c>
      <c r="F929" s="1507">
        <f>(4.47+1.8)*2</f>
        <v>12.54</v>
      </c>
      <c r="G929" s="1507"/>
      <c r="H929" s="1508">
        <v>0.5</v>
      </c>
      <c r="I929" s="1494">
        <f t="shared" si="53"/>
        <v>12.54</v>
      </c>
      <c r="J929" s="1509"/>
      <c r="K929" s="1510"/>
      <c r="L929" s="1439"/>
      <c r="M929" s="1439"/>
      <c r="N929" s="1439"/>
      <c r="O929" s="1463"/>
      <c r="P929" s="1463"/>
      <c r="Q929" s="1463"/>
      <c r="R929" s="1463"/>
      <c r="S929" s="1463"/>
      <c r="T929" s="1463"/>
      <c r="U929" s="1463"/>
      <c r="V929" s="1463"/>
      <c r="W929" s="1463"/>
      <c r="X929" s="1463"/>
      <c r="Y929" s="1463"/>
      <c r="Z929" s="1463"/>
      <c r="AA929" s="1463"/>
      <c r="AB929" s="1463"/>
      <c r="AC929" s="1463"/>
      <c r="AD929" s="1463"/>
      <c r="AE929" s="1463"/>
      <c r="AF929" s="1463"/>
      <c r="AG929" s="1463"/>
    </row>
    <row r="930" spans="1:33" ht="15.75" customHeight="1">
      <c r="A930" s="1451"/>
      <c r="B930" s="1462" t="s">
        <v>7114</v>
      </c>
      <c r="C930" s="1477">
        <v>2</v>
      </c>
      <c r="D930" s="1477" t="s">
        <v>3364</v>
      </c>
      <c r="E930" s="1477">
        <v>1</v>
      </c>
      <c r="F930" s="1478">
        <f>(4.79+3.83)*2</f>
        <v>17.239999999999998</v>
      </c>
      <c r="G930" s="1478"/>
      <c r="H930" s="1500">
        <v>0.5</v>
      </c>
      <c r="I930" s="1494">
        <f t="shared" si="53"/>
        <v>17.239999999999998</v>
      </c>
      <c r="J930" s="1492"/>
      <c r="K930" s="1439">
        <f>3.04+0.46</f>
        <v>3.5</v>
      </c>
      <c r="L930" s="1463"/>
      <c r="M930" s="1463"/>
      <c r="N930" s="1463"/>
      <c r="O930" s="1439"/>
      <c r="P930" s="1439"/>
      <c r="Q930" s="1439"/>
      <c r="R930" s="1439"/>
      <c r="S930" s="1439"/>
      <c r="T930" s="1439"/>
      <c r="U930" s="1439"/>
      <c r="V930" s="1439"/>
      <c r="W930" s="1439"/>
      <c r="X930" s="1439"/>
      <c r="Y930" s="1439"/>
      <c r="Z930" s="1439"/>
      <c r="AA930" s="1439"/>
      <c r="AB930" s="1439"/>
      <c r="AC930" s="1439"/>
      <c r="AD930" s="1439"/>
      <c r="AE930" s="1439"/>
      <c r="AF930" s="1439"/>
      <c r="AG930" s="1439"/>
    </row>
    <row r="931" spans="1:33" ht="15.75" customHeight="1">
      <c r="A931" s="1505"/>
      <c r="B931" s="1493" t="s">
        <v>3699</v>
      </c>
      <c r="C931" s="1477">
        <v>2</v>
      </c>
      <c r="D931" s="1506" t="s">
        <v>3364</v>
      </c>
      <c r="E931" s="1506">
        <v>1</v>
      </c>
      <c r="F931" s="1507">
        <f>9+7</f>
        <v>16</v>
      </c>
      <c r="G931" s="1507"/>
      <c r="H931" s="1508">
        <v>1.2</v>
      </c>
      <c r="I931" s="1494">
        <f t="shared" si="53"/>
        <v>38.4</v>
      </c>
      <c r="J931" s="1509"/>
      <c r="K931" s="1510"/>
      <c r="L931" s="1439"/>
      <c r="M931" s="1439"/>
      <c r="N931" s="1439"/>
      <c r="O931" s="1463"/>
      <c r="P931" s="1463"/>
      <c r="Q931" s="1463"/>
      <c r="R931" s="1463"/>
      <c r="S931" s="1463"/>
      <c r="T931" s="1463"/>
      <c r="U931" s="1463"/>
      <c r="V931" s="1463"/>
      <c r="W931" s="1463"/>
      <c r="X931" s="1463"/>
      <c r="Y931" s="1463"/>
      <c r="Z931" s="1463"/>
      <c r="AA931" s="1463"/>
      <c r="AB931" s="1463"/>
      <c r="AC931" s="1463"/>
      <c r="AD931" s="1463"/>
      <c r="AE931" s="1463"/>
      <c r="AF931" s="1463"/>
      <c r="AG931" s="1463"/>
    </row>
    <row r="932" spans="1:33" ht="15.75" customHeight="1">
      <c r="A932" s="1511"/>
      <c r="B932" s="1493" t="s">
        <v>3700</v>
      </c>
      <c r="C932" s="1477">
        <v>2</v>
      </c>
      <c r="D932" s="1506" t="s">
        <v>3364</v>
      </c>
      <c r="E932" s="1512">
        <v>1</v>
      </c>
      <c r="F932" s="1446">
        <v>4.5</v>
      </c>
      <c r="G932" s="1446">
        <v>3.5</v>
      </c>
      <c r="H932" s="1447"/>
      <c r="I932" s="1494">
        <f t="shared" si="53"/>
        <v>31.5</v>
      </c>
      <c r="J932" s="1513"/>
      <c r="K932" s="1510"/>
      <c r="L932" s="1439"/>
      <c r="M932" s="1439"/>
      <c r="N932" s="1439"/>
      <c r="O932" s="1463"/>
      <c r="P932" s="1463"/>
      <c r="Q932" s="1463"/>
      <c r="R932" s="1463"/>
      <c r="S932" s="1463"/>
      <c r="T932" s="1463"/>
      <c r="U932" s="1463"/>
      <c r="V932" s="1463"/>
      <c r="W932" s="1463"/>
      <c r="X932" s="1463"/>
      <c r="Y932" s="1463"/>
      <c r="Z932" s="1463"/>
      <c r="AA932" s="1463"/>
      <c r="AB932" s="1463"/>
      <c r="AC932" s="1463"/>
      <c r="AD932" s="1463"/>
      <c r="AE932" s="1463"/>
      <c r="AF932" s="1463"/>
      <c r="AG932" s="1463"/>
    </row>
    <row r="933" spans="1:33" ht="15.75" customHeight="1">
      <c r="A933" s="1470"/>
      <c r="B933" s="1450"/>
      <c r="C933" s="1484"/>
      <c r="D933" s="1484"/>
      <c r="E933" s="1484"/>
      <c r="F933" s="1446"/>
      <c r="G933" s="1441" t="s">
        <v>104</v>
      </c>
      <c r="H933" s="1500"/>
      <c r="I933" s="1459">
        <f>SUM(I926:I932)</f>
        <v>152.46</v>
      </c>
      <c r="J933" s="1475"/>
      <c r="K933" s="1439"/>
      <c r="L933" s="1439"/>
      <c r="M933" s="1439"/>
      <c r="N933" s="1439"/>
      <c r="O933" s="1439"/>
      <c r="P933" s="1439"/>
      <c r="Q933" s="1439"/>
      <c r="R933" s="1439"/>
      <c r="S933" s="1439"/>
      <c r="T933" s="1439"/>
      <c r="U933" s="1439"/>
      <c r="V933" s="1439"/>
      <c r="W933" s="1439"/>
      <c r="X933" s="1439"/>
      <c r="Y933" s="1439"/>
      <c r="Z933" s="1439"/>
      <c r="AA933" s="1439"/>
      <c r="AB933" s="1439"/>
      <c r="AC933" s="1439"/>
      <c r="AD933" s="1439"/>
      <c r="AE933" s="1439"/>
      <c r="AF933" s="1439"/>
      <c r="AG933" s="1439"/>
    </row>
    <row r="934" spans="1:33" ht="15.75" customHeight="1">
      <c r="A934" s="1470"/>
      <c r="B934" s="1450"/>
      <c r="C934" s="1484"/>
      <c r="D934" s="1484"/>
      <c r="E934" s="1484"/>
      <c r="F934" s="1446"/>
      <c r="G934" s="1478"/>
      <c r="H934" s="1442" t="s">
        <v>3473</v>
      </c>
      <c r="I934" s="1459">
        <f>CEILING(I933,0.1)</f>
        <v>152.5</v>
      </c>
      <c r="J934" s="1475" t="s">
        <v>724</v>
      </c>
      <c r="K934" s="1439"/>
      <c r="L934" s="1439"/>
      <c r="M934" s="1439"/>
      <c r="N934" s="1439"/>
      <c r="O934" s="1439"/>
      <c r="P934" s="1439"/>
      <c r="Q934" s="1439"/>
      <c r="R934" s="1439"/>
      <c r="S934" s="1439"/>
      <c r="T934" s="1439"/>
      <c r="U934" s="1439"/>
      <c r="V934" s="1439"/>
      <c r="W934" s="1439"/>
      <c r="X934" s="1439"/>
      <c r="Y934" s="1439"/>
      <c r="Z934" s="1439"/>
      <c r="AA934" s="1439"/>
      <c r="AB934" s="1439"/>
      <c r="AC934" s="1439"/>
      <c r="AD934" s="1439"/>
      <c r="AE934" s="1439"/>
      <c r="AF934" s="1439"/>
      <c r="AG934" s="1439"/>
    </row>
    <row r="935" spans="1:33" ht="157.5">
      <c r="A935" s="1451">
        <v>30</v>
      </c>
      <c r="B935" s="1462" t="s">
        <v>7115</v>
      </c>
      <c r="C935" s="1484"/>
      <c r="D935" s="1484"/>
      <c r="E935" s="1484"/>
      <c r="F935" s="1446"/>
      <c r="G935" s="1446"/>
      <c r="H935" s="1447"/>
      <c r="I935" s="1448"/>
      <c r="J935" s="1475"/>
      <c r="K935" s="1439"/>
      <c r="L935" s="1439"/>
      <c r="M935" s="1439"/>
      <c r="N935" s="1439"/>
      <c r="O935" s="1439"/>
      <c r="P935" s="1439"/>
      <c r="Q935" s="1439"/>
      <c r="R935" s="1439"/>
      <c r="S935" s="1439"/>
      <c r="T935" s="1439"/>
      <c r="U935" s="1439"/>
      <c r="V935" s="1439"/>
      <c r="W935" s="1439"/>
      <c r="X935" s="1439"/>
      <c r="Y935" s="1439"/>
      <c r="Z935" s="1439"/>
      <c r="AA935" s="1439"/>
      <c r="AB935" s="1439"/>
      <c r="AC935" s="1439"/>
      <c r="AD935" s="1439"/>
      <c r="AE935" s="1439"/>
      <c r="AF935" s="1439"/>
      <c r="AG935" s="1439"/>
    </row>
    <row r="936" spans="1:33" ht="14.25" customHeight="1">
      <c r="A936" s="1505"/>
      <c r="B936" s="1493" t="s">
        <v>3478</v>
      </c>
      <c r="C936" s="1506">
        <v>1</v>
      </c>
      <c r="D936" s="1506" t="s">
        <v>3364</v>
      </c>
      <c r="E936" s="1506">
        <v>1</v>
      </c>
      <c r="F936" s="1507">
        <v>4.96</v>
      </c>
      <c r="G936" s="1507">
        <v>3.96</v>
      </c>
      <c r="H936" s="1508"/>
      <c r="I936" s="1494">
        <f>PRODUCT(C936:H936)</f>
        <v>19.64</v>
      </c>
      <c r="J936" s="1509"/>
      <c r="K936" s="1510"/>
      <c r="L936" s="1439"/>
      <c r="M936" s="1439"/>
      <c r="N936" s="1439"/>
      <c r="O936" s="1463"/>
      <c r="P936" s="1463"/>
      <c r="Q936" s="1463"/>
      <c r="R936" s="1463"/>
      <c r="S936" s="1463"/>
      <c r="T936" s="1463"/>
      <c r="U936" s="1463"/>
      <c r="V936" s="1463"/>
      <c r="W936" s="1463"/>
      <c r="X936" s="1463"/>
      <c r="Y936" s="1463"/>
      <c r="Z936" s="1463"/>
      <c r="AA936" s="1463"/>
      <c r="AB936" s="1463"/>
      <c r="AC936" s="1463"/>
      <c r="AD936" s="1463"/>
      <c r="AE936" s="1463"/>
      <c r="AF936" s="1463"/>
      <c r="AG936" s="1463"/>
    </row>
    <row r="937" spans="1:33" ht="14.25" customHeight="1">
      <c r="A937" s="1470"/>
      <c r="B937" s="1450"/>
      <c r="C937" s="1484"/>
      <c r="D937" s="1484"/>
      <c r="E937" s="1484"/>
      <c r="F937" s="1446"/>
      <c r="G937" s="1478"/>
      <c r="I937" s="1459">
        <f>SUM(I936)</f>
        <v>19.64</v>
      </c>
      <c r="K937" s="1439"/>
      <c r="L937" s="1439"/>
      <c r="M937" s="1439"/>
      <c r="N937" s="1439"/>
      <c r="O937" s="1439"/>
      <c r="P937" s="1439"/>
      <c r="Q937" s="1439"/>
      <c r="R937" s="1439"/>
      <c r="S937" s="1439"/>
      <c r="T937" s="1439"/>
      <c r="U937" s="1439"/>
      <c r="V937" s="1439"/>
      <c r="W937" s="1439"/>
      <c r="X937" s="1439"/>
      <c r="Y937" s="1439"/>
      <c r="Z937" s="1439"/>
      <c r="AA937" s="1439"/>
      <c r="AB937" s="1439"/>
      <c r="AC937" s="1439"/>
      <c r="AD937" s="1439"/>
      <c r="AE937" s="1439"/>
      <c r="AF937" s="1439"/>
      <c r="AG937" s="1439"/>
    </row>
    <row r="938" spans="1:33" ht="14.25" customHeight="1">
      <c r="A938" s="1470"/>
      <c r="B938" s="1450"/>
      <c r="C938" s="1484"/>
      <c r="D938" s="1484"/>
      <c r="E938" s="1484"/>
      <c r="F938" s="1446"/>
      <c r="G938" s="1478"/>
      <c r="H938" s="1442" t="s">
        <v>3473</v>
      </c>
      <c r="I938" s="1515">
        <f>CEILING(I936,0.1)</f>
        <v>19.7</v>
      </c>
      <c r="J938" s="1475" t="s">
        <v>724</v>
      </c>
      <c r="K938" s="1439"/>
      <c r="L938" s="1439"/>
      <c r="M938" s="1439"/>
      <c r="N938" s="1439"/>
      <c r="O938" s="1439"/>
      <c r="P938" s="1439"/>
      <c r="Q938" s="1439"/>
      <c r="R938" s="1439"/>
      <c r="S938" s="1439"/>
      <c r="T938" s="1439"/>
      <c r="U938" s="1439"/>
      <c r="V938" s="1439"/>
      <c r="W938" s="1439"/>
      <c r="X938" s="1439"/>
      <c r="Y938" s="1439"/>
      <c r="Z938" s="1439"/>
      <c r="AA938" s="1439"/>
      <c r="AB938" s="1439"/>
      <c r="AC938" s="1439"/>
      <c r="AD938" s="1439"/>
      <c r="AE938" s="1439"/>
      <c r="AF938" s="1439"/>
      <c r="AG938" s="1439"/>
    </row>
    <row r="939" spans="1:33" s="1524" customFormat="1">
      <c r="A939" s="1516">
        <v>31</v>
      </c>
      <c r="B939" s="1517" t="s">
        <v>3479</v>
      </c>
      <c r="C939" s="1518"/>
      <c r="D939" s="1518"/>
      <c r="E939" s="1518"/>
      <c r="F939" s="1519"/>
      <c r="G939" s="1520"/>
      <c r="H939" s="1521"/>
      <c r="I939" s="1515"/>
      <c r="J939" s="1522"/>
      <c r="K939" s="1523"/>
      <c r="L939" s="1523"/>
      <c r="M939" s="1523"/>
      <c r="N939" s="1523"/>
      <c r="O939" s="1523"/>
      <c r="P939" s="1523"/>
      <c r="Q939" s="1523"/>
      <c r="R939" s="1523"/>
      <c r="S939" s="1523"/>
      <c r="T939" s="1523"/>
      <c r="U939" s="1523"/>
      <c r="V939" s="1523"/>
      <c r="W939" s="1523"/>
      <c r="X939" s="1523"/>
      <c r="Y939" s="1523"/>
      <c r="Z939" s="1523"/>
      <c r="AA939" s="1523"/>
      <c r="AB939" s="1523"/>
      <c r="AC939" s="1523"/>
      <c r="AD939" s="1523"/>
      <c r="AE939" s="1523"/>
      <c r="AF939" s="1523"/>
      <c r="AG939" s="1523"/>
    </row>
    <row r="940" spans="1:33" ht="15.75" customHeight="1">
      <c r="A940" s="1470"/>
      <c r="B940" s="1491" t="s">
        <v>7503</v>
      </c>
      <c r="C940" s="1484"/>
      <c r="D940" s="1484"/>
      <c r="E940" s="1484"/>
      <c r="F940" s="1446"/>
      <c r="G940" s="1446"/>
      <c r="H940" s="1442"/>
      <c r="I940" s="1494">
        <f t="shared" ref="I940:I953" si="54">PRODUCT(C940:H940)</f>
        <v>0</v>
      </c>
      <c r="J940" s="1475"/>
      <c r="K940" s="1439"/>
      <c r="L940" s="1439"/>
      <c r="M940" s="1439"/>
      <c r="N940" s="1439"/>
      <c r="O940" s="1439"/>
      <c r="P940" s="1439"/>
      <c r="Q940" s="1439"/>
      <c r="R940" s="1439"/>
      <c r="S940" s="1439"/>
      <c r="T940" s="1439"/>
      <c r="U940" s="1439"/>
      <c r="V940" s="1439"/>
      <c r="W940" s="1439"/>
      <c r="X940" s="1439"/>
      <c r="Y940" s="1439"/>
      <c r="Z940" s="1439"/>
      <c r="AA940" s="1439"/>
      <c r="AB940" s="1439"/>
      <c r="AC940" s="1439"/>
      <c r="AD940" s="1439"/>
      <c r="AE940" s="1439"/>
      <c r="AF940" s="1439"/>
      <c r="AG940" s="1439"/>
    </row>
    <row r="941" spans="1:33" ht="15.75" customHeight="1">
      <c r="A941" s="1470"/>
      <c r="B941" s="1499" t="s">
        <v>7504</v>
      </c>
      <c r="C941" s="1484">
        <v>2</v>
      </c>
      <c r="D941" s="1484" t="s">
        <v>3364</v>
      </c>
      <c r="E941" s="1484">
        <v>1</v>
      </c>
      <c r="F941" s="1446">
        <v>1.89</v>
      </c>
      <c r="G941" s="1446">
        <v>1.76</v>
      </c>
      <c r="H941" s="1442">
        <v>0.4</v>
      </c>
      <c r="I941" s="1494">
        <f t="shared" si="54"/>
        <v>2.66</v>
      </c>
      <c r="J941" s="1475"/>
      <c r="K941" s="1439"/>
      <c r="L941" s="1439"/>
      <c r="M941" s="1439"/>
      <c r="N941" s="1439"/>
      <c r="O941" s="1439"/>
      <c r="P941" s="1439"/>
      <c r="Q941" s="1439"/>
      <c r="R941" s="1439"/>
      <c r="S941" s="1439"/>
      <c r="T941" s="1439"/>
      <c r="U941" s="1439"/>
      <c r="V941" s="1439"/>
      <c r="W941" s="1439"/>
      <c r="X941" s="1439"/>
      <c r="Y941" s="1439"/>
      <c r="Z941" s="1439"/>
      <c r="AA941" s="1439"/>
      <c r="AB941" s="1439"/>
      <c r="AC941" s="1439"/>
      <c r="AD941" s="1439"/>
      <c r="AE941" s="1439"/>
      <c r="AF941" s="1439"/>
      <c r="AG941" s="1439"/>
    </row>
    <row r="942" spans="1:33" ht="15.75" customHeight="1">
      <c r="A942" s="1470"/>
      <c r="B942" s="1474" t="s">
        <v>7120</v>
      </c>
      <c r="C942" s="1484">
        <v>1</v>
      </c>
      <c r="D942" s="1484" t="s">
        <v>3364</v>
      </c>
      <c r="E942" s="1484">
        <v>1</v>
      </c>
      <c r="F942" s="1446">
        <v>1.89</v>
      </c>
      <c r="G942" s="1446">
        <v>1.76</v>
      </c>
      <c r="H942" s="1442">
        <v>0.4</v>
      </c>
      <c r="I942" s="1494">
        <f t="shared" si="54"/>
        <v>1.33</v>
      </c>
      <c r="J942" s="1475"/>
      <c r="K942" s="1439"/>
      <c r="L942" s="1439"/>
      <c r="M942" s="1439"/>
      <c r="N942" s="1439"/>
      <c r="O942" s="1439"/>
      <c r="P942" s="1439"/>
      <c r="Q942" s="1439"/>
      <c r="R942" s="1439"/>
      <c r="S942" s="1439"/>
      <c r="T942" s="1439"/>
      <c r="U942" s="1439"/>
      <c r="V942" s="1439"/>
      <c r="W942" s="1439"/>
      <c r="X942" s="1439"/>
      <c r="Y942" s="1439"/>
      <c r="Z942" s="1439"/>
      <c r="AA942" s="1439"/>
      <c r="AB942" s="1439"/>
      <c r="AC942" s="1439"/>
      <c r="AD942" s="1439"/>
      <c r="AE942" s="1439"/>
      <c r="AF942" s="1439"/>
      <c r="AG942" s="1439"/>
    </row>
    <row r="943" spans="1:33" ht="15.75" customHeight="1">
      <c r="A943" s="1470"/>
      <c r="B943" s="1499" t="s">
        <v>7505</v>
      </c>
      <c r="C943" s="1484">
        <v>1</v>
      </c>
      <c r="D943" s="1488" t="s">
        <v>3364</v>
      </c>
      <c r="E943" s="1484">
        <v>1</v>
      </c>
      <c r="F943" s="1446">
        <v>3.43</v>
      </c>
      <c r="G943" s="1446">
        <v>2.2450000000000001</v>
      </c>
      <c r="H943" s="1442">
        <v>0.4</v>
      </c>
      <c r="I943" s="1494">
        <f t="shared" si="54"/>
        <v>3.08</v>
      </c>
      <c r="J943" s="1475"/>
      <c r="K943" s="1439"/>
      <c r="L943" s="1439"/>
      <c r="M943" s="1439"/>
      <c r="N943" s="1439"/>
      <c r="O943" s="1439"/>
      <c r="P943" s="1439"/>
      <c r="Q943" s="1439"/>
      <c r="R943" s="1439"/>
      <c r="S943" s="1439"/>
      <c r="T943" s="1439"/>
      <c r="U943" s="1439"/>
      <c r="V943" s="1439"/>
      <c r="W943" s="1439"/>
      <c r="X943" s="1439"/>
      <c r="Y943" s="1439"/>
      <c r="Z943" s="1439"/>
      <c r="AA943" s="1439"/>
      <c r="AB943" s="1439"/>
      <c r="AC943" s="1439"/>
      <c r="AD943" s="1439"/>
      <c r="AE943" s="1439"/>
      <c r="AF943" s="1439"/>
      <c r="AG943" s="1439"/>
    </row>
    <row r="944" spans="1:33" ht="15.75" customHeight="1">
      <c r="A944" s="1470"/>
      <c r="B944" s="1491" t="s">
        <v>7166</v>
      </c>
      <c r="C944" s="1484"/>
      <c r="D944" s="1484"/>
      <c r="E944" s="1484"/>
      <c r="F944" s="1446"/>
      <c r="G944" s="1446"/>
      <c r="H944" s="1442"/>
      <c r="I944" s="1494">
        <f t="shared" si="54"/>
        <v>0</v>
      </c>
      <c r="J944" s="1475"/>
      <c r="K944" s="1439"/>
      <c r="L944" s="1439"/>
      <c r="M944" s="1439"/>
      <c r="N944" s="1439"/>
      <c r="O944" s="1439"/>
      <c r="P944" s="1439"/>
      <c r="Q944" s="1439"/>
      <c r="R944" s="1439"/>
      <c r="S944" s="1439"/>
      <c r="T944" s="1439"/>
      <c r="U944" s="1439"/>
      <c r="V944" s="1439"/>
      <c r="W944" s="1439"/>
      <c r="X944" s="1439"/>
      <c r="Y944" s="1439"/>
      <c r="Z944" s="1439"/>
      <c r="AA944" s="1439"/>
      <c r="AB944" s="1439"/>
      <c r="AC944" s="1439"/>
      <c r="AD944" s="1439"/>
      <c r="AE944" s="1439"/>
      <c r="AF944" s="1439"/>
      <c r="AG944" s="1439"/>
    </row>
    <row r="945" spans="1:33" ht="15.75" customHeight="1">
      <c r="A945" s="1470"/>
      <c r="B945" s="1499" t="s">
        <v>7480</v>
      </c>
      <c r="C945" s="1484">
        <v>1</v>
      </c>
      <c r="D945" s="1484" t="s">
        <v>3364</v>
      </c>
      <c r="E945" s="1484">
        <v>1</v>
      </c>
      <c r="F945" s="1446">
        <f>7.055+2+0.23</f>
        <v>9.2850000000000001</v>
      </c>
      <c r="G945" s="1446">
        <v>4.57</v>
      </c>
      <c r="H945" s="1442">
        <v>0.4</v>
      </c>
      <c r="I945" s="1494">
        <f t="shared" si="54"/>
        <v>16.97</v>
      </c>
      <c r="J945" s="1475"/>
      <c r="K945" s="1439"/>
      <c r="L945" s="1439"/>
      <c r="M945" s="1439"/>
      <c r="N945" s="1439"/>
      <c r="O945" s="1439"/>
      <c r="P945" s="1439"/>
      <c r="Q945" s="1439"/>
      <c r="R945" s="1439"/>
      <c r="S945" s="1439"/>
      <c r="T945" s="1439"/>
      <c r="U945" s="1439"/>
      <c r="V945" s="1439"/>
      <c r="W945" s="1439"/>
      <c r="X945" s="1439"/>
      <c r="Y945" s="1439"/>
      <c r="Z945" s="1439"/>
      <c r="AA945" s="1439"/>
      <c r="AB945" s="1439"/>
      <c r="AC945" s="1439"/>
      <c r="AD945" s="1439"/>
      <c r="AE945" s="1439"/>
      <c r="AF945" s="1439"/>
      <c r="AG945" s="1439"/>
    </row>
    <row r="946" spans="1:33" ht="15.75" customHeight="1">
      <c r="A946" s="1470"/>
      <c r="B946" s="1499" t="s">
        <v>7506</v>
      </c>
      <c r="C946" s="1484">
        <v>2</v>
      </c>
      <c r="D946" s="1484" t="s">
        <v>3364</v>
      </c>
      <c r="E946" s="1484">
        <v>1</v>
      </c>
      <c r="F946" s="1446">
        <v>2</v>
      </c>
      <c r="G946" s="1446">
        <v>2.4</v>
      </c>
      <c r="H946" s="1442">
        <v>0.4</v>
      </c>
      <c r="I946" s="1494">
        <f t="shared" si="54"/>
        <v>3.84</v>
      </c>
      <c r="J946" s="1475"/>
      <c r="K946" s="1439"/>
      <c r="L946" s="1439"/>
      <c r="M946" s="1439"/>
      <c r="N946" s="1439"/>
      <c r="O946" s="1439"/>
      <c r="P946" s="1439"/>
      <c r="Q946" s="1439"/>
      <c r="R946" s="1439"/>
      <c r="S946" s="1439"/>
      <c r="T946" s="1439"/>
      <c r="U946" s="1439"/>
      <c r="V946" s="1439"/>
      <c r="W946" s="1439"/>
      <c r="X946" s="1439"/>
      <c r="Y946" s="1439"/>
      <c r="Z946" s="1439"/>
      <c r="AA946" s="1439"/>
      <c r="AB946" s="1439"/>
      <c r="AC946" s="1439"/>
      <c r="AD946" s="1439"/>
      <c r="AE946" s="1439"/>
      <c r="AF946" s="1439"/>
      <c r="AG946" s="1439"/>
    </row>
    <row r="947" spans="1:33" ht="15.75" customHeight="1">
      <c r="A947" s="1470"/>
      <c r="B947" s="1499" t="s">
        <v>7507</v>
      </c>
      <c r="C947" s="1484">
        <v>4</v>
      </c>
      <c r="D947" s="1484" t="s">
        <v>3364</v>
      </c>
      <c r="E947" s="1484">
        <v>1</v>
      </c>
      <c r="F947" s="1446">
        <v>1.89</v>
      </c>
      <c r="G947" s="1446">
        <v>1.76</v>
      </c>
      <c r="H947" s="1442">
        <v>0.4</v>
      </c>
      <c r="I947" s="1494">
        <f t="shared" si="54"/>
        <v>5.32</v>
      </c>
      <c r="J947" s="1475"/>
      <c r="K947" s="1439"/>
      <c r="L947" s="1439"/>
      <c r="M947" s="1439"/>
      <c r="N947" s="1439"/>
      <c r="O947" s="1439"/>
      <c r="P947" s="1439"/>
      <c r="Q947" s="1439"/>
      <c r="R947" s="1439"/>
      <c r="S947" s="1439"/>
      <c r="T947" s="1439"/>
      <c r="U947" s="1439"/>
      <c r="V947" s="1439"/>
      <c r="W947" s="1439"/>
      <c r="X947" s="1439"/>
      <c r="Y947" s="1439"/>
      <c r="Z947" s="1439"/>
      <c r="AA947" s="1439"/>
      <c r="AB947" s="1439"/>
      <c r="AC947" s="1439"/>
      <c r="AD947" s="1439"/>
      <c r="AE947" s="1439"/>
      <c r="AF947" s="1439"/>
      <c r="AG947" s="1439"/>
    </row>
    <row r="948" spans="1:33" ht="15.75" customHeight="1">
      <c r="A948" s="1470"/>
      <c r="B948" s="1491" t="s">
        <v>3616</v>
      </c>
      <c r="C948" s="1484"/>
      <c r="D948" s="1484"/>
      <c r="E948" s="1484"/>
      <c r="F948" s="1446"/>
      <c r="G948" s="1446"/>
      <c r="H948" s="1442"/>
      <c r="I948" s="1494">
        <f t="shared" si="54"/>
        <v>0</v>
      </c>
      <c r="J948" s="1475"/>
      <c r="K948" s="1439"/>
      <c r="L948" s="1439"/>
      <c r="M948" s="1439"/>
      <c r="N948" s="1439"/>
      <c r="O948" s="1439"/>
      <c r="P948" s="1439"/>
      <c r="Q948" s="1439"/>
      <c r="R948" s="1439"/>
      <c r="S948" s="1439"/>
      <c r="T948" s="1439"/>
      <c r="U948" s="1439"/>
      <c r="V948" s="1439"/>
      <c r="W948" s="1439"/>
      <c r="X948" s="1439"/>
      <c r="Y948" s="1439"/>
      <c r="Z948" s="1439"/>
      <c r="AA948" s="1439"/>
      <c r="AB948" s="1439"/>
      <c r="AC948" s="1439"/>
      <c r="AD948" s="1439"/>
      <c r="AE948" s="1439"/>
      <c r="AF948" s="1439"/>
      <c r="AG948" s="1439"/>
    </row>
    <row r="949" spans="1:33" ht="15.75" customHeight="1">
      <c r="A949" s="1470"/>
      <c r="B949" s="1499" t="s">
        <v>7480</v>
      </c>
      <c r="C949" s="1484">
        <v>1</v>
      </c>
      <c r="D949" s="1484" t="s">
        <v>3364</v>
      </c>
      <c r="E949" s="1484">
        <v>1</v>
      </c>
      <c r="F949" s="1446">
        <f>7.055+2+0.23</f>
        <v>9.2850000000000001</v>
      </c>
      <c r="G949" s="1446">
        <v>4.57</v>
      </c>
      <c r="H949" s="1442">
        <v>0.4</v>
      </c>
      <c r="I949" s="1494">
        <f t="shared" si="54"/>
        <v>16.97</v>
      </c>
      <c r="J949" s="1475"/>
      <c r="K949" s="1439"/>
      <c r="L949" s="1439"/>
      <c r="M949" s="1439"/>
      <c r="N949" s="1439"/>
      <c r="O949" s="1439"/>
      <c r="P949" s="1439"/>
      <c r="Q949" s="1439"/>
      <c r="R949" s="1439"/>
      <c r="S949" s="1439"/>
      <c r="T949" s="1439"/>
      <c r="U949" s="1439"/>
      <c r="V949" s="1439"/>
      <c r="W949" s="1439"/>
      <c r="X949" s="1439"/>
      <c r="Y949" s="1439"/>
      <c r="Z949" s="1439"/>
      <c r="AA949" s="1439"/>
      <c r="AB949" s="1439"/>
      <c r="AC949" s="1439"/>
      <c r="AD949" s="1439"/>
      <c r="AE949" s="1439"/>
      <c r="AF949" s="1439"/>
      <c r="AG949" s="1439"/>
    </row>
    <row r="950" spans="1:33" ht="15.75" customHeight="1">
      <c r="A950" s="1470"/>
      <c r="B950" s="1499" t="s">
        <v>7508</v>
      </c>
      <c r="C950" s="1484">
        <v>2</v>
      </c>
      <c r="D950" s="1484" t="s">
        <v>3364</v>
      </c>
      <c r="E950" s="1484">
        <v>1</v>
      </c>
      <c r="F950" s="1446">
        <v>1.89</v>
      </c>
      <c r="G950" s="1446">
        <v>1.76</v>
      </c>
      <c r="H950" s="1442">
        <v>0.4</v>
      </c>
      <c r="I950" s="1494">
        <f t="shared" si="54"/>
        <v>2.66</v>
      </c>
      <c r="J950" s="1475"/>
      <c r="K950" s="1439"/>
      <c r="L950" s="1439"/>
      <c r="M950" s="1439"/>
      <c r="N950" s="1439"/>
      <c r="O950" s="1439"/>
      <c r="P950" s="1439"/>
      <c r="Q950" s="1439"/>
      <c r="R950" s="1439"/>
      <c r="S950" s="1439"/>
      <c r="T950" s="1439"/>
      <c r="U950" s="1439"/>
      <c r="V950" s="1439"/>
      <c r="W950" s="1439"/>
      <c r="X950" s="1439"/>
      <c r="Y950" s="1439"/>
      <c r="Z950" s="1439"/>
      <c r="AA950" s="1439"/>
      <c r="AB950" s="1439"/>
      <c r="AC950" s="1439"/>
      <c r="AD950" s="1439"/>
      <c r="AE950" s="1439"/>
      <c r="AF950" s="1439"/>
      <c r="AG950" s="1439"/>
    </row>
    <row r="951" spans="1:33" ht="15.75" customHeight="1">
      <c r="A951" s="1470"/>
      <c r="B951" s="1452" t="s">
        <v>7509</v>
      </c>
      <c r="C951" s="1484">
        <v>1</v>
      </c>
      <c r="D951" s="1484" t="s">
        <v>3364</v>
      </c>
      <c r="E951" s="1484">
        <v>1</v>
      </c>
      <c r="F951" s="1446">
        <v>2</v>
      </c>
      <c r="G951" s="1446">
        <v>2.4</v>
      </c>
      <c r="H951" s="1442">
        <v>0.4</v>
      </c>
      <c r="I951" s="1494">
        <f t="shared" si="54"/>
        <v>1.92</v>
      </c>
      <c r="J951" s="1475"/>
      <c r="K951" s="1439"/>
      <c r="L951" s="1439"/>
      <c r="M951" s="1439"/>
      <c r="N951" s="1439"/>
      <c r="O951" s="1439"/>
      <c r="P951" s="1439"/>
      <c r="Q951" s="1439"/>
      <c r="R951" s="1439"/>
      <c r="S951" s="1439"/>
      <c r="T951" s="1439"/>
      <c r="U951" s="1439"/>
      <c r="V951" s="1439"/>
      <c r="W951" s="1439"/>
      <c r="X951" s="1439"/>
      <c r="Y951" s="1439"/>
      <c r="Z951" s="1439"/>
      <c r="AA951" s="1439"/>
      <c r="AB951" s="1439"/>
      <c r="AC951" s="1439"/>
      <c r="AD951" s="1439"/>
      <c r="AE951" s="1439"/>
      <c r="AF951" s="1439"/>
      <c r="AG951" s="1439"/>
    </row>
    <row r="952" spans="1:33" ht="15.75" customHeight="1">
      <c r="A952" s="1470"/>
      <c r="B952" s="1491" t="s">
        <v>386</v>
      </c>
      <c r="C952" s="1484"/>
      <c r="D952" s="1484"/>
      <c r="E952" s="1484"/>
      <c r="F952" s="1446"/>
      <c r="G952" s="1446"/>
      <c r="H952" s="1442"/>
      <c r="I952" s="1494">
        <f t="shared" si="54"/>
        <v>0</v>
      </c>
      <c r="J952" s="1475"/>
      <c r="K952" s="1439"/>
      <c r="L952" s="1439"/>
      <c r="M952" s="1439"/>
      <c r="N952" s="1439"/>
      <c r="O952" s="1439"/>
      <c r="P952" s="1439"/>
      <c r="Q952" s="1439"/>
      <c r="R952" s="1439"/>
      <c r="S952" s="1439"/>
      <c r="T952" s="1439"/>
      <c r="U952" s="1439"/>
      <c r="V952" s="1439"/>
      <c r="W952" s="1439"/>
      <c r="X952" s="1439"/>
      <c r="Y952" s="1439"/>
      <c r="Z952" s="1439"/>
      <c r="AA952" s="1439"/>
      <c r="AB952" s="1439"/>
      <c r="AC952" s="1439"/>
      <c r="AD952" s="1439"/>
      <c r="AE952" s="1439"/>
      <c r="AF952" s="1439"/>
      <c r="AG952" s="1439"/>
    </row>
    <row r="953" spans="1:33" ht="15.75" customHeight="1">
      <c r="A953" s="1470"/>
      <c r="B953" s="1499" t="s">
        <v>7480</v>
      </c>
      <c r="C953" s="1484">
        <v>1</v>
      </c>
      <c r="D953" s="1484" t="s">
        <v>3364</v>
      </c>
      <c r="E953" s="1484">
        <v>1</v>
      </c>
      <c r="F953" s="1446">
        <f>7.055+2+0.23</f>
        <v>9.2850000000000001</v>
      </c>
      <c r="G953" s="1446">
        <v>4.57</v>
      </c>
      <c r="H953" s="1442">
        <v>0.4</v>
      </c>
      <c r="I953" s="1494">
        <f t="shared" si="54"/>
        <v>16.97</v>
      </c>
      <c r="J953" s="1475"/>
      <c r="K953" s="1439"/>
      <c r="L953" s="1439"/>
      <c r="M953" s="1439"/>
      <c r="N953" s="1439"/>
      <c r="O953" s="1439"/>
      <c r="P953" s="1439"/>
      <c r="Q953" s="1439"/>
      <c r="R953" s="1439"/>
      <c r="S953" s="1439"/>
      <c r="T953" s="1439"/>
      <c r="U953" s="1439"/>
      <c r="V953" s="1439"/>
      <c r="W953" s="1439"/>
      <c r="X953" s="1439"/>
      <c r="Y953" s="1439"/>
      <c r="Z953" s="1439"/>
      <c r="AA953" s="1439"/>
      <c r="AB953" s="1439"/>
      <c r="AC953" s="1439"/>
      <c r="AD953" s="1439"/>
      <c r="AE953" s="1439"/>
      <c r="AF953" s="1439"/>
      <c r="AG953" s="1439"/>
    </row>
    <row r="954" spans="1:33" ht="15.75" customHeight="1">
      <c r="A954" s="1470"/>
      <c r="B954" s="1462"/>
      <c r="C954" s="1484"/>
      <c r="D954" s="1484"/>
      <c r="E954" s="1484"/>
      <c r="F954" s="1446"/>
      <c r="G954" s="1478"/>
      <c r="H954" s="1442"/>
      <c r="I954" s="1494">
        <f>SUM(I940:I953)</f>
        <v>71.72</v>
      </c>
      <c r="J954" s="1475"/>
      <c r="K954" s="1439"/>
      <c r="L954" s="1439"/>
      <c r="M954" s="1439"/>
      <c r="N954" s="1439"/>
      <c r="O954" s="1439"/>
      <c r="P954" s="1439"/>
      <c r="Q954" s="1439"/>
      <c r="R954" s="1439"/>
      <c r="S954" s="1439"/>
      <c r="T954" s="1439"/>
      <c r="U954" s="1439"/>
      <c r="V954" s="1439"/>
      <c r="W954" s="1439"/>
      <c r="X954" s="1439"/>
      <c r="Y954" s="1439"/>
      <c r="Z954" s="1439"/>
      <c r="AA954" s="1439"/>
      <c r="AB954" s="1439"/>
      <c r="AC954" s="1439"/>
      <c r="AD954" s="1439"/>
      <c r="AE954" s="1439"/>
      <c r="AF954" s="1439"/>
      <c r="AG954" s="1439"/>
    </row>
    <row r="955" spans="1:33" ht="15.75" customHeight="1">
      <c r="A955" s="1470"/>
      <c r="B955" s="1462"/>
      <c r="C955" s="1484"/>
      <c r="D955" s="1484"/>
      <c r="E955" s="1484"/>
      <c r="F955" s="1446"/>
      <c r="G955" s="1478"/>
      <c r="H955" s="1442" t="s">
        <v>3473</v>
      </c>
      <c r="I955" s="1459">
        <f>CEILING(I954,0.1)</f>
        <v>71.8</v>
      </c>
      <c r="J955" s="1475" t="s">
        <v>5</v>
      </c>
      <c r="K955" s="1439"/>
      <c r="L955" s="1439"/>
      <c r="M955" s="1439"/>
      <c r="N955" s="1439"/>
      <c r="O955" s="1439"/>
      <c r="P955" s="1439"/>
      <c r="Q955" s="1439"/>
      <c r="R955" s="1439"/>
      <c r="S955" s="1439"/>
      <c r="T955" s="1439"/>
      <c r="U955" s="1439"/>
      <c r="V955" s="1439"/>
      <c r="W955" s="1439"/>
      <c r="X955" s="1439"/>
      <c r="Y955" s="1439"/>
      <c r="Z955" s="1439"/>
      <c r="AA955" s="1439"/>
      <c r="AB955" s="1439"/>
      <c r="AC955" s="1439"/>
      <c r="AD955" s="1439"/>
      <c r="AE955" s="1439"/>
      <c r="AF955" s="1439"/>
      <c r="AG955" s="1439"/>
    </row>
    <row r="956" spans="1:33" ht="110.25">
      <c r="A956" s="1470">
        <v>33</v>
      </c>
      <c r="B956" s="1444" t="s">
        <v>7132</v>
      </c>
      <c r="C956" s="1484"/>
      <c r="D956" s="1484"/>
      <c r="E956" s="1484"/>
      <c r="F956" s="1446"/>
      <c r="G956" s="1446"/>
      <c r="H956" s="1447"/>
      <c r="I956" s="1448"/>
      <c r="J956" s="1475"/>
      <c r="K956" s="1439"/>
      <c r="L956" s="1439"/>
      <c r="M956" s="1439"/>
      <c r="N956" s="1439"/>
      <c r="O956" s="1439"/>
      <c r="P956" s="1439"/>
      <c r="Q956" s="1439"/>
      <c r="R956" s="1439"/>
      <c r="S956" s="1439"/>
      <c r="T956" s="1439"/>
      <c r="U956" s="1439"/>
      <c r="V956" s="1439"/>
      <c r="W956" s="1439"/>
      <c r="X956" s="1439"/>
      <c r="Y956" s="1439"/>
      <c r="Z956" s="1439"/>
      <c r="AA956" s="1439"/>
      <c r="AB956" s="1439"/>
      <c r="AC956" s="1439"/>
      <c r="AD956" s="1439"/>
      <c r="AE956" s="1439"/>
      <c r="AF956" s="1439"/>
      <c r="AG956" s="1439"/>
    </row>
    <row r="957" spans="1:33" ht="15.75" customHeight="1">
      <c r="A957" s="1470"/>
      <c r="B957" s="1456" t="s">
        <v>7133</v>
      </c>
      <c r="C957" s="1484"/>
      <c r="D957" s="1484"/>
      <c r="E957" s="1484"/>
      <c r="F957" s="1446"/>
      <c r="G957" s="1446"/>
      <c r="H957" s="1447"/>
      <c r="I957" s="1448"/>
      <c r="J957" s="1475"/>
      <c r="K957" s="1439"/>
      <c r="L957" s="1439"/>
      <c r="M957" s="1439"/>
      <c r="N957" s="1439"/>
      <c r="O957" s="1439"/>
      <c r="P957" s="1439"/>
      <c r="Q957" s="1439"/>
      <c r="R957" s="1439"/>
      <c r="S957" s="1439"/>
      <c r="T957" s="1439"/>
      <c r="U957" s="1439"/>
      <c r="V957" s="1439"/>
      <c r="W957" s="1439"/>
      <c r="X957" s="1439"/>
      <c r="Y957" s="1439"/>
      <c r="Z957" s="1439"/>
      <c r="AA957" s="1439"/>
      <c r="AB957" s="1439"/>
      <c r="AC957" s="1439"/>
      <c r="AD957" s="1439"/>
      <c r="AE957" s="1439"/>
      <c r="AF957" s="1439"/>
      <c r="AG957" s="1439"/>
    </row>
    <row r="958" spans="1:33" ht="15.75" customHeight="1">
      <c r="A958" s="1470"/>
      <c r="B958" s="1456" t="s">
        <v>3482</v>
      </c>
      <c r="C958" s="1484"/>
      <c r="D958" s="1484"/>
      <c r="E958" s="1484"/>
      <c r="F958" s="1446"/>
      <c r="G958" s="1446"/>
      <c r="H958" s="1447"/>
      <c r="I958" s="1448"/>
      <c r="J958" s="1525"/>
      <c r="K958" s="1439"/>
      <c r="L958" s="1439"/>
      <c r="M958" s="1439"/>
      <c r="N958" s="1439"/>
      <c r="O958" s="1439"/>
      <c r="P958" s="1439"/>
      <c r="Q958" s="1439"/>
      <c r="R958" s="1439"/>
      <c r="S958" s="1439"/>
      <c r="T958" s="1439"/>
      <c r="U958" s="1439"/>
      <c r="V958" s="1439"/>
      <c r="W958" s="1439"/>
      <c r="X958" s="1439"/>
      <c r="Y958" s="1439"/>
      <c r="Z958" s="1439"/>
      <c r="AA958" s="1439"/>
      <c r="AB958" s="1439"/>
      <c r="AC958" s="1439"/>
      <c r="AD958" s="1439"/>
      <c r="AE958" s="1439"/>
      <c r="AF958" s="1439"/>
      <c r="AG958" s="1439"/>
    </row>
    <row r="959" spans="1:33" ht="15.75" customHeight="1">
      <c r="A959" s="1448"/>
      <c r="B959" s="1482" t="s">
        <v>7510</v>
      </c>
      <c r="C959" s="1445">
        <v>1</v>
      </c>
      <c r="D959" s="1447" t="s">
        <v>3364</v>
      </c>
      <c r="E959" s="1445">
        <v>1</v>
      </c>
      <c r="F959" s="1446">
        <f>3.2+1.5+3.2+1.5</f>
        <v>9.4</v>
      </c>
      <c r="G959" s="1446"/>
      <c r="H959" s="1447">
        <v>3.15</v>
      </c>
      <c r="I959" s="1494">
        <f t="shared" ref="I959:I1026" si="55">PRODUCT(C959:H959)</f>
        <v>29.61</v>
      </c>
      <c r="J959" s="1526"/>
      <c r="K959" s="1481"/>
      <c r="L959" s="1481"/>
      <c r="M959" s="1481"/>
      <c r="N959" s="1481"/>
      <c r="O959" s="1481"/>
      <c r="P959" s="1481"/>
      <c r="Q959" s="1481"/>
      <c r="R959" s="1481"/>
      <c r="S959" s="1481"/>
      <c r="T959" s="1481"/>
      <c r="U959" s="1481"/>
      <c r="V959" s="1481"/>
      <c r="W959" s="1481"/>
      <c r="X959" s="1481"/>
      <c r="Y959" s="1481"/>
      <c r="Z959" s="1481"/>
      <c r="AA959" s="1481"/>
      <c r="AB959" s="1481"/>
      <c r="AC959" s="1481"/>
      <c r="AD959" s="1481"/>
      <c r="AE959" s="1481"/>
      <c r="AF959" s="1481"/>
      <c r="AG959" s="1481"/>
    </row>
    <row r="960" spans="1:33" ht="15.75" customHeight="1">
      <c r="A960" s="1448"/>
      <c r="B960" s="1482" t="s">
        <v>7511</v>
      </c>
      <c r="C960" s="1445">
        <v>2</v>
      </c>
      <c r="D960" s="1447" t="s">
        <v>3364</v>
      </c>
      <c r="E960" s="1445">
        <v>1</v>
      </c>
      <c r="F960" s="1446">
        <f>2.4+2.4+1.5+1.5</f>
        <v>7.8</v>
      </c>
      <c r="G960" s="1446"/>
      <c r="H960" s="1447">
        <v>3.15</v>
      </c>
      <c r="I960" s="1494">
        <f t="shared" si="55"/>
        <v>49.14</v>
      </c>
      <c r="J960" s="1526"/>
      <c r="K960" s="1481"/>
      <c r="L960" s="1481"/>
      <c r="M960" s="1481"/>
      <c r="N960" s="1481"/>
      <c r="O960" s="1481"/>
      <c r="P960" s="1481"/>
      <c r="Q960" s="1481"/>
      <c r="R960" s="1481"/>
      <c r="S960" s="1481"/>
      <c r="T960" s="1481"/>
      <c r="U960" s="1481"/>
      <c r="V960" s="1481"/>
      <c r="W960" s="1481"/>
      <c r="X960" s="1481"/>
      <c r="Y960" s="1481"/>
      <c r="Z960" s="1481"/>
      <c r="AA960" s="1481"/>
      <c r="AB960" s="1481"/>
      <c r="AC960" s="1481"/>
      <c r="AD960" s="1481"/>
      <c r="AE960" s="1481"/>
      <c r="AF960" s="1481"/>
      <c r="AG960" s="1481"/>
    </row>
    <row r="961" spans="1:33" ht="15.75" customHeight="1">
      <c r="A961" s="1448"/>
      <c r="B961" s="1482" t="s">
        <v>7453</v>
      </c>
      <c r="C961" s="1445">
        <v>1</v>
      </c>
      <c r="D961" s="1447" t="s">
        <v>3364</v>
      </c>
      <c r="E961" s="1445">
        <v>1</v>
      </c>
      <c r="F961" s="1446">
        <f>3.43+3.43+4.96+4.96</f>
        <v>16.78</v>
      </c>
      <c r="G961" s="1446"/>
      <c r="H961" s="1447">
        <v>3.15</v>
      </c>
      <c r="I961" s="1494">
        <f t="shared" si="55"/>
        <v>52.86</v>
      </c>
      <c r="J961" s="1526"/>
      <c r="K961" s="1481"/>
      <c r="L961" s="1481"/>
      <c r="M961" s="1481"/>
      <c r="N961" s="1481"/>
      <c r="O961" s="1481"/>
      <c r="P961" s="1481"/>
      <c r="Q961" s="1481"/>
      <c r="R961" s="1481"/>
      <c r="S961" s="1481"/>
      <c r="T961" s="1481"/>
      <c r="U961" s="1481"/>
      <c r="V961" s="1481"/>
      <c r="W961" s="1481"/>
      <c r="X961" s="1481"/>
      <c r="Y961" s="1481"/>
      <c r="Z961" s="1481"/>
      <c r="AA961" s="1481"/>
      <c r="AB961" s="1481"/>
      <c r="AC961" s="1481"/>
      <c r="AD961" s="1481"/>
      <c r="AE961" s="1481"/>
      <c r="AF961" s="1481"/>
      <c r="AG961" s="1481"/>
    </row>
    <row r="962" spans="1:33" ht="15.75" customHeight="1">
      <c r="A962" s="1448"/>
      <c r="B962" s="1482" t="s">
        <v>7512</v>
      </c>
      <c r="C962" s="1445">
        <v>1</v>
      </c>
      <c r="D962" s="1447" t="s">
        <v>3364</v>
      </c>
      <c r="E962" s="1445">
        <v>1</v>
      </c>
      <c r="F962" s="1446">
        <f>2.53+2.53</f>
        <v>5.0599999999999996</v>
      </c>
      <c r="G962" s="1446"/>
      <c r="H962" s="1447">
        <v>3.15</v>
      </c>
      <c r="I962" s="1494">
        <f t="shared" si="55"/>
        <v>15.94</v>
      </c>
      <c r="J962" s="1526"/>
      <c r="K962" s="1481"/>
      <c r="L962" s="1481"/>
      <c r="M962" s="1481"/>
      <c r="N962" s="1481"/>
      <c r="O962" s="1481"/>
      <c r="P962" s="1481"/>
      <c r="Q962" s="1481"/>
      <c r="R962" s="1481"/>
      <c r="S962" s="1481"/>
      <c r="T962" s="1481"/>
      <c r="U962" s="1481"/>
      <c r="V962" s="1481"/>
      <c r="W962" s="1481"/>
      <c r="X962" s="1481"/>
      <c r="Y962" s="1481"/>
      <c r="Z962" s="1481"/>
      <c r="AA962" s="1481"/>
      <c r="AB962" s="1481"/>
      <c r="AC962" s="1481"/>
      <c r="AD962" s="1481"/>
      <c r="AE962" s="1481"/>
      <c r="AF962" s="1481"/>
      <c r="AG962" s="1481"/>
    </row>
    <row r="963" spans="1:33" ht="15.75" customHeight="1">
      <c r="A963" s="1448"/>
      <c r="B963" s="1482" t="s">
        <v>7165</v>
      </c>
      <c r="C963" s="1445">
        <v>1</v>
      </c>
      <c r="D963" s="1447" t="s">
        <v>3364</v>
      </c>
      <c r="E963" s="1445">
        <v>1</v>
      </c>
      <c r="F963" s="1446">
        <f>16+2.1</f>
        <v>18.100000000000001</v>
      </c>
      <c r="G963" s="1446"/>
      <c r="H963" s="1447">
        <v>3.15</v>
      </c>
      <c r="I963" s="1494">
        <f t="shared" si="55"/>
        <v>57.02</v>
      </c>
      <c r="J963" s="1526"/>
      <c r="K963" s="1481"/>
      <c r="L963" s="1481"/>
      <c r="M963" s="1481"/>
      <c r="N963" s="1481"/>
      <c r="O963" s="1481"/>
      <c r="P963" s="1481"/>
      <c r="Q963" s="1481"/>
      <c r="R963" s="1481"/>
      <c r="S963" s="1481"/>
      <c r="T963" s="1481"/>
      <c r="U963" s="1481"/>
      <c r="V963" s="1481"/>
      <c r="W963" s="1481"/>
      <c r="X963" s="1481"/>
      <c r="Y963" s="1481"/>
      <c r="Z963" s="1481"/>
      <c r="AA963" s="1481"/>
      <c r="AB963" s="1481"/>
      <c r="AC963" s="1481"/>
      <c r="AD963" s="1481"/>
      <c r="AE963" s="1481"/>
      <c r="AF963" s="1481"/>
      <c r="AG963" s="1481"/>
    </row>
    <row r="964" spans="1:33" ht="15.75" customHeight="1">
      <c r="A964" s="1448"/>
      <c r="B964" s="1482" t="s">
        <v>7528</v>
      </c>
      <c r="C964" s="1445">
        <v>1</v>
      </c>
      <c r="D964" s="1467" t="s">
        <v>3364</v>
      </c>
      <c r="E964" s="1445">
        <v>1</v>
      </c>
      <c r="F964" s="1446">
        <v>17</v>
      </c>
      <c r="G964" s="1446"/>
      <c r="H964" s="1447">
        <v>3.15</v>
      </c>
      <c r="I964" s="1494">
        <f t="shared" si="55"/>
        <v>53.55</v>
      </c>
      <c r="J964" s="1526"/>
      <c r="K964" s="1481"/>
      <c r="L964" s="1481"/>
      <c r="M964" s="1481"/>
      <c r="N964" s="1481"/>
      <c r="O964" s="1481"/>
      <c r="P964" s="1481"/>
      <c r="Q964" s="1481"/>
      <c r="R964" s="1481"/>
      <c r="S964" s="1481"/>
      <c r="T964" s="1481"/>
      <c r="U964" s="1481"/>
      <c r="V964" s="1481"/>
      <c r="W964" s="1481"/>
      <c r="X964" s="1481"/>
      <c r="Y964" s="1481"/>
      <c r="Z964" s="1481"/>
      <c r="AA964" s="1481"/>
      <c r="AB964" s="1481"/>
      <c r="AC964" s="1481"/>
      <c r="AD964" s="1481"/>
      <c r="AE964" s="1481"/>
      <c r="AF964" s="1481"/>
      <c r="AG964" s="1481"/>
    </row>
    <row r="965" spans="1:33" ht="15.75" customHeight="1">
      <c r="A965" s="1448"/>
      <c r="B965" s="1483" t="s">
        <v>7160</v>
      </c>
      <c r="C965" s="1445"/>
      <c r="D965" s="1447"/>
      <c r="E965" s="1445"/>
      <c r="F965" s="1446"/>
      <c r="G965" s="1446"/>
      <c r="H965" s="1447"/>
      <c r="I965" s="1494">
        <f t="shared" si="55"/>
        <v>0</v>
      </c>
      <c r="J965" s="1526"/>
      <c r="K965" s="1481"/>
      <c r="L965" s="1481"/>
      <c r="M965" s="1481"/>
      <c r="N965" s="1481"/>
      <c r="O965" s="1481"/>
      <c r="P965" s="1481"/>
      <c r="Q965" s="1481"/>
      <c r="R965" s="1481"/>
      <c r="S965" s="1481"/>
      <c r="T965" s="1481"/>
      <c r="U965" s="1481"/>
      <c r="V965" s="1481"/>
      <c r="W965" s="1481"/>
      <c r="X965" s="1481"/>
      <c r="Y965" s="1481"/>
      <c r="Z965" s="1481"/>
      <c r="AA965" s="1481"/>
      <c r="AB965" s="1481"/>
      <c r="AC965" s="1481"/>
      <c r="AD965" s="1481"/>
      <c r="AE965" s="1481"/>
      <c r="AF965" s="1481"/>
      <c r="AG965" s="1481"/>
    </row>
    <row r="966" spans="1:33" ht="15.75" customHeight="1">
      <c r="A966" s="1448"/>
      <c r="B966" s="1482" t="s">
        <v>7513</v>
      </c>
      <c r="C966" s="1445">
        <v>1</v>
      </c>
      <c r="D966" s="1447" t="s">
        <v>3364</v>
      </c>
      <c r="E966" s="1445">
        <v>1</v>
      </c>
      <c r="F966" s="1446">
        <f>(9.37+5.035)*2</f>
        <v>28.81</v>
      </c>
      <c r="G966" s="1446"/>
      <c r="H966" s="1447">
        <v>3.15</v>
      </c>
      <c r="I966" s="1494">
        <f t="shared" si="55"/>
        <v>90.75</v>
      </c>
      <c r="J966" s="1526"/>
      <c r="K966" s="1481"/>
      <c r="L966" s="1481"/>
      <c r="M966" s="1481"/>
      <c r="N966" s="1481"/>
      <c r="O966" s="1481"/>
      <c r="P966" s="1481"/>
      <c r="Q966" s="1481"/>
      <c r="R966" s="1481"/>
      <c r="S966" s="1481"/>
      <c r="T966" s="1481"/>
      <c r="U966" s="1481"/>
      <c r="V966" s="1481"/>
      <c r="W966" s="1481"/>
      <c r="X966" s="1481"/>
      <c r="Y966" s="1481"/>
      <c r="Z966" s="1481"/>
      <c r="AA966" s="1481"/>
      <c r="AB966" s="1481"/>
      <c r="AC966" s="1481"/>
      <c r="AD966" s="1481"/>
      <c r="AE966" s="1481"/>
      <c r="AF966" s="1481"/>
      <c r="AG966" s="1481"/>
    </row>
    <row r="967" spans="1:33" ht="15.75" customHeight="1">
      <c r="A967" s="1448"/>
      <c r="B967" s="1482" t="s">
        <v>7487</v>
      </c>
      <c r="C967" s="1445">
        <v>1</v>
      </c>
      <c r="D967" s="1447" t="s">
        <v>3364</v>
      </c>
      <c r="E967" s="1445">
        <v>1</v>
      </c>
      <c r="F967" s="1446">
        <f>(4.57+5.03)*2</f>
        <v>19.2</v>
      </c>
      <c r="G967" s="1446"/>
      <c r="H967" s="1447">
        <v>3.15</v>
      </c>
      <c r="I967" s="1494">
        <f t="shared" si="55"/>
        <v>60.48</v>
      </c>
      <c r="J967" s="1526"/>
      <c r="K967" s="1481"/>
      <c r="L967" s="1481"/>
      <c r="M967" s="1481"/>
      <c r="N967" s="1481"/>
      <c r="O967" s="1481"/>
      <c r="P967" s="1481"/>
      <c r="Q967" s="1481"/>
      <c r="R967" s="1481"/>
      <c r="S967" s="1481"/>
      <c r="T967" s="1481"/>
      <c r="U967" s="1481"/>
      <c r="V967" s="1481"/>
      <c r="W967" s="1481"/>
      <c r="X967" s="1481"/>
      <c r="Y967" s="1481"/>
      <c r="Z967" s="1481"/>
      <c r="AA967" s="1481"/>
      <c r="AB967" s="1481"/>
      <c r="AC967" s="1481"/>
      <c r="AD967" s="1481"/>
      <c r="AE967" s="1481"/>
      <c r="AF967" s="1481"/>
      <c r="AG967" s="1481"/>
    </row>
    <row r="968" spans="1:33" ht="15.75" customHeight="1">
      <c r="A968" s="1448"/>
      <c r="B968" s="1482" t="s">
        <v>3490</v>
      </c>
      <c r="C968" s="1445">
        <v>1</v>
      </c>
      <c r="D968" s="1447" t="s">
        <v>3364</v>
      </c>
      <c r="E968" s="1445">
        <v>1</v>
      </c>
      <c r="F968" s="1446">
        <f>(27.89-9.37-0.23)*2</f>
        <v>36.58</v>
      </c>
      <c r="G968" s="1446"/>
      <c r="H968" s="1447">
        <v>3.15</v>
      </c>
      <c r="I968" s="1494">
        <f t="shared" si="55"/>
        <v>115.23</v>
      </c>
      <c r="J968" s="1526"/>
      <c r="K968" s="1481"/>
      <c r="L968" s="1481"/>
      <c r="M968" s="1481"/>
      <c r="N968" s="1481"/>
      <c r="O968" s="1481"/>
      <c r="P968" s="1481"/>
      <c r="Q968" s="1481"/>
      <c r="R968" s="1481"/>
      <c r="S968" s="1481"/>
      <c r="T968" s="1481"/>
      <c r="U968" s="1481"/>
      <c r="V968" s="1481"/>
      <c r="W968" s="1481"/>
      <c r="X968" s="1481"/>
      <c r="Y968" s="1481"/>
      <c r="Z968" s="1481"/>
      <c r="AA968" s="1481"/>
      <c r="AB968" s="1481"/>
      <c r="AC968" s="1481"/>
      <c r="AD968" s="1481"/>
      <c r="AE968" s="1481"/>
      <c r="AF968" s="1481"/>
      <c r="AG968" s="1481"/>
    </row>
    <row r="969" spans="1:33" ht="15.75" customHeight="1">
      <c r="A969" s="1448"/>
      <c r="B969" s="1480" t="s">
        <v>7083</v>
      </c>
      <c r="C969" s="1445">
        <v>1</v>
      </c>
      <c r="D969" s="1447" t="s">
        <v>3364</v>
      </c>
      <c r="E969" s="1445">
        <v>1</v>
      </c>
      <c r="F969" s="1446">
        <f>(3.43+2.245)*2</f>
        <v>11.35</v>
      </c>
      <c r="G969" s="1446"/>
      <c r="H969" s="1447">
        <v>3.15</v>
      </c>
      <c r="I969" s="1494">
        <f t="shared" si="55"/>
        <v>35.75</v>
      </c>
      <c r="J969" s="1526"/>
      <c r="K969" s="1481"/>
      <c r="L969" s="1481"/>
      <c r="M969" s="1481"/>
      <c r="N969" s="1481"/>
      <c r="O969" s="1481"/>
      <c r="P969" s="1481"/>
      <c r="Q969" s="1481"/>
      <c r="R969" s="1481"/>
      <c r="S969" s="1481"/>
      <c r="T969" s="1481"/>
      <c r="U969" s="1481"/>
      <c r="V969" s="1481"/>
      <c r="W969" s="1481"/>
      <c r="X969" s="1481"/>
      <c r="Y969" s="1481"/>
      <c r="Z969" s="1481"/>
      <c r="AA969" s="1481"/>
      <c r="AB969" s="1481"/>
      <c r="AC969" s="1481"/>
      <c r="AD969" s="1481"/>
      <c r="AE969" s="1481"/>
      <c r="AF969" s="1481"/>
      <c r="AG969" s="1481"/>
    </row>
    <row r="970" spans="1:33" ht="15.75" customHeight="1">
      <c r="A970" s="1448"/>
      <c r="B970" s="1482" t="s">
        <v>7514</v>
      </c>
      <c r="C970" s="1445">
        <v>2</v>
      </c>
      <c r="D970" s="1447" t="s">
        <v>3364</v>
      </c>
      <c r="E970" s="1445">
        <v>1</v>
      </c>
      <c r="F970" s="1446">
        <f>(4.57+7.055)*2</f>
        <v>23.25</v>
      </c>
      <c r="G970" s="1446"/>
      <c r="H970" s="1447">
        <v>3.15</v>
      </c>
      <c r="I970" s="1494">
        <f t="shared" si="55"/>
        <v>146.47999999999999</v>
      </c>
      <c r="J970" s="1526"/>
      <c r="K970" s="1481"/>
      <c r="L970" s="1481"/>
      <c r="M970" s="1481"/>
      <c r="N970" s="1481"/>
      <c r="O970" s="1481"/>
      <c r="P970" s="1481"/>
      <c r="Q970" s="1481"/>
      <c r="R970" s="1481"/>
      <c r="S970" s="1481"/>
      <c r="T970" s="1481"/>
      <c r="U970" s="1481"/>
      <c r="V970" s="1481"/>
      <c r="W970" s="1481"/>
      <c r="X970" s="1481"/>
      <c r="Y970" s="1481"/>
      <c r="Z970" s="1481"/>
      <c r="AA970" s="1481"/>
      <c r="AB970" s="1481"/>
      <c r="AC970" s="1481"/>
      <c r="AD970" s="1481"/>
      <c r="AE970" s="1481"/>
      <c r="AF970" s="1481"/>
      <c r="AG970" s="1481"/>
    </row>
    <row r="971" spans="1:33" ht="15.75" customHeight="1">
      <c r="A971" s="1448"/>
      <c r="B971" s="1482" t="s">
        <v>7165</v>
      </c>
      <c r="C971" s="1445">
        <v>1</v>
      </c>
      <c r="D971" s="1447" t="s">
        <v>3364</v>
      </c>
      <c r="E971" s="1445">
        <v>1</v>
      </c>
      <c r="F971" s="1446">
        <f>16+2.1</f>
        <v>18.100000000000001</v>
      </c>
      <c r="G971" s="1446"/>
      <c r="H971" s="1447">
        <v>3.15</v>
      </c>
      <c r="I971" s="1494">
        <f t="shared" si="55"/>
        <v>57.02</v>
      </c>
      <c r="J971" s="1526"/>
      <c r="K971" s="1481"/>
      <c r="L971" s="1481"/>
      <c r="M971" s="1481"/>
      <c r="N971" s="1481"/>
      <c r="O971" s="1481"/>
      <c r="P971" s="1481"/>
      <c r="Q971" s="1481"/>
      <c r="R971" s="1481"/>
      <c r="S971" s="1481"/>
      <c r="T971" s="1481"/>
      <c r="U971" s="1481"/>
      <c r="V971" s="1481"/>
      <c r="W971" s="1481"/>
      <c r="X971" s="1481"/>
      <c r="Y971" s="1481"/>
      <c r="Z971" s="1481"/>
      <c r="AA971" s="1481"/>
      <c r="AB971" s="1481"/>
      <c r="AC971" s="1481"/>
      <c r="AD971" s="1481"/>
      <c r="AE971" s="1481"/>
      <c r="AF971" s="1481"/>
      <c r="AG971" s="1481"/>
    </row>
    <row r="972" spans="1:33" ht="15.75" customHeight="1">
      <c r="A972" s="1448"/>
      <c r="B972" s="1482" t="s">
        <v>7517</v>
      </c>
      <c r="C972" s="1445">
        <v>1</v>
      </c>
      <c r="D972" s="1467" t="s">
        <v>3364</v>
      </c>
      <c r="E972" s="1445">
        <v>3</v>
      </c>
      <c r="F972" s="1446">
        <f>(1.5+1.2)*2</f>
        <v>5.4</v>
      </c>
      <c r="G972" s="1446"/>
      <c r="H972" s="1447">
        <v>3.15</v>
      </c>
      <c r="I972" s="1494">
        <f t="shared" si="55"/>
        <v>51.03</v>
      </c>
      <c r="J972" s="1526"/>
      <c r="K972" s="1481"/>
      <c r="L972" s="1481"/>
      <c r="M972" s="1481"/>
      <c r="N972" s="1481"/>
      <c r="O972" s="1481"/>
      <c r="P972" s="1481"/>
      <c r="Q972" s="1481"/>
      <c r="R972" s="1481"/>
      <c r="S972" s="1481"/>
      <c r="T972" s="1481"/>
      <c r="U972" s="1481"/>
      <c r="V972" s="1481"/>
      <c r="W972" s="1481"/>
      <c r="X972" s="1481"/>
      <c r="Y972" s="1481"/>
      <c r="Z972" s="1481"/>
      <c r="AA972" s="1481"/>
      <c r="AB972" s="1481"/>
      <c r="AC972" s="1481"/>
      <c r="AD972" s="1481"/>
      <c r="AE972" s="1481"/>
      <c r="AF972" s="1481"/>
      <c r="AG972" s="1481"/>
    </row>
    <row r="973" spans="1:33" ht="15.75" customHeight="1">
      <c r="A973" s="1448"/>
      <c r="B973" s="1482" t="s">
        <v>6727</v>
      </c>
      <c r="C973" s="1445">
        <v>3</v>
      </c>
      <c r="D973" s="1467" t="s">
        <v>3364</v>
      </c>
      <c r="E973" s="1453">
        <v>1</v>
      </c>
      <c r="F973" s="1446">
        <f>(1.89+1.76)*2</f>
        <v>7.3</v>
      </c>
      <c r="G973" s="1446"/>
      <c r="H973" s="1447">
        <v>3.15</v>
      </c>
      <c r="I973" s="1494">
        <f t="shared" si="55"/>
        <v>68.989999999999995</v>
      </c>
      <c r="J973" s="1526"/>
      <c r="K973" s="1481"/>
      <c r="L973" s="1481"/>
      <c r="M973" s="1481"/>
      <c r="N973" s="1481"/>
      <c r="O973" s="1481"/>
      <c r="P973" s="1481"/>
      <c r="Q973" s="1481"/>
      <c r="R973" s="1481"/>
      <c r="S973" s="1481"/>
      <c r="T973" s="1481"/>
      <c r="U973" s="1481"/>
      <c r="V973" s="1481"/>
      <c r="W973" s="1481"/>
      <c r="X973" s="1481"/>
      <c r="Y973" s="1481"/>
      <c r="Z973" s="1481"/>
      <c r="AA973" s="1481"/>
      <c r="AB973" s="1481"/>
      <c r="AC973" s="1481"/>
      <c r="AD973" s="1481"/>
      <c r="AE973" s="1481"/>
      <c r="AF973" s="1481"/>
      <c r="AG973" s="1481"/>
    </row>
    <row r="974" spans="1:33" ht="15.75" customHeight="1">
      <c r="A974" s="1448"/>
      <c r="B974" s="1483" t="s">
        <v>7515</v>
      </c>
      <c r="C974" s="1445"/>
      <c r="D974" s="1447"/>
      <c r="E974" s="1445"/>
      <c r="F974" s="1446"/>
      <c r="G974" s="1446"/>
      <c r="H974" s="1447"/>
      <c r="I974" s="1494">
        <f t="shared" si="55"/>
        <v>0</v>
      </c>
      <c r="J974" s="1526"/>
      <c r="K974" s="1481"/>
      <c r="L974" s="1481"/>
      <c r="M974" s="1481"/>
      <c r="N974" s="1481"/>
      <c r="O974" s="1481"/>
      <c r="P974" s="1481"/>
      <c r="Q974" s="1481"/>
      <c r="R974" s="1481"/>
      <c r="S974" s="1481"/>
      <c r="T974" s="1481"/>
      <c r="U974" s="1481"/>
      <c r="V974" s="1481"/>
      <c r="W974" s="1481"/>
      <c r="X974" s="1481"/>
      <c r="Y974" s="1481"/>
      <c r="Z974" s="1481"/>
      <c r="AA974" s="1481"/>
      <c r="AB974" s="1481"/>
      <c r="AC974" s="1481"/>
      <c r="AD974" s="1481"/>
      <c r="AE974" s="1481"/>
      <c r="AF974" s="1481"/>
      <c r="AG974" s="1481"/>
    </row>
    <row r="975" spans="1:33" ht="15.75" customHeight="1">
      <c r="A975" s="1448"/>
      <c r="B975" s="1480" t="s">
        <v>7134</v>
      </c>
      <c r="C975" s="1445">
        <v>1</v>
      </c>
      <c r="D975" s="1447" t="s">
        <v>3364</v>
      </c>
      <c r="E975" s="1445">
        <v>1</v>
      </c>
      <c r="F975" s="1446">
        <f>(5.885+5.035)*2</f>
        <v>21.84</v>
      </c>
      <c r="G975" s="1446"/>
      <c r="H975" s="1447">
        <v>3.15</v>
      </c>
      <c r="I975" s="1494">
        <f t="shared" si="55"/>
        <v>68.8</v>
      </c>
      <c r="J975" s="1526"/>
      <c r="K975" s="1481"/>
      <c r="L975" s="1481"/>
      <c r="M975" s="1481"/>
      <c r="N975" s="1481"/>
      <c r="O975" s="1481"/>
      <c r="P975" s="1481"/>
      <c r="Q975" s="1481"/>
      <c r="R975" s="1481"/>
      <c r="S975" s="1481"/>
      <c r="T975" s="1481"/>
      <c r="U975" s="1481"/>
      <c r="V975" s="1481"/>
      <c r="W975" s="1481"/>
      <c r="X975" s="1481"/>
      <c r="Y975" s="1481"/>
      <c r="Z975" s="1481"/>
      <c r="AA975" s="1481"/>
      <c r="AB975" s="1481"/>
      <c r="AC975" s="1481"/>
      <c r="AD975" s="1481"/>
      <c r="AE975" s="1481"/>
      <c r="AF975" s="1481"/>
      <c r="AG975" s="1481"/>
    </row>
    <row r="976" spans="1:33" ht="15.75" customHeight="1">
      <c r="A976" s="1448"/>
      <c r="B976" s="1480" t="s">
        <v>7135</v>
      </c>
      <c r="C976" s="1445">
        <v>1</v>
      </c>
      <c r="D976" s="1447" t="s">
        <v>3364</v>
      </c>
      <c r="E976" s="1445">
        <v>1</v>
      </c>
      <c r="F976" s="1446">
        <f>(3.43+4.96)*2</f>
        <v>16.78</v>
      </c>
      <c r="G976" s="1446"/>
      <c r="H976" s="1447">
        <v>3.15</v>
      </c>
      <c r="I976" s="1494">
        <f t="shared" si="55"/>
        <v>52.86</v>
      </c>
      <c r="J976" s="1526"/>
      <c r="K976" s="1481"/>
      <c r="L976" s="1481"/>
      <c r="M976" s="1481"/>
      <c r="N976" s="1481"/>
      <c r="O976" s="1481"/>
      <c r="P976" s="1481"/>
      <c r="Q976" s="1481"/>
      <c r="R976" s="1481"/>
      <c r="S976" s="1481"/>
      <c r="T976" s="1481"/>
      <c r="U976" s="1481"/>
      <c r="V976" s="1481"/>
      <c r="W976" s="1481"/>
      <c r="X976" s="1481"/>
      <c r="Y976" s="1481"/>
      <c r="Z976" s="1481"/>
      <c r="AA976" s="1481"/>
      <c r="AB976" s="1481"/>
      <c r="AC976" s="1481"/>
      <c r="AD976" s="1481"/>
      <c r="AE976" s="1481"/>
      <c r="AF976" s="1481"/>
      <c r="AG976" s="1481"/>
    </row>
    <row r="977" spans="1:33" ht="15.75" customHeight="1">
      <c r="A977" s="1448"/>
      <c r="B977" s="1480" t="s">
        <v>7136</v>
      </c>
      <c r="C977" s="1445">
        <v>1</v>
      </c>
      <c r="D977" s="1447" t="s">
        <v>3364</v>
      </c>
      <c r="E977" s="1445">
        <v>1</v>
      </c>
      <c r="F977" s="1446">
        <f>(8.17+5.035)*2</f>
        <v>26.41</v>
      </c>
      <c r="G977" s="1446"/>
      <c r="H977" s="1447">
        <v>3.15</v>
      </c>
      <c r="I977" s="1494">
        <f t="shared" si="55"/>
        <v>83.19</v>
      </c>
      <c r="J977" s="1526"/>
      <c r="K977" s="1481"/>
      <c r="L977" s="1481"/>
      <c r="M977" s="1481"/>
      <c r="N977" s="1481"/>
      <c r="O977" s="1481"/>
      <c r="P977" s="1481"/>
      <c r="Q977" s="1481"/>
      <c r="R977" s="1481"/>
      <c r="S977" s="1481"/>
      <c r="T977" s="1481"/>
      <c r="U977" s="1481"/>
      <c r="V977" s="1481"/>
      <c r="W977" s="1481"/>
      <c r="X977" s="1481"/>
      <c r="Y977" s="1481"/>
      <c r="Z977" s="1481"/>
      <c r="AA977" s="1481"/>
      <c r="AB977" s="1481"/>
      <c r="AC977" s="1481"/>
      <c r="AD977" s="1481"/>
      <c r="AE977" s="1481"/>
      <c r="AF977" s="1481"/>
      <c r="AG977" s="1481"/>
    </row>
    <row r="978" spans="1:33" ht="15.75" customHeight="1">
      <c r="A978" s="1448"/>
      <c r="B978" s="1482" t="s">
        <v>7219</v>
      </c>
      <c r="C978" s="1445">
        <v>1</v>
      </c>
      <c r="D978" s="1447" t="s">
        <v>3364</v>
      </c>
      <c r="E978" s="1445">
        <v>1</v>
      </c>
      <c r="F978" s="1446">
        <v>23.25</v>
      </c>
      <c r="G978" s="1446"/>
      <c r="H978" s="1447">
        <v>3.15</v>
      </c>
      <c r="I978" s="1494">
        <f t="shared" si="55"/>
        <v>73.239999999999995</v>
      </c>
      <c r="J978" s="1526"/>
      <c r="K978" s="1481"/>
      <c r="L978" s="1481"/>
      <c r="M978" s="1481"/>
      <c r="N978" s="1481"/>
      <c r="O978" s="1481"/>
      <c r="P978" s="1481"/>
      <c r="Q978" s="1481"/>
      <c r="R978" s="1481"/>
      <c r="S978" s="1481"/>
      <c r="T978" s="1481"/>
      <c r="U978" s="1481"/>
      <c r="V978" s="1481"/>
      <c r="W978" s="1481"/>
      <c r="X978" s="1481"/>
      <c r="Y978" s="1481"/>
      <c r="Z978" s="1481"/>
      <c r="AA978" s="1481"/>
      <c r="AB978" s="1481"/>
      <c r="AC978" s="1481"/>
      <c r="AD978" s="1481"/>
      <c r="AE978" s="1481"/>
      <c r="AF978" s="1481"/>
      <c r="AG978" s="1481"/>
    </row>
    <row r="979" spans="1:33" ht="15.75" customHeight="1">
      <c r="A979" s="1448"/>
      <c r="B979" s="1482" t="s">
        <v>7516</v>
      </c>
      <c r="C979" s="1445">
        <v>1</v>
      </c>
      <c r="D979" s="1447" t="s">
        <v>3364</v>
      </c>
      <c r="E979" s="1445">
        <v>1</v>
      </c>
      <c r="F979" s="1446">
        <f>6.5+5.03+6.5</f>
        <v>18.03</v>
      </c>
      <c r="G979" s="1446"/>
      <c r="H979" s="1447">
        <v>3.15</v>
      </c>
      <c r="I979" s="1494">
        <f t="shared" si="55"/>
        <v>56.79</v>
      </c>
      <c r="J979" s="1526"/>
      <c r="K979" s="1481"/>
      <c r="L979" s="1481"/>
      <c r="M979" s="1481"/>
      <c r="N979" s="1481"/>
      <c r="O979" s="1481"/>
      <c r="P979" s="1481"/>
      <c r="Q979" s="1481"/>
      <c r="R979" s="1481"/>
      <c r="S979" s="1481"/>
      <c r="T979" s="1481"/>
      <c r="U979" s="1481"/>
      <c r="V979" s="1481"/>
      <c r="W979" s="1481"/>
      <c r="X979" s="1481"/>
      <c r="Y979" s="1481"/>
      <c r="Z979" s="1481"/>
      <c r="AA979" s="1481"/>
      <c r="AB979" s="1481"/>
      <c r="AC979" s="1481"/>
      <c r="AD979" s="1481"/>
      <c r="AE979" s="1481"/>
      <c r="AF979" s="1481"/>
      <c r="AG979" s="1481"/>
    </row>
    <row r="980" spans="1:33" ht="15.75" customHeight="1">
      <c r="A980" s="1448"/>
      <c r="B980" s="1482" t="s">
        <v>3484</v>
      </c>
      <c r="C980" s="1445">
        <v>1</v>
      </c>
      <c r="D980" s="1447" t="s">
        <v>3364</v>
      </c>
      <c r="E980" s="1445">
        <v>1</v>
      </c>
      <c r="F980" s="1446">
        <f>(27.89+2)*2</f>
        <v>59.78</v>
      </c>
      <c r="G980" s="1446"/>
      <c r="H980" s="1447">
        <v>3.15</v>
      </c>
      <c r="I980" s="1494">
        <f t="shared" si="55"/>
        <v>188.31</v>
      </c>
      <c r="J980" s="1526"/>
      <c r="K980" s="1481"/>
      <c r="L980" s="1481"/>
      <c r="M980" s="1481"/>
      <c r="N980" s="1481"/>
      <c r="O980" s="1481"/>
      <c r="P980" s="1481"/>
      <c r="Q980" s="1481"/>
      <c r="R980" s="1481"/>
      <c r="S980" s="1481"/>
      <c r="T980" s="1481"/>
      <c r="U980" s="1481"/>
      <c r="V980" s="1481"/>
      <c r="W980" s="1481"/>
      <c r="X980" s="1481"/>
      <c r="Y980" s="1481"/>
      <c r="Z980" s="1481"/>
      <c r="AA980" s="1481"/>
      <c r="AB980" s="1481"/>
      <c r="AC980" s="1481"/>
      <c r="AD980" s="1481"/>
      <c r="AE980" s="1481"/>
      <c r="AF980" s="1481"/>
      <c r="AG980" s="1481"/>
    </row>
    <row r="981" spans="1:33" ht="15.75" customHeight="1">
      <c r="A981" s="1448"/>
      <c r="B981" s="1482" t="s">
        <v>7507</v>
      </c>
      <c r="C981" s="1445">
        <v>4</v>
      </c>
      <c r="D981" s="1447" t="s">
        <v>3364</v>
      </c>
      <c r="E981" s="1445">
        <v>1</v>
      </c>
      <c r="F981" s="1454">
        <f>(4.57+8.485)*2</f>
        <v>26.11</v>
      </c>
      <c r="G981" s="1446"/>
      <c r="H981" s="1447">
        <v>3.15</v>
      </c>
      <c r="I981" s="1494">
        <f t="shared" si="55"/>
        <v>328.99</v>
      </c>
      <c r="J981" s="1526"/>
      <c r="K981" s="1481"/>
      <c r="L981" s="1481"/>
      <c r="M981" s="1481"/>
      <c r="N981" s="1481"/>
      <c r="O981" s="1481"/>
      <c r="P981" s="1481"/>
      <c r="Q981" s="1481"/>
      <c r="R981" s="1481"/>
      <c r="S981" s="1481"/>
      <c r="T981" s="1481"/>
      <c r="U981" s="1481"/>
      <c r="V981" s="1481"/>
      <c r="W981" s="1481"/>
      <c r="X981" s="1481"/>
      <c r="Y981" s="1481"/>
      <c r="Z981" s="1481"/>
      <c r="AA981" s="1481"/>
      <c r="AB981" s="1481"/>
      <c r="AC981" s="1481"/>
      <c r="AD981" s="1481"/>
      <c r="AE981" s="1481"/>
      <c r="AF981" s="1481"/>
      <c r="AG981" s="1481"/>
    </row>
    <row r="982" spans="1:33" ht="15.75" customHeight="1">
      <c r="A982" s="1448"/>
      <c r="B982" s="1482" t="s">
        <v>7517</v>
      </c>
      <c r="C982" s="1445">
        <v>3</v>
      </c>
      <c r="D982" s="1467" t="s">
        <v>3364</v>
      </c>
      <c r="E982" s="1445">
        <v>1</v>
      </c>
      <c r="F982" s="1446">
        <f>(1.5+1.2)*2</f>
        <v>5.4</v>
      </c>
      <c r="G982" s="1446"/>
      <c r="H982" s="1447">
        <v>3.15</v>
      </c>
      <c r="I982" s="1494">
        <f t="shared" si="55"/>
        <v>51.03</v>
      </c>
      <c r="J982" s="1526"/>
      <c r="K982" s="1481"/>
      <c r="L982" s="1481"/>
      <c r="M982" s="1481"/>
      <c r="N982" s="1481"/>
      <c r="O982" s="1481"/>
      <c r="P982" s="1481"/>
      <c r="Q982" s="1481"/>
      <c r="R982" s="1481"/>
      <c r="S982" s="1481"/>
      <c r="T982" s="1481"/>
      <c r="U982" s="1481"/>
      <c r="V982" s="1481"/>
      <c r="W982" s="1481"/>
      <c r="X982" s="1481"/>
      <c r="Y982" s="1481"/>
      <c r="Z982" s="1481"/>
      <c r="AA982" s="1481"/>
      <c r="AB982" s="1481"/>
      <c r="AC982" s="1481"/>
      <c r="AD982" s="1481"/>
      <c r="AE982" s="1481"/>
      <c r="AF982" s="1481"/>
      <c r="AG982" s="1481"/>
    </row>
    <row r="983" spans="1:33" ht="15.75" customHeight="1">
      <c r="A983" s="1448"/>
      <c r="B983" s="1482" t="s">
        <v>6727</v>
      </c>
      <c r="C983" s="1445">
        <v>1</v>
      </c>
      <c r="D983" s="1467" t="s">
        <v>3364</v>
      </c>
      <c r="E983" s="1453">
        <v>5</v>
      </c>
      <c r="F983" s="1446">
        <f>(1.89+1.76)*2</f>
        <v>7.3</v>
      </c>
      <c r="G983" s="1446"/>
      <c r="H983" s="1447">
        <v>3.15</v>
      </c>
      <c r="I983" s="1494">
        <f t="shared" si="55"/>
        <v>114.98</v>
      </c>
      <c r="J983" s="1526"/>
      <c r="K983" s="1481"/>
      <c r="L983" s="1481"/>
      <c r="M983" s="1481"/>
      <c r="N983" s="1481"/>
      <c r="O983" s="1481"/>
      <c r="P983" s="1481"/>
      <c r="Q983" s="1481"/>
      <c r="R983" s="1481"/>
      <c r="S983" s="1481"/>
      <c r="T983" s="1481"/>
      <c r="U983" s="1481"/>
      <c r="V983" s="1481"/>
      <c r="W983" s="1481"/>
      <c r="X983" s="1481"/>
      <c r="Y983" s="1481"/>
      <c r="Z983" s="1481"/>
      <c r="AA983" s="1481"/>
      <c r="AB983" s="1481"/>
      <c r="AC983" s="1481"/>
      <c r="AD983" s="1481"/>
      <c r="AE983" s="1481"/>
      <c r="AF983" s="1481"/>
      <c r="AG983" s="1481"/>
    </row>
    <row r="984" spans="1:33" ht="15.75" customHeight="1">
      <c r="A984" s="1448"/>
      <c r="B984" s="1482" t="s">
        <v>7269</v>
      </c>
      <c r="C984" s="1445">
        <v>3</v>
      </c>
      <c r="D984" s="1447" t="s">
        <v>3364</v>
      </c>
      <c r="E984" s="1445">
        <v>1</v>
      </c>
      <c r="F984" s="1446">
        <f>(1.2+1.62)*2</f>
        <v>5.64</v>
      </c>
      <c r="G984" s="1446"/>
      <c r="H984" s="1447">
        <v>3.15</v>
      </c>
      <c r="I984" s="1494">
        <f t="shared" si="55"/>
        <v>53.3</v>
      </c>
      <c r="J984" s="1526"/>
      <c r="K984" s="1481"/>
      <c r="L984" s="1481"/>
      <c r="M984" s="1481"/>
      <c r="N984" s="1481"/>
      <c r="O984" s="1481"/>
      <c r="P984" s="1481"/>
      <c r="Q984" s="1481"/>
      <c r="R984" s="1481"/>
      <c r="S984" s="1481"/>
      <c r="T984" s="1481"/>
      <c r="U984" s="1481"/>
      <c r="V984" s="1481"/>
      <c r="W984" s="1481"/>
      <c r="X984" s="1481"/>
      <c r="Y984" s="1481"/>
      <c r="Z984" s="1481"/>
      <c r="AA984" s="1481"/>
      <c r="AB984" s="1481"/>
      <c r="AC984" s="1481"/>
      <c r="AD984" s="1481"/>
      <c r="AE984" s="1481"/>
      <c r="AF984" s="1481"/>
      <c r="AG984" s="1481"/>
    </row>
    <row r="985" spans="1:33" ht="15.75" customHeight="1">
      <c r="A985" s="1448"/>
      <c r="B985" s="1483" t="s">
        <v>3616</v>
      </c>
      <c r="C985" s="1445"/>
      <c r="D985" s="1447"/>
      <c r="E985" s="1445"/>
      <c r="F985" s="1446"/>
      <c r="G985" s="1446"/>
      <c r="H985" s="1447"/>
      <c r="I985" s="1494">
        <f t="shared" si="55"/>
        <v>0</v>
      </c>
      <c r="J985" s="1526"/>
      <c r="K985" s="1481"/>
      <c r="L985" s="1481"/>
      <c r="M985" s="1481"/>
      <c r="N985" s="1481"/>
      <c r="O985" s="1481"/>
      <c r="P985" s="1481"/>
      <c r="Q985" s="1481"/>
      <c r="R985" s="1481"/>
      <c r="S985" s="1481"/>
      <c r="T985" s="1481"/>
      <c r="U985" s="1481"/>
      <c r="V985" s="1481"/>
      <c r="W985" s="1481"/>
      <c r="X985" s="1481"/>
      <c r="Y985" s="1481"/>
      <c r="Z985" s="1481"/>
      <c r="AA985" s="1481"/>
      <c r="AB985" s="1481"/>
      <c r="AC985" s="1481"/>
      <c r="AD985" s="1481"/>
      <c r="AE985" s="1481"/>
      <c r="AF985" s="1481"/>
      <c r="AG985" s="1481"/>
    </row>
    <row r="986" spans="1:33" ht="15.75" customHeight="1">
      <c r="A986" s="1448"/>
      <c r="B986" s="1482" t="s">
        <v>7445</v>
      </c>
      <c r="C986" s="1445">
        <v>2</v>
      </c>
      <c r="D986" s="1447" t="s">
        <v>3364</v>
      </c>
      <c r="E986" s="1445">
        <v>1</v>
      </c>
      <c r="F986" s="1446">
        <f>(9.37+5.035)*2</f>
        <v>28.81</v>
      </c>
      <c r="G986" s="1446"/>
      <c r="H986" s="1447">
        <v>3.15</v>
      </c>
      <c r="I986" s="1494">
        <f t="shared" si="55"/>
        <v>181.5</v>
      </c>
      <c r="J986" s="1526"/>
      <c r="K986" s="1481"/>
      <c r="L986" s="1481"/>
      <c r="M986" s="1481"/>
      <c r="N986" s="1481"/>
      <c r="O986" s="1481"/>
      <c r="P986" s="1481"/>
      <c r="Q986" s="1481"/>
      <c r="R986" s="1481"/>
      <c r="S986" s="1481"/>
      <c r="T986" s="1481"/>
      <c r="U986" s="1481"/>
      <c r="V986" s="1481"/>
      <c r="W986" s="1481"/>
      <c r="X986" s="1481"/>
      <c r="Y986" s="1481"/>
      <c r="Z986" s="1481"/>
      <c r="AA986" s="1481"/>
      <c r="AB986" s="1481"/>
      <c r="AC986" s="1481"/>
      <c r="AD986" s="1481"/>
      <c r="AE986" s="1481"/>
      <c r="AF986" s="1481"/>
      <c r="AG986" s="1481"/>
    </row>
    <row r="987" spans="1:33" ht="15.75" customHeight="1">
      <c r="A987" s="1448"/>
      <c r="B987" s="1480" t="s">
        <v>3503</v>
      </c>
      <c r="C987" s="1445">
        <v>1</v>
      </c>
      <c r="D987" s="1447" t="s">
        <v>3364</v>
      </c>
      <c r="E987" s="1445">
        <v>2</v>
      </c>
      <c r="F987" s="1446">
        <f>(4.57+5.03)*2</f>
        <v>19.2</v>
      </c>
      <c r="G987" s="1446"/>
      <c r="H987" s="1447">
        <v>3.15</v>
      </c>
      <c r="I987" s="1494">
        <f t="shared" si="55"/>
        <v>120.96</v>
      </c>
      <c r="J987" s="1526"/>
      <c r="K987" s="1481"/>
      <c r="L987" s="1481"/>
      <c r="M987" s="1481"/>
      <c r="N987" s="1481"/>
      <c r="O987" s="1481"/>
      <c r="P987" s="1481"/>
      <c r="Q987" s="1481"/>
      <c r="R987" s="1481"/>
      <c r="S987" s="1481"/>
      <c r="T987" s="1481"/>
      <c r="U987" s="1481"/>
      <c r="V987" s="1481"/>
      <c r="W987" s="1481"/>
      <c r="X987" s="1481"/>
      <c r="Y987" s="1481"/>
      <c r="Z987" s="1481"/>
      <c r="AA987" s="1481"/>
      <c r="AB987" s="1481"/>
      <c r="AC987" s="1481"/>
      <c r="AD987" s="1481"/>
      <c r="AE987" s="1481"/>
      <c r="AF987" s="1481"/>
      <c r="AG987" s="1481"/>
    </row>
    <row r="988" spans="1:33" ht="15.75" customHeight="1">
      <c r="A988" s="1448"/>
      <c r="B988" s="1482" t="s">
        <v>7509</v>
      </c>
      <c r="C988" s="1445">
        <v>1</v>
      </c>
      <c r="D988" s="1447" t="s">
        <v>3364</v>
      </c>
      <c r="E988" s="1445">
        <v>1</v>
      </c>
      <c r="F988" s="1446">
        <f>(3.43+4.96)*2</f>
        <v>16.78</v>
      </c>
      <c r="G988" s="1446"/>
      <c r="H988" s="1447">
        <v>3.15</v>
      </c>
      <c r="I988" s="1494">
        <f t="shared" si="55"/>
        <v>52.86</v>
      </c>
      <c r="J988" s="1526"/>
      <c r="K988" s="1481"/>
      <c r="L988" s="1481"/>
      <c r="M988" s="1481"/>
      <c r="N988" s="1481"/>
      <c r="O988" s="1481"/>
      <c r="P988" s="1481"/>
      <c r="Q988" s="1481"/>
      <c r="R988" s="1481"/>
      <c r="S988" s="1481"/>
      <c r="T988" s="1481"/>
      <c r="U988" s="1481"/>
      <c r="V988" s="1481"/>
      <c r="W988" s="1481"/>
      <c r="X988" s="1481"/>
      <c r="Y988" s="1481"/>
      <c r="Z988" s="1481"/>
      <c r="AA988" s="1481"/>
      <c r="AB988" s="1481"/>
      <c r="AC988" s="1481"/>
      <c r="AD988" s="1481"/>
      <c r="AE988" s="1481"/>
      <c r="AF988" s="1481"/>
      <c r="AG988" s="1481"/>
    </row>
    <row r="989" spans="1:33" ht="15.75" customHeight="1">
      <c r="A989" s="1448"/>
      <c r="B989" s="1482" t="s">
        <v>7518</v>
      </c>
      <c r="C989" s="1445">
        <v>1</v>
      </c>
      <c r="D989" s="1447" t="s">
        <v>3364</v>
      </c>
      <c r="E989" s="1445">
        <v>1</v>
      </c>
      <c r="F989" s="1446">
        <f xml:space="preserve"> (4.57+5.37)*2</f>
        <v>19.88</v>
      </c>
      <c r="G989" s="1446"/>
      <c r="H989" s="1447">
        <v>3.15</v>
      </c>
      <c r="I989" s="1494">
        <f t="shared" si="55"/>
        <v>62.62</v>
      </c>
      <c r="J989" s="1526"/>
      <c r="K989" s="1481"/>
      <c r="L989" s="1481"/>
      <c r="M989" s="1481"/>
      <c r="N989" s="1481"/>
      <c r="O989" s="1481"/>
      <c r="P989" s="1481"/>
      <c r="Q989" s="1481"/>
      <c r="R989" s="1481"/>
      <c r="S989" s="1481"/>
      <c r="T989" s="1481"/>
      <c r="U989" s="1481"/>
      <c r="V989" s="1481"/>
      <c r="W989" s="1481"/>
      <c r="X989" s="1481"/>
      <c r="Y989" s="1481"/>
      <c r="Z989" s="1481"/>
      <c r="AA989" s="1481"/>
      <c r="AB989" s="1481"/>
      <c r="AC989" s="1481"/>
      <c r="AD989" s="1481"/>
      <c r="AE989" s="1481"/>
      <c r="AF989" s="1481"/>
      <c r="AG989" s="1481"/>
    </row>
    <row r="990" spans="1:33" ht="15.75" customHeight="1">
      <c r="A990" s="1448"/>
      <c r="B990" s="1482" t="s">
        <v>7519</v>
      </c>
      <c r="C990" s="1445">
        <v>1</v>
      </c>
      <c r="D990" s="1447" t="s">
        <v>3364</v>
      </c>
      <c r="E990" s="1445">
        <v>1</v>
      </c>
      <c r="F990" s="1446">
        <f>(2.5656+1.99)*2</f>
        <v>9.1110000000000007</v>
      </c>
      <c r="G990" s="1446"/>
      <c r="H990" s="1447">
        <v>3.15</v>
      </c>
      <c r="I990" s="1494">
        <f t="shared" si="55"/>
        <v>28.7</v>
      </c>
      <c r="J990" s="1526"/>
      <c r="K990" s="1481"/>
      <c r="L990" s="1481"/>
      <c r="M990" s="1481"/>
      <c r="N990" s="1481"/>
      <c r="O990" s="1481"/>
      <c r="P990" s="1481"/>
      <c r="Q990" s="1481"/>
      <c r="R990" s="1481"/>
      <c r="S990" s="1481"/>
      <c r="T990" s="1481"/>
      <c r="U990" s="1481"/>
      <c r="V990" s="1481"/>
      <c r="W990" s="1481"/>
      <c r="X990" s="1481"/>
      <c r="Y990" s="1481"/>
      <c r="Z990" s="1481"/>
      <c r="AA990" s="1481"/>
      <c r="AB990" s="1481"/>
      <c r="AC990" s="1481"/>
      <c r="AD990" s="1481"/>
      <c r="AE990" s="1481"/>
      <c r="AF990" s="1481"/>
      <c r="AG990" s="1481"/>
    </row>
    <row r="991" spans="1:33" ht="15.75" customHeight="1">
      <c r="A991" s="1448"/>
      <c r="B991" s="1482" t="s">
        <v>7520</v>
      </c>
      <c r="C991" s="1445">
        <v>2</v>
      </c>
      <c r="D991" s="1447" t="s">
        <v>3364</v>
      </c>
      <c r="E991" s="1445">
        <v>1</v>
      </c>
      <c r="F991" s="1446">
        <f>(4.57+3.94)*2</f>
        <v>17.02</v>
      </c>
      <c r="G991" s="1446"/>
      <c r="H991" s="1447">
        <v>3.15</v>
      </c>
      <c r="I991" s="1494">
        <f t="shared" si="55"/>
        <v>107.23</v>
      </c>
      <c r="J991" s="1526"/>
      <c r="K991" s="1481"/>
      <c r="L991" s="1481"/>
      <c r="M991" s="1481"/>
      <c r="N991" s="1481"/>
      <c r="O991" s="1481"/>
      <c r="P991" s="1481"/>
      <c r="Q991" s="1481"/>
      <c r="R991" s="1481"/>
      <c r="S991" s="1481"/>
      <c r="T991" s="1481"/>
      <c r="U991" s="1481"/>
      <c r="V991" s="1481"/>
      <c r="W991" s="1481"/>
      <c r="X991" s="1481"/>
      <c r="Y991" s="1481"/>
      <c r="Z991" s="1481"/>
      <c r="AA991" s="1481"/>
      <c r="AB991" s="1481"/>
      <c r="AC991" s="1481"/>
      <c r="AD991" s="1481"/>
      <c r="AE991" s="1481"/>
      <c r="AF991" s="1481"/>
      <c r="AG991" s="1481"/>
    </row>
    <row r="992" spans="1:33" ht="15.75" customHeight="1">
      <c r="A992" s="1448"/>
      <c r="B992" s="1482" t="s">
        <v>7521</v>
      </c>
      <c r="C992" s="1445">
        <v>1</v>
      </c>
      <c r="D992" s="1447" t="s">
        <v>3364</v>
      </c>
      <c r="E992" s="1445">
        <v>1</v>
      </c>
      <c r="F992" s="1446">
        <f>(4.57+1.99)*2</f>
        <v>13.12</v>
      </c>
      <c r="G992" s="1446"/>
      <c r="H992" s="1447">
        <v>3.15</v>
      </c>
      <c r="I992" s="1494">
        <f t="shared" si="55"/>
        <v>41.33</v>
      </c>
      <c r="J992" s="1526"/>
      <c r="K992" s="1481"/>
      <c r="L992" s="1481"/>
      <c r="M992" s="1481"/>
      <c r="N992" s="1481"/>
      <c r="O992" s="1481"/>
      <c r="P992" s="1481"/>
      <c r="Q992" s="1481"/>
      <c r="R992" s="1481"/>
      <c r="S992" s="1481"/>
      <c r="T992" s="1481"/>
      <c r="U992" s="1481"/>
      <c r="V992" s="1481"/>
      <c r="W992" s="1481"/>
      <c r="X992" s="1481"/>
      <c r="Y992" s="1481"/>
      <c r="Z992" s="1481"/>
      <c r="AA992" s="1481"/>
      <c r="AB992" s="1481"/>
      <c r="AC992" s="1481"/>
      <c r="AD992" s="1481"/>
      <c r="AE992" s="1481"/>
      <c r="AF992" s="1481"/>
      <c r="AG992" s="1481"/>
    </row>
    <row r="993" spans="1:33" ht="15.75" customHeight="1">
      <c r="A993" s="1448"/>
      <c r="B993" s="1482" t="s">
        <v>7519</v>
      </c>
      <c r="C993" s="1445">
        <v>1</v>
      </c>
      <c r="D993" s="1447" t="s">
        <v>3364</v>
      </c>
      <c r="E993" s="1445">
        <v>1</v>
      </c>
      <c r="F993" s="1446">
        <f>(2.86+1.99)*2</f>
        <v>9.6999999999999993</v>
      </c>
      <c r="G993" s="1446"/>
      <c r="H993" s="1447">
        <v>3.15</v>
      </c>
      <c r="I993" s="1494">
        <f t="shared" si="55"/>
        <v>30.56</v>
      </c>
      <c r="J993" s="1526"/>
      <c r="K993" s="1481"/>
      <c r="L993" s="1481"/>
      <c r="M993" s="1481"/>
      <c r="N993" s="1481"/>
      <c r="O993" s="1481"/>
      <c r="P993" s="1481"/>
      <c r="Q993" s="1481"/>
      <c r="R993" s="1481"/>
      <c r="S993" s="1481"/>
      <c r="T993" s="1481"/>
      <c r="U993" s="1481"/>
      <c r="V993" s="1481"/>
      <c r="W993" s="1481"/>
      <c r="X993" s="1481"/>
      <c r="Y993" s="1481"/>
      <c r="Z993" s="1481"/>
      <c r="AA993" s="1481"/>
      <c r="AB993" s="1481"/>
      <c r="AC993" s="1481"/>
      <c r="AD993" s="1481"/>
      <c r="AE993" s="1481"/>
      <c r="AF993" s="1481"/>
      <c r="AG993" s="1481"/>
    </row>
    <row r="994" spans="1:33" ht="15.75" customHeight="1">
      <c r="A994" s="1448"/>
      <c r="B994" s="1482" t="s">
        <v>7522</v>
      </c>
      <c r="C994" s="1445">
        <v>1</v>
      </c>
      <c r="D994" s="1447" t="s">
        <v>3364</v>
      </c>
      <c r="E994" s="1445">
        <v>1</v>
      </c>
      <c r="F994" s="1446">
        <f>(4.57+9.045)*2</f>
        <v>27.23</v>
      </c>
      <c r="G994" s="1446"/>
      <c r="H994" s="1447">
        <v>3.15</v>
      </c>
      <c r="I994" s="1494">
        <f t="shared" si="55"/>
        <v>85.77</v>
      </c>
      <c r="J994" s="1526"/>
      <c r="K994" s="1481"/>
      <c r="L994" s="1481"/>
      <c r="M994" s="1481"/>
      <c r="N994" s="1481"/>
      <c r="O994" s="1481"/>
      <c r="P994" s="1481"/>
      <c r="Q994" s="1481"/>
      <c r="R994" s="1481"/>
      <c r="S994" s="1481"/>
      <c r="T994" s="1481"/>
      <c r="U994" s="1481"/>
      <c r="V994" s="1481"/>
      <c r="W994" s="1481"/>
      <c r="X994" s="1481"/>
      <c r="Y994" s="1481"/>
      <c r="Z994" s="1481"/>
      <c r="AA994" s="1481"/>
      <c r="AB994" s="1481"/>
      <c r="AC994" s="1481"/>
      <c r="AD994" s="1481"/>
      <c r="AE994" s="1481"/>
      <c r="AF994" s="1481"/>
      <c r="AG994" s="1481"/>
    </row>
    <row r="995" spans="1:33" ht="15.75" customHeight="1">
      <c r="A995" s="1448"/>
      <c r="B995" s="1482" t="s">
        <v>7517</v>
      </c>
      <c r="C995" s="1445">
        <v>3</v>
      </c>
      <c r="D995" s="1467" t="s">
        <v>3364</v>
      </c>
      <c r="E995" s="1445">
        <v>1</v>
      </c>
      <c r="F995" s="1446">
        <f>(1.5+1.2)*2</f>
        <v>5.4</v>
      </c>
      <c r="G995" s="1446"/>
      <c r="H995" s="1447">
        <v>3.15</v>
      </c>
      <c r="I995" s="1494">
        <f t="shared" si="55"/>
        <v>51.03</v>
      </c>
      <c r="J995" s="1526"/>
      <c r="K995" s="1481"/>
      <c r="L995" s="1481"/>
      <c r="M995" s="1481"/>
      <c r="N995" s="1481"/>
      <c r="O995" s="1481"/>
      <c r="P995" s="1481"/>
      <c r="Q995" s="1481"/>
      <c r="R995" s="1481"/>
      <c r="S995" s="1481"/>
      <c r="T995" s="1481"/>
      <c r="U995" s="1481"/>
      <c r="V995" s="1481"/>
      <c r="W995" s="1481"/>
      <c r="X995" s="1481"/>
      <c r="Y995" s="1481"/>
      <c r="Z995" s="1481"/>
      <c r="AA995" s="1481"/>
      <c r="AB995" s="1481"/>
      <c r="AC995" s="1481"/>
      <c r="AD995" s="1481"/>
      <c r="AE995" s="1481"/>
      <c r="AF995" s="1481"/>
      <c r="AG995" s="1481"/>
    </row>
    <row r="996" spans="1:33" ht="15.75" customHeight="1">
      <c r="A996" s="1448"/>
      <c r="B996" s="1482" t="s">
        <v>6727</v>
      </c>
      <c r="C996" s="1445">
        <v>1</v>
      </c>
      <c r="D996" s="1467" t="s">
        <v>3364</v>
      </c>
      <c r="E996" s="1453">
        <v>5</v>
      </c>
      <c r="F996" s="1446">
        <f>(1.89+1.76)*2</f>
        <v>7.3</v>
      </c>
      <c r="G996" s="1446"/>
      <c r="H996" s="1447">
        <v>3.15</v>
      </c>
      <c r="I996" s="1494">
        <f t="shared" si="55"/>
        <v>114.98</v>
      </c>
      <c r="J996" s="1526"/>
      <c r="K996" s="1481"/>
      <c r="L996" s="1481"/>
      <c r="M996" s="1481"/>
      <c r="N996" s="1481"/>
      <c r="O996" s="1481"/>
      <c r="P996" s="1481"/>
      <c r="Q996" s="1481"/>
      <c r="R996" s="1481"/>
      <c r="S996" s="1481"/>
      <c r="T996" s="1481"/>
      <c r="U996" s="1481"/>
      <c r="V996" s="1481"/>
      <c r="W996" s="1481"/>
      <c r="X996" s="1481"/>
      <c r="Y996" s="1481"/>
      <c r="Z996" s="1481"/>
      <c r="AA996" s="1481"/>
      <c r="AB996" s="1481"/>
      <c r="AC996" s="1481"/>
      <c r="AD996" s="1481"/>
      <c r="AE996" s="1481"/>
      <c r="AF996" s="1481"/>
      <c r="AG996" s="1481"/>
    </row>
    <row r="997" spans="1:33" ht="15.75" customHeight="1">
      <c r="A997" s="1448"/>
      <c r="B997" s="1482" t="s">
        <v>7269</v>
      </c>
      <c r="C997" s="1445">
        <v>3</v>
      </c>
      <c r="D997" s="1447" t="s">
        <v>3364</v>
      </c>
      <c r="E997" s="1445">
        <v>1</v>
      </c>
      <c r="F997" s="1446">
        <f>(1.2+1.62)*2</f>
        <v>5.64</v>
      </c>
      <c r="G997" s="1446"/>
      <c r="H997" s="1447">
        <v>3.15</v>
      </c>
      <c r="I997" s="1494">
        <f t="shared" si="55"/>
        <v>53.3</v>
      </c>
      <c r="J997" s="1526"/>
      <c r="K997" s="1481"/>
      <c r="L997" s="1481"/>
      <c r="M997" s="1481"/>
      <c r="N997" s="1481"/>
      <c r="O997" s="1481"/>
      <c r="P997" s="1481"/>
      <c r="Q997" s="1481"/>
      <c r="R997" s="1481"/>
      <c r="S997" s="1481"/>
      <c r="T997" s="1481"/>
      <c r="U997" s="1481"/>
      <c r="V997" s="1481"/>
      <c r="W997" s="1481"/>
      <c r="X997" s="1481"/>
      <c r="Y997" s="1481"/>
      <c r="Z997" s="1481"/>
      <c r="AA997" s="1481"/>
      <c r="AB997" s="1481"/>
      <c r="AC997" s="1481"/>
      <c r="AD997" s="1481"/>
      <c r="AE997" s="1481"/>
      <c r="AF997" s="1481"/>
      <c r="AG997" s="1481"/>
    </row>
    <row r="998" spans="1:33" ht="15.75" customHeight="1">
      <c r="A998" s="1448"/>
      <c r="B998" s="1482" t="s">
        <v>3484</v>
      </c>
      <c r="C998" s="1445">
        <v>1</v>
      </c>
      <c r="D998" s="1447" t="s">
        <v>3364</v>
      </c>
      <c r="E998" s="1445">
        <v>1</v>
      </c>
      <c r="F998" s="1446">
        <f>(27.89+2)*2</f>
        <v>59.78</v>
      </c>
      <c r="G998" s="1446"/>
      <c r="H998" s="1447">
        <v>3.15</v>
      </c>
      <c r="I998" s="1494">
        <f t="shared" si="55"/>
        <v>188.31</v>
      </c>
      <c r="J998" s="1526"/>
      <c r="K998" s="1481"/>
      <c r="L998" s="1481"/>
      <c r="M998" s="1481"/>
      <c r="N998" s="1481"/>
      <c r="O998" s="1481"/>
      <c r="P998" s="1481"/>
      <c r="Q998" s="1481"/>
      <c r="R998" s="1481"/>
      <c r="S998" s="1481"/>
      <c r="T998" s="1481"/>
      <c r="U998" s="1481"/>
      <c r="V998" s="1481"/>
      <c r="W998" s="1481"/>
      <c r="X998" s="1481"/>
      <c r="Y998" s="1481"/>
      <c r="Z998" s="1481"/>
      <c r="AA998" s="1481"/>
      <c r="AB998" s="1481"/>
      <c r="AC998" s="1481"/>
      <c r="AD998" s="1481"/>
      <c r="AE998" s="1481"/>
      <c r="AF998" s="1481"/>
      <c r="AG998" s="1481"/>
    </row>
    <row r="999" spans="1:33" ht="15.75" customHeight="1">
      <c r="A999" s="1448"/>
      <c r="B999" s="1482" t="s">
        <v>6727</v>
      </c>
      <c r="C999" s="1445">
        <v>3</v>
      </c>
      <c r="D999" s="1467" t="s">
        <v>3364</v>
      </c>
      <c r="E999" s="1445">
        <v>1</v>
      </c>
      <c r="F999" s="1446">
        <f>(1.89+1.76)*2</f>
        <v>7.3</v>
      </c>
      <c r="G999" s="1446"/>
      <c r="H999" s="1447">
        <v>3.15</v>
      </c>
      <c r="I999" s="1494">
        <f t="shared" si="55"/>
        <v>68.989999999999995</v>
      </c>
      <c r="J999" s="1526"/>
      <c r="K999" s="1481"/>
      <c r="L999" s="1481"/>
      <c r="M999" s="1481"/>
      <c r="N999" s="1481"/>
      <c r="O999" s="1481"/>
      <c r="P999" s="1481"/>
      <c r="Q999" s="1481"/>
      <c r="R999" s="1481"/>
      <c r="S999" s="1481"/>
      <c r="T999" s="1481"/>
      <c r="U999" s="1481"/>
      <c r="V999" s="1481"/>
      <c r="W999" s="1481"/>
      <c r="X999" s="1481"/>
      <c r="Y999" s="1481"/>
      <c r="Z999" s="1481"/>
      <c r="AA999" s="1481"/>
      <c r="AB999" s="1481"/>
      <c r="AC999" s="1481"/>
      <c r="AD999" s="1481"/>
      <c r="AE999" s="1481"/>
      <c r="AF999" s="1481"/>
      <c r="AG999" s="1481"/>
    </row>
    <row r="1000" spans="1:33" ht="15.75" customHeight="1">
      <c r="A1000" s="1448"/>
      <c r="B1000" s="1483" t="s">
        <v>7523</v>
      </c>
      <c r="C1000" s="1445"/>
      <c r="D1000" s="1447"/>
      <c r="E1000" s="1445"/>
      <c r="F1000" s="1446"/>
      <c r="G1000" s="1446"/>
      <c r="H1000" s="1447"/>
      <c r="I1000" s="1494">
        <f t="shared" si="55"/>
        <v>0</v>
      </c>
      <c r="J1000" s="1526"/>
      <c r="K1000" s="1481"/>
      <c r="L1000" s="1481"/>
      <c r="M1000" s="1481"/>
      <c r="N1000" s="1481"/>
      <c r="O1000" s="1481"/>
      <c r="P1000" s="1481"/>
      <c r="Q1000" s="1481"/>
      <c r="R1000" s="1481"/>
      <c r="S1000" s="1481"/>
      <c r="T1000" s="1481"/>
      <c r="U1000" s="1481"/>
      <c r="V1000" s="1481"/>
      <c r="W1000" s="1481"/>
      <c r="X1000" s="1481"/>
      <c r="Y1000" s="1481"/>
      <c r="Z1000" s="1481"/>
      <c r="AA1000" s="1481"/>
      <c r="AB1000" s="1481"/>
      <c r="AC1000" s="1481"/>
      <c r="AD1000" s="1481"/>
      <c r="AE1000" s="1481"/>
      <c r="AF1000" s="1481"/>
      <c r="AG1000" s="1481"/>
    </row>
    <row r="1001" spans="1:33" ht="15.75" customHeight="1">
      <c r="A1001" s="1448"/>
      <c r="B1001" s="1482" t="s">
        <v>6602</v>
      </c>
      <c r="C1001" s="1445">
        <v>1</v>
      </c>
      <c r="D1001" s="1447" t="s">
        <v>3364</v>
      </c>
      <c r="E1001" s="1445">
        <v>1</v>
      </c>
      <c r="F1001" s="1446">
        <f>(12.51+5.035)*2</f>
        <v>35.090000000000003</v>
      </c>
      <c r="G1001" s="1446"/>
      <c r="H1001" s="1447">
        <v>3.15</v>
      </c>
      <c r="I1001" s="1494">
        <f t="shared" si="55"/>
        <v>110.53</v>
      </c>
      <c r="J1001" s="1526"/>
      <c r="K1001" s="1481"/>
      <c r="L1001" s="1481"/>
      <c r="M1001" s="1481"/>
      <c r="N1001" s="1481"/>
      <c r="O1001" s="1481"/>
      <c r="P1001" s="1481"/>
      <c r="Q1001" s="1481"/>
      <c r="R1001" s="1481"/>
      <c r="S1001" s="1481"/>
      <c r="T1001" s="1481"/>
      <c r="U1001" s="1481"/>
      <c r="V1001" s="1481"/>
      <c r="W1001" s="1481"/>
      <c r="X1001" s="1481"/>
      <c r="Y1001" s="1481"/>
      <c r="Z1001" s="1481"/>
      <c r="AA1001" s="1481"/>
      <c r="AB1001" s="1481"/>
      <c r="AC1001" s="1481"/>
      <c r="AD1001" s="1481"/>
      <c r="AE1001" s="1481"/>
      <c r="AF1001" s="1481"/>
      <c r="AG1001" s="1481"/>
    </row>
    <row r="1002" spans="1:33" ht="15.75" customHeight="1">
      <c r="A1002" s="1448"/>
      <c r="B1002" s="1482" t="s">
        <v>7495</v>
      </c>
      <c r="C1002" s="1445">
        <v>1</v>
      </c>
      <c r="D1002" s="1447" t="s">
        <v>3364</v>
      </c>
      <c r="E1002" s="1445">
        <v>1</v>
      </c>
      <c r="F1002" s="1446">
        <f>(1.545+2.4)*2</f>
        <v>7.89</v>
      </c>
      <c r="G1002" s="1446"/>
      <c r="H1002" s="1447">
        <v>3.15</v>
      </c>
      <c r="I1002" s="1494">
        <f t="shared" si="55"/>
        <v>24.85</v>
      </c>
      <c r="J1002" s="1526"/>
      <c r="K1002" s="1481"/>
      <c r="L1002" s="1481"/>
      <c r="M1002" s="1481"/>
      <c r="N1002" s="1481"/>
      <c r="O1002" s="1481"/>
      <c r="P1002" s="1481"/>
      <c r="Q1002" s="1481"/>
      <c r="R1002" s="1481"/>
      <c r="S1002" s="1481"/>
      <c r="T1002" s="1481"/>
      <c r="U1002" s="1481"/>
      <c r="V1002" s="1481"/>
      <c r="W1002" s="1481"/>
      <c r="X1002" s="1481"/>
      <c r="Y1002" s="1481"/>
      <c r="Z1002" s="1481"/>
      <c r="AA1002" s="1481"/>
      <c r="AB1002" s="1481"/>
      <c r="AC1002" s="1481"/>
      <c r="AD1002" s="1481"/>
      <c r="AE1002" s="1481"/>
      <c r="AF1002" s="1481"/>
      <c r="AG1002" s="1481"/>
    </row>
    <row r="1003" spans="1:33" ht="15.75" customHeight="1">
      <c r="A1003" s="1448"/>
      <c r="B1003" s="1482" t="s">
        <v>3503</v>
      </c>
      <c r="C1003" s="1445">
        <v>1</v>
      </c>
      <c r="D1003" s="1447" t="s">
        <v>3364</v>
      </c>
      <c r="E1003" s="1445">
        <v>1</v>
      </c>
      <c r="F1003" s="1446">
        <f>(1.545+2.52)*2</f>
        <v>8.1300000000000008</v>
      </c>
      <c r="G1003" s="1446"/>
      <c r="H1003" s="1447">
        <v>3.15</v>
      </c>
      <c r="I1003" s="1494">
        <f t="shared" si="55"/>
        <v>25.61</v>
      </c>
      <c r="J1003" s="1526"/>
      <c r="K1003" s="1481"/>
      <c r="L1003" s="1481"/>
      <c r="M1003" s="1481"/>
      <c r="N1003" s="1481"/>
      <c r="O1003" s="1481"/>
      <c r="P1003" s="1481"/>
      <c r="Q1003" s="1481"/>
      <c r="R1003" s="1481"/>
      <c r="S1003" s="1481"/>
      <c r="T1003" s="1481"/>
      <c r="U1003" s="1481"/>
      <c r="V1003" s="1481"/>
      <c r="W1003" s="1481"/>
      <c r="X1003" s="1481"/>
      <c r="Y1003" s="1481"/>
      <c r="Z1003" s="1481"/>
      <c r="AA1003" s="1481"/>
      <c r="AB1003" s="1481"/>
      <c r="AC1003" s="1481"/>
      <c r="AD1003" s="1481"/>
      <c r="AE1003" s="1481"/>
      <c r="AF1003" s="1481"/>
      <c r="AG1003" s="1481"/>
    </row>
    <row r="1004" spans="1:33" ht="15.75" customHeight="1">
      <c r="A1004" s="1448"/>
      <c r="B1004" s="1482" t="s">
        <v>7524</v>
      </c>
      <c r="C1004" s="1445">
        <v>1</v>
      </c>
      <c r="D1004" s="1447" t="s">
        <v>3364</v>
      </c>
      <c r="E1004" s="1445">
        <v>1</v>
      </c>
      <c r="F1004" s="1446">
        <f>(9.37+5.035)*2</f>
        <v>28.81</v>
      </c>
      <c r="G1004" s="1446"/>
      <c r="H1004" s="1447">
        <v>3.15</v>
      </c>
      <c r="I1004" s="1494">
        <f t="shared" si="55"/>
        <v>90.75</v>
      </c>
      <c r="J1004" s="1526"/>
      <c r="K1004" s="1481"/>
      <c r="L1004" s="1481"/>
      <c r="M1004" s="1481"/>
      <c r="N1004" s="1481"/>
      <c r="O1004" s="1481"/>
      <c r="P1004" s="1481"/>
      <c r="Q1004" s="1481"/>
      <c r="R1004" s="1481"/>
      <c r="S1004" s="1481"/>
      <c r="T1004" s="1481"/>
      <c r="U1004" s="1481"/>
      <c r="V1004" s="1481"/>
      <c r="W1004" s="1481"/>
      <c r="X1004" s="1481"/>
      <c r="Y1004" s="1481"/>
      <c r="Z1004" s="1481"/>
      <c r="AA1004" s="1481"/>
      <c r="AB1004" s="1481"/>
      <c r="AC1004" s="1481"/>
      <c r="AD1004" s="1481"/>
      <c r="AE1004" s="1481"/>
      <c r="AF1004" s="1481"/>
      <c r="AG1004" s="1481"/>
    </row>
    <row r="1005" spans="1:33" ht="15.75" customHeight="1">
      <c r="A1005" s="1448"/>
      <c r="B1005" s="1482" t="s">
        <v>6924</v>
      </c>
      <c r="C1005" s="1445">
        <v>1</v>
      </c>
      <c r="D1005" s="1447" t="s">
        <v>3364</v>
      </c>
      <c r="E1005" s="1445">
        <v>1</v>
      </c>
      <c r="F1005" s="1446">
        <f>(14.17+9.045)*2</f>
        <v>46.43</v>
      </c>
      <c r="G1005" s="1446"/>
      <c r="H1005" s="1447">
        <v>3.15</v>
      </c>
      <c r="I1005" s="1494">
        <f t="shared" si="55"/>
        <v>146.25</v>
      </c>
      <c r="J1005" s="1526"/>
      <c r="K1005" s="1481"/>
      <c r="L1005" s="1481"/>
      <c r="M1005" s="1481"/>
      <c r="N1005" s="1481"/>
      <c r="O1005" s="1481"/>
      <c r="P1005" s="1481"/>
      <c r="Q1005" s="1481"/>
      <c r="R1005" s="1481"/>
      <c r="S1005" s="1481"/>
      <c r="T1005" s="1481"/>
      <c r="U1005" s="1481"/>
      <c r="V1005" s="1481"/>
      <c r="W1005" s="1481"/>
      <c r="X1005" s="1481"/>
      <c r="Y1005" s="1481"/>
      <c r="Z1005" s="1481"/>
      <c r="AA1005" s="1481"/>
      <c r="AB1005" s="1481"/>
      <c r="AC1005" s="1481"/>
      <c r="AD1005" s="1481"/>
      <c r="AE1005" s="1481"/>
      <c r="AF1005" s="1481"/>
      <c r="AG1005" s="1481"/>
    </row>
    <row r="1006" spans="1:33" ht="15.75" customHeight="1">
      <c r="A1006" s="1448"/>
      <c r="B1006" s="1482" t="s">
        <v>7215</v>
      </c>
      <c r="C1006" s="1445">
        <v>1</v>
      </c>
      <c r="D1006" s="1447" t="s">
        <v>3364</v>
      </c>
      <c r="E1006" s="1445">
        <v>2</v>
      </c>
      <c r="F1006" s="1446">
        <f>(5.7+10.475)*2</f>
        <v>32.35</v>
      </c>
      <c r="G1006" s="1446"/>
      <c r="H1006" s="1447">
        <v>3.15</v>
      </c>
      <c r="I1006" s="1494">
        <f t="shared" si="55"/>
        <v>203.81</v>
      </c>
      <c r="J1006" s="1526"/>
      <c r="K1006" s="1481"/>
      <c r="L1006" s="1481"/>
      <c r="M1006" s="1481"/>
      <c r="N1006" s="1481"/>
      <c r="O1006" s="1481"/>
      <c r="P1006" s="1481"/>
      <c r="Q1006" s="1481"/>
      <c r="R1006" s="1481"/>
      <c r="S1006" s="1481"/>
      <c r="T1006" s="1481"/>
      <c r="U1006" s="1481"/>
      <c r="V1006" s="1481"/>
      <c r="W1006" s="1481"/>
      <c r="X1006" s="1481"/>
      <c r="Y1006" s="1481"/>
      <c r="Z1006" s="1481"/>
      <c r="AA1006" s="1481"/>
      <c r="AB1006" s="1481"/>
      <c r="AC1006" s="1481"/>
      <c r="AD1006" s="1481"/>
      <c r="AE1006" s="1481"/>
      <c r="AF1006" s="1481"/>
      <c r="AG1006" s="1481"/>
    </row>
    <row r="1007" spans="1:33" ht="15.75" customHeight="1">
      <c r="A1007" s="1448"/>
      <c r="B1007" s="1482" t="s">
        <v>7517</v>
      </c>
      <c r="C1007" s="1445">
        <v>3</v>
      </c>
      <c r="D1007" s="1467" t="s">
        <v>3364</v>
      </c>
      <c r="E1007" s="1445">
        <v>1</v>
      </c>
      <c r="F1007" s="1446">
        <f>(1.5+1.2)*2</f>
        <v>5.4</v>
      </c>
      <c r="G1007" s="1446"/>
      <c r="H1007" s="1447">
        <v>3.15</v>
      </c>
      <c r="I1007" s="1494">
        <f t="shared" si="55"/>
        <v>51.03</v>
      </c>
      <c r="J1007" s="1526"/>
      <c r="K1007" s="1481"/>
      <c r="L1007" s="1481"/>
      <c r="M1007" s="1481"/>
      <c r="N1007" s="1481"/>
      <c r="O1007" s="1481"/>
      <c r="P1007" s="1481"/>
      <c r="Q1007" s="1481"/>
      <c r="R1007" s="1481"/>
      <c r="S1007" s="1481"/>
      <c r="T1007" s="1481"/>
      <c r="U1007" s="1481"/>
      <c r="V1007" s="1481"/>
      <c r="W1007" s="1481"/>
      <c r="X1007" s="1481"/>
      <c r="Y1007" s="1481"/>
      <c r="Z1007" s="1481"/>
      <c r="AA1007" s="1481"/>
      <c r="AB1007" s="1481"/>
      <c r="AC1007" s="1481"/>
      <c r="AD1007" s="1481"/>
      <c r="AE1007" s="1481"/>
      <c r="AF1007" s="1481"/>
      <c r="AG1007" s="1481"/>
    </row>
    <row r="1008" spans="1:33" ht="15.75" customHeight="1">
      <c r="A1008" s="1448"/>
      <c r="B1008" s="1482" t="s">
        <v>6727</v>
      </c>
      <c r="C1008" s="1445">
        <v>1</v>
      </c>
      <c r="D1008" s="1467" t="s">
        <v>3364</v>
      </c>
      <c r="E1008" s="1453">
        <v>5</v>
      </c>
      <c r="F1008" s="1446">
        <f>(1.89+1.76)*2</f>
        <v>7.3</v>
      </c>
      <c r="G1008" s="1446"/>
      <c r="H1008" s="1447">
        <v>3.15</v>
      </c>
      <c r="I1008" s="1494">
        <f t="shared" si="55"/>
        <v>114.98</v>
      </c>
      <c r="J1008" s="1526"/>
      <c r="K1008" s="1481"/>
      <c r="L1008" s="1481"/>
      <c r="M1008" s="1481"/>
      <c r="N1008" s="1481"/>
      <c r="O1008" s="1481"/>
      <c r="P1008" s="1481"/>
      <c r="Q1008" s="1481"/>
      <c r="R1008" s="1481"/>
      <c r="S1008" s="1481"/>
      <c r="T1008" s="1481"/>
      <c r="U1008" s="1481"/>
      <c r="V1008" s="1481"/>
      <c r="W1008" s="1481"/>
      <c r="X1008" s="1481"/>
      <c r="Y1008" s="1481"/>
      <c r="Z1008" s="1481"/>
      <c r="AA1008" s="1481"/>
      <c r="AB1008" s="1481"/>
      <c r="AC1008" s="1481"/>
      <c r="AD1008" s="1481"/>
      <c r="AE1008" s="1481"/>
      <c r="AF1008" s="1481"/>
      <c r="AG1008" s="1481"/>
    </row>
    <row r="1009" spans="1:33" ht="15.75" customHeight="1">
      <c r="A1009" s="1448"/>
      <c r="B1009" s="1482" t="s">
        <v>7269</v>
      </c>
      <c r="C1009" s="1445">
        <v>3</v>
      </c>
      <c r="D1009" s="1447" t="s">
        <v>3364</v>
      </c>
      <c r="E1009" s="1445">
        <v>1</v>
      </c>
      <c r="F1009" s="1446">
        <f>(1.2+1.62)*2</f>
        <v>5.64</v>
      </c>
      <c r="G1009" s="1446"/>
      <c r="H1009" s="1447">
        <v>3.15</v>
      </c>
      <c r="I1009" s="1494">
        <f t="shared" si="55"/>
        <v>53.3</v>
      </c>
      <c r="J1009" s="1526"/>
      <c r="K1009" s="1481"/>
      <c r="L1009" s="1481"/>
      <c r="M1009" s="1481"/>
      <c r="N1009" s="1481"/>
      <c r="O1009" s="1481"/>
      <c r="P1009" s="1481"/>
      <c r="Q1009" s="1481"/>
      <c r="R1009" s="1481"/>
      <c r="S1009" s="1481"/>
      <c r="T1009" s="1481"/>
      <c r="U1009" s="1481"/>
      <c r="V1009" s="1481"/>
      <c r="W1009" s="1481"/>
      <c r="X1009" s="1481"/>
      <c r="Y1009" s="1481"/>
      <c r="Z1009" s="1481"/>
      <c r="AA1009" s="1481"/>
      <c r="AB1009" s="1481"/>
      <c r="AC1009" s="1481"/>
      <c r="AD1009" s="1481"/>
      <c r="AE1009" s="1481"/>
      <c r="AF1009" s="1481"/>
      <c r="AG1009" s="1481"/>
    </row>
    <row r="1010" spans="1:33" ht="15.75" customHeight="1">
      <c r="A1010" s="1448"/>
      <c r="B1010" s="1482" t="s">
        <v>3484</v>
      </c>
      <c r="C1010" s="1445">
        <v>1</v>
      </c>
      <c r="D1010" s="1447" t="s">
        <v>3364</v>
      </c>
      <c r="E1010" s="1445">
        <v>1</v>
      </c>
      <c r="F1010" s="1446">
        <f>(27.89+2)*2</f>
        <v>59.78</v>
      </c>
      <c r="G1010" s="1446"/>
      <c r="H1010" s="1447">
        <v>3.15</v>
      </c>
      <c r="I1010" s="1494">
        <f t="shared" si="55"/>
        <v>188.31</v>
      </c>
      <c r="J1010" s="1526"/>
      <c r="K1010" s="1481"/>
      <c r="L1010" s="1481"/>
      <c r="M1010" s="1481"/>
      <c r="N1010" s="1481"/>
      <c r="O1010" s="1481"/>
      <c r="P1010" s="1481"/>
      <c r="Q1010" s="1481"/>
      <c r="R1010" s="1481"/>
      <c r="S1010" s="1481"/>
      <c r="T1010" s="1481"/>
      <c r="U1010" s="1481"/>
      <c r="V1010" s="1481"/>
      <c r="W1010" s="1481"/>
      <c r="X1010" s="1481"/>
      <c r="Y1010" s="1481"/>
      <c r="Z1010" s="1481"/>
      <c r="AA1010" s="1481"/>
      <c r="AB1010" s="1481"/>
      <c r="AC1010" s="1481"/>
      <c r="AD1010" s="1481"/>
      <c r="AE1010" s="1481"/>
      <c r="AF1010" s="1481"/>
      <c r="AG1010" s="1481"/>
    </row>
    <row r="1011" spans="1:33" ht="15.75" customHeight="1">
      <c r="A1011" s="1448"/>
      <c r="B1011" s="1482" t="s">
        <v>6727</v>
      </c>
      <c r="C1011" s="1445">
        <v>3</v>
      </c>
      <c r="D1011" s="1467" t="s">
        <v>3364</v>
      </c>
      <c r="E1011" s="1445">
        <v>1</v>
      </c>
      <c r="F1011" s="1446">
        <f>(1.89+1.76)*2</f>
        <v>7.3</v>
      </c>
      <c r="G1011" s="1446"/>
      <c r="H1011" s="1447">
        <v>3.15</v>
      </c>
      <c r="I1011" s="1494">
        <f t="shared" si="55"/>
        <v>68.989999999999995</v>
      </c>
      <c r="J1011" s="1526"/>
      <c r="K1011" s="1481"/>
      <c r="L1011" s="1481"/>
      <c r="M1011" s="1481"/>
      <c r="N1011" s="1481"/>
      <c r="O1011" s="1481"/>
      <c r="P1011" s="1481"/>
      <c r="Q1011" s="1481"/>
      <c r="R1011" s="1481"/>
      <c r="S1011" s="1481"/>
      <c r="T1011" s="1481"/>
      <c r="U1011" s="1481"/>
      <c r="V1011" s="1481"/>
      <c r="W1011" s="1481"/>
      <c r="X1011" s="1481"/>
      <c r="Y1011" s="1481"/>
      <c r="Z1011" s="1481"/>
      <c r="AA1011" s="1481"/>
      <c r="AB1011" s="1481"/>
      <c r="AC1011" s="1481"/>
      <c r="AD1011" s="1481"/>
      <c r="AE1011" s="1481"/>
      <c r="AF1011" s="1481"/>
      <c r="AG1011" s="1481"/>
    </row>
    <row r="1012" spans="1:33" ht="15.75" customHeight="1">
      <c r="A1012" s="1448"/>
      <c r="B1012" s="1483" t="s">
        <v>7526</v>
      </c>
      <c r="C1012" s="1445"/>
      <c r="D1012" s="1447"/>
      <c r="E1012" s="1445"/>
      <c r="F1012" s="1446"/>
      <c r="G1012" s="1446"/>
      <c r="H1012" s="1447"/>
      <c r="I1012" s="1494">
        <f t="shared" si="55"/>
        <v>0</v>
      </c>
      <c r="J1012" s="1526"/>
      <c r="K1012" s="1481"/>
      <c r="L1012" s="1481"/>
      <c r="M1012" s="1481"/>
      <c r="N1012" s="1481"/>
      <c r="O1012" s="1481"/>
      <c r="P1012" s="1481"/>
      <c r="Q1012" s="1481"/>
      <c r="R1012" s="1481"/>
      <c r="S1012" s="1481"/>
      <c r="T1012" s="1481"/>
      <c r="U1012" s="1481"/>
      <c r="V1012" s="1481"/>
      <c r="W1012" s="1481"/>
      <c r="X1012" s="1481"/>
      <c r="Y1012" s="1481"/>
      <c r="Z1012" s="1481"/>
      <c r="AA1012" s="1481"/>
      <c r="AB1012" s="1481"/>
      <c r="AC1012" s="1481"/>
      <c r="AD1012" s="1481"/>
      <c r="AE1012" s="1481"/>
      <c r="AF1012" s="1481"/>
      <c r="AG1012" s="1481"/>
    </row>
    <row r="1013" spans="1:33" ht="15.75" customHeight="1">
      <c r="A1013" s="1448"/>
      <c r="B1013" s="1480" t="s">
        <v>7143</v>
      </c>
      <c r="C1013" s="1445">
        <v>1</v>
      </c>
      <c r="D1013" s="1447" t="s">
        <v>3364</v>
      </c>
      <c r="E1013" s="1445">
        <v>1</v>
      </c>
      <c r="F1013" s="1446">
        <v>24.5</v>
      </c>
      <c r="G1013" s="1446"/>
      <c r="H1013" s="1447">
        <v>3.2</v>
      </c>
      <c r="I1013" s="1494">
        <f t="shared" si="55"/>
        <v>78.400000000000006</v>
      </c>
      <c r="J1013" s="1526"/>
      <c r="K1013" s="1481"/>
      <c r="L1013" s="1481"/>
      <c r="M1013" s="1481"/>
      <c r="N1013" s="1481"/>
      <c r="O1013" s="1481"/>
      <c r="P1013" s="1481"/>
      <c r="Q1013" s="1481"/>
      <c r="R1013" s="1481"/>
      <c r="S1013" s="1481"/>
      <c r="T1013" s="1481"/>
      <c r="U1013" s="1481"/>
      <c r="V1013" s="1481"/>
      <c r="W1013" s="1481"/>
      <c r="X1013" s="1481"/>
      <c r="Y1013" s="1481"/>
      <c r="Z1013" s="1481"/>
      <c r="AA1013" s="1481"/>
      <c r="AB1013" s="1481"/>
      <c r="AC1013" s="1481"/>
      <c r="AD1013" s="1481"/>
      <c r="AE1013" s="1481"/>
      <c r="AF1013" s="1481"/>
      <c r="AG1013" s="1481"/>
    </row>
    <row r="1014" spans="1:33" ht="15.75" customHeight="1">
      <c r="A1014" s="1448"/>
      <c r="B1014" s="1482" t="s">
        <v>7525</v>
      </c>
      <c r="C1014" s="1445">
        <v>1</v>
      </c>
      <c r="D1014" s="1467" t="s">
        <v>3364</v>
      </c>
      <c r="E1014" s="1445">
        <v>6</v>
      </c>
      <c r="F1014" s="1446">
        <f>(2.3+2.3)*2</f>
        <v>9.1999999999999993</v>
      </c>
      <c r="G1014" s="1446"/>
      <c r="H1014" s="1447">
        <v>3.6</v>
      </c>
      <c r="I1014" s="1494">
        <f t="shared" si="55"/>
        <v>198.72</v>
      </c>
      <c r="J1014" s="1526"/>
      <c r="K1014" s="1481"/>
      <c r="L1014" s="1481"/>
      <c r="M1014" s="1481"/>
      <c r="N1014" s="1481"/>
      <c r="O1014" s="1481"/>
      <c r="P1014" s="1481"/>
      <c r="Q1014" s="1481"/>
      <c r="R1014" s="1481"/>
      <c r="S1014" s="1481"/>
      <c r="T1014" s="1481"/>
      <c r="U1014" s="1481"/>
      <c r="V1014" s="1481"/>
      <c r="W1014" s="1481"/>
      <c r="X1014" s="1481"/>
      <c r="Y1014" s="1481"/>
      <c r="Z1014" s="1481"/>
      <c r="AA1014" s="1481"/>
      <c r="AB1014" s="1481"/>
      <c r="AC1014" s="1481"/>
      <c r="AD1014" s="1481"/>
      <c r="AE1014" s="1481"/>
      <c r="AF1014" s="1481"/>
      <c r="AG1014" s="1481"/>
    </row>
    <row r="1015" spans="1:33" ht="15.75" customHeight="1">
      <c r="A1015" s="1448"/>
      <c r="B1015" s="1483" t="s">
        <v>3443</v>
      </c>
      <c r="C1015" s="1445"/>
      <c r="D1015" s="1447"/>
      <c r="E1015" s="1445"/>
      <c r="F1015" s="1446"/>
      <c r="G1015" s="1446"/>
      <c r="H1015" s="1447"/>
      <c r="I1015" s="1494">
        <f t="shared" si="55"/>
        <v>0</v>
      </c>
      <c r="J1015" s="1526"/>
      <c r="K1015" s="1481"/>
      <c r="L1015" s="1481"/>
      <c r="M1015" s="1481"/>
      <c r="N1015" s="1481"/>
      <c r="O1015" s="1481"/>
      <c r="P1015" s="1481"/>
      <c r="Q1015" s="1481"/>
      <c r="R1015" s="1481"/>
      <c r="S1015" s="1481"/>
      <c r="T1015" s="1481"/>
      <c r="U1015" s="1481"/>
      <c r="V1015" s="1481"/>
      <c r="W1015" s="1481"/>
      <c r="X1015" s="1481"/>
      <c r="Y1015" s="1481"/>
      <c r="Z1015" s="1481"/>
      <c r="AA1015" s="1481"/>
      <c r="AB1015" s="1481"/>
      <c r="AC1015" s="1481"/>
      <c r="AD1015" s="1481"/>
      <c r="AE1015" s="1481"/>
      <c r="AF1015" s="1481"/>
      <c r="AG1015" s="1481"/>
    </row>
    <row r="1016" spans="1:33" ht="15.75" customHeight="1">
      <c r="A1016" s="1448"/>
      <c r="B1016" s="1483" t="s">
        <v>3398</v>
      </c>
      <c r="C1016" s="1445">
        <v>4</v>
      </c>
      <c r="D1016" s="1467" t="s">
        <v>3364</v>
      </c>
      <c r="E1016" s="1445">
        <v>-1</v>
      </c>
      <c r="F1016" s="1446">
        <v>0.9</v>
      </c>
      <c r="G1016" s="1446"/>
      <c r="H1016" s="1446">
        <v>2.1</v>
      </c>
      <c r="I1016" s="1494">
        <f t="shared" si="55"/>
        <v>-7.56</v>
      </c>
      <c r="J1016" s="1526"/>
      <c r="K1016" s="1481"/>
      <c r="L1016" s="1481"/>
      <c r="M1016" s="1481"/>
      <c r="N1016" s="1481"/>
      <c r="O1016" s="1481"/>
      <c r="P1016" s="1481"/>
      <c r="Q1016" s="1481"/>
      <c r="R1016" s="1481"/>
      <c r="S1016" s="1481"/>
      <c r="T1016" s="1481"/>
      <c r="U1016" s="1481"/>
      <c r="V1016" s="1481"/>
      <c r="W1016" s="1481"/>
      <c r="X1016" s="1481"/>
      <c r="Y1016" s="1481"/>
      <c r="Z1016" s="1481"/>
      <c r="AA1016" s="1481"/>
      <c r="AB1016" s="1481"/>
      <c r="AC1016" s="1481"/>
      <c r="AD1016" s="1481"/>
      <c r="AE1016" s="1481"/>
      <c r="AF1016" s="1481"/>
      <c r="AG1016" s="1481"/>
    </row>
    <row r="1017" spans="1:33" ht="15.75" customHeight="1">
      <c r="A1017" s="1448"/>
      <c r="B1017" s="1483" t="s">
        <v>3407</v>
      </c>
      <c r="C1017" s="1445">
        <v>44</v>
      </c>
      <c r="D1017" s="1467" t="s">
        <v>3364</v>
      </c>
      <c r="E1017" s="1445">
        <v>-1</v>
      </c>
      <c r="F1017" s="1446">
        <v>0.75</v>
      </c>
      <c r="G1017" s="1446"/>
      <c r="H1017" s="1446">
        <v>2.1</v>
      </c>
      <c r="I1017" s="1494">
        <f t="shared" si="55"/>
        <v>-69.3</v>
      </c>
      <c r="J1017" s="1526"/>
      <c r="K1017" s="1481"/>
      <c r="L1017" s="1481"/>
      <c r="M1017" s="1481"/>
      <c r="N1017" s="1481"/>
      <c r="O1017" s="1481"/>
      <c r="P1017" s="1481"/>
      <c r="Q1017" s="1481"/>
      <c r="R1017" s="1481"/>
      <c r="S1017" s="1481"/>
      <c r="T1017" s="1481"/>
      <c r="U1017" s="1481"/>
      <c r="V1017" s="1481"/>
      <c r="W1017" s="1481"/>
      <c r="X1017" s="1481"/>
      <c r="Y1017" s="1481"/>
      <c r="Z1017" s="1481"/>
      <c r="AA1017" s="1481"/>
      <c r="AB1017" s="1481"/>
      <c r="AC1017" s="1481"/>
      <c r="AD1017" s="1481"/>
      <c r="AE1017" s="1481"/>
      <c r="AF1017" s="1481"/>
      <c r="AG1017" s="1481"/>
    </row>
    <row r="1018" spans="1:33" ht="15.75" customHeight="1">
      <c r="A1018" s="1448"/>
      <c r="B1018" s="1483" t="s">
        <v>3497</v>
      </c>
      <c r="C1018" s="1445">
        <v>6</v>
      </c>
      <c r="D1018" s="1467" t="s">
        <v>3364</v>
      </c>
      <c r="E1018" s="1445">
        <v>-1</v>
      </c>
      <c r="F1018" s="1446">
        <v>1.8</v>
      </c>
      <c r="G1018" s="1446"/>
      <c r="H1018" s="1446">
        <v>2</v>
      </c>
      <c r="I1018" s="1494">
        <f t="shared" si="55"/>
        <v>-21.6</v>
      </c>
      <c r="J1018" s="1526"/>
      <c r="K1018" s="1481"/>
      <c r="L1018" s="1481"/>
      <c r="M1018" s="1481"/>
      <c r="N1018" s="1481"/>
      <c r="O1018" s="1481"/>
      <c r="P1018" s="1481"/>
      <c r="Q1018" s="1481"/>
      <c r="R1018" s="1481"/>
      <c r="S1018" s="1481"/>
      <c r="T1018" s="1481"/>
      <c r="U1018" s="1481"/>
      <c r="V1018" s="1481"/>
      <c r="W1018" s="1481"/>
      <c r="X1018" s="1481"/>
      <c r="Y1018" s="1481"/>
      <c r="Z1018" s="1481"/>
      <c r="AA1018" s="1481"/>
      <c r="AB1018" s="1481"/>
      <c r="AC1018" s="1481"/>
      <c r="AD1018" s="1481"/>
      <c r="AE1018" s="1481"/>
      <c r="AF1018" s="1481"/>
      <c r="AG1018" s="1481"/>
    </row>
    <row r="1019" spans="1:33" ht="15.75" customHeight="1">
      <c r="A1019" s="1448"/>
      <c r="B1019" s="1483" t="s">
        <v>3414</v>
      </c>
      <c r="C1019" s="1445">
        <v>56</v>
      </c>
      <c r="D1019" s="1467" t="s">
        <v>3364</v>
      </c>
      <c r="E1019" s="1445">
        <v>-1</v>
      </c>
      <c r="F1019" s="1446">
        <v>1.8</v>
      </c>
      <c r="G1019" s="1446"/>
      <c r="H1019" s="1446">
        <v>1.35</v>
      </c>
      <c r="I1019" s="1494">
        <f t="shared" si="55"/>
        <v>-136.08000000000001</v>
      </c>
      <c r="J1019" s="1526"/>
      <c r="K1019" s="1481"/>
      <c r="L1019" s="1481"/>
      <c r="M1019" s="1481"/>
      <c r="N1019" s="1481"/>
      <c r="O1019" s="1481"/>
      <c r="P1019" s="1481"/>
      <c r="Q1019" s="1481"/>
      <c r="R1019" s="1481"/>
      <c r="S1019" s="1481"/>
      <c r="T1019" s="1481"/>
      <c r="U1019" s="1481"/>
      <c r="V1019" s="1481"/>
      <c r="W1019" s="1481"/>
      <c r="X1019" s="1481"/>
      <c r="Y1019" s="1481"/>
      <c r="Z1019" s="1481"/>
      <c r="AA1019" s="1481"/>
      <c r="AB1019" s="1481"/>
      <c r="AC1019" s="1481"/>
      <c r="AD1019" s="1481"/>
      <c r="AE1019" s="1481"/>
      <c r="AF1019" s="1481"/>
      <c r="AG1019" s="1481"/>
    </row>
    <row r="1020" spans="1:33" ht="15.75" customHeight="1">
      <c r="A1020" s="1448"/>
      <c r="B1020" s="1483" t="s">
        <v>3400</v>
      </c>
      <c r="C1020" s="1445">
        <v>1</v>
      </c>
      <c r="D1020" s="1467" t="s">
        <v>3364</v>
      </c>
      <c r="E1020" s="1445">
        <v>-1</v>
      </c>
      <c r="F1020" s="1446">
        <v>1.5</v>
      </c>
      <c r="G1020" s="1446"/>
      <c r="H1020" s="1446">
        <v>0.6</v>
      </c>
      <c r="I1020" s="1494">
        <f t="shared" si="55"/>
        <v>-0.9</v>
      </c>
      <c r="J1020" s="1526"/>
      <c r="K1020" s="1481"/>
      <c r="L1020" s="1481"/>
      <c r="M1020" s="1481"/>
      <c r="N1020" s="1481"/>
      <c r="O1020" s="1481"/>
      <c r="P1020" s="1481"/>
      <c r="Q1020" s="1481"/>
      <c r="R1020" s="1481"/>
      <c r="S1020" s="1481"/>
      <c r="T1020" s="1481"/>
      <c r="U1020" s="1481"/>
      <c r="V1020" s="1481"/>
      <c r="W1020" s="1481"/>
      <c r="X1020" s="1481"/>
      <c r="Y1020" s="1481"/>
      <c r="Z1020" s="1481"/>
      <c r="AA1020" s="1481"/>
      <c r="AB1020" s="1481"/>
      <c r="AC1020" s="1481"/>
      <c r="AD1020" s="1481"/>
      <c r="AE1020" s="1481"/>
      <c r="AF1020" s="1481"/>
      <c r="AG1020" s="1481"/>
    </row>
    <row r="1021" spans="1:33" ht="15.75" customHeight="1">
      <c r="A1021" s="1448"/>
      <c r="B1021" s="1483" t="s">
        <v>6964</v>
      </c>
      <c r="C1021" s="1445">
        <v>10</v>
      </c>
      <c r="D1021" s="1467" t="s">
        <v>3364</v>
      </c>
      <c r="E1021" s="1445">
        <v>-1</v>
      </c>
      <c r="F1021" s="1446">
        <v>0.9</v>
      </c>
      <c r="G1021" s="1446"/>
      <c r="H1021" s="1446">
        <v>0.6</v>
      </c>
      <c r="I1021" s="1494">
        <f t="shared" si="55"/>
        <v>-5.4</v>
      </c>
      <c r="J1021" s="1526"/>
      <c r="K1021" s="1481"/>
      <c r="L1021" s="1481"/>
      <c r="M1021" s="1481"/>
      <c r="N1021" s="1481"/>
      <c r="O1021" s="1481"/>
      <c r="P1021" s="1481"/>
      <c r="Q1021" s="1481"/>
      <c r="R1021" s="1481"/>
      <c r="S1021" s="1481"/>
      <c r="T1021" s="1481"/>
      <c r="U1021" s="1481"/>
      <c r="V1021" s="1481"/>
      <c r="W1021" s="1481"/>
      <c r="X1021" s="1481"/>
      <c r="Y1021" s="1481"/>
      <c r="Z1021" s="1481"/>
      <c r="AA1021" s="1481"/>
      <c r="AB1021" s="1481"/>
      <c r="AC1021" s="1481"/>
      <c r="AD1021" s="1481"/>
      <c r="AE1021" s="1481"/>
      <c r="AF1021" s="1481"/>
      <c r="AG1021" s="1481"/>
    </row>
    <row r="1022" spans="1:33" ht="15.75" customHeight="1">
      <c r="A1022" s="1448"/>
      <c r="B1022" s="1483" t="s">
        <v>3401</v>
      </c>
      <c r="C1022" s="1445">
        <v>42</v>
      </c>
      <c r="D1022" s="1467" t="s">
        <v>3364</v>
      </c>
      <c r="E1022" s="1445">
        <v>-1</v>
      </c>
      <c r="F1022" s="1446">
        <v>0.75</v>
      </c>
      <c r="G1022" s="1446"/>
      <c r="H1022" s="1446">
        <v>0.6</v>
      </c>
      <c r="I1022" s="1494">
        <f t="shared" si="55"/>
        <v>-18.899999999999999</v>
      </c>
      <c r="J1022" s="1526"/>
      <c r="K1022" s="1481"/>
      <c r="L1022" s="1481"/>
      <c r="M1022" s="1481"/>
      <c r="N1022" s="1481"/>
      <c r="O1022" s="1481"/>
      <c r="P1022" s="1481"/>
      <c r="Q1022" s="1481"/>
      <c r="R1022" s="1481"/>
      <c r="S1022" s="1481"/>
      <c r="T1022" s="1481"/>
      <c r="U1022" s="1481"/>
      <c r="V1022" s="1481"/>
      <c r="W1022" s="1481"/>
      <c r="X1022" s="1481"/>
      <c r="Y1022" s="1481"/>
      <c r="Z1022" s="1481"/>
      <c r="AA1022" s="1481"/>
      <c r="AB1022" s="1481"/>
      <c r="AC1022" s="1481"/>
      <c r="AD1022" s="1481"/>
      <c r="AE1022" s="1481"/>
      <c r="AF1022" s="1481"/>
      <c r="AG1022" s="1481"/>
    </row>
    <row r="1023" spans="1:33" ht="15.75" customHeight="1">
      <c r="A1023" s="1448"/>
      <c r="B1023" s="1474" t="s">
        <v>7412</v>
      </c>
      <c r="C1023" s="1445">
        <v>1</v>
      </c>
      <c r="D1023" s="1467" t="s">
        <v>3364</v>
      </c>
      <c r="E1023" s="1445">
        <v>-1</v>
      </c>
      <c r="F1023" s="1446">
        <v>0.9</v>
      </c>
      <c r="G1023" s="1446"/>
      <c r="H1023" s="1446">
        <v>2.1</v>
      </c>
      <c r="I1023" s="1494">
        <f t="shared" si="55"/>
        <v>-1.89</v>
      </c>
      <c r="J1023" s="1526"/>
      <c r="K1023" s="1481"/>
      <c r="L1023" s="1481"/>
      <c r="M1023" s="1481"/>
      <c r="N1023" s="1481"/>
      <c r="O1023" s="1481"/>
      <c r="P1023" s="1481"/>
      <c r="Q1023" s="1481"/>
      <c r="R1023" s="1481"/>
      <c r="S1023" s="1481"/>
      <c r="T1023" s="1481"/>
      <c r="U1023" s="1481"/>
      <c r="V1023" s="1481"/>
      <c r="W1023" s="1481"/>
      <c r="X1023" s="1481"/>
      <c r="Y1023" s="1481"/>
      <c r="Z1023" s="1481"/>
      <c r="AA1023" s="1481"/>
      <c r="AB1023" s="1481"/>
      <c r="AC1023" s="1481"/>
      <c r="AD1023" s="1481"/>
      <c r="AE1023" s="1481"/>
      <c r="AF1023" s="1481"/>
      <c r="AG1023" s="1481"/>
    </row>
    <row r="1024" spans="1:33" ht="15.75" customHeight="1">
      <c r="A1024" s="1448"/>
      <c r="B1024" s="1474" t="s">
        <v>6968</v>
      </c>
      <c r="C1024" s="1445">
        <v>1</v>
      </c>
      <c r="D1024" s="1467" t="s">
        <v>3364</v>
      </c>
      <c r="E1024" s="1445">
        <v>-1</v>
      </c>
      <c r="F1024" s="1446">
        <v>1.5</v>
      </c>
      <c r="G1024" s="1446"/>
      <c r="H1024" s="1446">
        <v>1.05</v>
      </c>
      <c r="I1024" s="1494">
        <f t="shared" si="55"/>
        <v>-1.58</v>
      </c>
      <c r="J1024" s="1526"/>
      <c r="K1024" s="1481"/>
      <c r="L1024" s="1481"/>
      <c r="M1024" s="1481"/>
      <c r="N1024" s="1481"/>
      <c r="O1024" s="1481"/>
      <c r="P1024" s="1481"/>
      <c r="Q1024" s="1481"/>
      <c r="R1024" s="1481"/>
      <c r="S1024" s="1481"/>
      <c r="T1024" s="1481"/>
      <c r="U1024" s="1481"/>
      <c r="V1024" s="1481"/>
      <c r="W1024" s="1481"/>
      <c r="X1024" s="1481"/>
      <c r="Y1024" s="1481"/>
      <c r="Z1024" s="1481"/>
      <c r="AA1024" s="1481"/>
      <c r="AB1024" s="1481"/>
      <c r="AC1024" s="1481"/>
      <c r="AD1024" s="1481"/>
      <c r="AE1024" s="1481"/>
      <c r="AF1024" s="1481"/>
      <c r="AG1024" s="1481"/>
    </row>
    <row r="1025" spans="1:33" ht="15.75" customHeight="1">
      <c r="A1025" s="1448"/>
      <c r="B1025" s="1474" t="s">
        <v>7413</v>
      </c>
      <c r="C1025" s="1445">
        <v>4</v>
      </c>
      <c r="D1025" s="1467" t="s">
        <v>3364</v>
      </c>
      <c r="E1025" s="1445">
        <v>-1</v>
      </c>
      <c r="F1025" s="1446">
        <v>0.9</v>
      </c>
      <c r="G1025" s="1446"/>
      <c r="H1025" s="1446">
        <v>2</v>
      </c>
      <c r="I1025" s="1494">
        <f t="shared" si="55"/>
        <v>-7.2</v>
      </c>
      <c r="J1025" s="1526"/>
      <c r="K1025" s="1481"/>
      <c r="L1025" s="1481"/>
      <c r="M1025" s="1481"/>
      <c r="N1025" s="1481"/>
      <c r="O1025" s="1481"/>
      <c r="P1025" s="1481"/>
      <c r="Q1025" s="1481"/>
      <c r="R1025" s="1481"/>
      <c r="S1025" s="1481"/>
      <c r="T1025" s="1481"/>
      <c r="U1025" s="1481"/>
      <c r="V1025" s="1481"/>
      <c r="W1025" s="1481"/>
      <c r="X1025" s="1481"/>
      <c r="Y1025" s="1481"/>
      <c r="Z1025" s="1481"/>
      <c r="AA1025" s="1481"/>
      <c r="AB1025" s="1481"/>
      <c r="AC1025" s="1481"/>
      <c r="AD1025" s="1481"/>
      <c r="AE1025" s="1481"/>
      <c r="AF1025" s="1481"/>
      <c r="AG1025" s="1481"/>
    </row>
    <row r="1026" spans="1:33" ht="15.75" customHeight="1">
      <c r="A1026" s="1448"/>
      <c r="B1026" s="1483" t="s">
        <v>7527</v>
      </c>
      <c r="C1026" s="1448"/>
      <c r="D1026" s="1447"/>
      <c r="E1026" s="1445"/>
      <c r="F1026" s="1446"/>
      <c r="G1026" s="1446"/>
      <c r="H1026" s="1447"/>
      <c r="I1026" s="1494">
        <f t="shared" si="55"/>
        <v>0</v>
      </c>
      <c r="J1026" s="1526"/>
      <c r="K1026" s="1481"/>
      <c r="L1026" s="1481"/>
      <c r="M1026" s="1481"/>
      <c r="N1026" s="1481"/>
      <c r="O1026" s="1481"/>
      <c r="P1026" s="1481"/>
      <c r="Q1026" s="1481"/>
      <c r="R1026" s="1481"/>
      <c r="S1026" s="1481"/>
      <c r="T1026" s="1481"/>
      <c r="U1026" s="1481"/>
      <c r="V1026" s="1481"/>
      <c r="W1026" s="1481"/>
      <c r="X1026" s="1481"/>
      <c r="Y1026" s="1481"/>
      <c r="Z1026" s="1481"/>
      <c r="AA1026" s="1481"/>
      <c r="AB1026" s="1481"/>
      <c r="AC1026" s="1481"/>
      <c r="AD1026" s="1481"/>
      <c r="AE1026" s="1481"/>
      <c r="AF1026" s="1481"/>
      <c r="AG1026" s="1481"/>
    </row>
    <row r="1027" spans="1:33" ht="15.75" customHeight="1">
      <c r="A1027" s="1448"/>
      <c r="B1027" s="1483" t="s">
        <v>3398</v>
      </c>
      <c r="C1027" s="1445">
        <v>4</v>
      </c>
      <c r="D1027" s="1467" t="s">
        <v>3364</v>
      </c>
      <c r="E1027" s="1445">
        <v>-1</v>
      </c>
      <c r="F1027" s="1446">
        <f>(F1016+H1016)*2</f>
        <v>6</v>
      </c>
      <c r="G1027" s="1446">
        <v>0.23</v>
      </c>
      <c r="H1027" s="1446"/>
      <c r="I1027" s="1494">
        <f t="shared" ref="I1027:I1036" si="56">PRODUCT(C1027:H1027)</f>
        <v>-5.52</v>
      </c>
      <c r="J1027" s="1526"/>
      <c r="K1027" s="1481"/>
      <c r="L1027" s="1481"/>
      <c r="M1027" s="1481"/>
      <c r="N1027" s="1481"/>
      <c r="O1027" s="1481"/>
      <c r="P1027" s="1481"/>
      <c r="Q1027" s="1481"/>
      <c r="R1027" s="1481"/>
      <c r="S1027" s="1481"/>
      <c r="T1027" s="1481"/>
      <c r="U1027" s="1481"/>
      <c r="V1027" s="1481"/>
      <c r="W1027" s="1481"/>
      <c r="X1027" s="1481"/>
      <c r="Y1027" s="1481"/>
      <c r="Z1027" s="1481"/>
      <c r="AA1027" s="1481"/>
      <c r="AB1027" s="1481"/>
      <c r="AC1027" s="1481"/>
      <c r="AD1027" s="1481"/>
      <c r="AE1027" s="1481"/>
      <c r="AF1027" s="1481"/>
      <c r="AG1027" s="1481"/>
    </row>
    <row r="1028" spans="1:33" ht="15.75" customHeight="1">
      <c r="A1028" s="1448"/>
      <c r="B1028" s="1483" t="s">
        <v>3407</v>
      </c>
      <c r="C1028" s="1445">
        <v>44</v>
      </c>
      <c r="D1028" s="1467" t="s">
        <v>3364</v>
      </c>
      <c r="E1028" s="1445">
        <v>-1</v>
      </c>
      <c r="F1028" s="1446">
        <f t="shared" ref="F1028:F1036" si="57">(F1017+H1017)*2</f>
        <v>5.7</v>
      </c>
      <c r="G1028" s="1446">
        <v>0.23</v>
      </c>
      <c r="H1028" s="1446"/>
      <c r="I1028" s="1494">
        <f t="shared" si="56"/>
        <v>-57.68</v>
      </c>
      <c r="J1028" s="1526"/>
      <c r="K1028" s="1481"/>
      <c r="L1028" s="1481"/>
      <c r="M1028" s="1481"/>
      <c r="N1028" s="1481"/>
      <c r="O1028" s="1481"/>
      <c r="P1028" s="1481"/>
      <c r="Q1028" s="1481"/>
      <c r="R1028" s="1481"/>
      <c r="S1028" s="1481"/>
      <c r="T1028" s="1481"/>
      <c r="U1028" s="1481"/>
      <c r="V1028" s="1481"/>
      <c r="W1028" s="1481"/>
      <c r="X1028" s="1481"/>
      <c r="Y1028" s="1481"/>
      <c r="Z1028" s="1481"/>
      <c r="AA1028" s="1481"/>
      <c r="AB1028" s="1481"/>
      <c r="AC1028" s="1481"/>
      <c r="AD1028" s="1481"/>
      <c r="AE1028" s="1481"/>
      <c r="AF1028" s="1481"/>
      <c r="AG1028" s="1481"/>
    </row>
    <row r="1029" spans="1:33" ht="15.75" customHeight="1">
      <c r="A1029" s="1448"/>
      <c r="B1029" s="1483" t="s">
        <v>3497</v>
      </c>
      <c r="C1029" s="1445">
        <v>6</v>
      </c>
      <c r="D1029" s="1467" t="s">
        <v>3364</v>
      </c>
      <c r="E1029" s="1445">
        <v>-1</v>
      </c>
      <c r="F1029" s="1446">
        <f t="shared" si="57"/>
        <v>7.6</v>
      </c>
      <c r="G1029" s="1446">
        <v>0.23</v>
      </c>
      <c r="H1029" s="1446"/>
      <c r="I1029" s="1494">
        <f t="shared" si="56"/>
        <v>-10.49</v>
      </c>
      <c r="J1029" s="1526"/>
      <c r="K1029" s="1481"/>
      <c r="L1029" s="1481"/>
      <c r="M1029" s="1481"/>
      <c r="N1029" s="1481"/>
      <c r="O1029" s="1481"/>
      <c r="P1029" s="1481"/>
      <c r="Q1029" s="1481"/>
      <c r="R1029" s="1481"/>
      <c r="S1029" s="1481"/>
      <c r="T1029" s="1481"/>
      <c r="U1029" s="1481"/>
      <c r="V1029" s="1481"/>
      <c r="W1029" s="1481"/>
      <c r="X1029" s="1481"/>
      <c r="Y1029" s="1481"/>
      <c r="Z1029" s="1481"/>
      <c r="AA1029" s="1481"/>
      <c r="AB1029" s="1481"/>
      <c r="AC1029" s="1481"/>
      <c r="AD1029" s="1481"/>
      <c r="AE1029" s="1481"/>
      <c r="AF1029" s="1481"/>
      <c r="AG1029" s="1481"/>
    </row>
    <row r="1030" spans="1:33" ht="15.75" customHeight="1">
      <c r="A1030" s="1448"/>
      <c r="B1030" s="1483" t="s">
        <v>3414</v>
      </c>
      <c r="C1030" s="1445">
        <v>56</v>
      </c>
      <c r="D1030" s="1467" t="s">
        <v>3364</v>
      </c>
      <c r="E1030" s="1445">
        <v>-1</v>
      </c>
      <c r="F1030" s="1446">
        <f t="shared" si="57"/>
        <v>6.3</v>
      </c>
      <c r="G1030" s="1446">
        <v>0.23</v>
      </c>
      <c r="H1030" s="1446"/>
      <c r="I1030" s="1494">
        <f t="shared" si="56"/>
        <v>-81.14</v>
      </c>
      <c r="J1030" s="1526"/>
      <c r="K1030" s="1481"/>
      <c r="L1030" s="1481"/>
      <c r="M1030" s="1481"/>
      <c r="N1030" s="1481"/>
      <c r="O1030" s="1481"/>
      <c r="P1030" s="1481"/>
      <c r="Q1030" s="1481"/>
      <c r="R1030" s="1481"/>
      <c r="S1030" s="1481"/>
      <c r="T1030" s="1481"/>
      <c r="U1030" s="1481"/>
      <c r="V1030" s="1481"/>
      <c r="W1030" s="1481"/>
      <c r="X1030" s="1481"/>
      <c r="Y1030" s="1481"/>
      <c r="Z1030" s="1481"/>
      <c r="AA1030" s="1481"/>
      <c r="AB1030" s="1481"/>
      <c r="AC1030" s="1481"/>
      <c r="AD1030" s="1481"/>
      <c r="AE1030" s="1481"/>
      <c r="AF1030" s="1481"/>
      <c r="AG1030" s="1481"/>
    </row>
    <row r="1031" spans="1:33" ht="15.75" customHeight="1">
      <c r="A1031" s="1448"/>
      <c r="B1031" s="1483" t="s">
        <v>3400</v>
      </c>
      <c r="C1031" s="1445">
        <v>1</v>
      </c>
      <c r="D1031" s="1467" t="s">
        <v>3364</v>
      </c>
      <c r="E1031" s="1445">
        <v>-1</v>
      </c>
      <c r="F1031" s="1446">
        <f t="shared" si="57"/>
        <v>4.2</v>
      </c>
      <c r="G1031" s="1446">
        <v>0.23</v>
      </c>
      <c r="H1031" s="1446"/>
      <c r="I1031" s="1494">
        <f t="shared" si="56"/>
        <v>-0.97</v>
      </c>
      <c r="J1031" s="1526"/>
      <c r="K1031" s="1481"/>
      <c r="L1031" s="1481"/>
      <c r="M1031" s="1481"/>
      <c r="N1031" s="1481"/>
      <c r="O1031" s="1481"/>
      <c r="P1031" s="1481"/>
      <c r="Q1031" s="1481"/>
      <c r="R1031" s="1481"/>
      <c r="S1031" s="1481"/>
      <c r="T1031" s="1481"/>
      <c r="U1031" s="1481"/>
      <c r="V1031" s="1481"/>
      <c r="W1031" s="1481"/>
      <c r="X1031" s="1481"/>
      <c r="Y1031" s="1481"/>
      <c r="Z1031" s="1481"/>
      <c r="AA1031" s="1481"/>
      <c r="AB1031" s="1481"/>
      <c r="AC1031" s="1481"/>
      <c r="AD1031" s="1481"/>
      <c r="AE1031" s="1481"/>
      <c r="AF1031" s="1481"/>
      <c r="AG1031" s="1481"/>
    </row>
    <row r="1032" spans="1:33" ht="15.75" customHeight="1">
      <c r="A1032" s="1448"/>
      <c r="B1032" s="1483" t="s">
        <v>6964</v>
      </c>
      <c r="C1032" s="1445">
        <v>10</v>
      </c>
      <c r="D1032" s="1467" t="s">
        <v>3364</v>
      </c>
      <c r="E1032" s="1445">
        <v>-1</v>
      </c>
      <c r="F1032" s="1446">
        <f t="shared" si="57"/>
        <v>3</v>
      </c>
      <c r="G1032" s="1446">
        <v>0.23</v>
      </c>
      <c r="H1032" s="1446"/>
      <c r="I1032" s="1494">
        <f t="shared" si="56"/>
        <v>-6.9</v>
      </c>
      <c r="J1032" s="1526"/>
      <c r="K1032" s="1481"/>
      <c r="L1032" s="1481"/>
      <c r="M1032" s="1481"/>
      <c r="N1032" s="1481"/>
      <c r="O1032" s="1481"/>
      <c r="P1032" s="1481"/>
      <c r="Q1032" s="1481"/>
      <c r="R1032" s="1481"/>
      <c r="S1032" s="1481"/>
      <c r="T1032" s="1481"/>
      <c r="U1032" s="1481"/>
      <c r="V1032" s="1481"/>
      <c r="W1032" s="1481"/>
      <c r="X1032" s="1481"/>
      <c r="Y1032" s="1481"/>
      <c r="Z1032" s="1481"/>
      <c r="AA1032" s="1481"/>
      <c r="AB1032" s="1481"/>
      <c r="AC1032" s="1481"/>
      <c r="AD1032" s="1481"/>
      <c r="AE1032" s="1481"/>
      <c r="AF1032" s="1481"/>
      <c r="AG1032" s="1481"/>
    </row>
    <row r="1033" spans="1:33" ht="15.75" customHeight="1">
      <c r="A1033" s="1448"/>
      <c r="B1033" s="1483" t="s">
        <v>3401</v>
      </c>
      <c r="C1033" s="1445">
        <v>42</v>
      </c>
      <c r="D1033" s="1467" t="s">
        <v>3364</v>
      </c>
      <c r="E1033" s="1445">
        <v>-1</v>
      </c>
      <c r="F1033" s="1446">
        <f t="shared" si="57"/>
        <v>2.7</v>
      </c>
      <c r="G1033" s="1446">
        <v>0.23</v>
      </c>
      <c r="H1033" s="1446"/>
      <c r="I1033" s="1494">
        <f t="shared" si="56"/>
        <v>-26.08</v>
      </c>
      <c r="J1033" s="1526"/>
      <c r="K1033" s="1481"/>
      <c r="L1033" s="1481"/>
      <c r="M1033" s="1481"/>
      <c r="N1033" s="1481"/>
      <c r="O1033" s="1481"/>
      <c r="P1033" s="1481"/>
      <c r="Q1033" s="1481"/>
      <c r="R1033" s="1481"/>
      <c r="S1033" s="1481"/>
      <c r="T1033" s="1481"/>
      <c r="U1033" s="1481"/>
      <c r="V1033" s="1481"/>
      <c r="W1033" s="1481"/>
      <c r="X1033" s="1481"/>
      <c r="Y1033" s="1481"/>
      <c r="Z1033" s="1481"/>
      <c r="AA1033" s="1481"/>
      <c r="AB1033" s="1481"/>
      <c r="AC1033" s="1481"/>
      <c r="AD1033" s="1481"/>
      <c r="AE1033" s="1481"/>
      <c r="AF1033" s="1481"/>
      <c r="AG1033" s="1481"/>
    </row>
    <row r="1034" spans="1:33" ht="15.75" customHeight="1">
      <c r="A1034" s="1448"/>
      <c r="B1034" s="1474" t="s">
        <v>7412</v>
      </c>
      <c r="C1034" s="1445">
        <v>1</v>
      </c>
      <c r="D1034" s="1467" t="s">
        <v>3364</v>
      </c>
      <c r="E1034" s="1445">
        <v>-1</v>
      </c>
      <c r="F1034" s="1446">
        <f t="shared" si="57"/>
        <v>6</v>
      </c>
      <c r="G1034" s="1446">
        <v>0.23</v>
      </c>
      <c r="H1034" s="1446"/>
      <c r="I1034" s="1494">
        <f t="shared" si="56"/>
        <v>-1.38</v>
      </c>
      <c r="J1034" s="1526"/>
      <c r="K1034" s="1481"/>
      <c r="L1034" s="1481"/>
      <c r="M1034" s="1481"/>
      <c r="N1034" s="1481"/>
      <c r="O1034" s="1481"/>
      <c r="P1034" s="1481"/>
      <c r="Q1034" s="1481"/>
      <c r="R1034" s="1481"/>
      <c r="S1034" s="1481"/>
      <c r="T1034" s="1481"/>
      <c r="U1034" s="1481"/>
      <c r="V1034" s="1481"/>
      <c r="W1034" s="1481"/>
      <c r="X1034" s="1481"/>
      <c r="Y1034" s="1481"/>
      <c r="Z1034" s="1481"/>
      <c r="AA1034" s="1481"/>
      <c r="AB1034" s="1481"/>
      <c r="AC1034" s="1481"/>
      <c r="AD1034" s="1481"/>
      <c r="AE1034" s="1481"/>
      <c r="AF1034" s="1481"/>
      <c r="AG1034" s="1481"/>
    </row>
    <row r="1035" spans="1:33" ht="15.75" customHeight="1">
      <c r="A1035" s="1448"/>
      <c r="B1035" s="1474" t="s">
        <v>6968</v>
      </c>
      <c r="C1035" s="1445">
        <v>1</v>
      </c>
      <c r="D1035" s="1467" t="s">
        <v>3364</v>
      </c>
      <c r="E1035" s="1445">
        <v>-1</v>
      </c>
      <c r="F1035" s="1446">
        <f t="shared" si="57"/>
        <v>5.0999999999999996</v>
      </c>
      <c r="G1035" s="1446">
        <v>0.23</v>
      </c>
      <c r="H1035" s="1446"/>
      <c r="I1035" s="1494">
        <f t="shared" si="56"/>
        <v>-1.17</v>
      </c>
      <c r="J1035" s="1526"/>
      <c r="K1035" s="1481"/>
      <c r="L1035" s="1481"/>
      <c r="M1035" s="1481"/>
      <c r="N1035" s="1481"/>
      <c r="O1035" s="1481"/>
      <c r="P1035" s="1481"/>
      <c r="Q1035" s="1481"/>
      <c r="R1035" s="1481"/>
      <c r="S1035" s="1481"/>
      <c r="T1035" s="1481"/>
      <c r="U1035" s="1481"/>
      <c r="V1035" s="1481"/>
      <c r="W1035" s="1481"/>
      <c r="X1035" s="1481"/>
      <c r="Y1035" s="1481"/>
      <c r="Z1035" s="1481"/>
      <c r="AA1035" s="1481"/>
      <c r="AB1035" s="1481"/>
      <c r="AC1035" s="1481"/>
      <c r="AD1035" s="1481"/>
      <c r="AE1035" s="1481"/>
      <c r="AF1035" s="1481"/>
      <c r="AG1035" s="1481"/>
    </row>
    <row r="1036" spans="1:33" ht="15.75" customHeight="1">
      <c r="A1036" s="1448"/>
      <c r="B1036" s="1474" t="s">
        <v>7413</v>
      </c>
      <c r="C1036" s="1445">
        <v>4</v>
      </c>
      <c r="D1036" s="1467" t="s">
        <v>3364</v>
      </c>
      <c r="E1036" s="1445">
        <v>-1</v>
      </c>
      <c r="F1036" s="1446">
        <f t="shared" si="57"/>
        <v>5.8</v>
      </c>
      <c r="G1036" s="1446">
        <v>0.23</v>
      </c>
      <c r="H1036" s="1446"/>
      <c r="I1036" s="1494">
        <f t="shared" si="56"/>
        <v>-5.34</v>
      </c>
      <c r="J1036" s="1526"/>
      <c r="K1036" s="1481"/>
      <c r="L1036" s="1481"/>
      <c r="M1036" s="1481"/>
      <c r="N1036" s="1481"/>
      <c r="O1036" s="1481"/>
      <c r="P1036" s="1481"/>
      <c r="Q1036" s="1481"/>
      <c r="R1036" s="1481"/>
      <c r="S1036" s="1481"/>
      <c r="T1036" s="1481"/>
      <c r="U1036" s="1481"/>
      <c r="V1036" s="1481"/>
      <c r="W1036" s="1481"/>
      <c r="X1036" s="1481"/>
      <c r="Y1036" s="1481"/>
      <c r="Z1036" s="1481"/>
      <c r="AA1036" s="1481"/>
      <c r="AB1036" s="1481"/>
      <c r="AC1036" s="1481"/>
      <c r="AD1036" s="1481"/>
      <c r="AE1036" s="1481"/>
      <c r="AF1036" s="1481"/>
      <c r="AG1036" s="1481"/>
    </row>
    <row r="1037" spans="1:33" ht="15.75" customHeight="1">
      <c r="A1037" s="1448"/>
      <c r="B1037" s="1474"/>
      <c r="C1037" s="1445"/>
      <c r="D1037" s="1447"/>
      <c r="E1037" s="1445"/>
      <c r="F1037" s="1446"/>
      <c r="G1037" s="1446"/>
      <c r="H1037" s="1447"/>
      <c r="I1037" s="1459">
        <f>SUM(I959:I1036)</f>
        <v>4031.93</v>
      </c>
      <c r="J1037" s="1526"/>
      <c r="K1037" s="1481"/>
      <c r="L1037" s="1481"/>
      <c r="M1037" s="1481"/>
      <c r="N1037" s="1481"/>
      <c r="O1037" s="1481"/>
      <c r="P1037" s="1481"/>
      <c r="Q1037" s="1481"/>
      <c r="R1037" s="1481"/>
      <c r="S1037" s="1481"/>
      <c r="T1037" s="1481"/>
      <c r="U1037" s="1481"/>
      <c r="V1037" s="1481"/>
      <c r="W1037" s="1481"/>
      <c r="X1037" s="1481"/>
      <c r="Y1037" s="1481"/>
      <c r="Z1037" s="1481"/>
      <c r="AA1037" s="1481"/>
      <c r="AB1037" s="1481"/>
      <c r="AC1037" s="1481"/>
      <c r="AD1037" s="1481"/>
      <c r="AE1037" s="1481"/>
      <c r="AF1037" s="1481"/>
      <c r="AG1037" s="1481"/>
    </row>
    <row r="1038" spans="1:33" ht="15.75" customHeight="1">
      <c r="A1038" s="1470"/>
      <c r="B1038" s="1450"/>
      <c r="C1038" s="1484"/>
      <c r="D1038" s="1484"/>
      <c r="E1038" s="1484"/>
      <c r="F1038" s="1446"/>
      <c r="G1038" s="1458" t="s">
        <v>7144</v>
      </c>
      <c r="H1038" s="1447"/>
      <c r="I1038" s="1459">
        <f>CEILING(I1037,0.1)</f>
        <v>4032</v>
      </c>
      <c r="J1038" s="1525" t="s">
        <v>7145</v>
      </c>
      <c r="K1038" s="1439"/>
      <c r="L1038" s="1439"/>
      <c r="M1038" s="1439"/>
      <c r="N1038" s="1439"/>
      <c r="O1038" s="1439"/>
      <c r="P1038" s="1439"/>
      <c r="Q1038" s="1439"/>
      <c r="R1038" s="1439"/>
      <c r="S1038" s="1439"/>
      <c r="T1038" s="1439"/>
      <c r="U1038" s="1439"/>
      <c r="V1038" s="1439"/>
      <c r="W1038" s="1439"/>
      <c r="X1038" s="1439"/>
      <c r="Y1038" s="1439"/>
      <c r="Z1038" s="1439"/>
      <c r="AA1038" s="1439"/>
      <c r="AB1038" s="1439"/>
      <c r="AC1038" s="1439"/>
      <c r="AD1038" s="1439"/>
      <c r="AE1038" s="1439"/>
      <c r="AF1038" s="1439"/>
      <c r="AG1038" s="1439"/>
    </row>
    <row r="1039" spans="1:33" ht="15.75" customHeight="1">
      <c r="A1039" s="1470"/>
      <c r="B1039" s="1456" t="s">
        <v>3498</v>
      </c>
      <c r="C1039" s="1484"/>
      <c r="D1039" s="1484"/>
      <c r="E1039" s="1484"/>
      <c r="F1039" s="1446"/>
      <c r="G1039" s="1446"/>
      <c r="H1039" s="1447"/>
      <c r="I1039" s="1448"/>
      <c r="J1039" s="1525"/>
      <c r="K1039" s="1439"/>
      <c r="L1039" s="1439"/>
      <c r="M1039" s="1439"/>
      <c r="N1039" s="1439"/>
      <c r="O1039" s="1439"/>
      <c r="P1039" s="1439"/>
      <c r="Q1039" s="1439"/>
      <c r="R1039" s="1439"/>
      <c r="S1039" s="1439"/>
      <c r="T1039" s="1439"/>
      <c r="U1039" s="1439"/>
      <c r="V1039" s="1439"/>
      <c r="W1039" s="1439"/>
      <c r="X1039" s="1439"/>
      <c r="Y1039" s="1439"/>
      <c r="Z1039" s="1439"/>
      <c r="AA1039" s="1439"/>
      <c r="AB1039" s="1439"/>
      <c r="AC1039" s="1439"/>
      <c r="AD1039" s="1439"/>
      <c r="AE1039" s="1439"/>
      <c r="AF1039" s="1439"/>
      <c r="AG1039" s="1439"/>
    </row>
    <row r="1040" spans="1:33" ht="15.75" customHeight="1">
      <c r="A1040" s="1448"/>
      <c r="B1040" s="1480" t="s">
        <v>7146</v>
      </c>
      <c r="C1040" s="1445">
        <v>1</v>
      </c>
      <c r="D1040" s="1447" t="s">
        <v>3364</v>
      </c>
      <c r="E1040" s="1445">
        <v>1</v>
      </c>
      <c r="F1040" s="1446">
        <f>(27.89+18.43)*2</f>
        <v>92.64</v>
      </c>
      <c r="G1040" s="1446"/>
      <c r="H1040" s="1447">
        <v>1.2</v>
      </c>
      <c r="I1040" s="1494">
        <f t="shared" ref="I1040:I1056" si="58">PRODUCT(C1040:H1040)</f>
        <v>111.17</v>
      </c>
      <c r="J1040" s="1526"/>
      <c r="K1040" s="1481"/>
      <c r="L1040" s="1481"/>
      <c r="M1040" s="1481"/>
      <c r="N1040" s="1481"/>
      <c r="O1040" s="1481"/>
      <c r="P1040" s="1481"/>
      <c r="Q1040" s="1481"/>
      <c r="R1040" s="1481"/>
      <c r="S1040" s="1481"/>
      <c r="T1040" s="1481"/>
      <c r="U1040" s="1481"/>
      <c r="V1040" s="1481"/>
      <c r="W1040" s="1481"/>
      <c r="X1040" s="1481"/>
      <c r="Y1040" s="1481"/>
      <c r="Z1040" s="1481"/>
      <c r="AA1040" s="1481"/>
      <c r="AB1040" s="1481"/>
      <c r="AC1040" s="1481"/>
      <c r="AD1040" s="1481"/>
      <c r="AE1040" s="1481"/>
      <c r="AF1040" s="1481"/>
      <c r="AG1040" s="1481"/>
    </row>
    <row r="1041" spans="1:33" ht="15.75" customHeight="1">
      <c r="A1041" s="1448"/>
      <c r="B1041" s="1482" t="s">
        <v>6703</v>
      </c>
      <c r="C1041" s="1457">
        <v>0.5</v>
      </c>
      <c r="D1041" s="1447" t="s">
        <v>3364</v>
      </c>
      <c r="E1041" s="1445">
        <v>4</v>
      </c>
      <c r="F1041" s="1446">
        <v>1.65</v>
      </c>
      <c r="G1041" s="1446"/>
      <c r="H1041" s="1447">
        <v>1.2</v>
      </c>
      <c r="I1041" s="1494">
        <f t="shared" si="58"/>
        <v>3.96</v>
      </c>
      <c r="J1041" s="1449"/>
      <c r="K1041" s="1481"/>
      <c r="L1041" s="1481"/>
      <c r="M1041" s="1481"/>
      <c r="N1041" s="1481"/>
      <c r="O1041" s="1481"/>
      <c r="P1041" s="1481"/>
      <c r="Q1041" s="1481"/>
      <c r="R1041" s="1481"/>
      <c r="S1041" s="1481"/>
      <c r="T1041" s="1481"/>
      <c r="U1041" s="1481"/>
      <c r="V1041" s="1481"/>
      <c r="W1041" s="1481"/>
      <c r="X1041" s="1481"/>
      <c r="Y1041" s="1481"/>
      <c r="Z1041" s="1481"/>
      <c r="AA1041" s="1481"/>
      <c r="AB1041" s="1481"/>
      <c r="AC1041" s="1481"/>
      <c r="AD1041" s="1481"/>
      <c r="AE1041" s="1481"/>
      <c r="AF1041" s="1481"/>
      <c r="AG1041" s="1481"/>
    </row>
    <row r="1042" spans="1:33">
      <c r="A1042" s="1448"/>
      <c r="B1042" s="1480" t="s">
        <v>7147</v>
      </c>
      <c r="C1042" s="1445">
        <v>1</v>
      </c>
      <c r="D1042" s="1447" t="s">
        <v>3364</v>
      </c>
      <c r="E1042" s="1445">
        <v>1</v>
      </c>
      <c r="F1042" s="1446">
        <f>(27.89+18.43)*2</f>
        <v>92.64</v>
      </c>
      <c r="G1042" s="1446"/>
      <c r="H1042" s="1447">
        <v>15.6</v>
      </c>
      <c r="I1042" s="1494">
        <f t="shared" si="58"/>
        <v>1445.18</v>
      </c>
      <c r="J1042" s="1449"/>
      <c r="K1042" s="1481"/>
      <c r="L1042" s="1481"/>
      <c r="M1042" s="1481"/>
      <c r="N1042" s="1481"/>
      <c r="O1042" s="1481"/>
      <c r="P1042" s="1481"/>
      <c r="Q1042" s="1481"/>
      <c r="R1042" s="1481"/>
      <c r="S1042" s="1481"/>
      <c r="T1042" s="1481"/>
      <c r="U1042" s="1481"/>
      <c r="V1042" s="1481"/>
      <c r="W1042" s="1481"/>
      <c r="X1042" s="1481"/>
      <c r="Y1042" s="1481"/>
      <c r="Z1042" s="1481"/>
      <c r="AA1042" s="1481"/>
      <c r="AB1042" s="1481"/>
      <c r="AC1042" s="1481"/>
      <c r="AD1042" s="1481"/>
      <c r="AE1042" s="1481"/>
      <c r="AF1042" s="1481"/>
      <c r="AG1042" s="1481"/>
    </row>
    <row r="1043" spans="1:33" ht="15.75" customHeight="1">
      <c r="A1043" s="1448"/>
      <c r="B1043" s="1480" t="s">
        <v>7148</v>
      </c>
      <c r="C1043" s="1445">
        <v>1</v>
      </c>
      <c r="D1043" s="1447" t="s">
        <v>3364</v>
      </c>
      <c r="E1043" s="1445">
        <v>1</v>
      </c>
      <c r="F1043" s="1446">
        <f>(27.89+18.43)*2-(0.92)</f>
        <v>91.72</v>
      </c>
      <c r="G1043" s="1446"/>
      <c r="H1043" s="1447">
        <v>1.2</v>
      </c>
      <c r="I1043" s="1494">
        <f t="shared" si="58"/>
        <v>110.06</v>
      </c>
      <c r="J1043" s="1449"/>
      <c r="K1043" s="1481"/>
      <c r="L1043" s="1481"/>
      <c r="M1043" s="1481"/>
      <c r="N1043" s="1481"/>
      <c r="O1043" s="1481"/>
      <c r="P1043" s="1481"/>
      <c r="Q1043" s="1481"/>
      <c r="R1043" s="1481"/>
      <c r="S1043" s="1481"/>
      <c r="T1043" s="1481"/>
      <c r="U1043" s="1481"/>
      <c r="V1043" s="1481"/>
      <c r="W1043" s="1481"/>
      <c r="X1043" s="1481"/>
      <c r="Y1043" s="1481"/>
      <c r="Z1043" s="1481"/>
      <c r="AA1043" s="1481"/>
      <c r="AB1043" s="1481"/>
      <c r="AC1043" s="1481"/>
      <c r="AD1043" s="1481"/>
      <c r="AE1043" s="1481"/>
      <c r="AF1043" s="1481"/>
      <c r="AG1043" s="1481"/>
    </row>
    <row r="1044" spans="1:33" ht="15.75" customHeight="1">
      <c r="A1044" s="1448"/>
      <c r="B1044" s="1480" t="s">
        <v>7149</v>
      </c>
      <c r="C1044" s="1445">
        <v>1</v>
      </c>
      <c r="D1044" s="1447" t="s">
        <v>3364</v>
      </c>
      <c r="E1044" s="1445">
        <v>2</v>
      </c>
      <c r="F1044" s="1446">
        <v>30.48</v>
      </c>
      <c r="G1044" s="1446"/>
      <c r="H1044" s="1447">
        <v>3.3</v>
      </c>
      <c r="I1044" s="1494">
        <f t="shared" si="58"/>
        <v>201.17</v>
      </c>
      <c r="J1044" s="1449"/>
      <c r="K1044" s="1481"/>
      <c r="L1044" s="1481"/>
      <c r="M1044" s="1481"/>
      <c r="N1044" s="1481"/>
      <c r="O1044" s="1481"/>
      <c r="P1044" s="1481"/>
      <c r="Q1044" s="1481"/>
      <c r="R1044" s="1481"/>
      <c r="S1044" s="1481"/>
      <c r="T1044" s="1481"/>
      <c r="U1044" s="1481"/>
      <c r="V1044" s="1481"/>
      <c r="W1044" s="1481"/>
      <c r="X1044" s="1481"/>
      <c r="Y1044" s="1481"/>
      <c r="Z1044" s="1481"/>
      <c r="AA1044" s="1481"/>
      <c r="AB1044" s="1481"/>
      <c r="AC1044" s="1481"/>
      <c r="AD1044" s="1481"/>
      <c r="AE1044" s="1481"/>
      <c r="AF1044" s="1481"/>
      <c r="AG1044" s="1481"/>
    </row>
    <row r="1045" spans="1:33" ht="15.75" customHeight="1">
      <c r="A1045" s="1448"/>
      <c r="B1045" s="1480" t="s">
        <v>7150</v>
      </c>
      <c r="C1045" s="1445">
        <v>1</v>
      </c>
      <c r="D1045" s="1447" t="s">
        <v>3364</v>
      </c>
      <c r="E1045" s="1445">
        <v>1</v>
      </c>
      <c r="F1045" s="1446">
        <v>30.48</v>
      </c>
      <c r="G1045" s="1446"/>
      <c r="H1045" s="1447">
        <v>0.8</v>
      </c>
      <c r="I1045" s="1494">
        <f t="shared" si="58"/>
        <v>24.38</v>
      </c>
      <c r="J1045" s="1449"/>
      <c r="K1045" s="1481"/>
      <c r="L1045" s="1481"/>
      <c r="M1045" s="1481"/>
      <c r="N1045" s="1481"/>
      <c r="O1045" s="1481"/>
      <c r="P1045" s="1481"/>
      <c r="Q1045" s="1481"/>
      <c r="R1045" s="1481"/>
      <c r="S1045" s="1481"/>
      <c r="T1045" s="1481"/>
      <c r="U1045" s="1481"/>
      <c r="V1045" s="1481"/>
      <c r="W1045" s="1481"/>
      <c r="X1045" s="1481"/>
      <c r="Y1045" s="1481"/>
      <c r="Z1045" s="1481"/>
      <c r="AA1045" s="1481"/>
      <c r="AB1045" s="1481"/>
      <c r="AC1045" s="1481"/>
      <c r="AD1045" s="1481"/>
      <c r="AE1045" s="1481"/>
      <c r="AF1045" s="1481"/>
      <c r="AG1045" s="1481"/>
    </row>
    <row r="1046" spans="1:33" ht="15.75" customHeight="1">
      <c r="A1046" s="1448"/>
      <c r="B1046" s="1480" t="s">
        <v>7151</v>
      </c>
      <c r="C1046" s="1445">
        <v>1</v>
      </c>
      <c r="D1046" s="1447" t="s">
        <v>3364</v>
      </c>
      <c r="E1046" s="1445">
        <v>1</v>
      </c>
      <c r="F1046" s="1446">
        <v>30.02</v>
      </c>
      <c r="G1046" s="1446"/>
      <c r="H1046" s="1447">
        <v>0.8</v>
      </c>
      <c r="I1046" s="1494">
        <f t="shared" si="58"/>
        <v>24.02</v>
      </c>
      <c r="J1046" s="1449"/>
      <c r="K1046" s="1481"/>
      <c r="L1046" s="1481"/>
      <c r="M1046" s="1481"/>
      <c r="N1046" s="1481"/>
      <c r="O1046" s="1481"/>
      <c r="P1046" s="1481"/>
      <c r="Q1046" s="1481"/>
      <c r="R1046" s="1481"/>
      <c r="S1046" s="1481"/>
      <c r="T1046" s="1481"/>
      <c r="U1046" s="1481"/>
      <c r="V1046" s="1481"/>
      <c r="W1046" s="1481"/>
      <c r="X1046" s="1481"/>
      <c r="Y1046" s="1481"/>
      <c r="Z1046" s="1481"/>
      <c r="AA1046" s="1481"/>
      <c r="AB1046" s="1481"/>
      <c r="AC1046" s="1481"/>
      <c r="AD1046" s="1481"/>
      <c r="AE1046" s="1481"/>
      <c r="AF1046" s="1481"/>
      <c r="AG1046" s="1481"/>
    </row>
    <row r="1047" spans="1:33" ht="15.75" customHeight="1">
      <c r="A1047" s="1448"/>
      <c r="B1047" s="1480" t="s">
        <v>7152</v>
      </c>
      <c r="C1047" s="1445">
        <v>1</v>
      </c>
      <c r="D1047" s="1447" t="s">
        <v>3364</v>
      </c>
      <c r="E1047" s="1445">
        <v>1</v>
      </c>
      <c r="F1047" s="1446">
        <v>18</v>
      </c>
      <c r="G1047" s="1446"/>
      <c r="H1047" s="1447">
        <v>1.1000000000000001</v>
      </c>
      <c r="I1047" s="1494">
        <f t="shared" si="58"/>
        <v>19.8</v>
      </c>
      <c r="J1047" s="1449"/>
      <c r="K1047" s="1481"/>
      <c r="L1047" s="1481"/>
      <c r="M1047" s="1481"/>
      <c r="N1047" s="1481"/>
      <c r="O1047" s="1481"/>
      <c r="P1047" s="1481"/>
      <c r="Q1047" s="1481"/>
      <c r="R1047" s="1481"/>
      <c r="S1047" s="1481"/>
      <c r="T1047" s="1481"/>
      <c r="U1047" s="1481"/>
      <c r="V1047" s="1481"/>
      <c r="W1047" s="1481"/>
      <c r="X1047" s="1481"/>
      <c r="Y1047" s="1481"/>
      <c r="Z1047" s="1481"/>
      <c r="AA1047" s="1481"/>
      <c r="AB1047" s="1481"/>
      <c r="AC1047" s="1481"/>
      <c r="AD1047" s="1481"/>
      <c r="AE1047" s="1481"/>
      <c r="AF1047" s="1481"/>
      <c r="AG1047" s="1481"/>
    </row>
    <row r="1048" spans="1:33" ht="15.75" customHeight="1">
      <c r="A1048" s="1448"/>
      <c r="B1048" s="1480" t="s">
        <v>7153</v>
      </c>
      <c r="C1048" s="1445">
        <v>1</v>
      </c>
      <c r="D1048" s="1447" t="s">
        <v>3364</v>
      </c>
      <c r="E1048" s="1445">
        <v>1</v>
      </c>
      <c r="F1048" s="1446">
        <f>(4.5+3.5)*2</f>
        <v>16</v>
      </c>
      <c r="G1048" s="1446"/>
      <c r="H1048" s="1447">
        <v>0.5</v>
      </c>
      <c r="I1048" s="1494">
        <f t="shared" si="58"/>
        <v>8</v>
      </c>
      <c r="J1048" s="1449"/>
      <c r="K1048" s="1481"/>
      <c r="L1048" s="1481"/>
      <c r="M1048" s="1481"/>
      <c r="N1048" s="1481"/>
      <c r="O1048" s="1481"/>
      <c r="P1048" s="1481"/>
      <c r="Q1048" s="1481"/>
      <c r="R1048" s="1481"/>
      <c r="S1048" s="1481"/>
      <c r="T1048" s="1481"/>
      <c r="U1048" s="1481"/>
      <c r="V1048" s="1481"/>
      <c r="W1048" s="1481"/>
      <c r="X1048" s="1481"/>
      <c r="Y1048" s="1481"/>
      <c r="Z1048" s="1481"/>
      <c r="AA1048" s="1481"/>
      <c r="AB1048" s="1481"/>
      <c r="AC1048" s="1481"/>
      <c r="AD1048" s="1481"/>
      <c r="AE1048" s="1481"/>
      <c r="AF1048" s="1481"/>
      <c r="AG1048" s="1481"/>
    </row>
    <row r="1049" spans="1:33" ht="15.75" customHeight="1">
      <c r="A1049" s="1448"/>
      <c r="B1049" s="1483" t="s">
        <v>3443</v>
      </c>
      <c r="C1049" s="1445"/>
      <c r="D1049" s="1447"/>
      <c r="E1049" s="1445"/>
      <c r="F1049" s="1446"/>
      <c r="G1049" s="1446"/>
      <c r="H1049" s="1447"/>
      <c r="I1049" s="1494">
        <f t="shared" si="58"/>
        <v>0</v>
      </c>
      <c r="J1049" s="1449"/>
      <c r="K1049" s="1481"/>
      <c r="L1049" s="1481"/>
      <c r="M1049" s="1481"/>
      <c r="N1049" s="1481"/>
      <c r="O1049" s="1481"/>
      <c r="P1049" s="1481"/>
      <c r="Q1049" s="1481"/>
      <c r="R1049" s="1481"/>
      <c r="S1049" s="1481"/>
      <c r="T1049" s="1481"/>
      <c r="U1049" s="1481"/>
      <c r="V1049" s="1481"/>
      <c r="W1049" s="1481"/>
      <c r="X1049" s="1481"/>
      <c r="Y1049" s="1481"/>
      <c r="Z1049" s="1481"/>
      <c r="AA1049" s="1481"/>
      <c r="AB1049" s="1481"/>
      <c r="AC1049" s="1481"/>
      <c r="AD1049" s="1481"/>
      <c r="AE1049" s="1481"/>
      <c r="AF1049" s="1481"/>
      <c r="AG1049" s="1481"/>
    </row>
    <row r="1050" spans="1:33" ht="15.75" customHeight="1">
      <c r="A1050" s="1448"/>
      <c r="B1050" s="1483" t="s">
        <v>3497</v>
      </c>
      <c r="C1050" s="1445">
        <v>6</v>
      </c>
      <c r="D1050" s="1447" t="s">
        <v>3364</v>
      </c>
      <c r="E1050" s="1445">
        <v>-1</v>
      </c>
      <c r="F1050" s="1446">
        <v>1.8</v>
      </c>
      <c r="G1050" s="1446"/>
      <c r="H1050" s="1447">
        <v>0.6</v>
      </c>
      <c r="I1050" s="1494">
        <f t="shared" si="58"/>
        <v>-6.48</v>
      </c>
      <c r="J1050" s="1449"/>
      <c r="K1050" s="1481"/>
      <c r="L1050" s="1481"/>
      <c r="M1050" s="1481"/>
      <c r="N1050" s="1481"/>
      <c r="O1050" s="1481"/>
      <c r="P1050" s="1481"/>
      <c r="Q1050" s="1481"/>
      <c r="R1050" s="1481"/>
      <c r="S1050" s="1481"/>
      <c r="T1050" s="1481"/>
      <c r="U1050" s="1481"/>
      <c r="V1050" s="1481"/>
      <c r="W1050" s="1481"/>
      <c r="X1050" s="1481"/>
      <c r="Y1050" s="1481"/>
      <c r="Z1050" s="1481"/>
      <c r="AA1050" s="1481"/>
      <c r="AB1050" s="1481"/>
      <c r="AC1050" s="1481"/>
      <c r="AD1050" s="1481"/>
      <c r="AE1050" s="1481"/>
      <c r="AF1050" s="1481"/>
      <c r="AG1050" s="1481"/>
    </row>
    <row r="1051" spans="1:33" ht="15.75" customHeight="1">
      <c r="A1051" s="1448"/>
      <c r="B1051" s="1483" t="s">
        <v>3414</v>
      </c>
      <c r="C1051" s="1445">
        <v>56</v>
      </c>
      <c r="D1051" s="1447" t="s">
        <v>3364</v>
      </c>
      <c r="E1051" s="1445">
        <v>-1</v>
      </c>
      <c r="F1051" s="1446">
        <v>1.8</v>
      </c>
      <c r="G1051" s="1446"/>
      <c r="H1051" s="1447">
        <v>0.6</v>
      </c>
      <c r="I1051" s="1494">
        <f t="shared" si="58"/>
        <v>-60.48</v>
      </c>
      <c r="J1051" s="1449"/>
      <c r="K1051" s="1481"/>
      <c r="L1051" s="1481"/>
      <c r="M1051" s="1481"/>
      <c r="N1051" s="1481"/>
      <c r="O1051" s="1481"/>
      <c r="P1051" s="1481"/>
      <c r="Q1051" s="1481"/>
      <c r="R1051" s="1481"/>
      <c r="S1051" s="1481"/>
      <c r="T1051" s="1481"/>
      <c r="U1051" s="1481"/>
      <c r="V1051" s="1481"/>
      <c r="W1051" s="1481"/>
      <c r="X1051" s="1481"/>
      <c r="Y1051" s="1481"/>
      <c r="Z1051" s="1481"/>
      <c r="AA1051" s="1481"/>
      <c r="AB1051" s="1481"/>
      <c r="AC1051" s="1481"/>
      <c r="AD1051" s="1481"/>
      <c r="AE1051" s="1481"/>
      <c r="AF1051" s="1481"/>
      <c r="AG1051" s="1481"/>
    </row>
    <row r="1052" spans="1:33" ht="15.75" customHeight="1">
      <c r="A1052" s="1448"/>
      <c r="B1052" s="1483" t="s">
        <v>3400</v>
      </c>
      <c r="C1052" s="1445">
        <v>1</v>
      </c>
      <c r="D1052" s="1447" t="s">
        <v>3364</v>
      </c>
      <c r="E1052" s="1445">
        <v>-1</v>
      </c>
      <c r="F1052" s="1446">
        <v>1.5</v>
      </c>
      <c r="G1052" s="1446"/>
      <c r="H1052" s="1447">
        <v>0.6</v>
      </c>
      <c r="I1052" s="1494">
        <f t="shared" si="58"/>
        <v>-0.9</v>
      </c>
      <c r="J1052" s="1449"/>
      <c r="K1052" s="1481"/>
      <c r="L1052" s="1481"/>
      <c r="M1052" s="1481"/>
      <c r="N1052" s="1481"/>
      <c r="O1052" s="1481"/>
      <c r="P1052" s="1481"/>
      <c r="Q1052" s="1481"/>
      <c r="R1052" s="1481"/>
      <c r="S1052" s="1481"/>
      <c r="T1052" s="1481"/>
      <c r="U1052" s="1481"/>
      <c r="V1052" s="1481"/>
      <c r="W1052" s="1481"/>
      <c r="X1052" s="1481"/>
      <c r="Y1052" s="1481"/>
      <c r="Z1052" s="1481"/>
      <c r="AA1052" s="1481"/>
      <c r="AB1052" s="1481"/>
      <c r="AC1052" s="1481"/>
      <c r="AD1052" s="1481"/>
      <c r="AE1052" s="1481"/>
      <c r="AF1052" s="1481"/>
      <c r="AG1052" s="1481"/>
    </row>
    <row r="1053" spans="1:33" ht="15.75" customHeight="1">
      <c r="A1053" s="1448"/>
      <c r="B1053" s="1483" t="s">
        <v>6964</v>
      </c>
      <c r="C1053" s="1445">
        <v>10</v>
      </c>
      <c r="D1053" s="1447" t="s">
        <v>3364</v>
      </c>
      <c r="E1053" s="1445">
        <v>-1</v>
      </c>
      <c r="F1053" s="1446">
        <v>0.9</v>
      </c>
      <c r="G1053" s="1446"/>
      <c r="H1053" s="1447">
        <v>2.1</v>
      </c>
      <c r="I1053" s="1494">
        <f t="shared" si="58"/>
        <v>-18.899999999999999</v>
      </c>
      <c r="J1053" s="1449"/>
      <c r="K1053" s="1481"/>
      <c r="L1053" s="1481"/>
      <c r="M1053" s="1481"/>
      <c r="N1053" s="1481"/>
      <c r="O1053" s="1481"/>
      <c r="P1053" s="1481"/>
      <c r="Q1053" s="1481"/>
      <c r="R1053" s="1481"/>
      <c r="S1053" s="1481"/>
      <c r="T1053" s="1481"/>
      <c r="U1053" s="1481"/>
      <c r="V1053" s="1481"/>
      <c r="W1053" s="1481"/>
      <c r="X1053" s="1481"/>
      <c r="Y1053" s="1481"/>
      <c r="Z1053" s="1481"/>
      <c r="AA1053" s="1481"/>
      <c r="AB1053" s="1481"/>
      <c r="AC1053" s="1481"/>
      <c r="AD1053" s="1481"/>
      <c r="AE1053" s="1481"/>
      <c r="AF1053" s="1481"/>
      <c r="AG1053" s="1481"/>
    </row>
    <row r="1054" spans="1:33" ht="15.75" customHeight="1">
      <c r="A1054" s="1448"/>
      <c r="B1054" s="1483" t="s">
        <v>3401</v>
      </c>
      <c r="C1054" s="1445">
        <v>42</v>
      </c>
      <c r="D1054" s="1447" t="s">
        <v>3364</v>
      </c>
      <c r="E1054" s="1445">
        <v>-1</v>
      </c>
      <c r="F1054" s="1446">
        <v>0.75</v>
      </c>
      <c r="G1054" s="1446"/>
      <c r="H1054" s="1447">
        <v>1.05</v>
      </c>
      <c r="I1054" s="1494">
        <f t="shared" si="58"/>
        <v>-33.08</v>
      </c>
      <c r="J1054" s="1449"/>
      <c r="K1054" s="1481"/>
      <c r="L1054" s="1481"/>
      <c r="M1054" s="1481"/>
      <c r="N1054" s="1481"/>
      <c r="O1054" s="1481"/>
      <c r="P1054" s="1481"/>
      <c r="Q1054" s="1481"/>
      <c r="R1054" s="1481"/>
      <c r="S1054" s="1481"/>
      <c r="T1054" s="1481"/>
      <c r="U1054" s="1481"/>
      <c r="V1054" s="1481"/>
      <c r="W1054" s="1481"/>
      <c r="X1054" s="1481"/>
      <c r="Y1054" s="1481"/>
      <c r="Z1054" s="1481"/>
      <c r="AA1054" s="1481"/>
      <c r="AB1054" s="1481"/>
      <c r="AC1054" s="1481"/>
      <c r="AD1054" s="1481"/>
      <c r="AE1054" s="1481"/>
      <c r="AF1054" s="1481"/>
      <c r="AG1054" s="1481"/>
    </row>
    <row r="1055" spans="1:33" ht="15.75" customHeight="1">
      <c r="A1055" s="1448"/>
      <c r="B1055" s="1483" t="s">
        <v>7412</v>
      </c>
      <c r="C1055" s="1445">
        <v>1</v>
      </c>
      <c r="D1055" s="1447" t="s">
        <v>3364</v>
      </c>
      <c r="E1055" s="1445">
        <v>-1</v>
      </c>
      <c r="F1055" s="1446">
        <v>0.9</v>
      </c>
      <c r="G1055" s="1446"/>
      <c r="H1055" s="1447">
        <v>2</v>
      </c>
      <c r="I1055" s="1494">
        <f t="shared" si="58"/>
        <v>-1.8</v>
      </c>
      <c r="J1055" s="1449"/>
      <c r="K1055" s="1481"/>
      <c r="L1055" s="1481"/>
      <c r="M1055" s="1481"/>
      <c r="N1055" s="1481"/>
      <c r="O1055" s="1481"/>
      <c r="P1055" s="1481"/>
      <c r="Q1055" s="1481"/>
      <c r="R1055" s="1481"/>
      <c r="S1055" s="1481"/>
      <c r="T1055" s="1481"/>
      <c r="U1055" s="1481"/>
      <c r="V1055" s="1481"/>
      <c r="W1055" s="1481"/>
      <c r="X1055" s="1481"/>
      <c r="Y1055" s="1481"/>
      <c r="Z1055" s="1481"/>
      <c r="AA1055" s="1481"/>
      <c r="AB1055" s="1481"/>
      <c r="AC1055" s="1481"/>
      <c r="AD1055" s="1481"/>
      <c r="AE1055" s="1481"/>
      <c r="AF1055" s="1481"/>
      <c r="AG1055" s="1481"/>
    </row>
    <row r="1056" spans="1:33" ht="15.75" customHeight="1">
      <c r="A1056" s="1448"/>
      <c r="B1056" s="1483" t="s">
        <v>7413</v>
      </c>
      <c r="C1056" s="1445">
        <v>4</v>
      </c>
      <c r="D1056" s="1447" t="s">
        <v>3364</v>
      </c>
      <c r="E1056" s="1445">
        <v>-1</v>
      </c>
      <c r="F1056" s="1446">
        <v>0.9</v>
      </c>
      <c r="G1056" s="1446"/>
      <c r="H1056" s="1447">
        <v>2.1</v>
      </c>
      <c r="I1056" s="1494">
        <f t="shared" si="58"/>
        <v>-7.56</v>
      </c>
      <c r="J1056" s="1449"/>
      <c r="K1056" s="1481"/>
      <c r="L1056" s="1481"/>
      <c r="M1056" s="1481"/>
      <c r="N1056" s="1481"/>
      <c r="O1056" s="1481"/>
      <c r="P1056" s="1481"/>
      <c r="Q1056" s="1481"/>
      <c r="R1056" s="1481"/>
      <c r="S1056" s="1481"/>
      <c r="T1056" s="1481"/>
      <c r="U1056" s="1481"/>
      <c r="V1056" s="1481"/>
      <c r="W1056" s="1481"/>
      <c r="X1056" s="1481"/>
      <c r="Y1056" s="1481"/>
      <c r="Z1056" s="1481"/>
      <c r="AA1056" s="1481"/>
      <c r="AB1056" s="1481"/>
      <c r="AC1056" s="1481"/>
      <c r="AD1056" s="1481"/>
      <c r="AE1056" s="1481"/>
      <c r="AF1056" s="1481"/>
      <c r="AG1056" s="1481"/>
    </row>
    <row r="1057" spans="1:33" ht="15.75" customHeight="1">
      <c r="A1057" s="1451"/>
      <c r="B1057" s="1450"/>
      <c r="C1057" s="1477"/>
      <c r="D1057" s="1477"/>
      <c r="E1057" s="1477"/>
      <c r="F1057" s="1478"/>
      <c r="G1057" s="1458" t="s">
        <v>7154</v>
      </c>
      <c r="H1057" s="1500"/>
      <c r="I1057" s="1459">
        <f>SUM(I1040:I1056)</f>
        <v>1818.54</v>
      </c>
      <c r="J1057" s="1501"/>
      <c r="K1057" s="1439"/>
      <c r="L1057" s="1439"/>
      <c r="M1057" s="1439"/>
      <c r="N1057" s="1439"/>
      <c r="O1057" s="1439"/>
      <c r="P1057" s="1439"/>
      <c r="Q1057" s="1439"/>
      <c r="R1057" s="1439"/>
      <c r="S1057" s="1439"/>
      <c r="T1057" s="1439"/>
      <c r="U1057" s="1439"/>
      <c r="V1057" s="1439"/>
      <c r="W1057" s="1439"/>
      <c r="X1057" s="1439"/>
      <c r="Y1057" s="1439"/>
      <c r="Z1057" s="1439"/>
      <c r="AA1057" s="1439"/>
      <c r="AB1057" s="1439"/>
      <c r="AC1057" s="1439"/>
      <c r="AD1057" s="1439"/>
      <c r="AE1057" s="1439"/>
      <c r="AF1057" s="1439"/>
      <c r="AG1057" s="1439"/>
    </row>
    <row r="1058" spans="1:33" ht="15.75" customHeight="1">
      <c r="A1058" s="1451"/>
      <c r="B1058" s="1450"/>
      <c r="C1058" s="1477"/>
      <c r="D1058" s="1477"/>
      <c r="E1058" s="1477"/>
      <c r="F1058" s="1478"/>
      <c r="G1058" s="1478" t="s">
        <v>7155</v>
      </c>
      <c r="H1058" s="1500"/>
      <c r="I1058" s="1459">
        <f>I1038+I1057</f>
        <v>5850.54</v>
      </c>
      <c r="J1058" s="1501"/>
      <c r="K1058" s="1439"/>
      <c r="L1058" s="1439"/>
      <c r="M1058" s="1439"/>
      <c r="N1058" s="1439"/>
      <c r="O1058" s="1439"/>
      <c r="P1058" s="1439"/>
      <c r="Q1058" s="1439"/>
      <c r="R1058" s="1439"/>
      <c r="S1058" s="1439"/>
      <c r="T1058" s="1439"/>
      <c r="U1058" s="1439"/>
      <c r="V1058" s="1439"/>
      <c r="W1058" s="1439"/>
      <c r="X1058" s="1439"/>
      <c r="Y1058" s="1439"/>
      <c r="Z1058" s="1439"/>
      <c r="AA1058" s="1439"/>
      <c r="AB1058" s="1439"/>
      <c r="AC1058" s="1439"/>
      <c r="AD1058" s="1439"/>
      <c r="AE1058" s="1439"/>
      <c r="AF1058" s="1439"/>
      <c r="AG1058" s="1439"/>
    </row>
    <row r="1059" spans="1:33" ht="15.75" customHeight="1">
      <c r="A1059" s="1451"/>
      <c r="B1059" s="1450"/>
      <c r="C1059" s="1477"/>
      <c r="D1059" s="1477"/>
      <c r="E1059" s="1477"/>
      <c r="F1059" s="1478"/>
      <c r="G1059" s="1478"/>
      <c r="H1059" s="1442" t="s">
        <v>3473</v>
      </c>
      <c r="I1059" s="1479">
        <f>CEILING(I1058,0.1)</f>
        <v>5850.6</v>
      </c>
      <c r="J1059" s="1501" t="s">
        <v>724</v>
      </c>
      <c r="K1059" s="1439"/>
      <c r="L1059" s="1439"/>
      <c r="M1059" s="1439"/>
      <c r="N1059" s="1439"/>
      <c r="O1059" s="1439"/>
      <c r="P1059" s="1439"/>
      <c r="Q1059" s="1439"/>
      <c r="R1059" s="1439"/>
      <c r="S1059" s="1439"/>
      <c r="T1059" s="1439"/>
      <c r="U1059" s="1439"/>
      <c r="V1059" s="1439"/>
      <c r="W1059" s="1439"/>
      <c r="X1059" s="1439"/>
      <c r="Y1059" s="1439"/>
      <c r="Z1059" s="1439"/>
      <c r="AA1059" s="1439"/>
      <c r="AB1059" s="1439"/>
      <c r="AC1059" s="1439"/>
      <c r="AD1059" s="1439"/>
      <c r="AE1059" s="1439"/>
      <c r="AF1059" s="1439"/>
      <c r="AG1059" s="1439"/>
    </row>
    <row r="1060" spans="1:33" ht="15.75" customHeight="1">
      <c r="A1060" s="1451">
        <v>34</v>
      </c>
      <c r="B1060" s="1444" t="s">
        <v>3499</v>
      </c>
      <c r="C1060" s="1477"/>
      <c r="D1060" s="1477"/>
      <c r="E1060" s="1477"/>
      <c r="F1060" s="1478"/>
      <c r="G1060" s="1478"/>
      <c r="H1060" s="1442"/>
      <c r="I1060" s="1479"/>
      <c r="J1060" s="1501"/>
      <c r="K1060" s="1439"/>
      <c r="L1060" s="1439"/>
      <c r="M1060" s="1439"/>
      <c r="N1060" s="1439"/>
      <c r="O1060" s="1439"/>
      <c r="P1060" s="1439"/>
      <c r="Q1060" s="1439"/>
      <c r="R1060" s="1439"/>
      <c r="S1060" s="1439"/>
      <c r="T1060" s="1439"/>
      <c r="U1060" s="1439"/>
      <c r="V1060" s="1439"/>
      <c r="W1060" s="1439"/>
      <c r="X1060" s="1439"/>
      <c r="Y1060" s="1439"/>
      <c r="Z1060" s="1439"/>
      <c r="AA1060" s="1439"/>
      <c r="AB1060" s="1439"/>
      <c r="AC1060" s="1439"/>
      <c r="AD1060" s="1439"/>
      <c r="AE1060" s="1439"/>
      <c r="AF1060" s="1439"/>
      <c r="AG1060" s="1439"/>
    </row>
    <row r="1061" spans="1:33" ht="15.75" customHeight="1">
      <c r="A1061" s="1443"/>
      <c r="B1061" s="1452" t="s">
        <v>7584</v>
      </c>
      <c r="C1061" s="1445">
        <v>3</v>
      </c>
      <c r="D1061" s="1445" t="s">
        <v>3364</v>
      </c>
      <c r="E1061" s="1445">
        <v>1</v>
      </c>
      <c r="F1061" s="1446">
        <v>5.82</v>
      </c>
      <c r="G1061" s="1446"/>
      <c r="H1061" s="1447">
        <v>0.9</v>
      </c>
      <c r="I1061" s="1494">
        <f>PRODUCT(C1061:H1061)</f>
        <v>15.71</v>
      </c>
      <c r="J1061" s="1449"/>
      <c r="K1061" s="1439"/>
      <c r="L1061" s="1439"/>
      <c r="M1061" s="1439"/>
      <c r="N1061" s="1439"/>
      <c r="O1061" s="1439"/>
      <c r="P1061" s="1439"/>
      <c r="Q1061" s="1439"/>
      <c r="R1061" s="1439"/>
      <c r="S1061" s="1439"/>
      <c r="T1061" s="1439"/>
      <c r="U1061" s="1439"/>
      <c r="V1061" s="1439"/>
      <c r="W1061" s="1439"/>
      <c r="X1061" s="1439"/>
      <c r="Y1061" s="1439"/>
      <c r="Z1061" s="1439"/>
      <c r="AA1061" s="1439"/>
      <c r="AB1061" s="1439"/>
      <c r="AC1061" s="1439"/>
      <c r="AD1061" s="1439"/>
      <c r="AE1061" s="1439"/>
      <c r="AF1061" s="1439"/>
      <c r="AG1061" s="1439"/>
    </row>
    <row r="1062" spans="1:33" ht="15.75" customHeight="1">
      <c r="A1062" s="1451"/>
      <c r="B1062" s="1450"/>
      <c r="C1062" s="1477"/>
      <c r="D1062" s="1477"/>
      <c r="E1062" s="1477"/>
      <c r="F1062" s="1478"/>
      <c r="G1062" s="1478" t="s">
        <v>7155</v>
      </c>
      <c r="H1062" s="1500"/>
      <c r="I1062" s="1459">
        <f>SUM(I1061:I1061)</f>
        <v>15.71</v>
      </c>
      <c r="J1062" s="1501"/>
      <c r="K1062" s="1439"/>
      <c r="L1062" s="1439"/>
      <c r="M1062" s="1439"/>
      <c r="N1062" s="1439"/>
      <c r="O1062" s="1439"/>
      <c r="P1062" s="1439"/>
      <c r="Q1062" s="1439"/>
      <c r="R1062" s="1439"/>
      <c r="S1062" s="1439"/>
      <c r="T1062" s="1439"/>
      <c r="U1062" s="1439"/>
      <c r="V1062" s="1439"/>
      <c r="W1062" s="1439"/>
      <c r="X1062" s="1439"/>
      <c r="Y1062" s="1439"/>
      <c r="Z1062" s="1439"/>
      <c r="AA1062" s="1439"/>
      <c r="AB1062" s="1439"/>
      <c r="AC1062" s="1439"/>
      <c r="AD1062" s="1439"/>
      <c r="AE1062" s="1439"/>
      <c r="AF1062" s="1439"/>
      <c r="AG1062" s="1439"/>
    </row>
    <row r="1063" spans="1:33" ht="15.75" customHeight="1">
      <c r="A1063" s="1451"/>
      <c r="B1063" s="1450"/>
      <c r="C1063" s="1477"/>
      <c r="D1063" s="1477"/>
      <c r="E1063" s="1477"/>
      <c r="F1063" s="1478"/>
      <c r="G1063" s="1478"/>
      <c r="H1063" s="1442" t="s">
        <v>3473</v>
      </c>
      <c r="I1063" s="1479">
        <f>CEILING(I1062,0.1)</f>
        <v>15.8</v>
      </c>
      <c r="J1063" s="1501" t="s">
        <v>724</v>
      </c>
      <c r="K1063" s="1439"/>
      <c r="L1063" s="1439"/>
      <c r="M1063" s="1439"/>
      <c r="N1063" s="1439"/>
      <c r="O1063" s="1439"/>
      <c r="P1063" s="1439"/>
      <c r="Q1063" s="1439"/>
      <c r="R1063" s="1439"/>
      <c r="S1063" s="1439"/>
      <c r="T1063" s="1439"/>
      <c r="U1063" s="1439"/>
      <c r="V1063" s="1439"/>
      <c r="W1063" s="1439"/>
      <c r="X1063" s="1439"/>
      <c r="Y1063" s="1439"/>
      <c r="Z1063" s="1439"/>
      <c r="AA1063" s="1439"/>
      <c r="AB1063" s="1439"/>
      <c r="AC1063" s="1439"/>
      <c r="AD1063" s="1439"/>
      <c r="AE1063" s="1439"/>
      <c r="AF1063" s="1439"/>
      <c r="AG1063" s="1439"/>
    </row>
    <row r="1064" spans="1:33" ht="126">
      <c r="A1064" s="1451">
        <v>35</v>
      </c>
      <c r="B1064" s="1444" t="s">
        <v>7156</v>
      </c>
      <c r="C1064" s="1484"/>
      <c r="D1064" s="1484"/>
      <c r="E1064" s="1484"/>
      <c r="F1064" s="1446"/>
      <c r="G1064" s="1446"/>
      <c r="H1064" s="1447"/>
      <c r="I1064" s="1448"/>
      <c r="J1064" s="1475"/>
      <c r="K1064" s="1439"/>
      <c r="L1064" s="1439"/>
      <c r="M1064" s="1439"/>
      <c r="N1064" s="1439"/>
      <c r="O1064" s="1439"/>
      <c r="P1064" s="1439"/>
      <c r="Q1064" s="1439"/>
      <c r="R1064" s="1439"/>
      <c r="S1064" s="1439"/>
      <c r="T1064" s="1439"/>
      <c r="U1064" s="1439"/>
      <c r="V1064" s="1439"/>
      <c r="W1064" s="1439"/>
      <c r="X1064" s="1439"/>
      <c r="Y1064" s="1439"/>
      <c r="Z1064" s="1439"/>
      <c r="AA1064" s="1439"/>
      <c r="AB1064" s="1439"/>
      <c r="AC1064" s="1439"/>
      <c r="AD1064" s="1439"/>
      <c r="AE1064" s="1439"/>
      <c r="AF1064" s="1439"/>
      <c r="AG1064" s="1439"/>
    </row>
    <row r="1065" spans="1:33" ht="15.75" customHeight="1">
      <c r="A1065" s="1451"/>
      <c r="B1065" s="1456" t="s">
        <v>7157</v>
      </c>
      <c r="C1065" s="1484"/>
      <c r="D1065" s="1484"/>
      <c r="E1065" s="1484"/>
      <c r="F1065" s="1446"/>
      <c r="G1065" s="1446"/>
      <c r="H1065" s="1447"/>
      <c r="I1065" s="1494"/>
      <c r="J1065" s="1492"/>
      <c r="K1065" s="1439"/>
      <c r="L1065" s="1439"/>
      <c r="M1065" s="1439"/>
      <c r="N1065" s="1439"/>
      <c r="O1065" s="1439"/>
      <c r="P1065" s="1439"/>
      <c r="Q1065" s="1439"/>
      <c r="R1065" s="1439"/>
      <c r="S1065" s="1439"/>
      <c r="T1065" s="1439"/>
      <c r="U1065" s="1439"/>
      <c r="V1065" s="1439"/>
      <c r="W1065" s="1439"/>
      <c r="X1065" s="1439"/>
      <c r="Y1065" s="1439"/>
      <c r="Z1065" s="1439"/>
      <c r="AA1065" s="1439"/>
      <c r="AB1065" s="1439"/>
      <c r="AC1065" s="1439"/>
      <c r="AD1065" s="1439"/>
      <c r="AE1065" s="1439"/>
      <c r="AF1065" s="1439"/>
      <c r="AG1065" s="1439"/>
    </row>
    <row r="1066" spans="1:33" ht="15.75" customHeight="1">
      <c r="A1066" s="1494"/>
      <c r="B1066" s="1482" t="s">
        <v>7545</v>
      </c>
      <c r="C1066" s="1445">
        <v>5</v>
      </c>
      <c r="D1066" s="1447" t="s">
        <v>3364</v>
      </c>
      <c r="E1066" s="1445">
        <v>1</v>
      </c>
      <c r="F1066" s="1446">
        <v>17</v>
      </c>
      <c r="G1066" s="1446">
        <v>4.5</v>
      </c>
      <c r="H1066" s="1447"/>
      <c r="I1066" s="1494">
        <f t="shared" ref="I1066:I1142" si="59">PRODUCT(C1066:H1066)</f>
        <v>382.5</v>
      </c>
      <c r="J1066" s="1527"/>
      <c r="K1066" s="1481"/>
      <c r="L1066" s="1481"/>
      <c r="M1066" s="1481"/>
      <c r="N1066" s="1481"/>
      <c r="O1066" s="1481"/>
      <c r="P1066" s="1481"/>
      <c r="Q1066" s="1481"/>
      <c r="R1066" s="1481"/>
      <c r="S1066" s="1481"/>
      <c r="T1066" s="1481"/>
      <c r="U1066" s="1481"/>
      <c r="V1066" s="1481"/>
      <c r="W1066" s="1481"/>
      <c r="X1066" s="1481"/>
      <c r="Y1066" s="1481"/>
      <c r="Z1066" s="1481"/>
      <c r="AA1066" s="1481"/>
      <c r="AB1066" s="1481"/>
      <c r="AC1066" s="1481"/>
      <c r="AD1066" s="1481"/>
      <c r="AE1066" s="1481"/>
      <c r="AF1066" s="1481"/>
      <c r="AG1066" s="1481"/>
    </row>
    <row r="1067" spans="1:33" ht="15.75" customHeight="1">
      <c r="A1067" s="1494"/>
      <c r="B1067" s="1482" t="s">
        <v>7495</v>
      </c>
      <c r="C1067" s="1445">
        <v>1</v>
      </c>
      <c r="D1067" s="1447" t="s">
        <v>3364</v>
      </c>
      <c r="E1067" s="1445">
        <v>1</v>
      </c>
      <c r="F1067" s="1446">
        <v>3.2</v>
      </c>
      <c r="G1067" s="1446">
        <v>1.5</v>
      </c>
      <c r="H1067" s="1447"/>
      <c r="I1067" s="1494">
        <f t="shared" si="59"/>
        <v>4.8</v>
      </c>
      <c r="J1067" s="1527"/>
      <c r="K1067" s="1481"/>
      <c r="L1067" s="1481"/>
      <c r="M1067" s="1481"/>
      <c r="N1067" s="1481"/>
      <c r="O1067" s="1481"/>
      <c r="P1067" s="1481"/>
      <c r="Q1067" s="1481"/>
      <c r="R1067" s="1481"/>
      <c r="S1067" s="1481"/>
      <c r="T1067" s="1481"/>
      <c r="U1067" s="1481"/>
      <c r="V1067" s="1481"/>
      <c r="W1067" s="1481"/>
      <c r="X1067" s="1481"/>
      <c r="Y1067" s="1481"/>
      <c r="Z1067" s="1481"/>
      <c r="AA1067" s="1481"/>
      <c r="AB1067" s="1481"/>
      <c r="AC1067" s="1481"/>
      <c r="AD1067" s="1481"/>
      <c r="AE1067" s="1481"/>
      <c r="AF1067" s="1481"/>
      <c r="AG1067" s="1481"/>
    </row>
    <row r="1068" spans="1:33" ht="15.75" customHeight="1">
      <c r="A1068" s="1494"/>
      <c r="B1068" s="1482" t="s">
        <v>7529</v>
      </c>
      <c r="C1068" s="1445">
        <v>2</v>
      </c>
      <c r="D1068" s="1447" t="s">
        <v>3364</v>
      </c>
      <c r="E1068" s="1445">
        <v>1</v>
      </c>
      <c r="F1068" s="1446">
        <v>2.4</v>
      </c>
      <c r="G1068" s="1446">
        <v>1.5</v>
      </c>
      <c r="H1068" s="1447"/>
      <c r="I1068" s="1494">
        <f t="shared" si="59"/>
        <v>7.2</v>
      </c>
      <c r="J1068" s="1527"/>
      <c r="K1068" s="1481"/>
      <c r="L1068" s="1481"/>
      <c r="M1068" s="1481"/>
      <c r="N1068" s="1481"/>
      <c r="O1068" s="1481"/>
      <c r="P1068" s="1481"/>
      <c r="Q1068" s="1481"/>
      <c r="R1068" s="1481"/>
      <c r="S1068" s="1481"/>
      <c r="T1068" s="1481"/>
      <c r="U1068" s="1481"/>
      <c r="V1068" s="1481"/>
      <c r="W1068" s="1481"/>
      <c r="X1068" s="1481"/>
      <c r="Y1068" s="1481"/>
      <c r="Z1068" s="1481"/>
      <c r="AA1068" s="1481"/>
      <c r="AB1068" s="1481"/>
      <c r="AC1068" s="1481"/>
      <c r="AD1068" s="1481"/>
      <c r="AE1068" s="1481"/>
      <c r="AF1068" s="1481"/>
      <c r="AG1068" s="1481"/>
    </row>
    <row r="1069" spans="1:33" ht="15.75" customHeight="1">
      <c r="A1069" s="1494"/>
      <c r="B1069" s="1482" t="s">
        <v>7453</v>
      </c>
      <c r="C1069" s="1445">
        <v>1</v>
      </c>
      <c r="D1069" s="1447" t="s">
        <v>3364</v>
      </c>
      <c r="E1069" s="1445">
        <v>1</v>
      </c>
      <c r="F1069" s="1446">
        <v>3.43</v>
      </c>
      <c r="G1069" s="1446">
        <v>4.96</v>
      </c>
      <c r="H1069" s="1447"/>
      <c r="I1069" s="1494">
        <f t="shared" si="59"/>
        <v>17.010000000000002</v>
      </c>
      <c r="J1069" s="1527"/>
      <c r="K1069" s="1481"/>
      <c r="L1069" s="1481"/>
      <c r="M1069" s="1481"/>
      <c r="N1069" s="1481"/>
      <c r="O1069" s="1481"/>
      <c r="P1069" s="1481"/>
      <c r="Q1069" s="1481"/>
      <c r="R1069" s="1481"/>
      <c r="S1069" s="1481"/>
      <c r="T1069" s="1481"/>
      <c r="U1069" s="1481"/>
      <c r="V1069" s="1481"/>
      <c r="W1069" s="1481"/>
      <c r="X1069" s="1481"/>
      <c r="Y1069" s="1481"/>
      <c r="Z1069" s="1481"/>
      <c r="AA1069" s="1481"/>
      <c r="AB1069" s="1481"/>
      <c r="AC1069" s="1481"/>
      <c r="AD1069" s="1481"/>
      <c r="AE1069" s="1481"/>
      <c r="AF1069" s="1481"/>
      <c r="AG1069" s="1481"/>
    </row>
    <row r="1070" spans="1:33" ht="15.75" customHeight="1">
      <c r="A1070" s="1494"/>
      <c r="B1070" s="1482" t="s">
        <v>3492</v>
      </c>
      <c r="C1070" s="1445">
        <v>1</v>
      </c>
      <c r="D1070" s="1447" t="s">
        <v>3364</v>
      </c>
      <c r="E1070" s="1445">
        <v>1</v>
      </c>
      <c r="F1070" s="1446">
        <v>3.43</v>
      </c>
      <c r="G1070" s="1446">
        <v>4.57</v>
      </c>
      <c r="H1070" s="1447"/>
      <c r="I1070" s="1494">
        <f t="shared" si="59"/>
        <v>15.68</v>
      </c>
      <c r="J1070" s="1527"/>
      <c r="K1070" s="1481"/>
      <c r="L1070" s="1481"/>
      <c r="M1070" s="1481"/>
      <c r="N1070" s="1481"/>
      <c r="O1070" s="1481"/>
      <c r="P1070" s="1481"/>
      <c r="Q1070" s="1481"/>
      <c r="R1070" s="1481"/>
      <c r="S1070" s="1481"/>
      <c r="T1070" s="1481"/>
      <c r="U1070" s="1481"/>
      <c r="V1070" s="1481"/>
      <c r="W1070" s="1481"/>
      <c r="X1070" s="1481"/>
      <c r="Y1070" s="1481"/>
      <c r="Z1070" s="1481"/>
      <c r="AA1070" s="1481"/>
      <c r="AB1070" s="1481"/>
      <c r="AC1070" s="1481"/>
      <c r="AD1070" s="1481"/>
      <c r="AE1070" s="1481"/>
      <c r="AF1070" s="1481"/>
      <c r="AG1070" s="1481"/>
    </row>
    <row r="1071" spans="1:33" ht="15.75" customHeight="1">
      <c r="A1071" s="1494"/>
      <c r="B1071" s="1482" t="s">
        <v>7530</v>
      </c>
      <c r="C1071" s="1445">
        <v>1</v>
      </c>
      <c r="D1071" s="1447" t="s">
        <v>3364</v>
      </c>
      <c r="E1071" s="1445">
        <v>1</v>
      </c>
      <c r="F1071" s="1446">
        <v>4.57</v>
      </c>
      <c r="G1071" s="1446">
        <v>3.43</v>
      </c>
      <c r="H1071" s="1447"/>
      <c r="I1071" s="1494">
        <f t="shared" si="59"/>
        <v>15.68</v>
      </c>
      <c r="J1071" s="1527"/>
      <c r="K1071" s="1481"/>
      <c r="L1071" s="1481"/>
      <c r="M1071" s="1481"/>
      <c r="N1071" s="1481"/>
      <c r="O1071" s="1481"/>
      <c r="P1071" s="1481"/>
      <c r="Q1071" s="1481"/>
      <c r="R1071" s="1481"/>
      <c r="S1071" s="1481"/>
      <c r="T1071" s="1481"/>
      <c r="U1071" s="1481"/>
      <c r="V1071" s="1481"/>
      <c r="W1071" s="1481"/>
      <c r="X1071" s="1481"/>
      <c r="Y1071" s="1481"/>
      <c r="Z1071" s="1481"/>
      <c r="AA1071" s="1481"/>
      <c r="AB1071" s="1481"/>
      <c r="AC1071" s="1481"/>
      <c r="AD1071" s="1481"/>
      <c r="AE1071" s="1481"/>
      <c r="AF1071" s="1481"/>
      <c r="AG1071" s="1481"/>
    </row>
    <row r="1072" spans="1:33" ht="15.75" customHeight="1">
      <c r="A1072" s="1494"/>
      <c r="B1072" s="1485" t="s">
        <v>7158</v>
      </c>
      <c r="C1072" s="1445"/>
      <c r="D1072" s="1447"/>
      <c r="E1072" s="1445"/>
      <c r="F1072" s="1446"/>
      <c r="G1072" s="1446"/>
      <c r="H1072" s="1447"/>
      <c r="I1072" s="1494">
        <f t="shared" si="59"/>
        <v>0</v>
      </c>
      <c r="J1072" s="1527"/>
      <c r="K1072" s="1481"/>
      <c r="L1072" s="1481"/>
      <c r="M1072" s="1481"/>
      <c r="N1072" s="1481"/>
      <c r="O1072" s="1481"/>
      <c r="P1072" s="1481"/>
      <c r="Q1072" s="1481"/>
      <c r="R1072" s="1481"/>
      <c r="S1072" s="1481"/>
      <c r="T1072" s="1481"/>
      <c r="U1072" s="1481"/>
      <c r="V1072" s="1481"/>
      <c r="W1072" s="1481"/>
      <c r="X1072" s="1481"/>
      <c r="Y1072" s="1481"/>
      <c r="Z1072" s="1481"/>
      <c r="AA1072" s="1481"/>
      <c r="AB1072" s="1481"/>
      <c r="AC1072" s="1481"/>
      <c r="AD1072" s="1481"/>
      <c r="AE1072" s="1481"/>
      <c r="AF1072" s="1481"/>
      <c r="AG1072" s="1481"/>
    </row>
    <row r="1073" spans="1:33" ht="15.75" customHeight="1">
      <c r="A1073" s="1448"/>
      <c r="B1073" s="1483" t="s">
        <v>3443</v>
      </c>
      <c r="C1073" s="1445"/>
      <c r="D1073" s="1467"/>
      <c r="E1073" s="1445"/>
      <c r="F1073" s="1446"/>
      <c r="G1073" s="1446"/>
      <c r="H1073" s="1447"/>
      <c r="I1073" s="1448"/>
      <c r="J1073" s="1449"/>
      <c r="K1073" s="1481"/>
      <c r="L1073" s="1481"/>
      <c r="M1073" s="1481"/>
      <c r="N1073" s="1481"/>
      <c r="O1073" s="1481"/>
      <c r="P1073" s="1481"/>
      <c r="Q1073" s="1481"/>
      <c r="R1073" s="1481"/>
      <c r="S1073" s="1481"/>
      <c r="T1073" s="1481"/>
      <c r="U1073" s="1481"/>
      <c r="V1073" s="1481"/>
      <c r="W1073" s="1481"/>
      <c r="X1073" s="1481"/>
      <c r="Y1073" s="1481"/>
      <c r="Z1073" s="1481"/>
      <c r="AA1073" s="1481"/>
      <c r="AB1073" s="1481"/>
      <c r="AC1073" s="1481"/>
      <c r="AD1073" s="1481"/>
      <c r="AE1073" s="1481"/>
      <c r="AF1073" s="1481"/>
      <c r="AG1073" s="1481"/>
    </row>
    <row r="1074" spans="1:33" ht="15.75" customHeight="1">
      <c r="A1074" s="1443"/>
      <c r="B1074" s="1468" t="s">
        <v>3497</v>
      </c>
      <c r="C1074" s="1445">
        <v>1</v>
      </c>
      <c r="D1074" s="1445" t="s">
        <v>3364</v>
      </c>
      <c r="E1074" s="1445">
        <v>1</v>
      </c>
      <c r="F1074" s="1446">
        <v>1.8</v>
      </c>
      <c r="G1074" s="1446">
        <v>0.23</v>
      </c>
      <c r="H1074" s="1446">
        <v>2</v>
      </c>
      <c r="I1074" s="1494">
        <f t="shared" si="59"/>
        <v>0.83</v>
      </c>
      <c r="J1074" s="1449"/>
      <c r="K1074" s="1439"/>
      <c r="L1074" s="1466"/>
      <c r="M1074" s="1466"/>
      <c r="N1074" s="1466"/>
      <c r="O1074" s="1439"/>
      <c r="P1074" s="1439"/>
      <c r="Q1074" s="1439"/>
      <c r="R1074" s="1439"/>
      <c r="S1074" s="1439"/>
      <c r="T1074" s="1439"/>
      <c r="U1074" s="1439"/>
      <c r="V1074" s="1439"/>
      <c r="W1074" s="1439"/>
      <c r="X1074" s="1439"/>
      <c r="Y1074" s="1439"/>
      <c r="Z1074" s="1439"/>
      <c r="AA1074" s="1439"/>
      <c r="AB1074" s="1439"/>
      <c r="AC1074" s="1439"/>
      <c r="AD1074" s="1439"/>
      <c r="AE1074" s="1439"/>
      <c r="AF1074" s="1439"/>
      <c r="AG1074" s="1439"/>
    </row>
    <row r="1075" spans="1:33" ht="15.75" customHeight="1">
      <c r="A1075" s="1443"/>
      <c r="B1075" s="1468" t="s">
        <v>3414</v>
      </c>
      <c r="C1075" s="1445">
        <v>5</v>
      </c>
      <c r="D1075" s="1445" t="s">
        <v>3364</v>
      </c>
      <c r="E1075" s="1445">
        <v>1</v>
      </c>
      <c r="F1075" s="1446">
        <v>1.8</v>
      </c>
      <c r="G1075" s="1446">
        <v>0.23</v>
      </c>
      <c r="H1075" s="1446">
        <v>1.35</v>
      </c>
      <c r="I1075" s="1494">
        <f t="shared" si="59"/>
        <v>2.79</v>
      </c>
      <c r="J1075" s="1449"/>
      <c r="K1075" s="1439"/>
      <c r="L1075" s="1466"/>
      <c r="M1075" s="1466"/>
      <c r="N1075" s="1466"/>
      <c r="O1075" s="1439"/>
      <c r="P1075" s="1439"/>
      <c r="Q1075" s="1439"/>
      <c r="R1075" s="1439"/>
      <c r="S1075" s="1439"/>
      <c r="T1075" s="1439"/>
      <c r="U1075" s="1439"/>
      <c r="V1075" s="1439"/>
      <c r="W1075" s="1439"/>
      <c r="X1075" s="1439"/>
      <c r="Y1075" s="1439"/>
      <c r="Z1075" s="1439"/>
      <c r="AA1075" s="1439"/>
      <c r="AB1075" s="1439"/>
      <c r="AC1075" s="1439"/>
      <c r="AD1075" s="1439"/>
      <c r="AE1075" s="1439"/>
      <c r="AF1075" s="1439"/>
      <c r="AG1075" s="1439"/>
    </row>
    <row r="1076" spans="1:33" ht="15.75" customHeight="1">
      <c r="A1076" s="1443"/>
      <c r="B1076" s="1468" t="s">
        <v>3400</v>
      </c>
      <c r="C1076" s="1445">
        <v>1</v>
      </c>
      <c r="D1076" s="1445" t="s">
        <v>3364</v>
      </c>
      <c r="E1076" s="1445">
        <v>1</v>
      </c>
      <c r="F1076" s="1446">
        <v>1.5</v>
      </c>
      <c r="G1076" s="1446">
        <v>0.23</v>
      </c>
      <c r="H1076" s="1446">
        <v>0.6</v>
      </c>
      <c r="I1076" s="1494">
        <f t="shared" si="59"/>
        <v>0.21</v>
      </c>
      <c r="J1076" s="1449"/>
      <c r="K1076" s="1439"/>
      <c r="L1076" s="1439"/>
      <c r="M1076" s="1439"/>
      <c r="N1076" s="1439"/>
      <c r="O1076" s="1439"/>
      <c r="P1076" s="1439"/>
      <c r="Q1076" s="1439"/>
      <c r="R1076" s="1439"/>
      <c r="S1076" s="1439"/>
      <c r="T1076" s="1439"/>
      <c r="U1076" s="1439"/>
      <c r="V1076" s="1439"/>
      <c r="W1076" s="1439"/>
      <c r="X1076" s="1439"/>
      <c r="Y1076" s="1439"/>
      <c r="Z1076" s="1439"/>
      <c r="AA1076" s="1439"/>
      <c r="AB1076" s="1439"/>
      <c r="AC1076" s="1439"/>
      <c r="AD1076" s="1439"/>
      <c r="AE1076" s="1439"/>
      <c r="AF1076" s="1439"/>
      <c r="AG1076" s="1439"/>
    </row>
    <row r="1077" spans="1:33" ht="15.75" customHeight="1">
      <c r="A1077" s="1494"/>
      <c r="B1077" s="1482" t="s">
        <v>7531</v>
      </c>
      <c r="C1077" s="1445"/>
      <c r="D1077" s="1447"/>
      <c r="E1077" s="1445"/>
      <c r="F1077" s="1446"/>
      <c r="G1077" s="1446"/>
      <c r="H1077" s="1447"/>
      <c r="I1077" s="1494">
        <f t="shared" si="59"/>
        <v>0</v>
      </c>
      <c r="J1077" s="1527"/>
      <c r="K1077" s="1481"/>
      <c r="L1077" s="1481"/>
      <c r="M1077" s="1481"/>
      <c r="N1077" s="1481"/>
      <c r="O1077" s="1481"/>
      <c r="P1077" s="1481"/>
      <c r="Q1077" s="1481"/>
      <c r="R1077" s="1481"/>
      <c r="S1077" s="1481"/>
      <c r="T1077" s="1481"/>
      <c r="U1077" s="1481"/>
      <c r="V1077" s="1481"/>
      <c r="W1077" s="1481"/>
      <c r="X1077" s="1481"/>
      <c r="Y1077" s="1481"/>
      <c r="Z1077" s="1481"/>
      <c r="AA1077" s="1481"/>
      <c r="AB1077" s="1481"/>
      <c r="AC1077" s="1481"/>
      <c r="AD1077" s="1481"/>
      <c r="AE1077" s="1481"/>
      <c r="AF1077" s="1481"/>
      <c r="AG1077" s="1481"/>
    </row>
    <row r="1078" spans="1:33" ht="15.75" customHeight="1">
      <c r="A1078" s="1494"/>
      <c r="B1078" s="1482" t="s">
        <v>7487</v>
      </c>
      <c r="C1078" s="1445">
        <v>1</v>
      </c>
      <c r="D1078" s="1447" t="s">
        <v>3364</v>
      </c>
      <c r="E1078" s="1445">
        <v>1</v>
      </c>
      <c r="F1078" s="1446">
        <v>4.57</v>
      </c>
      <c r="G1078" s="1446">
        <v>5.0350000000000001</v>
      </c>
      <c r="H1078" s="1447"/>
      <c r="I1078" s="1494">
        <f t="shared" si="59"/>
        <v>23.01</v>
      </c>
      <c r="J1078" s="1527"/>
      <c r="K1078" s="1481"/>
      <c r="L1078" s="1481"/>
      <c r="M1078" s="1481"/>
      <c r="N1078" s="1481"/>
      <c r="O1078" s="1481"/>
      <c r="P1078" s="1481"/>
      <c r="Q1078" s="1481"/>
      <c r="R1078" s="1481"/>
      <c r="S1078" s="1481"/>
      <c r="T1078" s="1481"/>
      <c r="U1078" s="1481"/>
      <c r="V1078" s="1481"/>
      <c r="W1078" s="1481"/>
      <c r="X1078" s="1481"/>
      <c r="Y1078" s="1481"/>
      <c r="Z1078" s="1481"/>
      <c r="AA1078" s="1481"/>
      <c r="AB1078" s="1481"/>
      <c r="AC1078" s="1481"/>
      <c r="AD1078" s="1481"/>
      <c r="AE1078" s="1481"/>
      <c r="AF1078" s="1481"/>
      <c r="AG1078" s="1481"/>
    </row>
    <row r="1079" spans="1:33" ht="15.75" customHeight="1">
      <c r="A1079" s="1494"/>
      <c r="B1079" s="1482" t="s">
        <v>7532</v>
      </c>
      <c r="C1079" s="1445">
        <v>1</v>
      </c>
      <c r="D1079" s="1447" t="s">
        <v>3364</v>
      </c>
      <c r="E1079" s="1445">
        <v>1</v>
      </c>
      <c r="F1079" s="1446">
        <v>9.3699999999999992</v>
      </c>
      <c r="G1079" s="1446">
        <v>5.0350000000000001</v>
      </c>
      <c r="H1079" s="1447"/>
      <c r="I1079" s="1494">
        <f t="shared" si="59"/>
        <v>47.18</v>
      </c>
      <c r="J1079" s="1527"/>
      <c r="K1079" s="1481"/>
      <c r="L1079" s="1481"/>
      <c r="M1079" s="1481"/>
      <c r="N1079" s="1481"/>
      <c r="O1079" s="1481"/>
      <c r="P1079" s="1481"/>
      <c r="Q1079" s="1481"/>
      <c r="R1079" s="1481"/>
      <c r="S1079" s="1481"/>
      <c r="T1079" s="1481"/>
      <c r="U1079" s="1481"/>
      <c r="V1079" s="1481"/>
      <c r="W1079" s="1481"/>
      <c r="X1079" s="1481"/>
      <c r="Y1079" s="1481"/>
      <c r="Z1079" s="1481"/>
      <c r="AA1079" s="1481"/>
      <c r="AB1079" s="1481"/>
      <c r="AC1079" s="1481"/>
      <c r="AD1079" s="1481"/>
      <c r="AE1079" s="1481"/>
      <c r="AF1079" s="1481"/>
      <c r="AG1079" s="1481"/>
    </row>
    <row r="1080" spans="1:33" ht="15.75" customHeight="1">
      <c r="A1080" s="1494"/>
      <c r="B1080" s="1482" t="s">
        <v>6737</v>
      </c>
      <c r="C1080" s="1445">
        <v>1</v>
      </c>
      <c r="D1080" s="1447" t="s">
        <v>3364</v>
      </c>
      <c r="E1080" s="1445">
        <v>1</v>
      </c>
      <c r="F1080" s="1446">
        <f>27.89-9-0.46</f>
        <v>18.43</v>
      </c>
      <c r="G1080" s="1446">
        <v>2</v>
      </c>
      <c r="H1080" s="1447"/>
      <c r="I1080" s="1494">
        <f t="shared" si="59"/>
        <v>36.86</v>
      </c>
      <c r="J1080" s="1527"/>
      <c r="K1080" s="1481"/>
      <c r="L1080" s="1481"/>
      <c r="M1080" s="1481"/>
      <c r="N1080" s="1481"/>
      <c r="O1080" s="1481"/>
      <c r="P1080" s="1481"/>
      <c r="Q1080" s="1481"/>
      <c r="R1080" s="1481"/>
      <c r="S1080" s="1481"/>
      <c r="T1080" s="1481"/>
      <c r="U1080" s="1481"/>
      <c r="V1080" s="1481"/>
      <c r="W1080" s="1481"/>
      <c r="X1080" s="1481"/>
      <c r="Y1080" s="1481"/>
      <c r="Z1080" s="1481"/>
      <c r="AA1080" s="1481"/>
      <c r="AB1080" s="1481"/>
      <c r="AC1080" s="1481"/>
      <c r="AD1080" s="1481"/>
      <c r="AE1080" s="1481"/>
      <c r="AF1080" s="1481"/>
      <c r="AG1080" s="1481"/>
    </row>
    <row r="1081" spans="1:33" ht="15.75" customHeight="1">
      <c r="A1081" s="1494"/>
      <c r="B1081" s="1482" t="s">
        <v>7533</v>
      </c>
      <c r="C1081" s="1445">
        <v>1</v>
      </c>
      <c r="D1081" s="1447" t="s">
        <v>3364</v>
      </c>
      <c r="E1081" s="1445">
        <v>2</v>
      </c>
      <c r="F1081" s="1446">
        <v>7.0549999999999997</v>
      </c>
      <c r="G1081" s="1446">
        <v>4.57</v>
      </c>
      <c r="H1081" s="1447"/>
      <c r="I1081" s="1494">
        <f t="shared" si="59"/>
        <v>64.48</v>
      </c>
      <c r="J1081" s="1527"/>
      <c r="K1081" s="1481"/>
      <c r="L1081" s="1481"/>
      <c r="M1081" s="1481"/>
      <c r="N1081" s="1481"/>
      <c r="O1081" s="1481"/>
      <c r="P1081" s="1481"/>
      <c r="Q1081" s="1481"/>
      <c r="R1081" s="1481"/>
      <c r="S1081" s="1481"/>
      <c r="T1081" s="1481"/>
      <c r="U1081" s="1481"/>
      <c r="V1081" s="1481"/>
      <c r="W1081" s="1481"/>
      <c r="X1081" s="1481"/>
      <c r="Y1081" s="1481"/>
      <c r="Z1081" s="1481"/>
      <c r="AA1081" s="1481"/>
      <c r="AB1081" s="1481"/>
      <c r="AC1081" s="1481"/>
      <c r="AD1081" s="1481"/>
      <c r="AE1081" s="1481"/>
      <c r="AF1081" s="1481"/>
      <c r="AG1081" s="1481"/>
    </row>
    <row r="1082" spans="1:33" ht="15.75" customHeight="1">
      <c r="A1082" s="1494"/>
      <c r="B1082" s="1480" t="s">
        <v>7159</v>
      </c>
      <c r="C1082" s="1445">
        <v>1</v>
      </c>
      <c r="D1082" s="1447" t="s">
        <v>3364</v>
      </c>
      <c r="E1082" s="1445">
        <v>1</v>
      </c>
      <c r="F1082" s="1446">
        <v>7.5549999999999997</v>
      </c>
      <c r="G1082" s="1446">
        <v>5.82</v>
      </c>
      <c r="H1082" s="1447"/>
      <c r="I1082" s="1494">
        <f t="shared" si="59"/>
        <v>43.97</v>
      </c>
      <c r="J1082" s="1527"/>
      <c r="K1082" s="1481"/>
      <c r="L1082" s="1481"/>
      <c r="M1082" s="1481"/>
      <c r="N1082" s="1481"/>
      <c r="O1082" s="1481"/>
      <c r="P1082" s="1481"/>
      <c r="Q1082" s="1481"/>
      <c r="R1082" s="1481"/>
      <c r="S1082" s="1481"/>
      <c r="T1082" s="1481"/>
      <c r="U1082" s="1481"/>
      <c r="V1082" s="1481"/>
      <c r="W1082" s="1481"/>
      <c r="X1082" s="1481"/>
      <c r="Y1082" s="1481"/>
      <c r="Z1082" s="1481"/>
      <c r="AA1082" s="1481"/>
      <c r="AB1082" s="1481"/>
      <c r="AC1082" s="1481"/>
      <c r="AD1082" s="1481"/>
      <c r="AE1082" s="1481"/>
      <c r="AF1082" s="1481"/>
      <c r="AG1082" s="1481"/>
    </row>
    <row r="1083" spans="1:33" ht="15.75" customHeight="1">
      <c r="A1083" s="1494"/>
      <c r="B1083" s="1482" t="s">
        <v>7480</v>
      </c>
      <c r="C1083" s="1445">
        <v>1</v>
      </c>
      <c r="D1083" s="1447" t="s">
        <v>3364</v>
      </c>
      <c r="E1083" s="1445">
        <v>1</v>
      </c>
      <c r="F1083" s="1446">
        <v>3.43</v>
      </c>
      <c r="G1083" s="1446">
        <v>3</v>
      </c>
      <c r="H1083" s="1447"/>
      <c r="I1083" s="1494">
        <f t="shared" si="59"/>
        <v>10.29</v>
      </c>
      <c r="J1083" s="1527"/>
      <c r="K1083" s="1481"/>
      <c r="L1083" s="1481"/>
      <c r="M1083" s="1481"/>
      <c r="N1083" s="1481"/>
      <c r="O1083" s="1481"/>
      <c r="P1083" s="1481"/>
      <c r="Q1083" s="1481"/>
      <c r="R1083" s="1481"/>
      <c r="S1083" s="1481"/>
      <c r="T1083" s="1481"/>
      <c r="U1083" s="1481"/>
      <c r="V1083" s="1481"/>
      <c r="W1083" s="1481"/>
      <c r="X1083" s="1481"/>
      <c r="Y1083" s="1481"/>
      <c r="Z1083" s="1481"/>
      <c r="AA1083" s="1481"/>
      <c r="AB1083" s="1481"/>
      <c r="AC1083" s="1481"/>
      <c r="AD1083" s="1481"/>
      <c r="AE1083" s="1481"/>
      <c r="AF1083" s="1481"/>
      <c r="AG1083" s="1481"/>
    </row>
    <row r="1084" spans="1:33" ht="15.75" customHeight="1">
      <c r="A1084" s="1494"/>
      <c r="B1084" s="1482" t="s">
        <v>7534</v>
      </c>
      <c r="C1084" s="1445">
        <v>1</v>
      </c>
      <c r="D1084" s="1467" t="s">
        <v>3364</v>
      </c>
      <c r="E1084" s="1445">
        <v>3</v>
      </c>
      <c r="F1084" s="1446">
        <f>1.2</f>
        <v>1.2</v>
      </c>
      <c r="G1084" s="1446">
        <v>1.5</v>
      </c>
      <c r="H1084" s="1447"/>
      <c r="I1084" s="1494">
        <f t="shared" si="59"/>
        <v>5.4</v>
      </c>
      <c r="J1084" s="1527"/>
      <c r="K1084" s="1481"/>
      <c r="L1084" s="1481"/>
      <c r="M1084" s="1481"/>
      <c r="N1084" s="1481"/>
      <c r="O1084" s="1481"/>
      <c r="P1084" s="1481"/>
      <c r="Q1084" s="1481"/>
      <c r="R1084" s="1481"/>
      <c r="S1084" s="1481"/>
      <c r="T1084" s="1481"/>
      <c r="U1084" s="1481"/>
      <c r="V1084" s="1481"/>
      <c r="W1084" s="1481"/>
      <c r="X1084" s="1481"/>
      <c r="Y1084" s="1481"/>
      <c r="Z1084" s="1481"/>
      <c r="AA1084" s="1481"/>
      <c r="AB1084" s="1481"/>
      <c r="AC1084" s="1481"/>
      <c r="AD1084" s="1481"/>
      <c r="AE1084" s="1481"/>
      <c r="AF1084" s="1481"/>
      <c r="AG1084" s="1481"/>
    </row>
    <row r="1085" spans="1:33" ht="15.75" customHeight="1">
      <c r="A1085" s="1494"/>
      <c r="B1085" s="1482" t="s">
        <v>6727</v>
      </c>
      <c r="C1085" s="1445">
        <v>1</v>
      </c>
      <c r="D1085" s="1467" t="s">
        <v>3364</v>
      </c>
      <c r="E1085" s="1445">
        <v>3</v>
      </c>
      <c r="F1085" s="1446">
        <v>1.79</v>
      </c>
      <c r="G1085" s="1446">
        <v>1.86</v>
      </c>
      <c r="H1085" s="1447"/>
      <c r="I1085" s="1494">
        <f t="shared" si="59"/>
        <v>9.99</v>
      </c>
      <c r="J1085" s="1527"/>
      <c r="K1085" s="1481"/>
      <c r="L1085" s="1481"/>
      <c r="M1085" s="1481"/>
      <c r="N1085" s="1481"/>
      <c r="O1085" s="1481"/>
      <c r="P1085" s="1481"/>
      <c r="Q1085" s="1481"/>
      <c r="R1085" s="1481"/>
      <c r="S1085" s="1481"/>
      <c r="T1085" s="1481"/>
      <c r="U1085" s="1481"/>
      <c r="V1085" s="1481"/>
      <c r="W1085" s="1481"/>
      <c r="X1085" s="1481"/>
      <c r="Y1085" s="1481"/>
      <c r="Z1085" s="1481"/>
      <c r="AA1085" s="1481"/>
      <c r="AB1085" s="1481"/>
      <c r="AC1085" s="1481"/>
      <c r="AD1085" s="1481"/>
      <c r="AE1085" s="1481"/>
      <c r="AF1085" s="1481"/>
      <c r="AG1085" s="1481"/>
    </row>
    <row r="1086" spans="1:33" ht="15.75" customHeight="1">
      <c r="A1086" s="1494"/>
      <c r="B1086" s="1485" t="s">
        <v>7158</v>
      </c>
      <c r="C1086" s="1445"/>
      <c r="D1086" s="1447"/>
      <c r="E1086" s="1445"/>
      <c r="F1086" s="1446"/>
      <c r="G1086" s="1446"/>
      <c r="H1086" s="1447"/>
      <c r="I1086" s="1494"/>
      <c r="J1086" s="1527"/>
      <c r="K1086" s="1481"/>
      <c r="L1086" s="1481"/>
      <c r="M1086" s="1481"/>
      <c r="N1086" s="1481"/>
      <c r="O1086" s="1481"/>
      <c r="P1086" s="1481"/>
      <c r="Q1086" s="1481"/>
      <c r="R1086" s="1481"/>
      <c r="S1086" s="1481"/>
      <c r="T1086" s="1481"/>
      <c r="U1086" s="1481"/>
      <c r="V1086" s="1481"/>
      <c r="W1086" s="1481"/>
      <c r="X1086" s="1481"/>
      <c r="Y1086" s="1481"/>
      <c r="Z1086" s="1481"/>
      <c r="AA1086" s="1481"/>
      <c r="AB1086" s="1481"/>
      <c r="AC1086" s="1481"/>
      <c r="AD1086" s="1481"/>
      <c r="AE1086" s="1481"/>
      <c r="AF1086" s="1481"/>
      <c r="AG1086" s="1481"/>
    </row>
    <row r="1087" spans="1:33" ht="15.75" customHeight="1">
      <c r="A1087" s="1448"/>
      <c r="B1087" s="1480" t="s">
        <v>3497</v>
      </c>
      <c r="C1087" s="1445">
        <v>1</v>
      </c>
      <c r="D1087" s="1467" t="s">
        <v>3364</v>
      </c>
      <c r="E1087" s="1445">
        <v>1</v>
      </c>
      <c r="F1087" s="1446">
        <v>1.8</v>
      </c>
      <c r="G1087" s="1446">
        <v>0.23</v>
      </c>
      <c r="H1087" s="1447">
        <v>2</v>
      </c>
      <c r="I1087" s="1494">
        <f t="shared" si="59"/>
        <v>0.83</v>
      </c>
      <c r="J1087" s="1449"/>
      <c r="K1087" s="1481"/>
      <c r="L1087" s="1481"/>
      <c r="M1087" s="1481"/>
      <c r="N1087" s="1481"/>
      <c r="O1087" s="1481"/>
      <c r="P1087" s="1481"/>
      <c r="Q1087" s="1481"/>
      <c r="R1087" s="1481"/>
      <c r="S1087" s="1481"/>
      <c r="T1087" s="1481"/>
      <c r="U1087" s="1481"/>
      <c r="V1087" s="1481"/>
      <c r="W1087" s="1481"/>
      <c r="X1087" s="1481"/>
      <c r="Y1087" s="1481"/>
      <c r="Z1087" s="1481"/>
      <c r="AA1087" s="1481"/>
      <c r="AB1087" s="1481"/>
      <c r="AC1087" s="1481"/>
      <c r="AD1087" s="1481"/>
      <c r="AE1087" s="1481"/>
      <c r="AF1087" s="1481"/>
      <c r="AG1087" s="1481"/>
    </row>
    <row r="1088" spans="1:33" ht="15.75" customHeight="1">
      <c r="A1088" s="1448"/>
      <c r="B1088" s="1480" t="s">
        <v>3414</v>
      </c>
      <c r="C1088" s="1445">
        <v>8</v>
      </c>
      <c r="D1088" s="1467" t="s">
        <v>3364</v>
      </c>
      <c r="E1088" s="1445">
        <v>1</v>
      </c>
      <c r="F1088" s="1446">
        <v>1.8</v>
      </c>
      <c r="G1088" s="1446">
        <v>0.23</v>
      </c>
      <c r="H1088" s="1447">
        <v>1.35</v>
      </c>
      <c r="I1088" s="1494">
        <f t="shared" si="59"/>
        <v>4.47</v>
      </c>
      <c r="J1088" s="1449"/>
      <c r="K1088" s="1481"/>
      <c r="L1088" s="1481"/>
      <c r="M1088" s="1481"/>
      <c r="N1088" s="1481"/>
      <c r="O1088" s="1481"/>
      <c r="P1088" s="1481"/>
      <c r="Q1088" s="1481"/>
      <c r="R1088" s="1481"/>
      <c r="S1088" s="1481"/>
      <c r="T1088" s="1481"/>
      <c r="U1088" s="1481"/>
      <c r="V1088" s="1481"/>
      <c r="W1088" s="1481"/>
      <c r="X1088" s="1481"/>
      <c r="Y1088" s="1481"/>
      <c r="Z1088" s="1481"/>
      <c r="AA1088" s="1481"/>
      <c r="AB1088" s="1481"/>
      <c r="AC1088" s="1481"/>
      <c r="AD1088" s="1481"/>
      <c r="AE1088" s="1481"/>
      <c r="AF1088" s="1481"/>
      <c r="AG1088" s="1481"/>
    </row>
    <row r="1089" spans="1:33" ht="15.75" customHeight="1">
      <c r="A1089" s="1448"/>
      <c r="B1089" s="1480" t="s">
        <v>3401</v>
      </c>
      <c r="C1089" s="1445">
        <v>7</v>
      </c>
      <c r="D1089" s="1467" t="s">
        <v>3364</v>
      </c>
      <c r="E1089" s="1445">
        <v>1</v>
      </c>
      <c r="F1089" s="1446">
        <v>0.75</v>
      </c>
      <c r="G1089" s="1446">
        <v>0.23</v>
      </c>
      <c r="H1089" s="1447">
        <v>0.6</v>
      </c>
      <c r="I1089" s="1494">
        <f t="shared" si="59"/>
        <v>0.72</v>
      </c>
      <c r="J1089" s="1449"/>
      <c r="K1089" s="1481"/>
      <c r="L1089" s="1481"/>
      <c r="M1089" s="1481"/>
      <c r="N1089" s="1481"/>
      <c r="O1089" s="1481"/>
      <c r="P1089" s="1481"/>
      <c r="Q1089" s="1481"/>
      <c r="R1089" s="1481"/>
      <c r="S1089" s="1481"/>
      <c r="T1089" s="1481"/>
      <c r="U1089" s="1481"/>
      <c r="V1089" s="1481"/>
      <c r="W1089" s="1481"/>
      <c r="X1089" s="1481"/>
      <c r="Y1089" s="1481"/>
      <c r="Z1089" s="1481"/>
      <c r="AA1089" s="1481"/>
      <c r="AB1089" s="1481"/>
      <c r="AC1089" s="1481"/>
      <c r="AD1089" s="1481"/>
      <c r="AE1089" s="1481"/>
      <c r="AF1089" s="1481"/>
      <c r="AG1089" s="1481"/>
    </row>
    <row r="1090" spans="1:33" ht="15.75" customHeight="1">
      <c r="A1090" s="1448"/>
      <c r="B1090" s="1480" t="s">
        <v>7413</v>
      </c>
      <c r="C1090" s="1445">
        <v>1</v>
      </c>
      <c r="D1090" s="1467" t="s">
        <v>3364</v>
      </c>
      <c r="E1090" s="1445">
        <v>1</v>
      </c>
      <c r="F1090" s="1446">
        <v>0.9</v>
      </c>
      <c r="G1090" s="1446">
        <v>0.23</v>
      </c>
      <c r="H1090" s="1447">
        <v>2</v>
      </c>
      <c r="I1090" s="1494">
        <f t="shared" si="59"/>
        <v>0.41</v>
      </c>
      <c r="J1090" s="1449"/>
      <c r="K1090" s="1481"/>
      <c r="L1090" s="1481"/>
      <c r="M1090" s="1481"/>
      <c r="N1090" s="1481"/>
      <c r="O1090" s="1481"/>
      <c r="P1090" s="1481"/>
      <c r="Q1090" s="1481"/>
      <c r="R1090" s="1481"/>
      <c r="S1090" s="1481"/>
      <c r="T1090" s="1481"/>
      <c r="U1090" s="1481"/>
      <c r="V1090" s="1481"/>
      <c r="W1090" s="1481"/>
      <c r="X1090" s="1481"/>
      <c r="Y1090" s="1481"/>
      <c r="Z1090" s="1481"/>
      <c r="AA1090" s="1481"/>
      <c r="AB1090" s="1481"/>
      <c r="AC1090" s="1481"/>
      <c r="AD1090" s="1481"/>
      <c r="AE1090" s="1481"/>
      <c r="AF1090" s="1481"/>
      <c r="AG1090" s="1481"/>
    </row>
    <row r="1091" spans="1:33" ht="15.75" customHeight="1">
      <c r="A1091" s="1494"/>
      <c r="B1091" s="1483" t="s">
        <v>7166</v>
      </c>
      <c r="C1091" s="1445"/>
      <c r="D1091" s="1447"/>
      <c r="E1091" s="1445"/>
      <c r="F1091" s="1446"/>
      <c r="G1091" s="1446"/>
      <c r="H1091" s="1447"/>
      <c r="I1091" s="1494">
        <f t="shared" si="59"/>
        <v>0</v>
      </c>
      <c r="J1091" s="1527"/>
      <c r="K1091" s="1481"/>
      <c r="L1091" s="1481"/>
      <c r="M1091" s="1481"/>
      <c r="N1091" s="1481"/>
      <c r="O1091" s="1481"/>
      <c r="P1091" s="1481"/>
      <c r="Q1091" s="1481"/>
      <c r="R1091" s="1481"/>
      <c r="S1091" s="1481"/>
      <c r="T1091" s="1481"/>
      <c r="U1091" s="1481"/>
      <c r="V1091" s="1481"/>
      <c r="W1091" s="1481"/>
      <c r="X1091" s="1481"/>
      <c r="Y1091" s="1481"/>
      <c r="Z1091" s="1481"/>
      <c r="AA1091" s="1481"/>
      <c r="AB1091" s="1481"/>
      <c r="AC1091" s="1481"/>
      <c r="AD1091" s="1481"/>
      <c r="AE1091" s="1481"/>
      <c r="AF1091" s="1481"/>
      <c r="AG1091" s="1481"/>
    </row>
    <row r="1092" spans="1:33" ht="15.75" customHeight="1">
      <c r="A1092" s="1494"/>
      <c r="B1092" s="1482" t="s">
        <v>7437</v>
      </c>
      <c r="C1092" s="1445">
        <v>1</v>
      </c>
      <c r="D1092" s="1447" t="s">
        <v>3364</v>
      </c>
      <c r="E1092" s="1445">
        <v>1</v>
      </c>
      <c r="F1092" s="1446">
        <v>5.8849999999999998</v>
      </c>
      <c r="G1092" s="1446">
        <v>5.0350000000000001</v>
      </c>
      <c r="H1092" s="1447"/>
      <c r="I1092" s="1494">
        <f t="shared" si="59"/>
        <v>29.63</v>
      </c>
      <c r="J1092" s="1527"/>
      <c r="K1092" s="1481"/>
      <c r="L1092" s="1481"/>
      <c r="M1092" s="1481"/>
      <c r="N1092" s="1481"/>
      <c r="O1092" s="1481"/>
      <c r="P1092" s="1481"/>
      <c r="Q1092" s="1481"/>
      <c r="R1092" s="1481"/>
      <c r="S1092" s="1481"/>
      <c r="T1092" s="1481"/>
      <c r="U1092" s="1481"/>
      <c r="V1092" s="1481"/>
      <c r="W1092" s="1481"/>
      <c r="X1092" s="1481"/>
      <c r="Y1092" s="1481"/>
      <c r="Z1092" s="1481"/>
      <c r="AA1092" s="1481"/>
      <c r="AB1092" s="1481"/>
      <c r="AC1092" s="1481"/>
      <c r="AD1092" s="1481"/>
      <c r="AE1092" s="1481"/>
      <c r="AF1092" s="1481"/>
      <c r="AG1092" s="1481"/>
    </row>
    <row r="1093" spans="1:33" ht="15.75" customHeight="1">
      <c r="A1093" s="1494"/>
      <c r="B1093" s="1482" t="s">
        <v>7490</v>
      </c>
      <c r="C1093" s="1445">
        <v>1</v>
      </c>
      <c r="D1093" s="1447" t="s">
        <v>3364</v>
      </c>
      <c r="E1093" s="1445">
        <v>1</v>
      </c>
      <c r="F1093" s="1446">
        <v>6.88</v>
      </c>
      <c r="G1093" s="1446">
        <v>5.0350000000000001</v>
      </c>
      <c r="H1093" s="1447"/>
      <c r="I1093" s="1494">
        <f t="shared" si="59"/>
        <v>34.64</v>
      </c>
      <c r="J1093" s="1527"/>
      <c r="K1093" s="1481"/>
      <c r="L1093" s="1481"/>
      <c r="M1093" s="1481"/>
      <c r="N1093" s="1481"/>
      <c r="O1093" s="1481"/>
      <c r="P1093" s="1481"/>
      <c r="Q1093" s="1481"/>
      <c r="R1093" s="1481"/>
      <c r="S1093" s="1481"/>
      <c r="T1093" s="1481"/>
      <c r="U1093" s="1481"/>
      <c r="V1093" s="1481"/>
      <c r="W1093" s="1481"/>
      <c r="X1093" s="1481"/>
      <c r="Y1093" s="1481"/>
      <c r="Z1093" s="1481"/>
      <c r="AA1093" s="1481"/>
      <c r="AB1093" s="1481"/>
      <c r="AC1093" s="1481"/>
      <c r="AD1093" s="1481"/>
      <c r="AE1093" s="1481"/>
      <c r="AF1093" s="1481"/>
      <c r="AG1093" s="1481"/>
    </row>
    <row r="1094" spans="1:33" ht="15.75" customHeight="1">
      <c r="A1094" s="1494"/>
      <c r="B1094" s="1480" t="s">
        <v>7163</v>
      </c>
      <c r="C1094" s="1445">
        <v>1</v>
      </c>
      <c r="D1094" s="1447" t="s">
        <v>3364</v>
      </c>
      <c r="E1094" s="1445">
        <v>1</v>
      </c>
      <c r="F1094" s="1446">
        <v>8.17</v>
      </c>
      <c r="G1094" s="1446">
        <v>5.0350000000000001</v>
      </c>
      <c r="H1094" s="1447"/>
      <c r="I1094" s="1494">
        <f t="shared" si="59"/>
        <v>41.14</v>
      </c>
      <c r="J1094" s="1527"/>
      <c r="K1094" s="1481"/>
      <c r="L1094" s="1481"/>
      <c r="M1094" s="1481"/>
      <c r="N1094" s="1481"/>
      <c r="O1094" s="1481"/>
      <c r="P1094" s="1481"/>
      <c r="Q1094" s="1481"/>
      <c r="R1094" s="1481"/>
      <c r="S1094" s="1481"/>
      <c r="T1094" s="1481"/>
      <c r="U1094" s="1481"/>
      <c r="V1094" s="1481"/>
      <c r="W1094" s="1481"/>
      <c r="X1094" s="1481"/>
      <c r="Y1094" s="1481"/>
      <c r="Z1094" s="1481"/>
      <c r="AA1094" s="1481"/>
      <c r="AB1094" s="1481"/>
      <c r="AC1094" s="1481"/>
      <c r="AD1094" s="1481"/>
      <c r="AE1094" s="1481"/>
      <c r="AF1094" s="1481"/>
      <c r="AG1094" s="1481"/>
    </row>
    <row r="1095" spans="1:33" ht="15.75" customHeight="1">
      <c r="A1095" s="1494"/>
      <c r="B1095" s="1482" t="s">
        <v>7535</v>
      </c>
      <c r="C1095" s="1445">
        <v>1</v>
      </c>
      <c r="D1095" s="1447" t="s">
        <v>3364</v>
      </c>
      <c r="E1095" s="1445">
        <v>3</v>
      </c>
      <c r="F1095" s="1446">
        <v>7.0549999999999997</v>
      </c>
      <c r="G1095" s="1446">
        <v>4.57</v>
      </c>
      <c r="H1095" s="1447"/>
      <c r="I1095" s="1494">
        <f t="shared" si="59"/>
        <v>96.72</v>
      </c>
      <c r="J1095" s="1527"/>
      <c r="K1095" s="1481"/>
      <c r="L1095" s="1481"/>
      <c r="M1095" s="1481"/>
      <c r="N1095" s="1481"/>
      <c r="O1095" s="1481"/>
      <c r="P1095" s="1481"/>
      <c r="Q1095" s="1481"/>
      <c r="R1095" s="1481"/>
      <c r="S1095" s="1481"/>
      <c r="T1095" s="1481"/>
      <c r="U1095" s="1481"/>
      <c r="V1095" s="1481"/>
      <c r="W1095" s="1481"/>
      <c r="X1095" s="1481"/>
      <c r="Y1095" s="1481"/>
      <c r="Z1095" s="1481"/>
      <c r="AA1095" s="1481"/>
      <c r="AB1095" s="1481"/>
      <c r="AC1095" s="1481"/>
      <c r="AD1095" s="1481"/>
      <c r="AE1095" s="1481"/>
      <c r="AF1095" s="1481"/>
      <c r="AG1095" s="1481"/>
    </row>
    <row r="1096" spans="1:33" ht="15.75" customHeight="1">
      <c r="A1096" s="1494"/>
      <c r="B1096" s="1482" t="s">
        <v>7536</v>
      </c>
      <c r="C1096" s="1445">
        <v>1</v>
      </c>
      <c r="D1096" s="1447" t="s">
        <v>3364</v>
      </c>
      <c r="E1096" s="1445">
        <v>1</v>
      </c>
      <c r="F1096" s="1446">
        <v>8.4849999999999994</v>
      </c>
      <c r="G1096" s="1446">
        <v>7.0549999999999997</v>
      </c>
      <c r="H1096" s="1447"/>
      <c r="I1096" s="1494">
        <f t="shared" si="59"/>
        <v>59.86</v>
      </c>
      <c r="J1096" s="1527"/>
      <c r="K1096" s="1481"/>
      <c r="L1096" s="1481"/>
      <c r="M1096" s="1481"/>
      <c r="N1096" s="1481"/>
      <c r="O1096" s="1481"/>
      <c r="P1096" s="1481"/>
      <c r="Q1096" s="1481"/>
      <c r="R1096" s="1481"/>
      <c r="S1096" s="1481"/>
      <c r="T1096" s="1481"/>
      <c r="U1096" s="1481"/>
      <c r="V1096" s="1481"/>
      <c r="W1096" s="1481"/>
      <c r="X1096" s="1481"/>
      <c r="Y1096" s="1481"/>
      <c r="Z1096" s="1481"/>
      <c r="AA1096" s="1481"/>
      <c r="AB1096" s="1481"/>
      <c r="AC1096" s="1481"/>
      <c r="AD1096" s="1481"/>
      <c r="AE1096" s="1481"/>
      <c r="AF1096" s="1481"/>
      <c r="AG1096" s="1481"/>
    </row>
    <row r="1097" spans="1:33" ht="15.75" customHeight="1">
      <c r="A1097" s="1494"/>
      <c r="B1097" s="1482" t="s">
        <v>6727</v>
      </c>
      <c r="C1097" s="1445">
        <v>1</v>
      </c>
      <c r="D1097" s="1447" t="s">
        <v>3364</v>
      </c>
      <c r="E1097" s="1445">
        <v>6</v>
      </c>
      <c r="F1097" s="1446">
        <v>1.89</v>
      </c>
      <c r="G1097" s="1446">
        <v>1.76</v>
      </c>
      <c r="H1097" s="1447"/>
      <c r="I1097" s="1494">
        <f t="shared" si="59"/>
        <v>19.96</v>
      </c>
      <c r="J1097" s="1527"/>
      <c r="K1097" s="1481"/>
      <c r="L1097" s="1481"/>
      <c r="M1097" s="1481"/>
      <c r="N1097" s="1481"/>
      <c r="O1097" s="1481"/>
      <c r="P1097" s="1481"/>
      <c r="Q1097" s="1481"/>
      <c r="R1097" s="1481"/>
      <c r="S1097" s="1481"/>
      <c r="T1097" s="1481"/>
      <c r="U1097" s="1481"/>
      <c r="V1097" s="1481"/>
      <c r="W1097" s="1481"/>
      <c r="X1097" s="1481"/>
      <c r="Y1097" s="1481"/>
      <c r="Z1097" s="1481"/>
      <c r="AA1097" s="1481"/>
      <c r="AB1097" s="1481"/>
      <c r="AC1097" s="1481"/>
      <c r="AD1097" s="1481"/>
      <c r="AE1097" s="1481"/>
      <c r="AF1097" s="1481"/>
      <c r="AG1097" s="1481"/>
    </row>
    <row r="1098" spans="1:33" ht="15.75" customHeight="1">
      <c r="A1098" s="1494"/>
      <c r="B1098" s="1482" t="s">
        <v>6727</v>
      </c>
      <c r="C1098" s="1445">
        <v>1</v>
      </c>
      <c r="D1098" s="1447" t="s">
        <v>3364</v>
      </c>
      <c r="E1098" s="1445">
        <v>1</v>
      </c>
      <c r="F1098" s="1446">
        <v>3.43</v>
      </c>
      <c r="G1098" s="1446">
        <v>4.96</v>
      </c>
      <c r="H1098" s="1447"/>
      <c r="I1098" s="1494">
        <f t="shared" si="59"/>
        <v>17.010000000000002</v>
      </c>
      <c r="J1098" s="1527"/>
      <c r="K1098" s="1481"/>
      <c r="L1098" s="1481"/>
      <c r="M1098" s="1481"/>
      <c r="N1098" s="1481"/>
      <c r="O1098" s="1481"/>
      <c r="P1098" s="1481"/>
      <c r="Q1098" s="1481"/>
      <c r="R1098" s="1481"/>
      <c r="S1098" s="1481"/>
      <c r="T1098" s="1481"/>
      <c r="U1098" s="1481"/>
      <c r="V1098" s="1481"/>
      <c r="W1098" s="1481"/>
      <c r="X1098" s="1481"/>
      <c r="Y1098" s="1481"/>
      <c r="Z1098" s="1481"/>
      <c r="AA1098" s="1481"/>
      <c r="AB1098" s="1481"/>
      <c r="AC1098" s="1481"/>
      <c r="AD1098" s="1481"/>
      <c r="AE1098" s="1481"/>
      <c r="AF1098" s="1481"/>
      <c r="AG1098" s="1481"/>
    </row>
    <row r="1099" spans="1:33" ht="15.75" customHeight="1">
      <c r="A1099" s="1494"/>
      <c r="B1099" s="1482" t="s">
        <v>6737</v>
      </c>
      <c r="C1099" s="1445">
        <v>1</v>
      </c>
      <c r="D1099" s="1447" t="s">
        <v>3364</v>
      </c>
      <c r="E1099" s="1445">
        <v>1</v>
      </c>
      <c r="F1099" s="1446">
        <f>27.89-9-0.46</f>
        <v>18.43</v>
      </c>
      <c r="G1099" s="1446">
        <v>2</v>
      </c>
      <c r="H1099" s="1447"/>
      <c r="I1099" s="1494">
        <f t="shared" si="59"/>
        <v>36.86</v>
      </c>
      <c r="J1099" s="1527"/>
      <c r="K1099" s="1481"/>
      <c r="L1099" s="1481"/>
      <c r="M1099" s="1481"/>
      <c r="N1099" s="1481"/>
      <c r="O1099" s="1481"/>
      <c r="P1099" s="1481"/>
      <c r="Q1099" s="1481"/>
      <c r="R1099" s="1481"/>
      <c r="S1099" s="1481"/>
      <c r="T1099" s="1481"/>
      <c r="U1099" s="1481"/>
      <c r="V1099" s="1481"/>
      <c r="W1099" s="1481"/>
      <c r="X1099" s="1481"/>
      <c r="Y1099" s="1481"/>
      <c r="Z1099" s="1481"/>
      <c r="AA1099" s="1481"/>
      <c r="AB1099" s="1481"/>
      <c r="AC1099" s="1481"/>
      <c r="AD1099" s="1481"/>
      <c r="AE1099" s="1481"/>
      <c r="AF1099" s="1481"/>
      <c r="AG1099" s="1481"/>
    </row>
    <row r="1100" spans="1:33" ht="15.75" customHeight="1">
      <c r="A1100" s="1494"/>
      <c r="B1100" s="1480" t="s">
        <v>7165</v>
      </c>
      <c r="C1100" s="1445">
        <v>1</v>
      </c>
      <c r="D1100" s="1447" t="s">
        <v>3364</v>
      </c>
      <c r="E1100" s="1445">
        <v>1</v>
      </c>
      <c r="F1100" s="1446">
        <v>2.76</v>
      </c>
      <c r="G1100" s="1446">
        <v>0.9</v>
      </c>
      <c r="H1100" s="1447"/>
      <c r="I1100" s="1494">
        <f t="shared" si="59"/>
        <v>2.48</v>
      </c>
      <c r="J1100" s="1527"/>
      <c r="K1100" s="1481"/>
      <c r="L1100" s="1481"/>
      <c r="M1100" s="1481"/>
      <c r="N1100" s="1481"/>
      <c r="O1100" s="1481"/>
      <c r="P1100" s="1481"/>
      <c r="Q1100" s="1481"/>
      <c r="R1100" s="1481"/>
      <c r="S1100" s="1481"/>
      <c r="T1100" s="1481"/>
      <c r="U1100" s="1481"/>
      <c r="V1100" s="1481"/>
      <c r="W1100" s="1481"/>
      <c r="X1100" s="1481"/>
      <c r="Y1100" s="1481"/>
      <c r="Z1100" s="1481"/>
      <c r="AA1100" s="1481"/>
      <c r="AB1100" s="1481"/>
      <c r="AC1100" s="1481"/>
      <c r="AD1100" s="1481"/>
      <c r="AE1100" s="1481"/>
      <c r="AF1100" s="1481"/>
      <c r="AG1100" s="1481"/>
    </row>
    <row r="1101" spans="1:33" ht="15.75" customHeight="1">
      <c r="A1101" s="1494"/>
      <c r="B1101" s="1485" t="s">
        <v>7158</v>
      </c>
      <c r="C1101" s="1445"/>
      <c r="D1101" s="1447"/>
      <c r="E1101" s="1445"/>
      <c r="F1101" s="1446"/>
      <c r="G1101" s="1446"/>
      <c r="H1101" s="1447"/>
      <c r="I1101" s="1494">
        <f t="shared" si="59"/>
        <v>0</v>
      </c>
      <c r="J1101" s="1527"/>
      <c r="K1101" s="1481"/>
      <c r="L1101" s="1481"/>
      <c r="M1101" s="1481"/>
      <c r="N1101" s="1481"/>
      <c r="O1101" s="1481"/>
      <c r="P1101" s="1481"/>
      <c r="Q1101" s="1481"/>
      <c r="R1101" s="1481"/>
      <c r="S1101" s="1481"/>
      <c r="T1101" s="1481"/>
      <c r="U1101" s="1481"/>
      <c r="V1101" s="1481"/>
      <c r="W1101" s="1481"/>
      <c r="X1101" s="1481"/>
      <c r="Y1101" s="1481"/>
      <c r="Z1101" s="1481"/>
      <c r="AA1101" s="1481"/>
      <c r="AB1101" s="1481"/>
      <c r="AC1101" s="1481"/>
      <c r="AD1101" s="1481"/>
      <c r="AE1101" s="1481"/>
      <c r="AF1101" s="1481"/>
      <c r="AG1101" s="1481"/>
    </row>
    <row r="1102" spans="1:33" ht="15.75" customHeight="1">
      <c r="A1102" s="1443"/>
      <c r="B1102" s="1452" t="s">
        <v>3497</v>
      </c>
      <c r="C1102" s="1445">
        <v>1</v>
      </c>
      <c r="D1102" s="1453" t="s">
        <v>3364</v>
      </c>
      <c r="E1102" s="1445">
        <v>1</v>
      </c>
      <c r="F1102" s="1446">
        <v>1.8</v>
      </c>
      <c r="G1102" s="1446"/>
      <c r="H1102" s="1447">
        <v>2</v>
      </c>
      <c r="I1102" s="1494">
        <f t="shared" si="59"/>
        <v>3.6</v>
      </c>
      <c r="J1102" s="1449"/>
      <c r="K1102" s="1439"/>
      <c r="L1102" s="1439"/>
      <c r="M1102" s="1439"/>
      <c r="N1102" s="1439"/>
      <c r="O1102" s="1439"/>
      <c r="P1102" s="1439"/>
      <c r="Q1102" s="1439"/>
      <c r="R1102" s="1439"/>
      <c r="S1102" s="1439"/>
      <c r="T1102" s="1439"/>
      <c r="U1102" s="1439"/>
      <c r="V1102" s="1439"/>
      <c r="W1102" s="1439"/>
      <c r="X1102" s="1439"/>
      <c r="Y1102" s="1439"/>
      <c r="Z1102" s="1439"/>
      <c r="AA1102" s="1439"/>
      <c r="AB1102" s="1439"/>
      <c r="AC1102" s="1439"/>
      <c r="AD1102" s="1439"/>
      <c r="AE1102" s="1439"/>
      <c r="AF1102" s="1439"/>
      <c r="AG1102" s="1439"/>
    </row>
    <row r="1103" spans="1:33" ht="15.75" customHeight="1">
      <c r="A1103" s="1443"/>
      <c r="B1103" s="1452" t="s">
        <v>3414</v>
      </c>
      <c r="C1103" s="1445">
        <v>15</v>
      </c>
      <c r="D1103" s="1453" t="s">
        <v>3364</v>
      </c>
      <c r="E1103" s="1445">
        <v>1</v>
      </c>
      <c r="F1103" s="1446">
        <v>1.8</v>
      </c>
      <c r="G1103" s="1446"/>
      <c r="H1103" s="1447">
        <v>1.35</v>
      </c>
      <c r="I1103" s="1494">
        <f t="shared" si="59"/>
        <v>36.450000000000003</v>
      </c>
      <c r="J1103" s="1449"/>
      <c r="K1103" s="1439"/>
      <c r="L1103" s="1439"/>
      <c r="M1103" s="1439"/>
      <c r="N1103" s="1439"/>
      <c r="O1103" s="1439"/>
      <c r="P1103" s="1439"/>
      <c r="Q1103" s="1439"/>
      <c r="R1103" s="1439"/>
      <c r="S1103" s="1439"/>
      <c r="T1103" s="1439"/>
      <c r="U1103" s="1439"/>
      <c r="V1103" s="1439"/>
      <c r="W1103" s="1439"/>
      <c r="X1103" s="1439"/>
      <c r="Y1103" s="1439"/>
      <c r="Z1103" s="1439"/>
      <c r="AA1103" s="1439"/>
      <c r="AB1103" s="1439"/>
      <c r="AC1103" s="1439"/>
      <c r="AD1103" s="1439"/>
      <c r="AE1103" s="1439"/>
      <c r="AF1103" s="1439"/>
      <c r="AG1103" s="1439"/>
    </row>
    <row r="1104" spans="1:33" ht="15.75" customHeight="1">
      <c r="A1104" s="1443"/>
      <c r="B1104" s="1452" t="s">
        <v>7413</v>
      </c>
      <c r="C1104" s="1445">
        <v>1</v>
      </c>
      <c r="D1104" s="1453" t="s">
        <v>3364</v>
      </c>
      <c r="E1104" s="1445">
        <v>1</v>
      </c>
      <c r="F1104" s="1446">
        <v>0.9</v>
      </c>
      <c r="G1104" s="1446"/>
      <c r="H1104" s="1447">
        <v>2</v>
      </c>
      <c r="I1104" s="1494">
        <f t="shared" si="59"/>
        <v>1.8</v>
      </c>
      <c r="J1104" s="1449"/>
      <c r="K1104" s="1439"/>
      <c r="L1104" s="1439"/>
      <c r="M1104" s="1439"/>
      <c r="N1104" s="1439"/>
      <c r="O1104" s="1439"/>
      <c r="P1104" s="1439"/>
      <c r="Q1104" s="1439"/>
      <c r="R1104" s="1439"/>
      <c r="S1104" s="1439"/>
      <c r="T1104" s="1439"/>
      <c r="U1104" s="1439"/>
      <c r="V1104" s="1439"/>
      <c r="W1104" s="1439"/>
      <c r="X1104" s="1439"/>
      <c r="Y1104" s="1439"/>
      <c r="Z1104" s="1439"/>
      <c r="AA1104" s="1439"/>
      <c r="AB1104" s="1439"/>
      <c r="AC1104" s="1439"/>
      <c r="AD1104" s="1439"/>
      <c r="AE1104" s="1439"/>
      <c r="AF1104" s="1439"/>
      <c r="AG1104" s="1439"/>
    </row>
    <row r="1105" spans="1:33" ht="15.75" customHeight="1">
      <c r="A1105" s="1494"/>
      <c r="B1105" s="1483" t="s">
        <v>7537</v>
      </c>
      <c r="C1105" s="1445"/>
      <c r="D1105" s="1447"/>
      <c r="E1105" s="1445"/>
      <c r="F1105" s="1446"/>
      <c r="G1105" s="1446"/>
      <c r="H1105" s="1447"/>
      <c r="I1105" s="1494">
        <f t="shared" si="59"/>
        <v>0</v>
      </c>
      <c r="J1105" s="1527"/>
      <c r="K1105" s="1481"/>
      <c r="L1105" s="1481"/>
      <c r="M1105" s="1481"/>
      <c r="N1105" s="1481"/>
      <c r="O1105" s="1481"/>
      <c r="P1105" s="1481"/>
      <c r="Q1105" s="1481"/>
      <c r="R1105" s="1481"/>
      <c r="S1105" s="1481"/>
      <c r="T1105" s="1481"/>
      <c r="U1105" s="1481"/>
      <c r="V1105" s="1481"/>
      <c r="W1105" s="1481"/>
      <c r="X1105" s="1481"/>
      <c r="Y1105" s="1481"/>
      <c r="Z1105" s="1481"/>
      <c r="AA1105" s="1481"/>
      <c r="AB1105" s="1481"/>
      <c r="AC1105" s="1481"/>
      <c r="AD1105" s="1481"/>
      <c r="AE1105" s="1481"/>
      <c r="AF1105" s="1481"/>
      <c r="AG1105" s="1481"/>
    </row>
    <row r="1106" spans="1:33" ht="15.75" customHeight="1">
      <c r="A1106" s="1494"/>
      <c r="B1106" s="1482" t="s">
        <v>7491</v>
      </c>
      <c r="C1106" s="1445">
        <v>1</v>
      </c>
      <c r="D1106" s="1447" t="s">
        <v>3364</v>
      </c>
      <c r="E1106" s="1445">
        <v>2</v>
      </c>
      <c r="F1106" s="1446">
        <v>9.3699999999999992</v>
      </c>
      <c r="G1106" s="1446">
        <v>5.0350000000000001</v>
      </c>
      <c r="H1106" s="1447"/>
      <c r="I1106" s="1494">
        <f t="shared" si="59"/>
        <v>94.36</v>
      </c>
      <c r="J1106" s="1527"/>
      <c r="K1106" s="1481"/>
      <c r="L1106" s="1481"/>
      <c r="M1106" s="1481"/>
      <c r="N1106" s="1481"/>
      <c r="O1106" s="1481"/>
      <c r="P1106" s="1481"/>
      <c r="Q1106" s="1481"/>
      <c r="R1106" s="1481"/>
      <c r="S1106" s="1481"/>
      <c r="T1106" s="1481"/>
      <c r="U1106" s="1481"/>
      <c r="V1106" s="1481"/>
      <c r="W1106" s="1481"/>
      <c r="X1106" s="1481"/>
      <c r="Y1106" s="1481"/>
      <c r="Z1106" s="1481"/>
      <c r="AA1106" s="1481"/>
      <c r="AB1106" s="1481"/>
      <c r="AC1106" s="1481"/>
      <c r="AD1106" s="1481"/>
      <c r="AE1106" s="1481"/>
      <c r="AF1106" s="1481"/>
      <c r="AG1106" s="1481"/>
    </row>
    <row r="1107" spans="1:33" ht="15.75" customHeight="1">
      <c r="A1107" s="1494"/>
      <c r="B1107" s="1482" t="s">
        <v>7215</v>
      </c>
      <c r="C1107" s="1445">
        <v>1</v>
      </c>
      <c r="D1107" s="1447" t="s">
        <v>3364</v>
      </c>
      <c r="E1107" s="1445">
        <v>1</v>
      </c>
      <c r="F1107" s="1446">
        <v>4.57</v>
      </c>
      <c r="G1107" s="1446">
        <v>5.0350000000000001</v>
      </c>
      <c r="H1107" s="1447"/>
      <c r="I1107" s="1494">
        <f t="shared" si="59"/>
        <v>23.01</v>
      </c>
      <c r="J1107" s="1527"/>
      <c r="K1107" s="1481"/>
      <c r="L1107" s="1481"/>
      <c r="M1107" s="1481"/>
      <c r="N1107" s="1481"/>
      <c r="O1107" s="1481"/>
      <c r="P1107" s="1481"/>
      <c r="Q1107" s="1481"/>
      <c r="R1107" s="1481"/>
      <c r="S1107" s="1481"/>
      <c r="T1107" s="1481"/>
      <c r="U1107" s="1481"/>
      <c r="V1107" s="1481"/>
      <c r="W1107" s="1481"/>
      <c r="X1107" s="1481"/>
      <c r="Y1107" s="1481"/>
      <c r="Z1107" s="1481"/>
      <c r="AA1107" s="1481"/>
      <c r="AB1107" s="1481"/>
      <c r="AC1107" s="1481"/>
      <c r="AD1107" s="1481"/>
      <c r="AE1107" s="1481"/>
      <c r="AF1107" s="1481"/>
      <c r="AG1107" s="1481"/>
    </row>
    <row r="1108" spans="1:33" ht="15.75" customHeight="1">
      <c r="A1108" s="1494"/>
      <c r="B1108" s="1480" t="s">
        <v>3503</v>
      </c>
      <c r="C1108" s="1445">
        <v>1</v>
      </c>
      <c r="D1108" s="1447" t="s">
        <v>3364</v>
      </c>
      <c r="E1108" s="1445">
        <v>1</v>
      </c>
      <c r="F1108" s="1446">
        <v>1.5449999999999999</v>
      </c>
      <c r="G1108" s="1446">
        <v>2.52</v>
      </c>
      <c r="H1108" s="1447"/>
      <c r="I1108" s="1494">
        <f t="shared" si="59"/>
        <v>3.89</v>
      </c>
      <c r="J1108" s="1527"/>
      <c r="K1108" s="1481"/>
      <c r="L1108" s="1481"/>
      <c r="M1108" s="1481"/>
      <c r="N1108" s="1481"/>
      <c r="O1108" s="1481"/>
      <c r="P1108" s="1481"/>
      <c r="Q1108" s="1481"/>
      <c r="R1108" s="1481"/>
      <c r="S1108" s="1481"/>
      <c r="T1108" s="1481"/>
      <c r="U1108" s="1481"/>
      <c r="V1108" s="1481"/>
      <c r="W1108" s="1481"/>
      <c r="X1108" s="1481"/>
      <c r="Y1108" s="1481"/>
      <c r="Z1108" s="1481"/>
      <c r="AA1108" s="1481"/>
      <c r="AB1108" s="1481"/>
      <c r="AC1108" s="1481"/>
      <c r="AD1108" s="1481"/>
      <c r="AE1108" s="1481"/>
      <c r="AF1108" s="1481"/>
      <c r="AG1108" s="1481"/>
    </row>
    <row r="1109" spans="1:33" ht="15.75" customHeight="1">
      <c r="A1109" s="1494"/>
      <c r="B1109" s="1480" t="s">
        <v>7139</v>
      </c>
      <c r="C1109" s="1445">
        <v>1</v>
      </c>
      <c r="D1109" s="1447" t="s">
        <v>3364</v>
      </c>
      <c r="E1109" s="1445">
        <v>1</v>
      </c>
      <c r="F1109" s="1446">
        <v>9.0449999999999999</v>
      </c>
      <c r="G1109" s="1446">
        <v>4.57</v>
      </c>
      <c r="H1109" s="1447"/>
      <c r="I1109" s="1494">
        <f t="shared" si="59"/>
        <v>41.34</v>
      </c>
      <c r="J1109" s="1527"/>
      <c r="K1109" s="1481"/>
      <c r="L1109" s="1481"/>
      <c r="M1109" s="1481"/>
      <c r="N1109" s="1481"/>
      <c r="O1109" s="1481"/>
      <c r="P1109" s="1481"/>
      <c r="Q1109" s="1481"/>
      <c r="R1109" s="1481"/>
      <c r="S1109" s="1481"/>
      <c r="T1109" s="1481"/>
      <c r="U1109" s="1481"/>
      <c r="V1109" s="1481"/>
      <c r="W1109" s="1481"/>
      <c r="X1109" s="1481"/>
      <c r="Y1109" s="1481"/>
      <c r="Z1109" s="1481"/>
      <c r="AA1109" s="1481"/>
      <c r="AB1109" s="1481"/>
      <c r="AC1109" s="1481"/>
      <c r="AD1109" s="1481"/>
      <c r="AE1109" s="1481"/>
      <c r="AF1109" s="1481"/>
      <c r="AG1109" s="1481"/>
    </row>
    <row r="1110" spans="1:33" ht="15.75" customHeight="1">
      <c r="A1110" s="1494"/>
      <c r="B1110" s="1482" t="s">
        <v>7538</v>
      </c>
      <c r="C1110" s="1445">
        <v>2</v>
      </c>
      <c r="D1110" s="1447" t="s">
        <v>3364</v>
      </c>
      <c r="E1110" s="1445">
        <v>1</v>
      </c>
      <c r="F1110" s="1446">
        <v>4.57</v>
      </c>
      <c r="G1110" s="1446">
        <v>3.94</v>
      </c>
      <c r="H1110" s="1447"/>
      <c r="I1110" s="1494">
        <f t="shared" si="59"/>
        <v>36.01</v>
      </c>
      <c r="J1110" s="1527"/>
      <c r="K1110" s="1481"/>
      <c r="L1110" s="1481"/>
      <c r="M1110" s="1481"/>
      <c r="N1110" s="1481"/>
      <c r="O1110" s="1481"/>
      <c r="P1110" s="1481"/>
      <c r="Q1110" s="1481"/>
      <c r="R1110" s="1481"/>
      <c r="S1110" s="1481"/>
      <c r="T1110" s="1481"/>
      <c r="U1110" s="1481"/>
      <c r="V1110" s="1481"/>
      <c r="W1110" s="1481"/>
      <c r="X1110" s="1481"/>
      <c r="Y1110" s="1481"/>
      <c r="Z1110" s="1481"/>
      <c r="AA1110" s="1481"/>
      <c r="AB1110" s="1481"/>
      <c r="AC1110" s="1481"/>
      <c r="AD1110" s="1481"/>
      <c r="AE1110" s="1481"/>
      <c r="AF1110" s="1481"/>
      <c r="AG1110" s="1481"/>
    </row>
    <row r="1111" spans="1:33" ht="15.75" customHeight="1">
      <c r="A1111" s="1494"/>
      <c r="B1111" s="1482" t="s">
        <v>7521</v>
      </c>
      <c r="C1111" s="1445">
        <v>1</v>
      </c>
      <c r="D1111" s="1447" t="s">
        <v>3364</v>
      </c>
      <c r="E1111" s="1445">
        <v>1</v>
      </c>
      <c r="F1111" s="1446">
        <v>4.57</v>
      </c>
      <c r="G1111" s="1446">
        <v>1.99</v>
      </c>
      <c r="H1111" s="1447"/>
      <c r="I1111" s="1494">
        <f t="shared" si="59"/>
        <v>9.09</v>
      </c>
      <c r="J1111" s="1527"/>
      <c r="K1111" s="1481"/>
      <c r="L1111" s="1481"/>
      <c r="M1111" s="1481"/>
      <c r="N1111" s="1481"/>
      <c r="O1111" s="1481"/>
      <c r="P1111" s="1481"/>
      <c r="Q1111" s="1481"/>
      <c r="R1111" s="1481"/>
      <c r="S1111" s="1481"/>
      <c r="T1111" s="1481"/>
      <c r="U1111" s="1481"/>
      <c r="V1111" s="1481"/>
      <c r="W1111" s="1481"/>
      <c r="X1111" s="1481"/>
      <c r="Y1111" s="1481"/>
      <c r="Z1111" s="1481"/>
      <c r="AA1111" s="1481"/>
      <c r="AB1111" s="1481"/>
      <c r="AC1111" s="1481"/>
      <c r="AD1111" s="1481"/>
      <c r="AE1111" s="1481"/>
      <c r="AF1111" s="1481"/>
      <c r="AG1111" s="1481"/>
    </row>
    <row r="1112" spans="1:33" ht="15.75" customHeight="1">
      <c r="A1112" s="1494"/>
      <c r="B1112" s="1480" t="s">
        <v>6765</v>
      </c>
      <c r="C1112" s="1445">
        <v>1</v>
      </c>
      <c r="D1112" s="1447" t="s">
        <v>3364</v>
      </c>
      <c r="E1112" s="1445">
        <v>1</v>
      </c>
      <c r="F1112" s="1446">
        <v>2.86</v>
      </c>
      <c r="G1112" s="1446">
        <v>1.99</v>
      </c>
      <c r="H1112" s="1447"/>
      <c r="I1112" s="1494">
        <f t="shared" si="59"/>
        <v>5.69</v>
      </c>
      <c r="J1112" s="1527"/>
      <c r="K1112" s="1481"/>
      <c r="L1112" s="1481"/>
      <c r="M1112" s="1481"/>
      <c r="N1112" s="1481"/>
      <c r="O1112" s="1481"/>
      <c r="P1112" s="1481"/>
      <c r="Q1112" s="1481"/>
      <c r="R1112" s="1481"/>
      <c r="S1112" s="1481"/>
      <c r="T1112" s="1481"/>
      <c r="U1112" s="1481"/>
      <c r="V1112" s="1481"/>
      <c r="W1112" s="1481"/>
      <c r="X1112" s="1481"/>
      <c r="Y1112" s="1481"/>
      <c r="Z1112" s="1481"/>
      <c r="AA1112" s="1481"/>
      <c r="AB1112" s="1481"/>
      <c r="AC1112" s="1481"/>
      <c r="AD1112" s="1481"/>
      <c r="AE1112" s="1481"/>
      <c r="AF1112" s="1481"/>
      <c r="AG1112" s="1481"/>
    </row>
    <row r="1113" spans="1:33" ht="15.75" customHeight="1">
      <c r="A1113" s="1494"/>
      <c r="B1113" s="1482" t="s">
        <v>7509</v>
      </c>
      <c r="C1113" s="1445">
        <v>1</v>
      </c>
      <c r="D1113" s="1467" t="s">
        <v>3364</v>
      </c>
      <c r="E1113" s="1445">
        <v>1</v>
      </c>
      <c r="F1113" s="1446">
        <v>3.43</v>
      </c>
      <c r="G1113" s="1446">
        <v>4.96</v>
      </c>
      <c r="H1113" s="1447"/>
      <c r="I1113" s="1494">
        <f t="shared" si="59"/>
        <v>17.010000000000002</v>
      </c>
      <c r="J1113" s="1527"/>
      <c r="K1113" s="1481"/>
      <c r="L1113" s="1481"/>
      <c r="M1113" s="1481"/>
      <c r="N1113" s="1481"/>
      <c r="O1113" s="1481"/>
      <c r="P1113" s="1481"/>
      <c r="Q1113" s="1481"/>
      <c r="R1113" s="1481"/>
      <c r="S1113" s="1481"/>
      <c r="T1113" s="1481"/>
      <c r="U1113" s="1481"/>
      <c r="V1113" s="1481"/>
      <c r="W1113" s="1481"/>
      <c r="X1113" s="1481"/>
      <c r="Y1113" s="1481"/>
      <c r="Z1113" s="1481"/>
      <c r="AA1113" s="1481"/>
      <c r="AB1113" s="1481"/>
      <c r="AC1113" s="1481"/>
      <c r="AD1113" s="1481"/>
      <c r="AE1113" s="1481"/>
      <c r="AF1113" s="1481"/>
      <c r="AG1113" s="1481"/>
    </row>
    <row r="1114" spans="1:33" ht="15.75" customHeight="1">
      <c r="A1114" s="1494"/>
      <c r="B1114" s="1482" t="s">
        <v>6586</v>
      </c>
      <c r="C1114" s="1445">
        <v>1</v>
      </c>
      <c r="D1114" s="1447" t="s">
        <v>3364</v>
      </c>
      <c r="E1114" s="1445">
        <v>1</v>
      </c>
      <c r="F1114" s="1446">
        <v>1.89</v>
      </c>
      <c r="G1114" s="1446">
        <v>1.76</v>
      </c>
      <c r="H1114" s="1447"/>
      <c r="I1114" s="1494">
        <f t="shared" si="59"/>
        <v>3.33</v>
      </c>
      <c r="J1114" s="1527"/>
      <c r="K1114" s="1481"/>
      <c r="L1114" s="1481"/>
      <c r="M1114" s="1481"/>
      <c r="N1114" s="1481"/>
      <c r="O1114" s="1481"/>
      <c r="P1114" s="1481"/>
      <c r="Q1114" s="1481"/>
      <c r="R1114" s="1481"/>
      <c r="S1114" s="1481"/>
      <c r="T1114" s="1481"/>
      <c r="U1114" s="1481"/>
      <c r="V1114" s="1481"/>
      <c r="W1114" s="1481"/>
      <c r="X1114" s="1481"/>
      <c r="Y1114" s="1481"/>
      <c r="Z1114" s="1481"/>
      <c r="AA1114" s="1481"/>
      <c r="AB1114" s="1481"/>
      <c r="AC1114" s="1481"/>
      <c r="AD1114" s="1481"/>
      <c r="AE1114" s="1481"/>
      <c r="AF1114" s="1481"/>
      <c r="AG1114" s="1481"/>
    </row>
    <row r="1115" spans="1:33" ht="15.75" customHeight="1">
      <c r="A1115" s="1494"/>
      <c r="B1115" s="1480" t="s">
        <v>6727</v>
      </c>
      <c r="C1115" s="1445">
        <v>1</v>
      </c>
      <c r="D1115" s="1447" t="s">
        <v>3364</v>
      </c>
      <c r="E1115" s="1445">
        <v>1</v>
      </c>
      <c r="F1115" s="1446">
        <v>1.89</v>
      </c>
      <c r="G1115" s="1446">
        <v>1.76</v>
      </c>
      <c r="H1115" s="1447"/>
      <c r="I1115" s="1494">
        <f t="shared" si="59"/>
        <v>3.33</v>
      </c>
      <c r="J1115" s="1527"/>
      <c r="K1115" s="1481"/>
      <c r="L1115" s="1481"/>
      <c r="M1115" s="1481"/>
      <c r="N1115" s="1481"/>
      <c r="O1115" s="1481"/>
      <c r="P1115" s="1481"/>
      <c r="Q1115" s="1481"/>
      <c r="R1115" s="1481"/>
      <c r="S1115" s="1481"/>
      <c r="T1115" s="1481"/>
      <c r="U1115" s="1481"/>
      <c r="V1115" s="1481"/>
      <c r="W1115" s="1481"/>
      <c r="X1115" s="1481"/>
      <c r="Y1115" s="1481"/>
      <c r="Z1115" s="1481"/>
      <c r="AA1115" s="1481"/>
      <c r="AB1115" s="1481"/>
      <c r="AC1115" s="1481"/>
      <c r="AD1115" s="1481"/>
      <c r="AE1115" s="1481"/>
      <c r="AF1115" s="1481"/>
      <c r="AG1115" s="1481"/>
    </row>
    <row r="1116" spans="1:33" ht="15.75" customHeight="1">
      <c r="A1116" s="1494"/>
      <c r="B1116" s="1480" t="s">
        <v>7169</v>
      </c>
      <c r="C1116" s="1445">
        <v>2</v>
      </c>
      <c r="D1116" s="1447" t="s">
        <v>3364</v>
      </c>
      <c r="E1116" s="1445">
        <v>1</v>
      </c>
      <c r="F1116" s="1446">
        <v>3.43</v>
      </c>
      <c r="G1116" s="1446">
        <v>4.96</v>
      </c>
      <c r="H1116" s="1447"/>
      <c r="I1116" s="1494">
        <f t="shared" si="59"/>
        <v>34.03</v>
      </c>
      <c r="J1116" s="1527"/>
      <c r="K1116" s="1481"/>
      <c r="L1116" s="1481"/>
      <c r="M1116" s="1481"/>
      <c r="N1116" s="1481"/>
      <c r="O1116" s="1481"/>
      <c r="P1116" s="1481"/>
      <c r="Q1116" s="1481"/>
      <c r="R1116" s="1481"/>
      <c r="S1116" s="1481"/>
      <c r="T1116" s="1481"/>
      <c r="U1116" s="1481"/>
      <c r="V1116" s="1481"/>
      <c r="W1116" s="1481"/>
      <c r="X1116" s="1481"/>
      <c r="Y1116" s="1481"/>
      <c r="Z1116" s="1481"/>
      <c r="AA1116" s="1481"/>
      <c r="AB1116" s="1481"/>
      <c r="AC1116" s="1481"/>
      <c r="AD1116" s="1481"/>
      <c r="AE1116" s="1481"/>
      <c r="AF1116" s="1481"/>
      <c r="AG1116" s="1481"/>
    </row>
    <row r="1117" spans="1:33" ht="15.75" customHeight="1">
      <c r="A1117" s="1494"/>
      <c r="B1117" s="1480" t="s">
        <v>6737</v>
      </c>
      <c r="C1117" s="1445">
        <v>1</v>
      </c>
      <c r="D1117" s="1447" t="s">
        <v>3364</v>
      </c>
      <c r="E1117" s="1445">
        <v>1</v>
      </c>
      <c r="F1117" s="1446">
        <v>10.7</v>
      </c>
      <c r="G1117" s="1446">
        <v>2</v>
      </c>
      <c r="H1117" s="1447"/>
      <c r="I1117" s="1494">
        <f t="shared" si="59"/>
        <v>21.4</v>
      </c>
      <c r="J1117" s="1527"/>
      <c r="K1117" s="1481"/>
      <c r="L1117" s="1481"/>
      <c r="M1117" s="1481"/>
      <c r="N1117" s="1481"/>
      <c r="O1117" s="1481"/>
      <c r="P1117" s="1481"/>
      <c r="Q1117" s="1481"/>
      <c r="R1117" s="1481"/>
      <c r="S1117" s="1481"/>
      <c r="T1117" s="1481"/>
      <c r="U1117" s="1481"/>
      <c r="V1117" s="1481"/>
      <c r="W1117" s="1481"/>
      <c r="X1117" s="1481"/>
      <c r="Y1117" s="1481"/>
      <c r="Z1117" s="1481"/>
      <c r="AA1117" s="1481"/>
      <c r="AB1117" s="1481"/>
      <c r="AC1117" s="1481"/>
      <c r="AD1117" s="1481"/>
      <c r="AE1117" s="1481"/>
      <c r="AF1117" s="1481"/>
      <c r="AG1117" s="1481"/>
    </row>
    <row r="1118" spans="1:33" ht="15.75" customHeight="1">
      <c r="A1118" s="1494"/>
      <c r="B1118" s="1480" t="s">
        <v>7165</v>
      </c>
      <c r="C1118" s="1445">
        <v>1</v>
      </c>
      <c r="D1118" s="1447" t="s">
        <v>3364</v>
      </c>
      <c r="E1118" s="1445">
        <v>1</v>
      </c>
      <c r="F1118" s="1446">
        <v>3.43</v>
      </c>
      <c r="G1118" s="1446">
        <v>8.82</v>
      </c>
      <c r="H1118" s="1447"/>
      <c r="I1118" s="1494">
        <f t="shared" si="59"/>
        <v>30.25</v>
      </c>
      <c r="J1118" s="1527"/>
      <c r="K1118" s="1481"/>
      <c r="L1118" s="1481"/>
      <c r="M1118" s="1481"/>
      <c r="N1118" s="1481"/>
      <c r="O1118" s="1481"/>
      <c r="P1118" s="1481"/>
      <c r="Q1118" s="1481"/>
      <c r="R1118" s="1481"/>
      <c r="S1118" s="1481"/>
      <c r="T1118" s="1481"/>
      <c r="U1118" s="1481"/>
      <c r="V1118" s="1481"/>
      <c r="W1118" s="1481"/>
      <c r="X1118" s="1481"/>
      <c r="Y1118" s="1481"/>
      <c r="Z1118" s="1481"/>
      <c r="AA1118" s="1481"/>
      <c r="AB1118" s="1481"/>
      <c r="AC1118" s="1481"/>
      <c r="AD1118" s="1481"/>
      <c r="AE1118" s="1481"/>
      <c r="AF1118" s="1481"/>
      <c r="AG1118" s="1481"/>
    </row>
    <row r="1119" spans="1:33" ht="15.75" customHeight="1">
      <c r="A1119" s="1494"/>
      <c r="B1119" s="1485" t="s">
        <v>7158</v>
      </c>
      <c r="C1119" s="1445"/>
      <c r="D1119" s="1447"/>
      <c r="E1119" s="1445"/>
      <c r="F1119" s="1446"/>
      <c r="G1119" s="1446"/>
      <c r="H1119" s="1447"/>
      <c r="I1119" s="1494">
        <f t="shared" si="59"/>
        <v>0</v>
      </c>
      <c r="J1119" s="1527"/>
      <c r="K1119" s="1481"/>
      <c r="L1119" s="1481"/>
      <c r="M1119" s="1481"/>
      <c r="N1119" s="1481"/>
      <c r="O1119" s="1481"/>
      <c r="P1119" s="1481"/>
      <c r="Q1119" s="1481"/>
      <c r="R1119" s="1481"/>
      <c r="S1119" s="1481"/>
      <c r="T1119" s="1481"/>
      <c r="U1119" s="1481"/>
      <c r="V1119" s="1481"/>
      <c r="W1119" s="1481"/>
      <c r="X1119" s="1481"/>
      <c r="Y1119" s="1481"/>
      <c r="Z1119" s="1481"/>
      <c r="AA1119" s="1481"/>
      <c r="AB1119" s="1481"/>
      <c r="AC1119" s="1481"/>
      <c r="AD1119" s="1481"/>
      <c r="AE1119" s="1481"/>
      <c r="AF1119" s="1481"/>
      <c r="AG1119" s="1481"/>
    </row>
    <row r="1120" spans="1:33" ht="15.75" customHeight="1">
      <c r="A1120" s="1443"/>
      <c r="B1120" s="1452" t="s">
        <v>3497</v>
      </c>
      <c r="C1120" s="1445">
        <v>1</v>
      </c>
      <c r="D1120" s="1453" t="s">
        <v>3364</v>
      </c>
      <c r="E1120" s="1445">
        <v>1</v>
      </c>
      <c r="F1120" s="1446">
        <v>1.8</v>
      </c>
      <c r="G1120" s="1446"/>
      <c r="H1120" s="1447">
        <v>2</v>
      </c>
      <c r="I1120" s="1494">
        <f t="shared" si="59"/>
        <v>3.6</v>
      </c>
      <c r="J1120" s="1449"/>
      <c r="K1120" s="1439"/>
      <c r="L1120" s="1439"/>
      <c r="M1120" s="1439"/>
      <c r="N1120" s="1439"/>
      <c r="O1120" s="1439"/>
      <c r="P1120" s="1439"/>
      <c r="Q1120" s="1439"/>
      <c r="R1120" s="1439"/>
      <c r="S1120" s="1439"/>
      <c r="T1120" s="1439"/>
      <c r="U1120" s="1439"/>
      <c r="V1120" s="1439"/>
      <c r="W1120" s="1439"/>
      <c r="X1120" s="1439"/>
      <c r="Y1120" s="1439"/>
      <c r="Z1120" s="1439"/>
      <c r="AA1120" s="1439"/>
      <c r="AB1120" s="1439"/>
      <c r="AC1120" s="1439"/>
      <c r="AD1120" s="1439"/>
      <c r="AE1120" s="1439"/>
      <c r="AF1120" s="1439"/>
      <c r="AG1120" s="1439"/>
    </row>
    <row r="1121" spans="1:33" ht="15.75" customHeight="1">
      <c r="A1121" s="1443"/>
      <c r="B1121" s="1452" t="s">
        <v>3414</v>
      </c>
      <c r="C1121" s="1445">
        <v>13</v>
      </c>
      <c r="D1121" s="1453" t="s">
        <v>3364</v>
      </c>
      <c r="E1121" s="1445">
        <v>1</v>
      </c>
      <c r="F1121" s="1446">
        <v>1.8</v>
      </c>
      <c r="G1121" s="1446"/>
      <c r="H1121" s="1447">
        <v>1.35</v>
      </c>
      <c r="I1121" s="1494">
        <f t="shared" si="59"/>
        <v>31.59</v>
      </c>
      <c r="J1121" s="1449"/>
      <c r="K1121" s="1439"/>
      <c r="L1121" s="1439"/>
      <c r="M1121" s="1439"/>
      <c r="N1121" s="1439"/>
      <c r="O1121" s="1439"/>
      <c r="P1121" s="1439"/>
      <c r="Q1121" s="1439"/>
      <c r="R1121" s="1439"/>
      <c r="S1121" s="1439"/>
      <c r="T1121" s="1439"/>
      <c r="U1121" s="1439"/>
      <c r="V1121" s="1439"/>
      <c r="W1121" s="1439"/>
      <c r="X1121" s="1439"/>
      <c r="Y1121" s="1439"/>
      <c r="Z1121" s="1439"/>
      <c r="AA1121" s="1439"/>
      <c r="AB1121" s="1439"/>
      <c r="AC1121" s="1439"/>
      <c r="AD1121" s="1439"/>
      <c r="AE1121" s="1439"/>
      <c r="AF1121" s="1439"/>
      <c r="AG1121" s="1439"/>
    </row>
    <row r="1122" spans="1:33" ht="15.75" customHeight="1">
      <c r="A1122" s="1443"/>
      <c r="B1122" s="1452" t="s">
        <v>6968</v>
      </c>
      <c r="C1122" s="1445">
        <v>1</v>
      </c>
      <c r="D1122" s="1453" t="s">
        <v>3364</v>
      </c>
      <c r="E1122" s="1445">
        <v>1</v>
      </c>
      <c r="F1122" s="1446">
        <v>1.5</v>
      </c>
      <c r="G1122" s="1446"/>
      <c r="H1122" s="1447">
        <v>1.05</v>
      </c>
      <c r="I1122" s="1494">
        <f t="shared" si="59"/>
        <v>1.58</v>
      </c>
      <c r="J1122" s="1449"/>
      <c r="K1122" s="1439"/>
      <c r="L1122" s="1439"/>
      <c r="M1122" s="1439"/>
      <c r="N1122" s="1439"/>
      <c r="O1122" s="1439"/>
      <c r="P1122" s="1439"/>
      <c r="Q1122" s="1439"/>
      <c r="R1122" s="1439"/>
      <c r="S1122" s="1439"/>
      <c r="T1122" s="1439"/>
      <c r="U1122" s="1439"/>
      <c r="V1122" s="1439"/>
      <c r="W1122" s="1439"/>
      <c r="X1122" s="1439"/>
      <c r="Y1122" s="1439"/>
      <c r="Z1122" s="1439"/>
      <c r="AA1122" s="1439"/>
      <c r="AB1122" s="1439"/>
      <c r="AC1122" s="1439"/>
      <c r="AD1122" s="1439"/>
      <c r="AE1122" s="1439"/>
      <c r="AF1122" s="1439"/>
      <c r="AG1122" s="1439"/>
    </row>
    <row r="1123" spans="1:33" ht="15.75" customHeight="1">
      <c r="A1123" s="1443"/>
      <c r="B1123" s="1452" t="s">
        <v>7413</v>
      </c>
      <c r="C1123" s="1445">
        <v>1</v>
      </c>
      <c r="D1123" s="1453" t="s">
        <v>3364</v>
      </c>
      <c r="E1123" s="1445">
        <v>1</v>
      </c>
      <c r="F1123" s="1446">
        <v>0.9</v>
      </c>
      <c r="G1123" s="1446"/>
      <c r="H1123" s="1447">
        <v>2</v>
      </c>
      <c r="I1123" s="1494">
        <f t="shared" si="59"/>
        <v>1.8</v>
      </c>
      <c r="J1123" s="1449"/>
      <c r="K1123" s="1439"/>
      <c r="L1123" s="1439"/>
      <c r="M1123" s="1439"/>
      <c r="N1123" s="1439"/>
      <c r="O1123" s="1439"/>
      <c r="P1123" s="1439"/>
      <c r="Q1123" s="1439"/>
      <c r="R1123" s="1439"/>
      <c r="S1123" s="1439"/>
      <c r="T1123" s="1439"/>
      <c r="U1123" s="1439"/>
      <c r="V1123" s="1439"/>
      <c r="W1123" s="1439"/>
      <c r="X1123" s="1439"/>
      <c r="Y1123" s="1439"/>
      <c r="Z1123" s="1439"/>
      <c r="AA1123" s="1439"/>
      <c r="AB1123" s="1439"/>
      <c r="AC1123" s="1439"/>
      <c r="AD1123" s="1439"/>
      <c r="AE1123" s="1439"/>
      <c r="AF1123" s="1439"/>
      <c r="AG1123" s="1439"/>
    </row>
    <row r="1124" spans="1:33" ht="15.75" customHeight="1">
      <c r="A1124" s="1494"/>
      <c r="B1124" s="1528" t="s">
        <v>386</v>
      </c>
      <c r="C1124" s="1445"/>
      <c r="D1124" s="1447"/>
      <c r="E1124" s="1445"/>
      <c r="F1124" s="1446"/>
      <c r="G1124" s="1446"/>
      <c r="H1124" s="1447"/>
      <c r="I1124" s="1494">
        <f t="shared" si="59"/>
        <v>0</v>
      </c>
      <c r="J1124" s="1527"/>
      <c r="K1124" s="1481"/>
      <c r="L1124" s="1481"/>
      <c r="M1124" s="1481"/>
      <c r="N1124" s="1481"/>
      <c r="O1124" s="1481"/>
      <c r="P1124" s="1481"/>
      <c r="Q1124" s="1481"/>
      <c r="R1124" s="1481"/>
      <c r="S1124" s="1481"/>
      <c r="T1124" s="1481"/>
      <c r="U1124" s="1481"/>
      <c r="V1124" s="1481"/>
      <c r="W1124" s="1481"/>
      <c r="X1124" s="1481"/>
      <c r="Y1124" s="1481"/>
      <c r="Z1124" s="1481"/>
      <c r="AA1124" s="1481"/>
      <c r="AB1124" s="1481"/>
      <c r="AC1124" s="1481"/>
      <c r="AD1124" s="1481"/>
      <c r="AE1124" s="1481"/>
      <c r="AF1124" s="1481"/>
      <c r="AG1124" s="1481"/>
    </row>
    <row r="1125" spans="1:33" ht="15.75" customHeight="1">
      <c r="A1125" s="1494"/>
      <c r="B1125" s="1482" t="s">
        <v>6602</v>
      </c>
      <c r="C1125" s="1445">
        <v>1</v>
      </c>
      <c r="D1125" s="1447" t="s">
        <v>3364</v>
      </c>
      <c r="E1125" s="1445">
        <v>1</v>
      </c>
      <c r="F1125" s="1446">
        <v>12.51</v>
      </c>
      <c r="G1125" s="1446">
        <v>5.0350000000000001</v>
      </c>
      <c r="H1125" s="1447"/>
      <c r="I1125" s="1494">
        <f t="shared" si="59"/>
        <v>62.99</v>
      </c>
      <c r="J1125" s="1527"/>
      <c r="K1125" s="1481"/>
      <c r="L1125" s="1481"/>
      <c r="M1125" s="1481"/>
      <c r="N1125" s="1481"/>
      <c r="O1125" s="1481"/>
      <c r="P1125" s="1481"/>
      <c r="Q1125" s="1481"/>
      <c r="R1125" s="1481"/>
      <c r="S1125" s="1481"/>
      <c r="T1125" s="1481"/>
      <c r="U1125" s="1481"/>
      <c r="V1125" s="1481"/>
      <c r="W1125" s="1481"/>
      <c r="X1125" s="1481"/>
      <c r="Y1125" s="1481"/>
      <c r="Z1125" s="1481"/>
      <c r="AA1125" s="1481"/>
      <c r="AB1125" s="1481"/>
      <c r="AC1125" s="1481"/>
      <c r="AD1125" s="1481"/>
      <c r="AE1125" s="1481"/>
      <c r="AF1125" s="1481"/>
      <c r="AG1125" s="1481"/>
    </row>
    <row r="1126" spans="1:33" ht="15.75" customHeight="1">
      <c r="A1126" s="1494"/>
      <c r="B1126" s="1482" t="s">
        <v>7539</v>
      </c>
      <c r="C1126" s="1445">
        <v>1</v>
      </c>
      <c r="D1126" s="1447" t="s">
        <v>3364</v>
      </c>
      <c r="E1126" s="1445">
        <v>1</v>
      </c>
      <c r="F1126" s="1446">
        <v>1.5449999999999999</v>
      </c>
      <c r="G1126" s="1446">
        <v>2.52</v>
      </c>
      <c r="H1126" s="1447"/>
      <c r="I1126" s="1494">
        <f t="shared" si="59"/>
        <v>3.89</v>
      </c>
      <c r="J1126" s="1527"/>
      <c r="K1126" s="1481"/>
      <c r="L1126" s="1481"/>
      <c r="M1126" s="1481"/>
      <c r="N1126" s="1481"/>
      <c r="O1126" s="1481"/>
      <c r="P1126" s="1481"/>
      <c r="Q1126" s="1481"/>
      <c r="R1126" s="1481"/>
      <c r="S1126" s="1481"/>
      <c r="T1126" s="1481"/>
      <c r="U1126" s="1481"/>
      <c r="V1126" s="1481"/>
      <c r="W1126" s="1481"/>
      <c r="X1126" s="1481"/>
      <c r="Y1126" s="1481"/>
      <c r="Z1126" s="1481"/>
      <c r="AA1126" s="1481"/>
      <c r="AB1126" s="1481"/>
      <c r="AC1126" s="1481"/>
      <c r="AD1126" s="1481"/>
      <c r="AE1126" s="1481"/>
      <c r="AF1126" s="1481"/>
      <c r="AG1126" s="1481"/>
    </row>
    <row r="1127" spans="1:33" ht="15.75" customHeight="1">
      <c r="A1127" s="1494"/>
      <c r="B1127" s="1482" t="s">
        <v>6908</v>
      </c>
      <c r="C1127" s="1445">
        <v>1</v>
      </c>
      <c r="D1127" s="1447" t="s">
        <v>3364</v>
      </c>
      <c r="E1127" s="1445">
        <v>1</v>
      </c>
      <c r="F1127" s="1446">
        <v>1.5449999999999999</v>
      </c>
      <c r="G1127" s="1446">
        <v>2.4</v>
      </c>
      <c r="H1127" s="1447"/>
      <c r="I1127" s="1494">
        <f t="shared" si="59"/>
        <v>3.71</v>
      </c>
      <c r="J1127" s="1527"/>
      <c r="K1127" s="1481"/>
      <c r="L1127" s="1481"/>
      <c r="M1127" s="1481"/>
      <c r="N1127" s="1481"/>
      <c r="O1127" s="1481"/>
      <c r="P1127" s="1481"/>
      <c r="Q1127" s="1481"/>
      <c r="R1127" s="1481"/>
      <c r="S1127" s="1481"/>
      <c r="T1127" s="1481"/>
      <c r="U1127" s="1481"/>
      <c r="V1127" s="1481"/>
      <c r="W1127" s="1481"/>
      <c r="X1127" s="1481"/>
      <c r="Y1127" s="1481"/>
      <c r="Z1127" s="1481"/>
      <c r="AA1127" s="1481"/>
      <c r="AB1127" s="1481"/>
      <c r="AC1127" s="1481"/>
      <c r="AD1127" s="1481"/>
      <c r="AE1127" s="1481"/>
      <c r="AF1127" s="1481"/>
      <c r="AG1127" s="1481"/>
    </row>
    <row r="1128" spans="1:33" ht="15.75" customHeight="1">
      <c r="A1128" s="1494"/>
      <c r="B1128" s="1482" t="s">
        <v>7524</v>
      </c>
      <c r="C1128" s="1445">
        <v>1</v>
      </c>
      <c r="D1128" s="1447" t="s">
        <v>3364</v>
      </c>
      <c r="E1128" s="1445">
        <v>1</v>
      </c>
      <c r="F1128" s="1446">
        <v>9.3699999999999992</v>
      </c>
      <c r="G1128" s="1446">
        <v>5.0350000000000001</v>
      </c>
      <c r="H1128" s="1447"/>
      <c r="I1128" s="1494">
        <f t="shared" si="59"/>
        <v>47.18</v>
      </c>
      <c r="J1128" s="1527"/>
      <c r="K1128" s="1481"/>
      <c r="L1128" s="1481"/>
      <c r="M1128" s="1481"/>
      <c r="N1128" s="1481"/>
      <c r="O1128" s="1481"/>
      <c r="P1128" s="1481"/>
      <c r="Q1128" s="1481"/>
      <c r="R1128" s="1481"/>
      <c r="S1128" s="1481"/>
      <c r="T1128" s="1481"/>
      <c r="U1128" s="1481"/>
      <c r="V1128" s="1481"/>
      <c r="W1128" s="1481"/>
      <c r="X1128" s="1481"/>
      <c r="Y1128" s="1481"/>
      <c r="Z1128" s="1481"/>
      <c r="AA1128" s="1481"/>
      <c r="AB1128" s="1481"/>
      <c r="AC1128" s="1481"/>
      <c r="AD1128" s="1481"/>
      <c r="AE1128" s="1481"/>
      <c r="AF1128" s="1481"/>
      <c r="AG1128" s="1481"/>
    </row>
    <row r="1129" spans="1:33" ht="15.75" customHeight="1">
      <c r="A1129" s="1494"/>
      <c r="B1129" s="1482" t="s">
        <v>6737</v>
      </c>
      <c r="C1129" s="1445">
        <v>1</v>
      </c>
      <c r="D1129" s="1447" t="s">
        <v>3364</v>
      </c>
      <c r="E1129" s="1445">
        <v>1</v>
      </c>
      <c r="F1129" s="1446">
        <v>18.97</v>
      </c>
      <c r="G1129" s="1446">
        <v>9.0449999999999999</v>
      </c>
      <c r="H1129" s="1447"/>
      <c r="I1129" s="1494">
        <f t="shared" si="59"/>
        <v>171.58</v>
      </c>
      <c r="J1129" s="1527"/>
      <c r="K1129" s="1481"/>
      <c r="L1129" s="1481"/>
      <c r="M1129" s="1481"/>
      <c r="N1129" s="1481"/>
      <c r="O1129" s="1481"/>
      <c r="P1129" s="1481"/>
      <c r="Q1129" s="1481"/>
      <c r="R1129" s="1481"/>
      <c r="S1129" s="1481"/>
      <c r="T1129" s="1481"/>
      <c r="U1129" s="1481"/>
      <c r="V1129" s="1481"/>
      <c r="W1129" s="1481"/>
      <c r="X1129" s="1481"/>
      <c r="Y1129" s="1481"/>
      <c r="Z1129" s="1481"/>
      <c r="AA1129" s="1481"/>
      <c r="AB1129" s="1481"/>
      <c r="AC1129" s="1481"/>
      <c r="AD1129" s="1481"/>
      <c r="AE1129" s="1481"/>
      <c r="AF1129" s="1481"/>
      <c r="AG1129" s="1481"/>
    </row>
    <row r="1130" spans="1:33" ht="15.75" customHeight="1">
      <c r="A1130" s="1494"/>
      <c r="B1130" s="1482" t="s">
        <v>6924</v>
      </c>
      <c r="C1130" s="1445">
        <v>1</v>
      </c>
      <c r="D1130" s="1447" t="s">
        <v>3364</v>
      </c>
      <c r="E1130" s="1445">
        <v>1</v>
      </c>
      <c r="F1130" s="1446">
        <v>14.17</v>
      </c>
      <c r="G1130" s="1446">
        <v>9.0449999999999999</v>
      </c>
      <c r="H1130" s="1447"/>
      <c r="I1130" s="1494">
        <f t="shared" si="59"/>
        <v>128.16999999999999</v>
      </c>
      <c r="J1130" s="1527"/>
      <c r="K1130" s="1481"/>
      <c r="L1130" s="1481"/>
      <c r="M1130" s="1481"/>
      <c r="N1130" s="1481"/>
      <c r="O1130" s="1481"/>
      <c r="P1130" s="1481"/>
      <c r="Q1130" s="1481"/>
      <c r="R1130" s="1481"/>
      <c r="S1130" s="1481"/>
      <c r="T1130" s="1481"/>
      <c r="U1130" s="1481"/>
      <c r="V1130" s="1481"/>
      <c r="W1130" s="1481"/>
      <c r="X1130" s="1481"/>
      <c r="Y1130" s="1481"/>
      <c r="Z1130" s="1481"/>
      <c r="AA1130" s="1481"/>
      <c r="AB1130" s="1481"/>
      <c r="AC1130" s="1481"/>
      <c r="AD1130" s="1481"/>
      <c r="AE1130" s="1481"/>
      <c r="AF1130" s="1481"/>
      <c r="AG1130" s="1481"/>
    </row>
    <row r="1131" spans="1:33" ht="15.75" customHeight="1">
      <c r="A1131" s="1494"/>
      <c r="B1131" s="1482" t="s">
        <v>7540</v>
      </c>
      <c r="C1131" s="1445">
        <v>1</v>
      </c>
      <c r="D1131" s="1447" t="s">
        <v>3364</v>
      </c>
      <c r="E1131" s="1445">
        <v>1</v>
      </c>
      <c r="F1131" s="1446">
        <v>5.7</v>
      </c>
      <c r="G1131" s="1446">
        <v>10.475</v>
      </c>
      <c r="H1131" s="1447"/>
      <c r="I1131" s="1494">
        <f t="shared" si="59"/>
        <v>59.71</v>
      </c>
      <c r="J1131" s="1527"/>
      <c r="K1131" s="1481"/>
      <c r="L1131" s="1481"/>
      <c r="M1131" s="1481"/>
      <c r="N1131" s="1481"/>
      <c r="O1131" s="1481"/>
      <c r="P1131" s="1481"/>
      <c r="Q1131" s="1481"/>
      <c r="R1131" s="1481"/>
      <c r="S1131" s="1481"/>
      <c r="T1131" s="1481"/>
      <c r="U1131" s="1481"/>
      <c r="V1131" s="1481"/>
      <c r="W1131" s="1481"/>
      <c r="X1131" s="1481"/>
      <c r="Y1131" s="1481"/>
      <c r="Z1131" s="1481"/>
      <c r="AA1131" s="1481"/>
      <c r="AB1131" s="1481"/>
      <c r="AC1131" s="1481"/>
      <c r="AD1131" s="1481"/>
      <c r="AE1131" s="1481"/>
      <c r="AF1131" s="1481"/>
      <c r="AG1131" s="1481"/>
    </row>
    <row r="1132" spans="1:33" ht="15.75" customHeight="1">
      <c r="A1132" s="1494"/>
      <c r="B1132" s="1482" t="s">
        <v>7165</v>
      </c>
      <c r="C1132" s="1445">
        <v>1</v>
      </c>
      <c r="D1132" s="1447" t="s">
        <v>3364</v>
      </c>
      <c r="E1132" s="1445">
        <v>1</v>
      </c>
      <c r="F1132" s="1446">
        <v>3.895</v>
      </c>
      <c r="G1132" s="1446">
        <v>3.94</v>
      </c>
      <c r="H1132" s="1447"/>
      <c r="I1132" s="1494">
        <f t="shared" si="59"/>
        <v>15.35</v>
      </c>
      <c r="J1132" s="1527"/>
      <c r="K1132" s="1481"/>
      <c r="L1132" s="1481"/>
      <c r="M1132" s="1481"/>
      <c r="N1132" s="1481"/>
      <c r="O1132" s="1481"/>
      <c r="P1132" s="1481"/>
      <c r="Q1132" s="1481"/>
      <c r="R1132" s="1481"/>
      <c r="S1132" s="1481"/>
      <c r="T1132" s="1481"/>
      <c r="U1132" s="1481"/>
      <c r="V1132" s="1481"/>
      <c r="W1132" s="1481"/>
      <c r="X1132" s="1481"/>
      <c r="Y1132" s="1481"/>
      <c r="Z1132" s="1481"/>
      <c r="AA1132" s="1481"/>
      <c r="AB1132" s="1481"/>
      <c r="AC1132" s="1481"/>
      <c r="AD1132" s="1481"/>
      <c r="AE1132" s="1481"/>
      <c r="AF1132" s="1481"/>
      <c r="AG1132" s="1481"/>
    </row>
    <row r="1133" spans="1:33" ht="15.75" customHeight="1">
      <c r="A1133" s="1494"/>
      <c r="B1133" s="1480" t="s">
        <v>7169</v>
      </c>
      <c r="C1133" s="1445">
        <v>1</v>
      </c>
      <c r="D1133" s="1447" t="s">
        <v>3364</v>
      </c>
      <c r="E1133" s="1445">
        <v>6</v>
      </c>
      <c r="F1133" s="1446">
        <v>3.43</v>
      </c>
      <c r="G1133" s="1446">
        <v>4.96</v>
      </c>
      <c r="H1133" s="1447"/>
      <c r="I1133" s="1494">
        <f t="shared" si="59"/>
        <v>102.08</v>
      </c>
      <c r="J1133" s="1527"/>
      <c r="K1133" s="1481"/>
      <c r="L1133" s="1481"/>
      <c r="M1133" s="1481"/>
      <c r="N1133" s="1481"/>
      <c r="O1133" s="1481"/>
      <c r="P1133" s="1481"/>
      <c r="Q1133" s="1481"/>
      <c r="R1133" s="1481"/>
      <c r="S1133" s="1481"/>
      <c r="T1133" s="1481"/>
      <c r="U1133" s="1481"/>
      <c r="V1133" s="1481"/>
      <c r="W1133" s="1481"/>
      <c r="X1133" s="1481"/>
      <c r="Y1133" s="1481"/>
      <c r="Z1133" s="1481"/>
      <c r="AA1133" s="1481"/>
      <c r="AB1133" s="1481"/>
      <c r="AC1133" s="1481"/>
      <c r="AD1133" s="1481"/>
      <c r="AE1133" s="1481"/>
      <c r="AF1133" s="1481"/>
      <c r="AG1133" s="1481"/>
    </row>
    <row r="1134" spans="1:33" ht="15.75" customHeight="1">
      <c r="A1134" s="1494"/>
      <c r="B1134" s="1485" t="s">
        <v>7158</v>
      </c>
      <c r="C1134" s="1445"/>
      <c r="D1134" s="1447"/>
      <c r="E1134" s="1445"/>
      <c r="F1134" s="1446"/>
      <c r="G1134" s="1446"/>
      <c r="H1134" s="1447"/>
      <c r="I1134" s="1494">
        <f t="shared" si="59"/>
        <v>0</v>
      </c>
      <c r="J1134" s="1527"/>
      <c r="K1134" s="1481"/>
      <c r="L1134" s="1481"/>
      <c r="M1134" s="1481"/>
      <c r="N1134" s="1481"/>
      <c r="O1134" s="1481"/>
      <c r="P1134" s="1481"/>
      <c r="Q1134" s="1481"/>
      <c r="R1134" s="1481"/>
      <c r="S1134" s="1481"/>
      <c r="T1134" s="1481"/>
      <c r="U1134" s="1481"/>
      <c r="V1134" s="1481"/>
      <c r="W1134" s="1481"/>
      <c r="X1134" s="1481"/>
      <c r="Y1134" s="1481"/>
      <c r="Z1134" s="1481"/>
      <c r="AA1134" s="1481"/>
      <c r="AB1134" s="1481"/>
      <c r="AC1134" s="1481"/>
      <c r="AD1134" s="1481"/>
      <c r="AE1134" s="1481"/>
      <c r="AF1134" s="1481"/>
      <c r="AG1134" s="1481"/>
    </row>
    <row r="1135" spans="1:33" ht="15.75" customHeight="1">
      <c r="A1135" s="1443"/>
      <c r="B1135" s="1452" t="s">
        <v>3497</v>
      </c>
      <c r="C1135" s="1445">
        <v>1</v>
      </c>
      <c r="D1135" s="1453" t="s">
        <v>3364</v>
      </c>
      <c r="E1135" s="1445">
        <v>-1</v>
      </c>
      <c r="F1135" s="1446">
        <v>1.8</v>
      </c>
      <c r="G1135" s="1446"/>
      <c r="H1135" s="1447">
        <v>2</v>
      </c>
      <c r="I1135" s="1494">
        <f t="shared" si="59"/>
        <v>-3.6</v>
      </c>
      <c r="J1135" s="1449"/>
      <c r="K1135" s="1439"/>
      <c r="L1135" s="1439"/>
      <c r="M1135" s="1439"/>
      <c r="N1135" s="1439"/>
      <c r="O1135" s="1439"/>
      <c r="P1135" s="1439"/>
      <c r="Q1135" s="1439"/>
      <c r="R1135" s="1439"/>
      <c r="S1135" s="1439"/>
      <c r="T1135" s="1439"/>
      <c r="U1135" s="1439"/>
      <c r="V1135" s="1439"/>
      <c r="W1135" s="1439"/>
      <c r="X1135" s="1439"/>
      <c r="Y1135" s="1439"/>
      <c r="Z1135" s="1439"/>
      <c r="AA1135" s="1439"/>
      <c r="AB1135" s="1439"/>
      <c r="AC1135" s="1439"/>
      <c r="AD1135" s="1439"/>
      <c r="AE1135" s="1439"/>
      <c r="AF1135" s="1439"/>
      <c r="AG1135" s="1439"/>
    </row>
    <row r="1136" spans="1:33" ht="15.75" customHeight="1">
      <c r="A1136" s="1443"/>
      <c r="B1136" s="1452" t="s">
        <v>3414</v>
      </c>
      <c r="C1136" s="1445">
        <v>14</v>
      </c>
      <c r="D1136" s="1453" t="s">
        <v>3364</v>
      </c>
      <c r="E1136" s="1445">
        <v>-1</v>
      </c>
      <c r="F1136" s="1446">
        <v>1.8</v>
      </c>
      <c r="G1136" s="1446"/>
      <c r="H1136" s="1447">
        <v>1.35</v>
      </c>
      <c r="I1136" s="1494">
        <f t="shared" si="59"/>
        <v>-34.020000000000003</v>
      </c>
      <c r="J1136" s="1449"/>
      <c r="K1136" s="1439"/>
      <c r="L1136" s="1439"/>
      <c r="M1136" s="1439"/>
      <c r="N1136" s="1439"/>
      <c r="O1136" s="1439"/>
      <c r="P1136" s="1439"/>
      <c r="Q1136" s="1439"/>
      <c r="R1136" s="1439"/>
      <c r="S1136" s="1439"/>
      <c r="T1136" s="1439"/>
      <c r="U1136" s="1439"/>
      <c r="V1136" s="1439"/>
      <c r="W1136" s="1439"/>
      <c r="X1136" s="1439"/>
      <c r="Y1136" s="1439"/>
      <c r="Z1136" s="1439"/>
      <c r="AA1136" s="1439"/>
      <c r="AB1136" s="1439"/>
      <c r="AC1136" s="1439"/>
      <c r="AD1136" s="1439"/>
      <c r="AE1136" s="1439"/>
      <c r="AF1136" s="1439"/>
      <c r="AG1136" s="1439"/>
    </row>
    <row r="1137" spans="1:33" ht="15.75" customHeight="1">
      <c r="A1137" s="1443"/>
      <c r="B1137" s="1452" t="s">
        <v>7413</v>
      </c>
      <c r="C1137" s="1445">
        <v>1</v>
      </c>
      <c r="D1137" s="1453" t="s">
        <v>3364</v>
      </c>
      <c r="E1137" s="1445">
        <v>-1</v>
      </c>
      <c r="F1137" s="1446">
        <v>0.9</v>
      </c>
      <c r="G1137" s="1446"/>
      <c r="H1137" s="1447">
        <v>2</v>
      </c>
      <c r="I1137" s="1494">
        <f t="shared" si="59"/>
        <v>-1.8</v>
      </c>
      <c r="J1137" s="1449"/>
      <c r="K1137" s="1439"/>
      <c r="L1137" s="1439"/>
      <c r="M1137" s="1439"/>
      <c r="N1137" s="1439"/>
      <c r="O1137" s="1439"/>
      <c r="P1137" s="1439"/>
      <c r="Q1137" s="1439"/>
      <c r="R1137" s="1439"/>
      <c r="S1137" s="1439"/>
      <c r="T1137" s="1439"/>
      <c r="U1137" s="1439"/>
      <c r="V1137" s="1439"/>
      <c r="W1137" s="1439"/>
      <c r="X1137" s="1439"/>
      <c r="Y1137" s="1439"/>
      <c r="Z1137" s="1439"/>
      <c r="AA1137" s="1439"/>
      <c r="AB1137" s="1439"/>
      <c r="AC1137" s="1439"/>
      <c r="AD1137" s="1439"/>
      <c r="AE1137" s="1439"/>
      <c r="AF1137" s="1439"/>
      <c r="AG1137" s="1439"/>
    </row>
    <row r="1138" spans="1:33" ht="15.75" customHeight="1">
      <c r="A1138" s="1494"/>
      <c r="B1138" s="1529" t="s">
        <v>386</v>
      </c>
      <c r="C1138" s="1445"/>
      <c r="D1138" s="1447"/>
      <c r="E1138" s="1445"/>
      <c r="F1138" s="1446"/>
      <c r="G1138" s="1446"/>
      <c r="H1138" s="1447"/>
      <c r="I1138" s="1494">
        <f t="shared" si="59"/>
        <v>0</v>
      </c>
      <c r="J1138" s="1527"/>
      <c r="K1138" s="1481"/>
      <c r="L1138" s="1481"/>
      <c r="M1138" s="1481"/>
      <c r="N1138" s="1481"/>
      <c r="O1138" s="1481"/>
      <c r="P1138" s="1481"/>
      <c r="Q1138" s="1481"/>
      <c r="R1138" s="1481"/>
      <c r="S1138" s="1481"/>
      <c r="T1138" s="1481"/>
      <c r="U1138" s="1481"/>
      <c r="V1138" s="1481"/>
      <c r="W1138" s="1481"/>
      <c r="X1138" s="1481"/>
      <c r="Y1138" s="1481"/>
      <c r="Z1138" s="1481"/>
      <c r="AA1138" s="1481"/>
      <c r="AB1138" s="1481"/>
      <c r="AC1138" s="1481"/>
      <c r="AD1138" s="1481"/>
      <c r="AE1138" s="1481"/>
      <c r="AF1138" s="1481"/>
      <c r="AG1138" s="1481"/>
    </row>
    <row r="1139" spans="1:33" ht="15.75" customHeight="1">
      <c r="A1139" s="1494"/>
      <c r="B1139" s="1530" t="s">
        <v>7143</v>
      </c>
      <c r="C1139" s="1445">
        <v>1</v>
      </c>
      <c r="D1139" s="1447" t="s">
        <v>3364</v>
      </c>
      <c r="E1139" s="1445">
        <v>1</v>
      </c>
      <c r="F1139" s="1446">
        <v>3.43</v>
      </c>
      <c r="G1139" s="1446">
        <v>8.82</v>
      </c>
      <c r="H1139" s="1447"/>
      <c r="I1139" s="1494">
        <f t="shared" si="59"/>
        <v>30.25</v>
      </c>
      <c r="J1139" s="1527"/>
      <c r="K1139" s="1481"/>
      <c r="L1139" s="1481"/>
      <c r="M1139" s="1481"/>
      <c r="N1139" s="1481"/>
      <c r="O1139" s="1481"/>
      <c r="P1139" s="1481"/>
      <c r="Q1139" s="1481"/>
      <c r="R1139" s="1481"/>
      <c r="S1139" s="1481"/>
      <c r="T1139" s="1481"/>
      <c r="U1139" s="1481"/>
      <c r="V1139" s="1481"/>
      <c r="W1139" s="1481"/>
      <c r="X1139" s="1481"/>
      <c r="Y1139" s="1481"/>
      <c r="Z1139" s="1481"/>
      <c r="AA1139" s="1481"/>
      <c r="AB1139" s="1481"/>
      <c r="AC1139" s="1481"/>
      <c r="AD1139" s="1481"/>
      <c r="AE1139" s="1481"/>
      <c r="AF1139" s="1481"/>
      <c r="AG1139" s="1481"/>
    </row>
    <row r="1140" spans="1:33" ht="15.75" customHeight="1">
      <c r="A1140" s="1494"/>
      <c r="B1140" s="1530" t="s">
        <v>7059</v>
      </c>
      <c r="C1140" s="1445">
        <v>1</v>
      </c>
      <c r="D1140" s="1447" t="s">
        <v>3364</v>
      </c>
      <c r="E1140" s="1445">
        <v>1</v>
      </c>
      <c r="F1140" s="1446">
        <v>2.2999999999999998</v>
      </c>
      <c r="G1140" s="1446">
        <v>2.2999999999999998</v>
      </c>
      <c r="H1140" s="1447"/>
      <c r="I1140" s="1494">
        <f t="shared" si="59"/>
        <v>5.29</v>
      </c>
      <c r="J1140" s="1527"/>
      <c r="K1140" s="1481"/>
      <c r="L1140" s="1481"/>
      <c r="M1140" s="1481"/>
      <c r="N1140" s="1481"/>
      <c r="O1140" s="1481"/>
      <c r="P1140" s="1481"/>
      <c r="Q1140" s="1481"/>
      <c r="R1140" s="1481"/>
      <c r="S1140" s="1481"/>
      <c r="T1140" s="1481"/>
      <c r="U1140" s="1481"/>
      <c r="V1140" s="1481"/>
      <c r="W1140" s="1481"/>
      <c r="X1140" s="1481"/>
      <c r="Y1140" s="1481"/>
      <c r="Z1140" s="1481"/>
      <c r="AA1140" s="1481"/>
      <c r="AB1140" s="1481"/>
      <c r="AC1140" s="1481"/>
      <c r="AD1140" s="1481"/>
      <c r="AE1140" s="1481"/>
      <c r="AF1140" s="1481"/>
      <c r="AG1140" s="1481"/>
    </row>
    <row r="1141" spans="1:33" ht="15.75" customHeight="1">
      <c r="A1141" s="1494"/>
      <c r="B1141" s="1485" t="s">
        <v>7158</v>
      </c>
      <c r="C1141" s="1445"/>
      <c r="D1141" s="1447"/>
      <c r="E1141" s="1445"/>
      <c r="F1141" s="1446"/>
      <c r="G1141" s="1446"/>
      <c r="H1141" s="1447"/>
      <c r="I1141" s="1494">
        <f t="shared" si="59"/>
        <v>0</v>
      </c>
      <c r="J1141" s="1527"/>
      <c r="K1141" s="1481"/>
      <c r="L1141" s="1481"/>
      <c r="M1141" s="1481"/>
      <c r="N1141" s="1481"/>
      <c r="O1141" s="1481"/>
      <c r="P1141" s="1481"/>
      <c r="Q1141" s="1481"/>
      <c r="R1141" s="1481"/>
      <c r="S1141" s="1481"/>
      <c r="T1141" s="1481"/>
      <c r="U1141" s="1481"/>
      <c r="V1141" s="1481"/>
      <c r="W1141" s="1481"/>
      <c r="X1141" s="1481"/>
      <c r="Y1141" s="1481"/>
      <c r="Z1141" s="1481"/>
      <c r="AA1141" s="1481"/>
      <c r="AB1141" s="1481"/>
      <c r="AC1141" s="1481"/>
      <c r="AD1141" s="1481"/>
      <c r="AE1141" s="1481"/>
      <c r="AF1141" s="1481"/>
      <c r="AG1141" s="1481"/>
    </row>
    <row r="1142" spans="1:33" ht="15.75" customHeight="1">
      <c r="A1142" s="1494"/>
      <c r="B1142" s="1531" t="s">
        <v>3363</v>
      </c>
      <c r="C1142" s="1445">
        <v>1</v>
      </c>
      <c r="D1142" s="1447" t="s">
        <v>3364</v>
      </c>
      <c r="E1142" s="1445">
        <v>1</v>
      </c>
      <c r="F1142" s="1446">
        <v>0.9</v>
      </c>
      <c r="G1142" s="1446">
        <v>0.6</v>
      </c>
      <c r="H1142" s="1447"/>
      <c r="I1142" s="1494">
        <f t="shared" si="59"/>
        <v>0.54</v>
      </c>
      <c r="J1142" s="1527"/>
      <c r="K1142" s="1481"/>
      <c r="L1142" s="1481"/>
      <c r="M1142" s="1481"/>
      <c r="N1142" s="1481"/>
      <c r="O1142" s="1481"/>
      <c r="P1142" s="1481"/>
      <c r="Q1142" s="1481"/>
      <c r="R1142" s="1481"/>
      <c r="S1142" s="1481"/>
      <c r="T1142" s="1481"/>
      <c r="U1142" s="1481"/>
      <c r="V1142" s="1481"/>
      <c r="W1142" s="1481"/>
      <c r="X1142" s="1481"/>
      <c r="Y1142" s="1481"/>
      <c r="Z1142" s="1481"/>
      <c r="AA1142" s="1481"/>
      <c r="AB1142" s="1481"/>
      <c r="AC1142" s="1481"/>
      <c r="AD1142" s="1481"/>
      <c r="AE1142" s="1481"/>
      <c r="AF1142" s="1481"/>
      <c r="AG1142" s="1481"/>
    </row>
    <row r="1143" spans="1:33" ht="15.75" customHeight="1">
      <c r="A1143" s="1494"/>
      <c r="B1143" s="1528" t="s">
        <v>7432</v>
      </c>
      <c r="C1143" s="1445"/>
      <c r="D1143" s="1447"/>
      <c r="E1143" s="1445"/>
      <c r="F1143" s="1446"/>
      <c r="G1143" s="1446"/>
      <c r="H1143" s="1447"/>
      <c r="I1143" s="1494"/>
      <c r="J1143" s="1527"/>
      <c r="K1143" s="1481"/>
      <c r="L1143" s="1481"/>
      <c r="M1143" s="1481"/>
      <c r="N1143" s="1481"/>
      <c r="O1143" s="1481"/>
      <c r="P1143" s="1481"/>
      <c r="Q1143" s="1481"/>
      <c r="R1143" s="1481"/>
      <c r="S1143" s="1481"/>
      <c r="T1143" s="1481"/>
      <c r="U1143" s="1481"/>
      <c r="V1143" s="1481"/>
      <c r="W1143" s="1481"/>
      <c r="X1143" s="1481"/>
      <c r="Y1143" s="1481"/>
      <c r="Z1143" s="1481"/>
      <c r="AA1143" s="1481"/>
      <c r="AB1143" s="1481"/>
      <c r="AC1143" s="1481"/>
      <c r="AD1143" s="1481"/>
      <c r="AE1143" s="1481"/>
      <c r="AF1143" s="1481"/>
      <c r="AG1143" s="1481"/>
    </row>
    <row r="1144" spans="1:33" ht="15.75" customHeight="1">
      <c r="A1144" s="1451"/>
      <c r="B1144" s="1444" t="s">
        <v>3456</v>
      </c>
      <c r="C1144" s="1484"/>
      <c r="D1144" s="1484"/>
      <c r="E1144" s="1484"/>
      <c r="F1144" s="1446"/>
      <c r="G1144" s="1446"/>
      <c r="H1144" s="1447"/>
      <c r="I1144" s="1448"/>
      <c r="J1144" s="1475"/>
      <c r="K1144" s="1439"/>
      <c r="L1144" s="1439"/>
      <c r="M1144" s="1439"/>
      <c r="N1144" s="1439"/>
      <c r="O1144" s="1439"/>
      <c r="P1144" s="1439"/>
      <c r="Q1144" s="1439"/>
      <c r="R1144" s="1439"/>
      <c r="S1144" s="1439"/>
      <c r="T1144" s="1439"/>
      <c r="U1144" s="1439"/>
      <c r="V1144" s="1439"/>
      <c r="W1144" s="1439"/>
      <c r="X1144" s="1439"/>
      <c r="Y1144" s="1439"/>
      <c r="Z1144" s="1439"/>
      <c r="AA1144" s="1439"/>
      <c r="AB1144" s="1439"/>
      <c r="AC1144" s="1439"/>
      <c r="AD1144" s="1439"/>
      <c r="AE1144" s="1439"/>
      <c r="AF1144" s="1439"/>
      <c r="AG1144" s="1439"/>
    </row>
    <row r="1145" spans="1:33" ht="15.75" customHeight="1">
      <c r="A1145" s="1448"/>
      <c r="B1145" s="1480" t="s">
        <v>7079</v>
      </c>
      <c r="C1145" s="1445">
        <v>1</v>
      </c>
      <c r="D1145" s="1447" t="s">
        <v>3364</v>
      </c>
      <c r="E1145" s="1445">
        <v>1</v>
      </c>
      <c r="F1145" s="1446">
        <v>3.43</v>
      </c>
      <c r="G1145" s="1446">
        <v>0.6</v>
      </c>
      <c r="H1145" s="1447"/>
      <c r="I1145" s="1494">
        <f>PRODUCT(C1145:H1145)</f>
        <v>2.06</v>
      </c>
      <c r="J1145" s="1449"/>
      <c r="K1145" s="1481"/>
      <c r="L1145" s="1481"/>
      <c r="M1145" s="1481"/>
      <c r="N1145" s="1481"/>
      <c r="O1145" s="1481"/>
      <c r="P1145" s="1481"/>
      <c r="Q1145" s="1481"/>
      <c r="R1145" s="1481"/>
      <c r="S1145" s="1481"/>
      <c r="T1145" s="1481"/>
      <c r="U1145" s="1481"/>
      <c r="V1145" s="1481"/>
      <c r="W1145" s="1481"/>
      <c r="X1145" s="1481"/>
      <c r="Y1145" s="1481"/>
      <c r="Z1145" s="1481"/>
      <c r="AA1145" s="1481"/>
      <c r="AB1145" s="1481"/>
      <c r="AC1145" s="1481"/>
      <c r="AD1145" s="1481"/>
      <c r="AE1145" s="1481"/>
      <c r="AF1145" s="1481"/>
      <c r="AG1145" s="1481"/>
    </row>
    <row r="1146" spans="1:33" ht="15.75" customHeight="1">
      <c r="A1146" s="1448"/>
      <c r="B1146" s="1482" t="s">
        <v>7495</v>
      </c>
      <c r="C1146" s="1445">
        <v>2</v>
      </c>
      <c r="D1146" s="1447" t="s">
        <v>3364</v>
      </c>
      <c r="E1146" s="1445">
        <v>1</v>
      </c>
      <c r="F1146" s="1446">
        <f>3.2+1.5</f>
        <v>4.7</v>
      </c>
      <c r="G1146" s="1446">
        <v>0.6</v>
      </c>
      <c r="H1146" s="1447"/>
      <c r="I1146" s="1494">
        <f>PRODUCT(C1146:H1146)</f>
        <v>5.64</v>
      </c>
      <c r="J1146" s="1449"/>
      <c r="K1146" s="1481"/>
      <c r="L1146" s="1481"/>
      <c r="M1146" s="1481"/>
      <c r="N1146" s="1481"/>
      <c r="O1146" s="1481"/>
      <c r="P1146" s="1481"/>
      <c r="Q1146" s="1481"/>
      <c r="R1146" s="1481"/>
      <c r="S1146" s="1481"/>
      <c r="T1146" s="1481"/>
      <c r="U1146" s="1481"/>
      <c r="V1146" s="1481"/>
      <c r="W1146" s="1481"/>
      <c r="X1146" s="1481"/>
      <c r="Y1146" s="1481"/>
      <c r="Z1146" s="1481"/>
      <c r="AA1146" s="1481"/>
      <c r="AB1146" s="1481"/>
      <c r="AC1146" s="1481"/>
      <c r="AD1146" s="1481"/>
      <c r="AE1146" s="1481"/>
      <c r="AF1146" s="1481"/>
      <c r="AG1146" s="1481"/>
    </row>
    <row r="1147" spans="1:33" ht="15.75" customHeight="1">
      <c r="A1147" s="1451"/>
      <c r="B1147" s="1444" t="s">
        <v>3457</v>
      </c>
      <c r="C1147" s="1484"/>
      <c r="D1147" s="1484"/>
      <c r="E1147" s="1484"/>
      <c r="F1147" s="1446"/>
      <c r="G1147" s="1446"/>
      <c r="H1147" s="1447"/>
      <c r="I1147" s="1448"/>
      <c r="J1147" s="1475"/>
      <c r="K1147" s="1439"/>
      <c r="L1147" s="1439"/>
      <c r="M1147" s="1439"/>
      <c r="N1147" s="1439"/>
      <c r="O1147" s="1439"/>
      <c r="P1147" s="1439"/>
      <c r="Q1147" s="1439"/>
      <c r="R1147" s="1439"/>
      <c r="S1147" s="1439"/>
      <c r="T1147" s="1439"/>
      <c r="U1147" s="1439"/>
      <c r="V1147" s="1439"/>
      <c r="W1147" s="1439"/>
      <c r="X1147" s="1439"/>
      <c r="Y1147" s="1439"/>
      <c r="Z1147" s="1439"/>
      <c r="AA1147" s="1439"/>
      <c r="AB1147" s="1439"/>
      <c r="AC1147" s="1439"/>
      <c r="AD1147" s="1439"/>
      <c r="AE1147" s="1439"/>
      <c r="AF1147" s="1439"/>
      <c r="AG1147" s="1439"/>
    </row>
    <row r="1148" spans="1:33" ht="15.75" customHeight="1">
      <c r="A1148" s="1448"/>
      <c r="B1148" s="1480" t="s">
        <v>7081</v>
      </c>
      <c r="C1148" s="1445">
        <v>2</v>
      </c>
      <c r="D1148" s="1447" t="s">
        <v>3364</v>
      </c>
      <c r="E1148" s="1445">
        <v>1</v>
      </c>
      <c r="F1148" s="1446">
        <v>5.0350000000000001</v>
      </c>
      <c r="G1148" s="1446">
        <v>0.6</v>
      </c>
      <c r="H1148" s="1447"/>
      <c r="I1148" s="1494">
        <f>PRODUCT(C1148:H1148)</f>
        <v>6.04</v>
      </c>
      <c r="J1148" s="1449"/>
      <c r="K1148" s="1481"/>
      <c r="L1148" s="1481"/>
      <c r="M1148" s="1481"/>
      <c r="N1148" s="1481"/>
      <c r="O1148" s="1481"/>
      <c r="P1148" s="1481"/>
      <c r="Q1148" s="1481"/>
      <c r="R1148" s="1481"/>
      <c r="S1148" s="1481"/>
      <c r="T1148" s="1481"/>
      <c r="U1148" s="1481"/>
      <c r="V1148" s="1481"/>
      <c r="W1148" s="1481"/>
      <c r="X1148" s="1481"/>
      <c r="Y1148" s="1481"/>
      <c r="Z1148" s="1481"/>
      <c r="AA1148" s="1481"/>
      <c r="AB1148" s="1481"/>
      <c r="AC1148" s="1481"/>
      <c r="AD1148" s="1481"/>
      <c r="AE1148" s="1481"/>
      <c r="AF1148" s="1481"/>
      <c r="AG1148" s="1481"/>
    </row>
    <row r="1149" spans="1:33" ht="15.75" customHeight="1">
      <c r="A1149" s="1448"/>
      <c r="B1149" s="1480" t="s">
        <v>7082</v>
      </c>
      <c r="C1149" s="1445">
        <v>2</v>
      </c>
      <c r="D1149" s="1447" t="s">
        <v>3364</v>
      </c>
      <c r="E1149" s="1445">
        <v>1</v>
      </c>
      <c r="F1149" s="1446">
        <v>4.57</v>
      </c>
      <c r="G1149" s="1446">
        <v>0.6</v>
      </c>
      <c r="H1149" s="1447"/>
      <c r="I1149" s="1494">
        <f>PRODUCT(C1149:H1149)</f>
        <v>5.48</v>
      </c>
      <c r="J1149" s="1449"/>
      <c r="K1149" s="1481"/>
      <c r="L1149" s="1481"/>
      <c r="M1149" s="1481"/>
      <c r="N1149" s="1481"/>
      <c r="O1149" s="1481"/>
      <c r="P1149" s="1481"/>
      <c r="Q1149" s="1481"/>
      <c r="R1149" s="1481"/>
      <c r="S1149" s="1481"/>
      <c r="T1149" s="1481"/>
      <c r="U1149" s="1481"/>
      <c r="V1149" s="1481"/>
      <c r="W1149" s="1481"/>
      <c r="X1149" s="1481"/>
      <c r="Y1149" s="1481"/>
      <c r="Z1149" s="1481"/>
      <c r="AA1149" s="1481"/>
      <c r="AB1149" s="1481"/>
      <c r="AC1149" s="1481"/>
      <c r="AD1149" s="1481"/>
      <c r="AE1149" s="1481"/>
      <c r="AF1149" s="1481"/>
      <c r="AG1149" s="1481"/>
    </row>
    <row r="1150" spans="1:33" ht="15.75" customHeight="1">
      <c r="A1150" s="1448"/>
      <c r="B1150" s="1482" t="s">
        <v>7485</v>
      </c>
      <c r="C1150" s="1445">
        <v>2</v>
      </c>
      <c r="D1150" s="1467" t="s">
        <v>3364</v>
      </c>
      <c r="E1150" s="1445">
        <v>1</v>
      </c>
      <c r="F1150" s="1446">
        <v>4.57</v>
      </c>
      <c r="G1150" s="1446">
        <v>0.6</v>
      </c>
      <c r="H1150" s="1447"/>
      <c r="I1150" s="1494">
        <f>PRODUCT(C1150:H1150)</f>
        <v>5.48</v>
      </c>
      <c r="J1150" s="1449"/>
      <c r="K1150" s="1481"/>
      <c r="L1150" s="1481"/>
      <c r="M1150" s="1481"/>
      <c r="N1150" s="1481"/>
      <c r="O1150" s="1481"/>
      <c r="P1150" s="1481"/>
      <c r="Q1150" s="1481"/>
      <c r="R1150" s="1481"/>
      <c r="S1150" s="1481"/>
      <c r="T1150" s="1481"/>
      <c r="U1150" s="1481"/>
      <c r="V1150" s="1481"/>
      <c r="W1150" s="1481"/>
      <c r="X1150" s="1481"/>
      <c r="Y1150" s="1481"/>
      <c r="Z1150" s="1481"/>
      <c r="AA1150" s="1481"/>
      <c r="AB1150" s="1481"/>
      <c r="AC1150" s="1481"/>
      <c r="AD1150" s="1481"/>
      <c r="AE1150" s="1481"/>
      <c r="AF1150" s="1481"/>
      <c r="AG1150" s="1481"/>
    </row>
    <row r="1151" spans="1:33" ht="15.75" customHeight="1">
      <c r="A1151" s="1448"/>
      <c r="B1151" s="1482" t="s">
        <v>7486</v>
      </c>
      <c r="C1151" s="1445">
        <v>2</v>
      </c>
      <c r="D1151" s="1467" t="s">
        <v>3364</v>
      </c>
      <c r="E1151" s="1445">
        <v>1</v>
      </c>
      <c r="F1151" s="1446">
        <v>4.57</v>
      </c>
      <c r="G1151" s="1446">
        <v>0.6</v>
      </c>
      <c r="H1151" s="1447"/>
      <c r="I1151" s="1494">
        <f>PRODUCT(C1151:H1151)</f>
        <v>5.48</v>
      </c>
      <c r="J1151" s="1449"/>
      <c r="K1151" s="1481"/>
      <c r="L1151" s="1481"/>
      <c r="M1151" s="1481"/>
      <c r="N1151" s="1481"/>
      <c r="O1151" s="1481"/>
      <c r="P1151" s="1481"/>
      <c r="Q1151" s="1481"/>
      <c r="R1151" s="1481"/>
      <c r="S1151" s="1481"/>
      <c r="T1151" s="1481"/>
      <c r="U1151" s="1481"/>
      <c r="V1151" s="1481"/>
      <c r="W1151" s="1481"/>
      <c r="X1151" s="1481"/>
      <c r="Y1151" s="1481"/>
      <c r="Z1151" s="1481"/>
      <c r="AA1151" s="1481"/>
      <c r="AB1151" s="1481"/>
      <c r="AC1151" s="1481"/>
      <c r="AD1151" s="1481"/>
      <c r="AE1151" s="1481"/>
      <c r="AF1151" s="1481"/>
      <c r="AG1151" s="1481"/>
    </row>
    <row r="1152" spans="1:33" ht="15.75" customHeight="1">
      <c r="A1152" s="1448"/>
      <c r="B1152" s="1482" t="s">
        <v>7487</v>
      </c>
      <c r="C1152" s="1445">
        <v>2</v>
      </c>
      <c r="D1152" s="1447" t="s">
        <v>3364</v>
      </c>
      <c r="E1152" s="1445">
        <v>1</v>
      </c>
      <c r="F1152" s="1446">
        <v>5.0350000000000001</v>
      </c>
      <c r="G1152" s="1446">
        <v>0.6</v>
      </c>
      <c r="H1152" s="1447"/>
      <c r="I1152" s="1494">
        <f>PRODUCT(C1152:H1152)</f>
        <v>6.04</v>
      </c>
      <c r="J1152" s="1449"/>
      <c r="K1152" s="1481"/>
      <c r="L1152" s="1481"/>
      <c r="M1152" s="1481"/>
      <c r="N1152" s="1481"/>
      <c r="O1152" s="1481"/>
      <c r="P1152" s="1481"/>
      <c r="Q1152" s="1481"/>
      <c r="R1152" s="1481"/>
      <c r="S1152" s="1481"/>
      <c r="T1152" s="1481"/>
      <c r="U1152" s="1481"/>
      <c r="V1152" s="1481"/>
      <c r="W1152" s="1481"/>
      <c r="X1152" s="1481"/>
      <c r="Y1152" s="1481"/>
      <c r="Z1152" s="1481"/>
      <c r="AA1152" s="1481"/>
      <c r="AB1152" s="1481"/>
      <c r="AC1152" s="1481"/>
      <c r="AD1152" s="1481"/>
      <c r="AE1152" s="1481"/>
      <c r="AF1152" s="1481"/>
      <c r="AG1152" s="1481"/>
    </row>
    <row r="1153" spans="1:33" ht="15.75" customHeight="1">
      <c r="A1153" s="1451"/>
      <c r="B1153" s="1444" t="s">
        <v>3461</v>
      </c>
      <c r="C1153" s="1484"/>
      <c r="D1153" s="1484"/>
      <c r="E1153" s="1484"/>
      <c r="F1153" s="1446"/>
      <c r="G1153" s="1446"/>
      <c r="H1153" s="1447"/>
      <c r="I1153" s="1448"/>
      <c r="J1153" s="1475"/>
      <c r="K1153" s="1439"/>
      <c r="L1153" s="1439"/>
      <c r="M1153" s="1439"/>
      <c r="N1153" s="1439"/>
      <c r="O1153" s="1439"/>
      <c r="P1153" s="1439"/>
      <c r="Q1153" s="1439"/>
      <c r="R1153" s="1439"/>
      <c r="S1153" s="1439"/>
      <c r="T1153" s="1439"/>
      <c r="U1153" s="1439"/>
      <c r="V1153" s="1439"/>
      <c r="W1153" s="1439"/>
      <c r="X1153" s="1439"/>
      <c r="Y1153" s="1439"/>
      <c r="Z1153" s="1439"/>
      <c r="AA1153" s="1439"/>
      <c r="AB1153" s="1439"/>
      <c r="AC1153" s="1439"/>
      <c r="AD1153" s="1439"/>
      <c r="AE1153" s="1439"/>
      <c r="AF1153" s="1439"/>
      <c r="AG1153" s="1439"/>
    </row>
    <row r="1154" spans="1:33" ht="15.75" customHeight="1">
      <c r="A1154" s="1486"/>
      <c r="B1154" s="1487" t="s">
        <v>7488</v>
      </c>
      <c r="C1154" s="1488">
        <v>1</v>
      </c>
      <c r="D1154" s="1488" t="s">
        <v>3364</v>
      </c>
      <c r="E1154" s="1488">
        <v>1</v>
      </c>
      <c r="F1154" s="1454">
        <v>3.43</v>
      </c>
      <c r="G1154" s="1454">
        <v>0.6</v>
      </c>
      <c r="H1154" s="1467"/>
      <c r="I1154" s="1494">
        <f t="shared" ref="I1154:I1162" si="60">PRODUCT(C1154:H1154)</f>
        <v>2.06</v>
      </c>
      <c r="J1154" s="1489"/>
      <c r="K1154" s="1490"/>
      <c r="L1154" s="1490"/>
      <c r="M1154" s="1490"/>
      <c r="N1154" s="1490"/>
      <c r="O1154" s="1490"/>
      <c r="P1154" s="1490"/>
      <c r="Q1154" s="1490"/>
      <c r="R1154" s="1490"/>
      <c r="S1154" s="1490"/>
      <c r="T1154" s="1490"/>
      <c r="U1154" s="1490"/>
      <c r="V1154" s="1490"/>
      <c r="W1154" s="1490"/>
      <c r="X1154" s="1490"/>
      <c r="Y1154" s="1490"/>
      <c r="Z1154" s="1490"/>
      <c r="AA1154" s="1490"/>
      <c r="AB1154" s="1490"/>
      <c r="AC1154" s="1490"/>
      <c r="AD1154" s="1490"/>
      <c r="AE1154" s="1490"/>
      <c r="AF1154" s="1490"/>
      <c r="AG1154" s="1490"/>
    </row>
    <row r="1155" spans="1:33" ht="15.75" customHeight="1">
      <c r="A1155" s="1448"/>
      <c r="B1155" s="1480" t="s">
        <v>7084</v>
      </c>
      <c r="C1155" s="1445">
        <v>3</v>
      </c>
      <c r="D1155" s="1447" t="s">
        <v>3364</v>
      </c>
      <c r="E1155" s="1488">
        <v>1</v>
      </c>
      <c r="F1155" s="1454">
        <v>8.17</v>
      </c>
      <c r="G1155" s="1446">
        <v>0.6</v>
      </c>
      <c r="H1155" s="1447"/>
      <c r="I1155" s="1494">
        <f t="shared" si="60"/>
        <v>14.71</v>
      </c>
      <c r="J1155" s="1449"/>
      <c r="K1155" s="1481"/>
      <c r="L1155" s="1481"/>
      <c r="M1155" s="1481"/>
      <c r="N1155" s="1481"/>
      <c r="O1155" s="1481"/>
      <c r="P1155" s="1481"/>
      <c r="Q1155" s="1481"/>
      <c r="R1155" s="1481"/>
      <c r="S1155" s="1481"/>
      <c r="T1155" s="1481"/>
      <c r="U1155" s="1481"/>
      <c r="V1155" s="1481"/>
      <c r="W1155" s="1481"/>
      <c r="X1155" s="1481"/>
      <c r="Y1155" s="1481"/>
      <c r="Z1155" s="1481"/>
      <c r="AA1155" s="1481"/>
      <c r="AB1155" s="1481"/>
      <c r="AC1155" s="1481"/>
      <c r="AD1155" s="1481"/>
      <c r="AE1155" s="1481"/>
      <c r="AF1155" s="1481"/>
      <c r="AG1155" s="1481"/>
    </row>
    <row r="1156" spans="1:33" ht="15.75" customHeight="1">
      <c r="A1156" s="1448"/>
      <c r="B1156" s="1480" t="s">
        <v>7085</v>
      </c>
      <c r="C1156" s="1445">
        <v>2</v>
      </c>
      <c r="D1156" s="1447" t="s">
        <v>3364</v>
      </c>
      <c r="E1156" s="1488">
        <v>1</v>
      </c>
      <c r="F1156" s="1454">
        <v>5.8849999999999998</v>
      </c>
      <c r="G1156" s="1446">
        <v>0.6</v>
      </c>
      <c r="H1156" s="1447"/>
      <c r="I1156" s="1494">
        <f t="shared" si="60"/>
        <v>7.06</v>
      </c>
      <c r="J1156" s="1449"/>
      <c r="K1156" s="1481"/>
      <c r="L1156" s="1481"/>
      <c r="M1156" s="1481"/>
      <c r="N1156" s="1481"/>
      <c r="O1156" s="1481"/>
      <c r="P1156" s="1481"/>
      <c r="Q1156" s="1481"/>
      <c r="R1156" s="1481"/>
      <c r="S1156" s="1481"/>
      <c r="T1156" s="1481"/>
      <c r="U1156" s="1481"/>
      <c r="V1156" s="1481"/>
      <c r="W1156" s="1481"/>
      <c r="X1156" s="1481"/>
      <c r="Y1156" s="1481"/>
      <c r="Z1156" s="1481"/>
      <c r="AA1156" s="1481"/>
      <c r="AB1156" s="1481"/>
      <c r="AC1156" s="1481"/>
      <c r="AD1156" s="1481"/>
      <c r="AE1156" s="1481"/>
      <c r="AF1156" s="1481"/>
      <c r="AG1156" s="1481"/>
    </row>
    <row r="1157" spans="1:33" ht="15.75" customHeight="1">
      <c r="A1157" s="1448"/>
      <c r="B1157" s="1482" t="s">
        <v>7489</v>
      </c>
      <c r="C1157" s="1445">
        <v>2</v>
      </c>
      <c r="D1157" s="1447" t="s">
        <v>3364</v>
      </c>
      <c r="E1157" s="1488">
        <v>1</v>
      </c>
      <c r="F1157" s="1454">
        <v>5.03</v>
      </c>
      <c r="G1157" s="1446">
        <v>0.6</v>
      </c>
      <c r="H1157" s="1447"/>
      <c r="I1157" s="1494">
        <f t="shared" si="60"/>
        <v>6.04</v>
      </c>
      <c r="J1157" s="1449"/>
      <c r="K1157" s="1481"/>
      <c r="L1157" s="1481"/>
      <c r="M1157" s="1481"/>
      <c r="N1157" s="1481"/>
      <c r="O1157" s="1481"/>
      <c r="P1157" s="1481"/>
      <c r="Q1157" s="1481"/>
      <c r="R1157" s="1481"/>
      <c r="S1157" s="1481"/>
      <c r="T1157" s="1481"/>
      <c r="U1157" s="1481"/>
      <c r="V1157" s="1481"/>
      <c r="W1157" s="1481"/>
      <c r="X1157" s="1481"/>
      <c r="Y1157" s="1481"/>
      <c r="Z1157" s="1481"/>
      <c r="AA1157" s="1481"/>
      <c r="AB1157" s="1481"/>
      <c r="AC1157" s="1481"/>
      <c r="AD1157" s="1481"/>
      <c r="AE1157" s="1481"/>
      <c r="AF1157" s="1481"/>
      <c r="AG1157" s="1481"/>
    </row>
    <row r="1158" spans="1:33" ht="15.75" customHeight="1">
      <c r="A1158" s="1448"/>
      <c r="B1158" s="1482" t="s">
        <v>7490</v>
      </c>
      <c r="C1158" s="1445">
        <v>2</v>
      </c>
      <c r="D1158" s="1447" t="s">
        <v>3364</v>
      </c>
      <c r="E1158" s="1488">
        <v>1</v>
      </c>
      <c r="F1158" s="1454">
        <v>4.96</v>
      </c>
      <c r="G1158" s="1446">
        <v>0.6</v>
      </c>
      <c r="H1158" s="1447"/>
      <c r="I1158" s="1494">
        <f t="shared" si="60"/>
        <v>5.95</v>
      </c>
      <c r="J1158" s="1449"/>
      <c r="K1158" s="1481"/>
      <c r="L1158" s="1481"/>
      <c r="M1158" s="1481"/>
      <c r="N1158" s="1481"/>
      <c r="O1158" s="1481"/>
      <c r="P1158" s="1481"/>
      <c r="Q1158" s="1481"/>
      <c r="R1158" s="1481"/>
      <c r="S1158" s="1481"/>
      <c r="T1158" s="1481"/>
      <c r="U1158" s="1481"/>
      <c r="V1158" s="1481"/>
      <c r="W1158" s="1481"/>
      <c r="X1158" s="1481"/>
      <c r="Y1158" s="1481"/>
      <c r="Z1158" s="1481"/>
      <c r="AA1158" s="1481"/>
      <c r="AB1158" s="1481"/>
      <c r="AC1158" s="1481"/>
      <c r="AD1158" s="1481"/>
      <c r="AE1158" s="1481"/>
      <c r="AF1158" s="1481"/>
      <c r="AG1158" s="1481"/>
    </row>
    <row r="1159" spans="1:33" ht="15.75" customHeight="1">
      <c r="A1159" s="1448"/>
      <c r="B1159" s="1480" t="s">
        <v>7087</v>
      </c>
      <c r="C1159" s="1445">
        <v>2</v>
      </c>
      <c r="D1159" s="1447" t="s">
        <v>3364</v>
      </c>
      <c r="E1159" s="1488">
        <v>1</v>
      </c>
      <c r="F1159" s="1454">
        <v>4.57</v>
      </c>
      <c r="G1159" s="1446">
        <v>0.6</v>
      </c>
      <c r="H1159" s="1447"/>
      <c r="I1159" s="1494">
        <f t="shared" si="60"/>
        <v>5.48</v>
      </c>
      <c r="J1159" s="1449"/>
      <c r="K1159" s="1481"/>
      <c r="L1159" s="1481"/>
      <c r="M1159" s="1481"/>
      <c r="N1159" s="1481"/>
      <c r="O1159" s="1481"/>
      <c r="P1159" s="1481"/>
      <c r="Q1159" s="1481"/>
      <c r="R1159" s="1481"/>
      <c r="S1159" s="1481"/>
      <c r="T1159" s="1481"/>
      <c r="U1159" s="1481"/>
      <c r="V1159" s="1481"/>
      <c r="W1159" s="1481"/>
      <c r="X1159" s="1481"/>
      <c r="Y1159" s="1481"/>
      <c r="Z1159" s="1481"/>
      <c r="AA1159" s="1481"/>
      <c r="AB1159" s="1481"/>
      <c r="AC1159" s="1481"/>
      <c r="AD1159" s="1481"/>
      <c r="AE1159" s="1481"/>
      <c r="AF1159" s="1481"/>
      <c r="AG1159" s="1481"/>
    </row>
    <row r="1160" spans="1:33" ht="15.75" customHeight="1">
      <c r="A1160" s="1448"/>
      <c r="B1160" s="1480" t="s">
        <v>7088</v>
      </c>
      <c r="C1160" s="1445">
        <v>2</v>
      </c>
      <c r="D1160" s="1447" t="s">
        <v>3364</v>
      </c>
      <c r="E1160" s="1488">
        <v>1</v>
      </c>
      <c r="F1160" s="1454">
        <v>4.57</v>
      </c>
      <c r="G1160" s="1446">
        <v>0.6</v>
      </c>
      <c r="H1160" s="1447"/>
      <c r="I1160" s="1494">
        <f t="shared" si="60"/>
        <v>5.48</v>
      </c>
      <c r="J1160" s="1449"/>
      <c r="K1160" s="1481"/>
      <c r="L1160" s="1481"/>
      <c r="M1160" s="1481"/>
      <c r="N1160" s="1481"/>
      <c r="O1160" s="1481"/>
      <c r="P1160" s="1481"/>
      <c r="Q1160" s="1481"/>
      <c r="R1160" s="1481"/>
      <c r="S1160" s="1481"/>
      <c r="T1160" s="1481"/>
      <c r="U1160" s="1481"/>
      <c r="V1160" s="1481"/>
      <c r="W1160" s="1481"/>
      <c r="X1160" s="1481"/>
      <c r="Y1160" s="1481"/>
      <c r="Z1160" s="1481"/>
      <c r="AA1160" s="1481"/>
      <c r="AB1160" s="1481"/>
      <c r="AC1160" s="1481"/>
      <c r="AD1160" s="1481"/>
      <c r="AE1160" s="1481"/>
      <c r="AF1160" s="1481"/>
      <c r="AG1160" s="1481"/>
    </row>
    <row r="1161" spans="1:33" ht="15.75" customHeight="1">
      <c r="A1161" s="1448"/>
      <c r="B1161" s="1480" t="s">
        <v>6689</v>
      </c>
      <c r="C1161" s="1445">
        <v>2</v>
      </c>
      <c r="D1161" s="1447" t="s">
        <v>3364</v>
      </c>
      <c r="E1161" s="1488">
        <v>1</v>
      </c>
      <c r="F1161" s="1454">
        <v>4.57</v>
      </c>
      <c r="G1161" s="1446">
        <v>0.6</v>
      </c>
      <c r="H1161" s="1447"/>
      <c r="I1161" s="1494">
        <f t="shared" si="60"/>
        <v>5.48</v>
      </c>
      <c r="J1161" s="1449"/>
      <c r="K1161" s="1481"/>
      <c r="L1161" s="1481"/>
      <c r="M1161" s="1481"/>
      <c r="N1161" s="1481"/>
      <c r="O1161" s="1481"/>
      <c r="P1161" s="1481"/>
      <c r="Q1161" s="1481"/>
      <c r="R1161" s="1481"/>
      <c r="S1161" s="1481"/>
      <c r="T1161" s="1481"/>
      <c r="U1161" s="1481"/>
      <c r="V1161" s="1481"/>
      <c r="W1161" s="1481"/>
      <c r="X1161" s="1481"/>
      <c r="Y1161" s="1481"/>
      <c r="Z1161" s="1481"/>
      <c r="AA1161" s="1481"/>
      <c r="AB1161" s="1481"/>
      <c r="AC1161" s="1481"/>
      <c r="AD1161" s="1481"/>
      <c r="AE1161" s="1481"/>
      <c r="AF1161" s="1481"/>
      <c r="AG1161" s="1481"/>
    </row>
    <row r="1162" spans="1:33" ht="15.75" customHeight="1">
      <c r="A1162" s="1448"/>
      <c r="B1162" s="1480" t="s">
        <v>7089</v>
      </c>
      <c r="C1162" s="1445">
        <v>2</v>
      </c>
      <c r="D1162" s="1447" t="s">
        <v>3364</v>
      </c>
      <c r="E1162" s="1488">
        <v>1</v>
      </c>
      <c r="F1162" s="1454">
        <v>4.57</v>
      </c>
      <c r="G1162" s="1446">
        <v>0.6</v>
      </c>
      <c r="H1162" s="1447"/>
      <c r="I1162" s="1494">
        <f t="shared" si="60"/>
        <v>5.48</v>
      </c>
      <c r="J1162" s="1449"/>
      <c r="K1162" s="1481"/>
      <c r="L1162" s="1481"/>
      <c r="M1162" s="1481"/>
      <c r="N1162" s="1481"/>
      <c r="O1162" s="1481"/>
      <c r="P1162" s="1481"/>
      <c r="Q1162" s="1481"/>
      <c r="R1162" s="1481"/>
      <c r="S1162" s="1481"/>
      <c r="T1162" s="1481"/>
      <c r="U1162" s="1481"/>
      <c r="V1162" s="1481"/>
      <c r="W1162" s="1481"/>
      <c r="X1162" s="1481"/>
      <c r="Y1162" s="1481"/>
      <c r="Z1162" s="1481"/>
      <c r="AA1162" s="1481"/>
      <c r="AB1162" s="1481"/>
      <c r="AC1162" s="1481"/>
      <c r="AD1162" s="1481"/>
      <c r="AE1162" s="1481"/>
      <c r="AF1162" s="1481"/>
      <c r="AG1162" s="1481"/>
    </row>
    <row r="1163" spans="1:33" ht="15.75" customHeight="1">
      <c r="A1163" s="1451"/>
      <c r="B1163" s="1444" t="s">
        <v>7090</v>
      </c>
      <c r="C1163" s="1484"/>
      <c r="D1163" s="1484"/>
      <c r="E1163" s="1484"/>
      <c r="F1163" s="1446"/>
      <c r="G1163" s="1446"/>
      <c r="H1163" s="1447"/>
      <c r="I1163" s="1448"/>
      <c r="J1163" s="1475"/>
      <c r="K1163" s="1439"/>
      <c r="L1163" s="1439"/>
      <c r="M1163" s="1439"/>
      <c r="N1163" s="1439"/>
      <c r="O1163" s="1466"/>
      <c r="P1163" s="1466"/>
      <c r="Q1163" s="1466"/>
      <c r="R1163" s="1466"/>
      <c r="S1163" s="1466"/>
      <c r="T1163" s="1466"/>
      <c r="U1163" s="1466"/>
      <c r="V1163" s="1466"/>
      <c r="W1163" s="1466"/>
      <c r="X1163" s="1466"/>
      <c r="Y1163" s="1466"/>
      <c r="Z1163" s="1466"/>
      <c r="AA1163" s="1466"/>
      <c r="AB1163" s="1466"/>
      <c r="AC1163" s="1466"/>
      <c r="AD1163" s="1466"/>
      <c r="AE1163" s="1466"/>
      <c r="AF1163" s="1466"/>
      <c r="AG1163" s="1466"/>
    </row>
    <row r="1164" spans="1:33" ht="15.75" customHeight="1">
      <c r="A1164" s="1448"/>
      <c r="B1164" s="1482" t="s">
        <v>7491</v>
      </c>
      <c r="C1164" s="1445">
        <v>4</v>
      </c>
      <c r="D1164" s="1447" t="s">
        <v>3364</v>
      </c>
      <c r="E1164" s="1445">
        <v>1</v>
      </c>
      <c r="F1164" s="1446">
        <v>5.0350000000000001</v>
      </c>
      <c r="G1164" s="1446">
        <v>0.6</v>
      </c>
      <c r="H1164" s="1447"/>
      <c r="I1164" s="1494">
        <f t="shared" ref="I1164:I1173" si="61">PRODUCT(C1164:H1164)</f>
        <v>12.08</v>
      </c>
      <c r="J1164" s="1449"/>
      <c r="K1164" s="1481"/>
      <c r="L1164" s="1481"/>
      <c r="M1164" s="1481"/>
      <c r="N1164" s="1481"/>
      <c r="O1164" s="1481"/>
      <c r="P1164" s="1481"/>
      <c r="Q1164" s="1481"/>
      <c r="R1164" s="1481"/>
      <c r="S1164" s="1481"/>
      <c r="T1164" s="1481"/>
      <c r="U1164" s="1481"/>
      <c r="V1164" s="1481"/>
      <c r="W1164" s="1481"/>
      <c r="X1164" s="1481"/>
      <c r="Y1164" s="1481"/>
      <c r="Z1164" s="1481"/>
      <c r="AA1164" s="1481"/>
      <c r="AB1164" s="1481"/>
      <c r="AC1164" s="1481"/>
      <c r="AD1164" s="1481"/>
      <c r="AE1164" s="1481"/>
      <c r="AF1164" s="1481"/>
      <c r="AG1164" s="1481"/>
    </row>
    <row r="1165" spans="1:33" ht="15.75" customHeight="1">
      <c r="A1165" s="1448"/>
      <c r="B1165" s="1480" t="s">
        <v>7065</v>
      </c>
      <c r="C1165" s="1445">
        <v>2</v>
      </c>
      <c r="D1165" s="1447" t="s">
        <v>3364</v>
      </c>
      <c r="E1165" s="1445">
        <v>1</v>
      </c>
      <c r="F1165" s="1446">
        <v>5.0350000000000001</v>
      </c>
      <c r="G1165" s="1446">
        <v>0.6</v>
      </c>
      <c r="H1165" s="1447"/>
      <c r="I1165" s="1494">
        <f t="shared" si="61"/>
        <v>6.04</v>
      </c>
      <c r="J1165" s="1449"/>
      <c r="K1165" s="1481"/>
      <c r="L1165" s="1481"/>
      <c r="M1165" s="1481"/>
      <c r="N1165" s="1481"/>
      <c r="O1165" s="1481"/>
      <c r="P1165" s="1481"/>
      <c r="Q1165" s="1481"/>
      <c r="R1165" s="1481"/>
      <c r="S1165" s="1481"/>
      <c r="T1165" s="1481"/>
      <c r="U1165" s="1481"/>
      <c r="V1165" s="1481"/>
      <c r="W1165" s="1481"/>
      <c r="X1165" s="1481"/>
      <c r="Y1165" s="1481"/>
      <c r="Z1165" s="1481"/>
      <c r="AA1165" s="1481"/>
      <c r="AB1165" s="1481"/>
      <c r="AC1165" s="1481"/>
      <c r="AD1165" s="1481"/>
      <c r="AE1165" s="1481"/>
      <c r="AF1165" s="1481"/>
      <c r="AG1165" s="1481"/>
    </row>
    <row r="1166" spans="1:33" ht="15.75" customHeight="1">
      <c r="A1166" s="1448"/>
      <c r="B1166" s="1480" t="s">
        <v>7092</v>
      </c>
      <c r="C1166" s="1445">
        <v>2</v>
      </c>
      <c r="D1166" s="1447" t="s">
        <v>3364</v>
      </c>
      <c r="E1166" s="1445">
        <v>1</v>
      </c>
      <c r="F1166" s="1446">
        <f>4.57+3.94</f>
        <v>8.51</v>
      </c>
      <c r="G1166" s="1446">
        <v>0.6</v>
      </c>
      <c r="H1166" s="1447"/>
      <c r="I1166" s="1494">
        <f t="shared" si="61"/>
        <v>10.210000000000001</v>
      </c>
      <c r="J1166" s="1449"/>
      <c r="K1166" s="1481"/>
      <c r="L1166" s="1481"/>
      <c r="M1166" s="1481"/>
      <c r="N1166" s="1481"/>
      <c r="O1166" s="1481"/>
      <c r="P1166" s="1481"/>
      <c r="Q1166" s="1481"/>
      <c r="R1166" s="1481"/>
      <c r="S1166" s="1481"/>
      <c r="T1166" s="1481"/>
      <c r="U1166" s="1481"/>
      <c r="V1166" s="1481"/>
      <c r="W1166" s="1481"/>
      <c r="X1166" s="1481"/>
      <c r="Y1166" s="1481"/>
      <c r="Z1166" s="1481"/>
      <c r="AA1166" s="1481"/>
      <c r="AB1166" s="1481"/>
      <c r="AC1166" s="1481"/>
      <c r="AD1166" s="1481"/>
      <c r="AE1166" s="1481"/>
      <c r="AF1166" s="1481"/>
      <c r="AG1166" s="1481"/>
    </row>
    <row r="1167" spans="1:33" ht="15.75" customHeight="1">
      <c r="A1167" s="1448"/>
      <c r="B1167" s="1482" t="s">
        <v>7492</v>
      </c>
      <c r="C1167" s="1445">
        <v>2</v>
      </c>
      <c r="D1167" s="1447" t="s">
        <v>3364</v>
      </c>
      <c r="E1167" s="1445">
        <v>1</v>
      </c>
      <c r="F1167" s="1446">
        <v>4.57</v>
      </c>
      <c r="G1167" s="1446">
        <v>0.6</v>
      </c>
      <c r="H1167" s="1447"/>
      <c r="I1167" s="1494">
        <f t="shared" si="61"/>
        <v>5.48</v>
      </c>
      <c r="J1167" s="1449"/>
      <c r="K1167" s="1481"/>
      <c r="L1167" s="1481"/>
      <c r="M1167" s="1481"/>
      <c r="N1167" s="1481"/>
      <c r="O1167" s="1481"/>
      <c r="P1167" s="1481"/>
      <c r="Q1167" s="1481"/>
      <c r="R1167" s="1481"/>
      <c r="S1167" s="1481"/>
      <c r="T1167" s="1481"/>
      <c r="U1167" s="1481"/>
      <c r="V1167" s="1481"/>
      <c r="W1167" s="1481"/>
      <c r="X1167" s="1481"/>
      <c r="Y1167" s="1481"/>
      <c r="Z1167" s="1481"/>
      <c r="AA1167" s="1481"/>
      <c r="AB1167" s="1481"/>
      <c r="AC1167" s="1481"/>
      <c r="AD1167" s="1481"/>
      <c r="AE1167" s="1481"/>
      <c r="AF1167" s="1481"/>
      <c r="AG1167" s="1481"/>
    </row>
    <row r="1168" spans="1:33" ht="15.75" customHeight="1">
      <c r="A1168" s="1448"/>
      <c r="B1168" s="1482" t="s">
        <v>7493</v>
      </c>
      <c r="C1168" s="1445">
        <v>2</v>
      </c>
      <c r="D1168" s="1447" t="s">
        <v>3364</v>
      </c>
      <c r="E1168" s="1445">
        <v>1</v>
      </c>
      <c r="F1168" s="1446">
        <v>4.96</v>
      </c>
      <c r="G1168" s="1446">
        <v>0.6</v>
      </c>
      <c r="H1168" s="1447"/>
      <c r="I1168" s="1494">
        <f t="shared" si="61"/>
        <v>5.95</v>
      </c>
      <c r="J1168" s="1449"/>
      <c r="K1168" s="1481"/>
      <c r="L1168" s="1481"/>
      <c r="M1168" s="1481"/>
      <c r="N1168" s="1481"/>
      <c r="O1168" s="1481"/>
      <c r="P1168" s="1481"/>
      <c r="Q1168" s="1481"/>
      <c r="R1168" s="1481"/>
      <c r="S1168" s="1481"/>
      <c r="T1168" s="1481"/>
      <c r="U1168" s="1481"/>
      <c r="V1168" s="1481"/>
      <c r="W1168" s="1481"/>
      <c r="X1168" s="1481"/>
      <c r="Y1168" s="1481"/>
      <c r="Z1168" s="1481"/>
      <c r="AA1168" s="1481"/>
      <c r="AB1168" s="1481"/>
      <c r="AC1168" s="1481"/>
      <c r="AD1168" s="1481"/>
      <c r="AE1168" s="1481"/>
      <c r="AF1168" s="1481"/>
      <c r="AG1168" s="1481"/>
    </row>
    <row r="1169" spans="1:33" ht="15.75" customHeight="1">
      <c r="A1169" s="1448"/>
      <c r="B1169" s="1471" t="s">
        <v>7077</v>
      </c>
      <c r="C1169" s="1445"/>
      <c r="D1169" s="1447"/>
      <c r="E1169" s="1445"/>
      <c r="F1169" s="1446"/>
      <c r="G1169" s="1446"/>
      <c r="H1169" s="1447"/>
      <c r="I1169" s="1494">
        <f t="shared" si="61"/>
        <v>0</v>
      </c>
      <c r="J1169" s="1449"/>
      <c r="K1169" s="1481"/>
      <c r="L1169" s="1481"/>
      <c r="M1169" s="1481"/>
      <c r="N1169" s="1481"/>
      <c r="O1169" s="1481"/>
      <c r="P1169" s="1481"/>
      <c r="Q1169" s="1481"/>
      <c r="R1169" s="1481"/>
      <c r="S1169" s="1481"/>
      <c r="T1169" s="1481"/>
      <c r="U1169" s="1481"/>
      <c r="V1169" s="1481"/>
      <c r="W1169" s="1481"/>
      <c r="X1169" s="1481"/>
      <c r="Y1169" s="1481"/>
      <c r="Z1169" s="1481"/>
      <c r="AA1169" s="1481"/>
      <c r="AB1169" s="1481"/>
      <c r="AC1169" s="1481"/>
      <c r="AD1169" s="1481"/>
      <c r="AE1169" s="1481"/>
      <c r="AF1169" s="1481"/>
      <c r="AG1169" s="1481"/>
    </row>
    <row r="1170" spans="1:33" ht="15.75" customHeight="1">
      <c r="A1170" s="1448"/>
      <c r="B1170" s="1482" t="s">
        <v>7215</v>
      </c>
      <c r="C1170" s="1445">
        <v>4</v>
      </c>
      <c r="D1170" s="1447" t="s">
        <v>3364</v>
      </c>
      <c r="E1170" s="1445">
        <v>1</v>
      </c>
      <c r="F1170" s="1446">
        <v>2.52</v>
      </c>
      <c r="G1170" s="1446">
        <v>0.6</v>
      </c>
      <c r="H1170" s="1447"/>
      <c r="I1170" s="1494">
        <f t="shared" si="61"/>
        <v>6.05</v>
      </c>
      <c r="J1170" s="1449"/>
      <c r="K1170" s="1481"/>
      <c r="L1170" s="1481"/>
      <c r="M1170" s="1481"/>
      <c r="N1170" s="1481"/>
      <c r="O1170" s="1481"/>
      <c r="P1170" s="1481"/>
      <c r="Q1170" s="1481"/>
      <c r="R1170" s="1481"/>
      <c r="S1170" s="1481"/>
      <c r="T1170" s="1481"/>
      <c r="U1170" s="1481"/>
      <c r="V1170" s="1481"/>
      <c r="W1170" s="1481"/>
      <c r="X1170" s="1481"/>
      <c r="Y1170" s="1481"/>
      <c r="Z1170" s="1481"/>
      <c r="AA1170" s="1481"/>
      <c r="AB1170" s="1481"/>
      <c r="AC1170" s="1481"/>
      <c r="AD1170" s="1481"/>
      <c r="AE1170" s="1481"/>
      <c r="AF1170" s="1481"/>
      <c r="AG1170" s="1481"/>
    </row>
    <row r="1171" spans="1:33" ht="15.75" customHeight="1">
      <c r="A1171" s="1448"/>
      <c r="B1171" s="1482" t="s">
        <v>7494</v>
      </c>
      <c r="C1171" s="1445">
        <v>4</v>
      </c>
      <c r="D1171" s="1447" t="s">
        <v>3364</v>
      </c>
      <c r="E1171" s="1445">
        <v>1</v>
      </c>
      <c r="F1171" s="1446">
        <v>2.4</v>
      </c>
      <c r="G1171" s="1446">
        <v>0.6</v>
      </c>
      <c r="H1171" s="1447"/>
      <c r="I1171" s="1494">
        <f t="shared" si="61"/>
        <v>5.76</v>
      </c>
      <c r="J1171" s="1449"/>
      <c r="K1171" s="1481"/>
      <c r="L1171" s="1481"/>
      <c r="M1171" s="1481"/>
      <c r="N1171" s="1481"/>
      <c r="O1171" s="1481"/>
      <c r="P1171" s="1481"/>
      <c r="Q1171" s="1481"/>
      <c r="R1171" s="1481"/>
      <c r="S1171" s="1481"/>
      <c r="T1171" s="1481"/>
      <c r="U1171" s="1481"/>
      <c r="V1171" s="1481"/>
      <c r="W1171" s="1481"/>
      <c r="X1171" s="1481"/>
      <c r="Y1171" s="1481"/>
      <c r="Z1171" s="1481"/>
      <c r="AA1171" s="1481"/>
      <c r="AB1171" s="1481"/>
      <c r="AC1171" s="1481"/>
      <c r="AD1171" s="1481"/>
      <c r="AE1171" s="1481"/>
      <c r="AF1171" s="1481"/>
      <c r="AG1171" s="1481"/>
    </row>
    <row r="1172" spans="1:33" ht="15.75" customHeight="1">
      <c r="A1172" s="1448"/>
      <c r="B1172" s="1482" t="s">
        <v>6760</v>
      </c>
      <c r="C1172" s="1445">
        <v>2</v>
      </c>
      <c r="D1172" s="1447" t="s">
        <v>3364</v>
      </c>
      <c r="E1172" s="1445">
        <v>1</v>
      </c>
      <c r="F1172" s="1446">
        <v>9.0449999999999999</v>
      </c>
      <c r="G1172" s="1446">
        <v>0.6</v>
      </c>
      <c r="H1172" s="1447"/>
      <c r="I1172" s="1494">
        <f t="shared" si="61"/>
        <v>10.85</v>
      </c>
      <c r="J1172" s="1449"/>
      <c r="K1172" s="1481"/>
      <c r="L1172" s="1481"/>
      <c r="M1172" s="1481"/>
      <c r="N1172" s="1481"/>
      <c r="O1172" s="1481"/>
      <c r="P1172" s="1481"/>
      <c r="Q1172" s="1481"/>
      <c r="R1172" s="1481"/>
      <c r="S1172" s="1481"/>
      <c r="T1172" s="1481"/>
      <c r="U1172" s="1481"/>
      <c r="V1172" s="1481"/>
      <c r="W1172" s="1481"/>
      <c r="X1172" s="1481"/>
      <c r="Y1172" s="1481"/>
      <c r="Z1172" s="1481"/>
      <c r="AA1172" s="1481"/>
      <c r="AB1172" s="1481"/>
      <c r="AC1172" s="1481"/>
      <c r="AD1172" s="1481"/>
      <c r="AE1172" s="1481"/>
      <c r="AF1172" s="1481"/>
      <c r="AG1172" s="1481"/>
    </row>
    <row r="1173" spans="1:33" ht="15.75" customHeight="1">
      <c r="A1173" s="1448"/>
      <c r="B1173" s="1480" t="s">
        <v>7093</v>
      </c>
      <c r="C1173" s="1445">
        <v>1</v>
      </c>
      <c r="D1173" s="1447" t="s">
        <v>3364</v>
      </c>
      <c r="E1173" s="1445">
        <v>1</v>
      </c>
      <c r="F1173" s="1446">
        <v>10.475</v>
      </c>
      <c r="G1173" s="1446">
        <v>0.6</v>
      </c>
      <c r="H1173" s="1447"/>
      <c r="I1173" s="1494">
        <f t="shared" si="61"/>
        <v>6.29</v>
      </c>
      <c r="J1173" s="1449"/>
      <c r="K1173" s="1481"/>
      <c r="L1173" s="1481"/>
      <c r="M1173" s="1481"/>
      <c r="N1173" s="1481"/>
      <c r="O1173" s="1481"/>
      <c r="P1173" s="1481"/>
      <c r="Q1173" s="1481"/>
      <c r="R1173" s="1481"/>
      <c r="S1173" s="1481"/>
      <c r="T1173" s="1481"/>
      <c r="U1173" s="1481"/>
      <c r="V1173" s="1481"/>
      <c r="W1173" s="1481"/>
      <c r="X1173" s="1481"/>
      <c r="Y1173" s="1481"/>
      <c r="Z1173" s="1481"/>
      <c r="AA1173" s="1481"/>
      <c r="AB1173" s="1481"/>
      <c r="AC1173" s="1481"/>
      <c r="AD1173" s="1481"/>
      <c r="AE1173" s="1481"/>
      <c r="AF1173" s="1481"/>
      <c r="AG1173" s="1481"/>
    </row>
    <row r="1174" spans="1:33" ht="15.75" customHeight="1">
      <c r="A1174" s="1451"/>
      <c r="B1174" s="1450"/>
      <c r="C1174" s="1484"/>
      <c r="D1174" s="1484"/>
      <c r="E1174" s="1484"/>
      <c r="F1174" s="1446"/>
      <c r="G1174" s="1446"/>
      <c r="H1174" s="1447"/>
      <c r="I1174" s="1459">
        <f>SUM(I1066:I1173)</f>
        <v>2189.7600000000002</v>
      </c>
      <c r="J1174" s="1492"/>
      <c r="K1174" s="1439"/>
      <c r="L1174" s="1439"/>
      <c r="M1174" s="1439"/>
      <c r="N1174" s="1439"/>
      <c r="O1174" s="1439"/>
      <c r="P1174" s="1439"/>
      <c r="Q1174" s="1439"/>
      <c r="R1174" s="1439"/>
      <c r="S1174" s="1439"/>
      <c r="T1174" s="1439"/>
      <c r="U1174" s="1439"/>
      <c r="V1174" s="1439"/>
      <c r="W1174" s="1439"/>
      <c r="X1174" s="1439"/>
      <c r="Y1174" s="1439"/>
      <c r="Z1174" s="1439"/>
      <c r="AA1174" s="1439"/>
      <c r="AB1174" s="1439"/>
      <c r="AC1174" s="1439"/>
      <c r="AD1174" s="1439"/>
      <c r="AE1174" s="1439"/>
      <c r="AF1174" s="1439"/>
      <c r="AG1174" s="1439"/>
    </row>
    <row r="1175" spans="1:33" ht="15.75" customHeight="1">
      <c r="A1175" s="1470"/>
      <c r="B1175" s="1450"/>
      <c r="C1175" s="1484"/>
      <c r="D1175" s="1484"/>
      <c r="E1175" s="1484"/>
      <c r="F1175" s="1446"/>
      <c r="G1175" s="1446"/>
      <c r="H1175" s="1460" t="s">
        <v>2981</v>
      </c>
      <c r="I1175" s="1459">
        <f>CEILING(I1174,0.1)</f>
        <v>2189.8000000000002</v>
      </c>
      <c r="J1175" s="1475" t="s">
        <v>724</v>
      </c>
      <c r="K1175" s="1439"/>
      <c r="L1175" s="1439"/>
      <c r="M1175" s="1439"/>
      <c r="N1175" s="1439"/>
      <c r="O1175" s="1439"/>
      <c r="P1175" s="1439"/>
      <c r="Q1175" s="1439"/>
      <c r="R1175" s="1439"/>
      <c r="S1175" s="1439"/>
      <c r="T1175" s="1439"/>
      <c r="U1175" s="1439"/>
      <c r="V1175" s="1439"/>
      <c r="W1175" s="1439"/>
      <c r="X1175" s="1439"/>
      <c r="Y1175" s="1439"/>
      <c r="Z1175" s="1439"/>
      <c r="AA1175" s="1439"/>
      <c r="AB1175" s="1439"/>
      <c r="AC1175" s="1439"/>
      <c r="AD1175" s="1439"/>
      <c r="AE1175" s="1439"/>
      <c r="AF1175" s="1439"/>
      <c r="AG1175" s="1439"/>
    </row>
    <row r="1176" spans="1:33" ht="15.75" customHeight="1">
      <c r="A1176" s="1451">
        <v>36</v>
      </c>
      <c r="B1176" s="1462" t="s">
        <v>7170</v>
      </c>
      <c r="C1176" s="1484"/>
      <c r="D1176" s="1484"/>
      <c r="E1176" s="1484"/>
      <c r="F1176" s="1446"/>
      <c r="G1176" s="1446"/>
      <c r="H1176" s="1447"/>
      <c r="I1176" s="1448"/>
      <c r="J1176" s="1475"/>
      <c r="K1176" s="1439"/>
      <c r="L1176" s="1439"/>
      <c r="M1176" s="1439"/>
      <c r="N1176" s="1439"/>
      <c r="O1176" s="1439"/>
      <c r="P1176" s="1439"/>
      <c r="Q1176" s="1439"/>
      <c r="R1176" s="1439"/>
      <c r="S1176" s="1439"/>
      <c r="T1176" s="1439"/>
      <c r="U1176" s="1439"/>
      <c r="V1176" s="1439"/>
      <c r="W1176" s="1439"/>
      <c r="X1176" s="1439"/>
      <c r="Y1176" s="1439"/>
      <c r="Z1176" s="1439"/>
      <c r="AA1176" s="1439"/>
      <c r="AB1176" s="1439"/>
      <c r="AC1176" s="1439"/>
      <c r="AD1176" s="1439"/>
      <c r="AE1176" s="1439"/>
      <c r="AF1176" s="1439"/>
      <c r="AG1176" s="1439"/>
    </row>
    <row r="1177" spans="1:33" ht="15.75" customHeight="1">
      <c r="A1177" s="1470"/>
      <c r="B1177" s="1456" t="s">
        <v>3508</v>
      </c>
      <c r="C1177" s="1484"/>
      <c r="D1177" s="1484"/>
      <c r="E1177" s="1484"/>
      <c r="F1177" s="1446"/>
      <c r="G1177" s="1446"/>
      <c r="H1177" s="1447"/>
      <c r="I1177" s="1448"/>
      <c r="J1177" s="1475"/>
      <c r="K1177" s="1439"/>
      <c r="L1177" s="1439">
        <f>0.23+8.82+0.23+2.3+0.23+3.43+11.81+3.43</f>
        <v>30.48</v>
      </c>
      <c r="M1177" s="1439"/>
      <c r="N1177" s="1439"/>
      <c r="O1177" s="1439"/>
      <c r="P1177" s="1439"/>
      <c r="Q1177" s="1439"/>
      <c r="R1177" s="1439"/>
      <c r="S1177" s="1439"/>
      <c r="T1177" s="1439"/>
      <c r="U1177" s="1439"/>
      <c r="V1177" s="1439"/>
      <c r="W1177" s="1439"/>
      <c r="X1177" s="1439"/>
      <c r="Y1177" s="1439"/>
      <c r="Z1177" s="1439"/>
      <c r="AA1177" s="1439"/>
      <c r="AB1177" s="1439"/>
      <c r="AC1177" s="1439"/>
      <c r="AD1177" s="1439"/>
      <c r="AE1177" s="1439"/>
      <c r="AF1177" s="1439"/>
      <c r="AG1177" s="1439"/>
    </row>
    <row r="1178" spans="1:33" ht="15.75" customHeight="1">
      <c r="A1178" s="1470"/>
      <c r="B1178" s="1450" t="s">
        <v>7171</v>
      </c>
      <c r="C1178" s="1484">
        <v>1</v>
      </c>
      <c r="D1178" s="1484" t="s">
        <v>3364</v>
      </c>
      <c r="E1178" s="1484">
        <v>3</v>
      </c>
      <c r="F1178" s="1446">
        <f>(18.43+27.89)*2</f>
        <v>92.64</v>
      </c>
      <c r="G1178" s="1446"/>
      <c r="H1178" s="1447"/>
      <c r="I1178" s="1494">
        <f>PRODUCT(C1178:H1178)</f>
        <v>277.92</v>
      </c>
      <c r="J1178" s="1475"/>
      <c r="K1178" s="1439"/>
      <c r="L1178" s="1439"/>
      <c r="M1178" s="1439"/>
      <c r="N1178" s="1439"/>
      <c r="O1178" s="1439"/>
      <c r="P1178" s="1439"/>
      <c r="Q1178" s="1439"/>
      <c r="R1178" s="1439"/>
      <c r="S1178" s="1439"/>
      <c r="T1178" s="1439"/>
      <c r="U1178" s="1439"/>
      <c r="V1178" s="1439"/>
      <c r="W1178" s="1439"/>
      <c r="X1178" s="1439"/>
      <c r="Y1178" s="1439"/>
      <c r="Z1178" s="1439"/>
      <c r="AA1178" s="1439"/>
      <c r="AB1178" s="1439"/>
      <c r="AC1178" s="1439"/>
      <c r="AD1178" s="1439"/>
      <c r="AE1178" s="1439"/>
      <c r="AF1178" s="1439"/>
      <c r="AG1178" s="1439"/>
    </row>
    <row r="1179" spans="1:33" ht="15.75" customHeight="1">
      <c r="A1179" s="1470"/>
      <c r="B1179" s="1450" t="s">
        <v>7172</v>
      </c>
      <c r="C1179" s="1484">
        <v>1</v>
      </c>
      <c r="D1179" s="1484" t="s">
        <v>3364</v>
      </c>
      <c r="E1179" s="1484">
        <v>1</v>
      </c>
      <c r="F1179" s="1446">
        <v>30.48</v>
      </c>
      <c r="G1179" s="1446"/>
      <c r="H1179" s="1447"/>
      <c r="I1179" s="1494">
        <f>PRODUCT(C1179:H1179)</f>
        <v>30.48</v>
      </c>
      <c r="J1179" s="1475"/>
      <c r="K1179" s="1439"/>
      <c r="L1179" s="1439">
        <f>L1177+L1178</f>
        <v>30.48</v>
      </c>
      <c r="M1179" s="1439"/>
      <c r="N1179" s="1439"/>
      <c r="O1179" s="1439"/>
      <c r="P1179" s="1439"/>
      <c r="Q1179" s="1439"/>
      <c r="R1179" s="1439"/>
      <c r="S1179" s="1439"/>
      <c r="T1179" s="1439"/>
      <c r="U1179" s="1439"/>
      <c r="V1179" s="1439"/>
      <c r="W1179" s="1439"/>
      <c r="X1179" s="1439"/>
      <c r="Y1179" s="1439"/>
      <c r="Z1179" s="1439"/>
      <c r="AA1179" s="1439"/>
      <c r="AB1179" s="1439"/>
      <c r="AC1179" s="1439"/>
      <c r="AD1179" s="1439"/>
      <c r="AE1179" s="1439"/>
      <c r="AF1179" s="1439"/>
      <c r="AG1179" s="1439"/>
    </row>
    <row r="1180" spans="1:33" ht="15.75" customHeight="1">
      <c r="A1180" s="1470"/>
      <c r="B1180" s="1450"/>
      <c r="C1180" s="1484"/>
      <c r="D1180" s="1484"/>
      <c r="E1180" s="1484"/>
      <c r="F1180" s="1446"/>
      <c r="G1180" s="1458" t="s">
        <v>104</v>
      </c>
      <c r="H1180" s="1447"/>
      <c r="I1180" s="1459">
        <f>SUM(I1178:I1179)</f>
        <v>308.39999999999998</v>
      </c>
      <c r="J1180" s="1475"/>
      <c r="K1180" s="1439"/>
      <c r="L1180" s="1439">
        <f>32.015+32.015+17+17</f>
        <v>98.03</v>
      </c>
      <c r="M1180" s="1439"/>
      <c r="N1180" s="1439"/>
      <c r="O1180" s="1439"/>
      <c r="P1180" s="1439"/>
      <c r="Q1180" s="1439"/>
      <c r="R1180" s="1439"/>
      <c r="S1180" s="1439"/>
      <c r="T1180" s="1439"/>
      <c r="U1180" s="1439"/>
      <c r="V1180" s="1439"/>
      <c r="W1180" s="1439"/>
      <c r="X1180" s="1439"/>
      <c r="Y1180" s="1439"/>
      <c r="Z1180" s="1439"/>
      <c r="AA1180" s="1439"/>
      <c r="AB1180" s="1439"/>
      <c r="AC1180" s="1439"/>
      <c r="AD1180" s="1439"/>
      <c r="AE1180" s="1439"/>
      <c r="AF1180" s="1439"/>
      <c r="AG1180" s="1439"/>
    </row>
    <row r="1181" spans="1:33" ht="15.75" customHeight="1">
      <c r="A1181" s="1470"/>
      <c r="B1181" s="1450"/>
      <c r="C1181" s="1484"/>
      <c r="D1181" s="1484"/>
      <c r="E1181" s="1484"/>
      <c r="F1181" s="1446"/>
      <c r="G1181" s="1446"/>
      <c r="H1181" s="1460" t="s">
        <v>2981</v>
      </c>
      <c r="I1181" s="1459">
        <f>CEILING(I1180,0.1)</f>
        <v>308.39999999999998</v>
      </c>
      <c r="J1181" s="1475" t="s">
        <v>13</v>
      </c>
      <c r="K1181" s="1439"/>
      <c r="L1181" s="1439"/>
      <c r="M1181" s="1439"/>
      <c r="N1181" s="1439"/>
      <c r="O1181" s="1439"/>
      <c r="P1181" s="1439"/>
      <c r="Q1181" s="1439"/>
      <c r="R1181" s="1439"/>
      <c r="S1181" s="1439"/>
      <c r="T1181" s="1439"/>
      <c r="U1181" s="1439"/>
      <c r="V1181" s="1439"/>
      <c r="W1181" s="1439"/>
      <c r="X1181" s="1439"/>
      <c r="Y1181" s="1439"/>
      <c r="Z1181" s="1439"/>
      <c r="AA1181" s="1439"/>
      <c r="AB1181" s="1439"/>
      <c r="AC1181" s="1439"/>
      <c r="AD1181" s="1439"/>
      <c r="AE1181" s="1439"/>
      <c r="AF1181" s="1439"/>
      <c r="AG1181" s="1439"/>
    </row>
    <row r="1182" spans="1:33" ht="15.75" customHeight="1">
      <c r="A1182" s="1470"/>
      <c r="B1182" s="1450"/>
      <c r="C1182" s="1484"/>
      <c r="D1182" s="1484"/>
      <c r="E1182" s="1484"/>
      <c r="F1182" s="1446"/>
      <c r="G1182" s="1446"/>
      <c r="H1182" s="1447"/>
      <c r="I1182" s="1448"/>
      <c r="J1182" s="1475"/>
      <c r="K1182" s="1439"/>
      <c r="L1182" s="1439"/>
      <c r="M1182" s="1439"/>
      <c r="N1182" s="1439"/>
      <c r="O1182" s="1439"/>
      <c r="P1182" s="1439"/>
      <c r="Q1182" s="1439"/>
      <c r="R1182" s="1439"/>
      <c r="S1182" s="1439"/>
      <c r="T1182" s="1439"/>
      <c r="U1182" s="1439"/>
      <c r="V1182" s="1439"/>
      <c r="W1182" s="1439"/>
      <c r="X1182" s="1439"/>
      <c r="Y1182" s="1439"/>
      <c r="Z1182" s="1439"/>
      <c r="AA1182" s="1439"/>
      <c r="AB1182" s="1439"/>
      <c r="AC1182" s="1439"/>
      <c r="AD1182" s="1439"/>
      <c r="AE1182" s="1439"/>
      <c r="AF1182" s="1439"/>
      <c r="AG1182" s="1439"/>
    </row>
    <row r="1183" spans="1:33" ht="15.75" customHeight="1">
      <c r="A1183" s="1470"/>
      <c r="B1183" s="1456" t="s">
        <v>3509</v>
      </c>
      <c r="C1183" s="1484"/>
      <c r="D1183" s="1484"/>
      <c r="E1183" s="1484"/>
      <c r="F1183" s="1446"/>
      <c r="G1183" s="1446"/>
      <c r="H1183" s="1447"/>
      <c r="I1183" s="1448"/>
      <c r="J1183" s="1475"/>
      <c r="K1183" s="1439"/>
      <c r="L1183" s="1439"/>
      <c r="M1183" s="1439"/>
      <c r="N1183" s="1439"/>
      <c r="O1183" s="1439"/>
      <c r="P1183" s="1439"/>
      <c r="Q1183" s="1439"/>
      <c r="R1183" s="1439"/>
      <c r="S1183" s="1439"/>
      <c r="T1183" s="1439"/>
      <c r="U1183" s="1439"/>
      <c r="V1183" s="1439"/>
      <c r="W1183" s="1439"/>
      <c r="X1183" s="1439"/>
      <c r="Y1183" s="1439"/>
      <c r="Z1183" s="1439"/>
      <c r="AA1183" s="1439"/>
      <c r="AB1183" s="1439"/>
      <c r="AC1183" s="1439"/>
      <c r="AD1183" s="1439"/>
      <c r="AE1183" s="1439"/>
      <c r="AF1183" s="1439"/>
      <c r="AG1183" s="1439"/>
    </row>
    <row r="1184" spans="1:33" ht="15.75" customHeight="1">
      <c r="A1184" s="1470"/>
      <c r="B1184" s="1450" t="s">
        <v>7171</v>
      </c>
      <c r="C1184" s="1484">
        <v>1</v>
      </c>
      <c r="D1184" s="1484" t="s">
        <v>3364</v>
      </c>
      <c r="E1184" s="1484">
        <v>3</v>
      </c>
      <c r="F1184" s="1446">
        <f>F1178</f>
        <v>92.64</v>
      </c>
      <c r="G1184" s="1446"/>
      <c r="H1184" s="1447"/>
      <c r="I1184" s="1494">
        <f>PRODUCT(C1184:H1184)</f>
        <v>277.92</v>
      </c>
      <c r="J1184" s="1475"/>
      <c r="K1184" s="1439"/>
      <c r="L1184" s="1439"/>
      <c r="M1184" s="1439"/>
      <c r="N1184" s="1439"/>
      <c r="O1184" s="1439"/>
      <c r="P1184" s="1439"/>
      <c r="Q1184" s="1439"/>
      <c r="R1184" s="1439"/>
      <c r="S1184" s="1439"/>
      <c r="T1184" s="1439"/>
      <c r="U1184" s="1439"/>
      <c r="V1184" s="1439"/>
      <c r="W1184" s="1439"/>
      <c r="X1184" s="1439"/>
      <c r="Y1184" s="1439"/>
      <c r="Z1184" s="1439"/>
      <c r="AA1184" s="1439"/>
      <c r="AB1184" s="1439"/>
      <c r="AC1184" s="1439"/>
      <c r="AD1184" s="1439"/>
      <c r="AE1184" s="1439"/>
      <c r="AF1184" s="1439"/>
      <c r="AG1184" s="1439"/>
    </row>
    <row r="1185" spans="1:33" ht="15.75" customHeight="1">
      <c r="A1185" s="1470"/>
      <c r="B1185" s="1450" t="s">
        <v>7172</v>
      </c>
      <c r="C1185" s="1484">
        <v>1</v>
      </c>
      <c r="D1185" s="1484" t="s">
        <v>3364</v>
      </c>
      <c r="E1185" s="1484">
        <v>1</v>
      </c>
      <c r="F1185" s="1446">
        <v>30.48</v>
      </c>
      <c r="G1185" s="1446"/>
      <c r="H1185" s="1447"/>
      <c r="I1185" s="1494">
        <f>PRODUCT(C1185:H1185)</f>
        <v>30.48</v>
      </c>
      <c r="J1185" s="1475"/>
      <c r="K1185" s="1439"/>
      <c r="L1185" s="1439">
        <f>L1183+L1184</f>
        <v>0</v>
      </c>
      <c r="M1185" s="1439"/>
      <c r="N1185" s="1439"/>
      <c r="O1185" s="1439"/>
      <c r="P1185" s="1439"/>
      <c r="Q1185" s="1439"/>
      <c r="R1185" s="1439"/>
      <c r="S1185" s="1439"/>
      <c r="T1185" s="1439"/>
      <c r="U1185" s="1439"/>
      <c r="V1185" s="1439"/>
      <c r="W1185" s="1439"/>
      <c r="X1185" s="1439"/>
      <c r="Y1185" s="1439"/>
      <c r="Z1185" s="1439"/>
      <c r="AA1185" s="1439"/>
      <c r="AB1185" s="1439"/>
      <c r="AC1185" s="1439"/>
      <c r="AD1185" s="1439"/>
      <c r="AE1185" s="1439"/>
      <c r="AF1185" s="1439"/>
      <c r="AG1185" s="1439"/>
    </row>
    <row r="1186" spans="1:33" ht="15.75" customHeight="1">
      <c r="A1186" s="1470"/>
      <c r="B1186" s="1450"/>
      <c r="C1186" s="1484"/>
      <c r="D1186" s="1484"/>
      <c r="E1186" s="1484"/>
      <c r="F1186" s="1446"/>
      <c r="G1186" s="1458" t="s">
        <v>104</v>
      </c>
      <c r="H1186" s="1447"/>
      <c r="I1186" s="1459">
        <f>SUM(I1184:I1185)</f>
        <v>308.39999999999998</v>
      </c>
      <c r="J1186" s="1475"/>
      <c r="K1186" s="1439"/>
      <c r="L1186" s="1439"/>
      <c r="M1186" s="1439"/>
      <c r="N1186" s="1439"/>
      <c r="O1186" s="1439"/>
      <c r="P1186" s="1439"/>
      <c r="Q1186" s="1439"/>
      <c r="R1186" s="1439"/>
      <c r="S1186" s="1439"/>
      <c r="T1186" s="1439"/>
      <c r="U1186" s="1439"/>
      <c r="V1186" s="1439"/>
      <c r="W1186" s="1439"/>
      <c r="X1186" s="1439"/>
      <c r="Y1186" s="1439"/>
      <c r="Z1186" s="1439"/>
      <c r="AA1186" s="1439"/>
      <c r="AB1186" s="1439"/>
      <c r="AC1186" s="1439"/>
      <c r="AD1186" s="1439"/>
      <c r="AE1186" s="1439"/>
      <c r="AF1186" s="1439"/>
      <c r="AG1186" s="1439"/>
    </row>
    <row r="1187" spans="1:33" ht="15.75" customHeight="1">
      <c r="A1187" s="1470"/>
      <c r="B1187" s="1450"/>
      <c r="C1187" s="1484"/>
      <c r="D1187" s="1484"/>
      <c r="E1187" s="1484"/>
      <c r="F1187" s="1446"/>
      <c r="G1187" s="1446"/>
      <c r="H1187" s="1460" t="s">
        <v>2981</v>
      </c>
      <c r="I1187" s="1459">
        <f>CEILING(I1186,0.1)</f>
        <v>308.39999999999998</v>
      </c>
      <c r="J1187" s="1475" t="s">
        <v>13</v>
      </c>
      <c r="K1187" s="1439"/>
      <c r="L1187" s="1439"/>
      <c r="M1187" s="1439"/>
      <c r="N1187" s="1439"/>
      <c r="O1187" s="1439"/>
      <c r="P1187" s="1439"/>
      <c r="Q1187" s="1439"/>
      <c r="R1187" s="1439"/>
      <c r="S1187" s="1439"/>
      <c r="T1187" s="1439"/>
      <c r="U1187" s="1439"/>
      <c r="V1187" s="1439"/>
      <c r="W1187" s="1439"/>
      <c r="X1187" s="1439"/>
      <c r="Y1187" s="1439"/>
      <c r="Z1187" s="1439"/>
      <c r="AA1187" s="1439"/>
      <c r="AB1187" s="1439"/>
      <c r="AC1187" s="1439"/>
      <c r="AD1187" s="1439"/>
      <c r="AE1187" s="1439"/>
      <c r="AF1187" s="1439"/>
      <c r="AG1187" s="1439"/>
    </row>
    <row r="1188" spans="1:33" ht="15.75" customHeight="1">
      <c r="A1188" s="1470"/>
      <c r="B1188" s="1450"/>
      <c r="C1188" s="1484"/>
      <c r="D1188" s="1484"/>
      <c r="E1188" s="1484"/>
      <c r="F1188" s="1446"/>
      <c r="G1188" s="1446"/>
      <c r="H1188" s="1447"/>
      <c r="I1188" s="1448"/>
      <c r="J1188" s="1475"/>
      <c r="K1188" s="1439"/>
      <c r="L1188" s="1439"/>
      <c r="M1188" s="1439"/>
      <c r="N1188" s="1439"/>
      <c r="O1188" s="1439"/>
      <c r="P1188" s="1439"/>
      <c r="Q1188" s="1439"/>
      <c r="R1188" s="1439"/>
      <c r="S1188" s="1439"/>
      <c r="T1188" s="1439"/>
      <c r="U1188" s="1439"/>
      <c r="V1188" s="1439"/>
      <c r="W1188" s="1439"/>
      <c r="X1188" s="1439"/>
      <c r="Y1188" s="1439"/>
      <c r="Z1188" s="1439"/>
      <c r="AA1188" s="1439"/>
      <c r="AB1188" s="1439"/>
      <c r="AC1188" s="1439"/>
      <c r="AD1188" s="1439"/>
      <c r="AE1188" s="1439"/>
      <c r="AF1188" s="1439"/>
      <c r="AG1188" s="1439"/>
    </row>
    <row r="1189" spans="1:33" ht="15.75" customHeight="1">
      <c r="A1189" s="1470"/>
      <c r="B1189" s="1456" t="s">
        <v>3510</v>
      </c>
      <c r="C1189" s="1484"/>
      <c r="D1189" s="1484"/>
      <c r="E1189" s="1484"/>
      <c r="F1189" s="1446"/>
      <c r="G1189" s="1446"/>
      <c r="H1189" s="1447"/>
      <c r="I1189" s="1448"/>
      <c r="J1189" s="1475"/>
      <c r="K1189" s="1439"/>
      <c r="L1189" s="1439"/>
      <c r="M1189" s="1439"/>
      <c r="N1189" s="1439"/>
      <c r="O1189" s="1439"/>
      <c r="P1189" s="1439"/>
      <c r="Q1189" s="1439"/>
      <c r="R1189" s="1439"/>
      <c r="S1189" s="1439"/>
      <c r="T1189" s="1439"/>
      <c r="U1189" s="1439"/>
      <c r="V1189" s="1439"/>
      <c r="W1189" s="1439"/>
      <c r="X1189" s="1439"/>
      <c r="Y1189" s="1439"/>
      <c r="Z1189" s="1439"/>
      <c r="AA1189" s="1439"/>
      <c r="AB1189" s="1439"/>
      <c r="AC1189" s="1439"/>
      <c r="AD1189" s="1439"/>
      <c r="AE1189" s="1439"/>
      <c r="AF1189" s="1439"/>
      <c r="AG1189" s="1439"/>
    </row>
    <row r="1190" spans="1:33" ht="15.75" customHeight="1">
      <c r="A1190" s="1470"/>
      <c r="B1190" s="1450" t="s">
        <v>7171</v>
      </c>
      <c r="C1190" s="1484">
        <v>1</v>
      </c>
      <c r="D1190" s="1484" t="s">
        <v>3364</v>
      </c>
      <c r="E1190" s="1484">
        <v>3</v>
      </c>
      <c r="F1190" s="1446">
        <f>F1184</f>
        <v>92.64</v>
      </c>
      <c r="G1190" s="1446"/>
      <c r="H1190" s="1447"/>
      <c r="I1190" s="1494">
        <f>PRODUCT(C1190:H1190)</f>
        <v>277.92</v>
      </c>
      <c r="J1190" s="1475"/>
      <c r="K1190" s="1439"/>
      <c r="L1190" s="1439"/>
      <c r="M1190" s="1439"/>
      <c r="N1190" s="1439"/>
      <c r="O1190" s="1439"/>
      <c r="P1190" s="1439"/>
      <c r="Q1190" s="1439"/>
      <c r="R1190" s="1439"/>
      <c r="S1190" s="1439"/>
      <c r="T1190" s="1439"/>
      <c r="U1190" s="1439"/>
      <c r="V1190" s="1439"/>
      <c r="W1190" s="1439"/>
      <c r="X1190" s="1439"/>
      <c r="Y1190" s="1439"/>
      <c r="Z1190" s="1439"/>
      <c r="AA1190" s="1439"/>
      <c r="AB1190" s="1439"/>
      <c r="AC1190" s="1439"/>
      <c r="AD1190" s="1439"/>
      <c r="AE1190" s="1439"/>
      <c r="AF1190" s="1439"/>
      <c r="AG1190" s="1439"/>
    </row>
    <row r="1191" spans="1:33" ht="15.75" customHeight="1">
      <c r="A1191" s="1470"/>
      <c r="B1191" s="1450" t="s">
        <v>7172</v>
      </c>
      <c r="C1191" s="1484">
        <v>1</v>
      </c>
      <c r="D1191" s="1484" t="s">
        <v>3364</v>
      </c>
      <c r="E1191" s="1484">
        <v>1</v>
      </c>
      <c r="F1191" s="1446">
        <v>30.48</v>
      </c>
      <c r="G1191" s="1446"/>
      <c r="H1191" s="1447"/>
      <c r="I1191" s="1494">
        <f>PRODUCT(C1191:H1191)</f>
        <v>30.48</v>
      </c>
      <c r="J1191" s="1475"/>
      <c r="K1191" s="1439"/>
      <c r="L1191" s="1439">
        <f>L1189+L1190</f>
        <v>0</v>
      </c>
      <c r="M1191" s="1439"/>
      <c r="N1191" s="1439"/>
      <c r="O1191" s="1439"/>
      <c r="P1191" s="1439"/>
      <c r="Q1191" s="1439"/>
      <c r="R1191" s="1439"/>
      <c r="S1191" s="1439"/>
      <c r="T1191" s="1439"/>
      <c r="U1191" s="1439"/>
      <c r="V1191" s="1439"/>
      <c r="W1191" s="1439"/>
      <c r="X1191" s="1439"/>
      <c r="Y1191" s="1439"/>
      <c r="Z1191" s="1439"/>
      <c r="AA1191" s="1439"/>
      <c r="AB1191" s="1439"/>
      <c r="AC1191" s="1439"/>
      <c r="AD1191" s="1439"/>
      <c r="AE1191" s="1439"/>
      <c r="AF1191" s="1439"/>
      <c r="AG1191" s="1439"/>
    </row>
    <row r="1192" spans="1:33" ht="15.75" customHeight="1">
      <c r="A1192" s="1443"/>
      <c r="B1192" s="1450" t="s">
        <v>7173</v>
      </c>
      <c r="C1192" s="1445">
        <v>1</v>
      </c>
      <c r="D1192" s="1445" t="s">
        <v>3364</v>
      </c>
      <c r="E1192" s="1445">
        <v>10</v>
      </c>
      <c r="F1192" s="1446">
        <f>(0.9+0.6)*2</f>
        <v>3</v>
      </c>
      <c r="G1192" s="1446"/>
      <c r="H1192" s="1447"/>
      <c r="I1192" s="1494">
        <f>PRODUCT(C1192:H1192)</f>
        <v>30</v>
      </c>
      <c r="J1192" s="1449"/>
      <c r="K1192" s="1439"/>
      <c r="L1192" s="1439"/>
      <c r="M1192" s="1439"/>
      <c r="N1192" s="1439"/>
      <c r="O1192" s="1439"/>
      <c r="P1192" s="1439"/>
      <c r="Q1192" s="1439"/>
      <c r="R1192" s="1439"/>
      <c r="S1192" s="1439"/>
      <c r="T1192" s="1439"/>
      <c r="U1192" s="1439"/>
      <c r="V1192" s="1439"/>
      <c r="W1192" s="1439"/>
      <c r="X1192" s="1439"/>
      <c r="Y1192" s="1439"/>
      <c r="Z1192" s="1439"/>
      <c r="AA1192" s="1439"/>
      <c r="AB1192" s="1439"/>
      <c r="AC1192" s="1439"/>
      <c r="AD1192" s="1439"/>
      <c r="AE1192" s="1439"/>
      <c r="AF1192" s="1439"/>
      <c r="AG1192" s="1439"/>
    </row>
    <row r="1193" spans="1:33" ht="15.75" customHeight="1">
      <c r="A1193" s="1443"/>
      <c r="B1193" s="1450" t="s">
        <v>7174</v>
      </c>
      <c r="C1193" s="1445">
        <v>1</v>
      </c>
      <c r="D1193" s="1445" t="s">
        <v>3364</v>
      </c>
      <c r="E1193" s="1445">
        <v>42</v>
      </c>
      <c r="F1193" s="1446">
        <f>(0.75+0.6)*2</f>
        <v>2.7</v>
      </c>
      <c r="G1193" s="1446"/>
      <c r="H1193" s="1447"/>
      <c r="I1193" s="1494">
        <f>PRODUCT(C1193:H1193)</f>
        <v>113.4</v>
      </c>
      <c r="J1193" s="1449"/>
      <c r="K1193" s="1439"/>
      <c r="L1193" s="1439"/>
      <c r="M1193" s="1439"/>
      <c r="N1193" s="1439"/>
      <c r="O1193" s="1439"/>
      <c r="P1193" s="1439"/>
      <c r="Q1193" s="1439"/>
      <c r="R1193" s="1439"/>
      <c r="S1193" s="1439"/>
      <c r="T1193" s="1439"/>
      <c r="U1193" s="1439"/>
      <c r="V1193" s="1439"/>
      <c r="W1193" s="1439"/>
      <c r="X1193" s="1439"/>
      <c r="Y1193" s="1439"/>
      <c r="Z1193" s="1439"/>
      <c r="AA1193" s="1439"/>
      <c r="AB1193" s="1439"/>
      <c r="AC1193" s="1439"/>
      <c r="AD1193" s="1439"/>
      <c r="AE1193" s="1439"/>
      <c r="AF1193" s="1439"/>
      <c r="AG1193" s="1439"/>
    </row>
    <row r="1194" spans="1:33" ht="15.75" customHeight="1">
      <c r="A1194" s="1470"/>
      <c r="B1194" s="1450"/>
      <c r="C1194" s="1484"/>
      <c r="D1194" s="1484"/>
      <c r="E1194" s="1484"/>
      <c r="F1194" s="1446"/>
      <c r="G1194" s="1458" t="s">
        <v>104</v>
      </c>
      <c r="H1194" s="1447"/>
      <c r="I1194" s="1459">
        <f>SUM(I1190:I1193)</f>
        <v>451.8</v>
      </c>
      <c r="J1194" s="1475"/>
      <c r="K1194" s="1439"/>
      <c r="L1194" s="1439"/>
      <c r="M1194" s="1439"/>
      <c r="N1194" s="1439"/>
      <c r="O1194" s="1439"/>
      <c r="P1194" s="1439"/>
      <c r="Q1194" s="1439"/>
      <c r="R1194" s="1439"/>
      <c r="S1194" s="1439"/>
      <c r="T1194" s="1439"/>
      <c r="U1194" s="1439"/>
      <c r="V1194" s="1439"/>
      <c r="W1194" s="1439"/>
      <c r="X1194" s="1439"/>
      <c r="Y1194" s="1439"/>
      <c r="Z1194" s="1439"/>
      <c r="AA1194" s="1439"/>
      <c r="AB1194" s="1439"/>
      <c r="AC1194" s="1439"/>
      <c r="AD1194" s="1439"/>
      <c r="AE1194" s="1439"/>
      <c r="AF1194" s="1439"/>
      <c r="AG1194" s="1439"/>
    </row>
    <row r="1195" spans="1:33" ht="15.75" customHeight="1">
      <c r="A1195" s="1470"/>
      <c r="B1195" s="1450"/>
      <c r="C1195" s="1484"/>
      <c r="D1195" s="1484"/>
      <c r="E1195" s="1484"/>
      <c r="F1195" s="1446"/>
      <c r="G1195" s="1446"/>
      <c r="H1195" s="1460" t="s">
        <v>2981</v>
      </c>
      <c r="I1195" s="1459">
        <f>CEILING(I1194,0.1)</f>
        <v>451.8</v>
      </c>
      <c r="J1195" s="1475" t="s">
        <v>13</v>
      </c>
      <c r="K1195" s="1439"/>
      <c r="L1195" s="1439"/>
      <c r="M1195" s="1439"/>
      <c r="N1195" s="1439"/>
      <c r="O1195" s="1439"/>
      <c r="P1195" s="1439"/>
      <c r="Q1195" s="1439"/>
      <c r="R1195" s="1439"/>
      <c r="S1195" s="1439"/>
      <c r="T1195" s="1439"/>
      <c r="U1195" s="1439"/>
      <c r="V1195" s="1439"/>
      <c r="W1195" s="1439"/>
      <c r="X1195" s="1439"/>
      <c r="Y1195" s="1439"/>
      <c r="Z1195" s="1439"/>
      <c r="AA1195" s="1439"/>
      <c r="AB1195" s="1439"/>
      <c r="AC1195" s="1439"/>
      <c r="AD1195" s="1439"/>
      <c r="AE1195" s="1439"/>
      <c r="AF1195" s="1439"/>
      <c r="AG1195" s="1439"/>
    </row>
    <row r="1196" spans="1:33" ht="15.75" customHeight="1">
      <c r="A1196" s="1470"/>
      <c r="B1196" s="1450"/>
      <c r="C1196" s="1484"/>
      <c r="D1196" s="1484"/>
      <c r="E1196" s="1484"/>
      <c r="F1196" s="1446"/>
      <c r="G1196" s="1446"/>
      <c r="H1196" s="1447"/>
      <c r="I1196" s="1448"/>
      <c r="J1196" s="1475"/>
      <c r="K1196" s="1439"/>
      <c r="L1196" s="1439"/>
      <c r="M1196" s="1439"/>
      <c r="N1196" s="1439"/>
      <c r="O1196" s="1439"/>
      <c r="P1196" s="1439"/>
      <c r="Q1196" s="1439"/>
      <c r="R1196" s="1439"/>
      <c r="S1196" s="1439"/>
      <c r="T1196" s="1439"/>
      <c r="U1196" s="1439"/>
      <c r="V1196" s="1439"/>
      <c r="W1196" s="1439"/>
      <c r="X1196" s="1439"/>
      <c r="Y1196" s="1439"/>
      <c r="Z1196" s="1439"/>
      <c r="AA1196" s="1439"/>
      <c r="AB1196" s="1439"/>
      <c r="AC1196" s="1439"/>
      <c r="AD1196" s="1439"/>
      <c r="AE1196" s="1439"/>
      <c r="AF1196" s="1439"/>
      <c r="AG1196" s="1439"/>
    </row>
    <row r="1197" spans="1:33" ht="63">
      <c r="A1197" s="1451">
        <v>37.1</v>
      </c>
      <c r="B1197" s="1456" t="s">
        <v>7175</v>
      </c>
      <c r="C1197" s="1477"/>
      <c r="D1197" s="1477"/>
      <c r="E1197" s="1477"/>
      <c r="F1197" s="1478"/>
      <c r="G1197" s="1478"/>
      <c r="H1197" s="1500"/>
      <c r="I1197" s="1494"/>
      <c r="J1197" s="1475"/>
      <c r="K1197" s="1439"/>
      <c r="L1197" s="1439"/>
      <c r="M1197" s="1439"/>
      <c r="N1197" s="1439"/>
      <c r="O1197" s="1439"/>
      <c r="P1197" s="1439"/>
      <c r="Q1197" s="1439"/>
      <c r="R1197" s="1439"/>
      <c r="S1197" s="1439"/>
      <c r="T1197" s="1439"/>
      <c r="U1197" s="1439"/>
      <c r="V1197" s="1439"/>
      <c r="W1197" s="1439"/>
      <c r="X1197" s="1439"/>
      <c r="Y1197" s="1439"/>
      <c r="Z1197" s="1439"/>
      <c r="AA1197" s="1439"/>
      <c r="AB1197" s="1439"/>
      <c r="AC1197" s="1439"/>
      <c r="AD1197" s="1439"/>
      <c r="AE1197" s="1439"/>
      <c r="AF1197" s="1439"/>
      <c r="AG1197" s="1439"/>
    </row>
    <row r="1198" spans="1:33" ht="15.75" customHeight="1">
      <c r="A1198" s="1451"/>
      <c r="B1198" s="1450" t="s">
        <v>3512</v>
      </c>
      <c r="C1198" s="1477"/>
      <c r="D1198" s="1477"/>
      <c r="E1198" s="1477"/>
      <c r="F1198" s="1478"/>
      <c r="G1198" s="1478"/>
      <c r="H1198" s="1500"/>
      <c r="I1198" s="1479">
        <f>I1175</f>
        <v>2189.8000000000002</v>
      </c>
      <c r="J1198" s="1475" t="s">
        <v>724</v>
      </c>
      <c r="K1198" s="1439"/>
      <c r="L1198" s="1439"/>
      <c r="M1198" s="1439"/>
      <c r="N1198" s="1439"/>
      <c r="O1198" s="1439"/>
      <c r="P1198" s="1439"/>
      <c r="Q1198" s="1439"/>
      <c r="R1198" s="1439"/>
      <c r="S1198" s="1439"/>
      <c r="T1198" s="1439"/>
      <c r="U1198" s="1439"/>
      <c r="V1198" s="1439"/>
      <c r="W1198" s="1439"/>
      <c r="X1198" s="1439"/>
      <c r="Y1198" s="1439"/>
      <c r="Z1198" s="1439"/>
      <c r="AA1198" s="1439"/>
      <c r="AB1198" s="1439"/>
      <c r="AC1198" s="1439"/>
      <c r="AD1198" s="1439"/>
      <c r="AE1198" s="1439"/>
      <c r="AF1198" s="1439"/>
      <c r="AG1198" s="1439"/>
    </row>
    <row r="1199" spans="1:33" ht="33" customHeight="1">
      <c r="A1199" s="1532">
        <v>39</v>
      </c>
      <c r="B1199" s="1462" t="s">
        <v>7176</v>
      </c>
      <c r="C1199" s="1484"/>
      <c r="D1199" s="1484"/>
      <c r="E1199" s="1484"/>
      <c r="F1199" s="1446"/>
      <c r="G1199" s="1446"/>
      <c r="H1199" s="1447"/>
      <c r="I1199" s="1448"/>
      <c r="J1199" s="1475"/>
      <c r="K1199" s="1439"/>
      <c r="L1199" s="1439"/>
      <c r="M1199" s="1439"/>
      <c r="N1199" s="1439"/>
      <c r="O1199" s="1439"/>
      <c r="P1199" s="1439"/>
      <c r="Q1199" s="1439"/>
      <c r="R1199" s="1439"/>
      <c r="S1199" s="1439"/>
      <c r="T1199" s="1439"/>
      <c r="U1199" s="1439"/>
      <c r="V1199" s="1439"/>
      <c r="W1199" s="1439"/>
      <c r="X1199" s="1439"/>
      <c r="Y1199" s="1439"/>
      <c r="Z1199" s="1439"/>
      <c r="AA1199" s="1439"/>
      <c r="AB1199" s="1439"/>
      <c r="AC1199" s="1439"/>
      <c r="AD1199" s="1439"/>
      <c r="AE1199" s="1439"/>
      <c r="AF1199" s="1439"/>
      <c r="AG1199" s="1439"/>
    </row>
    <row r="1200" spans="1:33">
      <c r="A1200" s="1532"/>
      <c r="B1200" s="1462" t="s">
        <v>3497</v>
      </c>
      <c r="C1200" s="1484">
        <v>10</v>
      </c>
      <c r="D1200" s="1488" t="s">
        <v>3364</v>
      </c>
      <c r="E1200" s="1484">
        <v>1</v>
      </c>
      <c r="F1200" s="1446">
        <v>1.8</v>
      </c>
      <c r="G1200" s="1446">
        <v>35</v>
      </c>
      <c r="H1200" s="1447">
        <v>2</v>
      </c>
      <c r="I1200" s="1494">
        <f t="shared" ref="I1200:I1206" si="62">PRODUCT(C1200:H1200)</f>
        <v>1260</v>
      </c>
      <c r="J1200" s="1475"/>
      <c r="K1200" s="1439"/>
      <c r="L1200" s="1439"/>
      <c r="M1200" s="1439"/>
      <c r="N1200" s="1439"/>
      <c r="O1200" s="1439"/>
      <c r="P1200" s="1439"/>
      <c r="Q1200" s="1439"/>
      <c r="R1200" s="1439"/>
      <c r="S1200" s="1439"/>
      <c r="T1200" s="1439"/>
      <c r="U1200" s="1439"/>
      <c r="V1200" s="1439"/>
      <c r="W1200" s="1439"/>
      <c r="X1200" s="1439"/>
      <c r="Y1200" s="1439"/>
      <c r="Z1200" s="1439"/>
      <c r="AA1200" s="1439"/>
      <c r="AB1200" s="1439"/>
      <c r="AC1200" s="1439"/>
      <c r="AD1200" s="1439"/>
      <c r="AE1200" s="1439"/>
      <c r="AF1200" s="1439"/>
      <c r="AG1200" s="1439"/>
    </row>
    <row r="1201" spans="1:33">
      <c r="A1201" s="1532"/>
      <c r="B1201" s="1462" t="s">
        <v>3414</v>
      </c>
      <c r="C1201" s="1484">
        <v>42</v>
      </c>
      <c r="D1201" s="1488" t="s">
        <v>3364</v>
      </c>
      <c r="E1201" s="1484">
        <v>1</v>
      </c>
      <c r="F1201" s="1446">
        <v>1.8</v>
      </c>
      <c r="G1201" s="1446">
        <v>35</v>
      </c>
      <c r="H1201" s="1447">
        <v>1.35</v>
      </c>
      <c r="I1201" s="1494">
        <f t="shared" si="62"/>
        <v>3572.1</v>
      </c>
      <c r="J1201" s="1475"/>
      <c r="K1201" s="1439"/>
      <c r="L1201" s="1439"/>
      <c r="M1201" s="1439"/>
      <c r="N1201" s="1439"/>
      <c r="O1201" s="1439"/>
      <c r="P1201" s="1439"/>
      <c r="Q1201" s="1439"/>
      <c r="R1201" s="1439"/>
      <c r="S1201" s="1439"/>
      <c r="T1201" s="1439"/>
      <c r="U1201" s="1439"/>
      <c r="V1201" s="1439"/>
      <c r="W1201" s="1439"/>
      <c r="X1201" s="1439"/>
      <c r="Y1201" s="1439"/>
      <c r="Z1201" s="1439"/>
      <c r="AA1201" s="1439"/>
      <c r="AB1201" s="1439"/>
      <c r="AC1201" s="1439"/>
      <c r="AD1201" s="1439"/>
      <c r="AE1201" s="1439"/>
      <c r="AF1201" s="1439"/>
      <c r="AG1201" s="1439"/>
    </row>
    <row r="1202" spans="1:33" ht="15.75" customHeight="1">
      <c r="A1202" s="1532"/>
      <c r="B1202" s="1462" t="s">
        <v>3400</v>
      </c>
      <c r="C1202" s="1484">
        <v>1</v>
      </c>
      <c r="D1202" s="1488" t="s">
        <v>3364</v>
      </c>
      <c r="E1202" s="1484">
        <v>1</v>
      </c>
      <c r="F1202" s="1446">
        <v>1.5</v>
      </c>
      <c r="G1202" s="1446">
        <v>35</v>
      </c>
      <c r="H1202" s="1447">
        <v>0.6</v>
      </c>
      <c r="I1202" s="1494">
        <f t="shared" si="62"/>
        <v>31.5</v>
      </c>
      <c r="J1202" s="1475"/>
      <c r="K1202" s="1439"/>
      <c r="L1202" s="1439"/>
      <c r="M1202" s="1439"/>
      <c r="N1202" s="1439"/>
      <c r="O1202" s="1439"/>
      <c r="P1202" s="1439"/>
      <c r="Q1202" s="1439"/>
      <c r="R1202" s="1439"/>
      <c r="S1202" s="1439"/>
      <c r="T1202" s="1439"/>
      <c r="U1202" s="1439"/>
      <c r="V1202" s="1439"/>
      <c r="W1202" s="1439"/>
      <c r="X1202" s="1439"/>
      <c r="Y1202" s="1439"/>
      <c r="Z1202" s="1439"/>
      <c r="AA1202" s="1439"/>
      <c r="AB1202" s="1439"/>
      <c r="AC1202" s="1439"/>
      <c r="AD1202" s="1439"/>
      <c r="AE1202" s="1439"/>
      <c r="AF1202" s="1439"/>
      <c r="AG1202" s="1439"/>
    </row>
    <row r="1203" spans="1:33" ht="15.75" customHeight="1">
      <c r="A1203" s="1532"/>
      <c r="B1203" s="1462" t="s">
        <v>6964</v>
      </c>
      <c r="C1203" s="1484">
        <v>1</v>
      </c>
      <c r="D1203" s="1488" t="s">
        <v>3364</v>
      </c>
      <c r="E1203" s="1484">
        <v>1</v>
      </c>
      <c r="F1203" s="1446">
        <v>0.9</v>
      </c>
      <c r="G1203" s="1446">
        <v>35</v>
      </c>
      <c r="H1203" s="1447">
        <v>0.6</v>
      </c>
      <c r="I1203" s="1494">
        <f t="shared" si="62"/>
        <v>18.899999999999999</v>
      </c>
      <c r="J1203" s="1475"/>
      <c r="K1203" s="1439"/>
      <c r="L1203" s="1439"/>
      <c r="M1203" s="1439"/>
      <c r="N1203" s="1439"/>
      <c r="O1203" s="1439"/>
      <c r="P1203" s="1439"/>
      <c r="Q1203" s="1439"/>
      <c r="R1203" s="1439"/>
      <c r="S1203" s="1439"/>
      <c r="T1203" s="1439"/>
      <c r="U1203" s="1439"/>
      <c r="V1203" s="1439"/>
      <c r="W1203" s="1439"/>
      <c r="X1203" s="1439"/>
      <c r="Y1203" s="1439"/>
      <c r="Z1203" s="1439"/>
      <c r="AA1203" s="1439"/>
      <c r="AB1203" s="1439"/>
      <c r="AC1203" s="1439"/>
      <c r="AD1203" s="1439"/>
      <c r="AE1203" s="1439"/>
      <c r="AF1203" s="1439"/>
      <c r="AG1203" s="1439"/>
    </row>
    <row r="1204" spans="1:33" ht="15.75" customHeight="1">
      <c r="A1204" s="1532"/>
      <c r="B1204" s="1462" t="s">
        <v>3401</v>
      </c>
      <c r="C1204" s="1484">
        <v>42</v>
      </c>
      <c r="D1204" s="1488" t="s">
        <v>3364</v>
      </c>
      <c r="E1204" s="1484">
        <v>1</v>
      </c>
      <c r="F1204" s="1446">
        <v>0.75</v>
      </c>
      <c r="G1204" s="1446">
        <v>35</v>
      </c>
      <c r="H1204" s="1447">
        <v>0.6</v>
      </c>
      <c r="I1204" s="1494">
        <f t="shared" si="62"/>
        <v>661.5</v>
      </c>
      <c r="J1204" s="1475"/>
      <c r="K1204" s="1439"/>
      <c r="L1204" s="1439"/>
      <c r="M1204" s="1439"/>
      <c r="N1204" s="1439"/>
      <c r="O1204" s="1439"/>
      <c r="P1204" s="1439"/>
      <c r="Q1204" s="1439"/>
      <c r="R1204" s="1439"/>
      <c r="S1204" s="1439"/>
      <c r="T1204" s="1439"/>
      <c r="U1204" s="1439"/>
      <c r="V1204" s="1439"/>
      <c r="W1204" s="1439"/>
      <c r="X1204" s="1439"/>
      <c r="Y1204" s="1439"/>
      <c r="Z1204" s="1439"/>
      <c r="AA1204" s="1439"/>
      <c r="AB1204" s="1439"/>
      <c r="AC1204" s="1439"/>
      <c r="AD1204" s="1439"/>
      <c r="AE1204" s="1439"/>
      <c r="AF1204" s="1439"/>
      <c r="AG1204" s="1439"/>
    </row>
    <row r="1205" spans="1:33" ht="15.75" customHeight="1">
      <c r="A1205" s="1532"/>
      <c r="B1205" s="1462" t="s">
        <v>6968</v>
      </c>
      <c r="C1205" s="1484">
        <v>1</v>
      </c>
      <c r="D1205" s="1488" t="s">
        <v>3364</v>
      </c>
      <c r="E1205" s="1484">
        <v>1</v>
      </c>
      <c r="F1205" s="1446">
        <v>1.5</v>
      </c>
      <c r="G1205" s="1446">
        <v>35</v>
      </c>
      <c r="H1205" s="1447">
        <v>1.05</v>
      </c>
      <c r="I1205" s="1494">
        <f t="shared" si="62"/>
        <v>55.13</v>
      </c>
      <c r="J1205" s="1475"/>
      <c r="K1205" s="1439"/>
      <c r="L1205" s="1439"/>
      <c r="M1205" s="1439"/>
      <c r="N1205" s="1439"/>
      <c r="O1205" s="1439"/>
      <c r="P1205" s="1439"/>
      <c r="Q1205" s="1439"/>
      <c r="R1205" s="1439"/>
      <c r="S1205" s="1439"/>
      <c r="T1205" s="1439"/>
      <c r="U1205" s="1439"/>
      <c r="V1205" s="1439"/>
      <c r="W1205" s="1439"/>
      <c r="X1205" s="1439"/>
      <c r="Y1205" s="1439"/>
      <c r="Z1205" s="1439"/>
      <c r="AA1205" s="1439"/>
      <c r="AB1205" s="1439"/>
      <c r="AC1205" s="1439"/>
      <c r="AD1205" s="1439"/>
      <c r="AE1205" s="1439"/>
      <c r="AF1205" s="1439"/>
      <c r="AG1205" s="1439"/>
    </row>
    <row r="1206" spans="1:33" ht="15.75" customHeight="1">
      <c r="A1206" s="1532"/>
      <c r="B1206" s="1462" t="s">
        <v>7413</v>
      </c>
      <c r="C1206" s="1484">
        <v>4</v>
      </c>
      <c r="D1206" s="1488" t="s">
        <v>3364</v>
      </c>
      <c r="E1206" s="1484">
        <v>1</v>
      </c>
      <c r="F1206" s="1446">
        <v>0.9</v>
      </c>
      <c r="G1206" s="1446">
        <v>35</v>
      </c>
      <c r="H1206" s="1447">
        <v>2</v>
      </c>
      <c r="I1206" s="1494">
        <f t="shared" si="62"/>
        <v>252</v>
      </c>
      <c r="J1206" s="1475"/>
      <c r="K1206" s="1439"/>
      <c r="L1206" s="1439"/>
      <c r="M1206" s="1439"/>
      <c r="N1206" s="1439"/>
      <c r="O1206" s="1439"/>
      <c r="P1206" s="1439"/>
      <c r="Q1206" s="1439"/>
      <c r="R1206" s="1439"/>
      <c r="S1206" s="1439"/>
      <c r="T1206" s="1439"/>
      <c r="U1206" s="1439"/>
      <c r="V1206" s="1439"/>
      <c r="W1206" s="1439"/>
      <c r="X1206" s="1439"/>
      <c r="Y1206" s="1439"/>
      <c r="Z1206" s="1439"/>
      <c r="AA1206" s="1439"/>
      <c r="AB1206" s="1439"/>
      <c r="AC1206" s="1439"/>
      <c r="AD1206" s="1439"/>
      <c r="AE1206" s="1439"/>
      <c r="AF1206" s="1439"/>
      <c r="AG1206" s="1439"/>
    </row>
    <row r="1207" spans="1:33" ht="15.75" customHeight="1">
      <c r="A1207" s="1470"/>
      <c r="B1207" s="1450"/>
      <c r="C1207" s="1477"/>
      <c r="D1207" s="1477"/>
      <c r="E1207" s="1484"/>
      <c r="F1207" s="1446"/>
      <c r="G1207" s="1458" t="s">
        <v>104</v>
      </c>
      <c r="H1207" s="1447"/>
      <c r="I1207" s="1448">
        <f>SUM(I1200:I1206)</f>
        <v>5851.13</v>
      </c>
      <c r="J1207" s="1475"/>
      <c r="K1207" s="1439"/>
      <c r="L1207" s="1439"/>
      <c r="M1207" s="1439"/>
      <c r="N1207" s="1439"/>
      <c r="O1207" s="1439"/>
      <c r="P1207" s="1439"/>
      <c r="Q1207" s="1439"/>
      <c r="R1207" s="1439"/>
      <c r="S1207" s="1439"/>
      <c r="T1207" s="1439"/>
      <c r="U1207" s="1439"/>
      <c r="V1207" s="1439"/>
      <c r="W1207" s="1439"/>
      <c r="X1207" s="1439"/>
      <c r="Y1207" s="1439"/>
      <c r="Z1207" s="1439"/>
      <c r="AA1207" s="1439"/>
      <c r="AB1207" s="1439"/>
      <c r="AC1207" s="1439"/>
      <c r="AD1207" s="1439"/>
      <c r="AE1207" s="1439"/>
      <c r="AF1207" s="1439"/>
      <c r="AG1207" s="1439"/>
    </row>
    <row r="1208" spans="1:33" ht="15.75" customHeight="1">
      <c r="A1208" s="1470"/>
      <c r="B1208" s="1450"/>
      <c r="C1208" s="1477"/>
      <c r="D1208" s="1477"/>
      <c r="E1208" s="1484"/>
      <c r="F1208" s="1446"/>
      <c r="G1208" s="1478"/>
      <c r="H1208" s="1460" t="s">
        <v>2981</v>
      </c>
      <c r="I1208" s="1459">
        <f>CEILING(I1207,0.1)</f>
        <v>5851.2</v>
      </c>
      <c r="J1208" s="1475" t="s">
        <v>39</v>
      </c>
      <c r="K1208" s="1439"/>
      <c r="L1208" s="1439"/>
      <c r="M1208" s="1439"/>
      <c r="N1208" s="1439"/>
      <c r="O1208" s="1439"/>
      <c r="P1208" s="1439"/>
      <c r="Q1208" s="1439"/>
      <c r="R1208" s="1439"/>
      <c r="S1208" s="1439"/>
      <c r="T1208" s="1439"/>
      <c r="U1208" s="1439"/>
      <c r="V1208" s="1439"/>
      <c r="W1208" s="1439"/>
      <c r="X1208" s="1439"/>
      <c r="Y1208" s="1439"/>
      <c r="Z1208" s="1439"/>
      <c r="AA1208" s="1439"/>
      <c r="AB1208" s="1439"/>
      <c r="AC1208" s="1439"/>
      <c r="AD1208" s="1439"/>
      <c r="AE1208" s="1439"/>
      <c r="AF1208" s="1439"/>
      <c r="AG1208" s="1439"/>
    </row>
    <row r="1209" spans="1:33" ht="15.75" customHeight="1">
      <c r="A1209" s="1451">
        <v>40</v>
      </c>
      <c r="B1209" s="1444" t="s">
        <v>3514</v>
      </c>
      <c r="C1209" s="1484"/>
      <c r="D1209" s="1484"/>
      <c r="E1209" s="1484"/>
      <c r="F1209" s="1446"/>
      <c r="G1209" s="1446"/>
      <c r="H1209" s="1447"/>
      <c r="I1209" s="1448"/>
      <c r="J1209" s="1475"/>
      <c r="K1209" s="1439"/>
      <c r="L1209" s="1439"/>
      <c r="M1209" s="1439"/>
      <c r="N1209" s="1439"/>
      <c r="O1209" s="1439"/>
      <c r="P1209" s="1439"/>
      <c r="Q1209" s="1439"/>
      <c r="R1209" s="1439"/>
      <c r="S1209" s="1439"/>
      <c r="T1209" s="1439"/>
      <c r="U1209" s="1439"/>
      <c r="V1209" s="1439"/>
      <c r="W1209" s="1439"/>
      <c r="X1209" s="1439"/>
      <c r="Y1209" s="1439"/>
      <c r="Z1209" s="1439"/>
      <c r="AA1209" s="1439"/>
      <c r="AB1209" s="1439"/>
      <c r="AC1209" s="1439"/>
      <c r="AD1209" s="1439"/>
      <c r="AE1209" s="1439"/>
      <c r="AF1209" s="1439"/>
      <c r="AG1209" s="1439"/>
    </row>
    <row r="1210" spans="1:33" ht="15.75" customHeight="1">
      <c r="A1210" s="1470"/>
      <c r="B1210" s="1462" t="s">
        <v>7177</v>
      </c>
      <c r="C1210" s="1484">
        <v>1</v>
      </c>
      <c r="D1210" s="1484" t="s">
        <v>3364</v>
      </c>
      <c r="E1210" s="1484">
        <f>Joineries!K3</f>
        <v>31</v>
      </c>
      <c r="F1210" s="1446">
        <v>1</v>
      </c>
      <c r="G1210" s="1446">
        <v>2.6</v>
      </c>
      <c r="H1210" s="1447">
        <v>2.1</v>
      </c>
      <c r="I1210" s="1494">
        <f>PRODUCT(C1210:H1210)</f>
        <v>169.26</v>
      </c>
      <c r="J1210" s="1525"/>
      <c r="K1210" s="1439"/>
      <c r="L1210" s="1439"/>
      <c r="M1210" s="1439"/>
      <c r="N1210" s="1439"/>
      <c r="O1210" s="1439"/>
      <c r="P1210" s="1439"/>
      <c r="Q1210" s="1439"/>
      <c r="R1210" s="1439"/>
      <c r="S1210" s="1439"/>
      <c r="T1210" s="1439"/>
      <c r="U1210" s="1439"/>
      <c r="V1210" s="1439"/>
      <c r="W1210" s="1439"/>
      <c r="X1210" s="1439"/>
      <c r="Y1210" s="1439"/>
      <c r="Z1210" s="1439"/>
      <c r="AA1210" s="1439"/>
      <c r="AB1210" s="1439"/>
      <c r="AC1210" s="1439"/>
      <c r="AD1210" s="1439"/>
      <c r="AE1210" s="1439"/>
      <c r="AF1210" s="1439"/>
      <c r="AG1210" s="1439"/>
    </row>
    <row r="1211" spans="1:33" ht="15.75" customHeight="1">
      <c r="A1211" s="1470"/>
      <c r="B1211" s="1462" t="s">
        <v>3398</v>
      </c>
      <c r="C1211" s="1484">
        <v>1</v>
      </c>
      <c r="D1211" s="1484" t="s">
        <v>3364</v>
      </c>
      <c r="E1211" s="1484">
        <f>Joineries!K4</f>
        <v>4</v>
      </c>
      <c r="F1211" s="1446">
        <v>0.9</v>
      </c>
      <c r="G1211" s="1446">
        <v>2.6</v>
      </c>
      <c r="H1211" s="1447">
        <v>2.1</v>
      </c>
      <c r="I1211" s="1494">
        <f>PRODUCT(C1211:H1211)</f>
        <v>19.66</v>
      </c>
      <c r="J1211" s="1525"/>
      <c r="K1211" s="1439"/>
      <c r="L1211" s="1439"/>
      <c r="M1211" s="1439"/>
      <c r="N1211" s="1439"/>
      <c r="O1211" s="1439"/>
      <c r="P1211" s="1439"/>
      <c r="Q1211" s="1439"/>
      <c r="R1211" s="1439"/>
      <c r="S1211" s="1439"/>
      <c r="T1211" s="1439"/>
      <c r="U1211" s="1439"/>
      <c r="V1211" s="1439"/>
      <c r="W1211" s="1439"/>
      <c r="X1211" s="1439"/>
      <c r="Y1211" s="1439"/>
      <c r="Z1211" s="1439"/>
      <c r="AA1211" s="1439"/>
      <c r="AB1211" s="1439"/>
      <c r="AC1211" s="1439"/>
      <c r="AD1211" s="1439"/>
      <c r="AE1211" s="1439"/>
      <c r="AF1211" s="1439"/>
      <c r="AG1211" s="1439"/>
    </row>
    <row r="1212" spans="1:33" ht="15.75" customHeight="1">
      <c r="A1212" s="1451"/>
      <c r="B1212" s="1462"/>
      <c r="C1212" s="1484"/>
      <c r="D1212" s="1484"/>
      <c r="E1212" s="1484"/>
      <c r="F1212" s="1446"/>
      <c r="G1212" s="1446"/>
      <c r="H1212" s="1447"/>
      <c r="I1212" s="1448">
        <f>SUM(I1210:I1211)</f>
        <v>188.92</v>
      </c>
      <c r="J1212" s="1475"/>
      <c r="K1212" s="1439"/>
      <c r="L1212" s="1439"/>
      <c r="M1212" s="1439"/>
      <c r="N1212" s="1439"/>
      <c r="O1212" s="1439"/>
      <c r="P1212" s="1439"/>
      <c r="Q1212" s="1439"/>
      <c r="R1212" s="1439"/>
      <c r="S1212" s="1439"/>
      <c r="T1212" s="1439"/>
      <c r="U1212" s="1439"/>
      <c r="V1212" s="1439"/>
      <c r="W1212" s="1439"/>
      <c r="X1212" s="1439"/>
      <c r="Y1212" s="1439"/>
      <c r="Z1212" s="1439"/>
      <c r="AA1212" s="1439"/>
      <c r="AB1212" s="1439"/>
      <c r="AC1212" s="1439"/>
      <c r="AD1212" s="1439"/>
      <c r="AE1212" s="1439"/>
      <c r="AF1212" s="1439"/>
      <c r="AG1212" s="1439"/>
    </row>
    <row r="1213" spans="1:33" ht="15.75" customHeight="1">
      <c r="A1213" s="1470"/>
      <c r="B1213" s="1474"/>
      <c r="C1213" s="1445"/>
      <c r="D1213" s="1445"/>
      <c r="E1213" s="1445"/>
      <c r="F1213" s="1446"/>
      <c r="G1213" s="1446"/>
      <c r="H1213" s="1460" t="s">
        <v>2981</v>
      </c>
      <c r="I1213" s="1459">
        <f>CEILING(I1212,0.1)</f>
        <v>189</v>
      </c>
      <c r="J1213" s="1475" t="s">
        <v>724</v>
      </c>
      <c r="K1213" s="1439"/>
      <c r="L1213" s="1439"/>
      <c r="M1213" s="1439"/>
      <c r="N1213" s="1439"/>
      <c r="O1213" s="1439"/>
      <c r="P1213" s="1439"/>
      <c r="Q1213" s="1439"/>
      <c r="R1213" s="1439"/>
      <c r="S1213" s="1439"/>
      <c r="T1213" s="1439"/>
      <c r="U1213" s="1439"/>
      <c r="V1213" s="1439"/>
      <c r="W1213" s="1439"/>
      <c r="X1213" s="1439"/>
      <c r="Y1213" s="1439"/>
      <c r="Z1213" s="1439"/>
      <c r="AA1213" s="1439"/>
      <c r="AB1213" s="1439"/>
      <c r="AC1213" s="1439"/>
      <c r="AD1213" s="1439"/>
      <c r="AE1213" s="1439"/>
      <c r="AF1213" s="1439"/>
      <c r="AG1213" s="1439"/>
    </row>
    <row r="1214" spans="1:33" ht="189">
      <c r="A1214" s="1451">
        <v>41</v>
      </c>
      <c r="B1214" s="1444" t="s">
        <v>7178</v>
      </c>
      <c r="C1214" s="1484"/>
      <c r="D1214" s="1484"/>
      <c r="E1214" s="1484"/>
      <c r="F1214" s="1446"/>
      <c r="G1214" s="1446"/>
      <c r="H1214" s="1447"/>
      <c r="I1214" s="1448"/>
      <c r="J1214" s="1475"/>
      <c r="K1214" s="1439"/>
      <c r="L1214" s="1439"/>
      <c r="M1214" s="1439"/>
      <c r="N1214" s="1439"/>
      <c r="O1214" s="1439"/>
      <c r="P1214" s="1439"/>
      <c r="Q1214" s="1439"/>
      <c r="R1214" s="1439"/>
      <c r="S1214" s="1439"/>
      <c r="T1214" s="1439"/>
      <c r="U1214" s="1439"/>
      <c r="V1214" s="1439"/>
      <c r="W1214" s="1439"/>
      <c r="X1214" s="1439"/>
      <c r="Y1214" s="1439"/>
      <c r="Z1214" s="1439"/>
      <c r="AA1214" s="1439"/>
      <c r="AB1214" s="1439"/>
      <c r="AC1214" s="1439"/>
      <c r="AD1214" s="1439"/>
      <c r="AE1214" s="1439"/>
      <c r="AF1214" s="1439"/>
      <c r="AG1214" s="1439"/>
    </row>
    <row r="1215" spans="1:33">
      <c r="A1215" s="1532"/>
      <c r="B1215" s="1462" t="s">
        <v>3497</v>
      </c>
      <c r="C1215" s="1484">
        <v>10</v>
      </c>
      <c r="D1215" s="1488" t="s">
        <v>3364</v>
      </c>
      <c r="E1215" s="1484">
        <v>1</v>
      </c>
      <c r="F1215" s="1446">
        <v>1.8</v>
      </c>
      <c r="G1215" s="1446"/>
      <c r="H1215" s="1447">
        <v>2</v>
      </c>
      <c r="I1215" s="1494">
        <f t="shared" ref="I1215:I1221" si="63">PRODUCT(C1215:H1215)</f>
        <v>36</v>
      </c>
      <c r="J1215" s="1475"/>
      <c r="K1215" s="1439"/>
      <c r="L1215" s="1439"/>
      <c r="M1215" s="1439"/>
      <c r="N1215" s="1439"/>
      <c r="O1215" s="1439"/>
      <c r="P1215" s="1439"/>
      <c r="Q1215" s="1439"/>
      <c r="R1215" s="1439"/>
      <c r="S1215" s="1439"/>
      <c r="T1215" s="1439"/>
      <c r="U1215" s="1439"/>
      <c r="V1215" s="1439"/>
      <c r="W1215" s="1439"/>
      <c r="X1215" s="1439"/>
      <c r="Y1215" s="1439"/>
      <c r="Z1215" s="1439"/>
      <c r="AA1215" s="1439"/>
      <c r="AB1215" s="1439"/>
      <c r="AC1215" s="1439"/>
      <c r="AD1215" s="1439"/>
      <c r="AE1215" s="1439"/>
      <c r="AF1215" s="1439"/>
      <c r="AG1215" s="1439"/>
    </row>
    <row r="1216" spans="1:33">
      <c r="A1216" s="1532"/>
      <c r="B1216" s="1462" t="s">
        <v>3414</v>
      </c>
      <c r="C1216" s="1484">
        <v>42</v>
      </c>
      <c r="D1216" s="1488" t="s">
        <v>3364</v>
      </c>
      <c r="E1216" s="1484">
        <v>1</v>
      </c>
      <c r="F1216" s="1446">
        <v>1.8</v>
      </c>
      <c r="G1216" s="1446"/>
      <c r="H1216" s="1447">
        <v>1.35</v>
      </c>
      <c r="I1216" s="1494">
        <f t="shared" si="63"/>
        <v>102.06</v>
      </c>
      <c r="J1216" s="1475"/>
      <c r="K1216" s="1439"/>
      <c r="L1216" s="1439"/>
      <c r="M1216" s="1439"/>
      <c r="N1216" s="1439"/>
      <c r="O1216" s="1439"/>
      <c r="P1216" s="1439"/>
      <c r="Q1216" s="1439"/>
      <c r="R1216" s="1439"/>
      <c r="S1216" s="1439"/>
      <c r="T1216" s="1439"/>
      <c r="U1216" s="1439"/>
      <c r="V1216" s="1439"/>
      <c r="W1216" s="1439"/>
      <c r="X1216" s="1439"/>
      <c r="Y1216" s="1439"/>
      <c r="Z1216" s="1439"/>
      <c r="AA1216" s="1439"/>
      <c r="AB1216" s="1439"/>
      <c r="AC1216" s="1439"/>
      <c r="AD1216" s="1439"/>
      <c r="AE1216" s="1439"/>
      <c r="AF1216" s="1439"/>
      <c r="AG1216" s="1439"/>
    </row>
    <row r="1217" spans="1:33" ht="15.75" customHeight="1">
      <c r="A1217" s="1532"/>
      <c r="B1217" s="1462" t="s">
        <v>3400</v>
      </c>
      <c r="C1217" s="1484">
        <v>1</v>
      </c>
      <c r="D1217" s="1488" t="s">
        <v>3364</v>
      </c>
      <c r="E1217" s="1484">
        <v>1</v>
      </c>
      <c r="F1217" s="1446">
        <v>1.5</v>
      </c>
      <c r="G1217" s="1446"/>
      <c r="H1217" s="1447">
        <v>0.6</v>
      </c>
      <c r="I1217" s="1494">
        <f t="shared" si="63"/>
        <v>0.9</v>
      </c>
      <c r="J1217" s="1475"/>
      <c r="K1217" s="1439"/>
      <c r="L1217" s="1439"/>
      <c r="M1217" s="1439"/>
      <c r="N1217" s="1439"/>
      <c r="O1217" s="1439"/>
      <c r="P1217" s="1439"/>
      <c r="Q1217" s="1439"/>
      <c r="R1217" s="1439"/>
      <c r="S1217" s="1439"/>
      <c r="T1217" s="1439"/>
      <c r="U1217" s="1439"/>
      <c r="V1217" s="1439"/>
      <c r="W1217" s="1439"/>
      <c r="X1217" s="1439"/>
      <c r="Y1217" s="1439"/>
      <c r="Z1217" s="1439"/>
      <c r="AA1217" s="1439"/>
      <c r="AB1217" s="1439"/>
      <c r="AC1217" s="1439"/>
      <c r="AD1217" s="1439"/>
      <c r="AE1217" s="1439"/>
      <c r="AF1217" s="1439"/>
      <c r="AG1217" s="1439"/>
    </row>
    <row r="1218" spans="1:33" ht="15.75" customHeight="1">
      <c r="A1218" s="1532"/>
      <c r="B1218" s="1462" t="s">
        <v>6964</v>
      </c>
      <c r="C1218" s="1484">
        <v>1</v>
      </c>
      <c r="D1218" s="1488" t="s">
        <v>3364</v>
      </c>
      <c r="E1218" s="1484">
        <v>1</v>
      </c>
      <c r="F1218" s="1446">
        <v>0.9</v>
      </c>
      <c r="G1218" s="1446"/>
      <c r="H1218" s="1447">
        <v>0.6</v>
      </c>
      <c r="I1218" s="1494">
        <f t="shared" si="63"/>
        <v>0.54</v>
      </c>
      <c r="J1218" s="1475"/>
      <c r="K1218" s="1439"/>
      <c r="L1218" s="1439"/>
      <c r="M1218" s="1439"/>
      <c r="N1218" s="1439"/>
      <c r="O1218" s="1439"/>
      <c r="P1218" s="1439"/>
      <c r="Q1218" s="1439"/>
      <c r="R1218" s="1439"/>
      <c r="S1218" s="1439"/>
      <c r="T1218" s="1439"/>
      <c r="U1218" s="1439"/>
      <c r="V1218" s="1439"/>
      <c r="W1218" s="1439"/>
      <c r="X1218" s="1439"/>
      <c r="Y1218" s="1439"/>
      <c r="Z1218" s="1439"/>
      <c r="AA1218" s="1439"/>
      <c r="AB1218" s="1439"/>
      <c r="AC1218" s="1439"/>
      <c r="AD1218" s="1439"/>
      <c r="AE1218" s="1439"/>
      <c r="AF1218" s="1439"/>
      <c r="AG1218" s="1439"/>
    </row>
    <row r="1219" spans="1:33" ht="15.75" customHeight="1">
      <c r="A1219" s="1532"/>
      <c r="B1219" s="1462" t="s">
        <v>3401</v>
      </c>
      <c r="C1219" s="1484">
        <v>42</v>
      </c>
      <c r="D1219" s="1488" t="s">
        <v>3364</v>
      </c>
      <c r="E1219" s="1484">
        <v>1</v>
      </c>
      <c r="F1219" s="1446">
        <v>0.75</v>
      </c>
      <c r="G1219" s="1446"/>
      <c r="H1219" s="1447">
        <v>0.6</v>
      </c>
      <c r="I1219" s="1494">
        <f t="shared" si="63"/>
        <v>18.899999999999999</v>
      </c>
      <c r="J1219" s="1475"/>
      <c r="K1219" s="1439"/>
      <c r="L1219" s="1439"/>
      <c r="M1219" s="1439"/>
      <c r="N1219" s="1439"/>
      <c r="O1219" s="1439"/>
      <c r="P1219" s="1439"/>
      <c r="Q1219" s="1439"/>
      <c r="R1219" s="1439"/>
      <c r="S1219" s="1439"/>
      <c r="T1219" s="1439"/>
      <c r="U1219" s="1439"/>
      <c r="V1219" s="1439"/>
      <c r="W1219" s="1439"/>
      <c r="X1219" s="1439"/>
      <c r="Y1219" s="1439"/>
      <c r="Z1219" s="1439"/>
      <c r="AA1219" s="1439"/>
      <c r="AB1219" s="1439"/>
      <c r="AC1219" s="1439"/>
      <c r="AD1219" s="1439"/>
      <c r="AE1219" s="1439"/>
      <c r="AF1219" s="1439"/>
      <c r="AG1219" s="1439"/>
    </row>
    <row r="1220" spans="1:33" ht="15.75" customHeight="1">
      <c r="A1220" s="1532"/>
      <c r="B1220" s="1462" t="s">
        <v>6968</v>
      </c>
      <c r="C1220" s="1484">
        <v>1</v>
      </c>
      <c r="D1220" s="1488" t="s">
        <v>3364</v>
      </c>
      <c r="E1220" s="1484">
        <v>1</v>
      </c>
      <c r="F1220" s="1446">
        <v>1.5</v>
      </c>
      <c r="G1220" s="1446"/>
      <c r="H1220" s="1447">
        <v>1.05</v>
      </c>
      <c r="I1220" s="1494">
        <f t="shared" si="63"/>
        <v>1.58</v>
      </c>
      <c r="J1220" s="1475"/>
      <c r="K1220" s="1439"/>
      <c r="L1220" s="1439"/>
      <c r="M1220" s="1439"/>
      <c r="N1220" s="1439"/>
      <c r="O1220" s="1439"/>
      <c r="P1220" s="1439"/>
      <c r="Q1220" s="1439"/>
      <c r="R1220" s="1439"/>
      <c r="S1220" s="1439"/>
      <c r="T1220" s="1439"/>
      <c r="U1220" s="1439"/>
      <c r="V1220" s="1439"/>
      <c r="W1220" s="1439"/>
      <c r="X1220" s="1439"/>
      <c r="Y1220" s="1439"/>
      <c r="Z1220" s="1439"/>
      <c r="AA1220" s="1439"/>
      <c r="AB1220" s="1439"/>
      <c r="AC1220" s="1439"/>
      <c r="AD1220" s="1439"/>
      <c r="AE1220" s="1439"/>
      <c r="AF1220" s="1439"/>
      <c r="AG1220" s="1439"/>
    </row>
    <row r="1221" spans="1:33" ht="15.75" customHeight="1">
      <c r="A1221" s="1532"/>
      <c r="B1221" s="1462" t="s">
        <v>7413</v>
      </c>
      <c r="C1221" s="1484">
        <v>4</v>
      </c>
      <c r="D1221" s="1488" t="s">
        <v>3364</v>
      </c>
      <c r="E1221" s="1484">
        <v>1</v>
      </c>
      <c r="F1221" s="1446">
        <v>0.9</v>
      </c>
      <c r="G1221" s="1446"/>
      <c r="H1221" s="1447">
        <v>2</v>
      </c>
      <c r="I1221" s="1494">
        <f t="shared" si="63"/>
        <v>7.2</v>
      </c>
      <c r="J1221" s="1475"/>
      <c r="K1221" s="1439"/>
      <c r="L1221" s="1439"/>
      <c r="M1221" s="1439"/>
      <c r="N1221" s="1439"/>
      <c r="O1221" s="1439"/>
      <c r="P1221" s="1439"/>
      <c r="Q1221" s="1439"/>
      <c r="R1221" s="1439"/>
      <c r="S1221" s="1439"/>
      <c r="T1221" s="1439"/>
      <c r="U1221" s="1439"/>
      <c r="V1221" s="1439"/>
      <c r="W1221" s="1439"/>
      <c r="X1221" s="1439"/>
      <c r="Y1221" s="1439"/>
      <c r="Z1221" s="1439"/>
      <c r="AA1221" s="1439"/>
      <c r="AB1221" s="1439"/>
      <c r="AC1221" s="1439"/>
      <c r="AD1221" s="1439"/>
      <c r="AE1221" s="1439"/>
      <c r="AF1221" s="1439"/>
      <c r="AG1221" s="1439"/>
    </row>
    <row r="1222" spans="1:33" ht="15.75" customHeight="1">
      <c r="A1222" s="1470"/>
      <c r="B1222" s="1450"/>
      <c r="C1222" s="1477"/>
      <c r="D1222" s="1477"/>
      <c r="E1222" s="1484"/>
      <c r="F1222" s="1446"/>
      <c r="G1222" s="1458" t="s">
        <v>104</v>
      </c>
      <c r="H1222" s="1447"/>
      <c r="I1222" s="1448">
        <f>SUM(I1215:I1221)</f>
        <v>167.18</v>
      </c>
      <c r="J1222" s="1475"/>
      <c r="K1222" s="1439"/>
      <c r="L1222" s="1439"/>
      <c r="M1222" s="1439"/>
      <c r="N1222" s="1439"/>
      <c r="O1222" s="1439"/>
      <c r="P1222" s="1439"/>
      <c r="Q1222" s="1439"/>
      <c r="R1222" s="1439"/>
      <c r="S1222" s="1439"/>
      <c r="T1222" s="1439"/>
      <c r="U1222" s="1439"/>
      <c r="V1222" s="1439"/>
      <c r="W1222" s="1439"/>
      <c r="X1222" s="1439"/>
      <c r="Y1222" s="1439"/>
      <c r="Z1222" s="1439"/>
      <c r="AA1222" s="1439"/>
      <c r="AB1222" s="1439"/>
      <c r="AC1222" s="1439"/>
      <c r="AD1222" s="1439"/>
      <c r="AE1222" s="1439"/>
      <c r="AF1222" s="1439"/>
      <c r="AG1222" s="1439"/>
    </row>
    <row r="1223" spans="1:33" ht="15.75" customHeight="1">
      <c r="A1223" s="1470"/>
      <c r="B1223" s="1450"/>
      <c r="C1223" s="1477"/>
      <c r="D1223" s="1477"/>
      <c r="E1223" s="1484"/>
      <c r="F1223" s="1446"/>
      <c r="G1223" s="1478"/>
      <c r="H1223" s="1460" t="s">
        <v>2981</v>
      </c>
      <c r="I1223" s="1459">
        <f>CEILING(I1222,0.1)</f>
        <v>167.2</v>
      </c>
      <c r="J1223" s="1475" t="s">
        <v>724</v>
      </c>
      <c r="K1223" s="1439"/>
      <c r="L1223" s="1439"/>
      <c r="M1223" s="1439"/>
      <c r="N1223" s="1439"/>
      <c r="O1223" s="1439"/>
      <c r="P1223" s="1439"/>
      <c r="Q1223" s="1439"/>
      <c r="R1223" s="1439"/>
      <c r="S1223" s="1439"/>
      <c r="T1223" s="1439"/>
      <c r="U1223" s="1439"/>
      <c r="V1223" s="1439"/>
      <c r="W1223" s="1439"/>
      <c r="X1223" s="1439"/>
      <c r="Y1223" s="1439"/>
      <c r="Z1223" s="1439"/>
      <c r="AA1223" s="1439"/>
      <c r="AB1223" s="1439"/>
      <c r="AC1223" s="1439"/>
      <c r="AD1223" s="1439"/>
      <c r="AE1223" s="1439"/>
      <c r="AF1223" s="1439"/>
      <c r="AG1223" s="1439"/>
    </row>
    <row r="1224" spans="1:33" ht="15.75" customHeight="1">
      <c r="A1224" s="1470">
        <v>58.1</v>
      </c>
      <c r="B1224" s="1444" t="s">
        <v>3664</v>
      </c>
      <c r="C1224" s="1477"/>
      <c r="D1224" s="1477"/>
      <c r="E1224" s="1484"/>
      <c r="F1224" s="1446"/>
      <c r="G1224" s="1478"/>
      <c r="H1224" s="1460"/>
      <c r="I1224" s="1459"/>
      <c r="J1224" s="1475"/>
      <c r="K1224" s="1439"/>
      <c r="L1224" s="1439"/>
      <c r="M1224" s="1439"/>
      <c r="N1224" s="1439"/>
      <c r="O1224" s="1439"/>
      <c r="P1224" s="1439"/>
      <c r="Q1224" s="1439"/>
      <c r="R1224" s="1439"/>
      <c r="S1224" s="1439"/>
      <c r="T1224" s="1439"/>
      <c r="U1224" s="1439"/>
      <c r="V1224" s="1439"/>
      <c r="W1224" s="1439"/>
      <c r="X1224" s="1439"/>
      <c r="Y1224" s="1439"/>
      <c r="Z1224" s="1439"/>
      <c r="AA1224" s="1439"/>
      <c r="AB1224" s="1439"/>
      <c r="AC1224" s="1439"/>
      <c r="AD1224" s="1439"/>
      <c r="AE1224" s="1439"/>
      <c r="AF1224" s="1439"/>
      <c r="AG1224" s="1439"/>
    </row>
    <row r="1225" spans="1:33" ht="15.75" customHeight="1">
      <c r="A1225" s="1533" t="s">
        <v>2102</v>
      </c>
      <c r="B1225" s="1456" t="s">
        <v>3665</v>
      </c>
      <c r="C1225" s="1484"/>
      <c r="D1225" s="1477"/>
      <c r="E1225" s="1484"/>
      <c r="F1225" s="1446"/>
      <c r="G1225" s="1478"/>
      <c r="H1225" s="1447"/>
      <c r="I1225" s="1448"/>
      <c r="J1225" s="1475"/>
      <c r="K1225" s="1439"/>
      <c r="L1225" s="1439"/>
      <c r="M1225" s="1439"/>
      <c r="N1225" s="1439"/>
      <c r="O1225" s="1439"/>
      <c r="P1225" s="1439"/>
      <c r="Q1225" s="1439"/>
      <c r="R1225" s="1439"/>
      <c r="S1225" s="1439"/>
      <c r="T1225" s="1439"/>
      <c r="U1225" s="1439"/>
      <c r="V1225" s="1439"/>
      <c r="W1225" s="1439"/>
      <c r="X1225" s="1439"/>
      <c r="Y1225" s="1439"/>
      <c r="Z1225" s="1439"/>
      <c r="AA1225" s="1439"/>
      <c r="AB1225" s="1439"/>
      <c r="AC1225" s="1439"/>
      <c r="AD1225" s="1439"/>
      <c r="AE1225" s="1439"/>
      <c r="AF1225" s="1439"/>
      <c r="AG1225" s="1439"/>
    </row>
    <row r="1226" spans="1:33" ht="15.75" customHeight="1">
      <c r="A1226" s="1470"/>
      <c r="B1226" s="1450" t="s">
        <v>7179</v>
      </c>
      <c r="C1226" s="1484">
        <v>2</v>
      </c>
      <c r="D1226" s="1477" t="s">
        <v>3364</v>
      </c>
      <c r="E1226" s="1484">
        <v>7</v>
      </c>
      <c r="F1226" s="1446">
        <v>16.3</v>
      </c>
      <c r="G1226" s="1478"/>
      <c r="H1226" s="1447"/>
      <c r="I1226" s="1494">
        <f t="shared" ref="I1226:I1232" si="64">PRODUCT(C1226:H1226)</f>
        <v>228.2</v>
      </c>
      <c r="J1226" s="1475"/>
      <c r="K1226" s="1439"/>
      <c r="L1226" s="1439"/>
      <c r="M1226" s="1439"/>
      <c r="N1226" s="1439"/>
      <c r="O1226" s="1439"/>
      <c r="P1226" s="1439"/>
      <c r="Q1226" s="1439"/>
      <c r="R1226" s="1439"/>
      <c r="S1226" s="1439"/>
      <c r="T1226" s="1439"/>
      <c r="U1226" s="1439"/>
      <c r="V1226" s="1439"/>
      <c r="W1226" s="1439"/>
      <c r="X1226" s="1439"/>
      <c r="Y1226" s="1439"/>
      <c r="Z1226" s="1439"/>
      <c r="AA1226" s="1439"/>
      <c r="AB1226" s="1439"/>
      <c r="AC1226" s="1439"/>
      <c r="AD1226" s="1439"/>
      <c r="AE1226" s="1439"/>
      <c r="AF1226" s="1439"/>
      <c r="AG1226" s="1439"/>
    </row>
    <row r="1227" spans="1:33" ht="15.75" customHeight="1">
      <c r="A1227" s="1470"/>
      <c r="B1227" s="1450" t="s">
        <v>7180</v>
      </c>
      <c r="C1227" s="1484">
        <v>1</v>
      </c>
      <c r="D1227" s="1477" t="s">
        <v>3364</v>
      </c>
      <c r="E1227" s="1484">
        <v>5</v>
      </c>
      <c r="F1227" s="1446">
        <v>1.2</v>
      </c>
      <c r="G1227" s="1478"/>
      <c r="H1227" s="1447"/>
      <c r="I1227" s="1494">
        <f t="shared" si="64"/>
        <v>6</v>
      </c>
      <c r="J1227" s="1475"/>
      <c r="K1227" s="1439"/>
      <c r="L1227" s="1439"/>
      <c r="M1227" s="1439"/>
      <c r="N1227" s="1439"/>
      <c r="O1227" s="1439"/>
      <c r="P1227" s="1439"/>
      <c r="Q1227" s="1439"/>
      <c r="R1227" s="1439"/>
      <c r="S1227" s="1439"/>
      <c r="T1227" s="1439"/>
      <c r="U1227" s="1439"/>
      <c r="V1227" s="1439"/>
      <c r="W1227" s="1439"/>
      <c r="X1227" s="1439"/>
      <c r="Y1227" s="1439"/>
      <c r="Z1227" s="1439"/>
      <c r="AA1227" s="1439"/>
      <c r="AB1227" s="1439"/>
      <c r="AC1227" s="1439"/>
      <c r="AD1227" s="1439"/>
      <c r="AE1227" s="1439"/>
      <c r="AF1227" s="1439"/>
      <c r="AG1227" s="1439"/>
    </row>
    <row r="1228" spans="1:33" ht="15.75" customHeight="1">
      <c r="A1228" s="1470"/>
      <c r="B1228" s="1450" t="s">
        <v>7181</v>
      </c>
      <c r="C1228" s="1484">
        <v>2</v>
      </c>
      <c r="D1228" s="1477" t="s">
        <v>3364</v>
      </c>
      <c r="E1228" s="1484">
        <v>6</v>
      </c>
      <c r="F1228" s="1446">
        <v>1.8</v>
      </c>
      <c r="G1228" s="1478"/>
      <c r="H1228" s="1447"/>
      <c r="I1228" s="1494">
        <f t="shared" si="64"/>
        <v>21.6</v>
      </c>
      <c r="J1228" s="1475"/>
      <c r="K1228" s="1439"/>
      <c r="L1228" s="1439"/>
      <c r="M1228" s="1439"/>
      <c r="N1228" s="1439"/>
      <c r="O1228" s="1439"/>
      <c r="P1228" s="1439"/>
      <c r="Q1228" s="1439"/>
      <c r="R1228" s="1439"/>
      <c r="S1228" s="1439"/>
      <c r="T1228" s="1439"/>
      <c r="U1228" s="1439"/>
      <c r="V1228" s="1439"/>
      <c r="W1228" s="1439"/>
      <c r="X1228" s="1439"/>
      <c r="Y1228" s="1439"/>
      <c r="Z1228" s="1439"/>
      <c r="AA1228" s="1439"/>
      <c r="AB1228" s="1439"/>
      <c r="AC1228" s="1439"/>
      <c r="AD1228" s="1439"/>
      <c r="AE1228" s="1439"/>
      <c r="AF1228" s="1439"/>
      <c r="AG1228" s="1439"/>
    </row>
    <row r="1229" spans="1:33" ht="15.75" customHeight="1">
      <c r="A1229" s="1470"/>
      <c r="B1229" s="1450" t="s">
        <v>7182</v>
      </c>
      <c r="C1229" s="1484">
        <v>2</v>
      </c>
      <c r="D1229" s="1477" t="s">
        <v>3364</v>
      </c>
      <c r="E1229" s="1484">
        <v>6</v>
      </c>
      <c r="F1229" s="1478">
        <v>1.8</v>
      </c>
      <c r="G1229" s="1478"/>
      <c r="H1229" s="1500"/>
      <c r="I1229" s="1494">
        <f t="shared" si="64"/>
        <v>21.6</v>
      </c>
      <c r="J1229" s="1475"/>
      <c r="K1229" s="1439"/>
      <c r="L1229" s="1439"/>
      <c r="M1229" s="1439"/>
      <c r="N1229" s="1439"/>
      <c r="O1229" s="1439"/>
      <c r="P1229" s="1439"/>
      <c r="Q1229" s="1439"/>
      <c r="R1229" s="1439"/>
      <c r="S1229" s="1439"/>
      <c r="T1229" s="1439"/>
      <c r="U1229" s="1439"/>
      <c r="V1229" s="1439"/>
      <c r="W1229" s="1439"/>
      <c r="X1229" s="1439"/>
      <c r="Y1229" s="1439"/>
      <c r="Z1229" s="1439"/>
      <c r="AA1229" s="1439"/>
      <c r="AB1229" s="1439"/>
      <c r="AC1229" s="1439"/>
      <c r="AD1229" s="1439"/>
      <c r="AE1229" s="1439"/>
      <c r="AF1229" s="1439"/>
      <c r="AG1229" s="1439"/>
    </row>
    <row r="1230" spans="1:33" ht="15.75" customHeight="1">
      <c r="A1230" s="1470"/>
      <c r="B1230" s="1450" t="s">
        <v>7183</v>
      </c>
      <c r="C1230" s="1484">
        <v>2</v>
      </c>
      <c r="D1230" s="1477" t="s">
        <v>3364</v>
      </c>
      <c r="E1230" s="1484">
        <v>4</v>
      </c>
      <c r="F1230" s="1478">
        <v>1.4</v>
      </c>
      <c r="G1230" s="1478"/>
      <c r="H1230" s="1500"/>
      <c r="I1230" s="1494">
        <f t="shared" si="64"/>
        <v>11.2</v>
      </c>
      <c r="J1230" s="1475"/>
      <c r="K1230" s="1439"/>
      <c r="L1230" s="1439"/>
      <c r="M1230" s="1439"/>
      <c r="N1230" s="1439"/>
      <c r="O1230" s="1439"/>
      <c r="P1230" s="1439"/>
      <c r="Q1230" s="1439"/>
      <c r="R1230" s="1439"/>
      <c r="S1230" s="1439"/>
      <c r="T1230" s="1439"/>
      <c r="U1230" s="1439"/>
      <c r="V1230" s="1439"/>
      <c r="W1230" s="1439"/>
      <c r="X1230" s="1439"/>
      <c r="Y1230" s="1439"/>
      <c r="Z1230" s="1439"/>
      <c r="AA1230" s="1439"/>
      <c r="AB1230" s="1439"/>
      <c r="AC1230" s="1439"/>
      <c r="AD1230" s="1439"/>
      <c r="AE1230" s="1439"/>
      <c r="AF1230" s="1439"/>
      <c r="AG1230" s="1439"/>
    </row>
    <row r="1231" spans="1:33" ht="15.75" customHeight="1">
      <c r="A1231" s="1470"/>
      <c r="B1231" s="1450" t="s">
        <v>7184</v>
      </c>
      <c r="C1231" s="1484">
        <v>2</v>
      </c>
      <c r="D1231" s="1477" t="s">
        <v>3364</v>
      </c>
      <c r="E1231" s="1484">
        <v>4</v>
      </c>
      <c r="F1231" s="1478">
        <v>1.6</v>
      </c>
      <c r="G1231" s="1478"/>
      <c r="H1231" s="1500"/>
      <c r="I1231" s="1494">
        <f t="shared" si="64"/>
        <v>12.8</v>
      </c>
      <c r="J1231" s="1475"/>
      <c r="K1231" s="1439"/>
      <c r="L1231" s="1439"/>
      <c r="M1231" s="1439"/>
      <c r="N1231" s="1439"/>
      <c r="O1231" s="1439"/>
      <c r="P1231" s="1439"/>
      <c r="Q1231" s="1439"/>
      <c r="R1231" s="1439"/>
      <c r="S1231" s="1439"/>
      <c r="T1231" s="1439"/>
      <c r="U1231" s="1439"/>
      <c r="V1231" s="1439"/>
      <c r="W1231" s="1439"/>
      <c r="X1231" s="1439"/>
      <c r="Y1231" s="1439"/>
      <c r="Z1231" s="1439"/>
      <c r="AA1231" s="1439"/>
      <c r="AB1231" s="1439"/>
      <c r="AC1231" s="1439"/>
      <c r="AD1231" s="1439"/>
      <c r="AE1231" s="1439"/>
      <c r="AF1231" s="1439"/>
      <c r="AG1231" s="1439"/>
    </row>
    <row r="1232" spans="1:33" ht="15.75" customHeight="1">
      <c r="A1232" s="1470"/>
      <c r="B1232" s="1450" t="s">
        <v>7185</v>
      </c>
      <c r="C1232" s="1484">
        <v>1</v>
      </c>
      <c r="D1232" s="1477" t="s">
        <v>3364</v>
      </c>
      <c r="E1232" s="1484">
        <v>2</v>
      </c>
      <c r="F1232" s="1478">
        <v>3.5</v>
      </c>
      <c r="G1232" s="1478"/>
      <c r="H1232" s="1500"/>
      <c r="I1232" s="1494">
        <f t="shared" si="64"/>
        <v>7</v>
      </c>
      <c r="J1232" s="1475"/>
      <c r="K1232" s="1439"/>
      <c r="L1232" s="1439"/>
      <c r="M1232" s="1439"/>
      <c r="N1232" s="1439"/>
      <c r="O1232" s="1439"/>
      <c r="P1232" s="1439"/>
      <c r="Q1232" s="1439"/>
      <c r="R1232" s="1439"/>
      <c r="S1232" s="1439"/>
      <c r="T1232" s="1439"/>
      <c r="U1232" s="1439"/>
      <c r="V1232" s="1439"/>
      <c r="W1232" s="1439"/>
      <c r="X1232" s="1439"/>
      <c r="Y1232" s="1439"/>
      <c r="Z1232" s="1439"/>
      <c r="AA1232" s="1439"/>
      <c r="AB1232" s="1439"/>
      <c r="AC1232" s="1439"/>
      <c r="AD1232" s="1439"/>
      <c r="AE1232" s="1439"/>
      <c r="AF1232" s="1439"/>
      <c r="AG1232" s="1439"/>
    </row>
    <row r="1233" spans="1:33" ht="15.75" customHeight="1">
      <c r="A1233" s="1470"/>
      <c r="B1233" s="1450"/>
      <c r="C1233" s="1477"/>
      <c r="D1233" s="1477"/>
      <c r="E1233" s="1484"/>
      <c r="F1233" s="1446"/>
      <c r="G1233" s="1458" t="s">
        <v>104</v>
      </c>
      <c r="H1233" s="1447"/>
      <c r="I1233" s="1448">
        <f>SUM(I1226:I1232)</f>
        <v>308.39999999999998</v>
      </c>
      <c r="J1233" s="1475"/>
      <c r="K1233" s="1439"/>
      <c r="L1233" s="1439"/>
      <c r="M1233" s="1439"/>
      <c r="N1233" s="1439"/>
      <c r="O1233" s="1439"/>
      <c r="P1233" s="1439"/>
      <c r="Q1233" s="1439"/>
      <c r="R1233" s="1439"/>
      <c r="S1233" s="1439"/>
      <c r="T1233" s="1439"/>
      <c r="U1233" s="1439"/>
      <c r="V1233" s="1439"/>
      <c r="W1233" s="1439"/>
      <c r="X1233" s="1439"/>
      <c r="Y1233" s="1439"/>
      <c r="Z1233" s="1439"/>
      <c r="AA1233" s="1439"/>
      <c r="AB1233" s="1439"/>
      <c r="AC1233" s="1439"/>
      <c r="AD1233" s="1439"/>
      <c r="AE1233" s="1439"/>
      <c r="AF1233" s="1439"/>
      <c r="AG1233" s="1439"/>
    </row>
    <row r="1234" spans="1:33" ht="15.75" customHeight="1">
      <c r="A1234" s="1470"/>
      <c r="B1234" s="1450"/>
      <c r="C1234" s="1477"/>
      <c r="D1234" s="1477"/>
      <c r="E1234" s="1484"/>
      <c r="F1234" s="1446"/>
      <c r="G1234" s="1478"/>
      <c r="H1234" s="1460" t="s">
        <v>2981</v>
      </c>
      <c r="I1234" s="1459">
        <f>CEILING(I1233,0.1)</f>
        <v>308.39999999999998</v>
      </c>
      <c r="J1234" s="1475" t="s">
        <v>13</v>
      </c>
      <c r="K1234" s="1439"/>
      <c r="L1234" s="1439"/>
      <c r="M1234" s="1439"/>
      <c r="N1234" s="1439"/>
      <c r="O1234" s="1439"/>
      <c r="P1234" s="1439"/>
      <c r="Q1234" s="1439"/>
      <c r="R1234" s="1439"/>
      <c r="S1234" s="1439"/>
      <c r="T1234" s="1439"/>
      <c r="U1234" s="1439"/>
      <c r="V1234" s="1439"/>
      <c r="W1234" s="1439"/>
      <c r="X1234" s="1439"/>
      <c r="Y1234" s="1439"/>
      <c r="Z1234" s="1439"/>
      <c r="AA1234" s="1439"/>
      <c r="AB1234" s="1439"/>
      <c r="AC1234" s="1439"/>
      <c r="AD1234" s="1439"/>
      <c r="AE1234" s="1439"/>
      <c r="AF1234" s="1439"/>
      <c r="AG1234" s="1439"/>
    </row>
    <row r="1235" spans="1:33" ht="31.5">
      <c r="A1235" s="1470">
        <v>238.1</v>
      </c>
      <c r="B1235" s="1480" t="s">
        <v>7574</v>
      </c>
      <c r="C1235" s="1477"/>
      <c r="D1235" s="1477"/>
      <c r="E1235" s="1484"/>
      <c r="F1235" s="1446"/>
      <c r="G1235" s="1478"/>
      <c r="H1235" s="1460"/>
      <c r="I1235" s="1459"/>
      <c r="J1235" s="1475"/>
      <c r="K1235" s="1439"/>
      <c r="L1235" s="1439"/>
      <c r="M1235" s="1439"/>
      <c r="N1235" s="1439"/>
      <c r="O1235" s="1439"/>
      <c r="P1235" s="1439"/>
      <c r="Q1235" s="1439"/>
      <c r="R1235" s="1439"/>
      <c r="S1235" s="1439"/>
      <c r="T1235" s="1439"/>
      <c r="U1235" s="1439"/>
      <c r="V1235" s="1439"/>
      <c r="W1235" s="1439"/>
      <c r="X1235" s="1439"/>
      <c r="Y1235" s="1439"/>
      <c r="Z1235" s="1439"/>
      <c r="AA1235" s="1439"/>
      <c r="AB1235" s="1439"/>
      <c r="AC1235" s="1439"/>
      <c r="AD1235" s="1439"/>
      <c r="AE1235" s="1439"/>
      <c r="AF1235" s="1439"/>
      <c r="AG1235" s="1439"/>
    </row>
    <row r="1236" spans="1:33">
      <c r="A1236" s="1532"/>
      <c r="B1236" s="1462" t="s">
        <v>3497</v>
      </c>
      <c r="C1236" s="1484">
        <v>10</v>
      </c>
      <c r="D1236" s="1488" t="s">
        <v>3364</v>
      </c>
      <c r="E1236" s="1484">
        <v>1</v>
      </c>
      <c r="F1236" s="1446">
        <v>1.8</v>
      </c>
      <c r="G1236" s="1446">
        <v>35</v>
      </c>
      <c r="H1236" s="1447">
        <v>2</v>
      </c>
      <c r="I1236" s="1494">
        <f t="shared" ref="I1236:I1242" si="65">PRODUCT(C1236:H1236)</f>
        <v>1260</v>
      </c>
      <c r="J1236" s="1475"/>
      <c r="K1236" s="1439"/>
      <c r="L1236" s="1439"/>
      <c r="M1236" s="1439"/>
      <c r="N1236" s="1439"/>
      <c r="O1236" s="1439"/>
      <c r="P1236" s="1439"/>
      <c r="Q1236" s="1439"/>
      <c r="R1236" s="1439"/>
      <c r="S1236" s="1439"/>
      <c r="T1236" s="1439"/>
      <c r="U1236" s="1439"/>
      <c r="V1236" s="1439"/>
      <c r="W1236" s="1439"/>
      <c r="X1236" s="1439"/>
      <c r="Y1236" s="1439"/>
      <c r="Z1236" s="1439"/>
      <c r="AA1236" s="1439"/>
      <c r="AB1236" s="1439"/>
      <c r="AC1236" s="1439"/>
      <c r="AD1236" s="1439"/>
      <c r="AE1236" s="1439"/>
      <c r="AF1236" s="1439"/>
      <c r="AG1236" s="1439"/>
    </row>
    <row r="1237" spans="1:33">
      <c r="A1237" s="1532"/>
      <c r="B1237" s="1462" t="s">
        <v>3414</v>
      </c>
      <c r="C1237" s="1484">
        <v>42</v>
      </c>
      <c r="D1237" s="1488" t="s">
        <v>3364</v>
      </c>
      <c r="E1237" s="1484">
        <v>1</v>
      </c>
      <c r="F1237" s="1446">
        <v>1.8</v>
      </c>
      <c r="G1237" s="1446">
        <v>35</v>
      </c>
      <c r="H1237" s="1447">
        <v>1.35</v>
      </c>
      <c r="I1237" s="1494">
        <f t="shared" si="65"/>
        <v>3572.1</v>
      </c>
      <c r="J1237" s="1475"/>
      <c r="K1237" s="1439"/>
      <c r="L1237" s="1439"/>
      <c r="M1237" s="1439"/>
      <c r="N1237" s="1439"/>
      <c r="O1237" s="1439"/>
      <c r="P1237" s="1439"/>
      <c r="Q1237" s="1439"/>
      <c r="R1237" s="1439"/>
      <c r="S1237" s="1439"/>
      <c r="T1237" s="1439"/>
      <c r="U1237" s="1439"/>
      <c r="V1237" s="1439"/>
      <c r="W1237" s="1439"/>
      <c r="X1237" s="1439"/>
      <c r="Y1237" s="1439"/>
      <c r="Z1237" s="1439"/>
      <c r="AA1237" s="1439"/>
      <c r="AB1237" s="1439"/>
      <c r="AC1237" s="1439"/>
      <c r="AD1237" s="1439"/>
      <c r="AE1237" s="1439"/>
      <c r="AF1237" s="1439"/>
      <c r="AG1237" s="1439"/>
    </row>
    <row r="1238" spans="1:33" ht="15.75" customHeight="1">
      <c r="A1238" s="1532"/>
      <c r="B1238" s="1462" t="s">
        <v>3400</v>
      </c>
      <c r="C1238" s="1484">
        <v>1</v>
      </c>
      <c r="D1238" s="1488" t="s">
        <v>3364</v>
      </c>
      <c r="E1238" s="1484">
        <v>1</v>
      </c>
      <c r="F1238" s="1446">
        <v>1.5</v>
      </c>
      <c r="G1238" s="1446">
        <v>35</v>
      </c>
      <c r="H1238" s="1447">
        <v>0.6</v>
      </c>
      <c r="I1238" s="1494">
        <f t="shared" si="65"/>
        <v>31.5</v>
      </c>
      <c r="J1238" s="1475"/>
      <c r="K1238" s="1439"/>
      <c r="L1238" s="1439"/>
      <c r="M1238" s="1439"/>
      <c r="N1238" s="1439"/>
      <c r="O1238" s="1439"/>
      <c r="P1238" s="1439"/>
      <c r="Q1238" s="1439"/>
      <c r="R1238" s="1439"/>
      <c r="S1238" s="1439"/>
      <c r="T1238" s="1439"/>
      <c r="U1238" s="1439"/>
      <c r="V1238" s="1439"/>
      <c r="W1238" s="1439"/>
      <c r="X1238" s="1439"/>
      <c r="Y1238" s="1439"/>
      <c r="Z1238" s="1439"/>
      <c r="AA1238" s="1439"/>
      <c r="AB1238" s="1439"/>
      <c r="AC1238" s="1439"/>
      <c r="AD1238" s="1439"/>
      <c r="AE1238" s="1439"/>
      <c r="AF1238" s="1439"/>
      <c r="AG1238" s="1439"/>
    </row>
    <row r="1239" spans="1:33" ht="15.75" customHeight="1">
      <c r="A1239" s="1532"/>
      <c r="B1239" s="1462" t="s">
        <v>6964</v>
      </c>
      <c r="C1239" s="1484">
        <v>1</v>
      </c>
      <c r="D1239" s="1488" t="s">
        <v>3364</v>
      </c>
      <c r="E1239" s="1484">
        <v>1</v>
      </c>
      <c r="F1239" s="1446">
        <v>0.9</v>
      </c>
      <c r="G1239" s="1446">
        <v>35</v>
      </c>
      <c r="H1239" s="1447">
        <v>0.6</v>
      </c>
      <c r="I1239" s="1494">
        <f t="shared" si="65"/>
        <v>18.899999999999999</v>
      </c>
      <c r="J1239" s="1475"/>
      <c r="K1239" s="1439"/>
      <c r="L1239" s="1439"/>
      <c r="M1239" s="1439"/>
      <c r="N1239" s="1439"/>
      <c r="O1239" s="1439"/>
      <c r="P1239" s="1439"/>
      <c r="Q1239" s="1439"/>
      <c r="R1239" s="1439"/>
      <c r="S1239" s="1439"/>
      <c r="T1239" s="1439"/>
      <c r="U1239" s="1439"/>
      <c r="V1239" s="1439"/>
      <c r="W1239" s="1439"/>
      <c r="X1239" s="1439"/>
      <c r="Y1239" s="1439"/>
      <c r="Z1239" s="1439"/>
      <c r="AA1239" s="1439"/>
      <c r="AB1239" s="1439"/>
      <c r="AC1239" s="1439"/>
      <c r="AD1239" s="1439"/>
      <c r="AE1239" s="1439"/>
      <c r="AF1239" s="1439"/>
      <c r="AG1239" s="1439"/>
    </row>
    <row r="1240" spans="1:33" ht="15.75" customHeight="1">
      <c r="A1240" s="1532"/>
      <c r="B1240" s="1462" t="s">
        <v>3401</v>
      </c>
      <c r="C1240" s="1484">
        <v>42</v>
      </c>
      <c r="D1240" s="1488" t="s">
        <v>3364</v>
      </c>
      <c r="E1240" s="1484">
        <v>1</v>
      </c>
      <c r="F1240" s="1446">
        <v>0.75</v>
      </c>
      <c r="G1240" s="1446">
        <v>35</v>
      </c>
      <c r="H1240" s="1447">
        <v>0.6</v>
      </c>
      <c r="I1240" s="1494">
        <f t="shared" si="65"/>
        <v>661.5</v>
      </c>
      <c r="J1240" s="1475"/>
      <c r="K1240" s="1439"/>
      <c r="L1240" s="1439"/>
      <c r="M1240" s="1439"/>
      <c r="N1240" s="1439"/>
      <c r="O1240" s="1439"/>
      <c r="P1240" s="1439"/>
      <c r="Q1240" s="1439"/>
      <c r="R1240" s="1439"/>
      <c r="S1240" s="1439"/>
      <c r="T1240" s="1439"/>
      <c r="U1240" s="1439"/>
      <c r="V1240" s="1439"/>
      <c r="W1240" s="1439"/>
      <c r="X1240" s="1439"/>
      <c r="Y1240" s="1439"/>
      <c r="Z1240" s="1439"/>
      <c r="AA1240" s="1439"/>
      <c r="AB1240" s="1439"/>
      <c r="AC1240" s="1439"/>
      <c r="AD1240" s="1439"/>
      <c r="AE1240" s="1439"/>
      <c r="AF1240" s="1439"/>
      <c r="AG1240" s="1439"/>
    </row>
    <row r="1241" spans="1:33" ht="15.75" customHeight="1">
      <c r="A1241" s="1532"/>
      <c r="B1241" s="1462" t="s">
        <v>6968</v>
      </c>
      <c r="C1241" s="1484">
        <v>1</v>
      </c>
      <c r="D1241" s="1488" t="s">
        <v>3364</v>
      </c>
      <c r="E1241" s="1484">
        <v>1</v>
      </c>
      <c r="F1241" s="1446">
        <v>1.5</v>
      </c>
      <c r="G1241" s="1446">
        <v>35</v>
      </c>
      <c r="H1241" s="1447">
        <v>1.05</v>
      </c>
      <c r="I1241" s="1494">
        <f t="shared" si="65"/>
        <v>55.13</v>
      </c>
      <c r="J1241" s="1475"/>
      <c r="K1241" s="1439"/>
      <c r="L1241" s="1439"/>
      <c r="M1241" s="1439"/>
      <c r="N1241" s="1439"/>
      <c r="O1241" s="1439"/>
      <c r="P1241" s="1439"/>
      <c r="Q1241" s="1439"/>
      <c r="R1241" s="1439"/>
      <c r="S1241" s="1439"/>
      <c r="T1241" s="1439"/>
      <c r="U1241" s="1439"/>
      <c r="V1241" s="1439"/>
      <c r="W1241" s="1439"/>
      <c r="X1241" s="1439"/>
      <c r="Y1241" s="1439"/>
      <c r="Z1241" s="1439"/>
      <c r="AA1241" s="1439"/>
      <c r="AB1241" s="1439"/>
      <c r="AC1241" s="1439"/>
      <c r="AD1241" s="1439"/>
      <c r="AE1241" s="1439"/>
      <c r="AF1241" s="1439"/>
      <c r="AG1241" s="1439"/>
    </row>
    <row r="1242" spans="1:33" ht="15.75" customHeight="1">
      <c r="A1242" s="1532"/>
      <c r="B1242" s="1462" t="s">
        <v>7413</v>
      </c>
      <c r="C1242" s="1484">
        <v>4</v>
      </c>
      <c r="D1242" s="1488" t="s">
        <v>3364</v>
      </c>
      <c r="E1242" s="1484">
        <v>1</v>
      </c>
      <c r="F1242" s="1446">
        <v>0.9</v>
      </c>
      <c r="G1242" s="1446">
        <v>35</v>
      </c>
      <c r="H1242" s="1447">
        <v>2</v>
      </c>
      <c r="I1242" s="1494">
        <f t="shared" si="65"/>
        <v>252</v>
      </c>
      <c r="J1242" s="1475"/>
      <c r="K1242" s="1439"/>
      <c r="L1242" s="1439"/>
      <c r="M1242" s="1439"/>
      <c r="N1242" s="1439"/>
      <c r="O1242" s="1439"/>
      <c r="P1242" s="1439"/>
      <c r="Q1242" s="1439"/>
      <c r="R1242" s="1439"/>
      <c r="S1242" s="1439"/>
      <c r="T1242" s="1439"/>
      <c r="U1242" s="1439"/>
      <c r="V1242" s="1439"/>
      <c r="W1242" s="1439"/>
      <c r="X1242" s="1439"/>
      <c r="Y1242" s="1439"/>
      <c r="Z1242" s="1439"/>
      <c r="AA1242" s="1439"/>
      <c r="AB1242" s="1439"/>
      <c r="AC1242" s="1439"/>
      <c r="AD1242" s="1439"/>
      <c r="AE1242" s="1439"/>
      <c r="AF1242" s="1439"/>
      <c r="AG1242" s="1439"/>
    </row>
    <row r="1243" spans="1:33" ht="15.75" customHeight="1">
      <c r="A1243" s="1470"/>
      <c r="B1243" s="1450"/>
      <c r="C1243" s="1477"/>
      <c r="D1243" s="1477"/>
      <c r="E1243" s="1484"/>
      <c r="F1243" s="1446"/>
      <c r="G1243" s="1458" t="s">
        <v>104</v>
      </c>
      <c r="H1243" s="1447"/>
      <c r="I1243" s="1448">
        <f>SUM(I1236:I1242)</f>
        <v>5851.13</v>
      </c>
      <c r="J1243" s="1475"/>
      <c r="K1243" s="1439"/>
      <c r="L1243" s="1439"/>
      <c r="M1243" s="1439"/>
      <c r="N1243" s="1439"/>
      <c r="O1243" s="1439"/>
      <c r="P1243" s="1439"/>
      <c r="Q1243" s="1439"/>
      <c r="R1243" s="1439"/>
      <c r="S1243" s="1439"/>
      <c r="T1243" s="1439"/>
      <c r="U1243" s="1439"/>
      <c r="V1243" s="1439"/>
      <c r="W1243" s="1439"/>
      <c r="X1243" s="1439"/>
      <c r="Y1243" s="1439"/>
      <c r="Z1243" s="1439"/>
      <c r="AA1243" s="1439"/>
      <c r="AB1243" s="1439"/>
      <c r="AC1243" s="1439"/>
      <c r="AD1243" s="1439"/>
      <c r="AE1243" s="1439"/>
      <c r="AF1243" s="1439"/>
      <c r="AG1243" s="1439"/>
    </row>
    <row r="1244" spans="1:33" ht="15.75" customHeight="1">
      <c r="A1244" s="1470"/>
      <c r="B1244" s="1450"/>
      <c r="C1244" s="1477"/>
      <c r="D1244" s="1477"/>
      <c r="E1244" s="1484"/>
      <c r="F1244" s="1446"/>
      <c r="G1244" s="1478"/>
      <c r="H1244" s="1460" t="s">
        <v>2981</v>
      </c>
      <c r="I1244" s="1459">
        <f>CEILING(I1243,0.1)</f>
        <v>5851.2</v>
      </c>
      <c r="J1244" s="1475" t="s">
        <v>39</v>
      </c>
      <c r="K1244" s="1439"/>
      <c r="L1244" s="1439"/>
      <c r="M1244" s="1439"/>
      <c r="N1244" s="1439"/>
      <c r="O1244" s="1439"/>
      <c r="P1244" s="1439"/>
      <c r="Q1244" s="1439"/>
      <c r="R1244" s="1439"/>
      <c r="S1244" s="1439"/>
      <c r="T1244" s="1439"/>
      <c r="U1244" s="1439"/>
      <c r="V1244" s="1439"/>
      <c r="W1244" s="1439"/>
      <c r="X1244" s="1439"/>
      <c r="Y1244" s="1439"/>
      <c r="Z1244" s="1439"/>
      <c r="AA1244" s="1439"/>
      <c r="AB1244" s="1439"/>
      <c r="AC1244" s="1439"/>
      <c r="AD1244" s="1439"/>
      <c r="AE1244" s="1439"/>
      <c r="AF1244" s="1439"/>
      <c r="AG1244" s="1439"/>
    </row>
    <row r="1245" spans="1:33" ht="15.75" customHeight="1">
      <c r="A1245" s="1470"/>
      <c r="B1245" s="1450"/>
      <c r="C1245" s="1477"/>
      <c r="D1245" s="1477"/>
      <c r="E1245" s="1484"/>
      <c r="F1245" s="1446"/>
      <c r="G1245" s="1478"/>
      <c r="H1245" s="1460"/>
      <c r="I1245" s="1498">
        <f>I1244/1000</f>
        <v>5.851</v>
      </c>
      <c r="J1245" s="1522" t="s">
        <v>11</v>
      </c>
      <c r="K1245" s="1439"/>
      <c r="L1245" s="1439"/>
      <c r="M1245" s="1439"/>
      <c r="N1245" s="1439"/>
      <c r="O1245" s="1439"/>
      <c r="P1245" s="1439"/>
      <c r="Q1245" s="1439"/>
      <c r="R1245" s="1439"/>
      <c r="S1245" s="1439"/>
      <c r="T1245" s="1439"/>
      <c r="U1245" s="1439"/>
      <c r="V1245" s="1439"/>
      <c r="W1245" s="1439"/>
      <c r="X1245" s="1439"/>
      <c r="Y1245" s="1439"/>
      <c r="Z1245" s="1439"/>
      <c r="AA1245" s="1439"/>
      <c r="AB1245" s="1439"/>
      <c r="AC1245" s="1439"/>
      <c r="AD1245" s="1439"/>
      <c r="AE1245" s="1439"/>
      <c r="AF1245" s="1439"/>
      <c r="AG1245" s="1439"/>
    </row>
    <row r="1246" spans="1:33" ht="15.75" customHeight="1">
      <c r="A1246" s="1470"/>
      <c r="B1246" s="1450"/>
      <c r="C1246" s="1477"/>
      <c r="D1246" s="1477"/>
      <c r="E1246" s="1484"/>
      <c r="F1246" s="1446"/>
      <c r="G1246" s="1478"/>
      <c r="H1246" s="1460"/>
      <c r="I1246" s="1459"/>
      <c r="J1246" s="1475"/>
      <c r="K1246" s="1439"/>
      <c r="L1246" s="1439"/>
      <c r="M1246" s="1439"/>
      <c r="N1246" s="1439"/>
      <c r="O1246" s="1439"/>
      <c r="P1246" s="1439"/>
      <c r="Q1246" s="1439"/>
      <c r="R1246" s="1439"/>
      <c r="S1246" s="1439"/>
      <c r="T1246" s="1439"/>
      <c r="U1246" s="1439"/>
      <c r="V1246" s="1439"/>
      <c r="W1246" s="1439"/>
      <c r="X1246" s="1439"/>
      <c r="Y1246" s="1439"/>
      <c r="Z1246" s="1439"/>
      <c r="AA1246" s="1439"/>
      <c r="AB1246" s="1439"/>
      <c r="AC1246" s="1439"/>
      <c r="AD1246" s="1439"/>
      <c r="AE1246" s="1439"/>
      <c r="AF1246" s="1439"/>
      <c r="AG1246" s="1439"/>
    </row>
    <row r="1247" spans="1:33" ht="15.75" customHeight="1">
      <c r="A1247" s="1533" t="s">
        <v>2081</v>
      </c>
      <c r="B1247" s="1456" t="s">
        <v>3666</v>
      </c>
      <c r="C1247" s="1484"/>
      <c r="D1247" s="1477"/>
      <c r="E1247" s="1484"/>
      <c r="F1247" s="1478"/>
      <c r="G1247" s="1478"/>
      <c r="H1247" s="1500"/>
      <c r="I1247" s="1448"/>
      <c r="J1247" s="1475"/>
      <c r="K1247" s="1439"/>
      <c r="L1247" s="1439"/>
      <c r="M1247" s="1439"/>
      <c r="N1247" s="1439"/>
      <c r="O1247" s="1439"/>
      <c r="P1247" s="1439"/>
      <c r="Q1247" s="1439"/>
      <c r="R1247" s="1439"/>
      <c r="S1247" s="1439"/>
      <c r="T1247" s="1439"/>
      <c r="U1247" s="1439"/>
      <c r="V1247" s="1439"/>
      <c r="W1247" s="1439"/>
      <c r="X1247" s="1439"/>
      <c r="Y1247" s="1439"/>
      <c r="Z1247" s="1439"/>
      <c r="AA1247" s="1439"/>
      <c r="AB1247" s="1439"/>
      <c r="AC1247" s="1439"/>
      <c r="AD1247" s="1439"/>
      <c r="AE1247" s="1439"/>
      <c r="AF1247" s="1439"/>
      <c r="AG1247" s="1439"/>
    </row>
    <row r="1248" spans="1:33" ht="15.75" customHeight="1">
      <c r="A1248" s="1470"/>
      <c r="B1248" s="1450" t="s">
        <v>7179</v>
      </c>
      <c r="C1248" s="1484">
        <v>2</v>
      </c>
      <c r="D1248" s="1477" t="s">
        <v>3364</v>
      </c>
      <c r="E1248" s="1484">
        <v>10</v>
      </c>
      <c r="F1248" s="1446">
        <v>16.3</v>
      </c>
      <c r="G1248" s="1478"/>
      <c r="H1248" s="1447"/>
      <c r="I1248" s="1494">
        <f t="shared" ref="I1248:I1254" si="66">PRODUCT(C1248:H1248)</f>
        <v>326</v>
      </c>
      <c r="J1248" s="1475"/>
      <c r="K1248" s="1439"/>
      <c r="L1248" s="1439"/>
      <c r="M1248" s="1439"/>
      <c r="N1248" s="1439"/>
      <c r="O1248" s="1439"/>
      <c r="P1248" s="1439"/>
      <c r="Q1248" s="1439"/>
      <c r="R1248" s="1439"/>
      <c r="S1248" s="1439"/>
      <c r="T1248" s="1439"/>
      <c r="U1248" s="1439"/>
      <c r="V1248" s="1439"/>
      <c r="W1248" s="1439"/>
      <c r="X1248" s="1439"/>
      <c r="Y1248" s="1439"/>
      <c r="Z1248" s="1439"/>
      <c r="AA1248" s="1439"/>
      <c r="AB1248" s="1439"/>
      <c r="AC1248" s="1439"/>
      <c r="AD1248" s="1439"/>
      <c r="AE1248" s="1439"/>
      <c r="AF1248" s="1439"/>
      <c r="AG1248" s="1439"/>
    </row>
    <row r="1249" spans="1:33" ht="15.75" customHeight="1">
      <c r="A1249" s="1470"/>
      <c r="B1249" s="1450" t="s">
        <v>7180</v>
      </c>
      <c r="C1249" s="1484">
        <v>1</v>
      </c>
      <c r="D1249" s="1477" t="s">
        <v>3364</v>
      </c>
      <c r="E1249" s="1484">
        <v>10</v>
      </c>
      <c r="F1249" s="1446">
        <v>1.2</v>
      </c>
      <c r="G1249" s="1478"/>
      <c r="H1249" s="1447"/>
      <c r="I1249" s="1494">
        <f t="shared" si="66"/>
        <v>12</v>
      </c>
      <c r="J1249" s="1475"/>
      <c r="K1249" s="1439"/>
      <c r="L1249" s="1439"/>
      <c r="M1249" s="1439"/>
      <c r="N1249" s="1439"/>
      <c r="O1249" s="1439"/>
      <c r="P1249" s="1439"/>
      <c r="Q1249" s="1439"/>
      <c r="R1249" s="1439"/>
      <c r="S1249" s="1439"/>
      <c r="T1249" s="1439"/>
      <c r="U1249" s="1439"/>
      <c r="V1249" s="1439"/>
      <c r="W1249" s="1439"/>
      <c r="X1249" s="1439"/>
      <c r="Y1249" s="1439"/>
      <c r="Z1249" s="1439"/>
      <c r="AA1249" s="1439"/>
      <c r="AB1249" s="1439"/>
      <c r="AC1249" s="1439"/>
      <c r="AD1249" s="1439"/>
      <c r="AE1249" s="1439"/>
      <c r="AF1249" s="1439"/>
      <c r="AG1249" s="1439"/>
    </row>
    <row r="1250" spans="1:33" ht="15.75" customHeight="1">
      <c r="A1250" s="1470"/>
      <c r="B1250" s="1450" t="s">
        <v>7181</v>
      </c>
      <c r="C1250" s="1484">
        <v>2</v>
      </c>
      <c r="D1250" s="1477" t="s">
        <v>3364</v>
      </c>
      <c r="E1250" s="1484">
        <v>1</v>
      </c>
      <c r="F1250" s="1446">
        <v>1.8</v>
      </c>
      <c r="G1250" s="1478"/>
      <c r="H1250" s="1447"/>
      <c r="I1250" s="1494">
        <f t="shared" si="66"/>
        <v>3.6</v>
      </c>
      <c r="J1250" s="1475"/>
      <c r="K1250" s="1439"/>
      <c r="L1250" s="1439"/>
      <c r="M1250" s="1439"/>
      <c r="N1250" s="1439"/>
      <c r="O1250" s="1439"/>
      <c r="P1250" s="1439"/>
      <c r="Q1250" s="1439"/>
      <c r="R1250" s="1439"/>
      <c r="S1250" s="1439"/>
      <c r="T1250" s="1439"/>
      <c r="U1250" s="1439"/>
      <c r="V1250" s="1439"/>
      <c r="W1250" s="1439"/>
      <c r="X1250" s="1439"/>
      <c r="Y1250" s="1439"/>
      <c r="Z1250" s="1439"/>
      <c r="AA1250" s="1439"/>
      <c r="AB1250" s="1439"/>
      <c r="AC1250" s="1439"/>
      <c r="AD1250" s="1439"/>
      <c r="AE1250" s="1439"/>
      <c r="AF1250" s="1439"/>
      <c r="AG1250" s="1439"/>
    </row>
    <row r="1251" spans="1:33" ht="15.75" customHeight="1">
      <c r="A1251" s="1470"/>
      <c r="B1251" s="1450" t="s">
        <v>7182</v>
      </c>
      <c r="C1251" s="1484">
        <v>2</v>
      </c>
      <c r="D1251" s="1477" t="s">
        <v>3364</v>
      </c>
      <c r="E1251" s="1484">
        <v>2</v>
      </c>
      <c r="F1251" s="1478">
        <v>1.8</v>
      </c>
      <c r="G1251" s="1478"/>
      <c r="H1251" s="1500"/>
      <c r="I1251" s="1494">
        <f t="shared" si="66"/>
        <v>7.2</v>
      </c>
      <c r="J1251" s="1475"/>
      <c r="K1251" s="1439"/>
      <c r="L1251" s="1439"/>
      <c r="M1251" s="1439"/>
      <c r="N1251" s="1439"/>
      <c r="O1251" s="1439"/>
      <c r="P1251" s="1439"/>
      <c r="Q1251" s="1439"/>
      <c r="R1251" s="1439"/>
      <c r="S1251" s="1439"/>
      <c r="T1251" s="1439"/>
      <c r="U1251" s="1439"/>
      <c r="V1251" s="1439"/>
      <c r="W1251" s="1439"/>
      <c r="X1251" s="1439"/>
      <c r="Y1251" s="1439"/>
      <c r="Z1251" s="1439"/>
      <c r="AA1251" s="1439"/>
      <c r="AB1251" s="1439"/>
      <c r="AC1251" s="1439"/>
      <c r="AD1251" s="1439"/>
      <c r="AE1251" s="1439"/>
      <c r="AF1251" s="1439"/>
      <c r="AG1251" s="1439"/>
    </row>
    <row r="1252" spans="1:33" ht="15.75" customHeight="1">
      <c r="A1252" s="1470"/>
      <c r="B1252" s="1450" t="s">
        <v>7183</v>
      </c>
      <c r="C1252" s="1484">
        <v>2</v>
      </c>
      <c r="D1252" s="1477" t="s">
        <v>3364</v>
      </c>
      <c r="E1252" s="1484">
        <v>4</v>
      </c>
      <c r="F1252" s="1478">
        <v>1.4</v>
      </c>
      <c r="G1252" s="1478"/>
      <c r="H1252" s="1500"/>
      <c r="I1252" s="1494">
        <f t="shared" si="66"/>
        <v>11.2</v>
      </c>
      <c r="J1252" s="1475"/>
      <c r="K1252" s="1439"/>
      <c r="L1252" s="1439"/>
      <c r="M1252" s="1439"/>
      <c r="N1252" s="1439"/>
      <c r="O1252" s="1439"/>
      <c r="P1252" s="1439"/>
      <c r="Q1252" s="1439"/>
      <c r="R1252" s="1439"/>
      <c r="S1252" s="1439"/>
      <c r="T1252" s="1439"/>
      <c r="U1252" s="1439"/>
      <c r="V1252" s="1439"/>
      <c r="W1252" s="1439"/>
      <c r="X1252" s="1439"/>
      <c r="Y1252" s="1439"/>
      <c r="Z1252" s="1439"/>
      <c r="AA1252" s="1439"/>
      <c r="AB1252" s="1439"/>
      <c r="AC1252" s="1439"/>
      <c r="AD1252" s="1439"/>
      <c r="AE1252" s="1439"/>
      <c r="AF1252" s="1439"/>
      <c r="AG1252" s="1439"/>
    </row>
    <row r="1253" spans="1:33" ht="15.75" customHeight="1">
      <c r="A1253" s="1470"/>
      <c r="B1253" s="1450" t="s">
        <v>7184</v>
      </c>
      <c r="C1253" s="1484">
        <v>2</v>
      </c>
      <c r="D1253" s="1477" t="s">
        <v>3364</v>
      </c>
      <c r="E1253" s="1484">
        <v>4</v>
      </c>
      <c r="F1253" s="1478">
        <v>1.6</v>
      </c>
      <c r="G1253" s="1478"/>
      <c r="H1253" s="1500"/>
      <c r="I1253" s="1494">
        <f t="shared" si="66"/>
        <v>12.8</v>
      </c>
      <c r="J1253" s="1475"/>
      <c r="K1253" s="1439"/>
      <c r="L1253" s="1439"/>
      <c r="M1253" s="1439"/>
      <c r="N1253" s="1439"/>
      <c r="O1253" s="1439"/>
      <c r="P1253" s="1439"/>
      <c r="Q1253" s="1439"/>
      <c r="R1253" s="1439"/>
      <c r="S1253" s="1439"/>
      <c r="T1253" s="1439"/>
      <c r="U1253" s="1439"/>
      <c r="V1253" s="1439"/>
      <c r="W1253" s="1439"/>
      <c r="X1253" s="1439"/>
      <c r="Y1253" s="1439"/>
      <c r="Z1253" s="1439"/>
      <c r="AA1253" s="1439"/>
      <c r="AB1253" s="1439"/>
      <c r="AC1253" s="1439"/>
      <c r="AD1253" s="1439"/>
      <c r="AE1253" s="1439"/>
      <c r="AF1253" s="1439"/>
      <c r="AG1253" s="1439"/>
    </row>
    <row r="1254" spans="1:33" ht="15.75" customHeight="1">
      <c r="A1254" s="1470"/>
      <c r="B1254" s="1450" t="s">
        <v>7185</v>
      </c>
      <c r="C1254" s="1484">
        <v>1</v>
      </c>
      <c r="D1254" s="1477" t="s">
        <v>3364</v>
      </c>
      <c r="E1254" s="1484">
        <v>3</v>
      </c>
      <c r="F1254" s="1478">
        <v>3.5</v>
      </c>
      <c r="G1254" s="1478"/>
      <c r="H1254" s="1500"/>
      <c r="I1254" s="1494">
        <f t="shared" si="66"/>
        <v>10.5</v>
      </c>
      <c r="J1254" s="1475"/>
      <c r="K1254" s="1439"/>
      <c r="L1254" s="1439"/>
      <c r="M1254" s="1439"/>
      <c r="N1254" s="1439"/>
      <c r="O1254" s="1439"/>
      <c r="P1254" s="1439"/>
      <c r="Q1254" s="1439"/>
      <c r="R1254" s="1439"/>
      <c r="S1254" s="1439"/>
      <c r="T1254" s="1439"/>
      <c r="U1254" s="1439"/>
      <c r="V1254" s="1439"/>
      <c r="W1254" s="1439"/>
      <c r="X1254" s="1439"/>
      <c r="Y1254" s="1439"/>
      <c r="Z1254" s="1439"/>
      <c r="AA1254" s="1439"/>
      <c r="AB1254" s="1439"/>
      <c r="AC1254" s="1439"/>
      <c r="AD1254" s="1439"/>
      <c r="AE1254" s="1439"/>
      <c r="AF1254" s="1439"/>
      <c r="AG1254" s="1439"/>
    </row>
    <row r="1255" spans="1:33" ht="15.75" customHeight="1">
      <c r="A1255" s="1470"/>
      <c r="B1255" s="1450"/>
      <c r="C1255" s="1484"/>
      <c r="D1255" s="1484"/>
      <c r="E1255" s="1484"/>
      <c r="F1255" s="1446"/>
      <c r="G1255" s="1458" t="s">
        <v>104</v>
      </c>
      <c r="H1255" s="1447"/>
      <c r="I1255" s="1479">
        <f>SUM(I1248:I1254)</f>
        <v>383.3</v>
      </c>
      <c r="J1255" s="1475"/>
      <c r="K1255" s="1439"/>
      <c r="L1255" s="1439"/>
      <c r="M1255" s="1439"/>
      <c r="N1255" s="1439"/>
      <c r="O1255" s="1439"/>
      <c r="P1255" s="1439"/>
      <c r="Q1255" s="1439"/>
      <c r="R1255" s="1439"/>
      <c r="S1255" s="1439"/>
      <c r="T1255" s="1439"/>
      <c r="U1255" s="1439"/>
      <c r="V1255" s="1439"/>
      <c r="W1255" s="1439"/>
      <c r="X1255" s="1439"/>
      <c r="Y1255" s="1439"/>
      <c r="Z1255" s="1439"/>
      <c r="AA1255" s="1439"/>
      <c r="AB1255" s="1439"/>
      <c r="AC1255" s="1439"/>
      <c r="AD1255" s="1439"/>
      <c r="AE1255" s="1439"/>
      <c r="AF1255" s="1439"/>
      <c r="AG1255" s="1439"/>
    </row>
    <row r="1256" spans="1:33" ht="15.75" customHeight="1">
      <c r="A1256" s="1470"/>
      <c r="B1256" s="1450"/>
      <c r="C1256" s="1484"/>
      <c r="D1256" s="1484"/>
      <c r="E1256" s="1484"/>
      <c r="F1256" s="1446"/>
      <c r="G1256" s="1478"/>
      <c r="H1256" s="1460" t="s">
        <v>2981</v>
      </c>
      <c r="I1256" s="1479">
        <f>CEILING(I1255,0.1)</f>
        <v>383.3</v>
      </c>
      <c r="J1256" s="1475" t="s">
        <v>724</v>
      </c>
      <c r="K1256" s="1439"/>
      <c r="L1256" s="1439"/>
      <c r="M1256" s="1439"/>
      <c r="N1256" s="1439"/>
      <c r="O1256" s="1439"/>
      <c r="P1256" s="1439"/>
      <c r="Q1256" s="1439"/>
      <c r="R1256" s="1439"/>
      <c r="S1256" s="1439"/>
      <c r="T1256" s="1439"/>
      <c r="U1256" s="1439"/>
      <c r="V1256" s="1439"/>
      <c r="W1256" s="1439"/>
      <c r="X1256" s="1439"/>
      <c r="Y1256" s="1439"/>
      <c r="Z1256" s="1439"/>
      <c r="AA1256" s="1439"/>
      <c r="AB1256" s="1439"/>
      <c r="AC1256" s="1439"/>
      <c r="AD1256" s="1439"/>
      <c r="AE1256" s="1439"/>
      <c r="AF1256" s="1439"/>
      <c r="AG1256" s="1439"/>
    </row>
    <row r="1257" spans="1:33" ht="126">
      <c r="A1257" s="1451">
        <v>46</v>
      </c>
      <c r="B1257" s="1456" t="s">
        <v>7186</v>
      </c>
      <c r="C1257" s="1484"/>
      <c r="D1257" s="1484"/>
      <c r="E1257" s="1484"/>
      <c r="F1257" s="1446"/>
      <c r="G1257" s="1446"/>
      <c r="H1257" s="1447"/>
      <c r="I1257" s="1448"/>
      <c r="J1257" s="1475"/>
      <c r="K1257" s="1439"/>
      <c r="L1257" s="1439"/>
      <c r="M1257" s="1439"/>
      <c r="N1257" s="1439"/>
      <c r="O1257" s="1439"/>
      <c r="P1257" s="1439"/>
      <c r="Q1257" s="1439"/>
      <c r="R1257" s="1439"/>
      <c r="S1257" s="1439"/>
      <c r="T1257" s="1439"/>
      <c r="U1257" s="1439"/>
      <c r="V1257" s="1439"/>
      <c r="W1257" s="1439"/>
      <c r="X1257" s="1439"/>
      <c r="Y1257" s="1439"/>
      <c r="Z1257" s="1439"/>
      <c r="AA1257" s="1439"/>
      <c r="AB1257" s="1439"/>
      <c r="AC1257" s="1439"/>
      <c r="AD1257" s="1439"/>
      <c r="AE1257" s="1439"/>
      <c r="AF1257" s="1439"/>
      <c r="AG1257" s="1439"/>
    </row>
    <row r="1258" spans="1:33" ht="15.75" customHeight="1">
      <c r="A1258" s="1470"/>
      <c r="B1258" s="1444" t="s">
        <v>3517</v>
      </c>
      <c r="C1258" s="1445">
        <f>Joineries!K3</f>
        <v>31</v>
      </c>
      <c r="D1258" s="1445" t="s">
        <v>3364</v>
      </c>
      <c r="E1258" s="1445">
        <v>1</v>
      </c>
      <c r="F1258" s="1446">
        <v>1</v>
      </c>
      <c r="G1258" s="1478"/>
      <c r="H1258" s="1500"/>
      <c r="I1258" s="1494">
        <f>PRODUCT(C1258:H1258)</f>
        <v>31</v>
      </c>
      <c r="J1258" s="1492"/>
      <c r="K1258" s="1439"/>
      <c r="L1258" s="1439"/>
      <c r="M1258" s="1439"/>
      <c r="N1258" s="1439"/>
      <c r="O1258" s="1439"/>
      <c r="P1258" s="1439"/>
      <c r="Q1258" s="1439"/>
      <c r="R1258" s="1439"/>
      <c r="S1258" s="1439"/>
      <c r="T1258" s="1439"/>
      <c r="U1258" s="1439"/>
      <c r="V1258" s="1439"/>
      <c r="W1258" s="1439"/>
      <c r="X1258" s="1439"/>
      <c r="Y1258" s="1439"/>
      <c r="Z1258" s="1439"/>
      <c r="AA1258" s="1439"/>
      <c r="AB1258" s="1439"/>
      <c r="AC1258" s="1439"/>
      <c r="AD1258" s="1439"/>
      <c r="AE1258" s="1439"/>
      <c r="AF1258" s="1439"/>
      <c r="AG1258" s="1439"/>
    </row>
    <row r="1259" spans="1:33" ht="15.75" customHeight="1">
      <c r="A1259" s="1470"/>
      <c r="B1259" s="1444" t="s">
        <v>7187</v>
      </c>
      <c r="C1259" s="1445">
        <f>Joineries!K4</f>
        <v>4</v>
      </c>
      <c r="D1259" s="1445" t="s">
        <v>3364</v>
      </c>
      <c r="E1259" s="1445">
        <v>1</v>
      </c>
      <c r="F1259" s="1446">
        <v>0.9</v>
      </c>
      <c r="G1259" s="1478"/>
      <c r="H1259" s="1500"/>
      <c r="I1259" s="1494">
        <f>PRODUCT(C1259:H1259)</f>
        <v>3.6</v>
      </c>
      <c r="J1259" s="1492"/>
      <c r="K1259" s="1439"/>
      <c r="L1259" s="1439"/>
      <c r="M1259" s="1439"/>
      <c r="N1259" s="1439"/>
      <c r="O1259" s="1439"/>
      <c r="P1259" s="1439"/>
      <c r="Q1259" s="1439"/>
      <c r="R1259" s="1439"/>
      <c r="S1259" s="1439"/>
      <c r="T1259" s="1439"/>
      <c r="U1259" s="1439"/>
      <c r="V1259" s="1439"/>
      <c r="W1259" s="1439"/>
      <c r="X1259" s="1439"/>
      <c r="Y1259" s="1439"/>
      <c r="Z1259" s="1439"/>
      <c r="AA1259" s="1439"/>
      <c r="AB1259" s="1439"/>
      <c r="AC1259" s="1439"/>
      <c r="AD1259" s="1439"/>
      <c r="AE1259" s="1439"/>
      <c r="AF1259" s="1439"/>
      <c r="AG1259" s="1439"/>
    </row>
    <row r="1260" spans="1:33" ht="15.75" customHeight="1">
      <c r="A1260" s="1470"/>
      <c r="B1260" s="1444"/>
      <c r="C1260" s="1445"/>
      <c r="D1260" s="1445"/>
      <c r="E1260" s="1445"/>
      <c r="F1260" s="1446"/>
      <c r="G1260" s="1478"/>
      <c r="H1260" s="1500"/>
      <c r="I1260" s="1459">
        <f>SUM(I1258:I1259)</f>
        <v>34.6</v>
      </c>
      <c r="J1260" s="1475" t="s">
        <v>13</v>
      </c>
      <c r="K1260" s="1439"/>
      <c r="L1260" s="1439"/>
      <c r="M1260" s="1439"/>
      <c r="N1260" s="1439"/>
      <c r="O1260" s="1439"/>
      <c r="P1260" s="1439"/>
      <c r="Q1260" s="1439"/>
      <c r="R1260" s="1439"/>
      <c r="S1260" s="1439"/>
      <c r="T1260" s="1439"/>
      <c r="U1260" s="1439"/>
      <c r="V1260" s="1439"/>
      <c r="W1260" s="1439"/>
      <c r="X1260" s="1439"/>
      <c r="Y1260" s="1439"/>
      <c r="Z1260" s="1439"/>
      <c r="AA1260" s="1439"/>
      <c r="AB1260" s="1439"/>
      <c r="AC1260" s="1439"/>
      <c r="AD1260" s="1439"/>
      <c r="AE1260" s="1439"/>
      <c r="AF1260" s="1439"/>
      <c r="AG1260" s="1439"/>
    </row>
    <row r="1261" spans="1:33" ht="94.5">
      <c r="A1261" s="1451">
        <v>47</v>
      </c>
      <c r="B1261" s="1462" t="s">
        <v>7188</v>
      </c>
      <c r="C1261" s="1484"/>
      <c r="D1261" s="1484"/>
      <c r="E1261" s="1484"/>
      <c r="F1261" s="1446"/>
      <c r="G1261" s="1446"/>
      <c r="H1261" s="1447"/>
      <c r="I1261" s="1448"/>
      <c r="J1261" s="1475"/>
      <c r="K1261" s="1439"/>
      <c r="L1261" s="1439"/>
      <c r="M1261" s="1439"/>
      <c r="N1261" s="1439"/>
      <c r="O1261" s="1439"/>
      <c r="P1261" s="1439"/>
      <c r="Q1261" s="1439"/>
      <c r="R1261" s="1439"/>
      <c r="S1261" s="1439"/>
      <c r="T1261" s="1439"/>
      <c r="U1261" s="1439"/>
      <c r="V1261" s="1439"/>
      <c r="W1261" s="1439"/>
      <c r="X1261" s="1439"/>
      <c r="Y1261" s="1439"/>
      <c r="Z1261" s="1439"/>
      <c r="AA1261" s="1439"/>
      <c r="AB1261" s="1439"/>
      <c r="AC1261" s="1439"/>
      <c r="AD1261" s="1439"/>
      <c r="AE1261" s="1439"/>
      <c r="AF1261" s="1439"/>
      <c r="AG1261" s="1439"/>
    </row>
    <row r="1262" spans="1:33" ht="15.75" customHeight="1">
      <c r="A1262" s="1451"/>
      <c r="B1262" s="1456" t="s">
        <v>7189</v>
      </c>
      <c r="C1262" s="1484">
        <v>1</v>
      </c>
      <c r="D1262" s="1484" t="s">
        <v>3364</v>
      </c>
      <c r="E1262" s="1484">
        <v>47</v>
      </c>
      <c r="F1262" s="1446"/>
      <c r="G1262" s="1446"/>
      <c r="H1262" s="1447"/>
      <c r="I1262" s="1494">
        <f>PRODUCT(C1262:H1262)</f>
        <v>47</v>
      </c>
      <c r="J1262" s="1475"/>
      <c r="K1262" s="1439"/>
      <c r="L1262" s="1439"/>
      <c r="M1262" s="1439"/>
      <c r="N1262" s="1439"/>
      <c r="O1262" s="1439"/>
      <c r="P1262" s="1439"/>
      <c r="Q1262" s="1439"/>
      <c r="R1262" s="1439"/>
      <c r="S1262" s="1439"/>
      <c r="T1262" s="1439"/>
      <c r="U1262" s="1439"/>
      <c r="V1262" s="1439"/>
      <c r="W1262" s="1439"/>
      <c r="X1262" s="1439"/>
      <c r="Y1262" s="1439"/>
      <c r="Z1262" s="1439"/>
      <c r="AA1262" s="1439"/>
      <c r="AB1262" s="1439"/>
      <c r="AC1262" s="1439"/>
      <c r="AD1262" s="1439"/>
      <c r="AE1262" s="1439"/>
      <c r="AF1262" s="1439"/>
      <c r="AG1262" s="1439"/>
    </row>
    <row r="1263" spans="1:33" ht="15.75" customHeight="1">
      <c r="A1263" s="1470"/>
      <c r="B1263" s="1450"/>
      <c r="C1263" s="1484"/>
      <c r="D1263" s="1484"/>
      <c r="E1263" s="1484"/>
      <c r="F1263" s="1446"/>
      <c r="G1263" s="1446"/>
      <c r="H1263" s="1447"/>
      <c r="I1263" s="1459">
        <v>47</v>
      </c>
      <c r="J1263" s="1475" t="s">
        <v>3471</v>
      </c>
      <c r="K1263" s="1439"/>
      <c r="L1263" s="1439"/>
      <c r="M1263" s="1439"/>
      <c r="N1263" s="1439"/>
      <c r="O1263" s="1439"/>
      <c r="P1263" s="1439"/>
      <c r="Q1263" s="1439"/>
      <c r="R1263" s="1439"/>
      <c r="S1263" s="1439"/>
      <c r="T1263" s="1439"/>
      <c r="U1263" s="1439"/>
      <c r="V1263" s="1439"/>
      <c r="W1263" s="1439"/>
      <c r="X1263" s="1439"/>
      <c r="Y1263" s="1439"/>
      <c r="Z1263" s="1439"/>
      <c r="AA1263" s="1439"/>
      <c r="AB1263" s="1439"/>
      <c r="AC1263" s="1439"/>
      <c r="AD1263" s="1439"/>
      <c r="AE1263" s="1439"/>
      <c r="AF1263" s="1439"/>
      <c r="AG1263" s="1439"/>
    </row>
    <row r="1264" spans="1:33" ht="94.5">
      <c r="A1264" s="1451">
        <v>48</v>
      </c>
      <c r="B1264" s="1462" t="s">
        <v>7190</v>
      </c>
      <c r="C1264" s="1484"/>
      <c r="D1264" s="1484"/>
      <c r="E1264" s="1484"/>
      <c r="F1264" s="1446"/>
      <c r="G1264" s="1446"/>
      <c r="H1264" s="1447"/>
      <c r="I1264" s="1448"/>
      <c r="J1264" s="1475"/>
      <c r="K1264" s="1439"/>
      <c r="L1264" s="1439"/>
      <c r="M1264" s="1439"/>
      <c r="N1264" s="1439"/>
      <c r="O1264" s="1439"/>
      <c r="P1264" s="1439"/>
      <c r="Q1264" s="1439"/>
      <c r="R1264" s="1439"/>
      <c r="S1264" s="1439"/>
      <c r="T1264" s="1439"/>
      <c r="U1264" s="1439"/>
      <c r="V1264" s="1439"/>
      <c r="W1264" s="1439"/>
      <c r="X1264" s="1439"/>
      <c r="Y1264" s="1439"/>
      <c r="Z1264" s="1439"/>
      <c r="AA1264" s="1439"/>
      <c r="AB1264" s="1439"/>
      <c r="AC1264" s="1439"/>
      <c r="AD1264" s="1439"/>
      <c r="AE1264" s="1439"/>
      <c r="AF1264" s="1439"/>
      <c r="AG1264" s="1439"/>
    </row>
    <row r="1265" spans="1:33" ht="15.75" customHeight="1">
      <c r="A1265" s="1470"/>
      <c r="B1265" s="1456" t="s">
        <v>3486</v>
      </c>
      <c r="C1265" s="1484"/>
      <c r="D1265" s="1484"/>
      <c r="E1265" s="1484"/>
      <c r="F1265" s="1446"/>
      <c r="G1265" s="1446"/>
      <c r="H1265" s="1447"/>
      <c r="I1265" s="1448"/>
      <c r="J1265" s="1475"/>
      <c r="K1265" s="1439"/>
      <c r="L1265" s="1439"/>
      <c r="M1265" s="1439"/>
      <c r="N1265" s="1439"/>
      <c r="O1265" s="1439"/>
      <c r="P1265" s="1439"/>
      <c r="Q1265" s="1439"/>
      <c r="R1265" s="1439"/>
      <c r="S1265" s="1439"/>
      <c r="T1265" s="1439"/>
      <c r="U1265" s="1439"/>
      <c r="V1265" s="1439"/>
      <c r="W1265" s="1439"/>
      <c r="X1265" s="1439"/>
      <c r="Y1265" s="1439"/>
      <c r="Z1265" s="1439"/>
      <c r="AA1265" s="1439"/>
      <c r="AB1265" s="1439"/>
      <c r="AC1265" s="1439"/>
      <c r="AD1265" s="1439"/>
      <c r="AE1265" s="1439"/>
      <c r="AF1265" s="1439"/>
      <c r="AG1265" s="1439"/>
    </row>
    <row r="1266" spans="1:33" ht="15.75" customHeight="1">
      <c r="A1266" s="1470"/>
      <c r="B1266" s="1450" t="s">
        <v>7191</v>
      </c>
      <c r="C1266" s="1484">
        <v>4</v>
      </c>
      <c r="D1266" s="1484" t="s">
        <v>3364</v>
      </c>
      <c r="E1266" s="1484">
        <v>20</v>
      </c>
      <c r="F1266" s="1446"/>
      <c r="G1266" s="1446"/>
      <c r="H1266" s="1447"/>
      <c r="I1266" s="1494">
        <f>PRODUCT(C1266:H1266)</f>
        <v>80</v>
      </c>
      <c r="J1266" s="1475"/>
      <c r="K1266" s="1439"/>
      <c r="L1266" s="1439"/>
      <c r="M1266" s="1439"/>
      <c r="N1266" s="1439"/>
      <c r="O1266" s="1439"/>
      <c r="P1266" s="1439"/>
      <c r="Q1266" s="1439"/>
      <c r="R1266" s="1439"/>
      <c r="S1266" s="1439"/>
      <c r="T1266" s="1439"/>
      <c r="U1266" s="1439"/>
      <c r="V1266" s="1439"/>
      <c r="W1266" s="1439"/>
      <c r="X1266" s="1439"/>
      <c r="Y1266" s="1439"/>
      <c r="Z1266" s="1439"/>
      <c r="AA1266" s="1439"/>
      <c r="AB1266" s="1439"/>
      <c r="AC1266" s="1439"/>
      <c r="AD1266" s="1439"/>
      <c r="AE1266" s="1439"/>
      <c r="AF1266" s="1439"/>
      <c r="AG1266" s="1439"/>
    </row>
    <row r="1267" spans="1:33" ht="15.75" customHeight="1">
      <c r="A1267" s="1470"/>
      <c r="B1267" s="1450"/>
      <c r="C1267" s="1484"/>
      <c r="D1267" s="1484"/>
      <c r="E1267" s="1484"/>
      <c r="F1267" s="1446"/>
      <c r="G1267" s="1446"/>
      <c r="H1267" s="1447"/>
      <c r="I1267" s="1459">
        <f>SUM(I1266)</f>
        <v>80</v>
      </c>
      <c r="J1267" s="1475" t="s">
        <v>3471</v>
      </c>
      <c r="K1267" s="1439"/>
      <c r="L1267" s="1439"/>
      <c r="M1267" s="1439"/>
      <c r="N1267" s="1439"/>
      <c r="O1267" s="1439"/>
      <c r="P1267" s="1439"/>
      <c r="Q1267" s="1439"/>
      <c r="R1267" s="1439"/>
      <c r="S1267" s="1439"/>
      <c r="T1267" s="1439"/>
      <c r="U1267" s="1439"/>
      <c r="V1267" s="1439"/>
      <c r="W1267" s="1439"/>
      <c r="X1267" s="1439"/>
      <c r="Y1267" s="1439"/>
      <c r="Z1267" s="1439"/>
      <c r="AA1267" s="1439"/>
      <c r="AB1267" s="1439"/>
      <c r="AC1267" s="1439"/>
      <c r="AD1267" s="1439"/>
      <c r="AE1267" s="1439"/>
      <c r="AF1267" s="1439"/>
      <c r="AG1267" s="1439"/>
    </row>
    <row r="1268" spans="1:33" ht="78.75">
      <c r="A1268" s="1451">
        <v>49</v>
      </c>
      <c r="B1268" s="1462" t="s">
        <v>7192</v>
      </c>
      <c r="C1268" s="1484"/>
      <c r="D1268" s="1484"/>
      <c r="E1268" s="1484"/>
      <c r="F1268" s="1446"/>
      <c r="G1268" s="1446"/>
      <c r="H1268" s="1447"/>
      <c r="I1268" s="1448"/>
      <c r="J1268" s="1475"/>
      <c r="K1268" s="1439"/>
      <c r="L1268" s="1439"/>
      <c r="M1268" s="1439"/>
      <c r="N1268" s="1439"/>
      <c r="O1268" s="1439"/>
      <c r="P1268" s="1439"/>
      <c r="Q1268" s="1439"/>
      <c r="R1268" s="1439"/>
      <c r="S1268" s="1439"/>
      <c r="T1268" s="1439"/>
      <c r="U1268" s="1439"/>
      <c r="V1268" s="1439"/>
      <c r="W1268" s="1439"/>
      <c r="X1268" s="1439"/>
      <c r="Y1268" s="1439"/>
      <c r="Z1268" s="1439"/>
      <c r="AA1268" s="1439"/>
      <c r="AB1268" s="1439"/>
      <c r="AC1268" s="1439"/>
      <c r="AD1268" s="1439"/>
      <c r="AE1268" s="1439"/>
      <c r="AF1268" s="1439"/>
      <c r="AG1268" s="1439"/>
    </row>
    <row r="1269" spans="1:33" ht="15.75" customHeight="1">
      <c r="A1269" s="1470"/>
      <c r="B1269" s="1487" t="s">
        <v>7541</v>
      </c>
      <c r="C1269" s="1484">
        <f>Joineries!K6+Joineries!K7+Joineries!K8+Joineries!K12+Joineries!K13</f>
        <v>70</v>
      </c>
      <c r="D1269" s="1484" t="s">
        <v>3364</v>
      </c>
      <c r="E1269" s="1484">
        <v>2</v>
      </c>
      <c r="F1269" s="1446"/>
      <c r="G1269" s="1446"/>
      <c r="H1269" s="1447"/>
      <c r="I1269" s="1494">
        <f>PRODUCT(C1269:H1269)</f>
        <v>140</v>
      </c>
      <c r="J1269" s="1475"/>
      <c r="K1269" s="1439"/>
      <c r="L1269" s="1439"/>
      <c r="M1269" s="1439"/>
      <c r="N1269" s="1439"/>
      <c r="O1269" s="1439"/>
      <c r="P1269" s="1439"/>
      <c r="Q1269" s="1439"/>
      <c r="R1269" s="1439"/>
      <c r="S1269" s="1439"/>
      <c r="T1269" s="1439"/>
      <c r="U1269" s="1439"/>
      <c r="V1269" s="1439"/>
      <c r="W1269" s="1439"/>
      <c r="X1269" s="1439"/>
      <c r="Y1269" s="1439"/>
      <c r="Z1269" s="1439"/>
      <c r="AA1269" s="1439"/>
      <c r="AB1269" s="1439"/>
      <c r="AC1269" s="1439"/>
      <c r="AD1269" s="1439"/>
      <c r="AE1269" s="1439"/>
      <c r="AF1269" s="1439"/>
      <c r="AG1269" s="1439"/>
    </row>
    <row r="1270" spans="1:33" ht="15.75" customHeight="1">
      <c r="A1270" s="1470"/>
      <c r="B1270" s="1450"/>
      <c r="C1270" s="1484"/>
      <c r="D1270" s="1484"/>
      <c r="E1270" s="1484"/>
      <c r="F1270" s="1446"/>
      <c r="G1270" s="1446"/>
      <c r="H1270" s="1447"/>
      <c r="I1270" s="1459">
        <f>SUM(I1269)</f>
        <v>140</v>
      </c>
      <c r="J1270" s="1475" t="s">
        <v>3471</v>
      </c>
      <c r="K1270" s="1439"/>
      <c r="L1270" s="1439"/>
      <c r="M1270" s="1439"/>
      <c r="N1270" s="1439"/>
      <c r="O1270" s="1439"/>
      <c r="P1270" s="1439"/>
      <c r="Q1270" s="1439"/>
      <c r="R1270" s="1439"/>
      <c r="S1270" s="1439"/>
      <c r="T1270" s="1439"/>
      <c r="U1270" s="1439"/>
      <c r="V1270" s="1439"/>
      <c r="W1270" s="1439"/>
      <c r="X1270" s="1439"/>
      <c r="Y1270" s="1439"/>
      <c r="Z1270" s="1439"/>
      <c r="AA1270" s="1439"/>
      <c r="AB1270" s="1439"/>
      <c r="AC1270" s="1439"/>
      <c r="AD1270" s="1439"/>
      <c r="AE1270" s="1439"/>
      <c r="AF1270" s="1439"/>
      <c r="AG1270" s="1439"/>
    </row>
    <row r="1271" spans="1:33" ht="15.75" hidden="1" customHeight="1">
      <c r="A1271" s="1451">
        <v>50.2</v>
      </c>
      <c r="B1271" s="1462" t="s">
        <v>3521</v>
      </c>
      <c r="C1271" s="1484"/>
      <c r="D1271" s="1484"/>
      <c r="E1271" s="1484"/>
      <c r="F1271" s="1446"/>
      <c r="G1271" s="1446"/>
      <c r="H1271" s="1447"/>
      <c r="I1271" s="1459"/>
      <c r="J1271" s="1475"/>
      <c r="K1271" s="1439"/>
      <c r="L1271" s="1439"/>
      <c r="M1271" s="1439"/>
      <c r="N1271" s="1439"/>
      <c r="O1271" s="1439"/>
      <c r="P1271" s="1439"/>
      <c r="Q1271" s="1439"/>
      <c r="R1271" s="1439"/>
      <c r="S1271" s="1439"/>
      <c r="T1271" s="1439"/>
      <c r="U1271" s="1439"/>
      <c r="V1271" s="1439"/>
      <c r="W1271" s="1439"/>
      <c r="X1271" s="1439"/>
      <c r="Y1271" s="1439"/>
      <c r="Z1271" s="1439"/>
      <c r="AA1271" s="1439"/>
      <c r="AB1271" s="1439"/>
      <c r="AC1271" s="1439"/>
      <c r="AD1271" s="1439"/>
      <c r="AE1271" s="1439"/>
      <c r="AF1271" s="1439"/>
      <c r="AG1271" s="1439"/>
    </row>
    <row r="1272" spans="1:33" ht="15.75" hidden="1" customHeight="1">
      <c r="A1272" s="1451"/>
      <c r="B1272" s="1462" t="s">
        <v>3522</v>
      </c>
      <c r="C1272" s="1484"/>
      <c r="D1272" s="1484"/>
      <c r="E1272" s="1484"/>
      <c r="F1272" s="1446"/>
      <c r="G1272" s="1446"/>
      <c r="H1272" s="1447"/>
      <c r="I1272" s="1494"/>
      <c r="J1272" s="1475" t="s">
        <v>13</v>
      </c>
      <c r="K1272" s="1439"/>
      <c r="L1272" s="1439"/>
      <c r="M1272" s="1439"/>
      <c r="N1272" s="1439"/>
      <c r="O1272" s="1439"/>
      <c r="P1272" s="1439"/>
      <c r="Q1272" s="1439"/>
      <c r="R1272" s="1439"/>
      <c r="S1272" s="1439"/>
      <c r="T1272" s="1439"/>
      <c r="U1272" s="1439"/>
      <c r="V1272" s="1439"/>
      <c r="W1272" s="1439"/>
      <c r="X1272" s="1439"/>
      <c r="Y1272" s="1439"/>
      <c r="Z1272" s="1439"/>
      <c r="AA1272" s="1439"/>
      <c r="AB1272" s="1439"/>
      <c r="AC1272" s="1439"/>
      <c r="AD1272" s="1439"/>
      <c r="AE1272" s="1439"/>
      <c r="AF1272" s="1439"/>
      <c r="AG1272" s="1439"/>
    </row>
    <row r="1273" spans="1:33" ht="110.25">
      <c r="A1273" s="1451">
        <v>50.3</v>
      </c>
      <c r="B1273" s="1450" t="s">
        <v>7193</v>
      </c>
      <c r="C1273" s="1477"/>
      <c r="D1273" s="1477"/>
      <c r="E1273" s="1477"/>
      <c r="F1273" s="1478"/>
      <c r="G1273" s="1478"/>
      <c r="H1273" s="1500"/>
      <c r="I1273" s="1494"/>
      <c r="J1273" s="1501"/>
      <c r="K1273" s="1439"/>
      <c r="L1273" s="1439"/>
      <c r="M1273" s="1439"/>
      <c r="N1273" s="1439"/>
      <c r="O1273" s="1439"/>
      <c r="P1273" s="1439"/>
      <c r="Q1273" s="1439"/>
      <c r="R1273" s="1439"/>
      <c r="S1273" s="1439"/>
      <c r="T1273" s="1439"/>
      <c r="U1273" s="1439"/>
      <c r="V1273" s="1439"/>
      <c r="W1273" s="1439"/>
      <c r="X1273" s="1439"/>
      <c r="Y1273" s="1439"/>
      <c r="Z1273" s="1439"/>
      <c r="AA1273" s="1439"/>
      <c r="AB1273" s="1439"/>
      <c r="AC1273" s="1439"/>
      <c r="AD1273" s="1439"/>
      <c r="AE1273" s="1439"/>
      <c r="AF1273" s="1439"/>
      <c r="AG1273" s="1439"/>
    </row>
    <row r="1274" spans="1:33" ht="15.75" customHeight="1">
      <c r="A1274" s="1451"/>
      <c r="B1274" s="1450" t="s">
        <v>3524</v>
      </c>
      <c r="C1274" s="1477">
        <v>1</v>
      </c>
      <c r="D1274" s="1477" t="s">
        <v>3364</v>
      </c>
      <c r="E1274" s="1477">
        <v>5</v>
      </c>
      <c r="F1274" s="1478"/>
      <c r="G1274" s="1478"/>
      <c r="H1274" s="1500"/>
      <c r="I1274" s="1479">
        <f>PRODUCT(C1274:H1274)</f>
        <v>5</v>
      </c>
      <c r="J1274" s="1501" t="s">
        <v>3471</v>
      </c>
      <c r="K1274" s="1439"/>
      <c r="L1274" s="1439"/>
      <c r="M1274" s="1439"/>
      <c r="N1274" s="1439"/>
      <c r="O1274" s="1439"/>
      <c r="P1274" s="1439"/>
      <c r="Q1274" s="1439"/>
      <c r="R1274" s="1439"/>
      <c r="S1274" s="1439"/>
      <c r="T1274" s="1439"/>
      <c r="U1274" s="1439"/>
      <c r="V1274" s="1439"/>
      <c r="W1274" s="1439"/>
      <c r="X1274" s="1439"/>
      <c r="Y1274" s="1439"/>
      <c r="Z1274" s="1439"/>
      <c r="AA1274" s="1439"/>
      <c r="AB1274" s="1439"/>
      <c r="AC1274" s="1439"/>
      <c r="AD1274" s="1439"/>
      <c r="AE1274" s="1439"/>
      <c r="AF1274" s="1439"/>
      <c r="AG1274" s="1439"/>
    </row>
    <row r="1275" spans="1:33" ht="126">
      <c r="A1275" s="1451">
        <v>50.4</v>
      </c>
      <c r="B1275" s="1450" t="s">
        <v>7194</v>
      </c>
      <c r="C1275" s="1477"/>
      <c r="D1275" s="1477"/>
      <c r="E1275" s="1477"/>
      <c r="F1275" s="1478"/>
      <c r="G1275" s="1478"/>
      <c r="H1275" s="1500"/>
      <c r="I1275" s="1494"/>
      <c r="J1275" s="1501"/>
      <c r="K1275" s="1439"/>
      <c r="L1275" s="1439"/>
      <c r="M1275" s="1439"/>
      <c r="N1275" s="1439"/>
      <c r="O1275" s="1439"/>
      <c r="P1275" s="1439"/>
      <c r="Q1275" s="1439"/>
      <c r="R1275" s="1439"/>
      <c r="S1275" s="1439"/>
      <c r="T1275" s="1439"/>
      <c r="U1275" s="1439"/>
      <c r="V1275" s="1439"/>
      <c r="W1275" s="1439"/>
      <c r="X1275" s="1439"/>
      <c r="Y1275" s="1439"/>
      <c r="Z1275" s="1439"/>
      <c r="AA1275" s="1439"/>
      <c r="AB1275" s="1439"/>
      <c r="AC1275" s="1439"/>
      <c r="AD1275" s="1439"/>
      <c r="AE1275" s="1439"/>
      <c r="AF1275" s="1439"/>
      <c r="AG1275" s="1439"/>
    </row>
    <row r="1276" spans="1:33" ht="15.75" customHeight="1">
      <c r="A1276" s="1451"/>
      <c r="B1276" s="1450" t="s">
        <v>3524</v>
      </c>
      <c r="C1276" s="1477">
        <v>1</v>
      </c>
      <c r="D1276" s="1477" t="s">
        <v>3364</v>
      </c>
      <c r="E1276" s="1477">
        <v>5</v>
      </c>
      <c r="F1276" s="1478"/>
      <c r="G1276" s="1478"/>
      <c r="H1276" s="1500"/>
      <c r="I1276" s="1494">
        <f>PRODUCT(C1276:H1276)</f>
        <v>5</v>
      </c>
      <c r="J1276" s="1501"/>
      <c r="K1276" s="1439"/>
      <c r="L1276" s="1439"/>
      <c r="M1276" s="1439"/>
      <c r="N1276" s="1439"/>
      <c r="O1276" s="1439"/>
      <c r="P1276" s="1439"/>
      <c r="Q1276" s="1439"/>
      <c r="R1276" s="1439"/>
      <c r="S1276" s="1439"/>
      <c r="T1276" s="1439"/>
      <c r="U1276" s="1439"/>
      <c r="V1276" s="1439"/>
      <c r="W1276" s="1439"/>
      <c r="X1276" s="1439"/>
      <c r="Y1276" s="1439"/>
      <c r="Z1276" s="1439"/>
      <c r="AA1276" s="1439"/>
      <c r="AB1276" s="1439"/>
      <c r="AC1276" s="1439"/>
      <c r="AD1276" s="1439"/>
      <c r="AE1276" s="1439"/>
      <c r="AF1276" s="1439"/>
      <c r="AG1276" s="1439"/>
    </row>
    <row r="1277" spans="1:33" ht="15.75" customHeight="1">
      <c r="A1277" s="1451"/>
      <c r="B1277" s="1450"/>
      <c r="C1277" s="1477"/>
      <c r="D1277" s="1477"/>
      <c r="E1277" s="1477"/>
      <c r="F1277" s="1478"/>
      <c r="G1277" s="1441" t="s">
        <v>104</v>
      </c>
      <c r="H1277" s="1500"/>
      <c r="I1277" s="1479">
        <f>I1276</f>
        <v>5</v>
      </c>
      <c r="J1277" s="1501" t="s">
        <v>3471</v>
      </c>
      <c r="K1277" s="1439"/>
      <c r="L1277" s="1439"/>
      <c r="M1277" s="1439"/>
      <c r="N1277" s="1439"/>
      <c r="O1277" s="1439"/>
      <c r="P1277" s="1439"/>
      <c r="Q1277" s="1439"/>
      <c r="R1277" s="1439"/>
      <c r="S1277" s="1439"/>
      <c r="T1277" s="1439"/>
      <c r="U1277" s="1439"/>
      <c r="V1277" s="1439"/>
      <c r="W1277" s="1439"/>
      <c r="X1277" s="1439"/>
      <c r="Y1277" s="1439"/>
      <c r="Z1277" s="1439"/>
      <c r="AA1277" s="1439"/>
      <c r="AB1277" s="1439"/>
      <c r="AC1277" s="1439"/>
      <c r="AD1277" s="1439"/>
      <c r="AE1277" s="1439"/>
      <c r="AF1277" s="1439"/>
      <c r="AG1277" s="1439"/>
    </row>
    <row r="1278" spans="1:33" ht="47.25">
      <c r="A1278" s="1451">
        <v>50.5</v>
      </c>
      <c r="B1278" s="1462" t="s">
        <v>7195</v>
      </c>
      <c r="C1278" s="1477"/>
      <c r="D1278" s="1477"/>
      <c r="E1278" s="1477"/>
      <c r="F1278" s="1478"/>
      <c r="G1278" s="1478"/>
      <c r="H1278" s="1500"/>
      <c r="I1278" s="1494"/>
      <c r="J1278" s="1501"/>
      <c r="K1278" s="1439"/>
      <c r="L1278" s="1439"/>
      <c r="M1278" s="1439"/>
      <c r="N1278" s="1439"/>
      <c r="O1278" s="1439"/>
      <c r="P1278" s="1439"/>
      <c r="Q1278" s="1439"/>
      <c r="R1278" s="1439"/>
      <c r="S1278" s="1439"/>
      <c r="T1278" s="1439"/>
      <c r="U1278" s="1439"/>
      <c r="V1278" s="1439"/>
      <c r="W1278" s="1439"/>
      <c r="X1278" s="1439"/>
      <c r="Y1278" s="1439"/>
      <c r="Z1278" s="1439"/>
      <c r="AA1278" s="1439"/>
      <c r="AB1278" s="1439"/>
      <c r="AC1278" s="1439"/>
      <c r="AD1278" s="1439"/>
      <c r="AE1278" s="1439"/>
      <c r="AF1278" s="1439"/>
      <c r="AG1278" s="1439"/>
    </row>
    <row r="1279" spans="1:33" ht="15.75" customHeight="1">
      <c r="A1279" s="1451"/>
      <c r="B1279" s="1450"/>
      <c r="C1279" s="1477">
        <v>1</v>
      </c>
      <c r="D1279" s="1477" t="s">
        <v>3364</v>
      </c>
      <c r="E1279" s="1477">
        <v>1</v>
      </c>
      <c r="F1279" s="1478"/>
      <c r="G1279" s="1478"/>
      <c r="H1279" s="1500"/>
      <c r="I1279" s="1494">
        <f>PRODUCT(C1279:H1279)</f>
        <v>1</v>
      </c>
      <c r="J1279" s="1501"/>
      <c r="K1279" s="1439"/>
      <c r="L1279" s="1439"/>
      <c r="M1279" s="1439"/>
      <c r="N1279" s="1439"/>
      <c r="O1279" s="1439"/>
      <c r="P1279" s="1439"/>
      <c r="Q1279" s="1439"/>
      <c r="R1279" s="1439"/>
      <c r="S1279" s="1439"/>
      <c r="T1279" s="1439"/>
      <c r="U1279" s="1439"/>
      <c r="V1279" s="1439"/>
      <c r="W1279" s="1439"/>
      <c r="X1279" s="1439"/>
      <c r="Y1279" s="1439"/>
      <c r="Z1279" s="1439"/>
      <c r="AA1279" s="1439"/>
      <c r="AB1279" s="1439"/>
      <c r="AC1279" s="1439"/>
      <c r="AD1279" s="1439"/>
      <c r="AE1279" s="1439"/>
      <c r="AF1279" s="1439"/>
      <c r="AG1279" s="1439"/>
    </row>
    <row r="1280" spans="1:33" ht="15.75" customHeight="1">
      <c r="A1280" s="1451"/>
      <c r="B1280" s="1450"/>
      <c r="C1280" s="1477"/>
      <c r="D1280" s="1477"/>
      <c r="E1280" s="1477"/>
      <c r="F1280" s="1478"/>
      <c r="G1280" s="1441" t="s">
        <v>104</v>
      </c>
      <c r="H1280" s="1500"/>
      <c r="I1280" s="1479">
        <f>I1279</f>
        <v>1</v>
      </c>
      <c r="J1280" s="1534" t="s">
        <v>727</v>
      </c>
      <c r="K1280" s="1439"/>
      <c r="L1280" s="1439"/>
      <c r="M1280" s="1439"/>
      <c r="N1280" s="1439"/>
      <c r="O1280" s="1439"/>
      <c r="P1280" s="1439"/>
      <c r="Q1280" s="1439"/>
      <c r="R1280" s="1439"/>
      <c r="S1280" s="1439"/>
      <c r="T1280" s="1439"/>
      <c r="U1280" s="1439"/>
      <c r="V1280" s="1439"/>
      <c r="W1280" s="1439"/>
      <c r="X1280" s="1439"/>
      <c r="Y1280" s="1439"/>
      <c r="Z1280" s="1439"/>
      <c r="AA1280" s="1439"/>
      <c r="AB1280" s="1439"/>
      <c r="AC1280" s="1439"/>
      <c r="AD1280" s="1439"/>
      <c r="AE1280" s="1439"/>
      <c r="AF1280" s="1439"/>
      <c r="AG1280" s="1439"/>
    </row>
    <row r="1281" spans="1:33" ht="252">
      <c r="A1281" s="1451">
        <v>52</v>
      </c>
      <c r="B1281" s="1450" t="s">
        <v>3527</v>
      </c>
      <c r="C1281" s="1477"/>
      <c r="D1281" s="1477"/>
      <c r="E1281" s="1477"/>
      <c r="F1281" s="1478"/>
      <c r="G1281" s="1478"/>
      <c r="H1281" s="1500"/>
      <c r="I1281" s="1494"/>
      <c r="J1281" s="1501"/>
      <c r="K1281" s="1439"/>
      <c r="L1281" s="1439"/>
      <c r="M1281" s="1439"/>
      <c r="N1281" s="1439"/>
      <c r="O1281" s="1439"/>
      <c r="P1281" s="1439"/>
      <c r="Q1281" s="1439"/>
      <c r="R1281" s="1439"/>
      <c r="S1281" s="1439"/>
      <c r="T1281" s="1439"/>
      <c r="U1281" s="1439"/>
      <c r="V1281" s="1439"/>
      <c r="W1281" s="1439"/>
      <c r="X1281" s="1439"/>
      <c r="Y1281" s="1439"/>
      <c r="Z1281" s="1439"/>
      <c r="AA1281" s="1439"/>
      <c r="AB1281" s="1439"/>
      <c r="AC1281" s="1439"/>
      <c r="AD1281" s="1439"/>
      <c r="AE1281" s="1439"/>
      <c r="AF1281" s="1439"/>
      <c r="AG1281" s="1439"/>
    </row>
    <row r="1282" spans="1:33" ht="15.75" customHeight="1">
      <c r="A1282" s="1470" t="s">
        <v>2102</v>
      </c>
      <c r="B1282" s="1456" t="s">
        <v>3528</v>
      </c>
      <c r="C1282" s="1477"/>
      <c r="D1282" s="1477"/>
      <c r="E1282" s="1477"/>
      <c r="F1282" s="1478"/>
      <c r="G1282" s="1478"/>
      <c r="H1282" s="1500"/>
      <c r="I1282" s="1448"/>
      <c r="J1282" s="1525"/>
      <c r="K1282" s="1439"/>
      <c r="L1282" s="1439"/>
      <c r="M1282" s="1439"/>
      <c r="N1282" s="1439"/>
      <c r="O1282" s="1439"/>
      <c r="P1282" s="1439"/>
      <c r="Q1282" s="1439"/>
      <c r="R1282" s="1439"/>
      <c r="S1282" s="1439"/>
      <c r="T1282" s="1439"/>
      <c r="U1282" s="1439"/>
      <c r="V1282" s="1439"/>
      <c r="W1282" s="1439"/>
      <c r="X1282" s="1439"/>
      <c r="Y1282" s="1439"/>
      <c r="Z1282" s="1439"/>
      <c r="AA1282" s="1439"/>
      <c r="AB1282" s="1439"/>
      <c r="AC1282" s="1439"/>
      <c r="AD1282" s="1439"/>
      <c r="AE1282" s="1439"/>
      <c r="AF1282" s="1439"/>
      <c r="AG1282" s="1439"/>
    </row>
    <row r="1283" spans="1:33" ht="15.75" customHeight="1">
      <c r="A1283" s="1470"/>
      <c r="B1283" s="1450" t="s">
        <v>7196</v>
      </c>
      <c r="C1283" s="1477">
        <v>2</v>
      </c>
      <c r="D1283" s="1477" t="s">
        <v>3364</v>
      </c>
      <c r="E1283" s="1477">
        <v>1</v>
      </c>
      <c r="F1283" s="1478">
        <v>22.5</v>
      </c>
      <c r="G1283" s="1478"/>
      <c r="H1283" s="1500"/>
      <c r="I1283" s="1448">
        <f>PRODUCT(C1283:H1283)</f>
        <v>45</v>
      </c>
      <c r="J1283" s="1525"/>
      <c r="K1283" s="1439"/>
      <c r="L1283" s="1439"/>
      <c r="M1283" s="1439"/>
      <c r="N1283" s="1439"/>
      <c r="O1283" s="1439"/>
      <c r="P1283" s="1439"/>
      <c r="Q1283" s="1439"/>
      <c r="R1283" s="1439"/>
      <c r="S1283" s="1439"/>
      <c r="T1283" s="1439"/>
      <c r="U1283" s="1439"/>
      <c r="V1283" s="1439"/>
      <c r="W1283" s="1439"/>
      <c r="X1283" s="1439"/>
      <c r="Y1283" s="1439"/>
      <c r="Z1283" s="1439"/>
      <c r="AA1283" s="1439"/>
      <c r="AB1283" s="1439"/>
      <c r="AC1283" s="1439"/>
      <c r="AD1283" s="1439"/>
      <c r="AE1283" s="1439"/>
      <c r="AF1283" s="1439"/>
      <c r="AG1283" s="1439"/>
    </row>
    <row r="1284" spans="1:33" ht="15.75" customHeight="1">
      <c r="A1284" s="1470"/>
      <c r="B1284" s="1450" t="s">
        <v>7197</v>
      </c>
      <c r="C1284" s="1477">
        <v>1</v>
      </c>
      <c r="D1284" s="1477" t="s">
        <v>3364</v>
      </c>
      <c r="E1284" s="1477">
        <v>1</v>
      </c>
      <c r="F1284" s="1478">
        <f>34.05+6.8+6.2+3.25</f>
        <v>50.3</v>
      </c>
      <c r="G1284" s="1478"/>
      <c r="H1284" s="1500"/>
      <c r="I1284" s="1448">
        <f>PRODUCT(C1284:H1284)</f>
        <v>50.3</v>
      </c>
      <c r="J1284" s="1525"/>
      <c r="K1284" s="1439"/>
      <c r="L1284" s="1439"/>
      <c r="M1284" s="1439"/>
      <c r="N1284" s="1439"/>
      <c r="O1284" s="1439"/>
      <c r="P1284" s="1439"/>
      <c r="Q1284" s="1439"/>
      <c r="R1284" s="1439"/>
      <c r="S1284" s="1439"/>
      <c r="T1284" s="1439"/>
      <c r="U1284" s="1439"/>
      <c r="V1284" s="1439"/>
      <c r="W1284" s="1439"/>
      <c r="X1284" s="1439"/>
      <c r="Y1284" s="1439"/>
      <c r="Z1284" s="1439"/>
      <c r="AA1284" s="1439"/>
      <c r="AB1284" s="1439"/>
      <c r="AC1284" s="1439"/>
      <c r="AD1284" s="1439"/>
      <c r="AE1284" s="1439"/>
      <c r="AF1284" s="1439"/>
      <c r="AG1284" s="1439"/>
    </row>
    <row r="1285" spans="1:33" ht="15.75" customHeight="1">
      <c r="A1285" s="1470"/>
      <c r="B1285" s="1450" t="s">
        <v>3529</v>
      </c>
      <c r="C1285" s="1477">
        <v>4</v>
      </c>
      <c r="D1285" s="1477" t="s">
        <v>3364</v>
      </c>
      <c r="E1285" s="1477">
        <v>1</v>
      </c>
      <c r="F1285" s="1478">
        <v>20</v>
      </c>
      <c r="G1285" s="1478"/>
      <c r="H1285" s="1500"/>
      <c r="I1285" s="1448">
        <f>PRODUCT(C1285:H1285)</f>
        <v>80</v>
      </c>
      <c r="J1285" s="1525"/>
      <c r="K1285" s="1439"/>
      <c r="L1285" s="1439"/>
      <c r="M1285" s="1439"/>
      <c r="N1285" s="1439"/>
      <c r="O1285" s="1439"/>
      <c r="P1285" s="1439"/>
      <c r="Q1285" s="1439"/>
      <c r="R1285" s="1439"/>
      <c r="S1285" s="1439"/>
      <c r="T1285" s="1439"/>
      <c r="U1285" s="1439"/>
      <c r="V1285" s="1439"/>
      <c r="W1285" s="1439"/>
      <c r="X1285" s="1439"/>
      <c r="Y1285" s="1439"/>
      <c r="Z1285" s="1439"/>
      <c r="AA1285" s="1439"/>
      <c r="AB1285" s="1439"/>
      <c r="AC1285" s="1439"/>
      <c r="AD1285" s="1439"/>
      <c r="AE1285" s="1439"/>
      <c r="AF1285" s="1439"/>
      <c r="AG1285" s="1439"/>
    </row>
    <row r="1286" spans="1:33" ht="15.75" customHeight="1">
      <c r="A1286" s="1470"/>
      <c r="B1286" s="1450"/>
      <c r="C1286" s="1477"/>
      <c r="D1286" s="1477"/>
      <c r="E1286" s="1484"/>
      <c r="F1286" s="1446"/>
      <c r="G1286" s="1458" t="s">
        <v>104</v>
      </c>
      <c r="H1286" s="1447"/>
      <c r="I1286" s="1448">
        <f>SUM(I1282:I1285)</f>
        <v>175.3</v>
      </c>
      <c r="J1286" s="1475"/>
      <c r="K1286" s="1439"/>
      <c r="L1286" s="1439"/>
      <c r="M1286" s="1439"/>
      <c r="N1286" s="1439"/>
      <c r="O1286" s="1439"/>
      <c r="P1286" s="1439"/>
      <c r="Q1286" s="1439"/>
      <c r="R1286" s="1439"/>
      <c r="S1286" s="1439"/>
      <c r="T1286" s="1439"/>
      <c r="U1286" s="1439"/>
      <c r="V1286" s="1439"/>
      <c r="W1286" s="1439"/>
      <c r="X1286" s="1439"/>
      <c r="Y1286" s="1439"/>
      <c r="Z1286" s="1439"/>
      <c r="AA1286" s="1439"/>
      <c r="AB1286" s="1439"/>
      <c r="AC1286" s="1439"/>
      <c r="AD1286" s="1439"/>
      <c r="AE1286" s="1439"/>
      <c r="AF1286" s="1439"/>
      <c r="AG1286" s="1439"/>
    </row>
    <row r="1287" spans="1:33" ht="15.75" customHeight="1">
      <c r="A1287" s="1470"/>
      <c r="B1287" s="1450"/>
      <c r="C1287" s="1477"/>
      <c r="D1287" s="1477"/>
      <c r="E1287" s="1484"/>
      <c r="F1287" s="1446"/>
      <c r="G1287" s="1478"/>
      <c r="H1287" s="1460" t="s">
        <v>2981</v>
      </c>
      <c r="I1287" s="1459">
        <f>CEILING(I1286,0.1)</f>
        <v>175.3</v>
      </c>
      <c r="J1287" s="1475" t="s">
        <v>13</v>
      </c>
      <c r="K1287" s="1439"/>
      <c r="L1287" s="1439"/>
      <c r="M1287" s="1439"/>
      <c r="N1287" s="1439"/>
      <c r="O1287" s="1439"/>
      <c r="P1287" s="1439"/>
      <c r="Q1287" s="1439"/>
      <c r="R1287" s="1439"/>
      <c r="S1287" s="1439"/>
      <c r="T1287" s="1439"/>
      <c r="U1287" s="1439"/>
      <c r="V1287" s="1439"/>
      <c r="W1287" s="1439"/>
      <c r="X1287" s="1439"/>
      <c r="Y1287" s="1439"/>
      <c r="Z1287" s="1439"/>
      <c r="AA1287" s="1439"/>
      <c r="AB1287" s="1439"/>
      <c r="AC1287" s="1439"/>
      <c r="AD1287" s="1439"/>
      <c r="AE1287" s="1439"/>
      <c r="AF1287" s="1439"/>
      <c r="AG1287" s="1439"/>
    </row>
    <row r="1288" spans="1:33" ht="15.75" customHeight="1">
      <c r="A1288" s="1470" t="s">
        <v>2081</v>
      </c>
      <c r="B1288" s="1456" t="s">
        <v>3530</v>
      </c>
      <c r="C1288" s="1477"/>
      <c r="D1288" s="1477"/>
      <c r="E1288" s="1477"/>
      <c r="F1288" s="1478"/>
      <c r="G1288" s="1478"/>
      <c r="H1288" s="1500"/>
      <c r="I1288" s="1448"/>
      <c r="J1288" s="1525"/>
      <c r="K1288" s="1439"/>
      <c r="L1288" s="1439"/>
      <c r="M1288" s="1439"/>
      <c r="N1288" s="1439"/>
      <c r="O1288" s="1439"/>
      <c r="P1288" s="1439"/>
      <c r="Q1288" s="1439"/>
      <c r="R1288" s="1439"/>
      <c r="S1288" s="1439"/>
      <c r="T1288" s="1439"/>
      <c r="U1288" s="1439"/>
      <c r="V1288" s="1439"/>
      <c r="W1288" s="1439"/>
      <c r="X1288" s="1439"/>
      <c r="Y1288" s="1439"/>
      <c r="Z1288" s="1439"/>
      <c r="AA1288" s="1439"/>
      <c r="AB1288" s="1439"/>
      <c r="AC1288" s="1439"/>
      <c r="AD1288" s="1439"/>
      <c r="AE1288" s="1439"/>
      <c r="AF1288" s="1439"/>
      <c r="AG1288" s="1439"/>
    </row>
    <row r="1289" spans="1:33" ht="15.75" customHeight="1">
      <c r="A1289" s="1470"/>
      <c r="B1289" s="1450" t="s">
        <v>7198</v>
      </c>
      <c r="C1289" s="1477">
        <v>1</v>
      </c>
      <c r="D1289" s="1477" t="s">
        <v>3364</v>
      </c>
      <c r="E1289" s="1477">
        <v>1</v>
      </c>
      <c r="F1289" s="1478">
        <v>33</v>
      </c>
      <c r="G1289" s="1478"/>
      <c r="H1289" s="1500"/>
      <c r="I1289" s="1448">
        <f t="shared" ref="I1289:I1294" si="67">PRODUCT(C1289:H1289)</f>
        <v>33</v>
      </c>
      <c r="J1289" s="1525"/>
      <c r="K1289" s="1439"/>
      <c r="L1289" s="1439"/>
      <c r="M1289" s="1439"/>
      <c r="N1289" s="1439"/>
      <c r="O1289" s="1439"/>
      <c r="P1289" s="1439"/>
      <c r="Q1289" s="1439"/>
      <c r="R1289" s="1439"/>
      <c r="S1289" s="1439"/>
      <c r="T1289" s="1439"/>
      <c r="U1289" s="1439"/>
      <c r="V1289" s="1439"/>
      <c r="W1289" s="1439"/>
      <c r="X1289" s="1439"/>
      <c r="Y1289" s="1439"/>
      <c r="Z1289" s="1439"/>
      <c r="AA1289" s="1439"/>
      <c r="AB1289" s="1439"/>
      <c r="AC1289" s="1439"/>
      <c r="AD1289" s="1439"/>
      <c r="AE1289" s="1439"/>
      <c r="AF1289" s="1439"/>
      <c r="AG1289" s="1439"/>
    </row>
    <row r="1290" spans="1:33" ht="15.75" customHeight="1">
      <c r="A1290" s="1470"/>
      <c r="B1290" s="1450" t="s">
        <v>7199</v>
      </c>
      <c r="C1290" s="1477">
        <v>1</v>
      </c>
      <c r="D1290" s="1477" t="s">
        <v>3364</v>
      </c>
      <c r="E1290" s="1477">
        <v>1</v>
      </c>
      <c r="F1290" s="1478">
        <v>28</v>
      </c>
      <c r="G1290" s="1478"/>
      <c r="H1290" s="1500"/>
      <c r="I1290" s="1448">
        <f t="shared" si="67"/>
        <v>28</v>
      </c>
      <c r="J1290" s="1525"/>
      <c r="K1290" s="1439"/>
      <c r="L1290" s="1439"/>
      <c r="M1290" s="1439"/>
      <c r="N1290" s="1439"/>
      <c r="O1290" s="1439"/>
      <c r="P1290" s="1439"/>
      <c r="Q1290" s="1439"/>
      <c r="R1290" s="1439"/>
      <c r="S1290" s="1439"/>
      <c r="T1290" s="1439"/>
      <c r="U1290" s="1439"/>
      <c r="V1290" s="1439"/>
      <c r="W1290" s="1439"/>
      <c r="X1290" s="1439"/>
      <c r="Y1290" s="1439"/>
      <c r="Z1290" s="1439"/>
      <c r="AA1290" s="1439"/>
      <c r="AB1290" s="1439"/>
      <c r="AC1290" s="1439"/>
      <c r="AD1290" s="1439"/>
      <c r="AE1290" s="1439"/>
      <c r="AF1290" s="1439"/>
      <c r="AG1290" s="1439"/>
    </row>
    <row r="1291" spans="1:33" ht="15.75" customHeight="1">
      <c r="A1291" s="1470"/>
      <c r="B1291" s="1450" t="s">
        <v>7200</v>
      </c>
      <c r="C1291" s="1477">
        <v>1</v>
      </c>
      <c r="D1291" s="1477" t="s">
        <v>3364</v>
      </c>
      <c r="E1291" s="1477">
        <v>1</v>
      </c>
      <c r="F1291" s="1478">
        <f>F1289-3</f>
        <v>30</v>
      </c>
      <c r="G1291" s="1478"/>
      <c r="H1291" s="1500"/>
      <c r="I1291" s="1448">
        <f t="shared" si="67"/>
        <v>30</v>
      </c>
      <c r="J1291" s="1525"/>
      <c r="K1291" s="1439"/>
      <c r="L1291" s="1439"/>
      <c r="M1291" s="1439"/>
      <c r="N1291" s="1439"/>
      <c r="O1291" s="1439"/>
      <c r="P1291" s="1439"/>
      <c r="Q1291" s="1439"/>
      <c r="R1291" s="1439"/>
      <c r="S1291" s="1439"/>
      <c r="T1291" s="1439"/>
      <c r="U1291" s="1439"/>
      <c r="V1291" s="1439"/>
      <c r="W1291" s="1439"/>
      <c r="X1291" s="1439"/>
      <c r="Y1291" s="1439"/>
      <c r="Z1291" s="1439"/>
      <c r="AA1291" s="1439"/>
      <c r="AB1291" s="1439"/>
      <c r="AC1291" s="1439"/>
      <c r="AD1291" s="1439"/>
      <c r="AE1291" s="1439"/>
      <c r="AF1291" s="1439"/>
      <c r="AG1291" s="1439"/>
    </row>
    <row r="1292" spans="1:33" ht="15.75" customHeight="1">
      <c r="A1292" s="1470"/>
      <c r="B1292" s="1450" t="s">
        <v>7201</v>
      </c>
      <c r="C1292" s="1477">
        <v>1</v>
      </c>
      <c r="D1292" s="1477" t="s">
        <v>3364</v>
      </c>
      <c r="E1292" s="1477">
        <v>1</v>
      </c>
      <c r="F1292" s="1478">
        <v>18</v>
      </c>
      <c r="G1292" s="1478"/>
      <c r="H1292" s="1500"/>
      <c r="I1292" s="1448">
        <f t="shared" si="67"/>
        <v>18</v>
      </c>
      <c r="J1292" s="1525"/>
      <c r="K1292" s="1439"/>
      <c r="L1292" s="1439"/>
      <c r="M1292" s="1439"/>
      <c r="N1292" s="1439"/>
      <c r="O1292" s="1439"/>
      <c r="P1292" s="1439"/>
      <c r="Q1292" s="1439"/>
      <c r="R1292" s="1439"/>
      <c r="S1292" s="1439"/>
      <c r="T1292" s="1439"/>
      <c r="U1292" s="1439"/>
      <c r="V1292" s="1439"/>
      <c r="W1292" s="1439"/>
      <c r="X1292" s="1439"/>
      <c r="Y1292" s="1439"/>
      <c r="Z1292" s="1439"/>
      <c r="AA1292" s="1439"/>
      <c r="AB1292" s="1439"/>
      <c r="AC1292" s="1439"/>
      <c r="AD1292" s="1439"/>
      <c r="AE1292" s="1439"/>
      <c r="AF1292" s="1439"/>
      <c r="AG1292" s="1439"/>
    </row>
    <row r="1293" spans="1:33" ht="15.75" customHeight="1">
      <c r="A1293" s="1470"/>
      <c r="B1293" s="1450" t="s">
        <v>7202</v>
      </c>
      <c r="C1293" s="1477">
        <v>1</v>
      </c>
      <c r="D1293" s="1477" t="s">
        <v>3364</v>
      </c>
      <c r="E1293" s="1477">
        <v>1</v>
      </c>
      <c r="F1293" s="1478">
        <v>26</v>
      </c>
      <c r="G1293" s="1478"/>
      <c r="H1293" s="1500"/>
      <c r="I1293" s="1448">
        <f t="shared" si="67"/>
        <v>26</v>
      </c>
      <c r="J1293" s="1525"/>
      <c r="K1293" s="1439"/>
      <c r="L1293" s="1439"/>
      <c r="M1293" s="1439"/>
      <c r="N1293" s="1439"/>
      <c r="O1293" s="1439"/>
      <c r="P1293" s="1439"/>
      <c r="Q1293" s="1439"/>
      <c r="R1293" s="1439"/>
      <c r="S1293" s="1439"/>
      <c r="T1293" s="1439"/>
      <c r="U1293" s="1439"/>
      <c r="V1293" s="1439"/>
      <c r="W1293" s="1439"/>
      <c r="X1293" s="1439"/>
      <c r="Y1293" s="1439"/>
      <c r="Z1293" s="1439"/>
      <c r="AA1293" s="1439"/>
      <c r="AB1293" s="1439"/>
      <c r="AC1293" s="1439"/>
      <c r="AD1293" s="1439"/>
      <c r="AE1293" s="1439"/>
      <c r="AF1293" s="1439"/>
      <c r="AG1293" s="1439"/>
    </row>
    <row r="1294" spans="1:33" ht="15.75" customHeight="1">
      <c r="A1294" s="1470"/>
      <c r="B1294" s="1450" t="s">
        <v>7203</v>
      </c>
      <c r="C1294" s="1477">
        <v>1</v>
      </c>
      <c r="D1294" s="1477" t="s">
        <v>3364</v>
      </c>
      <c r="E1294" s="1477">
        <v>1</v>
      </c>
      <c r="F1294" s="1478">
        <v>23</v>
      </c>
      <c r="G1294" s="1478"/>
      <c r="H1294" s="1500"/>
      <c r="I1294" s="1448">
        <f t="shared" si="67"/>
        <v>23</v>
      </c>
      <c r="J1294" s="1525"/>
      <c r="K1294" s="1439"/>
      <c r="L1294" s="1439"/>
      <c r="M1294" s="1439"/>
      <c r="N1294" s="1439"/>
      <c r="O1294" s="1439"/>
      <c r="P1294" s="1439"/>
      <c r="Q1294" s="1439"/>
      <c r="R1294" s="1439"/>
      <c r="S1294" s="1439"/>
      <c r="T1294" s="1439"/>
      <c r="U1294" s="1439"/>
      <c r="V1294" s="1439"/>
      <c r="W1294" s="1439"/>
      <c r="X1294" s="1439"/>
      <c r="Y1294" s="1439"/>
      <c r="Z1294" s="1439"/>
      <c r="AA1294" s="1439"/>
      <c r="AB1294" s="1439"/>
      <c r="AC1294" s="1439"/>
      <c r="AD1294" s="1439"/>
      <c r="AE1294" s="1439"/>
      <c r="AF1294" s="1439"/>
      <c r="AG1294" s="1439"/>
    </row>
    <row r="1295" spans="1:33" ht="15.75" customHeight="1">
      <c r="A1295" s="1470"/>
      <c r="B1295" s="1450"/>
      <c r="C1295" s="1477"/>
      <c r="D1295" s="1477"/>
      <c r="E1295" s="1484"/>
      <c r="F1295" s="1446"/>
      <c r="G1295" s="1458" t="s">
        <v>104</v>
      </c>
      <c r="H1295" s="1447"/>
      <c r="I1295" s="1448">
        <f>SUM(I1289:I1294)</f>
        <v>158</v>
      </c>
      <c r="J1295" s="1475"/>
      <c r="K1295" s="1439"/>
      <c r="L1295" s="1439"/>
      <c r="M1295" s="1439"/>
      <c r="N1295" s="1439"/>
      <c r="O1295" s="1439"/>
      <c r="P1295" s="1439"/>
      <c r="Q1295" s="1439"/>
      <c r="R1295" s="1439"/>
      <c r="S1295" s="1439"/>
      <c r="T1295" s="1439"/>
      <c r="U1295" s="1439"/>
      <c r="V1295" s="1439"/>
      <c r="W1295" s="1439"/>
      <c r="X1295" s="1439"/>
      <c r="Y1295" s="1439"/>
      <c r="Z1295" s="1439"/>
      <c r="AA1295" s="1439"/>
      <c r="AB1295" s="1439"/>
      <c r="AC1295" s="1439"/>
      <c r="AD1295" s="1439"/>
      <c r="AE1295" s="1439"/>
      <c r="AF1295" s="1439"/>
      <c r="AG1295" s="1439"/>
    </row>
    <row r="1296" spans="1:33" ht="15.75" customHeight="1">
      <c r="A1296" s="1470"/>
      <c r="B1296" s="1450"/>
      <c r="C1296" s="1477"/>
      <c r="D1296" s="1477"/>
      <c r="E1296" s="1484"/>
      <c r="F1296" s="1446"/>
      <c r="G1296" s="1478"/>
      <c r="H1296" s="1460" t="s">
        <v>2981</v>
      </c>
      <c r="I1296" s="1459">
        <f>CEILING(I1295,0.1)</f>
        <v>158</v>
      </c>
      <c r="J1296" s="1475" t="s">
        <v>13</v>
      </c>
      <c r="K1296" s="1439"/>
      <c r="L1296" s="1439"/>
      <c r="M1296" s="1439"/>
      <c r="N1296" s="1439"/>
      <c r="O1296" s="1439"/>
      <c r="P1296" s="1439"/>
      <c r="Q1296" s="1439"/>
      <c r="R1296" s="1439"/>
      <c r="S1296" s="1439"/>
      <c r="T1296" s="1439"/>
      <c r="U1296" s="1439"/>
      <c r="V1296" s="1439"/>
      <c r="W1296" s="1439"/>
      <c r="X1296" s="1439"/>
      <c r="Y1296" s="1439"/>
      <c r="Z1296" s="1439"/>
      <c r="AA1296" s="1439"/>
      <c r="AB1296" s="1439"/>
      <c r="AC1296" s="1439"/>
      <c r="AD1296" s="1439"/>
      <c r="AE1296" s="1439"/>
      <c r="AF1296" s="1439"/>
      <c r="AG1296" s="1439"/>
    </row>
    <row r="1297" spans="1:33" ht="31.5">
      <c r="A1297" s="1470">
        <v>52.1</v>
      </c>
      <c r="B1297" s="1450" t="s">
        <v>3531</v>
      </c>
      <c r="C1297" s="1484"/>
      <c r="D1297" s="1484"/>
      <c r="E1297" s="1484"/>
      <c r="F1297" s="1446"/>
      <c r="G1297" s="1441"/>
      <c r="H1297" s="1447"/>
      <c r="I1297" s="1459"/>
      <c r="J1297" s="1501"/>
      <c r="K1297" s="1439"/>
      <c r="L1297" s="1439">
        <v>1</v>
      </c>
      <c r="M1297" s="1439"/>
      <c r="N1297" s="1439"/>
      <c r="O1297" s="1439"/>
      <c r="P1297" s="1439"/>
      <c r="Q1297" s="1439"/>
      <c r="R1297" s="1439"/>
      <c r="S1297" s="1439"/>
      <c r="T1297" s="1439"/>
      <c r="U1297" s="1439"/>
      <c r="V1297" s="1439"/>
      <c r="W1297" s="1439"/>
      <c r="X1297" s="1439"/>
      <c r="Y1297" s="1439"/>
      <c r="Z1297" s="1439"/>
      <c r="AA1297" s="1439"/>
      <c r="AB1297" s="1439"/>
      <c r="AC1297" s="1439"/>
      <c r="AD1297" s="1439"/>
      <c r="AE1297" s="1439"/>
      <c r="AF1297" s="1439"/>
      <c r="AG1297" s="1439"/>
    </row>
    <row r="1298" spans="1:33" ht="15.75" customHeight="1">
      <c r="A1298" s="1470"/>
      <c r="B1298" s="1450" t="s">
        <v>7204</v>
      </c>
      <c r="C1298" s="1484">
        <v>1</v>
      </c>
      <c r="D1298" s="1484" t="s">
        <v>3364</v>
      </c>
      <c r="E1298" s="1484">
        <v>47</v>
      </c>
      <c r="F1298" s="1446">
        <v>2</v>
      </c>
      <c r="G1298" s="1441"/>
      <c r="H1298" s="1447"/>
      <c r="I1298" s="1494">
        <f>PRODUCT(C1298:H1298)</f>
        <v>94</v>
      </c>
      <c r="J1298" s="1501"/>
      <c r="K1298" s="1439"/>
      <c r="L1298" s="1439"/>
      <c r="M1298" s="1439"/>
      <c r="N1298" s="1439"/>
      <c r="O1298" s="1439"/>
      <c r="P1298" s="1439"/>
      <c r="Q1298" s="1439"/>
      <c r="R1298" s="1439"/>
      <c r="S1298" s="1439"/>
      <c r="T1298" s="1439"/>
      <c r="U1298" s="1439"/>
      <c r="V1298" s="1439"/>
      <c r="W1298" s="1439"/>
      <c r="X1298" s="1439"/>
      <c r="Y1298" s="1439"/>
      <c r="Z1298" s="1439"/>
      <c r="AA1298" s="1439"/>
      <c r="AB1298" s="1439"/>
      <c r="AC1298" s="1439"/>
      <c r="AD1298" s="1439"/>
      <c r="AE1298" s="1439"/>
      <c r="AF1298" s="1439"/>
      <c r="AG1298" s="1439"/>
    </row>
    <row r="1299" spans="1:33" ht="15.75" customHeight="1">
      <c r="A1299" s="1470"/>
      <c r="B1299" s="1450"/>
      <c r="C1299" s="1484"/>
      <c r="D1299" s="1484"/>
      <c r="E1299" s="1484"/>
      <c r="F1299" s="1446"/>
      <c r="G1299" s="1441" t="s">
        <v>104</v>
      </c>
      <c r="H1299" s="1447"/>
      <c r="I1299" s="1459">
        <f>SUM(I1298)</f>
        <v>94</v>
      </c>
      <c r="J1299" s="1501" t="s">
        <v>13</v>
      </c>
      <c r="K1299" s="1439"/>
      <c r="L1299" s="1439">
        <v>1</v>
      </c>
      <c r="M1299" s="1439"/>
      <c r="N1299" s="1439"/>
      <c r="O1299" s="1439"/>
      <c r="P1299" s="1439"/>
      <c r="Q1299" s="1439"/>
      <c r="R1299" s="1439"/>
      <c r="S1299" s="1439"/>
      <c r="T1299" s="1439"/>
      <c r="U1299" s="1439"/>
      <c r="V1299" s="1439"/>
      <c r="W1299" s="1439"/>
      <c r="X1299" s="1439"/>
      <c r="Y1299" s="1439"/>
      <c r="Z1299" s="1439"/>
      <c r="AA1299" s="1439"/>
      <c r="AB1299" s="1439"/>
      <c r="AC1299" s="1439"/>
      <c r="AD1299" s="1439"/>
      <c r="AE1299" s="1439"/>
      <c r="AF1299" s="1439"/>
      <c r="AG1299" s="1439"/>
    </row>
    <row r="1300" spans="1:33" ht="28.5" customHeight="1">
      <c r="A1300" s="1470">
        <v>53.3</v>
      </c>
      <c r="B1300" s="1450" t="s">
        <v>3532</v>
      </c>
      <c r="C1300" s="1484"/>
      <c r="D1300" s="1484"/>
      <c r="E1300" s="1484"/>
      <c r="F1300" s="1446"/>
      <c r="G1300" s="1441"/>
      <c r="H1300" s="1447"/>
      <c r="I1300" s="1459"/>
      <c r="J1300" s="1501"/>
      <c r="K1300" s="1439"/>
      <c r="L1300" s="1439"/>
      <c r="M1300" s="1439"/>
      <c r="N1300" s="1439"/>
      <c r="O1300" s="1439"/>
      <c r="P1300" s="1439"/>
      <c r="Q1300" s="1439"/>
      <c r="R1300" s="1439"/>
      <c r="S1300" s="1439"/>
      <c r="T1300" s="1439"/>
      <c r="U1300" s="1439"/>
      <c r="V1300" s="1439"/>
      <c r="W1300" s="1439"/>
      <c r="X1300" s="1439"/>
      <c r="Y1300" s="1439"/>
      <c r="Z1300" s="1439"/>
      <c r="AA1300" s="1439"/>
      <c r="AB1300" s="1439"/>
      <c r="AC1300" s="1439"/>
      <c r="AD1300" s="1439"/>
      <c r="AE1300" s="1439"/>
      <c r="AF1300" s="1439"/>
      <c r="AG1300" s="1439"/>
    </row>
    <row r="1301" spans="1:33" ht="15.75" customHeight="1">
      <c r="A1301" s="1470"/>
      <c r="B1301" s="1450" t="s">
        <v>7205</v>
      </c>
      <c r="C1301" s="1484">
        <v>1</v>
      </c>
      <c r="D1301" s="1484" t="s">
        <v>3364</v>
      </c>
      <c r="E1301" s="1484">
        <v>4</v>
      </c>
      <c r="F1301" s="1446"/>
      <c r="G1301" s="1441"/>
      <c r="H1301" s="1447"/>
      <c r="I1301" s="1494">
        <f>PRODUCT(C1301:H1301)</f>
        <v>4</v>
      </c>
      <c r="J1301" s="1501" t="s">
        <v>1034</v>
      </c>
      <c r="K1301" s="1439"/>
      <c r="L1301" s="1439"/>
      <c r="M1301" s="1439"/>
      <c r="N1301" s="1439"/>
      <c r="O1301" s="1439"/>
      <c r="P1301" s="1439"/>
      <c r="Q1301" s="1439"/>
      <c r="R1301" s="1439"/>
      <c r="S1301" s="1439"/>
      <c r="T1301" s="1439"/>
      <c r="U1301" s="1439"/>
      <c r="V1301" s="1439"/>
      <c r="W1301" s="1439"/>
      <c r="X1301" s="1439"/>
      <c r="Y1301" s="1439"/>
      <c r="Z1301" s="1439"/>
      <c r="AA1301" s="1439"/>
      <c r="AB1301" s="1439"/>
      <c r="AC1301" s="1439"/>
      <c r="AD1301" s="1439"/>
      <c r="AE1301" s="1439"/>
      <c r="AF1301" s="1439"/>
      <c r="AG1301" s="1439"/>
    </row>
    <row r="1302" spans="1:33" ht="31.5">
      <c r="A1302" s="1451" t="s">
        <v>3656</v>
      </c>
      <c r="B1302" s="1450" t="s">
        <v>3657</v>
      </c>
      <c r="C1302" s="1484"/>
      <c r="D1302" s="1484"/>
      <c r="E1302" s="1484"/>
      <c r="F1302" s="1446"/>
      <c r="G1302" s="1446"/>
      <c r="H1302" s="1447"/>
      <c r="I1302" s="1448"/>
      <c r="J1302" s="1475"/>
      <c r="K1302" s="1439"/>
      <c r="L1302" s="1439"/>
      <c r="M1302" s="1439"/>
      <c r="N1302" s="1439"/>
      <c r="O1302" s="1439"/>
      <c r="P1302" s="1439"/>
      <c r="Q1302" s="1439"/>
      <c r="R1302" s="1439"/>
      <c r="S1302" s="1439"/>
      <c r="T1302" s="1439"/>
      <c r="U1302" s="1439"/>
      <c r="V1302" s="1439"/>
      <c r="W1302" s="1439"/>
      <c r="X1302" s="1439"/>
      <c r="Y1302" s="1439"/>
      <c r="Z1302" s="1439"/>
      <c r="AA1302" s="1439"/>
      <c r="AB1302" s="1439"/>
      <c r="AC1302" s="1439"/>
      <c r="AD1302" s="1439"/>
      <c r="AE1302" s="1439"/>
      <c r="AF1302" s="1439"/>
      <c r="AG1302" s="1439"/>
    </row>
    <row r="1303" spans="1:33" ht="15.75" customHeight="1">
      <c r="A1303" s="1470"/>
      <c r="B1303" s="1474" t="s">
        <v>6868</v>
      </c>
      <c r="C1303" s="1484">
        <f>Joineries!E23</f>
        <v>3</v>
      </c>
      <c r="D1303" s="1484" t="s">
        <v>3364</v>
      </c>
      <c r="E1303" s="1484">
        <v>1</v>
      </c>
      <c r="F1303" s="1446"/>
      <c r="G1303" s="1446"/>
      <c r="H1303" s="1447"/>
      <c r="I1303" s="1448">
        <f t="shared" ref="I1303:I1308" si="68">PRODUCT(C1303:H1303)</f>
        <v>3</v>
      </c>
      <c r="J1303" s="1475"/>
      <c r="K1303" s="1439"/>
      <c r="L1303" s="1439">
        <v>1</v>
      </c>
      <c r="M1303" s="1439"/>
      <c r="N1303" s="1439"/>
      <c r="O1303" s="1439"/>
      <c r="P1303" s="1439"/>
      <c r="Q1303" s="1439"/>
      <c r="R1303" s="1439"/>
      <c r="S1303" s="1439"/>
      <c r="T1303" s="1439"/>
      <c r="U1303" s="1439"/>
      <c r="V1303" s="1439"/>
      <c r="W1303" s="1439"/>
      <c r="X1303" s="1439"/>
      <c r="Y1303" s="1439"/>
      <c r="Z1303" s="1439"/>
      <c r="AA1303" s="1439"/>
      <c r="AB1303" s="1439"/>
      <c r="AC1303" s="1439"/>
      <c r="AD1303" s="1439"/>
      <c r="AE1303" s="1439"/>
      <c r="AF1303" s="1439"/>
      <c r="AG1303" s="1439"/>
    </row>
    <row r="1304" spans="1:33" ht="15.75" customHeight="1">
      <c r="A1304" s="1470"/>
      <c r="B1304" s="1474" t="s">
        <v>7206</v>
      </c>
      <c r="C1304" s="1484">
        <f>Joineries!F23</f>
        <v>6</v>
      </c>
      <c r="D1304" s="1484" t="s">
        <v>3364</v>
      </c>
      <c r="E1304" s="1484">
        <v>1</v>
      </c>
      <c r="F1304" s="1446"/>
      <c r="G1304" s="1446"/>
      <c r="H1304" s="1447"/>
      <c r="I1304" s="1448">
        <f t="shared" si="68"/>
        <v>6</v>
      </c>
      <c r="J1304" s="1475"/>
      <c r="K1304" s="1439"/>
      <c r="L1304" s="1439"/>
      <c r="M1304" s="1439"/>
      <c r="N1304" s="1439"/>
      <c r="O1304" s="1439"/>
      <c r="P1304" s="1439"/>
      <c r="Q1304" s="1439"/>
      <c r="R1304" s="1439"/>
      <c r="S1304" s="1439"/>
      <c r="T1304" s="1439"/>
      <c r="U1304" s="1439"/>
      <c r="V1304" s="1439"/>
      <c r="W1304" s="1439"/>
      <c r="X1304" s="1439"/>
      <c r="Y1304" s="1439"/>
      <c r="Z1304" s="1439"/>
      <c r="AA1304" s="1439"/>
      <c r="AB1304" s="1439"/>
      <c r="AC1304" s="1439"/>
      <c r="AD1304" s="1439"/>
      <c r="AE1304" s="1439"/>
      <c r="AF1304" s="1439"/>
      <c r="AG1304" s="1439"/>
    </row>
    <row r="1305" spans="1:33" ht="15.75" customHeight="1">
      <c r="A1305" s="1470"/>
      <c r="B1305" s="1474" t="s">
        <v>7207</v>
      </c>
      <c r="C1305" s="1484">
        <f>Joineries!G23</f>
        <v>15</v>
      </c>
      <c r="D1305" s="1484" t="s">
        <v>3364</v>
      </c>
      <c r="E1305" s="1484">
        <v>1</v>
      </c>
      <c r="F1305" s="1446"/>
      <c r="G1305" s="1446"/>
      <c r="H1305" s="1447"/>
      <c r="I1305" s="1448">
        <f t="shared" si="68"/>
        <v>15</v>
      </c>
      <c r="J1305" s="1475"/>
      <c r="K1305" s="1439"/>
      <c r="L1305" s="1439">
        <v>1</v>
      </c>
      <c r="M1305" s="1439"/>
      <c r="N1305" s="1439"/>
      <c r="O1305" s="1439"/>
      <c r="P1305" s="1439"/>
      <c r="Q1305" s="1439"/>
      <c r="R1305" s="1439"/>
      <c r="S1305" s="1439"/>
      <c r="T1305" s="1439"/>
      <c r="U1305" s="1439"/>
      <c r="V1305" s="1439"/>
      <c r="W1305" s="1439"/>
      <c r="X1305" s="1439"/>
      <c r="Y1305" s="1439"/>
      <c r="Z1305" s="1439"/>
      <c r="AA1305" s="1439"/>
      <c r="AB1305" s="1439"/>
      <c r="AC1305" s="1439"/>
      <c r="AD1305" s="1439"/>
      <c r="AE1305" s="1439"/>
      <c r="AF1305" s="1439"/>
      <c r="AG1305" s="1439"/>
    </row>
    <row r="1306" spans="1:33" ht="15.75" customHeight="1">
      <c r="A1306" s="1470"/>
      <c r="B1306" s="1474" t="s">
        <v>7208</v>
      </c>
      <c r="C1306" s="1484">
        <f>Joineries!H23</f>
        <v>14</v>
      </c>
      <c r="D1306" s="1484" t="s">
        <v>3364</v>
      </c>
      <c r="E1306" s="1484">
        <v>1</v>
      </c>
      <c r="F1306" s="1446"/>
      <c r="G1306" s="1446"/>
      <c r="H1306" s="1447"/>
      <c r="I1306" s="1448">
        <f t="shared" si="68"/>
        <v>14</v>
      </c>
      <c r="J1306" s="1475"/>
      <c r="K1306" s="1439"/>
      <c r="L1306" s="1439"/>
      <c r="M1306" s="1439"/>
      <c r="N1306" s="1439"/>
      <c r="O1306" s="1439"/>
      <c r="P1306" s="1439"/>
      <c r="Q1306" s="1439"/>
      <c r="R1306" s="1439"/>
      <c r="S1306" s="1439"/>
      <c r="T1306" s="1439"/>
      <c r="U1306" s="1439"/>
      <c r="V1306" s="1439"/>
      <c r="W1306" s="1439"/>
      <c r="X1306" s="1439"/>
      <c r="Y1306" s="1439"/>
      <c r="Z1306" s="1439"/>
      <c r="AA1306" s="1439"/>
      <c r="AB1306" s="1439"/>
      <c r="AC1306" s="1439"/>
      <c r="AD1306" s="1439"/>
      <c r="AE1306" s="1439"/>
      <c r="AF1306" s="1439"/>
      <c r="AG1306" s="1439"/>
    </row>
    <row r="1307" spans="1:33" ht="15.75" customHeight="1">
      <c r="A1307" s="1470"/>
      <c r="B1307" s="1474" t="s">
        <v>7206</v>
      </c>
      <c r="C1307" s="1484">
        <f>Joineries!I23</f>
        <v>10</v>
      </c>
      <c r="D1307" s="1484" t="s">
        <v>3364</v>
      </c>
      <c r="E1307" s="1484">
        <v>1</v>
      </c>
      <c r="F1307" s="1446"/>
      <c r="G1307" s="1446"/>
      <c r="H1307" s="1447"/>
      <c r="I1307" s="1448">
        <f t="shared" si="68"/>
        <v>10</v>
      </c>
      <c r="J1307" s="1475"/>
      <c r="K1307" s="1439"/>
      <c r="L1307" s="1439"/>
      <c r="M1307" s="1439"/>
      <c r="N1307" s="1439"/>
      <c r="O1307" s="1439"/>
      <c r="P1307" s="1439"/>
      <c r="Q1307" s="1439"/>
      <c r="R1307" s="1439"/>
      <c r="S1307" s="1439"/>
      <c r="T1307" s="1439"/>
      <c r="U1307" s="1439"/>
      <c r="V1307" s="1439"/>
      <c r="W1307" s="1439"/>
      <c r="X1307" s="1439"/>
      <c r="Y1307" s="1439"/>
      <c r="Z1307" s="1439"/>
      <c r="AA1307" s="1439"/>
      <c r="AB1307" s="1439"/>
      <c r="AC1307" s="1439"/>
      <c r="AD1307" s="1439"/>
      <c r="AE1307" s="1439"/>
      <c r="AF1307" s="1439"/>
      <c r="AG1307" s="1439"/>
    </row>
    <row r="1308" spans="1:33" ht="15.75" customHeight="1">
      <c r="A1308" s="1470"/>
      <c r="B1308" s="1499" t="s">
        <v>7543</v>
      </c>
      <c r="C1308" s="1484">
        <v>1</v>
      </c>
      <c r="D1308" s="1484" t="s">
        <v>3364</v>
      </c>
      <c r="E1308" s="1484">
        <v>1</v>
      </c>
      <c r="F1308" s="1446"/>
      <c r="G1308" s="1446"/>
      <c r="H1308" s="1447"/>
      <c r="I1308" s="1448">
        <f t="shared" si="68"/>
        <v>1</v>
      </c>
      <c r="J1308" s="1475"/>
      <c r="K1308" s="1439"/>
      <c r="L1308" s="1439"/>
      <c r="M1308" s="1439"/>
      <c r="N1308" s="1439"/>
      <c r="O1308" s="1439"/>
      <c r="P1308" s="1439"/>
      <c r="Q1308" s="1439"/>
      <c r="R1308" s="1439"/>
      <c r="S1308" s="1439"/>
      <c r="T1308" s="1439"/>
      <c r="U1308" s="1439"/>
      <c r="V1308" s="1439"/>
      <c r="W1308" s="1439"/>
      <c r="X1308" s="1439"/>
      <c r="Y1308" s="1439"/>
      <c r="Z1308" s="1439"/>
      <c r="AA1308" s="1439"/>
      <c r="AB1308" s="1439"/>
      <c r="AC1308" s="1439"/>
      <c r="AD1308" s="1439"/>
      <c r="AE1308" s="1439"/>
      <c r="AF1308" s="1439"/>
      <c r="AG1308" s="1439"/>
    </row>
    <row r="1309" spans="1:33" ht="15.75" customHeight="1">
      <c r="A1309" s="1470"/>
      <c r="B1309" s="1450"/>
      <c r="C1309" s="1484"/>
      <c r="D1309" s="1484"/>
      <c r="E1309" s="1484"/>
      <c r="F1309" s="1446"/>
      <c r="G1309" s="1446"/>
      <c r="H1309" s="1460" t="s">
        <v>104</v>
      </c>
      <c r="I1309" s="1459">
        <f>SUM(I1303:I1308)</f>
        <v>49</v>
      </c>
      <c r="J1309" s="1475" t="s">
        <v>3471</v>
      </c>
      <c r="K1309" s="1439"/>
      <c r="L1309" s="1439"/>
      <c r="M1309" s="1439"/>
      <c r="N1309" s="1439"/>
      <c r="O1309" s="1439"/>
      <c r="P1309" s="1439"/>
      <c r="Q1309" s="1439"/>
      <c r="R1309" s="1439"/>
      <c r="S1309" s="1439"/>
      <c r="T1309" s="1439"/>
      <c r="U1309" s="1439"/>
      <c r="V1309" s="1439"/>
      <c r="W1309" s="1439"/>
      <c r="X1309" s="1439"/>
      <c r="Y1309" s="1439"/>
      <c r="Z1309" s="1439"/>
      <c r="AA1309" s="1439"/>
      <c r="AB1309" s="1439"/>
      <c r="AC1309" s="1439"/>
      <c r="AD1309" s="1439"/>
      <c r="AE1309" s="1439"/>
      <c r="AF1309" s="1439"/>
      <c r="AG1309" s="1439"/>
    </row>
    <row r="1310" spans="1:33" ht="39" customHeight="1">
      <c r="A1310" s="1451" t="s">
        <v>3658</v>
      </c>
      <c r="B1310" s="1450" t="s">
        <v>3659</v>
      </c>
      <c r="C1310" s="1484"/>
      <c r="D1310" s="1484"/>
      <c r="E1310" s="1484"/>
      <c r="F1310" s="1446"/>
      <c r="G1310" s="1446"/>
      <c r="H1310" s="1447"/>
      <c r="I1310" s="1448"/>
      <c r="J1310" s="1475"/>
      <c r="K1310" s="1439"/>
      <c r="L1310" s="1439"/>
      <c r="M1310" s="1439"/>
      <c r="N1310" s="1439"/>
      <c r="O1310" s="1439"/>
      <c r="P1310" s="1439"/>
      <c r="Q1310" s="1439"/>
      <c r="R1310" s="1439"/>
      <c r="S1310" s="1439"/>
      <c r="T1310" s="1439"/>
      <c r="U1310" s="1439"/>
      <c r="V1310" s="1439"/>
      <c r="W1310" s="1439"/>
      <c r="X1310" s="1439"/>
      <c r="Y1310" s="1439"/>
      <c r="Z1310" s="1439"/>
      <c r="AA1310" s="1439"/>
      <c r="AB1310" s="1439"/>
      <c r="AC1310" s="1439"/>
      <c r="AD1310" s="1439"/>
      <c r="AE1310" s="1439"/>
      <c r="AF1310" s="1439"/>
      <c r="AG1310" s="1439"/>
    </row>
    <row r="1311" spans="1:33" ht="15.75" customHeight="1">
      <c r="A1311" s="1470"/>
      <c r="B1311" s="1474" t="s">
        <v>6868</v>
      </c>
      <c r="C1311" s="1484">
        <f>Joineries!E24</f>
        <v>2</v>
      </c>
      <c r="D1311" s="1484" t="s">
        <v>3364</v>
      </c>
      <c r="E1311" s="1484">
        <v>1</v>
      </c>
      <c r="F1311" s="1446"/>
      <c r="G1311" s="1446"/>
      <c r="H1311" s="1447"/>
      <c r="I1311" s="1448">
        <f t="shared" ref="I1311:I1316" si="69">PRODUCT(C1311:H1311)</f>
        <v>2</v>
      </c>
      <c r="J1311" s="1475"/>
      <c r="K1311" s="1439"/>
      <c r="L1311" s="1439">
        <v>1</v>
      </c>
      <c r="M1311" s="1439"/>
      <c r="N1311" s="1439"/>
      <c r="O1311" s="1439"/>
      <c r="P1311" s="1439"/>
      <c r="Q1311" s="1439"/>
      <c r="R1311" s="1439"/>
      <c r="S1311" s="1439"/>
      <c r="T1311" s="1439"/>
      <c r="U1311" s="1439"/>
      <c r="V1311" s="1439"/>
      <c r="W1311" s="1439"/>
      <c r="X1311" s="1439"/>
      <c r="Y1311" s="1439"/>
      <c r="Z1311" s="1439"/>
      <c r="AA1311" s="1439"/>
      <c r="AB1311" s="1439"/>
      <c r="AC1311" s="1439"/>
      <c r="AD1311" s="1439"/>
      <c r="AE1311" s="1439"/>
      <c r="AF1311" s="1439"/>
      <c r="AG1311" s="1439"/>
    </row>
    <row r="1312" spans="1:33" ht="15.75" customHeight="1">
      <c r="A1312" s="1470"/>
      <c r="B1312" s="1474" t="s">
        <v>7206</v>
      </c>
      <c r="C1312" s="1484">
        <f>Joineries!F24</f>
        <v>6</v>
      </c>
      <c r="D1312" s="1484" t="s">
        <v>3364</v>
      </c>
      <c r="E1312" s="1484">
        <v>1</v>
      </c>
      <c r="F1312" s="1446"/>
      <c r="G1312" s="1446"/>
      <c r="H1312" s="1447"/>
      <c r="I1312" s="1448">
        <f t="shared" si="69"/>
        <v>6</v>
      </c>
      <c r="J1312" s="1475"/>
      <c r="K1312" s="1439"/>
      <c r="L1312" s="1439"/>
      <c r="M1312" s="1439"/>
      <c r="N1312" s="1439"/>
      <c r="O1312" s="1439"/>
      <c r="P1312" s="1439"/>
      <c r="Q1312" s="1439"/>
      <c r="R1312" s="1439"/>
      <c r="S1312" s="1439"/>
      <c r="T1312" s="1439"/>
      <c r="U1312" s="1439"/>
      <c r="V1312" s="1439"/>
      <c r="W1312" s="1439"/>
      <c r="X1312" s="1439"/>
      <c r="Y1312" s="1439"/>
      <c r="Z1312" s="1439"/>
      <c r="AA1312" s="1439"/>
      <c r="AB1312" s="1439"/>
      <c r="AC1312" s="1439"/>
      <c r="AD1312" s="1439"/>
      <c r="AE1312" s="1439"/>
      <c r="AF1312" s="1439"/>
      <c r="AG1312" s="1439"/>
    </row>
    <row r="1313" spans="1:33" ht="15.75" customHeight="1">
      <c r="A1313" s="1470"/>
      <c r="B1313" s="1474" t="s">
        <v>7207</v>
      </c>
      <c r="C1313" s="1484">
        <f>Joineries!G24</f>
        <v>14</v>
      </c>
      <c r="D1313" s="1484" t="s">
        <v>3364</v>
      </c>
      <c r="E1313" s="1484">
        <v>1</v>
      </c>
      <c r="F1313" s="1446"/>
      <c r="G1313" s="1446"/>
      <c r="H1313" s="1447"/>
      <c r="I1313" s="1448">
        <f t="shared" si="69"/>
        <v>14</v>
      </c>
      <c r="J1313" s="1475"/>
      <c r="K1313" s="1439"/>
      <c r="L1313" s="1439">
        <v>1</v>
      </c>
      <c r="M1313" s="1439"/>
      <c r="N1313" s="1439"/>
      <c r="O1313" s="1439"/>
      <c r="P1313" s="1439"/>
      <c r="Q1313" s="1439"/>
      <c r="R1313" s="1439"/>
      <c r="S1313" s="1439"/>
      <c r="T1313" s="1439"/>
      <c r="U1313" s="1439"/>
      <c r="V1313" s="1439"/>
      <c r="W1313" s="1439"/>
      <c r="X1313" s="1439"/>
      <c r="Y1313" s="1439"/>
      <c r="Z1313" s="1439"/>
      <c r="AA1313" s="1439"/>
      <c r="AB1313" s="1439"/>
      <c r="AC1313" s="1439"/>
      <c r="AD1313" s="1439"/>
      <c r="AE1313" s="1439"/>
      <c r="AF1313" s="1439"/>
      <c r="AG1313" s="1439"/>
    </row>
    <row r="1314" spans="1:33" ht="15.75" customHeight="1">
      <c r="A1314" s="1470"/>
      <c r="B1314" s="1474" t="s">
        <v>7208</v>
      </c>
      <c r="C1314" s="1484">
        <f>Joineries!H24</f>
        <v>13</v>
      </c>
      <c r="D1314" s="1484" t="s">
        <v>3364</v>
      </c>
      <c r="E1314" s="1484">
        <v>1</v>
      </c>
      <c r="F1314" s="1446"/>
      <c r="G1314" s="1446"/>
      <c r="H1314" s="1447"/>
      <c r="I1314" s="1448">
        <f t="shared" si="69"/>
        <v>13</v>
      </c>
      <c r="J1314" s="1475"/>
      <c r="K1314" s="1439"/>
      <c r="L1314" s="1439"/>
      <c r="M1314" s="1439"/>
      <c r="N1314" s="1439"/>
      <c r="O1314" s="1439"/>
      <c r="P1314" s="1439"/>
      <c r="Q1314" s="1439"/>
      <c r="R1314" s="1439"/>
      <c r="S1314" s="1439"/>
      <c r="T1314" s="1439"/>
      <c r="U1314" s="1439"/>
      <c r="V1314" s="1439"/>
      <c r="W1314" s="1439"/>
      <c r="X1314" s="1439"/>
      <c r="Y1314" s="1439"/>
      <c r="Z1314" s="1439"/>
      <c r="AA1314" s="1439"/>
      <c r="AB1314" s="1439"/>
      <c r="AC1314" s="1439"/>
      <c r="AD1314" s="1439"/>
      <c r="AE1314" s="1439"/>
      <c r="AF1314" s="1439"/>
      <c r="AG1314" s="1439"/>
    </row>
    <row r="1315" spans="1:33" ht="15.75" customHeight="1">
      <c r="A1315" s="1470"/>
      <c r="B1315" s="1474" t="s">
        <v>7206</v>
      </c>
      <c r="C1315" s="1484">
        <f>Joineries!I24</f>
        <v>9</v>
      </c>
      <c r="D1315" s="1484" t="s">
        <v>3364</v>
      </c>
      <c r="E1315" s="1484">
        <v>1</v>
      </c>
      <c r="F1315" s="1446"/>
      <c r="G1315" s="1446"/>
      <c r="H1315" s="1447"/>
      <c r="I1315" s="1448">
        <f t="shared" si="69"/>
        <v>9</v>
      </c>
      <c r="J1315" s="1475"/>
      <c r="K1315" s="1439"/>
      <c r="L1315" s="1439"/>
      <c r="M1315" s="1439"/>
      <c r="N1315" s="1439"/>
      <c r="O1315" s="1439"/>
      <c r="P1315" s="1439"/>
      <c r="Q1315" s="1439"/>
      <c r="R1315" s="1439"/>
      <c r="S1315" s="1439"/>
      <c r="T1315" s="1439"/>
      <c r="U1315" s="1439"/>
      <c r="V1315" s="1439"/>
      <c r="W1315" s="1439"/>
      <c r="X1315" s="1439"/>
      <c r="Y1315" s="1439"/>
      <c r="Z1315" s="1439"/>
      <c r="AA1315" s="1439"/>
      <c r="AB1315" s="1439"/>
      <c r="AC1315" s="1439"/>
      <c r="AD1315" s="1439"/>
      <c r="AE1315" s="1439"/>
      <c r="AF1315" s="1439"/>
      <c r="AG1315" s="1439"/>
    </row>
    <row r="1316" spans="1:33" ht="15.75" customHeight="1">
      <c r="A1316" s="1470"/>
      <c r="B1316" s="1499" t="s">
        <v>7543</v>
      </c>
      <c r="C1316" s="1484">
        <v>1</v>
      </c>
      <c r="D1316" s="1484" t="s">
        <v>3364</v>
      </c>
      <c r="E1316" s="1484">
        <v>1</v>
      </c>
      <c r="F1316" s="1446"/>
      <c r="G1316" s="1446"/>
      <c r="H1316" s="1447"/>
      <c r="I1316" s="1448">
        <f t="shared" si="69"/>
        <v>1</v>
      </c>
      <c r="J1316" s="1475"/>
      <c r="K1316" s="1439"/>
      <c r="L1316" s="1439"/>
      <c r="M1316" s="1439"/>
      <c r="N1316" s="1439"/>
      <c r="O1316" s="1439"/>
      <c r="P1316" s="1439"/>
      <c r="Q1316" s="1439"/>
      <c r="R1316" s="1439"/>
      <c r="S1316" s="1439"/>
      <c r="T1316" s="1439"/>
      <c r="U1316" s="1439"/>
      <c r="V1316" s="1439"/>
      <c r="W1316" s="1439"/>
      <c r="X1316" s="1439"/>
      <c r="Y1316" s="1439"/>
      <c r="Z1316" s="1439"/>
      <c r="AA1316" s="1439"/>
      <c r="AB1316" s="1439"/>
      <c r="AC1316" s="1439"/>
      <c r="AD1316" s="1439"/>
      <c r="AE1316" s="1439"/>
      <c r="AF1316" s="1439"/>
      <c r="AG1316" s="1439"/>
    </row>
    <row r="1317" spans="1:33" ht="15.75" customHeight="1">
      <c r="A1317" s="1470"/>
      <c r="B1317" s="1450"/>
      <c r="C1317" s="1484"/>
      <c r="D1317" s="1484"/>
      <c r="E1317" s="1484"/>
      <c r="F1317" s="1446"/>
      <c r="G1317" s="1446"/>
      <c r="H1317" s="1460" t="s">
        <v>104</v>
      </c>
      <c r="I1317" s="1459">
        <f>SUM(I1311:I1316)</f>
        <v>45</v>
      </c>
      <c r="J1317" s="1475" t="s">
        <v>3471</v>
      </c>
      <c r="K1317" s="1439"/>
      <c r="L1317" s="1439"/>
      <c r="M1317" s="1439"/>
      <c r="N1317" s="1439"/>
      <c r="O1317" s="1439"/>
      <c r="P1317" s="1439"/>
      <c r="Q1317" s="1439"/>
      <c r="R1317" s="1439"/>
      <c r="S1317" s="1439"/>
      <c r="T1317" s="1439"/>
      <c r="U1317" s="1439"/>
      <c r="V1317" s="1439"/>
      <c r="W1317" s="1439"/>
      <c r="X1317" s="1439"/>
      <c r="Y1317" s="1439"/>
      <c r="Z1317" s="1439"/>
      <c r="AA1317" s="1439"/>
      <c r="AB1317" s="1439"/>
      <c r="AC1317" s="1439"/>
      <c r="AD1317" s="1439"/>
      <c r="AE1317" s="1439"/>
      <c r="AF1317" s="1439"/>
      <c r="AG1317" s="1439"/>
    </row>
    <row r="1318" spans="1:33" ht="31.5">
      <c r="A1318" s="1451">
        <v>57.1</v>
      </c>
      <c r="B1318" s="1456" t="s">
        <v>3660</v>
      </c>
      <c r="C1318" s="1484"/>
      <c r="D1318" s="1484"/>
      <c r="E1318" s="1484"/>
      <c r="F1318" s="1446"/>
      <c r="G1318" s="1446"/>
      <c r="H1318" s="1447"/>
      <c r="I1318" s="1448"/>
      <c r="J1318" s="1525"/>
      <c r="K1318" s="1439"/>
      <c r="L1318" s="1439"/>
      <c r="M1318" s="1439"/>
      <c r="N1318" s="1439"/>
      <c r="O1318" s="1439"/>
      <c r="P1318" s="1439"/>
      <c r="Q1318" s="1439"/>
      <c r="R1318" s="1439"/>
      <c r="S1318" s="1439"/>
      <c r="T1318" s="1439"/>
      <c r="U1318" s="1439"/>
      <c r="V1318" s="1439"/>
      <c r="W1318" s="1439"/>
      <c r="X1318" s="1439"/>
      <c r="Y1318" s="1439"/>
      <c r="Z1318" s="1439"/>
      <c r="AA1318" s="1439"/>
      <c r="AB1318" s="1439"/>
      <c r="AC1318" s="1439"/>
      <c r="AD1318" s="1439"/>
      <c r="AE1318" s="1439"/>
      <c r="AF1318" s="1439"/>
      <c r="AG1318" s="1439"/>
    </row>
    <row r="1319" spans="1:33" ht="15.75" customHeight="1">
      <c r="A1319" s="1470"/>
      <c r="B1319" s="1474" t="s">
        <v>7206</v>
      </c>
      <c r="C1319" s="1484">
        <v>1</v>
      </c>
      <c r="D1319" s="1484" t="s">
        <v>3364</v>
      </c>
      <c r="E1319" s="1484">
        <f>Joineries!F19</f>
        <v>4</v>
      </c>
      <c r="F1319" s="1446"/>
      <c r="G1319" s="1446"/>
      <c r="H1319" s="1447"/>
      <c r="I1319" s="1448">
        <f>PRODUCT(C1319:H1319)</f>
        <v>4</v>
      </c>
      <c r="J1319" s="1475"/>
      <c r="K1319" s="1439"/>
      <c r="L1319" s="1439"/>
      <c r="M1319" s="1439"/>
      <c r="N1319" s="1439"/>
      <c r="O1319" s="1439"/>
      <c r="P1319" s="1439"/>
      <c r="Q1319" s="1439"/>
      <c r="R1319" s="1439"/>
      <c r="S1319" s="1439"/>
      <c r="T1319" s="1439"/>
      <c r="U1319" s="1439"/>
      <c r="V1319" s="1439"/>
      <c r="W1319" s="1439"/>
      <c r="X1319" s="1439"/>
      <c r="Y1319" s="1439"/>
      <c r="Z1319" s="1439"/>
      <c r="AA1319" s="1439"/>
      <c r="AB1319" s="1439"/>
      <c r="AC1319" s="1439"/>
      <c r="AD1319" s="1439"/>
      <c r="AE1319" s="1439"/>
      <c r="AF1319" s="1439"/>
      <c r="AG1319" s="1439"/>
    </row>
    <row r="1320" spans="1:33" ht="15.75" customHeight="1">
      <c r="A1320" s="1470"/>
      <c r="B1320" s="1474" t="s">
        <v>7207</v>
      </c>
      <c r="C1320" s="1484">
        <v>1</v>
      </c>
      <c r="D1320" s="1484" t="s">
        <v>3364</v>
      </c>
      <c r="E1320" s="1484">
        <f>Joineries!G19</f>
        <v>9</v>
      </c>
      <c r="F1320" s="1446"/>
      <c r="G1320" s="1446"/>
      <c r="H1320" s="1447"/>
      <c r="I1320" s="1448">
        <f>PRODUCT(C1320:H1320)</f>
        <v>9</v>
      </c>
      <c r="J1320" s="1475"/>
      <c r="K1320" s="1439"/>
      <c r="L1320" s="1439">
        <v>1</v>
      </c>
      <c r="M1320" s="1439"/>
      <c r="N1320" s="1439"/>
      <c r="O1320" s="1439"/>
      <c r="P1320" s="1439"/>
      <c r="Q1320" s="1439"/>
      <c r="R1320" s="1439"/>
      <c r="S1320" s="1439"/>
      <c r="T1320" s="1439"/>
      <c r="U1320" s="1439"/>
      <c r="V1320" s="1439"/>
      <c r="W1320" s="1439"/>
      <c r="X1320" s="1439"/>
      <c r="Y1320" s="1439"/>
      <c r="Z1320" s="1439"/>
      <c r="AA1320" s="1439"/>
      <c r="AB1320" s="1439"/>
      <c r="AC1320" s="1439"/>
      <c r="AD1320" s="1439"/>
      <c r="AE1320" s="1439"/>
      <c r="AF1320" s="1439"/>
      <c r="AG1320" s="1439"/>
    </row>
    <row r="1321" spans="1:33" ht="15.75" customHeight="1">
      <c r="A1321" s="1470"/>
      <c r="B1321" s="1474" t="s">
        <v>7208</v>
      </c>
      <c r="C1321" s="1484">
        <v>1</v>
      </c>
      <c r="D1321" s="1484" t="s">
        <v>3364</v>
      </c>
      <c r="E1321" s="1484">
        <v>6</v>
      </c>
      <c r="F1321" s="1446"/>
      <c r="G1321" s="1446"/>
      <c r="H1321" s="1447"/>
      <c r="I1321" s="1448">
        <f>PRODUCT(C1321:H1321)</f>
        <v>6</v>
      </c>
      <c r="J1321" s="1475"/>
      <c r="K1321" s="1439"/>
      <c r="L1321" s="1439"/>
      <c r="M1321" s="1439"/>
      <c r="N1321" s="1439"/>
      <c r="O1321" s="1439"/>
      <c r="P1321" s="1439"/>
      <c r="Q1321" s="1439"/>
      <c r="R1321" s="1439"/>
      <c r="S1321" s="1439"/>
      <c r="T1321" s="1439"/>
      <c r="U1321" s="1439"/>
      <c r="V1321" s="1439"/>
      <c r="W1321" s="1439"/>
      <c r="X1321" s="1439"/>
      <c r="Y1321" s="1439"/>
      <c r="Z1321" s="1439"/>
      <c r="AA1321" s="1439"/>
      <c r="AB1321" s="1439"/>
      <c r="AC1321" s="1439"/>
      <c r="AD1321" s="1439"/>
      <c r="AE1321" s="1439"/>
      <c r="AF1321" s="1439"/>
      <c r="AG1321" s="1439"/>
    </row>
    <row r="1322" spans="1:33" ht="15.75" customHeight="1">
      <c r="A1322" s="1470"/>
      <c r="B1322" s="1499" t="s">
        <v>7206</v>
      </c>
      <c r="C1322" s="1484">
        <v>1</v>
      </c>
      <c r="D1322" s="1484" t="s">
        <v>3364</v>
      </c>
      <c r="E1322" s="1484">
        <f>Joineries!I19</f>
        <v>3</v>
      </c>
      <c r="F1322" s="1446"/>
      <c r="G1322" s="1446"/>
      <c r="H1322" s="1447"/>
      <c r="I1322" s="1448">
        <f>PRODUCT(C1322:H1322)</f>
        <v>3</v>
      </c>
      <c r="J1322" s="1475"/>
      <c r="K1322" s="1439"/>
      <c r="L1322" s="1439"/>
      <c r="M1322" s="1439"/>
      <c r="N1322" s="1439"/>
      <c r="O1322" s="1439"/>
      <c r="P1322" s="1439"/>
      <c r="Q1322" s="1439"/>
      <c r="R1322" s="1439"/>
      <c r="S1322" s="1439"/>
      <c r="T1322" s="1439"/>
      <c r="U1322" s="1439"/>
      <c r="V1322" s="1439"/>
      <c r="W1322" s="1439"/>
      <c r="X1322" s="1439"/>
      <c r="Y1322" s="1439"/>
      <c r="Z1322" s="1439"/>
      <c r="AA1322" s="1439"/>
      <c r="AB1322" s="1439"/>
      <c r="AC1322" s="1439"/>
      <c r="AD1322" s="1439"/>
      <c r="AE1322" s="1439"/>
      <c r="AF1322" s="1439"/>
      <c r="AG1322" s="1439"/>
    </row>
    <row r="1323" spans="1:33" ht="15.75" customHeight="1">
      <c r="A1323" s="1470"/>
      <c r="B1323" s="1450"/>
      <c r="C1323" s="1484"/>
      <c r="D1323" s="1484"/>
      <c r="E1323" s="1484"/>
      <c r="F1323" s="1446"/>
      <c r="G1323" s="1446"/>
      <c r="H1323" s="1460" t="s">
        <v>2981</v>
      </c>
      <c r="I1323" s="1459">
        <f>SUM(I1319:I1322)</f>
        <v>22</v>
      </c>
      <c r="J1323" s="1475" t="s">
        <v>3471</v>
      </c>
      <c r="K1323" s="1439"/>
      <c r="L1323" s="1439"/>
      <c r="M1323" s="1439"/>
      <c r="N1323" s="1439"/>
      <c r="O1323" s="1439"/>
      <c r="P1323" s="1439"/>
      <c r="Q1323" s="1439"/>
      <c r="R1323" s="1439"/>
      <c r="S1323" s="1439"/>
      <c r="T1323" s="1439"/>
      <c r="U1323" s="1439"/>
      <c r="V1323" s="1439"/>
      <c r="W1323" s="1439"/>
      <c r="X1323" s="1439"/>
      <c r="Y1323" s="1439"/>
      <c r="Z1323" s="1439"/>
      <c r="AA1323" s="1439"/>
      <c r="AB1323" s="1439"/>
      <c r="AC1323" s="1439"/>
      <c r="AD1323" s="1439"/>
      <c r="AE1323" s="1439"/>
      <c r="AF1323" s="1439"/>
      <c r="AG1323" s="1439"/>
    </row>
    <row r="1324" spans="1:33" ht="220.5">
      <c r="A1324" s="1470">
        <v>59.5</v>
      </c>
      <c r="B1324" s="1462" t="s">
        <v>7210</v>
      </c>
      <c r="C1324" s="1484"/>
      <c r="D1324" s="1484"/>
      <c r="E1324" s="1484"/>
      <c r="F1324" s="1446"/>
      <c r="G1324" s="1446"/>
      <c r="H1324" s="1447"/>
      <c r="I1324" s="1448"/>
      <c r="J1324" s="1475"/>
      <c r="K1324" s="1439"/>
      <c r="L1324" s="1439"/>
      <c r="M1324" s="1439"/>
      <c r="N1324" s="1439"/>
      <c r="O1324" s="1439"/>
      <c r="P1324" s="1439"/>
      <c r="Q1324" s="1439"/>
      <c r="R1324" s="1439"/>
      <c r="S1324" s="1439"/>
      <c r="T1324" s="1439"/>
      <c r="U1324" s="1439"/>
      <c r="V1324" s="1439"/>
      <c r="W1324" s="1439"/>
      <c r="X1324" s="1439"/>
      <c r="Y1324" s="1439"/>
      <c r="Z1324" s="1439"/>
      <c r="AA1324" s="1439"/>
      <c r="AB1324" s="1439"/>
      <c r="AC1324" s="1439"/>
      <c r="AD1324" s="1439"/>
      <c r="AE1324" s="1439"/>
      <c r="AF1324" s="1439"/>
      <c r="AG1324" s="1439"/>
    </row>
    <row r="1325" spans="1:33" ht="15.75" customHeight="1">
      <c r="A1325" s="1451"/>
      <c r="B1325" s="1462" t="s">
        <v>7211</v>
      </c>
      <c r="C1325" s="1477">
        <v>1</v>
      </c>
      <c r="D1325" s="1477" t="s">
        <v>3364</v>
      </c>
      <c r="E1325" s="1477">
        <v>47</v>
      </c>
      <c r="F1325" s="1478"/>
      <c r="G1325" s="1478"/>
      <c r="H1325" s="1500"/>
      <c r="I1325" s="1494">
        <f>PRODUCT(C1325:H1325)</f>
        <v>47</v>
      </c>
      <c r="J1325" s="1501"/>
      <c r="K1325" s="1439"/>
      <c r="L1325" s="1439"/>
      <c r="M1325" s="1439"/>
      <c r="N1325" s="1439"/>
      <c r="O1325" s="1439"/>
      <c r="P1325" s="1439"/>
      <c r="Q1325" s="1439"/>
      <c r="R1325" s="1439"/>
      <c r="S1325" s="1439"/>
      <c r="T1325" s="1439"/>
      <c r="U1325" s="1439"/>
      <c r="V1325" s="1439"/>
      <c r="W1325" s="1439"/>
      <c r="X1325" s="1439"/>
      <c r="Y1325" s="1439"/>
      <c r="Z1325" s="1439"/>
      <c r="AA1325" s="1439"/>
      <c r="AB1325" s="1439"/>
      <c r="AC1325" s="1439"/>
      <c r="AD1325" s="1439"/>
      <c r="AE1325" s="1439"/>
      <c r="AF1325" s="1439"/>
      <c r="AG1325" s="1439"/>
    </row>
    <row r="1326" spans="1:33" ht="15.75" customHeight="1">
      <c r="A1326" s="1451"/>
      <c r="B1326" s="1462" t="s">
        <v>7212</v>
      </c>
      <c r="C1326" s="1477">
        <v>1</v>
      </c>
      <c r="D1326" s="1477" t="s">
        <v>3364</v>
      </c>
      <c r="E1326" s="1477">
        <v>10</v>
      </c>
      <c r="F1326" s="1478"/>
      <c r="G1326" s="1478"/>
      <c r="H1326" s="1500"/>
      <c r="I1326" s="1494">
        <f>PRODUCT(C1326:H1326)</f>
        <v>10</v>
      </c>
      <c r="J1326" s="1501"/>
      <c r="K1326" s="1439"/>
      <c r="L1326" s="1439"/>
      <c r="M1326" s="1439"/>
      <c r="N1326" s="1439"/>
      <c r="O1326" s="1439"/>
      <c r="P1326" s="1439"/>
      <c r="Q1326" s="1439"/>
      <c r="R1326" s="1439"/>
      <c r="S1326" s="1439"/>
      <c r="T1326" s="1439"/>
      <c r="U1326" s="1439"/>
      <c r="V1326" s="1439"/>
      <c r="W1326" s="1439"/>
      <c r="X1326" s="1439"/>
      <c r="Y1326" s="1439"/>
      <c r="Z1326" s="1439"/>
      <c r="AA1326" s="1439"/>
      <c r="AB1326" s="1439"/>
      <c r="AC1326" s="1439"/>
      <c r="AD1326" s="1439"/>
      <c r="AE1326" s="1439"/>
      <c r="AF1326" s="1439"/>
      <c r="AG1326" s="1439"/>
    </row>
    <row r="1327" spans="1:33" ht="15.75" customHeight="1">
      <c r="A1327" s="1451"/>
      <c r="B1327" s="1462"/>
      <c r="C1327" s="1477"/>
      <c r="D1327" s="1477"/>
      <c r="E1327" s="1477"/>
      <c r="F1327" s="1478"/>
      <c r="G1327" s="1478"/>
      <c r="H1327" s="1500"/>
      <c r="I1327" s="1459">
        <f>SUM(I1325:I1326)</f>
        <v>57</v>
      </c>
      <c r="J1327" s="1501" t="s">
        <v>41</v>
      </c>
      <c r="K1327" s="1439"/>
      <c r="L1327" s="1439"/>
      <c r="M1327" s="1439"/>
      <c r="N1327" s="1439"/>
      <c r="O1327" s="1439"/>
      <c r="P1327" s="1439"/>
      <c r="Q1327" s="1439"/>
      <c r="R1327" s="1439"/>
      <c r="S1327" s="1439"/>
      <c r="T1327" s="1439"/>
      <c r="U1327" s="1439"/>
      <c r="V1327" s="1439"/>
      <c r="W1327" s="1439"/>
      <c r="X1327" s="1439"/>
      <c r="Y1327" s="1439"/>
      <c r="Z1327" s="1439"/>
      <c r="AA1327" s="1439"/>
      <c r="AB1327" s="1439"/>
      <c r="AC1327" s="1439"/>
      <c r="AD1327" s="1439"/>
      <c r="AE1327" s="1439"/>
      <c r="AF1327" s="1439"/>
      <c r="AG1327" s="1439"/>
    </row>
    <row r="1328" spans="1:33" ht="47.25">
      <c r="A1328" s="1451">
        <v>60</v>
      </c>
      <c r="B1328" s="1462" t="s">
        <v>7213</v>
      </c>
      <c r="C1328" s="1484"/>
      <c r="D1328" s="1484"/>
      <c r="E1328" s="1484"/>
      <c r="F1328" s="1446"/>
      <c r="G1328" s="1446"/>
      <c r="H1328" s="1447"/>
      <c r="I1328" s="1448"/>
      <c r="J1328" s="1475"/>
      <c r="K1328" s="1439"/>
      <c r="L1328" s="1439"/>
      <c r="M1328" s="1439"/>
      <c r="N1328" s="1439"/>
      <c r="O1328" s="1439"/>
      <c r="P1328" s="1439"/>
      <c r="Q1328" s="1439"/>
      <c r="R1328" s="1439"/>
      <c r="S1328" s="1439"/>
      <c r="T1328" s="1439"/>
      <c r="U1328" s="1439"/>
      <c r="V1328" s="1439"/>
      <c r="W1328" s="1439"/>
      <c r="X1328" s="1439"/>
      <c r="Y1328" s="1439"/>
      <c r="Z1328" s="1439"/>
      <c r="AA1328" s="1439"/>
      <c r="AB1328" s="1439"/>
      <c r="AC1328" s="1439"/>
      <c r="AD1328" s="1439"/>
      <c r="AE1328" s="1439"/>
      <c r="AF1328" s="1439"/>
      <c r="AG1328" s="1439"/>
    </row>
    <row r="1329" spans="1:33" ht="15.75" customHeight="1">
      <c r="A1329" s="1470"/>
      <c r="B1329" s="1450" t="s">
        <v>7209</v>
      </c>
      <c r="C1329" s="1484">
        <v>3</v>
      </c>
      <c r="D1329" s="1484" t="s">
        <v>3364</v>
      </c>
      <c r="E1329" s="1484">
        <v>2</v>
      </c>
      <c r="F1329" s="1446"/>
      <c r="G1329" s="1446"/>
      <c r="H1329" s="1447"/>
      <c r="I1329" s="1494">
        <f>PRODUCT(C1329:H1329)</f>
        <v>6</v>
      </c>
      <c r="J1329" s="1525"/>
      <c r="K1329" s="1439"/>
      <c r="L1329" s="1439"/>
      <c r="M1329" s="1439"/>
      <c r="N1329" s="1439"/>
      <c r="O1329" s="1439"/>
      <c r="P1329" s="1439"/>
      <c r="Q1329" s="1439"/>
      <c r="R1329" s="1439"/>
      <c r="S1329" s="1439"/>
      <c r="T1329" s="1439"/>
      <c r="U1329" s="1439"/>
      <c r="V1329" s="1439"/>
      <c r="W1329" s="1439"/>
      <c r="X1329" s="1439"/>
      <c r="Y1329" s="1439"/>
      <c r="Z1329" s="1439"/>
      <c r="AA1329" s="1439"/>
      <c r="AB1329" s="1439"/>
      <c r="AC1329" s="1439"/>
      <c r="AD1329" s="1439"/>
      <c r="AE1329" s="1439"/>
      <c r="AF1329" s="1439"/>
      <c r="AG1329" s="1439"/>
    </row>
    <row r="1330" spans="1:33" ht="15.75" customHeight="1">
      <c r="A1330" s="1470"/>
      <c r="B1330" s="1474" t="s">
        <v>7206</v>
      </c>
      <c r="C1330" s="1484">
        <v>6</v>
      </c>
      <c r="D1330" s="1484" t="s">
        <v>3364</v>
      </c>
      <c r="E1330" s="1484">
        <v>2</v>
      </c>
      <c r="F1330" s="1446"/>
      <c r="G1330" s="1446"/>
      <c r="H1330" s="1447"/>
      <c r="I1330" s="1494">
        <f>PRODUCT(C1330:H1330)</f>
        <v>12</v>
      </c>
      <c r="J1330" s="1475"/>
      <c r="K1330" s="1439"/>
      <c r="L1330" s="1439"/>
      <c r="M1330" s="1439"/>
      <c r="N1330" s="1439"/>
      <c r="O1330" s="1439"/>
      <c r="P1330" s="1439"/>
      <c r="Q1330" s="1439"/>
      <c r="R1330" s="1439"/>
      <c r="S1330" s="1439"/>
      <c r="T1330" s="1439"/>
      <c r="U1330" s="1439"/>
      <c r="V1330" s="1439"/>
      <c r="W1330" s="1439"/>
      <c r="X1330" s="1439"/>
      <c r="Y1330" s="1439"/>
      <c r="Z1330" s="1439"/>
      <c r="AA1330" s="1439"/>
      <c r="AB1330" s="1439"/>
      <c r="AC1330" s="1439"/>
      <c r="AD1330" s="1439"/>
      <c r="AE1330" s="1439"/>
      <c r="AF1330" s="1439"/>
      <c r="AG1330" s="1439"/>
    </row>
    <row r="1331" spans="1:33" ht="15.75" customHeight="1">
      <c r="A1331" s="1470"/>
      <c r="B1331" s="1474" t="s">
        <v>7207</v>
      </c>
      <c r="C1331" s="1484">
        <v>15</v>
      </c>
      <c r="D1331" s="1484" t="s">
        <v>3364</v>
      </c>
      <c r="E1331" s="1484">
        <v>2</v>
      </c>
      <c r="F1331" s="1446"/>
      <c r="G1331" s="1446"/>
      <c r="H1331" s="1447"/>
      <c r="I1331" s="1494">
        <f>PRODUCT(C1331:H1331)</f>
        <v>30</v>
      </c>
      <c r="J1331" s="1475"/>
      <c r="K1331" s="1439"/>
      <c r="L1331" s="1439">
        <v>1</v>
      </c>
      <c r="M1331" s="1439"/>
      <c r="N1331" s="1439"/>
      <c r="O1331" s="1439"/>
      <c r="P1331" s="1439"/>
      <c r="Q1331" s="1439"/>
      <c r="R1331" s="1439"/>
      <c r="S1331" s="1439"/>
      <c r="T1331" s="1439"/>
      <c r="U1331" s="1439"/>
      <c r="V1331" s="1439"/>
      <c r="W1331" s="1439"/>
      <c r="X1331" s="1439"/>
      <c r="Y1331" s="1439"/>
      <c r="Z1331" s="1439"/>
      <c r="AA1331" s="1439"/>
      <c r="AB1331" s="1439"/>
      <c r="AC1331" s="1439"/>
      <c r="AD1331" s="1439"/>
      <c r="AE1331" s="1439"/>
      <c r="AF1331" s="1439"/>
      <c r="AG1331" s="1439"/>
    </row>
    <row r="1332" spans="1:33" ht="15.75" customHeight="1">
      <c r="A1332" s="1470"/>
      <c r="B1332" s="1499" t="s">
        <v>7544</v>
      </c>
      <c r="C1332" s="1484">
        <v>14</v>
      </c>
      <c r="D1332" s="1484" t="s">
        <v>3364</v>
      </c>
      <c r="E1332" s="1484">
        <v>2</v>
      </c>
      <c r="F1332" s="1446"/>
      <c r="G1332" s="1446"/>
      <c r="H1332" s="1447"/>
      <c r="I1332" s="1494">
        <f>PRODUCT(C1332:H1332)</f>
        <v>28</v>
      </c>
      <c r="J1332" s="1475"/>
      <c r="K1332" s="1439"/>
      <c r="L1332" s="1439">
        <v>1</v>
      </c>
      <c r="M1332" s="1439"/>
      <c r="N1332" s="1439"/>
      <c r="O1332" s="1439"/>
      <c r="P1332" s="1439"/>
      <c r="Q1332" s="1439"/>
      <c r="R1332" s="1439"/>
      <c r="S1332" s="1439"/>
      <c r="T1332" s="1439"/>
      <c r="U1332" s="1439"/>
      <c r="V1332" s="1439"/>
      <c r="W1332" s="1439"/>
      <c r="X1332" s="1439"/>
      <c r="Y1332" s="1439"/>
      <c r="Z1332" s="1439"/>
      <c r="AA1332" s="1439"/>
      <c r="AB1332" s="1439"/>
      <c r="AC1332" s="1439"/>
      <c r="AD1332" s="1439"/>
      <c r="AE1332" s="1439"/>
      <c r="AF1332" s="1439"/>
      <c r="AG1332" s="1439"/>
    </row>
    <row r="1333" spans="1:33" ht="15.75" customHeight="1">
      <c r="A1333" s="1470"/>
      <c r="B1333" s="1499" t="s">
        <v>7206</v>
      </c>
      <c r="C1333" s="1484">
        <v>10</v>
      </c>
      <c r="D1333" s="1484" t="s">
        <v>3364</v>
      </c>
      <c r="E1333" s="1484">
        <v>2</v>
      </c>
      <c r="F1333" s="1446"/>
      <c r="G1333" s="1446"/>
      <c r="H1333" s="1447"/>
      <c r="I1333" s="1494">
        <f>PRODUCT(C1333:H1333)</f>
        <v>20</v>
      </c>
      <c r="J1333" s="1475"/>
      <c r="K1333" s="1439"/>
      <c r="L1333" s="1439"/>
      <c r="M1333" s="1439"/>
      <c r="N1333" s="1439"/>
      <c r="O1333" s="1439"/>
      <c r="P1333" s="1439"/>
      <c r="Q1333" s="1439"/>
      <c r="R1333" s="1439"/>
      <c r="S1333" s="1439"/>
      <c r="T1333" s="1439"/>
      <c r="U1333" s="1439"/>
      <c r="V1333" s="1439"/>
      <c r="W1333" s="1439"/>
      <c r="X1333" s="1439"/>
      <c r="Y1333" s="1439"/>
      <c r="Z1333" s="1439"/>
      <c r="AA1333" s="1439"/>
      <c r="AB1333" s="1439"/>
      <c r="AC1333" s="1439"/>
      <c r="AD1333" s="1439"/>
      <c r="AE1333" s="1439"/>
      <c r="AF1333" s="1439"/>
      <c r="AG1333" s="1439"/>
    </row>
    <row r="1334" spans="1:33" ht="15.75" customHeight="1">
      <c r="A1334" s="1470"/>
      <c r="B1334" s="1450"/>
      <c r="C1334" s="1484"/>
      <c r="D1334" s="1484"/>
      <c r="E1334" s="1484"/>
      <c r="F1334" s="1446"/>
      <c r="G1334" s="1478"/>
      <c r="H1334" s="1460" t="s">
        <v>2981</v>
      </c>
      <c r="I1334" s="1459">
        <f>SUM(I1329:I1333)</f>
        <v>96</v>
      </c>
      <c r="J1334" s="1475" t="s">
        <v>3471</v>
      </c>
      <c r="K1334" s="1439"/>
      <c r="L1334" s="1439"/>
      <c r="M1334" s="1439"/>
      <c r="N1334" s="1439"/>
      <c r="O1334" s="1439"/>
      <c r="P1334" s="1439"/>
      <c r="Q1334" s="1439"/>
      <c r="R1334" s="1439"/>
      <c r="S1334" s="1439"/>
      <c r="T1334" s="1439"/>
      <c r="U1334" s="1439"/>
      <c r="V1334" s="1439"/>
      <c r="W1334" s="1439"/>
      <c r="X1334" s="1439"/>
      <c r="Y1334" s="1439"/>
      <c r="Z1334" s="1439"/>
      <c r="AA1334" s="1439"/>
      <c r="AB1334" s="1439"/>
      <c r="AC1334" s="1439"/>
      <c r="AD1334" s="1439"/>
      <c r="AE1334" s="1439"/>
      <c r="AF1334" s="1439"/>
      <c r="AG1334" s="1439"/>
    </row>
    <row r="1335" spans="1:33" ht="110.25">
      <c r="A1335" s="1451">
        <v>64.099999999999994</v>
      </c>
      <c r="B1335" s="1456" t="s">
        <v>3667</v>
      </c>
      <c r="C1335" s="1484"/>
      <c r="D1335" s="1484"/>
      <c r="E1335" s="1484"/>
      <c r="F1335" s="1446"/>
      <c r="G1335" s="1446"/>
      <c r="H1335" s="1447"/>
      <c r="I1335" s="1448"/>
      <c r="J1335" s="1475"/>
      <c r="K1335" s="1439"/>
      <c r="L1335" s="1439"/>
      <c r="M1335" s="1439"/>
      <c r="N1335" s="1439"/>
      <c r="O1335" s="1439"/>
      <c r="P1335" s="1439"/>
      <c r="Q1335" s="1439"/>
      <c r="R1335" s="1439"/>
      <c r="S1335" s="1439"/>
      <c r="T1335" s="1439"/>
      <c r="U1335" s="1439"/>
      <c r="V1335" s="1439"/>
      <c r="W1335" s="1439"/>
      <c r="X1335" s="1439"/>
      <c r="Y1335" s="1439"/>
      <c r="Z1335" s="1439"/>
      <c r="AA1335" s="1439"/>
      <c r="AB1335" s="1439"/>
      <c r="AC1335" s="1439"/>
      <c r="AD1335" s="1439"/>
      <c r="AE1335" s="1439"/>
      <c r="AF1335" s="1439"/>
      <c r="AG1335" s="1439"/>
    </row>
    <row r="1336" spans="1:33" ht="15.75" customHeight="1">
      <c r="A1336" s="1451"/>
      <c r="B1336" s="1456" t="s">
        <v>3668</v>
      </c>
      <c r="C1336" s="1484"/>
      <c r="D1336" s="1484"/>
      <c r="E1336" s="1484"/>
      <c r="F1336" s="1446"/>
      <c r="G1336" s="1446"/>
      <c r="H1336" s="1447"/>
      <c r="I1336" s="1448"/>
      <c r="J1336" s="1475"/>
      <c r="K1336" s="1439"/>
      <c r="L1336" s="1439"/>
      <c r="M1336" s="1439"/>
      <c r="N1336" s="1439"/>
      <c r="O1336" s="1439"/>
      <c r="P1336" s="1439"/>
      <c r="Q1336" s="1439"/>
      <c r="R1336" s="1439"/>
      <c r="S1336" s="1439"/>
      <c r="T1336" s="1439"/>
      <c r="U1336" s="1439"/>
      <c r="V1336" s="1439"/>
      <c r="W1336" s="1439"/>
      <c r="X1336" s="1439"/>
      <c r="Y1336" s="1439"/>
      <c r="Z1336" s="1439"/>
      <c r="AA1336" s="1439"/>
      <c r="AB1336" s="1439"/>
      <c r="AC1336" s="1439"/>
      <c r="AD1336" s="1439"/>
      <c r="AE1336" s="1439"/>
      <c r="AF1336" s="1439"/>
      <c r="AG1336" s="1439"/>
    </row>
    <row r="1337" spans="1:33" ht="15.75" customHeight="1">
      <c r="A1337" s="1451"/>
      <c r="B1337" s="1456" t="s">
        <v>7157</v>
      </c>
      <c r="C1337" s="1484"/>
      <c r="D1337" s="1484"/>
      <c r="E1337" s="1484"/>
      <c r="F1337" s="1446"/>
      <c r="G1337" s="1446"/>
      <c r="H1337" s="1447"/>
      <c r="I1337" s="1494"/>
      <c r="J1337" s="1492"/>
      <c r="K1337" s="1439"/>
      <c r="L1337" s="1439"/>
      <c r="M1337" s="1439"/>
      <c r="N1337" s="1439"/>
      <c r="O1337" s="1439"/>
      <c r="P1337" s="1439"/>
      <c r="Q1337" s="1439"/>
      <c r="R1337" s="1439"/>
      <c r="S1337" s="1439"/>
      <c r="T1337" s="1439"/>
      <c r="U1337" s="1439"/>
      <c r="V1337" s="1439"/>
      <c r="W1337" s="1439"/>
      <c r="X1337" s="1439"/>
      <c r="Y1337" s="1439"/>
      <c r="Z1337" s="1439"/>
      <c r="AA1337" s="1439"/>
      <c r="AB1337" s="1439"/>
      <c r="AC1337" s="1439"/>
      <c r="AD1337" s="1439"/>
      <c r="AE1337" s="1439"/>
      <c r="AF1337" s="1439"/>
      <c r="AG1337" s="1439"/>
    </row>
    <row r="1338" spans="1:33" ht="15.75" customHeight="1">
      <c r="A1338" s="1451"/>
      <c r="B1338" s="1450" t="s">
        <v>7079</v>
      </c>
      <c r="C1338" s="1484">
        <v>2</v>
      </c>
      <c r="D1338" s="1484" t="s">
        <v>3364</v>
      </c>
      <c r="E1338" s="1484">
        <v>1</v>
      </c>
      <c r="F1338" s="1446"/>
      <c r="G1338" s="1446"/>
      <c r="H1338" s="1447"/>
      <c r="I1338" s="1494">
        <f t="shared" ref="I1338:I1396" si="70">PRODUCT(C1338:H1338)</f>
        <v>2</v>
      </c>
      <c r="J1338" s="1492"/>
      <c r="K1338" s="1439"/>
      <c r="L1338" s="1439"/>
      <c r="M1338" s="1439"/>
      <c r="N1338" s="1439"/>
      <c r="O1338" s="1439"/>
      <c r="P1338" s="1439"/>
      <c r="Q1338" s="1439"/>
      <c r="R1338" s="1439"/>
      <c r="S1338" s="1439"/>
      <c r="T1338" s="1439"/>
      <c r="U1338" s="1439"/>
      <c r="V1338" s="1439"/>
      <c r="W1338" s="1439"/>
      <c r="X1338" s="1439"/>
      <c r="Y1338" s="1439"/>
      <c r="Z1338" s="1439"/>
      <c r="AA1338" s="1439"/>
      <c r="AB1338" s="1439"/>
      <c r="AC1338" s="1439"/>
      <c r="AD1338" s="1439"/>
      <c r="AE1338" s="1439"/>
      <c r="AF1338" s="1439"/>
      <c r="AG1338" s="1439"/>
    </row>
    <row r="1339" spans="1:33" ht="15.75" customHeight="1">
      <c r="A1339" s="1451"/>
      <c r="B1339" s="1450" t="s">
        <v>7214</v>
      </c>
      <c r="C1339" s="1484">
        <v>1</v>
      </c>
      <c r="D1339" s="1484" t="s">
        <v>3364</v>
      </c>
      <c r="E1339" s="1484">
        <v>3</v>
      </c>
      <c r="F1339" s="1446"/>
      <c r="G1339" s="1446"/>
      <c r="H1339" s="1447"/>
      <c r="I1339" s="1494">
        <f t="shared" si="70"/>
        <v>3</v>
      </c>
      <c r="J1339" s="1492"/>
      <c r="K1339" s="1439"/>
      <c r="L1339" s="1439"/>
      <c r="M1339" s="1439"/>
      <c r="N1339" s="1439"/>
      <c r="O1339" s="1439"/>
      <c r="P1339" s="1439"/>
      <c r="Q1339" s="1439"/>
      <c r="R1339" s="1439"/>
      <c r="S1339" s="1439"/>
      <c r="T1339" s="1439"/>
      <c r="U1339" s="1439"/>
      <c r="V1339" s="1439"/>
      <c r="W1339" s="1439"/>
      <c r="X1339" s="1439"/>
      <c r="Y1339" s="1439"/>
      <c r="Z1339" s="1439"/>
      <c r="AA1339" s="1439"/>
      <c r="AB1339" s="1439"/>
      <c r="AC1339" s="1439"/>
      <c r="AD1339" s="1439"/>
      <c r="AE1339" s="1439"/>
      <c r="AF1339" s="1439"/>
      <c r="AG1339" s="1439"/>
    </row>
    <row r="1340" spans="1:33" ht="15.75" customHeight="1">
      <c r="A1340" s="1451"/>
      <c r="B1340" s="1450" t="s">
        <v>7215</v>
      </c>
      <c r="C1340" s="1484">
        <v>1</v>
      </c>
      <c r="D1340" s="1484" t="s">
        <v>3364</v>
      </c>
      <c r="E1340" s="1484">
        <v>2</v>
      </c>
      <c r="F1340" s="1446"/>
      <c r="G1340" s="1446"/>
      <c r="H1340" s="1447"/>
      <c r="I1340" s="1494">
        <f t="shared" si="70"/>
        <v>2</v>
      </c>
      <c r="J1340" s="1492"/>
      <c r="K1340" s="1439"/>
      <c r="L1340" s="1439"/>
      <c r="M1340" s="1439"/>
      <c r="N1340" s="1439"/>
      <c r="O1340" s="1439"/>
      <c r="P1340" s="1439"/>
      <c r="Q1340" s="1439"/>
      <c r="R1340" s="1439"/>
      <c r="S1340" s="1439"/>
      <c r="T1340" s="1439"/>
      <c r="U1340" s="1439"/>
      <c r="V1340" s="1439"/>
      <c r="W1340" s="1439"/>
      <c r="X1340" s="1439"/>
      <c r="Y1340" s="1439"/>
      <c r="Z1340" s="1439"/>
      <c r="AA1340" s="1439"/>
      <c r="AB1340" s="1439"/>
      <c r="AC1340" s="1439"/>
      <c r="AD1340" s="1439"/>
      <c r="AE1340" s="1439"/>
      <c r="AF1340" s="1439"/>
      <c r="AG1340" s="1439"/>
    </row>
    <row r="1341" spans="1:33" ht="15.75" customHeight="1">
      <c r="A1341" s="1451"/>
      <c r="B1341" s="1450" t="s">
        <v>7080</v>
      </c>
      <c r="C1341" s="1484">
        <v>1</v>
      </c>
      <c r="D1341" s="1484" t="s">
        <v>3364</v>
      </c>
      <c r="E1341" s="1484">
        <v>2</v>
      </c>
      <c r="F1341" s="1446"/>
      <c r="G1341" s="1446"/>
      <c r="H1341" s="1447"/>
      <c r="I1341" s="1494">
        <f t="shared" si="70"/>
        <v>2</v>
      </c>
      <c r="J1341" s="1492"/>
      <c r="K1341" s="1439"/>
      <c r="L1341" s="1439"/>
      <c r="M1341" s="1439"/>
      <c r="N1341" s="1439"/>
      <c r="O1341" s="1439"/>
      <c r="P1341" s="1439"/>
      <c r="Q1341" s="1439"/>
      <c r="R1341" s="1439"/>
      <c r="S1341" s="1439"/>
      <c r="T1341" s="1439"/>
      <c r="U1341" s="1439"/>
      <c r="V1341" s="1439"/>
      <c r="W1341" s="1439"/>
      <c r="X1341" s="1439"/>
      <c r="Y1341" s="1439"/>
      <c r="Z1341" s="1439"/>
      <c r="AA1341" s="1439"/>
      <c r="AB1341" s="1439"/>
      <c r="AC1341" s="1439"/>
      <c r="AD1341" s="1439"/>
      <c r="AE1341" s="1439"/>
      <c r="AF1341" s="1439"/>
      <c r="AG1341" s="1439"/>
    </row>
    <row r="1342" spans="1:33" ht="15.75" customHeight="1">
      <c r="A1342" s="1451"/>
      <c r="B1342" s="1450" t="s">
        <v>7216</v>
      </c>
      <c r="C1342" s="1484">
        <v>1</v>
      </c>
      <c r="D1342" s="1484" t="s">
        <v>3364</v>
      </c>
      <c r="E1342" s="1484">
        <v>3</v>
      </c>
      <c r="F1342" s="1446"/>
      <c r="G1342" s="1446"/>
      <c r="H1342" s="1447"/>
      <c r="I1342" s="1494">
        <f t="shared" si="70"/>
        <v>3</v>
      </c>
      <c r="J1342" s="1492"/>
      <c r="K1342" s="1439"/>
      <c r="L1342" s="1439"/>
      <c r="M1342" s="1439"/>
      <c r="N1342" s="1439"/>
      <c r="O1342" s="1439"/>
      <c r="P1342" s="1439"/>
      <c r="Q1342" s="1439"/>
      <c r="R1342" s="1439"/>
      <c r="S1342" s="1439"/>
      <c r="T1342" s="1439"/>
      <c r="U1342" s="1439"/>
      <c r="V1342" s="1439"/>
      <c r="W1342" s="1439"/>
      <c r="X1342" s="1439"/>
      <c r="Y1342" s="1439"/>
      <c r="Z1342" s="1439"/>
      <c r="AA1342" s="1439"/>
      <c r="AB1342" s="1439"/>
      <c r="AC1342" s="1439"/>
      <c r="AD1342" s="1439"/>
      <c r="AE1342" s="1439"/>
      <c r="AF1342" s="1439"/>
      <c r="AG1342" s="1439"/>
    </row>
    <row r="1343" spans="1:33" ht="15.75" customHeight="1">
      <c r="A1343" s="1451"/>
      <c r="B1343" s="1450" t="s">
        <v>7217</v>
      </c>
      <c r="C1343" s="1484">
        <v>1</v>
      </c>
      <c r="D1343" s="1484" t="s">
        <v>3364</v>
      </c>
      <c r="E1343" s="1484">
        <v>1</v>
      </c>
      <c r="F1343" s="1446"/>
      <c r="G1343" s="1446"/>
      <c r="H1343" s="1447"/>
      <c r="I1343" s="1494">
        <f t="shared" si="70"/>
        <v>1</v>
      </c>
      <c r="J1343" s="1492"/>
      <c r="K1343" s="1439"/>
      <c r="L1343" s="1439"/>
      <c r="M1343" s="1439"/>
      <c r="N1343" s="1439"/>
      <c r="O1343" s="1439"/>
      <c r="P1343" s="1439"/>
      <c r="Q1343" s="1439"/>
      <c r="R1343" s="1439"/>
      <c r="S1343" s="1439"/>
      <c r="T1343" s="1439"/>
      <c r="U1343" s="1439"/>
      <c r="V1343" s="1439"/>
      <c r="W1343" s="1439"/>
      <c r="X1343" s="1439"/>
      <c r="Y1343" s="1439"/>
      <c r="Z1343" s="1439"/>
      <c r="AA1343" s="1439"/>
      <c r="AB1343" s="1439"/>
      <c r="AC1343" s="1439"/>
      <c r="AD1343" s="1439"/>
      <c r="AE1343" s="1439"/>
      <c r="AF1343" s="1439"/>
      <c r="AG1343" s="1439"/>
    </row>
    <row r="1344" spans="1:33" ht="15.75" customHeight="1">
      <c r="A1344" s="1451"/>
      <c r="B1344" s="1450" t="s">
        <v>7218</v>
      </c>
      <c r="C1344" s="1484">
        <v>1</v>
      </c>
      <c r="D1344" s="1484" t="s">
        <v>3364</v>
      </c>
      <c r="E1344" s="1484">
        <v>1</v>
      </c>
      <c r="F1344" s="1446"/>
      <c r="G1344" s="1446"/>
      <c r="H1344" s="1447"/>
      <c r="I1344" s="1494">
        <f t="shared" si="70"/>
        <v>1</v>
      </c>
      <c r="J1344" s="1492"/>
      <c r="K1344" s="1439"/>
      <c r="L1344" s="1439"/>
      <c r="M1344" s="1439"/>
      <c r="N1344" s="1439"/>
      <c r="O1344" s="1439"/>
      <c r="P1344" s="1439"/>
      <c r="Q1344" s="1439"/>
      <c r="R1344" s="1439"/>
      <c r="S1344" s="1439"/>
      <c r="T1344" s="1439"/>
      <c r="U1344" s="1439"/>
      <c r="V1344" s="1439"/>
      <c r="W1344" s="1439"/>
      <c r="X1344" s="1439"/>
      <c r="Y1344" s="1439"/>
      <c r="Z1344" s="1439"/>
      <c r="AA1344" s="1439"/>
      <c r="AB1344" s="1439"/>
      <c r="AC1344" s="1439"/>
      <c r="AD1344" s="1439"/>
      <c r="AE1344" s="1439"/>
      <c r="AF1344" s="1439"/>
      <c r="AG1344" s="1439"/>
    </row>
    <row r="1345" spans="1:33" ht="15.75" customHeight="1">
      <c r="A1345" s="1451"/>
      <c r="B1345" s="1456" t="s">
        <v>3486</v>
      </c>
      <c r="C1345" s="1484"/>
      <c r="D1345" s="1484"/>
      <c r="E1345" s="1484"/>
      <c r="F1345" s="1446"/>
      <c r="G1345" s="1446"/>
      <c r="H1345" s="1447"/>
      <c r="I1345" s="1494">
        <f t="shared" si="70"/>
        <v>0</v>
      </c>
      <c r="J1345" s="1492"/>
      <c r="K1345" s="1439"/>
      <c r="L1345" s="1439"/>
      <c r="M1345" s="1439"/>
      <c r="N1345" s="1439"/>
      <c r="O1345" s="1439"/>
      <c r="P1345" s="1439"/>
      <c r="Q1345" s="1439"/>
      <c r="R1345" s="1439"/>
      <c r="S1345" s="1439"/>
      <c r="T1345" s="1439"/>
      <c r="U1345" s="1439"/>
      <c r="V1345" s="1439"/>
      <c r="W1345" s="1439"/>
      <c r="X1345" s="1439"/>
      <c r="Y1345" s="1439"/>
      <c r="Z1345" s="1439"/>
      <c r="AA1345" s="1439"/>
      <c r="AB1345" s="1439"/>
      <c r="AC1345" s="1439"/>
      <c r="AD1345" s="1439"/>
      <c r="AE1345" s="1439"/>
      <c r="AF1345" s="1439"/>
      <c r="AG1345" s="1439"/>
    </row>
    <row r="1346" spans="1:33" ht="15.75" customHeight="1">
      <c r="A1346" s="1451"/>
      <c r="B1346" s="1450" t="s">
        <v>7219</v>
      </c>
      <c r="C1346" s="1484">
        <v>1</v>
      </c>
      <c r="D1346" s="1484" t="s">
        <v>3364</v>
      </c>
      <c r="E1346" s="1484">
        <v>1</v>
      </c>
      <c r="F1346" s="1446"/>
      <c r="G1346" s="1446"/>
      <c r="H1346" s="1447"/>
      <c r="I1346" s="1494">
        <f t="shared" si="70"/>
        <v>1</v>
      </c>
      <c r="J1346" s="1492"/>
      <c r="K1346" s="1439"/>
      <c r="L1346" s="1439"/>
      <c r="M1346" s="1439"/>
      <c r="N1346" s="1439"/>
      <c r="O1346" s="1439"/>
      <c r="P1346" s="1439"/>
      <c r="Q1346" s="1439"/>
      <c r="R1346" s="1439"/>
      <c r="S1346" s="1439"/>
      <c r="T1346" s="1439"/>
      <c r="U1346" s="1439"/>
      <c r="V1346" s="1439"/>
      <c r="W1346" s="1439"/>
      <c r="X1346" s="1439"/>
      <c r="Y1346" s="1439"/>
      <c r="Z1346" s="1439"/>
      <c r="AA1346" s="1439"/>
      <c r="AB1346" s="1439"/>
      <c r="AC1346" s="1439"/>
      <c r="AD1346" s="1439"/>
      <c r="AE1346" s="1439"/>
      <c r="AF1346" s="1439"/>
      <c r="AG1346" s="1439"/>
    </row>
    <row r="1347" spans="1:33" ht="15.75" customHeight="1">
      <c r="A1347" s="1451"/>
      <c r="B1347" s="1450" t="s">
        <v>7220</v>
      </c>
      <c r="C1347" s="1484">
        <v>1</v>
      </c>
      <c r="D1347" s="1484" t="s">
        <v>3364</v>
      </c>
      <c r="E1347" s="1484">
        <v>2</v>
      </c>
      <c r="F1347" s="1446"/>
      <c r="G1347" s="1446"/>
      <c r="H1347" s="1447"/>
      <c r="I1347" s="1494">
        <f t="shared" si="70"/>
        <v>2</v>
      </c>
      <c r="J1347" s="1492"/>
      <c r="K1347" s="1439"/>
      <c r="L1347" s="1439"/>
      <c r="M1347" s="1439"/>
      <c r="N1347" s="1439"/>
      <c r="O1347" s="1439"/>
      <c r="P1347" s="1439"/>
      <c r="Q1347" s="1439"/>
      <c r="R1347" s="1439"/>
      <c r="S1347" s="1439"/>
      <c r="T1347" s="1439"/>
      <c r="U1347" s="1439"/>
      <c r="V1347" s="1439"/>
      <c r="W1347" s="1439"/>
      <c r="X1347" s="1439"/>
      <c r="Y1347" s="1439"/>
      <c r="Z1347" s="1439"/>
      <c r="AA1347" s="1439"/>
      <c r="AB1347" s="1439"/>
      <c r="AC1347" s="1439"/>
      <c r="AD1347" s="1439"/>
      <c r="AE1347" s="1439"/>
      <c r="AF1347" s="1439"/>
      <c r="AG1347" s="1439"/>
    </row>
    <row r="1348" spans="1:33" ht="15.75" customHeight="1">
      <c r="A1348" s="1451"/>
      <c r="B1348" s="1450" t="s">
        <v>7221</v>
      </c>
      <c r="C1348" s="1484">
        <v>1</v>
      </c>
      <c r="D1348" s="1484" t="s">
        <v>3364</v>
      </c>
      <c r="E1348" s="1484">
        <v>2</v>
      </c>
      <c r="F1348" s="1446"/>
      <c r="G1348" s="1446"/>
      <c r="H1348" s="1447"/>
      <c r="I1348" s="1494">
        <f t="shared" si="70"/>
        <v>2</v>
      </c>
      <c r="J1348" s="1492"/>
      <c r="K1348" s="1439"/>
      <c r="L1348" s="1439"/>
      <c r="M1348" s="1439"/>
      <c r="N1348" s="1439"/>
      <c r="O1348" s="1439"/>
      <c r="P1348" s="1439"/>
      <c r="Q1348" s="1439"/>
      <c r="R1348" s="1439"/>
      <c r="S1348" s="1439"/>
      <c r="T1348" s="1439"/>
      <c r="U1348" s="1439"/>
      <c r="V1348" s="1439"/>
      <c r="W1348" s="1439"/>
      <c r="X1348" s="1439"/>
      <c r="Y1348" s="1439"/>
      <c r="Z1348" s="1439"/>
      <c r="AA1348" s="1439"/>
      <c r="AB1348" s="1439"/>
      <c r="AC1348" s="1439"/>
      <c r="AD1348" s="1439"/>
      <c r="AE1348" s="1439"/>
      <c r="AF1348" s="1439"/>
      <c r="AG1348" s="1439"/>
    </row>
    <row r="1349" spans="1:33" ht="15.75" customHeight="1">
      <c r="A1349" s="1451"/>
      <c r="B1349" s="1450" t="s">
        <v>7222</v>
      </c>
      <c r="C1349" s="1484">
        <v>1</v>
      </c>
      <c r="D1349" s="1484" t="s">
        <v>3364</v>
      </c>
      <c r="E1349" s="1484">
        <v>1</v>
      </c>
      <c r="F1349" s="1446"/>
      <c r="G1349" s="1446"/>
      <c r="H1349" s="1447"/>
      <c r="I1349" s="1494">
        <f t="shared" si="70"/>
        <v>1</v>
      </c>
      <c r="J1349" s="1492"/>
      <c r="K1349" s="1439"/>
      <c r="L1349" s="1439"/>
      <c r="M1349" s="1439"/>
      <c r="N1349" s="1439"/>
      <c r="O1349" s="1439"/>
      <c r="P1349" s="1439"/>
      <c r="Q1349" s="1439"/>
      <c r="R1349" s="1439"/>
      <c r="S1349" s="1439"/>
      <c r="T1349" s="1439"/>
      <c r="U1349" s="1439"/>
      <c r="V1349" s="1439"/>
      <c r="W1349" s="1439"/>
      <c r="X1349" s="1439"/>
      <c r="Y1349" s="1439"/>
      <c r="Z1349" s="1439"/>
      <c r="AA1349" s="1439"/>
      <c r="AB1349" s="1439"/>
      <c r="AC1349" s="1439"/>
      <c r="AD1349" s="1439"/>
      <c r="AE1349" s="1439"/>
      <c r="AF1349" s="1439"/>
      <c r="AG1349" s="1439"/>
    </row>
    <row r="1350" spans="1:33" ht="15.75" customHeight="1">
      <c r="A1350" s="1451"/>
      <c r="B1350" s="1450" t="s">
        <v>7223</v>
      </c>
      <c r="C1350" s="1484">
        <v>1</v>
      </c>
      <c r="D1350" s="1484" t="s">
        <v>3364</v>
      </c>
      <c r="E1350" s="1484">
        <v>2</v>
      </c>
      <c r="F1350" s="1446"/>
      <c r="G1350" s="1446"/>
      <c r="H1350" s="1447"/>
      <c r="I1350" s="1494">
        <f t="shared" si="70"/>
        <v>2</v>
      </c>
      <c r="J1350" s="1492"/>
      <c r="K1350" s="1439"/>
      <c r="L1350" s="1439"/>
      <c r="M1350" s="1439"/>
      <c r="N1350" s="1439"/>
      <c r="O1350" s="1439"/>
      <c r="P1350" s="1439"/>
      <c r="Q1350" s="1439"/>
      <c r="R1350" s="1439"/>
      <c r="S1350" s="1439"/>
      <c r="T1350" s="1439"/>
      <c r="U1350" s="1439"/>
      <c r="V1350" s="1439"/>
      <c r="W1350" s="1439"/>
      <c r="X1350" s="1439"/>
      <c r="Y1350" s="1439"/>
      <c r="Z1350" s="1439"/>
      <c r="AA1350" s="1439"/>
      <c r="AB1350" s="1439"/>
      <c r="AC1350" s="1439"/>
      <c r="AD1350" s="1439"/>
      <c r="AE1350" s="1439"/>
      <c r="AF1350" s="1439"/>
      <c r="AG1350" s="1439"/>
    </row>
    <row r="1351" spans="1:33" ht="15.75" customHeight="1">
      <c r="A1351" s="1451"/>
      <c r="B1351" s="1450" t="s">
        <v>7217</v>
      </c>
      <c r="C1351" s="1484">
        <v>1</v>
      </c>
      <c r="D1351" s="1484" t="s">
        <v>3364</v>
      </c>
      <c r="E1351" s="1484">
        <v>1</v>
      </c>
      <c r="F1351" s="1446"/>
      <c r="G1351" s="1446"/>
      <c r="H1351" s="1447"/>
      <c r="I1351" s="1494">
        <f t="shared" si="70"/>
        <v>1</v>
      </c>
      <c r="J1351" s="1492"/>
      <c r="K1351" s="1439"/>
      <c r="L1351" s="1439"/>
      <c r="M1351" s="1439"/>
      <c r="N1351" s="1439"/>
      <c r="O1351" s="1439"/>
      <c r="P1351" s="1439"/>
      <c r="Q1351" s="1439"/>
      <c r="R1351" s="1439"/>
      <c r="S1351" s="1439"/>
      <c r="T1351" s="1439"/>
      <c r="U1351" s="1439"/>
      <c r="V1351" s="1439"/>
      <c r="W1351" s="1439"/>
      <c r="X1351" s="1439"/>
      <c r="Y1351" s="1439"/>
      <c r="Z1351" s="1439"/>
      <c r="AA1351" s="1439"/>
      <c r="AB1351" s="1439"/>
      <c r="AC1351" s="1439"/>
      <c r="AD1351" s="1439"/>
      <c r="AE1351" s="1439"/>
      <c r="AF1351" s="1439"/>
      <c r="AG1351" s="1439"/>
    </row>
    <row r="1352" spans="1:33" ht="15.75" customHeight="1">
      <c r="A1352" s="1451"/>
      <c r="B1352" s="1450" t="s">
        <v>7083</v>
      </c>
      <c r="C1352" s="1484">
        <v>1</v>
      </c>
      <c r="D1352" s="1484" t="s">
        <v>3364</v>
      </c>
      <c r="E1352" s="1484">
        <v>1</v>
      </c>
      <c r="F1352" s="1446"/>
      <c r="G1352" s="1446"/>
      <c r="H1352" s="1447"/>
      <c r="I1352" s="1494">
        <f t="shared" si="70"/>
        <v>1</v>
      </c>
      <c r="J1352" s="1492"/>
      <c r="K1352" s="1439"/>
      <c r="L1352" s="1439"/>
      <c r="M1352" s="1439"/>
      <c r="N1352" s="1439"/>
      <c r="O1352" s="1439"/>
      <c r="P1352" s="1439"/>
      <c r="Q1352" s="1439"/>
      <c r="R1352" s="1439"/>
      <c r="S1352" s="1439"/>
      <c r="T1352" s="1439"/>
      <c r="U1352" s="1439"/>
      <c r="V1352" s="1439"/>
      <c r="W1352" s="1439"/>
      <c r="X1352" s="1439"/>
      <c r="Y1352" s="1439"/>
      <c r="Z1352" s="1439"/>
      <c r="AA1352" s="1439"/>
      <c r="AB1352" s="1439"/>
      <c r="AC1352" s="1439"/>
      <c r="AD1352" s="1439"/>
      <c r="AE1352" s="1439"/>
      <c r="AF1352" s="1439"/>
      <c r="AG1352" s="1439"/>
    </row>
    <row r="1353" spans="1:33" ht="15.75" customHeight="1">
      <c r="A1353" s="1451"/>
      <c r="B1353" s="1456" t="s">
        <v>3488</v>
      </c>
      <c r="C1353" s="1484"/>
      <c r="D1353" s="1484"/>
      <c r="E1353" s="1484"/>
      <c r="F1353" s="1446"/>
      <c r="G1353" s="1446"/>
      <c r="H1353" s="1447"/>
      <c r="I1353" s="1494">
        <f t="shared" si="70"/>
        <v>0</v>
      </c>
      <c r="J1353" s="1492"/>
      <c r="K1353" s="1439"/>
      <c r="L1353" s="1439"/>
      <c r="M1353" s="1439"/>
      <c r="N1353" s="1439"/>
      <c r="O1353" s="1439"/>
      <c r="P1353" s="1439"/>
      <c r="Q1353" s="1439"/>
      <c r="R1353" s="1439"/>
      <c r="S1353" s="1439"/>
      <c r="T1353" s="1439"/>
      <c r="U1353" s="1439"/>
      <c r="V1353" s="1439"/>
      <c r="W1353" s="1439"/>
      <c r="X1353" s="1439"/>
      <c r="Y1353" s="1439"/>
      <c r="Z1353" s="1439"/>
      <c r="AA1353" s="1439"/>
      <c r="AB1353" s="1439"/>
      <c r="AC1353" s="1439"/>
      <c r="AD1353" s="1439"/>
      <c r="AE1353" s="1439"/>
      <c r="AF1353" s="1439"/>
      <c r="AG1353" s="1439"/>
    </row>
    <row r="1354" spans="1:33" ht="15.75" customHeight="1">
      <c r="A1354" s="1451"/>
      <c r="B1354" s="1450" t="s">
        <v>7224</v>
      </c>
      <c r="C1354" s="1484">
        <v>1</v>
      </c>
      <c r="D1354" s="1484" t="s">
        <v>3364</v>
      </c>
      <c r="E1354" s="1484">
        <v>1</v>
      </c>
      <c r="F1354" s="1446"/>
      <c r="G1354" s="1446"/>
      <c r="H1354" s="1447"/>
      <c r="I1354" s="1494">
        <f t="shared" si="70"/>
        <v>1</v>
      </c>
      <c r="J1354" s="1492"/>
      <c r="K1354" s="1439"/>
      <c r="L1354" s="1439"/>
      <c r="M1354" s="1439"/>
      <c r="N1354" s="1439"/>
      <c r="O1354" s="1439"/>
      <c r="P1354" s="1439"/>
      <c r="Q1354" s="1439"/>
      <c r="R1354" s="1439"/>
      <c r="S1354" s="1439"/>
      <c r="T1354" s="1439"/>
      <c r="U1354" s="1439"/>
      <c r="V1354" s="1439"/>
      <c r="W1354" s="1439"/>
      <c r="X1354" s="1439"/>
      <c r="Y1354" s="1439"/>
      <c r="Z1354" s="1439"/>
      <c r="AA1354" s="1439"/>
      <c r="AB1354" s="1439"/>
      <c r="AC1354" s="1439"/>
      <c r="AD1354" s="1439"/>
      <c r="AE1354" s="1439"/>
      <c r="AF1354" s="1439"/>
      <c r="AG1354" s="1439"/>
    </row>
    <row r="1355" spans="1:33" ht="15.75" customHeight="1">
      <c r="A1355" s="1451"/>
      <c r="B1355" s="1450" t="s">
        <v>7221</v>
      </c>
      <c r="C1355" s="1484">
        <v>1</v>
      </c>
      <c r="D1355" s="1484" t="s">
        <v>3364</v>
      </c>
      <c r="E1355" s="1484">
        <v>2</v>
      </c>
      <c r="F1355" s="1446"/>
      <c r="G1355" s="1446"/>
      <c r="H1355" s="1447"/>
      <c r="I1355" s="1494">
        <f t="shared" si="70"/>
        <v>2</v>
      </c>
      <c r="J1355" s="1492"/>
      <c r="K1355" s="1439"/>
      <c r="L1355" s="1439"/>
      <c r="M1355" s="1439"/>
      <c r="N1355" s="1439"/>
      <c r="O1355" s="1439"/>
      <c r="P1355" s="1439"/>
      <c r="Q1355" s="1439"/>
      <c r="R1355" s="1439"/>
      <c r="S1355" s="1439"/>
      <c r="T1355" s="1439"/>
      <c r="U1355" s="1439"/>
      <c r="V1355" s="1439"/>
      <c r="W1355" s="1439"/>
      <c r="X1355" s="1439"/>
      <c r="Y1355" s="1439"/>
      <c r="Z1355" s="1439"/>
      <c r="AA1355" s="1439"/>
      <c r="AB1355" s="1439"/>
      <c r="AC1355" s="1439"/>
      <c r="AD1355" s="1439"/>
      <c r="AE1355" s="1439"/>
      <c r="AF1355" s="1439"/>
      <c r="AG1355" s="1439"/>
    </row>
    <row r="1356" spans="1:33" ht="15.75" customHeight="1">
      <c r="A1356" s="1451"/>
      <c r="B1356" s="1450" t="s">
        <v>7163</v>
      </c>
      <c r="C1356" s="1484">
        <v>1</v>
      </c>
      <c r="D1356" s="1484" t="s">
        <v>3364</v>
      </c>
      <c r="E1356" s="1484">
        <v>4</v>
      </c>
      <c r="F1356" s="1446"/>
      <c r="G1356" s="1446"/>
      <c r="H1356" s="1447"/>
      <c r="I1356" s="1494">
        <f t="shared" si="70"/>
        <v>4</v>
      </c>
      <c r="J1356" s="1492"/>
      <c r="K1356" s="1439"/>
      <c r="L1356" s="1439"/>
      <c r="M1356" s="1439"/>
      <c r="N1356" s="1439"/>
      <c r="O1356" s="1439"/>
      <c r="P1356" s="1439"/>
      <c r="Q1356" s="1439"/>
      <c r="R1356" s="1439"/>
      <c r="S1356" s="1439"/>
      <c r="T1356" s="1439"/>
      <c r="U1356" s="1439"/>
      <c r="V1356" s="1439"/>
      <c r="W1356" s="1439"/>
      <c r="X1356" s="1439"/>
      <c r="Y1356" s="1439"/>
      <c r="Z1356" s="1439"/>
      <c r="AA1356" s="1439"/>
      <c r="AB1356" s="1439"/>
      <c r="AC1356" s="1439"/>
      <c r="AD1356" s="1439"/>
      <c r="AE1356" s="1439"/>
      <c r="AF1356" s="1439"/>
      <c r="AG1356" s="1439"/>
    </row>
    <row r="1357" spans="1:33" ht="15.75" customHeight="1">
      <c r="A1357" s="1451"/>
      <c r="B1357" s="1450" t="s">
        <v>7225</v>
      </c>
      <c r="C1357" s="1484">
        <v>2</v>
      </c>
      <c r="D1357" s="1484" t="s">
        <v>3364</v>
      </c>
      <c r="E1357" s="1484">
        <v>4</v>
      </c>
      <c r="F1357" s="1446"/>
      <c r="G1357" s="1446"/>
      <c r="H1357" s="1447"/>
      <c r="I1357" s="1494">
        <f t="shared" si="70"/>
        <v>8</v>
      </c>
      <c r="J1357" s="1492"/>
      <c r="K1357" s="1439"/>
      <c r="L1357" s="1439"/>
      <c r="M1357" s="1439"/>
      <c r="N1357" s="1439"/>
      <c r="O1357" s="1439"/>
      <c r="P1357" s="1439"/>
      <c r="Q1357" s="1439"/>
      <c r="R1357" s="1439"/>
      <c r="S1357" s="1439"/>
      <c r="T1357" s="1439"/>
      <c r="U1357" s="1439"/>
      <c r="V1357" s="1439"/>
      <c r="W1357" s="1439"/>
      <c r="X1357" s="1439"/>
      <c r="Y1357" s="1439"/>
      <c r="Z1357" s="1439"/>
      <c r="AA1357" s="1439"/>
      <c r="AB1357" s="1439"/>
      <c r="AC1357" s="1439"/>
      <c r="AD1357" s="1439"/>
      <c r="AE1357" s="1439"/>
      <c r="AF1357" s="1439"/>
      <c r="AG1357" s="1439"/>
    </row>
    <row r="1358" spans="1:33" ht="15.75" customHeight="1">
      <c r="A1358" s="1451"/>
      <c r="B1358" s="1450" t="s">
        <v>7226</v>
      </c>
      <c r="C1358" s="1484">
        <v>2</v>
      </c>
      <c r="D1358" s="1484" t="s">
        <v>3364</v>
      </c>
      <c r="E1358" s="1484">
        <v>2</v>
      </c>
      <c r="F1358" s="1446"/>
      <c r="G1358" s="1446"/>
      <c r="H1358" s="1447"/>
      <c r="I1358" s="1494">
        <f t="shared" si="70"/>
        <v>4</v>
      </c>
      <c r="J1358" s="1492"/>
      <c r="K1358" s="1439"/>
      <c r="L1358" s="1439"/>
      <c r="M1358" s="1439"/>
      <c r="N1358" s="1439"/>
      <c r="O1358" s="1439"/>
      <c r="P1358" s="1439"/>
      <c r="Q1358" s="1439"/>
      <c r="R1358" s="1439"/>
      <c r="S1358" s="1439"/>
      <c r="T1358" s="1439"/>
      <c r="U1358" s="1439"/>
      <c r="V1358" s="1439"/>
      <c r="W1358" s="1439"/>
      <c r="X1358" s="1439"/>
      <c r="Y1358" s="1439"/>
      <c r="Z1358" s="1439"/>
      <c r="AA1358" s="1439"/>
      <c r="AB1358" s="1439"/>
      <c r="AC1358" s="1439"/>
      <c r="AD1358" s="1439"/>
      <c r="AE1358" s="1439"/>
      <c r="AF1358" s="1439"/>
      <c r="AG1358" s="1439"/>
    </row>
    <row r="1359" spans="1:33" ht="15.75" customHeight="1">
      <c r="A1359" s="1451"/>
      <c r="B1359" s="1450" t="s">
        <v>7227</v>
      </c>
      <c r="C1359" s="1484">
        <v>1</v>
      </c>
      <c r="D1359" s="1484" t="s">
        <v>3364</v>
      </c>
      <c r="E1359" s="1484">
        <v>4</v>
      </c>
      <c r="F1359" s="1446"/>
      <c r="G1359" s="1446"/>
      <c r="H1359" s="1447"/>
      <c r="I1359" s="1494">
        <f t="shared" si="70"/>
        <v>4</v>
      </c>
      <c r="J1359" s="1492"/>
      <c r="K1359" s="1439"/>
      <c r="L1359" s="1439"/>
      <c r="M1359" s="1439"/>
      <c r="N1359" s="1439"/>
      <c r="O1359" s="1439"/>
      <c r="P1359" s="1439"/>
      <c r="Q1359" s="1439"/>
      <c r="R1359" s="1439"/>
      <c r="S1359" s="1439"/>
      <c r="T1359" s="1439"/>
      <c r="U1359" s="1439"/>
      <c r="V1359" s="1439"/>
      <c r="W1359" s="1439"/>
      <c r="X1359" s="1439"/>
      <c r="Y1359" s="1439"/>
      <c r="Z1359" s="1439"/>
      <c r="AA1359" s="1439"/>
      <c r="AB1359" s="1439"/>
      <c r="AC1359" s="1439"/>
      <c r="AD1359" s="1439"/>
      <c r="AE1359" s="1439"/>
      <c r="AF1359" s="1439"/>
      <c r="AG1359" s="1439"/>
    </row>
    <row r="1360" spans="1:33" ht="15.75" customHeight="1">
      <c r="A1360" s="1451"/>
      <c r="B1360" s="1450" t="s">
        <v>7228</v>
      </c>
      <c r="C1360" s="1484">
        <v>1</v>
      </c>
      <c r="D1360" s="1484" t="s">
        <v>3364</v>
      </c>
      <c r="E1360" s="1484">
        <v>4</v>
      </c>
      <c r="F1360" s="1446"/>
      <c r="G1360" s="1446"/>
      <c r="H1360" s="1447"/>
      <c r="I1360" s="1494">
        <f t="shared" si="70"/>
        <v>4</v>
      </c>
      <c r="J1360" s="1492"/>
      <c r="K1360" s="1439"/>
      <c r="L1360" s="1439"/>
      <c r="M1360" s="1439"/>
      <c r="N1360" s="1439"/>
      <c r="O1360" s="1439"/>
      <c r="P1360" s="1439"/>
      <c r="Q1360" s="1439"/>
      <c r="R1360" s="1439"/>
      <c r="S1360" s="1439"/>
      <c r="T1360" s="1439"/>
      <c r="U1360" s="1439"/>
      <c r="V1360" s="1439"/>
      <c r="W1360" s="1439"/>
      <c r="X1360" s="1439"/>
      <c r="Y1360" s="1439"/>
      <c r="Z1360" s="1439"/>
      <c r="AA1360" s="1439"/>
      <c r="AB1360" s="1439"/>
      <c r="AC1360" s="1439"/>
      <c r="AD1360" s="1439"/>
      <c r="AE1360" s="1439"/>
      <c r="AF1360" s="1439"/>
      <c r="AG1360" s="1439"/>
    </row>
    <row r="1361" spans="1:33" ht="15.75" customHeight="1">
      <c r="A1361" s="1451"/>
      <c r="B1361" s="1450" t="s">
        <v>7229</v>
      </c>
      <c r="C1361" s="1484">
        <v>1</v>
      </c>
      <c r="D1361" s="1484" t="s">
        <v>3364</v>
      </c>
      <c r="E1361" s="1484">
        <v>4</v>
      </c>
      <c r="F1361" s="1446"/>
      <c r="G1361" s="1446"/>
      <c r="H1361" s="1447"/>
      <c r="I1361" s="1494">
        <f t="shared" si="70"/>
        <v>4</v>
      </c>
      <c r="J1361" s="1492"/>
      <c r="K1361" s="1439"/>
      <c r="L1361" s="1439"/>
      <c r="M1361" s="1439"/>
      <c r="N1361" s="1439"/>
      <c r="O1361" s="1439"/>
      <c r="P1361" s="1439"/>
      <c r="Q1361" s="1439"/>
      <c r="R1361" s="1439"/>
      <c r="S1361" s="1439"/>
      <c r="T1361" s="1439"/>
      <c r="U1361" s="1439"/>
      <c r="V1361" s="1439"/>
      <c r="W1361" s="1439"/>
      <c r="X1361" s="1439"/>
      <c r="Y1361" s="1439"/>
      <c r="Z1361" s="1439"/>
      <c r="AA1361" s="1439"/>
      <c r="AB1361" s="1439"/>
      <c r="AC1361" s="1439"/>
      <c r="AD1361" s="1439"/>
      <c r="AE1361" s="1439"/>
      <c r="AF1361" s="1439"/>
      <c r="AG1361" s="1439"/>
    </row>
    <row r="1362" spans="1:33" ht="15.75" customHeight="1">
      <c r="A1362" s="1451"/>
      <c r="B1362" s="1450" t="s">
        <v>7230</v>
      </c>
      <c r="C1362" s="1484">
        <v>3</v>
      </c>
      <c r="D1362" s="1484" t="s">
        <v>3364</v>
      </c>
      <c r="E1362" s="1484">
        <v>4</v>
      </c>
      <c r="F1362" s="1446"/>
      <c r="G1362" s="1446"/>
      <c r="H1362" s="1447"/>
      <c r="I1362" s="1494">
        <f t="shared" si="70"/>
        <v>12</v>
      </c>
      <c r="J1362" s="1492"/>
      <c r="K1362" s="1439"/>
      <c r="L1362" s="1439"/>
      <c r="M1362" s="1439"/>
      <c r="N1362" s="1439"/>
      <c r="O1362" s="1439"/>
      <c r="P1362" s="1439"/>
      <c r="Q1362" s="1439"/>
      <c r="R1362" s="1439"/>
      <c r="S1362" s="1439"/>
      <c r="T1362" s="1439"/>
      <c r="U1362" s="1439"/>
      <c r="V1362" s="1439"/>
      <c r="W1362" s="1439"/>
      <c r="X1362" s="1439"/>
      <c r="Y1362" s="1439"/>
      <c r="Z1362" s="1439"/>
      <c r="AA1362" s="1439"/>
      <c r="AB1362" s="1439"/>
      <c r="AC1362" s="1439"/>
      <c r="AD1362" s="1439"/>
      <c r="AE1362" s="1439"/>
      <c r="AF1362" s="1439"/>
      <c r="AG1362" s="1439"/>
    </row>
    <row r="1363" spans="1:33" ht="15.75" customHeight="1">
      <c r="A1363" s="1451"/>
      <c r="B1363" s="1450" t="s">
        <v>6723</v>
      </c>
      <c r="C1363" s="1484">
        <v>1</v>
      </c>
      <c r="D1363" s="1484" t="s">
        <v>3364</v>
      </c>
      <c r="E1363" s="1484">
        <v>2</v>
      </c>
      <c r="F1363" s="1446"/>
      <c r="G1363" s="1446"/>
      <c r="H1363" s="1447"/>
      <c r="I1363" s="1494">
        <f t="shared" si="70"/>
        <v>2</v>
      </c>
      <c r="J1363" s="1492"/>
      <c r="K1363" s="1439"/>
      <c r="L1363" s="1439"/>
      <c r="M1363" s="1439"/>
      <c r="N1363" s="1439"/>
      <c r="O1363" s="1439"/>
      <c r="P1363" s="1439"/>
      <c r="Q1363" s="1439"/>
      <c r="R1363" s="1439"/>
      <c r="S1363" s="1439"/>
      <c r="T1363" s="1439"/>
      <c r="U1363" s="1439"/>
      <c r="V1363" s="1439"/>
      <c r="W1363" s="1439"/>
      <c r="X1363" s="1439"/>
      <c r="Y1363" s="1439"/>
      <c r="Z1363" s="1439"/>
      <c r="AA1363" s="1439"/>
      <c r="AB1363" s="1439"/>
      <c r="AC1363" s="1439"/>
      <c r="AD1363" s="1439"/>
      <c r="AE1363" s="1439"/>
      <c r="AF1363" s="1439"/>
      <c r="AG1363" s="1439"/>
    </row>
    <row r="1364" spans="1:33" ht="15.75" customHeight="1">
      <c r="A1364" s="1451"/>
      <c r="B1364" s="1450" t="s">
        <v>6933</v>
      </c>
      <c r="C1364" s="1484">
        <v>1</v>
      </c>
      <c r="D1364" s="1484" t="s">
        <v>3364</v>
      </c>
      <c r="E1364" s="1484">
        <v>1</v>
      </c>
      <c r="F1364" s="1446"/>
      <c r="G1364" s="1446"/>
      <c r="H1364" s="1447"/>
      <c r="I1364" s="1494">
        <f t="shared" si="70"/>
        <v>1</v>
      </c>
      <c r="J1364" s="1492"/>
      <c r="K1364" s="1439"/>
      <c r="L1364" s="1439"/>
      <c r="M1364" s="1439"/>
      <c r="N1364" s="1439"/>
      <c r="O1364" s="1439"/>
      <c r="P1364" s="1439"/>
      <c r="Q1364" s="1439"/>
      <c r="R1364" s="1439"/>
      <c r="S1364" s="1439"/>
      <c r="T1364" s="1439"/>
      <c r="U1364" s="1439"/>
      <c r="V1364" s="1439"/>
      <c r="W1364" s="1439"/>
      <c r="X1364" s="1439"/>
      <c r="Y1364" s="1439"/>
      <c r="Z1364" s="1439"/>
      <c r="AA1364" s="1439"/>
      <c r="AB1364" s="1439"/>
      <c r="AC1364" s="1439"/>
      <c r="AD1364" s="1439"/>
      <c r="AE1364" s="1439"/>
      <c r="AF1364" s="1439"/>
      <c r="AG1364" s="1439"/>
    </row>
    <row r="1365" spans="1:33" ht="15.75" customHeight="1">
      <c r="A1365" s="1451"/>
      <c r="B1365" s="1450" t="s">
        <v>7231</v>
      </c>
      <c r="C1365" s="1484">
        <v>1</v>
      </c>
      <c r="D1365" s="1484" t="s">
        <v>3364</v>
      </c>
      <c r="E1365" s="1484">
        <v>5</v>
      </c>
      <c r="F1365" s="1446"/>
      <c r="G1365" s="1446"/>
      <c r="H1365" s="1447"/>
      <c r="I1365" s="1494">
        <f t="shared" si="70"/>
        <v>5</v>
      </c>
      <c r="J1365" s="1492"/>
      <c r="K1365" s="1439"/>
      <c r="L1365" s="1439"/>
      <c r="M1365" s="1439"/>
      <c r="N1365" s="1439"/>
      <c r="O1365" s="1439"/>
      <c r="P1365" s="1439"/>
      <c r="Q1365" s="1439"/>
      <c r="R1365" s="1439"/>
      <c r="S1365" s="1439"/>
      <c r="T1365" s="1439"/>
      <c r="U1365" s="1439"/>
      <c r="V1365" s="1439"/>
      <c r="W1365" s="1439"/>
      <c r="X1365" s="1439"/>
      <c r="Y1365" s="1439"/>
      <c r="Z1365" s="1439"/>
      <c r="AA1365" s="1439"/>
      <c r="AB1365" s="1439"/>
      <c r="AC1365" s="1439"/>
      <c r="AD1365" s="1439"/>
      <c r="AE1365" s="1439"/>
      <c r="AF1365" s="1439"/>
      <c r="AG1365" s="1439"/>
    </row>
    <row r="1366" spans="1:33" ht="15.75" customHeight="1">
      <c r="A1366" s="1451"/>
      <c r="B1366" s="1456" t="s">
        <v>7232</v>
      </c>
      <c r="C1366" s="1484"/>
      <c r="D1366" s="1484"/>
      <c r="E1366" s="1484"/>
      <c r="F1366" s="1446"/>
      <c r="G1366" s="1446"/>
      <c r="H1366" s="1447"/>
      <c r="I1366" s="1494">
        <f t="shared" si="70"/>
        <v>0</v>
      </c>
      <c r="J1366" s="1492"/>
      <c r="K1366" s="1439"/>
      <c r="L1366" s="1439"/>
      <c r="M1366" s="1439"/>
      <c r="N1366" s="1439"/>
      <c r="O1366" s="1439"/>
      <c r="P1366" s="1439"/>
      <c r="Q1366" s="1439"/>
      <c r="R1366" s="1439"/>
      <c r="S1366" s="1439"/>
      <c r="T1366" s="1439"/>
      <c r="U1366" s="1439"/>
      <c r="V1366" s="1439"/>
      <c r="W1366" s="1439"/>
      <c r="X1366" s="1439"/>
      <c r="Y1366" s="1439"/>
      <c r="Z1366" s="1439"/>
      <c r="AA1366" s="1439"/>
      <c r="AB1366" s="1439"/>
      <c r="AC1366" s="1439"/>
      <c r="AD1366" s="1439"/>
      <c r="AE1366" s="1439"/>
      <c r="AF1366" s="1439"/>
      <c r="AG1366" s="1439"/>
    </row>
    <row r="1367" spans="1:33" ht="15.75" customHeight="1">
      <c r="A1367" s="1451"/>
      <c r="B1367" s="1450" t="s">
        <v>7224</v>
      </c>
      <c r="C1367" s="1484">
        <v>1</v>
      </c>
      <c r="D1367" s="1484" t="s">
        <v>3364</v>
      </c>
      <c r="E1367" s="1484">
        <v>1</v>
      </c>
      <c r="F1367" s="1446"/>
      <c r="G1367" s="1446"/>
      <c r="H1367" s="1447"/>
      <c r="I1367" s="1494">
        <f t="shared" si="70"/>
        <v>1</v>
      </c>
      <c r="J1367" s="1492"/>
      <c r="K1367" s="1439"/>
      <c r="L1367" s="1439"/>
      <c r="M1367" s="1439"/>
      <c r="N1367" s="1439"/>
      <c r="O1367" s="1439"/>
      <c r="P1367" s="1439"/>
      <c r="Q1367" s="1439"/>
      <c r="R1367" s="1439"/>
      <c r="S1367" s="1439"/>
      <c r="T1367" s="1439"/>
      <c r="U1367" s="1439"/>
      <c r="V1367" s="1439"/>
      <c r="W1367" s="1439"/>
      <c r="X1367" s="1439"/>
      <c r="Y1367" s="1439"/>
      <c r="Z1367" s="1439"/>
      <c r="AA1367" s="1439"/>
      <c r="AB1367" s="1439"/>
      <c r="AC1367" s="1439"/>
      <c r="AD1367" s="1439"/>
      <c r="AE1367" s="1439"/>
      <c r="AF1367" s="1439"/>
      <c r="AG1367" s="1439"/>
    </row>
    <row r="1368" spans="1:33" ht="15.75" customHeight="1">
      <c r="A1368" s="1451"/>
      <c r="B1368" s="1450" t="s">
        <v>7221</v>
      </c>
      <c r="C1368" s="1484">
        <v>1</v>
      </c>
      <c r="D1368" s="1484" t="s">
        <v>3364</v>
      </c>
      <c r="E1368" s="1484">
        <v>3</v>
      </c>
      <c r="F1368" s="1446"/>
      <c r="G1368" s="1446"/>
      <c r="H1368" s="1447"/>
      <c r="I1368" s="1494">
        <f t="shared" si="70"/>
        <v>3</v>
      </c>
      <c r="J1368" s="1492"/>
      <c r="K1368" s="1439"/>
      <c r="L1368" s="1439"/>
      <c r="M1368" s="1439"/>
      <c r="N1368" s="1439"/>
      <c r="O1368" s="1439"/>
      <c r="P1368" s="1439"/>
      <c r="Q1368" s="1439"/>
      <c r="R1368" s="1439"/>
      <c r="S1368" s="1439"/>
      <c r="T1368" s="1439"/>
      <c r="U1368" s="1439"/>
      <c r="V1368" s="1439"/>
      <c r="W1368" s="1439"/>
      <c r="X1368" s="1439"/>
      <c r="Y1368" s="1439"/>
      <c r="Z1368" s="1439"/>
      <c r="AA1368" s="1439"/>
      <c r="AB1368" s="1439"/>
      <c r="AC1368" s="1439"/>
      <c r="AD1368" s="1439"/>
      <c r="AE1368" s="1439"/>
      <c r="AF1368" s="1439"/>
      <c r="AG1368" s="1439"/>
    </row>
    <row r="1369" spans="1:33" ht="15.75" customHeight="1">
      <c r="A1369" s="1451"/>
      <c r="B1369" s="1450" t="s">
        <v>7233</v>
      </c>
      <c r="C1369" s="1484">
        <v>1</v>
      </c>
      <c r="D1369" s="1484" t="s">
        <v>3364</v>
      </c>
      <c r="E1369" s="1484">
        <v>4</v>
      </c>
      <c r="F1369" s="1446"/>
      <c r="G1369" s="1446"/>
      <c r="H1369" s="1447"/>
      <c r="I1369" s="1494">
        <f t="shared" si="70"/>
        <v>4</v>
      </c>
      <c r="J1369" s="1492"/>
      <c r="K1369" s="1439"/>
      <c r="L1369" s="1439"/>
      <c r="M1369" s="1439"/>
      <c r="N1369" s="1439"/>
      <c r="O1369" s="1439"/>
      <c r="P1369" s="1439"/>
      <c r="Q1369" s="1439"/>
      <c r="R1369" s="1439"/>
      <c r="S1369" s="1439"/>
      <c r="T1369" s="1439"/>
      <c r="U1369" s="1439"/>
      <c r="V1369" s="1439"/>
      <c r="W1369" s="1439"/>
      <c r="X1369" s="1439"/>
      <c r="Y1369" s="1439"/>
      <c r="Z1369" s="1439"/>
      <c r="AA1369" s="1439"/>
      <c r="AB1369" s="1439"/>
      <c r="AC1369" s="1439"/>
      <c r="AD1369" s="1439"/>
      <c r="AE1369" s="1439"/>
      <c r="AF1369" s="1439"/>
      <c r="AG1369" s="1439"/>
    </row>
    <row r="1370" spans="1:33" ht="15.75" customHeight="1">
      <c r="A1370" s="1451"/>
      <c r="B1370" s="1450" t="s">
        <v>7231</v>
      </c>
      <c r="C1370" s="1484">
        <v>1</v>
      </c>
      <c r="D1370" s="1484" t="s">
        <v>3364</v>
      </c>
      <c r="E1370" s="1484">
        <v>2</v>
      </c>
      <c r="F1370" s="1446"/>
      <c r="G1370" s="1446"/>
      <c r="H1370" s="1447"/>
      <c r="I1370" s="1494">
        <f t="shared" si="70"/>
        <v>2</v>
      </c>
      <c r="J1370" s="1492"/>
      <c r="K1370" s="1439"/>
      <c r="L1370" s="1439"/>
      <c r="M1370" s="1439"/>
      <c r="N1370" s="1439"/>
      <c r="O1370" s="1439"/>
      <c r="P1370" s="1439"/>
      <c r="Q1370" s="1439"/>
      <c r="R1370" s="1439"/>
      <c r="S1370" s="1439"/>
      <c r="T1370" s="1439"/>
      <c r="U1370" s="1439"/>
      <c r="V1370" s="1439"/>
      <c r="W1370" s="1439"/>
      <c r="X1370" s="1439"/>
      <c r="Y1370" s="1439"/>
      <c r="Z1370" s="1439"/>
      <c r="AA1370" s="1439"/>
      <c r="AB1370" s="1439"/>
      <c r="AC1370" s="1439"/>
      <c r="AD1370" s="1439"/>
      <c r="AE1370" s="1439"/>
      <c r="AF1370" s="1439"/>
      <c r="AG1370" s="1439"/>
    </row>
    <row r="1371" spans="1:33" ht="15.75" customHeight="1">
      <c r="A1371" s="1451"/>
      <c r="B1371" s="1450" t="s">
        <v>6908</v>
      </c>
      <c r="C1371" s="1484">
        <v>1</v>
      </c>
      <c r="D1371" s="1484" t="s">
        <v>3364</v>
      </c>
      <c r="E1371" s="1484">
        <v>1</v>
      </c>
      <c r="F1371" s="1446"/>
      <c r="G1371" s="1446"/>
      <c r="H1371" s="1447"/>
      <c r="I1371" s="1494">
        <f t="shared" si="70"/>
        <v>1</v>
      </c>
      <c r="J1371" s="1492"/>
      <c r="K1371" s="1439"/>
      <c r="L1371" s="1439"/>
      <c r="M1371" s="1439"/>
      <c r="N1371" s="1439"/>
      <c r="O1371" s="1439"/>
      <c r="P1371" s="1439"/>
      <c r="Q1371" s="1439"/>
      <c r="R1371" s="1439"/>
      <c r="S1371" s="1439"/>
      <c r="T1371" s="1439"/>
      <c r="U1371" s="1439"/>
      <c r="V1371" s="1439"/>
      <c r="W1371" s="1439"/>
      <c r="X1371" s="1439"/>
      <c r="Y1371" s="1439"/>
      <c r="Z1371" s="1439"/>
      <c r="AA1371" s="1439"/>
      <c r="AB1371" s="1439"/>
      <c r="AC1371" s="1439"/>
      <c r="AD1371" s="1439"/>
      <c r="AE1371" s="1439"/>
      <c r="AF1371" s="1439"/>
      <c r="AG1371" s="1439"/>
    </row>
    <row r="1372" spans="1:33" ht="15.75" customHeight="1">
      <c r="A1372" s="1451"/>
      <c r="B1372" s="1450" t="s">
        <v>7138</v>
      </c>
      <c r="C1372" s="1484">
        <v>1</v>
      </c>
      <c r="D1372" s="1484" t="s">
        <v>3364</v>
      </c>
      <c r="E1372" s="1484">
        <v>10</v>
      </c>
      <c r="F1372" s="1446"/>
      <c r="G1372" s="1446"/>
      <c r="H1372" s="1447"/>
      <c r="I1372" s="1494">
        <f t="shared" si="70"/>
        <v>10</v>
      </c>
      <c r="J1372" s="1492"/>
      <c r="K1372" s="1439"/>
      <c r="L1372" s="1439"/>
      <c r="M1372" s="1439"/>
      <c r="N1372" s="1439"/>
      <c r="O1372" s="1439"/>
      <c r="P1372" s="1439"/>
      <c r="Q1372" s="1439"/>
      <c r="R1372" s="1439"/>
      <c r="S1372" s="1439"/>
      <c r="T1372" s="1439"/>
      <c r="U1372" s="1439"/>
      <c r="V1372" s="1439"/>
      <c r="W1372" s="1439"/>
      <c r="X1372" s="1439"/>
      <c r="Y1372" s="1439"/>
      <c r="Z1372" s="1439"/>
      <c r="AA1372" s="1439"/>
      <c r="AB1372" s="1439"/>
      <c r="AC1372" s="1439"/>
      <c r="AD1372" s="1439"/>
      <c r="AE1372" s="1439"/>
      <c r="AF1372" s="1439"/>
      <c r="AG1372" s="1439"/>
    </row>
    <row r="1373" spans="1:33" ht="15.75" customHeight="1">
      <c r="A1373" s="1451"/>
      <c r="B1373" s="1450" t="s">
        <v>6586</v>
      </c>
      <c r="C1373" s="1484">
        <v>1</v>
      </c>
      <c r="D1373" s="1484" t="s">
        <v>3364</v>
      </c>
      <c r="E1373" s="1484">
        <v>1</v>
      </c>
      <c r="F1373" s="1446"/>
      <c r="G1373" s="1446"/>
      <c r="H1373" s="1447"/>
      <c r="I1373" s="1494">
        <f t="shared" si="70"/>
        <v>1</v>
      </c>
      <c r="J1373" s="1492"/>
      <c r="K1373" s="1439"/>
      <c r="L1373" s="1439"/>
      <c r="M1373" s="1439"/>
      <c r="N1373" s="1439"/>
      <c r="O1373" s="1439"/>
      <c r="P1373" s="1439"/>
      <c r="Q1373" s="1439"/>
      <c r="R1373" s="1439"/>
      <c r="S1373" s="1439"/>
      <c r="T1373" s="1439"/>
      <c r="U1373" s="1439"/>
      <c r="V1373" s="1439"/>
      <c r="W1373" s="1439"/>
      <c r="X1373" s="1439"/>
      <c r="Y1373" s="1439"/>
      <c r="Z1373" s="1439"/>
      <c r="AA1373" s="1439"/>
      <c r="AB1373" s="1439"/>
      <c r="AC1373" s="1439"/>
      <c r="AD1373" s="1439"/>
      <c r="AE1373" s="1439"/>
      <c r="AF1373" s="1439"/>
      <c r="AG1373" s="1439"/>
    </row>
    <row r="1374" spans="1:33" ht="15.75" customHeight="1">
      <c r="A1374" s="1451"/>
      <c r="B1374" s="1450" t="s">
        <v>7234</v>
      </c>
      <c r="C1374" s="1484">
        <v>1</v>
      </c>
      <c r="D1374" s="1484" t="s">
        <v>3364</v>
      </c>
      <c r="E1374" s="1484">
        <v>4</v>
      </c>
      <c r="F1374" s="1446"/>
      <c r="G1374" s="1446"/>
      <c r="H1374" s="1447"/>
      <c r="I1374" s="1494">
        <f t="shared" si="70"/>
        <v>4</v>
      </c>
      <c r="J1374" s="1492"/>
      <c r="K1374" s="1439"/>
      <c r="L1374" s="1439"/>
      <c r="M1374" s="1439"/>
      <c r="N1374" s="1439"/>
      <c r="O1374" s="1439"/>
      <c r="P1374" s="1439"/>
      <c r="Q1374" s="1439"/>
      <c r="R1374" s="1439"/>
      <c r="S1374" s="1439"/>
      <c r="T1374" s="1439"/>
      <c r="U1374" s="1439"/>
      <c r="V1374" s="1439"/>
      <c r="W1374" s="1439"/>
      <c r="X1374" s="1439"/>
      <c r="Y1374" s="1439"/>
      <c r="Z1374" s="1439"/>
      <c r="AA1374" s="1439"/>
      <c r="AB1374" s="1439"/>
      <c r="AC1374" s="1439"/>
      <c r="AD1374" s="1439"/>
      <c r="AE1374" s="1439"/>
      <c r="AF1374" s="1439"/>
      <c r="AG1374" s="1439"/>
    </row>
    <row r="1375" spans="1:33" ht="15.75" customHeight="1">
      <c r="A1375" s="1451"/>
      <c r="B1375" s="1450" t="s">
        <v>7141</v>
      </c>
      <c r="C1375" s="1484">
        <v>1</v>
      </c>
      <c r="D1375" s="1484" t="s">
        <v>3364</v>
      </c>
      <c r="E1375" s="1484">
        <v>6</v>
      </c>
      <c r="F1375" s="1446"/>
      <c r="G1375" s="1446"/>
      <c r="H1375" s="1447"/>
      <c r="I1375" s="1494">
        <f t="shared" si="70"/>
        <v>6</v>
      </c>
      <c r="J1375" s="1492"/>
      <c r="K1375" s="1439"/>
      <c r="L1375" s="1439"/>
      <c r="M1375" s="1439"/>
      <c r="N1375" s="1439"/>
      <c r="O1375" s="1439"/>
      <c r="P1375" s="1439"/>
      <c r="Q1375" s="1439"/>
      <c r="R1375" s="1439"/>
      <c r="S1375" s="1439"/>
      <c r="T1375" s="1439"/>
      <c r="U1375" s="1439"/>
      <c r="V1375" s="1439"/>
      <c r="W1375" s="1439"/>
      <c r="X1375" s="1439"/>
      <c r="Y1375" s="1439"/>
      <c r="Z1375" s="1439"/>
      <c r="AA1375" s="1439"/>
      <c r="AB1375" s="1439"/>
      <c r="AC1375" s="1439"/>
      <c r="AD1375" s="1439"/>
      <c r="AE1375" s="1439"/>
      <c r="AF1375" s="1439"/>
      <c r="AG1375" s="1439"/>
    </row>
    <row r="1376" spans="1:33" ht="15.75" customHeight="1">
      <c r="A1376" s="1451"/>
      <c r="B1376" s="1450" t="s">
        <v>7235</v>
      </c>
      <c r="C1376" s="1484">
        <v>1</v>
      </c>
      <c r="D1376" s="1484" t="s">
        <v>3364</v>
      </c>
      <c r="E1376" s="1484">
        <v>3</v>
      </c>
      <c r="F1376" s="1446"/>
      <c r="G1376" s="1446"/>
      <c r="H1376" s="1447"/>
      <c r="I1376" s="1494">
        <f t="shared" si="70"/>
        <v>3</v>
      </c>
      <c r="J1376" s="1492"/>
      <c r="K1376" s="1439"/>
      <c r="L1376" s="1439"/>
      <c r="M1376" s="1439"/>
      <c r="N1376" s="1439"/>
      <c r="O1376" s="1439"/>
      <c r="P1376" s="1439"/>
      <c r="Q1376" s="1439"/>
      <c r="R1376" s="1439"/>
      <c r="S1376" s="1439"/>
      <c r="T1376" s="1439"/>
      <c r="U1376" s="1439"/>
      <c r="V1376" s="1439"/>
      <c r="W1376" s="1439"/>
      <c r="X1376" s="1439"/>
      <c r="Y1376" s="1439"/>
      <c r="Z1376" s="1439"/>
      <c r="AA1376" s="1439"/>
      <c r="AB1376" s="1439"/>
      <c r="AC1376" s="1439"/>
      <c r="AD1376" s="1439"/>
      <c r="AE1376" s="1439"/>
      <c r="AF1376" s="1439"/>
      <c r="AG1376" s="1439"/>
    </row>
    <row r="1377" spans="1:33" ht="15.75" customHeight="1">
      <c r="A1377" s="1451"/>
      <c r="B1377" s="1450" t="s">
        <v>7236</v>
      </c>
      <c r="C1377" s="1484">
        <v>1</v>
      </c>
      <c r="D1377" s="1484" t="s">
        <v>3364</v>
      </c>
      <c r="E1377" s="1484">
        <v>1</v>
      </c>
      <c r="F1377" s="1446"/>
      <c r="G1377" s="1446"/>
      <c r="H1377" s="1447"/>
      <c r="I1377" s="1494">
        <f t="shared" si="70"/>
        <v>1</v>
      </c>
      <c r="J1377" s="1492"/>
      <c r="K1377" s="1439"/>
      <c r="L1377" s="1439"/>
      <c r="M1377" s="1439"/>
      <c r="N1377" s="1439"/>
      <c r="O1377" s="1439"/>
      <c r="P1377" s="1439"/>
      <c r="Q1377" s="1439"/>
      <c r="R1377" s="1439"/>
      <c r="S1377" s="1439"/>
      <c r="T1377" s="1439"/>
      <c r="U1377" s="1439"/>
      <c r="V1377" s="1439"/>
      <c r="W1377" s="1439"/>
      <c r="X1377" s="1439"/>
      <c r="Y1377" s="1439"/>
      <c r="Z1377" s="1439"/>
      <c r="AA1377" s="1439"/>
      <c r="AB1377" s="1439"/>
      <c r="AC1377" s="1439"/>
      <c r="AD1377" s="1439"/>
      <c r="AE1377" s="1439"/>
      <c r="AF1377" s="1439"/>
      <c r="AG1377" s="1439"/>
    </row>
    <row r="1378" spans="1:33" ht="15.75" customHeight="1">
      <c r="A1378" s="1451"/>
      <c r="B1378" s="1450" t="s">
        <v>7237</v>
      </c>
      <c r="C1378" s="1484">
        <v>2</v>
      </c>
      <c r="D1378" s="1484" t="s">
        <v>3364</v>
      </c>
      <c r="E1378" s="1484">
        <v>2</v>
      </c>
      <c r="F1378" s="1446"/>
      <c r="G1378" s="1446"/>
      <c r="H1378" s="1447"/>
      <c r="I1378" s="1494">
        <f t="shared" si="70"/>
        <v>4</v>
      </c>
      <c r="J1378" s="1492"/>
      <c r="K1378" s="1439"/>
      <c r="L1378" s="1439"/>
      <c r="M1378" s="1439"/>
      <c r="N1378" s="1439"/>
      <c r="O1378" s="1439"/>
      <c r="P1378" s="1439"/>
      <c r="Q1378" s="1439"/>
      <c r="R1378" s="1439"/>
      <c r="S1378" s="1439"/>
      <c r="T1378" s="1439"/>
      <c r="U1378" s="1439"/>
      <c r="V1378" s="1439"/>
      <c r="W1378" s="1439"/>
      <c r="X1378" s="1439"/>
      <c r="Y1378" s="1439"/>
      <c r="Z1378" s="1439"/>
      <c r="AA1378" s="1439"/>
      <c r="AB1378" s="1439"/>
      <c r="AC1378" s="1439"/>
      <c r="AD1378" s="1439"/>
      <c r="AE1378" s="1439"/>
      <c r="AF1378" s="1439"/>
      <c r="AG1378" s="1439"/>
    </row>
    <row r="1379" spans="1:33" ht="15.75" customHeight="1">
      <c r="A1379" s="1451"/>
      <c r="B1379" s="1450" t="s">
        <v>6586</v>
      </c>
      <c r="C1379" s="1484">
        <v>1</v>
      </c>
      <c r="D1379" s="1484" t="s">
        <v>3364</v>
      </c>
      <c r="E1379" s="1484">
        <v>1</v>
      </c>
      <c r="F1379" s="1446"/>
      <c r="G1379" s="1446"/>
      <c r="H1379" s="1447"/>
      <c r="I1379" s="1494">
        <f t="shared" si="70"/>
        <v>1</v>
      </c>
      <c r="J1379" s="1492"/>
      <c r="K1379" s="1439"/>
      <c r="L1379" s="1439"/>
      <c r="M1379" s="1439"/>
      <c r="N1379" s="1439"/>
      <c r="O1379" s="1439"/>
      <c r="P1379" s="1439"/>
      <c r="Q1379" s="1439"/>
      <c r="R1379" s="1439"/>
      <c r="S1379" s="1439"/>
      <c r="T1379" s="1439"/>
      <c r="U1379" s="1439"/>
      <c r="V1379" s="1439"/>
      <c r="W1379" s="1439"/>
      <c r="X1379" s="1439"/>
      <c r="Y1379" s="1439"/>
      <c r="Z1379" s="1439"/>
      <c r="AA1379" s="1439"/>
      <c r="AB1379" s="1439"/>
      <c r="AC1379" s="1439"/>
      <c r="AD1379" s="1439"/>
      <c r="AE1379" s="1439"/>
      <c r="AF1379" s="1439"/>
      <c r="AG1379" s="1439"/>
    </row>
    <row r="1380" spans="1:33" ht="15.75" customHeight="1">
      <c r="A1380" s="1451"/>
      <c r="B1380" s="1450" t="s">
        <v>7238</v>
      </c>
      <c r="C1380" s="1484">
        <v>1</v>
      </c>
      <c r="D1380" s="1484" t="s">
        <v>3364</v>
      </c>
      <c r="E1380" s="1484">
        <v>3</v>
      </c>
      <c r="F1380" s="1446"/>
      <c r="G1380" s="1446"/>
      <c r="H1380" s="1447"/>
      <c r="I1380" s="1494">
        <f t="shared" si="70"/>
        <v>3</v>
      </c>
      <c r="J1380" s="1492"/>
      <c r="K1380" s="1439"/>
      <c r="L1380" s="1439"/>
      <c r="M1380" s="1439"/>
      <c r="N1380" s="1439"/>
      <c r="O1380" s="1439"/>
      <c r="P1380" s="1439"/>
      <c r="Q1380" s="1439"/>
      <c r="R1380" s="1439"/>
      <c r="S1380" s="1439"/>
      <c r="T1380" s="1439"/>
      <c r="U1380" s="1439"/>
      <c r="V1380" s="1439"/>
      <c r="W1380" s="1439"/>
      <c r="X1380" s="1439"/>
      <c r="Y1380" s="1439"/>
      <c r="Z1380" s="1439"/>
      <c r="AA1380" s="1439"/>
      <c r="AB1380" s="1439"/>
      <c r="AC1380" s="1439"/>
      <c r="AD1380" s="1439"/>
      <c r="AE1380" s="1439"/>
      <c r="AF1380" s="1439"/>
      <c r="AG1380" s="1439"/>
    </row>
    <row r="1381" spans="1:33" ht="15.75" customHeight="1">
      <c r="A1381" s="1451"/>
      <c r="B1381" s="1450" t="s">
        <v>7239</v>
      </c>
      <c r="C1381" s="1484">
        <v>1</v>
      </c>
      <c r="D1381" s="1484" t="s">
        <v>3364</v>
      </c>
      <c r="E1381" s="1484">
        <v>2</v>
      </c>
      <c r="F1381" s="1446"/>
      <c r="G1381" s="1446"/>
      <c r="H1381" s="1447"/>
      <c r="I1381" s="1494">
        <f t="shared" si="70"/>
        <v>2</v>
      </c>
      <c r="J1381" s="1492"/>
      <c r="K1381" s="1439"/>
      <c r="L1381" s="1439"/>
      <c r="M1381" s="1439"/>
      <c r="N1381" s="1439"/>
      <c r="O1381" s="1439"/>
      <c r="P1381" s="1439"/>
      <c r="Q1381" s="1439"/>
      <c r="R1381" s="1439"/>
      <c r="S1381" s="1439"/>
      <c r="T1381" s="1439"/>
      <c r="U1381" s="1439"/>
      <c r="V1381" s="1439"/>
      <c r="W1381" s="1439"/>
      <c r="X1381" s="1439"/>
      <c r="Y1381" s="1439"/>
      <c r="Z1381" s="1439"/>
      <c r="AA1381" s="1439"/>
      <c r="AB1381" s="1439"/>
      <c r="AC1381" s="1439"/>
      <c r="AD1381" s="1439"/>
      <c r="AE1381" s="1439"/>
      <c r="AF1381" s="1439"/>
      <c r="AG1381" s="1439"/>
    </row>
    <row r="1382" spans="1:33" ht="15.75" customHeight="1">
      <c r="A1382" s="1451"/>
      <c r="B1382" s="1456" t="s">
        <v>7240</v>
      </c>
      <c r="C1382" s="1484"/>
      <c r="D1382" s="1484"/>
      <c r="E1382" s="1484"/>
      <c r="F1382" s="1446"/>
      <c r="G1382" s="1446"/>
      <c r="H1382" s="1447"/>
      <c r="I1382" s="1494">
        <f t="shared" si="70"/>
        <v>0</v>
      </c>
      <c r="J1382" s="1492"/>
      <c r="K1382" s="1439"/>
      <c r="L1382" s="1439"/>
      <c r="M1382" s="1439"/>
      <c r="N1382" s="1439"/>
      <c r="O1382" s="1439"/>
      <c r="P1382" s="1439"/>
      <c r="Q1382" s="1439"/>
      <c r="R1382" s="1439"/>
      <c r="S1382" s="1439"/>
      <c r="T1382" s="1439"/>
      <c r="U1382" s="1439"/>
      <c r="V1382" s="1439"/>
      <c r="W1382" s="1439"/>
      <c r="X1382" s="1439"/>
      <c r="Y1382" s="1439"/>
      <c r="Z1382" s="1439"/>
      <c r="AA1382" s="1439"/>
      <c r="AB1382" s="1439"/>
      <c r="AC1382" s="1439"/>
      <c r="AD1382" s="1439"/>
      <c r="AE1382" s="1439"/>
      <c r="AF1382" s="1439"/>
      <c r="AG1382" s="1439"/>
    </row>
    <row r="1383" spans="1:33" ht="15.75" customHeight="1">
      <c r="A1383" s="1451"/>
      <c r="B1383" s="1450" t="s">
        <v>7224</v>
      </c>
      <c r="C1383" s="1484">
        <v>1</v>
      </c>
      <c r="D1383" s="1484" t="s">
        <v>3364</v>
      </c>
      <c r="E1383" s="1484">
        <v>1</v>
      </c>
      <c r="F1383" s="1446"/>
      <c r="G1383" s="1446"/>
      <c r="H1383" s="1447"/>
      <c r="I1383" s="1494">
        <f t="shared" si="70"/>
        <v>1</v>
      </c>
      <c r="J1383" s="1492"/>
      <c r="K1383" s="1439"/>
      <c r="L1383" s="1439"/>
      <c r="M1383" s="1439"/>
      <c r="N1383" s="1439"/>
      <c r="O1383" s="1439"/>
      <c r="P1383" s="1439"/>
      <c r="Q1383" s="1439"/>
      <c r="R1383" s="1439"/>
      <c r="S1383" s="1439"/>
      <c r="T1383" s="1439"/>
      <c r="U1383" s="1439"/>
      <c r="V1383" s="1439"/>
      <c r="W1383" s="1439"/>
      <c r="X1383" s="1439"/>
      <c r="Y1383" s="1439"/>
      <c r="Z1383" s="1439"/>
      <c r="AA1383" s="1439"/>
      <c r="AB1383" s="1439"/>
      <c r="AC1383" s="1439"/>
      <c r="AD1383" s="1439"/>
      <c r="AE1383" s="1439"/>
      <c r="AF1383" s="1439"/>
      <c r="AG1383" s="1439"/>
    </row>
    <row r="1384" spans="1:33" ht="15.75" customHeight="1">
      <c r="A1384" s="1451"/>
      <c r="B1384" s="1450" t="s">
        <v>7221</v>
      </c>
      <c r="C1384" s="1484">
        <v>1</v>
      </c>
      <c r="D1384" s="1484" t="s">
        <v>3364</v>
      </c>
      <c r="E1384" s="1484">
        <v>3</v>
      </c>
      <c r="F1384" s="1446"/>
      <c r="G1384" s="1446"/>
      <c r="H1384" s="1447"/>
      <c r="I1384" s="1494">
        <f t="shared" si="70"/>
        <v>3</v>
      </c>
      <c r="J1384" s="1492"/>
      <c r="K1384" s="1439"/>
      <c r="L1384" s="1439"/>
      <c r="M1384" s="1439"/>
      <c r="N1384" s="1439"/>
      <c r="O1384" s="1439"/>
      <c r="P1384" s="1439"/>
      <c r="Q1384" s="1439"/>
      <c r="R1384" s="1439"/>
      <c r="S1384" s="1439"/>
      <c r="T1384" s="1439"/>
      <c r="U1384" s="1439"/>
      <c r="V1384" s="1439"/>
      <c r="W1384" s="1439"/>
      <c r="X1384" s="1439"/>
      <c r="Y1384" s="1439"/>
      <c r="Z1384" s="1439"/>
      <c r="AA1384" s="1439"/>
      <c r="AB1384" s="1439"/>
      <c r="AC1384" s="1439"/>
      <c r="AD1384" s="1439"/>
      <c r="AE1384" s="1439"/>
      <c r="AF1384" s="1439"/>
      <c r="AG1384" s="1439"/>
    </row>
    <row r="1385" spans="1:33" ht="15.75" customHeight="1">
      <c r="A1385" s="1451"/>
      <c r="B1385" s="1450" t="s">
        <v>7233</v>
      </c>
      <c r="C1385" s="1484">
        <v>1</v>
      </c>
      <c r="D1385" s="1484" t="s">
        <v>3364</v>
      </c>
      <c r="E1385" s="1484">
        <v>4</v>
      </c>
      <c r="F1385" s="1446"/>
      <c r="G1385" s="1446"/>
      <c r="H1385" s="1447"/>
      <c r="I1385" s="1494">
        <f t="shared" si="70"/>
        <v>4</v>
      </c>
      <c r="J1385" s="1492"/>
      <c r="K1385" s="1439"/>
      <c r="L1385" s="1439"/>
      <c r="M1385" s="1439"/>
      <c r="N1385" s="1439"/>
      <c r="O1385" s="1439"/>
      <c r="P1385" s="1439"/>
      <c r="Q1385" s="1439"/>
      <c r="R1385" s="1439"/>
      <c r="S1385" s="1439"/>
      <c r="T1385" s="1439"/>
      <c r="U1385" s="1439"/>
      <c r="V1385" s="1439"/>
      <c r="W1385" s="1439"/>
      <c r="X1385" s="1439"/>
      <c r="Y1385" s="1439"/>
      <c r="Z1385" s="1439"/>
      <c r="AA1385" s="1439"/>
      <c r="AB1385" s="1439"/>
      <c r="AC1385" s="1439"/>
      <c r="AD1385" s="1439"/>
      <c r="AE1385" s="1439"/>
      <c r="AF1385" s="1439"/>
      <c r="AG1385" s="1439"/>
    </row>
    <row r="1386" spans="1:33" ht="15.75" customHeight="1">
      <c r="A1386" s="1451"/>
      <c r="B1386" s="1450" t="s">
        <v>7231</v>
      </c>
      <c r="C1386" s="1484">
        <v>1</v>
      </c>
      <c r="D1386" s="1484" t="s">
        <v>3364</v>
      </c>
      <c r="E1386" s="1484">
        <v>2</v>
      </c>
      <c r="F1386" s="1446"/>
      <c r="G1386" s="1446"/>
      <c r="H1386" s="1447"/>
      <c r="I1386" s="1494">
        <f t="shared" si="70"/>
        <v>2</v>
      </c>
      <c r="J1386" s="1492"/>
      <c r="K1386" s="1439"/>
      <c r="L1386" s="1439"/>
      <c r="M1386" s="1439"/>
      <c r="N1386" s="1439"/>
      <c r="O1386" s="1439"/>
      <c r="P1386" s="1439"/>
      <c r="Q1386" s="1439"/>
      <c r="R1386" s="1439"/>
      <c r="S1386" s="1439"/>
      <c r="T1386" s="1439"/>
      <c r="U1386" s="1439"/>
      <c r="V1386" s="1439"/>
      <c r="W1386" s="1439"/>
      <c r="X1386" s="1439"/>
      <c r="Y1386" s="1439"/>
      <c r="Z1386" s="1439"/>
      <c r="AA1386" s="1439"/>
      <c r="AB1386" s="1439"/>
      <c r="AC1386" s="1439"/>
      <c r="AD1386" s="1439"/>
      <c r="AE1386" s="1439"/>
      <c r="AF1386" s="1439"/>
      <c r="AG1386" s="1439"/>
    </row>
    <row r="1387" spans="1:33" ht="15.75" customHeight="1">
      <c r="A1387" s="1451"/>
      <c r="B1387" s="1450" t="s">
        <v>6908</v>
      </c>
      <c r="C1387" s="1484">
        <v>1</v>
      </c>
      <c r="D1387" s="1484" t="s">
        <v>3364</v>
      </c>
      <c r="E1387" s="1484">
        <v>1</v>
      </c>
      <c r="F1387" s="1446"/>
      <c r="G1387" s="1446"/>
      <c r="H1387" s="1447"/>
      <c r="I1387" s="1494">
        <f t="shared" si="70"/>
        <v>1</v>
      </c>
      <c r="J1387" s="1492"/>
      <c r="K1387" s="1439"/>
      <c r="L1387" s="1439"/>
      <c r="M1387" s="1439"/>
      <c r="N1387" s="1439"/>
      <c r="O1387" s="1439"/>
      <c r="P1387" s="1439"/>
      <c r="Q1387" s="1439"/>
      <c r="R1387" s="1439"/>
      <c r="S1387" s="1439"/>
      <c r="T1387" s="1439"/>
      <c r="U1387" s="1439"/>
      <c r="V1387" s="1439"/>
      <c r="W1387" s="1439"/>
      <c r="X1387" s="1439"/>
      <c r="Y1387" s="1439"/>
      <c r="Z1387" s="1439"/>
      <c r="AA1387" s="1439"/>
      <c r="AB1387" s="1439"/>
      <c r="AC1387" s="1439"/>
      <c r="AD1387" s="1439"/>
      <c r="AE1387" s="1439"/>
      <c r="AF1387" s="1439"/>
      <c r="AG1387" s="1439"/>
    </row>
    <row r="1388" spans="1:33" ht="15.75" customHeight="1">
      <c r="A1388" s="1451"/>
      <c r="B1388" s="1450" t="s">
        <v>7138</v>
      </c>
      <c r="C1388" s="1484">
        <v>1</v>
      </c>
      <c r="D1388" s="1484" t="s">
        <v>3364</v>
      </c>
      <c r="E1388" s="1484">
        <v>10</v>
      </c>
      <c r="F1388" s="1446"/>
      <c r="G1388" s="1446"/>
      <c r="H1388" s="1447"/>
      <c r="I1388" s="1494">
        <f t="shared" si="70"/>
        <v>10</v>
      </c>
      <c r="J1388" s="1492"/>
      <c r="K1388" s="1439"/>
      <c r="L1388" s="1439"/>
      <c r="M1388" s="1439"/>
      <c r="N1388" s="1439"/>
      <c r="O1388" s="1439"/>
      <c r="P1388" s="1439"/>
      <c r="Q1388" s="1439"/>
      <c r="R1388" s="1439"/>
      <c r="S1388" s="1439"/>
      <c r="T1388" s="1439"/>
      <c r="U1388" s="1439"/>
      <c r="V1388" s="1439"/>
      <c r="W1388" s="1439"/>
      <c r="X1388" s="1439"/>
      <c r="Y1388" s="1439"/>
      <c r="Z1388" s="1439"/>
      <c r="AA1388" s="1439"/>
      <c r="AB1388" s="1439"/>
      <c r="AC1388" s="1439"/>
      <c r="AD1388" s="1439"/>
      <c r="AE1388" s="1439"/>
      <c r="AF1388" s="1439"/>
      <c r="AG1388" s="1439"/>
    </row>
    <row r="1389" spans="1:33" ht="15.75" customHeight="1">
      <c r="A1389" s="1451"/>
      <c r="B1389" s="1450" t="s">
        <v>6586</v>
      </c>
      <c r="C1389" s="1484">
        <v>1</v>
      </c>
      <c r="D1389" s="1484" t="s">
        <v>3364</v>
      </c>
      <c r="E1389" s="1484">
        <v>1</v>
      </c>
      <c r="F1389" s="1446"/>
      <c r="G1389" s="1446"/>
      <c r="H1389" s="1447"/>
      <c r="I1389" s="1494">
        <f t="shared" si="70"/>
        <v>1</v>
      </c>
      <c r="J1389" s="1492"/>
      <c r="K1389" s="1439"/>
      <c r="L1389" s="1439"/>
      <c r="M1389" s="1439"/>
      <c r="N1389" s="1439"/>
      <c r="O1389" s="1439"/>
      <c r="P1389" s="1439"/>
      <c r="Q1389" s="1439"/>
      <c r="R1389" s="1439"/>
      <c r="S1389" s="1439"/>
      <c r="T1389" s="1439"/>
      <c r="U1389" s="1439"/>
      <c r="V1389" s="1439"/>
      <c r="W1389" s="1439"/>
      <c r="X1389" s="1439"/>
      <c r="Y1389" s="1439"/>
      <c r="Z1389" s="1439"/>
      <c r="AA1389" s="1439"/>
      <c r="AB1389" s="1439"/>
      <c r="AC1389" s="1439"/>
      <c r="AD1389" s="1439"/>
      <c r="AE1389" s="1439"/>
      <c r="AF1389" s="1439"/>
      <c r="AG1389" s="1439"/>
    </row>
    <row r="1390" spans="1:33" ht="15.75" customHeight="1">
      <c r="A1390" s="1451"/>
      <c r="B1390" s="1450" t="s">
        <v>7241</v>
      </c>
      <c r="C1390" s="1484">
        <v>1</v>
      </c>
      <c r="D1390" s="1484" t="s">
        <v>3364</v>
      </c>
      <c r="E1390" s="1484">
        <v>4</v>
      </c>
      <c r="F1390" s="1446"/>
      <c r="G1390" s="1446"/>
      <c r="H1390" s="1447"/>
      <c r="I1390" s="1494">
        <f t="shared" si="70"/>
        <v>4</v>
      </c>
      <c r="J1390" s="1492"/>
      <c r="K1390" s="1439"/>
      <c r="L1390" s="1439"/>
      <c r="M1390" s="1439"/>
      <c r="N1390" s="1439"/>
      <c r="O1390" s="1439"/>
      <c r="P1390" s="1439"/>
      <c r="Q1390" s="1439"/>
      <c r="R1390" s="1439"/>
      <c r="S1390" s="1439"/>
      <c r="T1390" s="1439"/>
      <c r="U1390" s="1439"/>
      <c r="V1390" s="1439"/>
      <c r="W1390" s="1439"/>
      <c r="X1390" s="1439"/>
      <c r="Y1390" s="1439"/>
      <c r="Z1390" s="1439"/>
      <c r="AA1390" s="1439"/>
      <c r="AB1390" s="1439"/>
      <c r="AC1390" s="1439"/>
      <c r="AD1390" s="1439"/>
      <c r="AE1390" s="1439"/>
      <c r="AF1390" s="1439"/>
      <c r="AG1390" s="1439"/>
    </row>
    <row r="1391" spans="1:33" ht="15.75" customHeight="1">
      <c r="A1391" s="1451"/>
      <c r="B1391" s="1450" t="s">
        <v>7235</v>
      </c>
      <c r="C1391" s="1484">
        <v>1</v>
      </c>
      <c r="D1391" s="1484" t="s">
        <v>3364</v>
      </c>
      <c r="E1391" s="1484">
        <v>6</v>
      </c>
      <c r="F1391" s="1446"/>
      <c r="G1391" s="1446"/>
      <c r="H1391" s="1447"/>
      <c r="I1391" s="1494">
        <f t="shared" si="70"/>
        <v>6</v>
      </c>
      <c r="J1391" s="1492"/>
      <c r="K1391" s="1439"/>
      <c r="L1391" s="1439"/>
      <c r="M1391" s="1439"/>
      <c r="N1391" s="1439"/>
      <c r="O1391" s="1439"/>
      <c r="P1391" s="1439"/>
      <c r="Q1391" s="1439"/>
      <c r="R1391" s="1439"/>
      <c r="S1391" s="1439"/>
      <c r="T1391" s="1439"/>
      <c r="U1391" s="1439"/>
      <c r="V1391" s="1439"/>
      <c r="W1391" s="1439"/>
      <c r="X1391" s="1439"/>
      <c r="Y1391" s="1439"/>
      <c r="Z1391" s="1439"/>
      <c r="AA1391" s="1439"/>
      <c r="AB1391" s="1439"/>
      <c r="AC1391" s="1439"/>
      <c r="AD1391" s="1439"/>
      <c r="AE1391" s="1439"/>
      <c r="AF1391" s="1439"/>
      <c r="AG1391" s="1439"/>
    </row>
    <row r="1392" spans="1:33" ht="15.75" customHeight="1">
      <c r="A1392" s="1451"/>
      <c r="B1392" s="1450" t="s">
        <v>7236</v>
      </c>
      <c r="C1392" s="1484">
        <v>1</v>
      </c>
      <c r="D1392" s="1484" t="s">
        <v>3364</v>
      </c>
      <c r="E1392" s="1484">
        <v>3</v>
      </c>
      <c r="F1392" s="1446"/>
      <c r="G1392" s="1446"/>
      <c r="H1392" s="1447"/>
      <c r="I1392" s="1494">
        <f t="shared" si="70"/>
        <v>3</v>
      </c>
      <c r="J1392" s="1492"/>
      <c r="K1392" s="1439"/>
      <c r="L1392" s="1439"/>
      <c r="M1392" s="1439"/>
      <c r="N1392" s="1439"/>
      <c r="O1392" s="1439"/>
      <c r="P1392" s="1439"/>
      <c r="Q1392" s="1439"/>
      <c r="R1392" s="1439"/>
      <c r="S1392" s="1439"/>
      <c r="T1392" s="1439"/>
      <c r="U1392" s="1439"/>
      <c r="V1392" s="1439"/>
      <c r="W1392" s="1439"/>
      <c r="X1392" s="1439"/>
      <c r="Y1392" s="1439"/>
      <c r="Z1392" s="1439"/>
      <c r="AA1392" s="1439"/>
      <c r="AB1392" s="1439"/>
      <c r="AC1392" s="1439"/>
      <c r="AD1392" s="1439"/>
      <c r="AE1392" s="1439"/>
      <c r="AF1392" s="1439"/>
      <c r="AG1392" s="1439"/>
    </row>
    <row r="1393" spans="1:33" ht="15.75" customHeight="1">
      <c r="A1393" s="1451"/>
      <c r="B1393" s="1450" t="s">
        <v>7237</v>
      </c>
      <c r="C1393" s="1484">
        <v>2</v>
      </c>
      <c r="D1393" s="1484" t="s">
        <v>3364</v>
      </c>
      <c r="E1393" s="1484">
        <v>1</v>
      </c>
      <c r="F1393" s="1446"/>
      <c r="G1393" s="1446"/>
      <c r="H1393" s="1447"/>
      <c r="I1393" s="1494">
        <f t="shared" si="70"/>
        <v>2</v>
      </c>
      <c r="J1393" s="1492"/>
      <c r="K1393" s="1439"/>
      <c r="L1393" s="1439"/>
      <c r="M1393" s="1439"/>
      <c r="N1393" s="1439"/>
      <c r="O1393" s="1439"/>
      <c r="P1393" s="1439"/>
      <c r="Q1393" s="1439"/>
      <c r="R1393" s="1439"/>
      <c r="S1393" s="1439"/>
      <c r="T1393" s="1439"/>
      <c r="U1393" s="1439"/>
      <c r="V1393" s="1439"/>
      <c r="W1393" s="1439"/>
      <c r="X1393" s="1439"/>
      <c r="Y1393" s="1439"/>
      <c r="Z1393" s="1439"/>
      <c r="AA1393" s="1439"/>
      <c r="AB1393" s="1439"/>
      <c r="AC1393" s="1439"/>
      <c r="AD1393" s="1439"/>
      <c r="AE1393" s="1439"/>
      <c r="AF1393" s="1439"/>
      <c r="AG1393" s="1439"/>
    </row>
    <row r="1394" spans="1:33" ht="15.75" customHeight="1">
      <c r="A1394" s="1451"/>
      <c r="B1394" s="1450" t="s">
        <v>6586</v>
      </c>
      <c r="C1394" s="1484">
        <v>1</v>
      </c>
      <c r="D1394" s="1484" t="s">
        <v>3364</v>
      </c>
      <c r="E1394" s="1484">
        <v>2</v>
      </c>
      <c r="F1394" s="1446"/>
      <c r="G1394" s="1446"/>
      <c r="H1394" s="1447"/>
      <c r="I1394" s="1494">
        <f t="shared" si="70"/>
        <v>2</v>
      </c>
      <c r="J1394" s="1492"/>
      <c r="K1394" s="1439"/>
      <c r="L1394" s="1439"/>
      <c r="M1394" s="1439"/>
      <c r="N1394" s="1439"/>
      <c r="O1394" s="1439"/>
      <c r="P1394" s="1439"/>
      <c r="Q1394" s="1439"/>
      <c r="R1394" s="1439"/>
      <c r="S1394" s="1439"/>
      <c r="T1394" s="1439"/>
      <c r="U1394" s="1439"/>
      <c r="V1394" s="1439"/>
      <c r="W1394" s="1439"/>
      <c r="X1394" s="1439"/>
      <c r="Y1394" s="1439"/>
      <c r="Z1394" s="1439"/>
      <c r="AA1394" s="1439"/>
      <c r="AB1394" s="1439"/>
      <c r="AC1394" s="1439"/>
      <c r="AD1394" s="1439"/>
      <c r="AE1394" s="1439"/>
      <c r="AF1394" s="1439"/>
      <c r="AG1394" s="1439"/>
    </row>
    <row r="1395" spans="1:33" ht="15.75" customHeight="1">
      <c r="A1395" s="1451"/>
      <c r="B1395" s="1450" t="s">
        <v>7238</v>
      </c>
      <c r="C1395" s="1484">
        <v>1</v>
      </c>
      <c r="D1395" s="1484" t="s">
        <v>3364</v>
      </c>
      <c r="E1395" s="1484">
        <v>3</v>
      </c>
      <c r="F1395" s="1446"/>
      <c r="G1395" s="1446"/>
      <c r="H1395" s="1447"/>
      <c r="I1395" s="1494">
        <f t="shared" si="70"/>
        <v>3</v>
      </c>
      <c r="J1395" s="1492"/>
      <c r="K1395" s="1439"/>
      <c r="L1395" s="1439"/>
      <c r="M1395" s="1439"/>
      <c r="N1395" s="1439"/>
      <c r="O1395" s="1439"/>
      <c r="P1395" s="1439"/>
      <c r="Q1395" s="1439"/>
      <c r="R1395" s="1439"/>
      <c r="S1395" s="1439"/>
      <c r="T1395" s="1439"/>
      <c r="U1395" s="1439"/>
      <c r="V1395" s="1439"/>
      <c r="W1395" s="1439"/>
      <c r="X1395" s="1439"/>
      <c r="Y1395" s="1439"/>
      <c r="Z1395" s="1439"/>
      <c r="AA1395" s="1439"/>
      <c r="AB1395" s="1439"/>
      <c r="AC1395" s="1439"/>
      <c r="AD1395" s="1439"/>
      <c r="AE1395" s="1439"/>
      <c r="AF1395" s="1439"/>
      <c r="AG1395" s="1439"/>
    </row>
    <row r="1396" spans="1:33" ht="15.75" customHeight="1">
      <c r="A1396" s="1451"/>
      <c r="B1396" s="1450" t="s">
        <v>7239</v>
      </c>
      <c r="C1396" s="1484">
        <v>1</v>
      </c>
      <c r="D1396" s="1484" t="s">
        <v>3364</v>
      </c>
      <c r="E1396" s="1484">
        <v>2</v>
      </c>
      <c r="F1396" s="1446"/>
      <c r="G1396" s="1446"/>
      <c r="H1396" s="1447"/>
      <c r="I1396" s="1494">
        <f t="shared" si="70"/>
        <v>2</v>
      </c>
      <c r="J1396" s="1492"/>
      <c r="K1396" s="1439"/>
      <c r="L1396" s="1439"/>
      <c r="M1396" s="1439"/>
      <c r="N1396" s="1439"/>
      <c r="O1396" s="1439"/>
      <c r="P1396" s="1439"/>
      <c r="Q1396" s="1439"/>
      <c r="R1396" s="1439"/>
      <c r="S1396" s="1439"/>
      <c r="T1396" s="1439"/>
      <c r="U1396" s="1439"/>
      <c r="V1396" s="1439"/>
      <c r="W1396" s="1439"/>
      <c r="X1396" s="1439"/>
      <c r="Y1396" s="1439"/>
      <c r="Z1396" s="1439"/>
      <c r="AA1396" s="1439"/>
      <c r="AB1396" s="1439"/>
      <c r="AC1396" s="1439"/>
      <c r="AD1396" s="1439"/>
      <c r="AE1396" s="1439"/>
      <c r="AF1396" s="1439"/>
      <c r="AG1396" s="1439"/>
    </row>
    <row r="1397" spans="1:33" ht="15.75" customHeight="1">
      <c r="A1397" s="1470"/>
      <c r="B1397" s="1450"/>
      <c r="C1397" s="1484"/>
      <c r="D1397" s="1484"/>
      <c r="E1397" s="1484"/>
      <c r="F1397" s="1446"/>
      <c r="G1397" s="1458" t="s">
        <v>104</v>
      </c>
      <c r="H1397" s="1447"/>
      <c r="I1397" s="1459">
        <f>SUM(I1338:I1396)</f>
        <v>165</v>
      </c>
      <c r="J1397" s="1475" t="s">
        <v>3471</v>
      </c>
      <c r="K1397" s="1439"/>
      <c r="L1397" s="1439"/>
      <c r="M1397" s="1439"/>
      <c r="N1397" s="1439"/>
      <c r="O1397" s="1439"/>
      <c r="P1397" s="1439"/>
      <c r="Q1397" s="1439"/>
      <c r="R1397" s="1439"/>
      <c r="S1397" s="1439"/>
      <c r="T1397" s="1439"/>
      <c r="U1397" s="1439"/>
      <c r="V1397" s="1439"/>
      <c r="W1397" s="1439"/>
      <c r="X1397" s="1439"/>
      <c r="Y1397" s="1439"/>
      <c r="Z1397" s="1439"/>
      <c r="AA1397" s="1439"/>
      <c r="AB1397" s="1439"/>
      <c r="AC1397" s="1439"/>
      <c r="AD1397" s="1439"/>
      <c r="AE1397" s="1439"/>
      <c r="AF1397" s="1439"/>
      <c r="AG1397" s="1439"/>
    </row>
    <row r="1398" spans="1:33">
      <c r="A1398" s="1451"/>
      <c r="B1398" s="1456" t="s">
        <v>3669</v>
      </c>
      <c r="C1398" s="1484"/>
      <c r="D1398" s="1484"/>
      <c r="E1398" s="1484"/>
      <c r="F1398" s="1446"/>
      <c r="G1398" s="1446"/>
      <c r="H1398" s="1447"/>
      <c r="I1398" s="1448"/>
      <c r="J1398" s="1475"/>
      <c r="K1398" s="1439"/>
      <c r="L1398" s="1439"/>
      <c r="M1398" s="1439"/>
      <c r="N1398" s="1439"/>
      <c r="O1398" s="1439"/>
      <c r="P1398" s="1439"/>
      <c r="Q1398" s="1439"/>
      <c r="R1398" s="1439"/>
      <c r="S1398" s="1439"/>
      <c r="T1398" s="1439"/>
      <c r="U1398" s="1439"/>
      <c r="V1398" s="1439"/>
      <c r="W1398" s="1439"/>
      <c r="X1398" s="1439"/>
      <c r="Y1398" s="1439"/>
      <c r="Z1398" s="1439"/>
      <c r="AA1398" s="1439"/>
      <c r="AB1398" s="1439"/>
      <c r="AC1398" s="1439"/>
      <c r="AD1398" s="1439"/>
      <c r="AE1398" s="1439"/>
      <c r="AF1398" s="1439"/>
      <c r="AG1398" s="1439"/>
    </row>
    <row r="1399" spans="1:33" ht="15.75" customHeight="1">
      <c r="A1399" s="1451"/>
      <c r="B1399" s="1456" t="s">
        <v>7157</v>
      </c>
      <c r="C1399" s="1484"/>
      <c r="D1399" s="1484"/>
      <c r="E1399" s="1484"/>
      <c r="F1399" s="1446"/>
      <c r="G1399" s="1446"/>
      <c r="H1399" s="1447"/>
      <c r="I1399" s="1494"/>
      <c r="J1399" s="1492"/>
      <c r="K1399" s="1439"/>
      <c r="L1399" s="1439"/>
      <c r="M1399" s="1439"/>
      <c r="N1399" s="1439"/>
      <c r="O1399" s="1439"/>
      <c r="P1399" s="1439"/>
      <c r="Q1399" s="1439"/>
      <c r="R1399" s="1439"/>
      <c r="S1399" s="1439"/>
      <c r="T1399" s="1439"/>
      <c r="U1399" s="1439"/>
      <c r="V1399" s="1439"/>
      <c r="W1399" s="1439"/>
      <c r="X1399" s="1439"/>
      <c r="Y1399" s="1439"/>
      <c r="Z1399" s="1439"/>
      <c r="AA1399" s="1439"/>
      <c r="AB1399" s="1439"/>
      <c r="AC1399" s="1439"/>
      <c r="AD1399" s="1439"/>
      <c r="AE1399" s="1439"/>
      <c r="AF1399" s="1439"/>
      <c r="AG1399" s="1439"/>
    </row>
    <row r="1400" spans="1:33" ht="15.75" customHeight="1">
      <c r="A1400" s="1451"/>
      <c r="B1400" s="1450" t="s">
        <v>7079</v>
      </c>
      <c r="C1400" s="1484">
        <v>1</v>
      </c>
      <c r="D1400" s="1484" t="s">
        <v>3364</v>
      </c>
      <c r="E1400" s="1484">
        <v>1</v>
      </c>
      <c r="F1400" s="1446"/>
      <c r="G1400" s="1446"/>
      <c r="H1400" s="1447"/>
      <c r="I1400" s="1494">
        <f t="shared" ref="I1400:I1458" si="71">PRODUCT(C1400:H1400)</f>
        <v>1</v>
      </c>
      <c r="J1400" s="1492"/>
      <c r="K1400" s="1439"/>
      <c r="L1400" s="1439"/>
      <c r="M1400" s="1439"/>
      <c r="N1400" s="1439"/>
      <c r="O1400" s="1439"/>
      <c r="P1400" s="1439"/>
      <c r="Q1400" s="1439"/>
      <c r="R1400" s="1439"/>
      <c r="S1400" s="1439"/>
      <c r="T1400" s="1439"/>
      <c r="U1400" s="1439"/>
      <c r="V1400" s="1439"/>
      <c r="W1400" s="1439"/>
      <c r="X1400" s="1439"/>
      <c r="Y1400" s="1439"/>
      <c r="Z1400" s="1439"/>
      <c r="AA1400" s="1439"/>
      <c r="AB1400" s="1439"/>
      <c r="AC1400" s="1439"/>
      <c r="AD1400" s="1439"/>
      <c r="AE1400" s="1439"/>
      <c r="AF1400" s="1439"/>
      <c r="AG1400" s="1439"/>
    </row>
    <row r="1401" spans="1:33" ht="15.75" customHeight="1">
      <c r="A1401" s="1451"/>
      <c r="B1401" s="1450" t="s">
        <v>7214</v>
      </c>
      <c r="C1401" s="1484">
        <v>2</v>
      </c>
      <c r="D1401" s="1484" t="s">
        <v>3364</v>
      </c>
      <c r="E1401" s="1484">
        <v>3</v>
      </c>
      <c r="F1401" s="1446"/>
      <c r="G1401" s="1446"/>
      <c r="H1401" s="1447"/>
      <c r="I1401" s="1494">
        <f t="shared" si="71"/>
        <v>6</v>
      </c>
      <c r="J1401" s="1492"/>
      <c r="K1401" s="1439"/>
      <c r="L1401" s="1439"/>
      <c r="M1401" s="1439"/>
      <c r="N1401" s="1439"/>
      <c r="O1401" s="1439"/>
      <c r="P1401" s="1439"/>
      <c r="Q1401" s="1439"/>
      <c r="R1401" s="1439"/>
      <c r="S1401" s="1439"/>
      <c r="T1401" s="1439"/>
      <c r="U1401" s="1439"/>
      <c r="V1401" s="1439"/>
      <c r="W1401" s="1439"/>
      <c r="X1401" s="1439"/>
      <c r="Y1401" s="1439"/>
      <c r="Z1401" s="1439"/>
      <c r="AA1401" s="1439"/>
      <c r="AB1401" s="1439"/>
      <c r="AC1401" s="1439"/>
      <c r="AD1401" s="1439"/>
      <c r="AE1401" s="1439"/>
      <c r="AF1401" s="1439"/>
      <c r="AG1401" s="1439"/>
    </row>
    <row r="1402" spans="1:33" ht="15.75" customHeight="1">
      <c r="A1402" s="1451"/>
      <c r="B1402" s="1450" t="s">
        <v>7215</v>
      </c>
      <c r="C1402" s="1484">
        <v>1</v>
      </c>
      <c r="D1402" s="1484" t="s">
        <v>3364</v>
      </c>
      <c r="E1402" s="1484">
        <v>2</v>
      </c>
      <c r="F1402" s="1446"/>
      <c r="G1402" s="1446"/>
      <c r="H1402" s="1447"/>
      <c r="I1402" s="1494">
        <f t="shared" si="71"/>
        <v>2</v>
      </c>
      <c r="J1402" s="1492"/>
      <c r="K1402" s="1439"/>
      <c r="L1402" s="1439"/>
      <c r="M1402" s="1439"/>
      <c r="N1402" s="1439"/>
      <c r="O1402" s="1439"/>
      <c r="P1402" s="1439"/>
      <c r="Q1402" s="1439"/>
      <c r="R1402" s="1439"/>
      <c r="S1402" s="1439"/>
      <c r="T1402" s="1439"/>
      <c r="U1402" s="1439"/>
      <c r="V1402" s="1439"/>
      <c r="W1402" s="1439"/>
      <c r="X1402" s="1439"/>
      <c r="Y1402" s="1439"/>
      <c r="Z1402" s="1439"/>
      <c r="AA1402" s="1439"/>
      <c r="AB1402" s="1439"/>
      <c r="AC1402" s="1439"/>
      <c r="AD1402" s="1439"/>
      <c r="AE1402" s="1439"/>
      <c r="AF1402" s="1439"/>
      <c r="AG1402" s="1439"/>
    </row>
    <row r="1403" spans="1:33" ht="15.75" customHeight="1">
      <c r="A1403" s="1451"/>
      <c r="B1403" s="1450" t="s">
        <v>7080</v>
      </c>
      <c r="C1403" s="1484">
        <v>1</v>
      </c>
      <c r="D1403" s="1484" t="s">
        <v>3364</v>
      </c>
      <c r="E1403" s="1484">
        <v>2</v>
      </c>
      <c r="F1403" s="1446"/>
      <c r="G1403" s="1446"/>
      <c r="H1403" s="1447"/>
      <c r="I1403" s="1494">
        <f t="shared" si="71"/>
        <v>2</v>
      </c>
      <c r="J1403" s="1492"/>
      <c r="K1403" s="1439"/>
      <c r="L1403" s="1439"/>
      <c r="M1403" s="1439"/>
      <c r="N1403" s="1439"/>
      <c r="O1403" s="1439"/>
      <c r="P1403" s="1439"/>
      <c r="Q1403" s="1439"/>
      <c r="R1403" s="1439"/>
      <c r="S1403" s="1439"/>
      <c r="T1403" s="1439"/>
      <c r="U1403" s="1439"/>
      <c r="V1403" s="1439"/>
      <c r="W1403" s="1439"/>
      <c r="X1403" s="1439"/>
      <c r="Y1403" s="1439"/>
      <c r="Z1403" s="1439"/>
      <c r="AA1403" s="1439"/>
      <c r="AB1403" s="1439"/>
      <c r="AC1403" s="1439"/>
      <c r="AD1403" s="1439"/>
      <c r="AE1403" s="1439"/>
      <c r="AF1403" s="1439"/>
      <c r="AG1403" s="1439"/>
    </row>
    <row r="1404" spans="1:33" ht="15.75" customHeight="1">
      <c r="A1404" s="1451"/>
      <c r="B1404" s="1450" t="s">
        <v>7216</v>
      </c>
      <c r="C1404" s="1484">
        <v>2</v>
      </c>
      <c r="D1404" s="1484" t="s">
        <v>3364</v>
      </c>
      <c r="E1404" s="1484">
        <v>3</v>
      </c>
      <c r="F1404" s="1446"/>
      <c r="G1404" s="1446"/>
      <c r="H1404" s="1447"/>
      <c r="I1404" s="1494">
        <f t="shared" si="71"/>
        <v>6</v>
      </c>
      <c r="J1404" s="1492"/>
      <c r="K1404" s="1439"/>
      <c r="L1404" s="1439"/>
      <c r="M1404" s="1439"/>
      <c r="N1404" s="1439"/>
      <c r="O1404" s="1439"/>
      <c r="P1404" s="1439"/>
      <c r="Q1404" s="1439"/>
      <c r="R1404" s="1439"/>
      <c r="S1404" s="1439"/>
      <c r="T1404" s="1439"/>
      <c r="U1404" s="1439"/>
      <c r="V1404" s="1439"/>
      <c r="W1404" s="1439"/>
      <c r="X1404" s="1439"/>
      <c r="Y1404" s="1439"/>
      <c r="Z1404" s="1439"/>
      <c r="AA1404" s="1439"/>
      <c r="AB1404" s="1439"/>
      <c r="AC1404" s="1439"/>
      <c r="AD1404" s="1439"/>
      <c r="AE1404" s="1439"/>
      <c r="AF1404" s="1439"/>
      <c r="AG1404" s="1439"/>
    </row>
    <row r="1405" spans="1:33" ht="15.75" customHeight="1">
      <c r="A1405" s="1451"/>
      <c r="B1405" s="1450" t="s">
        <v>7217</v>
      </c>
      <c r="C1405" s="1484">
        <v>2</v>
      </c>
      <c r="D1405" s="1484" t="s">
        <v>3364</v>
      </c>
      <c r="E1405" s="1484">
        <v>1</v>
      </c>
      <c r="F1405" s="1446"/>
      <c r="G1405" s="1446"/>
      <c r="H1405" s="1447"/>
      <c r="I1405" s="1494">
        <f t="shared" si="71"/>
        <v>2</v>
      </c>
      <c r="J1405" s="1492"/>
      <c r="K1405" s="1439"/>
      <c r="L1405" s="1439"/>
      <c r="M1405" s="1439"/>
      <c r="N1405" s="1439"/>
      <c r="O1405" s="1439"/>
      <c r="P1405" s="1439"/>
      <c r="Q1405" s="1439"/>
      <c r="R1405" s="1439"/>
      <c r="S1405" s="1439"/>
      <c r="T1405" s="1439"/>
      <c r="U1405" s="1439"/>
      <c r="V1405" s="1439"/>
      <c r="W1405" s="1439"/>
      <c r="X1405" s="1439"/>
      <c r="Y1405" s="1439"/>
      <c r="Z1405" s="1439"/>
      <c r="AA1405" s="1439"/>
      <c r="AB1405" s="1439"/>
      <c r="AC1405" s="1439"/>
      <c r="AD1405" s="1439"/>
      <c r="AE1405" s="1439"/>
      <c r="AF1405" s="1439"/>
      <c r="AG1405" s="1439"/>
    </row>
    <row r="1406" spans="1:33" ht="15.75" customHeight="1">
      <c r="A1406" s="1451"/>
      <c r="B1406" s="1450" t="s">
        <v>7218</v>
      </c>
      <c r="C1406" s="1484">
        <v>1</v>
      </c>
      <c r="D1406" s="1484" t="s">
        <v>3364</v>
      </c>
      <c r="E1406" s="1484">
        <v>1</v>
      </c>
      <c r="F1406" s="1446"/>
      <c r="G1406" s="1446"/>
      <c r="H1406" s="1447"/>
      <c r="I1406" s="1494">
        <f t="shared" si="71"/>
        <v>1</v>
      </c>
      <c r="J1406" s="1492"/>
      <c r="K1406" s="1439"/>
      <c r="L1406" s="1439"/>
      <c r="M1406" s="1439"/>
      <c r="N1406" s="1439"/>
      <c r="O1406" s="1439"/>
      <c r="P1406" s="1439"/>
      <c r="Q1406" s="1439"/>
      <c r="R1406" s="1439"/>
      <c r="S1406" s="1439"/>
      <c r="T1406" s="1439"/>
      <c r="U1406" s="1439"/>
      <c r="V1406" s="1439"/>
      <c r="W1406" s="1439"/>
      <c r="X1406" s="1439"/>
      <c r="Y1406" s="1439"/>
      <c r="Z1406" s="1439"/>
      <c r="AA1406" s="1439"/>
      <c r="AB1406" s="1439"/>
      <c r="AC1406" s="1439"/>
      <c r="AD1406" s="1439"/>
      <c r="AE1406" s="1439"/>
      <c r="AF1406" s="1439"/>
      <c r="AG1406" s="1439"/>
    </row>
    <row r="1407" spans="1:33" ht="15.75" customHeight="1">
      <c r="A1407" s="1451"/>
      <c r="B1407" s="1456" t="s">
        <v>3486</v>
      </c>
      <c r="C1407" s="1484"/>
      <c r="D1407" s="1484"/>
      <c r="E1407" s="1484"/>
      <c r="F1407" s="1446"/>
      <c r="G1407" s="1446"/>
      <c r="H1407" s="1447"/>
      <c r="I1407" s="1494">
        <f t="shared" si="71"/>
        <v>0</v>
      </c>
      <c r="J1407" s="1492"/>
      <c r="K1407" s="1439"/>
      <c r="L1407" s="1439"/>
      <c r="M1407" s="1439"/>
      <c r="N1407" s="1439"/>
      <c r="O1407" s="1439"/>
      <c r="P1407" s="1439"/>
      <c r="Q1407" s="1439"/>
      <c r="R1407" s="1439"/>
      <c r="S1407" s="1439"/>
      <c r="T1407" s="1439"/>
      <c r="U1407" s="1439"/>
      <c r="V1407" s="1439"/>
      <c r="W1407" s="1439"/>
      <c r="X1407" s="1439"/>
      <c r="Y1407" s="1439"/>
      <c r="Z1407" s="1439"/>
      <c r="AA1407" s="1439"/>
      <c r="AB1407" s="1439"/>
      <c r="AC1407" s="1439"/>
      <c r="AD1407" s="1439"/>
      <c r="AE1407" s="1439"/>
      <c r="AF1407" s="1439"/>
      <c r="AG1407" s="1439"/>
    </row>
    <row r="1408" spans="1:33" ht="15.75" customHeight="1">
      <c r="A1408" s="1451"/>
      <c r="B1408" s="1450" t="s">
        <v>7219</v>
      </c>
      <c r="C1408" s="1484">
        <v>1</v>
      </c>
      <c r="D1408" s="1484" t="s">
        <v>3364</v>
      </c>
      <c r="E1408" s="1484">
        <v>1</v>
      </c>
      <c r="F1408" s="1446"/>
      <c r="G1408" s="1446"/>
      <c r="H1408" s="1447"/>
      <c r="I1408" s="1494">
        <f t="shared" si="71"/>
        <v>1</v>
      </c>
      <c r="J1408" s="1492"/>
      <c r="K1408" s="1439"/>
      <c r="L1408" s="1439"/>
      <c r="M1408" s="1439"/>
      <c r="N1408" s="1439"/>
      <c r="O1408" s="1439"/>
      <c r="P1408" s="1439"/>
      <c r="Q1408" s="1439"/>
      <c r="R1408" s="1439"/>
      <c r="S1408" s="1439"/>
      <c r="T1408" s="1439"/>
      <c r="U1408" s="1439"/>
      <c r="V1408" s="1439"/>
      <c r="W1408" s="1439"/>
      <c r="X1408" s="1439"/>
      <c r="Y1408" s="1439"/>
      <c r="Z1408" s="1439"/>
      <c r="AA1408" s="1439"/>
      <c r="AB1408" s="1439"/>
      <c r="AC1408" s="1439"/>
      <c r="AD1408" s="1439"/>
      <c r="AE1408" s="1439"/>
      <c r="AF1408" s="1439"/>
      <c r="AG1408" s="1439"/>
    </row>
    <row r="1409" spans="1:33" ht="15.75" customHeight="1">
      <c r="A1409" s="1451"/>
      <c r="B1409" s="1450" t="s">
        <v>7220</v>
      </c>
      <c r="C1409" s="1484">
        <v>1</v>
      </c>
      <c r="D1409" s="1484" t="s">
        <v>3364</v>
      </c>
      <c r="E1409" s="1484">
        <v>2</v>
      </c>
      <c r="F1409" s="1446"/>
      <c r="G1409" s="1446"/>
      <c r="H1409" s="1447"/>
      <c r="I1409" s="1494">
        <f t="shared" si="71"/>
        <v>2</v>
      </c>
      <c r="J1409" s="1492"/>
      <c r="K1409" s="1439"/>
      <c r="L1409" s="1439"/>
      <c r="M1409" s="1439"/>
      <c r="N1409" s="1439"/>
      <c r="O1409" s="1439"/>
      <c r="P1409" s="1439"/>
      <c r="Q1409" s="1439"/>
      <c r="R1409" s="1439"/>
      <c r="S1409" s="1439"/>
      <c r="T1409" s="1439"/>
      <c r="U1409" s="1439"/>
      <c r="V1409" s="1439"/>
      <c r="W1409" s="1439"/>
      <c r="X1409" s="1439"/>
      <c r="Y1409" s="1439"/>
      <c r="Z1409" s="1439"/>
      <c r="AA1409" s="1439"/>
      <c r="AB1409" s="1439"/>
      <c r="AC1409" s="1439"/>
      <c r="AD1409" s="1439"/>
      <c r="AE1409" s="1439"/>
      <c r="AF1409" s="1439"/>
      <c r="AG1409" s="1439"/>
    </row>
    <row r="1410" spans="1:33" ht="15.75" customHeight="1">
      <c r="A1410" s="1451"/>
      <c r="B1410" s="1450" t="s">
        <v>7221</v>
      </c>
      <c r="C1410" s="1484">
        <v>1</v>
      </c>
      <c r="D1410" s="1484" t="s">
        <v>3364</v>
      </c>
      <c r="E1410" s="1484">
        <v>2</v>
      </c>
      <c r="F1410" s="1446"/>
      <c r="G1410" s="1446"/>
      <c r="H1410" s="1447"/>
      <c r="I1410" s="1494">
        <f t="shared" si="71"/>
        <v>2</v>
      </c>
      <c r="J1410" s="1492"/>
      <c r="K1410" s="1439"/>
      <c r="L1410" s="1439"/>
      <c r="M1410" s="1439"/>
      <c r="N1410" s="1439"/>
      <c r="O1410" s="1439"/>
      <c r="P1410" s="1439"/>
      <c r="Q1410" s="1439"/>
      <c r="R1410" s="1439"/>
      <c r="S1410" s="1439"/>
      <c r="T1410" s="1439"/>
      <c r="U1410" s="1439"/>
      <c r="V1410" s="1439"/>
      <c r="W1410" s="1439"/>
      <c r="X1410" s="1439"/>
      <c r="Y1410" s="1439"/>
      <c r="Z1410" s="1439"/>
      <c r="AA1410" s="1439"/>
      <c r="AB1410" s="1439"/>
      <c r="AC1410" s="1439"/>
      <c r="AD1410" s="1439"/>
      <c r="AE1410" s="1439"/>
      <c r="AF1410" s="1439"/>
      <c r="AG1410" s="1439"/>
    </row>
    <row r="1411" spans="1:33" ht="15.75" customHeight="1">
      <c r="A1411" s="1451"/>
      <c r="B1411" s="1450" t="s">
        <v>7222</v>
      </c>
      <c r="C1411" s="1484">
        <v>1</v>
      </c>
      <c r="D1411" s="1484" t="s">
        <v>3364</v>
      </c>
      <c r="E1411" s="1484">
        <v>1</v>
      </c>
      <c r="F1411" s="1446"/>
      <c r="G1411" s="1446"/>
      <c r="H1411" s="1447"/>
      <c r="I1411" s="1494">
        <f t="shared" si="71"/>
        <v>1</v>
      </c>
      <c r="J1411" s="1492"/>
      <c r="K1411" s="1439"/>
      <c r="L1411" s="1439"/>
      <c r="M1411" s="1439"/>
      <c r="N1411" s="1439"/>
      <c r="O1411" s="1439"/>
      <c r="P1411" s="1439"/>
      <c r="Q1411" s="1439"/>
      <c r="R1411" s="1439"/>
      <c r="S1411" s="1439"/>
      <c r="T1411" s="1439"/>
      <c r="U1411" s="1439"/>
      <c r="V1411" s="1439"/>
      <c r="W1411" s="1439"/>
      <c r="X1411" s="1439"/>
      <c r="Y1411" s="1439"/>
      <c r="Z1411" s="1439"/>
      <c r="AA1411" s="1439"/>
      <c r="AB1411" s="1439"/>
      <c r="AC1411" s="1439"/>
      <c r="AD1411" s="1439"/>
      <c r="AE1411" s="1439"/>
      <c r="AF1411" s="1439"/>
      <c r="AG1411" s="1439"/>
    </row>
    <row r="1412" spans="1:33" ht="15.75" customHeight="1">
      <c r="A1412" s="1451"/>
      <c r="B1412" s="1450" t="s">
        <v>7223</v>
      </c>
      <c r="C1412" s="1484">
        <v>2</v>
      </c>
      <c r="D1412" s="1484" t="s">
        <v>3364</v>
      </c>
      <c r="E1412" s="1484">
        <v>2</v>
      </c>
      <c r="F1412" s="1446"/>
      <c r="G1412" s="1446"/>
      <c r="H1412" s="1447"/>
      <c r="I1412" s="1494">
        <f t="shared" si="71"/>
        <v>4</v>
      </c>
      <c r="J1412" s="1492"/>
      <c r="K1412" s="1439"/>
      <c r="L1412" s="1439"/>
      <c r="M1412" s="1439"/>
      <c r="N1412" s="1439"/>
      <c r="O1412" s="1439"/>
      <c r="P1412" s="1439"/>
      <c r="Q1412" s="1439"/>
      <c r="R1412" s="1439"/>
      <c r="S1412" s="1439"/>
      <c r="T1412" s="1439"/>
      <c r="U1412" s="1439"/>
      <c r="V1412" s="1439"/>
      <c r="W1412" s="1439"/>
      <c r="X1412" s="1439"/>
      <c r="Y1412" s="1439"/>
      <c r="Z1412" s="1439"/>
      <c r="AA1412" s="1439"/>
      <c r="AB1412" s="1439"/>
      <c r="AC1412" s="1439"/>
      <c r="AD1412" s="1439"/>
      <c r="AE1412" s="1439"/>
      <c r="AF1412" s="1439"/>
      <c r="AG1412" s="1439"/>
    </row>
    <row r="1413" spans="1:33" ht="15.75" customHeight="1">
      <c r="A1413" s="1451"/>
      <c r="B1413" s="1450" t="s">
        <v>7217</v>
      </c>
      <c r="C1413" s="1484">
        <v>2</v>
      </c>
      <c r="D1413" s="1484" t="s">
        <v>3364</v>
      </c>
      <c r="E1413" s="1484">
        <v>1</v>
      </c>
      <c r="F1413" s="1446"/>
      <c r="G1413" s="1446"/>
      <c r="H1413" s="1447"/>
      <c r="I1413" s="1494">
        <f t="shared" si="71"/>
        <v>2</v>
      </c>
      <c r="J1413" s="1492"/>
      <c r="K1413" s="1439"/>
      <c r="L1413" s="1439"/>
      <c r="M1413" s="1439"/>
      <c r="N1413" s="1439"/>
      <c r="O1413" s="1439"/>
      <c r="P1413" s="1439"/>
      <c r="Q1413" s="1439"/>
      <c r="R1413" s="1439"/>
      <c r="S1413" s="1439"/>
      <c r="T1413" s="1439"/>
      <c r="U1413" s="1439"/>
      <c r="V1413" s="1439"/>
      <c r="W1413" s="1439"/>
      <c r="X1413" s="1439"/>
      <c r="Y1413" s="1439"/>
      <c r="Z1413" s="1439"/>
      <c r="AA1413" s="1439"/>
      <c r="AB1413" s="1439"/>
      <c r="AC1413" s="1439"/>
      <c r="AD1413" s="1439"/>
      <c r="AE1413" s="1439"/>
      <c r="AF1413" s="1439"/>
      <c r="AG1413" s="1439"/>
    </row>
    <row r="1414" spans="1:33" ht="15.75" customHeight="1">
      <c r="A1414" s="1451"/>
      <c r="B1414" s="1450" t="s">
        <v>7083</v>
      </c>
      <c r="C1414" s="1484">
        <v>1</v>
      </c>
      <c r="D1414" s="1484" t="s">
        <v>3364</v>
      </c>
      <c r="E1414" s="1484">
        <v>1</v>
      </c>
      <c r="F1414" s="1446"/>
      <c r="G1414" s="1446"/>
      <c r="H1414" s="1447"/>
      <c r="I1414" s="1494">
        <f t="shared" si="71"/>
        <v>1</v>
      </c>
      <c r="J1414" s="1492"/>
      <c r="K1414" s="1439"/>
      <c r="L1414" s="1439"/>
      <c r="M1414" s="1439"/>
      <c r="N1414" s="1439"/>
      <c r="O1414" s="1439"/>
      <c r="P1414" s="1439"/>
      <c r="Q1414" s="1439"/>
      <c r="R1414" s="1439"/>
      <c r="S1414" s="1439"/>
      <c r="T1414" s="1439"/>
      <c r="U1414" s="1439"/>
      <c r="V1414" s="1439"/>
      <c r="W1414" s="1439"/>
      <c r="X1414" s="1439"/>
      <c r="Y1414" s="1439"/>
      <c r="Z1414" s="1439"/>
      <c r="AA1414" s="1439"/>
      <c r="AB1414" s="1439"/>
      <c r="AC1414" s="1439"/>
      <c r="AD1414" s="1439"/>
      <c r="AE1414" s="1439"/>
      <c r="AF1414" s="1439"/>
      <c r="AG1414" s="1439"/>
    </row>
    <row r="1415" spans="1:33" ht="15.75" customHeight="1">
      <c r="A1415" s="1451"/>
      <c r="B1415" s="1456" t="s">
        <v>3488</v>
      </c>
      <c r="C1415" s="1484"/>
      <c r="D1415" s="1484"/>
      <c r="E1415" s="1484"/>
      <c r="F1415" s="1446"/>
      <c r="G1415" s="1446"/>
      <c r="H1415" s="1447"/>
      <c r="I1415" s="1494">
        <f t="shared" si="71"/>
        <v>0</v>
      </c>
      <c r="J1415" s="1492"/>
      <c r="K1415" s="1439"/>
      <c r="L1415" s="1439"/>
      <c r="M1415" s="1439"/>
      <c r="N1415" s="1439"/>
      <c r="O1415" s="1439"/>
      <c r="P1415" s="1439"/>
      <c r="Q1415" s="1439"/>
      <c r="R1415" s="1439"/>
      <c r="S1415" s="1439"/>
      <c r="T1415" s="1439"/>
      <c r="U1415" s="1439"/>
      <c r="V1415" s="1439"/>
      <c r="W1415" s="1439"/>
      <c r="X1415" s="1439"/>
      <c r="Y1415" s="1439"/>
      <c r="Z1415" s="1439"/>
      <c r="AA1415" s="1439"/>
      <c r="AB1415" s="1439"/>
      <c r="AC1415" s="1439"/>
      <c r="AD1415" s="1439"/>
      <c r="AE1415" s="1439"/>
      <c r="AF1415" s="1439"/>
      <c r="AG1415" s="1439"/>
    </row>
    <row r="1416" spans="1:33" ht="15.75" customHeight="1">
      <c r="A1416" s="1451"/>
      <c r="B1416" s="1450" t="s">
        <v>7224</v>
      </c>
      <c r="C1416" s="1484">
        <v>1</v>
      </c>
      <c r="D1416" s="1484" t="s">
        <v>3364</v>
      </c>
      <c r="E1416" s="1484">
        <v>1</v>
      </c>
      <c r="F1416" s="1446"/>
      <c r="G1416" s="1446"/>
      <c r="H1416" s="1447"/>
      <c r="I1416" s="1494">
        <f t="shared" si="71"/>
        <v>1</v>
      </c>
      <c r="J1416" s="1492"/>
      <c r="K1416" s="1439"/>
      <c r="L1416" s="1439"/>
      <c r="M1416" s="1439"/>
      <c r="N1416" s="1439"/>
      <c r="O1416" s="1439"/>
      <c r="P1416" s="1439"/>
      <c r="Q1416" s="1439"/>
      <c r="R1416" s="1439"/>
      <c r="S1416" s="1439"/>
      <c r="T1416" s="1439"/>
      <c r="U1416" s="1439"/>
      <c r="V1416" s="1439"/>
      <c r="W1416" s="1439"/>
      <c r="X1416" s="1439"/>
      <c r="Y1416" s="1439"/>
      <c r="Z1416" s="1439"/>
      <c r="AA1416" s="1439"/>
      <c r="AB1416" s="1439"/>
      <c r="AC1416" s="1439"/>
      <c r="AD1416" s="1439"/>
      <c r="AE1416" s="1439"/>
      <c r="AF1416" s="1439"/>
      <c r="AG1416" s="1439"/>
    </row>
    <row r="1417" spans="1:33" ht="15.75" customHeight="1">
      <c r="A1417" s="1451"/>
      <c r="B1417" s="1450" t="s">
        <v>7221</v>
      </c>
      <c r="C1417" s="1484">
        <v>1</v>
      </c>
      <c r="D1417" s="1484" t="s">
        <v>3364</v>
      </c>
      <c r="E1417" s="1484">
        <v>2</v>
      </c>
      <c r="F1417" s="1446"/>
      <c r="G1417" s="1446"/>
      <c r="H1417" s="1447"/>
      <c r="I1417" s="1494">
        <f t="shared" si="71"/>
        <v>2</v>
      </c>
      <c r="J1417" s="1492"/>
      <c r="K1417" s="1439"/>
      <c r="L1417" s="1439"/>
      <c r="M1417" s="1439"/>
      <c r="N1417" s="1439"/>
      <c r="O1417" s="1439"/>
      <c r="P1417" s="1439"/>
      <c r="Q1417" s="1439"/>
      <c r="R1417" s="1439"/>
      <c r="S1417" s="1439"/>
      <c r="T1417" s="1439"/>
      <c r="U1417" s="1439"/>
      <c r="V1417" s="1439"/>
      <c r="W1417" s="1439"/>
      <c r="X1417" s="1439"/>
      <c r="Y1417" s="1439"/>
      <c r="Z1417" s="1439"/>
      <c r="AA1417" s="1439"/>
      <c r="AB1417" s="1439"/>
      <c r="AC1417" s="1439"/>
      <c r="AD1417" s="1439"/>
      <c r="AE1417" s="1439"/>
      <c r="AF1417" s="1439"/>
      <c r="AG1417" s="1439"/>
    </row>
    <row r="1418" spans="1:33" ht="15.75" customHeight="1">
      <c r="A1418" s="1451"/>
      <c r="B1418" s="1450" t="s">
        <v>7163</v>
      </c>
      <c r="C1418" s="1484">
        <v>1</v>
      </c>
      <c r="D1418" s="1484" t="s">
        <v>3364</v>
      </c>
      <c r="E1418" s="1484">
        <v>4</v>
      </c>
      <c r="F1418" s="1446"/>
      <c r="G1418" s="1446"/>
      <c r="H1418" s="1447"/>
      <c r="I1418" s="1494">
        <f t="shared" si="71"/>
        <v>4</v>
      </c>
      <c r="J1418" s="1492"/>
      <c r="K1418" s="1439"/>
      <c r="L1418" s="1439"/>
      <c r="M1418" s="1439"/>
      <c r="N1418" s="1439"/>
      <c r="O1418" s="1439"/>
      <c r="P1418" s="1439"/>
      <c r="Q1418" s="1439"/>
      <c r="R1418" s="1439"/>
      <c r="S1418" s="1439"/>
      <c r="T1418" s="1439"/>
      <c r="U1418" s="1439"/>
      <c r="V1418" s="1439"/>
      <c r="W1418" s="1439"/>
      <c r="X1418" s="1439"/>
      <c r="Y1418" s="1439"/>
      <c r="Z1418" s="1439"/>
      <c r="AA1418" s="1439"/>
      <c r="AB1418" s="1439"/>
      <c r="AC1418" s="1439"/>
      <c r="AD1418" s="1439"/>
      <c r="AE1418" s="1439"/>
      <c r="AF1418" s="1439"/>
      <c r="AG1418" s="1439"/>
    </row>
    <row r="1419" spans="1:33" ht="15.75" customHeight="1">
      <c r="A1419" s="1451"/>
      <c r="B1419" s="1450" t="s">
        <v>7225</v>
      </c>
      <c r="C1419" s="1484">
        <v>1</v>
      </c>
      <c r="D1419" s="1484" t="s">
        <v>3364</v>
      </c>
      <c r="E1419" s="1484">
        <v>4</v>
      </c>
      <c r="F1419" s="1446"/>
      <c r="G1419" s="1446"/>
      <c r="H1419" s="1447"/>
      <c r="I1419" s="1494">
        <f t="shared" si="71"/>
        <v>4</v>
      </c>
      <c r="J1419" s="1492"/>
      <c r="K1419" s="1439"/>
      <c r="L1419" s="1439"/>
      <c r="M1419" s="1439"/>
      <c r="N1419" s="1439"/>
      <c r="O1419" s="1439"/>
      <c r="P1419" s="1439"/>
      <c r="Q1419" s="1439"/>
      <c r="R1419" s="1439"/>
      <c r="S1419" s="1439"/>
      <c r="T1419" s="1439"/>
      <c r="U1419" s="1439"/>
      <c r="V1419" s="1439"/>
      <c r="W1419" s="1439"/>
      <c r="X1419" s="1439"/>
      <c r="Y1419" s="1439"/>
      <c r="Z1419" s="1439"/>
      <c r="AA1419" s="1439"/>
      <c r="AB1419" s="1439"/>
      <c r="AC1419" s="1439"/>
      <c r="AD1419" s="1439"/>
      <c r="AE1419" s="1439"/>
      <c r="AF1419" s="1439"/>
      <c r="AG1419" s="1439"/>
    </row>
    <row r="1420" spans="1:33" ht="15.75" customHeight="1">
      <c r="A1420" s="1451"/>
      <c r="B1420" s="1450" t="s">
        <v>7226</v>
      </c>
      <c r="C1420" s="1484">
        <v>1</v>
      </c>
      <c r="D1420" s="1484" t="s">
        <v>3364</v>
      </c>
      <c r="E1420" s="1484">
        <v>2</v>
      </c>
      <c r="F1420" s="1446"/>
      <c r="G1420" s="1446"/>
      <c r="H1420" s="1447"/>
      <c r="I1420" s="1494">
        <f t="shared" si="71"/>
        <v>2</v>
      </c>
      <c r="J1420" s="1492"/>
      <c r="K1420" s="1439"/>
      <c r="L1420" s="1439"/>
      <c r="M1420" s="1439"/>
      <c r="N1420" s="1439"/>
      <c r="O1420" s="1439"/>
      <c r="P1420" s="1439"/>
      <c r="Q1420" s="1439"/>
      <c r="R1420" s="1439"/>
      <c r="S1420" s="1439"/>
      <c r="T1420" s="1439"/>
      <c r="U1420" s="1439"/>
      <c r="V1420" s="1439"/>
      <c r="W1420" s="1439"/>
      <c r="X1420" s="1439"/>
      <c r="Y1420" s="1439"/>
      <c r="Z1420" s="1439"/>
      <c r="AA1420" s="1439"/>
      <c r="AB1420" s="1439"/>
      <c r="AC1420" s="1439"/>
      <c r="AD1420" s="1439"/>
      <c r="AE1420" s="1439"/>
      <c r="AF1420" s="1439"/>
      <c r="AG1420" s="1439"/>
    </row>
    <row r="1421" spans="1:33" ht="15.75" customHeight="1">
      <c r="A1421" s="1451"/>
      <c r="B1421" s="1450" t="s">
        <v>7227</v>
      </c>
      <c r="C1421" s="1484">
        <v>1</v>
      </c>
      <c r="D1421" s="1484" t="s">
        <v>3364</v>
      </c>
      <c r="E1421" s="1484">
        <v>4</v>
      </c>
      <c r="F1421" s="1446"/>
      <c r="G1421" s="1446"/>
      <c r="H1421" s="1447"/>
      <c r="I1421" s="1494">
        <f t="shared" si="71"/>
        <v>4</v>
      </c>
      <c r="J1421" s="1492"/>
      <c r="K1421" s="1439"/>
      <c r="L1421" s="1439"/>
      <c r="M1421" s="1439"/>
      <c r="N1421" s="1439"/>
      <c r="O1421" s="1439"/>
      <c r="P1421" s="1439"/>
      <c r="Q1421" s="1439"/>
      <c r="R1421" s="1439"/>
      <c r="S1421" s="1439"/>
      <c r="T1421" s="1439"/>
      <c r="U1421" s="1439"/>
      <c r="V1421" s="1439"/>
      <c r="W1421" s="1439"/>
      <c r="X1421" s="1439"/>
      <c r="Y1421" s="1439"/>
      <c r="Z1421" s="1439"/>
      <c r="AA1421" s="1439"/>
      <c r="AB1421" s="1439"/>
      <c r="AC1421" s="1439"/>
      <c r="AD1421" s="1439"/>
      <c r="AE1421" s="1439"/>
      <c r="AF1421" s="1439"/>
      <c r="AG1421" s="1439"/>
    </row>
    <row r="1422" spans="1:33" ht="15.75" customHeight="1">
      <c r="A1422" s="1451"/>
      <c r="B1422" s="1450" t="s">
        <v>7228</v>
      </c>
      <c r="C1422" s="1484">
        <v>1</v>
      </c>
      <c r="D1422" s="1484" t="s">
        <v>3364</v>
      </c>
      <c r="E1422" s="1484">
        <v>4</v>
      </c>
      <c r="F1422" s="1446"/>
      <c r="G1422" s="1446"/>
      <c r="H1422" s="1447"/>
      <c r="I1422" s="1494">
        <f t="shared" si="71"/>
        <v>4</v>
      </c>
      <c r="J1422" s="1492"/>
      <c r="K1422" s="1439"/>
      <c r="L1422" s="1439"/>
      <c r="M1422" s="1439"/>
      <c r="N1422" s="1439"/>
      <c r="O1422" s="1439"/>
      <c r="P1422" s="1439"/>
      <c r="Q1422" s="1439"/>
      <c r="R1422" s="1439"/>
      <c r="S1422" s="1439"/>
      <c r="T1422" s="1439"/>
      <c r="U1422" s="1439"/>
      <c r="V1422" s="1439"/>
      <c r="W1422" s="1439"/>
      <c r="X1422" s="1439"/>
      <c r="Y1422" s="1439"/>
      <c r="Z1422" s="1439"/>
      <c r="AA1422" s="1439"/>
      <c r="AB1422" s="1439"/>
      <c r="AC1422" s="1439"/>
      <c r="AD1422" s="1439"/>
      <c r="AE1422" s="1439"/>
      <c r="AF1422" s="1439"/>
      <c r="AG1422" s="1439"/>
    </row>
    <row r="1423" spans="1:33" ht="15.75" customHeight="1">
      <c r="A1423" s="1451"/>
      <c r="B1423" s="1450" t="s">
        <v>7229</v>
      </c>
      <c r="C1423" s="1484">
        <v>1</v>
      </c>
      <c r="D1423" s="1484" t="s">
        <v>3364</v>
      </c>
      <c r="E1423" s="1484">
        <v>4</v>
      </c>
      <c r="F1423" s="1446"/>
      <c r="G1423" s="1446"/>
      <c r="H1423" s="1447"/>
      <c r="I1423" s="1494">
        <f t="shared" si="71"/>
        <v>4</v>
      </c>
      <c r="J1423" s="1492"/>
      <c r="K1423" s="1439"/>
      <c r="L1423" s="1439"/>
      <c r="M1423" s="1439"/>
      <c r="N1423" s="1439"/>
      <c r="O1423" s="1439"/>
      <c r="P1423" s="1439"/>
      <c r="Q1423" s="1439"/>
      <c r="R1423" s="1439"/>
      <c r="S1423" s="1439"/>
      <c r="T1423" s="1439"/>
      <c r="U1423" s="1439"/>
      <c r="V1423" s="1439"/>
      <c r="W1423" s="1439"/>
      <c r="X1423" s="1439"/>
      <c r="Y1423" s="1439"/>
      <c r="Z1423" s="1439"/>
      <c r="AA1423" s="1439"/>
      <c r="AB1423" s="1439"/>
      <c r="AC1423" s="1439"/>
      <c r="AD1423" s="1439"/>
      <c r="AE1423" s="1439"/>
      <c r="AF1423" s="1439"/>
      <c r="AG1423" s="1439"/>
    </row>
    <row r="1424" spans="1:33" ht="15.75" customHeight="1">
      <c r="A1424" s="1451"/>
      <c r="B1424" s="1450" t="s">
        <v>7230</v>
      </c>
      <c r="C1424" s="1484">
        <v>3</v>
      </c>
      <c r="D1424" s="1484" t="s">
        <v>3364</v>
      </c>
      <c r="E1424" s="1484">
        <v>4</v>
      </c>
      <c r="F1424" s="1446"/>
      <c r="G1424" s="1446"/>
      <c r="H1424" s="1447"/>
      <c r="I1424" s="1494">
        <f t="shared" si="71"/>
        <v>12</v>
      </c>
      <c r="J1424" s="1492"/>
      <c r="K1424" s="1439"/>
      <c r="L1424" s="1439"/>
      <c r="M1424" s="1439"/>
      <c r="N1424" s="1439"/>
      <c r="O1424" s="1439"/>
      <c r="P1424" s="1439"/>
      <c r="Q1424" s="1439"/>
      <c r="R1424" s="1439"/>
      <c r="S1424" s="1439"/>
      <c r="T1424" s="1439"/>
      <c r="U1424" s="1439"/>
      <c r="V1424" s="1439"/>
      <c r="W1424" s="1439"/>
      <c r="X1424" s="1439"/>
      <c r="Y1424" s="1439"/>
      <c r="Z1424" s="1439"/>
      <c r="AA1424" s="1439"/>
      <c r="AB1424" s="1439"/>
      <c r="AC1424" s="1439"/>
      <c r="AD1424" s="1439"/>
      <c r="AE1424" s="1439"/>
      <c r="AF1424" s="1439"/>
      <c r="AG1424" s="1439"/>
    </row>
    <row r="1425" spans="1:33" ht="15.75" customHeight="1">
      <c r="A1425" s="1451"/>
      <c r="B1425" s="1450" t="s">
        <v>6723</v>
      </c>
      <c r="C1425" s="1484">
        <v>1</v>
      </c>
      <c r="D1425" s="1484" t="s">
        <v>3364</v>
      </c>
      <c r="E1425" s="1484">
        <v>2</v>
      </c>
      <c r="F1425" s="1446"/>
      <c r="G1425" s="1446"/>
      <c r="H1425" s="1447"/>
      <c r="I1425" s="1494">
        <f t="shared" si="71"/>
        <v>2</v>
      </c>
      <c r="J1425" s="1492"/>
      <c r="K1425" s="1439"/>
      <c r="L1425" s="1439"/>
      <c r="M1425" s="1439"/>
      <c r="N1425" s="1439"/>
      <c r="O1425" s="1439"/>
      <c r="P1425" s="1439"/>
      <c r="Q1425" s="1439"/>
      <c r="R1425" s="1439"/>
      <c r="S1425" s="1439"/>
      <c r="T1425" s="1439"/>
      <c r="U1425" s="1439"/>
      <c r="V1425" s="1439"/>
      <c r="W1425" s="1439"/>
      <c r="X1425" s="1439"/>
      <c r="Y1425" s="1439"/>
      <c r="Z1425" s="1439"/>
      <c r="AA1425" s="1439"/>
      <c r="AB1425" s="1439"/>
      <c r="AC1425" s="1439"/>
      <c r="AD1425" s="1439"/>
      <c r="AE1425" s="1439"/>
      <c r="AF1425" s="1439"/>
      <c r="AG1425" s="1439"/>
    </row>
    <row r="1426" spans="1:33" ht="15.75" customHeight="1">
      <c r="A1426" s="1451"/>
      <c r="B1426" s="1450" t="s">
        <v>6933</v>
      </c>
      <c r="C1426" s="1484">
        <v>1</v>
      </c>
      <c r="D1426" s="1484" t="s">
        <v>3364</v>
      </c>
      <c r="E1426" s="1484">
        <v>1</v>
      </c>
      <c r="F1426" s="1446"/>
      <c r="G1426" s="1446"/>
      <c r="H1426" s="1447"/>
      <c r="I1426" s="1494">
        <f t="shared" si="71"/>
        <v>1</v>
      </c>
      <c r="J1426" s="1492"/>
      <c r="K1426" s="1439"/>
      <c r="L1426" s="1439"/>
      <c r="M1426" s="1439"/>
      <c r="N1426" s="1439"/>
      <c r="O1426" s="1439"/>
      <c r="P1426" s="1439"/>
      <c r="Q1426" s="1439"/>
      <c r="R1426" s="1439"/>
      <c r="S1426" s="1439"/>
      <c r="T1426" s="1439"/>
      <c r="U1426" s="1439"/>
      <c r="V1426" s="1439"/>
      <c r="W1426" s="1439"/>
      <c r="X1426" s="1439"/>
      <c r="Y1426" s="1439"/>
      <c r="Z1426" s="1439"/>
      <c r="AA1426" s="1439"/>
      <c r="AB1426" s="1439"/>
      <c r="AC1426" s="1439"/>
      <c r="AD1426" s="1439"/>
      <c r="AE1426" s="1439"/>
      <c r="AF1426" s="1439"/>
      <c r="AG1426" s="1439"/>
    </row>
    <row r="1427" spans="1:33" ht="15.75" customHeight="1">
      <c r="A1427" s="1451"/>
      <c r="B1427" s="1450" t="s">
        <v>7231</v>
      </c>
      <c r="C1427" s="1484">
        <v>1</v>
      </c>
      <c r="D1427" s="1484" t="s">
        <v>3364</v>
      </c>
      <c r="E1427" s="1484">
        <v>5</v>
      </c>
      <c r="F1427" s="1446"/>
      <c r="G1427" s="1446"/>
      <c r="H1427" s="1447"/>
      <c r="I1427" s="1494">
        <f t="shared" si="71"/>
        <v>5</v>
      </c>
      <c r="J1427" s="1492"/>
      <c r="K1427" s="1439"/>
      <c r="L1427" s="1439"/>
      <c r="M1427" s="1439"/>
      <c r="N1427" s="1439"/>
      <c r="O1427" s="1439"/>
      <c r="P1427" s="1439"/>
      <c r="Q1427" s="1439"/>
      <c r="R1427" s="1439"/>
      <c r="S1427" s="1439"/>
      <c r="T1427" s="1439"/>
      <c r="U1427" s="1439"/>
      <c r="V1427" s="1439"/>
      <c r="W1427" s="1439"/>
      <c r="X1427" s="1439"/>
      <c r="Y1427" s="1439"/>
      <c r="Z1427" s="1439"/>
      <c r="AA1427" s="1439"/>
      <c r="AB1427" s="1439"/>
      <c r="AC1427" s="1439"/>
      <c r="AD1427" s="1439"/>
      <c r="AE1427" s="1439"/>
      <c r="AF1427" s="1439"/>
      <c r="AG1427" s="1439"/>
    </row>
    <row r="1428" spans="1:33" ht="15.75" customHeight="1">
      <c r="A1428" s="1451"/>
      <c r="B1428" s="1456" t="s">
        <v>7232</v>
      </c>
      <c r="C1428" s="1484"/>
      <c r="D1428" s="1484"/>
      <c r="E1428" s="1484"/>
      <c r="F1428" s="1446"/>
      <c r="G1428" s="1446"/>
      <c r="H1428" s="1447"/>
      <c r="I1428" s="1494">
        <f t="shared" si="71"/>
        <v>0</v>
      </c>
      <c r="J1428" s="1492"/>
      <c r="K1428" s="1439"/>
      <c r="L1428" s="1439"/>
      <c r="M1428" s="1439"/>
      <c r="N1428" s="1439"/>
      <c r="O1428" s="1439"/>
      <c r="P1428" s="1439"/>
      <c r="Q1428" s="1439"/>
      <c r="R1428" s="1439"/>
      <c r="S1428" s="1439"/>
      <c r="T1428" s="1439"/>
      <c r="U1428" s="1439"/>
      <c r="V1428" s="1439"/>
      <c r="W1428" s="1439"/>
      <c r="X1428" s="1439"/>
      <c r="Y1428" s="1439"/>
      <c r="Z1428" s="1439"/>
      <c r="AA1428" s="1439"/>
      <c r="AB1428" s="1439"/>
      <c r="AC1428" s="1439"/>
      <c r="AD1428" s="1439"/>
      <c r="AE1428" s="1439"/>
      <c r="AF1428" s="1439"/>
      <c r="AG1428" s="1439"/>
    </row>
    <row r="1429" spans="1:33" ht="15.75" customHeight="1">
      <c r="A1429" s="1451"/>
      <c r="B1429" s="1450" t="s">
        <v>7224</v>
      </c>
      <c r="C1429" s="1484">
        <v>1</v>
      </c>
      <c r="D1429" s="1484" t="s">
        <v>3364</v>
      </c>
      <c r="E1429" s="1484">
        <v>1</v>
      </c>
      <c r="F1429" s="1446"/>
      <c r="G1429" s="1446"/>
      <c r="H1429" s="1447"/>
      <c r="I1429" s="1494">
        <f t="shared" si="71"/>
        <v>1</v>
      </c>
      <c r="J1429" s="1492"/>
      <c r="K1429" s="1439"/>
      <c r="L1429" s="1439"/>
      <c r="M1429" s="1439"/>
      <c r="N1429" s="1439"/>
      <c r="O1429" s="1439"/>
      <c r="P1429" s="1439"/>
      <c r="Q1429" s="1439"/>
      <c r="R1429" s="1439"/>
      <c r="S1429" s="1439"/>
      <c r="T1429" s="1439"/>
      <c r="U1429" s="1439"/>
      <c r="V1429" s="1439"/>
      <c r="W1429" s="1439"/>
      <c r="X1429" s="1439"/>
      <c r="Y1429" s="1439"/>
      <c r="Z1429" s="1439"/>
      <c r="AA1429" s="1439"/>
      <c r="AB1429" s="1439"/>
      <c r="AC1429" s="1439"/>
      <c r="AD1429" s="1439"/>
      <c r="AE1429" s="1439"/>
      <c r="AF1429" s="1439"/>
      <c r="AG1429" s="1439"/>
    </row>
    <row r="1430" spans="1:33" ht="15.75" customHeight="1">
      <c r="A1430" s="1451"/>
      <c r="B1430" s="1450" t="s">
        <v>7221</v>
      </c>
      <c r="C1430" s="1484">
        <v>1</v>
      </c>
      <c r="D1430" s="1484" t="s">
        <v>3364</v>
      </c>
      <c r="E1430" s="1484">
        <v>3</v>
      </c>
      <c r="F1430" s="1446"/>
      <c r="G1430" s="1446"/>
      <c r="H1430" s="1447"/>
      <c r="I1430" s="1494">
        <f t="shared" si="71"/>
        <v>3</v>
      </c>
      <c r="J1430" s="1492"/>
      <c r="K1430" s="1439"/>
      <c r="L1430" s="1439"/>
      <c r="M1430" s="1439"/>
      <c r="N1430" s="1439"/>
      <c r="O1430" s="1439"/>
      <c r="P1430" s="1439"/>
      <c r="Q1430" s="1439"/>
      <c r="R1430" s="1439"/>
      <c r="S1430" s="1439"/>
      <c r="T1430" s="1439"/>
      <c r="U1430" s="1439"/>
      <c r="V1430" s="1439"/>
      <c r="W1430" s="1439"/>
      <c r="X1430" s="1439"/>
      <c r="Y1430" s="1439"/>
      <c r="Z1430" s="1439"/>
      <c r="AA1430" s="1439"/>
      <c r="AB1430" s="1439"/>
      <c r="AC1430" s="1439"/>
      <c r="AD1430" s="1439"/>
      <c r="AE1430" s="1439"/>
      <c r="AF1430" s="1439"/>
      <c r="AG1430" s="1439"/>
    </row>
    <row r="1431" spans="1:33" ht="15.75" customHeight="1">
      <c r="A1431" s="1451"/>
      <c r="B1431" s="1450" t="s">
        <v>7233</v>
      </c>
      <c r="C1431" s="1484">
        <v>1</v>
      </c>
      <c r="D1431" s="1484" t="s">
        <v>3364</v>
      </c>
      <c r="E1431" s="1484">
        <v>4</v>
      </c>
      <c r="F1431" s="1446"/>
      <c r="G1431" s="1446"/>
      <c r="H1431" s="1447"/>
      <c r="I1431" s="1494">
        <f t="shared" si="71"/>
        <v>4</v>
      </c>
      <c r="J1431" s="1492"/>
      <c r="K1431" s="1439"/>
      <c r="L1431" s="1439"/>
      <c r="M1431" s="1439"/>
      <c r="N1431" s="1439"/>
      <c r="O1431" s="1439"/>
      <c r="P1431" s="1439"/>
      <c r="Q1431" s="1439"/>
      <c r="R1431" s="1439"/>
      <c r="S1431" s="1439"/>
      <c r="T1431" s="1439"/>
      <c r="U1431" s="1439"/>
      <c r="V1431" s="1439"/>
      <c r="W1431" s="1439"/>
      <c r="X1431" s="1439"/>
      <c r="Y1431" s="1439"/>
      <c r="Z1431" s="1439"/>
      <c r="AA1431" s="1439"/>
      <c r="AB1431" s="1439"/>
      <c r="AC1431" s="1439"/>
      <c r="AD1431" s="1439"/>
      <c r="AE1431" s="1439"/>
      <c r="AF1431" s="1439"/>
      <c r="AG1431" s="1439"/>
    </row>
    <row r="1432" spans="1:33" ht="15.75" customHeight="1">
      <c r="A1432" s="1451"/>
      <c r="B1432" s="1450" t="s">
        <v>7231</v>
      </c>
      <c r="C1432" s="1484">
        <v>1</v>
      </c>
      <c r="D1432" s="1484" t="s">
        <v>3364</v>
      </c>
      <c r="E1432" s="1484">
        <v>2</v>
      </c>
      <c r="F1432" s="1446"/>
      <c r="G1432" s="1446"/>
      <c r="H1432" s="1447"/>
      <c r="I1432" s="1494">
        <f t="shared" si="71"/>
        <v>2</v>
      </c>
      <c r="J1432" s="1492"/>
      <c r="K1432" s="1439"/>
      <c r="L1432" s="1439"/>
      <c r="M1432" s="1439"/>
      <c r="N1432" s="1439"/>
      <c r="O1432" s="1439"/>
      <c r="P1432" s="1439"/>
      <c r="Q1432" s="1439"/>
      <c r="R1432" s="1439"/>
      <c r="S1432" s="1439"/>
      <c r="T1432" s="1439"/>
      <c r="U1432" s="1439"/>
      <c r="V1432" s="1439"/>
      <c r="W1432" s="1439"/>
      <c r="X1432" s="1439"/>
      <c r="Y1432" s="1439"/>
      <c r="Z1432" s="1439"/>
      <c r="AA1432" s="1439"/>
      <c r="AB1432" s="1439"/>
      <c r="AC1432" s="1439"/>
      <c r="AD1432" s="1439"/>
      <c r="AE1432" s="1439"/>
      <c r="AF1432" s="1439"/>
      <c r="AG1432" s="1439"/>
    </row>
    <row r="1433" spans="1:33" ht="15.75" customHeight="1">
      <c r="A1433" s="1451"/>
      <c r="B1433" s="1450" t="s">
        <v>6908</v>
      </c>
      <c r="C1433" s="1484">
        <v>1</v>
      </c>
      <c r="D1433" s="1484" t="s">
        <v>3364</v>
      </c>
      <c r="E1433" s="1484">
        <v>1</v>
      </c>
      <c r="F1433" s="1446"/>
      <c r="G1433" s="1446"/>
      <c r="H1433" s="1447"/>
      <c r="I1433" s="1494">
        <f t="shared" si="71"/>
        <v>1</v>
      </c>
      <c r="J1433" s="1492"/>
      <c r="K1433" s="1439"/>
      <c r="L1433" s="1439"/>
      <c r="M1433" s="1439"/>
      <c r="N1433" s="1439"/>
      <c r="O1433" s="1439"/>
      <c r="P1433" s="1439"/>
      <c r="Q1433" s="1439"/>
      <c r="R1433" s="1439"/>
      <c r="S1433" s="1439"/>
      <c r="T1433" s="1439"/>
      <c r="U1433" s="1439"/>
      <c r="V1433" s="1439"/>
      <c r="W1433" s="1439"/>
      <c r="X1433" s="1439"/>
      <c r="Y1433" s="1439"/>
      <c r="Z1433" s="1439"/>
      <c r="AA1433" s="1439"/>
      <c r="AB1433" s="1439"/>
      <c r="AC1433" s="1439"/>
      <c r="AD1433" s="1439"/>
      <c r="AE1433" s="1439"/>
      <c r="AF1433" s="1439"/>
      <c r="AG1433" s="1439"/>
    </row>
    <row r="1434" spans="1:33" ht="15.75" customHeight="1">
      <c r="A1434" s="1451"/>
      <c r="B1434" s="1450" t="s">
        <v>7138</v>
      </c>
      <c r="C1434" s="1484">
        <v>1</v>
      </c>
      <c r="D1434" s="1484" t="s">
        <v>3364</v>
      </c>
      <c r="E1434" s="1484">
        <v>10</v>
      </c>
      <c r="F1434" s="1446"/>
      <c r="G1434" s="1446"/>
      <c r="H1434" s="1447"/>
      <c r="I1434" s="1494">
        <f t="shared" si="71"/>
        <v>10</v>
      </c>
      <c r="J1434" s="1492"/>
      <c r="K1434" s="1439"/>
      <c r="L1434" s="1439"/>
      <c r="M1434" s="1439"/>
      <c r="N1434" s="1439"/>
      <c r="O1434" s="1439"/>
      <c r="P1434" s="1439"/>
      <c r="Q1434" s="1439"/>
      <c r="R1434" s="1439"/>
      <c r="S1434" s="1439"/>
      <c r="T1434" s="1439"/>
      <c r="U1434" s="1439"/>
      <c r="V1434" s="1439"/>
      <c r="W1434" s="1439"/>
      <c r="X1434" s="1439"/>
      <c r="Y1434" s="1439"/>
      <c r="Z1434" s="1439"/>
      <c r="AA1434" s="1439"/>
      <c r="AB1434" s="1439"/>
      <c r="AC1434" s="1439"/>
      <c r="AD1434" s="1439"/>
      <c r="AE1434" s="1439"/>
      <c r="AF1434" s="1439"/>
      <c r="AG1434" s="1439"/>
    </row>
    <row r="1435" spans="1:33" ht="15.75" customHeight="1">
      <c r="A1435" s="1451"/>
      <c r="B1435" s="1450" t="s">
        <v>6586</v>
      </c>
      <c r="C1435" s="1484">
        <v>1</v>
      </c>
      <c r="D1435" s="1484" t="s">
        <v>3364</v>
      </c>
      <c r="E1435" s="1484">
        <v>1</v>
      </c>
      <c r="F1435" s="1446"/>
      <c r="G1435" s="1446"/>
      <c r="H1435" s="1447"/>
      <c r="I1435" s="1494">
        <f t="shared" si="71"/>
        <v>1</v>
      </c>
      <c r="J1435" s="1492"/>
      <c r="K1435" s="1439"/>
      <c r="L1435" s="1439"/>
      <c r="M1435" s="1439"/>
      <c r="N1435" s="1439"/>
      <c r="O1435" s="1439"/>
      <c r="P1435" s="1439"/>
      <c r="Q1435" s="1439"/>
      <c r="R1435" s="1439"/>
      <c r="S1435" s="1439"/>
      <c r="T1435" s="1439"/>
      <c r="U1435" s="1439"/>
      <c r="V1435" s="1439"/>
      <c r="W1435" s="1439"/>
      <c r="X1435" s="1439"/>
      <c r="Y1435" s="1439"/>
      <c r="Z1435" s="1439"/>
      <c r="AA1435" s="1439"/>
      <c r="AB1435" s="1439"/>
      <c r="AC1435" s="1439"/>
      <c r="AD1435" s="1439"/>
      <c r="AE1435" s="1439"/>
      <c r="AF1435" s="1439"/>
      <c r="AG1435" s="1439"/>
    </row>
    <row r="1436" spans="1:33" ht="15.75" customHeight="1">
      <c r="A1436" s="1451"/>
      <c r="B1436" s="1450" t="s">
        <v>7234</v>
      </c>
      <c r="C1436" s="1484">
        <v>1</v>
      </c>
      <c r="D1436" s="1484" t="s">
        <v>3364</v>
      </c>
      <c r="E1436" s="1484">
        <v>4</v>
      </c>
      <c r="F1436" s="1446"/>
      <c r="G1436" s="1446"/>
      <c r="H1436" s="1447"/>
      <c r="I1436" s="1494">
        <f t="shared" si="71"/>
        <v>4</v>
      </c>
      <c r="J1436" s="1492"/>
      <c r="K1436" s="1439"/>
      <c r="L1436" s="1439"/>
      <c r="M1436" s="1439"/>
      <c r="N1436" s="1439"/>
      <c r="O1436" s="1439"/>
      <c r="P1436" s="1439"/>
      <c r="Q1436" s="1439"/>
      <c r="R1436" s="1439"/>
      <c r="S1436" s="1439"/>
      <c r="T1436" s="1439"/>
      <c r="U1436" s="1439"/>
      <c r="V1436" s="1439"/>
      <c r="W1436" s="1439"/>
      <c r="X1436" s="1439"/>
      <c r="Y1436" s="1439"/>
      <c r="Z1436" s="1439"/>
      <c r="AA1436" s="1439"/>
      <c r="AB1436" s="1439"/>
      <c r="AC1436" s="1439"/>
      <c r="AD1436" s="1439"/>
      <c r="AE1436" s="1439"/>
      <c r="AF1436" s="1439"/>
      <c r="AG1436" s="1439"/>
    </row>
    <row r="1437" spans="1:33" ht="15.75" customHeight="1">
      <c r="A1437" s="1451"/>
      <c r="B1437" s="1450" t="s">
        <v>7141</v>
      </c>
      <c r="C1437" s="1484">
        <v>1</v>
      </c>
      <c r="D1437" s="1484" t="s">
        <v>3364</v>
      </c>
      <c r="E1437" s="1484">
        <v>6</v>
      </c>
      <c r="F1437" s="1446"/>
      <c r="G1437" s="1446"/>
      <c r="H1437" s="1447"/>
      <c r="I1437" s="1494">
        <f t="shared" si="71"/>
        <v>6</v>
      </c>
      <c r="J1437" s="1492"/>
      <c r="K1437" s="1439"/>
      <c r="L1437" s="1439"/>
      <c r="M1437" s="1439"/>
      <c r="N1437" s="1439"/>
      <c r="O1437" s="1439"/>
      <c r="P1437" s="1439"/>
      <c r="Q1437" s="1439"/>
      <c r="R1437" s="1439"/>
      <c r="S1437" s="1439"/>
      <c r="T1437" s="1439"/>
      <c r="U1437" s="1439"/>
      <c r="V1437" s="1439"/>
      <c r="W1437" s="1439"/>
      <c r="X1437" s="1439"/>
      <c r="Y1437" s="1439"/>
      <c r="Z1437" s="1439"/>
      <c r="AA1437" s="1439"/>
      <c r="AB1437" s="1439"/>
      <c r="AC1437" s="1439"/>
      <c r="AD1437" s="1439"/>
      <c r="AE1437" s="1439"/>
      <c r="AF1437" s="1439"/>
      <c r="AG1437" s="1439"/>
    </row>
    <row r="1438" spans="1:33" ht="15.75" customHeight="1">
      <c r="A1438" s="1451"/>
      <c r="B1438" s="1450" t="s">
        <v>7235</v>
      </c>
      <c r="C1438" s="1484">
        <v>1</v>
      </c>
      <c r="D1438" s="1484" t="s">
        <v>3364</v>
      </c>
      <c r="E1438" s="1484">
        <v>3</v>
      </c>
      <c r="F1438" s="1446"/>
      <c r="G1438" s="1446"/>
      <c r="H1438" s="1447"/>
      <c r="I1438" s="1494">
        <f t="shared" si="71"/>
        <v>3</v>
      </c>
      <c r="J1438" s="1492"/>
      <c r="K1438" s="1439"/>
      <c r="L1438" s="1439"/>
      <c r="M1438" s="1439"/>
      <c r="N1438" s="1439"/>
      <c r="O1438" s="1439"/>
      <c r="P1438" s="1439"/>
      <c r="Q1438" s="1439"/>
      <c r="R1438" s="1439"/>
      <c r="S1438" s="1439"/>
      <c r="T1438" s="1439"/>
      <c r="U1438" s="1439"/>
      <c r="V1438" s="1439"/>
      <c r="W1438" s="1439"/>
      <c r="X1438" s="1439"/>
      <c r="Y1438" s="1439"/>
      <c r="Z1438" s="1439"/>
      <c r="AA1438" s="1439"/>
      <c r="AB1438" s="1439"/>
      <c r="AC1438" s="1439"/>
      <c r="AD1438" s="1439"/>
      <c r="AE1438" s="1439"/>
      <c r="AF1438" s="1439"/>
      <c r="AG1438" s="1439"/>
    </row>
    <row r="1439" spans="1:33" ht="15.75" customHeight="1">
      <c r="A1439" s="1451"/>
      <c r="B1439" s="1450" t="s">
        <v>7236</v>
      </c>
      <c r="C1439" s="1484">
        <v>1</v>
      </c>
      <c r="D1439" s="1484" t="s">
        <v>3364</v>
      </c>
      <c r="E1439" s="1484">
        <v>1</v>
      </c>
      <c r="F1439" s="1446"/>
      <c r="G1439" s="1446"/>
      <c r="H1439" s="1447"/>
      <c r="I1439" s="1494">
        <f t="shared" si="71"/>
        <v>1</v>
      </c>
      <c r="J1439" s="1492"/>
      <c r="K1439" s="1439"/>
      <c r="L1439" s="1439"/>
      <c r="M1439" s="1439"/>
      <c r="N1439" s="1439"/>
      <c r="O1439" s="1439"/>
      <c r="P1439" s="1439"/>
      <c r="Q1439" s="1439"/>
      <c r="R1439" s="1439"/>
      <c r="S1439" s="1439"/>
      <c r="T1439" s="1439"/>
      <c r="U1439" s="1439"/>
      <c r="V1439" s="1439"/>
      <c r="W1439" s="1439"/>
      <c r="X1439" s="1439"/>
      <c r="Y1439" s="1439"/>
      <c r="Z1439" s="1439"/>
      <c r="AA1439" s="1439"/>
      <c r="AB1439" s="1439"/>
      <c r="AC1439" s="1439"/>
      <c r="AD1439" s="1439"/>
      <c r="AE1439" s="1439"/>
      <c r="AF1439" s="1439"/>
      <c r="AG1439" s="1439"/>
    </row>
    <row r="1440" spans="1:33" ht="15.75" customHeight="1">
      <c r="A1440" s="1451"/>
      <c r="B1440" s="1450" t="s">
        <v>7237</v>
      </c>
      <c r="C1440" s="1484">
        <v>2</v>
      </c>
      <c r="D1440" s="1484" t="s">
        <v>3364</v>
      </c>
      <c r="E1440" s="1484">
        <v>2</v>
      </c>
      <c r="F1440" s="1446"/>
      <c r="G1440" s="1446"/>
      <c r="H1440" s="1447"/>
      <c r="I1440" s="1494">
        <f t="shared" si="71"/>
        <v>4</v>
      </c>
      <c r="J1440" s="1492"/>
      <c r="K1440" s="1439"/>
      <c r="L1440" s="1439"/>
      <c r="M1440" s="1439"/>
      <c r="N1440" s="1439"/>
      <c r="O1440" s="1439"/>
      <c r="P1440" s="1439"/>
      <c r="Q1440" s="1439"/>
      <c r="R1440" s="1439"/>
      <c r="S1440" s="1439"/>
      <c r="T1440" s="1439"/>
      <c r="U1440" s="1439"/>
      <c r="V1440" s="1439"/>
      <c r="W1440" s="1439"/>
      <c r="X1440" s="1439"/>
      <c r="Y1440" s="1439"/>
      <c r="Z1440" s="1439"/>
      <c r="AA1440" s="1439"/>
      <c r="AB1440" s="1439"/>
      <c r="AC1440" s="1439"/>
      <c r="AD1440" s="1439"/>
      <c r="AE1440" s="1439"/>
      <c r="AF1440" s="1439"/>
      <c r="AG1440" s="1439"/>
    </row>
    <row r="1441" spans="1:33" ht="15.75" customHeight="1">
      <c r="A1441" s="1451"/>
      <c r="B1441" s="1450" t="s">
        <v>6586</v>
      </c>
      <c r="C1441" s="1484">
        <v>1</v>
      </c>
      <c r="D1441" s="1484" t="s">
        <v>3364</v>
      </c>
      <c r="E1441" s="1484">
        <v>1</v>
      </c>
      <c r="F1441" s="1446"/>
      <c r="G1441" s="1446"/>
      <c r="H1441" s="1447"/>
      <c r="I1441" s="1494">
        <f t="shared" si="71"/>
        <v>1</v>
      </c>
      <c r="J1441" s="1492"/>
      <c r="K1441" s="1439"/>
      <c r="L1441" s="1439"/>
      <c r="M1441" s="1439"/>
      <c r="N1441" s="1439"/>
      <c r="O1441" s="1439"/>
      <c r="P1441" s="1439"/>
      <c r="Q1441" s="1439"/>
      <c r="R1441" s="1439"/>
      <c r="S1441" s="1439"/>
      <c r="T1441" s="1439"/>
      <c r="U1441" s="1439"/>
      <c r="V1441" s="1439"/>
      <c r="W1441" s="1439"/>
      <c r="X1441" s="1439"/>
      <c r="Y1441" s="1439"/>
      <c r="Z1441" s="1439"/>
      <c r="AA1441" s="1439"/>
      <c r="AB1441" s="1439"/>
      <c r="AC1441" s="1439"/>
      <c r="AD1441" s="1439"/>
      <c r="AE1441" s="1439"/>
      <c r="AF1441" s="1439"/>
      <c r="AG1441" s="1439"/>
    </row>
    <row r="1442" spans="1:33" ht="15.75" customHeight="1">
      <c r="A1442" s="1451"/>
      <c r="B1442" s="1450" t="s">
        <v>7238</v>
      </c>
      <c r="C1442" s="1484">
        <v>1</v>
      </c>
      <c r="D1442" s="1484" t="s">
        <v>3364</v>
      </c>
      <c r="E1442" s="1484">
        <v>3</v>
      </c>
      <c r="F1442" s="1446"/>
      <c r="G1442" s="1446"/>
      <c r="H1442" s="1447"/>
      <c r="I1442" s="1494">
        <f t="shared" si="71"/>
        <v>3</v>
      </c>
      <c r="J1442" s="1492"/>
      <c r="K1442" s="1439"/>
      <c r="L1442" s="1439"/>
      <c r="M1442" s="1439"/>
      <c r="N1442" s="1439"/>
      <c r="O1442" s="1439"/>
      <c r="P1442" s="1439"/>
      <c r="Q1442" s="1439"/>
      <c r="R1442" s="1439"/>
      <c r="S1442" s="1439"/>
      <c r="T1442" s="1439"/>
      <c r="U1442" s="1439"/>
      <c r="V1442" s="1439"/>
      <c r="W1442" s="1439"/>
      <c r="X1442" s="1439"/>
      <c r="Y1442" s="1439"/>
      <c r="Z1442" s="1439"/>
      <c r="AA1442" s="1439"/>
      <c r="AB1442" s="1439"/>
      <c r="AC1442" s="1439"/>
      <c r="AD1442" s="1439"/>
      <c r="AE1442" s="1439"/>
      <c r="AF1442" s="1439"/>
      <c r="AG1442" s="1439"/>
    </row>
    <row r="1443" spans="1:33" ht="15.75" customHeight="1">
      <c r="A1443" s="1451"/>
      <c r="B1443" s="1450" t="s">
        <v>7239</v>
      </c>
      <c r="C1443" s="1484">
        <v>3</v>
      </c>
      <c r="D1443" s="1484" t="s">
        <v>3364</v>
      </c>
      <c r="E1443" s="1484">
        <v>2</v>
      </c>
      <c r="F1443" s="1446"/>
      <c r="G1443" s="1446"/>
      <c r="H1443" s="1447"/>
      <c r="I1443" s="1494">
        <f t="shared" si="71"/>
        <v>6</v>
      </c>
      <c r="J1443" s="1492"/>
      <c r="K1443" s="1439"/>
      <c r="L1443" s="1439"/>
      <c r="M1443" s="1439"/>
      <c r="N1443" s="1439"/>
      <c r="O1443" s="1439"/>
      <c r="P1443" s="1439"/>
      <c r="Q1443" s="1439"/>
      <c r="R1443" s="1439"/>
      <c r="S1443" s="1439"/>
      <c r="T1443" s="1439"/>
      <c r="U1443" s="1439"/>
      <c r="V1443" s="1439"/>
      <c r="W1443" s="1439"/>
      <c r="X1443" s="1439"/>
      <c r="Y1443" s="1439"/>
      <c r="Z1443" s="1439"/>
      <c r="AA1443" s="1439"/>
      <c r="AB1443" s="1439"/>
      <c r="AC1443" s="1439"/>
      <c r="AD1443" s="1439"/>
      <c r="AE1443" s="1439"/>
      <c r="AF1443" s="1439"/>
      <c r="AG1443" s="1439"/>
    </row>
    <row r="1444" spans="1:33" ht="15.75" customHeight="1">
      <c r="A1444" s="1451"/>
      <c r="B1444" s="1456" t="s">
        <v>7240</v>
      </c>
      <c r="C1444" s="1484"/>
      <c r="D1444" s="1484"/>
      <c r="E1444" s="1484"/>
      <c r="F1444" s="1446"/>
      <c r="G1444" s="1446"/>
      <c r="H1444" s="1447"/>
      <c r="I1444" s="1494">
        <f t="shared" si="71"/>
        <v>0</v>
      </c>
      <c r="J1444" s="1492"/>
      <c r="K1444" s="1439"/>
      <c r="L1444" s="1439"/>
      <c r="M1444" s="1439"/>
      <c r="N1444" s="1439"/>
      <c r="O1444" s="1439"/>
      <c r="P1444" s="1439"/>
      <c r="Q1444" s="1439"/>
      <c r="R1444" s="1439"/>
      <c r="S1444" s="1439"/>
      <c r="T1444" s="1439"/>
      <c r="U1444" s="1439"/>
      <c r="V1444" s="1439"/>
      <c r="W1444" s="1439"/>
      <c r="X1444" s="1439"/>
      <c r="Y1444" s="1439"/>
      <c r="Z1444" s="1439"/>
      <c r="AA1444" s="1439"/>
      <c r="AB1444" s="1439"/>
      <c r="AC1444" s="1439"/>
      <c r="AD1444" s="1439"/>
      <c r="AE1444" s="1439"/>
      <c r="AF1444" s="1439"/>
      <c r="AG1444" s="1439"/>
    </row>
    <row r="1445" spans="1:33" ht="15.75" customHeight="1">
      <c r="A1445" s="1451"/>
      <c r="B1445" s="1450" t="s">
        <v>7224</v>
      </c>
      <c r="C1445" s="1484">
        <v>1</v>
      </c>
      <c r="D1445" s="1484" t="s">
        <v>3364</v>
      </c>
      <c r="E1445" s="1484">
        <v>1</v>
      </c>
      <c r="F1445" s="1446"/>
      <c r="G1445" s="1446"/>
      <c r="H1445" s="1447"/>
      <c r="I1445" s="1494">
        <f t="shared" si="71"/>
        <v>1</v>
      </c>
      <c r="J1445" s="1492"/>
      <c r="K1445" s="1439"/>
      <c r="L1445" s="1439"/>
      <c r="M1445" s="1439"/>
      <c r="N1445" s="1439"/>
      <c r="O1445" s="1439"/>
      <c r="P1445" s="1439"/>
      <c r="Q1445" s="1439"/>
      <c r="R1445" s="1439"/>
      <c r="S1445" s="1439"/>
      <c r="T1445" s="1439"/>
      <c r="U1445" s="1439"/>
      <c r="V1445" s="1439"/>
      <c r="W1445" s="1439"/>
      <c r="X1445" s="1439"/>
      <c r="Y1445" s="1439"/>
      <c r="Z1445" s="1439"/>
      <c r="AA1445" s="1439"/>
      <c r="AB1445" s="1439"/>
      <c r="AC1445" s="1439"/>
      <c r="AD1445" s="1439"/>
      <c r="AE1445" s="1439"/>
      <c r="AF1445" s="1439"/>
      <c r="AG1445" s="1439"/>
    </row>
    <row r="1446" spans="1:33" ht="15.75" customHeight="1">
      <c r="A1446" s="1451"/>
      <c r="B1446" s="1450" t="s">
        <v>7221</v>
      </c>
      <c r="C1446" s="1484">
        <v>1</v>
      </c>
      <c r="D1446" s="1484" t="s">
        <v>3364</v>
      </c>
      <c r="E1446" s="1484">
        <v>3</v>
      </c>
      <c r="F1446" s="1446"/>
      <c r="G1446" s="1446"/>
      <c r="H1446" s="1447"/>
      <c r="I1446" s="1494">
        <f t="shared" si="71"/>
        <v>3</v>
      </c>
      <c r="J1446" s="1492"/>
      <c r="K1446" s="1439"/>
      <c r="L1446" s="1439"/>
      <c r="M1446" s="1439"/>
      <c r="N1446" s="1439"/>
      <c r="O1446" s="1439"/>
      <c r="P1446" s="1439"/>
      <c r="Q1446" s="1439"/>
      <c r="R1446" s="1439"/>
      <c r="S1446" s="1439"/>
      <c r="T1446" s="1439"/>
      <c r="U1446" s="1439"/>
      <c r="V1446" s="1439"/>
      <c r="W1446" s="1439"/>
      <c r="X1446" s="1439"/>
      <c r="Y1446" s="1439"/>
      <c r="Z1446" s="1439"/>
      <c r="AA1446" s="1439"/>
      <c r="AB1446" s="1439"/>
      <c r="AC1446" s="1439"/>
      <c r="AD1446" s="1439"/>
      <c r="AE1446" s="1439"/>
      <c r="AF1446" s="1439"/>
      <c r="AG1446" s="1439"/>
    </row>
    <row r="1447" spans="1:33" ht="15.75" customHeight="1">
      <c r="A1447" s="1451"/>
      <c r="B1447" s="1450" t="s">
        <v>7233</v>
      </c>
      <c r="C1447" s="1484">
        <v>1</v>
      </c>
      <c r="D1447" s="1484" t="s">
        <v>3364</v>
      </c>
      <c r="E1447" s="1484">
        <v>4</v>
      </c>
      <c r="F1447" s="1446"/>
      <c r="G1447" s="1446"/>
      <c r="H1447" s="1447"/>
      <c r="I1447" s="1494">
        <f t="shared" si="71"/>
        <v>4</v>
      </c>
      <c r="J1447" s="1492"/>
      <c r="K1447" s="1439"/>
      <c r="L1447" s="1439"/>
      <c r="M1447" s="1439"/>
      <c r="N1447" s="1439"/>
      <c r="O1447" s="1439"/>
      <c r="P1447" s="1439"/>
      <c r="Q1447" s="1439"/>
      <c r="R1447" s="1439"/>
      <c r="S1447" s="1439"/>
      <c r="T1447" s="1439"/>
      <c r="U1447" s="1439"/>
      <c r="V1447" s="1439"/>
      <c r="W1447" s="1439"/>
      <c r="X1447" s="1439"/>
      <c r="Y1447" s="1439"/>
      <c r="Z1447" s="1439"/>
      <c r="AA1447" s="1439"/>
      <c r="AB1447" s="1439"/>
      <c r="AC1447" s="1439"/>
      <c r="AD1447" s="1439"/>
      <c r="AE1447" s="1439"/>
      <c r="AF1447" s="1439"/>
      <c r="AG1447" s="1439"/>
    </row>
    <row r="1448" spans="1:33" ht="15.75" customHeight="1">
      <c r="A1448" s="1451"/>
      <c r="B1448" s="1450" t="s">
        <v>7231</v>
      </c>
      <c r="C1448" s="1484">
        <v>1</v>
      </c>
      <c r="D1448" s="1484" t="s">
        <v>3364</v>
      </c>
      <c r="E1448" s="1484">
        <v>2</v>
      </c>
      <c r="F1448" s="1446"/>
      <c r="G1448" s="1446"/>
      <c r="H1448" s="1447"/>
      <c r="I1448" s="1494">
        <f t="shared" si="71"/>
        <v>2</v>
      </c>
      <c r="J1448" s="1492"/>
      <c r="K1448" s="1439"/>
      <c r="L1448" s="1439"/>
      <c r="M1448" s="1439"/>
      <c r="N1448" s="1439"/>
      <c r="O1448" s="1439"/>
      <c r="P1448" s="1439"/>
      <c r="Q1448" s="1439"/>
      <c r="R1448" s="1439"/>
      <c r="S1448" s="1439"/>
      <c r="T1448" s="1439"/>
      <c r="U1448" s="1439"/>
      <c r="V1448" s="1439"/>
      <c r="W1448" s="1439"/>
      <c r="X1448" s="1439"/>
      <c r="Y1448" s="1439"/>
      <c r="Z1448" s="1439"/>
      <c r="AA1448" s="1439"/>
      <c r="AB1448" s="1439"/>
      <c r="AC1448" s="1439"/>
      <c r="AD1448" s="1439"/>
      <c r="AE1448" s="1439"/>
      <c r="AF1448" s="1439"/>
      <c r="AG1448" s="1439"/>
    </row>
    <row r="1449" spans="1:33" ht="15.75" customHeight="1">
      <c r="A1449" s="1451"/>
      <c r="B1449" s="1450" t="s">
        <v>6908</v>
      </c>
      <c r="C1449" s="1484">
        <v>1</v>
      </c>
      <c r="D1449" s="1484" t="s">
        <v>3364</v>
      </c>
      <c r="E1449" s="1484">
        <v>1</v>
      </c>
      <c r="F1449" s="1446"/>
      <c r="G1449" s="1446"/>
      <c r="H1449" s="1447"/>
      <c r="I1449" s="1494">
        <f t="shared" si="71"/>
        <v>1</v>
      </c>
      <c r="J1449" s="1492"/>
      <c r="K1449" s="1439"/>
      <c r="L1449" s="1439"/>
      <c r="M1449" s="1439"/>
      <c r="N1449" s="1439"/>
      <c r="O1449" s="1439"/>
      <c r="P1449" s="1439"/>
      <c r="Q1449" s="1439"/>
      <c r="R1449" s="1439"/>
      <c r="S1449" s="1439"/>
      <c r="T1449" s="1439"/>
      <c r="U1449" s="1439"/>
      <c r="V1449" s="1439"/>
      <c r="W1449" s="1439"/>
      <c r="X1449" s="1439"/>
      <c r="Y1449" s="1439"/>
      <c r="Z1449" s="1439"/>
      <c r="AA1449" s="1439"/>
      <c r="AB1449" s="1439"/>
      <c r="AC1449" s="1439"/>
      <c r="AD1449" s="1439"/>
      <c r="AE1449" s="1439"/>
      <c r="AF1449" s="1439"/>
      <c r="AG1449" s="1439"/>
    </row>
    <row r="1450" spans="1:33" ht="15.75" customHeight="1">
      <c r="A1450" s="1451"/>
      <c r="B1450" s="1450" t="s">
        <v>7138</v>
      </c>
      <c r="C1450" s="1484">
        <v>1</v>
      </c>
      <c r="D1450" s="1484" t="s">
        <v>3364</v>
      </c>
      <c r="E1450" s="1484">
        <v>10</v>
      </c>
      <c r="F1450" s="1446"/>
      <c r="G1450" s="1446"/>
      <c r="H1450" s="1447"/>
      <c r="I1450" s="1494">
        <f t="shared" si="71"/>
        <v>10</v>
      </c>
      <c r="J1450" s="1492"/>
      <c r="K1450" s="1439"/>
      <c r="L1450" s="1439"/>
      <c r="M1450" s="1439"/>
      <c r="N1450" s="1439"/>
      <c r="O1450" s="1439"/>
      <c r="P1450" s="1439"/>
      <c r="Q1450" s="1439"/>
      <c r="R1450" s="1439"/>
      <c r="S1450" s="1439"/>
      <c r="T1450" s="1439"/>
      <c r="U1450" s="1439"/>
      <c r="V1450" s="1439"/>
      <c r="W1450" s="1439"/>
      <c r="X1450" s="1439"/>
      <c r="Y1450" s="1439"/>
      <c r="Z1450" s="1439"/>
      <c r="AA1450" s="1439"/>
      <c r="AB1450" s="1439"/>
      <c r="AC1450" s="1439"/>
      <c r="AD1450" s="1439"/>
      <c r="AE1450" s="1439"/>
      <c r="AF1450" s="1439"/>
      <c r="AG1450" s="1439"/>
    </row>
    <row r="1451" spans="1:33" ht="15.75" customHeight="1">
      <c r="A1451" s="1451"/>
      <c r="B1451" s="1450" t="s">
        <v>6586</v>
      </c>
      <c r="C1451" s="1484">
        <v>2</v>
      </c>
      <c r="D1451" s="1484" t="s">
        <v>3364</v>
      </c>
      <c r="E1451" s="1484">
        <v>1</v>
      </c>
      <c r="F1451" s="1446"/>
      <c r="G1451" s="1446"/>
      <c r="H1451" s="1447"/>
      <c r="I1451" s="1494">
        <f t="shared" si="71"/>
        <v>2</v>
      </c>
      <c r="J1451" s="1492"/>
      <c r="K1451" s="1439"/>
      <c r="L1451" s="1439"/>
      <c r="M1451" s="1439"/>
      <c r="N1451" s="1439"/>
      <c r="O1451" s="1439"/>
      <c r="P1451" s="1439"/>
      <c r="Q1451" s="1439"/>
      <c r="R1451" s="1439"/>
      <c r="S1451" s="1439"/>
      <c r="T1451" s="1439"/>
      <c r="U1451" s="1439"/>
      <c r="V1451" s="1439"/>
      <c r="W1451" s="1439"/>
      <c r="X1451" s="1439"/>
      <c r="Y1451" s="1439"/>
      <c r="Z1451" s="1439"/>
      <c r="AA1451" s="1439"/>
      <c r="AB1451" s="1439"/>
      <c r="AC1451" s="1439"/>
      <c r="AD1451" s="1439"/>
      <c r="AE1451" s="1439"/>
      <c r="AF1451" s="1439"/>
      <c r="AG1451" s="1439"/>
    </row>
    <row r="1452" spans="1:33" ht="15.75" customHeight="1">
      <c r="A1452" s="1451"/>
      <c r="B1452" s="1450" t="s">
        <v>7241</v>
      </c>
      <c r="C1452" s="1484">
        <v>1</v>
      </c>
      <c r="D1452" s="1484" t="s">
        <v>3364</v>
      </c>
      <c r="E1452" s="1484">
        <v>4</v>
      </c>
      <c r="F1452" s="1446"/>
      <c r="G1452" s="1446"/>
      <c r="H1452" s="1447"/>
      <c r="I1452" s="1494">
        <f t="shared" si="71"/>
        <v>4</v>
      </c>
      <c r="J1452" s="1492"/>
      <c r="K1452" s="1439"/>
      <c r="L1452" s="1439"/>
      <c r="M1452" s="1439"/>
      <c r="N1452" s="1439"/>
      <c r="O1452" s="1439"/>
      <c r="P1452" s="1439"/>
      <c r="Q1452" s="1439"/>
      <c r="R1452" s="1439"/>
      <c r="S1452" s="1439"/>
      <c r="T1452" s="1439"/>
      <c r="U1452" s="1439"/>
      <c r="V1452" s="1439"/>
      <c r="W1452" s="1439"/>
      <c r="X1452" s="1439"/>
      <c r="Y1452" s="1439"/>
      <c r="Z1452" s="1439"/>
      <c r="AA1452" s="1439"/>
      <c r="AB1452" s="1439"/>
      <c r="AC1452" s="1439"/>
      <c r="AD1452" s="1439"/>
      <c r="AE1452" s="1439"/>
      <c r="AF1452" s="1439"/>
      <c r="AG1452" s="1439"/>
    </row>
    <row r="1453" spans="1:33" ht="15.75" customHeight="1">
      <c r="A1453" s="1451"/>
      <c r="B1453" s="1450" t="s">
        <v>7235</v>
      </c>
      <c r="C1453" s="1484">
        <v>1</v>
      </c>
      <c r="D1453" s="1484" t="s">
        <v>3364</v>
      </c>
      <c r="E1453" s="1484">
        <v>6</v>
      </c>
      <c r="F1453" s="1446"/>
      <c r="G1453" s="1446"/>
      <c r="H1453" s="1447"/>
      <c r="I1453" s="1494">
        <f t="shared" si="71"/>
        <v>6</v>
      </c>
      <c r="J1453" s="1492"/>
      <c r="K1453" s="1439"/>
      <c r="L1453" s="1439"/>
      <c r="M1453" s="1439"/>
      <c r="N1453" s="1439"/>
      <c r="O1453" s="1439"/>
      <c r="P1453" s="1439"/>
      <c r="Q1453" s="1439"/>
      <c r="R1453" s="1439"/>
      <c r="S1453" s="1439"/>
      <c r="T1453" s="1439"/>
      <c r="U1453" s="1439"/>
      <c r="V1453" s="1439"/>
      <c r="W1453" s="1439"/>
      <c r="X1453" s="1439"/>
      <c r="Y1453" s="1439"/>
      <c r="Z1453" s="1439"/>
      <c r="AA1453" s="1439"/>
      <c r="AB1453" s="1439"/>
      <c r="AC1453" s="1439"/>
      <c r="AD1453" s="1439"/>
      <c r="AE1453" s="1439"/>
      <c r="AF1453" s="1439"/>
      <c r="AG1453" s="1439"/>
    </row>
    <row r="1454" spans="1:33" ht="15.75" customHeight="1">
      <c r="A1454" s="1451"/>
      <c r="B1454" s="1450" t="s">
        <v>7236</v>
      </c>
      <c r="C1454" s="1484">
        <v>1</v>
      </c>
      <c r="D1454" s="1484" t="s">
        <v>3364</v>
      </c>
      <c r="E1454" s="1484">
        <v>3</v>
      </c>
      <c r="F1454" s="1446"/>
      <c r="G1454" s="1446"/>
      <c r="H1454" s="1447"/>
      <c r="I1454" s="1494">
        <f t="shared" si="71"/>
        <v>3</v>
      </c>
      <c r="J1454" s="1492"/>
      <c r="K1454" s="1439"/>
      <c r="L1454" s="1439"/>
      <c r="M1454" s="1439"/>
      <c r="N1454" s="1439"/>
      <c r="O1454" s="1439"/>
      <c r="P1454" s="1439"/>
      <c r="Q1454" s="1439"/>
      <c r="R1454" s="1439"/>
      <c r="S1454" s="1439"/>
      <c r="T1454" s="1439"/>
      <c r="U1454" s="1439"/>
      <c r="V1454" s="1439"/>
      <c r="W1454" s="1439"/>
      <c r="X1454" s="1439"/>
      <c r="Y1454" s="1439"/>
      <c r="Z1454" s="1439"/>
      <c r="AA1454" s="1439"/>
      <c r="AB1454" s="1439"/>
      <c r="AC1454" s="1439"/>
      <c r="AD1454" s="1439"/>
      <c r="AE1454" s="1439"/>
      <c r="AF1454" s="1439"/>
      <c r="AG1454" s="1439"/>
    </row>
    <row r="1455" spans="1:33" ht="15.75" customHeight="1">
      <c r="A1455" s="1451"/>
      <c r="B1455" s="1450" t="s">
        <v>7237</v>
      </c>
      <c r="C1455" s="1484">
        <v>2</v>
      </c>
      <c r="D1455" s="1484" t="s">
        <v>3364</v>
      </c>
      <c r="E1455" s="1484">
        <v>1</v>
      </c>
      <c r="F1455" s="1446"/>
      <c r="G1455" s="1446"/>
      <c r="H1455" s="1447"/>
      <c r="I1455" s="1494">
        <f t="shared" si="71"/>
        <v>2</v>
      </c>
      <c r="J1455" s="1492"/>
      <c r="K1455" s="1439"/>
      <c r="L1455" s="1439"/>
      <c r="M1455" s="1439"/>
      <c r="N1455" s="1439"/>
      <c r="O1455" s="1439"/>
      <c r="P1455" s="1439"/>
      <c r="Q1455" s="1439"/>
      <c r="R1455" s="1439"/>
      <c r="S1455" s="1439"/>
      <c r="T1455" s="1439"/>
      <c r="U1455" s="1439"/>
      <c r="V1455" s="1439"/>
      <c r="W1455" s="1439"/>
      <c r="X1455" s="1439"/>
      <c r="Y1455" s="1439"/>
      <c r="Z1455" s="1439"/>
      <c r="AA1455" s="1439"/>
      <c r="AB1455" s="1439"/>
      <c r="AC1455" s="1439"/>
      <c r="AD1455" s="1439"/>
      <c r="AE1455" s="1439"/>
      <c r="AF1455" s="1439"/>
      <c r="AG1455" s="1439"/>
    </row>
    <row r="1456" spans="1:33" ht="15.75" customHeight="1">
      <c r="A1456" s="1451"/>
      <c r="B1456" s="1450" t="s">
        <v>6586</v>
      </c>
      <c r="C1456" s="1484">
        <v>1</v>
      </c>
      <c r="D1456" s="1484" t="s">
        <v>3364</v>
      </c>
      <c r="E1456" s="1484">
        <v>2</v>
      </c>
      <c r="F1456" s="1446"/>
      <c r="G1456" s="1446"/>
      <c r="H1456" s="1447"/>
      <c r="I1456" s="1494">
        <f t="shared" si="71"/>
        <v>2</v>
      </c>
      <c r="J1456" s="1492"/>
      <c r="K1456" s="1439"/>
      <c r="L1456" s="1439"/>
      <c r="M1456" s="1439"/>
      <c r="N1456" s="1439"/>
      <c r="O1456" s="1439"/>
      <c r="P1456" s="1439"/>
      <c r="Q1456" s="1439"/>
      <c r="R1456" s="1439"/>
      <c r="S1456" s="1439"/>
      <c r="T1456" s="1439"/>
      <c r="U1456" s="1439"/>
      <c r="V1456" s="1439"/>
      <c r="W1456" s="1439"/>
      <c r="X1456" s="1439"/>
      <c r="Y1456" s="1439"/>
      <c r="Z1456" s="1439"/>
      <c r="AA1456" s="1439"/>
      <c r="AB1456" s="1439"/>
      <c r="AC1456" s="1439"/>
      <c r="AD1456" s="1439"/>
      <c r="AE1456" s="1439"/>
      <c r="AF1456" s="1439"/>
      <c r="AG1456" s="1439"/>
    </row>
    <row r="1457" spans="1:33" ht="15.75" customHeight="1">
      <c r="A1457" s="1451"/>
      <c r="B1457" s="1450" t="s">
        <v>7238</v>
      </c>
      <c r="C1457" s="1484">
        <v>1</v>
      </c>
      <c r="D1457" s="1484" t="s">
        <v>3364</v>
      </c>
      <c r="E1457" s="1484">
        <v>3</v>
      </c>
      <c r="F1457" s="1446"/>
      <c r="G1457" s="1446"/>
      <c r="H1457" s="1447"/>
      <c r="I1457" s="1494">
        <f t="shared" si="71"/>
        <v>3</v>
      </c>
      <c r="J1457" s="1492"/>
      <c r="K1457" s="1439"/>
      <c r="L1457" s="1439"/>
      <c r="M1457" s="1439"/>
      <c r="N1457" s="1439"/>
      <c r="O1457" s="1439"/>
      <c r="P1457" s="1439"/>
      <c r="Q1457" s="1439"/>
      <c r="R1457" s="1439"/>
      <c r="S1457" s="1439"/>
      <c r="T1457" s="1439"/>
      <c r="U1457" s="1439"/>
      <c r="V1457" s="1439"/>
      <c r="W1457" s="1439"/>
      <c r="X1457" s="1439"/>
      <c r="Y1457" s="1439"/>
      <c r="Z1457" s="1439"/>
      <c r="AA1457" s="1439"/>
      <c r="AB1457" s="1439"/>
      <c r="AC1457" s="1439"/>
      <c r="AD1457" s="1439"/>
      <c r="AE1457" s="1439"/>
      <c r="AF1457" s="1439"/>
      <c r="AG1457" s="1439"/>
    </row>
    <row r="1458" spans="1:33" ht="15.75" customHeight="1">
      <c r="A1458" s="1451"/>
      <c r="B1458" s="1450" t="s">
        <v>7239</v>
      </c>
      <c r="C1458" s="1484">
        <v>1</v>
      </c>
      <c r="D1458" s="1484" t="s">
        <v>3364</v>
      </c>
      <c r="E1458" s="1484">
        <v>2</v>
      </c>
      <c r="F1458" s="1446"/>
      <c r="G1458" s="1446"/>
      <c r="H1458" s="1447"/>
      <c r="I1458" s="1494">
        <f t="shared" si="71"/>
        <v>2</v>
      </c>
      <c r="J1458" s="1492"/>
      <c r="K1458" s="1439"/>
      <c r="L1458" s="1439"/>
      <c r="M1458" s="1439"/>
      <c r="N1458" s="1439"/>
      <c r="O1458" s="1439"/>
      <c r="P1458" s="1439"/>
      <c r="Q1458" s="1439"/>
      <c r="R1458" s="1439"/>
      <c r="S1458" s="1439"/>
      <c r="T1458" s="1439"/>
      <c r="U1458" s="1439"/>
      <c r="V1458" s="1439"/>
      <c r="W1458" s="1439"/>
      <c r="X1458" s="1439"/>
      <c r="Y1458" s="1439"/>
      <c r="Z1458" s="1439"/>
      <c r="AA1458" s="1439"/>
      <c r="AB1458" s="1439"/>
      <c r="AC1458" s="1439"/>
      <c r="AD1458" s="1439"/>
      <c r="AE1458" s="1439"/>
      <c r="AF1458" s="1439"/>
      <c r="AG1458" s="1439"/>
    </row>
    <row r="1459" spans="1:33" ht="15.75" customHeight="1">
      <c r="A1459" s="1470"/>
      <c r="B1459" s="1450"/>
      <c r="C1459" s="1484"/>
      <c r="D1459" s="1484"/>
      <c r="E1459" s="1484"/>
      <c r="F1459" s="1446"/>
      <c r="G1459" s="1458" t="s">
        <v>104</v>
      </c>
      <c r="H1459" s="1447"/>
      <c r="I1459" s="1459">
        <f>SUM(I1400:I1458)</f>
        <v>173</v>
      </c>
      <c r="J1459" s="1475" t="s">
        <v>3471</v>
      </c>
      <c r="K1459" s="1439"/>
      <c r="L1459" s="1439"/>
      <c r="M1459" s="1439"/>
      <c r="N1459" s="1439"/>
      <c r="O1459" s="1439"/>
      <c r="P1459" s="1439"/>
      <c r="Q1459" s="1439"/>
      <c r="R1459" s="1439"/>
      <c r="S1459" s="1439"/>
      <c r="T1459" s="1439"/>
      <c r="U1459" s="1439"/>
      <c r="V1459" s="1439"/>
      <c r="W1459" s="1439"/>
      <c r="X1459" s="1439"/>
      <c r="Y1459" s="1439"/>
      <c r="Z1459" s="1439"/>
      <c r="AA1459" s="1439"/>
      <c r="AB1459" s="1439"/>
      <c r="AC1459" s="1439"/>
      <c r="AD1459" s="1439"/>
      <c r="AE1459" s="1439"/>
      <c r="AF1459" s="1439"/>
      <c r="AG1459" s="1439"/>
    </row>
    <row r="1460" spans="1:33" ht="15.75" customHeight="1">
      <c r="A1460" s="1451"/>
      <c r="B1460" s="1456" t="s">
        <v>3670</v>
      </c>
      <c r="C1460" s="1477"/>
      <c r="D1460" s="1477"/>
      <c r="E1460" s="1477"/>
      <c r="F1460" s="1478"/>
      <c r="G1460" s="1478"/>
      <c r="H1460" s="1500"/>
      <c r="I1460" s="1479"/>
      <c r="J1460" s="1501"/>
      <c r="K1460" s="1439"/>
      <c r="L1460" s="1439"/>
      <c r="M1460" s="1439"/>
      <c r="N1460" s="1439"/>
      <c r="O1460" s="1439"/>
      <c r="P1460" s="1439"/>
      <c r="Q1460" s="1439"/>
      <c r="R1460" s="1439"/>
      <c r="S1460" s="1439"/>
      <c r="T1460" s="1439"/>
      <c r="U1460" s="1439"/>
      <c r="V1460" s="1439"/>
      <c r="W1460" s="1439"/>
      <c r="X1460" s="1439"/>
      <c r="Y1460" s="1439"/>
      <c r="Z1460" s="1439"/>
      <c r="AA1460" s="1439"/>
      <c r="AB1460" s="1439"/>
      <c r="AC1460" s="1439"/>
      <c r="AD1460" s="1439"/>
      <c r="AE1460" s="1439"/>
      <c r="AF1460" s="1439"/>
      <c r="AG1460" s="1439"/>
    </row>
    <row r="1461" spans="1:33" ht="15.75" customHeight="1">
      <c r="A1461" s="1470"/>
      <c r="B1461" s="1450" t="s">
        <v>7242</v>
      </c>
      <c r="C1461" s="1484">
        <v>2</v>
      </c>
      <c r="D1461" s="1484" t="s">
        <v>3364</v>
      </c>
      <c r="E1461" s="1484">
        <v>5</v>
      </c>
      <c r="F1461" s="1446"/>
      <c r="G1461" s="1446"/>
      <c r="H1461" s="1447"/>
      <c r="I1461" s="1494">
        <f>PRODUCT(C1461:H1461)</f>
        <v>10</v>
      </c>
      <c r="J1461" s="1475"/>
      <c r="K1461" s="1439"/>
      <c r="L1461" s="1439"/>
      <c r="M1461" s="1439"/>
      <c r="N1461" s="1439"/>
      <c r="O1461" s="1439"/>
      <c r="P1461" s="1439"/>
      <c r="Q1461" s="1439"/>
      <c r="R1461" s="1439"/>
      <c r="S1461" s="1439"/>
      <c r="T1461" s="1439"/>
      <c r="U1461" s="1439"/>
      <c r="V1461" s="1439"/>
      <c r="W1461" s="1439"/>
      <c r="X1461" s="1439"/>
      <c r="Y1461" s="1439"/>
      <c r="Z1461" s="1439"/>
      <c r="AA1461" s="1439"/>
      <c r="AB1461" s="1439"/>
      <c r="AC1461" s="1439"/>
      <c r="AD1461" s="1439"/>
      <c r="AE1461" s="1439"/>
      <c r="AF1461" s="1439"/>
      <c r="AG1461" s="1439"/>
    </row>
    <row r="1462" spans="1:33" ht="15.75" customHeight="1">
      <c r="A1462" s="1470"/>
      <c r="B1462" s="1450"/>
      <c r="C1462" s="1484"/>
      <c r="D1462" s="1484"/>
      <c r="E1462" s="1484"/>
      <c r="F1462" s="1446"/>
      <c r="G1462" s="1446"/>
      <c r="H1462" s="1460" t="s">
        <v>2981</v>
      </c>
      <c r="I1462" s="1459">
        <f>SUM(I1461)</f>
        <v>10</v>
      </c>
      <c r="J1462" s="1475"/>
      <c r="K1462" s="1439"/>
      <c r="L1462" s="1439"/>
      <c r="M1462" s="1439"/>
      <c r="N1462" s="1439"/>
      <c r="O1462" s="1439"/>
      <c r="P1462" s="1439"/>
      <c r="Q1462" s="1439"/>
      <c r="R1462" s="1439"/>
      <c r="S1462" s="1439"/>
      <c r="T1462" s="1439"/>
      <c r="U1462" s="1439"/>
      <c r="V1462" s="1439"/>
      <c r="W1462" s="1439"/>
      <c r="X1462" s="1439"/>
      <c r="Y1462" s="1439"/>
      <c r="Z1462" s="1439"/>
      <c r="AA1462" s="1439"/>
      <c r="AB1462" s="1439"/>
      <c r="AC1462" s="1439"/>
      <c r="AD1462" s="1439"/>
      <c r="AE1462" s="1439"/>
      <c r="AF1462" s="1439"/>
      <c r="AG1462" s="1439"/>
    </row>
    <row r="1463" spans="1:33" ht="94.5" customHeight="1">
      <c r="A1463" s="1451">
        <v>65.099999999999994</v>
      </c>
      <c r="B1463" s="1456" t="s">
        <v>7243</v>
      </c>
      <c r="C1463" s="1484"/>
      <c r="D1463" s="1484"/>
      <c r="E1463" s="1484"/>
      <c r="F1463" s="1446"/>
      <c r="G1463" s="1446"/>
      <c r="H1463" s="1447"/>
      <c r="I1463" s="1448"/>
      <c r="J1463" s="1475"/>
      <c r="K1463" s="1439"/>
      <c r="L1463" s="1439"/>
      <c r="M1463" s="1439"/>
      <c r="N1463" s="1439"/>
      <c r="O1463" s="1439"/>
      <c r="P1463" s="1439"/>
      <c r="Q1463" s="1439"/>
      <c r="R1463" s="1439"/>
      <c r="S1463" s="1439"/>
      <c r="T1463" s="1439"/>
      <c r="U1463" s="1439"/>
      <c r="V1463" s="1439"/>
      <c r="W1463" s="1439"/>
      <c r="X1463" s="1439"/>
      <c r="Y1463" s="1439"/>
      <c r="Z1463" s="1439"/>
      <c r="AA1463" s="1439"/>
      <c r="AB1463" s="1439"/>
      <c r="AC1463" s="1439"/>
      <c r="AD1463" s="1439"/>
      <c r="AE1463" s="1439"/>
      <c r="AF1463" s="1439"/>
      <c r="AG1463" s="1439"/>
    </row>
    <row r="1464" spans="1:33" ht="15.75" customHeight="1">
      <c r="A1464" s="1451"/>
      <c r="B1464" s="1456" t="s">
        <v>7157</v>
      </c>
      <c r="C1464" s="1484"/>
      <c r="D1464" s="1484"/>
      <c r="E1464" s="1484"/>
      <c r="F1464" s="1446"/>
      <c r="G1464" s="1446"/>
      <c r="H1464" s="1447"/>
      <c r="I1464" s="1494"/>
      <c r="J1464" s="1492"/>
      <c r="K1464" s="1439"/>
      <c r="L1464" s="1439"/>
      <c r="M1464" s="1439"/>
      <c r="N1464" s="1439"/>
      <c r="O1464" s="1439"/>
      <c r="P1464" s="1439"/>
      <c r="Q1464" s="1439"/>
      <c r="R1464" s="1439"/>
      <c r="S1464" s="1439"/>
      <c r="T1464" s="1439"/>
      <c r="U1464" s="1439"/>
      <c r="V1464" s="1439"/>
      <c r="W1464" s="1439"/>
      <c r="X1464" s="1439"/>
      <c r="Y1464" s="1439"/>
      <c r="Z1464" s="1439"/>
      <c r="AA1464" s="1439"/>
      <c r="AB1464" s="1439"/>
      <c r="AC1464" s="1439"/>
      <c r="AD1464" s="1439"/>
      <c r="AE1464" s="1439"/>
      <c r="AF1464" s="1439"/>
      <c r="AG1464" s="1439"/>
    </row>
    <row r="1465" spans="1:33" ht="15.75" customHeight="1">
      <c r="A1465" s="1451"/>
      <c r="B1465" s="1450" t="s">
        <v>7079</v>
      </c>
      <c r="C1465" s="1484">
        <v>2</v>
      </c>
      <c r="D1465" s="1484" t="s">
        <v>3364</v>
      </c>
      <c r="E1465" s="1484">
        <v>1</v>
      </c>
      <c r="F1465" s="1446"/>
      <c r="G1465" s="1446"/>
      <c r="H1465" s="1447"/>
      <c r="I1465" s="1494">
        <f t="shared" ref="I1465:I1523" si="72">PRODUCT(C1465:H1465)</f>
        <v>2</v>
      </c>
      <c r="J1465" s="1492"/>
      <c r="K1465" s="1439"/>
      <c r="L1465" s="1439"/>
      <c r="M1465" s="1439"/>
      <c r="N1465" s="1439"/>
      <c r="O1465" s="1439"/>
      <c r="P1465" s="1439"/>
      <c r="Q1465" s="1439"/>
      <c r="R1465" s="1439"/>
      <c r="S1465" s="1439"/>
      <c r="T1465" s="1439"/>
      <c r="U1465" s="1439"/>
      <c r="V1465" s="1439"/>
      <c r="W1465" s="1439"/>
      <c r="X1465" s="1439"/>
      <c r="Y1465" s="1439"/>
      <c r="Z1465" s="1439"/>
      <c r="AA1465" s="1439"/>
      <c r="AB1465" s="1439"/>
      <c r="AC1465" s="1439"/>
      <c r="AD1465" s="1439"/>
      <c r="AE1465" s="1439"/>
      <c r="AF1465" s="1439"/>
      <c r="AG1465" s="1439"/>
    </row>
    <row r="1466" spans="1:33" ht="15.75" customHeight="1">
      <c r="A1466" s="1451"/>
      <c r="B1466" s="1450" t="s">
        <v>7214</v>
      </c>
      <c r="C1466" s="1484">
        <v>2</v>
      </c>
      <c r="D1466" s="1484" t="s">
        <v>3364</v>
      </c>
      <c r="E1466" s="1484">
        <v>3</v>
      </c>
      <c r="F1466" s="1446"/>
      <c r="G1466" s="1446"/>
      <c r="H1466" s="1447"/>
      <c r="I1466" s="1494">
        <f t="shared" si="72"/>
        <v>6</v>
      </c>
      <c r="J1466" s="1492"/>
      <c r="K1466" s="1439"/>
      <c r="L1466" s="1439"/>
      <c r="M1466" s="1439"/>
      <c r="N1466" s="1439"/>
      <c r="O1466" s="1439"/>
      <c r="P1466" s="1439"/>
      <c r="Q1466" s="1439"/>
      <c r="R1466" s="1439"/>
      <c r="S1466" s="1439"/>
      <c r="T1466" s="1439"/>
      <c r="U1466" s="1439"/>
      <c r="V1466" s="1439"/>
      <c r="W1466" s="1439"/>
      <c r="X1466" s="1439"/>
      <c r="Y1466" s="1439"/>
      <c r="Z1466" s="1439"/>
      <c r="AA1466" s="1439"/>
      <c r="AB1466" s="1439"/>
      <c r="AC1466" s="1439"/>
      <c r="AD1466" s="1439"/>
      <c r="AE1466" s="1439"/>
      <c r="AF1466" s="1439"/>
      <c r="AG1466" s="1439"/>
    </row>
    <row r="1467" spans="1:33" ht="15.75" customHeight="1">
      <c r="A1467" s="1451"/>
      <c r="B1467" s="1450" t="s">
        <v>7215</v>
      </c>
      <c r="C1467" s="1484">
        <v>1</v>
      </c>
      <c r="D1467" s="1484" t="s">
        <v>3364</v>
      </c>
      <c r="E1467" s="1484">
        <v>2</v>
      </c>
      <c r="F1467" s="1446"/>
      <c r="G1467" s="1446"/>
      <c r="H1467" s="1447"/>
      <c r="I1467" s="1494">
        <f t="shared" si="72"/>
        <v>2</v>
      </c>
      <c r="J1467" s="1492"/>
      <c r="K1467" s="1439"/>
      <c r="L1467" s="1439"/>
      <c r="M1467" s="1439"/>
      <c r="N1467" s="1439"/>
      <c r="O1467" s="1439"/>
      <c r="P1467" s="1439"/>
      <c r="Q1467" s="1439"/>
      <c r="R1467" s="1439"/>
      <c r="S1467" s="1439"/>
      <c r="T1467" s="1439"/>
      <c r="U1467" s="1439"/>
      <c r="V1467" s="1439"/>
      <c r="W1467" s="1439"/>
      <c r="X1467" s="1439"/>
      <c r="Y1467" s="1439"/>
      <c r="Z1467" s="1439"/>
      <c r="AA1467" s="1439"/>
      <c r="AB1467" s="1439"/>
      <c r="AC1467" s="1439"/>
      <c r="AD1467" s="1439"/>
      <c r="AE1467" s="1439"/>
      <c r="AF1467" s="1439"/>
      <c r="AG1467" s="1439"/>
    </row>
    <row r="1468" spans="1:33" ht="15.75" customHeight="1">
      <c r="A1468" s="1451"/>
      <c r="B1468" s="1450" t="s">
        <v>7080</v>
      </c>
      <c r="C1468" s="1484">
        <v>1</v>
      </c>
      <c r="D1468" s="1484" t="s">
        <v>3364</v>
      </c>
      <c r="E1468" s="1484">
        <v>2</v>
      </c>
      <c r="F1468" s="1446"/>
      <c r="G1468" s="1446"/>
      <c r="H1468" s="1447"/>
      <c r="I1468" s="1494">
        <f t="shared" si="72"/>
        <v>2</v>
      </c>
      <c r="J1468" s="1492"/>
      <c r="K1468" s="1439"/>
      <c r="L1468" s="1439"/>
      <c r="M1468" s="1439"/>
      <c r="N1468" s="1439"/>
      <c r="O1468" s="1439"/>
      <c r="P1468" s="1439"/>
      <c r="Q1468" s="1439"/>
      <c r="R1468" s="1439"/>
      <c r="S1468" s="1439"/>
      <c r="T1468" s="1439"/>
      <c r="U1468" s="1439"/>
      <c r="V1468" s="1439"/>
      <c r="W1468" s="1439"/>
      <c r="X1468" s="1439"/>
      <c r="Y1468" s="1439"/>
      <c r="Z1468" s="1439"/>
      <c r="AA1468" s="1439"/>
      <c r="AB1468" s="1439"/>
      <c r="AC1468" s="1439"/>
      <c r="AD1468" s="1439"/>
      <c r="AE1468" s="1439"/>
      <c r="AF1468" s="1439"/>
      <c r="AG1468" s="1439"/>
    </row>
    <row r="1469" spans="1:33" ht="15.75" customHeight="1">
      <c r="A1469" s="1451"/>
      <c r="B1469" s="1450" t="s">
        <v>7216</v>
      </c>
      <c r="C1469" s="1484">
        <v>2</v>
      </c>
      <c r="D1469" s="1484" t="s">
        <v>3364</v>
      </c>
      <c r="E1469" s="1484">
        <v>3</v>
      </c>
      <c r="F1469" s="1446"/>
      <c r="G1469" s="1446"/>
      <c r="H1469" s="1447"/>
      <c r="I1469" s="1494">
        <f t="shared" si="72"/>
        <v>6</v>
      </c>
      <c r="J1469" s="1492"/>
      <c r="K1469" s="1439"/>
      <c r="L1469" s="1439"/>
      <c r="M1469" s="1439"/>
      <c r="N1469" s="1439"/>
      <c r="O1469" s="1439"/>
      <c r="P1469" s="1439"/>
      <c r="Q1469" s="1439"/>
      <c r="R1469" s="1439"/>
      <c r="S1469" s="1439"/>
      <c r="T1469" s="1439"/>
      <c r="U1469" s="1439"/>
      <c r="V1469" s="1439"/>
      <c r="W1469" s="1439"/>
      <c r="X1469" s="1439"/>
      <c r="Y1469" s="1439"/>
      <c r="Z1469" s="1439"/>
      <c r="AA1469" s="1439"/>
      <c r="AB1469" s="1439"/>
      <c r="AC1469" s="1439"/>
      <c r="AD1469" s="1439"/>
      <c r="AE1469" s="1439"/>
      <c r="AF1469" s="1439"/>
      <c r="AG1469" s="1439"/>
    </row>
    <row r="1470" spans="1:33" ht="15.75" customHeight="1">
      <c r="A1470" s="1451"/>
      <c r="B1470" s="1450" t="s">
        <v>7217</v>
      </c>
      <c r="C1470" s="1484">
        <v>2</v>
      </c>
      <c r="D1470" s="1484" t="s">
        <v>3364</v>
      </c>
      <c r="E1470" s="1484">
        <v>1</v>
      </c>
      <c r="F1470" s="1446"/>
      <c r="G1470" s="1446"/>
      <c r="H1470" s="1447"/>
      <c r="I1470" s="1494">
        <f t="shared" si="72"/>
        <v>2</v>
      </c>
      <c r="J1470" s="1492"/>
      <c r="K1470" s="1439"/>
      <c r="L1470" s="1439"/>
      <c r="M1470" s="1439"/>
      <c r="N1470" s="1439"/>
      <c r="O1470" s="1439"/>
      <c r="P1470" s="1439"/>
      <c r="Q1470" s="1439"/>
      <c r="R1470" s="1439"/>
      <c r="S1470" s="1439"/>
      <c r="T1470" s="1439"/>
      <c r="U1470" s="1439"/>
      <c r="V1470" s="1439"/>
      <c r="W1470" s="1439"/>
      <c r="X1470" s="1439"/>
      <c r="Y1470" s="1439"/>
      <c r="Z1470" s="1439"/>
      <c r="AA1470" s="1439"/>
      <c r="AB1470" s="1439"/>
      <c r="AC1470" s="1439"/>
      <c r="AD1470" s="1439"/>
      <c r="AE1470" s="1439"/>
      <c r="AF1470" s="1439"/>
      <c r="AG1470" s="1439"/>
    </row>
    <row r="1471" spans="1:33" ht="15.75" customHeight="1">
      <c r="A1471" s="1451"/>
      <c r="B1471" s="1450" t="s">
        <v>7218</v>
      </c>
      <c r="C1471" s="1484">
        <v>1</v>
      </c>
      <c r="D1471" s="1484" t="s">
        <v>3364</v>
      </c>
      <c r="E1471" s="1484">
        <v>1</v>
      </c>
      <c r="F1471" s="1446"/>
      <c r="G1471" s="1446"/>
      <c r="H1471" s="1447"/>
      <c r="I1471" s="1494">
        <f t="shared" si="72"/>
        <v>1</v>
      </c>
      <c r="J1471" s="1492"/>
      <c r="K1471" s="1439"/>
      <c r="L1471" s="1439"/>
      <c r="M1471" s="1439"/>
      <c r="N1471" s="1439"/>
      <c r="O1471" s="1439"/>
      <c r="P1471" s="1439"/>
      <c r="Q1471" s="1439"/>
      <c r="R1471" s="1439"/>
      <c r="S1471" s="1439"/>
      <c r="T1471" s="1439"/>
      <c r="U1471" s="1439"/>
      <c r="V1471" s="1439"/>
      <c r="W1471" s="1439"/>
      <c r="X1471" s="1439"/>
      <c r="Y1471" s="1439"/>
      <c r="Z1471" s="1439"/>
      <c r="AA1471" s="1439"/>
      <c r="AB1471" s="1439"/>
      <c r="AC1471" s="1439"/>
      <c r="AD1471" s="1439"/>
      <c r="AE1471" s="1439"/>
      <c r="AF1471" s="1439"/>
      <c r="AG1471" s="1439"/>
    </row>
    <row r="1472" spans="1:33" ht="15.75" customHeight="1">
      <c r="A1472" s="1451"/>
      <c r="B1472" s="1456" t="s">
        <v>3486</v>
      </c>
      <c r="C1472" s="1484"/>
      <c r="D1472" s="1484"/>
      <c r="E1472" s="1484"/>
      <c r="F1472" s="1446"/>
      <c r="G1472" s="1446"/>
      <c r="H1472" s="1447"/>
      <c r="I1472" s="1494">
        <f t="shared" si="72"/>
        <v>0</v>
      </c>
      <c r="J1472" s="1492"/>
      <c r="K1472" s="1439"/>
      <c r="L1472" s="1439"/>
      <c r="M1472" s="1439"/>
      <c r="N1472" s="1439"/>
      <c r="O1472" s="1439"/>
      <c r="P1472" s="1439"/>
      <c r="Q1472" s="1439"/>
      <c r="R1472" s="1439"/>
      <c r="S1472" s="1439"/>
      <c r="T1472" s="1439"/>
      <c r="U1472" s="1439"/>
      <c r="V1472" s="1439"/>
      <c r="W1472" s="1439"/>
      <c r="X1472" s="1439"/>
      <c r="Y1472" s="1439"/>
      <c r="Z1472" s="1439"/>
      <c r="AA1472" s="1439"/>
      <c r="AB1472" s="1439"/>
      <c r="AC1472" s="1439"/>
      <c r="AD1472" s="1439"/>
      <c r="AE1472" s="1439"/>
      <c r="AF1472" s="1439"/>
      <c r="AG1472" s="1439"/>
    </row>
    <row r="1473" spans="1:33" ht="15.75" customHeight="1">
      <c r="A1473" s="1451"/>
      <c r="B1473" s="1450" t="s">
        <v>7219</v>
      </c>
      <c r="C1473" s="1484">
        <v>1</v>
      </c>
      <c r="D1473" s="1484" t="s">
        <v>3364</v>
      </c>
      <c r="E1473" s="1484">
        <v>1</v>
      </c>
      <c r="F1473" s="1446"/>
      <c r="G1473" s="1446"/>
      <c r="H1473" s="1447"/>
      <c r="I1473" s="1494">
        <f t="shared" si="72"/>
        <v>1</v>
      </c>
      <c r="J1473" s="1492"/>
      <c r="K1473" s="1439"/>
      <c r="L1473" s="1439"/>
      <c r="M1473" s="1439"/>
      <c r="N1473" s="1439"/>
      <c r="O1473" s="1439"/>
      <c r="P1473" s="1439"/>
      <c r="Q1473" s="1439"/>
      <c r="R1473" s="1439"/>
      <c r="S1473" s="1439"/>
      <c r="T1473" s="1439"/>
      <c r="U1473" s="1439"/>
      <c r="V1473" s="1439"/>
      <c r="W1473" s="1439"/>
      <c r="X1473" s="1439"/>
      <c r="Y1473" s="1439"/>
      <c r="Z1473" s="1439"/>
      <c r="AA1473" s="1439"/>
      <c r="AB1473" s="1439"/>
      <c r="AC1473" s="1439"/>
      <c r="AD1473" s="1439"/>
      <c r="AE1473" s="1439"/>
      <c r="AF1473" s="1439"/>
      <c r="AG1473" s="1439"/>
    </row>
    <row r="1474" spans="1:33" ht="15.75" customHeight="1">
      <c r="A1474" s="1451"/>
      <c r="B1474" s="1450" t="s">
        <v>7220</v>
      </c>
      <c r="C1474" s="1484">
        <v>1</v>
      </c>
      <c r="D1474" s="1484" t="s">
        <v>3364</v>
      </c>
      <c r="E1474" s="1484">
        <v>2</v>
      </c>
      <c r="F1474" s="1446"/>
      <c r="G1474" s="1446"/>
      <c r="H1474" s="1447"/>
      <c r="I1474" s="1494">
        <f t="shared" si="72"/>
        <v>2</v>
      </c>
      <c r="J1474" s="1492"/>
      <c r="K1474" s="1439"/>
      <c r="L1474" s="1439"/>
      <c r="M1474" s="1439"/>
      <c r="N1474" s="1439"/>
      <c r="O1474" s="1439"/>
      <c r="P1474" s="1439"/>
      <c r="Q1474" s="1439"/>
      <c r="R1474" s="1439"/>
      <c r="S1474" s="1439"/>
      <c r="T1474" s="1439"/>
      <c r="U1474" s="1439"/>
      <c r="V1474" s="1439"/>
      <c r="W1474" s="1439"/>
      <c r="X1474" s="1439"/>
      <c r="Y1474" s="1439"/>
      <c r="Z1474" s="1439"/>
      <c r="AA1474" s="1439"/>
      <c r="AB1474" s="1439"/>
      <c r="AC1474" s="1439"/>
      <c r="AD1474" s="1439"/>
      <c r="AE1474" s="1439"/>
      <c r="AF1474" s="1439"/>
      <c r="AG1474" s="1439"/>
    </row>
    <row r="1475" spans="1:33" ht="15.75" customHeight="1">
      <c r="A1475" s="1451"/>
      <c r="B1475" s="1450" t="s">
        <v>7221</v>
      </c>
      <c r="C1475" s="1484">
        <v>1</v>
      </c>
      <c r="D1475" s="1484" t="s">
        <v>3364</v>
      </c>
      <c r="E1475" s="1484">
        <v>2</v>
      </c>
      <c r="F1475" s="1446"/>
      <c r="G1475" s="1446"/>
      <c r="H1475" s="1447"/>
      <c r="I1475" s="1494">
        <f t="shared" si="72"/>
        <v>2</v>
      </c>
      <c r="J1475" s="1492"/>
      <c r="K1475" s="1439"/>
      <c r="L1475" s="1439"/>
      <c r="M1475" s="1439"/>
      <c r="N1475" s="1439"/>
      <c r="O1475" s="1439"/>
      <c r="P1475" s="1439"/>
      <c r="Q1475" s="1439"/>
      <c r="R1475" s="1439"/>
      <c r="S1475" s="1439"/>
      <c r="T1475" s="1439"/>
      <c r="U1475" s="1439"/>
      <c r="V1475" s="1439"/>
      <c r="W1475" s="1439"/>
      <c r="X1475" s="1439"/>
      <c r="Y1475" s="1439"/>
      <c r="Z1475" s="1439"/>
      <c r="AA1475" s="1439"/>
      <c r="AB1475" s="1439"/>
      <c r="AC1475" s="1439"/>
      <c r="AD1475" s="1439"/>
      <c r="AE1475" s="1439"/>
      <c r="AF1475" s="1439"/>
      <c r="AG1475" s="1439"/>
    </row>
    <row r="1476" spans="1:33" ht="15.75" customHeight="1">
      <c r="A1476" s="1451"/>
      <c r="B1476" s="1450" t="s">
        <v>7222</v>
      </c>
      <c r="C1476" s="1484">
        <v>1</v>
      </c>
      <c r="D1476" s="1484" t="s">
        <v>3364</v>
      </c>
      <c r="E1476" s="1484">
        <v>1</v>
      </c>
      <c r="F1476" s="1446"/>
      <c r="G1476" s="1446"/>
      <c r="H1476" s="1447"/>
      <c r="I1476" s="1494">
        <f t="shared" si="72"/>
        <v>1</v>
      </c>
      <c r="J1476" s="1492"/>
      <c r="K1476" s="1439"/>
      <c r="L1476" s="1439"/>
      <c r="M1476" s="1439"/>
      <c r="N1476" s="1439"/>
      <c r="O1476" s="1439"/>
      <c r="P1476" s="1439"/>
      <c r="Q1476" s="1439"/>
      <c r="R1476" s="1439"/>
      <c r="S1476" s="1439"/>
      <c r="T1476" s="1439"/>
      <c r="U1476" s="1439"/>
      <c r="V1476" s="1439"/>
      <c r="W1476" s="1439"/>
      <c r="X1476" s="1439"/>
      <c r="Y1476" s="1439"/>
      <c r="Z1476" s="1439"/>
      <c r="AA1476" s="1439"/>
      <c r="AB1476" s="1439"/>
      <c r="AC1476" s="1439"/>
      <c r="AD1476" s="1439"/>
      <c r="AE1476" s="1439"/>
      <c r="AF1476" s="1439"/>
      <c r="AG1476" s="1439"/>
    </row>
    <row r="1477" spans="1:33" ht="15.75" customHeight="1">
      <c r="A1477" s="1451"/>
      <c r="B1477" s="1450" t="s">
        <v>7223</v>
      </c>
      <c r="C1477" s="1484">
        <v>2</v>
      </c>
      <c r="D1477" s="1484" t="s">
        <v>3364</v>
      </c>
      <c r="E1477" s="1484">
        <v>2</v>
      </c>
      <c r="F1477" s="1446"/>
      <c r="G1477" s="1446"/>
      <c r="H1477" s="1447"/>
      <c r="I1477" s="1494">
        <f t="shared" si="72"/>
        <v>4</v>
      </c>
      <c r="J1477" s="1492"/>
      <c r="K1477" s="1439"/>
      <c r="L1477" s="1439"/>
      <c r="M1477" s="1439"/>
      <c r="N1477" s="1439"/>
      <c r="O1477" s="1439"/>
      <c r="P1477" s="1439"/>
      <c r="Q1477" s="1439"/>
      <c r="R1477" s="1439"/>
      <c r="S1477" s="1439"/>
      <c r="T1477" s="1439"/>
      <c r="U1477" s="1439"/>
      <c r="V1477" s="1439"/>
      <c r="W1477" s="1439"/>
      <c r="X1477" s="1439"/>
      <c r="Y1477" s="1439"/>
      <c r="Z1477" s="1439"/>
      <c r="AA1477" s="1439"/>
      <c r="AB1477" s="1439"/>
      <c r="AC1477" s="1439"/>
      <c r="AD1477" s="1439"/>
      <c r="AE1477" s="1439"/>
      <c r="AF1477" s="1439"/>
      <c r="AG1477" s="1439"/>
    </row>
    <row r="1478" spans="1:33" ht="15.75" customHeight="1">
      <c r="A1478" s="1451"/>
      <c r="B1478" s="1450" t="s">
        <v>7217</v>
      </c>
      <c r="C1478" s="1484">
        <v>2</v>
      </c>
      <c r="D1478" s="1484" t="s">
        <v>3364</v>
      </c>
      <c r="E1478" s="1484">
        <v>1</v>
      </c>
      <c r="F1478" s="1446"/>
      <c r="G1478" s="1446"/>
      <c r="H1478" s="1447"/>
      <c r="I1478" s="1494">
        <f t="shared" si="72"/>
        <v>2</v>
      </c>
      <c r="J1478" s="1492"/>
      <c r="K1478" s="1439"/>
      <c r="L1478" s="1439"/>
      <c r="M1478" s="1439"/>
      <c r="N1478" s="1439"/>
      <c r="O1478" s="1439"/>
      <c r="P1478" s="1439"/>
      <c r="Q1478" s="1439"/>
      <c r="R1478" s="1439"/>
      <c r="S1478" s="1439"/>
      <c r="T1478" s="1439"/>
      <c r="U1478" s="1439"/>
      <c r="V1478" s="1439"/>
      <c r="W1478" s="1439"/>
      <c r="X1478" s="1439"/>
      <c r="Y1478" s="1439"/>
      <c r="Z1478" s="1439"/>
      <c r="AA1478" s="1439"/>
      <c r="AB1478" s="1439"/>
      <c r="AC1478" s="1439"/>
      <c r="AD1478" s="1439"/>
      <c r="AE1478" s="1439"/>
      <c r="AF1478" s="1439"/>
      <c r="AG1478" s="1439"/>
    </row>
    <row r="1479" spans="1:33" ht="15.75" customHeight="1">
      <c r="A1479" s="1451"/>
      <c r="B1479" s="1450" t="s">
        <v>7083</v>
      </c>
      <c r="C1479" s="1484">
        <v>1</v>
      </c>
      <c r="D1479" s="1484" t="s">
        <v>3364</v>
      </c>
      <c r="E1479" s="1484">
        <v>1</v>
      </c>
      <c r="F1479" s="1446"/>
      <c r="G1479" s="1446"/>
      <c r="H1479" s="1447"/>
      <c r="I1479" s="1494">
        <f t="shared" si="72"/>
        <v>1</v>
      </c>
      <c r="J1479" s="1492"/>
      <c r="K1479" s="1439"/>
      <c r="L1479" s="1439"/>
      <c r="M1479" s="1439"/>
      <c r="N1479" s="1439"/>
      <c r="O1479" s="1439"/>
      <c r="P1479" s="1439"/>
      <c r="Q1479" s="1439"/>
      <c r="R1479" s="1439"/>
      <c r="S1479" s="1439"/>
      <c r="T1479" s="1439"/>
      <c r="U1479" s="1439"/>
      <c r="V1479" s="1439"/>
      <c r="W1479" s="1439"/>
      <c r="X1479" s="1439"/>
      <c r="Y1479" s="1439"/>
      <c r="Z1479" s="1439"/>
      <c r="AA1479" s="1439"/>
      <c r="AB1479" s="1439"/>
      <c r="AC1479" s="1439"/>
      <c r="AD1479" s="1439"/>
      <c r="AE1479" s="1439"/>
      <c r="AF1479" s="1439"/>
      <c r="AG1479" s="1439"/>
    </row>
    <row r="1480" spans="1:33" ht="15.75" customHeight="1">
      <c r="A1480" s="1451"/>
      <c r="B1480" s="1456" t="s">
        <v>3488</v>
      </c>
      <c r="C1480" s="1484"/>
      <c r="D1480" s="1484"/>
      <c r="E1480" s="1484"/>
      <c r="F1480" s="1446"/>
      <c r="G1480" s="1446"/>
      <c r="H1480" s="1447"/>
      <c r="I1480" s="1494">
        <f t="shared" si="72"/>
        <v>0</v>
      </c>
      <c r="J1480" s="1492"/>
      <c r="K1480" s="1439"/>
      <c r="L1480" s="1439"/>
      <c r="M1480" s="1439"/>
      <c r="N1480" s="1439"/>
      <c r="O1480" s="1439"/>
      <c r="P1480" s="1439"/>
      <c r="Q1480" s="1439"/>
      <c r="R1480" s="1439"/>
      <c r="S1480" s="1439"/>
      <c r="T1480" s="1439"/>
      <c r="U1480" s="1439"/>
      <c r="V1480" s="1439"/>
      <c r="W1480" s="1439"/>
      <c r="X1480" s="1439"/>
      <c r="Y1480" s="1439"/>
      <c r="Z1480" s="1439"/>
      <c r="AA1480" s="1439"/>
      <c r="AB1480" s="1439"/>
      <c r="AC1480" s="1439"/>
      <c r="AD1480" s="1439"/>
      <c r="AE1480" s="1439"/>
      <c r="AF1480" s="1439"/>
      <c r="AG1480" s="1439"/>
    </row>
    <row r="1481" spans="1:33" ht="15.75" customHeight="1">
      <c r="A1481" s="1451"/>
      <c r="B1481" s="1450" t="s">
        <v>7224</v>
      </c>
      <c r="C1481" s="1484">
        <v>1</v>
      </c>
      <c r="D1481" s="1484" t="s">
        <v>3364</v>
      </c>
      <c r="E1481" s="1484">
        <v>1</v>
      </c>
      <c r="F1481" s="1446"/>
      <c r="G1481" s="1446"/>
      <c r="H1481" s="1447"/>
      <c r="I1481" s="1494">
        <f t="shared" si="72"/>
        <v>1</v>
      </c>
      <c r="J1481" s="1492"/>
      <c r="K1481" s="1439"/>
      <c r="L1481" s="1439"/>
      <c r="M1481" s="1439"/>
      <c r="N1481" s="1439"/>
      <c r="O1481" s="1439"/>
      <c r="P1481" s="1439"/>
      <c r="Q1481" s="1439"/>
      <c r="R1481" s="1439"/>
      <c r="S1481" s="1439"/>
      <c r="T1481" s="1439"/>
      <c r="U1481" s="1439"/>
      <c r="V1481" s="1439"/>
      <c r="W1481" s="1439"/>
      <c r="X1481" s="1439"/>
      <c r="Y1481" s="1439"/>
      <c r="Z1481" s="1439"/>
      <c r="AA1481" s="1439"/>
      <c r="AB1481" s="1439"/>
      <c r="AC1481" s="1439"/>
      <c r="AD1481" s="1439"/>
      <c r="AE1481" s="1439"/>
      <c r="AF1481" s="1439"/>
      <c r="AG1481" s="1439"/>
    </row>
    <row r="1482" spans="1:33" ht="15.75" customHeight="1">
      <c r="A1482" s="1451"/>
      <c r="B1482" s="1450" t="s">
        <v>7221</v>
      </c>
      <c r="C1482" s="1484">
        <v>1</v>
      </c>
      <c r="D1482" s="1484" t="s">
        <v>3364</v>
      </c>
      <c r="E1482" s="1484">
        <v>2</v>
      </c>
      <c r="F1482" s="1446"/>
      <c r="G1482" s="1446"/>
      <c r="H1482" s="1447"/>
      <c r="I1482" s="1494">
        <f t="shared" si="72"/>
        <v>2</v>
      </c>
      <c r="J1482" s="1492"/>
      <c r="K1482" s="1439"/>
      <c r="L1482" s="1439"/>
      <c r="M1482" s="1439"/>
      <c r="N1482" s="1439"/>
      <c r="O1482" s="1439"/>
      <c r="P1482" s="1439"/>
      <c r="Q1482" s="1439"/>
      <c r="R1482" s="1439"/>
      <c r="S1482" s="1439"/>
      <c r="T1482" s="1439"/>
      <c r="U1482" s="1439"/>
      <c r="V1482" s="1439"/>
      <c r="W1482" s="1439"/>
      <c r="X1482" s="1439"/>
      <c r="Y1482" s="1439"/>
      <c r="Z1482" s="1439"/>
      <c r="AA1482" s="1439"/>
      <c r="AB1482" s="1439"/>
      <c r="AC1482" s="1439"/>
      <c r="AD1482" s="1439"/>
      <c r="AE1482" s="1439"/>
      <c r="AF1482" s="1439"/>
      <c r="AG1482" s="1439"/>
    </row>
    <row r="1483" spans="1:33" ht="15.75" customHeight="1">
      <c r="A1483" s="1451"/>
      <c r="B1483" s="1450" t="s">
        <v>7163</v>
      </c>
      <c r="C1483" s="1484">
        <v>1</v>
      </c>
      <c r="D1483" s="1484" t="s">
        <v>3364</v>
      </c>
      <c r="E1483" s="1484">
        <v>4</v>
      </c>
      <c r="F1483" s="1446"/>
      <c r="G1483" s="1446"/>
      <c r="H1483" s="1447"/>
      <c r="I1483" s="1494">
        <f t="shared" si="72"/>
        <v>4</v>
      </c>
      <c r="J1483" s="1492"/>
      <c r="K1483" s="1439"/>
      <c r="L1483" s="1439"/>
      <c r="M1483" s="1439"/>
      <c r="N1483" s="1439"/>
      <c r="O1483" s="1439"/>
      <c r="P1483" s="1439"/>
      <c r="Q1483" s="1439"/>
      <c r="R1483" s="1439"/>
      <c r="S1483" s="1439"/>
      <c r="T1483" s="1439"/>
      <c r="U1483" s="1439"/>
      <c r="V1483" s="1439"/>
      <c r="W1483" s="1439"/>
      <c r="X1483" s="1439"/>
      <c r="Y1483" s="1439"/>
      <c r="Z1483" s="1439"/>
      <c r="AA1483" s="1439"/>
      <c r="AB1483" s="1439"/>
      <c r="AC1483" s="1439"/>
      <c r="AD1483" s="1439"/>
      <c r="AE1483" s="1439"/>
      <c r="AF1483" s="1439"/>
      <c r="AG1483" s="1439"/>
    </row>
    <row r="1484" spans="1:33" ht="15.75" customHeight="1">
      <c r="A1484" s="1451"/>
      <c r="B1484" s="1450" t="s">
        <v>7225</v>
      </c>
      <c r="C1484" s="1484">
        <v>1</v>
      </c>
      <c r="D1484" s="1484" t="s">
        <v>3364</v>
      </c>
      <c r="E1484" s="1484">
        <v>4</v>
      </c>
      <c r="F1484" s="1446"/>
      <c r="G1484" s="1446"/>
      <c r="H1484" s="1447"/>
      <c r="I1484" s="1494">
        <f t="shared" si="72"/>
        <v>4</v>
      </c>
      <c r="J1484" s="1492"/>
      <c r="K1484" s="1439"/>
      <c r="L1484" s="1439"/>
      <c r="M1484" s="1439"/>
      <c r="N1484" s="1439"/>
      <c r="O1484" s="1439"/>
      <c r="P1484" s="1439"/>
      <c r="Q1484" s="1439"/>
      <c r="R1484" s="1439"/>
      <c r="S1484" s="1439"/>
      <c r="T1484" s="1439"/>
      <c r="U1484" s="1439"/>
      <c r="V1484" s="1439"/>
      <c r="W1484" s="1439"/>
      <c r="X1484" s="1439"/>
      <c r="Y1484" s="1439"/>
      <c r="Z1484" s="1439"/>
      <c r="AA1484" s="1439"/>
      <c r="AB1484" s="1439"/>
      <c r="AC1484" s="1439"/>
      <c r="AD1484" s="1439"/>
      <c r="AE1484" s="1439"/>
      <c r="AF1484" s="1439"/>
      <c r="AG1484" s="1439"/>
    </row>
    <row r="1485" spans="1:33" ht="15.75" customHeight="1">
      <c r="A1485" s="1451"/>
      <c r="B1485" s="1450" t="s">
        <v>7226</v>
      </c>
      <c r="C1485" s="1484">
        <v>1</v>
      </c>
      <c r="D1485" s="1484" t="s">
        <v>3364</v>
      </c>
      <c r="E1485" s="1484">
        <v>2</v>
      </c>
      <c r="F1485" s="1446"/>
      <c r="G1485" s="1446"/>
      <c r="H1485" s="1447"/>
      <c r="I1485" s="1494">
        <f t="shared" si="72"/>
        <v>2</v>
      </c>
      <c r="J1485" s="1492"/>
      <c r="K1485" s="1439"/>
      <c r="L1485" s="1439"/>
      <c r="M1485" s="1439"/>
      <c r="N1485" s="1439"/>
      <c r="O1485" s="1439"/>
      <c r="P1485" s="1439"/>
      <c r="Q1485" s="1439"/>
      <c r="R1485" s="1439"/>
      <c r="S1485" s="1439"/>
      <c r="T1485" s="1439"/>
      <c r="U1485" s="1439"/>
      <c r="V1485" s="1439"/>
      <c r="W1485" s="1439"/>
      <c r="X1485" s="1439"/>
      <c r="Y1485" s="1439"/>
      <c r="Z1485" s="1439"/>
      <c r="AA1485" s="1439"/>
      <c r="AB1485" s="1439"/>
      <c r="AC1485" s="1439"/>
      <c r="AD1485" s="1439"/>
      <c r="AE1485" s="1439"/>
      <c r="AF1485" s="1439"/>
      <c r="AG1485" s="1439"/>
    </row>
    <row r="1486" spans="1:33" ht="15.75" customHeight="1">
      <c r="A1486" s="1451"/>
      <c r="B1486" s="1450" t="s">
        <v>7227</v>
      </c>
      <c r="C1486" s="1484">
        <v>1</v>
      </c>
      <c r="D1486" s="1484" t="s">
        <v>3364</v>
      </c>
      <c r="E1486" s="1484">
        <v>4</v>
      </c>
      <c r="F1486" s="1446"/>
      <c r="G1486" s="1446"/>
      <c r="H1486" s="1447"/>
      <c r="I1486" s="1494">
        <f t="shared" si="72"/>
        <v>4</v>
      </c>
      <c r="J1486" s="1492"/>
      <c r="K1486" s="1439"/>
      <c r="L1486" s="1439"/>
      <c r="M1486" s="1439"/>
      <c r="N1486" s="1439"/>
      <c r="O1486" s="1439"/>
      <c r="P1486" s="1439"/>
      <c r="Q1486" s="1439"/>
      <c r="R1486" s="1439"/>
      <c r="S1486" s="1439"/>
      <c r="T1486" s="1439"/>
      <c r="U1486" s="1439"/>
      <c r="V1486" s="1439"/>
      <c r="W1486" s="1439"/>
      <c r="X1486" s="1439"/>
      <c r="Y1486" s="1439"/>
      <c r="Z1486" s="1439"/>
      <c r="AA1486" s="1439"/>
      <c r="AB1486" s="1439"/>
      <c r="AC1486" s="1439"/>
      <c r="AD1486" s="1439"/>
      <c r="AE1486" s="1439"/>
      <c r="AF1486" s="1439"/>
      <c r="AG1486" s="1439"/>
    </row>
    <row r="1487" spans="1:33" ht="15.75" customHeight="1">
      <c r="A1487" s="1451"/>
      <c r="B1487" s="1450" t="s">
        <v>7228</v>
      </c>
      <c r="C1487" s="1484">
        <v>1</v>
      </c>
      <c r="D1487" s="1484" t="s">
        <v>3364</v>
      </c>
      <c r="E1487" s="1484">
        <v>4</v>
      </c>
      <c r="F1487" s="1446"/>
      <c r="G1487" s="1446"/>
      <c r="H1487" s="1447"/>
      <c r="I1487" s="1494">
        <f t="shared" si="72"/>
        <v>4</v>
      </c>
      <c r="J1487" s="1492"/>
      <c r="K1487" s="1439"/>
      <c r="L1487" s="1439"/>
      <c r="M1487" s="1439"/>
      <c r="N1487" s="1439"/>
      <c r="O1487" s="1439"/>
      <c r="P1487" s="1439"/>
      <c r="Q1487" s="1439"/>
      <c r="R1487" s="1439"/>
      <c r="S1487" s="1439"/>
      <c r="T1487" s="1439"/>
      <c r="U1487" s="1439"/>
      <c r="V1487" s="1439"/>
      <c r="W1487" s="1439"/>
      <c r="X1487" s="1439"/>
      <c r="Y1487" s="1439"/>
      <c r="Z1487" s="1439"/>
      <c r="AA1487" s="1439"/>
      <c r="AB1487" s="1439"/>
      <c r="AC1487" s="1439"/>
      <c r="AD1487" s="1439"/>
      <c r="AE1487" s="1439"/>
      <c r="AF1487" s="1439"/>
      <c r="AG1487" s="1439"/>
    </row>
    <row r="1488" spans="1:33" ht="15.75" customHeight="1">
      <c r="A1488" s="1451"/>
      <c r="B1488" s="1450" t="s">
        <v>7229</v>
      </c>
      <c r="C1488" s="1484">
        <v>1</v>
      </c>
      <c r="D1488" s="1484" t="s">
        <v>3364</v>
      </c>
      <c r="E1488" s="1484">
        <v>4</v>
      </c>
      <c r="F1488" s="1446"/>
      <c r="G1488" s="1446"/>
      <c r="H1488" s="1447"/>
      <c r="I1488" s="1494">
        <f t="shared" si="72"/>
        <v>4</v>
      </c>
      <c r="J1488" s="1492"/>
      <c r="K1488" s="1439"/>
      <c r="L1488" s="1439"/>
      <c r="M1488" s="1439"/>
      <c r="N1488" s="1439"/>
      <c r="O1488" s="1439"/>
      <c r="P1488" s="1439"/>
      <c r="Q1488" s="1439"/>
      <c r="R1488" s="1439"/>
      <c r="S1488" s="1439"/>
      <c r="T1488" s="1439"/>
      <c r="U1488" s="1439"/>
      <c r="V1488" s="1439"/>
      <c r="W1488" s="1439"/>
      <c r="X1488" s="1439"/>
      <c r="Y1488" s="1439"/>
      <c r="Z1488" s="1439"/>
      <c r="AA1488" s="1439"/>
      <c r="AB1488" s="1439"/>
      <c r="AC1488" s="1439"/>
      <c r="AD1488" s="1439"/>
      <c r="AE1488" s="1439"/>
      <c r="AF1488" s="1439"/>
      <c r="AG1488" s="1439"/>
    </row>
    <row r="1489" spans="1:33" ht="15.75" customHeight="1">
      <c r="A1489" s="1451"/>
      <c r="B1489" s="1450" t="s">
        <v>7230</v>
      </c>
      <c r="C1489" s="1484">
        <v>3</v>
      </c>
      <c r="D1489" s="1484" t="s">
        <v>3364</v>
      </c>
      <c r="E1489" s="1484">
        <v>4</v>
      </c>
      <c r="F1489" s="1446"/>
      <c r="G1489" s="1446"/>
      <c r="H1489" s="1447"/>
      <c r="I1489" s="1494">
        <f t="shared" si="72"/>
        <v>12</v>
      </c>
      <c r="J1489" s="1492"/>
      <c r="K1489" s="1439"/>
      <c r="L1489" s="1439"/>
      <c r="M1489" s="1439"/>
      <c r="N1489" s="1439"/>
      <c r="O1489" s="1439"/>
      <c r="P1489" s="1439"/>
      <c r="Q1489" s="1439"/>
      <c r="R1489" s="1439"/>
      <c r="S1489" s="1439"/>
      <c r="T1489" s="1439"/>
      <c r="U1489" s="1439"/>
      <c r="V1489" s="1439"/>
      <c r="W1489" s="1439"/>
      <c r="X1489" s="1439"/>
      <c r="Y1489" s="1439"/>
      <c r="Z1489" s="1439"/>
      <c r="AA1489" s="1439"/>
      <c r="AB1489" s="1439"/>
      <c r="AC1489" s="1439"/>
      <c r="AD1489" s="1439"/>
      <c r="AE1489" s="1439"/>
      <c r="AF1489" s="1439"/>
      <c r="AG1489" s="1439"/>
    </row>
    <row r="1490" spans="1:33" ht="15.75" customHeight="1">
      <c r="A1490" s="1451"/>
      <c r="B1490" s="1450" t="s">
        <v>6723</v>
      </c>
      <c r="C1490" s="1484">
        <v>1</v>
      </c>
      <c r="D1490" s="1484" t="s">
        <v>3364</v>
      </c>
      <c r="E1490" s="1484">
        <v>2</v>
      </c>
      <c r="F1490" s="1446"/>
      <c r="G1490" s="1446"/>
      <c r="H1490" s="1447"/>
      <c r="I1490" s="1494">
        <f t="shared" si="72"/>
        <v>2</v>
      </c>
      <c r="J1490" s="1492"/>
      <c r="K1490" s="1439"/>
      <c r="L1490" s="1439"/>
      <c r="M1490" s="1439"/>
      <c r="N1490" s="1439"/>
      <c r="O1490" s="1439"/>
      <c r="P1490" s="1439"/>
      <c r="Q1490" s="1439"/>
      <c r="R1490" s="1439"/>
      <c r="S1490" s="1439"/>
      <c r="T1490" s="1439"/>
      <c r="U1490" s="1439"/>
      <c r="V1490" s="1439"/>
      <c r="W1490" s="1439"/>
      <c r="X1490" s="1439"/>
      <c r="Y1490" s="1439"/>
      <c r="Z1490" s="1439"/>
      <c r="AA1490" s="1439"/>
      <c r="AB1490" s="1439"/>
      <c r="AC1490" s="1439"/>
      <c r="AD1490" s="1439"/>
      <c r="AE1490" s="1439"/>
      <c r="AF1490" s="1439"/>
      <c r="AG1490" s="1439"/>
    </row>
    <row r="1491" spans="1:33" ht="15.75" customHeight="1">
      <c r="A1491" s="1451"/>
      <c r="B1491" s="1450" t="s">
        <v>6933</v>
      </c>
      <c r="C1491" s="1484">
        <v>1</v>
      </c>
      <c r="D1491" s="1484" t="s">
        <v>3364</v>
      </c>
      <c r="E1491" s="1484">
        <v>1</v>
      </c>
      <c r="F1491" s="1446"/>
      <c r="G1491" s="1446"/>
      <c r="H1491" s="1447"/>
      <c r="I1491" s="1494">
        <f t="shared" si="72"/>
        <v>1</v>
      </c>
      <c r="J1491" s="1492"/>
      <c r="K1491" s="1439"/>
      <c r="L1491" s="1439"/>
      <c r="M1491" s="1439"/>
      <c r="N1491" s="1439"/>
      <c r="O1491" s="1439"/>
      <c r="P1491" s="1439"/>
      <c r="Q1491" s="1439"/>
      <c r="R1491" s="1439"/>
      <c r="S1491" s="1439"/>
      <c r="T1491" s="1439"/>
      <c r="U1491" s="1439"/>
      <c r="V1491" s="1439"/>
      <c r="W1491" s="1439"/>
      <c r="X1491" s="1439"/>
      <c r="Y1491" s="1439"/>
      <c r="Z1491" s="1439"/>
      <c r="AA1491" s="1439"/>
      <c r="AB1491" s="1439"/>
      <c r="AC1491" s="1439"/>
      <c r="AD1491" s="1439"/>
      <c r="AE1491" s="1439"/>
      <c r="AF1491" s="1439"/>
      <c r="AG1491" s="1439"/>
    </row>
    <row r="1492" spans="1:33" ht="15.75" customHeight="1">
      <c r="A1492" s="1451"/>
      <c r="B1492" s="1450" t="s">
        <v>7231</v>
      </c>
      <c r="C1492" s="1484">
        <v>1</v>
      </c>
      <c r="D1492" s="1484" t="s">
        <v>3364</v>
      </c>
      <c r="E1492" s="1484">
        <v>5</v>
      </c>
      <c r="F1492" s="1446"/>
      <c r="G1492" s="1446"/>
      <c r="H1492" s="1447"/>
      <c r="I1492" s="1494">
        <f t="shared" si="72"/>
        <v>5</v>
      </c>
      <c r="J1492" s="1492"/>
      <c r="K1492" s="1439"/>
      <c r="L1492" s="1439"/>
      <c r="M1492" s="1439"/>
      <c r="N1492" s="1439"/>
      <c r="O1492" s="1439"/>
      <c r="P1492" s="1439"/>
      <c r="Q1492" s="1439"/>
      <c r="R1492" s="1439"/>
      <c r="S1492" s="1439"/>
      <c r="T1492" s="1439"/>
      <c r="U1492" s="1439"/>
      <c r="V1492" s="1439"/>
      <c r="W1492" s="1439"/>
      <c r="X1492" s="1439"/>
      <c r="Y1492" s="1439"/>
      <c r="Z1492" s="1439"/>
      <c r="AA1492" s="1439"/>
      <c r="AB1492" s="1439"/>
      <c r="AC1492" s="1439"/>
      <c r="AD1492" s="1439"/>
      <c r="AE1492" s="1439"/>
      <c r="AF1492" s="1439"/>
      <c r="AG1492" s="1439"/>
    </row>
    <row r="1493" spans="1:33" ht="15.75" customHeight="1">
      <c r="A1493" s="1451"/>
      <c r="B1493" s="1456" t="s">
        <v>7232</v>
      </c>
      <c r="C1493" s="1484"/>
      <c r="D1493" s="1484"/>
      <c r="E1493" s="1484"/>
      <c r="F1493" s="1446"/>
      <c r="G1493" s="1446"/>
      <c r="H1493" s="1447"/>
      <c r="I1493" s="1494">
        <f t="shared" si="72"/>
        <v>0</v>
      </c>
      <c r="J1493" s="1492"/>
      <c r="K1493" s="1439"/>
      <c r="L1493" s="1439"/>
      <c r="M1493" s="1439"/>
      <c r="N1493" s="1439"/>
      <c r="O1493" s="1439"/>
      <c r="P1493" s="1439"/>
      <c r="Q1493" s="1439"/>
      <c r="R1493" s="1439"/>
      <c r="S1493" s="1439"/>
      <c r="T1493" s="1439"/>
      <c r="U1493" s="1439"/>
      <c r="V1493" s="1439"/>
      <c r="W1493" s="1439"/>
      <c r="X1493" s="1439"/>
      <c r="Y1493" s="1439"/>
      <c r="Z1493" s="1439"/>
      <c r="AA1493" s="1439"/>
      <c r="AB1493" s="1439"/>
      <c r="AC1493" s="1439"/>
      <c r="AD1493" s="1439"/>
      <c r="AE1493" s="1439"/>
      <c r="AF1493" s="1439"/>
      <c r="AG1493" s="1439"/>
    </row>
    <row r="1494" spans="1:33" ht="15.75" customHeight="1">
      <c r="A1494" s="1451"/>
      <c r="B1494" s="1450" t="s">
        <v>7224</v>
      </c>
      <c r="C1494" s="1484">
        <v>2</v>
      </c>
      <c r="D1494" s="1484" t="s">
        <v>3364</v>
      </c>
      <c r="E1494" s="1484">
        <v>1</v>
      </c>
      <c r="F1494" s="1446"/>
      <c r="G1494" s="1446"/>
      <c r="H1494" s="1447"/>
      <c r="I1494" s="1494">
        <f t="shared" si="72"/>
        <v>2</v>
      </c>
      <c r="J1494" s="1492"/>
      <c r="K1494" s="1439"/>
      <c r="L1494" s="1439"/>
      <c r="M1494" s="1439"/>
      <c r="N1494" s="1439"/>
      <c r="O1494" s="1439"/>
      <c r="P1494" s="1439"/>
      <c r="Q1494" s="1439"/>
      <c r="R1494" s="1439"/>
      <c r="S1494" s="1439"/>
      <c r="T1494" s="1439"/>
      <c r="U1494" s="1439"/>
      <c r="V1494" s="1439"/>
      <c r="W1494" s="1439"/>
      <c r="X1494" s="1439"/>
      <c r="Y1494" s="1439"/>
      <c r="Z1494" s="1439"/>
      <c r="AA1494" s="1439"/>
      <c r="AB1494" s="1439"/>
      <c r="AC1494" s="1439"/>
      <c r="AD1494" s="1439"/>
      <c r="AE1494" s="1439"/>
      <c r="AF1494" s="1439"/>
      <c r="AG1494" s="1439"/>
    </row>
    <row r="1495" spans="1:33" ht="15.75" customHeight="1">
      <c r="A1495" s="1451"/>
      <c r="B1495" s="1450" t="s">
        <v>7221</v>
      </c>
      <c r="C1495" s="1484">
        <v>1</v>
      </c>
      <c r="D1495" s="1484" t="s">
        <v>3364</v>
      </c>
      <c r="E1495" s="1484">
        <v>3</v>
      </c>
      <c r="F1495" s="1446"/>
      <c r="G1495" s="1446"/>
      <c r="H1495" s="1447"/>
      <c r="I1495" s="1494">
        <f t="shared" si="72"/>
        <v>3</v>
      </c>
      <c r="J1495" s="1492"/>
      <c r="K1495" s="1439"/>
      <c r="L1495" s="1439"/>
      <c r="M1495" s="1439"/>
      <c r="N1495" s="1439"/>
      <c r="O1495" s="1439"/>
      <c r="P1495" s="1439"/>
      <c r="Q1495" s="1439"/>
      <c r="R1495" s="1439"/>
      <c r="S1495" s="1439"/>
      <c r="T1495" s="1439"/>
      <c r="U1495" s="1439"/>
      <c r="V1495" s="1439"/>
      <c r="W1495" s="1439"/>
      <c r="X1495" s="1439"/>
      <c r="Y1495" s="1439"/>
      <c r="Z1495" s="1439"/>
      <c r="AA1495" s="1439"/>
      <c r="AB1495" s="1439"/>
      <c r="AC1495" s="1439"/>
      <c r="AD1495" s="1439"/>
      <c r="AE1495" s="1439"/>
      <c r="AF1495" s="1439"/>
      <c r="AG1495" s="1439"/>
    </row>
    <row r="1496" spans="1:33" ht="15.75" customHeight="1">
      <c r="A1496" s="1451"/>
      <c r="B1496" s="1450" t="s">
        <v>7233</v>
      </c>
      <c r="C1496" s="1484">
        <v>1</v>
      </c>
      <c r="D1496" s="1484" t="s">
        <v>3364</v>
      </c>
      <c r="E1496" s="1484">
        <v>4</v>
      </c>
      <c r="F1496" s="1446"/>
      <c r="G1496" s="1446"/>
      <c r="H1496" s="1447"/>
      <c r="I1496" s="1494">
        <f t="shared" si="72"/>
        <v>4</v>
      </c>
      <c r="J1496" s="1492"/>
      <c r="K1496" s="1439"/>
      <c r="L1496" s="1439"/>
      <c r="M1496" s="1439"/>
      <c r="N1496" s="1439"/>
      <c r="O1496" s="1439"/>
      <c r="P1496" s="1439"/>
      <c r="Q1496" s="1439"/>
      <c r="R1496" s="1439"/>
      <c r="S1496" s="1439"/>
      <c r="T1496" s="1439"/>
      <c r="U1496" s="1439"/>
      <c r="V1496" s="1439"/>
      <c r="W1496" s="1439"/>
      <c r="X1496" s="1439"/>
      <c r="Y1496" s="1439"/>
      <c r="Z1496" s="1439"/>
      <c r="AA1496" s="1439"/>
      <c r="AB1496" s="1439"/>
      <c r="AC1496" s="1439"/>
      <c r="AD1496" s="1439"/>
      <c r="AE1496" s="1439"/>
      <c r="AF1496" s="1439"/>
      <c r="AG1496" s="1439"/>
    </row>
    <row r="1497" spans="1:33" ht="15.75" customHeight="1">
      <c r="A1497" s="1451"/>
      <c r="B1497" s="1450" t="s">
        <v>7231</v>
      </c>
      <c r="C1497" s="1484">
        <v>1</v>
      </c>
      <c r="D1497" s="1484" t="s">
        <v>3364</v>
      </c>
      <c r="E1497" s="1484">
        <v>2</v>
      </c>
      <c r="F1497" s="1446"/>
      <c r="G1497" s="1446"/>
      <c r="H1497" s="1447"/>
      <c r="I1497" s="1494">
        <f t="shared" si="72"/>
        <v>2</v>
      </c>
      <c r="J1497" s="1492"/>
      <c r="K1497" s="1439"/>
      <c r="L1497" s="1439"/>
      <c r="M1497" s="1439"/>
      <c r="N1497" s="1439"/>
      <c r="O1497" s="1439"/>
      <c r="P1497" s="1439"/>
      <c r="Q1497" s="1439"/>
      <c r="R1497" s="1439"/>
      <c r="S1497" s="1439"/>
      <c r="T1497" s="1439"/>
      <c r="U1497" s="1439"/>
      <c r="V1497" s="1439"/>
      <c r="W1497" s="1439"/>
      <c r="X1497" s="1439"/>
      <c r="Y1497" s="1439"/>
      <c r="Z1497" s="1439"/>
      <c r="AA1497" s="1439"/>
      <c r="AB1497" s="1439"/>
      <c r="AC1497" s="1439"/>
      <c r="AD1497" s="1439"/>
      <c r="AE1497" s="1439"/>
      <c r="AF1497" s="1439"/>
      <c r="AG1497" s="1439"/>
    </row>
    <row r="1498" spans="1:33" ht="15.75" customHeight="1">
      <c r="A1498" s="1451"/>
      <c r="B1498" s="1450" t="s">
        <v>6908</v>
      </c>
      <c r="C1498" s="1484">
        <v>1</v>
      </c>
      <c r="D1498" s="1484" t="s">
        <v>3364</v>
      </c>
      <c r="E1498" s="1484">
        <v>1</v>
      </c>
      <c r="F1498" s="1446"/>
      <c r="G1498" s="1446"/>
      <c r="H1498" s="1447"/>
      <c r="I1498" s="1494">
        <f t="shared" si="72"/>
        <v>1</v>
      </c>
      <c r="J1498" s="1492"/>
      <c r="K1498" s="1439"/>
      <c r="L1498" s="1439"/>
      <c r="M1498" s="1439"/>
      <c r="N1498" s="1439"/>
      <c r="O1498" s="1439"/>
      <c r="P1498" s="1439"/>
      <c r="Q1498" s="1439"/>
      <c r="R1498" s="1439"/>
      <c r="S1498" s="1439"/>
      <c r="T1498" s="1439"/>
      <c r="U1498" s="1439"/>
      <c r="V1498" s="1439"/>
      <c r="W1498" s="1439"/>
      <c r="X1498" s="1439"/>
      <c r="Y1498" s="1439"/>
      <c r="Z1498" s="1439"/>
      <c r="AA1498" s="1439"/>
      <c r="AB1498" s="1439"/>
      <c r="AC1498" s="1439"/>
      <c r="AD1498" s="1439"/>
      <c r="AE1498" s="1439"/>
      <c r="AF1498" s="1439"/>
      <c r="AG1498" s="1439"/>
    </row>
    <row r="1499" spans="1:33" ht="15.75" customHeight="1">
      <c r="A1499" s="1451"/>
      <c r="B1499" s="1450" t="s">
        <v>7138</v>
      </c>
      <c r="C1499" s="1484">
        <v>1</v>
      </c>
      <c r="D1499" s="1484" t="s">
        <v>3364</v>
      </c>
      <c r="E1499" s="1484">
        <v>10</v>
      </c>
      <c r="F1499" s="1446"/>
      <c r="G1499" s="1446"/>
      <c r="H1499" s="1447"/>
      <c r="I1499" s="1494">
        <f t="shared" si="72"/>
        <v>10</v>
      </c>
      <c r="J1499" s="1492"/>
      <c r="K1499" s="1439"/>
      <c r="L1499" s="1439"/>
      <c r="M1499" s="1439"/>
      <c r="N1499" s="1439"/>
      <c r="O1499" s="1439"/>
      <c r="P1499" s="1439"/>
      <c r="Q1499" s="1439"/>
      <c r="R1499" s="1439"/>
      <c r="S1499" s="1439"/>
      <c r="T1499" s="1439"/>
      <c r="U1499" s="1439"/>
      <c r="V1499" s="1439"/>
      <c r="W1499" s="1439"/>
      <c r="X1499" s="1439"/>
      <c r="Y1499" s="1439"/>
      <c r="Z1499" s="1439"/>
      <c r="AA1499" s="1439"/>
      <c r="AB1499" s="1439"/>
      <c r="AC1499" s="1439"/>
      <c r="AD1499" s="1439"/>
      <c r="AE1499" s="1439"/>
      <c r="AF1499" s="1439"/>
      <c r="AG1499" s="1439"/>
    </row>
    <row r="1500" spans="1:33" ht="15.75" customHeight="1">
      <c r="A1500" s="1451"/>
      <c r="B1500" s="1450" t="s">
        <v>6586</v>
      </c>
      <c r="C1500" s="1484">
        <v>1</v>
      </c>
      <c r="D1500" s="1484" t="s">
        <v>3364</v>
      </c>
      <c r="E1500" s="1484">
        <v>1</v>
      </c>
      <c r="F1500" s="1446"/>
      <c r="G1500" s="1446"/>
      <c r="H1500" s="1447"/>
      <c r="I1500" s="1494">
        <f t="shared" si="72"/>
        <v>1</v>
      </c>
      <c r="J1500" s="1492"/>
      <c r="K1500" s="1439"/>
      <c r="L1500" s="1439"/>
      <c r="M1500" s="1439"/>
      <c r="N1500" s="1439"/>
      <c r="O1500" s="1439"/>
      <c r="P1500" s="1439"/>
      <c r="Q1500" s="1439"/>
      <c r="R1500" s="1439"/>
      <c r="S1500" s="1439"/>
      <c r="T1500" s="1439"/>
      <c r="U1500" s="1439"/>
      <c r="V1500" s="1439"/>
      <c r="W1500" s="1439"/>
      <c r="X1500" s="1439"/>
      <c r="Y1500" s="1439"/>
      <c r="Z1500" s="1439"/>
      <c r="AA1500" s="1439"/>
      <c r="AB1500" s="1439"/>
      <c r="AC1500" s="1439"/>
      <c r="AD1500" s="1439"/>
      <c r="AE1500" s="1439"/>
      <c r="AF1500" s="1439"/>
      <c r="AG1500" s="1439"/>
    </row>
    <row r="1501" spans="1:33" ht="15.75" customHeight="1">
      <c r="A1501" s="1451"/>
      <c r="B1501" s="1450" t="s">
        <v>7234</v>
      </c>
      <c r="C1501" s="1484">
        <v>1</v>
      </c>
      <c r="D1501" s="1484" t="s">
        <v>3364</v>
      </c>
      <c r="E1501" s="1484">
        <v>4</v>
      </c>
      <c r="F1501" s="1446"/>
      <c r="G1501" s="1446"/>
      <c r="H1501" s="1447"/>
      <c r="I1501" s="1494">
        <f t="shared" si="72"/>
        <v>4</v>
      </c>
      <c r="J1501" s="1492"/>
      <c r="K1501" s="1439"/>
      <c r="L1501" s="1439"/>
      <c r="M1501" s="1439"/>
      <c r="N1501" s="1439"/>
      <c r="O1501" s="1439"/>
      <c r="P1501" s="1439"/>
      <c r="Q1501" s="1439"/>
      <c r="R1501" s="1439"/>
      <c r="S1501" s="1439"/>
      <c r="T1501" s="1439"/>
      <c r="U1501" s="1439"/>
      <c r="V1501" s="1439"/>
      <c r="W1501" s="1439"/>
      <c r="X1501" s="1439"/>
      <c r="Y1501" s="1439"/>
      <c r="Z1501" s="1439"/>
      <c r="AA1501" s="1439"/>
      <c r="AB1501" s="1439"/>
      <c r="AC1501" s="1439"/>
      <c r="AD1501" s="1439"/>
      <c r="AE1501" s="1439"/>
      <c r="AF1501" s="1439"/>
      <c r="AG1501" s="1439"/>
    </row>
    <row r="1502" spans="1:33" ht="15.75" customHeight="1">
      <c r="A1502" s="1451"/>
      <c r="B1502" s="1450" t="s">
        <v>7141</v>
      </c>
      <c r="C1502" s="1484">
        <v>1</v>
      </c>
      <c r="D1502" s="1484" t="s">
        <v>3364</v>
      </c>
      <c r="E1502" s="1484">
        <v>6</v>
      </c>
      <c r="F1502" s="1446"/>
      <c r="G1502" s="1446"/>
      <c r="H1502" s="1447"/>
      <c r="I1502" s="1494">
        <f t="shared" si="72"/>
        <v>6</v>
      </c>
      <c r="J1502" s="1492"/>
      <c r="K1502" s="1439"/>
      <c r="L1502" s="1439"/>
      <c r="M1502" s="1439"/>
      <c r="N1502" s="1439"/>
      <c r="O1502" s="1439"/>
      <c r="P1502" s="1439"/>
      <c r="Q1502" s="1439"/>
      <c r="R1502" s="1439"/>
      <c r="S1502" s="1439"/>
      <c r="T1502" s="1439"/>
      <c r="U1502" s="1439"/>
      <c r="V1502" s="1439"/>
      <c r="W1502" s="1439"/>
      <c r="X1502" s="1439"/>
      <c r="Y1502" s="1439"/>
      <c r="Z1502" s="1439"/>
      <c r="AA1502" s="1439"/>
      <c r="AB1502" s="1439"/>
      <c r="AC1502" s="1439"/>
      <c r="AD1502" s="1439"/>
      <c r="AE1502" s="1439"/>
      <c r="AF1502" s="1439"/>
      <c r="AG1502" s="1439"/>
    </row>
    <row r="1503" spans="1:33" ht="15.75" customHeight="1">
      <c r="A1503" s="1451"/>
      <c r="B1503" s="1450" t="s">
        <v>7235</v>
      </c>
      <c r="C1503" s="1484">
        <v>1</v>
      </c>
      <c r="D1503" s="1484" t="s">
        <v>3364</v>
      </c>
      <c r="E1503" s="1484">
        <v>3</v>
      </c>
      <c r="F1503" s="1446"/>
      <c r="G1503" s="1446"/>
      <c r="H1503" s="1447"/>
      <c r="I1503" s="1494">
        <f t="shared" si="72"/>
        <v>3</v>
      </c>
      <c r="J1503" s="1492"/>
      <c r="K1503" s="1439"/>
      <c r="L1503" s="1439"/>
      <c r="M1503" s="1439"/>
      <c r="N1503" s="1439"/>
      <c r="O1503" s="1439"/>
      <c r="P1503" s="1439"/>
      <c r="Q1503" s="1439"/>
      <c r="R1503" s="1439"/>
      <c r="S1503" s="1439"/>
      <c r="T1503" s="1439"/>
      <c r="U1503" s="1439"/>
      <c r="V1503" s="1439"/>
      <c r="W1503" s="1439"/>
      <c r="X1503" s="1439"/>
      <c r="Y1503" s="1439"/>
      <c r="Z1503" s="1439"/>
      <c r="AA1503" s="1439"/>
      <c r="AB1503" s="1439"/>
      <c r="AC1503" s="1439"/>
      <c r="AD1503" s="1439"/>
      <c r="AE1503" s="1439"/>
      <c r="AF1503" s="1439"/>
      <c r="AG1503" s="1439"/>
    </row>
    <row r="1504" spans="1:33" ht="15.75" customHeight="1">
      <c r="A1504" s="1451"/>
      <c r="B1504" s="1450" t="s">
        <v>7236</v>
      </c>
      <c r="C1504" s="1484">
        <v>1</v>
      </c>
      <c r="D1504" s="1484" t="s">
        <v>3364</v>
      </c>
      <c r="E1504" s="1484">
        <v>1</v>
      </c>
      <c r="F1504" s="1446"/>
      <c r="G1504" s="1446"/>
      <c r="H1504" s="1447"/>
      <c r="I1504" s="1494">
        <f t="shared" si="72"/>
        <v>1</v>
      </c>
      <c r="J1504" s="1492"/>
      <c r="K1504" s="1439"/>
      <c r="L1504" s="1439"/>
      <c r="M1504" s="1439"/>
      <c r="N1504" s="1439"/>
      <c r="O1504" s="1439"/>
      <c r="P1504" s="1439"/>
      <c r="Q1504" s="1439"/>
      <c r="R1504" s="1439"/>
      <c r="S1504" s="1439"/>
      <c r="T1504" s="1439"/>
      <c r="U1504" s="1439"/>
      <c r="V1504" s="1439"/>
      <c r="W1504" s="1439"/>
      <c r="X1504" s="1439"/>
      <c r="Y1504" s="1439"/>
      <c r="Z1504" s="1439"/>
      <c r="AA1504" s="1439"/>
      <c r="AB1504" s="1439"/>
      <c r="AC1504" s="1439"/>
      <c r="AD1504" s="1439"/>
      <c r="AE1504" s="1439"/>
      <c r="AF1504" s="1439"/>
      <c r="AG1504" s="1439"/>
    </row>
    <row r="1505" spans="1:33" ht="15.75" customHeight="1">
      <c r="A1505" s="1451"/>
      <c r="B1505" s="1450" t="s">
        <v>7237</v>
      </c>
      <c r="C1505" s="1484">
        <v>2</v>
      </c>
      <c r="D1505" s="1484" t="s">
        <v>3364</v>
      </c>
      <c r="E1505" s="1484">
        <v>2</v>
      </c>
      <c r="F1505" s="1446"/>
      <c r="G1505" s="1446"/>
      <c r="H1505" s="1447"/>
      <c r="I1505" s="1494">
        <f t="shared" si="72"/>
        <v>4</v>
      </c>
      <c r="J1505" s="1492"/>
      <c r="K1505" s="1439"/>
      <c r="L1505" s="1439"/>
      <c r="M1505" s="1439"/>
      <c r="N1505" s="1439"/>
      <c r="O1505" s="1439"/>
      <c r="P1505" s="1439"/>
      <c r="Q1505" s="1439"/>
      <c r="R1505" s="1439"/>
      <c r="S1505" s="1439"/>
      <c r="T1505" s="1439"/>
      <c r="U1505" s="1439"/>
      <c r="V1505" s="1439"/>
      <c r="W1505" s="1439"/>
      <c r="X1505" s="1439"/>
      <c r="Y1505" s="1439"/>
      <c r="Z1505" s="1439"/>
      <c r="AA1505" s="1439"/>
      <c r="AB1505" s="1439"/>
      <c r="AC1505" s="1439"/>
      <c r="AD1505" s="1439"/>
      <c r="AE1505" s="1439"/>
      <c r="AF1505" s="1439"/>
      <c r="AG1505" s="1439"/>
    </row>
    <row r="1506" spans="1:33" ht="15.75" customHeight="1">
      <c r="A1506" s="1451"/>
      <c r="B1506" s="1450" t="s">
        <v>6586</v>
      </c>
      <c r="C1506" s="1484">
        <v>1</v>
      </c>
      <c r="D1506" s="1484" t="s">
        <v>3364</v>
      </c>
      <c r="E1506" s="1484">
        <v>1</v>
      </c>
      <c r="F1506" s="1446"/>
      <c r="G1506" s="1446"/>
      <c r="H1506" s="1447"/>
      <c r="I1506" s="1494">
        <f t="shared" si="72"/>
        <v>1</v>
      </c>
      <c r="J1506" s="1492"/>
      <c r="K1506" s="1439"/>
      <c r="L1506" s="1439"/>
      <c r="M1506" s="1439"/>
      <c r="N1506" s="1439"/>
      <c r="O1506" s="1439"/>
      <c r="P1506" s="1439"/>
      <c r="Q1506" s="1439"/>
      <c r="R1506" s="1439"/>
      <c r="S1506" s="1439"/>
      <c r="T1506" s="1439"/>
      <c r="U1506" s="1439"/>
      <c r="V1506" s="1439"/>
      <c r="W1506" s="1439"/>
      <c r="X1506" s="1439"/>
      <c r="Y1506" s="1439"/>
      <c r="Z1506" s="1439"/>
      <c r="AA1506" s="1439"/>
      <c r="AB1506" s="1439"/>
      <c r="AC1506" s="1439"/>
      <c r="AD1506" s="1439"/>
      <c r="AE1506" s="1439"/>
      <c r="AF1506" s="1439"/>
      <c r="AG1506" s="1439"/>
    </row>
    <row r="1507" spans="1:33" ht="15.75" customHeight="1">
      <c r="A1507" s="1451"/>
      <c r="B1507" s="1450" t="s">
        <v>7238</v>
      </c>
      <c r="C1507" s="1484">
        <v>1</v>
      </c>
      <c r="D1507" s="1484" t="s">
        <v>3364</v>
      </c>
      <c r="E1507" s="1484">
        <v>3</v>
      </c>
      <c r="F1507" s="1446"/>
      <c r="G1507" s="1446"/>
      <c r="H1507" s="1447"/>
      <c r="I1507" s="1494">
        <f t="shared" si="72"/>
        <v>3</v>
      </c>
      <c r="J1507" s="1492"/>
      <c r="K1507" s="1439"/>
      <c r="L1507" s="1439"/>
      <c r="M1507" s="1439"/>
      <c r="N1507" s="1439"/>
      <c r="O1507" s="1439"/>
      <c r="P1507" s="1439"/>
      <c r="Q1507" s="1439"/>
      <c r="R1507" s="1439"/>
      <c r="S1507" s="1439"/>
      <c r="T1507" s="1439"/>
      <c r="U1507" s="1439"/>
      <c r="V1507" s="1439"/>
      <c r="W1507" s="1439"/>
      <c r="X1507" s="1439"/>
      <c r="Y1507" s="1439"/>
      <c r="Z1507" s="1439"/>
      <c r="AA1507" s="1439"/>
      <c r="AB1507" s="1439"/>
      <c r="AC1507" s="1439"/>
      <c r="AD1507" s="1439"/>
      <c r="AE1507" s="1439"/>
      <c r="AF1507" s="1439"/>
      <c r="AG1507" s="1439"/>
    </row>
    <row r="1508" spans="1:33" ht="15.75" customHeight="1">
      <c r="A1508" s="1451"/>
      <c r="B1508" s="1450" t="s">
        <v>7239</v>
      </c>
      <c r="C1508" s="1484">
        <v>3</v>
      </c>
      <c r="D1508" s="1484" t="s">
        <v>3364</v>
      </c>
      <c r="E1508" s="1484">
        <v>2</v>
      </c>
      <c r="F1508" s="1446"/>
      <c r="G1508" s="1446"/>
      <c r="H1508" s="1447"/>
      <c r="I1508" s="1494">
        <f t="shared" si="72"/>
        <v>6</v>
      </c>
      <c r="J1508" s="1492"/>
      <c r="K1508" s="1439"/>
      <c r="L1508" s="1439"/>
      <c r="M1508" s="1439"/>
      <c r="N1508" s="1439"/>
      <c r="O1508" s="1439"/>
      <c r="P1508" s="1439"/>
      <c r="Q1508" s="1439"/>
      <c r="R1508" s="1439"/>
      <c r="S1508" s="1439"/>
      <c r="T1508" s="1439"/>
      <c r="U1508" s="1439"/>
      <c r="V1508" s="1439"/>
      <c r="W1508" s="1439"/>
      <c r="X1508" s="1439"/>
      <c r="Y1508" s="1439"/>
      <c r="Z1508" s="1439"/>
      <c r="AA1508" s="1439"/>
      <c r="AB1508" s="1439"/>
      <c r="AC1508" s="1439"/>
      <c r="AD1508" s="1439"/>
      <c r="AE1508" s="1439"/>
      <c r="AF1508" s="1439"/>
      <c r="AG1508" s="1439"/>
    </row>
    <row r="1509" spans="1:33" ht="15.75" customHeight="1">
      <c r="A1509" s="1451"/>
      <c r="B1509" s="1456" t="s">
        <v>7240</v>
      </c>
      <c r="C1509" s="1484"/>
      <c r="D1509" s="1484"/>
      <c r="E1509" s="1484"/>
      <c r="F1509" s="1446"/>
      <c r="G1509" s="1446"/>
      <c r="H1509" s="1447"/>
      <c r="I1509" s="1494">
        <f t="shared" si="72"/>
        <v>0</v>
      </c>
      <c r="J1509" s="1492"/>
      <c r="K1509" s="1439"/>
      <c r="L1509" s="1439"/>
      <c r="M1509" s="1439"/>
      <c r="N1509" s="1439"/>
      <c r="O1509" s="1439"/>
      <c r="P1509" s="1439"/>
      <c r="Q1509" s="1439"/>
      <c r="R1509" s="1439"/>
      <c r="S1509" s="1439"/>
      <c r="T1509" s="1439"/>
      <c r="U1509" s="1439"/>
      <c r="V1509" s="1439"/>
      <c r="W1509" s="1439"/>
      <c r="X1509" s="1439"/>
      <c r="Y1509" s="1439"/>
      <c r="Z1509" s="1439"/>
      <c r="AA1509" s="1439"/>
      <c r="AB1509" s="1439"/>
      <c r="AC1509" s="1439"/>
      <c r="AD1509" s="1439"/>
      <c r="AE1509" s="1439"/>
      <c r="AF1509" s="1439"/>
      <c r="AG1509" s="1439"/>
    </row>
    <row r="1510" spans="1:33" ht="15.75" customHeight="1">
      <c r="A1510" s="1451"/>
      <c r="B1510" s="1450" t="s">
        <v>7224</v>
      </c>
      <c r="C1510" s="1484">
        <v>1</v>
      </c>
      <c r="D1510" s="1484" t="s">
        <v>3364</v>
      </c>
      <c r="E1510" s="1484">
        <v>1</v>
      </c>
      <c r="F1510" s="1446"/>
      <c r="G1510" s="1446"/>
      <c r="H1510" s="1447"/>
      <c r="I1510" s="1494">
        <f t="shared" si="72"/>
        <v>1</v>
      </c>
      <c r="J1510" s="1492"/>
      <c r="K1510" s="1439"/>
      <c r="L1510" s="1439"/>
      <c r="M1510" s="1439"/>
      <c r="N1510" s="1439"/>
      <c r="O1510" s="1439"/>
      <c r="P1510" s="1439"/>
      <c r="Q1510" s="1439"/>
      <c r="R1510" s="1439"/>
      <c r="S1510" s="1439"/>
      <c r="T1510" s="1439"/>
      <c r="U1510" s="1439"/>
      <c r="V1510" s="1439"/>
      <c r="W1510" s="1439"/>
      <c r="X1510" s="1439"/>
      <c r="Y1510" s="1439"/>
      <c r="Z1510" s="1439"/>
      <c r="AA1510" s="1439"/>
      <c r="AB1510" s="1439"/>
      <c r="AC1510" s="1439"/>
      <c r="AD1510" s="1439"/>
      <c r="AE1510" s="1439"/>
      <c r="AF1510" s="1439"/>
      <c r="AG1510" s="1439"/>
    </row>
    <row r="1511" spans="1:33" ht="15.75" customHeight="1">
      <c r="A1511" s="1451"/>
      <c r="B1511" s="1450" t="s">
        <v>7221</v>
      </c>
      <c r="C1511" s="1484">
        <v>1</v>
      </c>
      <c r="D1511" s="1484" t="s">
        <v>3364</v>
      </c>
      <c r="E1511" s="1484">
        <v>3</v>
      </c>
      <c r="F1511" s="1446"/>
      <c r="G1511" s="1446"/>
      <c r="H1511" s="1447"/>
      <c r="I1511" s="1494">
        <f t="shared" si="72"/>
        <v>3</v>
      </c>
      <c r="J1511" s="1492"/>
      <c r="K1511" s="1439"/>
      <c r="L1511" s="1439"/>
      <c r="M1511" s="1439"/>
      <c r="N1511" s="1439"/>
      <c r="O1511" s="1439"/>
      <c r="P1511" s="1439"/>
      <c r="Q1511" s="1439"/>
      <c r="R1511" s="1439"/>
      <c r="S1511" s="1439"/>
      <c r="T1511" s="1439"/>
      <c r="U1511" s="1439"/>
      <c r="V1511" s="1439"/>
      <c r="W1511" s="1439"/>
      <c r="X1511" s="1439"/>
      <c r="Y1511" s="1439"/>
      <c r="Z1511" s="1439"/>
      <c r="AA1511" s="1439"/>
      <c r="AB1511" s="1439"/>
      <c r="AC1511" s="1439"/>
      <c r="AD1511" s="1439"/>
      <c r="AE1511" s="1439"/>
      <c r="AF1511" s="1439"/>
      <c r="AG1511" s="1439"/>
    </row>
    <row r="1512" spans="1:33" ht="15.75" customHeight="1">
      <c r="A1512" s="1451"/>
      <c r="B1512" s="1450" t="s">
        <v>7233</v>
      </c>
      <c r="C1512" s="1484">
        <v>1</v>
      </c>
      <c r="D1512" s="1484" t="s">
        <v>3364</v>
      </c>
      <c r="E1512" s="1484">
        <v>4</v>
      </c>
      <c r="F1512" s="1446"/>
      <c r="G1512" s="1446"/>
      <c r="H1512" s="1447"/>
      <c r="I1512" s="1494">
        <f t="shared" si="72"/>
        <v>4</v>
      </c>
      <c r="J1512" s="1492"/>
      <c r="K1512" s="1439"/>
      <c r="L1512" s="1439"/>
      <c r="M1512" s="1439"/>
      <c r="N1512" s="1439"/>
      <c r="O1512" s="1439"/>
      <c r="P1512" s="1439"/>
      <c r="Q1512" s="1439"/>
      <c r="R1512" s="1439"/>
      <c r="S1512" s="1439"/>
      <c r="T1512" s="1439"/>
      <c r="U1512" s="1439"/>
      <c r="V1512" s="1439"/>
      <c r="W1512" s="1439"/>
      <c r="X1512" s="1439"/>
      <c r="Y1512" s="1439"/>
      <c r="Z1512" s="1439"/>
      <c r="AA1512" s="1439"/>
      <c r="AB1512" s="1439"/>
      <c r="AC1512" s="1439"/>
      <c r="AD1512" s="1439"/>
      <c r="AE1512" s="1439"/>
      <c r="AF1512" s="1439"/>
      <c r="AG1512" s="1439"/>
    </row>
    <row r="1513" spans="1:33" ht="15.75" customHeight="1">
      <c r="A1513" s="1451"/>
      <c r="B1513" s="1450" t="s">
        <v>7231</v>
      </c>
      <c r="C1513" s="1484">
        <v>1</v>
      </c>
      <c r="D1513" s="1484" t="s">
        <v>3364</v>
      </c>
      <c r="E1513" s="1484">
        <v>2</v>
      </c>
      <c r="F1513" s="1446"/>
      <c r="G1513" s="1446"/>
      <c r="H1513" s="1447"/>
      <c r="I1513" s="1494">
        <f t="shared" si="72"/>
        <v>2</v>
      </c>
      <c r="J1513" s="1492"/>
      <c r="K1513" s="1439"/>
      <c r="L1513" s="1439"/>
      <c r="M1513" s="1439"/>
      <c r="N1513" s="1439"/>
      <c r="O1513" s="1439"/>
      <c r="P1513" s="1439"/>
      <c r="Q1513" s="1439"/>
      <c r="R1513" s="1439"/>
      <c r="S1513" s="1439"/>
      <c r="T1513" s="1439"/>
      <c r="U1513" s="1439"/>
      <c r="V1513" s="1439"/>
      <c r="W1513" s="1439"/>
      <c r="X1513" s="1439"/>
      <c r="Y1513" s="1439"/>
      <c r="Z1513" s="1439"/>
      <c r="AA1513" s="1439"/>
      <c r="AB1513" s="1439"/>
      <c r="AC1513" s="1439"/>
      <c r="AD1513" s="1439"/>
      <c r="AE1513" s="1439"/>
      <c r="AF1513" s="1439"/>
      <c r="AG1513" s="1439"/>
    </row>
    <row r="1514" spans="1:33" ht="15.75" customHeight="1">
      <c r="A1514" s="1451"/>
      <c r="B1514" s="1450" t="s">
        <v>6908</v>
      </c>
      <c r="C1514" s="1484">
        <v>1</v>
      </c>
      <c r="D1514" s="1484" t="s">
        <v>3364</v>
      </c>
      <c r="E1514" s="1484">
        <v>1</v>
      </c>
      <c r="F1514" s="1446"/>
      <c r="G1514" s="1446"/>
      <c r="H1514" s="1447"/>
      <c r="I1514" s="1494">
        <f t="shared" si="72"/>
        <v>1</v>
      </c>
      <c r="J1514" s="1492"/>
      <c r="K1514" s="1439"/>
      <c r="L1514" s="1439"/>
      <c r="M1514" s="1439"/>
      <c r="N1514" s="1439"/>
      <c r="O1514" s="1439"/>
      <c r="P1514" s="1439"/>
      <c r="Q1514" s="1439"/>
      <c r="R1514" s="1439"/>
      <c r="S1514" s="1439"/>
      <c r="T1514" s="1439"/>
      <c r="U1514" s="1439"/>
      <c r="V1514" s="1439"/>
      <c r="W1514" s="1439"/>
      <c r="X1514" s="1439"/>
      <c r="Y1514" s="1439"/>
      <c r="Z1514" s="1439"/>
      <c r="AA1514" s="1439"/>
      <c r="AB1514" s="1439"/>
      <c r="AC1514" s="1439"/>
      <c r="AD1514" s="1439"/>
      <c r="AE1514" s="1439"/>
      <c r="AF1514" s="1439"/>
      <c r="AG1514" s="1439"/>
    </row>
    <row r="1515" spans="1:33" ht="15.75" customHeight="1">
      <c r="A1515" s="1451"/>
      <c r="B1515" s="1450" t="s">
        <v>7138</v>
      </c>
      <c r="C1515" s="1484">
        <v>1</v>
      </c>
      <c r="D1515" s="1484" t="s">
        <v>3364</v>
      </c>
      <c r="E1515" s="1484">
        <v>10</v>
      </c>
      <c r="F1515" s="1446"/>
      <c r="G1515" s="1446"/>
      <c r="H1515" s="1447"/>
      <c r="I1515" s="1494">
        <f t="shared" si="72"/>
        <v>10</v>
      </c>
      <c r="J1515" s="1492"/>
      <c r="K1515" s="1439"/>
      <c r="L1515" s="1439"/>
      <c r="M1515" s="1439"/>
      <c r="N1515" s="1439"/>
      <c r="O1515" s="1439"/>
      <c r="P1515" s="1439"/>
      <c r="Q1515" s="1439"/>
      <c r="R1515" s="1439"/>
      <c r="S1515" s="1439"/>
      <c r="T1515" s="1439"/>
      <c r="U1515" s="1439"/>
      <c r="V1515" s="1439"/>
      <c r="W1515" s="1439"/>
      <c r="X1515" s="1439"/>
      <c r="Y1515" s="1439"/>
      <c r="Z1515" s="1439"/>
      <c r="AA1515" s="1439"/>
      <c r="AB1515" s="1439"/>
      <c r="AC1515" s="1439"/>
      <c r="AD1515" s="1439"/>
      <c r="AE1515" s="1439"/>
      <c r="AF1515" s="1439"/>
      <c r="AG1515" s="1439"/>
    </row>
    <row r="1516" spans="1:33" ht="15.75" customHeight="1">
      <c r="A1516" s="1451"/>
      <c r="B1516" s="1450" t="s">
        <v>6586</v>
      </c>
      <c r="C1516" s="1484">
        <v>2</v>
      </c>
      <c r="D1516" s="1484" t="s">
        <v>3364</v>
      </c>
      <c r="E1516" s="1484">
        <v>1</v>
      </c>
      <c r="F1516" s="1446"/>
      <c r="G1516" s="1446"/>
      <c r="H1516" s="1447"/>
      <c r="I1516" s="1494">
        <f t="shared" si="72"/>
        <v>2</v>
      </c>
      <c r="J1516" s="1492"/>
      <c r="K1516" s="1439"/>
      <c r="L1516" s="1439"/>
      <c r="M1516" s="1439"/>
      <c r="N1516" s="1439"/>
      <c r="O1516" s="1439"/>
      <c r="P1516" s="1439"/>
      <c r="Q1516" s="1439"/>
      <c r="R1516" s="1439"/>
      <c r="S1516" s="1439"/>
      <c r="T1516" s="1439"/>
      <c r="U1516" s="1439"/>
      <c r="V1516" s="1439"/>
      <c r="W1516" s="1439"/>
      <c r="X1516" s="1439"/>
      <c r="Y1516" s="1439"/>
      <c r="Z1516" s="1439"/>
      <c r="AA1516" s="1439"/>
      <c r="AB1516" s="1439"/>
      <c r="AC1516" s="1439"/>
      <c r="AD1516" s="1439"/>
      <c r="AE1516" s="1439"/>
      <c r="AF1516" s="1439"/>
      <c r="AG1516" s="1439"/>
    </row>
    <row r="1517" spans="1:33" ht="15.75" customHeight="1">
      <c r="A1517" s="1451"/>
      <c r="B1517" s="1450" t="s">
        <v>7241</v>
      </c>
      <c r="C1517" s="1484">
        <v>1</v>
      </c>
      <c r="D1517" s="1484" t="s">
        <v>3364</v>
      </c>
      <c r="E1517" s="1484">
        <v>4</v>
      </c>
      <c r="F1517" s="1446"/>
      <c r="G1517" s="1446"/>
      <c r="H1517" s="1447"/>
      <c r="I1517" s="1494">
        <f t="shared" si="72"/>
        <v>4</v>
      </c>
      <c r="J1517" s="1492"/>
      <c r="K1517" s="1439"/>
      <c r="L1517" s="1439"/>
      <c r="M1517" s="1439"/>
      <c r="N1517" s="1439"/>
      <c r="O1517" s="1439"/>
      <c r="P1517" s="1439"/>
      <c r="Q1517" s="1439"/>
      <c r="R1517" s="1439"/>
      <c r="S1517" s="1439"/>
      <c r="T1517" s="1439"/>
      <c r="U1517" s="1439"/>
      <c r="V1517" s="1439"/>
      <c r="W1517" s="1439"/>
      <c r="X1517" s="1439"/>
      <c r="Y1517" s="1439"/>
      <c r="Z1517" s="1439"/>
      <c r="AA1517" s="1439"/>
      <c r="AB1517" s="1439"/>
      <c r="AC1517" s="1439"/>
      <c r="AD1517" s="1439"/>
      <c r="AE1517" s="1439"/>
      <c r="AF1517" s="1439"/>
      <c r="AG1517" s="1439"/>
    </row>
    <row r="1518" spans="1:33" ht="15.75" customHeight="1">
      <c r="A1518" s="1451"/>
      <c r="B1518" s="1450" t="s">
        <v>7235</v>
      </c>
      <c r="C1518" s="1484">
        <v>1</v>
      </c>
      <c r="D1518" s="1484" t="s">
        <v>3364</v>
      </c>
      <c r="E1518" s="1484">
        <v>6</v>
      </c>
      <c r="F1518" s="1446"/>
      <c r="G1518" s="1446"/>
      <c r="H1518" s="1447"/>
      <c r="I1518" s="1494">
        <f t="shared" si="72"/>
        <v>6</v>
      </c>
      <c r="J1518" s="1492"/>
      <c r="K1518" s="1439"/>
      <c r="L1518" s="1439"/>
      <c r="M1518" s="1439"/>
      <c r="N1518" s="1439"/>
      <c r="O1518" s="1439"/>
      <c r="P1518" s="1439"/>
      <c r="Q1518" s="1439"/>
      <c r="R1518" s="1439"/>
      <c r="S1518" s="1439"/>
      <c r="T1518" s="1439"/>
      <c r="U1518" s="1439"/>
      <c r="V1518" s="1439"/>
      <c r="W1518" s="1439"/>
      <c r="X1518" s="1439"/>
      <c r="Y1518" s="1439"/>
      <c r="Z1518" s="1439"/>
      <c r="AA1518" s="1439"/>
      <c r="AB1518" s="1439"/>
      <c r="AC1518" s="1439"/>
      <c r="AD1518" s="1439"/>
      <c r="AE1518" s="1439"/>
      <c r="AF1518" s="1439"/>
      <c r="AG1518" s="1439"/>
    </row>
    <row r="1519" spans="1:33" ht="15.75" customHeight="1">
      <c r="A1519" s="1451"/>
      <c r="B1519" s="1450" t="s">
        <v>7236</v>
      </c>
      <c r="C1519" s="1484">
        <v>1</v>
      </c>
      <c r="D1519" s="1484" t="s">
        <v>3364</v>
      </c>
      <c r="E1519" s="1484">
        <v>3</v>
      </c>
      <c r="F1519" s="1446"/>
      <c r="G1519" s="1446"/>
      <c r="H1519" s="1447"/>
      <c r="I1519" s="1494">
        <f t="shared" si="72"/>
        <v>3</v>
      </c>
      <c r="J1519" s="1492"/>
      <c r="K1519" s="1439"/>
      <c r="L1519" s="1439"/>
      <c r="M1519" s="1439"/>
      <c r="N1519" s="1439"/>
      <c r="O1519" s="1439"/>
      <c r="P1519" s="1439"/>
      <c r="Q1519" s="1439"/>
      <c r="R1519" s="1439"/>
      <c r="S1519" s="1439"/>
      <c r="T1519" s="1439"/>
      <c r="U1519" s="1439"/>
      <c r="V1519" s="1439"/>
      <c r="W1519" s="1439"/>
      <c r="X1519" s="1439"/>
      <c r="Y1519" s="1439"/>
      <c r="Z1519" s="1439"/>
      <c r="AA1519" s="1439"/>
      <c r="AB1519" s="1439"/>
      <c r="AC1519" s="1439"/>
      <c r="AD1519" s="1439"/>
      <c r="AE1519" s="1439"/>
      <c r="AF1519" s="1439"/>
      <c r="AG1519" s="1439"/>
    </row>
    <row r="1520" spans="1:33" ht="15.75" customHeight="1">
      <c r="A1520" s="1451"/>
      <c r="B1520" s="1450" t="s">
        <v>7237</v>
      </c>
      <c r="C1520" s="1484">
        <v>2</v>
      </c>
      <c r="D1520" s="1484" t="s">
        <v>3364</v>
      </c>
      <c r="E1520" s="1484">
        <v>1</v>
      </c>
      <c r="F1520" s="1446"/>
      <c r="G1520" s="1446"/>
      <c r="H1520" s="1447"/>
      <c r="I1520" s="1494">
        <f t="shared" si="72"/>
        <v>2</v>
      </c>
      <c r="J1520" s="1492"/>
      <c r="K1520" s="1439"/>
      <c r="L1520" s="1439"/>
      <c r="M1520" s="1439"/>
      <c r="N1520" s="1439"/>
      <c r="O1520" s="1439"/>
      <c r="P1520" s="1439"/>
      <c r="Q1520" s="1439"/>
      <c r="R1520" s="1439"/>
      <c r="S1520" s="1439"/>
      <c r="T1520" s="1439"/>
      <c r="U1520" s="1439"/>
      <c r="V1520" s="1439"/>
      <c r="W1520" s="1439"/>
      <c r="X1520" s="1439"/>
      <c r="Y1520" s="1439"/>
      <c r="Z1520" s="1439"/>
      <c r="AA1520" s="1439"/>
      <c r="AB1520" s="1439"/>
      <c r="AC1520" s="1439"/>
      <c r="AD1520" s="1439"/>
      <c r="AE1520" s="1439"/>
      <c r="AF1520" s="1439"/>
      <c r="AG1520" s="1439"/>
    </row>
    <row r="1521" spans="1:33" ht="15.75" customHeight="1">
      <c r="A1521" s="1451"/>
      <c r="B1521" s="1450" t="s">
        <v>6586</v>
      </c>
      <c r="C1521" s="1484">
        <v>1</v>
      </c>
      <c r="D1521" s="1484" t="s">
        <v>3364</v>
      </c>
      <c r="E1521" s="1484">
        <v>2</v>
      </c>
      <c r="F1521" s="1446"/>
      <c r="G1521" s="1446"/>
      <c r="H1521" s="1447"/>
      <c r="I1521" s="1494">
        <f t="shared" si="72"/>
        <v>2</v>
      </c>
      <c r="J1521" s="1492"/>
      <c r="K1521" s="1439"/>
      <c r="L1521" s="1439"/>
      <c r="M1521" s="1439"/>
      <c r="N1521" s="1439"/>
      <c r="O1521" s="1439"/>
      <c r="P1521" s="1439"/>
      <c r="Q1521" s="1439"/>
      <c r="R1521" s="1439"/>
      <c r="S1521" s="1439"/>
      <c r="T1521" s="1439"/>
      <c r="U1521" s="1439"/>
      <c r="V1521" s="1439"/>
      <c r="W1521" s="1439"/>
      <c r="X1521" s="1439"/>
      <c r="Y1521" s="1439"/>
      <c r="Z1521" s="1439"/>
      <c r="AA1521" s="1439"/>
      <c r="AB1521" s="1439"/>
      <c r="AC1521" s="1439"/>
      <c r="AD1521" s="1439"/>
      <c r="AE1521" s="1439"/>
      <c r="AF1521" s="1439"/>
      <c r="AG1521" s="1439"/>
    </row>
    <row r="1522" spans="1:33" ht="15.75" customHeight="1">
      <c r="A1522" s="1451"/>
      <c r="B1522" s="1450" t="s">
        <v>7238</v>
      </c>
      <c r="C1522" s="1484">
        <v>1</v>
      </c>
      <c r="D1522" s="1484" t="s">
        <v>3364</v>
      </c>
      <c r="E1522" s="1484">
        <v>3</v>
      </c>
      <c r="F1522" s="1446"/>
      <c r="G1522" s="1446"/>
      <c r="H1522" s="1447"/>
      <c r="I1522" s="1494">
        <f t="shared" si="72"/>
        <v>3</v>
      </c>
      <c r="J1522" s="1492"/>
      <c r="K1522" s="1439"/>
      <c r="L1522" s="1439"/>
      <c r="M1522" s="1439"/>
      <c r="N1522" s="1439"/>
      <c r="O1522" s="1439"/>
      <c r="P1522" s="1439"/>
      <c r="Q1522" s="1439"/>
      <c r="R1522" s="1439"/>
      <c r="S1522" s="1439"/>
      <c r="T1522" s="1439"/>
      <c r="U1522" s="1439"/>
      <c r="V1522" s="1439"/>
      <c r="W1522" s="1439"/>
      <c r="X1522" s="1439"/>
      <c r="Y1522" s="1439"/>
      <c r="Z1522" s="1439"/>
      <c r="AA1522" s="1439"/>
      <c r="AB1522" s="1439"/>
      <c r="AC1522" s="1439"/>
      <c r="AD1522" s="1439"/>
      <c r="AE1522" s="1439"/>
      <c r="AF1522" s="1439"/>
      <c r="AG1522" s="1439"/>
    </row>
    <row r="1523" spans="1:33" ht="15.75" customHeight="1">
      <c r="A1523" s="1451"/>
      <c r="B1523" s="1450" t="s">
        <v>7239</v>
      </c>
      <c r="C1523" s="1484">
        <v>1</v>
      </c>
      <c r="D1523" s="1484" t="s">
        <v>3364</v>
      </c>
      <c r="E1523" s="1484">
        <v>2</v>
      </c>
      <c r="F1523" s="1446"/>
      <c r="G1523" s="1446"/>
      <c r="H1523" s="1447"/>
      <c r="I1523" s="1494">
        <f t="shared" si="72"/>
        <v>2</v>
      </c>
      <c r="J1523" s="1492"/>
      <c r="K1523" s="1439"/>
      <c r="L1523" s="1439"/>
      <c r="M1523" s="1439"/>
      <c r="N1523" s="1439"/>
      <c r="O1523" s="1439"/>
      <c r="P1523" s="1439"/>
      <c r="Q1523" s="1439"/>
      <c r="R1523" s="1439"/>
      <c r="S1523" s="1439"/>
      <c r="T1523" s="1439"/>
      <c r="U1523" s="1439"/>
      <c r="V1523" s="1439"/>
      <c r="W1523" s="1439"/>
      <c r="X1523" s="1439"/>
      <c r="Y1523" s="1439"/>
      <c r="Z1523" s="1439"/>
      <c r="AA1523" s="1439"/>
      <c r="AB1523" s="1439"/>
      <c r="AC1523" s="1439"/>
      <c r="AD1523" s="1439"/>
      <c r="AE1523" s="1439"/>
      <c r="AF1523" s="1439"/>
      <c r="AG1523" s="1439"/>
    </row>
    <row r="1524" spans="1:33" ht="15.75" customHeight="1">
      <c r="A1524" s="1470"/>
      <c r="B1524" s="1450"/>
      <c r="C1524" s="1484"/>
      <c r="D1524" s="1484"/>
      <c r="E1524" s="1484"/>
      <c r="F1524" s="1446"/>
      <c r="G1524" s="1458" t="s">
        <v>104</v>
      </c>
      <c r="H1524" s="1447"/>
      <c r="I1524" s="1459">
        <f>SUM(I1465:I1523)</f>
        <v>175</v>
      </c>
      <c r="J1524" s="1475" t="s">
        <v>3471</v>
      </c>
      <c r="K1524" s="1439"/>
      <c r="L1524" s="1439"/>
      <c r="M1524" s="1439"/>
      <c r="N1524" s="1439"/>
      <c r="O1524" s="1439"/>
      <c r="P1524" s="1439"/>
      <c r="Q1524" s="1439"/>
      <c r="R1524" s="1439"/>
      <c r="S1524" s="1439"/>
      <c r="T1524" s="1439"/>
      <c r="U1524" s="1439"/>
      <c r="V1524" s="1439"/>
      <c r="W1524" s="1439"/>
      <c r="X1524" s="1439"/>
      <c r="Y1524" s="1439"/>
      <c r="Z1524" s="1439"/>
      <c r="AA1524" s="1439"/>
      <c r="AB1524" s="1439"/>
      <c r="AC1524" s="1439"/>
      <c r="AD1524" s="1439"/>
      <c r="AE1524" s="1439"/>
      <c r="AF1524" s="1439"/>
      <c r="AG1524" s="1439"/>
    </row>
    <row r="1525" spans="1:33" ht="78.75">
      <c r="A1525" s="1451">
        <v>66.099999999999994</v>
      </c>
      <c r="B1525" s="1462" t="s">
        <v>7244</v>
      </c>
      <c r="C1525" s="1477"/>
      <c r="D1525" s="1477"/>
      <c r="E1525" s="1477"/>
      <c r="F1525" s="1478"/>
      <c r="G1525" s="1478"/>
      <c r="H1525" s="1500"/>
      <c r="I1525" s="1479"/>
      <c r="J1525" s="1501"/>
      <c r="K1525" s="1439"/>
      <c r="L1525" s="1439"/>
      <c r="M1525" s="1439"/>
      <c r="N1525" s="1439"/>
      <c r="O1525" s="1439"/>
      <c r="P1525" s="1439"/>
      <c r="Q1525" s="1439"/>
      <c r="R1525" s="1439"/>
      <c r="S1525" s="1439"/>
      <c r="T1525" s="1439"/>
      <c r="U1525" s="1439"/>
      <c r="V1525" s="1439"/>
      <c r="W1525" s="1439"/>
      <c r="X1525" s="1439"/>
      <c r="Y1525" s="1439"/>
      <c r="Z1525" s="1439"/>
      <c r="AA1525" s="1439"/>
      <c r="AB1525" s="1439"/>
      <c r="AC1525" s="1439"/>
      <c r="AD1525" s="1439"/>
      <c r="AE1525" s="1439"/>
      <c r="AF1525" s="1439"/>
      <c r="AG1525" s="1439"/>
    </row>
    <row r="1526" spans="1:33" ht="15.75" customHeight="1">
      <c r="A1526" s="1451"/>
      <c r="B1526" s="1450" t="s">
        <v>3673</v>
      </c>
      <c r="C1526" s="1477">
        <v>2</v>
      </c>
      <c r="D1526" s="1477" t="s">
        <v>3364</v>
      </c>
      <c r="E1526" s="1477">
        <v>7</v>
      </c>
      <c r="F1526" s="1478"/>
      <c r="G1526" s="1478"/>
      <c r="H1526" s="1500"/>
      <c r="I1526" s="1479">
        <f>PRODUCT(C1526:H1526)</f>
        <v>14</v>
      </c>
      <c r="J1526" s="1501" t="s">
        <v>3471</v>
      </c>
      <c r="K1526" s="1439"/>
      <c r="L1526" s="1439"/>
      <c r="M1526" s="1439"/>
      <c r="N1526" s="1439"/>
      <c r="O1526" s="1439"/>
      <c r="P1526" s="1439"/>
      <c r="Q1526" s="1439"/>
      <c r="R1526" s="1439"/>
      <c r="S1526" s="1439"/>
      <c r="T1526" s="1439"/>
      <c r="U1526" s="1439"/>
      <c r="V1526" s="1439"/>
      <c r="W1526" s="1439"/>
      <c r="X1526" s="1439"/>
      <c r="Y1526" s="1439"/>
      <c r="Z1526" s="1439"/>
      <c r="AA1526" s="1439"/>
      <c r="AB1526" s="1439"/>
      <c r="AC1526" s="1439"/>
      <c r="AD1526" s="1439"/>
      <c r="AE1526" s="1439"/>
      <c r="AF1526" s="1439"/>
      <c r="AG1526" s="1439"/>
    </row>
    <row r="1527" spans="1:33" ht="94.5">
      <c r="A1527" s="1451">
        <v>67.099999999999994</v>
      </c>
      <c r="B1527" s="1480" t="s">
        <v>7245</v>
      </c>
      <c r="C1527" s="1484"/>
      <c r="D1527" s="1484"/>
      <c r="E1527" s="1484"/>
      <c r="F1527" s="1446"/>
      <c r="G1527" s="1446"/>
      <c r="H1527" s="1447"/>
      <c r="I1527" s="1448"/>
      <c r="J1527" s="1475"/>
      <c r="K1527" s="1439"/>
      <c r="L1527" s="1439"/>
      <c r="M1527" s="1439"/>
      <c r="N1527" s="1439"/>
      <c r="O1527" s="1439"/>
      <c r="P1527" s="1439"/>
      <c r="Q1527" s="1439"/>
      <c r="R1527" s="1439"/>
      <c r="S1527" s="1439"/>
      <c r="T1527" s="1439"/>
      <c r="U1527" s="1439"/>
      <c r="V1527" s="1439"/>
      <c r="W1527" s="1439"/>
      <c r="X1527" s="1439"/>
      <c r="Y1527" s="1439"/>
      <c r="Z1527" s="1439"/>
      <c r="AA1527" s="1439"/>
      <c r="AB1527" s="1439"/>
      <c r="AC1527" s="1439"/>
      <c r="AD1527" s="1439"/>
      <c r="AE1527" s="1439"/>
      <c r="AF1527" s="1439"/>
      <c r="AG1527" s="1439"/>
    </row>
    <row r="1528" spans="1:33" ht="15.75" customHeight="1">
      <c r="A1528" s="1451"/>
      <c r="B1528" s="1456" t="s">
        <v>7157</v>
      </c>
      <c r="C1528" s="1484"/>
      <c r="D1528" s="1484"/>
      <c r="E1528" s="1484"/>
      <c r="F1528" s="1446"/>
      <c r="G1528" s="1446"/>
      <c r="H1528" s="1447"/>
      <c r="I1528" s="1494"/>
      <c r="J1528" s="1492"/>
      <c r="K1528" s="1439"/>
      <c r="L1528" s="1439"/>
      <c r="M1528" s="1439"/>
      <c r="N1528" s="1439"/>
      <c r="O1528" s="1439"/>
      <c r="P1528" s="1439"/>
      <c r="Q1528" s="1439"/>
      <c r="R1528" s="1439"/>
      <c r="S1528" s="1439"/>
      <c r="T1528" s="1439"/>
      <c r="U1528" s="1439"/>
      <c r="V1528" s="1439"/>
      <c r="W1528" s="1439"/>
      <c r="X1528" s="1439"/>
      <c r="Y1528" s="1439"/>
      <c r="Z1528" s="1439"/>
      <c r="AA1528" s="1439"/>
      <c r="AB1528" s="1439"/>
      <c r="AC1528" s="1439"/>
      <c r="AD1528" s="1439"/>
      <c r="AE1528" s="1439"/>
      <c r="AF1528" s="1439"/>
      <c r="AG1528" s="1439"/>
    </row>
    <row r="1529" spans="1:33" ht="15.75" customHeight="1">
      <c r="A1529" s="1451"/>
      <c r="B1529" s="1450" t="s">
        <v>7079</v>
      </c>
      <c r="C1529" s="1484">
        <v>2</v>
      </c>
      <c r="D1529" s="1484" t="s">
        <v>3364</v>
      </c>
      <c r="E1529" s="1484">
        <v>1</v>
      </c>
      <c r="F1529" s="1446"/>
      <c r="G1529" s="1446"/>
      <c r="H1529" s="1447"/>
      <c r="I1529" s="1494">
        <f t="shared" ref="I1529:I1587" si="73">PRODUCT(C1529:H1529)</f>
        <v>2</v>
      </c>
      <c r="J1529" s="1492"/>
      <c r="K1529" s="1439"/>
      <c r="L1529" s="1439"/>
      <c r="M1529" s="1439"/>
      <c r="N1529" s="1439"/>
      <c r="O1529" s="1439"/>
      <c r="P1529" s="1439"/>
      <c r="Q1529" s="1439"/>
      <c r="R1529" s="1439"/>
      <c r="S1529" s="1439"/>
      <c r="T1529" s="1439"/>
      <c r="U1529" s="1439"/>
      <c r="V1529" s="1439"/>
      <c r="W1529" s="1439"/>
      <c r="X1529" s="1439"/>
      <c r="Y1529" s="1439"/>
      <c r="Z1529" s="1439"/>
      <c r="AA1529" s="1439"/>
      <c r="AB1529" s="1439"/>
      <c r="AC1529" s="1439"/>
      <c r="AD1529" s="1439"/>
      <c r="AE1529" s="1439"/>
      <c r="AF1529" s="1439"/>
      <c r="AG1529" s="1439"/>
    </row>
    <row r="1530" spans="1:33" ht="15.75" customHeight="1">
      <c r="A1530" s="1451"/>
      <c r="B1530" s="1450" t="s">
        <v>7214</v>
      </c>
      <c r="C1530" s="1484">
        <v>1</v>
      </c>
      <c r="D1530" s="1484" t="s">
        <v>3364</v>
      </c>
      <c r="E1530" s="1484">
        <v>3</v>
      </c>
      <c r="F1530" s="1446"/>
      <c r="G1530" s="1446"/>
      <c r="H1530" s="1447"/>
      <c r="I1530" s="1494">
        <f t="shared" si="73"/>
        <v>3</v>
      </c>
      <c r="J1530" s="1492"/>
      <c r="K1530" s="1439"/>
      <c r="L1530" s="1439"/>
      <c r="M1530" s="1439"/>
      <c r="N1530" s="1439"/>
      <c r="O1530" s="1439"/>
      <c r="P1530" s="1439"/>
      <c r="Q1530" s="1439"/>
      <c r="R1530" s="1439"/>
      <c r="S1530" s="1439"/>
      <c r="T1530" s="1439"/>
      <c r="U1530" s="1439"/>
      <c r="V1530" s="1439"/>
      <c r="W1530" s="1439"/>
      <c r="X1530" s="1439"/>
      <c r="Y1530" s="1439"/>
      <c r="Z1530" s="1439"/>
      <c r="AA1530" s="1439"/>
      <c r="AB1530" s="1439"/>
      <c r="AC1530" s="1439"/>
      <c r="AD1530" s="1439"/>
      <c r="AE1530" s="1439"/>
      <c r="AF1530" s="1439"/>
      <c r="AG1530" s="1439"/>
    </row>
    <row r="1531" spans="1:33" ht="15.75" customHeight="1">
      <c r="A1531" s="1451"/>
      <c r="B1531" s="1450" t="s">
        <v>7215</v>
      </c>
      <c r="C1531" s="1484">
        <v>1</v>
      </c>
      <c r="D1531" s="1484" t="s">
        <v>3364</v>
      </c>
      <c r="E1531" s="1484">
        <v>2</v>
      </c>
      <c r="F1531" s="1446"/>
      <c r="G1531" s="1446"/>
      <c r="H1531" s="1447"/>
      <c r="I1531" s="1494">
        <f t="shared" si="73"/>
        <v>2</v>
      </c>
      <c r="J1531" s="1492"/>
      <c r="K1531" s="1439"/>
      <c r="L1531" s="1439"/>
      <c r="M1531" s="1439"/>
      <c r="N1531" s="1439"/>
      <c r="O1531" s="1439"/>
      <c r="P1531" s="1439"/>
      <c r="Q1531" s="1439"/>
      <c r="R1531" s="1439"/>
      <c r="S1531" s="1439"/>
      <c r="T1531" s="1439"/>
      <c r="U1531" s="1439"/>
      <c r="V1531" s="1439"/>
      <c r="W1531" s="1439"/>
      <c r="X1531" s="1439"/>
      <c r="Y1531" s="1439"/>
      <c r="Z1531" s="1439"/>
      <c r="AA1531" s="1439"/>
      <c r="AB1531" s="1439"/>
      <c r="AC1531" s="1439"/>
      <c r="AD1531" s="1439"/>
      <c r="AE1531" s="1439"/>
      <c r="AF1531" s="1439"/>
      <c r="AG1531" s="1439"/>
    </row>
    <row r="1532" spans="1:33" ht="15.75" customHeight="1">
      <c r="A1532" s="1451"/>
      <c r="B1532" s="1450" t="s">
        <v>7080</v>
      </c>
      <c r="C1532" s="1484">
        <v>1</v>
      </c>
      <c r="D1532" s="1484" t="s">
        <v>3364</v>
      </c>
      <c r="E1532" s="1484">
        <v>2</v>
      </c>
      <c r="F1532" s="1446"/>
      <c r="G1532" s="1446"/>
      <c r="H1532" s="1447"/>
      <c r="I1532" s="1494">
        <f t="shared" si="73"/>
        <v>2</v>
      </c>
      <c r="J1532" s="1492"/>
      <c r="K1532" s="1439"/>
      <c r="L1532" s="1439"/>
      <c r="M1532" s="1439"/>
      <c r="N1532" s="1439"/>
      <c r="O1532" s="1439"/>
      <c r="P1532" s="1439"/>
      <c r="Q1532" s="1439"/>
      <c r="R1532" s="1439"/>
      <c r="S1532" s="1439"/>
      <c r="T1532" s="1439"/>
      <c r="U1532" s="1439"/>
      <c r="V1532" s="1439"/>
      <c r="W1532" s="1439"/>
      <c r="X1532" s="1439"/>
      <c r="Y1532" s="1439"/>
      <c r="Z1532" s="1439"/>
      <c r="AA1532" s="1439"/>
      <c r="AB1532" s="1439"/>
      <c r="AC1532" s="1439"/>
      <c r="AD1532" s="1439"/>
      <c r="AE1532" s="1439"/>
      <c r="AF1532" s="1439"/>
      <c r="AG1532" s="1439"/>
    </row>
    <row r="1533" spans="1:33" ht="15.75" customHeight="1">
      <c r="A1533" s="1451"/>
      <c r="B1533" s="1450" t="s">
        <v>7216</v>
      </c>
      <c r="C1533" s="1484">
        <v>1</v>
      </c>
      <c r="D1533" s="1484" t="s">
        <v>3364</v>
      </c>
      <c r="E1533" s="1484">
        <v>2</v>
      </c>
      <c r="F1533" s="1446"/>
      <c r="G1533" s="1446"/>
      <c r="H1533" s="1447"/>
      <c r="I1533" s="1494">
        <f t="shared" si="73"/>
        <v>2</v>
      </c>
      <c r="J1533" s="1492"/>
      <c r="K1533" s="1439"/>
      <c r="L1533" s="1439"/>
      <c r="M1533" s="1439"/>
      <c r="N1533" s="1439"/>
      <c r="O1533" s="1439"/>
      <c r="P1533" s="1439"/>
      <c r="Q1533" s="1439"/>
      <c r="R1533" s="1439"/>
      <c r="S1533" s="1439"/>
      <c r="T1533" s="1439"/>
      <c r="U1533" s="1439"/>
      <c r="V1533" s="1439"/>
      <c r="W1533" s="1439"/>
      <c r="X1533" s="1439"/>
      <c r="Y1533" s="1439"/>
      <c r="Z1533" s="1439"/>
      <c r="AA1533" s="1439"/>
      <c r="AB1533" s="1439"/>
      <c r="AC1533" s="1439"/>
      <c r="AD1533" s="1439"/>
      <c r="AE1533" s="1439"/>
      <c r="AF1533" s="1439"/>
      <c r="AG1533" s="1439"/>
    </row>
    <row r="1534" spans="1:33" ht="15.75" customHeight="1">
      <c r="A1534" s="1451"/>
      <c r="B1534" s="1450" t="s">
        <v>7217</v>
      </c>
      <c r="C1534" s="1484">
        <v>2</v>
      </c>
      <c r="D1534" s="1484" t="s">
        <v>3364</v>
      </c>
      <c r="E1534" s="1484">
        <v>1</v>
      </c>
      <c r="F1534" s="1446"/>
      <c r="G1534" s="1446"/>
      <c r="H1534" s="1447"/>
      <c r="I1534" s="1494">
        <f t="shared" si="73"/>
        <v>2</v>
      </c>
      <c r="J1534" s="1492"/>
      <c r="K1534" s="1439"/>
      <c r="L1534" s="1439"/>
      <c r="M1534" s="1439"/>
      <c r="N1534" s="1439"/>
      <c r="O1534" s="1439"/>
      <c r="P1534" s="1439"/>
      <c r="Q1534" s="1439"/>
      <c r="R1534" s="1439"/>
      <c r="S1534" s="1439"/>
      <c r="T1534" s="1439"/>
      <c r="U1534" s="1439"/>
      <c r="V1534" s="1439"/>
      <c r="W1534" s="1439"/>
      <c r="X1534" s="1439"/>
      <c r="Y1534" s="1439"/>
      <c r="Z1534" s="1439"/>
      <c r="AA1534" s="1439"/>
      <c r="AB1534" s="1439"/>
      <c r="AC1534" s="1439"/>
      <c r="AD1534" s="1439"/>
      <c r="AE1534" s="1439"/>
      <c r="AF1534" s="1439"/>
      <c r="AG1534" s="1439"/>
    </row>
    <row r="1535" spans="1:33" ht="15.75" customHeight="1">
      <c r="A1535" s="1451"/>
      <c r="B1535" s="1450" t="s">
        <v>7218</v>
      </c>
      <c r="C1535" s="1484">
        <v>1</v>
      </c>
      <c r="D1535" s="1484" t="s">
        <v>3364</v>
      </c>
      <c r="E1535" s="1484">
        <v>1</v>
      </c>
      <c r="F1535" s="1446"/>
      <c r="G1535" s="1446"/>
      <c r="H1535" s="1447"/>
      <c r="I1535" s="1494">
        <f t="shared" si="73"/>
        <v>1</v>
      </c>
      <c r="J1535" s="1492"/>
      <c r="K1535" s="1439"/>
      <c r="L1535" s="1439"/>
      <c r="M1535" s="1439"/>
      <c r="N1535" s="1439"/>
      <c r="O1535" s="1439"/>
      <c r="P1535" s="1439"/>
      <c r="Q1535" s="1439"/>
      <c r="R1535" s="1439"/>
      <c r="S1535" s="1439"/>
      <c r="T1535" s="1439"/>
      <c r="U1535" s="1439"/>
      <c r="V1535" s="1439"/>
      <c r="W1535" s="1439"/>
      <c r="X1535" s="1439"/>
      <c r="Y1535" s="1439"/>
      <c r="Z1535" s="1439"/>
      <c r="AA1535" s="1439"/>
      <c r="AB1535" s="1439"/>
      <c r="AC1535" s="1439"/>
      <c r="AD1535" s="1439"/>
      <c r="AE1535" s="1439"/>
      <c r="AF1535" s="1439"/>
      <c r="AG1535" s="1439"/>
    </row>
    <row r="1536" spans="1:33" ht="15.75" customHeight="1">
      <c r="A1536" s="1451"/>
      <c r="B1536" s="1456" t="s">
        <v>3486</v>
      </c>
      <c r="C1536" s="1484"/>
      <c r="D1536" s="1484"/>
      <c r="E1536" s="1484"/>
      <c r="F1536" s="1446"/>
      <c r="G1536" s="1446"/>
      <c r="H1536" s="1447"/>
      <c r="I1536" s="1494"/>
      <c r="J1536" s="1492"/>
      <c r="K1536" s="1439"/>
      <c r="L1536" s="1439"/>
      <c r="M1536" s="1439"/>
      <c r="N1536" s="1439"/>
      <c r="O1536" s="1439"/>
      <c r="P1536" s="1439"/>
      <c r="Q1536" s="1439"/>
      <c r="R1536" s="1439"/>
      <c r="S1536" s="1439"/>
      <c r="T1536" s="1439"/>
      <c r="U1536" s="1439"/>
      <c r="V1536" s="1439"/>
      <c r="W1536" s="1439"/>
      <c r="X1536" s="1439"/>
      <c r="Y1536" s="1439"/>
      <c r="Z1536" s="1439"/>
      <c r="AA1536" s="1439"/>
      <c r="AB1536" s="1439"/>
      <c r="AC1536" s="1439"/>
      <c r="AD1536" s="1439"/>
      <c r="AE1536" s="1439"/>
      <c r="AF1536" s="1439"/>
      <c r="AG1536" s="1439"/>
    </row>
    <row r="1537" spans="1:33" ht="15.75" customHeight="1">
      <c r="A1537" s="1451"/>
      <c r="B1537" s="1450" t="s">
        <v>7219</v>
      </c>
      <c r="C1537" s="1484">
        <v>1</v>
      </c>
      <c r="D1537" s="1484" t="s">
        <v>3364</v>
      </c>
      <c r="E1537" s="1484">
        <v>1</v>
      </c>
      <c r="F1537" s="1446"/>
      <c r="G1537" s="1446"/>
      <c r="H1537" s="1447"/>
      <c r="I1537" s="1494">
        <f t="shared" si="73"/>
        <v>1</v>
      </c>
      <c r="J1537" s="1492"/>
      <c r="K1537" s="1439"/>
      <c r="L1537" s="1439"/>
      <c r="M1537" s="1439"/>
      <c r="N1537" s="1439"/>
      <c r="O1537" s="1439"/>
      <c r="P1537" s="1439"/>
      <c r="Q1537" s="1439"/>
      <c r="R1537" s="1439"/>
      <c r="S1537" s="1439"/>
      <c r="T1537" s="1439"/>
      <c r="U1537" s="1439"/>
      <c r="V1537" s="1439"/>
      <c r="W1537" s="1439"/>
      <c r="X1537" s="1439"/>
      <c r="Y1537" s="1439"/>
      <c r="Z1537" s="1439"/>
      <c r="AA1537" s="1439"/>
      <c r="AB1537" s="1439"/>
      <c r="AC1537" s="1439"/>
      <c r="AD1537" s="1439"/>
      <c r="AE1537" s="1439"/>
      <c r="AF1537" s="1439"/>
      <c r="AG1537" s="1439"/>
    </row>
    <row r="1538" spans="1:33" ht="15.75" customHeight="1">
      <c r="A1538" s="1451"/>
      <c r="B1538" s="1450" t="s">
        <v>7220</v>
      </c>
      <c r="C1538" s="1484">
        <v>1</v>
      </c>
      <c r="D1538" s="1484" t="s">
        <v>3364</v>
      </c>
      <c r="E1538" s="1484">
        <v>2</v>
      </c>
      <c r="F1538" s="1446"/>
      <c r="G1538" s="1446"/>
      <c r="H1538" s="1447"/>
      <c r="I1538" s="1494">
        <f t="shared" si="73"/>
        <v>2</v>
      </c>
      <c r="J1538" s="1492"/>
      <c r="K1538" s="1439"/>
      <c r="L1538" s="1439"/>
      <c r="M1538" s="1439"/>
      <c r="N1538" s="1439"/>
      <c r="O1538" s="1439"/>
      <c r="P1538" s="1439"/>
      <c r="Q1538" s="1439"/>
      <c r="R1538" s="1439"/>
      <c r="S1538" s="1439"/>
      <c r="T1538" s="1439"/>
      <c r="U1538" s="1439"/>
      <c r="V1538" s="1439"/>
      <c r="W1538" s="1439"/>
      <c r="X1538" s="1439"/>
      <c r="Y1538" s="1439"/>
      <c r="Z1538" s="1439"/>
      <c r="AA1538" s="1439"/>
      <c r="AB1538" s="1439"/>
      <c r="AC1538" s="1439"/>
      <c r="AD1538" s="1439"/>
      <c r="AE1538" s="1439"/>
      <c r="AF1538" s="1439"/>
      <c r="AG1538" s="1439"/>
    </row>
    <row r="1539" spans="1:33" ht="15.75" customHeight="1">
      <c r="A1539" s="1451"/>
      <c r="B1539" s="1450" t="s">
        <v>7221</v>
      </c>
      <c r="C1539" s="1484">
        <v>1</v>
      </c>
      <c r="D1539" s="1484" t="s">
        <v>3364</v>
      </c>
      <c r="E1539" s="1484">
        <v>2</v>
      </c>
      <c r="F1539" s="1446"/>
      <c r="G1539" s="1446"/>
      <c r="H1539" s="1447"/>
      <c r="I1539" s="1494">
        <f t="shared" si="73"/>
        <v>2</v>
      </c>
      <c r="J1539" s="1492"/>
      <c r="K1539" s="1439"/>
      <c r="L1539" s="1439"/>
      <c r="M1539" s="1439"/>
      <c r="N1539" s="1439"/>
      <c r="O1539" s="1439"/>
      <c r="P1539" s="1439"/>
      <c r="Q1539" s="1439"/>
      <c r="R1539" s="1439"/>
      <c r="S1539" s="1439"/>
      <c r="T1539" s="1439"/>
      <c r="U1539" s="1439"/>
      <c r="V1539" s="1439"/>
      <c r="W1539" s="1439"/>
      <c r="X1539" s="1439"/>
      <c r="Y1539" s="1439"/>
      <c r="Z1539" s="1439"/>
      <c r="AA1539" s="1439"/>
      <c r="AB1539" s="1439"/>
      <c r="AC1539" s="1439"/>
      <c r="AD1539" s="1439"/>
      <c r="AE1539" s="1439"/>
      <c r="AF1539" s="1439"/>
      <c r="AG1539" s="1439"/>
    </row>
    <row r="1540" spans="1:33" ht="15.75" customHeight="1">
      <c r="A1540" s="1451"/>
      <c r="B1540" s="1450" t="s">
        <v>7222</v>
      </c>
      <c r="C1540" s="1484">
        <v>1</v>
      </c>
      <c r="D1540" s="1484" t="s">
        <v>3364</v>
      </c>
      <c r="E1540" s="1484">
        <v>1</v>
      </c>
      <c r="F1540" s="1446"/>
      <c r="G1540" s="1446"/>
      <c r="H1540" s="1447"/>
      <c r="I1540" s="1494">
        <f t="shared" si="73"/>
        <v>1</v>
      </c>
      <c r="J1540" s="1492"/>
      <c r="K1540" s="1439"/>
      <c r="L1540" s="1439"/>
      <c r="M1540" s="1439"/>
      <c r="N1540" s="1439"/>
      <c r="O1540" s="1439"/>
      <c r="P1540" s="1439"/>
      <c r="Q1540" s="1439"/>
      <c r="R1540" s="1439"/>
      <c r="S1540" s="1439"/>
      <c r="T1540" s="1439"/>
      <c r="U1540" s="1439"/>
      <c r="V1540" s="1439"/>
      <c r="W1540" s="1439"/>
      <c r="X1540" s="1439"/>
      <c r="Y1540" s="1439"/>
      <c r="Z1540" s="1439"/>
      <c r="AA1540" s="1439"/>
      <c r="AB1540" s="1439"/>
      <c r="AC1540" s="1439"/>
      <c r="AD1540" s="1439"/>
      <c r="AE1540" s="1439"/>
      <c r="AF1540" s="1439"/>
      <c r="AG1540" s="1439"/>
    </row>
    <row r="1541" spans="1:33" ht="15.75" customHeight="1">
      <c r="A1541" s="1451"/>
      <c r="B1541" s="1450" t="s">
        <v>7223</v>
      </c>
      <c r="C1541" s="1484">
        <v>1</v>
      </c>
      <c r="D1541" s="1484" t="s">
        <v>3364</v>
      </c>
      <c r="E1541" s="1484">
        <v>2</v>
      </c>
      <c r="F1541" s="1446"/>
      <c r="G1541" s="1446"/>
      <c r="H1541" s="1447"/>
      <c r="I1541" s="1494">
        <f t="shared" si="73"/>
        <v>2</v>
      </c>
      <c r="J1541" s="1492"/>
      <c r="K1541" s="1439"/>
      <c r="L1541" s="1439"/>
      <c r="M1541" s="1439"/>
      <c r="N1541" s="1439"/>
      <c r="O1541" s="1439"/>
      <c r="P1541" s="1439"/>
      <c r="Q1541" s="1439"/>
      <c r="R1541" s="1439"/>
      <c r="S1541" s="1439"/>
      <c r="T1541" s="1439"/>
      <c r="U1541" s="1439"/>
      <c r="V1541" s="1439"/>
      <c r="W1541" s="1439"/>
      <c r="X1541" s="1439"/>
      <c r="Y1541" s="1439"/>
      <c r="Z1541" s="1439"/>
      <c r="AA1541" s="1439"/>
      <c r="AB1541" s="1439"/>
      <c r="AC1541" s="1439"/>
      <c r="AD1541" s="1439"/>
      <c r="AE1541" s="1439"/>
      <c r="AF1541" s="1439"/>
      <c r="AG1541" s="1439"/>
    </row>
    <row r="1542" spans="1:33" ht="15.75" customHeight="1">
      <c r="A1542" s="1451"/>
      <c r="B1542" s="1450" t="s">
        <v>7217</v>
      </c>
      <c r="C1542" s="1484">
        <v>2</v>
      </c>
      <c r="D1542" s="1484" t="s">
        <v>3364</v>
      </c>
      <c r="E1542" s="1484">
        <v>1</v>
      </c>
      <c r="F1542" s="1446"/>
      <c r="G1542" s="1446"/>
      <c r="H1542" s="1447"/>
      <c r="I1542" s="1494">
        <f t="shared" si="73"/>
        <v>2</v>
      </c>
      <c r="J1542" s="1492"/>
      <c r="K1542" s="1439"/>
      <c r="L1542" s="1439"/>
      <c r="M1542" s="1439"/>
      <c r="N1542" s="1439"/>
      <c r="O1542" s="1439"/>
      <c r="P1542" s="1439"/>
      <c r="Q1542" s="1439"/>
      <c r="R1542" s="1439"/>
      <c r="S1542" s="1439"/>
      <c r="T1542" s="1439"/>
      <c r="U1542" s="1439"/>
      <c r="V1542" s="1439"/>
      <c r="W1542" s="1439"/>
      <c r="X1542" s="1439"/>
      <c r="Y1542" s="1439"/>
      <c r="Z1542" s="1439"/>
      <c r="AA1542" s="1439"/>
      <c r="AB1542" s="1439"/>
      <c r="AC1542" s="1439"/>
      <c r="AD1542" s="1439"/>
      <c r="AE1542" s="1439"/>
      <c r="AF1542" s="1439"/>
      <c r="AG1542" s="1439"/>
    </row>
    <row r="1543" spans="1:33" ht="15.75" customHeight="1">
      <c r="A1543" s="1451"/>
      <c r="B1543" s="1450" t="s">
        <v>7083</v>
      </c>
      <c r="C1543" s="1484">
        <v>1</v>
      </c>
      <c r="D1543" s="1484" t="s">
        <v>3364</v>
      </c>
      <c r="E1543" s="1484">
        <v>1</v>
      </c>
      <c r="F1543" s="1446"/>
      <c r="G1543" s="1446"/>
      <c r="H1543" s="1447"/>
      <c r="I1543" s="1494">
        <f t="shared" si="73"/>
        <v>1</v>
      </c>
      <c r="J1543" s="1492"/>
      <c r="K1543" s="1439"/>
      <c r="L1543" s="1439"/>
      <c r="M1543" s="1439"/>
      <c r="N1543" s="1439"/>
      <c r="O1543" s="1439"/>
      <c r="P1543" s="1439"/>
      <c r="Q1543" s="1439"/>
      <c r="R1543" s="1439"/>
      <c r="S1543" s="1439"/>
      <c r="T1543" s="1439"/>
      <c r="U1543" s="1439"/>
      <c r="V1543" s="1439"/>
      <c r="W1543" s="1439"/>
      <c r="X1543" s="1439"/>
      <c r="Y1543" s="1439"/>
      <c r="Z1543" s="1439"/>
      <c r="AA1543" s="1439"/>
      <c r="AB1543" s="1439"/>
      <c r="AC1543" s="1439"/>
      <c r="AD1543" s="1439"/>
      <c r="AE1543" s="1439"/>
      <c r="AF1543" s="1439"/>
      <c r="AG1543" s="1439"/>
    </row>
    <row r="1544" spans="1:33" ht="15.75" customHeight="1">
      <c r="A1544" s="1451"/>
      <c r="B1544" s="1456" t="s">
        <v>3488</v>
      </c>
      <c r="C1544" s="1484"/>
      <c r="D1544" s="1484"/>
      <c r="E1544" s="1484"/>
      <c r="F1544" s="1446"/>
      <c r="G1544" s="1446"/>
      <c r="H1544" s="1447"/>
      <c r="I1544" s="1494">
        <f t="shared" si="73"/>
        <v>0</v>
      </c>
      <c r="J1544" s="1492"/>
      <c r="K1544" s="1439"/>
      <c r="L1544" s="1439"/>
      <c r="M1544" s="1439"/>
      <c r="N1544" s="1439"/>
      <c r="O1544" s="1439"/>
      <c r="P1544" s="1439"/>
      <c r="Q1544" s="1439"/>
      <c r="R1544" s="1439"/>
      <c r="S1544" s="1439"/>
      <c r="T1544" s="1439"/>
      <c r="U1544" s="1439"/>
      <c r="V1544" s="1439"/>
      <c r="W1544" s="1439"/>
      <c r="X1544" s="1439"/>
      <c r="Y1544" s="1439"/>
      <c r="Z1544" s="1439"/>
      <c r="AA1544" s="1439"/>
      <c r="AB1544" s="1439"/>
      <c r="AC1544" s="1439"/>
      <c r="AD1544" s="1439"/>
      <c r="AE1544" s="1439"/>
      <c r="AF1544" s="1439"/>
      <c r="AG1544" s="1439"/>
    </row>
    <row r="1545" spans="1:33" ht="15.75" customHeight="1">
      <c r="A1545" s="1451"/>
      <c r="B1545" s="1450" t="s">
        <v>7224</v>
      </c>
      <c r="C1545" s="1484">
        <v>2</v>
      </c>
      <c r="D1545" s="1484" t="s">
        <v>3364</v>
      </c>
      <c r="E1545" s="1484">
        <v>1</v>
      </c>
      <c r="F1545" s="1446"/>
      <c r="G1545" s="1446"/>
      <c r="H1545" s="1447"/>
      <c r="I1545" s="1494">
        <f t="shared" si="73"/>
        <v>2</v>
      </c>
      <c r="J1545" s="1492"/>
      <c r="K1545" s="1439"/>
      <c r="L1545" s="1439"/>
      <c r="M1545" s="1439"/>
      <c r="N1545" s="1439"/>
      <c r="O1545" s="1439"/>
      <c r="P1545" s="1439"/>
      <c r="Q1545" s="1439"/>
      <c r="R1545" s="1439"/>
      <c r="S1545" s="1439"/>
      <c r="T1545" s="1439"/>
      <c r="U1545" s="1439"/>
      <c r="V1545" s="1439"/>
      <c r="W1545" s="1439"/>
      <c r="X1545" s="1439"/>
      <c r="Y1545" s="1439"/>
      <c r="Z1545" s="1439"/>
      <c r="AA1545" s="1439"/>
      <c r="AB1545" s="1439"/>
      <c r="AC1545" s="1439"/>
      <c r="AD1545" s="1439"/>
      <c r="AE1545" s="1439"/>
      <c r="AF1545" s="1439"/>
      <c r="AG1545" s="1439"/>
    </row>
    <row r="1546" spans="1:33" ht="15.75" customHeight="1">
      <c r="A1546" s="1451"/>
      <c r="B1546" s="1450" t="s">
        <v>7221</v>
      </c>
      <c r="C1546" s="1484">
        <v>1</v>
      </c>
      <c r="D1546" s="1484" t="s">
        <v>3364</v>
      </c>
      <c r="E1546" s="1484">
        <v>2</v>
      </c>
      <c r="F1546" s="1446"/>
      <c r="G1546" s="1446"/>
      <c r="H1546" s="1447"/>
      <c r="I1546" s="1494">
        <f t="shared" si="73"/>
        <v>2</v>
      </c>
      <c r="J1546" s="1492"/>
      <c r="K1546" s="1439"/>
      <c r="L1546" s="1439"/>
      <c r="M1546" s="1439"/>
      <c r="N1546" s="1439"/>
      <c r="O1546" s="1439"/>
      <c r="P1546" s="1439"/>
      <c r="Q1546" s="1439"/>
      <c r="R1546" s="1439"/>
      <c r="S1546" s="1439"/>
      <c r="T1546" s="1439"/>
      <c r="U1546" s="1439"/>
      <c r="V1546" s="1439"/>
      <c r="W1546" s="1439"/>
      <c r="X1546" s="1439"/>
      <c r="Y1546" s="1439"/>
      <c r="Z1546" s="1439"/>
      <c r="AA1546" s="1439"/>
      <c r="AB1546" s="1439"/>
      <c r="AC1546" s="1439"/>
      <c r="AD1546" s="1439"/>
      <c r="AE1546" s="1439"/>
      <c r="AF1546" s="1439"/>
      <c r="AG1546" s="1439"/>
    </row>
    <row r="1547" spans="1:33" ht="15.75" customHeight="1">
      <c r="A1547" s="1451"/>
      <c r="B1547" s="1450" t="s">
        <v>7163</v>
      </c>
      <c r="C1547" s="1484">
        <v>1</v>
      </c>
      <c r="D1547" s="1484" t="s">
        <v>3364</v>
      </c>
      <c r="E1547" s="1484">
        <v>4</v>
      </c>
      <c r="F1547" s="1446"/>
      <c r="G1547" s="1446"/>
      <c r="H1547" s="1447"/>
      <c r="I1547" s="1494">
        <f t="shared" si="73"/>
        <v>4</v>
      </c>
      <c r="J1547" s="1492"/>
      <c r="K1547" s="1439"/>
      <c r="L1547" s="1439"/>
      <c r="M1547" s="1439"/>
      <c r="N1547" s="1439"/>
      <c r="O1547" s="1439"/>
      <c r="P1547" s="1439"/>
      <c r="Q1547" s="1439"/>
      <c r="R1547" s="1439"/>
      <c r="S1547" s="1439"/>
      <c r="T1547" s="1439"/>
      <c r="U1547" s="1439"/>
      <c r="V1547" s="1439"/>
      <c r="W1547" s="1439"/>
      <c r="X1547" s="1439"/>
      <c r="Y1547" s="1439"/>
      <c r="Z1547" s="1439"/>
      <c r="AA1547" s="1439"/>
      <c r="AB1547" s="1439"/>
      <c r="AC1547" s="1439"/>
      <c r="AD1547" s="1439"/>
      <c r="AE1547" s="1439"/>
      <c r="AF1547" s="1439"/>
      <c r="AG1547" s="1439"/>
    </row>
    <row r="1548" spans="1:33" ht="15.75" customHeight="1">
      <c r="A1548" s="1451"/>
      <c r="B1548" s="1450" t="s">
        <v>7225</v>
      </c>
      <c r="C1548" s="1484">
        <v>1</v>
      </c>
      <c r="D1548" s="1484" t="s">
        <v>3364</v>
      </c>
      <c r="E1548" s="1484">
        <v>4</v>
      </c>
      <c r="F1548" s="1446"/>
      <c r="G1548" s="1446"/>
      <c r="H1548" s="1447"/>
      <c r="I1548" s="1494">
        <f t="shared" si="73"/>
        <v>4</v>
      </c>
      <c r="J1548" s="1492"/>
      <c r="K1548" s="1439"/>
      <c r="L1548" s="1439"/>
      <c r="M1548" s="1439"/>
      <c r="N1548" s="1439"/>
      <c r="O1548" s="1439"/>
      <c r="P1548" s="1439"/>
      <c r="Q1548" s="1439"/>
      <c r="R1548" s="1439"/>
      <c r="S1548" s="1439"/>
      <c r="T1548" s="1439"/>
      <c r="U1548" s="1439"/>
      <c r="V1548" s="1439"/>
      <c r="W1548" s="1439"/>
      <c r="X1548" s="1439"/>
      <c r="Y1548" s="1439"/>
      <c r="Z1548" s="1439"/>
      <c r="AA1548" s="1439"/>
      <c r="AB1548" s="1439"/>
      <c r="AC1548" s="1439"/>
      <c r="AD1548" s="1439"/>
      <c r="AE1548" s="1439"/>
      <c r="AF1548" s="1439"/>
      <c r="AG1548" s="1439"/>
    </row>
    <row r="1549" spans="1:33" ht="15.75" customHeight="1">
      <c r="A1549" s="1451"/>
      <c r="B1549" s="1450" t="s">
        <v>7226</v>
      </c>
      <c r="C1549" s="1484">
        <v>1</v>
      </c>
      <c r="D1549" s="1484" t="s">
        <v>3364</v>
      </c>
      <c r="E1549" s="1484">
        <v>2</v>
      </c>
      <c r="F1549" s="1446"/>
      <c r="G1549" s="1446"/>
      <c r="H1549" s="1447"/>
      <c r="I1549" s="1494">
        <f t="shared" si="73"/>
        <v>2</v>
      </c>
      <c r="J1549" s="1492"/>
      <c r="K1549" s="1439"/>
      <c r="L1549" s="1439"/>
      <c r="M1549" s="1439"/>
      <c r="N1549" s="1439"/>
      <c r="O1549" s="1439"/>
      <c r="P1549" s="1439"/>
      <c r="Q1549" s="1439"/>
      <c r="R1549" s="1439"/>
      <c r="S1549" s="1439"/>
      <c r="T1549" s="1439"/>
      <c r="U1549" s="1439"/>
      <c r="V1549" s="1439"/>
      <c r="W1549" s="1439"/>
      <c r="X1549" s="1439"/>
      <c r="Y1549" s="1439"/>
      <c r="Z1549" s="1439"/>
      <c r="AA1549" s="1439"/>
      <c r="AB1549" s="1439"/>
      <c r="AC1549" s="1439"/>
      <c r="AD1549" s="1439"/>
      <c r="AE1549" s="1439"/>
      <c r="AF1549" s="1439"/>
      <c r="AG1549" s="1439"/>
    </row>
    <row r="1550" spans="1:33" ht="15.75" customHeight="1">
      <c r="A1550" s="1451"/>
      <c r="B1550" s="1450" t="s">
        <v>7227</v>
      </c>
      <c r="C1550" s="1484">
        <v>1</v>
      </c>
      <c r="D1550" s="1484" t="s">
        <v>3364</v>
      </c>
      <c r="E1550" s="1484">
        <v>4</v>
      </c>
      <c r="F1550" s="1446"/>
      <c r="G1550" s="1446"/>
      <c r="H1550" s="1447"/>
      <c r="I1550" s="1494">
        <f t="shared" si="73"/>
        <v>4</v>
      </c>
      <c r="J1550" s="1492"/>
      <c r="K1550" s="1439"/>
      <c r="L1550" s="1439"/>
      <c r="M1550" s="1439"/>
      <c r="N1550" s="1439"/>
      <c r="O1550" s="1439"/>
      <c r="P1550" s="1439"/>
      <c r="Q1550" s="1439"/>
      <c r="R1550" s="1439"/>
      <c r="S1550" s="1439"/>
      <c r="T1550" s="1439"/>
      <c r="U1550" s="1439"/>
      <c r="V1550" s="1439"/>
      <c r="W1550" s="1439"/>
      <c r="X1550" s="1439"/>
      <c r="Y1550" s="1439"/>
      <c r="Z1550" s="1439"/>
      <c r="AA1550" s="1439"/>
      <c r="AB1550" s="1439"/>
      <c r="AC1550" s="1439"/>
      <c r="AD1550" s="1439"/>
      <c r="AE1550" s="1439"/>
      <c r="AF1550" s="1439"/>
      <c r="AG1550" s="1439"/>
    </row>
    <row r="1551" spans="1:33" ht="15.75" customHeight="1">
      <c r="A1551" s="1451"/>
      <c r="B1551" s="1450" t="s">
        <v>7228</v>
      </c>
      <c r="C1551" s="1484">
        <v>1</v>
      </c>
      <c r="D1551" s="1484" t="s">
        <v>3364</v>
      </c>
      <c r="E1551" s="1484">
        <v>4</v>
      </c>
      <c r="F1551" s="1446"/>
      <c r="G1551" s="1446"/>
      <c r="H1551" s="1447"/>
      <c r="I1551" s="1494">
        <f t="shared" si="73"/>
        <v>4</v>
      </c>
      <c r="J1551" s="1492"/>
      <c r="K1551" s="1439"/>
      <c r="L1551" s="1439"/>
      <c r="M1551" s="1439"/>
      <c r="N1551" s="1439"/>
      <c r="O1551" s="1439"/>
      <c r="P1551" s="1439"/>
      <c r="Q1551" s="1439"/>
      <c r="R1551" s="1439"/>
      <c r="S1551" s="1439"/>
      <c r="T1551" s="1439"/>
      <c r="U1551" s="1439"/>
      <c r="V1551" s="1439"/>
      <c r="W1551" s="1439"/>
      <c r="X1551" s="1439"/>
      <c r="Y1551" s="1439"/>
      <c r="Z1551" s="1439"/>
      <c r="AA1551" s="1439"/>
      <c r="AB1551" s="1439"/>
      <c r="AC1551" s="1439"/>
      <c r="AD1551" s="1439"/>
      <c r="AE1551" s="1439"/>
      <c r="AF1551" s="1439"/>
      <c r="AG1551" s="1439"/>
    </row>
    <row r="1552" spans="1:33" ht="15.75" customHeight="1">
      <c r="A1552" s="1451"/>
      <c r="B1552" s="1450" t="s">
        <v>7229</v>
      </c>
      <c r="C1552" s="1484">
        <v>1</v>
      </c>
      <c r="D1552" s="1484" t="s">
        <v>3364</v>
      </c>
      <c r="E1552" s="1484">
        <v>4</v>
      </c>
      <c r="F1552" s="1446"/>
      <c r="G1552" s="1446"/>
      <c r="H1552" s="1447"/>
      <c r="I1552" s="1494">
        <f t="shared" si="73"/>
        <v>4</v>
      </c>
      <c r="J1552" s="1492"/>
      <c r="K1552" s="1439"/>
      <c r="L1552" s="1439"/>
      <c r="M1552" s="1439"/>
      <c r="N1552" s="1439"/>
      <c r="O1552" s="1439"/>
      <c r="P1552" s="1439"/>
      <c r="Q1552" s="1439"/>
      <c r="R1552" s="1439"/>
      <c r="S1552" s="1439"/>
      <c r="T1552" s="1439"/>
      <c r="U1552" s="1439"/>
      <c r="V1552" s="1439"/>
      <c r="W1552" s="1439"/>
      <c r="X1552" s="1439"/>
      <c r="Y1552" s="1439"/>
      <c r="Z1552" s="1439"/>
      <c r="AA1552" s="1439"/>
      <c r="AB1552" s="1439"/>
      <c r="AC1552" s="1439"/>
      <c r="AD1552" s="1439"/>
      <c r="AE1552" s="1439"/>
      <c r="AF1552" s="1439"/>
      <c r="AG1552" s="1439"/>
    </row>
    <row r="1553" spans="1:33" ht="15.75" customHeight="1">
      <c r="A1553" s="1451"/>
      <c r="B1553" s="1450" t="s">
        <v>7230</v>
      </c>
      <c r="C1553" s="1484">
        <v>3</v>
      </c>
      <c r="D1553" s="1484" t="s">
        <v>3364</v>
      </c>
      <c r="E1553" s="1484">
        <v>4</v>
      </c>
      <c r="F1553" s="1446"/>
      <c r="G1553" s="1446"/>
      <c r="H1553" s="1447"/>
      <c r="I1553" s="1494">
        <f t="shared" si="73"/>
        <v>12</v>
      </c>
      <c r="J1553" s="1492"/>
      <c r="K1553" s="1439"/>
      <c r="L1553" s="1439"/>
      <c r="M1553" s="1439"/>
      <c r="N1553" s="1439"/>
      <c r="O1553" s="1439"/>
      <c r="P1553" s="1439"/>
      <c r="Q1553" s="1439"/>
      <c r="R1553" s="1439"/>
      <c r="S1553" s="1439"/>
      <c r="T1553" s="1439"/>
      <c r="U1553" s="1439"/>
      <c r="V1553" s="1439"/>
      <c r="W1553" s="1439"/>
      <c r="X1553" s="1439"/>
      <c r="Y1553" s="1439"/>
      <c r="Z1553" s="1439"/>
      <c r="AA1553" s="1439"/>
      <c r="AB1553" s="1439"/>
      <c r="AC1553" s="1439"/>
      <c r="AD1553" s="1439"/>
      <c r="AE1553" s="1439"/>
      <c r="AF1553" s="1439"/>
      <c r="AG1553" s="1439"/>
    </row>
    <row r="1554" spans="1:33" ht="15.75" customHeight="1">
      <c r="A1554" s="1451"/>
      <c r="B1554" s="1450" t="s">
        <v>6723</v>
      </c>
      <c r="C1554" s="1484">
        <v>1</v>
      </c>
      <c r="D1554" s="1484" t="s">
        <v>3364</v>
      </c>
      <c r="E1554" s="1484">
        <v>2</v>
      </c>
      <c r="F1554" s="1446"/>
      <c r="G1554" s="1446"/>
      <c r="H1554" s="1447"/>
      <c r="I1554" s="1494">
        <f t="shared" si="73"/>
        <v>2</v>
      </c>
      <c r="J1554" s="1492"/>
      <c r="K1554" s="1439"/>
      <c r="L1554" s="1439"/>
      <c r="M1554" s="1439"/>
      <c r="N1554" s="1439"/>
      <c r="O1554" s="1439"/>
      <c r="P1554" s="1439"/>
      <c r="Q1554" s="1439"/>
      <c r="R1554" s="1439"/>
      <c r="S1554" s="1439"/>
      <c r="T1554" s="1439"/>
      <c r="U1554" s="1439"/>
      <c r="V1554" s="1439"/>
      <c r="W1554" s="1439"/>
      <c r="X1554" s="1439"/>
      <c r="Y1554" s="1439"/>
      <c r="Z1554" s="1439"/>
      <c r="AA1554" s="1439"/>
      <c r="AB1554" s="1439"/>
      <c r="AC1554" s="1439"/>
      <c r="AD1554" s="1439"/>
      <c r="AE1554" s="1439"/>
      <c r="AF1554" s="1439"/>
      <c r="AG1554" s="1439"/>
    </row>
    <row r="1555" spans="1:33" ht="15.75" customHeight="1">
      <c r="A1555" s="1451"/>
      <c r="B1555" s="1450" t="s">
        <v>6933</v>
      </c>
      <c r="C1555" s="1484">
        <v>1</v>
      </c>
      <c r="D1555" s="1484" t="s">
        <v>3364</v>
      </c>
      <c r="E1555" s="1484">
        <v>1</v>
      </c>
      <c r="F1555" s="1446"/>
      <c r="G1555" s="1446"/>
      <c r="H1555" s="1447"/>
      <c r="I1555" s="1494">
        <f t="shared" si="73"/>
        <v>1</v>
      </c>
      <c r="J1555" s="1492"/>
      <c r="K1555" s="1439"/>
      <c r="L1555" s="1439"/>
      <c r="M1555" s="1439"/>
      <c r="N1555" s="1439"/>
      <c r="O1555" s="1439"/>
      <c r="P1555" s="1439"/>
      <c r="Q1555" s="1439"/>
      <c r="R1555" s="1439"/>
      <c r="S1555" s="1439"/>
      <c r="T1555" s="1439"/>
      <c r="U1555" s="1439"/>
      <c r="V1555" s="1439"/>
      <c r="W1555" s="1439"/>
      <c r="X1555" s="1439"/>
      <c r="Y1555" s="1439"/>
      <c r="Z1555" s="1439"/>
      <c r="AA1555" s="1439"/>
      <c r="AB1555" s="1439"/>
      <c r="AC1555" s="1439"/>
      <c r="AD1555" s="1439"/>
      <c r="AE1555" s="1439"/>
      <c r="AF1555" s="1439"/>
      <c r="AG1555" s="1439"/>
    </row>
    <row r="1556" spans="1:33" ht="15.75" customHeight="1">
      <c r="A1556" s="1451"/>
      <c r="B1556" s="1450" t="s">
        <v>7231</v>
      </c>
      <c r="C1556" s="1484">
        <v>1</v>
      </c>
      <c r="D1556" s="1484" t="s">
        <v>3364</v>
      </c>
      <c r="E1556" s="1484">
        <v>3</v>
      </c>
      <c r="F1556" s="1446"/>
      <c r="G1556" s="1446"/>
      <c r="H1556" s="1447"/>
      <c r="I1556" s="1494">
        <f t="shared" si="73"/>
        <v>3</v>
      </c>
      <c r="J1556" s="1492"/>
      <c r="K1556" s="1439"/>
      <c r="L1556" s="1439"/>
      <c r="M1556" s="1439"/>
      <c r="N1556" s="1439"/>
      <c r="O1556" s="1439"/>
      <c r="P1556" s="1439"/>
      <c r="Q1556" s="1439"/>
      <c r="R1556" s="1439"/>
      <c r="S1556" s="1439"/>
      <c r="T1556" s="1439"/>
      <c r="U1556" s="1439"/>
      <c r="V1556" s="1439"/>
      <c r="W1556" s="1439"/>
      <c r="X1556" s="1439"/>
      <c r="Y1556" s="1439"/>
      <c r="Z1556" s="1439"/>
      <c r="AA1556" s="1439"/>
      <c r="AB1556" s="1439"/>
      <c r="AC1556" s="1439"/>
      <c r="AD1556" s="1439"/>
      <c r="AE1556" s="1439"/>
      <c r="AF1556" s="1439"/>
      <c r="AG1556" s="1439"/>
    </row>
    <row r="1557" spans="1:33" ht="15.75" customHeight="1">
      <c r="A1557" s="1451"/>
      <c r="B1557" s="1456" t="s">
        <v>7232</v>
      </c>
      <c r="C1557" s="1484"/>
      <c r="D1557" s="1484"/>
      <c r="E1557" s="1484"/>
      <c r="F1557" s="1446"/>
      <c r="G1557" s="1446"/>
      <c r="H1557" s="1447"/>
      <c r="I1557" s="1494"/>
      <c r="J1557" s="1492"/>
      <c r="K1557" s="1439"/>
      <c r="L1557" s="1439"/>
      <c r="M1557" s="1439"/>
      <c r="N1557" s="1439"/>
      <c r="O1557" s="1439"/>
      <c r="P1557" s="1439"/>
      <c r="Q1557" s="1439"/>
      <c r="R1557" s="1439"/>
      <c r="S1557" s="1439"/>
      <c r="T1557" s="1439"/>
      <c r="U1557" s="1439"/>
      <c r="V1557" s="1439"/>
      <c r="W1557" s="1439"/>
      <c r="X1557" s="1439"/>
      <c r="Y1557" s="1439"/>
      <c r="Z1557" s="1439"/>
      <c r="AA1557" s="1439"/>
      <c r="AB1557" s="1439"/>
      <c r="AC1557" s="1439"/>
      <c r="AD1557" s="1439"/>
      <c r="AE1557" s="1439"/>
      <c r="AF1557" s="1439"/>
      <c r="AG1557" s="1439"/>
    </row>
    <row r="1558" spans="1:33" ht="15.75" customHeight="1">
      <c r="A1558" s="1451"/>
      <c r="B1558" s="1450" t="s">
        <v>7224</v>
      </c>
      <c r="C1558" s="1484">
        <v>1</v>
      </c>
      <c r="D1558" s="1484" t="s">
        <v>3364</v>
      </c>
      <c r="E1558" s="1484">
        <v>1</v>
      </c>
      <c r="F1558" s="1446"/>
      <c r="G1558" s="1446"/>
      <c r="H1558" s="1447"/>
      <c r="I1558" s="1494">
        <f t="shared" si="73"/>
        <v>1</v>
      </c>
      <c r="J1558" s="1492"/>
      <c r="K1558" s="1439"/>
      <c r="L1558" s="1439"/>
      <c r="M1558" s="1439"/>
      <c r="N1558" s="1439"/>
      <c r="O1558" s="1439"/>
      <c r="P1558" s="1439"/>
      <c r="Q1558" s="1439"/>
      <c r="R1558" s="1439"/>
      <c r="S1558" s="1439"/>
      <c r="T1558" s="1439"/>
      <c r="U1558" s="1439"/>
      <c r="V1558" s="1439"/>
      <c r="W1558" s="1439"/>
      <c r="X1558" s="1439"/>
      <c r="Y1558" s="1439"/>
      <c r="Z1558" s="1439"/>
      <c r="AA1558" s="1439"/>
      <c r="AB1558" s="1439"/>
      <c r="AC1558" s="1439"/>
      <c r="AD1558" s="1439"/>
      <c r="AE1558" s="1439"/>
      <c r="AF1558" s="1439"/>
      <c r="AG1558" s="1439"/>
    </row>
    <row r="1559" spans="1:33" ht="15.75" customHeight="1">
      <c r="A1559" s="1451"/>
      <c r="B1559" s="1450" t="s">
        <v>7221</v>
      </c>
      <c r="C1559" s="1484">
        <v>1</v>
      </c>
      <c r="D1559" s="1484" t="s">
        <v>3364</v>
      </c>
      <c r="E1559" s="1484">
        <v>3</v>
      </c>
      <c r="F1559" s="1446"/>
      <c r="G1559" s="1446"/>
      <c r="H1559" s="1447"/>
      <c r="I1559" s="1494">
        <f t="shared" si="73"/>
        <v>3</v>
      </c>
      <c r="J1559" s="1492"/>
      <c r="K1559" s="1439"/>
      <c r="L1559" s="1439"/>
      <c r="M1559" s="1439"/>
      <c r="N1559" s="1439"/>
      <c r="O1559" s="1439"/>
      <c r="P1559" s="1439"/>
      <c r="Q1559" s="1439"/>
      <c r="R1559" s="1439"/>
      <c r="S1559" s="1439"/>
      <c r="T1559" s="1439"/>
      <c r="U1559" s="1439"/>
      <c r="V1559" s="1439"/>
      <c r="W1559" s="1439"/>
      <c r="X1559" s="1439"/>
      <c r="Y1559" s="1439"/>
      <c r="Z1559" s="1439"/>
      <c r="AA1559" s="1439"/>
      <c r="AB1559" s="1439"/>
      <c r="AC1559" s="1439"/>
      <c r="AD1559" s="1439"/>
      <c r="AE1559" s="1439"/>
      <c r="AF1559" s="1439"/>
      <c r="AG1559" s="1439"/>
    </row>
    <row r="1560" spans="1:33" ht="15.75" customHeight="1">
      <c r="A1560" s="1451"/>
      <c r="B1560" s="1450" t="s">
        <v>7233</v>
      </c>
      <c r="C1560" s="1484">
        <v>1</v>
      </c>
      <c r="D1560" s="1484" t="s">
        <v>3364</v>
      </c>
      <c r="E1560" s="1484">
        <v>4</v>
      </c>
      <c r="F1560" s="1446"/>
      <c r="G1560" s="1446"/>
      <c r="H1560" s="1447"/>
      <c r="I1560" s="1494">
        <f t="shared" si="73"/>
        <v>4</v>
      </c>
      <c r="J1560" s="1492"/>
      <c r="K1560" s="1439"/>
      <c r="L1560" s="1439"/>
      <c r="M1560" s="1439"/>
      <c r="N1560" s="1439"/>
      <c r="O1560" s="1439"/>
      <c r="P1560" s="1439"/>
      <c r="Q1560" s="1439"/>
      <c r="R1560" s="1439"/>
      <c r="S1560" s="1439"/>
      <c r="T1560" s="1439"/>
      <c r="U1560" s="1439"/>
      <c r="V1560" s="1439"/>
      <c r="W1560" s="1439"/>
      <c r="X1560" s="1439"/>
      <c r="Y1560" s="1439"/>
      <c r="Z1560" s="1439"/>
      <c r="AA1560" s="1439"/>
      <c r="AB1560" s="1439"/>
      <c r="AC1560" s="1439"/>
      <c r="AD1560" s="1439"/>
      <c r="AE1560" s="1439"/>
      <c r="AF1560" s="1439"/>
      <c r="AG1560" s="1439"/>
    </row>
    <row r="1561" spans="1:33" ht="15.75" customHeight="1">
      <c r="A1561" s="1451"/>
      <c r="B1561" s="1450" t="s">
        <v>7231</v>
      </c>
      <c r="C1561" s="1484">
        <v>1</v>
      </c>
      <c r="D1561" s="1484" t="s">
        <v>3364</v>
      </c>
      <c r="E1561" s="1484">
        <v>2</v>
      </c>
      <c r="F1561" s="1446"/>
      <c r="G1561" s="1446"/>
      <c r="H1561" s="1447"/>
      <c r="I1561" s="1494">
        <f t="shared" si="73"/>
        <v>2</v>
      </c>
      <c r="J1561" s="1492"/>
      <c r="K1561" s="1439"/>
      <c r="L1561" s="1439"/>
      <c r="M1561" s="1439"/>
      <c r="N1561" s="1439"/>
      <c r="O1561" s="1439"/>
      <c r="P1561" s="1439"/>
      <c r="Q1561" s="1439"/>
      <c r="R1561" s="1439"/>
      <c r="S1561" s="1439"/>
      <c r="T1561" s="1439"/>
      <c r="U1561" s="1439"/>
      <c r="V1561" s="1439"/>
      <c r="W1561" s="1439"/>
      <c r="X1561" s="1439"/>
      <c r="Y1561" s="1439"/>
      <c r="Z1561" s="1439"/>
      <c r="AA1561" s="1439"/>
      <c r="AB1561" s="1439"/>
      <c r="AC1561" s="1439"/>
      <c r="AD1561" s="1439"/>
      <c r="AE1561" s="1439"/>
      <c r="AF1561" s="1439"/>
      <c r="AG1561" s="1439"/>
    </row>
    <row r="1562" spans="1:33" ht="15.75" customHeight="1">
      <c r="A1562" s="1451"/>
      <c r="B1562" s="1450" t="s">
        <v>6908</v>
      </c>
      <c r="C1562" s="1484">
        <v>1</v>
      </c>
      <c r="D1562" s="1484" t="s">
        <v>3364</v>
      </c>
      <c r="E1562" s="1484">
        <v>1</v>
      </c>
      <c r="F1562" s="1446"/>
      <c r="G1562" s="1446"/>
      <c r="H1562" s="1447"/>
      <c r="I1562" s="1494">
        <f t="shared" si="73"/>
        <v>1</v>
      </c>
      <c r="J1562" s="1492"/>
      <c r="K1562" s="1439"/>
      <c r="L1562" s="1439"/>
      <c r="M1562" s="1439"/>
      <c r="N1562" s="1439"/>
      <c r="O1562" s="1439"/>
      <c r="P1562" s="1439"/>
      <c r="Q1562" s="1439"/>
      <c r="R1562" s="1439"/>
      <c r="S1562" s="1439"/>
      <c r="T1562" s="1439"/>
      <c r="U1562" s="1439"/>
      <c r="V1562" s="1439"/>
      <c r="W1562" s="1439"/>
      <c r="X1562" s="1439"/>
      <c r="Y1562" s="1439"/>
      <c r="Z1562" s="1439"/>
      <c r="AA1562" s="1439"/>
      <c r="AB1562" s="1439"/>
      <c r="AC1562" s="1439"/>
      <c r="AD1562" s="1439"/>
      <c r="AE1562" s="1439"/>
      <c r="AF1562" s="1439"/>
      <c r="AG1562" s="1439"/>
    </row>
    <row r="1563" spans="1:33" ht="15.75" customHeight="1">
      <c r="A1563" s="1451"/>
      <c r="B1563" s="1450" t="s">
        <v>7138</v>
      </c>
      <c r="C1563" s="1484">
        <v>1</v>
      </c>
      <c r="D1563" s="1484" t="s">
        <v>3364</v>
      </c>
      <c r="E1563" s="1484">
        <v>4</v>
      </c>
      <c r="F1563" s="1446"/>
      <c r="G1563" s="1446"/>
      <c r="H1563" s="1447"/>
      <c r="I1563" s="1494">
        <f t="shared" si="73"/>
        <v>4</v>
      </c>
      <c r="J1563" s="1492"/>
      <c r="K1563" s="1439"/>
      <c r="L1563" s="1439"/>
      <c r="M1563" s="1439"/>
      <c r="N1563" s="1439"/>
      <c r="O1563" s="1439"/>
      <c r="P1563" s="1439"/>
      <c r="Q1563" s="1439"/>
      <c r="R1563" s="1439"/>
      <c r="S1563" s="1439"/>
      <c r="T1563" s="1439"/>
      <c r="U1563" s="1439"/>
      <c r="V1563" s="1439"/>
      <c r="W1563" s="1439"/>
      <c r="X1563" s="1439"/>
      <c r="Y1563" s="1439"/>
      <c r="Z1563" s="1439"/>
      <c r="AA1563" s="1439"/>
      <c r="AB1563" s="1439"/>
      <c r="AC1563" s="1439"/>
      <c r="AD1563" s="1439"/>
      <c r="AE1563" s="1439"/>
      <c r="AF1563" s="1439"/>
      <c r="AG1563" s="1439"/>
    </row>
    <row r="1564" spans="1:33" ht="15.75" customHeight="1">
      <c r="A1564" s="1451"/>
      <c r="B1564" s="1450" t="s">
        <v>6586</v>
      </c>
      <c r="C1564" s="1484">
        <v>1</v>
      </c>
      <c r="D1564" s="1484" t="s">
        <v>3364</v>
      </c>
      <c r="E1564" s="1484">
        <v>1</v>
      </c>
      <c r="F1564" s="1446"/>
      <c r="G1564" s="1446"/>
      <c r="H1564" s="1447"/>
      <c r="I1564" s="1494">
        <f t="shared" si="73"/>
        <v>1</v>
      </c>
      <c r="J1564" s="1492"/>
      <c r="K1564" s="1439"/>
      <c r="L1564" s="1439"/>
      <c r="M1564" s="1439"/>
      <c r="N1564" s="1439"/>
      <c r="O1564" s="1439"/>
      <c r="P1564" s="1439"/>
      <c r="Q1564" s="1439"/>
      <c r="R1564" s="1439"/>
      <c r="S1564" s="1439"/>
      <c r="T1564" s="1439"/>
      <c r="U1564" s="1439"/>
      <c r="V1564" s="1439"/>
      <c r="W1564" s="1439"/>
      <c r="X1564" s="1439"/>
      <c r="Y1564" s="1439"/>
      <c r="Z1564" s="1439"/>
      <c r="AA1564" s="1439"/>
      <c r="AB1564" s="1439"/>
      <c r="AC1564" s="1439"/>
      <c r="AD1564" s="1439"/>
      <c r="AE1564" s="1439"/>
      <c r="AF1564" s="1439"/>
      <c r="AG1564" s="1439"/>
    </row>
    <row r="1565" spans="1:33" ht="15.75" customHeight="1">
      <c r="A1565" s="1451"/>
      <c r="B1565" s="1450" t="s">
        <v>7234</v>
      </c>
      <c r="C1565" s="1484">
        <v>1</v>
      </c>
      <c r="D1565" s="1484" t="s">
        <v>3364</v>
      </c>
      <c r="E1565" s="1484">
        <v>4</v>
      </c>
      <c r="F1565" s="1446"/>
      <c r="G1565" s="1446"/>
      <c r="H1565" s="1447"/>
      <c r="I1565" s="1494">
        <f t="shared" si="73"/>
        <v>4</v>
      </c>
      <c r="J1565" s="1492"/>
      <c r="K1565" s="1439"/>
      <c r="L1565" s="1439"/>
      <c r="M1565" s="1439"/>
      <c r="N1565" s="1439"/>
      <c r="O1565" s="1439"/>
      <c r="P1565" s="1439"/>
      <c r="Q1565" s="1439"/>
      <c r="R1565" s="1439"/>
      <c r="S1565" s="1439"/>
      <c r="T1565" s="1439"/>
      <c r="U1565" s="1439"/>
      <c r="V1565" s="1439"/>
      <c r="W1565" s="1439"/>
      <c r="X1565" s="1439"/>
      <c r="Y1565" s="1439"/>
      <c r="Z1565" s="1439"/>
      <c r="AA1565" s="1439"/>
      <c r="AB1565" s="1439"/>
      <c r="AC1565" s="1439"/>
      <c r="AD1565" s="1439"/>
      <c r="AE1565" s="1439"/>
      <c r="AF1565" s="1439"/>
      <c r="AG1565" s="1439"/>
    </row>
    <row r="1566" spans="1:33" ht="15.75" customHeight="1">
      <c r="A1566" s="1451"/>
      <c r="B1566" s="1450" t="s">
        <v>7141</v>
      </c>
      <c r="C1566" s="1484">
        <v>1</v>
      </c>
      <c r="D1566" s="1484" t="s">
        <v>3364</v>
      </c>
      <c r="E1566" s="1484">
        <v>4</v>
      </c>
      <c r="F1566" s="1446"/>
      <c r="G1566" s="1446"/>
      <c r="H1566" s="1447"/>
      <c r="I1566" s="1494">
        <f t="shared" si="73"/>
        <v>4</v>
      </c>
      <c r="J1566" s="1492"/>
      <c r="K1566" s="1439"/>
      <c r="L1566" s="1439"/>
      <c r="M1566" s="1439"/>
      <c r="N1566" s="1439"/>
      <c r="O1566" s="1439"/>
      <c r="P1566" s="1439"/>
      <c r="Q1566" s="1439"/>
      <c r="R1566" s="1439"/>
      <c r="S1566" s="1439"/>
      <c r="T1566" s="1439"/>
      <c r="U1566" s="1439"/>
      <c r="V1566" s="1439"/>
      <c r="W1566" s="1439"/>
      <c r="X1566" s="1439"/>
      <c r="Y1566" s="1439"/>
      <c r="Z1566" s="1439"/>
      <c r="AA1566" s="1439"/>
      <c r="AB1566" s="1439"/>
      <c r="AC1566" s="1439"/>
      <c r="AD1566" s="1439"/>
      <c r="AE1566" s="1439"/>
      <c r="AF1566" s="1439"/>
      <c r="AG1566" s="1439"/>
    </row>
    <row r="1567" spans="1:33" ht="15.75" customHeight="1">
      <c r="A1567" s="1451"/>
      <c r="B1567" s="1450" t="s">
        <v>7235</v>
      </c>
      <c r="C1567" s="1484">
        <v>1</v>
      </c>
      <c r="D1567" s="1484" t="s">
        <v>3364</v>
      </c>
      <c r="E1567" s="1484">
        <v>3</v>
      </c>
      <c r="F1567" s="1446"/>
      <c r="G1567" s="1446"/>
      <c r="H1567" s="1447"/>
      <c r="I1567" s="1494">
        <f t="shared" si="73"/>
        <v>3</v>
      </c>
      <c r="J1567" s="1492"/>
      <c r="K1567" s="1439"/>
      <c r="L1567" s="1439"/>
      <c r="M1567" s="1439"/>
      <c r="N1567" s="1439"/>
      <c r="O1567" s="1439"/>
      <c r="P1567" s="1439"/>
      <c r="Q1567" s="1439"/>
      <c r="R1567" s="1439"/>
      <c r="S1567" s="1439"/>
      <c r="T1567" s="1439"/>
      <c r="U1567" s="1439"/>
      <c r="V1567" s="1439"/>
      <c r="W1567" s="1439"/>
      <c r="X1567" s="1439"/>
      <c r="Y1567" s="1439"/>
      <c r="Z1567" s="1439"/>
      <c r="AA1567" s="1439"/>
      <c r="AB1567" s="1439"/>
      <c r="AC1567" s="1439"/>
      <c r="AD1567" s="1439"/>
      <c r="AE1567" s="1439"/>
      <c r="AF1567" s="1439"/>
      <c r="AG1567" s="1439"/>
    </row>
    <row r="1568" spans="1:33" ht="15.75" customHeight="1">
      <c r="A1568" s="1451"/>
      <c r="B1568" s="1450" t="s">
        <v>7236</v>
      </c>
      <c r="C1568" s="1484">
        <v>1</v>
      </c>
      <c r="D1568" s="1484" t="s">
        <v>3364</v>
      </c>
      <c r="E1568" s="1484">
        <v>1</v>
      </c>
      <c r="F1568" s="1446"/>
      <c r="G1568" s="1446"/>
      <c r="H1568" s="1447"/>
      <c r="I1568" s="1494">
        <f t="shared" si="73"/>
        <v>1</v>
      </c>
      <c r="J1568" s="1492"/>
      <c r="K1568" s="1439"/>
      <c r="L1568" s="1439"/>
      <c r="M1568" s="1439"/>
      <c r="N1568" s="1439"/>
      <c r="O1568" s="1439"/>
      <c r="P1568" s="1439"/>
      <c r="Q1568" s="1439"/>
      <c r="R1568" s="1439"/>
      <c r="S1568" s="1439"/>
      <c r="T1568" s="1439"/>
      <c r="U1568" s="1439"/>
      <c r="V1568" s="1439"/>
      <c r="W1568" s="1439"/>
      <c r="X1568" s="1439"/>
      <c r="Y1568" s="1439"/>
      <c r="Z1568" s="1439"/>
      <c r="AA1568" s="1439"/>
      <c r="AB1568" s="1439"/>
      <c r="AC1568" s="1439"/>
      <c r="AD1568" s="1439"/>
      <c r="AE1568" s="1439"/>
      <c r="AF1568" s="1439"/>
      <c r="AG1568" s="1439"/>
    </row>
    <row r="1569" spans="1:33" ht="15.75" customHeight="1">
      <c r="A1569" s="1451"/>
      <c r="B1569" s="1450" t="s">
        <v>7237</v>
      </c>
      <c r="C1569" s="1484">
        <v>2</v>
      </c>
      <c r="D1569" s="1484" t="s">
        <v>3364</v>
      </c>
      <c r="E1569" s="1484">
        <v>2</v>
      </c>
      <c r="F1569" s="1446"/>
      <c r="G1569" s="1446"/>
      <c r="H1569" s="1447"/>
      <c r="I1569" s="1494">
        <f t="shared" si="73"/>
        <v>4</v>
      </c>
      <c r="J1569" s="1492"/>
      <c r="K1569" s="1439"/>
      <c r="L1569" s="1439"/>
      <c r="M1569" s="1439"/>
      <c r="N1569" s="1439"/>
      <c r="O1569" s="1439"/>
      <c r="P1569" s="1439"/>
      <c r="Q1569" s="1439"/>
      <c r="R1569" s="1439"/>
      <c r="S1569" s="1439"/>
      <c r="T1569" s="1439"/>
      <c r="U1569" s="1439"/>
      <c r="V1569" s="1439"/>
      <c r="W1569" s="1439"/>
      <c r="X1569" s="1439"/>
      <c r="Y1569" s="1439"/>
      <c r="Z1569" s="1439"/>
      <c r="AA1569" s="1439"/>
      <c r="AB1569" s="1439"/>
      <c r="AC1569" s="1439"/>
      <c r="AD1569" s="1439"/>
      <c r="AE1569" s="1439"/>
      <c r="AF1569" s="1439"/>
      <c r="AG1569" s="1439"/>
    </row>
    <row r="1570" spans="1:33" ht="15.75" customHeight="1">
      <c r="A1570" s="1451"/>
      <c r="B1570" s="1450" t="s">
        <v>6586</v>
      </c>
      <c r="C1570" s="1484">
        <v>1</v>
      </c>
      <c r="D1570" s="1484" t="s">
        <v>3364</v>
      </c>
      <c r="E1570" s="1484">
        <v>1</v>
      </c>
      <c r="F1570" s="1446"/>
      <c r="G1570" s="1446"/>
      <c r="H1570" s="1447"/>
      <c r="I1570" s="1494">
        <f t="shared" si="73"/>
        <v>1</v>
      </c>
      <c r="J1570" s="1492"/>
      <c r="K1570" s="1439"/>
      <c r="L1570" s="1439"/>
      <c r="M1570" s="1439"/>
      <c r="N1570" s="1439"/>
      <c r="O1570" s="1439"/>
      <c r="P1570" s="1439"/>
      <c r="Q1570" s="1439"/>
      <c r="R1570" s="1439"/>
      <c r="S1570" s="1439"/>
      <c r="T1570" s="1439"/>
      <c r="U1570" s="1439"/>
      <c r="V1570" s="1439"/>
      <c r="W1570" s="1439"/>
      <c r="X1570" s="1439"/>
      <c r="Y1570" s="1439"/>
      <c r="Z1570" s="1439"/>
      <c r="AA1570" s="1439"/>
      <c r="AB1570" s="1439"/>
      <c r="AC1570" s="1439"/>
      <c r="AD1570" s="1439"/>
      <c r="AE1570" s="1439"/>
      <c r="AF1570" s="1439"/>
      <c r="AG1570" s="1439"/>
    </row>
    <row r="1571" spans="1:33" ht="15.75" customHeight="1">
      <c r="A1571" s="1451"/>
      <c r="B1571" s="1450" t="s">
        <v>7238</v>
      </c>
      <c r="C1571" s="1484">
        <v>1</v>
      </c>
      <c r="D1571" s="1484" t="s">
        <v>3364</v>
      </c>
      <c r="E1571" s="1484">
        <v>3</v>
      </c>
      <c r="F1571" s="1446"/>
      <c r="G1571" s="1446"/>
      <c r="H1571" s="1447"/>
      <c r="I1571" s="1494">
        <f t="shared" si="73"/>
        <v>3</v>
      </c>
      <c r="J1571" s="1492"/>
      <c r="K1571" s="1439"/>
      <c r="L1571" s="1439"/>
      <c r="M1571" s="1439"/>
      <c r="N1571" s="1439"/>
      <c r="O1571" s="1439"/>
      <c r="P1571" s="1439"/>
      <c r="Q1571" s="1439"/>
      <c r="R1571" s="1439"/>
      <c r="S1571" s="1439"/>
      <c r="T1571" s="1439"/>
      <c r="U1571" s="1439"/>
      <c r="V1571" s="1439"/>
      <c r="W1571" s="1439"/>
      <c r="X1571" s="1439"/>
      <c r="Y1571" s="1439"/>
      <c r="Z1571" s="1439"/>
      <c r="AA1571" s="1439"/>
      <c r="AB1571" s="1439"/>
      <c r="AC1571" s="1439"/>
      <c r="AD1571" s="1439"/>
      <c r="AE1571" s="1439"/>
      <c r="AF1571" s="1439"/>
      <c r="AG1571" s="1439"/>
    </row>
    <row r="1572" spans="1:33" ht="15.75" customHeight="1">
      <c r="A1572" s="1451"/>
      <c r="B1572" s="1450" t="s">
        <v>7239</v>
      </c>
      <c r="C1572" s="1484">
        <v>1</v>
      </c>
      <c r="D1572" s="1484" t="s">
        <v>3364</v>
      </c>
      <c r="E1572" s="1484">
        <v>2</v>
      </c>
      <c r="F1572" s="1446"/>
      <c r="G1572" s="1446"/>
      <c r="H1572" s="1447"/>
      <c r="I1572" s="1494">
        <f t="shared" si="73"/>
        <v>2</v>
      </c>
      <c r="J1572" s="1492"/>
      <c r="K1572" s="1439"/>
      <c r="L1572" s="1439"/>
      <c r="M1572" s="1439"/>
      <c r="N1572" s="1439"/>
      <c r="O1572" s="1439"/>
      <c r="P1572" s="1439"/>
      <c r="Q1572" s="1439"/>
      <c r="R1572" s="1439"/>
      <c r="S1572" s="1439"/>
      <c r="T1572" s="1439"/>
      <c r="U1572" s="1439"/>
      <c r="V1572" s="1439"/>
      <c r="W1572" s="1439"/>
      <c r="X1572" s="1439"/>
      <c r="Y1572" s="1439"/>
      <c r="Z1572" s="1439"/>
      <c r="AA1572" s="1439"/>
      <c r="AB1572" s="1439"/>
      <c r="AC1572" s="1439"/>
      <c r="AD1572" s="1439"/>
      <c r="AE1572" s="1439"/>
      <c r="AF1572" s="1439"/>
      <c r="AG1572" s="1439"/>
    </row>
    <row r="1573" spans="1:33" ht="15.75" customHeight="1">
      <c r="A1573" s="1451"/>
      <c r="B1573" s="1456" t="s">
        <v>7240</v>
      </c>
      <c r="C1573" s="1484"/>
      <c r="D1573" s="1484"/>
      <c r="E1573" s="1484"/>
      <c r="F1573" s="1446"/>
      <c r="G1573" s="1446"/>
      <c r="H1573" s="1447"/>
      <c r="I1573" s="1494"/>
      <c r="J1573" s="1492"/>
      <c r="K1573" s="1439"/>
      <c r="L1573" s="1439"/>
      <c r="M1573" s="1439"/>
      <c r="N1573" s="1439"/>
      <c r="O1573" s="1439"/>
      <c r="P1573" s="1439"/>
      <c r="Q1573" s="1439"/>
      <c r="R1573" s="1439"/>
      <c r="S1573" s="1439"/>
      <c r="T1573" s="1439"/>
      <c r="U1573" s="1439"/>
      <c r="V1573" s="1439"/>
      <c r="W1573" s="1439"/>
      <c r="X1573" s="1439"/>
      <c r="Y1573" s="1439"/>
      <c r="Z1573" s="1439"/>
      <c r="AA1573" s="1439"/>
      <c r="AB1573" s="1439"/>
      <c r="AC1573" s="1439"/>
      <c r="AD1573" s="1439"/>
      <c r="AE1573" s="1439"/>
      <c r="AF1573" s="1439"/>
      <c r="AG1573" s="1439"/>
    </row>
    <row r="1574" spans="1:33" ht="15.75" customHeight="1">
      <c r="A1574" s="1451"/>
      <c r="B1574" s="1450" t="s">
        <v>7224</v>
      </c>
      <c r="C1574" s="1484">
        <v>1</v>
      </c>
      <c r="D1574" s="1484" t="s">
        <v>3364</v>
      </c>
      <c r="E1574" s="1484">
        <v>1</v>
      </c>
      <c r="F1574" s="1446"/>
      <c r="G1574" s="1446"/>
      <c r="H1574" s="1447"/>
      <c r="I1574" s="1494">
        <f t="shared" si="73"/>
        <v>1</v>
      </c>
      <c r="J1574" s="1492"/>
      <c r="K1574" s="1439"/>
      <c r="L1574" s="1439"/>
      <c r="M1574" s="1439"/>
      <c r="N1574" s="1439"/>
      <c r="O1574" s="1439"/>
      <c r="P1574" s="1439"/>
      <c r="Q1574" s="1439"/>
      <c r="R1574" s="1439"/>
      <c r="S1574" s="1439"/>
      <c r="T1574" s="1439"/>
      <c r="U1574" s="1439"/>
      <c r="V1574" s="1439"/>
      <c r="W1574" s="1439"/>
      <c r="X1574" s="1439"/>
      <c r="Y1574" s="1439"/>
      <c r="Z1574" s="1439"/>
      <c r="AA1574" s="1439"/>
      <c r="AB1574" s="1439"/>
      <c r="AC1574" s="1439"/>
      <c r="AD1574" s="1439"/>
      <c r="AE1574" s="1439"/>
      <c r="AF1574" s="1439"/>
      <c r="AG1574" s="1439"/>
    </row>
    <row r="1575" spans="1:33" ht="15.75" customHeight="1">
      <c r="A1575" s="1451"/>
      <c r="B1575" s="1450" t="s">
        <v>7221</v>
      </c>
      <c r="C1575" s="1484">
        <v>1</v>
      </c>
      <c r="D1575" s="1484" t="s">
        <v>3364</v>
      </c>
      <c r="E1575" s="1484">
        <v>3</v>
      </c>
      <c r="F1575" s="1446"/>
      <c r="G1575" s="1446"/>
      <c r="H1575" s="1447"/>
      <c r="I1575" s="1494">
        <f t="shared" si="73"/>
        <v>3</v>
      </c>
      <c r="J1575" s="1492"/>
      <c r="K1575" s="1439"/>
      <c r="L1575" s="1439"/>
      <c r="M1575" s="1439"/>
      <c r="N1575" s="1439"/>
      <c r="O1575" s="1439"/>
      <c r="P1575" s="1439"/>
      <c r="Q1575" s="1439"/>
      <c r="R1575" s="1439"/>
      <c r="S1575" s="1439"/>
      <c r="T1575" s="1439"/>
      <c r="U1575" s="1439"/>
      <c r="V1575" s="1439"/>
      <c r="W1575" s="1439"/>
      <c r="X1575" s="1439"/>
      <c r="Y1575" s="1439"/>
      <c r="Z1575" s="1439"/>
      <c r="AA1575" s="1439"/>
      <c r="AB1575" s="1439"/>
      <c r="AC1575" s="1439"/>
      <c r="AD1575" s="1439"/>
      <c r="AE1575" s="1439"/>
      <c r="AF1575" s="1439"/>
      <c r="AG1575" s="1439"/>
    </row>
    <row r="1576" spans="1:33" ht="15.75" customHeight="1">
      <c r="A1576" s="1451"/>
      <c r="B1576" s="1450" t="s">
        <v>7233</v>
      </c>
      <c r="C1576" s="1484">
        <v>1</v>
      </c>
      <c r="D1576" s="1484" t="s">
        <v>3364</v>
      </c>
      <c r="E1576" s="1484">
        <v>4</v>
      </c>
      <c r="F1576" s="1446"/>
      <c r="G1576" s="1446"/>
      <c r="H1576" s="1447"/>
      <c r="I1576" s="1494">
        <f t="shared" si="73"/>
        <v>4</v>
      </c>
      <c r="J1576" s="1492"/>
      <c r="K1576" s="1439"/>
      <c r="L1576" s="1439"/>
      <c r="M1576" s="1439"/>
      <c r="N1576" s="1439"/>
      <c r="O1576" s="1439"/>
      <c r="P1576" s="1439"/>
      <c r="Q1576" s="1439"/>
      <c r="R1576" s="1439"/>
      <c r="S1576" s="1439"/>
      <c r="T1576" s="1439"/>
      <c r="U1576" s="1439"/>
      <c r="V1576" s="1439"/>
      <c r="W1576" s="1439"/>
      <c r="X1576" s="1439"/>
      <c r="Y1576" s="1439"/>
      <c r="Z1576" s="1439"/>
      <c r="AA1576" s="1439"/>
      <c r="AB1576" s="1439"/>
      <c r="AC1576" s="1439"/>
      <c r="AD1576" s="1439"/>
      <c r="AE1576" s="1439"/>
      <c r="AF1576" s="1439"/>
      <c r="AG1576" s="1439"/>
    </row>
    <row r="1577" spans="1:33" ht="15.75" customHeight="1">
      <c r="A1577" s="1451"/>
      <c r="B1577" s="1450" t="s">
        <v>7231</v>
      </c>
      <c r="C1577" s="1484">
        <v>1</v>
      </c>
      <c r="D1577" s="1484" t="s">
        <v>3364</v>
      </c>
      <c r="E1577" s="1484">
        <v>2</v>
      </c>
      <c r="F1577" s="1446"/>
      <c r="G1577" s="1446"/>
      <c r="H1577" s="1447"/>
      <c r="I1577" s="1494">
        <f t="shared" si="73"/>
        <v>2</v>
      </c>
      <c r="J1577" s="1492"/>
      <c r="K1577" s="1439"/>
      <c r="L1577" s="1439"/>
      <c r="M1577" s="1439"/>
      <c r="N1577" s="1439"/>
      <c r="O1577" s="1439"/>
      <c r="P1577" s="1439"/>
      <c r="Q1577" s="1439"/>
      <c r="R1577" s="1439"/>
      <c r="S1577" s="1439"/>
      <c r="T1577" s="1439"/>
      <c r="U1577" s="1439"/>
      <c r="V1577" s="1439"/>
      <c r="W1577" s="1439"/>
      <c r="X1577" s="1439"/>
      <c r="Y1577" s="1439"/>
      <c r="Z1577" s="1439"/>
      <c r="AA1577" s="1439"/>
      <c r="AB1577" s="1439"/>
      <c r="AC1577" s="1439"/>
      <c r="AD1577" s="1439"/>
      <c r="AE1577" s="1439"/>
      <c r="AF1577" s="1439"/>
      <c r="AG1577" s="1439"/>
    </row>
    <row r="1578" spans="1:33" ht="15.75" customHeight="1">
      <c r="A1578" s="1451"/>
      <c r="B1578" s="1450" t="s">
        <v>6908</v>
      </c>
      <c r="C1578" s="1484">
        <v>1</v>
      </c>
      <c r="D1578" s="1484" t="s">
        <v>3364</v>
      </c>
      <c r="E1578" s="1484">
        <v>1</v>
      </c>
      <c r="F1578" s="1446"/>
      <c r="G1578" s="1446"/>
      <c r="H1578" s="1447"/>
      <c r="I1578" s="1494">
        <f t="shared" si="73"/>
        <v>1</v>
      </c>
      <c r="J1578" s="1492"/>
      <c r="K1578" s="1439"/>
      <c r="L1578" s="1439"/>
      <c r="M1578" s="1439"/>
      <c r="N1578" s="1439"/>
      <c r="O1578" s="1439"/>
      <c r="P1578" s="1439"/>
      <c r="Q1578" s="1439"/>
      <c r="R1578" s="1439"/>
      <c r="S1578" s="1439"/>
      <c r="T1578" s="1439"/>
      <c r="U1578" s="1439"/>
      <c r="V1578" s="1439"/>
      <c r="W1578" s="1439"/>
      <c r="X1578" s="1439"/>
      <c r="Y1578" s="1439"/>
      <c r="Z1578" s="1439"/>
      <c r="AA1578" s="1439"/>
      <c r="AB1578" s="1439"/>
      <c r="AC1578" s="1439"/>
      <c r="AD1578" s="1439"/>
      <c r="AE1578" s="1439"/>
      <c r="AF1578" s="1439"/>
      <c r="AG1578" s="1439"/>
    </row>
    <row r="1579" spans="1:33" ht="15.75" customHeight="1">
      <c r="A1579" s="1451"/>
      <c r="B1579" s="1450" t="s">
        <v>7138</v>
      </c>
      <c r="C1579" s="1484">
        <v>1</v>
      </c>
      <c r="D1579" s="1484" t="s">
        <v>3364</v>
      </c>
      <c r="E1579" s="1484">
        <v>5</v>
      </c>
      <c r="F1579" s="1446"/>
      <c r="G1579" s="1446"/>
      <c r="H1579" s="1447"/>
      <c r="I1579" s="1494">
        <f t="shared" si="73"/>
        <v>5</v>
      </c>
      <c r="J1579" s="1492"/>
      <c r="K1579" s="1439"/>
      <c r="L1579" s="1439"/>
      <c r="M1579" s="1439"/>
      <c r="N1579" s="1439"/>
      <c r="O1579" s="1439"/>
      <c r="P1579" s="1439"/>
      <c r="Q1579" s="1439"/>
      <c r="R1579" s="1439"/>
      <c r="S1579" s="1439"/>
      <c r="T1579" s="1439"/>
      <c r="U1579" s="1439"/>
      <c r="V1579" s="1439"/>
      <c r="W1579" s="1439"/>
      <c r="X1579" s="1439"/>
      <c r="Y1579" s="1439"/>
      <c r="Z1579" s="1439"/>
      <c r="AA1579" s="1439"/>
      <c r="AB1579" s="1439"/>
      <c r="AC1579" s="1439"/>
      <c r="AD1579" s="1439"/>
      <c r="AE1579" s="1439"/>
      <c r="AF1579" s="1439"/>
      <c r="AG1579" s="1439"/>
    </row>
    <row r="1580" spans="1:33" ht="15.75" customHeight="1">
      <c r="A1580" s="1451"/>
      <c r="B1580" s="1450" t="s">
        <v>6586</v>
      </c>
      <c r="C1580" s="1484">
        <v>2</v>
      </c>
      <c r="D1580" s="1484" t="s">
        <v>3364</v>
      </c>
      <c r="E1580" s="1484">
        <v>1</v>
      </c>
      <c r="F1580" s="1446"/>
      <c r="G1580" s="1446"/>
      <c r="H1580" s="1447"/>
      <c r="I1580" s="1494">
        <f t="shared" si="73"/>
        <v>2</v>
      </c>
      <c r="J1580" s="1492"/>
      <c r="K1580" s="1439"/>
      <c r="L1580" s="1439"/>
      <c r="M1580" s="1439"/>
      <c r="N1580" s="1439"/>
      <c r="O1580" s="1439"/>
      <c r="P1580" s="1439"/>
      <c r="Q1580" s="1439"/>
      <c r="R1580" s="1439"/>
      <c r="S1580" s="1439"/>
      <c r="T1580" s="1439"/>
      <c r="U1580" s="1439"/>
      <c r="V1580" s="1439"/>
      <c r="W1580" s="1439"/>
      <c r="X1580" s="1439"/>
      <c r="Y1580" s="1439"/>
      <c r="Z1580" s="1439"/>
      <c r="AA1580" s="1439"/>
      <c r="AB1580" s="1439"/>
      <c r="AC1580" s="1439"/>
      <c r="AD1580" s="1439"/>
      <c r="AE1580" s="1439"/>
      <c r="AF1580" s="1439"/>
      <c r="AG1580" s="1439"/>
    </row>
    <row r="1581" spans="1:33" ht="15.75" customHeight="1">
      <c r="A1581" s="1451"/>
      <c r="B1581" s="1450" t="s">
        <v>7241</v>
      </c>
      <c r="C1581" s="1484">
        <v>1</v>
      </c>
      <c r="D1581" s="1484" t="s">
        <v>3364</v>
      </c>
      <c r="E1581" s="1484">
        <v>3</v>
      </c>
      <c r="F1581" s="1446"/>
      <c r="G1581" s="1446"/>
      <c r="H1581" s="1447"/>
      <c r="I1581" s="1494">
        <f t="shared" si="73"/>
        <v>3</v>
      </c>
      <c r="J1581" s="1492"/>
      <c r="K1581" s="1439"/>
      <c r="L1581" s="1439"/>
      <c r="M1581" s="1439"/>
      <c r="N1581" s="1439"/>
      <c r="O1581" s="1439"/>
      <c r="P1581" s="1439"/>
      <c r="Q1581" s="1439"/>
      <c r="R1581" s="1439"/>
      <c r="S1581" s="1439"/>
      <c r="T1581" s="1439"/>
      <c r="U1581" s="1439"/>
      <c r="V1581" s="1439"/>
      <c r="W1581" s="1439"/>
      <c r="X1581" s="1439"/>
      <c r="Y1581" s="1439"/>
      <c r="Z1581" s="1439"/>
      <c r="AA1581" s="1439"/>
      <c r="AB1581" s="1439"/>
      <c r="AC1581" s="1439"/>
      <c r="AD1581" s="1439"/>
      <c r="AE1581" s="1439"/>
      <c r="AF1581" s="1439"/>
      <c r="AG1581" s="1439"/>
    </row>
    <row r="1582" spans="1:33" ht="15.75" customHeight="1">
      <c r="A1582" s="1451"/>
      <c r="B1582" s="1450" t="s">
        <v>7235</v>
      </c>
      <c r="C1582" s="1484">
        <v>1</v>
      </c>
      <c r="D1582" s="1484" t="s">
        <v>3364</v>
      </c>
      <c r="E1582" s="1484">
        <v>4</v>
      </c>
      <c r="F1582" s="1446"/>
      <c r="G1582" s="1446"/>
      <c r="H1582" s="1447"/>
      <c r="I1582" s="1494">
        <f t="shared" si="73"/>
        <v>4</v>
      </c>
      <c r="J1582" s="1492"/>
      <c r="K1582" s="1439"/>
      <c r="L1582" s="1439"/>
      <c r="M1582" s="1439"/>
      <c r="N1582" s="1439"/>
      <c r="O1582" s="1439"/>
      <c r="P1582" s="1439"/>
      <c r="Q1582" s="1439"/>
      <c r="R1582" s="1439"/>
      <c r="S1582" s="1439"/>
      <c r="T1582" s="1439"/>
      <c r="U1582" s="1439"/>
      <c r="V1582" s="1439"/>
      <c r="W1582" s="1439"/>
      <c r="X1582" s="1439"/>
      <c r="Y1582" s="1439"/>
      <c r="Z1582" s="1439"/>
      <c r="AA1582" s="1439"/>
      <c r="AB1582" s="1439"/>
      <c r="AC1582" s="1439"/>
      <c r="AD1582" s="1439"/>
      <c r="AE1582" s="1439"/>
      <c r="AF1582" s="1439"/>
      <c r="AG1582" s="1439"/>
    </row>
    <row r="1583" spans="1:33" ht="15.75" customHeight="1">
      <c r="A1583" s="1451"/>
      <c r="B1583" s="1450" t="s">
        <v>7236</v>
      </c>
      <c r="C1583" s="1484">
        <v>1</v>
      </c>
      <c r="D1583" s="1484" t="s">
        <v>3364</v>
      </c>
      <c r="E1583" s="1484">
        <v>3</v>
      </c>
      <c r="F1583" s="1446"/>
      <c r="G1583" s="1446"/>
      <c r="H1583" s="1447"/>
      <c r="I1583" s="1494">
        <f t="shared" si="73"/>
        <v>3</v>
      </c>
      <c r="J1583" s="1492"/>
      <c r="K1583" s="1439"/>
      <c r="L1583" s="1439"/>
      <c r="M1583" s="1439"/>
      <c r="N1583" s="1439"/>
      <c r="O1583" s="1439"/>
      <c r="P1583" s="1439"/>
      <c r="Q1583" s="1439"/>
      <c r="R1583" s="1439"/>
      <c r="S1583" s="1439"/>
      <c r="T1583" s="1439"/>
      <c r="U1583" s="1439"/>
      <c r="V1583" s="1439"/>
      <c r="W1583" s="1439"/>
      <c r="X1583" s="1439"/>
      <c r="Y1583" s="1439"/>
      <c r="Z1583" s="1439"/>
      <c r="AA1583" s="1439"/>
      <c r="AB1583" s="1439"/>
      <c r="AC1583" s="1439"/>
      <c r="AD1583" s="1439"/>
      <c r="AE1583" s="1439"/>
      <c r="AF1583" s="1439"/>
      <c r="AG1583" s="1439"/>
    </row>
    <row r="1584" spans="1:33" ht="15.75" customHeight="1">
      <c r="A1584" s="1451"/>
      <c r="B1584" s="1450" t="s">
        <v>7237</v>
      </c>
      <c r="C1584" s="1484">
        <v>2</v>
      </c>
      <c r="D1584" s="1484" t="s">
        <v>3364</v>
      </c>
      <c r="E1584" s="1484">
        <v>1</v>
      </c>
      <c r="F1584" s="1446"/>
      <c r="G1584" s="1446"/>
      <c r="H1584" s="1447"/>
      <c r="I1584" s="1494">
        <f t="shared" si="73"/>
        <v>2</v>
      </c>
      <c r="J1584" s="1492"/>
      <c r="K1584" s="1439"/>
      <c r="L1584" s="1439"/>
      <c r="M1584" s="1439"/>
      <c r="N1584" s="1439"/>
      <c r="O1584" s="1439"/>
      <c r="P1584" s="1439"/>
      <c r="Q1584" s="1439"/>
      <c r="R1584" s="1439"/>
      <c r="S1584" s="1439"/>
      <c r="T1584" s="1439"/>
      <c r="U1584" s="1439"/>
      <c r="V1584" s="1439"/>
      <c r="W1584" s="1439"/>
      <c r="X1584" s="1439"/>
      <c r="Y1584" s="1439"/>
      <c r="Z1584" s="1439"/>
      <c r="AA1584" s="1439"/>
      <c r="AB1584" s="1439"/>
      <c r="AC1584" s="1439"/>
      <c r="AD1584" s="1439"/>
      <c r="AE1584" s="1439"/>
      <c r="AF1584" s="1439"/>
      <c r="AG1584" s="1439"/>
    </row>
    <row r="1585" spans="1:33" ht="15.75" customHeight="1">
      <c r="A1585" s="1451"/>
      <c r="B1585" s="1450" t="s">
        <v>6586</v>
      </c>
      <c r="C1585" s="1484">
        <v>1</v>
      </c>
      <c r="D1585" s="1484" t="s">
        <v>3364</v>
      </c>
      <c r="E1585" s="1484">
        <v>2</v>
      </c>
      <c r="F1585" s="1446"/>
      <c r="G1585" s="1446"/>
      <c r="H1585" s="1447"/>
      <c r="I1585" s="1494">
        <f t="shared" si="73"/>
        <v>2</v>
      </c>
      <c r="J1585" s="1492"/>
      <c r="K1585" s="1439"/>
      <c r="L1585" s="1439"/>
      <c r="M1585" s="1439"/>
      <c r="N1585" s="1439"/>
      <c r="O1585" s="1439"/>
      <c r="P1585" s="1439"/>
      <c r="Q1585" s="1439"/>
      <c r="R1585" s="1439"/>
      <c r="S1585" s="1439"/>
      <c r="T1585" s="1439"/>
      <c r="U1585" s="1439"/>
      <c r="V1585" s="1439"/>
      <c r="W1585" s="1439"/>
      <c r="X1585" s="1439"/>
      <c r="Y1585" s="1439"/>
      <c r="Z1585" s="1439"/>
      <c r="AA1585" s="1439"/>
      <c r="AB1585" s="1439"/>
      <c r="AC1585" s="1439"/>
      <c r="AD1585" s="1439"/>
      <c r="AE1585" s="1439"/>
      <c r="AF1585" s="1439"/>
      <c r="AG1585" s="1439"/>
    </row>
    <row r="1586" spans="1:33" ht="15.75" customHeight="1">
      <c r="A1586" s="1451"/>
      <c r="B1586" s="1450" t="s">
        <v>7238</v>
      </c>
      <c r="C1586" s="1484">
        <v>1</v>
      </c>
      <c r="D1586" s="1484" t="s">
        <v>3364</v>
      </c>
      <c r="E1586" s="1484">
        <v>3</v>
      </c>
      <c r="F1586" s="1446"/>
      <c r="G1586" s="1446"/>
      <c r="H1586" s="1447"/>
      <c r="I1586" s="1494">
        <f t="shared" si="73"/>
        <v>3</v>
      </c>
      <c r="J1586" s="1492"/>
      <c r="K1586" s="1439"/>
      <c r="L1586" s="1439"/>
      <c r="M1586" s="1439"/>
      <c r="N1586" s="1439"/>
      <c r="O1586" s="1439"/>
      <c r="P1586" s="1439"/>
      <c r="Q1586" s="1439"/>
      <c r="R1586" s="1439"/>
      <c r="S1586" s="1439"/>
      <c r="T1586" s="1439"/>
      <c r="U1586" s="1439"/>
      <c r="V1586" s="1439"/>
      <c r="W1586" s="1439"/>
      <c r="X1586" s="1439"/>
      <c r="Y1586" s="1439"/>
      <c r="Z1586" s="1439"/>
      <c r="AA1586" s="1439"/>
      <c r="AB1586" s="1439"/>
      <c r="AC1586" s="1439"/>
      <c r="AD1586" s="1439"/>
      <c r="AE1586" s="1439"/>
      <c r="AF1586" s="1439"/>
      <c r="AG1586" s="1439"/>
    </row>
    <row r="1587" spans="1:33" ht="15.75" customHeight="1">
      <c r="A1587" s="1451"/>
      <c r="B1587" s="1450" t="s">
        <v>7239</v>
      </c>
      <c r="C1587" s="1484">
        <v>1</v>
      </c>
      <c r="D1587" s="1484" t="s">
        <v>3364</v>
      </c>
      <c r="E1587" s="1484">
        <v>2</v>
      </c>
      <c r="F1587" s="1446"/>
      <c r="G1587" s="1446"/>
      <c r="H1587" s="1447"/>
      <c r="I1587" s="1494">
        <f t="shared" si="73"/>
        <v>2</v>
      </c>
      <c r="J1587" s="1492"/>
      <c r="K1587" s="1439"/>
      <c r="L1587" s="1439"/>
      <c r="M1587" s="1439"/>
      <c r="N1587" s="1439"/>
      <c r="O1587" s="1439"/>
      <c r="P1587" s="1439"/>
      <c r="Q1587" s="1439"/>
      <c r="R1587" s="1439"/>
      <c r="S1587" s="1439"/>
      <c r="T1587" s="1439"/>
      <c r="U1587" s="1439"/>
      <c r="V1587" s="1439"/>
      <c r="W1587" s="1439"/>
      <c r="X1587" s="1439"/>
      <c r="Y1587" s="1439"/>
      <c r="Z1587" s="1439"/>
      <c r="AA1587" s="1439"/>
      <c r="AB1587" s="1439"/>
      <c r="AC1587" s="1439"/>
      <c r="AD1587" s="1439"/>
      <c r="AE1587" s="1439"/>
      <c r="AF1587" s="1439"/>
      <c r="AG1587" s="1439"/>
    </row>
    <row r="1588" spans="1:33" ht="15.75" customHeight="1">
      <c r="A1588" s="1470"/>
      <c r="B1588" s="1450"/>
      <c r="C1588" s="1484"/>
      <c r="D1588" s="1484"/>
      <c r="E1588" s="1484"/>
      <c r="F1588" s="1446"/>
      <c r="G1588" s="1458" t="s">
        <v>104</v>
      </c>
      <c r="H1588" s="1447"/>
      <c r="I1588" s="1459">
        <f>SUM(I1529:I1587)</f>
        <v>144</v>
      </c>
      <c r="J1588" s="1475" t="s">
        <v>3471</v>
      </c>
      <c r="K1588" s="1439"/>
      <c r="L1588" s="1439"/>
      <c r="M1588" s="1439"/>
      <c r="N1588" s="1439"/>
      <c r="O1588" s="1439"/>
      <c r="P1588" s="1439"/>
      <c r="Q1588" s="1439"/>
      <c r="R1588" s="1439"/>
      <c r="S1588" s="1439"/>
      <c r="T1588" s="1439"/>
      <c r="U1588" s="1439"/>
      <c r="V1588" s="1439"/>
      <c r="W1588" s="1439"/>
      <c r="X1588" s="1439"/>
      <c r="Y1588" s="1439"/>
      <c r="Z1588" s="1439"/>
      <c r="AA1588" s="1439"/>
      <c r="AB1588" s="1439"/>
      <c r="AC1588" s="1439"/>
      <c r="AD1588" s="1439"/>
      <c r="AE1588" s="1439"/>
      <c r="AF1588" s="1439"/>
      <c r="AG1588" s="1439"/>
    </row>
    <row r="1589" spans="1:33" ht="94.5">
      <c r="A1589" s="1451">
        <v>68.2</v>
      </c>
      <c r="B1589" s="1480" t="s">
        <v>7246</v>
      </c>
      <c r="C1589" s="1484"/>
      <c r="D1589" s="1484"/>
      <c r="E1589" s="1484"/>
      <c r="F1589" s="1446"/>
      <c r="G1589" s="1446"/>
      <c r="H1589" s="1447"/>
      <c r="I1589" s="1448"/>
      <c r="J1589" s="1475"/>
      <c r="K1589" s="1439"/>
      <c r="L1589" s="1439"/>
      <c r="M1589" s="1439"/>
      <c r="N1589" s="1439"/>
      <c r="O1589" s="1439"/>
      <c r="P1589" s="1439"/>
      <c r="Q1589" s="1439"/>
      <c r="R1589" s="1439"/>
      <c r="S1589" s="1439"/>
      <c r="T1589" s="1439"/>
      <c r="U1589" s="1439"/>
      <c r="V1589" s="1439"/>
      <c r="W1589" s="1439"/>
      <c r="X1589" s="1439"/>
      <c r="Y1589" s="1439"/>
      <c r="Z1589" s="1439"/>
      <c r="AA1589" s="1439"/>
      <c r="AB1589" s="1439"/>
      <c r="AC1589" s="1439"/>
      <c r="AD1589" s="1439"/>
      <c r="AE1589" s="1439"/>
      <c r="AF1589" s="1439"/>
      <c r="AG1589" s="1439"/>
    </row>
    <row r="1590" spans="1:33" ht="15.75" customHeight="1">
      <c r="A1590" s="1451"/>
      <c r="B1590" s="1456" t="s">
        <v>7157</v>
      </c>
      <c r="C1590" s="1484"/>
      <c r="D1590" s="1484"/>
      <c r="E1590" s="1484"/>
      <c r="F1590" s="1446"/>
      <c r="G1590" s="1446"/>
      <c r="H1590" s="1447"/>
      <c r="I1590" s="1494"/>
      <c r="J1590" s="1492"/>
      <c r="K1590" s="1439"/>
      <c r="L1590" s="1439"/>
      <c r="M1590" s="1439"/>
      <c r="N1590" s="1439"/>
      <c r="O1590" s="1439"/>
      <c r="P1590" s="1439"/>
      <c r="Q1590" s="1439"/>
      <c r="R1590" s="1439"/>
      <c r="S1590" s="1439"/>
      <c r="T1590" s="1439"/>
      <c r="U1590" s="1439"/>
      <c r="V1590" s="1439"/>
      <c r="W1590" s="1439"/>
      <c r="X1590" s="1439"/>
      <c r="Y1590" s="1439"/>
      <c r="Z1590" s="1439"/>
      <c r="AA1590" s="1439"/>
      <c r="AB1590" s="1439"/>
      <c r="AC1590" s="1439"/>
      <c r="AD1590" s="1439"/>
      <c r="AE1590" s="1439"/>
      <c r="AF1590" s="1439"/>
      <c r="AG1590" s="1439"/>
    </row>
    <row r="1591" spans="1:33" ht="15.75" customHeight="1">
      <c r="A1591" s="1451"/>
      <c r="B1591" s="1450" t="s">
        <v>7079</v>
      </c>
      <c r="C1591" s="1484">
        <v>2</v>
      </c>
      <c r="D1591" s="1484" t="s">
        <v>3364</v>
      </c>
      <c r="E1591" s="1484">
        <v>1</v>
      </c>
      <c r="F1591" s="1446"/>
      <c r="G1591" s="1446"/>
      <c r="H1591" s="1447"/>
      <c r="I1591" s="1494">
        <f t="shared" ref="I1591:I1649" si="74">PRODUCT(C1591:H1591)</f>
        <v>2</v>
      </c>
      <c r="J1591" s="1492"/>
      <c r="K1591" s="1439"/>
      <c r="L1591" s="1439"/>
      <c r="M1591" s="1439"/>
      <c r="N1591" s="1439"/>
      <c r="O1591" s="1439"/>
      <c r="P1591" s="1439"/>
      <c r="Q1591" s="1439"/>
      <c r="R1591" s="1439"/>
      <c r="S1591" s="1439"/>
      <c r="T1591" s="1439"/>
      <c r="U1591" s="1439"/>
      <c r="V1591" s="1439"/>
      <c r="W1591" s="1439"/>
      <c r="X1591" s="1439"/>
      <c r="Y1591" s="1439"/>
      <c r="Z1591" s="1439"/>
      <c r="AA1591" s="1439"/>
      <c r="AB1591" s="1439"/>
      <c r="AC1591" s="1439"/>
      <c r="AD1591" s="1439"/>
      <c r="AE1591" s="1439"/>
      <c r="AF1591" s="1439"/>
      <c r="AG1591" s="1439"/>
    </row>
    <row r="1592" spans="1:33" ht="15.75" customHeight="1">
      <c r="A1592" s="1451"/>
      <c r="B1592" s="1450" t="s">
        <v>7214</v>
      </c>
      <c r="C1592" s="1484">
        <v>1</v>
      </c>
      <c r="D1592" s="1484" t="s">
        <v>3364</v>
      </c>
      <c r="E1592" s="1484">
        <v>2</v>
      </c>
      <c r="F1592" s="1446"/>
      <c r="G1592" s="1446"/>
      <c r="H1592" s="1447"/>
      <c r="I1592" s="1494">
        <f t="shared" si="74"/>
        <v>2</v>
      </c>
      <c r="J1592" s="1492"/>
      <c r="K1592" s="1439"/>
      <c r="L1592" s="1439"/>
      <c r="M1592" s="1439"/>
      <c r="N1592" s="1439"/>
      <c r="O1592" s="1439"/>
      <c r="P1592" s="1439"/>
      <c r="Q1592" s="1439"/>
      <c r="R1592" s="1439"/>
      <c r="S1592" s="1439"/>
      <c r="T1592" s="1439"/>
      <c r="U1592" s="1439"/>
      <c r="V1592" s="1439"/>
      <c r="W1592" s="1439"/>
      <c r="X1592" s="1439"/>
      <c r="Y1592" s="1439"/>
      <c r="Z1592" s="1439"/>
      <c r="AA1592" s="1439"/>
      <c r="AB1592" s="1439"/>
      <c r="AC1592" s="1439"/>
      <c r="AD1592" s="1439"/>
      <c r="AE1592" s="1439"/>
      <c r="AF1592" s="1439"/>
      <c r="AG1592" s="1439"/>
    </row>
    <row r="1593" spans="1:33" ht="15.75" customHeight="1">
      <c r="A1593" s="1451"/>
      <c r="B1593" s="1450" t="s">
        <v>7215</v>
      </c>
      <c r="C1593" s="1484">
        <v>1</v>
      </c>
      <c r="D1593" s="1484" t="s">
        <v>3364</v>
      </c>
      <c r="E1593" s="1484">
        <v>1</v>
      </c>
      <c r="F1593" s="1446"/>
      <c r="G1593" s="1446"/>
      <c r="H1593" s="1447"/>
      <c r="I1593" s="1494">
        <f t="shared" si="74"/>
        <v>1</v>
      </c>
      <c r="J1593" s="1492"/>
      <c r="K1593" s="1439"/>
      <c r="L1593" s="1439"/>
      <c r="M1593" s="1439"/>
      <c r="N1593" s="1439"/>
      <c r="O1593" s="1439"/>
      <c r="P1593" s="1439"/>
      <c r="Q1593" s="1439"/>
      <c r="R1593" s="1439"/>
      <c r="S1593" s="1439"/>
      <c r="T1593" s="1439"/>
      <c r="U1593" s="1439"/>
      <c r="V1593" s="1439"/>
      <c r="W1593" s="1439"/>
      <c r="X1593" s="1439"/>
      <c r="Y1593" s="1439"/>
      <c r="Z1593" s="1439"/>
      <c r="AA1593" s="1439"/>
      <c r="AB1593" s="1439"/>
      <c r="AC1593" s="1439"/>
      <c r="AD1593" s="1439"/>
      <c r="AE1593" s="1439"/>
      <c r="AF1593" s="1439"/>
      <c r="AG1593" s="1439"/>
    </row>
    <row r="1594" spans="1:33" ht="15.75" customHeight="1">
      <c r="A1594" s="1451"/>
      <c r="B1594" s="1450" t="s">
        <v>7080</v>
      </c>
      <c r="C1594" s="1484">
        <v>1</v>
      </c>
      <c r="D1594" s="1484" t="s">
        <v>3364</v>
      </c>
      <c r="E1594" s="1484">
        <v>2</v>
      </c>
      <c r="F1594" s="1446"/>
      <c r="G1594" s="1446"/>
      <c r="H1594" s="1447"/>
      <c r="I1594" s="1494">
        <f t="shared" si="74"/>
        <v>2</v>
      </c>
      <c r="J1594" s="1492"/>
      <c r="K1594" s="1439"/>
      <c r="L1594" s="1439"/>
      <c r="M1594" s="1439"/>
      <c r="N1594" s="1439"/>
      <c r="O1594" s="1439"/>
      <c r="P1594" s="1439"/>
      <c r="Q1594" s="1439"/>
      <c r="R1594" s="1439"/>
      <c r="S1594" s="1439"/>
      <c r="T1594" s="1439"/>
      <c r="U1594" s="1439"/>
      <c r="V1594" s="1439"/>
      <c r="W1594" s="1439"/>
      <c r="X1594" s="1439"/>
      <c r="Y1594" s="1439"/>
      <c r="Z1594" s="1439"/>
      <c r="AA1594" s="1439"/>
      <c r="AB1594" s="1439"/>
      <c r="AC1594" s="1439"/>
      <c r="AD1594" s="1439"/>
      <c r="AE1594" s="1439"/>
      <c r="AF1594" s="1439"/>
      <c r="AG1594" s="1439"/>
    </row>
    <row r="1595" spans="1:33" ht="15.75" customHeight="1">
      <c r="A1595" s="1451"/>
      <c r="B1595" s="1450" t="s">
        <v>7216</v>
      </c>
      <c r="C1595" s="1484">
        <v>1</v>
      </c>
      <c r="D1595" s="1484" t="s">
        <v>3364</v>
      </c>
      <c r="E1595" s="1484">
        <v>2</v>
      </c>
      <c r="F1595" s="1446"/>
      <c r="G1595" s="1446"/>
      <c r="H1595" s="1447"/>
      <c r="I1595" s="1494">
        <f t="shared" si="74"/>
        <v>2</v>
      </c>
      <c r="J1595" s="1492"/>
      <c r="K1595" s="1439"/>
      <c r="L1595" s="1439"/>
      <c r="M1595" s="1439"/>
      <c r="N1595" s="1439"/>
      <c r="O1595" s="1439"/>
      <c r="P1595" s="1439"/>
      <c r="Q1595" s="1439"/>
      <c r="R1595" s="1439"/>
      <c r="S1595" s="1439"/>
      <c r="T1595" s="1439"/>
      <c r="U1595" s="1439"/>
      <c r="V1595" s="1439"/>
      <c r="W1595" s="1439"/>
      <c r="X1595" s="1439"/>
      <c r="Y1595" s="1439"/>
      <c r="Z1595" s="1439"/>
      <c r="AA1595" s="1439"/>
      <c r="AB1595" s="1439"/>
      <c r="AC1595" s="1439"/>
      <c r="AD1595" s="1439"/>
      <c r="AE1595" s="1439"/>
      <c r="AF1595" s="1439"/>
      <c r="AG1595" s="1439"/>
    </row>
    <row r="1596" spans="1:33" ht="15.75" customHeight="1">
      <c r="A1596" s="1451"/>
      <c r="B1596" s="1450" t="s">
        <v>7217</v>
      </c>
      <c r="C1596" s="1484">
        <v>2</v>
      </c>
      <c r="D1596" s="1484" t="s">
        <v>3364</v>
      </c>
      <c r="E1596" s="1484">
        <v>1</v>
      </c>
      <c r="F1596" s="1446"/>
      <c r="G1596" s="1446"/>
      <c r="H1596" s="1447"/>
      <c r="I1596" s="1494">
        <f t="shared" si="74"/>
        <v>2</v>
      </c>
      <c r="J1596" s="1492"/>
      <c r="K1596" s="1439"/>
      <c r="L1596" s="1439"/>
      <c r="M1596" s="1439"/>
      <c r="N1596" s="1439"/>
      <c r="O1596" s="1439"/>
      <c r="P1596" s="1439"/>
      <c r="Q1596" s="1439"/>
      <c r="R1596" s="1439"/>
      <c r="S1596" s="1439"/>
      <c r="T1596" s="1439"/>
      <c r="U1596" s="1439"/>
      <c r="V1596" s="1439"/>
      <c r="W1596" s="1439"/>
      <c r="X1596" s="1439"/>
      <c r="Y1596" s="1439"/>
      <c r="Z1596" s="1439"/>
      <c r="AA1596" s="1439"/>
      <c r="AB1596" s="1439"/>
      <c r="AC1596" s="1439"/>
      <c r="AD1596" s="1439"/>
      <c r="AE1596" s="1439"/>
      <c r="AF1596" s="1439"/>
      <c r="AG1596" s="1439"/>
    </row>
    <row r="1597" spans="1:33" ht="15.75" customHeight="1">
      <c r="A1597" s="1451"/>
      <c r="B1597" s="1450" t="s">
        <v>7218</v>
      </c>
      <c r="C1597" s="1484">
        <v>1</v>
      </c>
      <c r="D1597" s="1484" t="s">
        <v>3364</v>
      </c>
      <c r="E1597" s="1484">
        <v>1</v>
      </c>
      <c r="F1597" s="1446"/>
      <c r="G1597" s="1446"/>
      <c r="H1597" s="1447"/>
      <c r="I1597" s="1494">
        <f t="shared" si="74"/>
        <v>1</v>
      </c>
      <c r="J1597" s="1492"/>
      <c r="K1597" s="1439"/>
      <c r="L1597" s="1439"/>
      <c r="M1597" s="1439"/>
      <c r="N1597" s="1439"/>
      <c r="O1597" s="1439"/>
      <c r="P1597" s="1439"/>
      <c r="Q1597" s="1439"/>
      <c r="R1597" s="1439"/>
      <c r="S1597" s="1439"/>
      <c r="T1597" s="1439"/>
      <c r="U1597" s="1439"/>
      <c r="V1597" s="1439"/>
      <c r="W1597" s="1439"/>
      <c r="X1597" s="1439"/>
      <c r="Y1597" s="1439"/>
      <c r="Z1597" s="1439"/>
      <c r="AA1597" s="1439"/>
      <c r="AB1597" s="1439"/>
      <c r="AC1597" s="1439"/>
      <c r="AD1597" s="1439"/>
      <c r="AE1597" s="1439"/>
      <c r="AF1597" s="1439"/>
      <c r="AG1597" s="1439"/>
    </row>
    <row r="1598" spans="1:33" ht="15.75" customHeight="1">
      <c r="A1598" s="1451"/>
      <c r="B1598" s="1456" t="s">
        <v>3486</v>
      </c>
      <c r="C1598" s="1484"/>
      <c r="D1598" s="1484"/>
      <c r="E1598" s="1484"/>
      <c r="F1598" s="1446"/>
      <c r="G1598" s="1446"/>
      <c r="H1598" s="1447"/>
      <c r="I1598" s="1494"/>
      <c r="J1598" s="1492"/>
      <c r="K1598" s="1439"/>
      <c r="L1598" s="1439"/>
      <c r="M1598" s="1439"/>
      <c r="N1598" s="1439"/>
      <c r="O1598" s="1439"/>
      <c r="P1598" s="1439"/>
      <c r="Q1598" s="1439"/>
      <c r="R1598" s="1439"/>
      <c r="S1598" s="1439"/>
      <c r="T1598" s="1439"/>
      <c r="U1598" s="1439"/>
      <c r="V1598" s="1439"/>
      <c r="W1598" s="1439"/>
      <c r="X1598" s="1439"/>
      <c r="Y1598" s="1439"/>
      <c r="Z1598" s="1439"/>
      <c r="AA1598" s="1439"/>
      <c r="AB1598" s="1439"/>
      <c r="AC1598" s="1439"/>
      <c r="AD1598" s="1439"/>
      <c r="AE1598" s="1439"/>
      <c r="AF1598" s="1439"/>
      <c r="AG1598" s="1439"/>
    </row>
    <row r="1599" spans="1:33" ht="15.75" customHeight="1">
      <c r="A1599" s="1451"/>
      <c r="B1599" s="1450" t="s">
        <v>7219</v>
      </c>
      <c r="C1599" s="1484">
        <v>1</v>
      </c>
      <c r="D1599" s="1484" t="s">
        <v>3364</v>
      </c>
      <c r="E1599" s="1484">
        <v>1</v>
      </c>
      <c r="F1599" s="1446"/>
      <c r="G1599" s="1446"/>
      <c r="H1599" s="1447"/>
      <c r="I1599" s="1494">
        <f t="shared" si="74"/>
        <v>1</v>
      </c>
      <c r="J1599" s="1492"/>
      <c r="K1599" s="1439"/>
      <c r="L1599" s="1439"/>
      <c r="M1599" s="1439"/>
      <c r="N1599" s="1439"/>
      <c r="O1599" s="1439"/>
      <c r="P1599" s="1439"/>
      <c r="Q1599" s="1439"/>
      <c r="R1599" s="1439"/>
      <c r="S1599" s="1439"/>
      <c r="T1599" s="1439"/>
      <c r="U1599" s="1439"/>
      <c r="V1599" s="1439"/>
      <c r="W1599" s="1439"/>
      <c r="X1599" s="1439"/>
      <c r="Y1599" s="1439"/>
      <c r="Z1599" s="1439"/>
      <c r="AA1599" s="1439"/>
      <c r="AB1599" s="1439"/>
      <c r="AC1599" s="1439"/>
      <c r="AD1599" s="1439"/>
      <c r="AE1599" s="1439"/>
      <c r="AF1599" s="1439"/>
      <c r="AG1599" s="1439"/>
    </row>
    <row r="1600" spans="1:33" ht="15.75" customHeight="1">
      <c r="A1600" s="1451"/>
      <c r="B1600" s="1450" t="s">
        <v>7220</v>
      </c>
      <c r="C1600" s="1484">
        <v>1</v>
      </c>
      <c r="D1600" s="1484" t="s">
        <v>3364</v>
      </c>
      <c r="E1600" s="1484">
        <v>2</v>
      </c>
      <c r="F1600" s="1446"/>
      <c r="G1600" s="1446"/>
      <c r="H1600" s="1447"/>
      <c r="I1600" s="1494">
        <f t="shared" si="74"/>
        <v>2</v>
      </c>
      <c r="J1600" s="1492"/>
      <c r="K1600" s="1439"/>
      <c r="L1600" s="1439"/>
      <c r="M1600" s="1439"/>
      <c r="N1600" s="1439"/>
      <c r="O1600" s="1439"/>
      <c r="P1600" s="1439"/>
      <c r="Q1600" s="1439"/>
      <c r="R1600" s="1439"/>
      <c r="S1600" s="1439"/>
      <c r="T1600" s="1439"/>
      <c r="U1600" s="1439"/>
      <c r="V1600" s="1439"/>
      <c r="W1600" s="1439"/>
      <c r="X1600" s="1439"/>
      <c r="Y1600" s="1439"/>
      <c r="Z1600" s="1439"/>
      <c r="AA1600" s="1439"/>
      <c r="AB1600" s="1439"/>
      <c r="AC1600" s="1439"/>
      <c r="AD1600" s="1439"/>
      <c r="AE1600" s="1439"/>
      <c r="AF1600" s="1439"/>
      <c r="AG1600" s="1439"/>
    </row>
    <row r="1601" spans="1:33" ht="15.75" customHeight="1">
      <c r="A1601" s="1451"/>
      <c r="B1601" s="1450" t="s">
        <v>7221</v>
      </c>
      <c r="C1601" s="1484">
        <v>1</v>
      </c>
      <c r="D1601" s="1484" t="s">
        <v>3364</v>
      </c>
      <c r="E1601" s="1484">
        <v>2</v>
      </c>
      <c r="F1601" s="1446"/>
      <c r="G1601" s="1446"/>
      <c r="H1601" s="1447"/>
      <c r="I1601" s="1494">
        <f t="shared" si="74"/>
        <v>2</v>
      </c>
      <c r="J1601" s="1492"/>
      <c r="K1601" s="1439"/>
      <c r="L1601" s="1439"/>
      <c r="M1601" s="1439"/>
      <c r="N1601" s="1439"/>
      <c r="O1601" s="1439"/>
      <c r="P1601" s="1439"/>
      <c r="Q1601" s="1439"/>
      <c r="R1601" s="1439"/>
      <c r="S1601" s="1439"/>
      <c r="T1601" s="1439"/>
      <c r="U1601" s="1439"/>
      <c r="V1601" s="1439"/>
      <c r="W1601" s="1439"/>
      <c r="X1601" s="1439"/>
      <c r="Y1601" s="1439"/>
      <c r="Z1601" s="1439"/>
      <c r="AA1601" s="1439"/>
      <c r="AB1601" s="1439"/>
      <c r="AC1601" s="1439"/>
      <c r="AD1601" s="1439"/>
      <c r="AE1601" s="1439"/>
      <c r="AF1601" s="1439"/>
      <c r="AG1601" s="1439"/>
    </row>
    <row r="1602" spans="1:33" ht="15.75" customHeight="1">
      <c r="A1602" s="1451"/>
      <c r="B1602" s="1450" t="s">
        <v>7222</v>
      </c>
      <c r="C1602" s="1484">
        <v>1</v>
      </c>
      <c r="D1602" s="1484" t="s">
        <v>3364</v>
      </c>
      <c r="E1602" s="1484">
        <v>1</v>
      </c>
      <c r="F1602" s="1446"/>
      <c r="G1602" s="1446"/>
      <c r="H1602" s="1447"/>
      <c r="I1602" s="1494">
        <f t="shared" si="74"/>
        <v>1</v>
      </c>
      <c r="J1602" s="1492"/>
      <c r="K1602" s="1439"/>
      <c r="L1602" s="1439"/>
      <c r="M1602" s="1439"/>
      <c r="N1602" s="1439"/>
      <c r="O1602" s="1439"/>
      <c r="P1602" s="1439"/>
      <c r="Q1602" s="1439"/>
      <c r="R1602" s="1439"/>
      <c r="S1602" s="1439"/>
      <c r="T1602" s="1439"/>
      <c r="U1602" s="1439"/>
      <c r="V1602" s="1439"/>
      <c r="W1602" s="1439"/>
      <c r="X1602" s="1439"/>
      <c r="Y1602" s="1439"/>
      <c r="Z1602" s="1439"/>
      <c r="AA1602" s="1439"/>
      <c r="AB1602" s="1439"/>
      <c r="AC1602" s="1439"/>
      <c r="AD1602" s="1439"/>
      <c r="AE1602" s="1439"/>
      <c r="AF1602" s="1439"/>
      <c r="AG1602" s="1439"/>
    </row>
    <row r="1603" spans="1:33" ht="15.75" customHeight="1">
      <c r="A1603" s="1451"/>
      <c r="B1603" s="1450" t="s">
        <v>7223</v>
      </c>
      <c r="C1603" s="1484">
        <v>1</v>
      </c>
      <c r="D1603" s="1484" t="s">
        <v>3364</v>
      </c>
      <c r="E1603" s="1484">
        <v>2</v>
      </c>
      <c r="F1603" s="1446"/>
      <c r="G1603" s="1446"/>
      <c r="H1603" s="1447"/>
      <c r="I1603" s="1494">
        <f t="shared" si="74"/>
        <v>2</v>
      </c>
      <c r="J1603" s="1492"/>
      <c r="K1603" s="1439"/>
      <c r="L1603" s="1439"/>
      <c r="M1603" s="1439"/>
      <c r="N1603" s="1439"/>
      <c r="O1603" s="1439"/>
      <c r="P1603" s="1439"/>
      <c r="Q1603" s="1439"/>
      <c r="R1603" s="1439"/>
      <c r="S1603" s="1439"/>
      <c r="T1603" s="1439"/>
      <c r="U1603" s="1439"/>
      <c r="V1603" s="1439"/>
      <c r="W1603" s="1439"/>
      <c r="X1603" s="1439"/>
      <c r="Y1603" s="1439"/>
      <c r="Z1603" s="1439"/>
      <c r="AA1603" s="1439"/>
      <c r="AB1603" s="1439"/>
      <c r="AC1603" s="1439"/>
      <c r="AD1603" s="1439"/>
      <c r="AE1603" s="1439"/>
      <c r="AF1603" s="1439"/>
      <c r="AG1603" s="1439"/>
    </row>
    <row r="1604" spans="1:33" ht="15.75" customHeight="1">
      <c r="A1604" s="1451"/>
      <c r="B1604" s="1450" t="s">
        <v>7217</v>
      </c>
      <c r="C1604" s="1484">
        <v>1</v>
      </c>
      <c r="D1604" s="1484" t="s">
        <v>3364</v>
      </c>
      <c r="E1604" s="1484">
        <v>1</v>
      </c>
      <c r="F1604" s="1446"/>
      <c r="G1604" s="1446"/>
      <c r="H1604" s="1447"/>
      <c r="I1604" s="1494">
        <f t="shared" si="74"/>
        <v>1</v>
      </c>
      <c r="J1604" s="1492"/>
      <c r="K1604" s="1439"/>
      <c r="L1604" s="1439"/>
      <c r="M1604" s="1439"/>
      <c r="N1604" s="1439"/>
      <c r="O1604" s="1439"/>
      <c r="P1604" s="1439"/>
      <c r="Q1604" s="1439"/>
      <c r="R1604" s="1439"/>
      <c r="S1604" s="1439"/>
      <c r="T1604" s="1439"/>
      <c r="U1604" s="1439"/>
      <c r="V1604" s="1439"/>
      <c r="W1604" s="1439"/>
      <c r="X1604" s="1439"/>
      <c r="Y1604" s="1439"/>
      <c r="Z1604" s="1439"/>
      <c r="AA1604" s="1439"/>
      <c r="AB1604" s="1439"/>
      <c r="AC1604" s="1439"/>
      <c r="AD1604" s="1439"/>
      <c r="AE1604" s="1439"/>
      <c r="AF1604" s="1439"/>
      <c r="AG1604" s="1439"/>
    </row>
    <row r="1605" spans="1:33" ht="15.75" customHeight="1">
      <c r="A1605" s="1451"/>
      <c r="B1605" s="1450" t="s">
        <v>7083</v>
      </c>
      <c r="C1605" s="1484">
        <v>1</v>
      </c>
      <c r="D1605" s="1484" t="s">
        <v>3364</v>
      </c>
      <c r="E1605" s="1484">
        <v>1</v>
      </c>
      <c r="F1605" s="1446"/>
      <c r="G1605" s="1446"/>
      <c r="H1605" s="1447"/>
      <c r="I1605" s="1494">
        <f t="shared" si="74"/>
        <v>1</v>
      </c>
      <c r="J1605" s="1492"/>
      <c r="K1605" s="1439"/>
      <c r="L1605" s="1439"/>
      <c r="M1605" s="1439"/>
      <c r="N1605" s="1439"/>
      <c r="O1605" s="1439"/>
      <c r="P1605" s="1439"/>
      <c r="Q1605" s="1439"/>
      <c r="R1605" s="1439"/>
      <c r="S1605" s="1439"/>
      <c r="T1605" s="1439"/>
      <c r="U1605" s="1439"/>
      <c r="V1605" s="1439"/>
      <c r="W1605" s="1439"/>
      <c r="X1605" s="1439"/>
      <c r="Y1605" s="1439"/>
      <c r="Z1605" s="1439"/>
      <c r="AA1605" s="1439"/>
      <c r="AB1605" s="1439"/>
      <c r="AC1605" s="1439"/>
      <c r="AD1605" s="1439"/>
      <c r="AE1605" s="1439"/>
      <c r="AF1605" s="1439"/>
      <c r="AG1605" s="1439"/>
    </row>
    <row r="1606" spans="1:33" ht="15.75" customHeight="1">
      <c r="A1606" s="1451"/>
      <c r="B1606" s="1456" t="s">
        <v>3488</v>
      </c>
      <c r="C1606" s="1484"/>
      <c r="D1606" s="1484"/>
      <c r="E1606" s="1484"/>
      <c r="F1606" s="1446"/>
      <c r="G1606" s="1446"/>
      <c r="H1606" s="1447"/>
      <c r="I1606" s="1494">
        <f t="shared" si="74"/>
        <v>0</v>
      </c>
      <c r="J1606" s="1492"/>
      <c r="K1606" s="1439"/>
      <c r="L1606" s="1439"/>
      <c r="M1606" s="1439"/>
      <c r="N1606" s="1439"/>
      <c r="O1606" s="1439"/>
      <c r="P1606" s="1439"/>
      <c r="Q1606" s="1439"/>
      <c r="R1606" s="1439"/>
      <c r="S1606" s="1439"/>
      <c r="T1606" s="1439"/>
      <c r="U1606" s="1439"/>
      <c r="V1606" s="1439"/>
      <c r="W1606" s="1439"/>
      <c r="X1606" s="1439"/>
      <c r="Y1606" s="1439"/>
      <c r="Z1606" s="1439"/>
      <c r="AA1606" s="1439"/>
      <c r="AB1606" s="1439"/>
      <c r="AC1606" s="1439"/>
      <c r="AD1606" s="1439"/>
      <c r="AE1606" s="1439"/>
      <c r="AF1606" s="1439"/>
      <c r="AG1606" s="1439"/>
    </row>
    <row r="1607" spans="1:33" ht="15.75" customHeight="1">
      <c r="A1607" s="1451"/>
      <c r="B1607" s="1450" t="s">
        <v>7224</v>
      </c>
      <c r="C1607" s="1484">
        <v>1</v>
      </c>
      <c r="D1607" s="1484" t="s">
        <v>3364</v>
      </c>
      <c r="E1607" s="1484">
        <v>1</v>
      </c>
      <c r="F1607" s="1446"/>
      <c r="G1607" s="1446"/>
      <c r="H1607" s="1447"/>
      <c r="I1607" s="1494">
        <f t="shared" si="74"/>
        <v>1</v>
      </c>
      <c r="J1607" s="1492"/>
      <c r="K1607" s="1439"/>
      <c r="L1607" s="1439"/>
      <c r="M1607" s="1439"/>
      <c r="N1607" s="1439"/>
      <c r="O1607" s="1439"/>
      <c r="P1607" s="1439"/>
      <c r="Q1607" s="1439"/>
      <c r="R1607" s="1439"/>
      <c r="S1607" s="1439"/>
      <c r="T1607" s="1439"/>
      <c r="U1607" s="1439"/>
      <c r="V1607" s="1439"/>
      <c r="W1607" s="1439"/>
      <c r="X1607" s="1439"/>
      <c r="Y1607" s="1439"/>
      <c r="Z1607" s="1439"/>
      <c r="AA1607" s="1439"/>
      <c r="AB1607" s="1439"/>
      <c r="AC1607" s="1439"/>
      <c r="AD1607" s="1439"/>
      <c r="AE1607" s="1439"/>
      <c r="AF1607" s="1439"/>
      <c r="AG1607" s="1439"/>
    </row>
    <row r="1608" spans="1:33" ht="15.75" customHeight="1">
      <c r="A1608" s="1451"/>
      <c r="B1608" s="1450" t="s">
        <v>7221</v>
      </c>
      <c r="C1608" s="1484">
        <v>1</v>
      </c>
      <c r="D1608" s="1484" t="s">
        <v>3364</v>
      </c>
      <c r="E1608" s="1484">
        <v>2</v>
      </c>
      <c r="F1608" s="1446"/>
      <c r="G1608" s="1446"/>
      <c r="H1608" s="1447"/>
      <c r="I1608" s="1494">
        <f t="shared" si="74"/>
        <v>2</v>
      </c>
      <c r="J1608" s="1492"/>
      <c r="K1608" s="1439"/>
      <c r="L1608" s="1439"/>
      <c r="M1608" s="1439"/>
      <c r="N1608" s="1439"/>
      <c r="O1608" s="1439"/>
      <c r="P1608" s="1439"/>
      <c r="Q1608" s="1439"/>
      <c r="R1608" s="1439"/>
      <c r="S1608" s="1439"/>
      <c r="T1608" s="1439"/>
      <c r="U1608" s="1439"/>
      <c r="V1608" s="1439"/>
      <c r="W1608" s="1439"/>
      <c r="X1608" s="1439"/>
      <c r="Y1608" s="1439"/>
      <c r="Z1608" s="1439"/>
      <c r="AA1608" s="1439"/>
      <c r="AB1608" s="1439"/>
      <c r="AC1608" s="1439"/>
      <c r="AD1608" s="1439"/>
      <c r="AE1608" s="1439"/>
      <c r="AF1608" s="1439"/>
      <c r="AG1608" s="1439"/>
    </row>
    <row r="1609" spans="1:33" ht="15.75" customHeight="1">
      <c r="A1609" s="1451"/>
      <c r="B1609" s="1450" t="s">
        <v>7163</v>
      </c>
      <c r="C1609" s="1484">
        <v>1</v>
      </c>
      <c r="D1609" s="1484" t="s">
        <v>3364</v>
      </c>
      <c r="E1609" s="1484">
        <v>4</v>
      </c>
      <c r="F1609" s="1446"/>
      <c r="G1609" s="1446"/>
      <c r="H1609" s="1447"/>
      <c r="I1609" s="1494">
        <f t="shared" si="74"/>
        <v>4</v>
      </c>
      <c r="J1609" s="1492"/>
      <c r="K1609" s="1439"/>
      <c r="L1609" s="1439"/>
      <c r="M1609" s="1439"/>
      <c r="N1609" s="1439"/>
      <c r="O1609" s="1439"/>
      <c r="P1609" s="1439"/>
      <c r="Q1609" s="1439"/>
      <c r="R1609" s="1439"/>
      <c r="S1609" s="1439"/>
      <c r="T1609" s="1439"/>
      <c r="U1609" s="1439"/>
      <c r="V1609" s="1439"/>
      <c r="W1609" s="1439"/>
      <c r="X1609" s="1439"/>
      <c r="Y1609" s="1439"/>
      <c r="Z1609" s="1439"/>
      <c r="AA1609" s="1439"/>
      <c r="AB1609" s="1439"/>
      <c r="AC1609" s="1439"/>
      <c r="AD1609" s="1439"/>
      <c r="AE1609" s="1439"/>
      <c r="AF1609" s="1439"/>
      <c r="AG1609" s="1439"/>
    </row>
    <row r="1610" spans="1:33" ht="15.75" customHeight="1">
      <c r="A1610" s="1451"/>
      <c r="B1610" s="1450" t="s">
        <v>7225</v>
      </c>
      <c r="C1610" s="1484">
        <v>1</v>
      </c>
      <c r="D1610" s="1484" t="s">
        <v>3364</v>
      </c>
      <c r="E1610" s="1484">
        <v>4</v>
      </c>
      <c r="F1610" s="1446"/>
      <c r="G1610" s="1446"/>
      <c r="H1610" s="1447"/>
      <c r="I1610" s="1494">
        <f t="shared" si="74"/>
        <v>4</v>
      </c>
      <c r="J1610" s="1492"/>
      <c r="K1610" s="1439"/>
      <c r="L1610" s="1439"/>
      <c r="M1610" s="1439"/>
      <c r="N1610" s="1439"/>
      <c r="O1610" s="1439"/>
      <c r="P1610" s="1439"/>
      <c r="Q1610" s="1439"/>
      <c r="R1610" s="1439"/>
      <c r="S1610" s="1439"/>
      <c r="T1610" s="1439"/>
      <c r="U1610" s="1439"/>
      <c r="V1610" s="1439"/>
      <c r="W1610" s="1439"/>
      <c r="X1610" s="1439"/>
      <c r="Y1610" s="1439"/>
      <c r="Z1610" s="1439"/>
      <c r="AA1610" s="1439"/>
      <c r="AB1610" s="1439"/>
      <c r="AC1610" s="1439"/>
      <c r="AD1610" s="1439"/>
      <c r="AE1610" s="1439"/>
      <c r="AF1610" s="1439"/>
      <c r="AG1610" s="1439"/>
    </row>
    <row r="1611" spans="1:33" ht="15.75" customHeight="1">
      <c r="A1611" s="1451"/>
      <c r="B1611" s="1450" t="s">
        <v>7226</v>
      </c>
      <c r="C1611" s="1484">
        <v>1</v>
      </c>
      <c r="D1611" s="1484" t="s">
        <v>3364</v>
      </c>
      <c r="E1611" s="1484">
        <v>2</v>
      </c>
      <c r="F1611" s="1446"/>
      <c r="G1611" s="1446"/>
      <c r="H1611" s="1447"/>
      <c r="I1611" s="1494">
        <f t="shared" si="74"/>
        <v>2</v>
      </c>
      <c r="J1611" s="1492"/>
      <c r="K1611" s="1439"/>
      <c r="L1611" s="1439"/>
      <c r="M1611" s="1439"/>
      <c r="N1611" s="1439"/>
      <c r="O1611" s="1439"/>
      <c r="P1611" s="1439"/>
      <c r="Q1611" s="1439"/>
      <c r="R1611" s="1439"/>
      <c r="S1611" s="1439"/>
      <c r="T1611" s="1439"/>
      <c r="U1611" s="1439"/>
      <c r="V1611" s="1439"/>
      <c r="W1611" s="1439"/>
      <c r="X1611" s="1439"/>
      <c r="Y1611" s="1439"/>
      <c r="Z1611" s="1439"/>
      <c r="AA1611" s="1439"/>
      <c r="AB1611" s="1439"/>
      <c r="AC1611" s="1439"/>
      <c r="AD1611" s="1439"/>
      <c r="AE1611" s="1439"/>
      <c r="AF1611" s="1439"/>
      <c r="AG1611" s="1439"/>
    </row>
    <row r="1612" spans="1:33" ht="15.75" customHeight="1">
      <c r="A1612" s="1451"/>
      <c r="B1612" s="1450" t="s">
        <v>7227</v>
      </c>
      <c r="C1612" s="1484">
        <v>1</v>
      </c>
      <c r="D1612" s="1484" t="s">
        <v>3364</v>
      </c>
      <c r="E1612" s="1484">
        <v>4</v>
      </c>
      <c r="F1612" s="1446"/>
      <c r="G1612" s="1446"/>
      <c r="H1612" s="1447"/>
      <c r="I1612" s="1494">
        <f t="shared" si="74"/>
        <v>4</v>
      </c>
      <c r="J1612" s="1492"/>
      <c r="K1612" s="1439"/>
      <c r="L1612" s="1439"/>
      <c r="M1612" s="1439"/>
      <c r="N1612" s="1439"/>
      <c r="O1612" s="1439"/>
      <c r="P1612" s="1439"/>
      <c r="Q1612" s="1439"/>
      <c r="R1612" s="1439"/>
      <c r="S1612" s="1439"/>
      <c r="T1612" s="1439"/>
      <c r="U1612" s="1439"/>
      <c r="V1612" s="1439"/>
      <c r="W1612" s="1439"/>
      <c r="X1612" s="1439"/>
      <c r="Y1612" s="1439"/>
      <c r="Z1612" s="1439"/>
      <c r="AA1612" s="1439"/>
      <c r="AB1612" s="1439"/>
      <c r="AC1612" s="1439"/>
      <c r="AD1612" s="1439"/>
      <c r="AE1612" s="1439"/>
      <c r="AF1612" s="1439"/>
      <c r="AG1612" s="1439"/>
    </row>
    <row r="1613" spans="1:33" ht="15.75" customHeight="1">
      <c r="A1613" s="1451"/>
      <c r="B1613" s="1450" t="s">
        <v>7228</v>
      </c>
      <c r="C1613" s="1484">
        <v>1</v>
      </c>
      <c r="D1613" s="1484" t="s">
        <v>3364</v>
      </c>
      <c r="E1613" s="1484">
        <v>4</v>
      </c>
      <c r="F1613" s="1446"/>
      <c r="G1613" s="1446"/>
      <c r="H1613" s="1447"/>
      <c r="I1613" s="1494">
        <f t="shared" si="74"/>
        <v>4</v>
      </c>
      <c r="J1613" s="1492"/>
      <c r="K1613" s="1439"/>
      <c r="L1613" s="1439"/>
      <c r="M1613" s="1439"/>
      <c r="N1613" s="1439"/>
      <c r="O1613" s="1439"/>
      <c r="P1613" s="1439"/>
      <c r="Q1613" s="1439"/>
      <c r="R1613" s="1439"/>
      <c r="S1613" s="1439"/>
      <c r="T1613" s="1439"/>
      <c r="U1613" s="1439"/>
      <c r="V1613" s="1439"/>
      <c r="W1613" s="1439"/>
      <c r="X1613" s="1439"/>
      <c r="Y1613" s="1439"/>
      <c r="Z1613" s="1439"/>
      <c r="AA1613" s="1439"/>
      <c r="AB1613" s="1439"/>
      <c r="AC1613" s="1439"/>
      <c r="AD1613" s="1439"/>
      <c r="AE1613" s="1439"/>
      <c r="AF1613" s="1439"/>
      <c r="AG1613" s="1439"/>
    </row>
    <row r="1614" spans="1:33" ht="15.75" customHeight="1">
      <c r="A1614" s="1451"/>
      <c r="B1614" s="1450" t="s">
        <v>7229</v>
      </c>
      <c r="C1614" s="1484">
        <v>1</v>
      </c>
      <c r="D1614" s="1484" t="s">
        <v>3364</v>
      </c>
      <c r="E1614" s="1484">
        <v>4</v>
      </c>
      <c r="F1614" s="1446"/>
      <c r="G1614" s="1446"/>
      <c r="H1614" s="1447"/>
      <c r="I1614" s="1494">
        <f t="shared" si="74"/>
        <v>4</v>
      </c>
      <c r="J1614" s="1492"/>
      <c r="K1614" s="1439"/>
      <c r="L1614" s="1439"/>
      <c r="M1614" s="1439"/>
      <c r="N1614" s="1439"/>
      <c r="O1614" s="1439"/>
      <c r="P1614" s="1439"/>
      <c r="Q1614" s="1439"/>
      <c r="R1614" s="1439"/>
      <c r="S1614" s="1439"/>
      <c r="T1614" s="1439"/>
      <c r="U1614" s="1439"/>
      <c r="V1614" s="1439"/>
      <c r="W1614" s="1439"/>
      <c r="X1614" s="1439"/>
      <c r="Y1614" s="1439"/>
      <c r="Z1614" s="1439"/>
      <c r="AA1614" s="1439"/>
      <c r="AB1614" s="1439"/>
      <c r="AC1614" s="1439"/>
      <c r="AD1614" s="1439"/>
      <c r="AE1614" s="1439"/>
      <c r="AF1614" s="1439"/>
      <c r="AG1614" s="1439"/>
    </row>
    <row r="1615" spans="1:33" ht="15.75" customHeight="1">
      <c r="A1615" s="1451"/>
      <c r="B1615" s="1450" t="s">
        <v>7230</v>
      </c>
      <c r="C1615" s="1484">
        <v>3</v>
      </c>
      <c r="D1615" s="1484" t="s">
        <v>3364</v>
      </c>
      <c r="E1615" s="1484">
        <v>2</v>
      </c>
      <c r="F1615" s="1446"/>
      <c r="G1615" s="1446"/>
      <c r="H1615" s="1447"/>
      <c r="I1615" s="1494">
        <f t="shared" si="74"/>
        <v>6</v>
      </c>
      <c r="J1615" s="1492"/>
      <c r="K1615" s="1439"/>
      <c r="L1615" s="1439"/>
      <c r="M1615" s="1439"/>
      <c r="N1615" s="1439"/>
      <c r="O1615" s="1439"/>
      <c r="P1615" s="1439"/>
      <c r="Q1615" s="1439"/>
      <c r="R1615" s="1439"/>
      <c r="S1615" s="1439"/>
      <c r="T1615" s="1439"/>
      <c r="U1615" s="1439"/>
      <c r="V1615" s="1439"/>
      <c r="W1615" s="1439"/>
      <c r="X1615" s="1439"/>
      <c r="Y1615" s="1439"/>
      <c r="Z1615" s="1439"/>
      <c r="AA1615" s="1439"/>
      <c r="AB1615" s="1439"/>
      <c r="AC1615" s="1439"/>
      <c r="AD1615" s="1439"/>
      <c r="AE1615" s="1439"/>
      <c r="AF1615" s="1439"/>
      <c r="AG1615" s="1439"/>
    </row>
    <row r="1616" spans="1:33" ht="15.75" customHeight="1">
      <c r="A1616" s="1451"/>
      <c r="B1616" s="1450" t="s">
        <v>6723</v>
      </c>
      <c r="C1616" s="1484">
        <v>1</v>
      </c>
      <c r="D1616" s="1484" t="s">
        <v>3364</v>
      </c>
      <c r="E1616" s="1484">
        <v>2</v>
      </c>
      <c r="F1616" s="1446"/>
      <c r="G1616" s="1446"/>
      <c r="H1616" s="1447"/>
      <c r="I1616" s="1494">
        <f t="shared" si="74"/>
        <v>2</v>
      </c>
      <c r="J1616" s="1492"/>
      <c r="K1616" s="1439"/>
      <c r="L1616" s="1439"/>
      <c r="M1616" s="1439"/>
      <c r="N1616" s="1439"/>
      <c r="O1616" s="1439"/>
      <c r="P1616" s="1439"/>
      <c r="Q1616" s="1439"/>
      <c r="R1616" s="1439"/>
      <c r="S1616" s="1439"/>
      <c r="T1616" s="1439"/>
      <c r="U1616" s="1439"/>
      <c r="V1616" s="1439"/>
      <c r="W1616" s="1439"/>
      <c r="X1616" s="1439"/>
      <c r="Y1616" s="1439"/>
      <c r="Z1616" s="1439"/>
      <c r="AA1616" s="1439"/>
      <c r="AB1616" s="1439"/>
      <c r="AC1616" s="1439"/>
      <c r="AD1616" s="1439"/>
      <c r="AE1616" s="1439"/>
      <c r="AF1616" s="1439"/>
      <c r="AG1616" s="1439"/>
    </row>
    <row r="1617" spans="1:33" ht="15.75" customHeight="1">
      <c r="A1617" s="1451"/>
      <c r="B1617" s="1450" t="s">
        <v>6933</v>
      </c>
      <c r="C1617" s="1484">
        <v>1</v>
      </c>
      <c r="D1617" s="1484" t="s">
        <v>3364</v>
      </c>
      <c r="E1617" s="1484">
        <v>1</v>
      </c>
      <c r="F1617" s="1446"/>
      <c r="G1617" s="1446"/>
      <c r="H1617" s="1447"/>
      <c r="I1617" s="1494">
        <f t="shared" si="74"/>
        <v>1</v>
      </c>
      <c r="J1617" s="1492"/>
      <c r="K1617" s="1439"/>
      <c r="L1617" s="1439"/>
      <c r="M1617" s="1439"/>
      <c r="N1617" s="1439"/>
      <c r="O1617" s="1439"/>
      <c r="P1617" s="1439"/>
      <c r="Q1617" s="1439"/>
      <c r="R1617" s="1439"/>
      <c r="S1617" s="1439"/>
      <c r="T1617" s="1439"/>
      <c r="U1617" s="1439"/>
      <c r="V1617" s="1439"/>
      <c r="W1617" s="1439"/>
      <c r="X1617" s="1439"/>
      <c r="Y1617" s="1439"/>
      <c r="Z1617" s="1439"/>
      <c r="AA1617" s="1439"/>
      <c r="AB1617" s="1439"/>
      <c r="AC1617" s="1439"/>
      <c r="AD1617" s="1439"/>
      <c r="AE1617" s="1439"/>
      <c r="AF1617" s="1439"/>
      <c r="AG1617" s="1439"/>
    </row>
    <row r="1618" spans="1:33" ht="15.75" customHeight="1">
      <c r="A1618" s="1451"/>
      <c r="B1618" s="1450" t="s">
        <v>7231</v>
      </c>
      <c r="C1618" s="1484">
        <v>1</v>
      </c>
      <c r="D1618" s="1484" t="s">
        <v>3364</v>
      </c>
      <c r="E1618" s="1484">
        <v>2</v>
      </c>
      <c r="F1618" s="1446"/>
      <c r="G1618" s="1446"/>
      <c r="H1618" s="1447"/>
      <c r="I1618" s="1494">
        <f t="shared" si="74"/>
        <v>2</v>
      </c>
      <c r="J1618" s="1492"/>
      <c r="K1618" s="1439"/>
      <c r="L1618" s="1439"/>
      <c r="M1618" s="1439"/>
      <c r="N1618" s="1439"/>
      <c r="O1618" s="1439"/>
      <c r="P1618" s="1439"/>
      <c r="Q1618" s="1439"/>
      <c r="R1618" s="1439"/>
      <c r="S1618" s="1439"/>
      <c r="T1618" s="1439"/>
      <c r="U1618" s="1439"/>
      <c r="V1618" s="1439"/>
      <c r="W1618" s="1439"/>
      <c r="X1618" s="1439"/>
      <c r="Y1618" s="1439"/>
      <c r="Z1618" s="1439"/>
      <c r="AA1618" s="1439"/>
      <c r="AB1618" s="1439"/>
      <c r="AC1618" s="1439"/>
      <c r="AD1618" s="1439"/>
      <c r="AE1618" s="1439"/>
      <c r="AF1618" s="1439"/>
      <c r="AG1618" s="1439"/>
    </row>
    <row r="1619" spans="1:33" ht="15.75" customHeight="1">
      <c r="A1619" s="1451"/>
      <c r="B1619" s="1456" t="s">
        <v>7232</v>
      </c>
      <c r="C1619" s="1484"/>
      <c r="D1619" s="1484"/>
      <c r="E1619" s="1484"/>
      <c r="F1619" s="1446"/>
      <c r="G1619" s="1446"/>
      <c r="H1619" s="1447"/>
      <c r="I1619" s="1494"/>
      <c r="J1619" s="1492"/>
      <c r="K1619" s="1439"/>
      <c r="L1619" s="1439"/>
      <c r="M1619" s="1439"/>
      <c r="N1619" s="1439"/>
      <c r="O1619" s="1439"/>
      <c r="P1619" s="1439"/>
      <c r="Q1619" s="1439"/>
      <c r="R1619" s="1439"/>
      <c r="S1619" s="1439"/>
      <c r="T1619" s="1439"/>
      <c r="U1619" s="1439"/>
      <c r="V1619" s="1439"/>
      <c r="W1619" s="1439"/>
      <c r="X1619" s="1439"/>
      <c r="Y1619" s="1439"/>
      <c r="Z1619" s="1439"/>
      <c r="AA1619" s="1439"/>
      <c r="AB1619" s="1439"/>
      <c r="AC1619" s="1439"/>
      <c r="AD1619" s="1439"/>
      <c r="AE1619" s="1439"/>
      <c r="AF1619" s="1439"/>
      <c r="AG1619" s="1439"/>
    </row>
    <row r="1620" spans="1:33" ht="15.75" customHeight="1">
      <c r="A1620" s="1451"/>
      <c r="B1620" s="1450" t="s">
        <v>7224</v>
      </c>
      <c r="C1620" s="1484">
        <v>1</v>
      </c>
      <c r="D1620" s="1484" t="s">
        <v>3364</v>
      </c>
      <c r="E1620" s="1484">
        <v>1</v>
      </c>
      <c r="F1620" s="1446"/>
      <c r="G1620" s="1446"/>
      <c r="H1620" s="1447"/>
      <c r="I1620" s="1494">
        <f t="shared" si="74"/>
        <v>1</v>
      </c>
      <c r="J1620" s="1492"/>
      <c r="K1620" s="1439"/>
      <c r="L1620" s="1439"/>
      <c r="M1620" s="1439"/>
      <c r="N1620" s="1439"/>
      <c r="O1620" s="1439"/>
      <c r="P1620" s="1439"/>
      <c r="Q1620" s="1439"/>
      <c r="R1620" s="1439"/>
      <c r="S1620" s="1439"/>
      <c r="T1620" s="1439"/>
      <c r="U1620" s="1439"/>
      <c r="V1620" s="1439"/>
      <c r="W1620" s="1439"/>
      <c r="X1620" s="1439"/>
      <c r="Y1620" s="1439"/>
      <c r="Z1620" s="1439"/>
      <c r="AA1620" s="1439"/>
      <c r="AB1620" s="1439"/>
      <c r="AC1620" s="1439"/>
      <c r="AD1620" s="1439"/>
      <c r="AE1620" s="1439"/>
      <c r="AF1620" s="1439"/>
      <c r="AG1620" s="1439"/>
    </row>
    <row r="1621" spans="1:33" ht="15.75" customHeight="1">
      <c r="A1621" s="1451"/>
      <c r="B1621" s="1450" t="s">
        <v>7221</v>
      </c>
      <c r="C1621" s="1484">
        <v>1</v>
      </c>
      <c r="D1621" s="1484" t="s">
        <v>3364</v>
      </c>
      <c r="E1621" s="1484">
        <v>2</v>
      </c>
      <c r="F1621" s="1446"/>
      <c r="G1621" s="1446"/>
      <c r="H1621" s="1447"/>
      <c r="I1621" s="1494">
        <f t="shared" si="74"/>
        <v>2</v>
      </c>
      <c r="J1621" s="1492"/>
      <c r="K1621" s="1439"/>
      <c r="L1621" s="1439"/>
      <c r="M1621" s="1439"/>
      <c r="N1621" s="1439"/>
      <c r="O1621" s="1439"/>
      <c r="P1621" s="1439"/>
      <c r="Q1621" s="1439"/>
      <c r="R1621" s="1439"/>
      <c r="S1621" s="1439"/>
      <c r="T1621" s="1439"/>
      <c r="U1621" s="1439"/>
      <c r="V1621" s="1439"/>
      <c r="W1621" s="1439"/>
      <c r="X1621" s="1439"/>
      <c r="Y1621" s="1439"/>
      <c r="Z1621" s="1439"/>
      <c r="AA1621" s="1439"/>
      <c r="AB1621" s="1439"/>
      <c r="AC1621" s="1439"/>
      <c r="AD1621" s="1439"/>
      <c r="AE1621" s="1439"/>
      <c r="AF1621" s="1439"/>
      <c r="AG1621" s="1439"/>
    </row>
    <row r="1622" spans="1:33" ht="15.75" customHeight="1">
      <c r="A1622" s="1451"/>
      <c r="B1622" s="1450" t="s">
        <v>7233</v>
      </c>
      <c r="C1622" s="1484">
        <v>1</v>
      </c>
      <c r="D1622" s="1484" t="s">
        <v>3364</v>
      </c>
      <c r="E1622" s="1484">
        <v>3</v>
      </c>
      <c r="F1622" s="1446"/>
      <c r="G1622" s="1446"/>
      <c r="H1622" s="1447"/>
      <c r="I1622" s="1494">
        <f t="shared" si="74"/>
        <v>3</v>
      </c>
      <c r="J1622" s="1492"/>
      <c r="K1622" s="1439"/>
      <c r="L1622" s="1439"/>
      <c r="M1622" s="1439"/>
      <c r="N1622" s="1439"/>
      <c r="O1622" s="1439"/>
      <c r="P1622" s="1439"/>
      <c r="Q1622" s="1439"/>
      <c r="R1622" s="1439"/>
      <c r="S1622" s="1439"/>
      <c r="T1622" s="1439"/>
      <c r="U1622" s="1439"/>
      <c r="V1622" s="1439"/>
      <c r="W1622" s="1439"/>
      <c r="X1622" s="1439"/>
      <c r="Y1622" s="1439"/>
      <c r="Z1622" s="1439"/>
      <c r="AA1622" s="1439"/>
      <c r="AB1622" s="1439"/>
      <c r="AC1622" s="1439"/>
      <c r="AD1622" s="1439"/>
      <c r="AE1622" s="1439"/>
      <c r="AF1622" s="1439"/>
      <c r="AG1622" s="1439"/>
    </row>
    <row r="1623" spans="1:33" ht="15.75" customHeight="1">
      <c r="A1623" s="1451"/>
      <c r="B1623" s="1450" t="s">
        <v>7231</v>
      </c>
      <c r="C1623" s="1484">
        <v>1</v>
      </c>
      <c r="D1623" s="1484" t="s">
        <v>3364</v>
      </c>
      <c r="E1623" s="1484">
        <v>2</v>
      </c>
      <c r="F1623" s="1446"/>
      <c r="G1623" s="1446"/>
      <c r="H1623" s="1447"/>
      <c r="I1623" s="1494">
        <f t="shared" si="74"/>
        <v>2</v>
      </c>
      <c r="J1623" s="1492"/>
      <c r="K1623" s="1439"/>
      <c r="L1623" s="1439"/>
      <c r="M1623" s="1439"/>
      <c r="N1623" s="1439"/>
      <c r="O1623" s="1439"/>
      <c r="P1623" s="1439"/>
      <c r="Q1623" s="1439"/>
      <c r="R1623" s="1439"/>
      <c r="S1623" s="1439"/>
      <c r="T1623" s="1439"/>
      <c r="U1623" s="1439"/>
      <c r="V1623" s="1439"/>
      <c r="W1623" s="1439"/>
      <c r="X1623" s="1439"/>
      <c r="Y1623" s="1439"/>
      <c r="Z1623" s="1439"/>
      <c r="AA1623" s="1439"/>
      <c r="AB1623" s="1439"/>
      <c r="AC1623" s="1439"/>
      <c r="AD1623" s="1439"/>
      <c r="AE1623" s="1439"/>
      <c r="AF1623" s="1439"/>
      <c r="AG1623" s="1439"/>
    </row>
    <row r="1624" spans="1:33" ht="15.75" customHeight="1">
      <c r="A1624" s="1451"/>
      <c r="B1624" s="1450" t="s">
        <v>6908</v>
      </c>
      <c r="C1624" s="1484">
        <v>1</v>
      </c>
      <c r="D1624" s="1484" t="s">
        <v>3364</v>
      </c>
      <c r="E1624" s="1484">
        <v>1</v>
      </c>
      <c r="F1624" s="1446"/>
      <c r="G1624" s="1446"/>
      <c r="H1624" s="1447"/>
      <c r="I1624" s="1494">
        <f t="shared" si="74"/>
        <v>1</v>
      </c>
      <c r="J1624" s="1492"/>
      <c r="K1624" s="1439"/>
      <c r="L1624" s="1439"/>
      <c r="M1624" s="1439"/>
      <c r="N1624" s="1439"/>
      <c r="O1624" s="1439"/>
      <c r="P1624" s="1439"/>
      <c r="Q1624" s="1439"/>
      <c r="R1624" s="1439"/>
      <c r="S1624" s="1439"/>
      <c r="T1624" s="1439"/>
      <c r="U1624" s="1439"/>
      <c r="V1624" s="1439"/>
      <c r="W1624" s="1439"/>
      <c r="X1624" s="1439"/>
      <c r="Y1624" s="1439"/>
      <c r="Z1624" s="1439"/>
      <c r="AA1624" s="1439"/>
      <c r="AB1624" s="1439"/>
      <c r="AC1624" s="1439"/>
      <c r="AD1624" s="1439"/>
      <c r="AE1624" s="1439"/>
      <c r="AF1624" s="1439"/>
      <c r="AG1624" s="1439"/>
    </row>
    <row r="1625" spans="1:33" ht="15.75" customHeight="1">
      <c r="A1625" s="1451"/>
      <c r="B1625" s="1450" t="s">
        <v>7138</v>
      </c>
      <c r="C1625" s="1484">
        <v>1</v>
      </c>
      <c r="D1625" s="1484" t="s">
        <v>3364</v>
      </c>
      <c r="E1625" s="1484">
        <v>4</v>
      </c>
      <c r="F1625" s="1446"/>
      <c r="G1625" s="1446"/>
      <c r="H1625" s="1447"/>
      <c r="I1625" s="1494">
        <f t="shared" si="74"/>
        <v>4</v>
      </c>
      <c r="J1625" s="1492"/>
      <c r="K1625" s="1439"/>
      <c r="L1625" s="1439"/>
      <c r="M1625" s="1439"/>
      <c r="N1625" s="1439"/>
      <c r="O1625" s="1439"/>
      <c r="P1625" s="1439"/>
      <c r="Q1625" s="1439"/>
      <c r="R1625" s="1439"/>
      <c r="S1625" s="1439"/>
      <c r="T1625" s="1439"/>
      <c r="U1625" s="1439"/>
      <c r="V1625" s="1439"/>
      <c r="W1625" s="1439"/>
      <c r="X1625" s="1439"/>
      <c r="Y1625" s="1439"/>
      <c r="Z1625" s="1439"/>
      <c r="AA1625" s="1439"/>
      <c r="AB1625" s="1439"/>
      <c r="AC1625" s="1439"/>
      <c r="AD1625" s="1439"/>
      <c r="AE1625" s="1439"/>
      <c r="AF1625" s="1439"/>
      <c r="AG1625" s="1439"/>
    </row>
    <row r="1626" spans="1:33" ht="15.75" customHeight="1">
      <c r="A1626" s="1451"/>
      <c r="B1626" s="1450" t="s">
        <v>6586</v>
      </c>
      <c r="C1626" s="1484">
        <v>1</v>
      </c>
      <c r="D1626" s="1484" t="s">
        <v>3364</v>
      </c>
      <c r="E1626" s="1484">
        <v>1</v>
      </c>
      <c r="F1626" s="1446"/>
      <c r="G1626" s="1446"/>
      <c r="H1626" s="1447"/>
      <c r="I1626" s="1494">
        <f t="shared" si="74"/>
        <v>1</v>
      </c>
      <c r="J1626" s="1492"/>
      <c r="K1626" s="1439"/>
      <c r="L1626" s="1439"/>
      <c r="M1626" s="1439"/>
      <c r="N1626" s="1439"/>
      <c r="O1626" s="1439"/>
      <c r="P1626" s="1439"/>
      <c r="Q1626" s="1439"/>
      <c r="R1626" s="1439"/>
      <c r="S1626" s="1439"/>
      <c r="T1626" s="1439"/>
      <c r="U1626" s="1439"/>
      <c r="V1626" s="1439"/>
      <c r="W1626" s="1439"/>
      <c r="X1626" s="1439"/>
      <c r="Y1626" s="1439"/>
      <c r="Z1626" s="1439"/>
      <c r="AA1626" s="1439"/>
      <c r="AB1626" s="1439"/>
      <c r="AC1626" s="1439"/>
      <c r="AD1626" s="1439"/>
      <c r="AE1626" s="1439"/>
      <c r="AF1626" s="1439"/>
      <c r="AG1626" s="1439"/>
    </row>
    <row r="1627" spans="1:33" ht="15.75" customHeight="1">
      <c r="A1627" s="1451"/>
      <c r="B1627" s="1450" t="s">
        <v>7234</v>
      </c>
      <c r="C1627" s="1484">
        <v>1</v>
      </c>
      <c r="D1627" s="1484" t="s">
        <v>3364</v>
      </c>
      <c r="E1627" s="1484">
        <v>2</v>
      </c>
      <c r="F1627" s="1446"/>
      <c r="G1627" s="1446"/>
      <c r="H1627" s="1447"/>
      <c r="I1627" s="1494">
        <f t="shared" si="74"/>
        <v>2</v>
      </c>
      <c r="J1627" s="1492"/>
      <c r="K1627" s="1439"/>
      <c r="L1627" s="1439"/>
      <c r="M1627" s="1439"/>
      <c r="N1627" s="1439"/>
      <c r="O1627" s="1439"/>
      <c r="P1627" s="1439"/>
      <c r="Q1627" s="1439"/>
      <c r="R1627" s="1439"/>
      <c r="S1627" s="1439"/>
      <c r="T1627" s="1439"/>
      <c r="U1627" s="1439"/>
      <c r="V1627" s="1439"/>
      <c r="W1627" s="1439"/>
      <c r="X1627" s="1439"/>
      <c r="Y1627" s="1439"/>
      <c r="Z1627" s="1439"/>
      <c r="AA1627" s="1439"/>
      <c r="AB1627" s="1439"/>
      <c r="AC1627" s="1439"/>
      <c r="AD1627" s="1439"/>
      <c r="AE1627" s="1439"/>
      <c r="AF1627" s="1439"/>
      <c r="AG1627" s="1439"/>
    </row>
    <row r="1628" spans="1:33" ht="15.75" customHeight="1">
      <c r="A1628" s="1451"/>
      <c r="B1628" s="1450" t="s">
        <v>7141</v>
      </c>
      <c r="C1628" s="1484">
        <v>1</v>
      </c>
      <c r="D1628" s="1484" t="s">
        <v>3364</v>
      </c>
      <c r="E1628" s="1484">
        <v>4</v>
      </c>
      <c r="F1628" s="1446"/>
      <c r="G1628" s="1446"/>
      <c r="H1628" s="1447"/>
      <c r="I1628" s="1494">
        <f t="shared" si="74"/>
        <v>4</v>
      </c>
      <c r="J1628" s="1492"/>
      <c r="K1628" s="1439"/>
      <c r="L1628" s="1439"/>
      <c r="M1628" s="1439"/>
      <c r="N1628" s="1439"/>
      <c r="O1628" s="1439"/>
      <c r="P1628" s="1439"/>
      <c r="Q1628" s="1439"/>
      <c r="R1628" s="1439"/>
      <c r="S1628" s="1439"/>
      <c r="T1628" s="1439"/>
      <c r="U1628" s="1439"/>
      <c r="V1628" s="1439"/>
      <c r="W1628" s="1439"/>
      <c r="X1628" s="1439"/>
      <c r="Y1628" s="1439"/>
      <c r="Z1628" s="1439"/>
      <c r="AA1628" s="1439"/>
      <c r="AB1628" s="1439"/>
      <c r="AC1628" s="1439"/>
      <c r="AD1628" s="1439"/>
      <c r="AE1628" s="1439"/>
      <c r="AF1628" s="1439"/>
      <c r="AG1628" s="1439"/>
    </row>
    <row r="1629" spans="1:33" ht="15.75" customHeight="1">
      <c r="A1629" s="1451"/>
      <c r="B1629" s="1450" t="s">
        <v>7235</v>
      </c>
      <c r="C1629" s="1484">
        <v>1</v>
      </c>
      <c r="D1629" s="1484" t="s">
        <v>3364</v>
      </c>
      <c r="E1629" s="1484">
        <v>2</v>
      </c>
      <c r="F1629" s="1446"/>
      <c r="G1629" s="1446"/>
      <c r="H1629" s="1447"/>
      <c r="I1629" s="1494">
        <f t="shared" si="74"/>
        <v>2</v>
      </c>
      <c r="J1629" s="1492"/>
      <c r="K1629" s="1439"/>
      <c r="L1629" s="1439"/>
      <c r="M1629" s="1439"/>
      <c r="N1629" s="1439"/>
      <c r="O1629" s="1439"/>
      <c r="P1629" s="1439"/>
      <c r="Q1629" s="1439"/>
      <c r="R1629" s="1439"/>
      <c r="S1629" s="1439"/>
      <c r="T1629" s="1439"/>
      <c r="U1629" s="1439"/>
      <c r="V1629" s="1439"/>
      <c r="W1629" s="1439"/>
      <c r="X1629" s="1439"/>
      <c r="Y1629" s="1439"/>
      <c r="Z1629" s="1439"/>
      <c r="AA1629" s="1439"/>
      <c r="AB1629" s="1439"/>
      <c r="AC1629" s="1439"/>
      <c r="AD1629" s="1439"/>
      <c r="AE1629" s="1439"/>
      <c r="AF1629" s="1439"/>
      <c r="AG1629" s="1439"/>
    </row>
    <row r="1630" spans="1:33" ht="15.75" customHeight="1">
      <c r="A1630" s="1451"/>
      <c r="B1630" s="1450" t="s">
        <v>7236</v>
      </c>
      <c r="C1630" s="1484">
        <v>1</v>
      </c>
      <c r="D1630" s="1484" t="s">
        <v>3364</v>
      </c>
      <c r="E1630" s="1484">
        <v>1</v>
      </c>
      <c r="F1630" s="1446"/>
      <c r="G1630" s="1446"/>
      <c r="H1630" s="1447"/>
      <c r="I1630" s="1494">
        <f t="shared" si="74"/>
        <v>1</v>
      </c>
      <c r="J1630" s="1492"/>
      <c r="K1630" s="1439"/>
      <c r="L1630" s="1439"/>
      <c r="M1630" s="1439"/>
      <c r="N1630" s="1439"/>
      <c r="O1630" s="1439"/>
      <c r="P1630" s="1439"/>
      <c r="Q1630" s="1439"/>
      <c r="R1630" s="1439"/>
      <c r="S1630" s="1439"/>
      <c r="T1630" s="1439"/>
      <c r="U1630" s="1439"/>
      <c r="V1630" s="1439"/>
      <c r="W1630" s="1439"/>
      <c r="X1630" s="1439"/>
      <c r="Y1630" s="1439"/>
      <c r="Z1630" s="1439"/>
      <c r="AA1630" s="1439"/>
      <c r="AB1630" s="1439"/>
      <c r="AC1630" s="1439"/>
      <c r="AD1630" s="1439"/>
      <c r="AE1630" s="1439"/>
      <c r="AF1630" s="1439"/>
      <c r="AG1630" s="1439"/>
    </row>
    <row r="1631" spans="1:33" ht="15.75" customHeight="1">
      <c r="A1631" s="1451"/>
      <c r="B1631" s="1450" t="s">
        <v>7237</v>
      </c>
      <c r="C1631" s="1484">
        <v>2</v>
      </c>
      <c r="D1631" s="1484" t="s">
        <v>3364</v>
      </c>
      <c r="E1631" s="1484">
        <v>1</v>
      </c>
      <c r="F1631" s="1446"/>
      <c r="G1631" s="1446"/>
      <c r="H1631" s="1447"/>
      <c r="I1631" s="1494">
        <f t="shared" si="74"/>
        <v>2</v>
      </c>
      <c r="J1631" s="1492"/>
      <c r="K1631" s="1439"/>
      <c r="L1631" s="1439"/>
      <c r="M1631" s="1439"/>
      <c r="N1631" s="1439"/>
      <c r="O1631" s="1439"/>
      <c r="P1631" s="1439"/>
      <c r="Q1631" s="1439"/>
      <c r="R1631" s="1439"/>
      <c r="S1631" s="1439"/>
      <c r="T1631" s="1439"/>
      <c r="U1631" s="1439"/>
      <c r="V1631" s="1439"/>
      <c r="W1631" s="1439"/>
      <c r="X1631" s="1439"/>
      <c r="Y1631" s="1439"/>
      <c r="Z1631" s="1439"/>
      <c r="AA1631" s="1439"/>
      <c r="AB1631" s="1439"/>
      <c r="AC1631" s="1439"/>
      <c r="AD1631" s="1439"/>
      <c r="AE1631" s="1439"/>
      <c r="AF1631" s="1439"/>
      <c r="AG1631" s="1439"/>
    </row>
    <row r="1632" spans="1:33" ht="15.75" customHeight="1">
      <c r="A1632" s="1451"/>
      <c r="B1632" s="1450" t="s">
        <v>6586</v>
      </c>
      <c r="C1632" s="1484">
        <v>1</v>
      </c>
      <c r="D1632" s="1484" t="s">
        <v>3364</v>
      </c>
      <c r="E1632" s="1484">
        <v>1</v>
      </c>
      <c r="F1632" s="1446"/>
      <c r="G1632" s="1446"/>
      <c r="H1632" s="1447"/>
      <c r="I1632" s="1494">
        <f t="shared" si="74"/>
        <v>1</v>
      </c>
      <c r="J1632" s="1492"/>
      <c r="K1632" s="1439"/>
      <c r="L1632" s="1439"/>
      <c r="M1632" s="1439"/>
      <c r="N1632" s="1439"/>
      <c r="O1632" s="1439"/>
      <c r="P1632" s="1439"/>
      <c r="Q1632" s="1439"/>
      <c r="R1632" s="1439"/>
      <c r="S1632" s="1439"/>
      <c r="T1632" s="1439"/>
      <c r="U1632" s="1439"/>
      <c r="V1632" s="1439"/>
      <c r="W1632" s="1439"/>
      <c r="X1632" s="1439"/>
      <c r="Y1632" s="1439"/>
      <c r="Z1632" s="1439"/>
      <c r="AA1632" s="1439"/>
      <c r="AB1632" s="1439"/>
      <c r="AC1632" s="1439"/>
      <c r="AD1632" s="1439"/>
      <c r="AE1632" s="1439"/>
      <c r="AF1632" s="1439"/>
      <c r="AG1632" s="1439"/>
    </row>
    <row r="1633" spans="1:33" ht="15.75" customHeight="1">
      <c r="A1633" s="1451"/>
      <c r="B1633" s="1450" t="s">
        <v>7238</v>
      </c>
      <c r="C1633" s="1484">
        <v>1</v>
      </c>
      <c r="D1633" s="1484" t="s">
        <v>3364</v>
      </c>
      <c r="E1633" s="1484">
        <v>3</v>
      </c>
      <c r="F1633" s="1446"/>
      <c r="G1633" s="1446"/>
      <c r="H1633" s="1447"/>
      <c r="I1633" s="1494">
        <f t="shared" si="74"/>
        <v>3</v>
      </c>
      <c r="J1633" s="1492"/>
      <c r="K1633" s="1439"/>
      <c r="L1633" s="1439"/>
      <c r="M1633" s="1439"/>
      <c r="N1633" s="1439"/>
      <c r="O1633" s="1439"/>
      <c r="P1633" s="1439"/>
      <c r="Q1633" s="1439"/>
      <c r="R1633" s="1439"/>
      <c r="S1633" s="1439"/>
      <c r="T1633" s="1439"/>
      <c r="U1633" s="1439"/>
      <c r="V1633" s="1439"/>
      <c r="W1633" s="1439"/>
      <c r="X1633" s="1439"/>
      <c r="Y1633" s="1439"/>
      <c r="Z1633" s="1439"/>
      <c r="AA1633" s="1439"/>
      <c r="AB1633" s="1439"/>
      <c r="AC1633" s="1439"/>
      <c r="AD1633" s="1439"/>
      <c r="AE1633" s="1439"/>
      <c r="AF1633" s="1439"/>
      <c r="AG1633" s="1439"/>
    </row>
    <row r="1634" spans="1:33" ht="15.75" customHeight="1">
      <c r="A1634" s="1451"/>
      <c r="B1634" s="1450" t="s">
        <v>7239</v>
      </c>
      <c r="C1634" s="1484">
        <v>1</v>
      </c>
      <c r="D1634" s="1484" t="s">
        <v>3364</v>
      </c>
      <c r="E1634" s="1484">
        <v>2</v>
      </c>
      <c r="F1634" s="1446"/>
      <c r="G1634" s="1446"/>
      <c r="H1634" s="1447"/>
      <c r="I1634" s="1494">
        <f t="shared" si="74"/>
        <v>2</v>
      </c>
      <c r="J1634" s="1492"/>
      <c r="K1634" s="1439"/>
      <c r="L1634" s="1439"/>
      <c r="M1634" s="1439"/>
      <c r="N1634" s="1439"/>
      <c r="O1634" s="1439"/>
      <c r="P1634" s="1439"/>
      <c r="Q1634" s="1439"/>
      <c r="R1634" s="1439"/>
      <c r="S1634" s="1439"/>
      <c r="T1634" s="1439"/>
      <c r="U1634" s="1439"/>
      <c r="V1634" s="1439"/>
      <c r="W1634" s="1439"/>
      <c r="X1634" s="1439"/>
      <c r="Y1634" s="1439"/>
      <c r="Z1634" s="1439"/>
      <c r="AA1634" s="1439"/>
      <c r="AB1634" s="1439"/>
      <c r="AC1634" s="1439"/>
      <c r="AD1634" s="1439"/>
      <c r="AE1634" s="1439"/>
      <c r="AF1634" s="1439"/>
      <c r="AG1634" s="1439"/>
    </row>
    <row r="1635" spans="1:33" ht="15.75" customHeight="1">
      <c r="A1635" s="1451"/>
      <c r="B1635" s="1456" t="s">
        <v>7240</v>
      </c>
      <c r="C1635" s="1484"/>
      <c r="D1635" s="1484"/>
      <c r="E1635" s="1484"/>
      <c r="F1635" s="1446"/>
      <c r="G1635" s="1446"/>
      <c r="H1635" s="1447"/>
      <c r="I1635" s="1494"/>
      <c r="J1635" s="1492"/>
      <c r="K1635" s="1439"/>
      <c r="L1635" s="1439"/>
      <c r="M1635" s="1439"/>
      <c r="N1635" s="1439"/>
      <c r="O1635" s="1439"/>
      <c r="P1635" s="1439"/>
      <c r="Q1635" s="1439"/>
      <c r="R1635" s="1439"/>
      <c r="S1635" s="1439"/>
      <c r="T1635" s="1439"/>
      <c r="U1635" s="1439"/>
      <c r="V1635" s="1439"/>
      <c r="W1635" s="1439"/>
      <c r="X1635" s="1439"/>
      <c r="Y1635" s="1439"/>
      <c r="Z1635" s="1439"/>
      <c r="AA1635" s="1439"/>
      <c r="AB1635" s="1439"/>
      <c r="AC1635" s="1439"/>
      <c r="AD1635" s="1439"/>
      <c r="AE1635" s="1439"/>
      <c r="AF1635" s="1439"/>
      <c r="AG1635" s="1439"/>
    </row>
    <row r="1636" spans="1:33" ht="15.75" customHeight="1">
      <c r="A1636" s="1451"/>
      <c r="B1636" s="1450" t="s">
        <v>7224</v>
      </c>
      <c r="C1636" s="1484">
        <v>1</v>
      </c>
      <c r="D1636" s="1484" t="s">
        <v>3364</v>
      </c>
      <c r="E1636" s="1484">
        <v>1</v>
      </c>
      <c r="F1636" s="1446"/>
      <c r="G1636" s="1446"/>
      <c r="H1636" s="1447"/>
      <c r="I1636" s="1494">
        <f t="shared" si="74"/>
        <v>1</v>
      </c>
      <c r="J1636" s="1492"/>
      <c r="K1636" s="1439"/>
      <c r="L1636" s="1439"/>
      <c r="M1636" s="1439"/>
      <c r="N1636" s="1439"/>
      <c r="O1636" s="1439"/>
      <c r="P1636" s="1439"/>
      <c r="Q1636" s="1439"/>
      <c r="R1636" s="1439"/>
      <c r="S1636" s="1439"/>
      <c r="T1636" s="1439"/>
      <c r="U1636" s="1439"/>
      <c r="V1636" s="1439"/>
      <c r="W1636" s="1439"/>
      <c r="X1636" s="1439"/>
      <c r="Y1636" s="1439"/>
      <c r="Z1636" s="1439"/>
      <c r="AA1636" s="1439"/>
      <c r="AB1636" s="1439"/>
      <c r="AC1636" s="1439"/>
      <c r="AD1636" s="1439"/>
      <c r="AE1636" s="1439"/>
      <c r="AF1636" s="1439"/>
      <c r="AG1636" s="1439"/>
    </row>
    <row r="1637" spans="1:33" ht="15.75" customHeight="1">
      <c r="A1637" s="1451"/>
      <c r="B1637" s="1450" t="s">
        <v>7221</v>
      </c>
      <c r="C1637" s="1484">
        <v>1</v>
      </c>
      <c r="D1637" s="1484" t="s">
        <v>3364</v>
      </c>
      <c r="E1637" s="1484">
        <v>2</v>
      </c>
      <c r="F1637" s="1446"/>
      <c r="G1637" s="1446"/>
      <c r="H1637" s="1447"/>
      <c r="I1637" s="1494">
        <f t="shared" si="74"/>
        <v>2</v>
      </c>
      <c r="J1637" s="1492"/>
      <c r="K1637" s="1439"/>
      <c r="L1637" s="1439"/>
      <c r="M1637" s="1439"/>
      <c r="N1637" s="1439"/>
      <c r="O1637" s="1439"/>
      <c r="P1637" s="1439"/>
      <c r="Q1637" s="1439"/>
      <c r="R1637" s="1439"/>
      <c r="S1637" s="1439"/>
      <c r="T1637" s="1439"/>
      <c r="U1637" s="1439"/>
      <c r="V1637" s="1439"/>
      <c r="W1637" s="1439"/>
      <c r="X1637" s="1439"/>
      <c r="Y1637" s="1439"/>
      <c r="Z1637" s="1439"/>
      <c r="AA1637" s="1439"/>
      <c r="AB1637" s="1439"/>
      <c r="AC1637" s="1439"/>
      <c r="AD1637" s="1439"/>
      <c r="AE1637" s="1439"/>
      <c r="AF1637" s="1439"/>
      <c r="AG1637" s="1439"/>
    </row>
    <row r="1638" spans="1:33" ht="15.75" customHeight="1">
      <c r="A1638" s="1451"/>
      <c r="B1638" s="1450" t="s">
        <v>7233</v>
      </c>
      <c r="C1638" s="1484">
        <v>1</v>
      </c>
      <c r="D1638" s="1484" t="s">
        <v>3364</v>
      </c>
      <c r="E1638" s="1484">
        <v>3</v>
      </c>
      <c r="F1638" s="1446"/>
      <c r="G1638" s="1446"/>
      <c r="H1638" s="1447"/>
      <c r="I1638" s="1494">
        <f t="shared" si="74"/>
        <v>3</v>
      </c>
      <c r="J1638" s="1492"/>
      <c r="K1638" s="1439"/>
      <c r="L1638" s="1439"/>
      <c r="M1638" s="1439"/>
      <c r="N1638" s="1439"/>
      <c r="O1638" s="1439"/>
      <c r="P1638" s="1439"/>
      <c r="Q1638" s="1439"/>
      <c r="R1638" s="1439"/>
      <c r="S1638" s="1439"/>
      <c r="T1638" s="1439"/>
      <c r="U1638" s="1439"/>
      <c r="V1638" s="1439"/>
      <c r="W1638" s="1439"/>
      <c r="X1638" s="1439"/>
      <c r="Y1638" s="1439"/>
      <c r="Z1638" s="1439"/>
      <c r="AA1638" s="1439"/>
      <c r="AB1638" s="1439"/>
      <c r="AC1638" s="1439"/>
      <c r="AD1638" s="1439"/>
      <c r="AE1638" s="1439"/>
      <c r="AF1638" s="1439"/>
      <c r="AG1638" s="1439"/>
    </row>
    <row r="1639" spans="1:33" ht="15.75" customHeight="1">
      <c r="A1639" s="1451"/>
      <c r="B1639" s="1450" t="s">
        <v>7231</v>
      </c>
      <c r="C1639" s="1484">
        <v>1</v>
      </c>
      <c r="D1639" s="1484" t="s">
        <v>3364</v>
      </c>
      <c r="E1639" s="1484">
        <v>2</v>
      </c>
      <c r="F1639" s="1446"/>
      <c r="G1639" s="1446"/>
      <c r="H1639" s="1447"/>
      <c r="I1639" s="1494">
        <f t="shared" si="74"/>
        <v>2</v>
      </c>
      <c r="J1639" s="1492"/>
      <c r="K1639" s="1439"/>
      <c r="L1639" s="1439"/>
      <c r="M1639" s="1439"/>
      <c r="N1639" s="1439"/>
      <c r="O1639" s="1439"/>
      <c r="P1639" s="1439"/>
      <c r="Q1639" s="1439"/>
      <c r="R1639" s="1439"/>
      <c r="S1639" s="1439"/>
      <c r="T1639" s="1439"/>
      <c r="U1639" s="1439"/>
      <c r="V1639" s="1439"/>
      <c r="W1639" s="1439"/>
      <c r="X1639" s="1439"/>
      <c r="Y1639" s="1439"/>
      <c r="Z1639" s="1439"/>
      <c r="AA1639" s="1439"/>
      <c r="AB1639" s="1439"/>
      <c r="AC1639" s="1439"/>
      <c r="AD1639" s="1439"/>
      <c r="AE1639" s="1439"/>
      <c r="AF1639" s="1439"/>
      <c r="AG1639" s="1439"/>
    </row>
    <row r="1640" spans="1:33" ht="15.75" customHeight="1">
      <c r="A1640" s="1451"/>
      <c r="B1640" s="1450" t="s">
        <v>6908</v>
      </c>
      <c r="C1640" s="1484">
        <v>1</v>
      </c>
      <c r="D1640" s="1484" t="s">
        <v>3364</v>
      </c>
      <c r="E1640" s="1484">
        <v>1</v>
      </c>
      <c r="F1640" s="1446"/>
      <c r="G1640" s="1446"/>
      <c r="H1640" s="1447"/>
      <c r="I1640" s="1494">
        <f t="shared" si="74"/>
        <v>1</v>
      </c>
      <c r="J1640" s="1492"/>
      <c r="K1640" s="1439"/>
      <c r="L1640" s="1439"/>
      <c r="M1640" s="1439"/>
      <c r="N1640" s="1439"/>
      <c r="O1640" s="1439"/>
      <c r="P1640" s="1439"/>
      <c r="Q1640" s="1439"/>
      <c r="R1640" s="1439"/>
      <c r="S1640" s="1439"/>
      <c r="T1640" s="1439"/>
      <c r="U1640" s="1439"/>
      <c r="V1640" s="1439"/>
      <c r="W1640" s="1439"/>
      <c r="X1640" s="1439"/>
      <c r="Y1640" s="1439"/>
      <c r="Z1640" s="1439"/>
      <c r="AA1640" s="1439"/>
      <c r="AB1640" s="1439"/>
      <c r="AC1640" s="1439"/>
      <c r="AD1640" s="1439"/>
      <c r="AE1640" s="1439"/>
      <c r="AF1640" s="1439"/>
      <c r="AG1640" s="1439"/>
    </row>
    <row r="1641" spans="1:33" ht="15.75" customHeight="1">
      <c r="A1641" s="1451"/>
      <c r="B1641" s="1450" t="s">
        <v>7138</v>
      </c>
      <c r="C1641" s="1484">
        <v>1</v>
      </c>
      <c r="D1641" s="1484" t="s">
        <v>3364</v>
      </c>
      <c r="E1641" s="1484">
        <v>4</v>
      </c>
      <c r="F1641" s="1446"/>
      <c r="G1641" s="1446"/>
      <c r="H1641" s="1447"/>
      <c r="I1641" s="1494">
        <f t="shared" si="74"/>
        <v>4</v>
      </c>
      <c r="J1641" s="1492"/>
      <c r="K1641" s="1439"/>
      <c r="L1641" s="1439"/>
      <c r="M1641" s="1439"/>
      <c r="N1641" s="1439"/>
      <c r="O1641" s="1439"/>
      <c r="P1641" s="1439"/>
      <c r="Q1641" s="1439"/>
      <c r="R1641" s="1439"/>
      <c r="S1641" s="1439"/>
      <c r="T1641" s="1439"/>
      <c r="U1641" s="1439"/>
      <c r="V1641" s="1439"/>
      <c r="W1641" s="1439"/>
      <c r="X1641" s="1439"/>
      <c r="Y1641" s="1439"/>
      <c r="Z1641" s="1439"/>
      <c r="AA1641" s="1439"/>
      <c r="AB1641" s="1439"/>
      <c r="AC1641" s="1439"/>
      <c r="AD1641" s="1439"/>
      <c r="AE1641" s="1439"/>
      <c r="AF1641" s="1439"/>
      <c r="AG1641" s="1439"/>
    </row>
    <row r="1642" spans="1:33" ht="15.75" customHeight="1">
      <c r="A1642" s="1451"/>
      <c r="B1642" s="1450" t="s">
        <v>6586</v>
      </c>
      <c r="C1642" s="1484">
        <v>1</v>
      </c>
      <c r="D1642" s="1484" t="s">
        <v>3364</v>
      </c>
      <c r="E1642" s="1484">
        <v>1</v>
      </c>
      <c r="F1642" s="1446"/>
      <c r="G1642" s="1446"/>
      <c r="H1642" s="1447"/>
      <c r="I1642" s="1494">
        <f t="shared" si="74"/>
        <v>1</v>
      </c>
      <c r="J1642" s="1492"/>
      <c r="K1642" s="1439"/>
      <c r="L1642" s="1439"/>
      <c r="M1642" s="1439"/>
      <c r="N1642" s="1439"/>
      <c r="O1642" s="1439"/>
      <c r="P1642" s="1439"/>
      <c r="Q1642" s="1439"/>
      <c r="R1642" s="1439"/>
      <c r="S1642" s="1439"/>
      <c r="T1642" s="1439"/>
      <c r="U1642" s="1439"/>
      <c r="V1642" s="1439"/>
      <c r="W1642" s="1439"/>
      <c r="X1642" s="1439"/>
      <c r="Y1642" s="1439"/>
      <c r="Z1642" s="1439"/>
      <c r="AA1642" s="1439"/>
      <c r="AB1642" s="1439"/>
      <c r="AC1642" s="1439"/>
      <c r="AD1642" s="1439"/>
      <c r="AE1642" s="1439"/>
      <c r="AF1642" s="1439"/>
      <c r="AG1642" s="1439"/>
    </row>
    <row r="1643" spans="1:33" ht="15.75" customHeight="1">
      <c r="A1643" s="1451"/>
      <c r="B1643" s="1450" t="s">
        <v>7241</v>
      </c>
      <c r="C1643" s="1484">
        <v>1</v>
      </c>
      <c r="D1643" s="1484" t="s">
        <v>3364</v>
      </c>
      <c r="E1643" s="1484">
        <v>3</v>
      </c>
      <c r="F1643" s="1446"/>
      <c r="G1643" s="1446"/>
      <c r="H1643" s="1447"/>
      <c r="I1643" s="1494">
        <f t="shared" si="74"/>
        <v>3</v>
      </c>
      <c r="J1643" s="1492"/>
      <c r="K1643" s="1439"/>
      <c r="L1643" s="1439"/>
      <c r="M1643" s="1439"/>
      <c r="N1643" s="1439"/>
      <c r="O1643" s="1439"/>
      <c r="P1643" s="1439"/>
      <c r="Q1643" s="1439"/>
      <c r="R1643" s="1439"/>
      <c r="S1643" s="1439"/>
      <c r="T1643" s="1439"/>
      <c r="U1643" s="1439"/>
      <c r="V1643" s="1439"/>
      <c r="W1643" s="1439"/>
      <c r="X1643" s="1439"/>
      <c r="Y1643" s="1439"/>
      <c r="Z1643" s="1439"/>
      <c r="AA1643" s="1439"/>
      <c r="AB1643" s="1439"/>
      <c r="AC1643" s="1439"/>
      <c r="AD1643" s="1439"/>
      <c r="AE1643" s="1439"/>
      <c r="AF1643" s="1439"/>
      <c r="AG1643" s="1439"/>
    </row>
    <row r="1644" spans="1:33" ht="15.75" customHeight="1">
      <c r="A1644" s="1451"/>
      <c r="B1644" s="1450" t="s">
        <v>7235</v>
      </c>
      <c r="C1644" s="1484">
        <v>1</v>
      </c>
      <c r="D1644" s="1484" t="s">
        <v>3364</v>
      </c>
      <c r="E1644" s="1484">
        <v>2</v>
      </c>
      <c r="F1644" s="1446"/>
      <c r="G1644" s="1446"/>
      <c r="H1644" s="1447"/>
      <c r="I1644" s="1494">
        <f t="shared" si="74"/>
        <v>2</v>
      </c>
      <c r="J1644" s="1492"/>
      <c r="K1644" s="1439"/>
      <c r="L1644" s="1439"/>
      <c r="M1644" s="1439"/>
      <c r="N1644" s="1439"/>
      <c r="O1644" s="1439"/>
      <c r="P1644" s="1439"/>
      <c r="Q1644" s="1439"/>
      <c r="R1644" s="1439"/>
      <c r="S1644" s="1439"/>
      <c r="T1644" s="1439"/>
      <c r="U1644" s="1439"/>
      <c r="V1644" s="1439"/>
      <c r="W1644" s="1439"/>
      <c r="X1644" s="1439"/>
      <c r="Y1644" s="1439"/>
      <c r="Z1644" s="1439"/>
      <c r="AA1644" s="1439"/>
      <c r="AB1644" s="1439"/>
      <c r="AC1644" s="1439"/>
      <c r="AD1644" s="1439"/>
      <c r="AE1644" s="1439"/>
      <c r="AF1644" s="1439"/>
      <c r="AG1644" s="1439"/>
    </row>
    <row r="1645" spans="1:33" ht="15.75" customHeight="1">
      <c r="A1645" s="1451"/>
      <c r="B1645" s="1450" t="s">
        <v>7236</v>
      </c>
      <c r="C1645" s="1484">
        <v>1</v>
      </c>
      <c r="D1645" s="1484" t="s">
        <v>3364</v>
      </c>
      <c r="E1645" s="1484">
        <v>1</v>
      </c>
      <c r="F1645" s="1446"/>
      <c r="G1645" s="1446"/>
      <c r="H1645" s="1447"/>
      <c r="I1645" s="1494">
        <f t="shared" si="74"/>
        <v>1</v>
      </c>
      <c r="J1645" s="1492"/>
      <c r="K1645" s="1439"/>
      <c r="L1645" s="1439"/>
      <c r="M1645" s="1439"/>
      <c r="N1645" s="1439"/>
      <c r="O1645" s="1439"/>
      <c r="P1645" s="1439"/>
      <c r="Q1645" s="1439"/>
      <c r="R1645" s="1439"/>
      <c r="S1645" s="1439"/>
      <c r="T1645" s="1439"/>
      <c r="U1645" s="1439"/>
      <c r="V1645" s="1439"/>
      <c r="W1645" s="1439"/>
      <c r="X1645" s="1439"/>
      <c r="Y1645" s="1439"/>
      <c r="Z1645" s="1439"/>
      <c r="AA1645" s="1439"/>
      <c r="AB1645" s="1439"/>
      <c r="AC1645" s="1439"/>
      <c r="AD1645" s="1439"/>
      <c r="AE1645" s="1439"/>
      <c r="AF1645" s="1439"/>
      <c r="AG1645" s="1439"/>
    </row>
    <row r="1646" spans="1:33" ht="15.75" customHeight="1">
      <c r="A1646" s="1451"/>
      <c r="B1646" s="1450" t="s">
        <v>7237</v>
      </c>
      <c r="C1646" s="1484">
        <v>2</v>
      </c>
      <c r="D1646" s="1484" t="s">
        <v>3364</v>
      </c>
      <c r="E1646" s="1484">
        <v>1</v>
      </c>
      <c r="F1646" s="1446"/>
      <c r="G1646" s="1446"/>
      <c r="H1646" s="1447"/>
      <c r="I1646" s="1494">
        <f t="shared" si="74"/>
        <v>2</v>
      </c>
      <c r="J1646" s="1492"/>
      <c r="K1646" s="1439"/>
      <c r="L1646" s="1439"/>
      <c r="M1646" s="1439"/>
      <c r="N1646" s="1439"/>
      <c r="O1646" s="1439"/>
      <c r="P1646" s="1439"/>
      <c r="Q1646" s="1439"/>
      <c r="R1646" s="1439"/>
      <c r="S1646" s="1439"/>
      <c r="T1646" s="1439"/>
      <c r="U1646" s="1439"/>
      <c r="V1646" s="1439"/>
      <c r="W1646" s="1439"/>
      <c r="X1646" s="1439"/>
      <c r="Y1646" s="1439"/>
      <c r="Z1646" s="1439"/>
      <c r="AA1646" s="1439"/>
      <c r="AB1646" s="1439"/>
      <c r="AC1646" s="1439"/>
      <c r="AD1646" s="1439"/>
      <c r="AE1646" s="1439"/>
      <c r="AF1646" s="1439"/>
      <c r="AG1646" s="1439"/>
    </row>
    <row r="1647" spans="1:33" ht="15.75" customHeight="1">
      <c r="A1647" s="1451"/>
      <c r="B1647" s="1450" t="s">
        <v>6586</v>
      </c>
      <c r="C1647" s="1484">
        <v>1</v>
      </c>
      <c r="D1647" s="1484" t="s">
        <v>3364</v>
      </c>
      <c r="E1647" s="1484">
        <v>1</v>
      </c>
      <c r="F1647" s="1446"/>
      <c r="G1647" s="1446"/>
      <c r="H1647" s="1447"/>
      <c r="I1647" s="1494">
        <f t="shared" si="74"/>
        <v>1</v>
      </c>
      <c r="J1647" s="1492"/>
      <c r="K1647" s="1439"/>
      <c r="L1647" s="1439"/>
      <c r="M1647" s="1439"/>
      <c r="N1647" s="1439"/>
      <c r="O1647" s="1439"/>
      <c r="P1647" s="1439"/>
      <c r="Q1647" s="1439"/>
      <c r="R1647" s="1439"/>
      <c r="S1647" s="1439"/>
      <c r="T1647" s="1439"/>
      <c r="U1647" s="1439"/>
      <c r="V1647" s="1439"/>
      <c r="W1647" s="1439"/>
      <c r="X1647" s="1439"/>
      <c r="Y1647" s="1439"/>
      <c r="Z1647" s="1439"/>
      <c r="AA1647" s="1439"/>
      <c r="AB1647" s="1439"/>
      <c r="AC1647" s="1439"/>
      <c r="AD1647" s="1439"/>
      <c r="AE1647" s="1439"/>
      <c r="AF1647" s="1439"/>
      <c r="AG1647" s="1439"/>
    </row>
    <row r="1648" spans="1:33" ht="15.75" customHeight="1">
      <c r="A1648" s="1451"/>
      <c r="B1648" s="1450" t="s">
        <v>7238</v>
      </c>
      <c r="C1648" s="1484">
        <v>1</v>
      </c>
      <c r="D1648" s="1484" t="s">
        <v>3364</v>
      </c>
      <c r="E1648" s="1484">
        <v>3</v>
      </c>
      <c r="F1648" s="1446"/>
      <c r="G1648" s="1446"/>
      <c r="H1648" s="1447"/>
      <c r="I1648" s="1494">
        <f t="shared" si="74"/>
        <v>3</v>
      </c>
      <c r="J1648" s="1492"/>
      <c r="K1648" s="1439"/>
      <c r="L1648" s="1439"/>
      <c r="M1648" s="1439"/>
      <c r="N1648" s="1439"/>
      <c r="O1648" s="1439"/>
      <c r="P1648" s="1439"/>
      <c r="Q1648" s="1439"/>
      <c r="R1648" s="1439"/>
      <c r="S1648" s="1439"/>
      <c r="T1648" s="1439"/>
      <c r="U1648" s="1439"/>
      <c r="V1648" s="1439"/>
      <c r="W1648" s="1439"/>
      <c r="X1648" s="1439"/>
      <c r="Y1648" s="1439"/>
      <c r="Z1648" s="1439"/>
      <c r="AA1648" s="1439"/>
      <c r="AB1648" s="1439"/>
      <c r="AC1648" s="1439"/>
      <c r="AD1648" s="1439"/>
      <c r="AE1648" s="1439"/>
      <c r="AF1648" s="1439"/>
      <c r="AG1648" s="1439"/>
    </row>
    <row r="1649" spans="1:33" ht="15.75" customHeight="1">
      <c r="A1649" s="1451"/>
      <c r="B1649" s="1450" t="s">
        <v>7239</v>
      </c>
      <c r="C1649" s="1484">
        <v>1</v>
      </c>
      <c r="D1649" s="1484" t="s">
        <v>3364</v>
      </c>
      <c r="E1649" s="1484">
        <v>2</v>
      </c>
      <c r="F1649" s="1446"/>
      <c r="G1649" s="1446"/>
      <c r="H1649" s="1447"/>
      <c r="I1649" s="1494">
        <f t="shared" si="74"/>
        <v>2</v>
      </c>
      <c r="J1649" s="1492"/>
      <c r="K1649" s="1439"/>
      <c r="L1649" s="1439"/>
      <c r="M1649" s="1439"/>
      <c r="N1649" s="1439"/>
      <c r="O1649" s="1439"/>
      <c r="P1649" s="1439"/>
      <c r="Q1649" s="1439"/>
      <c r="R1649" s="1439"/>
      <c r="S1649" s="1439"/>
      <c r="T1649" s="1439"/>
      <c r="U1649" s="1439"/>
      <c r="V1649" s="1439"/>
      <c r="W1649" s="1439"/>
      <c r="X1649" s="1439"/>
      <c r="Y1649" s="1439"/>
      <c r="Z1649" s="1439"/>
      <c r="AA1649" s="1439"/>
      <c r="AB1649" s="1439"/>
      <c r="AC1649" s="1439"/>
      <c r="AD1649" s="1439"/>
      <c r="AE1649" s="1439"/>
      <c r="AF1649" s="1439"/>
      <c r="AG1649" s="1439"/>
    </row>
    <row r="1650" spans="1:33" ht="15.75" customHeight="1">
      <c r="A1650" s="1470"/>
      <c r="B1650" s="1450"/>
      <c r="C1650" s="1484"/>
      <c r="D1650" s="1484"/>
      <c r="E1650" s="1484"/>
      <c r="F1650" s="1446"/>
      <c r="G1650" s="1458" t="s">
        <v>104</v>
      </c>
      <c r="H1650" s="1447"/>
      <c r="I1650" s="1459">
        <f>SUM(I1591:I1649)</f>
        <v>117</v>
      </c>
      <c r="J1650" s="1475" t="s">
        <v>3471</v>
      </c>
      <c r="K1650" s="1439"/>
      <c r="L1650" s="1439"/>
      <c r="M1650" s="1439"/>
      <c r="N1650" s="1439"/>
      <c r="O1650" s="1439"/>
      <c r="P1650" s="1439"/>
      <c r="Q1650" s="1439"/>
      <c r="R1650" s="1439"/>
      <c r="S1650" s="1439"/>
      <c r="T1650" s="1439"/>
      <c r="U1650" s="1439"/>
      <c r="V1650" s="1439"/>
      <c r="W1650" s="1439"/>
      <c r="X1650" s="1439"/>
      <c r="Y1650" s="1439"/>
      <c r="Z1650" s="1439"/>
      <c r="AA1650" s="1439"/>
      <c r="AB1650" s="1439"/>
      <c r="AC1650" s="1439"/>
      <c r="AD1650" s="1439"/>
      <c r="AE1650" s="1439"/>
      <c r="AF1650" s="1439"/>
      <c r="AG1650" s="1439"/>
    </row>
    <row r="1651" spans="1:33" ht="47.25">
      <c r="A1651" s="1451">
        <v>69</v>
      </c>
      <c r="B1651" s="1480" t="s">
        <v>7247</v>
      </c>
      <c r="C1651" s="1484"/>
      <c r="D1651" s="1484"/>
      <c r="E1651" s="1484"/>
      <c r="F1651" s="1446"/>
      <c r="G1651" s="1446"/>
      <c r="H1651" s="1447"/>
      <c r="I1651" s="1448"/>
      <c r="J1651" s="1475"/>
      <c r="K1651" s="1439"/>
      <c r="L1651" s="1439"/>
      <c r="M1651" s="1439"/>
      <c r="N1651" s="1439"/>
      <c r="O1651" s="1439"/>
      <c r="P1651" s="1439"/>
      <c r="Q1651" s="1439"/>
      <c r="R1651" s="1439"/>
      <c r="S1651" s="1439"/>
      <c r="T1651" s="1439"/>
      <c r="U1651" s="1439"/>
      <c r="V1651" s="1439"/>
      <c r="W1651" s="1439"/>
      <c r="X1651" s="1439"/>
      <c r="Y1651" s="1439"/>
      <c r="Z1651" s="1439"/>
      <c r="AA1651" s="1439"/>
      <c r="AB1651" s="1439"/>
      <c r="AC1651" s="1439"/>
      <c r="AD1651" s="1439"/>
      <c r="AE1651" s="1439"/>
      <c r="AF1651" s="1439"/>
      <c r="AG1651" s="1439"/>
    </row>
    <row r="1652" spans="1:33" ht="15.75" customHeight="1">
      <c r="A1652" s="1451"/>
      <c r="B1652" s="1456" t="s">
        <v>7157</v>
      </c>
      <c r="C1652" s="1484"/>
      <c r="D1652" s="1484"/>
      <c r="E1652" s="1484"/>
      <c r="F1652" s="1446"/>
      <c r="G1652" s="1446"/>
      <c r="H1652" s="1447"/>
      <c r="I1652" s="1494"/>
      <c r="J1652" s="1492"/>
      <c r="K1652" s="1439"/>
      <c r="L1652" s="1439"/>
      <c r="M1652" s="1439"/>
      <c r="N1652" s="1439"/>
      <c r="O1652" s="1439"/>
      <c r="P1652" s="1439"/>
      <c r="Q1652" s="1439"/>
      <c r="R1652" s="1439"/>
      <c r="S1652" s="1439"/>
      <c r="T1652" s="1439"/>
      <c r="U1652" s="1439"/>
      <c r="V1652" s="1439"/>
      <c r="W1652" s="1439"/>
      <c r="X1652" s="1439"/>
      <c r="Y1652" s="1439"/>
      <c r="Z1652" s="1439"/>
      <c r="AA1652" s="1439"/>
      <c r="AB1652" s="1439"/>
      <c r="AC1652" s="1439"/>
      <c r="AD1652" s="1439"/>
      <c r="AE1652" s="1439"/>
      <c r="AF1652" s="1439"/>
      <c r="AG1652" s="1439"/>
    </row>
    <row r="1653" spans="1:33" ht="15.75" customHeight="1">
      <c r="A1653" s="1451"/>
      <c r="B1653" s="1450" t="s">
        <v>7079</v>
      </c>
      <c r="C1653" s="1484">
        <v>2</v>
      </c>
      <c r="D1653" s="1484" t="s">
        <v>3364</v>
      </c>
      <c r="E1653" s="1484">
        <v>1</v>
      </c>
      <c r="F1653" s="1446"/>
      <c r="G1653" s="1446"/>
      <c r="H1653" s="1447"/>
      <c r="I1653" s="1494">
        <f t="shared" ref="I1653:I1706" si="75">PRODUCT(C1653:H1653)</f>
        <v>2</v>
      </c>
      <c r="J1653" s="1492"/>
      <c r="K1653" s="1439"/>
      <c r="L1653" s="1439"/>
      <c r="M1653" s="1439"/>
      <c r="N1653" s="1439"/>
      <c r="O1653" s="1439"/>
      <c r="P1653" s="1439"/>
      <c r="Q1653" s="1439"/>
      <c r="R1653" s="1439"/>
      <c r="S1653" s="1439"/>
      <c r="T1653" s="1439"/>
      <c r="U1653" s="1439"/>
      <c r="V1653" s="1439"/>
      <c r="W1653" s="1439"/>
      <c r="X1653" s="1439"/>
      <c r="Y1653" s="1439"/>
      <c r="Z1653" s="1439"/>
      <c r="AA1653" s="1439"/>
      <c r="AB1653" s="1439"/>
      <c r="AC1653" s="1439"/>
      <c r="AD1653" s="1439"/>
      <c r="AE1653" s="1439"/>
      <c r="AF1653" s="1439"/>
      <c r="AG1653" s="1439"/>
    </row>
    <row r="1654" spans="1:33" ht="15.75" customHeight="1">
      <c r="A1654" s="1451"/>
      <c r="B1654" s="1450" t="s">
        <v>7214</v>
      </c>
      <c r="C1654" s="1484">
        <v>1</v>
      </c>
      <c r="D1654" s="1484" t="s">
        <v>3364</v>
      </c>
      <c r="E1654" s="1484">
        <v>1</v>
      </c>
      <c r="F1654" s="1446"/>
      <c r="G1654" s="1446"/>
      <c r="H1654" s="1447"/>
      <c r="I1654" s="1494">
        <f t="shared" si="75"/>
        <v>1</v>
      </c>
      <c r="J1654" s="1492"/>
      <c r="K1654" s="1439"/>
      <c r="L1654" s="1439"/>
      <c r="M1654" s="1439"/>
      <c r="N1654" s="1439"/>
      <c r="O1654" s="1439"/>
      <c r="P1654" s="1439"/>
      <c r="Q1654" s="1439"/>
      <c r="R1654" s="1439"/>
      <c r="S1654" s="1439"/>
      <c r="T1654" s="1439"/>
      <c r="U1654" s="1439"/>
      <c r="V1654" s="1439"/>
      <c r="W1654" s="1439"/>
      <c r="X1654" s="1439"/>
      <c r="Y1654" s="1439"/>
      <c r="Z1654" s="1439"/>
      <c r="AA1654" s="1439"/>
      <c r="AB1654" s="1439"/>
      <c r="AC1654" s="1439"/>
      <c r="AD1654" s="1439"/>
      <c r="AE1654" s="1439"/>
      <c r="AF1654" s="1439"/>
      <c r="AG1654" s="1439"/>
    </row>
    <row r="1655" spans="1:33" ht="15.75" customHeight="1">
      <c r="A1655" s="1451"/>
      <c r="B1655" s="1450" t="s">
        <v>7215</v>
      </c>
      <c r="C1655" s="1484">
        <v>1</v>
      </c>
      <c r="D1655" s="1484" t="s">
        <v>3364</v>
      </c>
      <c r="E1655" s="1484">
        <v>1</v>
      </c>
      <c r="F1655" s="1446"/>
      <c r="G1655" s="1446"/>
      <c r="H1655" s="1447"/>
      <c r="I1655" s="1494">
        <f t="shared" si="75"/>
        <v>1</v>
      </c>
      <c r="J1655" s="1492"/>
      <c r="K1655" s="1439"/>
      <c r="L1655" s="1439"/>
      <c r="M1655" s="1439"/>
      <c r="N1655" s="1439"/>
      <c r="O1655" s="1439"/>
      <c r="P1655" s="1439"/>
      <c r="Q1655" s="1439"/>
      <c r="R1655" s="1439"/>
      <c r="S1655" s="1439"/>
      <c r="T1655" s="1439"/>
      <c r="U1655" s="1439"/>
      <c r="V1655" s="1439"/>
      <c r="W1655" s="1439"/>
      <c r="X1655" s="1439"/>
      <c r="Y1655" s="1439"/>
      <c r="Z1655" s="1439"/>
      <c r="AA1655" s="1439"/>
      <c r="AB1655" s="1439"/>
      <c r="AC1655" s="1439"/>
      <c r="AD1655" s="1439"/>
      <c r="AE1655" s="1439"/>
      <c r="AF1655" s="1439"/>
      <c r="AG1655" s="1439"/>
    </row>
    <row r="1656" spans="1:33" ht="15.75" customHeight="1">
      <c r="A1656" s="1451"/>
      <c r="B1656" s="1450" t="s">
        <v>7080</v>
      </c>
      <c r="C1656" s="1484">
        <v>1</v>
      </c>
      <c r="D1656" s="1484" t="s">
        <v>3364</v>
      </c>
      <c r="E1656" s="1484">
        <v>2</v>
      </c>
      <c r="F1656" s="1446"/>
      <c r="G1656" s="1446"/>
      <c r="H1656" s="1447"/>
      <c r="I1656" s="1494">
        <f t="shared" si="75"/>
        <v>2</v>
      </c>
      <c r="J1656" s="1492"/>
      <c r="K1656" s="1439"/>
      <c r="L1656" s="1439"/>
      <c r="M1656" s="1439"/>
      <c r="N1656" s="1439"/>
      <c r="O1656" s="1439"/>
      <c r="P1656" s="1439"/>
      <c r="Q1656" s="1439"/>
      <c r="R1656" s="1439"/>
      <c r="S1656" s="1439"/>
      <c r="T1656" s="1439"/>
      <c r="U1656" s="1439"/>
      <c r="V1656" s="1439"/>
      <c r="W1656" s="1439"/>
      <c r="X1656" s="1439"/>
      <c r="Y1656" s="1439"/>
      <c r="Z1656" s="1439"/>
      <c r="AA1656" s="1439"/>
      <c r="AB1656" s="1439"/>
      <c r="AC1656" s="1439"/>
      <c r="AD1656" s="1439"/>
      <c r="AE1656" s="1439"/>
      <c r="AF1656" s="1439"/>
      <c r="AG1656" s="1439"/>
    </row>
    <row r="1657" spans="1:33" ht="15.75" customHeight="1">
      <c r="A1657" s="1451"/>
      <c r="B1657" s="1450" t="s">
        <v>7216</v>
      </c>
      <c r="C1657" s="1484">
        <v>1</v>
      </c>
      <c r="D1657" s="1484" t="s">
        <v>3364</v>
      </c>
      <c r="E1657" s="1484">
        <v>1</v>
      </c>
      <c r="F1657" s="1446"/>
      <c r="G1657" s="1446"/>
      <c r="H1657" s="1447"/>
      <c r="I1657" s="1494">
        <f t="shared" si="75"/>
        <v>1</v>
      </c>
      <c r="J1657" s="1492"/>
      <c r="K1657" s="1439"/>
      <c r="L1657" s="1439"/>
      <c r="M1657" s="1439"/>
      <c r="N1657" s="1439"/>
      <c r="O1657" s="1439"/>
      <c r="P1657" s="1439"/>
      <c r="Q1657" s="1439"/>
      <c r="R1657" s="1439"/>
      <c r="S1657" s="1439"/>
      <c r="T1657" s="1439"/>
      <c r="U1657" s="1439"/>
      <c r="V1657" s="1439"/>
      <c r="W1657" s="1439"/>
      <c r="X1657" s="1439"/>
      <c r="Y1657" s="1439"/>
      <c r="Z1657" s="1439"/>
      <c r="AA1657" s="1439"/>
      <c r="AB1657" s="1439"/>
      <c r="AC1657" s="1439"/>
      <c r="AD1657" s="1439"/>
      <c r="AE1657" s="1439"/>
      <c r="AF1657" s="1439"/>
      <c r="AG1657" s="1439"/>
    </row>
    <row r="1658" spans="1:33" ht="15.75" customHeight="1">
      <c r="A1658" s="1451"/>
      <c r="B1658" s="1456" t="s">
        <v>3486</v>
      </c>
      <c r="C1658" s="1484"/>
      <c r="D1658" s="1484"/>
      <c r="E1658" s="1484"/>
      <c r="F1658" s="1446"/>
      <c r="G1658" s="1446"/>
      <c r="H1658" s="1447"/>
      <c r="I1658" s="1494">
        <f t="shared" si="75"/>
        <v>0</v>
      </c>
      <c r="J1658" s="1492"/>
      <c r="K1658" s="1439"/>
      <c r="L1658" s="1439"/>
      <c r="M1658" s="1439"/>
      <c r="N1658" s="1439"/>
      <c r="O1658" s="1439"/>
      <c r="P1658" s="1439"/>
      <c r="Q1658" s="1439"/>
      <c r="R1658" s="1439"/>
      <c r="S1658" s="1439"/>
      <c r="T1658" s="1439"/>
      <c r="U1658" s="1439"/>
      <c r="V1658" s="1439"/>
      <c r="W1658" s="1439"/>
      <c r="X1658" s="1439"/>
      <c r="Y1658" s="1439"/>
      <c r="Z1658" s="1439"/>
      <c r="AA1658" s="1439"/>
      <c r="AB1658" s="1439"/>
      <c r="AC1658" s="1439"/>
      <c r="AD1658" s="1439"/>
      <c r="AE1658" s="1439"/>
      <c r="AF1658" s="1439"/>
      <c r="AG1658" s="1439"/>
    </row>
    <row r="1659" spans="1:33" ht="15.75" customHeight="1">
      <c r="A1659" s="1451"/>
      <c r="B1659" s="1450" t="s">
        <v>7219</v>
      </c>
      <c r="C1659" s="1484">
        <v>1</v>
      </c>
      <c r="D1659" s="1484" t="s">
        <v>3364</v>
      </c>
      <c r="E1659" s="1484">
        <v>1</v>
      </c>
      <c r="F1659" s="1446"/>
      <c r="G1659" s="1446"/>
      <c r="H1659" s="1447"/>
      <c r="I1659" s="1494">
        <f t="shared" si="75"/>
        <v>1</v>
      </c>
      <c r="J1659" s="1492"/>
      <c r="K1659" s="1439"/>
      <c r="L1659" s="1439"/>
      <c r="M1659" s="1439"/>
      <c r="N1659" s="1439"/>
      <c r="O1659" s="1439"/>
      <c r="P1659" s="1439"/>
      <c r="Q1659" s="1439"/>
      <c r="R1659" s="1439"/>
      <c r="S1659" s="1439"/>
      <c r="T1659" s="1439"/>
      <c r="U1659" s="1439"/>
      <c r="V1659" s="1439"/>
      <c r="W1659" s="1439"/>
      <c r="X1659" s="1439"/>
      <c r="Y1659" s="1439"/>
      <c r="Z1659" s="1439"/>
      <c r="AA1659" s="1439"/>
      <c r="AB1659" s="1439"/>
      <c r="AC1659" s="1439"/>
      <c r="AD1659" s="1439"/>
      <c r="AE1659" s="1439"/>
      <c r="AF1659" s="1439"/>
      <c r="AG1659" s="1439"/>
    </row>
    <row r="1660" spans="1:33" ht="15.75" customHeight="1">
      <c r="A1660" s="1451"/>
      <c r="B1660" s="1450" t="s">
        <v>7220</v>
      </c>
      <c r="C1660" s="1484">
        <v>1</v>
      </c>
      <c r="D1660" s="1484" t="s">
        <v>3364</v>
      </c>
      <c r="E1660" s="1484">
        <v>2</v>
      </c>
      <c r="F1660" s="1446"/>
      <c r="G1660" s="1446"/>
      <c r="H1660" s="1447"/>
      <c r="I1660" s="1494">
        <f t="shared" si="75"/>
        <v>2</v>
      </c>
      <c r="J1660" s="1492"/>
      <c r="K1660" s="1439"/>
      <c r="L1660" s="1439"/>
      <c r="M1660" s="1439"/>
      <c r="N1660" s="1439"/>
      <c r="O1660" s="1439"/>
      <c r="P1660" s="1439"/>
      <c r="Q1660" s="1439"/>
      <c r="R1660" s="1439"/>
      <c r="S1660" s="1439"/>
      <c r="T1660" s="1439"/>
      <c r="U1660" s="1439"/>
      <c r="V1660" s="1439"/>
      <c r="W1660" s="1439"/>
      <c r="X1660" s="1439"/>
      <c r="Y1660" s="1439"/>
      <c r="Z1660" s="1439"/>
      <c r="AA1660" s="1439"/>
      <c r="AB1660" s="1439"/>
      <c r="AC1660" s="1439"/>
      <c r="AD1660" s="1439"/>
      <c r="AE1660" s="1439"/>
      <c r="AF1660" s="1439"/>
      <c r="AG1660" s="1439"/>
    </row>
    <row r="1661" spans="1:33" ht="15.75" customHeight="1">
      <c r="A1661" s="1451"/>
      <c r="B1661" s="1450" t="s">
        <v>7221</v>
      </c>
      <c r="C1661" s="1484">
        <v>1</v>
      </c>
      <c r="D1661" s="1484" t="s">
        <v>3364</v>
      </c>
      <c r="E1661" s="1484">
        <v>1</v>
      </c>
      <c r="F1661" s="1446"/>
      <c r="G1661" s="1446"/>
      <c r="H1661" s="1447"/>
      <c r="I1661" s="1494">
        <f t="shared" si="75"/>
        <v>1</v>
      </c>
      <c r="J1661" s="1492"/>
      <c r="K1661" s="1439"/>
      <c r="L1661" s="1439"/>
      <c r="M1661" s="1439"/>
      <c r="N1661" s="1439"/>
      <c r="O1661" s="1439"/>
      <c r="P1661" s="1439"/>
      <c r="Q1661" s="1439"/>
      <c r="R1661" s="1439"/>
      <c r="S1661" s="1439"/>
      <c r="T1661" s="1439"/>
      <c r="U1661" s="1439"/>
      <c r="V1661" s="1439"/>
      <c r="W1661" s="1439"/>
      <c r="X1661" s="1439"/>
      <c r="Y1661" s="1439"/>
      <c r="Z1661" s="1439"/>
      <c r="AA1661" s="1439"/>
      <c r="AB1661" s="1439"/>
      <c r="AC1661" s="1439"/>
      <c r="AD1661" s="1439"/>
      <c r="AE1661" s="1439"/>
      <c r="AF1661" s="1439"/>
      <c r="AG1661" s="1439"/>
    </row>
    <row r="1662" spans="1:33" ht="15.75" customHeight="1">
      <c r="A1662" s="1451"/>
      <c r="B1662" s="1450" t="s">
        <v>7223</v>
      </c>
      <c r="C1662" s="1484">
        <v>1</v>
      </c>
      <c r="D1662" s="1484" t="s">
        <v>3364</v>
      </c>
      <c r="E1662" s="1484">
        <v>1</v>
      </c>
      <c r="F1662" s="1446"/>
      <c r="G1662" s="1446"/>
      <c r="H1662" s="1447"/>
      <c r="I1662" s="1494">
        <f t="shared" si="75"/>
        <v>1</v>
      </c>
      <c r="J1662" s="1492"/>
      <c r="K1662" s="1439"/>
      <c r="L1662" s="1439"/>
      <c r="M1662" s="1439"/>
      <c r="N1662" s="1439"/>
      <c r="O1662" s="1439"/>
      <c r="P1662" s="1439"/>
      <c r="Q1662" s="1439"/>
      <c r="R1662" s="1439"/>
      <c r="S1662" s="1439"/>
      <c r="T1662" s="1439"/>
      <c r="U1662" s="1439"/>
      <c r="V1662" s="1439"/>
      <c r="W1662" s="1439"/>
      <c r="X1662" s="1439"/>
      <c r="Y1662" s="1439"/>
      <c r="Z1662" s="1439"/>
      <c r="AA1662" s="1439"/>
      <c r="AB1662" s="1439"/>
      <c r="AC1662" s="1439"/>
      <c r="AD1662" s="1439"/>
      <c r="AE1662" s="1439"/>
      <c r="AF1662" s="1439"/>
      <c r="AG1662" s="1439"/>
    </row>
    <row r="1663" spans="1:33" ht="15.75" customHeight="1">
      <c r="A1663" s="1451"/>
      <c r="B1663" s="1450" t="s">
        <v>7217</v>
      </c>
      <c r="C1663" s="1484">
        <v>1</v>
      </c>
      <c r="D1663" s="1484" t="s">
        <v>3364</v>
      </c>
      <c r="E1663" s="1484">
        <v>1</v>
      </c>
      <c r="F1663" s="1446"/>
      <c r="G1663" s="1446"/>
      <c r="H1663" s="1447"/>
      <c r="I1663" s="1494">
        <f t="shared" si="75"/>
        <v>1</v>
      </c>
      <c r="J1663" s="1492"/>
      <c r="K1663" s="1439"/>
      <c r="L1663" s="1439"/>
      <c r="M1663" s="1439"/>
      <c r="N1663" s="1439"/>
      <c r="O1663" s="1439"/>
      <c r="P1663" s="1439"/>
      <c r="Q1663" s="1439"/>
      <c r="R1663" s="1439"/>
      <c r="S1663" s="1439"/>
      <c r="T1663" s="1439"/>
      <c r="U1663" s="1439"/>
      <c r="V1663" s="1439"/>
      <c r="W1663" s="1439"/>
      <c r="X1663" s="1439"/>
      <c r="Y1663" s="1439"/>
      <c r="Z1663" s="1439"/>
      <c r="AA1663" s="1439"/>
      <c r="AB1663" s="1439"/>
      <c r="AC1663" s="1439"/>
      <c r="AD1663" s="1439"/>
      <c r="AE1663" s="1439"/>
      <c r="AF1663" s="1439"/>
      <c r="AG1663" s="1439"/>
    </row>
    <row r="1664" spans="1:33" ht="15.75" customHeight="1">
      <c r="A1664" s="1451"/>
      <c r="B1664" s="1450" t="s">
        <v>7083</v>
      </c>
      <c r="C1664" s="1484">
        <v>1</v>
      </c>
      <c r="D1664" s="1484" t="s">
        <v>3364</v>
      </c>
      <c r="E1664" s="1484">
        <v>1</v>
      </c>
      <c r="F1664" s="1446"/>
      <c r="G1664" s="1446"/>
      <c r="H1664" s="1447"/>
      <c r="I1664" s="1494">
        <f t="shared" si="75"/>
        <v>1</v>
      </c>
      <c r="J1664" s="1492"/>
      <c r="K1664" s="1439"/>
      <c r="L1664" s="1439"/>
      <c r="M1664" s="1439"/>
      <c r="N1664" s="1439"/>
      <c r="O1664" s="1439"/>
      <c r="P1664" s="1439"/>
      <c r="Q1664" s="1439"/>
      <c r="R1664" s="1439"/>
      <c r="S1664" s="1439"/>
      <c r="T1664" s="1439"/>
      <c r="U1664" s="1439"/>
      <c r="V1664" s="1439"/>
      <c r="W1664" s="1439"/>
      <c r="X1664" s="1439"/>
      <c r="Y1664" s="1439"/>
      <c r="Z1664" s="1439"/>
      <c r="AA1664" s="1439"/>
      <c r="AB1664" s="1439"/>
      <c r="AC1664" s="1439"/>
      <c r="AD1664" s="1439"/>
      <c r="AE1664" s="1439"/>
      <c r="AF1664" s="1439"/>
      <c r="AG1664" s="1439"/>
    </row>
    <row r="1665" spans="1:33" ht="15.75" customHeight="1">
      <c r="A1665" s="1451"/>
      <c r="B1665" s="1456" t="s">
        <v>3488</v>
      </c>
      <c r="C1665" s="1484"/>
      <c r="D1665" s="1484"/>
      <c r="E1665" s="1484"/>
      <c r="F1665" s="1446"/>
      <c r="G1665" s="1446"/>
      <c r="H1665" s="1447"/>
      <c r="I1665" s="1494">
        <f t="shared" si="75"/>
        <v>0</v>
      </c>
      <c r="J1665" s="1492"/>
      <c r="K1665" s="1439"/>
      <c r="L1665" s="1439"/>
      <c r="M1665" s="1439"/>
      <c r="N1665" s="1439"/>
      <c r="O1665" s="1439"/>
      <c r="P1665" s="1439"/>
      <c r="Q1665" s="1439"/>
      <c r="R1665" s="1439"/>
      <c r="S1665" s="1439"/>
      <c r="T1665" s="1439"/>
      <c r="U1665" s="1439"/>
      <c r="V1665" s="1439"/>
      <c r="W1665" s="1439"/>
      <c r="X1665" s="1439"/>
      <c r="Y1665" s="1439"/>
      <c r="Z1665" s="1439"/>
      <c r="AA1665" s="1439"/>
      <c r="AB1665" s="1439"/>
      <c r="AC1665" s="1439"/>
      <c r="AD1665" s="1439"/>
      <c r="AE1665" s="1439"/>
      <c r="AF1665" s="1439"/>
      <c r="AG1665" s="1439"/>
    </row>
    <row r="1666" spans="1:33" ht="15.75" customHeight="1">
      <c r="A1666" s="1451"/>
      <c r="B1666" s="1450" t="s">
        <v>7224</v>
      </c>
      <c r="C1666" s="1484">
        <v>1</v>
      </c>
      <c r="D1666" s="1484" t="s">
        <v>3364</v>
      </c>
      <c r="E1666" s="1484">
        <v>1</v>
      </c>
      <c r="F1666" s="1446"/>
      <c r="G1666" s="1446"/>
      <c r="H1666" s="1447"/>
      <c r="I1666" s="1494">
        <f t="shared" si="75"/>
        <v>1</v>
      </c>
      <c r="J1666" s="1492"/>
      <c r="K1666" s="1439"/>
      <c r="L1666" s="1439"/>
      <c r="M1666" s="1439"/>
      <c r="N1666" s="1439"/>
      <c r="O1666" s="1439"/>
      <c r="P1666" s="1439"/>
      <c r="Q1666" s="1439"/>
      <c r="R1666" s="1439"/>
      <c r="S1666" s="1439"/>
      <c r="T1666" s="1439"/>
      <c r="U1666" s="1439"/>
      <c r="V1666" s="1439"/>
      <c r="W1666" s="1439"/>
      <c r="X1666" s="1439"/>
      <c r="Y1666" s="1439"/>
      <c r="Z1666" s="1439"/>
      <c r="AA1666" s="1439"/>
      <c r="AB1666" s="1439"/>
      <c r="AC1666" s="1439"/>
      <c r="AD1666" s="1439"/>
      <c r="AE1666" s="1439"/>
      <c r="AF1666" s="1439"/>
      <c r="AG1666" s="1439"/>
    </row>
    <row r="1667" spans="1:33" ht="15.75" customHeight="1">
      <c r="A1667" s="1451"/>
      <c r="B1667" s="1450" t="s">
        <v>7221</v>
      </c>
      <c r="C1667" s="1484">
        <v>1</v>
      </c>
      <c r="D1667" s="1484" t="s">
        <v>3364</v>
      </c>
      <c r="E1667" s="1484">
        <v>1</v>
      </c>
      <c r="F1667" s="1446"/>
      <c r="G1667" s="1446"/>
      <c r="H1667" s="1447"/>
      <c r="I1667" s="1494">
        <f t="shared" si="75"/>
        <v>1</v>
      </c>
      <c r="J1667" s="1492"/>
      <c r="K1667" s="1439"/>
      <c r="L1667" s="1439"/>
      <c r="M1667" s="1439"/>
      <c r="N1667" s="1439"/>
      <c r="O1667" s="1439"/>
      <c r="P1667" s="1439"/>
      <c r="Q1667" s="1439"/>
      <c r="R1667" s="1439"/>
      <c r="S1667" s="1439"/>
      <c r="T1667" s="1439"/>
      <c r="U1667" s="1439"/>
      <c r="V1667" s="1439"/>
      <c r="W1667" s="1439"/>
      <c r="X1667" s="1439"/>
      <c r="Y1667" s="1439"/>
      <c r="Z1667" s="1439"/>
      <c r="AA1667" s="1439"/>
      <c r="AB1667" s="1439"/>
      <c r="AC1667" s="1439"/>
      <c r="AD1667" s="1439"/>
      <c r="AE1667" s="1439"/>
      <c r="AF1667" s="1439"/>
      <c r="AG1667" s="1439"/>
    </row>
    <row r="1668" spans="1:33" ht="15.75" customHeight="1">
      <c r="A1668" s="1451"/>
      <c r="B1668" s="1450" t="s">
        <v>7163</v>
      </c>
      <c r="C1668" s="1484">
        <v>1</v>
      </c>
      <c r="D1668" s="1484" t="s">
        <v>3364</v>
      </c>
      <c r="E1668" s="1484">
        <v>2</v>
      </c>
      <c r="F1668" s="1446"/>
      <c r="G1668" s="1446"/>
      <c r="H1668" s="1447"/>
      <c r="I1668" s="1494">
        <f t="shared" si="75"/>
        <v>2</v>
      </c>
      <c r="J1668" s="1492"/>
      <c r="K1668" s="1439"/>
      <c r="L1668" s="1439"/>
      <c r="M1668" s="1439"/>
      <c r="N1668" s="1439"/>
      <c r="O1668" s="1439"/>
      <c r="P1668" s="1439"/>
      <c r="Q1668" s="1439"/>
      <c r="R1668" s="1439"/>
      <c r="S1668" s="1439"/>
      <c r="T1668" s="1439"/>
      <c r="U1668" s="1439"/>
      <c r="V1668" s="1439"/>
      <c r="W1668" s="1439"/>
      <c r="X1668" s="1439"/>
      <c r="Y1668" s="1439"/>
      <c r="Z1668" s="1439"/>
      <c r="AA1668" s="1439"/>
      <c r="AB1668" s="1439"/>
      <c r="AC1668" s="1439"/>
      <c r="AD1668" s="1439"/>
      <c r="AE1668" s="1439"/>
      <c r="AF1668" s="1439"/>
      <c r="AG1668" s="1439"/>
    </row>
    <row r="1669" spans="1:33" ht="15.75" customHeight="1">
      <c r="A1669" s="1451"/>
      <c r="B1669" s="1450" t="s">
        <v>7225</v>
      </c>
      <c r="C1669" s="1484">
        <v>1</v>
      </c>
      <c r="D1669" s="1484" t="s">
        <v>3364</v>
      </c>
      <c r="E1669" s="1484">
        <v>4</v>
      </c>
      <c r="F1669" s="1446"/>
      <c r="G1669" s="1446"/>
      <c r="H1669" s="1447"/>
      <c r="I1669" s="1494">
        <f t="shared" si="75"/>
        <v>4</v>
      </c>
      <c r="J1669" s="1492"/>
      <c r="K1669" s="1439"/>
      <c r="L1669" s="1439"/>
      <c r="M1669" s="1439"/>
      <c r="N1669" s="1439"/>
      <c r="O1669" s="1439"/>
      <c r="P1669" s="1439"/>
      <c r="Q1669" s="1439"/>
      <c r="R1669" s="1439"/>
      <c r="S1669" s="1439"/>
      <c r="T1669" s="1439"/>
      <c r="U1669" s="1439"/>
      <c r="V1669" s="1439"/>
      <c r="W1669" s="1439"/>
      <c r="X1669" s="1439"/>
      <c r="Y1669" s="1439"/>
      <c r="Z1669" s="1439"/>
      <c r="AA1669" s="1439"/>
      <c r="AB1669" s="1439"/>
      <c r="AC1669" s="1439"/>
      <c r="AD1669" s="1439"/>
      <c r="AE1669" s="1439"/>
      <c r="AF1669" s="1439"/>
      <c r="AG1669" s="1439"/>
    </row>
    <row r="1670" spans="1:33" ht="15.75" customHeight="1">
      <c r="A1670" s="1451"/>
      <c r="B1670" s="1450" t="s">
        <v>7227</v>
      </c>
      <c r="C1670" s="1484">
        <v>1</v>
      </c>
      <c r="D1670" s="1484" t="s">
        <v>3364</v>
      </c>
      <c r="E1670" s="1484">
        <v>4</v>
      </c>
      <c r="F1670" s="1446"/>
      <c r="G1670" s="1446"/>
      <c r="H1670" s="1447"/>
      <c r="I1670" s="1494">
        <f t="shared" si="75"/>
        <v>4</v>
      </c>
      <c r="J1670" s="1492"/>
      <c r="K1670" s="1439"/>
      <c r="L1670" s="1439"/>
      <c r="M1670" s="1439"/>
      <c r="N1670" s="1439"/>
      <c r="O1670" s="1439"/>
      <c r="P1670" s="1439"/>
      <c r="Q1670" s="1439"/>
      <c r="R1670" s="1439"/>
      <c r="S1670" s="1439"/>
      <c r="T1670" s="1439"/>
      <c r="U1670" s="1439"/>
      <c r="V1670" s="1439"/>
      <c r="W1670" s="1439"/>
      <c r="X1670" s="1439"/>
      <c r="Y1670" s="1439"/>
      <c r="Z1670" s="1439"/>
      <c r="AA1670" s="1439"/>
      <c r="AB1670" s="1439"/>
      <c r="AC1670" s="1439"/>
      <c r="AD1670" s="1439"/>
      <c r="AE1670" s="1439"/>
      <c r="AF1670" s="1439"/>
      <c r="AG1670" s="1439"/>
    </row>
    <row r="1671" spans="1:33" ht="15.75" customHeight="1">
      <c r="A1671" s="1451"/>
      <c r="B1671" s="1450" t="s">
        <v>7228</v>
      </c>
      <c r="C1671" s="1484">
        <v>1</v>
      </c>
      <c r="D1671" s="1484" t="s">
        <v>3364</v>
      </c>
      <c r="E1671" s="1484">
        <v>1</v>
      </c>
      <c r="F1671" s="1446"/>
      <c r="G1671" s="1446"/>
      <c r="H1671" s="1447"/>
      <c r="I1671" s="1494">
        <f t="shared" si="75"/>
        <v>1</v>
      </c>
      <c r="J1671" s="1492"/>
      <c r="K1671" s="1439"/>
      <c r="L1671" s="1439"/>
      <c r="M1671" s="1439"/>
      <c r="N1671" s="1439"/>
      <c r="O1671" s="1439"/>
      <c r="P1671" s="1439"/>
      <c r="Q1671" s="1439"/>
      <c r="R1671" s="1439"/>
      <c r="S1671" s="1439"/>
      <c r="T1671" s="1439"/>
      <c r="U1671" s="1439"/>
      <c r="V1671" s="1439"/>
      <c r="W1671" s="1439"/>
      <c r="X1671" s="1439"/>
      <c r="Y1671" s="1439"/>
      <c r="Z1671" s="1439"/>
      <c r="AA1671" s="1439"/>
      <c r="AB1671" s="1439"/>
      <c r="AC1671" s="1439"/>
      <c r="AD1671" s="1439"/>
      <c r="AE1671" s="1439"/>
      <c r="AF1671" s="1439"/>
      <c r="AG1671" s="1439"/>
    </row>
    <row r="1672" spans="1:33" ht="15.75" customHeight="1">
      <c r="A1672" s="1451"/>
      <c r="B1672" s="1450" t="s">
        <v>7229</v>
      </c>
      <c r="C1672" s="1484">
        <v>1</v>
      </c>
      <c r="D1672" s="1484" t="s">
        <v>3364</v>
      </c>
      <c r="E1672" s="1484">
        <v>1</v>
      </c>
      <c r="F1672" s="1446"/>
      <c r="G1672" s="1446"/>
      <c r="H1672" s="1447"/>
      <c r="I1672" s="1494">
        <f t="shared" si="75"/>
        <v>1</v>
      </c>
      <c r="J1672" s="1492"/>
      <c r="K1672" s="1439"/>
      <c r="L1672" s="1439"/>
      <c r="M1672" s="1439"/>
      <c r="N1672" s="1439"/>
      <c r="O1672" s="1439"/>
      <c r="P1672" s="1439"/>
      <c r="Q1672" s="1439"/>
      <c r="R1672" s="1439"/>
      <c r="S1672" s="1439"/>
      <c r="T1672" s="1439"/>
      <c r="U1672" s="1439"/>
      <c r="V1672" s="1439"/>
      <c r="W1672" s="1439"/>
      <c r="X1672" s="1439"/>
      <c r="Y1672" s="1439"/>
      <c r="Z1672" s="1439"/>
      <c r="AA1672" s="1439"/>
      <c r="AB1672" s="1439"/>
      <c r="AC1672" s="1439"/>
      <c r="AD1672" s="1439"/>
      <c r="AE1672" s="1439"/>
      <c r="AF1672" s="1439"/>
      <c r="AG1672" s="1439"/>
    </row>
    <row r="1673" spans="1:33" ht="15.75" customHeight="1">
      <c r="A1673" s="1451"/>
      <c r="B1673" s="1450" t="s">
        <v>7230</v>
      </c>
      <c r="C1673" s="1484">
        <v>3</v>
      </c>
      <c r="D1673" s="1484" t="s">
        <v>3364</v>
      </c>
      <c r="E1673" s="1484">
        <v>1</v>
      </c>
      <c r="F1673" s="1446"/>
      <c r="G1673" s="1446"/>
      <c r="H1673" s="1447"/>
      <c r="I1673" s="1494">
        <f t="shared" si="75"/>
        <v>3</v>
      </c>
      <c r="J1673" s="1492"/>
      <c r="K1673" s="1439"/>
      <c r="L1673" s="1439"/>
      <c r="M1673" s="1439"/>
      <c r="N1673" s="1439"/>
      <c r="O1673" s="1439"/>
      <c r="P1673" s="1439"/>
      <c r="Q1673" s="1439"/>
      <c r="R1673" s="1439"/>
      <c r="S1673" s="1439"/>
      <c r="T1673" s="1439"/>
      <c r="U1673" s="1439"/>
      <c r="V1673" s="1439"/>
      <c r="W1673" s="1439"/>
      <c r="X1673" s="1439"/>
      <c r="Y1673" s="1439"/>
      <c r="Z1673" s="1439"/>
      <c r="AA1673" s="1439"/>
      <c r="AB1673" s="1439"/>
      <c r="AC1673" s="1439"/>
      <c r="AD1673" s="1439"/>
      <c r="AE1673" s="1439"/>
      <c r="AF1673" s="1439"/>
      <c r="AG1673" s="1439"/>
    </row>
    <row r="1674" spans="1:33" ht="15.75" customHeight="1">
      <c r="A1674" s="1451"/>
      <c r="B1674" s="1450" t="s">
        <v>6723</v>
      </c>
      <c r="C1674" s="1484">
        <v>1</v>
      </c>
      <c r="D1674" s="1484" t="s">
        <v>3364</v>
      </c>
      <c r="E1674" s="1484">
        <v>1</v>
      </c>
      <c r="F1674" s="1446"/>
      <c r="G1674" s="1446"/>
      <c r="H1674" s="1447"/>
      <c r="I1674" s="1494">
        <f t="shared" si="75"/>
        <v>1</v>
      </c>
      <c r="J1674" s="1492"/>
      <c r="K1674" s="1439"/>
      <c r="L1674" s="1439"/>
      <c r="M1674" s="1439"/>
      <c r="N1674" s="1439"/>
      <c r="O1674" s="1439"/>
      <c r="P1674" s="1439"/>
      <c r="Q1674" s="1439"/>
      <c r="R1674" s="1439"/>
      <c r="S1674" s="1439"/>
      <c r="T1674" s="1439"/>
      <c r="U1674" s="1439"/>
      <c r="V1674" s="1439"/>
      <c r="W1674" s="1439"/>
      <c r="X1674" s="1439"/>
      <c r="Y1674" s="1439"/>
      <c r="Z1674" s="1439"/>
      <c r="AA1674" s="1439"/>
      <c r="AB1674" s="1439"/>
      <c r="AC1674" s="1439"/>
      <c r="AD1674" s="1439"/>
      <c r="AE1674" s="1439"/>
      <c r="AF1674" s="1439"/>
      <c r="AG1674" s="1439"/>
    </row>
    <row r="1675" spans="1:33" ht="15.75" customHeight="1">
      <c r="A1675" s="1451"/>
      <c r="B1675" s="1450" t="s">
        <v>7231</v>
      </c>
      <c r="C1675" s="1484">
        <v>1</v>
      </c>
      <c r="D1675" s="1484" t="s">
        <v>3364</v>
      </c>
      <c r="E1675" s="1484">
        <v>1</v>
      </c>
      <c r="F1675" s="1446"/>
      <c r="G1675" s="1446"/>
      <c r="H1675" s="1447"/>
      <c r="I1675" s="1494">
        <f t="shared" si="75"/>
        <v>1</v>
      </c>
      <c r="J1675" s="1492"/>
      <c r="K1675" s="1439"/>
      <c r="L1675" s="1439"/>
      <c r="M1675" s="1439"/>
      <c r="N1675" s="1439"/>
      <c r="O1675" s="1439"/>
      <c r="P1675" s="1439"/>
      <c r="Q1675" s="1439"/>
      <c r="R1675" s="1439"/>
      <c r="S1675" s="1439"/>
      <c r="T1675" s="1439"/>
      <c r="U1675" s="1439"/>
      <c r="V1675" s="1439"/>
      <c r="W1675" s="1439"/>
      <c r="X1675" s="1439"/>
      <c r="Y1675" s="1439"/>
      <c r="Z1675" s="1439"/>
      <c r="AA1675" s="1439"/>
      <c r="AB1675" s="1439"/>
      <c r="AC1675" s="1439"/>
      <c r="AD1675" s="1439"/>
      <c r="AE1675" s="1439"/>
      <c r="AF1675" s="1439"/>
      <c r="AG1675" s="1439"/>
    </row>
    <row r="1676" spans="1:33" ht="15.75" customHeight="1">
      <c r="A1676" s="1451"/>
      <c r="B1676" s="1456" t="s">
        <v>7232</v>
      </c>
      <c r="C1676" s="1484"/>
      <c r="D1676" s="1484"/>
      <c r="E1676" s="1484"/>
      <c r="F1676" s="1446"/>
      <c r="G1676" s="1446"/>
      <c r="H1676" s="1447"/>
      <c r="I1676" s="1494">
        <f t="shared" si="75"/>
        <v>0</v>
      </c>
      <c r="J1676" s="1492"/>
      <c r="K1676" s="1439"/>
      <c r="L1676" s="1439"/>
      <c r="M1676" s="1439"/>
      <c r="N1676" s="1439"/>
      <c r="O1676" s="1439"/>
      <c r="P1676" s="1439"/>
      <c r="Q1676" s="1439"/>
      <c r="R1676" s="1439"/>
      <c r="S1676" s="1439"/>
      <c r="T1676" s="1439"/>
      <c r="U1676" s="1439"/>
      <c r="V1676" s="1439"/>
      <c r="W1676" s="1439"/>
      <c r="X1676" s="1439"/>
      <c r="Y1676" s="1439"/>
      <c r="Z1676" s="1439"/>
      <c r="AA1676" s="1439"/>
      <c r="AB1676" s="1439"/>
      <c r="AC1676" s="1439"/>
      <c r="AD1676" s="1439"/>
      <c r="AE1676" s="1439"/>
      <c r="AF1676" s="1439"/>
      <c r="AG1676" s="1439"/>
    </row>
    <row r="1677" spans="1:33" ht="15.75" customHeight="1">
      <c r="A1677" s="1451"/>
      <c r="B1677" s="1450" t="s">
        <v>7224</v>
      </c>
      <c r="C1677" s="1484">
        <v>1</v>
      </c>
      <c r="D1677" s="1484" t="s">
        <v>3364</v>
      </c>
      <c r="E1677" s="1484">
        <v>1</v>
      </c>
      <c r="F1677" s="1446"/>
      <c r="G1677" s="1446"/>
      <c r="H1677" s="1447"/>
      <c r="I1677" s="1494">
        <f t="shared" si="75"/>
        <v>1</v>
      </c>
      <c r="J1677" s="1492"/>
      <c r="K1677" s="1439"/>
      <c r="L1677" s="1439"/>
      <c r="M1677" s="1439"/>
      <c r="N1677" s="1439"/>
      <c r="O1677" s="1439"/>
      <c r="P1677" s="1439"/>
      <c r="Q1677" s="1439"/>
      <c r="R1677" s="1439"/>
      <c r="S1677" s="1439"/>
      <c r="T1677" s="1439"/>
      <c r="U1677" s="1439"/>
      <c r="V1677" s="1439"/>
      <c r="W1677" s="1439"/>
      <c r="X1677" s="1439"/>
      <c r="Y1677" s="1439"/>
      <c r="Z1677" s="1439"/>
      <c r="AA1677" s="1439"/>
      <c r="AB1677" s="1439"/>
      <c r="AC1677" s="1439"/>
      <c r="AD1677" s="1439"/>
      <c r="AE1677" s="1439"/>
      <c r="AF1677" s="1439"/>
      <c r="AG1677" s="1439"/>
    </row>
    <row r="1678" spans="1:33" ht="15.75" customHeight="1">
      <c r="A1678" s="1451"/>
      <c r="B1678" s="1450" t="s">
        <v>7221</v>
      </c>
      <c r="C1678" s="1484">
        <v>1</v>
      </c>
      <c r="D1678" s="1484" t="s">
        <v>3364</v>
      </c>
      <c r="E1678" s="1484">
        <v>2</v>
      </c>
      <c r="F1678" s="1446"/>
      <c r="G1678" s="1446"/>
      <c r="H1678" s="1447"/>
      <c r="I1678" s="1494">
        <f t="shared" si="75"/>
        <v>2</v>
      </c>
      <c r="J1678" s="1492"/>
      <c r="K1678" s="1439"/>
      <c r="L1678" s="1439"/>
      <c r="M1678" s="1439"/>
      <c r="N1678" s="1439"/>
      <c r="O1678" s="1439"/>
      <c r="P1678" s="1439"/>
      <c r="Q1678" s="1439"/>
      <c r="R1678" s="1439"/>
      <c r="S1678" s="1439"/>
      <c r="T1678" s="1439"/>
      <c r="U1678" s="1439"/>
      <c r="V1678" s="1439"/>
      <c r="W1678" s="1439"/>
      <c r="X1678" s="1439"/>
      <c r="Y1678" s="1439"/>
      <c r="Z1678" s="1439"/>
      <c r="AA1678" s="1439"/>
      <c r="AB1678" s="1439"/>
      <c r="AC1678" s="1439"/>
      <c r="AD1678" s="1439"/>
      <c r="AE1678" s="1439"/>
      <c r="AF1678" s="1439"/>
      <c r="AG1678" s="1439"/>
    </row>
    <row r="1679" spans="1:33" ht="15.75" customHeight="1">
      <c r="A1679" s="1451"/>
      <c r="B1679" s="1450" t="s">
        <v>7233</v>
      </c>
      <c r="C1679" s="1484">
        <v>1</v>
      </c>
      <c r="D1679" s="1484" t="s">
        <v>3364</v>
      </c>
      <c r="E1679" s="1484">
        <v>3</v>
      </c>
      <c r="F1679" s="1446"/>
      <c r="G1679" s="1446"/>
      <c r="H1679" s="1447"/>
      <c r="I1679" s="1494">
        <f t="shared" si="75"/>
        <v>3</v>
      </c>
      <c r="J1679" s="1492"/>
      <c r="K1679" s="1439"/>
      <c r="L1679" s="1439"/>
      <c r="M1679" s="1439"/>
      <c r="N1679" s="1439"/>
      <c r="O1679" s="1439"/>
      <c r="P1679" s="1439"/>
      <c r="Q1679" s="1439"/>
      <c r="R1679" s="1439"/>
      <c r="S1679" s="1439"/>
      <c r="T1679" s="1439"/>
      <c r="U1679" s="1439"/>
      <c r="V1679" s="1439"/>
      <c r="W1679" s="1439"/>
      <c r="X1679" s="1439"/>
      <c r="Y1679" s="1439"/>
      <c r="Z1679" s="1439"/>
      <c r="AA1679" s="1439"/>
      <c r="AB1679" s="1439"/>
      <c r="AC1679" s="1439"/>
      <c r="AD1679" s="1439"/>
      <c r="AE1679" s="1439"/>
      <c r="AF1679" s="1439"/>
      <c r="AG1679" s="1439"/>
    </row>
    <row r="1680" spans="1:33" ht="15.75" customHeight="1">
      <c r="A1680" s="1451"/>
      <c r="B1680" s="1450" t="s">
        <v>7231</v>
      </c>
      <c r="C1680" s="1484">
        <v>1</v>
      </c>
      <c r="D1680" s="1484" t="s">
        <v>3364</v>
      </c>
      <c r="E1680" s="1484">
        <v>1</v>
      </c>
      <c r="F1680" s="1446"/>
      <c r="G1680" s="1446"/>
      <c r="H1680" s="1447"/>
      <c r="I1680" s="1494">
        <f t="shared" si="75"/>
        <v>1</v>
      </c>
      <c r="J1680" s="1492"/>
      <c r="K1680" s="1439"/>
      <c r="L1680" s="1439"/>
      <c r="M1680" s="1439"/>
      <c r="N1680" s="1439"/>
      <c r="O1680" s="1439"/>
      <c r="P1680" s="1439"/>
      <c r="Q1680" s="1439"/>
      <c r="R1680" s="1439"/>
      <c r="S1680" s="1439"/>
      <c r="T1680" s="1439"/>
      <c r="U1680" s="1439"/>
      <c r="V1680" s="1439"/>
      <c r="W1680" s="1439"/>
      <c r="X1680" s="1439"/>
      <c r="Y1680" s="1439"/>
      <c r="Z1680" s="1439"/>
      <c r="AA1680" s="1439"/>
      <c r="AB1680" s="1439"/>
      <c r="AC1680" s="1439"/>
      <c r="AD1680" s="1439"/>
      <c r="AE1680" s="1439"/>
      <c r="AF1680" s="1439"/>
      <c r="AG1680" s="1439"/>
    </row>
    <row r="1681" spans="1:33" ht="15.75" customHeight="1">
      <c r="A1681" s="1451"/>
      <c r="B1681" s="1450" t="s">
        <v>6908</v>
      </c>
      <c r="C1681" s="1484">
        <v>1</v>
      </c>
      <c r="D1681" s="1484" t="s">
        <v>3364</v>
      </c>
      <c r="E1681" s="1484">
        <v>1</v>
      </c>
      <c r="F1681" s="1446"/>
      <c r="G1681" s="1446"/>
      <c r="H1681" s="1447"/>
      <c r="I1681" s="1494">
        <f t="shared" si="75"/>
        <v>1</v>
      </c>
      <c r="J1681" s="1492"/>
      <c r="K1681" s="1439"/>
      <c r="L1681" s="1439"/>
      <c r="M1681" s="1439"/>
      <c r="N1681" s="1439"/>
      <c r="O1681" s="1439"/>
      <c r="P1681" s="1439"/>
      <c r="Q1681" s="1439"/>
      <c r="R1681" s="1439"/>
      <c r="S1681" s="1439"/>
      <c r="T1681" s="1439"/>
      <c r="U1681" s="1439"/>
      <c r="V1681" s="1439"/>
      <c r="W1681" s="1439"/>
      <c r="X1681" s="1439"/>
      <c r="Y1681" s="1439"/>
      <c r="Z1681" s="1439"/>
      <c r="AA1681" s="1439"/>
      <c r="AB1681" s="1439"/>
      <c r="AC1681" s="1439"/>
      <c r="AD1681" s="1439"/>
      <c r="AE1681" s="1439"/>
      <c r="AF1681" s="1439"/>
      <c r="AG1681" s="1439"/>
    </row>
    <row r="1682" spans="1:33" ht="15.75" customHeight="1">
      <c r="A1682" s="1451"/>
      <c r="B1682" s="1450" t="s">
        <v>7138</v>
      </c>
      <c r="C1682" s="1484">
        <v>1</v>
      </c>
      <c r="D1682" s="1484" t="s">
        <v>3364</v>
      </c>
      <c r="E1682" s="1484">
        <v>3</v>
      </c>
      <c r="F1682" s="1446"/>
      <c r="G1682" s="1446"/>
      <c r="H1682" s="1447"/>
      <c r="I1682" s="1494">
        <f t="shared" si="75"/>
        <v>3</v>
      </c>
      <c r="J1682" s="1492"/>
      <c r="K1682" s="1439"/>
      <c r="L1682" s="1439"/>
      <c r="M1682" s="1439"/>
      <c r="N1682" s="1439"/>
      <c r="O1682" s="1439"/>
      <c r="P1682" s="1439"/>
      <c r="Q1682" s="1439"/>
      <c r="R1682" s="1439"/>
      <c r="S1682" s="1439"/>
      <c r="T1682" s="1439"/>
      <c r="U1682" s="1439"/>
      <c r="V1682" s="1439"/>
      <c r="W1682" s="1439"/>
      <c r="X1682" s="1439"/>
      <c r="Y1682" s="1439"/>
      <c r="Z1682" s="1439"/>
      <c r="AA1682" s="1439"/>
      <c r="AB1682" s="1439"/>
      <c r="AC1682" s="1439"/>
      <c r="AD1682" s="1439"/>
      <c r="AE1682" s="1439"/>
      <c r="AF1682" s="1439"/>
      <c r="AG1682" s="1439"/>
    </row>
    <row r="1683" spans="1:33" ht="15.75" customHeight="1">
      <c r="A1683" s="1451"/>
      <c r="B1683" s="1450" t="s">
        <v>6586</v>
      </c>
      <c r="C1683" s="1484">
        <v>1</v>
      </c>
      <c r="D1683" s="1484" t="s">
        <v>3364</v>
      </c>
      <c r="E1683" s="1484">
        <v>1</v>
      </c>
      <c r="F1683" s="1446"/>
      <c r="G1683" s="1446"/>
      <c r="H1683" s="1447"/>
      <c r="I1683" s="1494">
        <f t="shared" si="75"/>
        <v>1</v>
      </c>
      <c r="J1683" s="1492"/>
      <c r="K1683" s="1439"/>
      <c r="L1683" s="1439"/>
      <c r="M1683" s="1439"/>
      <c r="N1683" s="1439"/>
      <c r="O1683" s="1439"/>
      <c r="P1683" s="1439"/>
      <c r="Q1683" s="1439"/>
      <c r="R1683" s="1439"/>
      <c r="S1683" s="1439"/>
      <c r="T1683" s="1439"/>
      <c r="U1683" s="1439"/>
      <c r="V1683" s="1439"/>
      <c r="W1683" s="1439"/>
      <c r="X1683" s="1439"/>
      <c r="Y1683" s="1439"/>
      <c r="Z1683" s="1439"/>
      <c r="AA1683" s="1439"/>
      <c r="AB1683" s="1439"/>
      <c r="AC1683" s="1439"/>
      <c r="AD1683" s="1439"/>
      <c r="AE1683" s="1439"/>
      <c r="AF1683" s="1439"/>
      <c r="AG1683" s="1439"/>
    </row>
    <row r="1684" spans="1:33" ht="15.75" customHeight="1">
      <c r="A1684" s="1451"/>
      <c r="B1684" s="1450" t="s">
        <v>7234</v>
      </c>
      <c r="C1684" s="1484">
        <v>1</v>
      </c>
      <c r="D1684" s="1484" t="s">
        <v>3364</v>
      </c>
      <c r="E1684" s="1484">
        <v>2</v>
      </c>
      <c r="F1684" s="1446"/>
      <c r="G1684" s="1446"/>
      <c r="H1684" s="1447"/>
      <c r="I1684" s="1494">
        <f t="shared" si="75"/>
        <v>2</v>
      </c>
      <c r="J1684" s="1492"/>
      <c r="K1684" s="1439"/>
      <c r="L1684" s="1439"/>
      <c r="M1684" s="1439"/>
      <c r="N1684" s="1439"/>
      <c r="O1684" s="1439"/>
      <c r="P1684" s="1439"/>
      <c r="Q1684" s="1439"/>
      <c r="R1684" s="1439"/>
      <c r="S1684" s="1439"/>
      <c r="T1684" s="1439"/>
      <c r="U1684" s="1439"/>
      <c r="V1684" s="1439"/>
      <c r="W1684" s="1439"/>
      <c r="X1684" s="1439"/>
      <c r="Y1684" s="1439"/>
      <c r="Z1684" s="1439"/>
      <c r="AA1684" s="1439"/>
      <c r="AB1684" s="1439"/>
      <c r="AC1684" s="1439"/>
      <c r="AD1684" s="1439"/>
      <c r="AE1684" s="1439"/>
      <c r="AF1684" s="1439"/>
      <c r="AG1684" s="1439"/>
    </row>
    <row r="1685" spans="1:33" ht="15.75" customHeight="1">
      <c r="A1685" s="1451"/>
      <c r="B1685" s="1450" t="s">
        <v>7141</v>
      </c>
      <c r="C1685" s="1484">
        <v>1</v>
      </c>
      <c r="D1685" s="1484" t="s">
        <v>3364</v>
      </c>
      <c r="E1685" s="1484">
        <v>3</v>
      </c>
      <c r="F1685" s="1446"/>
      <c r="G1685" s="1446"/>
      <c r="H1685" s="1447"/>
      <c r="I1685" s="1494">
        <f t="shared" si="75"/>
        <v>3</v>
      </c>
      <c r="J1685" s="1492"/>
      <c r="K1685" s="1439"/>
      <c r="L1685" s="1439"/>
      <c r="M1685" s="1439"/>
      <c r="N1685" s="1439"/>
      <c r="O1685" s="1439"/>
      <c r="P1685" s="1439"/>
      <c r="Q1685" s="1439"/>
      <c r="R1685" s="1439"/>
      <c r="S1685" s="1439"/>
      <c r="T1685" s="1439"/>
      <c r="U1685" s="1439"/>
      <c r="V1685" s="1439"/>
      <c r="W1685" s="1439"/>
      <c r="X1685" s="1439"/>
      <c r="Y1685" s="1439"/>
      <c r="Z1685" s="1439"/>
      <c r="AA1685" s="1439"/>
      <c r="AB1685" s="1439"/>
      <c r="AC1685" s="1439"/>
      <c r="AD1685" s="1439"/>
      <c r="AE1685" s="1439"/>
      <c r="AF1685" s="1439"/>
      <c r="AG1685" s="1439"/>
    </row>
    <row r="1686" spans="1:33" ht="15.75" customHeight="1">
      <c r="A1686" s="1451"/>
      <c r="B1686" s="1450" t="s">
        <v>7235</v>
      </c>
      <c r="C1686" s="1484">
        <v>1</v>
      </c>
      <c r="D1686" s="1484" t="s">
        <v>3364</v>
      </c>
      <c r="E1686" s="1484">
        <v>2</v>
      </c>
      <c r="F1686" s="1446"/>
      <c r="G1686" s="1446"/>
      <c r="H1686" s="1447"/>
      <c r="I1686" s="1494">
        <f t="shared" si="75"/>
        <v>2</v>
      </c>
      <c r="J1686" s="1492"/>
      <c r="K1686" s="1439"/>
      <c r="L1686" s="1439"/>
      <c r="M1686" s="1439"/>
      <c r="N1686" s="1439"/>
      <c r="O1686" s="1439"/>
      <c r="P1686" s="1439"/>
      <c r="Q1686" s="1439"/>
      <c r="R1686" s="1439"/>
      <c r="S1686" s="1439"/>
      <c r="T1686" s="1439"/>
      <c r="U1686" s="1439"/>
      <c r="V1686" s="1439"/>
      <c r="W1686" s="1439"/>
      <c r="X1686" s="1439"/>
      <c r="Y1686" s="1439"/>
      <c r="Z1686" s="1439"/>
      <c r="AA1686" s="1439"/>
      <c r="AB1686" s="1439"/>
      <c r="AC1686" s="1439"/>
      <c r="AD1686" s="1439"/>
      <c r="AE1686" s="1439"/>
      <c r="AF1686" s="1439"/>
      <c r="AG1686" s="1439"/>
    </row>
    <row r="1687" spans="1:33" ht="15.75" customHeight="1">
      <c r="A1687" s="1451"/>
      <c r="B1687" s="1450" t="s">
        <v>7236</v>
      </c>
      <c r="C1687" s="1484">
        <v>1</v>
      </c>
      <c r="D1687" s="1484" t="s">
        <v>3364</v>
      </c>
      <c r="E1687" s="1484">
        <v>1</v>
      </c>
      <c r="F1687" s="1446"/>
      <c r="G1687" s="1446"/>
      <c r="H1687" s="1447"/>
      <c r="I1687" s="1494">
        <f t="shared" si="75"/>
        <v>1</v>
      </c>
      <c r="J1687" s="1492"/>
      <c r="K1687" s="1439"/>
      <c r="L1687" s="1439"/>
      <c r="M1687" s="1439"/>
      <c r="N1687" s="1439"/>
      <c r="O1687" s="1439"/>
      <c r="P1687" s="1439"/>
      <c r="Q1687" s="1439"/>
      <c r="R1687" s="1439"/>
      <c r="S1687" s="1439"/>
      <c r="T1687" s="1439"/>
      <c r="U1687" s="1439"/>
      <c r="V1687" s="1439"/>
      <c r="W1687" s="1439"/>
      <c r="X1687" s="1439"/>
      <c r="Y1687" s="1439"/>
      <c r="Z1687" s="1439"/>
      <c r="AA1687" s="1439"/>
      <c r="AB1687" s="1439"/>
      <c r="AC1687" s="1439"/>
      <c r="AD1687" s="1439"/>
      <c r="AE1687" s="1439"/>
      <c r="AF1687" s="1439"/>
      <c r="AG1687" s="1439"/>
    </row>
    <row r="1688" spans="1:33" ht="15.75" customHeight="1">
      <c r="A1688" s="1451"/>
      <c r="B1688" s="1450" t="s">
        <v>7237</v>
      </c>
      <c r="C1688" s="1484">
        <v>2</v>
      </c>
      <c r="D1688" s="1484" t="s">
        <v>3364</v>
      </c>
      <c r="E1688" s="1484">
        <v>1</v>
      </c>
      <c r="F1688" s="1446"/>
      <c r="G1688" s="1446"/>
      <c r="H1688" s="1447"/>
      <c r="I1688" s="1494">
        <f t="shared" si="75"/>
        <v>2</v>
      </c>
      <c r="J1688" s="1492"/>
      <c r="K1688" s="1439"/>
      <c r="L1688" s="1439"/>
      <c r="M1688" s="1439"/>
      <c r="N1688" s="1439"/>
      <c r="O1688" s="1439"/>
      <c r="P1688" s="1439"/>
      <c r="Q1688" s="1439"/>
      <c r="R1688" s="1439"/>
      <c r="S1688" s="1439"/>
      <c r="T1688" s="1439"/>
      <c r="U1688" s="1439"/>
      <c r="V1688" s="1439"/>
      <c r="W1688" s="1439"/>
      <c r="X1688" s="1439"/>
      <c r="Y1688" s="1439"/>
      <c r="Z1688" s="1439"/>
      <c r="AA1688" s="1439"/>
      <c r="AB1688" s="1439"/>
      <c r="AC1688" s="1439"/>
      <c r="AD1688" s="1439"/>
      <c r="AE1688" s="1439"/>
      <c r="AF1688" s="1439"/>
      <c r="AG1688" s="1439"/>
    </row>
    <row r="1689" spans="1:33" ht="15.75" customHeight="1">
      <c r="A1689" s="1451"/>
      <c r="B1689" s="1450" t="s">
        <v>6586</v>
      </c>
      <c r="C1689" s="1484">
        <v>1</v>
      </c>
      <c r="D1689" s="1484" t="s">
        <v>3364</v>
      </c>
      <c r="E1689" s="1484">
        <v>1</v>
      </c>
      <c r="F1689" s="1446"/>
      <c r="G1689" s="1446"/>
      <c r="H1689" s="1447"/>
      <c r="I1689" s="1494">
        <f t="shared" si="75"/>
        <v>1</v>
      </c>
      <c r="J1689" s="1492"/>
      <c r="K1689" s="1439"/>
      <c r="L1689" s="1439"/>
      <c r="M1689" s="1439"/>
      <c r="N1689" s="1439"/>
      <c r="O1689" s="1439"/>
      <c r="P1689" s="1439"/>
      <c r="Q1689" s="1439"/>
      <c r="R1689" s="1439"/>
      <c r="S1689" s="1439"/>
      <c r="T1689" s="1439"/>
      <c r="U1689" s="1439"/>
      <c r="V1689" s="1439"/>
      <c r="W1689" s="1439"/>
      <c r="X1689" s="1439"/>
      <c r="Y1689" s="1439"/>
      <c r="Z1689" s="1439"/>
      <c r="AA1689" s="1439"/>
      <c r="AB1689" s="1439"/>
      <c r="AC1689" s="1439"/>
      <c r="AD1689" s="1439"/>
      <c r="AE1689" s="1439"/>
      <c r="AF1689" s="1439"/>
      <c r="AG1689" s="1439"/>
    </row>
    <row r="1690" spans="1:33" ht="15.75" customHeight="1">
      <c r="A1690" s="1451"/>
      <c r="B1690" s="1450" t="s">
        <v>7238</v>
      </c>
      <c r="C1690" s="1484">
        <v>1</v>
      </c>
      <c r="D1690" s="1484" t="s">
        <v>3364</v>
      </c>
      <c r="E1690" s="1484">
        <v>3</v>
      </c>
      <c r="F1690" s="1446"/>
      <c r="G1690" s="1446"/>
      <c r="H1690" s="1447"/>
      <c r="I1690" s="1494">
        <f t="shared" si="75"/>
        <v>3</v>
      </c>
      <c r="J1690" s="1492"/>
      <c r="K1690" s="1439"/>
      <c r="L1690" s="1439"/>
      <c r="M1690" s="1439"/>
      <c r="N1690" s="1439"/>
      <c r="O1690" s="1439"/>
      <c r="P1690" s="1439"/>
      <c r="Q1690" s="1439"/>
      <c r="R1690" s="1439"/>
      <c r="S1690" s="1439"/>
      <c r="T1690" s="1439"/>
      <c r="U1690" s="1439"/>
      <c r="V1690" s="1439"/>
      <c r="W1690" s="1439"/>
      <c r="X1690" s="1439"/>
      <c r="Y1690" s="1439"/>
      <c r="Z1690" s="1439"/>
      <c r="AA1690" s="1439"/>
      <c r="AB1690" s="1439"/>
      <c r="AC1690" s="1439"/>
      <c r="AD1690" s="1439"/>
      <c r="AE1690" s="1439"/>
      <c r="AF1690" s="1439"/>
      <c r="AG1690" s="1439"/>
    </row>
    <row r="1691" spans="1:33" ht="15.75" customHeight="1">
      <c r="A1691" s="1451"/>
      <c r="B1691" s="1450" t="s">
        <v>7239</v>
      </c>
      <c r="C1691" s="1484">
        <v>1</v>
      </c>
      <c r="D1691" s="1484" t="s">
        <v>3364</v>
      </c>
      <c r="E1691" s="1484">
        <v>2</v>
      </c>
      <c r="F1691" s="1446"/>
      <c r="G1691" s="1446"/>
      <c r="H1691" s="1447"/>
      <c r="I1691" s="1494">
        <f t="shared" si="75"/>
        <v>2</v>
      </c>
      <c r="J1691" s="1492"/>
      <c r="K1691" s="1439"/>
      <c r="L1691" s="1439"/>
      <c r="M1691" s="1439"/>
      <c r="N1691" s="1439"/>
      <c r="O1691" s="1439"/>
      <c r="P1691" s="1439"/>
      <c r="Q1691" s="1439"/>
      <c r="R1691" s="1439"/>
      <c r="S1691" s="1439"/>
      <c r="T1691" s="1439"/>
      <c r="U1691" s="1439"/>
      <c r="V1691" s="1439"/>
      <c r="W1691" s="1439"/>
      <c r="X1691" s="1439"/>
      <c r="Y1691" s="1439"/>
      <c r="Z1691" s="1439"/>
      <c r="AA1691" s="1439"/>
      <c r="AB1691" s="1439"/>
      <c r="AC1691" s="1439"/>
      <c r="AD1691" s="1439"/>
      <c r="AE1691" s="1439"/>
      <c r="AF1691" s="1439"/>
      <c r="AG1691" s="1439"/>
    </row>
    <row r="1692" spans="1:33" ht="15.75" customHeight="1">
      <c r="A1692" s="1451"/>
      <c r="B1692" s="1456" t="s">
        <v>7240</v>
      </c>
      <c r="C1692" s="1484"/>
      <c r="D1692" s="1484"/>
      <c r="E1692" s="1484"/>
      <c r="F1692" s="1446"/>
      <c r="G1692" s="1446"/>
      <c r="H1692" s="1447"/>
      <c r="I1692" s="1494">
        <f t="shared" si="75"/>
        <v>0</v>
      </c>
      <c r="J1692" s="1492"/>
      <c r="K1692" s="1439"/>
      <c r="L1692" s="1439"/>
      <c r="M1692" s="1439"/>
      <c r="N1692" s="1439"/>
      <c r="O1692" s="1439"/>
      <c r="P1692" s="1439"/>
      <c r="Q1692" s="1439"/>
      <c r="R1692" s="1439"/>
      <c r="S1692" s="1439"/>
      <c r="T1692" s="1439"/>
      <c r="U1692" s="1439"/>
      <c r="V1692" s="1439"/>
      <c r="W1692" s="1439"/>
      <c r="X1692" s="1439"/>
      <c r="Y1692" s="1439"/>
      <c r="Z1692" s="1439"/>
      <c r="AA1692" s="1439"/>
      <c r="AB1692" s="1439"/>
      <c r="AC1692" s="1439"/>
      <c r="AD1692" s="1439"/>
      <c r="AE1692" s="1439"/>
      <c r="AF1692" s="1439"/>
      <c r="AG1692" s="1439"/>
    </row>
    <row r="1693" spans="1:33" ht="15.75" customHeight="1">
      <c r="A1693" s="1451"/>
      <c r="B1693" s="1450" t="s">
        <v>7224</v>
      </c>
      <c r="C1693" s="1484">
        <v>1</v>
      </c>
      <c r="D1693" s="1484" t="s">
        <v>3364</v>
      </c>
      <c r="E1693" s="1484">
        <v>1</v>
      </c>
      <c r="F1693" s="1446"/>
      <c r="G1693" s="1446"/>
      <c r="H1693" s="1447"/>
      <c r="I1693" s="1494">
        <f t="shared" si="75"/>
        <v>1</v>
      </c>
      <c r="J1693" s="1492"/>
      <c r="K1693" s="1439"/>
      <c r="L1693" s="1439"/>
      <c r="M1693" s="1439"/>
      <c r="N1693" s="1439"/>
      <c r="O1693" s="1439"/>
      <c r="P1693" s="1439"/>
      <c r="Q1693" s="1439"/>
      <c r="R1693" s="1439"/>
      <c r="S1693" s="1439"/>
      <c r="T1693" s="1439"/>
      <c r="U1693" s="1439"/>
      <c r="V1693" s="1439"/>
      <c r="W1693" s="1439"/>
      <c r="X1693" s="1439"/>
      <c r="Y1693" s="1439"/>
      <c r="Z1693" s="1439"/>
      <c r="AA1693" s="1439"/>
      <c r="AB1693" s="1439"/>
      <c r="AC1693" s="1439"/>
      <c r="AD1693" s="1439"/>
      <c r="AE1693" s="1439"/>
      <c r="AF1693" s="1439"/>
      <c r="AG1693" s="1439"/>
    </row>
    <row r="1694" spans="1:33" ht="15.75" customHeight="1">
      <c r="A1694" s="1451"/>
      <c r="B1694" s="1450" t="s">
        <v>7221</v>
      </c>
      <c r="C1694" s="1484">
        <v>1</v>
      </c>
      <c r="D1694" s="1484" t="s">
        <v>3364</v>
      </c>
      <c r="E1694" s="1484">
        <v>2</v>
      </c>
      <c r="F1694" s="1446"/>
      <c r="G1694" s="1446"/>
      <c r="H1694" s="1447"/>
      <c r="I1694" s="1494">
        <f t="shared" si="75"/>
        <v>2</v>
      </c>
      <c r="J1694" s="1492"/>
      <c r="K1694" s="1439"/>
      <c r="L1694" s="1439"/>
      <c r="M1694" s="1439"/>
      <c r="N1694" s="1439"/>
      <c r="O1694" s="1439"/>
      <c r="P1694" s="1439"/>
      <c r="Q1694" s="1439"/>
      <c r="R1694" s="1439"/>
      <c r="S1694" s="1439"/>
      <c r="T1694" s="1439"/>
      <c r="U1694" s="1439"/>
      <c r="V1694" s="1439"/>
      <c r="W1694" s="1439"/>
      <c r="X1694" s="1439"/>
      <c r="Y1694" s="1439"/>
      <c r="Z1694" s="1439"/>
      <c r="AA1694" s="1439"/>
      <c r="AB1694" s="1439"/>
      <c r="AC1694" s="1439"/>
      <c r="AD1694" s="1439"/>
      <c r="AE1694" s="1439"/>
      <c r="AF1694" s="1439"/>
      <c r="AG1694" s="1439"/>
    </row>
    <row r="1695" spans="1:33" ht="15.75" customHeight="1">
      <c r="A1695" s="1451"/>
      <c r="B1695" s="1450" t="s">
        <v>7233</v>
      </c>
      <c r="C1695" s="1484">
        <v>1</v>
      </c>
      <c r="D1695" s="1484" t="s">
        <v>3364</v>
      </c>
      <c r="E1695" s="1484">
        <v>3</v>
      </c>
      <c r="F1695" s="1446"/>
      <c r="G1695" s="1446"/>
      <c r="H1695" s="1447"/>
      <c r="I1695" s="1494">
        <f t="shared" si="75"/>
        <v>3</v>
      </c>
      <c r="J1695" s="1492"/>
      <c r="K1695" s="1439"/>
      <c r="L1695" s="1439"/>
      <c r="M1695" s="1439"/>
      <c r="N1695" s="1439"/>
      <c r="O1695" s="1439"/>
      <c r="P1695" s="1439"/>
      <c r="Q1695" s="1439"/>
      <c r="R1695" s="1439"/>
      <c r="S1695" s="1439"/>
      <c r="T1695" s="1439"/>
      <c r="U1695" s="1439"/>
      <c r="V1695" s="1439"/>
      <c r="W1695" s="1439"/>
      <c r="X1695" s="1439"/>
      <c r="Y1695" s="1439"/>
      <c r="Z1695" s="1439"/>
      <c r="AA1695" s="1439"/>
      <c r="AB1695" s="1439"/>
      <c r="AC1695" s="1439"/>
      <c r="AD1695" s="1439"/>
      <c r="AE1695" s="1439"/>
      <c r="AF1695" s="1439"/>
      <c r="AG1695" s="1439"/>
    </row>
    <row r="1696" spans="1:33" ht="15.75" customHeight="1">
      <c r="A1696" s="1451"/>
      <c r="B1696" s="1450" t="s">
        <v>7231</v>
      </c>
      <c r="C1696" s="1484">
        <v>1</v>
      </c>
      <c r="D1696" s="1484" t="s">
        <v>3364</v>
      </c>
      <c r="E1696" s="1484">
        <v>2</v>
      </c>
      <c r="F1696" s="1446"/>
      <c r="G1696" s="1446"/>
      <c r="H1696" s="1447"/>
      <c r="I1696" s="1494">
        <f t="shared" si="75"/>
        <v>2</v>
      </c>
      <c r="J1696" s="1492"/>
      <c r="K1696" s="1439"/>
      <c r="L1696" s="1439"/>
      <c r="M1696" s="1439"/>
      <c r="N1696" s="1439"/>
      <c r="O1696" s="1439"/>
      <c r="P1696" s="1439"/>
      <c r="Q1696" s="1439"/>
      <c r="R1696" s="1439"/>
      <c r="S1696" s="1439"/>
      <c r="T1696" s="1439"/>
      <c r="U1696" s="1439"/>
      <c r="V1696" s="1439"/>
      <c r="W1696" s="1439"/>
      <c r="X1696" s="1439"/>
      <c r="Y1696" s="1439"/>
      <c r="Z1696" s="1439"/>
      <c r="AA1696" s="1439"/>
      <c r="AB1696" s="1439"/>
      <c r="AC1696" s="1439"/>
      <c r="AD1696" s="1439"/>
      <c r="AE1696" s="1439"/>
      <c r="AF1696" s="1439"/>
      <c r="AG1696" s="1439"/>
    </row>
    <row r="1697" spans="1:33" ht="15.75" customHeight="1">
      <c r="A1697" s="1451"/>
      <c r="B1697" s="1450" t="s">
        <v>6908</v>
      </c>
      <c r="C1697" s="1484">
        <v>1</v>
      </c>
      <c r="D1697" s="1484" t="s">
        <v>3364</v>
      </c>
      <c r="E1697" s="1484">
        <v>1</v>
      </c>
      <c r="F1697" s="1446"/>
      <c r="G1697" s="1446"/>
      <c r="H1697" s="1447"/>
      <c r="I1697" s="1494">
        <f t="shared" si="75"/>
        <v>1</v>
      </c>
      <c r="J1697" s="1492"/>
      <c r="K1697" s="1439"/>
      <c r="L1697" s="1439"/>
      <c r="M1697" s="1439"/>
      <c r="N1697" s="1439"/>
      <c r="O1697" s="1439"/>
      <c r="P1697" s="1439"/>
      <c r="Q1697" s="1439"/>
      <c r="R1697" s="1439"/>
      <c r="S1697" s="1439"/>
      <c r="T1697" s="1439"/>
      <c r="U1697" s="1439"/>
      <c r="V1697" s="1439"/>
      <c r="W1697" s="1439"/>
      <c r="X1697" s="1439"/>
      <c r="Y1697" s="1439"/>
      <c r="Z1697" s="1439"/>
      <c r="AA1697" s="1439"/>
      <c r="AB1697" s="1439"/>
      <c r="AC1697" s="1439"/>
      <c r="AD1697" s="1439"/>
      <c r="AE1697" s="1439"/>
      <c r="AF1697" s="1439"/>
      <c r="AG1697" s="1439"/>
    </row>
    <row r="1698" spans="1:33" ht="15.75" customHeight="1">
      <c r="A1698" s="1451"/>
      <c r="B1698" s="1450" t="s">
        <v>7138</v>
      </c>
      <c r="C1698" s="1484">
        <v>1</v>
      </c>
      <c r="D1698" s="1484" t="s">
        <v>3364</v>
      </c>
      <c r="E1698" s="1484">
        <v>4</v>
      </c>
      <c r="F1698" s="1446"/>
      <c r="G1698" s="1446"/>
      <c r="H1698" s="1447"/>
      <c r="I1698" s="1494">
        <f t="shared" si="75"/>
        <v>4</v>
      </c>
      <c r="J1698" s="1492"/>
      <c r="K1698" s="1439"/>
      <c r="L1698" s="1439"/>
      <c r="M1698" s="1439"/>
      <c r="N1698" s="1439"/>
      <c r="O1698" s="1439"/>
      <c r="P1698" s="1439"/>
      <c r="Q1698" s="1439"/>
      <c r="R1698" s="1439"/>
      <c r="S1698" s="1439"/>
      <c r="T1698" s="1439"/>
      <c r="U1698" s="1439"/>
      <c r="V1698" s="1439"/>
      <c r="W1698" s="1439"/>
      <c r="X1698" s="1439"/>
      <c r="Y1698" s="1439"/>
      <c r="Z1698" s="1439"/>
      <c r="AA1698" s="1439"/>
      <c r="AB1698" s="1439"/>
      <c r="AC1698" s="1439"/>
      <c r="AD1698" s="1439"/>
      <c r="AE1698" s="1439"/>
      <c r="AF1698" s="1439"/>
      <c r="AG1698" s="1439"/>
    </row>
    <row r="1699" spans="1:33" ht="15.75" customHeight="1">
      <c r="A1699" s="1451"/>
      <c r="B1699" s="1450" t="s">
        <v>6586</v>
      </c>
      <c r="C1699" s="1484">
        <v>1</v>
      </c>
      <c r="D1699" s="1484" t="s">
        <v>3364</v>
      </c>
      <c r="E1699" s="1484">
        <v>1</v>
      </c>
      <c r="F1699" s="1446"/>
      <c r="G1699" s="1446"/>
      <c r="H1699" s="1447"/>
      <c r="I1699" s="1494">
        <f t="shared" si="75"/>
        <v>1</v>
      </c>
      <c r="J1699" s="1492"/>
      <c r="K1699" s="1439"/>
      <c r="L1699" s="1439"/>
      <c r="M1699" s="1439"/>
      <c r="N1699" s="1439"/>
      <c r="O1699" s="1439"/>
      <c r="P1699" s="1439"/>
      <c r="Q1699" s="1439"/>
      <c r="R1699" s="1439"/>
      <c r="S1699" s="1439"/>
      <c r="T1699" s="1439"/>
      <c r="U1699" s="1439"/>
      <c r="V1699" s="1439"/>
      <c r="W1699" s="1439"/>
      <c r="X1699" s="1439"/>
      <c r="Y1699" s="1439"/>
      <c r="Z1699" s="1439"/>
      <c r="AA1699" s="1439"/>
      <c r="AB1699" s="1439"/>
      <c r="AC1699" s="1439"/>
      <c r="AD1699" s="1439"/>
      <c r="AE1699" s="1439"/>
      <c r="AF1699" s="1439"/>
      <c r="AG1699" s="1439"/>
    </row>
    <row r="1700" spans="1:33" ht="15.75" customHeight="1">
      <c r="A1700" s="1451"/>
      <c r="B1700" s="1450" t="s">
        <v>7241</v>
      </c>
      <c r="C1700" s="1484">
        <v>1</v>
      </c>
      <c r="D1700" s="1484" t="s">
        <v>3364</v>
      </c>
      <c r="E1700" s="1484">
        <v>3</v>
      </c>
      <c r="F1700" s="1446"/>
      <c r="G1700" s="1446"/>
      <c r="H1700" s="1447"/>
      <c r="I1700" s="1494">
        <f t="shared" si="75"/>
        <v>3</v>
      </c>
      <c r="J1700" s="1492"/>
      <c r="K1700" s="1439"/>
      <c r="L1700" s="1439"/>
      <c r="M1700" s="1439"/>
      <c r="N1700" s="1439"/>
      <c r="O1700" s="1439"/>
      <c r="P1700" s="1439"/>
      <c r="Q1700" s="1439"/>
      <c r="R1700" s="1439"/>
      <c r="S1700" s="1439"/>
      <c r="T1700" s="1439"/>
      <c r="U1700" s="1439"/>
      <c r="V1700" s="1439"/>
      <c r="W1700" s="1439"/>
      <c r="X1700" s="1439"/>
      <c r="Y1700" s="1439"/>
      <c r="Z1700" s="1439"/>
      <c r="AA1700" s="1439"/>
      <c r="AB1700" s="1439"/>
      <c r="AC1700" s="1439"/>
      <c r="AD1700" s="1439"/>
      <c r="AE1700" s="1439"/>
      <c r="AF1700" s="1439"/>
      <c r="AG1700" s="1439"/>
    </row>
    <row r="1701" spans="1:33" ht="15.75" customHeight="1">
      <c r="A1701" s="1451"/>
      <c r="B1701" s="1450" t="s">
        <v>7235</v>
      </c>
      <c r="C1701" s="1484">
        <v>1</v>
      </c>
      <c r="D1701" s="1484" t="s">
        <v>3364</v>
      </c>
      <c r="E1701" s="1484">
        <v>2</v>
      </c>
      <c r="F1701" s="1446"/>
      <c r="G1701" s="1446"/>
      <c r="H1701" s="1447"/>
      <c r="I1701" s="1494">
        <f t="shared" si="75"/>
        <v>2</v>
      </c>
      <c r="J1701" s="1492"/>
      <c r="K1701" s="1439"/>
      <c r="L1701" s="1439"/>
      <c r="M1701" s="1439"/>
      <c r="N1701" s="1439"/>
      <c r="O1701" s="1439"/>
      <c r="P1701" s="1439"/>
      <c r="Q1701" s="1439"/>
      <c r="R1701" s="1439"/>
      <c r="S1701" s="1439"/>
      <c r="T1701" s="1439"/>
      <c r="U1701" s="1439"/>
      <c r="V1701" s="1439"/>
      <c r="W1701" s="1439"/>
      <c r="X1701" s="1439"/>
      <c r="Y1701" s="1439"/>
      <c r="Z1701" s="1439"/>
      <c r="AA1701" s="1439"/>
      <c r="AB1701" s="1439"/>
      <c r="AC1701" s="1439"/>
      <c r="AD1701" s="1439"/>
      <c r="AE1701" s="1439"/>
      <c r="AF1701" s="1439"/>
      <c r="AG1701" s="1439"/>
    </row>
    <row r="1702" spans="1:33" ht="15.75" customHeight="1">
      <c r="A1702" s="1451"/>
      <c r="B1702" s="1450" t="s">
        <v>7236</v>
      </c>
      <c r="C1702" s="1484">
        <v>1</v>
      </c>
      <c r="D1702" s="1484" t="s">
        <v>3364</v>
      </c>
      <c r="E1702" s="1484">
        <v>1</v>
      </c>
      <c r="F1702" s="1446"/>
      <c r="G1702" s="1446"/>
      <c r="H1702" s="1447"/>
      <c r="I1702" s="1494">
        <f t="shared" si="75"/>
        <v>1</v>
      </c>
      <c r="J1702" s="1492"/>
      <c r="K1702" s="1439"/>
      <c r="L1702" s="1439"/>
      <c r="M1702" s="1439"/>
      <c r="N1702" s="1439"/>
      <c r="O1702" s="1439"/>
      <c r="P1702" s="1439"/>
      <c r="Q1702" s="1439"/>
      <c r="R1702" s="1439"/>
      <c r="S1702" s="1439"/>
      <c r="T1702" s="1439"/>
      <c r="U1702" s="1439"/>
      <c r="V1702" s="1439"/>
      <c r="W1702" s="1439"/>
      <c r="X1702" s="1439"/>
      <c r="Y1702" s="1439"/>
      <c r="Z1702" s="1439"/>
      <c r="AA1702" s="1439"/>
      <c r="AB1702" s="1439"/>
      <c r="AC1702" s="1439"/>
      <c r="AD1702" s="1439"/>
      <c r="AE1702" s="1439"/>
      <c r="AF1702" s="1439"/>
      <c r="AG1702" s="1439"/>
    </row>
    <row r="1703" spans="1:33" ht="15.75" customHeight="1">
      <c r="A1703" s="1451"/>
      <c r="B1703" s="1450" t="s">
        <v>7237</v>
      </c>
      <c r="C1703" s="1484">
        <v>2</v>
      </c>
      <c r="D1703" s="1484" t="s">
        <v>3364</v>
      </c>
      <c r="E1703" s="1484">
        <v>1</v>
      </c>
      <c r="F1703" s="1446"/>
      <c r="G1703" s="1446"/>
      <c r="H1703" s="1447"/>
      <c r="I1703" s="1494">
        <f t="shared" si="75"/>
        <v>2</v>
      </c>
      <c r="J1703" s="1492"/>
      <c r="K1703" s="1439"/>
      <c r="L1703" s="1439"/>
      <c r="M1703" s="1439"/>
      <c r="N1703" s="1439"/>
      <c r="O1703" s="1439"/>
      <c r="P1703" s="1439"/>
      <c r="Q1703" s="1439"/>
      <c r="R1703" s="1439"/>
      <c r="S1703" s="1439"/>
      <c r="T1703" s="1439"/>
      <c r="U1703" s="1439"/>
      <c r="V1703" s="1439"/>
      <c r="W1703" s="1439"/>
      <c r="X1703" s="1439"/>
      <c r="Y1703" s="1439"/>
      <c r="Z1703" s="1439"/>
      <c r="AA1703" s="1439"/>
      <c r="AB1703" s="1439"/>
      <c r="AC1703" s="1439"/>
      <c r="AD1703" s="1439"/>
      <c r="AE1703" s="1439"/>
      <c r="AF1703" s="1439"/>
      <c r="AG1703" s="1439"/>
    </row>
    <row r="1704" spans="1:33" ht="15.75" customHeight="1">
      <c r="A1704" s="1451"/>
      <c r="B1704" s="1450" t="s">
        <v>6586</v>
      </c>
      <c r="C1704" s="1484">
        <v>1</v>
      </c>
      <c r="D1704" s="1484" t="s">
        <v>3364</v>
      </c>
      <c r="E1704" s="1484">
        <v>1</v>
      </c>
      <c r="F1704" s="1446"/>
      <c r="G1704" s="1446"/>
      <c r="H1704" s="1447"/>
      <c r="I1704" s="1494">
        <f t="shared" si="75"/>
        <v>1</v>
      </c>
      <c r="J1704" s="1492"/>
      <c r="K1704" s="1439"/>
      <c r="L1704" s="1439"/>
      <c r="M1704" s="1439"/>
      <c r="N1704" s="1439"/>
      <c r="O1704" s="1439"/>
      <c r="P1704" s="1439"/>
      <c r="Q1704" s="1439"/>
      <c r="R1704" s="1439"/>
      <c r="S1704" s="1439"/>
      <c r="T1704" s="1439"/>
      <c r="U1704" s="1439"/>
      <c r="V1704" s="1439"/>
      <c r="W1704" s="1439"/>
      <c r="X1704" s="1439"/>
      <c r="Y1704" s="1439"/>
      <c r="Z1704" s="1439"/>
      <c r="AA1704" s="1439"/>
      <c r="AB1704" s="1439"/>
      <c r="AC1704" s="1439"/>
      <c r="AD1704" s="1439"/>
      <c r="AE1704" s="1439"/>
      <c r="AF1704" s="1439"/>
      <c r="AG1704" s="1439"/>
    </row>
    <row r="1705" spans="1:33" ht="15.75" customHeight="1">
      <c r="A1705" s="1451"/>
      <c r="B1705" s="1450" t="s">
        <v>7238</v>
      </c>
      <c r="C1705" s="1484">
        <v>1</v>
      </c>
      <c r="D1705" s="1484" t="s">
        <v>3364</v>
      </c>
      <c r="E1705" s="1484">
        <v>3</v>
      </c>
      <c r="F1705" s="1446"/>
      <c r="G1705" s="1446"/>
      <c r="H1705" s="1447"/>
      <c r="I1705" s="1494">
        <f t="shared" si="75"/>
        <v>3</v>
      </c>
      <c r="J1705" s="1492"/>
      <c r="K1705" s="1439"/>
      <c r="L1705" s="1439"/>
      <c r="M1705" s="1439"/>
      <c r="N1705" s="1439"/>
      <c r="O1705" s="1439"/>
      <c r="P1705" s="1439"/>
      <c r="Q1705" s="1439"/>
      <c r="R1705" s="1439"/>
      <c r="S1705" s="1439"/>
      <c r="T1705" s="1439"/>
      <c r="U1705" s="1439"/>
      <c r="V1705" s="1439"/>
      <c r="W1705" s="1439"/>
      <c r="X1705" s="1439"/>
      <c r="Y1705" s="1439"/>
      <c r="Z1705" s="1439"/>
      <c r="AA1705" s="1439"/>
      <c r="AB1705" s="1439"/>
      <c r="AC1705" s="1439"/>
      <c r="AD1705" s="1439"/>
      <c r="AE1705" s="1439"/>
      <c r="AF1705" s="1439"/>
      <c r="AG1705" s="1439"/>
    </row>
    <row r="1706" spans="1:33" ht="15.75" customHeight="1">
      <c r="A1706" s="1451"/>
      <c r="B1706" s="1450" t="s">
        <v>7239</v>
      </c>
      <c r="C1706" s="1484">
        <v>1</v>
      </c>
      <c r="D1706" s="1484" t="s">
        <v>3364</v>
      </c>
      <c r="E1706" s="1484">
        <v>2</v>
      </c>
      <c r="F1706" s="1446"/>
      <c r="G1706" s="1446"/>
      <c r="H1706" s="1447"/>
      <c r="I1706" s="1494">
        <f t="shared" si="75"/>
        <v>2</v>
      </c>
      <c r="J1706" s="1492"/>
      <c r="K1706" s="1439"/>
      <c r="L1706" s="1439"/>
      <c r="M1706" s="1439"/>
      <c r="N1706" s="1439"/>
      <c r="O1706" s="1439"/>
      <c r="P1706" s="1439"/>
      <c r="Q1706" s="1439"/>
      <c r="R1706" s="1439"/>
      <c r="S1706" s="1439"/>
      <c r="T1706" s="1439"/>
      <c r="U1706" s="1439"/>
      <c r="V1706" s="1439"/>
      <c r="W1706" s="1439"/>
      <c r="X1706" s="1439"/>
      <c r="Y1706" s="1439"/>
      <c r="Z1706" s="1439"/>
      <c r="AA1706" s="1439"/>
      <c r="AB1706" s="1439"/>
      <c r="AC1706" s="1439"/>
      <c r="AD1706" s="1439"/>
      <c r="AE1706" s="1439"/>
      <c r="AF1706" s="1439"/>
      <c r="AG1706" s="1439"/>
    </row>
    <row r="1707" spans="1:33" ht="15.75" customHeight="1">
      <c r="A1707" s="1470"/>
      <c r="B1707" s="1450"/>
      <c r="C1707" s="1484"/>
      <c r="D1707" s="1484"/>
      <c r="E1707" s="1484"/>
      <c r="F1707" s="1446"/>
      <c r="G1707" s="1458" t="s">
        <v>104</v>
      </c>
      <c r="H1707" s="1447"/>
      <c r="I1707" s="1459">
        <f>SUM(I1653:I1706)</f>
        <v>89</v>
      </c>
      <c r="J1707" s="1475" t="s">
        <v>3471</v>
      </c>
      <c r="K1707" s="1439"/>
      <c r="L1707" s="1439"/>
      <c r="M1707" s="1439"/>
      <c r="N1707" s="1439"/>
      <c r="O1707" s="1439"/>
      <c r="P1707" s="1439"/>
      <c r="Q1707" s="1439"/>
      <c r="R1707" s="1439"/>
      <c r="S1707" s="1439"/>
      <c r="T1707" s="1439"/>
      <c r="U1707" s="1439"/>
      <c r="V1707" s="1439"/>
      <c r="W1707" s="1439"/>
      <c r="X1707" s="1439"/>
      <c r="Y1707" s="1439"/>
      <c r="Z1707" s="1439"/>
      <c r="AA1707" s="1439"/>
      <c r="AB1707" s="1439"/>
      <c r="AC1707" s="1439"/>
      <c r="AD1707" s="1439"/>
      <c r="AE1707" s="1439"/>
      <c r="AF1707" s="1439"/>
      <c r="AG1707" s="1439"/>
    </row>
    <row r="1708" spans="1:33" ht="141.75">
      <c r="A1708" s="1451">
        <v>72</v>
      </c>
      <c r="B1708" s="1462" t="s">
        <v>7248</v>
      </c>
      <c r="C1708" s="1484"/>
      <c r="D1708" s="1484"/>
      <c r="E1708" s="1484"/>
      <c r="F1708" s="1446"/>
      <c r="G1708" s="1446"/>
      <c r="H1708" s="1447"/>
      <c r="I1708" s="1448"/>
      <c r="J1708" s="1475"/>
      <c r="K1708" s="1439"/>
      <c r="L1708" s="1439"/>
      <c r="M1708" s="1439"/>
      <c r="N1708" s="1439"/>
      <c r="O1708" s="1439"/>
      <c r="P1708" s="1439"/>
      <c r="Q1708" s="1439"/>
      <c r="R1708" s="1439"/>
      <c r="S1708" s="1439"/>
      <c r="T1708" s="1439"/>
      <c r="U1708" s="1439"/>
      <c r="V1708" s="1439"/>
      <c r="W1708" s="1439"/>
      <c r="X1708" s="1439"/>
      <c r="Y1708" s="1439"/>
      <c r="Z1708" s="1439"/>
      <c r="AA1708" s="1439"/>
      <c r="AB1708" s="1439"/>
      <c r="AC1708" s="1439"/>
      <c r="AD1708" s="1439"/>
      <c r="AE1708" s="1439"/>
      <c r="AF1708" s="1439"/>
      <c r="AG1708" s="1439"/>
    </row>
    <row r="1709" spans="1:33" ht="15.75" customHeight="1">
      <c r="A1709" s="1451"/>
      <c r="B1709" s="1456" t="s">
        <v>7157</v>
      </c>
      <c r="C1709" s="1484"/>
      <c r="D1709" s="1484"/>
      <c r="E1709" s="1484"/>
      <c r="F1709" s="1446"/>
      <c r="G1709" s="1446"/>
      <c r="H1709" s="1447"/>
      <c r="I1709" s="1494"/>
      <c r="J1709" s="1492"/>
      <c r="K1709" s="1439"/>
      <c r="L1709" s="1439"/>
      <c r="M1709" s="1439"/>
      <c r="N1709" s="1439"/>
      <c r="O1709" s="1439"/>
      <c r="P1709" s="1439"/>
      <c r="Q1709" s="1439"/>
      <c r="R1709" s="1439"/>
      <c r="S1709" s="1439"/>
      <c r="T1709" s="1439"/>
      <c r="U1709" s="1439"/>
      <c r="V1709" s="1439"/>
      <c r="W1709" s="1439"/>
      <c r="X1709" s="1439"/>
      <c r="Y1709" s="1439"/>
      <c r="Z1709" s="1439"/>
      <c r="AA1709" s="1439"/>
      <c r="AB1709" s="1439"/>
      <c r="AC1709" s="1439"/>
      <c r="AD1709" s="1439"/>
      <c r="AE1709" s="1439"/>
      <c r="AF1709" s="1439"/>
      <c r="AG1709" s="1439"/>
    </row>
    <row r="1710" spans="1:33" ht="15.75" customHeight="1">
      <c r="A1710" s="1451"/>
      <c r="B1710" s="1450" t="s">
        <v>7079</v>
      </c>
      <c r="C1710" s="1484">
        <v>2</v>
      </c>
      <c r="D1710" s="1484" t="s">
        <v>3364</v>
      </c>
      <c r="E1710" s="1484">
        <v>1</v>
      </c>
      <c r="F1710" s="1446"/>
      <c r="G1710" s="1446"/>
      <c r="H1710" s="1447"/>
      <c r="I1710" s="1494">
        <f t="shared" ref="I1710:I1760" si="76">PRODUCT(C1710:H1710)</f>
        <v>2</v>
      </c>
      <c r="J1710" s="1492"/>
      <c r="K1710" s="1439"/>
      <c r="L1710" s="1439"/>
      <c r="M1710" s="1439"/>
      <c r="N1710" s="1439"/>
      <c r="O1710" s="1439"/>
      <c r="P1710" s="1439"/>
      <c r="Q1710" s="1439"/>
      <c r="R1710" s="1439"/>
      <c r="S1710" s="1439"/>
      <c r="T1710" s="1439"/>
      <c r="U1710" s="1439"/>
      <c r="V1710" s="1439"/>
      <c r="W1710" s="1439"/>
      <c r="X1710" s="1439"/>
      <c r="Y1710" s="1439"/>
      <c r="Z1710" s="1439"/>
      <c r="AA1710" s="1439"/>
      <c r="AB1710" s="1439"/>
      <c r="AC1710" s="1439"/>
      <c r="AD1710" s="1439"/>
      <c r="AE1710" s="1439"/>
      <c r="AF1710" s="1439"/>
      <c r="AG1710" s="1439"/>
    </row>
    <row r="1711" spans="1:33" ht="15.75" customHeight="1">
      <c r="A1711" s="1451"/>
      <c r="B1711" s="1450" t="s">
        <v>7214</v>
      </c>
      <c r="C1711" s="1484">
        <v>2</v>
      </c>
      <c r="D1711" s="1484" t="s">
        <v>3364</v>
      </c>
      <c r="E1711" s="1484">
        <v>3</v>
      </c>
      <c r="F1711" s="1446"/>
      <c r="G1711" s="1446"/>
      <c r="H1711" s="1447"/>
      <c r="I1711" s="1494">
        <f t="shared" si="76"/>
        <v>6</v>
      </c>
      <c r="J1711" s="1492"/>
      <c r="K1711" s="1439"/>
      <c r="L1711" s="1439"/>
      <c r="M1711" s="1439"/>
      <c r="N1711" s="1439"/>
      <c r="O1711" s="1439"/>
      <c r="P1711" s="1439"/>
      <c r="Q1711" s="1439"/>
      <c r="R1711" s="1439"/>
      <c r="S1711" s="1439"/>
      <c r="T1711" s="1439"/>
      <c r="U1711" s="1439"/>
      <c r="V1711" s="1439"/>
      <c r="W1711" s="1439"/>
      <c r="X1711" s="1439"/>
      <c r="Y1711" s="1439"/>
      <c r="Z1711" s="1439"/>
      <c r="AA1711" s="1439"/>
      <c r="AB1711" s="1439"/>
      <c r="AC1711" s="1439"/>
      <c r="AD1711" s="1439"/>
      <c r="AE1711" s="1439"/>
      <c r="AF1711" s="1439"/>
      <c r="AG1711" s="1439"/>
    </row>
    <row r="1712" spans="1:33" ht="15.75" customHeight="1">
      <c r="A1712" s="1451"/>
      <c r="B1712" s="1450" t="s">
        <v>7215</v>
      </c>
      <c r="C1712" s="1484">
        <v>1</v>
      </c>
      <c r="D1712" s="1484" t="s">
        <v>3364</v>
      </c>
      <c r="E1712" s="1484">
        <v>2</v>
      </c>
      <c r="F1712" s="1446"/>
      <c r="G1712" s="1446"/>
      <c r="H1712" s="1447"/>
      <c r="I1712" s="1494">
        <f t="shared" si="76"/>
        <v>2</v>
      </c>
      <c r="J1712" s="1492"/>
      <c r="K1712" s="1439"/>
      <c r="L1712" s="1439"/>
      <c r="M1712" s="1439"/>
      <c r="N1712" s="1439"/>
      <c r="O1712" s="1439"/>
      <c r="P1712" s="1439"/>
      <c r="Q1712" s="1439"/>
      <c r="R1712" s="1439"/>
      <c r="S1712" s="1439"/>
      <c r="T1712" s="1439"/>
      <c r="U1712" s="1439"/>
      <c r="V1712" s="1439"/>
      <c r="W1712" s="1439"/>
      <c r="X1712" s="1439"/>
      <c r="Y1712" s="1439"/>
      <c r="Z1712" s="1439"/>
      <c r="AA1712" s="1439"/>
      <c r="AB1712" s="1439"/>
      <c r="AC1712" s="1439"/>
      <c r="AD1712" s="1439"/>
      <c r="AE1712" s="1439"/>
      <c r="AF1712" s="1439"/>
      <c r="AG1712" s="1439"/>
    </row>
    <row r="1713" spans="1:33" ht="15.75" customHeight="1">
      <c r="A1713" s="1451"/>
      <c r="B1713" s="1450" t="s">
        <v>7080</v>
      </c>
      <c r="C1713" s="1484">
        <v>1</v>
      </c>
      <c r="D1713" s="1484" t="s">
        <v>3364</v>
      </c>
      <c r="E1713" s="1484">
        <v>2</v>
      </c>
      <c r="F1713" s="1446"/>
      <c r="G1713" s="1446"/>
      <c r="H1713" s="1447"/>
      <c r="I1713" s="1494">
        <f t="shared" si="76"/>
        <v>2</v>
      </c>
      <c r="J1713" s="1492"/>
      <c r="K1713" s="1439"/>
      <c r="L1713" s="1439"/>
      <c r="M1713" s="1439"/>
      <c r="N1713" s="1439"/>
      <c r="O1713" s="1439"/>
      <c r="P1713" s="1439"/>
      <c r="Q1713" s="1439"/>
      <c r="R1713" s="1439"/>
      <c r="S1713" s="1439"/>
      <c r="T1713" s="1439"/>
      <c r="U1713" s="1439"/>
      <c r="V1713" s="1439"/>
      <c r="W1713" s="1439"/>
      <c r="X1713" s="1439"/>
      <c r="Y1713" s="1439"/>
      <c r="Z1713" s="1439"/>
      <c r="AA1713" s="1439"/>
      <c r="AB1713" s="1439"/>
      <c r="AC1713" s="1439"/>
      <c r="AD1713" s="1439"/>
      <c r="AE1713" s="1439"/>
      <c r="AF1713" s="1439"/>
      <c r="AG1713" s="1439"/>
    </row>
    <row r="1714" spans="1:33" ht="15.75" customHeight="1">
      <c r="A1714" s="1451"/>
      <c r="B1714" s="1450" t="s">
        <v>7216</v>
      </c>
      <c r="C1714" s="1484">
        <v>2</v>
      </c>
      <c r="D1714" s="1484" t="s">
        <v>3364</v>
      </c>
      <c r="E1714" s="1484">
        <v>3</v>
      </c>
      <c r="F1714" s="1446"/>
      <c r="G1714" s="1446"/>
      <c r="H1714" s="1447"/>
      <c r="I1714" s="1494">
        <f t="shared" si="76"/>
        <v>6</v>
      </c>
      <c r="J1714" s="1492"/>
      <c r="K1714" s="1439"/>
      <c r="L1714" s="1439"/>
      <c r="M1714" s="1439"/>
      <c r="N1714" s="1439"/>
      <c r="O1714" s="1439"/>
      <c r="P1714" s="1439"/>
      <c r="Q1714" s="1439"/>
      <c r="R1714" s="1439"/>
      <c r="S1714" s="1439"/>
      <c r="T1714" s="1439"/>
      <c r="U1714" s="1439"/>
      <c r="V1714" s="1439"/>
      <c r="W1714" s="1439"/>
      <c r="X1714" s="1439"/>
      <c r="Y1714" s="1439"/>
      <c r="Z1714" s="1439"/>
      <c r="AA1714" s="1439"/>
      <c r="AB1714" s="1439"/>
      <c r="AC1714" s="1439"/>
      <c r="AD1714" s="1439"/>
      <c r="AE1714" s="1439"/>
      <c r="AF1714" s="1439"/>
      <c r="AG1714" s="1439"/>
    </row>
    <row r="1715" spans="1:33" ht="15.75" customHeight="1">
      <c r="A1715" s="1451"/>
      <c r="B1715" s="1450" t="s">
        <v>7218</v>
      </c>
      <c r="C1715" s="1484">
        <v>1</v>
      </c>
      <c r="D1715" s="1484" t="s">
        <v>3364</v>
      </c>
      <c r="E1715" s="1484">
        <v>2</v>
      </c>
      <c r="F1715" s="1446"/>
      <c r="G1715" s="1446"/>
      <c r="H1715" s="1447"/>
      <c r="I1715" s="1494">
        <f t="shared" si="76"/>
        <v>2</v>
      </c>
      <c r="J1715" s="1492"/>
      <c r="K1715" s="1439"/>
      <c r="L1715" s="1439"/>
      <c r="M1715" s="1439"/>
      <c r="N1715" s="1439"/>
      <c r="O1715" s="1439"/>
      <c r="P1715" s="1439"/>
      <c r="Q1715" s="1439"/>
      <c r="R1715" s="1439"/>
      <c r="S1715" s="1439"/>
      <c r="T1715" s="1439"/>
      <c r="U1715" s="1439"/>
      <c r="V1715" s="1439"/>
      <c r="W1715" s="1439"/>
      <c r="X1715" s="1439"/>
      <c r="Y1715" s="1439"/>
      <c r="Z1715" s="1439"/>
      <c r="AA1715" s="1439"/>
      <c r="AB1715" s="1439"/>
      <c r="AC1715" s="1439"/>
      <c r="AD1715" s="1439"/>
      <c r="AE1715" s="1439"/>
      <c r="AF1715" s="1439"/>
      <c r="AG1715" s="1439"/>
    </row>
    <row r="1716" spans="1:33" ht="15.75" customHeight="1">
      <c r="A1716" s="1451"/>
      <c r="B1716" s="1456" t="s">
        <v>3486</v>
      </c>
      <c r="C1716" s="1484"/>
      <c r="D1716" s="1484"/>
      <c r="E1716" s="1484"/>
      <c r="F1716" s="1446"/>
      <c r="G1716" s="1446"/>
      <c r="H1716" s="1447"/>
      <c r="I1716" s="1494"/>
      <c r="J1716" s="1492"/>
      <c r="K1716" s="1439"/>
      <c r="L1716" s="1439"/>
      <c r="M1716" s="1439"/>
      <c r="N1716" s="1439"/>
      <c r="O1716" s="1439"/>
      <c r="P1716" s="1439"/>
      <c r="Q1716" s="1439"/>
      <c r="R1716" s="1439"/>
      <c r="S1716" s="1439"/>
      <c r="T1716" s="1439"/>
      <c r="U1716" s="1439"/>
      <c r="V1716" s="1439"/>
      <c r="W1716" s="1439"/>
      <c r="X1716" s="1439"/>
      <c r="Y1716" s="1439"/>
      <c r="Z1716" s="1439"/>
      <c r="AA1716" s="1439"/>
      <c r="AB1716" s="1439"/>
      <c r="AC1716" s="1439"/>
      <c r="AD1716" s="1439"/>
      <c r="AE1716" s="1439"/>
      <c r="AF1716" s="1439"/>
      <c r="AG1716" s="1439"/>
    </row>
    <row r="1717" spans="1:33" ht="15.75" customHeight="1">
      <c r="A1717" s="1451"/>
      <c r="B1717" s="1450" t="s">
        <v>7219</v>
      </c>
      <c r="C1717" s="1484">
        <v>1</v>
      </c>
      <c r="D1717" s="1484" t="s">
        <v>3364</v>
      </c>
      <c r="E1717" s="1484">
        <v>1</v>
      </c>
      <c r="F1717" s="1446"/>
      <c r="G1717" s="1446"/>
      <c r="H1717" s="1447"/>
      <c r="I1717" s="1494">
        <f t="shared" si="76"/>
        <v>1</v>
      </c>
      <c r="J1717" s="1492"/>
      <c r="K1717" s="1439"/>
      <c r="L1717" s="1439"/>
      <c r="M1717" s="1439"/>
      <c r="N1717" s="1439"/>
      <c r="O1717" s="1439"/>
      <c r="P1717" s="1439"/>
      <c r="Q1717" s="1439"/>
      <c r="R1717" s="1439"/>
      <c r="S1717" s="1439"/>
      <c r="T1717" s="1439"/>
      <c r="U1717" s="1439"/>
      <c r="V1717" s="1439"/>
      <c r="W1717" s="1439"/>
      <c r="X1717" s="1439"/>
      <c r="Y1717" s="1439"/>
      <c r="Z1717" s="1439"/>
      <c r="AA1717" s="1439"/>
      <c r="AB1717" s="1439"/>
      <c r="AC1717" s="1439"/>
      <c r="AD1717" s="1439"/>
      <c r="AE1717" s="1439"/>
      <c r="AF1717" s="1439"/>
      <c r="AG1717" s="1439"/>
    </row>
    <row r="1718" spans="1:33" ht="15.75" customHeight="1">
      <c r="A1718" s="1451"/>
      <c r="B1718" s="1450" t="s">
        <v>7220</v>
      </c>
      <c r="C1718" s="1484">
        <v>1</v>
      </c>
      <c r="D1718" s="1484" t="s">
        <v>3364</v>
      </c>
      <c r="E1718" s="1484">
        <v>2</v>
      </c>
      <c r="F1718" s="1446"/>
      <c r="G1718" s="1446"/>
      <c r="H1718" s="1447"/>
      <c r="I1718" s="1494">
        <f t="shared" si="76"/>
        <v>2</v>
      </c>
      <c r="J1718" s="1492"/>
      <c r="K1718" s="1439"/>
      <c r="L1718" s="1439"/>
      <c r="M1718" s="1439"/>
      <c r="N1718" s="1439"/>
      <c r="O1718" s="1439"/>
      <c r="P1718" s="1439"/>
      <c r="Q1718" s="1439"/>
      <c r="R1718" s="1439"/>
      <c r="S1718" s="1439"/>
      <c r="T1718" s="1439"/>
      <c r="U1718" s="1439"/>
      <c r="V1718" s="1439"/>
      <c r="W1718" s="1439"/>
      <c r="X1718" s="1439"/>
      <c r="Y1718" s="1439"/>
      <c r="Z1718" s="1439"/>
      <c r="AA1718" s="1439"/>
      <c r="AB1718" s="1439"/>
      <c r="AC1718" s="1439"/>
      <c r="AD1718" s="1439"/>
      <c r="AE1718" s="1439"/>
      <c r="AF1718" s="1439"/>
      <c r="AG1718" s="1439"/>
    </row>
    <row r="1719" spans="1:33" ht="15.75" customHeight="1">
      <c r="A1719" s="1451"/>
      <c r="B1719" s="1450" t="s">
        <v>7221</v>
      </c>
      <c r="C1719" s="1484">
        <v>1</v>
      </c>
      <c r="D1719" s="1484" t="s">
        <v>3364</v>
      </c>
      <c r="E1719" s="1484">
        <v>2</v>
      </c>
      <c r="F1719" s="1446"/>
      <c r="G1719" s="1446"/>
      <c r="H1719" s="1447"/>
      <c r="I1719" s="1494">
        <f t="shared" si="76"/>
        <v>2</v>
      </c>
      <c r="J1719" s="1492"/>
      <c r="K1719" s="1439"/>
      <c r="L1719" s="1439"/>
      <c r="M1719" s="1439"/>
      <c r="N1719" s="1439"/>
      <c r="O1719" s="1439"/>
      <c r="P1719" s="1439"/>
      <c r="Q1719" s="1439"/>
      <c r="R1719" s="1439"/>
      <c r="S1719" s="1439"/>
      <c r="T1719" s="1439"/>
      <c r="U1719" s="1439"/>
      <c r="V1719" s="1439"/>
      <c r="W1719" s="1439"/>
      <c r="X1719" s="1439"/>
      <c r="Y1719" s="1439"/>
      <c r="Z1719" s="1439"/>
      <c r="AA1719" s="1439"/>
      <c r="AB1719" s="1439"/>
      <c r="AC1719" s="1439"/>
      <c r="AD1719" s="1439"/>
      <c r="AE1719" s="1439"/>
      <c r="AF1719" s="1439"/>
      <c r="AG1719" s="1439"/>
    </row>
    <row r="1720" spans="1:33" ht="15.75" customHeight="1">
      <c r="A1720" s="1451"/>
      <c r="B1720" s="1450" t="s">
        <v>7222</v>
      </c>
      <c r="C1720" s="1484">
        <v>1</v>
      </c>
      <c r="D1720" s="1484" t="s">
        <v>3364</v>
      </c>
      <c r="E1720" s="1484">
        <v>1</v>
      </c>
      <c r="F1720" s="1446"/>
      <c r="G1720" s="1446"/>
      <c r="H1720" s="1447"/>
      <c r="I1720" s="1494">
        <f t="shared" si="76"/>
        <v>1</v>
      </c>
      <c r="J1720" s="1492"/>
      <c r="K1720" s="1439"/>
      <c r="L1720" s="1439"/>
      <c r="M1720" s="1439"/>
      <c r="N1720" s="1439"/>
      <c r="O1720" s="1439"/>
      <c r="P1720" s="1439"/>
      <c r="Q1720" s="1439"/>
      <c r="R1720" s="1439"/>
      <c r="S1720" s="1439"/>
      <c r="T1720" s="1439"/>
      <c r="U1720" s="1439"/>
      <c r="V1720" s="1439"/>
      <c r="W1720" s="1439"/>
      <c r="X1720" s="1439"/>
      <c r="Y1720" s="1439"/>
      <c r="Z1720" s="1439"/>
      <c r="AA1720" s="1439"/>
      <c r="AB1720" s="1439"/>
      <c r="AC1720" s="1439"/>
      <c r="AD1720" s="1439"/>
      <c r="AE1720" s="1439"/>
      <c r="AF1720" s="1439"/>
      <c r="AG1720" s="1439"/>
    </row>
    <row r="1721" spans="1:33" ht="15.75" customHeight="1">
      <c r="A1721" s="1451"/>
      <c r="B1721" s="1450" t="s">
        <v>7223</v>
      </c>
      <c r="C1721" s="1484">
        <v>2</v>
      </c>
      <c r="D1721" s="1484" t="s">
        <v>3364</v>
      </c>
      <c r="E1721" s="1484">
        <v>2</v>
      </c>
      <c r="F1721" s="1446"/>
      <c r="G1721" s="1446"/>
      <c r="H1721" s="1447"/>
      <c r="I1721" s="1494">
        <f t="shared" si="76"/>
        <v>4</v>
      </c>
      <c r="J1721" s="1492"/>
      <c r="K1721" s="1439"/>
      <c r="L1721" s="1439"/>
      <c r="M1721" s="1439"/>
      <c r="N1721" s="1439"/>
      <c r="O1721" s="1439"/>
      <c r="P1721" s="1439"/>
      <c r="Q1721" s="1439"/>
      <c r="R1721" s="1439"/>
      <c r="S1721" s="1439"/>
      <c r="T1721" s="1439"/>
      <c r="U1721" s="1439"/>
      <c r="V1721" s="1439"/>
      <c r="W1721" s="1439"/>
      <c r="X1721" s="1439"/>
      <c r="Y1721" s="1439"/>
      <c r="Z1721" s="1439"/>
      <c r="AA1721" s="1439"/>
      <c r="AB1721" s="1439"/>
      <c r="AC1721" s="1439"/>
      <c r="AD1721" s="1439"/>
      <c r="AE1721" s="1439"/>
      <c r="AF1721" s="1439"/>
      <c r="AG1721" s="1439"/>
    </row>
    <row r="1722" spans="1:33" ht="15.75" customHeight="1">
      <c r="A1722" s="1451"/>
      <c r="B1722" s="1450" t="s">
        <v>7083</v>
      </c>
      <c r="C1722" s="1484">
        <v>1</v>
      </c>
      <c r="D1722" s="1484" t="s">
        <v>3364</v>
      </c>
      <c r="E1722" s="1484">
        <v>1</v>
      </c>
      <c r="F1722" s="1446"/>
      <c r="G1722" s="1446"/>
      <c r="H1722" s="1447"/>
      <c r="I1722" s="1494">
        <f t="shared" si="76"/>
        <v>1</v>
      </c>
      <c r="J1722" s="1492"/>
      <c r="K1722" s="1439"/>
      <c r="L1722" s="1439"/>
      <c r="M1722" s="1439"/>
      <c r="N1722" s="1439"/>
      <c r="O1722" s="1439"/>
      <c r="P1722" s="1439"/>
      <c r="Q1722" s="1439"/>
      <c r="R1722" s="1439"/>
      <c r="S1722" s="1439"/>
      <c r="T1722" s="1439"/>
      <c r="U1722" s="1439"/>
      <c r="V1722" s="1439"/>
      <c r="W1722" s="1439"/>
      <c r="X1722" s="1439"/>
      <c r="Y1722" s="1439"/>
      <c r="Z1722" s="1439"/>
      <c r="AA1722" s="1439"/>
      <c r="AB1722" s="1439"/>
      <c r="AC1722" s="1439"/>
      <c r="AD1722" s="1439"/>
      <c r="AE1722" s="1439"/>
      <c r="AF1722" s="1439"/>
      <c r="AG1722" s="1439"/>
    </row>
    <row r="1723" spans="1:33" ht="15.75" customHeight="1">
      <c r="A1723" s="1451"/>
      <c r="B1723" s="1456" t="s">
        <v>3488</v>
      </c>
      <c r="C1723" s="1484"/>
      <c r="D1723" s="1484"/>
      <c r="E1723" s="1484"/>
      <c r="F1723" s="1446"/>
      <c r="G1723" s="1446"/>
      <c r="H1723" s="1447"/>
      <c r="I1723" s="1494">
        <f t="shared" si="76"/>
        <v>0</v>
      </c>
      <c r="J1723" s="1492"/>
      <c r="K1723" s="1439"/>
      <c r="L1723" s="1439"/>
      <c r="M1723" s="1439"/>
      <c r="N1723" s="1439"/>
      <c r="O1723" s="1439"/>
      <c r="P1723" s="1439"/>
      <c r="Q1723" s="1439"/>
      <c r="R1723" s="1439"/>
      <c r="S1723" s="1439"/>
      <c r="T1723" s="1439"/>
      <c r="U1723" s="1439"/>
      <c r="V1723" s="1439"/>
      <c r="W1723" s="1439"/>
      <c r="X1723" s="1439"/>
      <c r="Y1723" s="1439"/>
      <c r="Z1723" s="1439"/>
      <c r="AA1723" s="1439"/>
      <c r="AB1723" s="1439"/>
      <c r="AC1723" s="1439"/>
      <c r="AD1723" s="1439"/>
      <c r="AE1723" s="1439"/>
      <c r="AF1723" s="1439"/>
      <c r="AG1723" s="1439"/>
    </row>
    <row r="1724" spans="1:33" ht="15.75" customHeight="1">
      <c r="A1724" s="1451"/>
      <c r="B1724" s="1450" t="s">
        <v>7224</v>
      </c>
      <c r="C1724" s="1484">
        <v>1</v>
      </c>
      <c r="D1724" s="1484" t="s">
        <v>3364</v>
      </c>
      <c r="E1724" s="1484">
        <v>1</v>
      </c>
      <c r="F1724" s="1446"/>
      <c r="G1724" s="1446"/>
      <c r="H1724" s="1447"/>
      <c r="I1724" s="1494">
        <f t="shared" si="76"/>
        <v>1</v>
      </c>
      <c r="J1724" s="1492"/>
      <c r="K1724" s="1439"/>
      <c r="L1724" s="1439"/>
      <c r="M1724" s="1439"/>
      <c r="N1724" s="1439"/>
      <c r="O1724" s="1439"/>
      <c r="P1724" s="1439"/>
      <c r="Q1724" s="1439"/>
      <c r="R1724" s="1439"/>
      <c r="S1724" s="1439"/>
      <c r="T1724" s="1439"/>
      <c r="U1724" s="1439"/>
      <c r="V1724" s="1439"/>
      <c r="W1724" s="1439"/>
      <c r="X1724" s="1439"/>
      <c r="Y1724" s="1439"/>
      <c r="Z1724" s="1439"/>
      <c r="AA1724" s="1439"/>
      <c r="AB1724" s="1439"/>
      <c r="AC1724" s="1439"/>
      <c r="AD1724" s="1439"/>
      <c r="AE1724" s="1439"/>
      <c r="AF1724" s="1439"/>
      <c r="AG1724" s="1439"/>
    </row>
    <row r="1725" spans="1:33" ht="15.75" customHeight="1">
      <c r="A1725" s="1451"/>
      <c r="B1725" s="1450" t="s">
        <v>7221</v>
      </c>
      <c r="C1725" s="1484">
        <v>1</v>
      </c>
      <c r="D1725" s="1484" t="s">
        <v>3364</v>
      </c>
      <c r="E1725" s="1484">
        <v>2</v>
      </c>
      <c r="F1725" s="1446"/>
      <c r="G1725" s="1446"/>
      <c r="H1725" s="1447"/>
      <c r="I1725" s="1494">
        <f t="shared" si="76"/>
        <v>2</v>
      </c>
      <c r="J1725" s="1492"/>
      <c r="K1725" s="1439"/>
      <c r="L1725" s="1439"/>
      <c r="M1725" s="1439"/>
      <c r="N1725" s="1439"/>
      <c r="O1725" s="1439"/>
      <c r="P1725" s="1439"/>
      <c r="Q1725" s="1439"/>
      <c r="R1725" s="1439"/>
      <c r="S1725" s="1439"/>
      <c r="T1725" s="1439"/>
      <c r="U1725" s="1439"/>
      <c r="V1725" s="1439"/>
      <c r="W1725" s="1439"/>
      <c r="X1725" s="1439"/>
      <c r="Y1725" s="1439"/>
      <c r="Z1725" s="1439"/>
      <c r="AA1725" s="1439"/>
      <c r="AB1725" s="1439"/>
      <c r="AC1725" s="1439"/>
      <c r="AD1725" s="1439"/>
      <c r="AE1725" s="1439"/>
      <c r="AF1725" s="1439"/>
      <c r="AG1725" s="1439"/>
    </row>
    <row r="1726" spans="1:33" ht="15.75" customHeight="1">
      <c r="A1726" s="1451"/>
      <c r="B1726" s="1450" t="s">
        <v>7163</v>
      </c>
      <c r="C1726" s="1484">
        <v>1</v>
      </c>
      <c r="D1726" s="1484" t="s">
        <v>3364</v>
      </c>
      <c r="E1726" s="1484">
        <v>4</v>
      </c>
      <c r="F1726" s="1446"/>
      <c r="G1726" s="1446"/>
      <c r="H1726" s="1447"/>
      <c r="I1726" s="1494">
        <f t="shared" si="76"/>
        <v>4</v>
      </c>
      <c r="J1726" s="1492"/>
      <c r="K1726" s="1439"/>
      <c r="L1726" s="1439"/>
      <c r="M1726" s="1439"/>
      <c r="N1726" s="1439"/>
      <c r="O1726" s="1439"/>
      <c r="P1726" s="1439"/>
      <c r="Q1726" s="1439"/>
      <c r="R1726" s="1439"/>
      <c r="S1726" s="1439"/>
      <c r="T1726" s="1439"/>
      <c r="U1726" s="1439"/>
      <c r="V1726" s="1439"/>
      <c r="W1726" s="1439"/>
      <c r="X1726" s="1439"/>
      <c r="Y1726" s="1439"/>
      <c r="Z1726" s="1439"/>
      <c r="AA1726" s="1439"/>
      <c r="AB1726" s="1439"/>
      <c r="AC1726" s="1439"/>
      <c r="AD1726" s="1439"/>
      <c r="AE1726" s="1439"/>
      <c r="AF1726" s="1439"/>
      <c r="AG1726" s="1439"/>
    </row>
    <row r="1727" spans="1:33" ht="15.75" customHeight="1">
      <c r="A1727" s="1451"/>
      <c r="B1727" s="1450" t="s">
        <v>7227</v>
      </c>
      <c r="C1727" s="1484">
        <v>1</v>
      </c>
      <c r="D1727" s="1484" t="s">
        <v>3364</v>
      </c>
      <c r="E1727" s="1484">
        <v>4</v>
      </c>
      <c r="F1727" s="1446"/>
      <c r="G1727" s="1446"/>
      <c r="H1727" s="1447"/>
      <c r="I1727" s="1494">
        <f t="shared" si="76"/>
        <v>4</v>
      </c>
      <c r="J1727" s="1492"/>
      <c r="K1727" s="1439"/>
      <c r="L1727" s="1439"/>
      <c r="M1727" s="1439"/>
      <c r="N1727" s="1439"/>
      <c r="O1727" s="1439"/>
      <c r="P1727" s="1439"/>
      <c r="Q1727" s="1439"/>
      <c r="R1727" s="1439"/>
      <c r="S1727" s="1439"/>
      <c r="T1727" s="1439"/>
      <c r="U1727" s="1439"/>
      <c r="V1727" s="1439"/>
      <c r="W1727" s="1439"/>
      <c r="X1727" s="1439"/>
      <c r="Y1727" s="1439"/>
      <c r="Z1727" s="1439"/>
      <c r="AA1727" s="1439"/>
      <c r="AB1727" s="1439"/>
      <c r="AC1727" s="1439"/>
      <c r="AD1727" s="1439"/>
      <c r="AE1727" s="1439"/>
      <c r="AF1727" s="1439"/>
      <c r="AG1727" s="1439"/>
    </row>
    <row r="1728" spans="1:33" ht="15.75" customHeight="1">
      <c r="A1728" s="1451"/>
      <c r="B1728" s="1450" t="s">
        <v>7228</v>
      </c>
      <c r="C1728" s="1484">
        <v>1</v>
      </c>
      <c r="D1728" s="1484" t="s">
        <v>3364</v>
      </c>
      <c r="E1728" s="1484">
        <v>4</v>
      </c>
      <c r="F1728" s="1446"/>
      <c r="G1728" s="1446"/>
      <c r="H1728" s="1447"/>
      <c r="I1728" s="1494">
        <f t="shared" si="76"/>
        <v>4</v>
      </c>
      <c r="J1728" s="1492"/>
      <c r="K1728" s="1439"/>
      <c r="L1728" s="1439"/>
      <c r="M1728" s="1439"/>
      <c r="N1728" s="1439"/>
      <c r="O1728" s="1439"/>
      <c r="P1728" s="1439"/>
      <c r="Q1728" s="1439"/>
      <c r="R1728" s="1439"/>
      <c r="S1728" s="1439"/>
      <c r="T1728" s="1439"/>
      <c r="U1728" s="1439"/>
      <c r="V1728" s="1439"/>
      <c r="W1728" s="1439"/>
      <c r="X1728" s="1439"/>
      <c r="Y1728" s="1439"/>
      <c r="Z1728" s="1439"/>
      <c r="AA1728" s="1439"/>
      <c r="AB1728" s="1439"/>
      <c r="AC1728" s="1439"/>
      <c r="AD1728" s="1439"/>
      <c r="AE1728" s="1439"/>
      <c r="AF1728" s="1439"/>
      <c r="AG1728" s="1439"/>
    </row>
    <row r="1729" spans="1:33" ht="15.75" customHeight="1">
      <c r="A1729" s="1451"/>
      <c r="B1729" s="1450" t="s">
        <v>7229</v>
      </c>
      <c r="C1729" s="1484">
        <v>1</v>
      </c>
      <c r="D1729" s="1484" t="s">
        <v>3364</v>
      </c>
      <c r="E1729" s="1484">
        <v>4</v>
      </c>
      <c r="F1729" s="1446"/>
      <c r="G1729" s="1446"/>
      <c r="H1729" s="1447"/>
      <c r="I1729" s="1494">
        <f t="shared" si="76"/>
        <v>4</v>
      </c>
      <c r="J1729" s="1492"/>
      <c r="K1729" s="1439"/>
      <c r="L1729" s="1439"/>
      <c r="M1729" s="1439"/>
      <c r="N1729" s="1439"/>
      <c r="O1729" s="1439"/>
      <c r="P1729" s="1439"/>
      <c r="Q1729" s="1439"/>
      <c r="R1729" s="1439"/>
      <c r="S1729" s="1439"/>
      <c r="T1729" s="1439"/>
      <c r="U1729" s="1439"/>
      <c r="V1729" s="1439"/>
      <c r="W1729" s="1439"/>
      <c r="X1729" s="1439"/>
      <c r="Y1729" s="1439"/>
      <c r="Z1729" s="1439"/>
      <c r="AA1729" s="1439"/>
      <c r="AB1729" s="1439"/>
      <c r="AC1729" s="1439"/>
      <c r="AD1729" s="1439"/>
      <c r="AE1729" s="1439"/>
      <c r="AF1729" s="1439"/>
      <c r="AG1729" s="1439"/>
    </row>
    <row r="1730" spans="1:33" ht="15.75" customHeight="1">
      <c r="A1730" s="1451"/>
      <c r="B1730" s="1450" t="s">
        <v>7230</v>
      </c>
      <c r="C1730" s="1484">
        <v>3</v>
      </c>
      <c r="D1730" s="1484" t="s">
        <v>3364</v>
      </c>
      <c r="E1730" s="1484">
        <v>4</v>
      </c>
      <c r="F1730" s="1446"/>
      <c r="G1730" s="1446"/>
      <c r="H1730" s="1447"/>
      <c r="I1730" s="1494">
        <f t="shared" si="76"/>
        <v>12</v>
      </c>
      <c r="J1730" s="1492"/>
      <c r="K1730" s="1439"/>
      <c r="L1730" s="1439"/>
      <c r="M1730" s="1439"/>
      <c r="N1730" s="1439"/>
      <c r="O1730" s="1439"/>
      <c r="P1730" s="1439"/>
      <c r="Q1730" s="1439"/>
      <c r="R1730" s="1439"/>
      <c r="S1730" s="1439"/>
      <c r="T1730" s="1439"/>
      <c r="U1730" s="1439"/>
      <c r="V1730" s="1439"/>
      <c r="W1730" s="1439"/>
      <c r="X1730" s="1439"/>
      <c r="Y1730" s="1439"/>
      <c r="Z1730" s="1439"/>
      <c r="AA1730" s="1439"/>
      <c r="AB1730" s="1439"/>
      <c r="AC1730" s="1439"/>
      <c r="AD1730" s="1439"/>
      <c r="AE1730" s="1439"/>
      <c r="AF1730" s="1439"/>
      <c r="AG1730" s="1439"/>
    </row>
    <row r="1731" spans="1:33" ht="15.75" customHeight="1">
      <c r="A1731" s="1451"/>
      <c r="B1731" s="1450" t="s">
        <v>6723</v>
      </c>
      <c r="C1731" s="1484">
        <v>1</v>
      </c>
      <c r="D1731" s="1484" t="s">
        <v>3364</v>
      </c>
      <c r="E1731" s="1484">
        <v>2</v>
      </c>
      <c r="F1731" s="1446"/>
      <c r="G1731" s="1446"/>
      <c r="H1731" s="1447"/>
      <c r="I1731" s="1494">
        <f t="shared" si="76"/>
        <v>2</v>
      </c>
      <c r="J1731" s="1492"/>
      <c r="K1731" s="1439"/>
      <c r="L1731" s="1439"/>
      <c r="M1731" s="1439"/>
      <c r="N1731" s="1439"/>
      <c r="O1731" s="1439"/>
      <c r="P1731" s="1439"/>
      <c r="Q1731" s="1439"/>
      <c r="R1731" s="1439"/>
      <c r="S1731" s="1439"/>
      <c r="T1731" s="1439"/>
      <c r="U1731" s="1439"/>
      <c r="V1731" s="1439"/>
      <c r="W1731" s="1439"/>
      <c r="X1731" s="1439"/>
      <c r="Y1731" s="1439"/>
      <c r="Z1731" s="1439"/>
      <c r="AA1731" s="1439"/>
      <c r="AB1731" s="1439"/>
      <c r="AC1731" s="1439"/>
      <c r="AD1731" s="1439"/>
      <c r="AE1731" s="1439"/>
      <c r="AF1731" s="1439"/>
      <c r="AG1731" s="1439"/>
    </row>
    <row r="1732" spans="1:33" ht="15.75" customHeight="1">
      <c r="A1732" s="1451"/>
      <c r="B1732" s="1450" t="s">
        <v>6933</v>
      </c>
      <c r="C1732" s="1484">
        <v>1</v>
      </c>
      <c r="D1732" s="1484" t="s">
        <v>3364</v>
      </c>
      <c r="E1732" s="1484">
        <v>1</v>
      </c>
      <c r="F1732" s="1446"/>
      <c r="G1732" s="1446"/>
      <c r="H1732" s="1447"/>
      <c r="I1732" s="1494">
        <f t="shared" si="76"/>
        <v>1</v>
      </c>
      <c r="J1732" s="1492"/>
      <c r="K1732" s="1439"/>
      <c r="L1732" s="1439"/>
      <c r="M1732" s="1439"/>
      <c r="N1732" s="1439"/>
      <c r="O1732" s="1439"/>
      <c r="P1732" s="1439"/>
      <c r="Q1732" s="1439"/>
      <c r="R1732" s="1439"/>
      <c r="S1732" s="1439"/>
      <c r="T1732" s="1439"/>
      <c r="U1732" s="1439"/>
      <c r="V1732" s="1439"/>
      <c r="W1732" s="1439"/>
      <c r="X1732" s="1439"/>
      <c r="Y1732" s="1439"/>
      <c r="Z1732" s="1439"/>
      <c r="AA1732" s="1439"/>
      <c r="AB1732" s="1439"/>
      <c r="AC1732" s="1439"/>
      <c r="AD1732" s="1439"/>
      <c r="AE1732" s="1439"/>
      <c r="AF1732" s="1439"/>
      <c r="AG1732" s="1439"/>
    </row>
    <row r="1733" spans="1:33" ht="15.75" customHeight="1">
      <c r="A1733" s="1451"/>
      <c r="B1733" s="1450" t="s">
        <v>7231</v>
      </c>
      <c r="C1733" s="1484">
        <v>1</v>
      </c>
      <c r="D1733" s="1484" t="s">
        <v>3364</v>
      </c>
      <c r="E1733" s="1484">
        <v>5</v>
      </c>
      <c r="F1733" s="1446"/>
      <c r="G1733" s="1446"/>
      <c r="H1733" s="1447"/>
      <c r="I1733" s="1494">
        <f t="shared" si="76"/>
        <v>5</v>
      </c>
      <c r="J1733" s="1492"/>
      <c r="K1733" s="1439"/>
      <c r="L1733" s="1439"/>
      <c r="M1733" s="1439"/>
      <c r="N1733" s="1439"/>
      <c r="O1733" s="1439"/>
      <c r="P1733" s="1439"/>
      <c r="Q1733" s="1439"/>
      <c r="R1733" s="1439"/>
      <c r="S1733" s="1439"/>
      <c r="T1733" s="1439"/>
      <c r="U1733" s="1439"/>
      <c r="V1733" s="1439"/>
      <c r="W1733" s="1439"/>
      <c r="X1733" s="1439"/>
      <c r="Y1733" s="1439"/>
      <c r="Z1733" s="1439"/>
      <c r="AA1733" s="1439"/>
      <c r="AB1733" s="1439"/>
      <c r="AC1733" s="1439"/>
      <c r="AD1733" s="1439"/>
      <c r="AE1733" s="1439"/>
      <c r="AF1733" s="1439"/>
      <c r="AG1733" s="1439"/>
    </row>
    <row r="1734" spans="1:33" ht="15.75" customHeight="1">
      <c r="A1734" s="1451"/>
      <c r="B1734" s="1456" t="s">
        <v>7232</v>
      </c>
      <c r="C1734" s="1484"/>
      <c r="D1734" s="1484"/>
      <c r="E1734" s="1484"/>
      <c r="F1734" s="1446"/>
      <c r="G1734" s="1446"/>
      <c r="H1734" s="1447"/>
      <c r="I1734" s="1494"/>
      <c r="J1734" s="1492"/>
      <c r="K1734" s="1439"/>
      <c r="L1734" s="1439"/>
      <c r="M1734" s="1439"/>
      <c r="N1734" s="1439"/>
      <c r="O1734" s="1439"/>
      <c r="P1734" s="1439"/>
      <c r="Q1734" s="1439"/>
      <c r="R1734" s="1439"/>
      <c r="S1734" s="1439"/>
      <c r="T1734" s="1439"/>
      <c r="U1734" s="1439"/>
      <c r="V1734" s="1439"/>
      <c r="W1734" s="1439"/>
      <c r="X1734" s="1439"/>
      <c r="Y1734" s="1439"/>
      <c r="Z1734" s="1439"/>
      <c r="AA1734" s="1439"/>
      <c r="AB1734" s="1439"/>
      <c r="AC1734" s="1439"/>
      <c r="AD1734" s="1439"/>
      <c r="AE1734" s="1439"/>
      <c r="AF1734" s="1439"/>
      <c r="AG1734" s="1439"/>
    </row>
    <row r="1735" spans="1:33" ht="15.75" customHeight="1">
      <c r="A1735" s="1451"/>
      <c r="B1735" s="1450" t="s">
        <v>7224</v>
      </c>
      <c r="C1735" s="1484">
        <v>1</v>
      </c>
      <c r="D1735" s="1484" t="s">
        <v>3364</v>
      </c>
      <c r="E1735" s="1484">
        <v>1</v>
      </c>
      <c r="F1735" s="1446"/>
      <c r="G1735" s="1446"/>
      <c r="H1735" s="1447"/>
      <c r="I1735" s="1494">
        <f t="shared" si="76"/>
        <v>1</v>
      </c>
      <c r="J1735" s="1492"/>
      <c r="K1735" s="1439"/>
      <c r="L1735" s="1439"/>
      <c r="M1735" s="1439"/>
      <c r="N1735" s="1439"/>
      <c r="O1735" s="1439"/>
      <c r="P1735" s="1439"/>
      <c r="Q1735" s="1439"/>
      <c r="R1735" s="1439"/>
      <c r="S1735" s="1439"/>
      <c r="T1735" s="1439"/>
      <c r="U1735" s="1439"/>
      <c r="V1735" s="1439"/>
      <c r="W1735" s="1439"/>
      <c r="X1735" s="1439"/>
      <c r="Y1735" s="1439"/>
      <c r="Z1735" s="1439"/>
      <c r="AA1735" s="1439"/>
      <c r="AB1735" s="1439"/>
      <c r="AC1735" s="1439"/>
      <c r="AD1735" s="1439"/>
      <c r="AE1735" s="1439"/>
      <c r="AF1735" s="1439"/>
      <c r="AG1735" s="1439"/>
    </row>
    <row r="1736" spans="1:33" ht="15.75" customHeight="1">
      <c r="A1736" s="1451"/>
      <c r="B1736" s="1450" t="s">
        <v>7221</v>
      </c>
      <c r="C1736" s="1484">
        <v>1</v>
      </c>
      <c r="D1736" s="1484" t="s">
        <v>3364</v>
      </c>
      <c r="E1736" s="1484">
        <v>3</v>
      </c>
      <c r="F1736" s="1446"/>
      <c r="G1736" s="1446"/>
      <c r="H1736" s="1447"/>
      <c r="I1736" s="1494">
        <f t="shared" si="76"/>
        <v>3</v>
      </c>
      <c r="J1736" s="1492"/>
      <c r="K1736" s="1439"/>
      <c r="L1736" s="1439"/>
      <c r="M1736" s="1439"/>
      <c r="N1736" s="1439"/>
      <c r="O1736" s="1439"/>
      <c r="P1736" s="1439"/>
      <c r="Q1736" s="1439"/>
      <c r="R1736" s="1439"/>
      <c r="S1736" s="1439"/>
      <c r="T1736" s="1439"/>
      <c r="U1736" s="1439"/>
      <c r="V1736" s="1439"/>
      <c r="W1736" s="1439"/>
      <c r="X1736" s="1439"/>
      <c r="Y1736" s="1439"/>
      <c r="Z1736" s="1439"/>
      <c r="AA1736" s="1439"/>
      <c r="AB1736" s="1439"/>
      <c r="AC1736" s="1439"/>
      <c r="AD1736" s="1439"/>
      <c r="AE1736" s="1439"/>
      <c r="AF1736" s="1439"/>
      <c r="AG1736" s="1439"/>
    </row>
    <row r="1737" spans="1:33" ht="15.75" customHeight="1">
      <c r="A1737" s="1451"/>
      <c r="B1737" s="1450" t="s">
        <v>7233</v>
      </c>
      <c r="C1737" s="1484">
        <v>1</v>
      </c>
      <c r="D1737" s="1484" t="s">
        <v>3364</v>
      </c>
      <c r="E1737" s="1484">
        <v>4</v>
      </c>
      <c r="F1737" s="1446"/>
      <c r="G1737" s="1446"/>
      <c r="H1737" s="1447"/>
      <c r="I1737" s="1494">
        <f t="shared" si="76"/>
        <v>4</v>
      </c>
      <c r="J1737" s="1492"/>
      <c r="K1737" s="1439"/>
      <c r="L1737" s="1439"/>
      <c r="M1737" s="1439"/>
      <c r="N1737" s="1439"/>
      <c r="O1737" s="1439"/>
      <c r="P1737" s="1439"/>
      <c r="Q1737" s="1439"/>
      <c r="R1737" s="1439"/>
      <c r="S1737" s="1439"/>
      <c r="T1737" s="1439"/>
      <c r="U1737" s="1439"/>
      <c r="V1737" s="1439"/>
      <c r="W1737" s="1439"/>
      <c r="X1737" s="1439"/>
      <c r="Y1737" s="1439"/>
      <c r="Z1737" s="1439"/>
      <c r="AA1737" s="1439"/>
      <c r="AB1737" s="1439"/>
      <c r="AC1737" s="1439"/>
      <c r="AD1737" s="1439"/>
      <c r="AE1737" s="1439"/>
      <c r="AF1737" s="1439"/>
      <c r="AG1737" s="1439"/>
    </row>
    <row r="1738" spans="1:33" ht="15.75" customHeight="1">
      <c r="A1738" s="1451"/>
      <c r="B1738" s="1450" t="s">
        <v>7231</v>
      </c>
      <c r="C1738" s="1484">
        <v>1</v>
      </c>
      <c r="D1738" s="1484" t="s">
        <v>3364</v>
      </c>
      <c r="E1738" s="1484">
        <v>2</v>
      </c>
      <c r="F1738" s="1446"/>
      <c r="G1738" s="1446"/>
      <c r="H1738" s="1447"/>
      <c r="I1738" s="1494">
        <f t="shared" si="76"/>
        <v>2</v>
      </c>
      <c r="J1738" s="1492"/>
      <c r="K1738" s="1439"/>
      <c r="L1738" s="1439"/>
      <c r="M1738" s="1439"/>
      <c r="N1738" s="1439"/>
      <c r="O1738" s="1439"/>
      <c r="P1738" s="1439"/>
      <c r="Q1738" s="1439"/>
      <c r="R1738" s="1439"/>
      <c r="S1738" s="1439"/>
      <c r="T1738" s="1439"/>
      <c r="U1738" s="1439"/>
      <c r="V1738" s="1439"/>
      <c r="W1738" s="1439"/>
      <c r="X1738" s="1439"/>
      <c r="Y1738" s="1439"/>
      <c r="Z1738" s="1439"/>
      <c r="AA1738" s="1439"/>
      <c r="AB1738" s="1439"/>
      <c r="AC1738" s="1439"/>
      <c r="AD1738" s="1439"/>
      <c r="AE1738" s="1439"/>
      <c r="AF1738" s="1439"/>
      <c r="AG1738" s="1439"/>
    </row>
    <row r="1739" spans="1:33" ht="15.75" customHeight="1">
      <c r="A1739" s="1451"/>
      <c r="B1739" s="1450" t="s">
        <v>6908</v>
      </c>
      <c r="C1739" s="1484">
        <v>1</v>
      </c>
      <c r="D1739" s="1484" t="s">
        <v>3364</v>
      </c>
      <c r="E1739" s="1484">
        <v>1</v>
      </c>
      <c r="F1739" s="1446"/>
      <c r="G1739" s="1446"/>
      <c r="H1739" s="1447"/>
      <c r="I1739" s="1494">
        <f t="shared" si="76"/>
        <v>1</v>
      </c>
      <c r="J1739" s="1492"/>
      <c r="K1739" s="1439"/>
      <c r="L1739" s="1439"/>
      <c r="M1739" s="1439"/>
      <c r="N1739" s="1439"/>
      <c r="O1739" s="1439"/>
      <c r="P1739" s="1439"/>
      <c r="Q1739" s="1439"/>
      <c r="R1739" s="1439"/>
      <c r="S1739" s="1439"/>
      <c r="T1739" s="1439"/>
      <c r="U1739" s="1439"/>
      <c r="V1739" s="1439"/>
      <c r="W1739" s="1439"/>
      <c r="X1739" s="1439"/>
      <c r="Y1739" s="1439"/>
      <c r="Z1739" s="1439"/>
      <c r="AA1739" s="1439"/>
      <c r="AB1739" s="1439"/>
      <c r="AC1739" s="1439"/>
      <c r="AD1739" s="1439"/>
      <c r="AE1739" s="1439"/>
      <c r="AF1739" s="1439"/>
      <c r="AG1739" s="1439"/>
    </row>
    <row r="1740" spans="1:33" ht="15.75" customHeight="1">
      <c r="A1740" s="1451"/>
      <c r="B1740" s="1450" t="s">
        <v>7138</v>
      </c>
      <c r="C1740" s="1484">
        <v>1</v>
      </c>
      <c r="D1740" s="1484" t="s">
        <v>3364</v>
      </c>
      <c r="E1740" s="1484">
        <v>10</v>
      </c>
      <c r="F1740" s="1446"/>
      <c r="G1740" s="1446"/>
      <c r="H1740" s="1447"/>
      <c r="I1740" s="1494">
        <f t="shared" si="76"/>
        <v>10</v>
      </c>
      <c r="J1740" s="1492"/>
      <c r="K1740" s="1439"/>
      <c r="L1740" s="1439"/>
      <c r="M1740" s="1439"/>
      <c r="N1740" s="1439"/>
      <c r="O1740" s="1439"/>
      <c r="P1740" s="1439"/>
      <c r="Q1740" s="1439"/>
      <c r="R1740" s="1439"/>
      <c r="S1740" s="1439"/>
      <c r="T1740" s="1439"/>
      <c r="U1740" s="1439"/>
      <c r="V1740" s="1439"/>
      <c r="W1740" s="1439"/>
      <c r="X1740" s="1439"/>
      <c r="Y1740" s="1439"/>
      <c r="Z1740" s="1439"/>
      <c r="AA1740" s="1439"/>
      <c r="AB1740" s="1439"/>
      <c r="AC1740" s="1439"/>
      <c r="AD1740" s="1439"/>
      <c r="AE1740" s="1439"/>
      <c r="AF1740" s="1439"/>
      <c r="AG1740" s="1439"/>
    </row>
    <row r="1741" spans="1:33" ht="15.75" customHeight="1">
      <c r="A1741" s="1451"/>
      <c r="B1741" s="1450" t="s">
        <v>7234</v>
      </c>
      <c r="C1741" s="1484">
        <v>1</v>
      </c>
      <c r="D1741" s="1484" t="s">
        <v>3364</v>
      </c>
      <c r="E1741" s="1484">
        <v>4</v>
      </c>
      <c r="F1741" s="1446"/>
      <c r="G1741" s="1446"/>
      <c r="H1741" s="1447"/>
      <c r="I1741" s="1494">
        <f t="shared" si="76"/>
        <v>4</v>
      </c>
      <c r="J1741" s="1492"/>
      <c r="K1741" s="1439"/>
      <c r="L1741" s="1439"/>
      <c r="M1741" s="1439"/>
      <c r="N1741" s="1439"/>
      <c r="O1741" s="1439"/>
      <c r="P1741" s="1439"/>
      <c r="Q1741" s="1439"/>
      <c r="R1741" s="1439"/>
      <c r="S1741" s="1439"/>
      <c r="T1741" s="1439"/>
      <c r="U1741" s="1439"/>
      <c r="V1741" s="1439"/>
      <c r="W1741" s="1439"/>
      <c r="X1741" s="1439"/>
      <c r="Y1741" s="1439"/>
      <c r="Z1741" s="1439"/>
      <c r="AA1741" s="1439"/>
      <c r="AB1741" s="1439"/>
      <c r="AC1741" s="1439"/>
      <c r="AD1741" s="1439"/>
      <c r="AE1741" s="1439"/>
      <c r="AF1741" s="1439"/>
      <c r="AG1741" s="1439"/>
    </row>
    <row r="1742" spans="1:33" ht="15.75" customHeight="1">
      <c r="A1742" s="1451"/>
      <c r="B1742" s="1450" t="s">
        <v>7141</v>
      </c>
      <c r="C1742" s="1484">
        <v>1</v>
      </c>
      <c r="D1742" s="1484" t="s">
        <v>3364</v>
      </c>
      <c r="E1742" s="1484">
        <v>6</v>
      </c>
      <c r="F1742" s="1446"/>
      <c r="G1742" s="1446"/>
      <c r="H1742" s="1447"/>
      <c r="I1742" s="1494">
        <f t="shared" si="76"/>
        <v>6</v>
      </c>
      <c r="J1742" s="1492"/>
      <c r="K1742" s="1439"/>
      <c r="L1742" s="1439"/>
      <c r="M1742" s="1439"/>
      <c r="N1742" s="1439"/>
      <c r="O1742" s="1439"/>
      <c r="P1742" s="1439"/>
      <c r="Q1742" s="1439"/>
      <c r="R1742" s="1439"/>
      <c r="S1742" s="1439"/>
      <c r="T1742" s="1439"/>
      <c r="U1742" s="1439"/>
      <c r="V1742" s="1439"/>
      <c r="W1742" s="1439"/>
      <c r="X1742" s="1439"/>
      <c r="Y1742" s="1439"/>
      <c r="Z1742" s="1439"/>
      <c r="AA1742" s="1439"/>
      <c r="AB1742" s="1439"/>
      <c r="AC1742" s="1439"/>
      <c r="AD1742" s="1439"/>
      <c r="AE1742" s="1439"/>
      <c r="AF1742" s="1439"/>
      <c r="AG1742" s="1439"/>
    </row>
    <row r="1743" spans="1:33" ht="15.75" customHeight="1">
      <c r="A1743" s="1451"/>
      <c r="B1743" s="1450" t="s">
        <v>7235</v>
      </c>
      <c r="C1743" s="1484">
        <v>1</v>
      </c>
      <c r="D1743" s="1484" t="s">
        <v>3364</v>
      </c>
      <c r="E1743" s="1484">
        <v>3</v>
      </c>
      <c r="F1743" s="1446"/>
      <c r="G1743" s="1446"/>
      <c r="H1743" s="1447"/>
      <c r="I1743" s="1494">
        <f t="shared" si="76"/>
        <v>3</v>
      </c>
      <c r="J1743" s="1492"/>
      <c r="K1743" s="1439"/>
      <c r="L1743" s="1439"/>
      <c r="M1743" s="1439"/>
      <c r="N1743" s="1439"/>
      <c r="O1743" s="1439"/>
      <c r="P1743" s="1439"/>
      <c r="Q1743" s="1439"/>
      <c r="R1743" s="1439"/>
      <c r="S1743" s="1439"/>
      <c r="T1743" s="1439"/>
      <c r="U1743" s="1439"/>
      <c r="V1743" s="1439"/>
      <c r="W1743" s="1439"/>
      <c r="X1743" s="1439"/>
      <c r="Y1743" s="1439"/>
      <c r="Z1743" s="1439"/>
      <c r="AA1743" s="1439"/>
      <c r="AB1743" s="1439"/>
      <c r="AC1743" s="1439"/>
      <c r="AD1743" s="1439"/>
      <c r="AE1743" s="1439"/>
      <c r="AF1743" s="1439"/>
      <c r="AG1743" s="1439"/>
    </row>
    <row r="1744" spans="1:33" ht="15.75" customHeight="1">
      <c r="A1744" s="1451"/>
      <c r="B1744" s="1450" t="s">
        <v>7236</v>
      </c>
      <c r="C1744" s="1484">
        <v>1</v>
      </c>
      <c r="D1744" s="1484" t="s">
        <v>3364</v>
      </c>
      <c r="E1744" s="1484">
        <v>1</v>
      </c>
      <c r="F1744" s="1446"/>
      <c r="G1744" s="1446"/>
      <c r="H1744" s="1447"/>
      <c r="I1744" s="1494">
        <f t="shared" si="76"/>
        <v>1</v>
      </c>
      <c r="J1744" s="1492"/>
      <c r="K1744" s="1439"/>
      <c r="L1744" s="1439"/>
      <c r="M1744" s="1439"/>
      <c r="N1744" s="1439"/>
      <c r="O1744" s="1439"/>
      <c r="P1744" s="1439"/>
      <c r="Q1744" s="1439"/>
      <c r="R1744" s="1439"/>
      <c r="S1744" s="1439"/>
      <c r="T1744" s="1439"/>
      <c r="U1744" s="1439"/>
      <c r="V1744" s="1439"/>
      <c r="W1744" s="1439"/>
      <c r="X1744" s="1439"/>
      <c r="Y1744" s="1439"/>
      <c r="Z1744" s="1439"/>
      <c r="AA1744" s="1439"/>
      <c r="AB1744" s="1439"/>
      <c r="AC1744" s="1439"/>
      <c r="AD1744" s="1439"/>
      <c r="AE1744" s="1439"/>
      <c r="AF1744" s="1439"/>
      <c r="AG1744" s="1439"/>
    </row>
    <row r="1745" spans="1:33" ht="15.75" customHeight="1">
      <c r="A1745" s="1451"/>
      <c r="B1745" s="1450" t="s">
        <v>7237</v>
      </c>
      <c r="C1745" s="1484">
        <v>2</v>
      </c>
      <c r="D1745" s="1484" t="s">
        <v>3364</v>
      </c>
      <c r="E1745" s="1484">
        <v>2</v>
      </c>
      <c r="F1745" s="1446"/>
      <c r="G1745" s="1446"/>
      <c r="H1745" s="1447"/>
      <c r="I1745" s="1494">
        <f t="shared" si="76"/>
        <v>4</v>
      </c>
      <c r="J1745" s="1492"/>
      <c r="K1745" s="1439"/>
      <c r="L1745" s="1439"/>
      <c r="M1745" s="1439"/>
      <c r="N1745" s="1439"/>
      <c r="O1745" s="1439"/>
      <c r="P1745" s="1439"/>
      <c r="Q1745" s="1439"/>
      <c r="R1745" s="1439"/>
      <c r="S1745" s="1439"/>
      <c r="T1745" s="1439"/>
      <c r="U1745" s="1439"/>
      <c r="V1745" s="1439"/>
      <c r="W1745" s="1439"/>
      <c r="X1745" s="1439"/>
      <c r="Y1745" s="1439"/>
      <c r="Z1745" s="1439"/>
      <c r="AA1745" s="1439"/>
      <c r="AB1745" s="1439"/>
      <c r="AC1745" s="1439"/>
      <c r="AD1745" s="1439"/>
      <c r="AE1745" s="1439"/>
      <c r="AF1745" s="1439"/>
      <c r="AG1745" s="1439"/>
    </row>
    <row r="1746" spans="1:33" ht="15.75" customHeight="1">
      <c r="A1746" s="1451"/>
      <c r="B1746" s="1450" t="s">
        <v>7238</v>
      </c>
      <c r="C1746" s="1484">
        <v>2</v>
      </c>
      <c r="D1746" s="1484" t="s">
        <v>3364</v>
      </c>
      <c r="E1746" s="1484">
        <v>3</v>
      </c>
      <c r="F1746" s="1446"/>
      <c r="G1746" s="1446"/>
      <c r="H1746" s="1447"/>
      <c r="I1746" s="1494">
        <f t="shared" si="76"/>
        <v>6</v>
      </c>
      <c r="J1746" s="1492"/>
      <c r="K1746" s="1439"/>
      <c r="L1746" s="1439"/>
      <c r="M1746" s="1439"/>
      <c r="N1746" s="1439"/>
      <c r="O1746" s="1439"/>
      <c r="P1746" s="1439"/>
      <c r="Q1746" s="1439"/>
      <c r="R1746" s="1439"/>
      <c r="S1746" s="1439"/>
      <c r="T1746" s="1439"/>
      <c r="U1746" s="1439"/>
      <c r="V1746" s="1439"/>
      <c r="W1746" s="1439"/>
      <c r="X1746" s="1439"/>
      <c r="Y1746" s="1439"/>
      <c r="Z1746" s="1439"/>
      <c r="AA1746" s="1439"/>
      <c r="AB1746" s="1439"/>
      <c r="AC1746" s="1439"/>
      <c r="AD1746" s="1439"/>
      <c r="AE1746" s="1439"/>
      <c r="AF1746" s="1439"/>
      <c r="AG1746" s="1439"/>
    </row>
    <row r="1747" spans="1:33" ht="15.75" customHeight="1">
      <c r="A1747" s="1451"/>
      <c r="B1747" s="1450" t="s">
        <v>7239</v>
      </c>
      <c r="C1747" s="1484">
        <v>3</v>
      </c>
      <c r="D1747" s="1484" t="s">
        <v>3364</v>
      </c>
      <c r="E1747" s="1484">
        <v>2</v>
      </c>
      <c r="F1747" s="1446"/>
      <c r="G1747" s="1446"/>
      <c r="H1747" s="1447"/>
      <c r="I1747" s="1494">
        <f t="shared" si="76"/>
        <v>6</v>
      </c>
      <c r="J1747" s="1492"/>
      <c r="K1747" s="1439"/>
      <c r="L1747" s="1439"/>
      <c r="M1747" s="1439"/>
      <c r="N1747" s="1439"/>
      <c r="O1747" s="1439"/>
      <c r="P1747" s="1439"/>
      <c r="Q1747" s="1439"/>
      <c r="R1747" s="1439"/>
      <c r="S1747" s="1439"/>
      <c r="T1747" s="1439"/>
      <c r="U1747" s="1439"/>
      <c r="V1747" s="1439"/>
      <c r="W1747" s="1439"/>
      <c r="X1747" s="1439"/>
      <c r="Y1747" s="1439"/>
      <c r="Z1747" s="1439"/>
      <c r="AA1747" s="1439"/>
      <c r="AB1747" s="1439"/>
      <c r="AC1747" s="1439"/>
      <c r="AD1747" s="1439"/>
      <c r="AE1747" s="1439"/>
      <c r="AF1747" s="1439"/>
      <c r="AG1747" s="1439"/>
    </row>
    <row r="1748" spans="1:33" ht="15.75" customHeight="1">
      <c r="A1748" s="1451"/>
      <c r="B1748" s="1456" t="s">
        <v>7240</v>
      </c>
      <c r="C1748" s="1484"/>
      <c r="D1748" s="1484"/>
      <c r="E1748" s="1484"/>
      <c r="F1748" s="1446"/>
      <c r="G1748" s="1446"/>
      <c r="H1748" s="1447"/>
      <c r="I1748" s="1494"/>
      <c r="J1748" s="1492"/>
      <c r="K1748" s="1439"/>
      <c r="L1748" s="1439"/>
      <c r="M1748" s="1439"/>
      <c r="N1748" s="1439"/>
      <c r="O1748" s="1439"/>
      <c r="P1748" s="1439"/>
      <c r="Q1748" s="1439"/>
      <c r="R1748" s="1439"/>
      <c r="S1748" s="1439"/>
      <c r="T1748" s="1439"/>
      <c r="U1748" s="1439"/>
      <c r="V1748" s="1439"/>
      <c r="W1748" s="1439"/>
      <c r="X1748" s="1439"/>
      <c r="Y1748" s="1439"/>
      <c r="Z1748" s="1439"/>
      <c r="AA1748" s="1439"/>
      <c r="AB1748" s="1439"/>
      <c r="AC1748" s="1439"/>
      <c r="AD1748" s="1439"/>
      <c r="AE1748" s="1439"/>
      <c r="AF1748" s="1439"/>
      <c r="AG1748" s="1439"/>
    </row>
    <row r="1749" spans="1:33" ht="15.75" customHeight="1">
      <c r="A1749" s="1451"/>
      <c r="B1749" s="1450" t="s">
        <v>7224</v>
      </c>
      <c r="C1749" s="1484">
        <v>1</v>
      </c>
      <c r="D1749" s="1484" t="s">
        <v>3364</v>
      </c>
      <c r="E1749" s="1484">
        <v>1</v>
      </c>
      <c r="F1749" s="1446"/>
      <c r="G1749" s="1446"/>
      <c r="H1749" s="1447"/>
      <c r="I1749" s="1494">
        <f t="shared" si="76"/>
        <v>1</v>
      </c>
      <c r="J1749" s="1492"/>
      <c r="K1749" s="1439"/>
      <c r="L1749" s="1439"/>
      <c r="M1749" s="1439"/>
      <c r="N1749" s="1439"/>
      <c r="O1749" s="1439"/>
      <c r="P1749" s="1439"/>
      <c r="Q1749" s="1439"/>
      <c r="R1749" s="1439"/>
      <c r="S1749" s="1439"/>
      <c r="T1749" s="1439"/>
      <c r="U1749" s="1439"/>
      <c r="V1749" s="1439"/>
      <c r="W1749" s="1439"/>
      <c r="X1749" s="1439"/>
      <c r="Y1749" s="1439"/>
      <c r="Z1749" s="1439"/>
      <c r="AA1749" s="1439"/>
      <c r="AB1749" s="1439"/>
      <c r="AC1749" s="1439"/>
      <c r="AD1749" s="1439"/>
      <c r="AE1749" s="1439"/>
      <c r="AF1749" s="1439"/>
      <c r="AG1749" s="1439"/>
    </row>
    <row r="1750" spans="1:33" ht="15.75" customHeight="1">
      <c r="A1750" s="1451"/>
      <c r="B1750" s="1450" t="s">
        <v>7221</v>
      </c>
      <c r="C1750" s="1484">
        <v>1</v>
      </c>
      <c r="D1750" s="1484" t="s">
        <v>3364</v>
      </c>
      <c r="E1750" s="1484">
        <v>3</v>
      </c>
      <c r="F1750" s="1446"/>
      <c r="G1750" s="1446"/>
      <c r="H1750" s="1447"/>
      <c r="I1750" s="1494">
        <f t="shared" si="76"/>
        <v>3</v>
      </c>
      <c r="J1750" s="1492"/>
      <c r="K1750" s="1439"/>
      <c r="L1750" s="1439"/>
      <c r="M1750" s="1439"/>
      <c r="N1750" s="1439"/>
      <c r="O1750" s="1439"/>
      <c r="P1750" s="1439"/>
      <c r="Q1750" s="1439"/>
      <c r="R1750" s="1439"/>
      <c r="S1750" s="1439"/>
      <c r="T1750" s="1439"/>
      <c r="U1750" s="1439"/>
      <c r="V1750" s="1439"/>
      <c r="W1750" s="1439"/>
      <c r="X1750" s="1439"/>
      <c r="Y1750" s="1439"/>
      <c r="Z1750" s="1439"/>
      <c r="AA1750" s="1439"/>
      <c r="AB1750" s="1439"/>
      <c r="AC1750" s="1439"/>
      <c r="AD1750" s="1439"/>
      <c r="AE1750" s="1439"/>
      <c r="AF1750" s="1439"/>
      <c r="AG1750" s="1439"/>
    </row>
    <row r="1751" spans="1:33" ht="15.75" customHeight="1">
      <c r="A1751" s="1451"/>
      <c r="B1751" s="1450" t="s">
        <v>7233</v>
      </c>
      <c r="C1751" s="1484">
        <v>1</v>
      </c>
      <c r="D1751" s="1484" t="s">
        <v>3364</v>
      </c>
      <c r="E1751" s="1484">
        <v>4</v>
      </c>
      <c r="F1751" s="1446"/>
      <c r="G1751" s="1446"/>
      <c r="H1751" s="1447"/>
      <c r="I1751" s="1494">
        <f t="shared" si="76"/>
        <v>4</v>
      </c>
      <c r="J1751" s="1492"/>
      <c r="K1751" s="1439"/>
      <c r="L1751" s="1439"/>
      <c r="M1751" s="1439"/>
      <c r="N1751" s="1439"/>
      <c r="O1751" s="1439"/>
      <c r="P1751" s="1439"/>
      <c r="Q1751" s="1439"/>
      <c r="R1751" s="1439"/>
      <c r="S1751" s="1439"/>
      <c r="T1751" s="1439"/>
      <c r="U1751" s="1439"/>
      <c r="V1751" s="1439"/>
      <c r="W1751" s="1439"/>
      <c r="X1751" s="1439"/>
      <c r="Y1751" s="1439"/>
      <c r="Z1751" s="1439"/>
      <c r="AA1751" s="1439"/>
      <c r="AB1751" s="1439"/>
      <c r="AC1751" s="1439"/>
      <c r="AD1751" s="1439"/>
      <c r="AE1751" s="1439"/>
      <c r="AF1751" s="1439"/>
      <c r="AG1751" s="1439"/>
    </row>
    <row r="1752" spans="1:33" ht="15.75" customHeight="1">
      <c r="A1752" s="1451"/>
      <c r="B1752" s="1450" t="s">
        <v>7231</v>
      </c>
      <c r="C1752" s="1484">
        <v>1</v>
      </c>
      <c r="D1752" s="1484" t="s">
        <v>3364</v>
      </c>
      <c r="E1752" s="1484">
        <v>2</v>
      </c>
      <c r="F1752" s="1446"/>
      <c r="G1752" s="1446"/>
      <c r="H1752" s="1447"/>
      <c r="I1752" s="1494">
        <f t="shared" si="76"/>
        <v>2</v>
      </c>
      <c r="J1752" s="1492"/>
      <c r="K1752" s="1439"/>
      <c r="L1752" s="1439"/>
      <c r="M1752" s="1439"/>
      <c r="N1752" s="1439"/>
      <c r="O1752" s="1439"/>
      <c r="P1752" s="1439"/>
      <c r="Q1752" s="1439"/>
      <c r="R1752" s="1439"/>
      <c r="S1752" s="1439"/>
      <c r="T1752" s="1439"/>
      <c r="U1752" s="1439"/>
      <c r="V1752" s="1439"/>
      <c r="W1752" s="1439"/>
      <c r="X1752" s="1439"/>
      <c r="Y1752" s="1439"/>
      <c r="Z1752" s="1439"/>
      <c r="AA1752" s="1439"/>
      <c r="AB1752" s="1439"/>
      <c r="AC1752" s="1439"/>
      <c r="AD1752" s="1439"/>
      <c r="AE1752" s="1439"/>
      <c r="AF1752" s="1439"/>
      <c r="AG1752" s="1439"/>
    </row>
    <row r="1753" spans="1:33" ht="15.75" customHeight="1">
      <c r="A1753" s="1451"/>
      <c r="B1753" s="1450" t="s">
        <v>6908</v>
      </c>
      <c r="C1753" s="1484">
        <v>1</v>
      </c>
      <c r="D1753" s="1484" t="s">
        <v>3364</v>
      </c>
      <c r="E1753" s="1484">
        <v>1</v>
      </c>
      <c r="F1753" s="1446"/>
      <c r="G1753" s="1446"/>
      <c r="H1753" s="1447"/>
      <c r="I1753" s="1494">
        <f t="shared" si="76"/>
        <v>1</v>
      </c>
      <c r="J1753" s="1492"/>
      <c r="K1753" s="1439"/>
      <c r="L1753" s="1439"/>
      <c r="M1753" s="1439"/>
      <c r="N1753" s="1439"/>
      <c r="O1753" s="1439"/>
      <c r="P1753" s="1439"/>
      <c r="Q1753" s="1439"/>
      <c r="R1753" s="1439"/>
      <c r="S1753" s="1439"/>
      <c r="T1753" s="1439"/>
      <c r="U1753" s="1439"/>
      <c r="V1753" s="1439"/>
      <c r="W1753" s="1439"/>
      <c r="X1753" s="1439"/>
      <c r="Y1753" s="1439"/>
      <c r="Z1753" s="1439"/>
      <c r="AA1753" s="1439"/>
      <c r="AB1753" s="1439"/>
      <c r="AC1753" s="1439"/>
      <c r="AD1753" s="1439"/>
      <c r="AE1753" s="1439"/>
      <c r="AF1753" s="1439"/>
      <c r="AG1753" s="1439"/>
    </row>
    <row r="1754" spans="1:33" ht="15.75" customHeight="1">
      <c r="A1754" s="1451"/>
      <c r="B1754" s="1450" t="s">
        <v>7138</v>
      </c>
      <c r="C1754" s="1484">
        <v>1</v>
      </c>
      <c r="D1754" s="1484" t="s">
        <v>3364</v>
      </c>
      <c r="E1754" s="1484">
        <v>10</v>
      </c>
      <c r="F1754" s="1446"/>
      <c r="G1754" s="1446"/>
      <c r="H1754" s="1447"/>
      <c r="I1754" s="1494">
        <f t="shared" si="76"/>
        <v>10</v>
      </c>
      <c r="J1754" s="1492"/>
      <c r="K1754" s="1439"/>
      <c r="L1754" s="1439"/>
      <c r="M1754" s="1439"/>
      <c r="N1754" s="1439"/>
      <c r="O1754" s="1439"/>
      <c r="P1754" s="1439"/>
      <c r="Q1754" s="1439"/>
      <c r="R1754" s="1439"/>
      <c r="S1754" s="1439"/>
      <c r="T1754" s="1439"/>
      <c r="U1754" s="1439"/>
      <c r="V1754" s="1439"/>
      <c r="W1754" s="1439"/>
      <c r="X1754" s="1439"/>
      <c r="Y1754" s="1439"/>
      <c r="Z1754" s="1439"/>
      <c r="AA1754" s="1439"/>
      <c r="AB1754" s="1439"/>
      <c r="AC1754" s="1439"/>
      <c r="AD1754" s="1439"/>
      <c r="AE1754" s="1439"/>
      <c r="AF1754" s="1439"/>
      <c r="AG1754" s="1439"/>
    </row>
    <row r="1755" spans="1:33" ht="15.75" customHeight="1">
      <c r="A1755" s="1451"/>
      <c r="B1755" s="1450" t="s">
        <v>7241</v>
      </c>
      <c r="C1755" s="1484">
        <v>1</v>
      </c>
      <c r="D1755" s="1484" t="s">
        <v>3364</v>
      </c>
      <c r="E1755" s="1484">
        <v>4</v>
      </c>
      <c r="F1755" s="1446"/>
      <c r="G1755" s="1446"/>
      <c r="H1755" s="1447"/>
      <c r="I1755" s="1494">
        <f t="shared" si="76"/>
        <v>4</v>
      </c>
      <c r="J1755" s="1492"/>
      <c r="K1755" s="1439"/>
      <c r="L1755" s="1439"/>
      <c r="M1755" s="1439"/>
      <c r="N1755" s="1439"/>
      <c r="O1755" s="1439"/>
      <c r="P1755" s="1439"/>
      <c r="Q1755" s="1439"/>
      <c r="R1755" s="1439"/>
      <c r="S1755" s="1439"/>
      <c r="T1755" s="1439"/>
      <c r="U1755" s="1439"/>
      <c r="V1755" s="1439"/>
      <c r="W1755" s="1439"/>
      <c r="X1755" s="1439"/>
      <c r="Y1755" s="1439"/>
      <c r="Z1755" s="1439"/>
      <c r="AA1755" s="1439"/>
      <c r="AB1755" s="1439"/>
      <c r="AC1755" s="1439"/>
      <c r="AD1755" s="1439"/>
      <c r="AE1755" s="1439"/>
      <c r="AF1755" s="1439"/>
      <c r="AG1755" s="1439"/>
    </row>
    <row r="1756" spans="1:33" ht="15.75" customHeight="1">
      <c r="A1756" s="1451"/>
      <c r="B1756" s="1450" t="s">
        <v>7235</v>
      </c>
      <c r="C1756" s="1484">
        <v>1</v>
      </c>
      <c r="D1756" s="1484" t="s">
        <v>3364</v>
      </c>
      <c r="E1756" s="1484">
        <v>6</v>
      </c>
      <c r="F1756" s="1446"/>
      <c r="G1756" s="1446"/>
      <c r="H1756" s="1447"/>
      <c r="I1756" s="1494">
        <f t="shared" si="76"/>
        <v>6</v>
      </c>
      <c r="J1756" s="1492"/>
      <c r="K1756" s="1439"/>
      <c r="L1756" s="1439"/>
      <c r="M1756" s="1439"/>
      <c r="N1756" s="1439"/>
      <c r="O1756" s="1439"/>
      <c r="P1756" s="1439"/>
      <c r="Q1756" s="1439"/>
      <c r="R1756" s="1439"/>
      <c r="S1756" s="1439"/>
      <c r="T1756" s="1439"/>
      <c r="U1756" s="1439"/>
      <c r="V1756" s="1439"/>
      <c r="W1756" s="1439"/>
      <c r="X1756" s="1439"/>
      <c r="Y1756" s="1439"/>
      <c r="Z1756" s="1439"/>
      <c r="AA1756" s="1439"/>
      <c r="AB1756" s="1439"/>
      <c r="AC1756" s="1439"/>
      <c r="AD1756" s="1439"/>
      <c r="AE1756" s="1439"/>
      <c r="AF1756" s="1439"/>
      <c r="AG1756" s="1439"/>
    </row>
    <row r="1757" spans="1:33" ht="15.75" customHeight="1">
      <c r="A1757" s="1451"/>
      <c r="B1757" s="1450" t="s">
        <v>7236</v>
      </c>
      <c r="C1757" s="1484">
        <v>1</v>
      </c>
      <c r="D1757" s="1484" t="s">
        <v>3364</v>
      </c>
      <c r="E1757" s="1484">
        <v>3</v>
      </c>
      <c r="F1757" s="1446"/>
      <c r="G1757" s="1446"/>
      <c r="H1757" s="1447"/>
      <c r="I1757" s="1494">
        <f t="shared" si="76"/>
        <v>3</v>
      </c>
      <c r="J1757" s="1492"/>
      <c r="K1757" s="1439"/>
      <c r="L1757" s="1439"/>
      <c r="M1757" s="1439"/>
      <c r="N1757" s="1439"/>
      <c r="O1757" s="1439"/>
      <c r="P1757" s="1439"/>
      <c r="Q1757" s="1439"/>
      <c r="R1757" s="1439"/>
      <c r="S1757" s="1439"/>
      <c r="T1757" s="1439"/>
      <c r="U1757" s="1439"/>
      <c r="V1757" s="1439"/>
      <c r="W1757" s="1439"/>
      <c r="X1757" s="1439"/>
      <c r="Y1757" s="1439"/>
      <c r="Z1757" s="1439"/>
      <c r="AA1757" s="1439"/>
      <c r="AB1757" s="1439"/>
      <c r="AC1757" s="1439"/>
      <c r="AD1757" s="1439"/>
      <c r="AE1757" s="1439"/>
      <c r="AF1757" s="1439"/>
      <c r="AG1757" s="1439"/>
    </row>
    <row r="1758" spans="1:33" ht="15.75" customHeight="1">
      <c r="A1758" s="1451"/>
      <c r="B1758" s="1450" t="s">
        <v>7237</v>
      </c>
      <c r="C1758" s="1484">
        <v>3</v>
      </c>
      <c r="D1758" s="1484" t="s">
        <v>3364</v>
      </c>
      <c r="E1758" s="1484">
        <v>1</v>
      </c>
      <c r="F1758" s="1446"/>
      <c r="G1758" s="1446"/>
      <c r="H1758" s="1447"/>
      <c r="I1758" s="1494">
        <f t="shared" si="76"/>
        <v>3</v>
      </c>
      <c r="J1758" s="1492"/>
      <c r="K1758" s="1439"/>
      <c r="L1758" s="1439"/>
      <c r="M1758" s="1439"/>
      <c r="N1758" s="1439"/>
      <c r="O1758" s="1439"/>
      <c r="P1758" s="1439"/>
      <c r="Q1758" s="1439"/>
      <c r="R1758" s="1439"/>
      <c r="S1758" s="1439"/>
      <c r="T1758" s="1439"/>
      <c r="U1758" s="1439"/>
      <c r="V1758" s="1439"/>
      <c r="W1758" s="1439"/>
      <c r="X1758" s="1439"/>
      <c r="Y1758" s="1439"/>
      <c r="Z1758" s="1439"/>
      <c r="AA1758" s="1439"/>
      <c r="AB1758" s="1439"/>
      <c r="AC1758" s="1439"/>
      <c r="AD1758" s="1439"/>
      <c r="AE1758" s="1439"/>
      <c r="AF1758" s="1439"/>
      <c r="AG1758" s="1439"/>
    </row>
    <row r="1759" spans="1:33" ht="15.75" customHeight="1">
      <c r="A1759" s="1451"/>
      <c r="B1759" s="1450" t="s">
        <v>7238</v>
      </c>
      <c r="C1759" s="1484">
        <v>1</v>
      </c>
      <c r="D1759" s="1484" t="s">
        <v>3364</v>
      </c>
      <c r="E1759" s="1484">
        <v>3</v>
      </c>
      <c r="F1759" s="1446"/>
      <c r="G1759" s="1446"/>
      <c r="H1759" s="1447"/>
      <c r="I1759" s="1494">
        <f t="shared" si="76"/>
        <v>3</v>
      </c>
      <c r="J1759" s="1492"/>
      <c r="K1759" s="1439"/>
      <c r="L1759" s="1439"/>
      <c r="M1759" s="1439"/>
      <c r="N1759" s="1439"/>
      <c r="O1759" s="1439"/>
      <c r="P1759" s="1439"/>
      <c r="Q1759" s="1439"/>
      <c r="R1759" s="1439"/>
      <c r="S1759" s="1439"/>
      <c r="T1759" s="1439"/>
      <c r="U1759" s="1439"/>
      <c r="V1759" s="1439"/>
      <c r="W1759" s="1439"/>
      <c r="X1759" s="1439"/>
      <c r="Y1759" s="1439"/>
      <c r="Z1759" s="1439"/>
      <c r="AA1759" s="1439"/>
      <c r="AB1759" s="1439"/>
      <c r="AC1759" s="1439"/>
      <c r="AD1759" s="1439"/>
      <c r="AE1759" s="1439"/>
      <c r="AF1759" s="1439"/>
      <c r="AG1759" s="1439"/>
    </row>
    <row r="1760" spans="1:33" ht="15.75" customHeight="1">
      <c r="A1760" s="1451"/>
      <c r="B1760" s="1450" t="s">
        <v>7239</v>
      </c>
      <c r="C1760" s="1484">
        <v>1</v>
      </c>
      <c r="D1760" s="1484" t="s">
        <v>3364</v>
      </c>
      <c r="E1760" s="1484">
        <v>2</v>
      </c>
      <c r="F1760" s="1446"/>
      <c r="G1760" s="1446"/>
      <c r="H1760" s="1447"/>
      <c r="I1760" s="1494">
        <f t="shared" si="76"/>
        <v>2</v>
      </c>
      <c r="J1760" s="1492"/>
      <c r="K1760" s="1439"/>
      <c r="L1760" s="1439"/>
      <c r="M1760" s="1439"/>
      <c r="N1760" s="1439"/>
      <c r="O1760" s="1439"/>
      <c r="P1760" s="1439"/>
      <c r="Q1760" s="1439"/>
      <c r="R1760" s="1439"/>
      <c r="S1760" s="1439"/>
      <c r="T1760" s="1439"/>
      <c r="U1760" s="1439"/>
      <c r="V1760" s="1439"/>
      <c r="W1760" s="1439"/>
      <c r="X1760" s="1439"/>
      <c r="Y1760" s="1439"/>
      <c r="Z1760" s="1439"/>
      <c r="AA1760" s="1439"/>
      <c r="AB1760" s="1439"/>
      <c r="AC1760" s="1439"/>
      <c r="AD1760" s="1439"/>
      <c r="AE1760" s="1439"/>
      <c r="AF1760" s="1439"/>
      <c r="AG1760" s="1439"/>
    </row>
    <row r="1761" spans="1:33" ht="15.75" customHeight="1">
      <c r="A1761" s="1470"/>
      <c r="B1761" s="1450"/>
      <c r="C1761" s="1484"/>
      <c r="D1761" s="1484"/>
      <c r="E1761" s="1484"/>
      <c r="F1761" s="1446"/>
      <c r="G1761" s="1458" t="s">
        <v>104</v>
      </c>
      <c r="H1761" s="1447"/>
      <c r="I1761" s="1459">
        <f>SUM(I1710:I1760)</f>
        <v>163</v>
      </c>
      <c r="J1761" s="1475" t="s">
        <v>3471</v>
      </c>
      <c r="K1761" s="1439"/>
      <c r="L1761" s="1439"/>
      <c r="M1761" s="1439"/>
      <c r="N1761" s="1439"/>
      <c r="O1761" s="1439"/>
      <c r="P1761" s="1439"/>
      <c r="Q1761" s="1439"/>
      <c r="R1761" s="1439"/>
      <c r="S1761" s="1439"/>
      <c r="T1761" s="1439"/>
      <c r="U1761" s="1439"/>
      <c r="V1761" s="1439"/>
      <c r="W1761" s="1439"/>
      <c r="X1761" s="1439"/>
      <c r="Y1761" s="1439"/>
      <c r="Z1761" s="1439"/>
      <c r="AA1761" s="1439"/>
      <c r="AB1761" s="1439"/>
      <c r="AC1761" s="1439"/>
      <c r="AD1761" s="1439"/>
      <c r="AE1761" s="1439"/>
      <c r="AF1761" s="1439"/>
      <c r="AG1761" s="1439"/>
    </row>
    <row r="1762" spans="1:33" ht="78.75">
      <c r="A1762" s="1451">
        <v>74</v>
      </c>
      <c r="B1762" s="1462" t="s">
        <v>7249</v>
      </c>
      <c r="C1762" s="1484"/>
      <c r="D1762" s="1484"/>
      <c r="E1762" s="1484"/>
      <c r="F1762" s="1446"/>
      <c r="G1762" s="1446"/>
      <c r="H1762" s="1447"/>
      <c r="I1762" s="1448"/>
      <c r="J1762" s="1475"/>
      <c r="K1762" s="1439"/>
      <c r="L1762" s="1439"/>
      <c r="M1762" s="1439"/>
      <c r="N1762" s="1439"/>
      <c r="O1762" s="1439"/>
      <c r="P1762" s="1439"/>
      <c r="Q1762" s="1439"/>
      <c r="R1762" s="1439"/>
      <c r="S1762" s="1439"/>
      <c r="T1762" s="1439"/>
      <c r="U1762" s="1439"/>
      <c r="V1762" s="1439"/>
      <c r="W1762" s="1439"/>
      <c r="X1762" s="1439"/>
      <c r="Y1762" s="1439"/>
      <c r="Z1762" s="1439"/>
      <c r="AA1762" s="1439"/>
      <c r="AB1762" s="1439"/>
      <c r="AC1762" s="1439"/>
      <c r="AD1762" s="1439"/>
      <c r="AE1762" s="1439"/>
      <c r="AF1762" s="1439"/>
      <c r="AG1762" s="1439"/>
    </row>
    <row r="1763" spans="1:33" ht="15.75" customHeight="1">
      <c r="A1763" s="1451"/>
      <c r="B1763" s="1456" t="s">
        <v>7157</v>
      </c>
      <c r="C1763" s="1484"/>
      <c r="D1763" s="1484"/>
      <c r="E1763" s="1484"/>
      <c r="F1763" s="1446"/>
      <c r="G1763" s="1446"/>
      <c r="H1763" s="1447"/>
      <c r="I1763" s="1494"/>
      <c r="J1763" s="1492"/>
      <c r="K1763" s="1439"/>
      <c r="L1763" s="1439"/>
      <c r="M1763" s="1439"/>
      <c r="N1763" s="1439"/>
      <c r="O1763" s="1439"/>
      <c r="P1763" s="1439"/>
      <c r="Q1763" s="1439"/>
      <c r="R1763" s="1439"/>
      <c r="S1763" s="1439"/>
      <c r="T1763" s="1439"/>
      <c r="U1763" s="1439"/>
      <c r="V1763" s="1439"/>
      <c r="W1763" s="1439"/>
      <c r="X1763" s="1439"/>
      <c r="Y1763" s="1439"/>
      <c r="Z1763" s="1439"/>
      <c r="AA1763" s="1439"/>
      <c r="AB1763" s="1439"/>
      <c r="AC1763" s="1439"/>
      <c r="AD1763" s="1439"/>
      <c r="AE1763" s="1439"/>
      <c r="AF1763" s="1439"/>
      <c r="AG1763" s="1439"/>
    </row>
    <row r="1764" spans="1:33" ht="15.75" customHeight="1">
      <c r="A1764" s="1451"/>
      <c r="B1764" s="1450" t="s">
        <v>7079</v>
      </c>
      <c r="C1764" s="1484">
        <v>2</v>
      </c>
      <c r="D1764" s="1484" t="s">
        <v>3364</v>
      </c>
      <c r="E1764" s="1484">
        <v>1</v>
      </c>
      <c r="F1764" s="1446"/>
      <c r="G1764" s="1446"/>
      <c r="H1764" s="1447"/>
      <c r="I1764" s="1494">
        <f t="shared" ref="I1764:I1814" si="77">PRODUCT(C1764:H1764)</f>
        <v>2</v>
      </c>
      <c r="J1764" s="1492"/>
      <c r="K1764" s="1439"/>
      <c r="L1764" s="1439"/>
      <c r="M1764" s="1439"/>
      <c r="N1764" s="1439"/>
      <c r="O1764" s="1439"/>
      <c r="P1764" s="1439"/>
      <c r="Q1764" s="1439"/>
      <c r="R1764" s="1439"/>
      <c r="S1764" s="1439"/>
      <c r="T1764" s="1439"/>
      <c r="U1764" s="1439"/>
      <c r="V1764" s="1439"/>
      <c r="W1764" s="1439"/>
      <c r="X1764" s="1439"/>
      <c r="Y1764" s="1439"/>
      <c r="Z1764" s="1439"/>
      <c r="AA1764" s="1439"/>
      <c r="AB1764" s="1439"/>
      <c r="AC1764" s="1439"/>
      <c r="AD1764" s="1439"/>
      <c r="AE1764" s="1439"/>
      <c r="AF1764" s="1439"/>
      <c r="AG1764" s="1439"/>
    </row>
    <row r="1765" spans="1:33" ht="15.75" customHeight="1">
      <c r="A1765" s="1451"/>
      <c r="B1765" s="1450" t="s">
        <v>7214</v>
      </c>
      <c r="C1765" s="1484">
        <v>2</v>
      </c>
      <c r="D1765" s="1484" t="s">
        <v>3364</v>
      </c>
      <c r="E1765" s="1484">
        <v>3</v>
      </c>
      <c r="F1765" s="1446"/>
      <c r="G1765" s="1446"/>
      <c r="H1765" s="1447"/>
      <c r="I1765" s="1494">
        <f t="shared" si="77"/>
        <v>6</v>
      </c>
      <c r="J1765" s="1492"/>
      <c r="K1765" s="1439"/>
      <c r="L1765" s="1439"/>
      <c r="M1765" s="1439"/>
      <c r="N1765" s="1439"/>
      <c r="O1765" s="1439"/>
      <c r="P1765" s="1439"/>
      <c r="Q1765" s="1439"/>
      <c r="R1765" s="1439"/>
      <c r="S1765" s="1439"/>
      <c r="T1765" s="1439"/>
      <c r="U1765" s="1439"/>
      <c r="V1765" s="1439"/>
      <c r="W1765" s="1439"/>
      <c r="X1765" s="1439"/>
      <c r="Y1765" s="1439"/>
      <c r="Z1765" s="1439"/>
      <c r="AA1765" s="1439"/>
      <c r="AB1765" s="1439"/>
      <c r="AC1765" s="1439"/>
      <c r="AD1765" s="1439"/>
      <c r="AE1765" s="1439"/>
      <c r="AF1765" s="1439"/>
      <c r="AG1765" s="1439"/>
    </row>
    <row r="1766" spans="1:33" ht="15.75" customHeight="1">
      <c r="A1766" s="1451"/>
      <c r="B1766" s="1450" t="s">
        <v>7215</v>
      </c>
      <c r="C1766" s="1484">
        <v>1</v>
      </c>
      <c r="D1766" s="1484" t="s">
        <v>3364</v>
      </c>
      <c r="E1766" s="1484">
        <v>2</v>
      </c>
      <c r="F1766" s="1446"/>
      <c r="G1766" s="1446"/>
      <c r="H1766" s="1447"/>
      <c r="I1766" s="1494">
        <f t="shared" si="77"/>
        <v>2</v>
      </c>
      <c r="J1766" s="1492"/>
      <c r="K1766" s="1439"/>
      <c r="L1766" s="1439"/>
      <c r="M1766" s="1439"/>
      <c r="N1766" s="1439"/>
      <c r="O1766" s="1439"/>
      <c r="P1766" s="1439"/>
      <c r="Q1766" s="1439"/>
      <c r="R1766" s="1439"/>
      <c r="S1766" s="1439"/>
      <c r="T1766" s="1439"/>
      <c r="U1766" s="1439"/>
      <c r="V1766" s="1439"/>
      <c r="W1766" s="1439"/>
      <c r="X1766" s="1439"/>
      <c r="Y1766" s="1439"/>
      <c r="Z1766" s="1439"/>
      <c r="AA1766" s="1439"/>
      <c r="AB1766" s="1439"/>
      <c r="AC1766" s="1439"/>
      <c r="AD1766" s="1439"/>
      <c r="AE1766" s="1439"/>
      <c r="AF1766" s="1439"/>
      <c r="AG1766" s="1439"/>
    </row>
    <row r="1767" spans="1:33" ht="15.75" customHeight="1">
      <c r="A1767" s="1451"/>
      <c r="B1767" s="1450" t="s">
        <v>7080</v>
      </c>
      <c r="C1767" s="1484">
        <v>1</v>
      </c>
      <c r="D1767" s="1484" t="s">
        <v>3364</v>
      </c>
      <c r="E1767" s="1484">
        <v>2</v>
      </c>
      <c r="F1767" s="1446"/>
      <c r="G1767" s="1446"/>
      <c r="H1767" s="1447"/>
      <c r="I1767" s="1494">
        <f t="shared" si="77"/>
        <v>2</v>
      </c>
      <c r="J1767" s="1492"/>
      <c r="K1767" s="1439"/>
      <c r="L1767" s="1439"/>
      <c r="M1767" s="1439"/>
      <c r="N1767" s="1439"/>
      <c r="O1767" s="1439"/>
      <c r="P1767" s="1439"/>
      <c r="Q1767" s="1439"/>
      <c r="R1767" s="1439"/>
      <c r="S1767" s="1439"/>
      <c r="T1767" s="1439"/>
      <c r="U1767" s="1439"/>
      <c r="V1767" s="1439"/>
      <c r="W1767" s="1439"/>
      <c r="X1767" s="1439"/>
      <c r="Y1767" s="1439"/>
      <c r="Z1767" s="1439"/>
      <c r="AA1767" s="1439"/>
      <c r="AB1767" s="1439"/>
      <c r="AC1767" s="1439"/>
      <c r="AD1767" s="1439"/>
      <c r="AE1767" s="1439"/>
      <c r="AF1767" s="1439"/>
      <c r="AG1767" s="1439"/>
    </row>
    <row r="1768" spans="1:33" ht="15.75" customHeight="1">
      <c r="A1768" s="1451"/>
      <c r="B1768" s="1450" t="s">
        <v>7216</v>
      </c>
      <c r="C1768" s="1484">
        <v>2</v>
      </c>
      <c r="D1768" s="1484" t="s">
        <v>3364</v>
      </c>
      <c r="E1768" s="1484">
        <v>3</v>
      </c>
      <c r="F1768" s="1446"/>
      <c r="G1768" s="1446"/>
      <c r="H1768" s="1447"/>
      <c r="I1768" s="1494">
        <f t="shared" si="77"/>
        <v>6</v>
      </c>
      <c r="J1768" s="1492"/>
      <c r="K1768" s="1439"/>
      <c r="L1768" s="1439"/>
      <c r="M1768" s="1439"/>
      <c r="N1768" s="1439"/>
      <c r="O1768" s="1439"/>
      <c r="P1768" s="1439"/>
      <c r="Q1768" s="1439"/>
      <c r="R1768" s="1439"/>
      <c r="S1768" s="1439"/>
      <c r="T1768" s="1439"/>
      <c r="U1768" s="1439"/>
      <c r="V1768" s="1439"/>
      <c r="W1768" s="1439"/>
      <c r="X1768" s="1439"/>
      <c r="Y1768" s="1439"/>
      <c r="Z1768" s="1439"/>
      <c r="AA1768" s="1439"/>
      <c r="AB1768" s="1439"/>
      <c r="AC1768" s="1439"/>
      <c r="AD1768" s="1439"/>
      <c r="AE1768" s="1439"/>
      <c r="AF1768" s="1439"/>
      <c r="AG1768" s="1439"/>
    </row>
    <row r="1769" spans="1:33" ht="15.75" customHeight="1">
      <c r="A1769" s="1451"/>
      <c r="B1769" s="1450" t="s">
        <v>7218</v>
      </c>
      <c r="C1769" s="1484">
        <v>1</v>
      </c>
      <c r="D1769" s="1484" t="s">
        <v>3364</v>
      </c>
      <c r="E1769" s="1484">
        <v>1</v>
      </c>
      <c r="F1769" s="1446"/>
      <c r="G1769" s="1446"/>
      <c r="H1769" s="1447"/>
      <c r="I1769" s="1494">
        <f t="shared" si="77"/>
        <v>1</v>
      </c>
      <c r="J1769" s="1492"/>
      <c r="K1769" s="1439"/>
      <c r="L1769" s="1439"/>
      <c r="M1769" s="1439"/>
      <c r="N1769" s="1439"/>
      <c r="O1769" s="1439"/>
      <c r="P1769" s="1439"/>
      <c r="Q1769" s="1439"/>
      <c r="R1769" s="1439"/>
      <c r="S1769" s="1439"/>
      <c r="T1769" s="1439"/>
      <c r="U1769" s="1439"/>
      <c r="V1769" s="1439"/>
      <c r="W1769" s="1439"/>
      <c r="X1769" s="1439"/>
      <c r="Y1769" s="1439"/>
      <c r="Z1769" s="1439"/>
      <c r="AA1769" s="1439"/>
      <c r="AB1769" s="1439"/>
      <c r="AC1769" s="1439"/>
      <c r="AD1769" s="1439"/>
      <c r="AE1769" s="1439"/>
      <c r="AF1769" s="1439"/>
      <c r="AG1769" s="1439"/>
    </row>
    <row r="1770" spans="1:33" ht="15.75" customHeight="1">
      <c r="A1770" s="1451"/>
      <c r="B1770" s="1456" t="s">
        <v>3486</v>
      </c>
      <c r="C1770" s="1484"/>
      <c r="D1770" s="1484"/>
      <c r="E1770" s="1484"/>
      <c r="F1770" s="1446"/>
      <c r="G1770" s="1446"/>
      <c r="H1770" s="1447"/>
      <c r="I1770" s="1494"/>
      <c r="J1770" s="1492"/>
      <c r="K1770" s="1439"/>
      <c r="L1770" s="1439"/>
      <c r="M1770" s="1439"/>
      <c r="N1770" s="1439"/>
      <c r="O1770" s="1439"/>
      <c r="P1770" s="1439"/>
      <c r="Q1770" s="1439"/>
      <c r="R1770" s="1439"/>
      <c r="S1770" s="1439"/>
      <c r="T1770" s="1439"/>
      <c r="U1770" s="1439"/>
      <c r="V1770" s="1439"/>
      <c r="W1770" s="1439"/>
      <c r="X1770" s="1439"/>
      <c r="Y1770" s="1439"/>
      <c r="Z1770" s="1439"/>
      <c r="AA1770" s="1439"/>
      <c r="AB1770" s="1439"/>
      <c r="AC1770" s="1439"/>
      <c r="AD1770" s="1439"/>
      <c r="AE1770" s="1439"/>
      <c r="AF1770" s="1439"/>
      <c r="AG1770" s="1439"/>
    </row>
    <row r="1771" spans="1:33" ht="15.75" customHeight="1">
      <c r="A1771" s="1451"/>
      <c r="B1771" s="1450" t="s">
        <v>7219</v>
      </c>
      <c r="C1771" s="1484">
        <v>1</v>
      </c>
      <c r="D1771" s="1484" t="s">
        <v>3364</v>
      </c>
      <c r="E1771" s="1484">
        <v>1</v>
      </c>
      <c r="F1771" s="1446"/>
      <c r="G1771" s="1446"/>
      <c r="H1771" s="1447"/>
      <c r="I1771" s="1494">
        <f t="shared" si="77"/>
        <v>1</v>
      </c>
      <c r="J1771" s="1492"/>
      <c r="K1771" s="1439"/>
      <c r="L1771" s="1439"/>
      <c r="M1771" s="1439"/>
      <c r="N1771" s="1439"/>
      <c r="O1771" s="1439"/>
      <c r="P1771" s="1439"/>
      <c r="Q1771" s="1439"/>
      <c r="R1771" s="1439"/>
      <c r="S1771" s="1439"/>
      <c r="T1771" s="1439"/>
      <c r="U1771" s="1439"/>
      <c r="V1771" s="1439"/>
      <c r="W1771" s="1439"/>
      <c r="X1771" s="1439"/>
      <c r="Y1771" s="1439"/>
      <c r="Z1771" s="1439"/>
      <c r="AA1771" s="1439"/>
      <c r="AB1771" s="1439"/>
      <c r="AC1771" s="1439"/>
      <c r="AD1771" s="1439"/>
      <c r="AE1771" s="1439"/>
      <c r="AF1771" s="1439"/>
      <c r="AG1771" s="1439"/>
    </row>
    <row r="1772" spans="1:33" ht="15.75" customHeight="1">
      <c r="A1772" s="1451"/>
      <c r="B1772" s="1450" t="s">
        <v>7220</v>
      </c>
      <c r="C1772" s="1484">
        <v>1</v>
      </c>
      <c r="D1772" s="1484" t="s">
        <v>3364</v>
      </c>
      <c r="E1772" s="1484">
        <v>2</v>
      </c>
      <c r="F1772" s="1446"/>
      <c r="G1772" s="1446"/>
      <c r="H1772" s="1447"/>
      <c r="I1772" s="1494">
        <f t="shared" si="77"/>
        <v>2</v>
      </c>
      <c r="J1772" s="1492"/>
      <c r="K1772" s="1439"/>
      <c r="L1772" s="1439"/>
      <c r="M1772" s="1439"/>
      <c r="N1772" s="1439"/>
      <c r="O1772" s="1439"/>
      <c r="P1772" s="1439"/>
      <c r="Q1772" s="1439"/>
      <c r="R1772" s="1439"/>
      <c r="S1772" s="1439"/>
      <c r="T1772" s="1439"/>
      <c r="U1772" s="1439"/>
      <c r="V1772" s="1439"/>
      <c r="W1772" s="1439"/>
      <c r="X1772" s="1439"/>
      <c r="Y1772" s="1439"/>
      <c r="Z1772" s="1439"/>
      <c r="AA1772" s="1439"/>
      <c r="AB1772" s="1439"/>
      <c r="AC1772" s="1439"/>
      <c r="AD1772" s="1439"/>
      <c r="AE1772" s="1439"/>
      <c r="AF1772" s="1439"/>
      <c r="AG1772" s="1439"/>
    </row>
    <row r="1773" spans="1:33" ht="15.75" customHeight="1">
      <c r="A1773" s="1451"/>
      <c r="B1773" s="1450" t="s">
        <v>7221</v>
      </c>
      <c r="C1773" s="1484">
        <v>1</v>
      </c>
      <c r="D1773" s="1484" t="s">
        <v>3364</v>
      </c>
      <c r="E1773" s="1484">
        <v>2</v>
      </c>
      <c r="F1773" s="1446"/>
      <c r="G1773" s="1446"/>
      <c r="H1773" s="1447"/>
      <c r="I1773" s="1494">
        <f t="shared" si="77"/>
        <v>2</v>
      </c>
      <c r="J1773" s="1492"/>
      <c r="K1773" s="1439"/>
      <c r="L1773" s="1439"/>
      <c r="M1773" s="1439"/>
      <c r="N1773" s="1439"/>
      <c r="O1773" s="1439"/>
      <c r="P1773" s="1439"/>
      <c r="Q1773" s="1439"/>
      <c r="R1773" s="1439"/>
      <c r="S1773" s="1439"/>
      <c r="T1773" s="1439"/>
      <c r="U1773" s="1439"/>
      <c r="V1773" s="1439"/>
      <c r="W1773" s="1439"/>
      <c r="X1773" s="1439"/>
      <c r="Y1773" s="1439"/>
      <c r="Z1773" s="1439"/>
      <c r="AA1773" s="1439"/>
      <c r="AB1773" s="1439"/>
      <c r="AC1773" s="1439"/>
      <c r="AD1773" s="1439"/>
      <c r="AE1773" s="1439"/>
      <c r="AF1773" s="1439"/>
      <c r="AG1773" s="1439"/>
    </row>
    <row r="1774" spans="1:33" ht="15.75" customHeight="1">
      <c r="A1774" s="1451"/>
      <c r="B1774" s="1450" t="s">
        <v>7222</v>
      </c>
      <c r="C1774" s="1484">
        <v>1</v>
      </c>
      <c r="D1774" s="1484" t="s">
        <v>3364</v>
      </c>
      <c r="E1774" s="1484">
        <v>1</v>
      </c>
      <c r="F1774" s="1446"/>
      <c r="G1774" s="1446"/>
      <c r="H1774" s="1447"/>
      <c r="I1774" s="1494">
        <f t="shared" si="77"/>
        <v>1</v>
      </c>
      <c r="J1774" s="1492"/>
      <c r="K1774" s="1439"/>
      <c r="L1774" s="1439"/>
      <c r="M1774" s="1439"/>
      <c r="N1774" s="1439"/>
      <c r="O1774" s="1439"/>
      <c r="P1774" s="1439"/>
      <c r="Q1774" s="1439"/>
      <c r="R1774" s="1439"/>
      <c r="S1774" s="1439"/>
      <c r="T1774" s="1439"/>
      <c r="U1774" s="1439"/>
      <c r="V1774" s="1439"/>
      <c r="W1774" s="1439"/>
      <c r="X1774" s="1439"/>
      <c r="Y1774" s="1439"/>
      <c r="Z1774" s="1439"/>
      <c r="AA1774" s="1439"/>
      <c r="AB1774" s="1439"/>
      <c r="AC1774" s="1439"/>
      <c r="AD1774" s="1439"/>
      <c r="AE1774" s="1439"/>
      <c r="AF1774" s="1439"/>
      <c r="AG1774" s="1439"/>
    </row>
    <row r="1775" spans="1:33" ht="15.75" customHeight="1">
      <c r="A1775" s="1451"/>
      <c r="B1775" s="1450" t="s">
        <v>7223</v>
      </c>
      <c r="C1775" s="1484">
        <v>2</v>
      </c>
      <c r="D1775" s="1484" t="s">
        <v>3364</v>
      </c>
      <c r="E1775" s="1484">
        <v>2</v>
      </c>
      <c r="F1775" s="1446"/>
      <c r="G1775" s="1446"/>
      <c r="H1775" s="1447"/>
      <c r="I1775" s="1494">
        <f t="shared" si="77"/>
        <v>4</v>
      </c>
      <c r="J1775" s="1492"/>
      <c r="K1775" s="1439"/>
      <c r="L1775" s="1439"/>
      <c r="M1775" s="1439"/>
      <c r="N1775" s="1439"/>
      <c r="O1775" s="1439"/>
      <c r="P1775" s="1439"/>
      <c r="Q1775" s="1439"/>
      <c r="R1775" s="1439"/>
      <c r="S1775" s="1439"/>
      <c r="T1775" s="1439"/>
      <c r="U1775" s="1439"/>
      <c r="V1775" s="1439"/>
      <c r="W1775" s="1439"/>
      <c r="X1775" s="1439"/>
      <c r="Y1775" s="1439"/>
      <c r="Z1775" s="1439"/>
      <c r="AA1775" s="1439"/>
      <c r="AB1775" s="1439"/>
      <c r="AC1775" s="1439"/>
      <c r="AD1775" s="1439"/>
      <c r="AE1775" s="1439"/>
      <c r="AF1775" s="1439"/>
      <c r="AG1775" s="1439"/>
    </row>
    <row r="1776" spans="1:33" ht="15.75" customHeight="1">
      <c r="A1776" s="1451"/>
      <c r="B1776" s="1450" t="s">
        <v>7083</v>
      </c>
      <c r="C1776" s="1484">
        <v>1</v>
      </c>
      <c r="D1776" s="1484" t="s">
        <v>3364</v>
      </c>
      <c r="E1776" s="1484">
        <v>1</v>
      </c>
      <c r="F1776" s="1446"/>
      <c r="G1776" s="1446"/>
      <c r="H1776" s="1447"/>
      <c r="I1776" s="1494">
        <f t="shared" si="77"/>
        <v>1</v>
      </c>
      <c r="J1776" s="1492"/>
      <c r="K1776" s="1439"/>
      <c r="L1776" s="1439"/>
      <c r="M1776" s="1439"/>
      <c r="N1776" s="1439"/>
      <c r="O1776" s="1439"/>
      <c r="P1776" s="1439"/>
      <c r="Q1776" s="1439"/>
      <c r="R1776" s="1439"/>
      <c r="S1776" s="1439"/>
      <c r="T1776" s="1439"/>
      <c r="U1776" s="1439"/>
      <c r="V1776" s="1439"/>
      <c r="W1776" s="1439"/>
      <c r="X1776" s="1439"/>
      <c r="Y1776" s="1439"/>
      <c r="Z1776" s="1439"/>
      <c r="AA1776" s="1439"/>
      <c r="AB1776" s="1439"/>
      <c r="AC1776" s="1439"/>
      <c r="AD1776" s="1439"/>
      <c r="AE1776" s="1439"/>
      <c r="AF1776" s="1439"/>
      <c r="AG1776" s="1439"/>
    </row>
    <row r="1777" spans="1:33" ht="15.75" customHeight="1">
      <c r="A1777" s="1451"/>
      <c r="B1777" s="1456" t="s">
        <v>3488</v>
      </c>
      <c r="C1777" s="1484"/>
      <c r="D1777" s="1484"/>
      <c r="E1777" s="1484"/>
      <c r="F1777" s="1446"/>
      <c r="G1777" s="1446"/>
      <c r="H1777" s="1447"/>
      <c r="I1777" s="1494">
        <f t="shared" si="77"/>
        <v>0</v>
      </c>
      <c r="J1777" s="1492"/>
      <c r="K1777" s="1439"/>
      <c r="L1777" s="1439"/>
      <c r="M1777" s="1439"/>
      <c r="N1777" s="1439"/>
      <c r="O1777" s="1439"/>
      <c r="P1777" s="1439"/>
      <c r="Q1777" s="1439"/>
      <c r="R1777" s="1439"/>
      <c r="S1777" s="1439"/>
      <c r="T1777" s="1439"/>
      <c r="U1777" s="1439"/>
      <c r="V1777" s="1439"/>
      <c r="W1777" s="1439"/>
      <c r="X1777" s="1439"/>
      <c r="Y1777" s="1439"/>
      <c r="Z1777" s="1439"/>
      <c r="AA1777" s="1439"/>
      <c r="AB1777" s="1439"/>
      <c r="AC1777" s="1439"/>
      <c r="AD1777" s="1439"/>
      <c r="AE1777" s="1439"/>
      <c r="AF1777" s="1439"/>
      <c r="AG1777" s="1439"/>
    </row>
    <row r="1778" spans="1:33" ht="15.75" customHeight="1">
      <c r="A1778" s="1451"/>
      <c r="B1778" s="1450" t="s">
        <v>7224</v>
      </c>
      <c r="C1778" s="1484">
        <v>1</v>
      </c>
      <c r="D1778" s="1484" t="s">
        <v>3364</v>
      </c>
      <c r="E1778" s="1484">
        <v>1</v>
      </c>
      <c r="F1778" s="1446"/>
      <c r="G1778" s="1446"/>
      <c r="H1778" s="1447"/>
      <c r="I1778" s="1494">
        <f t="shared" si="77"/>
        <v>1</v>
      </c>
      <c r="J1778" s="1492"/>
      <c r="K1778" s="1439"/>
      <c r="L1778" s="1439"/>
      <c r="M1778" s="1439"/>
      <c r="N1778" s="1439"/>
      <c r="O1778" s="1439"/>
      <c r="P1778" s="1439"/>
      <c r="Q1778" s="1439"/>
      <c r="R1778" s="1439"/>
      <c r="S1778" s="1439"/>
      <c r="T1778" s="1439"/>
      <c r="U1778" s="1439"/>
      <c r="V1778" s="1439"/>
      <c r="W1778" s="1439"/>
      <c r="X1778" s="1439"/>
      <c r="Y1778" s="1439"/>
      <c r="Z1778" s="1439"/>
      <c r="AA1778" s="1439"/>
      <c r="AB1778" s="1439"/>
      <c r="AC1778" s="1439"/>
      <c r="AD1778" s="1439"/>
      <c r="AE1778" s="1439"/>
      <c r="AF1778" s="1439"/>
      <c r="AG1778" s="1439"/>
    </row>
    <row r="1779" spans="1:33" ht="15.75" customHeight="1">
      <c r="A1779" s="1451"/>
      <c r="B1779" s="1450" t="s">
        <v>7221</v>
      </c>
      <c r="C1779" s="1484">
        <v>1</v>
      </c>
      <c r="D1779" s="1484" t="s">
        <v>3364</v>
      </c>
      <c r="E1779" s="1484">
        <v>2</v>
      </c>
      <c r="F1779" s="1446"/>
      <c r="G1779" s="1446"/>
      <c r="H1779" s="1447"/>
      <c r="I1779" s="1494">
        <f t="shared" si="77"/>
        <v>2</v>
      </c>
      <c r="J1779" s="1492"/>
      <c r="K1779" s="1439"/>
      <c r="L1779" s="1439"/>
      <c r="M1779" s="1439"/>
      <c r="N1779" s="1439"/>
      <c r="O1779" s="1439"/>
      <c r="P1779" s="1439"/>
      <c r="Q1779" s="1439"/>
      <c r="R1779" s="1439"/>
      <c r="S1779" s="1439"/>
      <c r="T1779" s="1439"/>
      <c r="U1779" s="1439"/>
      <c r="V1779" s="1439"/>
      <c r="W1779" s="1439"/>
      <c r="X1779" s="1439"/>
      <c r="Y1779" s="1439"/>
      <c r="Z1779" s="1439"/>
      <c r="AA1779" s="1439"/>
      <c r="AB1779" s="1439"/>
      <c r="AC1779" s="1439"/>
      <c r="AD1779" s="1439"/>
      <c r="AE1779" s="1439"/>
      <c r="AF1779" s="1439"/>
      <c r="AG1779" s="1439"/>
    </row>
    <row r="1780" spans="1:33" ht="15.75" customHeight="1">
      <c r="A1780" s="1451"/>
      <c r="B1780" s="1450" t="s">
        <v>7163</v>
      </c>
      <c r="C1780" s="1484">
        <v>1</v>
      </c>
      <c r="D1780" s="1484" t="s">
        <v>3364</v>
      </c>
      <c r="E1780" s="1484">
        <v>4</v>
      </c>
      <c r="F1780" s="1446"/>
      <c r="G1780" s="1446"/>
      <c r="H1780" s="1447"/>
      <c r="I1780" s="1494">
        <f t="shared" si="77"/>
        <v>4</v>
      </c>
      <c r="J1780" s="1492"/>
      <c r="K1780" s="1439"/>
      <c r="L1780" s="1439"/>
      <c r="M1780" s="1439"/>
      <c r="N1780" s="1439"/>
      <c r="O1780" s="1439"/>
      <c r="P1780" s="1439"/>
      <c r="Q1780" s="1439"/>
      <c r="R1780" s="1439"/>
      <c r="S1780" s="1439"/>
      <c r="T1780" s="1439"/>
      <c r="U1780" s="1439"/>
      <c r="V1780" s="1439"/>
      <c r="W1780" s="1439"/>
      <c r="X1780" s="1439"/>
      <c r="Y1780" s="1439"/>
      <c r="Z1780" s="1439"/>
      <c r="AA1780" s="1439"/>
      <c r="AB1780" s="1439"/>
      <c r="AC1780" s="1439"/>
      <c r="AD1780" s="1439"/>
      <c r="AE1780" s="1439"/>
      <c r="AF1780" s="1439"/>
      <c r="AG1780" s="1439"/>
    </row>
    <row r="1781" spans="1:33" ht="15.75" customHeight="1">
      <c r="A1781" s="1451"/>
      <c r="B1781" s="1450" t="s">
        <v>7227</v>
      </c>
      <c r="C1781" s="1484">
        <v>1</v>
      </c>
      <c r="D1781" s="1484" t="s">
        <v>3364</v>
      </c>
      <c r="E1781" s="1484">
        <v>4</v>
      </c>
      <c r="F1781" s="1446"/>
      <c r="G1781" s="1446"/>
      <c r="H1781" s="1447"/>
      <c r="I1781" s="1494">
        <f t="shared" si="77"/>
        <v>4</v>
      </c>
      <c r="J1781" s="1492"/>
      <c r="K1781" s="1439"/>
      <c r="L1781" s="1439"/>
      <c r="M1781" s="1439"/>
      <c r="N1781" s="1439"/>
      <c r="O1781" s="1439"/>
      <c r="P1781" s="1439"/>
      <c r="Q1781" s="1439"/>
      <c r="R1781" s="1439"/>
      <c r="S1781" s="1439"/>
      <c r="T1781" s="1439"/>
      <c r="U1781" s="1439"/>
      <c r="V1781" s="1439"/>
      <c r="W1781" s="1439"/>
      <c r="X1781" s="1439"/>
      <c r="Y1781" s="1439"/>
      <c r="Z1781" s="1439"/>
      <c r="AA1781" s="1439"/>
      <c r="AB1781" s="1439"/>
      <c r="AC1781" s="1439"/>
      <c r="AD1781" s="1439"/>
      <c r="AE1781" s="1439"/>
      <c r="AF1781" s="1439"/>
      <c r="AG1781" s="1439"/>
    </row>
    <row r="1782" spans="1:33" ht="15.75" customHeight="1">
      <c r="A1782" s="1451"/>
      <c r="B1782" s="1450" t="s">
        <v>7228</v>
      </c>
      <c r="C1782" s="1484">
        <v>1</v>
      </c>
      <c r="D1782" s="1484" t="s">
        <v>3364</v>
      </c>
      <c r="E1782" s="1484">
        <v>4</v>
      </c>
      <c r="F1782" s="1446"/>
      <c r="G1782" s="1446"/>
      <c r="H1782" s="1447"/>
      <c r="I1782" s="1494">
        <f t="shared" si="77"/>
        <v>4</v>
      </c>
      <c r="J1782" s="1492"/>
      <c r="K1782" s="1439"/>
      <c r="L1782" s="1439"/>
      <c r="M1782" s="1439"/>
      <c r="N1782" s="1439"/>
      <c r="O1782" s="1439"/>
      <c r="P1782" s="1439"/>
      <c r="Q1782" s="1439"/>
      <c r="R1782" s="1439"/>
      <c r="S1782" s="1439"/>
      <c r="T1782" s="1439"/>
      <c r="U1782" s="1439"/>
      <c r="V1782" s="1439"/>
      <c r="W1782" s="1439"/>
      <c r="X1782" s="1439"/>
      <c r="Y1782" s="1439"/>
      <c r="Z1782" s="1439"/>
      <c r="AA1782" s="1439"/>
      <c r="AB1782" s="1439"/>
      <c r="AC1782" s="1439"/>
      <c r="AD1782" s="1439"/>
      <c r="AE1782" s="1439"/>
      <c r="AF1782" s="1439"/>
      <c r="AG1782" s="1439"/>
    </row>
    <row r="1783" spans="1:33" ht="15.75" customHeight="1">
      <c r="A1783" s="1451"/>
      <c r="B1783" s="1450" t="s">
        <v>7229</v>
      </c>
      <c r="C1783" s="1484">
        <v>1</v>
      </c>
      <c r="D1783" s="1484" t="s">
        <v>3364</v>
      </c>
      <c r="E1783" s="1484">
        <v>4</v>
      </c>
      <c r="F1783" s="1446"/>
      <c r="G1783" s="1446"/>
      <c r="H1783" s="1447"/>
      <c r="I1783" s="1494">
        <f t="shared" si="77"/>
        <v>4</v>
      </c>
      <c r="J1783" s="1492"/>
      <c r="K1783" s="1439"/>
      <c r="L1783" s="1439"/>
      <c r="M1783" s="1439"/>
      <c r="N1783" s="1439"/>
      <c r="O1783" s="1439"/>
      <c r="P1783" s="1439"/>
      <c r="Q1783" s="1439"/>
      <c r="R1783" s="1439"/>
      <c r="S1783" s="1439"/>
      <c r="T1783" s="1439"/>
      <c r="U1783" s="1439"/>
      <c r="V1783" s="1439"/>
      <c r="W1783" s="1439"/>
      <c r="X1783" s="1439"/>
      <c r="Y1783" s="1439"/>
      <c r="Z1783" s="1439"/>
      <c r="AA1783" s="1439"/>
      <c r="AB1783" s="1439"/>
      <c r="AC1783" s="1439"/>
      <c r="AD1783" s="1439"/>
      <c r="AE1783" s="1439"/>
      <c r="AF1783" s="1439"/>
      <c r="AG1783" s="1439"/>
    </row>
    <row r="1784" spans="1:33" ht="15.75" customHeight="1">
      <c r="A1784" s="1451"/>
      <c r="B1784" s="1450" t="s">
        <v>7230</v>
      </c>
      <c r="C1784" s="1484">
        <v>3</v>
      </c>
      <c r="D1784" s="1484" t="s">
        <v>3364</v>
      </c>
      <c r="E1784" s="1484">
        <v>4</v>
      </c>
      <c r="F1784" s="1446"/>
      <c r="G1784" s="1446"/>
      <c r="H1784" s="1447"/>
      <c r="I1784" s="1494">
        <f t="shared" si="77"/>
        <v>12</v>
      </c>
      <c r="J1784" s="1492"/>
      <c r="K1784" s="1439"/>
      <c r="L1784" s="1439"/>
      <c r="M1784" s="1439"/>
      <c r="N1784" s="1439"/>
      <c r="O1784" s="1439"/>
      <c r="P1784" s="1439"/>
      <c r="Q1784" s="1439"/>
      <c r="R1784" s="1439"/>
      <c r="S1784" s="1439"/>
      <c r="T1784" s="1439"/>
      <c r="U1784" s="1439"/>
      <c r="V1784" s="1439"/>
      <c r="W1784" s="1439"/>
      <c r="X1784" s="1439"/>
      <c r="Y1784" s="1439"/>
      <c r="Z1784" s="1439"/>
      <c r="AA1784" s="1439"/>
      <c r="AB1784" s="1439"/>
      <c r="AC1784" s="1439"/>
      <c r="AD1784" s="1439"/>
      <c r="AE1784" s="1439"/>
      <c r="AF1784" s="1439"/>
      <c r="AG1784" s="1439"/>
    </row>
    <row r="1785" spans="1:33" ht="15.75" customHeight="1">
      <c r="A1785" s="1451"/>
      <c r="B1785" s="1450" t="s">
        <v>6723</v>
      </c>
      <c r="C1785" s="1484">
        <v>1</v>
      </c>
      <c r="D1785" s="1484" t="s">
        <v>3364</v>
      </c>
      <c r="E1785" s="1484">
        <v>2</v>
      </c>
      <c r="F1785" s="1446"/>
      <c r="G1785" s="1446"/>
      <c r="H1785" s="1447"/>
      <c r="I1785" s="1494">
        <f t="shared" si="77"/>
        <v>2</v>
      </c>
      <c r="J1785" s="1492"/>
      <c r="K1785" s="1439"/>
      <c r="L1785" s="1439"/>
      <c r="M1785" s="1439"/>
      <c r="N1785" s="1439"/>
      <c r="O1785" s="1439"/>
      <c r="P1785" s="1439"/>
      <c r="Q1785" s="1439"/>
      <c r="R1785" s="1439"/>
      <c r="S1785" s="1439"/>
      <c r="T1785" s="1439"/>
      <c r="U1785" s="1439"/>
      <c r="V1785" s="1439"/>
      <c r="W1785" s="1439"/>
      <c r="X1785" s="1439"/>
      <c r="Y1785" s="1439"/>
      <c r="Z1785" s="1439"/>
      <c r="AA1785" s="1439"/>
      <c r="AB1785" s="1439"/>
      <c r="AC1785" s="1439"/>
      <c r="AD1785" s="1439"/>
      <c r="AE1785" s="1439"/>
      <c r="AF1785" s="1439"/>
      <c r="AG1785" s="1439"/>
    </row>
    <row r="1786" spans="1:33" ht="15.75" customHeight="1">
      <c r="A1786" s="1451"/>
      <c r="B1786" s="1450" t="s">
        <v>6933</v>
      </c>
      <c r="C1786" s="1484">
        <v>1</v>
      </c>
      <c r="D1786" s="1484" t="s">
        <v>3364</v>
      </c>
      <c r="E1786" s="1484">
        <v>1</v>
      </c>
      <c r="F1786" s="1446"/>
      <c r="G1786" s="1446"/>
      <c r="H1786" s="1447"/>
      <c r="I1786" s="1494">
        <f t="shared" si="77"/>
        <v>1</v>
      </c>
      <c r="J1786" s="1492"/>
      <c r="K1786" s="1439"/>
      <c r="L1786" s="1439"/>
      <c r="M1786" s="1439"/>
      <c r="N1786" s="1439"/>
      <c r="O1786" s="1439"/>
      <c r="P1786" s="1439"/>
      <c r="Q1786" s="1439"/>
      <c r="R1786" s="1439"/>
      <c r="S1786" s="1439"/>
      <c r="T1786" s="1439"/>
      <c r="U1786" s="1439"/>
      <c r="V1786" s="1439"/>
      <c r="W1786" s="1439"/>
      <c r="X1786" s="1439"/>
      <c r="Y1786" s="1439"/>
      <c r="Z1786" s="1439"/>
      <c r="AA1786" s="1439"/>
      <c r="AB1786" s="1439"/>
      <c r="AC1786" s="1439"/>
      <c r="AD1786" s="1439"/>
      <c r="AE1786" s="1439"/>
      <c r="AF1786" s="1439"/>
      <c r="AG1786" s="1439"/>
    </row>
    <row r="1787" spans="1:33" ht="15.75" customHeight="1">
      <c r="A1787" s="1451"/>
      <c r="B1787" s="1450" t="s">
        <v>7231</v>
      </c>
      <c r="C1787" s="1484">
        <v>2</v>
      </c>
      <c r="D1787" s="1484" t="s">
        <v>3364</v>
      </c>
      <c r="E1787" s="1484">
        <v>5</v>
      </c>
      <c r="F1787" s="1446"/>
      <c r="G1787" s="1446"/>
      <c r="H1787" s="1447"/>
      <c r="I1787" s="1494">
        <f t="shared" si="77"/>
        <v>10</v>
      </c>
      <c r="J1787" s="1492"/>
      <c r="K1787" s="1439"/>
      <c r="L1787" s="1439"/>
      <c r="M1787" s="1439"/>
      <c r="N1787" s="1439"/>
      <c r="O1787" s="1439"/>
      <c r="P1787" s="1439"/>
      <c r="Q1787" s="1439"/>
      <c r="R1787" s="1439"/>
      <c r="S1787" s="1439"/>
      <c r="T1787" s="1439"/>
      <c r="U1787" s="1439"/>
      <c r="V1787" s="1439"/>
      <c r="W1787" s="1439"/>
      <c r="X1787" s="1439"/>
      <c r="Y1787" s="1439"/>
      <c r="Z1787" s="1439"/>
      <c r="AA1787" s="1439"/>
      <c r="AB1787" s="1439"/>
      <c r="AC1787" s="1439"/>
      <c r="AD1787" s="1439"/>
      <c r="AE1787" s="1439"/>
      <c r="AF1787" s="1439"/>
      <c r="AG1787" s="1439"/>
    </row>
    <row r="1788" spans="1:33" ht="15.75" customHeight="1">
      <c r="A1788" s="1451"/>
      <c r="B1788" s="1456" t="s">
        <v>7232</v>
      </c>
      <c r="C1788" s="1484"/>
      <c r="D1788" s="1484"/>
      <c r="E1788" s="1484"/>
      <c r="F1788" s="1446"/>
      <c r="G1788" s="1446"/>
      <c r="H1788" s="1447"/>
      <c r="I1788" s="1494"/>
      <c r="J1788" s="1492"/>
      <c r="K1788" s="1439"/>
      <c r="L1788" s="1439"/>
      <c r="M1788" s="1439"/>
      <c r="N1788" s="1439"/>
      <c r="O1788" s="1439"/>
      <c r="P1788" s="1439"/>
      <c r="Q1788" s="1439"/>
      <c r="R1788" s="1439"/>
      <c r="S1788" s="1439"/>
      <c r="T1788" s="1439"/>
      <c r="U1788" s="1439"/>
      <c r="V1788" s="1439"/>
      <c r="W1788" s="1439"/>
      <c r="X1788" s="1439"/>
      <c r="Y1788" s="1439"/>
      <c r="Z1788" s="1439"/>
      <c r="AA1788" s="1439"/>
      <c r="AB1788" s="1439"/>
      <c r="AC1788" s="1439"/>
      <c r="AD1788" s="1439"/>
      <c r="AE1788" s="1439"/>
      <c r="AF1788" s="1439"/>
      <c r="AG1788" s="1439"/>
    </row>
    <row r="1789" spans="1:33" ht="15.75" customHeight="1">
      <c r="A1789" s="1451"/>
      <c r="B1789" s="1450" t="s">
        <v>7224</v>
      </c>
      <c r="C1789" s="1484">
        <v>1</v>
      </c>
      <c r="D1789" s="1484" t="s">
        <v>3364</v>
      </c>
      <c r="E1789" s="1484">
        <v>1</v>
      </c>
      <c r="F1789" s="1446"/>
      <c r="G1789" s="1446"/>
      <c r="H1789" s="1447"/>
      <c r="I1789" s="1494">
        <f t="shared" si="77"/>
        <v>1</v>
      </c>
      <c r="J1789" s="1492"/>
      <c r="K1789" s="1439"/>
      <c r="L1789" s="1439"/>
      <c r="M1789" s="1439"/>
      <c r="N1789" s="1439"/>
      <c r="O1789" s="1439"/>
      <c r="P1789" s="1439"/>
      <c r="Q1789" s="1439"/>
      <c r="R1789" s="1439"/>
      <c r="S1789" s="1439"/>
      <c r="T1789" s="1439"/>
      <c r="U1789" s="1439"/>
      <c r="V1789" s="1439"/>
      <c r="W1789" s="1439"/>
      <c r="X1789" s="1439"/>
      <c r="Y1789" s="1439"/>
      <c r="Z1789" s="1439"/>
      <c r="AA1789" s="1439"/>
      <c r="AB1789" s="1439"/>
      <c r="AC1789" s="1439"/>
      <c r="AD1789" s="1439"/>
      <c r="AE1789" s="1439"/>
      <c r="AF1789" s="1439"/>
      <c r="AG1789" s="1439"/>
    </row>
    <row r="1790" spans="1:33" ht="15.75" customHeight="1">
      <c r="A1790" s="1451"/>
      <c r="B1790" s="1450" t="s">
        <v>7221</v>
      </c>
      <c r="C1790" s="1484">
        <v>1</v>
      </c>
      <c r="D1790" s="1484" t="s">
        <v>3364</v>
      </c>
      <c r="E1790" s="1484">
        <v>3</v>
      </c>
      <c r="F1790" s="1446"/>
      <c r="G1790" s="1446"/>
      <c r="H1790" s="1447"/>
      <c r="I1790" s="1494">
        <f t="shared" si="77"/>
        <v>3</v>
      </c>
      <c r="J1790" s="1492"/>
      <c r="K1790" s="1439"/>
      <c r="L1790" s="1439"/>
      <c r="M1790" s="1439"/>
      <c r="N1790" s="1439"/>
      <c r="O1790" s="1439"/>
      <c r="P1790" s="1439"/>
      <c r="Q1790" s="1439"/>
      <c r="R1790" s="1439"/>
      <c r="S1790" s="1439"/>
      <c r="T1790" s="1439"/>
      <c r="U1790" s="1439"/>
      <c r="V1790" s="1439"/>
      <c r="W1790" s="1439"/>
      <c r="X1790" s="1439"/>
      <c r="Y1790" s="1439"/>
      <c r="Z1790" s="1439"/>
      <c r="AA1790" s="1439"/>
      <c r="AB1790" s="1439"/>
      <c r="AC1790" s="1439"/>
      <c r="AD1790" s="1439"/>
      <c r="AE1790" s="1439"/>
      <c r="AF1790" s="1439"/>
      <c r="AG1790" s="1439"/>
    </row>
    <row r="1791" spans="1:33" ht="15.75" customHeight="1">
      <c r="A1791" s="1451"/>
      <c r="B1791" s="1450" t="s">
        <v>7233</v>
      </c>
      <c r="C1791" s="1484">
        <v>1</v>
      </c>
      <c r="D1791" s="1484" t="s">
        <v>3364</v>
      </c>
      <c r="E1791" s="1484">
        <v>4</v>
      </c>
      <c r="F1791" s="1446"/>
      <c r="G1791" s="1446"/>
      <c r="H1791" s="1447"/>
      <c r="I1791" s="1494">
        <f t="shared" si="77"/>
        <v>4</v>
      </c>
      <c r="J1791" s="1492"/>
      <c r="K1791" s="1439"/>
      <c r="L1791" s="1439"/>
      <c r="M1791" s="1439"/>
      <c r="N1791" s="1439"/>
      <c r="O1791" s="1439"/>
      <c r="P1791" s="1439"/>
      <c r="Q1791" s="1439"/>
      <c r="R1791" s="1439"/>
      <c r="S1791" s="1439"/>
      <c r="T1791" s="1439"/>
      <c r="U1791" s="1439"/>
      <c r="V1791" s="1439"/>
      <c r="W1791" s="1439"/>
      <c r="X1791" s="1439"/>
      <c r="Y1791" s="1439"/>
      <c r="Z1791" s="1439"/>
      <c r="AA1791" s="1439"/>
      <c r="AB1791" s="1439"/>
      <c r="AC1791" s="1439"/>
      <c r="AD1791" s="1439"/>
      <c r="AE1791" s="1439"/>
      <c r="AF1791" s="1439"/>
      <c r="AG1791" s="1439"/>
    </row>
    <row r="1792" spans="1:33" ht="15.75" customHeight="1">
      <c r="A1792" s="1451"/>
      <c r="B1792" s="1450" t="s">
        <v>7231</v>
      </c>
      <c r="C1792" s="1484">
        <v>1</v>
      </c>
      <c r="D1792" s="1484" t="s">
        <v>3364</v>
      </c>
      <c r="E1792" s="1484">
        <v>2</v>
      </c>
      <c r="F1792" s="1446"/>
      <c r="G1792" s="1446"/>
      <c r="H1792" s="1447"/>
      <c r="I1792" s="1494">
        <f t="shared" si="77"/>
        <v>2</v>
      </c>
      <c r="J1792" s="1492"/>
      <c r="K1792" s="1439"/>
      <c r="L1792" s="1439"/>
      <c r="M1792" s="1439"/>
      <c r="N1792" s="1439"/>
      <c r="O1792" s="1439"/>
      <c r="P1792" s="1439"/>
      <c r="Q1792" s="1439"/>
      <c r="R1792" s="1439"/>
      <c r="S1792" s="1439"/>
      <c r="T1792" s="1439"/>
      <c r="U1792" s="1439"/>
      <c r="V1792" s="1439"/>
      <c r="W1792" s="1439"/>
      <c r="X1792" s="1439"/>
      <c r="Y1792" s="1439"/>
      <c r="Z1792" s="1439"/>
      <c r="AA1792" s="1439"/>
      <c r="AB1792" s="1439"/>
      <c r="AC1792" s="1439"/>
      <c r="AD1792" s="1439"/>
      <c r="AE1792" s="1439"/>
      <c r="AF1792" s="1439"/>
      <c r="AG1792" s="1439"/>
    </row>
    <row r="1793" spans="1:33" ht="15.75" customHeight="1">
      <c r="A1793" s="1451"/>
      <c r="B1793" s="1450" t="s">
        <v>6908</v>
      </c>
      <c r="C1793" s="1484">
        <v>1</v>
      </c>
      <c r="D1793" s="1484" t="s">
        <v>3364</v>
      </c>
      <c r="E1793" s="1484">
        <v>1</v>
      </c>
      <c r="F1793" s="1446"/>
      <c r="G1793" s="1446"/>
      <c r="H1793" s="1447"/>
      <c r="I1793" s="1494">
        <f t="shared" si="77"/>
        <v>1</v>
      </c>
      <c r="J1793" s="1492"/>
      <c r="K1793" s="1439"/>
      <c r="L1793" s="1439"/>
      <c r="M1793" s="1439"/>
      <c r="N1793" s="1439"/>
      <c r="O1793" s="1439"/>
      <c r="P1793" s="1439"/>
      <c r="Q1793" s="1439"/>
      <c r="R1793" s="1439"/>
      <c r="S1793" s="1439"/>
      <c r="T1793" s="1439"/>
      <c r="U1793" s="1439"/>
      <c r="V1793" s="1439"/>
      <c r="W1793" s="1439"/>
      <c r="X1793" s="1439"/>
      <c r="Y1793" s="1439"/>
      <c r="Z1793" s="1439"/>
      <c r="AA1793" s="1439"/>
      <c r="AB1793" s="1439"/>
      <c r="AC1793" s="1439"/>
      <c r="AD1793" s="1439"/>
      <c r="AE1793" s="1439"/>
      <c r="AF1793" s="1439"/>
      <c r="AG1793" s="1439"/>
    </row>
    <row r="1794" spans="1:33" ht="15.75" customHeight="1">
      <c r="A1794" s="1451"/>
      <c r="B1794" s="1450" t="s">
        <v>7138</v>
      </c>
      <c r="C1794" s="1484">
        <v>1</v>
      </c>
      <c r="D1794" s="1484" t="s">
        <v>3364</v>
      </c>
      <c r="E1794" s="1484">
        <v>10</v>
      </c>
      <c r="F1794" s="1446"/>
      <c r="G1794" s="1446"/>
      <c r="H1794" s="1447"/>
      <c r="I1794" s="1494">
        <f t="shared" si="77"/>
        <v>10</v>
      </c>
      <c r="J1794" s="1492"/>
      <c r="K1794" s="1439"/>
      <c r="L1794" s="1439"/>
      <c r="M1794" s="1439"/>
      <c r="N1794" s="1439"/>
      <c r="O1794" s="1439"/>
      <c r="P1794" s="1439"/>
      <c r="Q1794" s="1439"/>
      <c r="R1794" s="1439"/>
      <c r="S1794" s="1439"/>
      <c r="T1794" s="1439"/>
      <c r="U1794" s="1439"/>
      <c r="V1794" s="1439"/>
      <c r="W1794" s="1439"/>
      <c r="X1794" s="1439"/>
      <c r="Y1794" s="1439"/>
      <c r="Z1794" s="1439"/>
      <c r="AA1794" s="1439"/>
      <c r="AB1794" s="1439"/>
      <c r="AC1794" s="1439"/>
      <c r="AD1794" s="1439"/>
      <c r="AE1794" s="1439"/>
      <c r="AF1794" s="1439"/>
      <c r="AG1794" s="1439"/>
    </row>
    <row r="1795" spans="1:33" ht="15.75" customHeight="1">
      <c r="A1795" s="1451"/>
      <c r="B1795" s="1450" t="s">
        <v>7234</v>
      </c>
      <c r="C1795" s="1484">
        <v>1</v>
      </c>
      <c r="D1795" s="1484" t="s">
        <v>3364</v>
      </c>
      <c r="E1795" s="1484">
        <v>4</v>
      </c>
      <c r="F1795" s="1446"/>
      <c r="G1795" s="1446"/>
      <c r="H1795" s="1447"/>
      <c r="I1795" s="1494">
        <f t="shared" si="77"/>
        <v>4</v>
      </c>
      <c r="J1795" s="1492"/>
      <c r="K1795" s="1439"/>
      <c r="L1795" s="1439"/>
      <c r="M1795" s="1439"/>
      <c r="N1795" s="1439"/>
      <c r="O1795" s="1439"/>
      <c r="P1795" s="1439"/>
      <c r="Q1795" s="1439"/>
      <c r="R1795" s="1439"/>
      <c r="S1795" s="1439"/>
      <c r="T1795" s="1439"/>
      <c r="U1795" s="1439"/>
      <c r="V1795" s="1439"/>
      <c r="W1795" s="1439"/>
      <c r="X1795" s="1439"/>
      <c r="Y1795" s="1439"/>
      <c r="Z1795" s="1439"/>
      <c r="AA1795" s="1439"/>
      <c r="AB1795" s="1439"/>
      <c r="AC1795" s="1439"/>
      <c r="AD1795" s="1439"/>
      <c r="AE1795" s="1439"/>
      <c r="AF1795" s="1439"/>
      <c r="AG1795" s="1439"/>
    </row>
    <row r="1796" spans="1:33" ht="15.75" customHeight="1">
      <c r="A1796" s="1451"/>
      <c r="B1796" s="1450" t="s">
        <v>7141</v>
      </c>
      <c r="C1796" s="1484">
        <v>1</v>
      </c>
      <c r="D1796" s="1484" t="s">
        <v>3364</v>
      </c>
      <c r="E1796" s="1484">
        <v>6</v>
      </c>
      <c r="F1796" s="1446"/>
      <c r="G1796" s="1446"/>
      <c r="H1796" s="1447"/>
      <c r="I1796" s="1494">
        <f t="shared" si="77"/>
        <v>6</v>
      </c>
      <c r="J1796" s="1492"/>
      <c r="K1796" s="1439"/>
      <c r="L1796" s="1439"/>
      <c r="M1796" s="1439"/>
      <c r="N1796" s="1439"/>
      <c r="O1796" s="1439"/>
      <c r="P1796" s="1439"/>
      <c r="Q1796" s="1439"/>
      <c r="R1796" s="1439"/>
      <c r="S1796" s="1439"/>
      <c r="T1796" s="1439"/>
      <c r="U1796" s="1439"/>
      <c r="V1796" s="1439"/>
      <c r="W1796" s="1439"/>
      <c r="X1796" s="1439"/>
      <c r="Y1796" s="1439"/>
      <c r="Z1796" s="1439"/>
      <c r="AA1796" s="1439"/>
      <c r="AB1796" s="1439"/>
      <c r="AC1796" s="1439"/>
      <c r="AD1796" s="1439"/>
      <c r="AE1796" s="1439"/>
      <c r="AF1796" s="1439"/>
      <c r="AG1796" s="1439"/>
    </row>
    <row r="1797" spans="1:33" ht="15.75" customHeight="1">
      <c r="A1797" s="1451"/>
      <c r="B1797" s="1450" t="s">
        <v>7235</v>
      </c>
      <c r="C1797" s="1484">
        <v>1</v>
      </c>
      <c r="D1797" s="1484" t="s">
        <v>3364</v>
      </c>
      <c r="E1797" s="1484">
        <v>3</v>
      </c>
      <c r="F1797" s="1446"/>
      <c r="G1797" s="1446"/>
      <c r="H1797" s="1447"/>
      <c r="I1797" s="1494">
        <f t="shared" si="77"/>
        <v>3</v>
      </c>
      <c r="J1797" s="1492"/>
      <c r="K1797" s="1439"/>
      <c r="L1797" s="1439"/>
      <c r="M1797" s="1439"/>
      <c r="N1797" s="1439"/>
      <c r="O1797" s="1439"/>
      <c r="P1797" s="1439"/>
      <c r="Q1797" s="1439"/>
      <c r="R1797" s="1439"/>
      <c r="S1797" s="1439"/>
      <c r="T1797" s="1439"/>
      <c r="U1797" s="1439"/>
      <c r="V1797" s="1439"/>
      <c r="W1797" s="1439"/>
      <c r="X1797" s="1439"/>
      <c r="Y1797" s="1439"/>
      <c r="Z1797" s="1439"/>
      <c r="AA1797" s="1439"/>
      <c r="AB1797" s="1439"/>
      <c r="AC1797" s="1439"/>
      <c r="AD1797" s="1439"/>
      <c r="AE1797" s="1439"/>
      <c r="AF1797" s="1439"/>
      <c r="AG1797" s="1439"/>
    </row>
    <row r="1798" spans="1:33" ht="15.75" customHeight="1">
      <c r="A1798" s="1451"/>
      <c r="B1798" s="1450" t="s">
        <v>7236</v>
      </c>
      <c r="C1798" s="1484">
        <v>1</v>
      </c>
      <c r="D1798" s="1484" t="s">
        <v>3364</v>
      </c>
      <c r="E1798" s="1484">
        <v>1</v>
      </c>
      <c r="F1798" s="1446"/>
      <c r="G1798" s="1446"/>
      <c r="H1798" s="1447"/>
      <c r="I1798" s="1494">
        <f t="shared" si="77"/>
        <v>1</v>
      </c>
      <c r="J1798" s="1492"/>
      <c r="K1798" s="1439"/>
      <c r="L1798" s="1439"/>
      <c r="M1798" s="1439"/>
      <c r="N1798" s="1439"/>
      <c r="O1798" s="1439"/>
      <c r="P1798" s="1439"/>
      <c r="Q1798" s="1439"/>
      <c r="R1798" s="1439"/>
      <c r="S1798" s="1439"/>
      <c r="T1798" s="1439"/>
      <c r="U1798" s="1439"/>
      <c r="V1798" s="1439"/>
      <c r="W1798" s="1439"/>
      <c r="X1798" s="1439"/>
      <c r="Y1798" s="1439"/>
      <c r="Z1798" s="1439"/>
      <c r="AA1798" s="1439"/>
      <c r="AB1798" s="1439"/>
      <c r="AC1798" s="1439"/>
      <c r="AD1798" s="1439"/>
      <c r="AE1798" s="1439"/>
      <c r="AF1798" s="1439"/>
      <c r="AG1798" s="1439"/>
    </row>
    <row r="1799" spans="1:33" ht="15.75" customHeight="1">
      <c r="A1799" s="1451"/>
      <c r="B1799" s="1450" t="s">
        <v>7237</v>
      </c>
      <c r="C1799" s="1484">
        <v>2</v>
      </c>
      <c r="D1799" s="1484" t="s">
        <v>3364</v>
      </c>
      <c r="E1799" s="1484">
        <v>2</v>
      </c>
      <c r="F1799" s="1446"/>
      <c r="G1799" s="1446"/>
      <c r="H1799" s="1447"/>
      <c r="I1799" s="1494">
        <f t="shared" si="77"/>
        <v>4</v>
      </c>
      <c r="J1799" s="1492"/>
      <c r="K1799" s="1439"/>
      <c r="L1799" s="1439"/>
      <c r="M1799" s="1439"/>
      <c r="N1799" s="1439"/>
      <c r="O1799" s="1439"/>
      <c r="P1799" s="1439"/>
      <c r="Q1799" s="1439"/>
      <c r="R1799" s="1439"/>
      <c r="S1799" s="1439"/>
      <c r="T1799" s="1439"/>
      <c r="U1799" s="1439"/>
      <c r="V1799" s="1439"/>
      <c r="W1799" s="1439"/>
      <c r="X1799" s="1439"/>
      <c r="Y1799" s="1439"/>
      <c r="Z1799" s="1439"/>
      <c r="AA1799" s="1439"/>
      <c r="AB1799" s="1439"/>
      <c r="AC1799" s="1439"/>
      <c r="AD1799" s="1439"/>
      <c r="AE1799" s="1439"/>
      <c r="AF1799" s="1439"/>
      <c r="AG1799" s="1439"/>
    </row>
    <row r="1800" spans="1:33" ht="15.75" customHeight="1">
      <c r="A1800" s="1451"/>
      <c r="B1800" s="1450" t="s">
        <v>7238</v>
      </c>
      <c r="C1800" s="1484">
        <v>1</v>
      </c>
      <c r="D1800" s="1484" t="s">
        <v>3364</v>
      </c>
      <c r="E1800" s="1484">
        <v>3</v>
      </c>
      <c r="F1800" s="1446"/>
      <c r="G1800" s="1446"/>
      <c r="H1800" s="1447"/>
      <c r="I1800" s="1494">
        <f t="shared" si="77"/>
        <v>3</v>
      </c>
      <c r="J1800" s="1492"/>
      <c r="K1800" s="1439"/>
      <c r="L1800" s="1439"/>
      <c r="M1800" s="1439"/>
      <c r="N1800" s="1439"/>
      <c r="O1800" s="1439"/>
      <c r="P1800" s="1439"/>
      <c r="Q1800" s="1439"/>
      <c r="R1800" s="1439"/>
      <c r="S1800" s="1439"/>
      <c r="T1800" s="1439"/>
      <c r="U1800" s="1439"/>
      <c r="V1800" s="1439"/>
      <c r="W1800" s="1439"/>
      <c r="X1800" s="1439"/>
      <c r="Y1800" s="1439"/>
      <c r="Z1800" s="1439"/>
      <c r="AA1800" s="1439"/>
      <c r="AB1800" s="1439"/>
      <c r="AC1800" s="1439"/>
      <c r="AD1800" s="1439"/>
      <c r="AE1800" s="1439"/>
      <c r="AF1800" s="1439"/>
      <c r="AG1800" s="1439"/>
    </row>
    <row r="1801" spans="1:33" ht="15.75" customHeight="1">
      <c r="A1801" s="1451"/>
      <c r="B1801" s="1450" t="s">
        <v>7239</v>
      </c>
      <c r="C1801" s="1484">
        <v>3</v>
      </c>
      <c r="D1801" s="1484" t="s">
        <v>3364</v>
      </c>
      <c r="E1801" s="1484">
        <v>2</v>
      </c>
      <c r="F1801" s="1446"/>
      <c r="G1801" s="1446"/>
      <c r="H1801" s="1447"/>
      <c r="I1801" s="1494">
        <f t="shared" si="77"/>
        <v>6</v>
      </c>
      <c r="J1801" s="1492"/>
      <c r="K1801" s="1439"/>
      <c r="L1801" s="1439"/>
      <c r="M1801" s="1439"/>
      <c r="N1801" s="1439"/>
      <c r="O1801" s="1439"/>
      <c r="P1801" s="1439"/>
      <c r="Q1801" s="1439"/>
      <c r="R1801" s="1439"/>
      <c r="S1801" s="1439"/>
      <c r="T1801" s="1439"/>
      <c r="U1801" s="1439"/>
      <c r="V1801" s="1439"/>
      <c r="W1801" s="1439"/>
      <c r="X1801" s="1439"/>
      <c r="Y1801" s="1439"/>
      <c r="Z1801" s="1439"/>
      <c r="AA1801" s="1439"/>
      <c r="AB1801" s="1439"/>
      <c r="AC1801" s="1439"/>
      <c r="AD1801" s="1439"/>
      <c r="AE1801" s="1439"/>
      <c r="AF1801" s="1439"/>
      <c r="AG1801" s="1439"/>
    </row>
    <row r="1802" spans="1:33" ht="15.75" customHeight="1">
      <c r="A1802" s="1451"/>
      <c r="B1802" s="1456" t="s">
        <v>7240</v>
      </c>
      <c r="C1802" s="1484"/>
      <c r="D1802" s="1484"/>
      <c r="E1802" s="1484"/>
      <c r="F1802" s="1446"/>
      <c r="G1802" s="1446"/>
      <c r="H1802" s="1447"/>
      <c r="I1802" s="1494"/>
      <c r="J1802" s="1492"/>
      <c r="K1802" s="1439"/>
      <c r="L1802" s="1439"/>
      <c r="M1802" s="1439"/>
      <c r="N1802" s="1439"/>
      <c r="O1802" s="1439"/>
      <c r="P1802" s="1439"/>
      <c r="Q1802" s="1439"/>
      <c r="R1802" s="1439"/>
      <c r="S1802" s="1439"/>
      <c r="T1802" s="1439"/>
      <c r="U1802" s="1439"/>
      <c r="V1802" s="1439"/>
      <c r="W1802" s="1439"/>
      <c r="X1802" s="1439"/>
      <c r="Y1802" s="1439"/>
      <c r="Z1802" s="1439"/>
      <c r="AA1802" s="1439"/>
      <c r="AB1802" s="1439"/>
      <c r="AC1802" s="1439"/>
      <c r="AD1802" s="1439"/>
      <c r="AE1802" s="1439"/>
      <c r="AF1802" s="1439"/>
      <c r="AG1802" s="1439"/>
    </row>
    <row r="1803" spans="1:33" ht="15.75" customHeight="1">
      <c r="A1803" s="1451"/>
      <c r="B1803" s="1450" t="s">
        <v>7224</v>
      </c>
      <c r="C1803" s="1484">
        <v>1</v>
      </c>
      <c r="D1803" s="1484" t="s">
        <v>3364</v>
      </c>
      <c r="E1803" s="1484">
        <v>1</v>
      </c>
      <c r="F1803" s="1446"/>
      <c r="G1803" s="1446"/>
      <c r="H1803" s="1447"/>
      <c r="I1803" s="1494">
        <f t="shared" si="77"/>
        <v>1</v>
      </c>
      <c r="J1803" s="1492"/>
      <c r="K1803" s="1439"/>
      <c r="L1803" s="1439"/>
      <c r="M1803" s="1439"/>
      <c r="N1803" s="1439"/>
      <c r="O1803" s="1439"/>
      <c r="P1803" s="1439"/>
      <c r="Q1803" s="1439"/>
      <c r="R1803" s="1439"/>
      <c r="S1803" s="1439"/>
      <c r="T1803" s="1439"/>
      <c r="U1803" s="1439"/>
      <c r="V1803" s="1439"/>
      <c r="W1803" s="1439"/>
      <c r="X1803" s="1439"/>
      <c r="Y1803" s="1439"/>
      <c r="Z1803" s="1439"/>
      <c r="AA1803" s="1439"/>
      <c r="AB1803" s="1439"/>
      <c r="AC1803" s="1439"/>
      <c r="AD1803" s="1439"/>
      <c r="AE1803" s="1439"/>
      <c r="AF1803" s="1439"/>
      <c r="AG1803" s="1439"/>
    </row>
    <row r="1804" spans="1:33" ht="15.75" customHeight="1">
      <c r="A1804" s="1451"/>
      <c r="B1804" s="1450" t="s">
        <v>7221</v>
      </c>
      <c r="C1804" s="1484">
        <v>1</v>
      </c>
      <c r="D1804" s="1484" t="s">
        <v>3364</v>
      </c>
      <c r="E1804" s="1484">
        <v>3</v>
      </c>
      <c r="F1804" s="1446"/>
      <c r="G1804" s="1446"/>
      <c r="H1804" s="1447"/>
      <c r="I1804" s="1494">
        <f t="shared" si="77"/>
        <v>3</v>
      </c>
      <c r="J1804" s="1492"/>
      <c r="K1804" s="1439"/>
      <c r="L1804" s="1439"/>
      <c r="M1804" s="1439"/>
      <c r="N1804" s="1439"/>
      <c r="O1804" s="1439"/>
      <c r="P1804" s="1439"/>
      <c r="Q1804" s="1439"/>
      <c r="R1804" s="1439"/>
      <c r="S1804" s="1439"/>
      <c r="T1804" s="1439"/>
      <c r="U1804" s="1439"/>
      <c r="V1804" s="1439"/>
      <c r="W1804" s="1439"/>
      <c r="X1804" s="1439"/>
      <c r="Y1804" s="1439"/>
      <c r="Z1804" s="1439"/>
      <c r="AA1804" s="1439"/>
      <c r="AB1804" s="1439"/>
      <c r="AC1804" s="1439"/>
      <c r="AD1804" s="1439"/>
      <c r="AE1804" s="1439"/>
      <c r="AF1804" s="1439"/>
      <c r="AG1804" s="1439"/>
    </row>
    <row r="1805" spans="1:33" ht="15.75" customHeight="1">
      <c r="A1805" s="1451"/>
      <c r="B1805" s="1450" t="s">
        <v>7233</v>
      </c>
      <c r="C1805" s="1484">
        <v>1</v>
      </c>
      <c r="D1805" s="1484" t="s">
        <v>3364</v>
      </c>
      <c r="E1805" s="1484">
        <v>4</v>
      </c>
      <c r="F1805" s="1446"/>
      <c r="G1805" s="1446"/>
      <c r="H1805" s="1447"/>
      <c r="I1805" s="1494">
        <f t="shared" si="77"/>
        <v>4</v>
      </c>
      <c r="J1805" s="1492"/>
      <c r="K1805" s="1439"/>
      <c r="L1805" s="1439"/>
      <c r="M1805" s="1439"/>
      <c r="N1805" s="1439"/>
      <c r="O1805" s="1439"/>
      <c r="P1805" s="1439"/>
      <c r="Q1805" s="1439"/>
      <c r="R1805" s="1439"/>
      <c r="S1805" s="1439"/>
      <c r="T1805" s="1439"/>
      <c r="U1805" s="1439"/>
      <c r="V1805" s="1439"/>
      <c r="W1805" s="1439"/>
      <c r="X1805" s="1439"/>
      <c r="Y1805" s="1439"/>
      <c r="Z1805" s="1439"/>
      <c r="AA1805" s="1439"/>
      <c r="AB1805" s="1439"/>
      <c r="AC1805" s="1439"/>
      <c r="AD1805" s="1439"/>
      <c r="AE1805" s="1439"/>
      <c r="AF1805" s="1439"/>
      <c r="AG1805" s="1439"/>
    </row>
    <row r="1806" spans="1:33" ht="15.75" customHeight="1">
      <c r="A1806" s="1451"/>
      <c r="B1806" s="1450" t="s">
        <v>7231</v>
      </c>
      <c r="C1806" s="1484">
        <v>1</v>
      </c>
      <c r="D1806" s="1484" t="s">
        <v>3364</v>
      </c>
      <c r="E1806" s="1484">
        <v>2</v>
      </c>
      <c r="F1806" s="1446"/>
      <c r="G1806" s="1446"/>
      <c r="H1806" s="1447"/>
      <c r="I1806" s="1494">
        <f t="shared" si="77"/>
        <v>2</v>
      </c>
      <c r="J1806" s="1492"/>
      <c r="K1806" s="1439"/>
      <c r="L1806" s="1439"/>
      <c r="M1806" s="1439"/>
      <c r="N1806" s="1439"/>
      <c r="O1806" s="1439"/>
      <c r="P1806" s="1439"/>
      <c r="Q1806" s="1439"/>
      <c r="R1806" s="1439"/>
      <c r="S1806" s="1439"/>
      <c r="T1806" s="1439"/>
      <c r="U1806" s="1439"/>
      <c r="V1806" s="1439"/>
      <c r="W1806" s="1439"/>
      <c r="X1806" s="1439"/>
      <c r="Y1806" s="1439"/>
      <c r="Z1806" s="1439"/>
      <c r="AA1806" s="1439"/>
      <c r="AB1806" s="1439"/>
      <c r="AC1806" s="1439"/>
      <c r="AD1806" s="1439"/>
      <c r="AE1806" s="1439"/>
      <c r="AF1806" s="1439"/>
      <c r="AG1806" s="1439"/>
    </row>
    <row r="1807" spans="1:33" ht="15.75" customHeight="1">
      <c r="A1807" s="1451"/>
      <c r="B1807" s="1450" t="s">
        <v>6908</v>
      </c>
      <c r="C1807" s="1484">
        <v>1</v>
      </c>
      <c r="D1807" s="1484" t="s">
        <v>3364</v>
      </c>
      <c r="E1807" s="1484">
        <v>1</v>
      </c>
      <c r="F1807" s="1446"/>
      <c r="G1807" s="1446"/>
      <c r="H1807" s="1447"/>
      <c r="I1807" s="1494">
        <f t="shared" si="77"/>
        <v>1</v>
      </c>
      <c r="J1807" s="1492"/>
      <c r="K1807" s="1439"/>
      <c r="L1807" s="1439"/>
      <c r="M1807" s="1439"/>
      <c r="N1807" s="1439"/>
      <c r="O1807" s="1439"/>
      <c r="P1807" s="1439"/>
      <c r="Q1807" s="1439"/>
      <c r="R1807" s="1439"/>
      <c r="S1807" s="1439"/>
      <c r="T1807" s="1439"/>
      <c r="U1807" s="1439"/>
      <c r="V1807" s="1439"/>
      <c r="W1807" s="1439"/>
      <c r="X1807" s="1439"/>
      <c r="Y1807" s="1439"/>
      <c r="Z1807" s="1439"/>
      <c r="AA1807" s="1439"/>
      <c r="AB1807" s="1439"/>
      <c r="AC1807" s="1439"/>
      <c r="AD1807" s="1439"/>
      <c r="AE1807" s="1439"/>
      <c r="AF1807" s="1439"/>
      <c r="AG1807" s="1439"/>
    </row>
    <row r="1808" spans="1:33" ht="15.75" customHeight="1">
      <c r="A1808" s="1451"/>
      <c r="B1808" s="1450" t="s">
        <v>7138</v>
      </c>
      <c r="C1808" s="1484">
        <v>1</v>
      </c>
      <c r="D1808" s="1484" t="s">
        <v>3364</v>
      </c>
      <c r="E1808" s="1484">
        <v>10</v>
      </c>
      <c r="F1808" s="1446"/>
      <c r="G1808" s="1446"/>
      <c r="H1808" s="1447"/>
      <c r="I1808" s="1494">
        <f t="shared" si="77"/>
        <v>10</v>
      </c>
      <c r="J1808" s="1492"/>
      <c r="K1808" s="1439"/>
      <c r="L1808" s="1439"/>
      <c r="M1808" s="1439"/>
      <c r="N1808" s="1439"/>
      <c r="O1808" s="1439"/>
      <c r="P1808" s="1439"/>
      <c r="Q1808" s="1439"/>
      <c r="R1808" s="1439"/>
      <c r="S1808" s="1439"/>
      <c r="T1808" s="1439"/>
      <c r="U1808" s="1439"/>
      <c r="V1808" s="1439"/>
      <c r="W1808" s="1439"/>
      <c r="X1808" s="1439"/>
      <c r="Y1808" s="1439"/>
      <c r="Z1808" s="1439"/>
      <c r="AA1808" s="1439"/>
      <c r="AB1808" s="1439"/>
      <c r="AC1808" s="1439"/>
      <c r="AD1808" s="1439"/>
      <c r="AE1808" s="1439"/>
      <c r="AF1808" s="1439"/>
      <c r="AG1808" s="1439"/>
    </row>
    <row r="1809" spans="1:33" ht="15.75" customHeight="1">
      <c r="A1809" s="1451"/>
      <c r="B1809" s="1450" t="s">
        <v>7241</v>
      </c>
      <c r="C1809" s="1484">
        <v>1</v>
      </c>
      <c r="D1809" s="1484" t="s">
        <v>3364</v>
      </c>
      <c r="E1809" s="1484">
        <v>4</v>
      </c>
      <c r="F1809" s="1446"/>
      <c r="G1809" s="1446"/>
      <c r="H1809" s="1447"/>
      <c r="I1809" s="1494">
        <f t="shared" si="77"/>
        <v>4</v>
      </c>
      <c r="J1809" s="1492"/>
      <c r="K1809" s="1439"/>
      <c r="L1809" s="1439"/>
      <c r="M1809" s="1439"/>
      <c r="N1809" s="1439"/>
      <c r="O1809" s="1439"/>
      <c r="P1809" s="1439"/>
      <c r="Q1809" s="1439"/>
      <c r="R1809" s="1439"/>
      <c r="S1809" s="1439"/>
      <c r="T1809" s="1439"/>
      <c r="U1809" s="1439"/>
      <c r="V1809" s="1439"/>
      <c r="W1809" s="1439"/>
      <c r="X1809" s="1439"/>
      <c r="Y1809" s="1439"/>
      <c r="Z1809" s="1439"/>
      <c r="AA1809" s="1439"/>
      <c r="AB1809" s="1439"/>
      <c r="AC1809" s="1439"/>
      <c r="AD1809" s="1439"/>
      <c r="AE1809" s="1439"/>
      <c r="AF1809" s="1439"/>
      <c r="AG1809" s="1439"/>
    </row>
    <row r="1810" spans="1:33" ht="15.75" customHeight="1">
      <c r="A1810" s="1451"/>
      <c r="B1810" s="1450" t="s">
        <v>7235</v>
      </c>
      <c r="C1810" s="1484">
        <v>1</v>
      </c>
      <c r="D1810" s="1484" t="s">
        <v>3364</v>
      </c>
      <c r="E1810" s="1484">
        <v>6</v>
      </c>
      <c r="F1810" s="1446"/>
      <c r="G1810" s="1446"/>
      <c r="H1810" s="1447"/>
      <c r="I1810" s="1494">
        <f t="shared" si="77"/>
        <v>6</v>
      </c>
      <c r="J1810" s="1492"/>
      <c r="K1810" s="1439"/>
      <c r="L1810" s="1439"/>
      <c r="M1810" s="1439"/>
      <c r="N1810" s="1439"/>
      <c r="O1810" s="1439"/>
      <c r="P1810" s="1439"/>
      <c r="Q1810" s="1439"/>
      <c r="R1810" s="1439"/>
      <c r="S1810" s="1439"/>
      <c r="T1810" s="1439"/>
      <c r="U1810" s="1439"/>
      <c r="V1810" s="1439"/>
      <c r="W1810" s="1439"/>
      <c r="X1810" s="1439"/>
      <c r="Y1810" s="1439"/>
      <c r="Z1810" s="1439"/>
      <c r="AA1810" s="1439"/>
      <c r="AB1810" s="1439"/>
      <c r="AC1810" s="1439"/>
      <c r="AD1810" s="1439"/>
      <c r="AE1810" s="1439"/>
      <c r="AF1810" s="1439"/>
      <c r="AG1810" s="1439"/>
    </row>
    <row r="1811" spans="1:33" ht="15.75" customHeight="1">
      <c r="A1811" s="1451"/>
      <c r="B1811" s="1450" t="s">
        <v>7236</v>
      </c>
      <c r="C1811" s="1484">
        <v>1</v>
      </c>
      <c r="D1811" s="1484" t="s">
        <v>3364</v>
      </c>
      <c r="E1811" s="1484">
        <v>3</v>
      </c>
      <c r="F1811" s="1446"/>
      <c r="G1811" s="1446"/>
      <c r="H1811" s="1447"/>
      <c r="I1811" s="1494">
        <f t="shared" si="77"/>
        <v>3</v>
      </c>
      <c r="J1811" s="1492"/>
      <c r="K1811" s="1439"/>
      <c r="L1811" s="1439"/>
      <c r="M1811" s="1439"/>
      <c r="N1811" s="1439"/>
      <c r="O1811" s="1439"/>
      <c r="P1811" s="1439"/>
      <c r="Q1811" s="1439"/>
      <c r="R1811" s="1439"/>
      <c r="S1811" s="1439"/>
      <c r="T1811" s="1439"/>
      <c r="U1811" s="1439"/>
      <c r="V1811" s="1439"/>
      <c r="W1811" s="1439"/>
      <c r="X1811" s="1439"/>
      <c r="Y1811" s="1439"/>
      <c r="Z1811" s="1439"/>
      <c r="AA1811" s="1439"/>
      <c r="AB1811" s="1439"/>
      <c r="AC1811" s="1439"/>
      <c r="AD1811" s="1439"/>
      <c r="AE1811" s="1439"/>
      <c r="AF1811" s="1439"/>
      <c r="AG1811" s="1439"/>
    </row>
    <row r="1812" spans="1:33" ht="15.75" customHeight="1">
      <c r="A1812" s="1451"/>
      <c r="B1812" s="1450" t="s">
        <v>7237</v>
      </c>
      <c r="C1812" s="1484">
        <v>2</v>
      </c>
      <c r="D1812" s="1484" t="s">
        <v>3364</v>
      </c>
      <c r="E1812" s="1484">
        <v>1</v>
      </c>
      <c r="F1812" s="1446"/>
      <c r="G1812" s="1446"/>
      <c r="H1812" s="1447"/>
      <c r="I1812" s="1494">
        <f t="shared" si="77"/>
        <v>2</v>
      </c>
      <c r="J1812" s="1492"/>
      <c r="K1812" s="1439"/>
      <c r="L1812" s="1439"/>
      <c r="M1812" s="1439"/>
      <c r="N1812" s="1439"/>
      <c r="O1812" s="1439"/>
      <c r="P1812" s="1439"/>
      <c r="Q1812" s="1439"/>
      <c r="R1812" s="1439"/>
      <c r="S1812" s="1439"/>
      <c r="T1812" s="1439"/>
      <c r="U1812" s="1439"/>
      <c r="V1812" s="1439"/>
      <c r="W1812" s="1439"/>
      <c r="X1812" s="1439"/>
      <c r="Y1812" s="1439"/>
      <c r="Z1812" s="1439"/>
      <c r="AA1812" s="1439"/>
      <c r="AB1812" s="1439"/>
      <c r="AC1812" s="1439"/>
      <c r="AD1812" s="1439"/>
      <c r="AE1812" s="1439"/>
      <c r="AF1812" s="1439"/>
      <c r="AG1812" s="1439"/>
    </row>
    <row r="1813" spans="1:33" ht="15.75" customHeight="1">
      <c r="A1813" s="1451"/>
      <c r="B1813" s="1450" t="s">
        <v>7238</v>
      </c>
      <c r="C1813" s="1484">
        <v>1</v>
      </c>
      <c r="D1813" s="1484" t="s">
        <v>3364</v>
      </c>
      <c r="E1813" s="1484">
        <v>3</v>
      </c>
      <c r="F1813" s="1446"/>
      <c r="G1813" s="1446"/>
      <c r="H1813" s="1447"/>
      <c r="I1813" s="1494">
        <f t="shared" si="77"/>
        <v>3</v>
      </c>
      <c r="J1813" s="1492"/>
      <c r="K1813" s="1439"/>
      <c r="L1813" s="1439"/>
      <c r="M1813" s="1439"/>
      <c r="N1813" s="1439"/>
      <c r="O1813" s="1439"/>
      <c r="P1813" s="1439"/>
      <c r="Q1813" s="1439"/>
      <c r="R1813" s="1439"/>
      <c r="S1813" s="1439"/>
      <c r="T1813" s="1439"/>
      <c r="U1813" s="1439"/>
      <c r="V1813" s="1439"/>
      <c r="W1813" s="1439"/>
      <c r="X1813" s="1439"/>
      <c r="Y1813" s="1439"/>
      <c r="Z1813" s="1439"/>
      <c r="AA1813" s="1439"/>
      <c r="AB1813" s="1439"/>
      <c r="AC1813" s="1439"/>
      <c r="AD1813" s="1439"/>
      <c r="AE1813" s="1439"/>
      <c r="AF1813" s="1439"/>
      <c r="AG1813" s="1439"/>
    </row>
    <row r="1814" spans="1:33" ht="15.75" customHeight="1">
      <c r="A1814" s="1451"/>
      <c r="B1814" s="1450" t="s">
        <v>7239</v>
      </c>
      <c r="C1814" s="1484">
        <v>1</v>
      </c>
      <c r="D1814" s="1484" t="s">
        <v>3364</v>
      </c>
      <c r="E1814" s="1484">
        <v>2</v>
      </c>
      <c r="F1814" s="1446"/>
      <c r="G1814" s="1446"/>
      <c r="H1814" s="1447"/>
      <c r="I1814" s="1494">
        <f t="shared" si="77"/>
        <v>2</v>
      </c>
      <c r="J1814" s="1492"/>
      <c r="K1814" s="1439"/>
      <c r="L1814" s="1439"/>
      <c r="M1814" s="1439"/>
      <c r="N1814" s="1439"/>
      <c r="O1814" s="1439"/>
      <c r="P1814" s="1439"/>
      <c r="Q1814" s="1439"/>
      <c r="R1814" s="1439"/>
      <c r="S1814" s="1439"/>
      <c r="T1814" s="1439"/>
      <c r="U1814" s="1439"/>
      <c r="V1814" s="1439"/>
      <c r="W1814" s="1439"/>
      <c r="X1814" s="1439"/>
      <c r="Y1814" s="1439"/>
      <c r="Z1814" s="1439"/>
      <c r="AA1814" s="1439"/>
      <c r="AB1814" s="1439"/>
      <c r="AC1814" s="1439"/>
      <c r="AD1814" s="1439"/>
      <c r="AE1814" s="1439"/>
      <c r="AF1814" s="1439"/>
      <c r="AG1814" s="1439"/>
    </row>
    <row r="1815" spans="1:33" ht="15.75" customHeight="1">
      <c r="A1815" s="1470"/>
      <c r="B1815" s="1450"/>
      <c r="C1815" s="1484"/>
      <c r="D1815" s="1484"/>
      <c r="E1815" s="1484"/>
      <c r="F1815" s="1446"/>
      <c r="G1815" s="1458" t="s">
        <v>104</v>
      </c>
      <c r="H1815" s="1447"/>
      <c r="I1815" s="1459">
        <f>SUM(I1764:I1814)</f>
        <v>163</v>
      </c>
      <c r="J1815" s="1475" t="s">
        <v>3471</v>
      </c>
      <c r="K1815" s="1439"/>
      <c r="L1815" s="1439"/>
      <c r="M1815" s="1439"/>
      <c r="N1815" s="1439"/>
      <c r="O1815" s="1439"/>
      <c r="P1815" s="1439"/>
      <c r="Q1815" s="1439"/>
      <c r="R1815" s="1439"/>
      <c r="S1815" s="1439"/>
      <c r="T1815" s="1439"/>
      <c r="U1815" s="1439"/>
      <c r="V1815" s="1439"/>
      <c r="W1815" s="1439"/>
      <c r="X1815" s="1439"/>
      <c r="Y1815" s="1439"/>
      <c r="Z1815" s="1439"/>
      <c r="AA1815" s="1439"/>
      <c r="AB1815" s="1439"/>
      <c r="AC1815" s="1439"/>
      <c r="AD1815" s="1439"/>
      <c r="AE1815" s="1439"/>
      <c r="AF1815" s="1439"/>
      <c r="AG1815" s="1439"/>
    </row>
    <row r="1816" spans="1:33" ht="78.75">
      <c r="A1816" s="1451">
        <v>76</v>
      </c>
      <c r="B1816" s="1462" t="s">
        <v>7250</v>
      </c>
      <c r="C1816" s="1477"/>
      <c r="D1816" s="1477"/>
      <c r="E1816" s="1477"/>
      <c r="F1816" s="1478"/>
      <c r="G1816" s="1478"/>
      <c r="H1816" s="1500"/>
      <c r="I1816" s="1479"/>
      <c r="J1816" s="1501"/>
      <c r="K1816" s="1439"/>
      <c r="L1816" s="1439"/>
      <c r="M1816" s="1439"/>
      <c r="N1816" s="1439"/>
      <c r="O1816" s="1439"/>
      <c r="P1816" s="1439"/>
      <c r="Q1816" s="1439"/>
      <c r="R1816" s="1439"/>
      <c r="S1816" s="1439"/>
      <c r="T1816" s="1439"/>
      <c r="U1816" s="1439"/>
      <c r="V1816" s="1439"/>
      <c r="W1816" s="1439"/>
      <c r="X1816" s="1439"/>
      <c r="Y1816" s="1439"/>
      <c r="Z1816" s="1439"/>
      <c r="AA1816" s="1439"/>
      <c r="AB1816" s="1439"/>
      <c r="AC1816" s="1439"/>
      <c r="AD1816" s="1439"/>
      <c r="AE1816" s="1439"/>
      <c r="AF1816" s="1439"/>
      <c r="AG1816" s="1439"/>
    </row>
    <row r="1817" spans="1:33" ht="15.75" customHeight="1">
      <c r="A1817" s="1451"/>
      <c r="B1817" s="1450" t="s">
        <v>3543</v>
      </c>
      <c r="C1817" s="1477">
        <v>1</v>
      </c>
      <c r="D1817" s="1477" t="s">
        <v>3364</v>
      </c>
      <c r="E1817" s="1477">
        <v>2</v>
      </c>
      <c r="F1817" s="1478">
        <v>37.5</v>
      </c>
      <c r="G1817" s="1478"/>
      <c r="H1817" s="1500"/>
      <c r="I1817" s="1479">
        <f>PRODUCT(C1817:H1817)</f>
        <v>75</v>
      </c>
      <c r="J1817" s="1501" t="s">
        <v>13</v>
      </c>
      <c r="K1817" s="1439"/>
      <c r="L1817" s="1439"/>
      <c r="M1817" s="1439"/>
      <c r="N1817" s="1439"/>
      <c r="O1817" s="1439"/>
      <c r="P1817" s="1439"/>
      <c r="Q1817" s="1439"/>
      <c r="R1817" s="1439"/>
      <c r="S1817" s="1439"/>
      <c r="T1817" s="1439"/>
      <c r="U1817" s="1439"/>
      <c r="V1817" s="1439"/>
      <c r="W1817" s="1439"/>
      <c r="X1817" s="1439"/>
      <c r="Y1817" s="1439"/>
      <c r="Z1817" s="1439"/>
      <c r="AA1817" s="1439"/>
      <c r="AB1817" s="1439"/>
      <c r="AC1817" s="1439"/>
      <c r="AD1817" s="1439"/>
      <c r="AE1817" s="1439"/>
      <c r="AF1817" s="1439"/>
      <c r="AG1817" s="1439"/>
    </row>
    <row r="1818" spans="1:33" ht="236.25">
      <c r="A1818" s="1470">
        <v>77.5</v>
      </c>
      <c r="B1818" s="1517" t="s">
        <v>7562</v>
      </c>
      <c r="C1818" s="1484"/>
      <c r="D1818" s="1484"/>
      <c r="E1818" s="1484"/>
      <c r="F1818" s="1446"/>
      <c r="G1818" s="1446"/>
      <c r="H1818" s="1460"/>
      <c r="I1818" s="1459"/>
      <c r="J1818" s="1475"/>
      <c r="K1818" s="1439"/>
      <c r="L1818" s="1439"/>
      <c r="M1818" s="1439"/>
      <c r="N1818" s="1439"/>
      <c r="O1818" s="1439"/>
      <c r="P1818" s="1439"/>
      <c r="Q1818" s="1439"/>
      <c r="R1818" s="1439"/>
      <c r="S1818" s="1439"/>
      <c r="T1818" s="1439"/>
      <c r="U1818" s="1439"/>
      <c r="V1818" s="1439"/>
      <c r="W1818" s="1439"/>
      <c r="X1818" s="1439"/>
      <c r="Y1818" s="1439"/>
      <c r="Z1818" s="1439"/>
      <c r="AA1818" s="1439"/>
      <c r="AB1818" s="1439"/>
      <c r="AC1818" s="1439"/>
      <c r="AD1818" s="1439"/>
      <c r="AE1818" s="1439"/>
      <c r="AF1818" s="1439"/>
      <c r="AG1818" s="1439"/>
    </row>
    <row r="1819" spans="1:33" ht="15.75" customHeight="1">
      <c r="A1819" s="1451"/>
      <c r="B1819" s="1456" t="s">
        <v>7157</v>
      </c>
      <c r="C1819" s="1484"/>
      <c r="D1819" s="1484"/>
      <c r="E1819" s="1484"/>
      <c r="F1819" s="1446"/>
      <c r="G1819" s="1446"/>
      <c r="H1819" s="1447"/>
      <c r="I1819" s="1494"/>
      <c r="J1819" s="1492"/>
      <c r="K1819" s="1439"/>
      <c r="L1819" s="1439"/>
      <c r="M1819" s="1439"/>
      <c r="N1819" s="1439"/>
      <c r="O1819" s="1439"/>
      <c r="P1819" s="1439"/>
      <c r="Q1819" s="1439"/>
      <c r="R1819" s="1439"/>
      <c r="S1819" s="1439"/>
      <c r="T1819" s="1439"/>
      <c r="U1819" s="1439"/>
      <c r="V1819" s="1439"/>
      <c r="W1819" s="1439"/>
      <c r="X1819" s="1439"/>
      <c r="Y1819" s="1439"/>
      <c r="Z1819" s="1439"/>
      <c r="AA1819" s="1439"/>
      <c r="AB1819" s="1439"/>
      <c r="AC1819" s="1439"/>
      <c r="AD1819" s="1439"/>
      <c r="AE1819" s="1439"/>
      <c r="AF1819" s="1439"/>
      <c r="AG1819" s="1439"/>
    </row>
    <row r="1820" spans="1:33" ht="15.75" customHeight="1">
      <c r="A1820" s="1451"/>
      <c r="B1820" s="1450" t="s">
        <v>7079</v>
      </c>
      <c r="C1820" s="1484">
        <v>2</v>
      </c>
      <c r="D1820" s="1484" t="s">
        <v>3364</v>
      </c>
      <c r="E1820" s="1484">
        <v>1</v>
      </c>
      <c r="F1820" s="1446">
        <v>12</v>
      </c>
      <c r="G1820" s="1446"/>
      <c r="H1820" s="1447"/>
      <c r="I1820" s="1494">
        <f t="shared" ref="I1820:I1870" si="78">PRODUCT(C1820:H1820)</f>
        <v>24</v>
      </c>
      <c r="J1820" s="1492"/>
      <c r="K1820" s="1439"/>
      <c r="L1820" s="1439"/>
      <c r="M1820" s="1439"/>
      <c r="N1820" s="1439"/>
      <c r="O1820" s="1439"/>
      <c r="P1820" s="1439"/>
      <c r="Q1820" s="1439"/>
      <c r="R1820" s="1439"/>
      <c r="S1820" s="1439"/>
      <c r="T1820" s="1439"/>
      <c r="U1820" s="1439"/>
      <c r="V1820" s="1439"/>
      <c r="W1820" s="1439"/>
      <c r="X1820" s="1439"/>
      <c r="Y1820" s="1439"/>
      <c r="Z1820" s="1439"/>
      <c r="AA1820" s="1439"/>
      <c r="AB1820" s="1439"/>
      <c r="AC1820" s="1439"/>
      <c r="AD1820" s="1439"/>
      <c r="AE1820" s="1439"/>
      <c r="AF1820" s="1439"/>
      <c r="AG1820" s="1439"/>
    </row>
    <row r="1821" spans="1:33" ht="15.75" customHeight="1">
      <c r="A1821" s="1451"/>
      <c r="B1821" s="1450" t="s">
        <v>7214</v>
      </c>
      <c r="C1821" s="1484">
        <v>2</v>
      </c>
      <c r="D1821" s="1484" t="s">
        <v>3364</v>
      </c>
      <c r="E1821" s="1484">
        <v>3</v>
      </c>
      <c r="F1821" s="1446">
        <v>10</v>
      </c>
      <c r="G1821" s="1446"/>
      <c r="H1821" s="1447"/>
      <c r="I1821" s="1494">
        <f t="shared" si="78"/>
        <v>60</v>
      </c>
      <c r="J1821" s="1492"/>
      <c r="K1821" s="1439"/>
      <c r="L1821" s="1439"/>
      <c r="M1821" s="1439"/>
      <c r="N1821" s="1439"/>
      <c r="O1821" s="1439"/>
      <c r="P1821" s="1439"/>
      <c r="Q1821" s="1439"/>
      <c r="R1821" s="1439"/>
      <c r="S1821" s="1439"/>
      <c r="T1821" s="1439"/>
      <c r="U1821" s="1439"/>
      <c r="V1821" s="1439"/>
      <c r="W1821" s="1439"/>
      <c r="X1821" s="1439"/>
      <c r="Y1821" s="1439"/>
      <c r="Z1821" s="1439"/>
      <c r="AA1821" s="1439"/>
      <c r="AB1821" s="1439"/>
      <c r="AC1821" s="1439"/>
      <c r="AD1821" s="1439"/>
      <c r="AE1821" s="1439"/>
      <c r="AF1821" s="1439"/>
      <c r="AG1821" s="1439"/>
    </row>
    <row r="1822" spans="1:33" ht="15.75" customHeight="1">
      <c r="A1822" s="1451"/>
      <c r="B1822" s="1450" t="s">
        <v>7215</v>
      </c>
      <c r="C1822" s="1484">
        <v>1</v>
      </c>
      <c r="D1822" s="1484" t="s">
        <v>3364</v>
      </c>
      <c r="E1822" s="1484">
        <v>2</v>
      </c>
      <c r="F1822" s="1446">
        <v>10</v>
      </c>
      <c r="G1822" s="1446"/>
      <c r="H1822" s="1447"/>
      <c r="I1822" s="1494">
        <f t="shared" si="78"/>
        <v>20</v>
      </c>
      <c r="J1822" s="1492"/>
      <c r="K1822" s="1439"/>
      <c r="L1822" s="1439"/>
      <c r="M1822" s="1439"/>
      <c r="N1822" s="1439"/>
      <c r="O1822" s="1439"/>
      <c r="P1822" s="1439"/>
      <c r="Q1822" s="1439"/>
      <c r="R1822" s="1439"/>
      <c r="S1822" s="1439"/>
      <c r="T1822" s="1439"/>
      <c r="U1822" s="1439"/>
      <c r="V1822" s="1439"/>
      <c r="W1822" s="1439"/>
      <c r="X1822" s="1439"/>
      <c r="Y1822" s="1439"/>
      <c r="Z1822" s="1439"/>
      <c r="AA1822" s="1439"/>
      <c r="AB1822" s="1439"/>
      <c r="AC1822" s="1439"/>
      <c r="AD1822" s="1439"/>
      <c r="AE1822" s="1439"/>
      <c r="AF1822" s="1439"/>
      <c r="AG1822" s="1439"/>
    </row>
    <row r="1823" spans="1:33" ht="15.75" customHeight="1">
      <c r="A1823" s="1451"/>
      <c r="B1823" s="1450" t="s">
        <v>7080</v>
      </c>
      <c r="C1823" s="1484">
        <v>1</v>
      </c>
      <c r="D1823" s="1484" t="s">
        <v>3364</v>
      </c>
      <c r="E1823" s="1484">
        <v>2</v>
      </c>
      <c r="F1823" s="1446">
        <v>7</v>
      </c>
      <c r="G1823" s="1446"/>
      <c r="H1823" s="1447"/>
      <c r="I1823" s="1494">
        <f t="shared" si="78"/>
        <v>14</v>
      </c>
      <c r="J1823" s="1492"/>
      <c r="K1823" s="1439"/>
      <c r="L1823" s="1439"/>
      <c r="M1823" s="1439"/>
      <c r="N1823" s="1439"/>
      <c r="O1823" s="1439"/>
      <c r="P1823" s="1439"/>
      <c r="Q1823" s="1439"/>
      <c r="R1823" s="1439"/>
      <c r="S1823" s="1439"/>
      <c r="T1823" s="1439"/>
      <c r="U1823" s="1439"/>
      <c r="V1823" s="1439"/>
      <c r="W1823" s="1439"/>
      <c r="X1823" s="1439"/>
      <c r="Y1823" s="1439"/>
      <c r="Z1823" s="1439"/>
      <c r="AA1823" s="1439"/>
      <c r="AB1823" s="1439"/>
      <c r="AC1823" s="1439"/>
      <c r="AD1823" s="1439"/>
      <c r="AE1823" s="1439"/>
      <c r="AF1823" s="1439"/>
      <c r="AG1823" s="1439"/>
    </row>
    <row r="1824" spans="1:33" ht="15.75" customHeight="1">
      <c r="A1824" s="1451"/>
      <c r="B1824" s="1450" t="s">
        <v>7216</v>
      </c>
      <c r="C1824" s="1484">
        <v>2</v>
      </c>
      <c r="D1824" s="1484" t="s">
        <v>3364</v>
      </c>
      <c r="E1824" s="1484">
        <v>3</v>
      </c>
      <c r="F1824" s="1446">
        <v>6</v>
      </c>
      <c r="G1824" s="1446"/>
      <c r="H1824" s="1447"/>
      <c r="I1824" s="1494">
        <f t="shared" si="78"/>
        <v>36</v>
      </c>
      <c r="J1824" s="1492"/>
      <c r="K1824" s="1439"/>
      <c r="L1824" s="1439"/>
      <c r="M1824" s="1439"/>
      <c r="N1824" s="1439"/>
      <c r="O1824" s="1439"/>
      <c r="P1824" s="1439"/>
      <c r="Q1824" s="1439"/>
      <c r="R1824" s="1439"/>
      <c r="S1824" s="1439"/>
      <c r="T1824" s="1439"/>
      <c r="U1824" s="1439"/>
      <c r="V1824" s="1439"/>
      <c r="W1824" s="1439"/>
      <c r="X1824" s="1439"/>
      <c r="Y1824" s="1439"/>
      <c r="Z1824" s="1439"/>
      <c r="AA1824" s="1439"/>
      <c r="AB1824" s="1439"/>
      <c r="AC1824" s="1439"/>
      <c r="AD1824" s="1439"/>
      <c r="AE1824" s="1439"/>
      <c r="AF1824" s="1439"/>
      <c r="AG1824" s="1439"/>
    </row>
    <row r="1825" spans="1:33" ht="15.75" customHeight="1">
      <c r="A1825" s="1451"/>
      <c r="B1825" s="1450" t="s">
        <v>7218</v>
      </c>
      <c r="C1825" s="1484">
        <v>2</v>
      </c>
      <c r="D1825" s="1484" t="s">
        <v>3364</v>
      </c>
      <c r="E1825" s="1484">
        <v>1</v>
      </c>
      <c r="F1825" s="1446">
        <v>8</v>
      </c>
      <c r="G1825" s="1446"/>
      <c r="H1825" s="1447"/>
      <c r="I1825" s="1494">
        <f t="shared" si="78"/>
        <v>16</v>
      </c>
      <c r="J1825" s="1492"/>
      <c r="K1825" s="1439"/>
      <c r="L1825" s="1439"/>
      <c r="M1825" s="1439"/>
      <c r="N1825" s="1439"/>
      <c r="O1825" s="1439"/>
      <c r="P1825" s="1439"/>
      <c r="Q1825" s="1439"/>
      <c r="R1825" s="1439"/>
      <c r="S1825" s="1439"/>
      <c r="T1825" s="1439"/>
      <c r="U1825" s="1439"/>
      <c r="V1825" s="1439"/>
      <c r="W1825" s="1439"/>
      <c r="X1825" s="1439"/>
      <c r="Y1825" s="1439"/>
      <c r="Z1825" s="1439"/>
      <c r="AA1825" s="1439"/>
      <c r="AB1825" s="1439"/>
      <c r="AC1825" s="1439"/>
      <c r="AD1825" s="1439"/>
      <c r="AE1825" s="1439"/>
      <c r="AF1825" s="1439"/>
      <c r="AG1825" s="1439"/>
    </row>
    <row r="1826" spans="1:33" ht="15.75" customHeight="1">
      <c r="A1826" s="1451"/>
      <c r="B1826" s="1456" t="s">
        <v>3486</v>
      </c>
      <c r="C1826" s="1484"/>
      <c r="D1826" s="1484"/>
      <c r="E1826" s="1484"/>
      <c r="F1826" s="1446"/>
      <c r="G1826" s="1446"/>
      <c r="H1826" s="1447"/>
      <c r="I1826" s="1494"/>
      <c r="J1826" s="1492"/>
      <c r="K1826" s="1439"/>
      <c r="L1826" s="1439"/>
      <c r="M1826" s="1439"/>
      <c r="N1826" s="1439"/>
      <c r="O1826" s="1439"/>
      <c r="P1826" s="1439"/>
      <c r="Q1826" s="1439"/>
      <c r="R1826" s="1439"/>
      <c r="S1826" s="1439"/>
      <c r="T1826" s="1439"/>
      <c r="U1826" s="1439"/>
      <c r="V1826" s="1439"/>
      <c r="W1826" s="1439"/>
      <c r="X1826" s="1439"/>
      <c r="Y1826" s="1439"/>
      <c r="Z1826" s="1439"/>
      <c r="AA1826" s="1439"/>
      <c r="AB1826" s="1439"/>
      <c r="AC1826" s="1439"/>
      <c r="AD1826" s="1439"/>
      <c r="AE1826" s="1439"/>
      <c r="AF1826" s="1439"/>
      <c r="AG1826" s="1439"/>
    </row>
    <row r="1827" spans="1:33" ht="15.75" customHeight="1">
      <c r="A1827" s="1451"/>
      <c r="B1827" s="1450" t="s">
        <v>7219</v>
      </c>
      <c r="C1827" s="1484">
        <v>1</v>
      </c>
      <c r="D1827" s="1484" t="s">
        <v>3364</v>
      </c>
      <c r="E1827" s="1484">
        <v>1</v>
      </c>
      <c r="F1827" s="1446">
        <v>12</v>
      </c>
      <c r="G1827" s="1446"/>
      <c r="H1827" s="1447"/>
      <c r="I1827" s="1494">
        <f t="shared" si="78"/>
        <v>12</v>
      </c>
      <c r="J1827" s="1492"/>
      <c r="K1827" s="1439"/>
      <c r="L1827" s="1439"/>
      <c r="M1827" s="1439"/>
      <c r="N1827" s="1439"/>
      <c r="O1827" s="1439"/>
      <c r="P1827" s="1439"/>
      <c r="Q1827" s="1439"/>
      <c r="R1827" s="1439"/>
      <c r="S1827" s="1439"/>
      <c r="T1827" s="1439"/>
      <c r="U1827" s="1439"/>
      <c r="V1827" s="1439"/>
      <c r="W1827" s="1439"/>
      <c r="X1827" s="1439"/>
      <c r="Y1827" s="1439"/>
      <c r="Z1827" s="1439"/>
      <c r="AA1827" s="1439"/>
      <c r="AB1827" s="1439"/>
      <c r="AC1827" s="1439"/>
      <c r="AD1827" s="1439"/>
      <c r="AE1827" s="1439"/>
      <c r="AF1827" s="1439"/>
      <c r="AG1827" s="1439"/>
    </row>
    <row r="1828" spans="1:33" ht="15.75" customHeight="1">
      <c r="A1828" s="1451"/>
      <c r="B1828" s="1450" t="s">
        <v>7220</v>
      </c>
      <c r="C1828" s="1484">
        <v>1</v>
      </c>
      <c r="D1828" s="1484" t="s">
        <v>3364</v>
      </c>
      <c r="E1828" s="1484">
        <v>2</v>
      </c>
      <c r="F1828" s="1446">
        <v>13</v>
      </c>
      <c r="G1828" s="1446"/>
      <c r="H1828" s="1447"/>
      <c r="I1828" s="1494">
        <f t="shared" si="78"/>
        <v>26</v>
      </c>
      <c r="J1828" s="1492"/>
      <c r="K1828" s="1439"/>
      <c r="L1828" s="1439"/>
      <c r="M1828" s="1439"/>
      <c r="N1828" s="1439"/>
      <c r="O1828" s="1439"/>
      <c r="P1828" s="1439"/>
      <c r="Q1828" s="1439"/>
      <c r="R1828" s="1439"/>
      <c r="S1828" s="1439"/>
      <c r="T1828" s="1439"/>
      <c r="U1828" s="1439"/>
      <c r="V1828" s="1439"/>
      <c r="W1828" s="1439"/>
      <c r="X1828" s="1439"/>
      <c r="Y1828" s="1439"/>
      <c r="Z1828" s="1439"/>
      <c r="AA1828" s="1439"/>
      <c r="AB1828" s="1439"/>
      <c r="AC1828" s="1439"/>
      <c r="AD1828" s="1439"/>
      <c r="AE1828" s="1439"/>
      <c r="AF1828" s="1439"/>
      <c r="AG1828" s="1439"/>
    </row>
    <row r="1829" spans="1:33" ht="15.75" customHeight="1">
      <c r="A1829" s="1451"/>
      <c r="B1829" s="1450" t="s">
        <v>7221</v>
      </c>
      <c r="C1829" s="1484">
        <v>1</v>
      </c>
      <c r="D1829" s="1484" t="s">
        <v>3364</v>
      </c>
      <c r="E1829" s="1484">
        <v>2</v>
      </c>
      <c r="F1829" s="1446">
        <v>15</v>
      </c>
      <c r="G1829" s="1446"/>
      <c r="H1829" s="1447"/>
      <c r="I1829" s="1494">
        <f t="shared" si="78"/>
        <v>30</v>
      </c>
      <c r="J1829" s="1492"/>
      <c r="K1829" s="1439"/>
      <c r="L1829" s="1439"/>
      <c r="M1829" s="1439"/>
      <c r="N1829" s="1439"/>
      <c r="O1829" s="1439"/>
      <c r="P1829" s="1439"/>
      <c r="Q1829" s="1439"/>
      <c r="R1829" s="1439"/>
      <c r="S1829" s="1439"/>
      <c r="T1829" s="1439"/>
      <c r="U1829" s="1439"/>
      <c r="V1829" s="1439"/>
      <c r="W1829" s="1439"/>
      <c r="X1829" s="1439"/>
      <c r="Y1829" s="1439"/>
      <c r="Z1829" s="1439"/>
      <c r="AA1829" s="1439"/>
      <c r="AB1829" s="1439"/>
      <c r="AC1829" s="1439"/>
      <c r="AD1829" s="1439"/>
      <c r="AE1829" s="1439"/>
      <c r="AF1829" s="1439"/>
      <c r="AG1829" s="1439"/>
    </row>
    <row r="1830" spans="1:33" ht="15.75" customHeight="1">
      <c r="A1830" s="1451"/>
      <c r="B1830" s="1450" t="s">
        <v>7222</v>
      </c>
      <c r="C1830" s="1484">
        <v>1</v>
      </c>
      <c r="D1830" s="1484" t="s">
        <v>3364</v>
      </c>
      <c r="E1830" s="1484">
        <v>1</v>
      </c>
      <c r="F1830" s="1446">
        <v>14</v>
      </c>
      <c r="G1830" s="1446"/>
      <c r="H1830" s="1447"/>
      <c r="I1830" s="1494">
        <f t="shared" si="78"/>
        <v>14</v>
      </c>
      <c r="J1830" s="1492"/>
      <c r="K1830" s="1439"/>
      <c r="L1830" s="1439"/>
      <c r="M1830" s="1439"/>
      <c r="N1830" s="1439"/>
      <c r="O1830" s="1439"/>
      <c r="P1830" s="1439"/>
      <c r="Q1830" s="1439"/>
      <c r="R1830" s="1439"/>
      <c r="S1830" s="1439"/>
      <c r="T1830" s="1439"/>
      <c r="U1830" s="1439"/>
      <c r="V1830" s="1439"/>
      <c r="W1830" s="1439"/>
      <c r="X1830" s="1439"/>
      <c r="Y1830" s="1439"/>
      <c r="Z1830" s="1439"/>
      <c r="AA1830" s="1439"/>
      <c r="AB1830" s="1439"/>
      <c r="AC1830" s="1439"/>
      <c r="AD1830" s="1439"/>
      <c r="AE1830" s="1439"/>
      <c r="AF1830" s="1439"/>
      <c r="AG1830" s="1439"/>
    </row>
    <row r="1831" spans="1:33" ht="15.75" customHeight="1">
      <c r="A1831" s="1451"/>
      <c r="B1831" s="1450" t="s">
        <v>7223</v>
      </c>
      <c r="C1831" s="1484">
        <v>2</v>
      </c>
      <c r="D1831" s="1484" t="s">
        <v>3364</v>
      </c>
      <c r="E1831" s="1484">
        <v>2</v>
      </c>
      <c r="F1831" s="1446">
        <v>11</v>
      </c>
      <c r="G1831" s="1446"/>
      <c r="H1831" s="1447"/>
      <c r="I1831" s="1494">
        <f t="shared" si="78"/>
        <v>44</v>
      </c>
      <c r="J1831" s="1492"/>
      <c r="K1831" s="1439"/>
      <c r="L1831" s="1439"/>
      <c r="M1831" s="1439"/>
      <c r="N1831" s="1439"/>
      <c r="O1831" s="1439"/>
      <c r="P1831" s="1439"/>
      <c r="Q1831" s="1439"/>
      <c r="R1831" s="1439"/>
      <c r="S1831" s="1439"/>
      <c r="T1831" s="1439"/>
      <c r="U1831" s="1439"/>
      <c r="V1831" s="1439"/>
      <c r="W1831" s="1439"/>
      <c r="X1831" s="1439"/>
      <c r="Y1831" s="1439"/>
      <c r="Z1831" s="1439"/>
      <c r="AA1831" s="1439"/>
      <c r="AB1831" s="1439"/>
      <c r="AC1831" s="1439"/>
      <c r="AD1831" s="1439"/>
      <c r="AE1831" s="1439"/>
      <c r="AF1831" s="1439"/>
      <c r="AG1831" s="1439"/>
    </row>
    <row r="1832" spans="1:33" ht="15.75" customHeight="1">
      <c r="A1832" s="1451"/>
      <c r="B1832" s="1450" t="s">
        <v>7083</v>
      </c>
      <c r="C1832" s="1484">
        <v>1</v>
      </c>
      <c r="D1832" s="1484" t="s">
        <v>3364</v>
      </c>
      <c r="E1832" s="1484">
        <v>1</v>
      </c>
      <c r="F1832" s="1446">
        <v>10</v>
      </c>
      <c r="G1832" s="1446"/>
      <c r="H1832" s="1447"/>
      <c r="I1832" s="1494">
        <f t="shared" si="78"/>
        <v>10</v>
      </c>
      <c r="J1832" s="1492"/>
      <c r="K1832" s="1439"/>
      <c r="L1832" s="1439"/>
      <c r="M1832" s="1439"/>
      <c r="N1832" s="1439"/>
      <c r="O1832" s="1439"/>
      <c r="P1832" s="1439"/>
      <c r="Q1832" s="1439"/>
      <c r="R1832" s="1439"/>
      <c r="S1832" s="1439"/>
      <c r="T1832" s="1439"/>
      <c r="U1832" s="1439"/>
      <c r="V1832" s="1439"/>
      <c r="W1832" s="1439"/>
      <c r="X1832" s="1439"/>
      <c r="Y1832" s="1439"/>
      <c r="Z1832" s="1439"/>
      <c r="AA1832" s="1439"/>
      <c r="AB1832" s="1439"/>
      <c r="AC1832" s="1439"/>
      <c r="AD1832" s="1439"/>
      <c r="AE1832" s="1439"/>
      <c r="AF1832" s="1439"/>
      <c r="AG1832" s="1439"/>
    </row>
    <row r="1833" spans="1:33" ht="15.75" customHeight="1">
      <c r="A1833" s="1451"/>
      <c r="B1833" s="1456" t="s">
        <v>3488</v>
      </c>
      <c r="C1833" s="1484"/>
      <c r="D1833" s="1484"/>
      <c r="E1833" s="1484"/>
      <c r="F1833" s="1446"/>
      <c r="G1833" s="1446"/>
      <c r="H1833" s="1447"/>
      <c r="I1833" s="1494">
        <f t="shared" si="78"/>
        <v>0</v>
      </c>
      <c r="J1833" s="1492"/>
      <c r="K1833" s="1439"/>
      <c r="L1833" s="1439"/>
      <c r="M1833" s="1439"/>
      <c r="N1833" s="1439"/>
      <c r="O1833" s="1439"/>
      <c r="P1833" s="1439"/>
      <c r="Q1833" s="1439"/>
      <c r="R1833" s="1439"/>
      <c r="S1833" s="1439"/>
      <c r="T1833" s="1439"/>
      <c r="U1833" s="1439"/>
      <c r="V1833" s="1439"/>
      <c r="W1833" s="1439"/>
      <c r="X1833" s="1439"/>
      <c r="Y1833" s="1439"/>
      <c r="Z1833" s="1439"/>
      <c r="AA1833" s="1439"/>
      <c r="AB1833" s="1439"/>
      <c r="AC1833" s="1439"/>
      <c r="AD1833" s="1439"/>
      <c r="AE1833" s="1439"/>
      <c r="AF1833" s="1439"/>
      <c r="AG1833" s="1439"/>
    </row>
    <row r="1834" spans="1:33" ht="15.75" customHeight="1">
      <c r="A1834" s="1451"/>
      <c r="B1834" s="1450" t="s">
        <v>7224</v>
      </c>
      <c r="C1834" s="1484">
        <v>1</v>
      </c>
      <c r="D1834" s="1484" t="s">
        <v>3364</v>
      </c>
      <c r="E1834" s="1484">
        <v>1</v>
      </c>
      <c r="F1834" s="1446">
        <v>8</v>
      </c>
      <c r="G1834" s="1446"/>
      <c r="H1834" s="1447"/>
      <c r="I1834" s="1494">
        <f t="shared" si="78"/>
        <v>8</v>
      </c>
      <c r="J1834" s="1492"/>
      <c r="K1834" s="1439"/>
      <c r="L1834" s="1439"/>
      <c r="M1834" s="1439"/>
      <c r="N1834" s="1439"/>
      <c r="O1834" s="1439"/>
      <c r="P1834" s="1439"/>
      <c r="Q1834" s="1439"/>
      <c r="R1834" s="1439"/>
      <c r="S1834" s="1439"/>
      <c r="T1834" s="1439"/>
      <c r="U1834" s="1439"/>
      <c r="V1834" s="1439"/>
      <c r="W1834" s="1439"/>
      <c r="X1834" s="1439"/>
      <c r="Y1834" s="1439"/>
      <c r="Z1834" s="1439"/>
      <c r="AA1834" s="1439"/>
      <c r="AB1834" s="1439"/>
      <c r="AC1834" s="1439"/>
      <c r="AD1834" s="1439"/>
      <c r="AE1834" s="1439"/>
      <c r="AF1834" s="1439"/>
      <c r="AG1834" s="1439"/>
    </row>
    <row r="1835" spans="1:33" ht="15.75" customHeight="1">
      <c r="A1835" s="1451"/>
      <c r="B1835" s="1450" t="s">
        <v>7221</v>
      </c>
      <c r="C1835" s="1484">
        <v>1</v>
      </c>
      <c r="D1835" s="1484" t="s">
        <v>3364</v>
      </c>
      <c r="E1835" s="1484">
        <v>2</v>
      </c>
      <c r="F1835" s="1446">
        <v>7.8</v>
      </c>
      <c r="G1835" s="1446"/>
      <c r="H1835" s="1447"/>
      <c r="I1835" s="1494">
        <f t="shared" si="78"/>
        <v>15.6</v>
      </c>
      <c r="J1835" s="1492"/>
      <c r="K1835" s="1439"/>
      <c r="L1835" s="1439"/>
      <c r="M1835" s="1439"/>
      <c r="N1835" s="1439"/>
      <c r="O1835" s="1439"/>
      <c r="P1835" s="1439"/>
      <c r="Q1835" s="1439"/>
      <c r="R1835" s="1439"/>
      <c r="S1835" s="1439"/>
      <c r="T1835" s="1439"/>
      <c r="U1835" s="1439"/>
      <c r="V1835" s="1439"/>
      <c r="W1835" s="1439"/>
      <c r="X1835" s="1439"/>
      <c r="Y1835" s="1439"/>
      <c r="Z1835" s="1439"/>
      <c r="AA1835" s="1439"/>
      <c r="AB1835" s="1439"/>
      <c r="AC1835" s="1439"/>
      <c r="AD1835" s="1439"/>
      <c r="AE1835" s="1439"/>
      <c r="AF1835" s="1439"/>
      <c r="AG1835" s="1439"/>
    </row>
    <row r="1836" spans="1:33" ht="15.75" customHeight="1">
      <c r="A1836" s="1451"/>
      <c r="B1836" s="1450" t="s">
        <v>7163</v>
      </c>
      <c r="C1836" s="1484">
        <v>1</v>
      </c>
      <c r="D1836" s="1484" t="s">
        <v>3364</v>
      </c>
      <c r="E1836" s="1484">
        <v>4</v>
      </c>
      <c r="F1836" s="1446">
        <v>9.3000000000000007</v>
      </c>
      <c r="G1836" s="1446"/>
      <c r="H1836" s="1447"/>
      <c r="I1836" s="1494">
        <f t="shared" si="78"/>
        <v>37.200000000000003</v>
      </c>
      <c r="J1836" s="1492"/>
      <c r="K1836" s="1439"/>
      <c r="L1836" s="1439"/>
      <c r="M1836" s="1439"/>
      <c r="N1836" s="1439"/>
      <c r="O1836" s="1439"/>
      <c r="P1836" s="1439"/>
      <c r="Q1836" s="1439"/>
      <c r="R1836" s="1439"/>
      <c r="S1836" s="1439"/>
      <c r="T1836" s="1439"/>
      <c r="U1836" s="1439"/>
      <c r="V1836" s="1439"/>
      <c r="W1836" s="1439"/>
      <c r="X1836" s="1439"/>
      <c r="Y1836" s="1439"/>
      <c r="Z1836" s="1439"/>
      <c r="AA1836" s="1439"/>
      <c r="AB1836" s="1439"/>
      <c r="AC1836" s="1439"/>
      <c r="AD1836" s="1439"/>
      <c r="AE1836" s="1439"/>
      <c r="AF1836" s="1439"/>
      <c r="AG1836" s="1439"/>
    </row>
    <row r="1837" spans="1:33" ht="15.75" customHeight="1">
      <c r="A1837" s="1451"/>
      <c r="B1837" s="1450" t="s">
        <v>7227</v>
      </c>
      <c r="C1837" s="1484">
        <v>1</v>
      </c>
      <c r="D1837" s="1484" t="s">
        <v>3364</v>
      </c>
      <c r="E1837" s="1484">
        <v>4</v>
      </c>
      <c r="F1837" s="1446">
        <v>6.5</v>
      </c>
      <c r="G1837" s="1446"/>
      <c r="H1837" s="1447"/>
      <c r="I1837" s="1494">
        <f t="shared" si="78"/>
        <v>26</v>
      </c>
      <c r="J1837" s="1492"/>
      <c r="K1837" s="1439"/>
      <c r="L1837" s="1439"/>
      <c r="M1837" s="1439"/>
      <c r="N1837" s="1439"/>
      <c r="O1837" s="1439"/>
      <c r="P1837" s="1439"/>
      <c r="Q1837" s="1439"/>
      <c r="R1837" s="1439"/>
      <c r="S1837" s="1439"/>
      <c r="T1837" s="1439"/>
      <c r="U1837" s="1439"/>
      <c r="V1837" s="1439"/>
      <c r="W1837" s="1439"/>
      <c r="X1837" s="1439"/>
      <c r="Y1837" s="1439"/>
      <c r="Z1837" s="1439"/>
      <c r="AA1837" s="1439"/>
      <c r="AB1837" s="1439"/>
      <c r="AC1837" s="1439"/>
      <c r="AD1837" s="1439"/>
      <c r="AE1837" s="1439"/>
      <c r="AF1837" s="1439"/>
      <c r="AG1837" s="1439"/>
    </row>
    <row r="1838" spans="1:33" ht="15.75" customHeight="1">
      <c r="A1838" s="1451"/>
      <c r="B1838" s="1450" t="s">
        <v>7228</v>
      </c>
      <c r="C1838" s="1484">
        <v>1</v>
      </c>
      <c r="D1838" s="1484" t="s">
        <v>3364</v>
      </c>
      <c r="E1838" s="1484">
        <v>4</v>
      </c>
      <c r="F1838" s="1446">
        <v>15</v>
      </c>
      <c r="G1838" s="1446"/>
      <c r="H1838" s="1447"/>
      <c r="I1838" s="1494">
        <f t="shared" si="78"/>
        <v>60</v>
      </c>
      <c r="J1838" s="1492"/>
      <c r="K1838" s="1439"/>
      <c r="L1838" s="1439"/>
      <c r="M1838" s="1439"/>
      <c r="N1838" s="1439"/>
      <c r="O1838" s="1439"/>
      <c r="P1838" s="1439"/>
      <c r="Q1838" s="1439"/>
      <c r="R1838" s="1439"/>
      <c r="S1838" s="1439"/>
      <c r="T1838" s="1439"/>
      <c r="U1838" s="1439"/>
      <c r="V1838" s="1439"/>
      <c r="W1838" s="1439"/>
      <c r="X1838" s="1439"/>
      <c r="Y1838" s="1439"/>
      <c r="Z1838" s="1439"/>
      <c r="AA1838" s="1439"/>
      <c r="AB1838" s="1439"/>
      <c r="AC1838" s="1439"/>
      <c r="AD1838" s="1439"/>
      <c r="AE1838" s="1439"/>
      <c r="AF1838" s="1439"/>
      <c r="AG1838" s="1439"/>
    </row>
    <row r="1839" spans="1:33" ht="15.75" customHeight="1">
      <c r="A1839" s="1451"/>
      <c r="B1839" s="1450" t="s">
        <v>7229</v>
      </c>
      <c r="C1839" s="1484">
        <v>1</v>
      </c>
      <c r="D1839" s="1484" t="s">
        <v>3364</v>
      </c>
      <c r="E1839" s="1484">
        <v>4</v>
      </c>
      <c r="F1839" s="1446">
        <v>15</v>
      </c>
      <c r="G1839" s="1446"/>
      <c r="H1839" s="1447"/>
      <c r="I1839" s="1494">
        <f t="shared" si="78"/>
        <v>60</v>
      </c>
      <c r="J1839" s="1492"/>
      <c r="K1839" s="1439"/>
      <c r="L1839" s="1439"/>
      <c r="M1839" s="1439"/>
      <c r="N1839" s="1439"/>
      <c r="O1839" s="1439"/>
      <c r="P1839" s="1439"/>
      <c r="Q1839" s="1439"/>
      <c r="R1839" s="1439"/>
      <c r="S1839" s="1439"/>
      <c r="T1839" s="1439"/>
      <c r="U1839" s="1439"/>
      <c r="V1839" s="1439"/>
      <c r="W1839" s="1439"/>
      <c r="X1839" s="1439"/>
      <c r="Y1839" s="1439"/>
      <c r="Z1839" s="1439"/>
      <c r="AA1839" s="1439"/>
      <c r="AB1839" s="1439"/>
      <c r="AC1839" s="1439"/>
      <c r="AD1839" s="1439"/>
      <c r="AE1839" s="1439"/>
      <c r="AF1839" s="1439"/>
      <c r="AG1839" s="1439"/>
    </row>
    <row r="1840" spans="1:33" ht="15.75" customHeight="1">
      <c r="A1840" s="1451"/>
      <c r="B1840" s="1450" t="s">
        <v>7230</v>
      </c>
      <c r="C1840" s="1484">
        <v>3</v>
      </c>
      <c r="D1840" s="1484" t="s">
        <v>3364</v>
      </c>
      <c r="E1840" s="1484">
        <v>4</v>
      </c>
      <c r="F1840" s="1446">
        <v>16.2</v>
      </c>
      <c r="G1840" s="1446"/>
      <c r="H1840" s="1447"/>
      <c r="I1840" s="1494">
        <f t="shared" si="78"/>
        <v>194.4</v>
      </c>
      <c r="J1840" s="1492"/>
      <c r="K1840" s="1439"/>
      <c r="L1840" s="1439"/>
      <c r="M1840" s="1439"/>
      <c r="N1840" s="1439"/>
      <c r="O1840" s="1439"/>
      <c r="P1840" s="1439"/>
      <c r="Q1840" s="1439"/>
      <c r="R1840" s="1439"/>
      <c r="S1840" s="1439"/>
      <c r="T1840" s="1439"/>
      <c r="U1840" s="1439"/>
      <c r="V1840" s="1439"/>
      <c r="W1840" s="1439"/>
      <c r="X1840" s="1439"/>
      <c r="Y1840" s="1439"/>
      <c r="Z1840" s="1439"/>
      <c r="AA1840" s="1439"/>
      <c r="AB1840" s="1439"/>
      <c r="AC1840" s="1439"/>
      <c r="AD1840" s="1439"/>
      <c r="AE1840" s="1439"/>
      <c r="AF1840" s="1439"/>
      <c r="AG1840" s="1439"/>
    </row>
    <row r="1841" spans="1:33" ht="15.75" customHeight="1">
      <c r="A1841" s="1451"/>
      <c r="B1841" s="1450" t="s">
        <v>6723</v>
      </c>
      <c r="C1841" s="1484">
        <v>1</v>
      </c>
      <c r="D1841" s="1484" t="s">
        <v>3364</v>
      </c>
      <c r="E1841" s="1484">
        <v>2</v>
      </c>
      <c r="F1841" s="1446">
        <v>11.5</v>
      </c>
      <c r="G1841" s="1446"/>
      <c r="H1841" s="1447"/>
      <c r="I1841" s="1494">
        <f t="shared" si="78"/>
        <v>23</v>
      </c>
      <c r="J1841" s="1492"/>
      <c r="K1841" s="1439"/>
      <c r="L1841" s="1439"/>
      <c r="M1841" s="1439"/>
      <c r="N1841" s="1439"/>
      <c r="O1841" s="1439"/>
      <c r="P1841" s="1439"/>
      <c r="Q1841" s="1439"/>
      <c r="R1841" s="1439"/>
      <c r="S1841" s="1439"/>
      <c r="T1841" s="1439"/>
      <c r="U1841" s="1439"/>
      <c r="V1841" s="1439"/>
      <c r="W1841" s="1439"/>
      <c r="X1841" s="1439"/>
      <c r="Y1841" s="1439"/>
      <c r="Z1841" s="1439"/>
      <c r="AA1841" s="1439"/>
      <c r="AB1841" s="1439"/>
      <c r="AC1841" s="1439"/>
      <c r="AD1841" s="1439"/>
      <c r="AE1841" s="1439"/>
      <c r="AF1841" s="1439"/>
      <c r="AG1841" s="1439"/>
    </row>
    <row r="1842" spans="1:33" ht="15.75" customHeight="1">
      <c r="A1842" s="1451"/>
      <c r="B1842" s="1450" t="s">
        <v>6933</v>
      </c>
      <c r="C1842" s="1484">
        <v>1</v>
      </c>
      <c r="D1842" s="1484" t="s">
        <v>3364</v>
      </c>
      <c r="E1842" s="1484">
        <v>1</v>
      </c>
      <c r="F1842" s="1446">
        <v>1.1000000000000001</v>
      </c>
      <c r="G1842" s="1446"/>
      <c r="H1842" s="1447"/>
      <c r="I1842" s="1494">
        <f t="shared" si="78"/>
        <v>1.1000000000000001</v>
      </c>
      <c r="J1842" s="1492"/>
      <c r="K1842" s="1439"/>
      <c r="L1842" s="1439"/>
      <c r="M1842" s="1439"/>
      <c r="N1842" s="1439"/>
      <c r="O1842" s="1439"/>
      <c r="P1842" s="1439"/>
      <c r="Q1842" s="1439"/>
      <c r="R1842" s="1439"/>
      <c r="S1842" s="1439"/>
      <c r="T1842" s="1439"/>
      <c r="U1842" s="1439"/>
      <c r="V1842" s="1439"/>
      <c r="W1842" s="1439"/>
      <c r="X1842" s="1439"/>
      <c r="Y1842" s="1439"/>
      <c r="Z1842" s="1439"/>
      <c r="AA1842" s="1439"/>
      <c r="AB1842" s="1439"/>
      <c r="AC1842" s="1439"/>
      <c r="AD1842" s="1439"/>
      <c r="AE1842" s="1439"/>
      <c r="AF1842" s="1439"/>
      <c r="AG1842" s="1439"/>
    </row>
    <row r="1843" spans="1:33" ht="15.75" customHeight="1">
      <c r="A1843" s="1451"/>
      <c r="B1843" s="1450" t="s">
        <v>7231</v>
      </c>
      <c r="C1843" s="1484">
        <v>1</v>
      </c>
      <c r="D1843" s="1484" t="s">
        <v>3364</v>
      </c>
      <c r="E1843" s="1484">
        <v>5</v>
      </c>
      <c r="F1843" s="1446">
        <v>1</v>
      </c>
      <c r="G1843" s="1446"/>
      <c r="H1843" s="1447"/>
      <c r="I1843" s="1494">
        <f t="shared" si="78"/>
        <v>5</v>
      </c>
      <c r="J1843" s="1492"/>
      <c r="K1843" s="1439"/>
      <c r="L1843" s="1439"/>
      <c r="M1843" s="1439"/>
      <c r="N1843" s="1439"/>
      <c r="O1843" s="1439"/>
      <c r="P1843" s="1439"/>
      <c r="Q1843" s="1439"/>
      <c r="R1843" s="1439"/>
      <c r="S1843" s="1439"/>
      <c r="T1843" s="1439"/>
      <c r="U1843" s="1439"/>
      <c r="V1843" s="1439"/>
      <c r="W1843" s="1439"/>
      <c r="X1843" s="1439"/>
      <c r="Y1843" s="1439"/>
      <c r="Z1843" s="1439"/>
      <c r="AA1843" s="1439"/>
      <c r="AB1843" s="1439"/>
      <c r="AC1843" s="1439"/>
      <c r="AD1843" s="1439"/>
      <c r="AE1843" s="1439"/>
      <c r="AF1843" s="1439"/>
      <c r="AG1843" s="1439"/>
    </row>
    <row r="1844" spans="1:33" ht="15.75" customHeight="1">
      <c r="A1844" s="1451"/>
      <c r="B1844" s="1456" t="s">
        <v>7232</v>
      </c>
      <c r="C1844" s="1484"/>
      <c r="D1844" s="1484"/>
      <c r="E1844" s="1484"/>
      <c r="F1844" s="1446"/>
      <c r="G1844" s="1446"/>
      <c r="H1844" s="1447"/>
      <c r="I1844" s="1494"/>
      <c r="J1844" s="1492"/>
      <c r="K1844" s="1439"/>
      <c r="L1844" s="1439"/>
      <c r="M1844" s="1439"/>
      <c r="N1844" s="1439"/>
      <c r="O1844" s="1439"/>
      <c r="P1844" s="1439"/>
      <c r="Q1844" s="1439"/>
      <c r="R1844" s="1439"/>
      <c r="S1844" s="1439"/>
      <c r="T1844" s="1439"/>
      <c r="U1844" s="1439"/>
      <c r="V1844" s="1439"/>
      <c r="W1844" s="1439"/>
      <c r="X1844" s="1439"/>
      <c r="Y1844" s="1439"/>
      <c r="Z1844" s="1439"/>
      <c r="AA1844" s="1439"/>
      <c r="AB1844" s="1439"/>
      <c r="AC1844" s="1439"/>
      <c r="AD1844" s="1439"/>
      <c r="AE1844" s="1439"/>
      <c r="AF1844" s="1439"/>
      <c r="AG1844" s="1439"/>
    </row>
    <row r="1845" spans="1:33" ht="15.75" customHeight="1">
      <c r="A1845" s="1451"/>
      <c r="B1845" s="1450" t="s">
        <v>7224</v>
      </c>
      <c r="C1845" s="1484">
        <v>1</v>
      </c>
      <c r="D1845" s="1484" t="s">
        <v>3364</v>
      </c>
      <c r="E1845" s="1484">
        <v>1</v>
      </c>
      <c r="F1845" s="1446">
        <v>15</v>
      </c>
      <c r="G1845" s="1446"/>
      <c r="H1845" s="1447"/>
      <c r="I1845" s="1494">
        <f t="shared" si="78"/>
        <v>15</v>
      </c>
      <c r="J1845" s="1492"/>
      <c r="K1845" s="1439"/>
      <c r="L1845" s="1439"/>
      <c r="M1845" s="1439"/>
      <c r="N1845" s="1439"/>
      <c r="O1845" s="1439"/>
      <c r="P1845" s="1439"/>
      <c r="Q1845" s="1439"/>
      <c r="R1845" s="1439"/>
      <c r="S1845" s="1439"/>
      <c r="T1845" s="1439"/>
      <c r="U1845" s="1439"/>
      <c r="V1845" s="1439"/>
      <c r="W1845" s="1439"/>
      <c r="X1845" s="1439"/>
      <c r="Y1845" s="1439"/>
      <c r="Z1845" s="1439"/>
      <c r="AA1845" s="1439"/>
      <c r="AB1845" s="1439"/>
      <c r="AC1845" s="1439"/>
      <c r="AD1845" s="1439"/>
      <c r="AE1845" s="1439"/>
      <c r="AF1845" s="1439"/>
      <c r="AG1845" s="1439"/>
    </row>
    <row r="1846" spans="1:33" ht="15.75" customHeight="1">
      <c r="A1846" s="1451"/>
      <c r="B1846" s="1450" t="s">
        <v>7221</v>
      </c>
      <c r="C1846" s="1484">
        <v>1</v>
      </c>
      <c r="D1846" s="1484" t="s">
        <v>3364</v>
      </c>
      <c r="E1846" s="1484">
        <v>3</v>
      </c>
      <c r="F1846" s="1446">
        <v>15</v>
      </c>
      <c r="G1846" s="1446"/>
      <c r="H1846" s="1447"/>
      <c r="I1846" s="1494">
        <f t="shared" si="78"/>
        <v>45</v>
      </c>
      <c r="J1846" s="1492"/>
      <c r="K1846" s="1439"/>
      <c r="L1846" s="1439"/>
      <c r="M1846" s="1439"/>
      <c r="N1846" s="1439"/>
      <c r="O1846" s="1439"/>
      <c r="P1846" s="1439"/>
      <c r="Q1846" s="1439"/>
      <c r="R1846" s="1439"/>
      <c r="S1846" s="1439"/>
      <c r="T1846" s="1439"/>
      <c r="U1846" s="1439"/>
      <c r="V1846" s="1439"/>
      <c r="W1846" s="1439"/>
      <c r="X1846" s="1439"/>
      <c r="Y1846" s="1439"/>
      <c r="Z1846" s="1439"/>
      <c r="AA1846" s="1439"/>
      <c r="AB1846" s="1439"/>
      <c r="AC1846" s="1439"/>
      <c r="AD1846" s="1439"/>
      <c r="AE1846" s="1439"/>
      <c r="AF1846" s="1439"/>
      <c r="AG1846" s="1439"/>
    </row>
    <row r="1847" spans="1:33" ht="15.75" customHeight="1">
      <c r="A1847" s="1451"/>
      <c r="B1847" s="1450" t="s">
        <v>7233</v>
      </c>
      <c r="C1847" s="1484">
        <v>1</v>
      </c>
      <c r="D1847" s="1484" t="s">
        <v>3364</v>
      </c>
      <c r="E1847" s="1484">
        <v>4</v>
      </c>
      <c r="F1847" s="1446">
        <v>15</v>
      </c>
      <c r="G1847" s="1446"/>
      <c r="H1847" s="1447"/>
      <c r="I1847" s="1494">
        <f t="shared" si="78"/>
        <v>60</v>
      </c>
      <c r="J1847" s="1492"/>
      <c r="K1847" s="1439"/>
      <c r="L1847" s="1439"/>
      <c r="M1847" s="1439"/>
      <c r="N1847" s="1439"/>
      <c r="O1847" s="1439"/>
      <c r="P1847" s="1439"/>
      <c r="Q1847" s="1439"/>
      <c r="R1847" s="1439"/>
      <c r="S1847" s="1439"/>
      <c r="T1847" s="1439"/>
      <c r="U1847" s="1439"/>
      <c r="V1847" s="1439"/>
      <c r="W1847" s="1439"/>
      <c r="X1847" s="1439"/>
      <c r="Y1847" s="1439"/>
      <c r="Z1847" s="1439"/>
      <c r="AA1847" s="1439"/>
      <c r="AB1847" s="1439"/>
      <c r="AC1847" s="1439"/>
      <c r="AD1847" s="1439"/>
      <c r="AE1847" s="1439"/>
      <c r="AF1847" s="1439"/>
      <c r="AG1847" s="1439"/>
    </row>
    <row r="1848" spans="1:33" ht="15.75" customHeight="1">
      <c r="A1848" s="1451"/>
      <c r="B1848" s="1450" t="s">
        <v>7231</v>
      </c>
      <c r="C1848" s="1484">
        <v>1</v>
      </c>
      <c r="D1848" s="1484" t="s">
        <v>3364</v>
      </c>
      <c r="E1848" s="1484">
        <v>2</v>
      </c>
      <c r="F1848" s="1446">
        <v>15</v>
      </c>
      <c r="G1848" s="1446"/>
      <c r="H1848" s="1447"/>
      <c r="I1848" s="1494">
        <f t="shared" si="78"/>
        <v>30</v>
      </c>
      <c r="J1848" s="1492"/>
      <c r="K1848" s="1439"/>
      <c r="L1848" s="1439"/>
      <c r="M1848" s="1439"/>
      <c r="N1848" s="1439"/>
      <c r="O1848" s="1439"/>
      <c r="P1848" s="1439"/>
      <c r="Q1848" s="1439"/>
      <c r="R1848" s="1439"/>
      <c r="S1848" s="1439"/>
      <c r="T1848" s="1439"/>
      <c r="U1848" s="1439"/>
      <c r="V1848" s="1439"/>
      <c r="W1848" s="1439"/>
      <c r="X1848" s="1439"/>
      <c r="Y1848" s="1439"/>
      <c r="Z1848" s="1439"/>
      <c r="AA1848" s="1439"/>
      <c r="AB1848" s="1439"/>
      <c r="AC1848" s="1439"/>
      <c r="AD1848" s="1439"/>
      <c r="AE1848" s="1439"/>
      <c r="AF1848" s="1439"/>
      <c r="AG1848" s="1439"/>
    </row>
    <row r="1849" spans="1:33" ht="15.75" customHeight="1">
      <c r="A1849" s="1451"/>
      <c r="B1849" s="1450" t="s">
        <v>6908</v>
      </c>
      <c r="C1849" s="1484">
        <v>1</v>
      </c>
      <c r="D1849" s="1484" t="s">
        <v>3364</v>
      </c>
      <c r="E1849" s="1484">
        <v>1</v>
      </c>
      <c r="F1849" s="1446">
        <v>6.8</v>
      </c>
      <c r="G1849" s="1446"/>
      <c r="H1849" s="1447"/>
      <c r="I1849" s="1494">
        <f t="shared" si="78"/>
        <v>6.8</v>
      </c>
      <c r="J1849" s="1492"/>
      <c r="K1849" s="1439"/>
      <c r="L1849" s="1439"/>
      <c r="M1849" s="1439"/>
      <c r="N1849" s="1439"/>
      <c r="O1849" s="1439"/>
      <c r="P1849" s="1439"/>
      <c r="Q1849" s="1439"/>
      <c r="R1849" s="1439"/>
      <c r="S1849" s="1439"/>
      <c r="T1849" s="1439"/>
      <c r="U1849" s="1439"/>
      <c r="V1849" s="1439"/>
      <c r="W1849" s="1439"/>
      <c r="X1849" s="1439"/>
      <c r="Y1849" s="1439"/>
      <c r="Z1849" s="1439"/>
      <c r="AA1849" s="1439"/>
      <c r="AB1849" s="1439"/>
      <c r="AC1849" s="1439"/>
      <c r="AD1849" s="1439"/>
      <c r="AE1849" s="1439"/>
      <c r="AF1849" s="1439"/>
      <c r="AG1849" s="1439"/>
    </row>
    <row r="1850" spans="1:33" ht="15.75" customHeight="1">
      <c r="A1850" s="1451"/>
      <c r="B1850" s="1450" t="s">
        <v>7138</v>
      </c>
      <c r="C1850" s="1484">
        <v>1</v>
      </c>
      <c r="D1850" s="1484" t="s">
        <v>3364</v>
      </c>
      <c r="E1850" s="1484">
        <v>2</v>
      </c>
      <c r="F1850" s="1446">
        <v>6.3</v>
      </c>
      <c r="G1850" s="1446"/>
      <c r="H1850" s="1447"/>
      <c r="I1850" s="1494">
        <f t="shared" si="78"/>
        <v>12.6</v>
      </c>
      <c r="J1850" s="1492"/>
      <c r="K1850" s="1439"/>
      <c r="L1850" s="1439"/>
      <c r="M1850" s="1439"/>
      <c r="N1850" s="1439"/>
      <c r="O1850" s="1439"/>
      <c r="P1850" s="1439"/>
      <c r="Q1850" s="1439"/>
      <c r="R1850" s="1439"/>
      <c r="S1850" s="1439"/>
      <c r="T1850" s="1439"/>
      <c r="U1850" s="1439"/>
      <c r="V1850" s="1439"/>
      <c r="W1850" s="1439"/>
      <c r="X1850" s="1439"/>
      <c r="Y1850" s="1439"/>
      <c r="Z1850" s="1439"/>
      <c r="AA1850" s="1439"/>
      <c r="AB1850" s="1439"/>
      <c r="AC1850" s="1439"/>
      <c r="AD1850" s="1439"/>
      <c r="AE1850" s="1439"/>
      <c r="AF1850" s="1439"/>
      <c r="AG1850" s="1439"/>
    </row>
    <row r="1851" spans="1:33" ht="15.75" customHeight="1">
      <c r="A1851" s="1451"/>
      <c r="B1851" s="1450" t="s">
        <v>7234</v>
      </c>
      <c r="C1851" s="1484">
        <v>1</v>
      </c>
      <c r="D1851" s="1484" t="s">
        <v>3364</v>
      </c>
      <c r="E1851" s="1484">
        <v>3</v>
      </c>
      <c r="F1851" s="1446">
        <v>7.9</v>
      </c>
      <c r="G1851" s="1446"/>
      <c r="H1851" s="1447"/>
      <c r="I1851" s="1494">
        <f t="shared" si="78"/>
        <v>23.7</v>
      </c>
      <c r="J1851" s="1492"/>
      <c r="K1851" s="1439"/>
      <c r="L1851" s="1439"/>
      <c r="M1851" s="1439"/>
      <c r="N1851" s="1439"/>
      <c r="O1851" s="1439"/>
      <c r="P1851" s="1439"/>
      <c r="Q1851" s="1439"/>
      <c r="R1851" s="1439"/>
      <c r="S1851" s="1439"/>
      <c r="T1851" s="1439"/>
      <c r="U1851" s="1439"/>
      <c r="V1851" s="1439"/>
      <c r="W1851" s="1439"/>
      <c r="X1851" s="1439"/>
      <c r="Y1851" s="1439"/>
      <c r="Z1851" s="1439"/>
      <c r="AA1851" s="1439"/>
      <c r="AB1851" s="1439"/>
      <c r="AC1851" s="1439"/>
      <c r="AD1851" s="1439"/>
      <c r="AE1851" s="1439"/>
      <c r="AF1851" s="1439"/>
      <c r="AG1851" s="1439"/>
    </row>
    <row r="1852" spans="1:33" ht="15.75" customHeight="1">
      <c r="A1852" s="1451"/>
      <c r="B1852" s="1450" t="s">
        <v>7141</v>
      </c>
      <c r="C1852" s="1484">
        <v>1</v>
      </c>
      <c r="D1852" s="1484" t="s">
        <v>3364</v>
      </c>
      <c r="E1852" s="1484">
        <v>6</v>
      </c>
      <c r="F1852" s="1446">
        <v>9.5</v>
      </c>
      <c r="G1852" s="1446"/>
      <c r="H1852" s="1447"/>
      <c r="I1852" s="1494">
        <f t="shared" si="78"/>
        <v>57</v>
      </c>
      <c r="J1852" s="1492"/>
      <c r="K1852" s="1439"/>
      <c r="L1852" s="1439"/>
      <c r="M1852" s="1439"/>
      <c r="N1852" s="1439"/>
      <c r="O1852" s="1439"/>
      <c r="P1852" s="1439"/>
      <c r="Q1852" s="1439"/>
      <c r="R1852" s="1439"/>
      <c r="S1852" s="1439"/>
      <c r="T1852" s="1439"/>
      <c r="U1852" s="1439"/>
      <c r="V1852" s="1439"/>
      <c r="W1852" s="1439"/>
      <c r="X1852" s="1439"/>
      <c r="Y1852" s="1439"/>
      <c r="Z1852" s="1439"/>
      <c r="AA1852" s="1439"/>
      <c r="AB1852" s="1439"/>
      <c r="AC1852" s="1439"/>
      <c r="AD1852" s="1439"/>
      <c r="AE1852" s="1439"/>
      <c r="AF1852" s="1439"/>
      <c r="AG1852" s="1439"/>
    </row>
    <row r="1853" spans="1:33" ht="15.75" customHeight="1">
      <c r="A1853" s="1451"/>
      <c r="B1853" s="1450" t="s">
        <v>7235</v>
      </c>
      <c r="C1853" s="1484">
        <v>1</v>
      </c>
      <c r="D1853" s="1484" t="s">
        <v>3364</v>
      </c>
      <c r="E1853" s="1484">
        <v>3</v>
      </c>
      <c r="F1853" s="1446">
        <v>15</v>
      </c>
      <c r="G1853" s="1446"/>
      <c r="H1853" s="1447"/>
      <c r="I1853" s="1494">
        <f t="shared" si="78"/>
        <v>45</v>
      </c>
      <c r="J1853" s="1492"/>
      <c r="K1853" s="1439"/>
      <c r="L1853" s="1439"/>
      <c r="M1853" s="1439"/>
      <c r="N1853" s="1439"/>
      <c r="O1853" s="1439"/>
      <c r="P1853" s="1439"/>
      <c r="Q1853" s="1439"/>
      <c r="R1853" s="1439"/>
      <c r="S1853" s="1439"/>
      <c r="T1853" s="1439"/>
      <c r="U1853" s="1439"/>
      <c r="V1853" s="1439"/>
      <c r="W1853" s="1439"/>
      <c r="X1853" s="1439"/>
      <c r="Y1853" s="1439"/>
      <c r="Z1853" s="1439"/>
      <c r="AA1853" s="1439"/>
      <c r="AB1853" s="1439"/>
      <c r="AC1853" s="1439"/>
      <c r="AD1853" s="1439"/>
      <c r="AE1853" s="1439"/>
      <c r="AF1853" s="1439"/>
      <c r="AG1853" s="1439"/>
    </row>
    <row r="1854" spans="1:33" ht="15.75" customHeight="1">
      <c r="A1854" s="1451"/>
      <c r="B1854" s="1450" t="s">
        <v>7236</v>
      </c>
      <c r="C1854" s="1484">
        <v>1</v>
      </c>
      <c r="D1854" s="1484" t="s">
        <v>3364</v>
      </c>
      <c r="E1854" s="1484">
        <v>1</v>
      </c>
      <c r="F1854" s="1446">
        <v>15</v>
      </c>
      <c r="G1854" s="1446"/>
      <c r="H1854" s="1447"/>
      <c r="I1854" s="1494">
        <f t="shared" si="78"/>
        <v>15</v>
      </c>
      <c r="J1854" s="1492"/>
      <c r="K1854" s="1439"/>
      <c r="L1854" s="1439"/>
      <c r="M1854" s="1439"/>
      <c r="N1854" s="1439"/>
      <c r="O1854" s="1439"/>
      <c r="P1854" s="1439"/>
      <c r="Q1854" s="1439"/>
      <c r="R1854" s="1439"/>
      <c r="S1854" s="1439"/>
      <c r="T1854" s="1439"/>
      <c r="U1854" s="1439"/>
      <c r="V1854" s="1439"/>
      <c r="W1854" s="1439"/>
      <c r="X1854" s="1439"/>
      <c r="Y1854" s="1439"/>
      <c r="Z1854" s="1439"/>
      <c r="AA1854" s="1439"/>
      <c r="AB1854" s="1439"/>
      <c r="AC1854" s="1439"/>
      <c r="AD1854" s="1439"/>
      <c r="AE1854" s="1439"/>
      <c r="AF1854" s="1439"/>
      <c r="AG1854" s="1439"/>
    </row>
    <row r="1855" spans="1:33" ht="15.75" customHeight="1">
      <c r="A1855" s="1451"/>
      <c r="B1855" s="1450" t="s">
        <v>7237</v>
      </c>
      <c r="C1855" s="1484">
        <v>2</v>
      </c>
      <c r="D1855" s="1484" t="s">
        <v>3364</v>
      </c>
      <c r="E1855" s="1484">
        <v>1</v>
      </c>
      <c r="F1855" s="1446">
        <v>15</v>
      </c>
      <c r="G1855" s="1446"/>
      <c r="H1855" s="1447"/>
      <c r="I1855" s="1494">
        <f t="shared" si="78"/>
        <v>30</v>
      </c>
      <c r="J1855" s="1492"/>
      <c r="K1855" s="1439"/>
      <c r="L1855" s="1439"/>
      <c r="M1855" s="1439"/>
      <c r="N1855" s="1439"/>
      <c r="O1855" s="1439"/>
      <c r="P1855" s="1439"/>
      <c r="Q1855" s="1439"/>
      <c r="R1855" s="1439"/>
      <c r="S1855" s="1439"/>
      <c r="T1855" s="1439"/>
      <c r="U1855" s="1439"/>
      <c r="V1855" s="1439"/>
      <c r="W1855" s="1439"/>
      <c r="X1855" s="1439"/>
      <c r="Y1855" s="1439"/>
      <c r="Z1855" s="1439"/>
      <c r="AA1855" s="1439"/>
      <c r="AB1855" s="1439"/>
      <c r="AC1855" s="1439"/>
      <c r="AD1855" s="1439"/>
      <c r="AE1855" s="1439"/>
      <c r="AF1855" s="1439"/>
      <c r="AG1855" s="1439"/>
    </row>
    <row r="1856" spans="1:33" ht="15.75" customHeight="1">
      <c r="A1856" s="1451"/>
      <c r="B1856" s="1450" t="s">
        <v>7238</v>
      </c>
      <c r="C1856" s="1484">
        <v>1</v>
      </c>
      <c r="D1856" s="1484" t="s">
        <v>3364</v>
      </c>
      <c r="E1856" s="1484">
        <v>2</v>
      </c>
      <c r="F1856" s="1446">
        <v>15</v>
      </c>
      <c r="G1856" s="1446"/>
      <c r="H1856" s="1447"/>
      <c r="I1856" s="1494">
        <f t="shared" si="78"/>
        <v>30</v>
      </c>
      <c r="J1856" s="1492"/>
      <c r="K1856" s="1439"/>
      <c r="L1856" s="1439"/>
      <c r="M1856" s="1439"/>
      <c r="N1856" s="1439"/>
      <c r="O1856" s="1439"/>
      <c r="P1856" s="1439"/>
      <c r="Q1856" s="1439"/>
      <c r="R1856" s="1439"/>
      <c r="S1856" s="1439"/>
      <c r="T1856" s="1439"/>
      <c r="U1856" s="1439"/>
      <c r="V1856" s="1439"/>
      <c r="W1856" s="1439"/>
      <c r="X1856" s="1439"/>
      <c r="Y1856" s="1439"/>
      <c r="Z1856" s="1439"/>
      <c r="AA1856" s="1439"/>
      <c r="AB1856" s="1439"/>
      <c r="AC1856" s="1439"/>
      <c r="AD1856" s="1439"/>
      <c r="AE1856" s="1439"/>
      <c r="AF1856" s="1439"/>
      <c r="AG1856" s="1439"/>
    </row>
    <row r="1857" spans="1:33" ht="15.75" customHeight="1">
      <c r="A1857" s="1451"/>
      <c r="B1857" s="1450" t="s">
        <v>7239</v>
      </c>
      <c r="C1857" s="1484">
        <v>1</v>
      </c>
      <c r="D1857" s="1484" t="s">
        <v>3364</v>
      </c>
      <c r="E1857" s="1484">
        <v>2</v>
      </c>
      <c r="F1857" s="1446">
        <v>15</v>
      </c>
      <c r="G1857" s="1446"/>
      <c r="H1857" s="1447"/>
      <c r="I1857" s="1494">
        <f t="shared" si="78"/>
        <v>30</v>
      </c>
      <c r="J1857" s="1492"/>
      <c r="K1857" s="1439"/>
      <c r="L1857" s="1439"/>
      <c r="M1857" s="1439"/>
      <c r="N1857" s="1439"/>
      <c r="O1857" s="1439"/>
      <c r="P1857" s="1439"/>
      <c r="Q1857" s="1439"/>
      <c r="R1857" s="1439"/>
      <c r="S1857" s="1439"/>
      <c r="T1857" s="1439"/>
      <c r="U1857" s="1439"/>
      <c r="V1857" s="1439"/>
      <c r="W1857" s="1439"/>
      <c r="X1857" s="1439"/>
      <c r="Y1857" s="1439"/>
      <c r="Z1857" s="1439"/>
      <c r="AA1857" s="1439"/>
      <c r="AB1857" s="1439"/>
      <c r="AC1857" s="1439"/>
      <c r="AD1857" s="1439"/>
      <c r="AE1857" s="1439"/>
      <c r="AF1857" s="1439"/>
      <c r="AG1857" s="1439"/>
    </row>
    <row r="1858" spans="1:33" ht="15.75" customHeight="1">
      <c r="A1858" s="1451"/>
      <c r="B1858" s="1456" t="s">
        <v>7240</v>
      </c>
      <c r="C1858" s="1484"/>
      <c r="D1858" s="1484"/>
      <c r="E1858" s="1484"/>
      <c r="F1858" s="1446"/>
      <c r="G1858" s="1446"/>
      <c r="H1858" s="1447"/>
      <c r="I1858" s="1494"/>
      <c r="J1858" s="1492"/>
      <c r="K1858" s="1439"/>
      <c r="L1858" s="1439"/>
      <c r="M1858" s="1439"/>
      <c r="N1858" s="1439"/>
      <c r="O1858" s="1439"/>
      <c r="P1858" s="1439"/>
      <c r="Q1858" s="1439"/>
      <c r="R1858" s="1439"/>
      <c r="S1858" s="1439"/>
      <c r="T1858" s="1439"/>
      <c r="U1858" s="1439"/>
      <c r="V1858" s="1439"/>
      <c r="W1858" s="1439"/>
      <c r="X1858" s="1439"/>
      <c r="Y1858" s="1439"/>
      <c r="Z1858" s="1439"/>
      <c r="AA1858" s="1439"/>
      <c r="AB1858" s="1439"/>
      <c r="AC1858" s="1439"/>
      <c r="AD1858" s="1439"/>
      <c r="AE1858" s="1439"/>
      <c r="AF1858" s="1439"/>
      <c r="AG1858" s="1439"/>
    </row>
    <row r="1859" spans="1:33" ht="15.75" customHeight="1">
      <c r="A1859" s="1451"/>
      <c r="B1859" s="1450" t="s">
        <v>7224</v>
      </c>
      <c r="C1859" s="1484">
        <v>1</v>
      </c>
      <c r="D1859" s="1484" t="s">
        <v>3364</v>
      </c>
      <c r="E1859" s="1484">
        <v>1</v>
      </c>
      <c r="F1859" s="1446">
        <v>15</v>
      </c>
      <c r="G1859" s="1446"/>
      <c r="H1859" s="1447"/>
      <c r="I1859" s="1494">
        <f t="shared" si="78"/>
        <v>15</v>
      </c>
      <c r="J1859" s="1492"/>
      <c r="K1859" s="1439"/>
      <c r="L1859" s="1439"/>
      <c r="M1859" s="1439"/>
      <c r="N1859" s="1439"/>
      <c r="O1859" s="1439"/>
      <c r="P1859" s="1439"/>
      <c r="Q1859" s="1439"/>
      <c r="R1859" s="1439"/>
      <c r="S1859" s="1439"/>
      <c r="T1859" s="1439"/>
      <c r="U1859" s="1439"/>
      <c r="V1859" s="1439"/>
      <c r="W1859" s="1439"/>
      <c r="X1859" s="1439"/>
      <c r="Y1859" s="1439"/>
      <c r="Z1859" s="1439"/>
      <c r="AA1859" s="1439"/>
      <c r="AB1859" s="1439"/>
      <c r="AC1859" s="1439"/>
      <c r="AD1859" s="1439"/>
      <c r="AE1859" s="1439"/>
      <c r="AF1859" s="1439"/>
      <c r="AG1859" s="1439"/>
    </row>
    <row r="1860" spans="1:33" ht="15.75" customHeight="1">
      <c r="A1860" s="1451"/>
      <c r="B1860" s="1450" t="s">
        <v>7221</v>
      </c>
      <c r="C1860" s="1484">
        <v>1</v>
      </c>
      <c r="D1860" s="1484" t="s">
        <v>3364</v>
      </c>
      <c r="E1860" s="1484">
        <v>3</v>
      </c>
      <c r="F1860" s="1446">
        <v>3.3</v>
      </c>
      <c r="G1860" s="1446"/>
      <c r="H1860" s="1447"/>
      <c r="I1860" s="1494">
        <f t="shared" si="78"/>
        <v>9.9</v>
      </c>
      <c r="J1860" s="1492"/>
      <c r="K1860" s="1439"/>
      <c r="L1860" s="1439"/>
      <c r="M1860" s="1439"/>
      <c r="N1860" s="1439"/>
      <c r="O1860" s="1439"/>
      <c r="P1860" s="1439"/>
      <c r="Q1860" s="1439"/>
      <c r="R1860" s="1439"/>
      <c r="S1860" s="1439"/>
      <c r="T1860" s="1439"/>
      <c r="U1860" s="1439"/>
      <c r="V1860" s="1439"/>
      <c r="W1860" s="1439"/>
      <c r="X1860" s="1439"/>
      <c r="Y1860" s="1439"/>
      <c r="Z1860" s="1439"/>
      <c r="AA1860" s="1439"/>
      <c r="AB1860" s="1439"/>
      <c r="AC1860" s="1439"/>
      <c r="AD1860" s="1439"/>
      <c r="AE1860" s="1439"/>
      <c r="AF1860" s="1439"/>
      <c r="AG1860" s="1439"/>
    </row>
    <row r="1861" spans="1:33" ht="15.75" customHeight="1">
      <c r="A1861" s="1451"/>
      <c r="B1861" s="1450" t="s">
        <v>7233</v>
      </c>
      <c r="C1861" s="1484">
        <v>1</v>
      </c>
      <c r="D1861" s="1484" t="s">
        <v>3364</v>
      </c>
      <c r="E1861" s="1484">
        <v>4</v>
      </c>
      <c r="F1861" s="1446">
        <v>15</v>
      </c>
      <c r="G1861" s="1446"/>
      <c r="H1861" s="1447"/>
      <c r="I1861" s="1494">
        <f t="shared" si="78"/>
        <v>60</v>
      </c>
      <c r="J1861" s="1492"/>
      <c r="K1861" s="1439"/>
      <c r="L1861" s="1439"/>
      <c r="M1861" s="1439"/>
      <c r="N1861" s="1439"/>
      <c r="O1861" s="1439"/>
      <c r="P1861" s="1439"/>
      <c r="Q1861" s="1439"/>
      <c r="R1861" s="1439"/>
      <c r="S1861" s="1439"/>
      <c r="T1861" s="1439"/>
      <c r="U1861" s="1439"/>
      <c r="V1861" s="1439"/>
      <c r="W1861" s="1439"/>
      <c r="X1861" s="1439"/>
      <c r="Y1861" s="1439"/>
      <c r="Z1861" s="1439"/>
      <c r="AA1861" s="1439"/>
      <c r="AB1861" s="1439"/>
      <c r="AC1861" s="1439"/>
      <c r="AD1861" s="1439"/>
      <c r="AE1861" s="1439"/>
      <c r="AF1861" s="1439"/>
      <c r="AG1861" s="1439"/>
    </row>
    <row r="1862" spans="1:33" ht="15.75" customHeight="1">
      <c r="A1862" s="1451"/>
      <c r="B1862" s="1450" t="s">
        <v>7231</v>
      </c>
      <c r="C1862" s="1484">
        <v>1</v>
      </c>
      <c r="D1862" s="1484" t="s">
        <v>3364</v>
      </c>
      <c r="E1862" s="1484">
        <v>2</v>
      </c>
      <c r="F1862" s="1446">
        <v>13.6</v>
      </c>
      <c r="G1862" s="1446"/>
      <c r="H1862" s="1447"/>
      <c r="I1862" s="1494">
        <f t="shared" si="78"/>
        <v>27.2</v>
      </c>
      <c r="J1862" s="1492"/>
      <c r="K1862" s="1439"/>
      <c r="L1862" s="1439"/>
      <c r="M1862" s="1439"/>
      <c r="N1862" s="1439"/>
      <c r="O1862" s="1439"/>
      <c r="P1862" s="1439"/>
      <c r="Q1862" s="1439"/>
      <c r="R1862" s="1439"/>
      <c r="S1862" s="1439"/>
      <c r="T1862" s="1439"/>
      <c r="U1862" s="1439"/>
      <c r="V1862" s="1439"/>
      <c r="W1862" s="1439"/>
      <c r="X1862" s="1439"/>
      <c r="Y1862" s="1439"/>
      <c r="Z1862" s="1439"/>
      <c r="AA1862" s="1439"/>
      <c r="AB1862" s="1439"/>
      <c r="AC1862" s="1439"/>
      <c r="AD1862" s="1439"/>
      <c r="AE1862" s="1439"/>
      <c r="AF1862" s="1439"/>
      <c r="AG1862" s="1439"/>
    </row>
    <row r="1863" spans="1:33" ht="15.75" customHeight="1">
      <c r="A1863" s="1451"/>
      <c r="B1863" s="1450" t="s">
        <v>6908</v>
      </c>
      <c r="C1863" s="1484">
        <v>1</v>
      </c>
      <c r="D1863" s="1484" t="s">
        <v>3364</v>
      </c>
      <c r="E1863" s="1484">
        <v>1</v>
      </c>
      <c r="F1863" s="1446">
        <v>12.5</v>
      </c>
      <c r="G1863" s="1446"/>
      <c r="H1863" s="1447"/>
      <c r="I1863" s="1494">
        <f t="shared" si="78"/>
        <v>12.5</v>
      </c>
      <c r="J1863" s="1492"/>
      <c r="K1863" s="1439"/>
      <c r="L1863" s="1439"/>
      <c r="M1863" s="1439"/>
      <c r="N1863" s="1439"/>
      <c r="O1863" s="1439"/>
      <c r="P1863" s="1439"/>
      <c r="Q1863" s="1439"/>
      <c r="R1863" s="1439"/>
      <c r="S1863" s="1439"/>
      <c r="T1863" s="1439"/>
      <c r="U1863" s="1439"/>
      <c r="V1863" s="1439"/>
      <c r="W1863" s="1439"/>
      <c r="X1863" s="1439"/>
      <c r="Y1863" s="1439"/>
      <c r="Z1863" s="1439"/>
      <c r="AA1863" s="1439"/>
      <c r="AB1863" s="1439"/>
      <c r="AC1863" s="1439"/>
      <c r="AD1863" s="1439"/>
      <c r="AE1863" s="1439"/>
      <c r="AF1863" s="1439"/>
      <c r="AG1863" s="1439"/>
    </row>
    <row r="1864" spans="1:33" ht="15.75" customHeight="1">
      <c r="A1864" s="1451"/>
      <c r="B1864" s="1450" t="s">
        <v>7138</v>
      </c>
      <c r="C1864" s="1484">
        <v>1</v>
      </c>
      <c r="D1864" s="1484" t="s">
        <v>3364</v>
      </c>
      <c r="E1864" s="1484">
        <v>5</v>
      </c>
      <c r="F1864" s="1446">
        <v>3.6</v>
      </c>
      <c r="G1864" s="1446"/>
      <c r="H1864" s="1447"/>
      <c r="I1864" s="1494">
        <f t="shared" si="78"/>
        <v>18</v>
      </c>
      <c r="J1864" s="1492"/>
      <c r="K1864" s="1439"/>
      <c r="L1864" s="1439"/>
      <c r="M1864" s="1439"/>
      <c r="N1864" s="1439"/>
      <c r="O1864" s="1439"/>
      <c r="P1864" s="1439"/>
      <c r="Q1864" s="1439"/>
      <c r="R1864" s="1439"/>
      <c r="S1864" s="1439"/>
      <c r="T1864" s="1439"/>
      <c r="U1864" s="1439"/>
      <c r="V1864" s="1439"/>
      <c r="W1864" s="1439"/>
      <c r="X1864" s="1439"/>
      <c r="Y1864" s="1439"/>
      <c r="Z1864" s="1439"/>
      <c r="AA1864" s="1439"/>
      <c r="AB1864" s="1439"/>
      <c r="AC1864" s="1439"/>
      <c r="AD1864" s="1439"/>
      <c r="AE1864" s="1439"/>
      <c r="AF1864" s="1439"/>
      <c r="AG1864" s="1439"/>
    </row>
    <row r="1865" spans="1:33" ht="15.75" customHeight="1">
      <c r="A1865" s="1451"/>
      <c r="B1865" s="1450" t="s">
        <v>7241</v>
      </c>
      <c r="C1865" s="1484">
        <v>1</v>
      </c>
      <c r="D1865" s="1484" t="s">
        <v>3364</v>
      </c>
      <c r="E1865" s="1484">
        <v>4</v>
      </c>
      <c r="F1865" s="1446">
        <v>4.5</v>
      </c>
      <c r="G1865" s="1446"/>
      <c r="H1865" s="1447"/>
      <c r="I1865" s="1494">
        <f t="shared" si="78"/>
        <v>18</v>
      </c>
      <c r="J1865" s="1492"/>
      <c r="K1865" s="1439"/>
      <c r="L1865" s="1439"/>
      <c r="M1865" s="1439"/>
      <c r="N1865" s="1439"/>
      <c r="O1865" s="1439"/>
      <c r="P1865" s="1439"/>
      <c r="Q1865" s="1439"/>
      <c r="R1865" s="1439"/>
      <c r="S1865" s="1439"/>
      <c r="T1865" s="1439"/>
      <c r="U1865" s="1439"/>
      <c r="V1865" s="1439"/>
      <c r="W1865" s="1439"/>
      <c r="X1865" s="1439"/>
      <c r="Y1865" s="1439"/>
      <c r="Z1865" s="1439"/>
      <c r="AA1865" s="1439"/>
      <c r="AB1865" s="1439"/>
      <c r="AC1865" s="1439"/>
      <c r="AD1865" s="1439"/>
      <c r="AE1865" s="1439"/>
      <c r="AF1865" s="1439"/>
      <c r="AG1865" s="1439"/>
    </row>
    <row r="1866" spans="1:33" ht="15.75" customHeight="1">
      <c r="A1866" s="1451"/>
      <c r="B1866" s="1450" t="s">
        <v>7235</v>
      </c>
      <c r="C1866" s="1484">
        <v>1</v>
      </c>
      <c r="D1866" s="1484" t="s">
        <v>3364</v>
      </c>
      <c r="E1866" s="1484">
        <v>2</v>
      </c>
      <c r="F1866" s="1446">
        <v>6.8</v>
      </c>
      <c r="G1866" s="1446"/>
      <c r="H1866" s="1447"/>
      <c r="I1866" s="1494">
        <f t="shared" si="78"/>
        <v>13.6</v>
      </c>
      <c r="J1866" s="1492"/>
      <c r="K1866" s="1439"/>
      <c r="L1866" s="1439"/>
      <c r="M1866" s="1439"/>
      <c r="N1866" s="1439"/>
      <c r="O1866" s="1439"/>
      <c r="P1866" s="1439"/>
      <c r="Q1866" s="1439"/>
      <c r="R1866" s="1439"/>
      <c r="S1866" s="1439"/>
      <c r="T1866" s="1439"/>
      <c r="U1866" s="1439"/>
      <c r="V1866" s="1439"/>
      <c r="W1866" s="1439"/>
      <c r="X1866" s="1439"/>
      <c r="Y1866" s="1439"/>
      <c r="Z1866" s="1439"/>
      <c r="AA1866" s="1439"/>
      <c r="AB1866" s="1439"/>
      <c r="AC1866" s="1439"/>
      <c r="AD1866" s="1439"/>
      <c r="AE1866" s="1439"/>
      <c r="AF1866" s="1439"/>
      <c r="AG1866" s="1439"/>
    </row>
    <row r="1867" spans="1:33" ht="15.75" customHeight="1">
      <c r="A1867" s="1451"/>
      <c r="B1867" s="1450" t="s">
        <v>7236</v>
      </c>
      <c r="C1867" s="1484">
        <v>1</v>
      </c>
      <c r="D1867" s="1484" t="s">
        <v>3364</v>
      </c>
      <c r="E1867" s="1484">
        <v>3</v>
      </c>
      <c r="F1867" s="1446">
        <v>6.9</v>
      </c>
      <c r="G1867" s="1446"/>
      <c r="H1867" s="1447"/>
      <c r="I1867" s="1494">
        <f t="shared" si="78"/>
        <v>20.7</v>
      </c>
      <c r="J1867" s="1492"/>
      <c r="K1867" s="1439"/>
      <c r="L1867" s="1439"/>
      <c r="M1867" s="1439"/>
      <c r="N1867" s="1439"/>
      <c r="O1867" s="1439"/>
      <c r="P1867" s="1439"/>
      <c r="Q1867" s="1439"/>
      <c r="R1867" s="1439"/>
      <c r="S1867" s="1439"/>
      <c r="T1867" s="1439"/>
      <c r="U1867" s="1439"/>
      <c r="V1867" s="1439"/>
      <c r="W1867" s="1439"/>
      <c r="X1867" s="1439"/>
      <c r="Y1867" s="1439"/>
      <c r="Z1867" s="1439"/>
      <c r="AA1867" s="1439"/>
      <c r="AB1867" s="1439"/>
      <c r="AC1867" s="1439"/>
      <c r="AD1867" s="1439"/>
      <c r="AE1867" s="1439"/>
      <c r="AF1867" s="1439"/>
      <c r="AG1867" s="1439"/>
    </row>
    <row r="1868" spans="1:33" ht="15.75" customHeight="1">
      <c r="A1868" s="1451"/>
      <c r="B1868" s="1450" t="s">
        <v>7237</v>
      </c>
      <c r="C1868" s="1484">
        <v>2</v>
      </c>
      <c r="D1868" s="1484" t="s">
        <v>3364</v>
      </c>
      <c r="E1868" s="1484">
        <v>1</v>
      </c>
      <c r="F1868" s="1446">
        <v>3.6</v>
      </c>
      <c r="G1868" s="1446"/>
      <c r="H1868" s="1447"/>
      <c r="I1868" s="1494">
        <f t="shared" si="78"/>
        <v>7.2</v>
      </c>
      <c r="J1868" s="1492"/>
      <c r="K1868" s="1439"/>
      <c r="L1868" s="1439"/>
      <c r="M1868" s="1439"/>
      <c r="N1868" s="1439"/>
      <c r="O1868" s="1439"/>
      <c r="P1868" s="1439"/>
      <c r="Q1868" s="1439"/>
      <c r="R1868" s="1439"/>
      <c r="S1868" s="1439"/>
      <c r="T1868" s="1439"/>
      <c r="U1868" s="1439"/>
      <c r="V1868" s="1439"/>
      <c r="W1868" s="1439"/>
      <c r="X1868" s="1439"/>
      <c r="Y1868" s="1439"/>
      <c r="Z1868" s="1439"/>
      <c r="AA1868" s="1439"/>
      <c r="AB1868" s="1439"/>
      <c r="AC1868" s="1439"/>
      <c r="AD1868" s="1439"/>
      <c r="AE1868" s="1439"/>
      <c r="AF1868" s="1439"/>
      <c r="AG1868" s="1439"/>
    </row>
    <row r="1869" spans="1:33" ht="15.75" customHeight="1">
      <c r="A1869" s="1451"/>
      <c r="B1869" s="1450" t="s">
        <v>7238</v>
      </c>
      <c r="C1869" s="1484">
        <v>1</v>
      </c>
      <c r="D1869" s="1484" t="s">
        <v>3364</v>
      </c>
      <c r="E1869" s="1484">
        <v>1</v>
      </c>
      <c r="F1869" s="1446">
        <v>15</v>
      </c>
      <c r="G1869" s="1446"/>
      <c r="H1869" s="1447"/>
      <c r="I1869" s="1494">
        <f t="shared" si="78"/>
        <v>15</v>
      </c>
      <c r="J1869" s="1492"/>
      <c r="K1869" s="1439"/>
      <c r="L1869" s="1439"/>
      <c r="M1869" s="1439"/>
      <c r="N1869" s="1439"/>
      <c r="O1869" s="1439"/>
      <c r="P1869" s="1439"/>
      <c r="Q1869" s="1439"/>
      <c r="R1869" s="1439"/>
      <c r="S1869" s="1439"/>
      <c r="T1869" s="1439"/>
      <c r="U1869" s="1439"/>
      <c r="V1869" s="1439"/>
      <c r="W1869" s="1439"/>
      <c r="X1869" s="1439"/>
      <c r="Y1869" s="1439"/>
      <c r="Z1869" s="1439"/>
      <c r="AA1869" s="1439"/>
      <c r="AB1869" s="1439"/>
      <c r="AC1869" s="1439"/>
      <c r="AD1869" s="1439"/>
      <c r="AE1869" s="1439"/>
      <c r="AF1869" s="1439"/>
      <c r="AG1869" s="1439"/>
    </row>
    <row r="1870" spans="1:33" ht="15.75" customHeight="1">
      <c r="A1870" s="1451"/>
      <c r="B1870" s="1450" t="s">
        <v>7239</v>
      </c>
      <c r="C1870" s="1484">
        <v>1</v>
      </c>
      <c r="D1870" s="1484" t="s">
        <v>3364</v>
      </c>
      <c r="E1870" s="1484">
        <v>2</v>
      </c>
      <c r="F1870" s="1446">
        <v>15</v>
      </c>
      <c r="G1870" s="1446"/>
      <c r="H1870" s="1447"/>
      <c r="I1870" s="1494">
        <f t="shared" si="78"/>
        <v>30</v>
      </c>
      <c r="J1870" s="1492"/>
      <c r="K1870" s="1439"/>
      <c r="L1870" s="1439"/>
      <c r="M1870" s="1439"/>
      <c r="N1870" s="1439"/>
      <c r="O1870" s="1439"/>
      <c r="P1870" s="1439"/>
      <c r="Q1870" s="1439"/>
      <c r="R1870" s="1439"/>
      <c r="S1870" s="1439"/>
      <c r="T1870" s="1439"/>
      <c r="U1870" s="1439"/>
      <c r="V1870" s="1439"/>
      <c r="W1870" s="1439"/>
      <c r="X1870" s="1439"/>
      <c r="Y1870" s="1439"/>
      <c r="Z1870" s="1439"/>
      <c r="AA1870" s="1439"/>
      <c r="AB1870" s="1439"/>
      <c r="AC1870" s="1439"/>
      <c r="AD1870" s="1439"/>
      <c r="AE1870" s="1439"/>
      <c r="AF1870" s="1439"/>
      <c r="AG1870" s="1439"/>
    </row>
    <row r="1871" spans="1:33" ht="15.75" customHeight="1">
      <c r="A1871" s="1451"/>
      <c r="B1871" s="1450"/>
      <c r="C1871" s="1484"/>
      <c r="D1871" s="1484"/>
      <c r="E1871" s="1484"/>
      <c r="F1871" s="1446"/>
      <c r="G1871" s="1446"/>
      <c r="H1871" s="1447"/>
      <c r="I1871" s="1535">
        <f>SUM(I1818:I1870)</f>
        <v>1383.5</v>
      </c>
      <c r="J1871" s="1489" t="s">
        <v>13</v>
      </c>
      <c r="K1871" s="1439"/>
      <c r="L1871" s="1439"/>
      <c r="M1871" s="1439"/>
      <c r="N1871" s="1439"/>
      <c r="O1871" s="1439"/>
      <c r="P1871" s="1439"/>
      <c r="Q1871" s="1439"/>
      <c r="R1871" s="1439"/>
      <c r="S1871" s="1439"/>
      <c r="T1871" s="1439"/>
      <c r="U1871" s="1439"/>
      <c r="V1871" s="1439"/>
      <c r="W1871" s="1439"/>
      <c r="X1871" s="1439"/>
      <c r="Y1871" s="1439"/>
      <c r="Z1871" s="1439"/>
      <c r="AA1871" s="1439"/>
      <c r="AB1871" s="1439"/>
      <c r="AC1871" s="1439"/>
      <c r="AD1871" s="1439"/>
      <c r="AE1871" s="1439"/>
      <c r="AF1871" s="1439"/>
      <c r="AG1871" s="1439"/>
    </row>
    <row r="1872" spans="1:33" ht="94.5">
      <c r="A1872" s="1451">
        <v>77.3</v>
      </c>
      <c r="B1872" s="1462" t="s">
        <v>7251</v>
      </c>
      <c r="C1872" s="1484"/>
      <c r="D1872" s="1484"/>
      <c r="E1872" s="1484"/>
      <c r="F1872" s="1446"/>
      <c r="G1872" s="1446"/>
      <c r="H1872" s="1447"/>
      <c r="I1872" s="1448"/>
      <c r="J1872" s="1475"/>
      <c r="K1872" s="1439"/>
      <c r="L1872" s="1439"/>
      <c r="M1872" s="1439"/>
      <c r="N1872" s="1439"/>
      <c r="O1872" s="1439"/>
      <c r="P1872" s="1439"/>
      <c r="Q1872" s="1439"/>
      <c r="R1872" s="1439"/>
      <c r="S1872" s="1439"/>
      <c r="T1872" s="1439"/>
      <c r="U1872" s="1439"/>
      <c r="V1872" s="1439"/>
      <c r="W1872" s="1439"/>
      <c r="X1872" s="1439"/>
      <c r="Y1872" s="1439"/>
      <c r="Z1872" s="1439"/>
      <c r="AA1872" s="1439"/>
      <c r="AB1872" s="1439"/>
      <c r="AC1872" s="1439"/>
      <c r="AD1872" s="1439"/>
      <c r="AE1872" s="1439"/>
      <c r="AF1872" s="1439"/>
      <c r="AG1872" s="1439"/>
    </row>
    <row r="1873" spans="1:33" ht="15.75" customHeight="1">
      <c r="A1873" s="1470"/>
      <c r="B1873" s="1450" t="s">
        <v>7252</v>
      </c>
      <c r="C1873" s="1484">
        <v>2</v>
      </c>
      <c r="D1873" s="1484" t="s">
        <v>3364</v>
      </c>
      <c r="E1873" s="1484">
        <v>5</v>
      </c>
      <c r="F1873" s="1446"/>
      <c r="G1873" s="1446"/>
      <c r="H1873" s="1447"/>
      <c r="I1873" s="1494">
        <f>PRODUCT(C1873:H1873)</f>
        <v>10</v>
      </c>
      <c r="J1873" s="1475"/>
      <c r="K1873" s="1439"/>
      <c r="L1873" s="1439"/>
      <c r="M1873" s="1439"/>
      <c r="N1873" s="1439"/>
      <c r="O1873" s="1439"/>
      <c r="P1873" s="1439"/>
      <c r="Q1873" s="1439"/>
      <c r="R1873" s="1439"/>
      <c r="S1873" s="1439"/>
      <c r="T1873" s="1439"/>
      <c r="U1873" s="1439"/>
      <c r="V1873" s="1439"/>
      <c r="W1873" s="1439"/>
      <c r="X1873" s="1439"/>
      <c r="Y1873" s="1439"/>
      <c r="Z1873" s="1439"/>
      <c r="AA1873" s="1439"/>
      <c r="AB1873" s="1439"/>
      <c r="AC1873" s="1439"/>
      <c r="AD1873" s="1439"/>
      <c r="AE1873" s="1439"/>
      <c r="AF1873" s="1439"/>
      <c r="AG1873" s="1439"/>
    </row>
    <row r="1874" spans="1:33" ht="15.75" customHeight="1">
      <c r="A1874" s="1470"/>
      <c r="B1874" s="1450"/>
      <c r="C1874" s="1484"/>
      <c r="D1874" s="1484"/>
      <c r="E1874" s="1484"/>
      <c r="F1874" s="1446"/>
      <c r="G1874" s="1458" t="s">
        <v>104</v>
      </c>
      <c r="H1874" s="1447"/>
      <c r="I1874" s="1459">
        <f>SUM(I1873)</f>
        <v>10</v>
      </c>
      <c r="J1874" s="1475" t="s">
        <v>3471</v>
      </c>
      <c r="K1874" s="1439"/>
      <c r="L1874" s="1439"/>
      <c r="M1874" s="1439"/>
      <c r="N1874" s="1439"/>
      <c r="O1874" s="1439"/>
      <c r="P1874" s="1439"/>
      <c r="Q1874" s="1439"/>
      <c r="R1874" s="1439"/>
      <c r="S1874" s="1439"/>
      <c r="T1874" s="1439"/>
      <c r="U1874" s="1439"/>
      <c r="V1874" s="1439"/>
      <c r="W1874" s="1439"/>
      <c r="X1874" s="1439"/>
      <c r="Y1874" s="1439"/>
      <c r="Z1874" s="1439"/>
      <c r="AA1874" s="1439"/>
      <c r="AB1874" s="1439"/>
      <c r="AC1874" s="1439"/>
      <c r="AD1874" s="1439"/>
      <c r="AE1874" s="1439"/>
      <c r="AF1874" s="1439"/>
      <c r="AG1874" s="1439"/>
    </row>
    <row r="1875" spans="1:33" ht="110.25">
      <c r="A1875" s="1451">
        <v>77.400000000000006</v>
      </c>
      <c r="B1875" s="1462" t="s">
        <v>7253</v>
      </c>
      <c r="C1875" s="1484"/>
      <c r="D1875" s="1484"/>
      <c r="E1875" s="1484"/>
      <c r="F1875" s="1446"/>
      <c r="G1875" s="1446"/>
      <c r="H1875" s="1447"/>
      <c r="I1875" s="1448"/>
      <c r="J1875" s="1475"/>
      <c r="K1875" s="1439"/>
      <c r="L1875" s="1439"/>
      <c r="M1875" s="1439"/>
      <c r="N1875" s="1439"/>
      <c r="O1875" s="1439"/>
      <c r="P1875" s="1439"/>
      <c r="Q1875" s="1439"/>
      <c r="R1875" s="1439"/>
      <c r="S1875" s="1439"/>
      <c r="T1875" s="1439"/>
      <c r="U1875" s="1439"/>
      <c r="V1875" s="1439"/>
      <c r="W1875" s="1439"/>
      <c r="X1875" s="1439"/>
      <c r="Y1875" s="1439"/>
      <c r="Z1875" s="1439"/>
      <c r="AA1875" s="1439"/>
      <c r="AB1875" s="1439"/>
      <c r="AC1875" s="1439"/>
      <c r="AD1875" s="1439"/>
      <c r="AE1875" s="1439"/>
      <c r="AF1875" s="1439"/>
      <c r="AG1875" s="1439"/>
    </row>
    <row r="1876" spans="1:33" ht="15.75" customHeight="1">
      <c r="A1876" s="1470"/>
      <c r="B1876" s="1450" t="s">
        <v>7252</v>
      </c>
      <c r="C1876" s="1484">
        <v>1</v>
      </c>
      <c r="D1876" s="1484" t="s">
        <v>3364</v>
      </c>
      <c r="E1876" s="1484">
        <v>3</v>
      </c>
      <c r="F1876" s="1446">
        <v>15</v>
      </c>
      <c r="G1876" s="1446"/>
      <c r="H1876" s="1447"/>
      <c r="I1876" s="1494">
        <f>PRODUCT(C1876:H1876)</f>
        <v>45</v>
      </c>
      <c r="J1876" s="1475"/>
      <c r="K1876" s="1439"/>
      <c r="L1876" s="1466"/>
      <c r="M1876" s="1466"/>
      <c r="N1876" s="1466"/>
      <c r="O1876" s="1439"/>
      <c r="P1876" s="1439"/>
      <c r="Q1876" s="1439"/>
      <c r="R1876" s="1439"/>
      <c r="S1876" s="1439"/>
      <c r="T1876" s="1439"/>
      <c r="U1876" s="1439"/>
      <c r="V1876" s="1439"/>
      <c r="W1876" s="1439"/>
      <c r="X1876" s="1439"/>
      <c r="Y1876" s="1439"/>
      <c r="Z1876" s="1439"/>
      <c r="AA1876" s="1439"/>
      <c r="AB1876" s="1439"/>
      <c r="AC1876" s="1439"/>
      <c r="AD1876" s="1439"/>
      <c r="AE1876" s="1439"/>
      <c r="AF1876" s="1439"/>
      <c r="AG1876" s="1439"/>
    </row>
    <row r="1877" spans="1:33" ht="15.75" customHeight="1">
      <c r="A1877" s="1470"/>
      <c r="B1877" s="1450"/>
      <c r="C1877" s="1484"/>
      <c r="D1877" s="1484"/>
      <c r="E1877" s="1484"/>
      <c r="F1877" s="1446"/>
      <c r="G1877" s="1446"/>
      <c r="H1877" s="1447"/>
      <c r="I1877" s="1459">
        <f>SUM(I1876)</f>
        <v>45</v>
      </c>
      <c r="J1877" s="1475" t="s">
        <v>13</v>
      </c>
      <c r="K1877" s="1439"/>
      <c r="L1877" s="1439"/>
      <c r="M1877" s="1439"/>
      <c r="N1877" s="1439"/>
      <c r="O1877" s="1439"/>
      <c r="P1877" s="1439"/>
      <c r="Q1877" s="1439"/>
      <c r="R1877" s="1439"/>
      <c r="S1877" s="1439"/>
      <c r="T1877" s="1439"/>
      <c r="U1877" s="1439"/>
      <c r="V1877" s="1439"/>
      <c r="W1877" s="1439"/>
      <c r="X1877" s="1439"/>
      <c r="Y1877" s="1439"/>
      <c r="Z1877" s="1439"/>
      <c r="AA1877" s="1439"/>
      <c r="AB1877" s="1439"/>
      <c r="AC1877" s="1439"/>
      <c r="AD1877" s="1439"/>
      <c r="AE1877" s="1439"/>
      <c r="AF1877" s="1439"/>
      <c r="AG1877" s="1439"/>
    </row>
    <row r="1878" spans="1:33" ht="46.5" customHeight="1">
      <c r="A1878" s="1536">
        <v>78</v>
      </c>
      <c r="B1878" s="1444" t="s">
        <v>3546</v>
      </c>
      <c r="C1878" s="1537"/>
      <c r="D1878" s="1537"/>
      <c r="E1878" s="1537"/>
      <c r="F1878" s="1458"/>
      <c r="G1878" s="1458"/>
      <c r="H1878" s="1460"/>
      <c r="I1878" s="1459"/>
      <c r="J1878" s="1475"/>
      <c r="K1878" s="1466"/>
      <c r="L1878" s="1439"/>
      <c r="M1878" s="1439"/>
      <c r="N1878" s="1439"/>
      <c r="O1878" s="1466"/>
      <c r="P1878" s="1466"/>
      <c r="Q1878" s="1466"/>
      <c r="R1878" s="1466"/>
      <c r="S1878" s="1466"/>
      <c r="T1878" s="1466"/>
      <c r="U1878" s="1466"/>
      <c r="V1878" s="1466"/>
      <c r="W1878" s="1466"/>
      <c r="X1878" s="1466"/>
      <c r="Y1878" s="1466"/>
      <c r="Z1878" s="1466"/>
      <c r="AA1878" s="1466"/>
      <c r="AB1878" s="1466"/>
      <c r="AC1878" s="1466"/>
      <c r="AD1878" s="1466"/>
      <c r="AE1878" s="1466"/>
      <c r="AF1878" s="1466"/>
      <c r="AG1878" s="1466"/>
    </row>
    <row r="1879" spans="1:33" ht="15.75" customHeight="1">
      <c r="A1879" s="1451"/>
      <c r="B1879" s="1462" t="s">
        <v>6847</v>
      </c>
      <c r="C1879" s="1484">
        <v>1</v>
      </c>
      <c r="D1879" s="1484" t="s">
        <v>3364</v>
      </c>
      <c r="E1879" s="1484">
        <v>2</v>
      </c>
      <c r="F1879" s="1446"/>
      <c r="G1879" s="1446"/>
      <c r="H1879" s="1447"/>
      <c r="I1879" s="1479">
        <f>PRODUCT(C1879:H1879)</f>
        <v>2</v>
      </c>
      <c r="J1879" s="1475" t="s">
        <v>3471</v>
      </c>
      <c r="K1879" s="1439"/>
      <c r="L1879" s="1439"/>
      <c r="M1879" s="1439"/>
      <c r="N1879" s="1439"/>
      <c r="O1879" s="1439"/>
      <c r="P1879" s="1439"/>
      <c r="Q1879" s="1439"/>
      <c r="R1879" s="1439"/>
      <c r="S1879" s="1439"/>
      <c r="T1879" s="1439"/>
      <c r="U1879" s="1439"/>
      <c r="V1879" s="1439"/>
      <c r="W1879" s="1439"/>
      <c r="X1879" s="1439"/>
      <c r="Y1879" s="1439"/>
      <c r="Z1879" s="1439"/>
      <c r="AA1879" s="1439"/>
      <c r="AB1879" s="1439"/>
      <c r="AC1879" s="1439"/>
      <c r="AD1879" s="1439"/>
      <c r="AE1879" s="1439"/>
      <c r="AF1879" s="1439"/>
      <c r="AG1879" s="1439"/>
    </row>
    <row r="1880" spans="1:33" ht="15.75" hidden="1" customHeight="1">
      <c r="A1880" s="1451">
        <v>79.2</v>
      </c>
      <c r="B1880" s="1456" t="s">
        <v>6848</v>
      </c>
      <c r="C1880" s="1484"/>
      <c r="D1880" s="1484"/>
      <c r="E1880" s="1484"/>
      <c r="F1880" s="1446"/>
      <c r="G1880" s="1446"/>
      <c r="H1880" s="1447"/>
      <c r="I1880" s="1448"/>
      <c r="J1880" s="1475"/>
      <c r="K1880" s="1439"/>
      <c r="L1880" s="1439"/>
      <c r="M1880" s="1439"/>
      <c r="N1880" s="1439"/>
      <c r="O1880" s="1439"/>
      <c r="P1880" s="1439"/>
      <c r="Q1880" s="1439"/>
      <c r="R1880" s="1439"/>
      <c r="S1880" s="1439"/>
      <c r="T1880" s="1439"/>
      <c r="U1880" s="1439"/>
      <c r="V1880" s="1439"/>
      <c r="W1880" s="1439"/>
      <c r="X1880" s="1439"/>
      <c r="Y1880" s="1439"/>
      <c r="Z1880" s="1439"/>
      <c r="AA1880" s="1439"/>
      <c r="AB1880" s="1439"/>
      <c r="AC1880" s="1439"/>
      <c r="AD1880" s="1439"/>
      <c r="AE1880" s="1439"/>
      <c r="AF1880" s="1439"/>
      <c r="AG1880" s="1439"/>
    </row>
    <row r="1881" spans="1:33" ht="15.75" hidden="1" customHeight="1">
      <c r="A1881" s="1451"/>
      <c r="B1881" s="1450" t="s">
        <v>6849</v>
      </c>
      <c r="C1881" s="1484">
        <v>1</v>
      </c>
      <c r="D1881" s="1484" t="s">
        <v>3364</v>
      </c>
      <c r="E1881" s="1484">
        <v>1</v>
      </c>
      <c r="F1881" s="1446"/>
      <c r="G1881" s="1446"/>
      <c r="H1881" s="1447"/>
      <c r="I1881" s="1479">
        <f>PRODUCT(C1881:H1881)</f>
        <v>1</v>
      </c>
      <c r="J1881" s="1475" t="s">
        <v>3471</v>
      </c>
      <c r="K1881" s="1439"/>
      <c r="L1881" s="1439"/>
      <c r="M1881" s="1439"/>
      <c r="N1881" s="1439"/>
      <c r="O1881" s="1439"/>
      <c r="P1881" s="1439"/>
      <c r="Q1881" s="1439"/>
      <c r="R1881" s="1439"/>
      <c r="S1881" s="1439"/>
      <c r="T1881" s="1439"/>
      <c r="U1881" s="1439"/>
      <c r="V1881" s="1439"/>
      <c r="W1881" s="1439"/>
      <c r="X1881" s="1439"/>
      <c r="Y1881" s="1439"/>
      <c r="Z1881" s="1439"/>
      <c r="AA1881" s="1439"/>
      <c r="AB1881" s="1439"/>
      <c r="AC1881" s="1439"/>
      <c r="AD1881" s="1439"/>
      <c r="AE1881" s="1439"/>
      <c r="AF1881" s="1439"/>
      <c r="AG1881" s="1439"/>
    </row>
    <row r="1882" spans="1:33" ht="15.75" hidden="1" customHeight="1">
      <c r="A1882" s="1451"/>
      <c r="B1882" s="1450"/>
      <c r="C1882" s="1484"/>
      <c r="D1882" s="1484"/>
      <c r="E1882" s="1484"/>
      <c r="F1882" s="1446"/>
      <c r="G1882" s="1446"/>
      <c r="H1882" s="1447"/>
      <c r="I1882" s="1448"/>
      <c r="J1882" s="1475"/>
      <c r="K1882" s="1439"/>
      <c r="L1882" s="1439"/>
      <c r="M1882" s="1439"/>
      <c r="N1882" s="1439"/>
      <c r="O1882" s="1439"/>
      <c r="P1882" s="1439"/>
      <c r="Q1882" s="1439"/>
      <c r="R1882" s="1439"/>
      <c r="S1882" s="1439"/>
      <c r="T1882" s="1439"/>
      <c r="U1882" s="1439"/>
      <c r="V1882" s="1439"/>
      <c r="W1882" s="1439"/>
      <c r="X1882" s="1439"/>
      <c r="Y1882" s="1439"/>
      <c r="Z1882" s="1439"/>
      <c r="AA1882" s="1439"/>
      <c r="AB1882" s="1439"/>
      <c r="AC1882" s="1439"/>
      <c r="AD1882" s="1439"/>
      <c r="AE1882" s="1439"/>
      <c r="AF1882" s="1439"/>
      <c r="AG1882" s="1439"/>
    </row>
    <row r="1883" spans="1:33" ht="141.75">
      <c r="A1883" s="1451">
        <v>80</v>
      </c>
      <c r="B1883" s="1462" t="s">
        <v>7254</v>
      </c>
      <c r="C1883" s="1484"/>
      <c r="D1883" s="1484"/>
      <c r="E1883" s="1484"/>
      <c r="F1883" s="1446"/>
      <c r="G1883" s="1446"/>
      <c r="H1883" s="1447"/>
      <c r="I1883" s="1448"/>
      <c r="J1883" s="1475"/>
      <c r="K1883" s="1439"/>
      <c r="L1883" s="1439"/>
      <c r="M1883" s="1439"/>
      <c r="N1883" s="1439"/>
      <c r="O1883" s="1439"/>
      <c r="P1883" s="1439"/>
      <c r="Q1883" s="1439"/>
      <c r="R1883" s="1439"/>
      <c r="S1883" s="1439"/>
      <c r="T1883" s="1439"/>
      <c r="U1883" s="1439"/>
      <c r="V1883" s="1439"/>
      <c r="W1883" s="1439"/>
      <c r="X1883" s="1439"/>
      <c r="Y1883" s="1439"/>
      <c r="Z1883" s="1439"/>
      <c r="AA1883" s="1439"/>
      <c r="AB1883" s="1439"/>
      <c r="AC1883" s="1439"/>
      <c r="AD1883" s="1439"/>
      <c r="AE1883" s="1439"/>
      <c r="AF1883" s="1439"/>
      <c r="AG1883" s="1439"/>
    </row>
    <row r="1884" spans="1:33" ht="15.75" customHeight="1">
      <c r="A1884" s="1451"/>
      <c r="B1884" s="1462" t="s">
        <v>3548</v>
      </c>
      <c r="C1884" s="1484">
        <v>1</v>
      </c>
      <c r="D1884" s="1484" t="s">
        <v>3364</v>
      </c>
      <c r="E1884" s="1484">
        <v>1</v>
      </c>
      <c r="F1884" s="1446"/>
      <c r="G1884" s="1446"/>
      <c r="H1884" s="1447"/>
      <c r="I1884" s="1479">
        <f>PRODUCT(C1884:H1884)</f>
        <v>1</v>
      </c>
      <c r="J1884" s="1475" t="s">
        <v>3471</v>
      </c>
      <c r="K1884" s="1439"/>
      <c r="L1884" s="1439"/>
      <c r="M1884" s="1439"/>
      <c r="N1884" s="1439"/>
      <c r="O1884" s="1439"/>
      <c r="P1884" s="1439"/>
      <c r="Q1884" s="1439"/>
      <c r="R1884" s="1439"/>
      <c r="S1884" s="1439"/>
      <c r="T1884" s="1439"/>
      <c r="U1884" s="1439"/>
      <c r="V1884" s="1439"/>
      <c r="W1884" s="1439"/>
      <c r="X1884" s="1439"/>
      <c r="Y1884" s="1439"/>
      <c r="Z1884" s="1439"/>
      <c r="AA1884" s="1439"/>
      <c r="AB1884" s="1439"/>
      <c r="AC1884" s="1439"/>
      <c r="AD1884" s="1439"/>
      <c r="AE1884" s="1439"/>
      <c r="AF1884" s="1439"/>
      <c r="AG1884" s="1439"/>
    </row>
    <row r="1885" spans="1:33" ht="94.5">
      <c r="A1885" s="1451">
        <v>86</v>
      </c>
      <c r="B1885" s="1450" t="s">
        <v>3549</v>
      </c>
      <c r="C1885" s="1484"/>
      <c r="D1885" s="1484"/>
      <c r="E1885" s="1484"/>
      <c r="F1885" s="1446"/>
      <c r="G1885" s="1446"/>
      <c r="H1885" s="1447"/>
      <c r="I1885" s="1448"/>
      <c r="J1885" s="1475"/>
      <c r="K1885" s="1439"/>
      <c r="L1885" s="1439"/>
      <c r="M1885" s="1439"/>
      <c r="N1885" s="1439"/>
      <c r="O1885" s="1439"/>
      <c r="P1885" s="1439"/>
      <c r="Q1885" s="1439"/>
      <c r="R1885" s="1439"/>
      <c r="S1885" s="1439"/>
      <c r="T1885" s="1439"/>
      <c r="U1885" s="1439"/>
      <c r="V1885" s="1439"/>
      <c r="W1885" s="1439"/>
      <c r="X1885" s="1439"/>
      <c r="Y1885" s="1439"/>
      <c r="Z1885" s="1439"/>
      <c r="AA1885" s="1439"/>
      <c r="AB1885" s="1439"/>
      <c r="AC1885" s="1439"/>
      <c r="AD1885" s="1439"/>
      <c r="AE1885" s="1439"/>
      <c r="AF1885" s="1439"/>
      <c r="AG1885" s="1439"/>
    </row>
    <row r="1886" spans="1:33" ht="15.75" customHeight="1">
      <c r="A1886" s="1470"/>
      <c r="B1886" s="1450" t="s">
        <v>3550</v>
      </c>
      <c r="C1886" s="1484">
        <v>1</v>
      </c>
      <c r="D1886" s="1484" t="s">
        <v>3364</v>
      </c>
      <c r="E1886" s="1484">
        <v>1</v>
      </c>
      <c r="F1886" s="1446">
        <v>27.89</v>
      </c>
      <c r="G1886" s="1446">
        <v>18.43</v>
      </c>
      <c r="H1886" s="1447"/>
      <c r="I1886" s="1494">
        <f>PRODUCT(C1886:H1886)</f>
        <v>514.01</v>
      </c>
      <c r="J1886" s="1475"/>
      <c r="K1886" s="1439"/>
      <c r="L1886" s="1439"/>
      <c r="M1886" s="1439"/>
      <c r="N1886" s="1439"/>
      <c r="O1886" s="1439"/>
      <c r="P1886" s="1439"/>
      <c r="Q1886" s="1439"/>
      <c r="R1886" s="1439"/>
      <c r="S1886" s="1439"/>
      <c r="T1886" s="1439"/>
      <c r="U1886" s="1439"/>
      <c r="V1886" s="1439"/>
      <c r="W1886" s="1439"/>
      <c r="X1886" s="1439"/>
      <c r="Y1886" s="1439"/>
      <c r="Z1886" s="1439"/>
      <c r="AA1886" s="1439"/>
      <c r="AB1886" s="1439"/>
      <c r="AC1886" s="1439"/>
      <c r="AD1886" s="1439"/>
      <c r="AE1886" s="1439"/>
      <c r="AF1886" s="1439"/>
      <c r="AG1886" s="1439"/>
    </row>
    <row r="1887" spans="1:33" ht="15.75" customHeight="1">
      <c r="A1887" s="1470"/>
      <c r="B1887" s="1450"/>
      <c r="C1887" s="1484"/>
      <c r="D1887" s="1484"/>
      <c r="E1887" s="1484"/>
      <c r="F1887" s="1446"/>
      <c r="G1887" s="1446"/>
      <c r="H1887" s="1447"/>
      <c r="I1887" s="1494">
        <f>SUM(I1886:I1886)</f>
        <v>514.01</v>
      </c>
      <c r="J1887" s="1475"/>
      <c r="K1887" s="1439"/>
      <c r="L1887" s="1439"/>
      <c r="M1887" s="1439"/>
      <c r="N1887" s="1439"/>
      <c r="O1887" s="1439"/>
      <c r="P1887" s="1439"/>
      <c r="Q1887" s="1439"/>
      <c r="R1887" s="1439"/>
      <c r="S1887" s="1439"/>
      <c r="T1887" s="1439"/>
      <c r="U1887" s="1439"/>
      <c r="V1887" s="1439"/>
      <c r="W1887" s="1439"/>
      <c r="X1887" s="1439"/>
      <c r="Y1887" s="1439"/>
      <c r="Z1887" s="1439"/>
      <c r="AA1887" s="1439"/>
      <c r="AB1887" s="1439"/>
      <c r="AC1887" s="1439"/>
      <c r="AD1887" s="1439"/>
      <c r="AE1887" s="1439"/>
      <c r="AF1887" s="1439"/>
      <c r="AG1887" s="1439"/>
    </row>
    <row r="1888" spans="1:33" ht="15.75" customHeight="1">
      <c r="A1888" s="1470"/>
      <c r="B1888" s="1450"/>
      <c r="C1888" s="1484"/>
      <c r="D1888" s="1484"/>
      <c r="E1888" s="1484"/>
      <c r="F1888" s="1446"/>
      <c r="G1888" s="1458"/>
      <c r="H1888" s="1460" t="s">
        <v>2981</v>
      </c>
      <c r="I1888" s="1459">
        <f>CEILING(I1887,0.1)</f>
        <v>514.1</v>
      </c>
      <c r="J1888" s="1475" t="s">
        <v>724</v>
      </c>
      <c r="K1888" s="1439"/>
      <c r="L1888" s="1439"/>
      <c r="M1888" s="1439"/>
      <c r="N1888" s="1439"/>
      <c r="O1888" s="1439"/>
      <c r="P1888" s="1439"/>
      <c r="Q1888" s="1439"/>
      <c r="R1888" s="1439"/>
      <c r="S1888" s="1439"/>
      <c r="T1888" s="1439"/>
      <c r="U1888" s="1439"/>
      <c r="V1888" s="1439"/>
      <c r="W1888" s="1439"/>
      <c r="X1888" s="1439"/>
      <c r="Y1888" s="1439"/>
      <c r="Z1888" s="1439"/>
      <c r="AA1888" s="1439"/>
      <c r="AB1888" s="1439"/>
      <c r="AC1888" s="1439"/>
      <c r="AD1888" s="1439"/>
      <c r="AE1888" s="1439"/>
      <c r="AF1888" s="1439"/>
      <c r="AG1888" s="1439"/>
    </row>
    <row r="1889" spans="1:33" ht="31.5">
      <c r="A1889" s="1451">
        <v>112.1</v>
      </c>
      <c r="B1889" s="1462" t="s">
        <v>7255</v>
      </c>
      <c r="C1889" s="1484"/>
      <c r="D1889" s="1484"/>
      <c r="E1889" s="1484"/>
      <c r="F1889" s="1446"/>
      <c r="G1889" s="1446"/>
      <c r="H1889" s="1447"/>
      <c r="I1889" s="1448"/>
      <c r="J1889" s="1475"/>
      <c r="K1889" s="1439"/>
      <c r="L1889" s="1439"/>
      <c r="M1889" s="1439"/>
      <c r="N1889" s="1439"/>
      <c r="O1889" s="1439"/>
      <c r="P1889" s="1439"/>
      <c r="Q1889" s="1439"/>
      <c r="R1889" s="1439"/>
      <c r="S1889" s="1439"/>
      <c r="T1889" s="1439"/>
      <c r="U1889" s="1439"/>
      <c r="V1889" s="1439"/>
      <c r="W1889" s="1439"/>
      <c r="X1889" s="1439"/>
      <c r="Y1889" s="1439"/>
      <c r="Z1889" s="1439"/>
      <c r="AA1889" s="1439"/>
      <c r="AB1889" s="1439"/>
      <c r="AC1889" s="1439"/>
      <c r="AD1889" s="1439"/>
      <c r="AE1889" s="1439"/>
      <c r="AF1889" s="1439"/>
      <c r="AG1889" s="1439"/>
    </row>
    <row r="1890" spans="1:33" ht="15.75" customHeight="1">
      <c r="A1890" s="1451"/>
      <c r="B1890" s="1462" t="s">
        <v>7256</v>
      </c>
      <c r="C1890" s="1484">
        <v>1</v>
      </c>
      <c r="D1890" s="1484" t="s">
        <v>3364</v>
      </c>
      <c r="E1890" s="1484">
        <v>47</v>
      </c>
      <c r="F1890" s="1446"/>
      <c r="G1890" s="1446"/>
      <c r="H1890" s="1447"/>
      <c r="I1890" s="1494">
        <f>PRODUCT(C1890:H1890)</f>
        <v>47</v>
      </c>
      <c r="J1890" s="1475"/>
      <c r="K1890" s="1439"/>
      <c r="L1890" s="1439"/>
      <c r="M1890" s="1439"/>
      <c r="N1890" s="1439"/>
      <c r="O1890" s="1439"/>
      <c r="P1890" s="1439"/>
      <c r="Q1890" s="1439"/>
      <c r="R1890" s="1439"/>
      <c r="S1890" s="1439"/>
      <c r="T1890" s="1439"/>
      <c r="U1890" s="1439"/>
      <c r="V1890" s="1439"/>
      <c r="W1890" s="1439"/>
      <c r="X1890" s="1439"/>
      <c r="Y1890" s="1439"/>
      <c r="Z1890" s="1439"/>
      <c r="AA1890" s="1439"/>
      <c r="AB1890" s="1439"/>
      <c r="AC1890" s="1439"/>
      <c r="AD1890" s="1439"/>
      <c r="AE1890" s="1439"/>
      <c r="AF1890" s="1439"/>
      <c r="AG1890" s="1439"/>
    </row>
    <row r="1891" spans="1:33" ht="15.75" customHeight="1">
      <c r="A1891" s="1470"/>
      <c r="B1891" s="1450"/>
      <c r="C1891" s="1484"/>
      <c r="D1891" s="1484"/>
      <c r="E1891" s="1484"/>
      <c r="F1891" s="1446"/>
      <c r="G1891" s="1446"/>
      <c r="H1891" s="1460"/>
      <c r="I1891" s="1459">
        <f>SUM(I1890)</f>
        <v>47</v>
      </c>
      <c r="J1891" s="1475" t="s">
        <v>41</v>
      </c>
      <c r="K1891" s="1439"/>
      <c r="L1891" s="1439"/>
      <c r="M1891" s="1439"/>
      <c r="N1891" s="1439"/>
      <c r="O1891" s="1439"/>
      <c r="P1891" s="1439"/>
      <c r="Q1891" s="1439"/>
      <c r="R1891" s="1439"/>
      <c r="S1891" s="1439"/>
      <c r="T1891" s="1439"/>
      <c r="U1891" s="1439"/>
      <c r="V1891" s="1439"/>
      <c r="W1891" s="1439"/>
      <c r="X1891" s="1439"/>
      <c r="Y1891" s="1439"/>
      <c r="Z1891" s="1439"/>
      <c r="AA1891" s="1439"/>
      <c r="AB1891" s="1439"/>
      <c r="AC1891" s="1439"/>
      <c r="AD1891" s="1439"/>
      <c r="AE1891" s="1439"/>
      <c r="AF1891" s="1439"/>
      <c r="AG1891" s="1439"/>
    </row>
    <row r="1892" spans="1:33" ht="47.25">
      <c r="A1892" s="1470">
        <v>238</v>
      </c>
      <c r="B1892" s="1450" t="s">
        <v>3552</v>
      </c>
      <c r="C1892" s="1484"/>
      <c r="D1892" s="1484"/>
      <c r="E1892" s="1484"/>
      <c r="F1892" s="1446"/>
      <c r="G1892" s="1446"/>
      <c r="H1892" s="1447"/>
      <c r="I1892" s="1448"/>
      <c r="J1892" s="1475"/>
      <c r="K1892" s="1439"/>
      <c r="L1892" s="1439"/>
      <c r="M1892" s="1439"/>
      <c r="N1892" s="1439"/>
      <c r="O1892" s="1439"/>
      <c r="P1892" s="1439"/>
      <c r="Q1892" s="1439"/>
      <c r="R1892" s="1439"/>
      <c r="S1892" s="1439"/>
      <c r="T1892" s="1439"/>
      <c r="U1892" s="1439"/>
      <c r="V1892" s="1439"/>
      <c r="W1892" s="1439"/>
      <c r="X1892" s="1439"/>
      <c r="Y1892" s="1439"/>
      <c r="Z1892" s="1439"/>
      <c r="AA1892" s="1439"/>
      <c r="AB1892" s="1439"/>
      <c r="AC1892" s="1439"/>
      <c r="AD1892" s="1439"/>
      <c r="AE1892" s="1439"/>
      <c r="AF1892" s="1439"/>
      <c r="AG1892" s="1439"/>
    </row>
    <row r="1893" spans="1:33" ht="15.75" customHeight="1">
      <c r="A1893" s="1470"/>
      <c r="B1893" s="1450" t="s">
        <v>3553</v>
      </c>
      <c r="C1893" s="1484"/>
      <c r="D1893" s="1484"/>
      <c r="E1893" s="1484"/>
      <c r="F1893" s="1446"/>
      <c r="G1893" s="1446"/>
      <c r="H1893" s="1447"/>
      <c r="I1893" s="1498">
        <f>I2778</f>
        <v>111.554</v>
      </c>
      <c r="J1893" s="1475" t="s">
        <v>122</v>
      </c>
      <c r="K1893" s="1439"/>
      <c r="L1893" s="1439"/>
      <c r="M1893" s="1439"/>
      <c r="N1893" s="1439"/>
      <c r="O1893" s="1439"/>
      <c r="P1893" s="1439"/>
      <c r="Q1893" s="1439"/>
      <c r="R1893" s="1439"/>
      <c r="S1893" s="1439"/>
      <c r="T1893" s="1439"/>
      <c r="U1893" s="1439"/>
      <c r="V1893" s="1439"/>
      <c r="W1893" s="1439"/>
      <c r="X1893" s="1439"/>
      <c r="Y1893" s="1439"/>
      <c r="Z1893" s="1439"/>
      <c r="AA1893" s="1439"/>
      <c r="AB1893" s="1439"/>
      <c r="AC1893" s="1439"/>
      <c r="AD1893" s="1439"/>
      <c r="AE1893" s="1439"/>
      <c r="AF1893" s="1439"/>
      <c r="AG1893" s="1439"/>
    </row>
    <row r="1894" spans="1:33" ht="15.75" customHeight="1">
      <c r="A1894" s="1470"/>
      <c r="B1894" s="1450"/>
      <c r="C1894" s="1484"/>
      <c r="D1894" s="1484"/>
      <c r="E1894" s="1484"/>
      <c r="F1894" s="1446"/>
      <c r="G1894" s="1446"/>
      <c r="H1894" s="1447"/>
      <c r="I1894" s="1448"/>
      <c r="J1894" s="1475"/>
      <c r="K1894" s="1439"/>
      <c r="L1894" s="1439"/>
      <c r="M1894" s="1439"/>
      <c r="N1894" s="1439"/>
      <c r="O1894" s="1439"/>
      <c r="P1894" s="1439"/>
      <c r="Q1894" s="1439"/>
      <c r="R1894" s="1439"/>
      <c r="S1894" s="1439"/>
      <c r="T1894" s="1439"/>
      <c r="U1894" s="1439"/>
      <c r="V1894" s="1439"/>
      <c r="W1894" s="1439"/>
      <c r="X1894" s="1439"/>
      <c r="Y1894" s="1439"/>
      <c r="Z1894" s="1439"/>
      <c r="AA1894" s="1439"/>
      <c r="AB1894" s="1439"/>
      <c r="AC1894" s="1439"/>
      <c r="AD1894" s="1439"/>
      <c r="AE1894" s="1439"/>
      <c r="AF1894" s="1439"/>
      <c r="AG1894" s="1439"/>
    </row>
    <row r="1895" spans="1:33" ht="15.75" customHeight="1">
      <c r="A1895" s="1451"/>
      <c r="B1895" s="1444" t="s">
        <v>3554</v>
      </c>
      <c r="C1895" s="1484"/>
      <c r="D1895" s="1484"/>
      <c r="E1895" s="1484"/>
      <c r="F1895" s="1446"/>
      <c r="G1895" s="1446"/>
      <c r="H1895" s="1447"/>
      <c r="I1895" s="1448"/>
      <c r="J1895" s="1475"/>
      <c r="K1895" s="1439"/>
      <c r="L1895" s="1439"/>
      <c r="M1895" s="1439"/>
      <c r="N1895" s="1439"/>
      <c r="O1895" s="1439"/>
      <c r="P1895" s="1439"/>
      <c r="Q1895" s="1439"/>
      <c r="R1895" s="1439"/>
      <c r="S1895" s="1439"/>
      <c r="T1895" s="1439"/>
      <c r="U1895" s="1439"/>
      <c r="V1895" s="1439"/>
      <c r="W1895" s="1439"/>
      <c r="X1895" s="1439"/>
      <c r="Y1895" s="1439"/>
      <c r="Z1895" s="1439"/>
      <c r="AA1895" s="1439"/>
      <c r="AB1895" s="1439"/>
      <c r="AC1895" s="1439"/>
      <c r="AD1895" s="1439"/>
      <c r="AE1895" s="1439"/>
      <c r="AF1895" s="1439"/>
      <c r="AG1895" s="1439"/>
    </row>
    <row r="1896" spans="1:33" ht="299.25">
      <c r="A1896" s="1451">
        <v>18.100000000000001</v>
      </c>
      <c r="B1896" s="1462" t="s">
        <v>3555</v>
      </c>
      <c r="C1896" s="1484"/>
      <c r="D1896" s="1484"/>
      <c r="E1896" s="1484"/>
      <c r="F1896" s="1446"/>
      <c r="G1896" s="1446"/>
      <c r="H1896" s="1447"/>
      <c r="I1896" s="1448"/>
      <c r="J1896" s="1475"/>
      <c r="K1896" s="1439"/>
      <c r="L1896" s="1439"/>
      <c r="M1896" s="1439"/>
      <c r="N1896" s="1439"/>
      <c r="O1896" s="1439"/>
      <c r="P1896" s="1439"/>
      <c r="Q1896" s="1439"/>
      <c r="R1896" s="1439"/>
      <c r="S1896" s="1439"/>
      <c r="T1896" s="1439"/>
      <c r="U1896" s="1439"/>
      <c r="V1896" s="1439"/>
      <c r="W1896" s="1439"/>
      <c r="X1896" s="1439"/>
      <c r="Y1896" s="1439"/>
      <c r="Z1896" s="1439"/>
      <c r="AA1896" s="1439"/>
      <c r="AB1896" s="1439"/>
      <c r="AC1896" s="1439"/>
      <c r="AD1896" s="1439"/>
      <c r="AE1896" s="1439"/>
      <c r="AF1896" s="1439"/>
      <c r="AG1896" s="1439"/>
    </row>
    <row r="1897" spans="1:33" ht="15.75" customHeight="1">
      <c r="A1897" s="1451"/>
      <c r="B1897" s="1450" t="s">
        <v>3556</v>
      </c>
      <c r="C1897" s="1484"/>
      <c r="D1897" s="1484"/>
      <c r="E1897" s="1484"/>
      <c r="F1897" s="1446"/>
      <c r="G1897" s="1446"/>
      <c r="H1897" s="1447"/>
      <c r="I1897" s="1448"/>
      <c r="J1897" s="1475"/>
      <c r="K1897" s="1439"/>
      <c r="L1897" s="1439"/>
      <c r="M1897" s="1439"/>
      <c r="N1897" s="1439"/>
      <c r="O1897" s="1439"/>
      <c r="P1897" s="1439"/>
      <c r="Q1897" s="1439"/>
      <c r="R1897" s="1439"/>
      <c r="S1897" s="1439"/>
      <c r="T1897" s="1439"/>
      <c r="U1897" s="1439"/>
      <c r="V1897" s="1439"/>
      <c r="W1897" s="1439"/>
      <c r="X1897" s="1439"/>
      <c r="Y1897" s="1439"/>
      <c r="Z1897" s="1439"/>
      <c r="AA1897" s="1439"/>
      <c r="AB1897" s="1439"/>
      <c r="AC1897" s="1439"/>
      <c r="AD1897" s="1439"/>
      <c r="AE1897" s="1439"/>
      <c r="AF1897" s="1439"/>
      <c r="AG1897" s="1439"/>
    </row>
    <row r="1898" spans="1:33" ht="15.75" customHeight="1">
      <c r="A1898" s="1451"/>
      <c r="B1898" s="1456" t="s">
        <v>3557</v>
      </c>
      <c r="C1898" s="1484"/>
      <c r="D1898" s="1484"/>
      <c r="E1898" s="1484"/>
      <c r="F1898" s="1446"/>
      <c r="G1898" s="1446"/>
      <c r="H1898" s="1447"/>
      <c r="I1898" s="1448"/>
      <c r="J1898" s="1475"/>
      <c r="K1898" s="1439"/>
      <c r="L1898" s="1439"/>
      <c r="M1898" s="1439"/>
      <c r="N1898" s="1439"/>
      <c r="O1898" s="1439"/>
      <c r="P1898" s="1439"/>
      <c r="Q1898" s="1439"/>
      <c r="R1898" s="1439"/>
      <c r="S1898" s="1439"/>
      <c r="T1898" s="1439"/>
      <c r="U1898" s="1439"/>
      <c r="V1898" s="1439"/>
      <c r="W1898" s="1439"/>
      <c r="X1898" s="1439"/>
      <c r="Y1898" s="1439"/>
      <c r="Z1898" s="1439"/>
      <c r="AA1898" s="1439"/>
      <c r="AB1898" s="1439"/>
      <c r="AC1898" s="1439"/>
      <c r="AD1898" s="1439"/>
      <c r="AE1898" s="1439"/>
      <c r="AF1898" s="1439"/>
      <c r="AG1898" s="1439"/>
    </row>
    <row r="1899" spans="1:33" ht="15.75" customHeight="1">
      <c r="A1899" s="1443"/>
      <c r="B1899" s="1450" t="s">
        <v>6521</v>
      </c>
      <c r="C1899" s="1445">
        <v>1</v>
      </c>
      <c r="D1899" s="1445" t="s">
        <v>3364</v>
      </c>
      <c r="E1899" s="1445">
        <v>5</v>
      </c>
      <c r="F1899" s="1446">
        <f t="shared" ref="F1899:F1907" si="79">(F105+G105)*2</f>
        <v>10.4</v>
      </c>
      <c r="G1899" s="1446"/>
      <c r="H1899" s="1447">
        <v>0.45</v>
      </c>
      <c r="I1899" s="1448">
        <f t="shared" ref="I1899:I1929" si="80">PRODUCT(C1899:H1899)</f>
        <v>23.4</v>
      </c>
      <c r="J1899" s="1449"/>
      <c r="K1899" s="1439"/>
      <c r="L1899" s="1439"/>
      <c r="M1899" s="1439"/>
      <c r="N1899" s="1439"/>
      <c r="O1899" s="1439"/>
      <c r="P1899" s="1439"/>
      <c r="Q1899" s="1439"/>
      <c r="R1899" s="1439"/>
      <c r="S1899" s="1439"/>
      <c r="T1899" s="1439"/>
      <c r="U1899" s="1439"/>
      <c r="V1899" s="1439"/>
      <c r="W1899" s="1439"/>
      <c r="X1899" s="1439"/>
      <c r="Y1899" s="1439"/>
      <c r="Z1899" s="1439"/>
      <c r="AA1899" s="1439"/>
      <c r="AB1899" s="1439"/>
      <c r="AC1899" s="1439"/>
      <c r="AD1899" s="1439"/>
      <c r="AE1899" s="1439"/>
      <c r="AF1899" s="1439"/>
      <c r="AG1899" s="1439"/>
    </row>
    <row r="1900" spans="1:33" ht="15.75" customHeight="1">
      <c r="A1900" s="1443"/>
      <c r="B1900" s="1450" t="s">
        <v>7034</v>
      </c>
      <c r="C1900" s="1445">
        <v>1</v>
      </c>
      <c r="D1900" s="1445" t="s">
        <v>3364</v>
      </c>
      <c r="E1900" s="1445">
        <v>7</v>
      </c>
      <c r="F1900" s="1446">
        <f t="shared" si="79"/>
        <v>12</v>
      </c>
      <c r="G1900" s="1446"/>
      <c r="H1900" s="1447">
        <v>0.7</v>
      </c>
      <c r="I1900" s="1448">
        <f t="shared" si="80"/>
        <v>58.8</v>
      </c>
      <c r="J1900" s="1449"/>
      <c r="K1900" s="1439"/>
      <c r="L1900" s="1439"/>
      <c r="M1900" s="1439"/>
      <c r="N1900" s="1439"/>
      <c r="O1900" s="1439"/>
      <c r="P1900" s="1439"/>
      <c r="Q1900" s="1439"/>
      <c r="R1900" s="1439"/>
      <c r="S1900" s="1439"/>
      <c r="T1900" s="1439"/>
      <c r="U1900" s="1439"/>
      <c r="V1900" s="1439"/>
      <c r="W1900" s="1439"/>
      <c r="X1900" s="1439"/>
      <c r="Y1900" s="1439"/>
      <c r="Z1900" s="1439"/>
      <c r="AA1900" s="1439"/>
      <c r="AB1900" s="1439"/>
      <c r="AC1900" s="1439"/>
      <c r="AD1900" s="1439"/>
      <c r="AE1900" s="1439"/>
      <c r="AF1900" s="1439"/>
      <c r="AG1900" s="1439"/>
    </row>
    <row r="1901" spans="1:33" ht="15.75" customHeight="1">
      <c r="A1901" s="1443"/>
      <c r="B1901" s="1450" t="s">
        <v>7035</v>
      </c>
      <c r="C1901" s="1445">
        <v>1</v>
      </c>
      <c r="D1901" s="1445" t="s">
        <v>3364</v>
      </c>
      <c r="E1901" s="1445">
        <v>6</v>
      </c>
      <c r="F1901" s="1446">
        <f t="shared" si="79"/>
        <v>12.6</v>
      </c>
      <c r="G1901" s="1446"/>
      <c r="H1901" s="1447">
        <v>0.7</v>
      </c>
      <c r="I1901" s="1448">
        <f t="shared" si="80"/>
        <v>52.92</v>
      </c>
      <c r="J1901" s="1449"/>
      <c r="K1901" s="1439"/>
      <c r="L1901" s="1439"/>
      <c r="M1901" s="1439"/>
      <c r="N1901" s="1439"/>
      <c r="O1901" s="1439"/>
      <c r="P1901" s="1439"/>
      <c r="Q1901" s="1439"/>
      <c r="R1901" s="1439"/>
      <c r="S1901" s="1439"/>
      <c r="T1901" s="1439"/>
      <c r="U1901" s="1439"/>
      <c r="V1901" s="1439"/>
      <c r="W1901" s="1439"/>
      <c r="X1901" s="1439"/>
      <c r="Y1901" s="1439"/>
      <c r="Z1901" s="1439"/>
      <c r="AA1901" s="1439"/>
      <c r="AB1901" s="1439"/>
      <c r="AC1901" s="1439"/>
      <c r="AD1901" s="1439"/>
      <c r="AE1901" s="1439"/>
      <c r="AF1901" s="1439"/>
      <c r="AG1901" s="1439"/>
    </row>
    <row r="1902" spans="1:33" ht="15.75" customHeight="1">
      <c r="A1902" s="1443"/>
      <c r="B1902" s="1450" t="s">
        <v>7036</v>
      </c>
      <c r="C1902" s="1445">
        <v>1</v>
      </c>
      <c r="D1902" s="1445" t="s">
        <v>3364</v>
      </c>
      <c r="E1902" s="1445">
        <v>3</v>
      </c>
      <c r="F1902" s="1446">
        <f t="shared" si="79"/>
        <v>14.12</v>
      </c>
      <c r="G1902" s="1446"/>
      <c r="H1902" s="1447">
        <v>0.7</v>
      </c>
      <c r="I1902" s="1448">
        <f t="shared" si="80"/>
        <v>29.65</v>
      </c>
      <c r="J1902" s="1449"/>
      <c r="K1902" s="1439"/>
      <c r="L1902" s="1439"/>
      <c r="M1902" s="1439"/>
      <c r="N1902" s="1439"/>
      <c r="O1902" s="1439"/>
      <c r="P1902" s="1439"/>
      <c r="Q1902" s="1439"/>
      <c r="R1902" s="1439"/>
      <c r="S1902" s="1439"/>
      <c r="T1902" s="1439"/>
      <c r="U1902" s="1439"/>
      <c r="V1902" s="1439"/>
      <c r="W1902" s="1439"/>
      <c r="X1902" s="1439"/>
      <c r="Y1902" s="1439"/>
      <c r="Z1902" s="1439"/>
      <c r="AA1902" s="1439"/>
      <c r="AB1902" s="1439"/>
      <c r="AC1902" s="1439"/>
      <c r="AD1902" s="1439"/>
      <c r="AE1902" s="1439"/>
      <c r="AF1902" s="1439"/>
      <c r="AG1902" s="1439"/>
    </row>
    <row r="1903" spans="1:33" ht="15.75" customHeight="1">
      <c r="A1903" s="1443"/>
      <c r="B1903" s="1452" t="s">
        <v>7384</v>
      </c>
      <c r="C1903" s="1445">
        <v>1</v>
      </c>
      <c r="D1903" s="1445" t="s">
        <v>3364</v>
      </c>
      <c r="E1903" s="1445">
        <v>4</v>
      </c>
      <c r="F1903" s="1446">
        <f t="shared" si="79"/>
        <v>15.2</v>
      </c>
      <c r="G1903" s="1446"/>
      <c r="H1903" s="1447">
        <v>1.05</v>
      </c>
      <c r="I1903" s="1448">
        <f t="shared" si="80"/>
        <v>63.84</v>
      </c>
      <c r="J1903" s="1449"/>
      <c r="K1903" s="1439"/>
      <c r="L1903" s="1439"/>
      <c r="M1903" s="1439"/>
      <c r="N1903" s="1439"/>
      <c r="O1903" s="1439"/>
      <c r="P1903" s="1439"/>
      <c r="Q1903" s="1439"/>
      <c r="R1903" s="1439"/>
      <c r="S1903" s="1439"/>
      <c r="T1903" s="1439"/>
      <c r="U1903" s="1439"/>
      <c r="V1903" s="1439"/>
      <c r="W1903" s="1439"/>
      <c r="X1903" s="1439"/>
      <c r="Y1903" s="1439"/>
      <c r="Z1903" s="1439"/>
      <c r="AA1903" s="1439"/>
      <c r="AB1903" s="1439"/>
      <c r="AC1903" s="1439"/>
      <c r="AD1903" s="1439"/>
      <c r="AE1903" s="1439"/>
      <c r="AF1903" s="1439"/>
      <c r="AG1903" s="1439"/>
    </row>
    <row r="1904" spans="1:33" ht="15.75" customHeight="1">
      <c r="A1904" s="1443"/>
      <c r="B1904" s="1452" t="s">
        <v>7385</v>
      </c>
      <c r="C1904" s="1445">
        <v>1</v>
      </c>
      <c r="D1904" s="1445" t="s">
        <v>3364</v>
      </c>
      <c r="E1904" s="1445">
        <v>3</v>
      </c>
      <c r="F1904" s="1446">
        <f t="shared" si="79"/>
        <v>15.25</v>
      </c>
      <c r="G1904" s="1446"/>
      <c r="H1904" s="1447">
        <v>0.35</v>
      </c>
      <c r="I1904" s="1448">
        <f t="shared" si="80"/>
        <v>16.010000000000002</v>
      </c>
      <c r="J1904" s="1449"/>
      <c r="K1904" s="1439"/>
      <c r="L1904" s="1439"/>
      <c r="M1904" s="1439"/>
      <c r="N1904" s="1439"/>
      <c r="O1904" s="1439"/>
      <c r="P1904" s="1439"/>
      <c r="Q1904" s="1439"/>
      <c r="R1904" s="1439"/>
      <c r="S1904" s="1439"/>
      <c r="T1904" s="1439"/>
      <c r="U1904" s="1439"/>
      <c r="V1904" s="1439"/>
      <c r="W1904" s="1439"/>
      <c r="X1904" s="1439"/>
      <c r="Y1904" s="1439"/>
      <c r="Z1904" s="1439"/>
      <c r="AA1904" s="1439"/>
      <c r="AB1904" s="1439"/>
      <c r="AC1904" s="1439"/>
      <c r="AD1904" s="1439"/>
      <c r="AE1904" s="1439"/>
      <c r="AF1904" s="1439"/>
      <c r="AG1904" s="1439"/>
    </row>
    <row r="1905" spans="1:33" ht="15.75" customHeight="1">
      <c r="A1905" s="1443"/>
      <c r="B1905" s="1452" t="s">
        <v>7394</v>
      </c>
      <c r="C1905" s="1445">
        <v>1</v>
      </c>
      <c r="D1905" s="1453" t="s">
        <v>3364</v>
      </c>
      <c r="E1905" s="1445">
        <v>3</v>
      </c>
      <c r="F1905" s="1446">
        <f t="shared" si="79"/>
        <v>9.35</v>
      </c>
      <c r="G1905" s="1446"/>
      <c r="H1905" s="1447">
        <v>0.3</v>
      </c>
      <c r="I1905" s="1448">
        <f t="shared" si="80"/>
        <v>8.42</v>
      </c>
      <c r="J1905" s="1449"/>
      <c r="K1905" s="1439"/>
      <c r="L1905" s="1439"/>
      <c r="M1905" s="1439"/>
      <c r="N1905" s="1439"/>
      <c r="O1905" s="1439"/>
      <c r="P1905" s="1439"/>
      <c r="Q1905" s="1439"/>
      <c r="R1905" s="1439"/>
      <c r="S1905" s="1439"/>
      <c r="T1905" s="1439"/>
      <c r="U1905" s="1439"/>
      <c r="V1905" s="1439"/>
      <c r="W1905" s="1439"/>
      <c r="X1905" s="1439"/>
      <c r="Y1905" s="1439"/>
      <c r="Z1905" s="1439"/>
      <c r="AA1905" s="1439"/>
      <c r="AB1905" s="1439"/>
      <c r="AC1905" s="1439"/>
      <c r="AD1905" s="1439"/>
      <c r="AE1905" s="1439"/>
      <c r="AF1905" s="1439"/>
      <c r="AG1905" s="1439"/>
    </row>
    <row r="1906" spans="1:33" ht="15.75" customHeight="1">
      <c r="A1906" s="1443"/>
      <c r="B1906" s="1452" t="s">
        <v>7386</v>
      </c>
      <c r="C1906" s="1445">
        <v>1</v>
      </c>
      <c r="D1906" s="1453" t="s">
        <v>3364</v>
      </c>
      <c r="E1906" s="1445">
        <v>2</v>
      </c>
      <c r="F1906" s="1446">
        <f t="shared" si="79"/>
        <v>16.824000000000002</v>
      </c>
      <c r="G1906" s="1454"/>
      <c r="H1906" s="1447">
        <v>0.45</v>
      </c>
      <c r="I1906" s="1448">
        <f t="shared" si="80"/>
        <v>15.14</v>
      </c>
      <c r="J1906" s="1449"/>
      <c r="K1906" s="1439"/>
      <c r="L1906" s="1439"/>
      <c r="M1906" s="1439"/>
      <c r="N1906" s="1439"/>
      <c r="O1906" s="1439"/>
      <c r="P1906" s="1439"/>
      <c r="Q1906" s="1439"/>
      <c r="R1906" s="1439"/>
      <c r="S1906" s="1439"/>
      <c r="T1906" s="1439"/>
      <c r="U1906" s="1439"/>
      <c r="V1906" s="1439"/>
      <c r="W1906" s="1439"/>
      <c r="X1906" s="1439"/>
      <c r="Y1906" s="1439"/>
      <c r="Z1906" s="1439"/>
      <c r="AA1906" s="1439"/>
      <c r="AB1906" s="1439"/>
      <c r="AC1906" s="1439"/>
      <c r="AD1906" s="1439"/>
      <c r="AE1906" s="1439"/>
      <c r="AF1906" s="1439"/>
      <c r="AG1906" s="1439"/>
    </row>
    <row r="1907" spans="1:33" ht="15.75" customHeight="1">
      <c r="A1907" s="1443"/>
      <c r="B1907" s="1452" t="s">
        <v>7394</v>
      </c>
      <c r="C1907" s="1445">
        <v>1</v>
      </c>
      <c r="D1907" s="1453" t="s">
        <v>3364</v>
      </c>
      <c r="E1907" s="1445">
        <v>2</v>
      </c>
      <c r="F1907" s="1446">
        <f t="shared" si="79"/>
        <v>11.73</v>
      </c>
      <c r="G1907" s="1454"/>
      <c r="H1907" s="1447">
        <v>0.35</v>
      </c>
      <c r="I1907" s="1448">
        <f t="shared" si="80"/>
        <v>8.2100000000000009</v>
      </c>
      <c r="J1907" s="1449"/>
      <c r="K1907" s="1439"/>
      <c r="L1907" s="1439"/>
      <c r="M1907" s="1439"/>
      <c r="N1907" s="1439"/>
      <c r="O1907" s="1439"/>
      <c r="P1907" s="1439"/>
      <c r="Q1907" s="1439"/>
      <c r="R1907" s="1439"/>
      <c r="S1907" s="1439"/>
      <c r="T1907" s="1439"/>
      <c r="U1907" s="1439"/>
      <c r="V1907" s="1439"/>
      <c r="W1907" s="1439"/>
      <c r="X1907" s="1439"/>
      <c r="Y1907" s="1439"/>
      <c r="Z1907" s="1439"/>
      <c r="AA1907" s="1439"/>
      <c r="AB1907" s="1439"/>
      <c r="AC1907" s="1439"/>
      <c r="AD1907" s="1439"/>
      <c r="AE1907" s="1439"/>
      <c r="AF1907" s="1439"/>
      <c r="AG1907" s="1439"/>
    </row>
    <row r="1908" spans="1:33" ht="15.75" customHeight="1">
      <c r="A1908" s="1443"/>
      <c r="B1908" s="1455" t="s">
        <v>7387</v>
      </c>
      <c r="C1908" s="1445"/>
      <c r="D1908" s="1445"/>
      <c r="E1908" s="1445"/>
      <c r="F1908" s="1446"/>
      <c r="G1908" s="1446"/>
      <c r="H1908" s="1447"/>
      <c r="I1908" s="1448"/>
      <c r="J1908" s="1449"/>
      <c r="K1908" s="1439"/>
      <c r="L1908" s="1439"/>
      <c r="M1908" s="1439"/>
      <c r="N1908" s="1439"/>
      <c r="O1908" s="1439"/>
      <c r="P1908" s="1439"/>
      <c r="Q1908" s="1439"/>
      <c r="R1908" s="1439"/>
      <c r="S1908" s="1439"/>
      <c r="T1908" s="1439"/>
      <c r="U1908" s="1439"/>
      <c r="V1908" s="1439"/>
      <c r="W1908" s="1439"/>
      <c r="X1908" s="1439"/>
      <c r="Y1908" s="1439"/>
      <c r="Z1908" s="1439"/>
      <c r="AA1908" s="1439"/>
      <c r="AB1908" s="1439"/>
      <c r="AC1908" s="1439"/>
      <c r="AD1908" s="1439"/>
      <c r="AE1908" s="1439"/>
      <c r="AF1908" s="1439"/>
      <c r="AG1908" s="1439"/>
    </row>
    <row r="1909" spans="1:33" ht="15.75" customHeight="1">
      <c r="A1909" s="1443"/>
      <c r="B1909" s="1452" t="s">
        <v>7388</v>
      </c>
      <c r="C1909" s="1445">
        <v>2</v>
      </c>
      <c r="D1909" s="1445" t="s">
        <v>3364</v>
      </c>
      <c r="E1909" s="1445">
        <v>4</v>
      </c>
      <c r="F1909" s="1446">
        <v>27.89</v>
      </c>
      <c r="G1909" s="1446"/>
      <c r="H1909" s="1447">
        <v>0.4</v>
      </c>
      <c r="I1909" s="1448">
        <f t="shared" si="80"/>
        <v>89.25</v>
      </c>
      <c r="J1909" s="1449"/>
      <c r="K1909" s="1439"/>
      <c r="L1909" s="1439"/>
      <c r="M1909" s="1439"/>
      <c r="N1909" s="1439"/>
      <c r="O1909" s="1439"/>
      <c r="P1909" s="1439"/>
      <c r="Q1909" s="1439"/>
      <c r="R1909" s="1439"/>
      <c r="S1909" s="1439"/>
      <c r="T1909" s="1439"/>
      <c r="U1909" s="1439"/>
      <c r="V1909" s="1439"/>
      <c r="W1909" s="1439"/>
      <c r="X1909" s="1439"/>
      <c r="Y1909" s="1439"/>
      <c r="Z1909" s="1439"/>
      <c r="AA1909" s="1439"/>
      <c r="AB1909" s="1439"/>
      <c r="AC1909" s="1439"/>
      <c r="AD1909" s="1439"/>
      <c r="AE1909" s="1439"/>
      <c r="AF1909" s="1439"/>
      <c r="AG1909" s="1439"/>
    </row>
    <row r="1910" spans="1:33" ht="15.75" customHeight="1">
      <c r="A1910" s="1443"/>
      <c r="B1910" s="1452" t="s">
        <v>7389</v>
      </c>
      <c r="C1910" s="1445">
        <v>2</v>
      </c>
      <c r="D1910" s="1445" t="s">
        <v>3364</v>
      </c>
      <c r="E1910" s="1445">
        <v>1</v>
      </c>
      <c r="F1910" s="1446">
        <f>2.53+0.46</f>
        <v>2.99</v>
      </c>
      <c r="G1910" s="1446"/>
      <c r="H1910" s="1447">
        <v>0.4</v>
      </c>
      <c r="I1910" s="1448">
        <f t="shared" si="80"/>
        <v>2.39</v>
      </c>
      <c r="J1910" s="1449"/>
      <c r="K1910" s="1439"/>
      <c r="L1910" s="1439"/>
      <c r="M1910" s="1439"/>
      <c r="N1910" s="1439"/>
      <c r="O1910" s="1439"/>
      <c r="P1910" s="1439"/>
      <c r="Q1910" s="1439"/>
      <c r="R1910" s="1439"/>
      <c r="S1910" s="1439"/>
      <c r="T1910" s="1439"/>
      <c r="U1910" s="1439"/>
      <c r="V1910" s="1439"/>
      <c r="W1910" s="1439"/>
      <c r="X1910" s="1439"/>
      <c r="Y1910" s="1439"/>
      <c r="Z1910" s="1439"/>
      <c r="AA1910" s="1439"/>
      <c r="AB1910" s="1439"/>
      <c r="AC1910" s="1439"/>
      <c r="AD1910" s="1439"/>
      <c r="AE1910" s="1439"/>
      <c r="AF1910" s="1439"/>
      <c r="AG1910" s="1439"/>
    </row>
    <row r="1911" spans="1:33" ht="15.75" customHeight="1">
      <c r="A1911" s="1443"/>
      <c r="B1911" s="1452" t="s">
        <v>7390</v>
      </c>
      <c r="C1911" s="1445">
        <v>2</v>
      </c>
      <c r="D1911" s="1453" t="s">
        <v>3827</v>
      </c>
      <c r="E1911" s="1445">
        <v>1</v>
      </c>
      <c r="F1911" s="1446">
        <f>4.765+1.13+2.53+0.23</f>
        <v>8.6549999999999994</v>
      </c>
      <c r="G1911" s="1446"/>
      <c r="H1911" s="1447">
        <v>0.4</v>
      </c>
      <c r="I1911" s="1448">
        <f t="shared" si="80"/>
        <v>6.92</v>
      </c>
      <c r="J1911" s="1449"/>
      <c r="K1911" s="1439"/>
      <c r="L1911" s="1439"/>
      <c r="M1911" s="1439"/>
      <c r="N1911" s="1439"/>
      <c r="O1911" s="1439"/>
      <c r="P1911" s="1439"/>
      <c r="Q1911" s="1439"/>
      <c r="R1911" s="1439"/>
      <c r="S1911" s="1439"/>
      <c r="T1911" s="1439"/>
      <c r="U1911" s="1439"/>
      <c r="V1911" s="1439"/>
      <c r="W1911" s="1439"/>
      <c r="X1911" s="1439"/>
      <c r="Y1911" s="1439"/>
      <c r="Z1911" s="1439"/>
      <c r="AA1911" s="1439"/>
      <c r="AB1911" s="1439"/>
      <c r="AC1911" s="1439"/>
      <c r="AD1911" s="1439"/>
      <c r="AE1911" s="1439"/>
      <c r="AF1911" s="1439"/>
      <c r="AG1911" s="1439"/>
    </row>
    <row r="1912" spans="1:33" ht="15.75" customHeight="1">
      <c r="A1912" s="1443"/>
      <c r="B1912" s="1456" t="s">
        <v>7038</v>
      </c>
      <c r="C1912" s="1445"/>
      <c r="D1912" s="1445"/>
      <c r="E1912" s="1445"/>
      <c r="F1912" s="1446"/>
      <c r="G1912" s="1446"/>
      <c r="H1912" s="1447"/>
      <c r="I1912" s="1448">
        <f t="shared" si="80"/>
        <v>0</v>
      </c>
      <c r="J1912" s="1449"/>
      <c r="K1912" s="1439"/>
      <c r="L1912" s="1439"/>
      <c r="M1912" s="1439"/>
      <c r="N1912" s="1439"/>
      <c r="O1912" s="1439"/>
      <c r="P1912" s="1439"/>
      <c r="Q1912" s="1439"/>
      <c r="R1912" s="1439"/>
      <c r="S1912" s="1439"/>
      <c r="T1912" s="1439"/>
      <c r="U1912" s="1439"/>
      <c r="V1912" s="1439"/>
      <c r="W1912" s="1439"/>
      <c r="X1912" s="1439"/>
      <c r="Y1912" s="1439"/>
      <c r="Z1912" s="1439"/>
      <c r="AA1912" s="1439"/>
      <c r="AB1912" s="1439"/>
      <c r="AC1912" s="1439"/>
      <c r="AD1912" s="1439"/>
      <c r="AE1912" s="1439"/>
      <c r="AF1912" s="1439"/>
      <c r="AG1912" s="1439"/>
    </row>
    <row r="1913" spans="1:33" ht="15.75" customHeight="1">
      <c r="A1913" s="1443"/>
      <c r="B1913" s="1452" t="s">
        <v>7037</v>
      </c>
      <c r="C1913" s="1445">
        <v>2</v>
      </c>
      <c r="D1913" s="1445" t="s">
        <v>3364</v>
      </c>
      <c r="E1913" s="1445">
        <v>7</v>
      </c>
      <c r="F1913" s="1446">
        <v>18.079999999999998</v>
      </c>
      <c r="G1913" s="1446"/>
      <c r="H1913" s="1447">
        <v>0.4</v>
      </c>
      <c r="I1913" s="1448">
        <f t="shared" si="80"/>
        <v>101.25</v>
      </c>
      <c r="J1913" s="1449"/>
      <c r="K1913" s="1439"/>
      <c r="L1913" s="1439"/>
      <c r="M1913" s="1439"/>
      <c r="N1913" s="1439"/>
      <c r="O1913" s="1439"/>
      <c r="P1913" s="1439"/>
      <c r="Q1913" s="1439"/>
      <c r="R1913" s="1439"/>
      <c r="S1913" s="1439"/>
      <c r="T1913" s="1439"/>
      <c r="U1913" s="1439"/>
      <c r="V1913" s="1439"/>
      <c r="W1913" s="1439"/>
      <c r="X1913" s="1439"/>
      <c r="Y1913" s="1439"/>
      <c r="Z1913" s="1439"/>
      <c r="AA1913" s="1439"/>
      <c r="AB1913" s="1439"/>
      <c r="AC1913" s="1439"/>
      <c r="AD1913" s="1439"/>
      <c r="AE1913" s="1439"/>
      <c r="AF1913" s="1439"/>
      <c r="AG1913" s="1439"/>
    </row>
    <row r="1914" spans="1:33" ht="15.75" customHeight="1">
      <c r="A1914" s="1443"/>
      <c r="B1914" s="1452" t="s">
        <v>7391</v>
      </c>
      <c r="C1914" s="1445">
        <v>2</v>
      </c>
      <c r="D1914" s="1445" t="s">
        <v>3364</v>
      </c>
      <c r="E1914" s="1445">
        <v>4</v>
      </c>
      <c r="F1914" s="1446">
        <v>1.54</v>
      </c>
      <c r="G1914" s="1446"/>
      <c r="H1914" s="1447">
        <v>0.4</v>
      </c>
      <c r="I1914" s="1448">
        <f t="shared" si="80"/>
        <v>4.93</v>
      </c>
      <c r="J1914" s="1449"/>
      <c r="K1914" s="1439"/>
      <c r="L1914" s="1439"/>
      <c r="M1914" s="1439"/>
      <c r="N1914" s="1439"/>
      <c r="O1914" s="1439"/>
      <c r="P1914" s="1439"/>
      <c r="Q1914" s="1439"/>
      <c r="R1914" s="1439"/>
      <c r="S1914" s="1439"/>
      <c r="T1914" s="1439"/>
      <c r="U1914" s="1439"/>
      <c r="V1914" s="1439"/>
      <c r="W1914" s="1439"/>
      <c r="X1914" s="1439"/>
      <c r="Y1914" s="1439"/>
      <c r="Z1914" s="1439"/>
      <c r="AA1914" s="1439"/>
      <c r="AB1914" s="1439"/>
      <c r="AC1914" s="1439"/>
      <c r="AD1914" s="1439"/>
      <c r="AE1914" s="1439"/>
      <c r="AF1914" s="1439"/>
      <c r="AG1914" s="1439"/>
    </row>
    <row r="1915" spans="1:33" ht="15.75" customHeight="1">
      <c r="A1915" s="1443"/>
      <c r="B1915" s="1452" t="s">
        <v>7392</v>
      </c>
      <c r="C1915" s="1445">
        <v>2</v>
      </c>
      <c r="D1915" s="1445" t="s">
        <v>3364</v>
      </c>
      <c r="E1915" s="1445">
        <v>1</v>
      </c>
      <c r="F1915" s="1446">
        <v>2.3849999999999998</v>
      </c>
      <c r="G1915" s="1446"/>
      <c r="H1915" s="1447">
        <v>0.4</v>
      </c>
      <c r="I1915" s="1448">
        <f t="shared" si="80"/>
        <v>1.91</v>
      </c>
      <c r="J1915" s="1449"/>
      <c r="K1915" s="1439"/>
      <c r="L1915" s="1439"/>
      <c r="M1915" s="1439"/>
      <c r="N1915" s="1439"/>
      <c r="O1915" s="1439"/>
      <c r="P1915" s="1439"/>
      <c r="Q1915" s="1439"/>
      <c r="R1915" s="1439"/>
      <c r="S1915" s="1439"/>
      <c r="T1915" s="1439"/>
      <c r="U1915" s="1439"/>
      <c r="V1915" s="1439"/>
      <c r="W1915" s="1439"/>
      <c r="X1915" s="1439"/>
      <c r="Y1915" s="1439"/>
      <c r="Z1915" s="1439"/>
      <c r="AA1915" s="1439"/>
      <c r="AB1915" s="1439"/>
      <c r="AC1915" s="1439"/>
      <c r="AD1915" s="1439"/>
      <c r="AE1915" s="1439"/>
      <c r="AF1915" s="1439"/>
      <c r="AG1915" s="1439"/>
    </row>
    <row r="1916" spans="1:33" ht="15.75" customHeight="1">
      <c r="A1916" s="1443"/>
      <c r="B1916" s="1450" t="s">
        <v>7039</v>
      </c>
      <c r="C1916" s="1445">
        <v>2</v>
      </c>
      <c r="D1916" s="1445" t="s">
        <v>3364</v>
      </c>
      <c r="E1916" s="1445">
        <v>1</v>
      </c>
      <c r="F1916" s="1446">
        <f>8.82+0.46</f>
        <v>9.2799999999999994</v>
      </c>
      <c r="G1916" s="1446"/>
      <c r="H1916" s="1447">
        <v>0.4</v>
      </c>
      <c r="I1916" s="1448">
        <f t="shared" si="80"/>
        <v>7.42</v>
      </c>
      <c r="J1916" s="1449"/>
      <c r="K1916" s="1439"/>
      <c r="L1916" s="1439"/>
      <c r="M1916" s="1439"/>
      <c r="N1916" s="1439"/>
      <c r="O1916" s="1439"/>
      <c r="P1916" s="1439"/>
      <c r="Q1916" s="1439"/>
      <c r="R1916" s="1439"/>
      <c r="S1916" s="1439"/>
      <c r="T1916" s="1439"/>
      <c r="U1916" s="1439"/>
      <c r="V1916" s="1439"/>
      <c r="W1916" s="1439"/>
      <c r="X1916" s="1439"/>
      <c r="Y1916" s="1439"/>
      <c r="Z1916" s="1439"/>
      <c r="AA1916" s="1439"/>
      <c r="AB1916" s="1439"/>
      <c r="AC1916" s="1439"/>
      <c r="AD1916" s="1439"/>
      <c r="AE1916" s="1439"/>
      <c r="AF1916" s="1439"/>
      <c r="AG1916" s="1439"/>
    </row>
    <row r="1917" spans="1:33" ht="15.75" customHeight="1">
      <c r="A1917" s="1443"/>
      <c r="B1917" s="1450" t="s">
        <v>7040</v>
      </c>
      <c r="C1917" s="1445">
        <v>2</v>
      </c>
      <c r="D1917" s="1445" t="s">
        <v>3364</v>
      </c>
      <c r="E1917" s="1445">
        <v>1</v>
      </c>
      <c r="F1917" s="1446">
        <v>3.3460000000000001</v>
      </c>
      <c r="G1917" s="1446"/>
      <c r="H1917" s="1447">
        <v>0.4</v>
      </c>
      <c r="I1917" s="1448">
        <f t="shared" si="80"/>
        <v>2.68</v>
      </c>
      <c r="J1917" s="1449"/>
      <c r="K1917" s="1439"/>
      <c r="L1917" s="1439"/>
      <c r="M1917" s="1439"/>
      <c r="N1917" s="1439"/>
      <c r="O1917" s="1439"/>
      <c r="P1917" s="1439"/>
      <c r="Q1917" s="1439"/>
      <c r="R1917" s="1439"/>
      <c r="S1917" s="1439"/>
      <c r="T1917" s="1439"/>
      <c r="U1917" s="1439"/>
      <c r="V1917" s="1439"/>
      <c r="W1917" s="1439"/>
      <c r="X1917" s="1439"/>
      <c r="Y1917" s="1439"/>
      <c r="Z1917" s="1439"/>
      <c r="AA1917" s="1439"/>
      <c r="AB1917" s="1439"/>
      <c r="AC1917" s="1439"/>
      <c r="AD1917" s="1439"/>
      <c r="AE1917" s="1439"/>
      <c r="AF1917" s="1439"/>
      <c r="AG1917" s="1439"/>
    </row>
    <row r="1918" spans="1:33" ht="15.75" customHeight="1">
      <c r="A1918" s="1443"/>
      <c r="B1918" s="1452" t="s">
        <v>7393</v>
      </c>
      <c r="C1918" s="1445">
        <v>2</v>
      </c>
      <c r="D1918" s="1453" t="s">
        <v>3364</v>
      </c>
      <c r="E1918" s="1445">
        <v>6</v>
      </c>
      <c r="F1918" s="1446">
        <v>0.9</v>
      </c>
      <c r="G1918" s="1446"/>
      <c r="H1918" s="1447">
        <v>0.2</v>
      </c>
      <c r="I1918" s="1448">
        <f t="shared" si="80"/>
        <v>2.16</v>
      </c>
      <c r="J1918" s="1449"/>
      <c r="K1918" s="1439"/>
      <c r="L1918" s="1439"/>
      <c r="M1918" s="1439"/>
      <c r="N1918" s="1439"/>
      <c r="O1918" s="1439"/>
      <c r="P1918" s="1439"/>
      <c r="Q1918" s="1439"/>
      <c r="R1918" s="1439"/>
      <c r="S1918" s="1439"/>
      <c r="T1918" s="1439"/>
      <c r="U1918" s="1439"/>
      <c r="V1918" s="1439"/>
      <c r="W1918" s="1439"/>
      <c r="X1918" s="1439"/>
      <c r="Y1918" s="1439"/>
      <c r="Z1918" s="1439"/>
      <c r="AA1918" s="1439"/>
      <c r="AB1918" s="1439"/>
      <c r="AC1918" s="1439"/>
      <c r="AD1918" s="1439"/>
      <c r="AE1918" s="1439"/>
      <c r="AF1918" s="1439"/>
      <c r="AG1918" s="1439"/>
    </row>
    <row r="1919" spans="1:33" ht="15.75" customHeight="1">
      <c r="A1919" s="1443"/>
      <c r="B1919" s="1455" t="s">
        <v>7395</v>
      </c>
      <c r="C1919" s="1445"/>
      <c r="D1919" s="1453"/>
      <c r="E1919" s="1445"/>
      <c r="F1919" s="1446"/>
      <c r="G1919" s="1446"/>
      <c r="H1919" s="1447"/>
      <c r="I1919" s="1448"/>
      <c r="J1919" s="1449"/>
      <c r="K1919" s="1439"/>
      <c r="L1919" s="1439"/>
      <c r="M1919" s="1439"/>
      <c r="N1919" s="1439"/>
      <c r="O1919" s="1439"/>
      <c r="P1919" s="1439"/>
      <c r="Q1919" s="1439"/>
      <c r="R1919" s="1439"/>
      <c r="S1919" s="1439"/>
      <c r="T1919" s="1439"/>
      <c r="U1919" s="1439"/>
      <c r="V1919" s="1439"/>
      <c r="W1919" s="1439"/>
      <c r="X1919" s="1439"/>
      <c r="Y1919" s="1439"/>
      <c r="Z1919" s="1439"/>
      <c r="AA1919" s="1439"/>
      <c r="AB1919" s="1439"/>
      <c r="AC1919" s="1439"/>
      <c r="AD1919" s="1439"/>
      <c r="AE1919" s="1439"/>
      <c r="AF1919" s="1439"/>
      <c r="AG1919" s="1439"/>
    </row>
    <row r="1920" spans="1:33" ht="15.75" customHeight="1">
      <c r="A1920" s="1443"/>
      <c r="B1920" s="1452" t="s">
        <v>7396</v>
      </c>
      <c r="C1920" s="1445">
        <v>3</v>
      </c>
      <c r="D1920" s="1453" t="s">
        <v>3364</v>
      </c>
      <c r="E1920" s="1445">
        <v>1</v>
      </c>
      <c r="F1920" s="1446">
        <f t="shared" ref="F1920:F1927" si="81">(F126+G126)*2</f>
        <v>1.06</v>
      </c>
      <c r="G1920" s="1454"/>
      <c r="H1920" s="1447">
        <v>2.65</v>
      </c>
      <c r="I1920" s="1448">
        <f t="shared" si="80"/>
        <v>8.43</v>
      </c>
      <c r="J1920" s="1449"/>
      <c r="K1920" s="1439"/>
      <c r="L1920" s="1439"/>
      <c r="M1920" s="1439"/>
      <c r="N1920" s="1439"/>
      <c r="O1920" s="1439"/>
      <c r="P1920" s="1439"/>
      <c r="Q1920" s="1439"/>
      <c r="R1920" s="1439"/>
      <c r="S1920" s="1439"/>
      <c r="T1920" s="1439"/>
      <c r="U1920" s="1439"/>
      <c r="V1920" s="1439"/>
      <c r="W1920" s="1439"/>
      <c r="X1920" s="1439"/>
      <c r="Y1920" s="1439"/>
      <c r="Z1920" s="1439"/>
      <c r="AA1920" s="1439"/>
      <c r="AB1920" s="1439"/>
      <c r="AC1920" s="1439"/>
      <c r="AD1920" s="1439"/>
      <c r="AE1920" s="1439"/>
      <c r="AF1920" s="1439"/>
      <c r="AG1920" s="1439"/>
    </row>
    <row r="1921" spans="1:33" ht="15.75" customHeight="1">
      <c r="A1921" s="1443"/>
      <c r="B1921" s="1452" t="s">
        <v>7397</v>
      </c>
      <c r="C1921" s="1445">
        <v>2</v>
      </c>
      <c r="D1921" s="1453" t="s">
        <v>3364</v>
      </c>
      <c r="E1921" s="1445">
        <v>1</v>
      </c>
      <c r="F1921" s="1446">
        <f t="shared" si="81"/>
        <v>1.22</v>
      </c>
      <c r="G1921" s="1446"/>
      <c r="H1921" s="1447">
        <v>2.65</v>
      </c>
      <c r="I1921" s="1448">
        <f t="shared" si="80"/>
        <v>6.47</v>
      </c>
      <c r="J1921" s="1449"/>
      <c r="K1921" s="1439"/>
      <c r="L1921" s="1439"/>
      <c r="M1921" s="1439"/>
      <c r="N1921" s="1439"/>
      <c r="O1921" s="1439"/>
      <c r="P1921" s="1439"/>
      <c r="Q1921" s="1439"/>
      <c r="R1921" s="1439"/>
      <c r="S1921" s="1439"/>
      <c r="T1921" s="1439"/>
      <c r="U1921" s="1439"/>
      <c r="V1921" s="1439"/>
      <c r="W1921" s="1439"/>
      <c r="X1921" s="1439"/>
      <c r="Y1921" s="1439"/>
      <c r="Z1921" s="1439"/>
      <c r="AA1921" s="1439"/>
      <c r="AB1921" s="1439"/>
      <c r="AC1921" s="1439"/>
      <c r="AD1921" s="1439"/>
      <c r="AE1921" s="1439"/>
      <c r="AF1921" s="1439"/>
      <c r="AG1921" s="1439"/>
    </row>
    <row r="1922" spans="1:33" ht="15.75" customHeight="1">
      <c r="A1922" s="1443"/>
      <c r="B1922" s="1452" t="s">
        <v>7398</v>
      </c>
      <c r="C1922" s="1445">
        <v>4</v>
      </c>
      <c r="D1922" s="1453" t="s">
        <v>3364</v>
      </c>
      <c r="E1922" s="1445">
        <v>1</v>
      </c>
      <c r="F1922" s="1446">
        <f t="shared" si="81"/>
        <v>1.36</v>
      </c>
      <c r="G1922" s="1446"/>
      <c r="H1922" s="1447">
        <v>2.65</v>
      </c>
      <c r="I1922" s="1448">
        <f t="shared" si="80"/>
        <v>14.42</v>
      </c>
      <c r="J1922" s="1449"/>
      <c r="K1922" s="1439"/>
      <c r="L1922" s="1439"/>
      <c r="M1922" s="1439"/>
      <c r="N1922" s="1439"/>
      <c r="O1922" s="1439"/>
      <c r="P1922" s="1439"/>
      <c r="Q1922" s="1439"/>
      <c r="R1922" s="1439"/>
      <c r="S1922" s="1439"/>
      <c r="T1922" s="1439"/>
      <c r="U1922" s="1439"/>
      <c r="V1922" s="1439"/>
      <c r="W1922" s="1439"/>
      <c r="X1922" s="1439"/>
      <c r="Y1922" s="1439"/>
      <c r="Z1922" s="1439"/>
      <c r="AA1922" s="1439"/>
      <c r="AB1922" s="1439"/>
      <c r="AC1922" s="1439"/>
      <c r="AD1922" s="1439"/>
      <c r="AE1922" s="1439"/>
      <c r="AF1922" s="1439"/>
      <c r="AG1922" s="1439"/>
    </row>
    <row r="1923" spans="1:33" ht="15.75" customHeight="1">
      <c r="A1923" s="1443"/>
      <c r="B1923" s="1452" t="s">
        <v>7399</v>
      </c>
      <c r="C1923" s="1445">
        <v>5</v>
      </c>
      <c r="D1923" s="1453" t="s">
        <v>3364</v>
      </c>
      <c r="E1923" s="1445">
        <v>1</v>
      </c>
      <c r="F1923" s="1446">
        <f t="shared" si="81"/>
        <v>1.36</v>
      </c>
      <c r="G1923" s="1446"/>
      <c r="H1923" s="1447">
        <v>2.65</v>
      </c>
      <c r="I1923" s="1448">
        <f t="shared" si="80"/>
        <v>18.02</v>
      </c>
      <c r="J1923" s="1449"/>
      <c r="K1923" s="1439"/>
      <c r="L1923" s="1439"/>
      <c r="M1923" s="1439"/>
      <c r="N1923" s="1439"/>
      <c r="O1923" s="1439"/>
      <c r="P1923" s="1439"/>
      <c r="Q1923" s="1439"/>
      <c r="R1923" s="1439"/>
      <c r="S1923" s="1439"/>
      <c r="T1923" s="1439"/>
      <c r="U1923" s="1439"/>
      <c r="V1923" s="1439"/>
      <c r="W1923" s="1439"/>
      <c r="X1923" s="1439"/>
      <c r="Y1923" s="1439"/>
      <c r="Z1923" s="1439"/>
      <c r="AA1923" s="1439"/>
      <c r="AB1923" s="1439"/>
      <c r="AC1923" s="1439"/>
      <c r="AD1923" s="1439"/>
      <c r="AE1923" s="1439"/>
      <c r="AF1923" s="1439"/>
      <c r="AG1923" s="1439"/>
    </row>
    <row r="1924" spans="1:33" ht="15.75" customHeight="1">
      <c r="A1924" s="1443"/>
      <c r="B1924" s="1452" t="s">
        <v>7400</v>
      </c>
      <c r="C1924" s="1445">
        <v>6</v>
      </c>
      <c r="D1924" s="1453" t="s">
        <v>3364</v>
      </c>
      <c r="E1924" s="1445">
        <v>1</v>
      </c>
      <c r="F1924" s="1446">
        <f t="shared" si="81"/>
        <v>1.5</v>
      </c>
      <c r="G1924" s="1446"/>
      <c r="H1924" s="1447">
        <v>2.65</v>
      </c>
      <c r="I1924" s="1448">
        <f t="shared" si="80"/>
        <v>23.85</v>
      </c>
      <c r="J1924" s="1449"/>
      <c r="K1924" s="1439"/>
      <c r="L1924" s="1439">
        <f>3-0.2-0.1-1.05</f>
        <v>1.65</v>
      </c>
      <c r="M1924" s="1439"/>
      <c r="N1924" s="1439"/>
      <c r="O1924" s="1439"/>
      <c r="P1924" s="1439"/>
      <c r="Q1924" s="1439"/>
      <c r="R1924" s="1439"/>
      <c r="S1924" s="1439"/>
      <c r="T1924" s="1439"/>
      <c r="U1924" s="1439"/>
      <c r="V1924" s="1439"/>
      <c r="W1924" s="1439"/>
      <c r="X1924" s="1439"/>
      <c r="Y1924" s="1439"/>
      <c r="Z1924" s="1439"/>
      <c r="AA1924" s="1439"/>
      <c r="AB1924" s="1439"/>
      <c r="AC1924" s="1439"/>
      <c r="AD1924" s="1439"/>
      <c r="AE1924" s="1439"/>
      <c r="AF1924" s="1439"/>
      <c r="AG1924" s="1439"/>
    </row>
    <row r="1925" spans="1:33" ht="15.75" customHeight="1">
      <c r="A1925" s="1443"/>
      <c r="B1925" s="1452" t="s">
        <v>7401</v>
      </c>
      <c r="C1925" s="1445">
        <v>6</v>
      </c>
      <c r="D1925" s="1453" t="s">
        <v>3364</v>
      </c>
      <c r="E1925" s="1445">
        <v>1</v>
      </c>
      <c r="F1925" s="1446">
        <f t="shared" si="81"/>
        <v>1.5</v>
      </c>
      <c r="G1925" s="1446"/>
      <c r="H1925" s="1447">
        <v>2.65</v>
      </c>
      <c r="I1925" s="1448">
        <f t="shared" si="80"/>
        <v>23.85</v>
      </c>
      <c r="J1925" s="1449"/>
      <c r="K1925" s="1439"/>
      <c r="L1925" s="1439">
        <f>1.65+1</f>
        <v>2.65</v>
      </c>
      <c r="M1925" s="1439"/>
      <c r="N1925" s="1439"/>
      <c r="O1925" s="1439"/>
      <c r="P1925" s="1439"/>
      <c r="Q1925" s="1439"/>
      <c r="R1925" s="1439"/>
      <c r="S1925" s="1439"/>
      <c r="T1925" s="1439"/>
      <c r="U1925" s="1439"/>
      <c r="V1925" s="1439"/>
      <c r="W1925" s="1439"/>
      <c r="X1925" s="1439"/>
      <c r="Y1925" s="1439"/>
      <c r="Z1925" s="1439"/>
      <c r="AA1925" s="1439"/>
      <c r="AB1925" s="1439"/>
      <c r="AC1925" s="1439"/>
      <c r="AD1925" s="1439"/>
      <c r="AE1925" s="1439"/>
      <c r="AF1925" s="1439"/>
      <c r="AG1925" s="1439"/>
    </row>
    <row r="1926" spans="1:33" ht="15.75" customHeight="1">
      <c r="A1926" s="1443"/>
      <c r="B1926" s="1452" t="s">
        <v>7402</v>
      </c>
      <c r="C1926" s="1445">
        <v>2</v>
      </c>
      <c r="D1926" s="1453" t="s">
        <v>3364</v>
      </c>
      <c r="E1926" s="1445">
        <v>1</v>
      </c>
      <c r="F1926" s="1446">
        <f t="shared" si="81"/>
        <v>1.8</v>
      </c>
      <c r="G1926" s="1446"/>
      <c r="H1926" s="1447">
        <v>2.65</v>
      </c>
      <c r="I1926" s="1448">
        <f t="shared" si="80"/>
        <v>9.5399999999999991</v>
      </c>
      <c r="J1926" s="1449"/>
      <c r="K1926" s="1439"/>
      <c r="L1926" s="1439"/>
      <c r="M1926" s="1439"/>
      <c r="N1926" s="1439"/>
      <c r="O1926" s="1439"/>
      <c r="P1926" s="1439"/>
      <c r="Q1926" s="1439"/>
      <c r="R1926" s="1439"/>
      <c r="S1926" s="1439"/>
      <c r="T1926" s="1439"/>
      <c r="U1926" s="1439"/>
      <c r="V1926" s="1439"/>
      <c r="W1926" s="1439"/>
      <c r="X1926" s="1439"/>
      <c r="Y1926" s="1439"/>
      <c r="Z1926" s="1439"/>
      <c r="AA1926" s="1439"/>
      <c r="AB1926" s="1439"/>
      <c r="AC1926" s="1439"/>
      <c r="AD1926" s="1439"/>
      <c r="AE1926" s="1439"/>
      <c r="AF1926" s="1439"/>
      <c r="AG1926" s="1439"/>
    </row>
    <row r="1927" spans="1:33" ht="15.75" customHeight="1">
      <c r="A1927" s="1443"/>
      <c r="B1927" s="1452" t="s">
        <v>7403</v>
      </c>
      <c r="C1927" s="1445">
        <v>6</v>
      </c>
      <c r="D1927" s="1453" t="s">
        <v>3364</v>
      </c>
      <c r="E1927" s="1445">
        <v>1</v>
      </c>
      <c r="F1927" s="1446">
        <f t="shared" si="81"/>
        <v>1.8</v>
      </c>
      <c r="G1927" s="1446"/>
      <c r="H1927" s="1447">
        <v>2.65</v>
      </c>
      <c r="I1927" s="1448">
        <f t="shared" si="80"/>
        <v>28.62</v>
      </c>
      <c r="J1927" s="1449"/>
      <c r="K1927" s="1439"/>
      <c r="L1927" s="1439"/>
      <c r="M1927" s="1439"/>
      <c r="N1927" s="1439"/>
      <c r="O1927" s="1439"/>
      <c r="P1927" s="1439"/>
      <c r="Q1927" s="1439"/>
      <c r="R1927" s="1439"/>
      <c r="S1927" s="1439"/>
      <c r="T1927" s="1439"/>
      <c r="U1927" s="1439"/>
      <c r="V1927" s="1439"/>
      <c r="W1927" s="1439"/>
      <c r="X1927" s="1439"/>
      <c r="Y1927" s="1439"/>
      <c r="Z1927" s="1439"/>
      <c r="AA1927" s="1439"/>
      <c r="AB1927" s="1439"/>
      <c r="AC1927" s="1439"/>
      <c r="AD1927" s="1439"/>
      <c r="AE1927" s="1439"/>
      <c r="AF1927" s="1439"/>
      <c r="AG1927" s="1439"/>
    </row>
    <row r="1928" spans="1:33" ht="15.75" customHeight="1">
      <c r="A1928" s="1443"/>
      <c r="B1928" s="1450" t="s">
        <v>6525</v>
      </c>
      <c r="C1928" s="1457">
        <v>0.5</v>
      </c>
      <c r="D1928" s="1445" t="s">
        <v>3364</v>
      </c>
      <c r="E1928" s="1445">
        <v>1</v>
      </c>
      <c r="F1928" s="1446">
        <v>24.64</v>
      </c>
      <c r="G1928" s="1446"/>
      <c r="H1928" s="1447">
        <v>0.5</v>
      </c>
      <c r="I1928" s="1448">
        <f t="shared" si="80"/>
        <v>6.16</v>
      </c>
      <c r="J1928" s="1449"/>
      <c r="K1928" s="1439"/>
      <c r="L1928" s="1439"/>
      <c r="M1928" s="1439"/>
      <c r="N1928" s="1439"/>
      <c r="O1928" s="1439"/>
      <c r="P1928" s="1439"/>
      <c r="Q1928" s="1439"/>
      <c r="R1928" s="1439"/>
      <c r="S1928" s="1439"/>
      <c r="T1928" s="1439"/>
      <c r="U1928" s="1439"/>
      <c r="V1928" s="1439"/>
      <c r="W1928" s="1439"/>
      <c r="X1928" s="1439"/>
      <c r="Y1928" s="1439"/>
      <c r="Z1928" s="1439"/>
      <c r="AA1928" s="1439"/>
      <c r="AB1928" s="1439"/>
      <c r="AC1928" s="1439"/>
      <c r="AD1928" s="1439"/>
      <c r="AE1928" s="1439"/>
      <c r="AF1928" s="1439"/>
      <c r="AG1928" s="1439"/>
    </row>
    <row r="1929" spans="1:33" ht="15.75" customHeight="1">
      <c r="A1929" s="1443"/>
      <c r="B1929" s="1450" t="s">
        <v>3378</v>
      </c>
      <c r="C1929" s="1445">
        <v>2</v>
      </c>
      <c r="D1929" s="1445" t="s">
        <v>3364</v>
      </c>
      <c r="E1929" s="1445">
        <v>1</v>
      </c>
      <c r="F1929" s="1446">
        <v>24.64</v>
      </c>
      <c r="G1929" s="1446"/>
      <c r="H1929" s="1447">
        <v>0.1</v>
      </c>
      <c r="I1929" s="1448">
        <f t="shared" si="80"/>
        <v>4.93</v>
      </c>
      <c r="J1929" s="1449"/>
      <c r="K1929" s="1439"/>
      <c r="L1929" s="1439"/>
      <c r="M1929" s="1439"/>
      <c r="N1929" s="1439"/>
      <c r="O1929" s="1439"/>
      <c r="P1929" s="1439"/>
      <c r="Q1929" s="1439"/>
      <c r="R1929" s="1439"/>
      <c r="S1929" s="1439"/>
      <c r="T1929" s="1439"/>
      <c r="U1929" s="1439"/>
      <c r="V1929" s="1439"/>
      <c r="W1929" s="1439"/>
      <c r="X1929" s="1439"/>
      <c r="Y1929" s="1439"/>
      <c r="Z1929" s="1439"/>
      <c r="AA1929" s="1439"/>
      <c r="AB1929" s="1439"/>
      <c r="AC1929" s="1439"/>
      <c r="AD1929" s="1439"/>
      <c r="AE1929" s="1439"/>
      <c r="AF1929" s="1439"/>
      <c r="AG1929" s="1439"/>
    </row>
    <row r="1930" spans="1:33" ht="15.75" customHeight="1">
      <c r="A1930" s="1451"/>
      <c r="B1930" s="1456"/>
      <c r="C1930" s="1484"/>
      <c r="D1930" s="1484"/>
      <c r="E1930" s="1484"/>
      <c r="F1930" s="1446"/>
      <c r="G1930" s="1446"/>
      <c r="H1930" s="1460" t="s">
        <v>104</v>
      </c>
      <c r="I1930" s="1448">
        <f>SUM(I1899:I1929)</f>
        <v>639.59</v>
      </c>
      <c r="J1930" s="1475"/>
      <c r="K1930" s="1439"/>
      <c r="L1930" s="1439"/>
      <c r="M1930" s="1439"/>
      <c r="N1930" s="1439"/>
      <c r="O1930" s="1439"/>
      <c r="P1930" s="1439"/>
      <c r="Q1930" s="1439"/>
      <c r="R1930" s="1439"/>
      <c r="S1930" s="1439"/>
      <c r="T1930" s="1439"/>
      <c r="U1930" s="1439"/>
      <c r="V1930" s="1439"/>
      <c r="W1930" s="1439"/>
      <c r="X1930" s="1439"/>
      <c r="Y1930" s="1439"/>
      <c r="Z1930" s="1439"/>
      <c r="AA1930" s="1439"/>
      <c r="AB1930" s="1439"/>
      <c r="AC1930" s="1439"/>
      <c r="AD1930" s="1439"/>
      <c r="AE1930" s="1439"/>
      <c r="AF1930" s="1439"/>
      <c r="AG1930" s="1439"/>
    </row>
    <row r="1931" spans="1:33" ht="15.75" customHeight="1">
      <c r="A1931" s="1536"/>
      <c r="B1931" s="1456"/>
      <c r="C1931" s="1537"/>
      <c r="D1931" s="1537"/>
      <c r="E1931" s="1537"/>
      <c r="F1931" s="1458"/>
      <c r="G1931" s="1458"/>
      <c r="H1931" s="1460" t="s">
        <v>2981</v>
      </c>
      <c r="I1931" s="1459">
        <f>ROUNDUP(I1930,0.1)</f>
        <v>640</v>
      </c>
      <c r="J1931" s="1475" t="s">
        <v>724</v>
      </c>
      <c r="K1931" s="1466"/>
      <c r="L1931" s="1439"/>
      <c r="M1931" s="1439"/>
      <c r="N1931" s="1439"/>
      <c r="O1931" s="1466"/>
      <c r="P1931" s="1466"/>
      <c r="Q1931" s="1466"/>
      <c r="R1931" s="1466"/>
      <c r="S1931" s="1466"/>
      <c r="T1931" s="1466"/>
      <c r="U1931" s="1466"/>
      <c r="V1931" s="1466"/>
      <c r="W1931" s="1466"/>
      <c r="X1931" s="1466"/>
      <c r="Y1931" s="1466"/>
      <c r="Z1931" s="1466"/>
      <c r="AA1931" s="1466"/>
      <c r="AB1931" s="1466"/>
      <c r="AC1931" s="1466"/>
      <c r="AD1931" s="1466"/>
      <c r="AE1931" s="1466"/>
      <c r="AF1931" s="1466"/>
      <c r="AG1931" s="1466"/>
    </row>
    <row r="1932" spans="1:33" ht="63">
      <c r="A1932" s="1470"/>
      <c r="B1932" s="1450" t="s">
        <v>3558</v>
      </c>
      <c r="C1932" s="1484"/>
      <c r="D1932" s="1484"/>
      <c r="E1932" s="1484"/>
      <c r="F1932" s="1446"/>
      <c r="G1932" s="1446"/>
      <c r="H1932" s="1447"/>
      <c r="I1932" s="1448"/>
      <c r="J1932" s="1475"/>
      <c r="K1932" s="1439"/>
      <c r="L1932" s="1439"/>
      <c r="M1932" s="1439"/>
      <c r="N1932" s="1439"/>
      <c r="O1932" s="1439"/>
      <c r="P1932" s="1439"/>
      <c r="Q1932" s="1439"/>
      <c r="R1932" s="1439"/>
      <c r="S1932" s="1439"/>
      <c r="T1932" s="1439"/>
      <c r="U1932" s="1439"/>
      <c r="V1932" s="1439"/>
      <c r="W1932" s="1439"/>
      <c r="X1932" s="1439"/>
      <c r="Y1932" s="1439"/>
      <c r="Z1932" s="1439"/>
      <c r="AA1932" s="1439"/>
      <c r="AB1932" s="1439"/>
      <c r="AC1932" s="1439"/>
      <c r="AD1932" s="1439"/>
      <c r="AE1932" s="1439"/>
      <c r="AF1932" s="1439"/>
      <c r="AG1932" s="1439"/>
    </row>
    <row r="1933" spans="1:33" ht="15.75" customHeight="1">
      <c r="A1933" s="1451"/>
      <c r="B1933" s="1456" t="s">
        <v>7157</v>
      </c>
      <c r="C1933" s="1484"/>
      <c r="D1933" s="1484"/>
      <c r="E1933" s="1484"/>
      <c r="F1933" s="1446"/>
      <c r="G1933" s="1446"/>
      <c r="H1933" s="1447"/>
      <c r="I1933" s="1494"/>
      <c r="J1933" s="1492"/>
      <c r="K1933" s="1439"/>
      <c r="L1933" s="1439"/>
      <c r="M1933" s="1439"/>
      <c r="N1933" s="1439"/>
      <c r="O1933" s="1439"/>
      <c r="P1933" s="1439"/>
      <c r="Q1933" s="1439"/>
      <c r="R1933" s="1439"/>
      <c r="S1933" s="1439"/>
      <c r="T1933" s="1439"/>
      <c r="U1933" s="1439"/>
      <c r="V1933" s="1439"/>
      <c r="W1933" s="1439"/>
      <c r="X1933" s="1439"/>
      <c r="Y1933" s="1439"/>
      <c r="Z1933" s="1439"/>
      <c r="AA1933" s="1439"/>
      <c r="AB1933" s="1439"/>
      <c r="AC1933" s="1439"/>
      <c r="AD1933" s="1439"/>
      <c r="AE1933" s="1439"/>
      <c r="AF1933" s="1439"/>
      <c r="AG1933" s="1439"/>
    </row>
    <row r="1934" spans="1:33" ht="15.75" customHeight="1">
      <c r="A1934" s="1443"/>
      <c r="B1934" s="1455" t="s">
        <v>7547</v>
      </c>
      <c r="C1934" s="1445"/>
      <c r="D1934" s="1445"/>
      <c r="E1934" s="1445"/>
      <c r="F1934" s="1446"/>
      <c r="G1934" s="1446"/>
      <c r="H1934" s="1447"/>
      <c r="I1934" s="1448"/>
      <c r="J1934" s="1449"/>
      <c r="K1934" s="1439"/>
      <c r="L1934" s="1439"/>
      <c r="M1934" s="1439"/>
      <c r="N1934" s="1439"/>
      <c r="O1934" s="1439"/>
      <c r="P1934" s="1439"/>
      <c r="Q1934" s="1439"/>
      <c r="R1934" s="1439"/>
      <c r="S1934" s="1439"/>
      <c r="T1934" s="1439"/>
      <c r="U1934" s="1439"/>
      <c r="V1934" s="1439"/>
      <c r="W1934" s="1439"/>
      <c r="X1934" s="1439"/>
      <c r="Y1934" s="1439"/>
      <c r="Z1934" s="1439"/>
      <c r="AA1934" s="1439"/>
      <c r="AB1934" s="1439"/>
      <c r="AC1934" s="1439"/>
      <c r="AD1934" s="1439"/>
      <c r="AE1934" s="1439"/>
      <c r="AF1934" s="1439"/>
      <c r="AG1934" s="1439"/>
    </row>
    <row r="1935" spans="1:33" ht="15.75" customHeight="1">
      <c r="A1935" s="1443"/>
      <c r="B1935" s="1452" t="s">
        <v>7388</v>
      </c>
      <c r="C1935" s="1445">
        <v>2</v>
      </c>
      <c r="D1935" s="1445" t="s">
        <v>3364</v>
      </c>
      <c r="E1935" s="1445">
        <v>4</v>
      </c>
      <c r="F1935" s="1446">
        <v>27.89</v>
      </c>
      <c r="G1935" s="1446"/>
      <c r="H1935" s="1447">
        <v>0.4</v>
      </c>
      <c r="I1935" s="1448">
        <f t="shared" ref="I1935:I1998" si="82">PRODUCT(C1935:H1935)</f>
        <v>89.25</v>
      </c>
      <c r="J1935" s="1449"/>
      <c r="K1935" s="1439"/>
      <c r="L1935" s="1439"/>
      <c r="M1935" s="1439"/>
      <c r="N1935" s="1439"/>
      <c r="O1935" s="1439"/>
      <c r="P1935" s="1439"/>
      <c r="Q1935" s="1439"/>
      <c r="R1935" s="1439"/>
      <c r="S1935" s="1439"/>
      <c r="T1935" s="1439"/>
      <c r="U1935" s="1439"/>
      <c r="V1935" s="1439"/>
      <c r="W1935" s="1439"/>
      <c r="X1935" s="1439"/>
      <c r="Y1935" s="1439"/>
      <c r="Z1935" s="1439"/>
      <c r="AA1935" s="1439"/>
      <c r="AB1935" s="1439"/>
      <c r="AC1935" s="1439"/>
      <c r="AD1935" s="1439"/>
      <c r="AE1935" s="1439"/>
      <c r="AF1935" s="1439"/>
      <c r="AG1935" s="1439"/>
    </row>
    <row r="1936" spans="1:33" ht="15.75" customHeight="1">
      <c r="A1936" s="1443"/>
      <c r="B1936" s="1452" t="s">
        <v>7389</v>
      </c>
      <c r="C1936" s="1445">
        <v>2</v>
      </c>
      <c r="D1936" s="1445" t="s">
        <v>3364</v>
      </c>
      <c r="E1936" s="1445">
        <v>1</v>
      </c>
      <c r="F1936" s="1446">
        <f>2.53+0.46</f>
        <v>2.99</v>
      </c>
      <c r="G1936" s="1446"/>
      <c r="H1936" s="1447">
        <v>0.4</v>
      </c>
      <c r="I1936" s="1448">
        <f t="shared" si="82"/>
        <v>2.39</v>
      </c>
      <c r="J1936" s="1449"/>
      <c r="K1936" s="1439"/>
      <c r="L1936" s="1439"/>
      <c r="M1936" s="1439"/>
      <c r="N1936" s="1439"/>
      <c r="O1936" s="1439"/>
      <c r="P1936" s="1439"/>
      <c r="Q1936" s="1439"/>
      <c r="R1936" s="1439"/>
      <c r="S1936" s="1439"/>
      <c r="T1936" s="1439"/>
      <c r="U1936" s="1439"/>
      <c r="V1936" s="1439"/>
      <c r="W1936" s="1439"/>
      <c r="X1936" s="1439"/>
      <c r="Y1936" s="1439"/>
      <c r="Z1936" s="1439"/>
      <c r="AA1936" s="1439"/>
      <c r="AB1936" s="1439"/>
      <c r="AC1936" s="1439"/>
      <c r="AD1936" s="1439"/>
      <c r="AE1936" s="1439"/>
      <c r="AF1936" s="1439"/>
      <c r="AG1936" s="1439"/>
    </row>
    <row r="1937" spans="1:33" ht="15.75" customHeight="1">
      <c r="A1937" s="1443"/>
      <c r="B1937" s="1452" t="s">
        <v>7390</v>
      </c>
      <c r="C1937" s="1445">
        <v>2</v>
      </c>
      <c r="D1937" s="1453" t="s">
        <v>3827</v>
      </c>
      <c r="E1937" s="1445">
        <v>1</v>
      </c>
      <c r="F1937" s="1446">
        <f>4.765+1.13+2.53+0.23</f>
        <v>8.6549999999999994</v>
      </c>
      <c r="G1937" s="1446"/>
      <c r="H1937" s="1447">
        <v>0.4</v>
      </c>
      <c r="I1937" s="1448">
        <f t="shared" si="82"/>
        <v>6.92</v>
      </c>
      <c r="J1937" s="1449"/>
      <c r="K1937" s="1439"/>
      <c r="L1937" s="1439"/>
      <c r="M1937" s="1439"/>
      <c r="N1937" s="1439"/>
      <c r="O1937" s="1439"/>
      <c r="P1937" s="1439"/>
      <c r="Q1937" s="1439"/>
      <c r="R1937" s="1439"/>
      <c r="S1937" s="1439"/>
      <c r="T1937" s="1439"/>
      <c r="U1937" s="1439"/>
      <c r="V1937" s="1439"/>
      <c r="W1937" s="1439"/>
      <c r="X1937" s="1439"/>
      <c r="Y1937" s="1439"/>
      <c r="Z1937" s="1439"/>
      <c r="AA1937" s="1439"/>
      <c r="AB1937" s="1439"/>
      <c r="AC1937" s="1439"/>
      <c r="AD1937" s="1439"/>
      <c r="AE1937" s="1439"/>
      <c r="AF1937" s="1439"/>
      <c r="AG1937" s="1439"/>
    </row>
    <row r="1938" spans="1:33" ht="15.75" customHeight="1">
      <c r="A1938" s="1443"/>
      <c r="B1938" s="1452" t="s">
        <v>7388</v>
      </c>
      <c r="C1938" s="1445">
        <v>1</v>
      </c>
      <c r="D1938" s="1445" t="s">
        <v>3364</v>
      </c>
      <c r="E1938" s="1445">
        <v>4</v>
      </c>
      <c r="F1938" s="1446">
        <v>27.89</v>
      </c>
      <c r="G1938" s="1446">
        <v>0.23</v>
      </c>
      <c r="H1938" s="1447"/>
      <c r="I1938" s="1448">
        <f t="shared" si="82"/>
        <v>25.66</v>
      </c>
      <c r="J1938" s="1449"/>
      <c r="K1938" s="1439"/>
      <c r="L1938" s="1439"/>
      <c r="M1938" s="1439"/>
      <c r="N1938" s="1439"/>
      <c r="O1938" s="1439"/>
      <c r="P1938" s="1439"/>
      <c r="Q1938" s="1439"/>
      <c r="R1938" s="1439"/>
      <c r="S1938" s="1439"/>
      <c r="T1938" s="1439"/>
      <c r="U1938" s="1439"/>
      <c r="V1938" s="1439"/>
      <c r="W1938" s="1439"/>
      <c r="X1938" s="1439"/>
      <c r="Y1938" s="1439"/>
      <c r="Z1938" s="1439"/>
      <c r="AA1938" s="1439"/>
      <c r="AB1938" s="1439"/>
      <c r="AC1938" s="1439"/>
      <c r="AD1938" s="1439"/>
      <c r="AE1938" s="1439"/>
      <c r="AF1938" s="1439"/>
      <c r="AG1938" s="1439"/>
    </row>
    <row r="1939" spans="1:33" ht="15.75" customHeight="1">
      <c r="A1939" s="1443"/>
      <c r="B1939" s="1452" t="s">
        <v>7389</v>
      </c>
      <c r="C1939" s="1445">
        <v>1</v>
      </c>
      <c r="D1939" s="1445" t="s">
        <v>3364</v>
      </c>
      <c r="E1939" s="1445">
        <v>1</v>
      </c>
      <c r="F1939" s="1446">
        <f>2.53+0.46</f>
        <v>2.99</v>
      </c>
      <c r="G1939" s="1446">
        <v>0.23</v>
      </c>
      <c r="H1939" s="1447"/>
      <c r="I1939" s="1448">
        <f t="shared" si="82"/>
        <v>0.69</v>
      </c>
      <c r="J1939" s="1449"/>
      <c r="K1939" s="1439"/>
      <c r="L1939" s="1439"/>
      <c r="M1939" s="1439"/>
      <c r="N1939" s="1439"/>
      <c r="O1939" s="1439"/>
      <c r="P1939" s="1439"/>
      <c r="Q1939" s="1439"/>
      <c r="R1939" s="1439"/>
      <c r="S1939" s="1439"/>
      <c r="T1939" s="1439"/>
      <c r="U1939" s="1439"/>
      <c r="V1939" s="1439"/>
      <c r="W1939" s="1439"/>
      <c r="X1939" s="1439"/>
      <c r="Y1939" s="1439"/>
      <c r="Z1939" s="1439"/>
      <c r="AA1939" s="1439"/>
      <c r="AB1939" s="1439"/>
      <c r="AC1939" s="1439"/>
      <c r="AD1939" s="1439"/>
      <c r="AE1939" s="1439"/>
      <c r="AF1939" s="1439"/>
      <c r="AG1939" s="1439"/>
    </row>
    <row r="1940" spans="1:33" ht="15.75" customHeight="1">
      <c r="A1940" s="1443"/>
      <c r="B1940" s="1452" t="s">
        <v>7390</v>
      </c>
      <c r="C1940" s="1445">
        <v>1</v>
      </c>
      <c r="D1940" s="1453" t="s">
        <v>3827</v>
      </c>
      <c r="E1940" s="1445">
        <v>1</v>
      </c>
      <c r="F1940" s="1446">
        <f>4.765+1.13+2.53+0.23</f>
        <v>8.6549999999999994</v>
      </c>
      <c r="G1940" s="1446">
        <v>0.23</v>
      </c>
      <c r="H1940" s="1447"/>
      <c r="I1940" s="1448">
        <f t="shared" si="82"/>
        <v>1.99</v>
      </c>
      <c r="J1940" s="1449"/>
      <c r="K1940" s="1439"/>
      <c r="L1940" s="1439"/>
      <c r="M1940" s="1439"/>
      <c r="N1940" s="1439"/>
      <c r="O1940" s="1439"/>
      <c r="P1940" s="1439"/>
      <c r="Q1940" s="1439"/>
      <c r="R1940" s="1439"/>
      <c r="S1940" s="1439"/>
      <c r="T1940" s="1439"/>
      <c r="U1940" s="1439"/>
      <c r="V1940" s="1439"/>
      <c r="W1940" s="1439"/>
      <c r="X1940" s="1439"/>
      <c r="Y1940" s="1439"/>
      <c r="Z1940" s="1439"/>
      <c r="AA1940" s="1439"/>
      <c r="AB1940" s="1439"/>
      <c r="AC1940" s="1439"/>
      <c r="AD1940" s="1439"/>
      <c r="AE1940" s="1439"/>
      <c r="AF1940" s="1439"/>
      <c r="AG1940" s="1439"/>
    </row>
    <row r="1941" spans="1:33" ht="15.75" customHeight="1">
      <c r="A1941" s="1443"/>
      <c r="B1941" s="1455" t="s">
        <v>7548</v>
      </c>
      <c r="C1941" s="1445"/>
      <c r="D1941" s="1445"/>
      <c r="E1941" s="1445"/>
      <c r="F1941" s="1446"/>
      <c r="G1941" s="1446"/>
      <c r="H1941" s="1447"/>
      <c r="I1941" s="1448">
        <f t="shared" si="82"/>
        <v>0</v>
      </c>
      <c r="J1941" s="1449"/>
      <c r="K1941" s="1439"/>
      <c r="L1941" s="1439"/>
      <c r="M1941" s="1439"/>
      <c r="N1941" s="1439"/>
      <c r="O1941" s="1439"/>
      <c r="P1941" s="1439"/>
      <c r="Q1941" s="1439"/>
      <c r="R1941" s="1439"/>
      <c r="S1941" s="1439"/>
      <c r="T1941" s="1439"/>
      <c r="U1941" s="1439"/>
      <c r="V1941" s="1439"/>
      <c r="W1941" s="1439"/>
      <c r="X1941" s="1439"/>
      <c r="Y1941" s="1439"/>
      <c r="Z1941" s="1439"/>
      <c r="AA1941" s="1439"/>
      <c r="AB1941" s="1439"/>
      <c r="AC1941" s="1439"/>
      <c r="AD1941" s="1439"/>
      <c r="AE1941" s="1439"/>
      <c r="AF1941" s="1439"/>
      <c r="AG1941" s="1439"/>
    </row>
    <row r="1942" spans="1:33" ht="15.75" customHeight="1">
      <c r="A1942" s="1443"/>
      <c r="B1942" s="1452" t="s">
        <v>7037</v>
      </c>
      <c r="C1942" s="1445">
        <v>2</v>
      </c>
      <c r="D1942" s="1445" t="s">
        <v>3364</v>
      </c>
      <c r="E1942" s="1445">
        <v>7</v>
      </c>
      <c r="F1942" s="1446">
        <v>18.079999999999998</v>
      </c>
      <c r="G1942" s="1446"/>
      <c r="H1942" s="1447">
        <v>0.4</v>
      </c>
      <c r="I1942" s="1448">
        <f t="shared" si="82"/>
        <v>101.25</v>
      </c>
      <c r="J1942" s="1449"/>
      <c r="K1942" s="1439"/>
      <c r="L1942" s="1439"/>
      <c r="M1942" s="1439"/>
      <c r="N1942" s="1439"/>
      <c r="O1942" s="1439"/>
      <c r="P1942" s="1439"/>
      <c r="Q1942" s="1439"/>
      <c r="R1942" s="1439"/>
      <c r="S1942" s="1439"/>
      <c r="T1942" s="1439"/>
      <c r="U1942" s="1439"/>
      <c r="V1942" s="1439"/>
      <c r="W1942" s="1439"/>
      <c r="X1942" s="1439"/>
      <c r="Y1942" s="1439"/>
      <c r="Z1942" s="1439"/>
      <c r="AA1942" s="1439"/>
      <c r="AB1942" s="1439"/>
      <c r="AC1942" s="1439"/>
      <c r="AD1942" s="1439"/>
      <c r="AE1942" s="1439"/>
      <c r="AF1942" s="1439"/>
      <c r="AG1942" s="1439"/>
    </row>
    <row r="1943" spans="1:33" ht="15.75" customHeight="1">
      <c r="A1943" s="1443"/>
      <c r="B1943" s="1452" t="s">
        <v>7391</v>
      </c>
      <c r="C1943" s="1445">
        <v>2</v>
      </c>
      <c r="D1943" s="1445" t="s">
        <v>3364</v>
      </c>
      <c r="E1943" s="1445">
        <v>4</v>
      </c>
      <c r="F1943" s="1446">
        <v>1.54</v>
      </c>
      <c r="G1943" s="1446"/>
      <c r="H1943" s="1447">
        <v>0.4</v>
      </c>
      <c r="I1943" s="1448">
        <f t="shared" si="82"/>
        <v>4.93</v>
      </c>
      <c r="J1943" s="1449"/>
      <c r="K1943" s="1439"/>
      <c r="L1943" s="1439"/>
      <c r="M1943" s="1439"/>
      <c r="N1943" s="1439"/>
      <c r="O1943" s="1439"/>
      <c r="P1943" s="1439"/>
      <c r="Q1943" s="1439"/>
      <c r="R1943" s="1439"/>
      <c r="S1943" s="1439"/>
      <c r="T1943" s="1439"/>
      <c r="U1943" s="1439"/>
      <c r="V1943" s="1439"/>
      <c r="W1943" s="1439"/>
      <c r="X1943" s="1439"/>
      <c r="Y1943" s="1439"/>
      <c r="Z1943" s="1439"/>
      <c r="AA1943" s="1439"/>
      <c r="AB1943" s="1439"/>
      <c r="AC1943" s="1439"/>
      <c r="AD1943" s="1439"/>
      <c r="AE1943" s="1439"/>
      <c r="AF1943" s="1439"/>
      <c r="AG1943" s="1439"/>
    </row>
    <row r="1944" spans="1:33" ht="15.75" customHeight="1">
      <c r="A1944" s="1443"/>
      <c r="B1944" s="1452" t="s">
        <v>7392</v>
      </c>
      <c r="C1944" s="1445">
        <v>2</v>
      </c>
      <c r="D1944" s="1445" t="s">
        <v>3364</v>
      </c>
      <c r="E1944" s="1445">
        <v>1</v>
      </c>
      <c r="F1944" s="1446">
        <v>2.3849999999999998</v>
      </c>
      <c r="G1944" s="1446"/>
      <c r="H1944" s="1447">
        <v>0.4</v>
      </c>
      <c r="I1944" s="1448">
        <f t="shared" si="82"/>
        <v>1.91</v>
      </c>
      <c r="J1944" s="1449"/>
      <c r="K1944" s="1439"/>
      <c r="L1944" s="1439"/>
      <c r="M1944" s="1439"/>
      <c r="N1944" s="1439"/>
      <c r="O1944" s="1439"/>
      <c r="P1944" s="1439"/>
      <c r="Q1944" s="1439"/>
      <c r="R1944" s="1439"/>
      <c r="S1944" s="1439"/>
      <c r="T1944" s="1439"/>
      <c r="U1944" s="1439"/>
      <c r="V1944" s="1439"/>
      <c r="W1944" s="1439"/>
      <c r="X1944" s="1439"/>
      <c r="Y1944" s="1439"/>
      <c r="Z1944" s="1439"/>
      <c r="AA1944" s="1439"/>
      <c r="AB1944" s="1439"/>
      <c r="AC1944" s="1439"/>
      <c r="AD1944" s="1439"/>
      <c r="AE1944" s="1439"/>
      <c r="AF1944" s="1439"/>
      <c r="AG1944" s="1439"/>
    </row>
    <row r="1945" spans="1:33" ht="15.75" customHeight="1">
      <c r="A1945" s="1443"/>
      <c r="B1945" s="1450" t="s">
        <v>7039</v>
      </c>
      <c r="C1945" s="1445">
        <v>2</v>
      </c>
      <c r="D1945" s="1445" t="s">
        <v>3364</v>
      </c>
      <c r="E1945" s="1445">
        <v>1</v>
      </c>
      <c r="F1945" s="1446">
        <f>8.82+0.46</f>
        <v>9.2799999999999994</v>
      </c>
      <c r="G1945" s="1446"/>
      <c r="H1945" s="1447">
        <v>0.4</v>
      </c>
      <c r="I1945" s="1448">
        <f t="shared" si="82"/>
        <v>7.42</v>
      </c>
      <c r="J1945" s="1449"/>
      <c r="K1945" s="1439"/>
      <c r="L1945" s="1439"/>
      <c r="M1945" s="1439"/>
      <c r="N1945" s="1439"/>
      <c r="O1945" s="1439"/>
      <c r="P1945" s="1439"/>
      <c r="Q1945" s="1439"/>
      <c r="R1945" s="1439"/>
      <c r="S1945" s="1439"/>
      <c r="T1945" s="1439"/>
      <c r="U1945" s="1439"/>
      <c r="V1945" s="1439"/>
      <c r="W1945" s="1439"/>
      <c r="X1945" s="1439"/>
      <c r="Y1945" s="1439"/>
      <c r="Z1945" s="1439"/>
      <c r="AA1945" s="1439"/>
      <c r="AB1945" s="1439"/>
      <c r="AC1945" s="1439"/>
      <c r="AD1945" s="1439"/>
      <c r="AE1945" s="1439"/>
      <c r="AF1945" s="1439"/>
      <c r="AG1945" s="1439"/>
    </row>
    <row r="1946" spans="1:33" ht="15.75" customHeight="1">
      <c r="A1946" s="1443"/>
      <c r="B1946" s="1450" t="s">
        <v>7040</v>
      </c>
      <c r="C1946" s="1445">
        <v>2</v>
      </c>
      <c r="D1946" s="1445" t="s">
        <v>3364</v>
      </c>
      <c r="E1946" s="1445">
        <v>1</v>
      </c>
      <c r="F1946" s="1446">
        <v>3.3460000000000001</v>
      </c>
      <c r="G1946" s="1446"/>
      <c r="H1946" s="1447">
        <v>0.4</v>
      </c>
      <c r="I1946" s="1448">
        <f t="shared" si="82"/>
        <v>2.68</v>
      </c>
      <c r="J1946" s="1449"/>
      <c r="K1946" s="1439"/>
      <c r="L1946" s="1439"/>
      <c r="M1946" s="1439"/>
      <c r="N1946" s="1439"/>
      <c r="O1946" s="1439"/>
      <c r="P1946" s="1439"/>
      <c r="Q1946" s="1439"/>
      <c r="R1946" s="1439"/>
      <c r="S1946" s="1439"/>
      <c r="T1946" s="1439"/>
      <c r="U1946" s="1439"/>
      <c r="V1946" s="1439"/>
      <c r="W1946" s="1439"/>
      <c r="X1946" s="1439"/>
      <c r="Y1946" s="1439"/>
      <c r="Z1946" s="1439"/>
      <c r="AA1946" s="1439"/>
      <c r="AB1946" s="1439"/>
      <c r="AC1946" s="1439"/>
      <c r="AD1946" s="1439"/>
      <c r="AE1946" s="1439"/>
      <c r="AF1946" s="1439"/>
      <c r="AG1946" s="1439"/>
    </row>
    <row r="1947" spans="1:33" ht="15.75" customHeight="1">
      <c r="A1947" s="1443"/>
      <c r="B1947" s="1452" t="s">
        <v>7393</v>
      </c>
      <c r="C1947" s="1445">
        <v>2</v>
      </c>
      <c r="D1947" s="1453" t="s">
        <v>3364</v>
      </c>
      <c r="E1947" s="1445">
        <v>6</v>
      </c>
      <c r="F1947" s="1446">
        <v>0.9</v>
      </c>
      <c r="G1947" s="1446"/>
      <c r="H1947" s="1447">
        <v>0.2</v>
      </c>
      <c r="I1947" s="1448">
        <f t="shared" si="82"/>
        <v>2.16</v>
      </c>
      <c r="J1947" s="1449"/>
      <c r="K1947" s="1439"/>
      <c r="L1947" s="1439"/>
      <c r="M1947" s="1439"/>
      <c r="N1947" s="1439"/>
      <c r="O1947" s="1439"/>
      <c r="P1947" s="1439"/>
      <c r="Q1947" s="1439"/>
      <c r="R1947" s="1439"/>
      <c r="S1947" s="1439"/>
      <c r="T1947" s="1439"/>
      <c r="U1947" s="1439"/>
      <c r="V1947" s="1439"/>
      <c r="W1947" s="1439"/>
      <c r="X1947" s="1439"/>
      <c r="Y1947" s="1439"/>
      <c r="Z1947" s="1439"/>
      <c r="AA1947" s="1439"/>
      <c r="AB1947" s="1439"/>
      <c r="AC1947" s="1439"/>
      <c r="AD1947" s="1439"/>
      <c r="AE1947" s="1439"/>
      <c r="AF1947" s="1439"/>
      <c r="AG1947" s="1439"/>
    </row>
    <row r="1948" spans="1:33" ht="15.75" customHeight="1">
      <c r="A1948" s="1443"/>
      <c r="B1948" s="1452" t="s">
        <v>7037</v>
      </c>
      <c r="C1948" s="1445">
        <v>1</v>
      </c>
      <c r="D1948" s="1445" t="s">
        <v>3364</v>
      </c>
      <c r="E1948" s="1445">
        <v>7</v>
      </c>
      <c r="F1948" s="1446">
        <v>18.079999999999998</v>
      </c>
      <c r="G1948" s="1446">
        <v>0.23</v>
      </c>
      <c r="H1948" s="1447"/>
      <c r="I1948" s="1448">
        <f t="shared" si="82"/>
        <v>29.11</v>
      </c>
      <c r="J1948" s="1449"/>
      <c r="K1948" s="1439"/>
      <c r="L1948" s="1439"/>
      <c r="M1948" s="1439"/>
      <c r="N1948" s="1439"/>
      <c r="O1948" s="1439"/>
      <c r="P1948" s="1439"/>
      <c r="Q1948" s="1439"/>
      <c r="R1948" s="1439"/>
      <c r="S1948" s="1439"/>
      <c r="T1948" s="1439"/>
      <c r="U1948" s="1439"/>
      <c r="V1948" s="1439"/>
      <c r="W1948" s="1439"/>
      <c r="X1948" s="1439"/>
      <c r="Y1948" s="1439"/>
      <c r="Z1948" s="1439"/>
      <c r="AA1948" s="1439"/>
      <c r="AB1948" s="1439"/>
      <c r="AC1948" s="1439"/>
      <c r="AD1948" s="1439"/>
      <c r="AE1948" s="1439"/>
      <c r="AF1948" s="1439"/>
      <c r="AG1948" s="1439"/>
    </row>
    <row r="1949" spans="1:33" ht="15.75" customHeight="1">
      <c r="A1949" s="1443"/>
      <c r="B1949" s="1452" t="s">
        <v>7391</v>
      </c>
      <c r="C1949" s="1445">
        <v>2</v>
      </c>
      <c r="D1949" s="1445" t="s">
        <v>3364</v>
      </c>
      <c r="E1949" s="1445">
        <v>4</v>
      </c>
      <c r="F1949" s="1446">
        <v>1.54</v>
      </c>
      <c r="G1949" s="1446">
        <v>0.23</v>
      </c>
      <c r="H1949" s="1447"/>
      <c r="I1949" s="1448">
        <f t="shared" si="82"/>
        <v>2.83</v>
      </c>
      <c r="J1949" s="1449"/>
      <c r="K1949" s="1439"/>
      <c r="L1949" s="1439"/>
      <c r="M1949" s="1439"/>
      <c r="N1949" s="1439"/>
      <c r="O1949" s="1439"/>
      <c r="P1949" s="1439"/>
      <c r="Q1949" s="1439"/>
      <c r="R1949" s="1439"/>
      <c r="S1949" s="1439"/>
      <c r="T1949" s="1439"/>
      <c r="U1949" s="1439"/>
      <c r="V1949" s="1439"/>
      <c r="W1949" s="1439"/>
      <c r="X1949" s="1439"/>
      <c r="Y1949" s="1439"/>
      <c r="Z1949" s="1439"/>
      <c r="AA1949" s="1439"/>
      <c r="AB1949" s="1439"/>
      <c r="AC1949" s="1439"/>
      <c r="AD1949" s="1439"/>
      <c r="AE1949" s="1439"/>
      <c r="AF1949" s="1439"/>
      <c r="AG1949" s="1439"/>
    </row>
    <row r="1950" spans="1:33" ht="15.75" customHeight="1">
      <c r="A1950" s="1443"/>
      <c r="B1950" s="1452" t="s">
        <v>7392</v>
      </c>
      <c r="C1950" s="1445">
        <v>2</v>
      </c>
      <c r="D1950" s="1445" t="s">
        <v>3364</v>
      </c>
      <c r="E1950" s="1445">
        <v>1</v>
      </c>
      <c r="F1950" s="1446">
        <v>2.3849999999999998</v>
      </c>
      <c r="G1950" s="1446">
        <v>0.23</v>
      </c>
      <c r="H1950" s="1447"/>
      <c r="I1950" s="1448">
        <f t="shared" si="82"/>
        <v>1.1000000000000001</v>
      </c>
      <c r="J1950" s="1449"/>
      <c r="K1950" s="1439"/>
      <c r="L1950" s="1439"/>
      <c r="M1950" s="1439"/>
      <c r="N1950" s="1439"/>
      <c r="O1950" s="1439"/>
      <c r="P1950" s="1439"/>
      <c r="Q1950" s="1439"/>
      <c r="R1950" s="1439"/>
      <c r="S1950" s="1439"/>
      <c r="T1950" s="1439"/>
      <c r="U1950" s="1439"/>
      <c r="V1950" s="1439"/>
      <c r="W1950" s="1439"/>
      <c r="X1950" s="1439"/>
      <c r="Y1950" s="1439"/>
      <c r="Z1950" s="1439"/>
      <c r="AA1950" s="1439"/>
      <c r="AB1950" s="1439"/>
      <c r="AC1950" s="1439"/>
      <c r="AD1950" s="1439"/>
      <c r="AE1950" s="1439"/>
      <c r="AF1950" s="1439"/>
      <c r="AG1950" s="1439"/>
    </row>
    <row r="1951" spans="1:33" ht="15.75" customHeight="1">
      <c r="A1951" s="1443"/>
      <c r="B1951" s="1450" t="s">
        <v>7039</v>
      </c>
      <c r="C1951" s="1445">
        <v>1</v>
      </c>
      <c r="D1951" s="1445" t="s">
        <v>3364</v>
      </c>
      <c r="E1951" s="1445">
        <v>1</v>
      </c>
      <c r="F1951" s="1446">
        <f>8.82+0.46</f>
        <v>9.2799999999999994</v>
      </c>
      <c r="G1951" s="1446">
        <v>0.23</v>
      </c>
      <c r="H1951" s="1447"/>
      <c r="I1951" s="1448">
        <f t="shared" si="82"/>
        <v>2.13</v>
      </c>
      <c r="J1951" s="1449"/>
      <c r="K1951" s="1439"/>
      <c r="L1951" s="1439"/>
      <c r="M1951" s="1439"/>
      <c r="N1951" s="1439"/>
      <c r="O1951" s="1439"/>
      <c r="P1951" s="1439"/>
      <c r="Q1951" s="1439"/>
      <c r="R1951" s="1439"/>
      <c r="S1951" s="1439"/>
      <c r="T1951" s="1439"/>
      <c r="U1951" s="1439"/>
      <c r="V1951" s="1439"/>
      <c r="W1951" s="1439"/>
      <c r="X1951" s="1439"/>
      <c r="Y1951" s="1439"/>
      <c r="Z1951" s="1439"/>
      <c r="AA1951" s="1439"/>
      <c r="AB1951" s="1439"/>
      <c r="AC1951" s="1439"/>
      <c r="AD1951" s="1439"/>
      <c r="AE1951" s="1439"/>
      <c r="AF1951" s="1439"/>
      <c r="AG1951" s="1439"/>
    </row>
    <row r="1952" spans="1:33" ht="15.75" customHeight="1">
      <c r="A1952" s="1443"/>
      <c r="B1952" s="1450" t="s">
        <v>7040</v>
      </c>
      <c r="C1952" s="1445">
        <v>1</v>
      </c>
      <c r="D1952" s="1445" t="s">
        <v>3364</v>
      </c>
      <c r="E1952" s="1445">
        <v>1</v>
      </c>
      <c r="F1952" s="1446">
        <v>3.3460000000000001</v>
      </c>
      <c r="G1952" s="1446">
        <v>0.23</v>
      </c>
      <c r="H1952" s="1447"/>
      <c r="I1952" s="1448">
        <f t="shared" si="82"/>
        <v>0.77</v>
      </c>
      <c r="J1952" s="1449"/>
      <c r="K1952" s="1439"/>
      <c r="L1952" s="1439"/>
      <c r="M1952" s="1439"/>
      <c r="N1952" s="1439"/>
      <c r="O1952" s="1439"/>
      <c r="P1952" s="1439"/>
      <c r="Q1952" s="1439"/>
      <c r="R1952" s="1439"/>
      <c r="S1952" s="1439"/>
      <c r="T1952" s="1439"/>
      <c r="U1952" s="1439"/>
      <c r="V1952" s="1439"/>
      <c r="W1952" s="1439"/>
      <c r="X1952" s="1439"/>
      <c r="Y1952" s="1439"/>
      <c r="Z1952" s="1439"/>
      <c r="AA1952" s="1439"/>
      <c r="AB1952" s="1439"/>
      <c r="AC1952" s="1439"/>
      <c r="AD1952" s="1439"/>
      <c r="AE1952" s="1439"/>
      <c r="AF1952" s="1439"/>
      <c r="AG1952" s="1439"/>
    </row>
    <row r="1953" spans="1:33" ht="15.75" customHeight="1">
      <c r="A1953" s="1443"/>
      <c r="B1953" s="1452" t="s">
        <v>7393</v>
      </c>
      <c r="C1953" s="1445">
        <v>2</v>
      </c>
      <c r="D1953" s="1453" t="s">
        <v>3364</v>
      </c>
      <c r="E1953" s="1445">
        <v>6</v>
      </c>
      <c r="F1953" s="1446">
        <v>0.9</v>
      </c>
      <c r="G1953" s="1446"/>
      <c r="H1953" s="1447">
        <v>0.2</v>
      </c>
      <c r="I1953" s="1448">
        <f t="shared" si="82"/>
        <v>2.16</v>
      </c>
      <c r="J1953" s="1449"/>
      <c r="K1953" s="1439"/>
      <c r="L1953" s="1439"/>
      <c r="M1953" s="1439"/>
      <c r="N1953" s="1439"/>
      <c r="O1953" s="1439"/>
      <c r="P1953" s="1439"/>
      <c r="Q1953" s="1439"/>
      <c r="R1953" s="1439"/>
      <c r="S1953" s="1439"/>
      <c r="T1953" s="1439"/>
      <c r="U1953" s="1439"/>
      <c r="V1953" s="1439"/>
      <c r="W1953" s="1439"/>
      <c r="X1953" s="1439"/>
      <c r="Y1953" s="1439"/>
      <c r="Z1953" s="1439"/>
      <c r="AA1953" s="1439"/>
      <c r="AB1953" s="1439"/>
      <c r="AC1953" s="1439"/>
      <c r="AD1953" s="1439"/>
      <c r="AE1953" s="1439"/>
      <c r="AF1953" s="1439"/>
      <c r="AG1953" s="1439"/>
    </row>
    <row r="1954" spans="1:33" ht="15.75" customHeight="1">
      <c r="A1954" s="1494"/>
      <c r="B1954" s="1482" t="s">
        <v>7545</v>
      </c>
      <c r="C1954" s="1445">
        <v>5</v>
      </c>
      <c r="D1954" s="1447" t="s">
        <v>3364</v>
      </c>
      <c r="E1954" s="1445">
        <v>1</v>
      </c>
      <c r="F1954" s="1446">
        <v>17</v>
      </c>
      <c r="G1954" s="1446">
        <v>4.5</v>
      </c>
      <c r="H1954" s="1447"/>
      <c r="I1954" s="1448">
        <f t="shared" si="82"/>
        <v>382.5</v>
      </c>
      <c r="J1954" s="1527"/>
      <c r="K1954" s="1481"/>
      <c r="L1954" s="1481"/>
      <c r="M1954" s="1481"/>
      <c r="N1954" s="1481"/>
      <c r="O1954" s="1481"/>
      <c r="P1954" s="1481"/>
      <c r="Q1954" s="1481"/>
      <c r="R1954" s="1481"/>
      <c r="S1954" s="1481"/>
      <c r="T1954" s="1481"/>
      <c r="U1954" s="1481"/>
      <c r="V1954" s="1481"/>
      <c r="W1954" s="1481"/>
      <c r="X1954" s="1481"/>
      <c r="Y1954" s="1481"/>
      <c r="Z1954" s="1481"/>
      <c r="AA1954" s="1481"/>
      <c r="AB1954" s="1481"/>
      <c r="AC1954" s="1481"/>
      <c r="AD1954" s="1481"/>
      <c r="AE1954" s="1481"/>
      <c r="AF1954" s="1481"/>
      <c r="AG1954" s="1481"/>
    </row>
    <row r="1955" spans="1:33" ht="15.75" customHeight="1">
      <c r="A1955" s="1494"/>
      <c r="B1955" s="1482" t="s">
        <v>7495</v>
      </c>
      <c r="C1955" s="1445">
        <v>1</v>
      </c>
      <c r="D1955" s="1447" t="s">
        <v>3364</v>
      </c>
      <c r="E1955" s="1445">
        <v>1</v>
      </c>
      <c r="F1955" s="1446">
        <v>3.2</v>
      </c>
      <c r="G1955" s="1446">
        <v>1.5</v>
      </c>
      <c r="H1955" s="1447"/>
      <c r="I1955" s="1448">
        <f t="shared" si="82"/>
        <v>4.8</v>
      </c>
      <c r="J1955" s="1527"/>
      <c r="K1955" s="1481"/>
      <c r="L1955" s="1481"/>
      <c r="M1955" s="1481"/>
      <c r="N1955" s="1481"/>
      <c r="O1955" s="1481"/>
      <c r="P1955" s="1481"/>
      <c r="Q1955" s="1481"/>
      <c r="R1955" s="1481"/>
      <c r="S1955" s="1481"/>
      <c r="T1955" s="1481"/>
      <c r="U1955" s="1481"/>
      <c r="V1955" s="1481"/>
      <c r="W1955" s="1481"/>
      <c r="X1955" s="1481"/>
      <c r="Y1955" s="1481"/>
      <c r="Z1955" s="1481"/>
      <c r="AA1955" s="1481"/>
      <c r="AB1955" s="1481"/>
      <c r="AC1955" s="1481"/>
      <c r="AD1955" s="1481"/>
      <c r="AE1955" s="1481"/>
      <c r="AF1955" s="1481"/>
      <c r="AG1955" s="1481"/>
    </row>
    <row r="1956" spans="1:33" ht="15.75" customHeight="1">
      <c r="A1956" s="1494"/>
      <c r="B1956" s="1482" t="s">
        <v>7529</v>
      </c>
      <c r="C1956" s="1445">
        <v>2</v>
      </c>
      <c r="D1956" s="1447" t="s">
        <v>3364</v>
      </c>
      <c r="E1956" s="1445">
        <v>1</v>
      </c>
      <c r="F1956" s="1446">
        <v>2.4</v>
      </c>
      <c r="G1956" s="1446">
        <v>1.5</v>
      </c>
      <c r="H1956" s="1447"/>
      <c r="I1956" s="1448">
        <f t="shared" si="82"/>
        <v>7.2</v>
      </c>
      <c r="J1956" s="1527"/>
      <c r="K1956" s="1481"/>
      <c r="L1956" s="1481"/>
      <c r="M1956" s="1481"/>
      <c r="N1956" s="1481"/>
      <c r="O1956" s="1481"/>
      <c r="P1956" s="1481"/>
      <c r="Q1956" s="1481"/>
      <c r="R1956" s="1481"/>
      <c r="S1956" s="1481"/>
      <c r="T1956" s="1481"/>
      <c r="U1956" s="1481"/>
      <c r="V1956" s="1481"/>
      <c r="W1956" s="1481"/>
      <c r="X1956" s="1481"/>
      <c r="Y1956" s="1481"/>
      <c r="Z1956" s="1481"/>
      <c r="AA1956" s="1481"/>
      <c r="AB1956" s="1481"/>
      <c r="AC1956" s="1481"/>
      <c r="AD1956" s="1481"/>
      <c r="AE1956" s="1481"/>
      <c r="AF1956" s="1481"/>
      <c r="AG1956" s="1481"/>
    </row>
    <row r="1957" spans="1:33" ht="15.75" customHeight="1">
      <c r="A1957" s="1494"/>
      <c r="B1957" s="1482" t="s">
        <v>7453</v>
      </c>
      <c r="C1957" s="1445">
        <v>1</v>
      </c>
      <c r="D1957" s="1447" t="s">
        <v>3364</v>
      </c>
      <c r="E1957" s="1445">
        <v>1</v>
      </c>
      <c r="F1957" s="1446">
        <v>3.43</v>
      </c>
      <c r="G1957" s="1446">
        <v>4.96</v>
      </c>
      <c r="H1957" s="1447"/>
      <c r="I1957" s="1448">
        <f t="shared" si="82"/>
        <v>17.010000000000002</v>
      </c>
      <c r="J1957" s="1527"/>
      <c r="K1957" s="1481"/>
      <c r="L1957" s="1481"/>
      <c r="M1957" s="1481"/>
      <c r="N1957" s="1481"/>
      <c r="O1957" s="1481"/>
      <c r="P1957" s="1481"/>
      <c r="Q1957" s="1481"/>
      <c r="R1957" s="1481"/>
      <c r="S1957" s="1481"/>
      <c r="T1957" s="1481"/>
      <c r="U1957" s="1481"/>
      <c r="V1957" s="1481"/>
      <c r="W1957" s="1481"/>
      <c r="X1957" s="1481"/>
      <c r="Y1957" s="1481"/>
      <c r="Z1957" s="1481"/>
      <c r="AA1957" s="1481"/>
      <c r="AB1957" s="1481"/>
      <c r="AC1957" s="1481"/>
      <c r="AD1957" s="1481"/>
      <c r="AE1957" s="1481"/>
      <c r="AF1957" s="1481"/>
      <c r="AG1957" s="1481"/>
    </row>
    <row r="1958" spans="1:33" ht="15.75" customHeight="1">
      <c r="A1958" s="1494"/>
      <c r="B1958" s="1482" t="s">
        <v>3492</v>
      </c>
      <c r="C1958" s="1445">
        <v>1</v>
      </c>
      <c r="D1958" s="1447" t="s">
        <v>3364</v>
      </c>
      <c r="E1958" s="1445">
        <v>1</v>
      </c>
      <c r="F1958" s="1446">
        <v>3.43</v>
      </c>
      <c r="G1958" s="1446">
        <v>4.57</v>
      </c>
      <c r="H1958" s="1447"/>
      <c r="I1958" s="1448">
        <f t="shared" si="82"/>
        <v>15.68</v>
      </c>
      <c r="J1958" s="1527"/>
      <c r="K1958" s="1481"/>
      <c r="L1958" s="1481"/>
      <c r="M1958" s="1481"/>
      <c r="N1958" s="1481"/>
      <c r="O1958" s="1481"/>
      <c r="P1958" s="1481"/>
      <c r="Q1958" s="1481"/>
      <c r="R1958" s="1481"/>
      <c r="S1958" s="1481"/>
      <c r="T1958" s="1481"/>
      <c r="U1958" s="1481"/>
      <c r="V1958" s="1481"/>
      <c r="W1958" s="1481"/>
      <c r="X1958" s="1481"/>
      <c r="Y1958" s="1481"/>
      <c r="Z1958" s="1481"/>
      <c r="AA1958" s="1481"/>
      <c r="AB1958" s="1481"/>
      <c r="AC1958" s="1481"/>
      <c r="AD1958" s="1481"/>
      <c r="AE1958" s="1481"/>
      <c r="AF1958" s="1481"/>
      <c r="AG1958" s="1481"/>
    </row>
    <row r="1959" spans="1:33" ht="15.75" customHeight="1">
      <c r="A1959" s="1494"/>
      <c r="B1959" s="1482" t="s">
        <v>7530</v>
      </c>
      <c r="C1959" s="1445">
        <v>1</v>
      </c>
      <c r="D1959" s="1447" t="s">
        <v>3364</v>
      </c>
      <c r="E1959" s="1445">
        <v>1</v>
      </c>
      <c r="F1959" s="1446">
        <v>4.57</v>
      </c>
      <c r="G1959" s="1446">
        <v>3.43</v>
      </c>
      <c r="H1959" s="1447"/>
      <c r="I1959" s="1448">
        <f t="shared" si="82"/>
        <v>15.68</v>
      </c>
      <c r="J1959" s="1527"/>
      <c r="K1959" s="1481"/>
      <c r="L1959" s="1481"/>
      <c r="M1959" s="1481"/>
      <c r="N1959" s="1481"/>
      <c r="O1959" s="1481"/>
      <c r="P1959" s="1481"/>
      <c r="Q1959" s="1481"/>
      <c r="R1959" s="1481"/>
      <c r="S1959" s="1481"/>
      <c r="T1959" s="1481"/>
      <c r="U1959" s="1481"/>
      <c r="V1959" s="1481"/>
      <c r="W1959" s="1481"/>
      <c r="X1959" s="1481"/>
      <c r="Y1959" s="1481"/>
      <c r="Z1959" s="1481"/>
      <c r="AA1959" s="1481"/>
      <c r="AB1959" s="1481"/>
      <c r="AC1959" s="1481"/>
      <c r="AD1959" s="1481"/>
      <c r="AE1959" s="1481"/>
      <c r="AF1959" s="1481"/>
      <c r="AG1959" s="1481"/>
    </row>
    <row r="1960" spans="1:33" ht="15.75" customHeight="1">
      <c r="A1960" s="1494"/>
      <c r="B1960" s="1485" t="s">
        <v>7158</v>
      </c>
      <c r="C1960" s="1445"/>
      <c r="D1960" s="1447"/>
      <c r="E1960" s="1445"/>
      <c r="F1960" s="1446"/>
      <c r="G1960" s="1446"/>
      <c r="H1960" s="1447"/>
      <c r="I1960" s="1448">
        <f t="shared" si="82"/>
        <v>0</v>
      </c>
      <c r="J1960" s="1527"/>
      <c r="K1960" s="1481"/>
      <c r="L1960" s="1481"/>
      <c r="M1960" s="1481"/>
      <c r="N1960" s="1481"/>
      <c r="O1960" s="1481"/>
      <c r="P1960" s="1481"/>
      <c r="Q1960" s="1481"/>
      <c r="R1960" s="1481"/>
      <c r="S1960" s="1481"/>
      <c r="T1960" s="1481"/>
      <c r="U1960" s="1481"/>
      <c r="V1960" s="1481"/>
      <c r="W1960" s="1481"/>
      <c r="X1960" s="1481"/>
      <c r="Y1960" s="1481"/>
      <c r="Z1960" s="1481"/>
      <c r="AA1960" s="1481"/>
      <c r="AB1960" s="1481"/>
      <c r="AC1960" s="1481"/>
      <c r="AD1960" s="1481"/>
      <c r="AE1960" s="1481"/>
      <c r="AF1960" s="1481"/>
      <c r="AG1960" s="1481"/>
    </row>
    <row r="1961" spans="1:33" ht="15.75" customHeight="1">
      <c r="A1961" s="1448"/>
      <c r="B1961" s="1483" t="s">
        <v>3443</v>
      </c>
      <c r="C1961" s="1445"/>
      <c r="D1961" s="1467"/>
      <c r="E1961" s="1445"/>
      <c r="F1961" s="1446"/>
      <c r="G1961" s="1446"/>
      <c r="H1961" s="1447"/>
      <c r="I1961" s="1448">
        <f t="shared" si="82"/>
        <v>0</v>
      </c>
      <c r="J1961" s="1449"/>
      <c r="K1961" s="1481"/>
      <c r="L1961" s="1481"/>
      <c r="M1961" s="1481"/>
      <c r="N1961" s="1481"/>
      <c r="O1961" s="1481"/>
      <c r="P1961" s="1481"/>
      <c r="Q1961" s="1481"/>
      <c r="R1961" s="1481"/>
      <c r="S1961" s="1481"/>
      <c r="T1961" s="1481"/>
      <c r="U1961" s="1481"/>
      <c r="V1961" s="1481"/>
      <c r="W1961" s="1481"/>
      <c r="X1961" s="1481"/>
      <c r="Y1961" s="1481"/>
      <c r="Z1961" s="1481"/>
      <c r="AA1961" s="1481"/>
      <c r="AB1961" s="1481"/>
      <c r="AC1961" s="1481"/>
      <c r="AD1961" s="1481"/>
      <c r="AE1961" s="1481"/>
      <c r="AF1961" s="1481"/>
      <c r="AG1961" s="1481"/>
    </row>
    <row r="1962" spans="1:33" ht="15.75" customHeight="1">
      <c r="A1962" s="1443"/>
      <c r="B1962" s="1468" t="s">
        <v>3497</v>
      </c>
      <c r="C1962" s="1445">
        <v>1</v>
      </c>
      <c r="D1962" s="1445" t="s">
        <v>3364</v>
      </c>
      <c r="E1962" s="1445">
        <v>1</v>
      </c>
      <c r="F1962" s="1446">
        <v>1.8</v>
      </c>
      <c r="G1962" s="1446"/>
      <c r="H1962" s="1446">
        <v>2</v>
      </c>
      <c r="I1962" s="1448">
        <f t="shared" si="82"/>
        <v>3.6</v>
      </c>
      <c r="J1962" s="1449"/>
      <c r="K1962" s="1439"/>
      <c r="L1962" s="1466"/>
      <c r="M1962" s="1466"/>
      <c r="N1962" s="1466"/>
      <c r="O1962" s="1439"/>
      <c r="P1962" s="1439"/>
      <c r="Q1962" s="1439"/>
      <c r="R1962" s="1439"/>
      <c r="S1962" s="1439"/>
      <c r="T1962" s="1439"/>
      <c r="U1962" s="1439"/>
      <c r="V1962" s="1439"/>
      <c r="W1962" s="1439"/>
      <c r="X1962" s="1439"/>
      <c r="Y1962" s="1439"/>
      <c r="Z1962" s="1439"/>
      <c r="AA1962" s="1439"/>
      <c r="AB1962" s="1439"/>
      <c r="AC1962" s="1439"/>
      <c r="AD1962" s="1439"/>
      <c r="AE1962" s="1439"/>
      <c r="AF1962" s="1439"/>
      <c r="AG1962" s="1439"/>
    </row>
    <row r="1963" spans="1:33" ht="15.75" customHeight="1">
      <c r="A1963" s="1443"/>
      <c r="B1963" s="1468" t="s">
        <v>3414</v>
      </c>
      <c r="C1963" s="1445">
        <v>5</v>
      </c>
      <c r="D1963" s="1445" t="s">
        <v>3364</v>
      </c>
      <c r="E1963" s="1445">
        <v>1</v>
      </c>
      <c r="F1963" s="1446">
        <v>1.8</v>
      </c>
      <c r="G1963" s="1446"/>
      <c r="H1963" s="1446">
        <v>1.35</v>
      </c>
      <c r="I1963" s="1448">
        <f t="shared" si="82"/>
        <v>12.15</v>
      </c>
      <c r="J1963" s="1449"/>
      <c r="K1963" s="1439"/>
      <c r="L1963" s="1466"/>
      <c r="M1963" s="1466"/>
      <c r="N1963" s="1466"/>
      <c r="O1963" s="1439"/>
      <c r="P1963" s="1439"/>
      <c r="Q1963" s="1439"/>
      <c r="R1963" s="1439"/>
      <c r="S1963" s="1439"/>
      <c r="T1963" s="1439"/>
      <c r="U1963" s="1439"/>
      <c r="V1963" s="1439"/>
      <c r="W1963" s="1439"/>
      <c r="X1963" s="1439"/>
      <c r="Y1963" s="1439"/>
      <c r="Z1963" s="1439"/>
      <c r="AA1963" s="1439"/>
      <c r="AB1963" s="1439"/>
      <c r="AC1963" s="1439"/>
      <c r="AD1963" s="1439"/>
      <c r="AE1963" s="1439"/>
      <c r="AF1963" s="1439"/>
      <c r="AG1963" s="1439"/>
    </row>
    <row r="1964" spans="1:33" ht="15.75" customHeight="1">
      <c r="A1964" s="1443"/>
      <c r="B1964" s="1468" t="s">
        <v>3400</v>
      </c>
      <c r="C1964" s="1445">
        <v>1</v>
      </c>
      <c r="D1964" s="1445" t="s">
        <v>3364</v>
      </c>
      <c r="E1964" s="1445">
        <v>1</v>
      </c>
      <c r="F1964" s="1446">
        <v>1.5</v>
      </c>
      <c r="G1964" s="1446"/>
      <c r="H1964" s="1446">
        <v>0.6</v>
      </c>
      <c r="I1964" s="1448">
        <f t="shared" si="82"/>
        <v>0.9</v>
      </c>
      <c r="J1964" s="1449"/>
      <c r="K1964" s="1439"/>
      <c r="L1964" s="1439"/>
      <c r="M1964" s="1439"/>
      <c r="N1964" s="1439"/>
      <c r="O1964" s="1439"/>
      <c r="P1964" s="1439"/>
      <c r="Q1964" s="1439"/>
      <c r="R1964" s="1439"/>
      <c r="S1964" s="1439"/>
      <c r="T1964" s="1439"/>
      <c r="U1964" s="1439"/>
      <c r="V1964" s="1439"/>
      <c r="W1964" s="1439"/>
      <c r="X1964" s="1439"/>
      <c r="Y1964" s="1439"/>
      <c r="Z1964" s="1439"/>
      <c r="AA1964" s="1439"/>
      <c r="AB1964" s="1439"/>
      <c r="AC1964" s="1439"/>
      <c r="AD1964" s="1439"/>
      <c r="AE1964" s="1439"/>
      <c r="AF1964" s="1439"/>
      <c r="AG1964" s="1439"/>
    </row>
    <row r="1965" spans="1:33" ht="15.75" customHeight="1">
      <c r="A1965" s="1494"/>
      <c r="B1965" s="1482" t="s">
        <v>7531</v>
      </c>
      <c r="C1965" s="1445"/>
      <c r="D1965" s="1447"/>
      <c r="E1965" s="1445"/>
      <c r="F1965" s="1446"/>
      <c r="G1965" s="1446"/>
      <c r="H1965" s="1447"/>
      <c r="I1965" s="1448">
        <f t="shared" si="82"/>
        <v>0</v>
      </c>
      <c r="J1965" s="1527"/>
      <c r="K1965" s="1481"/>
      <c r="L1965" s="1481"/>
      <c r="M1965" s="1481"/>
      <c r="N1965" s="1481"/>
      <c r="O1965" s="1481"/>
      <c r="P1965" s="1481"/>
      <c r="Q1965" s="1481"/>
      <c r="R1965" s="1481"/>
      <c r="S1965" s="1481"/>
      <c r="T1965" s="1481"/>
      <c r="U1965" s="1481"/>
      <c r="V1965" s="1481"/>
      <c r="W1965" s="1481"/>
      <c r="X1965" s="1481"/>
      <c r="Y1965" s="1481"/>
      <c r="Z1965" s="1481"/>
      <c r="AA1965" s="1481"/>
      <c r="AB1965" s="1481"/>
      <c r="AC1965" s="1481"/>
      <c r="AD1965" s="1481"/>
      <c r="AE1965" s="1481"/>
      <c r="AF1965" s="1481"/>
      <c r="AG1965" s="1481"/>
    </row>
    <row r="1966" spans="1:33" ht="15.75" customHeight="1">
      <c r="A1966" s="1443"/>
      <c r="B1966" s="1455" t="s">
        <v>7547</v>
      </c>
      <c r="C1966" s="1445"/>
      <c r="D1966" s="1445"/>
      <c r="E1966" s="1445"/>
      <c r="F1966" s="1446"/>
      <c r="G1966" s="1446"/>
      <c r="H1966" s="1447"/>
      <c r="I1966" s="1448">
        <f t="shared" si="82"/>
        <v>0</v>
      </c>
      <c r="J1966" s="1449"/>
      <c r="K1966" s="1439"/>
      <c r="L1966" s="1439"/>
      <c r="M1966" s="1439"/>
      <c r="N1966" s="1439"/>
      <c r="O1966" s="1439"/>
      <c r="P1966" s="1439"/>
      <c r="Q1966" s="1439"/>
      <c r="R1966" s="1439"/>
      <c r="S1966" s="1439"/>
      <c r="T1966" s="1439"/>
      <c r="U1966" s="1439"/>
      <c r="V1966" s="1439"/>
      <c r="W1966" s="1439"/>
      <c r="X1966" s="1439"/>
      <c r="Y1966" s="1439"/>
      <c r="Z1966" s="1439"/>
      <c r="AA1966" s="1439"/>
      <c r="AB1966" s="1439"/>
      <c r="AC1966" s="1439"/>
      <c r="AD1966" s="1439"/>
      <c r="AE1966" s="1439"/>
      <c r="AF1966" s="1439"/>
      <c r="AG1966" s="1439"/>
    </row>
    <row r="1967" spans="1:33" ht="15.75" customHeight="1">
      <c r="A1967" s="1443"/>
      <c r="B1967" s="1452" t="s">
        <v>7388</v>
      </c>
      <c r="C1967" s="1445">
        <v>2</v>
      </c>
      <c r="D1967" s="1445" t="s">
        <v>3364</v>
      </c>
      <c r="E1967" s="1445">
        <v>4</v>
      </c>
      <c r="F1967" s="1446">
        <v>27.89</v>
      </c>
      <c r="G1967" s="1446"/>
      <c r="H1967" s="1447">
        <v>0.4</v>
      </c>
      <c r="I1967" s="1448">
        <f t="shared" si="82"/>
        <v>89.25</v>
      </c>
      <c r="J1967" s="1449"/>
      <c r="K1967" s="1439"/>
      <c r="L1967" s="1439"/>
      <c r="M1967" s="1439"/>
      <c r="N1967" s="1439"/>
      <c r="O1967" s="1439"/>
      <c r="P1967" s="1439"/>
      <c r="Q1967" s="1439"/>
      <c r="R1967" s="1439"/>
      <c r="S1967" s="1439"/>
      <c r="T1967" s="1439"/>
      <c r="U1967" s="1439"/>
      <c r="V1967" s="1439"/>
      <c r="W1967" s="1439"/>
      <c r="X1967" s="1439"/>
      <c r="Y1967" s="1439"/>
      <c r="Z1967" s="1439"/>
      <c r="AA1967" s="1439"/>
      <c r="AB1967" s="1439"/>
      <c r="AC1967" s="1439"/>
      <c r="AD1967" s="1439"/>
      <c r="AE1967" s="1439"/>
      <c r="AF1967" s="1439"/>
      <c r="AG1967" s="1439"/>
    </row>
    <row r="1968" spans="1:33" ht="15.75" customHeight="1">
      <c r="A1968" s="1443"/>
      <c r="B1968" s="1452" t="s">
        <v>7389</v>
      </c>
      <c r="C1968" s="1445">
        <v>2</v>
      </c>
      <c r="D1968" s="1445" t="s">
        <v>3364</v>
      </c>
      <c r="E1968" s="1445">
        <v>1</v>
      </c>
      <c r="F1968" s="1446">
        <f>2.53+0.46</f>
        <v>2.99</v>
      </c>
      <c r="G1968" s="1446"/>
      <c r="H1968" s="1447">
        <v>0.4</v>
      </c>
      <c r="I1968" s="1448">
        <f t="shared" si="82"/>
        <v>2.39</v>
      </c>
      <c r="J1968" s="1449"/>
      <c r="K1968" s="1439"/>
      <c r="L1968" s="1439"/>
      <c r="M1968" s="1439"/>
      <c r="N1968" s="1439"/>
      <c r="O1968" s="1439"/>
      <c r="P1968" s="1439"/>
      <c r="Q1968" s="1439"/>
      <c r="R1968" s="1439"/>
      <c r="S1968" s="1439"/>
      <c r="T1968" s="1439"/>
      <c r="U1968" s="1439"/>
      <c r="V1968" s="1439"/>
      <c r="W1968" s="1439"/>
      <c r="X1968" s="1439"/>
      <c r="Y1968" s="1439"/>
      <c r="Z1968" s="1439"/>
      <c r="AA1968" s="1439"/>
      <c r="AB1968" s="1439"/>
      <c r="AC1968" s="1439"/>
      <c r="AD1968" s="1439"/>
      <c r="AE1968" s="1439"/>
      <c r="AF1968" s="1439"/>
      <c r="AG1968" s="1439"/>
    </row>
    <row r="1969" spans="1:33" ht="15.75" customHeight="1">
      <c r="A1969" s="1443"/>
      <c r="B1969" s="1452" t="s">
        <v>7390</v>
      </c>
      <c r="C1969" s="1445">
        <v>2</v>
      </c>
      <c r="D1969" s="1453" t="s">
        <v>3827</v>
      </c>
      <c r="E1969" s="1445">
        <v>1</v>
      </c>
      <c r="F1969" s="1446">
        <f>4.765+1.13+2.53+0.23</f>
        <v>8.6549999999999994</v>
      </c>
      <c r="G1969" s="1446"/>
      <c r="H1969" s="1447">
        <v>0.4</v>
      </c>
      <c r="I1969" s="1448">
        <f t="shared" si="82"/>
        <v>6.92</v>
      </c>
      <c r="J1969" s="1449"/>
      <c r="K1969" s="1439"/>
      <c r="L1969" s="1439"/>
      <c r="M1969" s="1439"/>
      <c r="N1969" s="1439"/>
      <c r="O1969" s="1439"/>
      <c r="P1969" s="1439"/>
      <c r="Q1969" s="1439"/>
      <c r="R1969" s="1439"/>
      <c r="S1969" s="1439"/>
      <c r="T1969" s="1439"/>
      <c r="U1969" s="1439"/>
      <c r="V1969" s="1439"/>
      <c r="W1969" s="1439"/>
      <c r="X1969" s="1439"/>
      <c r="Y1969" s="1439"/>
      <c r="Z1969" s="1439"/>
      <c r="AA1969" s="1439"/>
      <c r="AB1969" s="1439"/>
      <c r="AC1969" s="1439"/>
      <c r="AD1969" s="1439"/>
      <c r="AE1969" s="1439"/>
      <c r="AF1969" s="1439"/>
      <c r="AG1969" s="1439"/>
    </row>
    <row r="1970" spans="1:33" ht="15.75" customHeight="1">
      <c r="A1970" s="1443"/>
      <c r="B1970" s="1452" t="s">
        <v>7388</v>
      </c>
      <c r="C1970" s="1445">
        <v>1</v>
      </c>
      <c r="D1970" s="1445" t="s">
        <v>3364</v>
      </c>
      <c r="E1970" s="1445">
        <v>4</v>
      </c>
      <c r="F1970" s="1446">
        <v>27.89</v>
      </c>
      <c r="G1970" s="1446">
        <v>0.23</v>
      </c>
      <c r="H1970" s="1447"/>
      <c r="I1970" s="1448">
        <f t="shared" si="82"/>
        <v>25.66</v>
      </c>
      <c r="J1970" s="1449"/>
      <c r="K1970" s="1439"/>
      <c r="L1970" s="1439"/>
      <c r="M1970" s="1439"/>
      <c r="N1970" s="1439"/>
      <c r="O1970" s="1439"/>
      <c r="P1970" s="1439"/>
      <c r="Q1970" s="1439"/>
      <c r="R1970" s="1439"/>
      <c r="S1970" s="1439"/>
      <c r="T1970" s="1439"/>
      <c r="U1970" s="1439"/>
      <c r="V1970" s="1439"/>
      <c r="W1970" s="1439"/>
      <c r="X1970" s="1439"/>
      <c r="Y1970" s="1439"/>
      <c r="Z1970" s="1439"/>
      <c r="AA1970" s="1439"/>
      <c r="AB1970" s="1439"/>
      <c r="AC1970" s="1439"/>
      <c r="AD1970" s="1439"/>
      <c r="AE1970" s="1439"/>
      <c r="AF1970" s="1439"/>
      <c r="AG1970" s="1439"/>
    </row>
    <row r="1971" spans="1:33" ht="15.75" customHeight="1">
      <c r="A1971" s="1443"/>
      <c r="B1971" s="1452" t="s">
        <v>7389</v>
      </c>
      <c r="C1971" s="1445">
        <v>1</v>
      </c>
      <c r="D1971" s="1445" t="s">
        <v>3364</v>
      </c>
      <c r="E1971" s="1445">
        <v>1</v>
      </c>
      <c r="F1971" s="1446">
        <f>2.53+0.46</f>
        <v>2.99</v>
      </c>
      <c r="G1971" s="1446">
        <v>0.23</v>
      </c>
      <c r="H1971" s="1447"/>
      <c r="I1971" s="1448">
        <f t="shared" si="82"/>
        <v>0.69</v>
      </c>
      <c r="J1971" s="1449"/>
      <c r="K1971" s="1439"/>
      <c r="L1971" s="1439"/>
      <c r="M1971" s="1439"/>
      <c r="N1971" s="1439"/>
      <c r="O1971" s="1439"/>
      <c r="P1971" s="1439"/>
      <c r="Q1971" s="1439"/>
      <c r="R1971" s="1439"/>
      <c r="S1971" s="1439"/>
      <c r="T1971" s="1439"/>
      <c r="U1971" s="1439"/>
      <c r="V1971" s="1439"/>
      <c r="W1971" s="1439"/>
      <c r="X1971" s="1439"/>
      <c r="Y1971" s="1439"/>
      <c r="Z1971" s="1439"/>
      <c r="AA1971" s="1439"/>
      <c r="AB1971" s="1439"/>
      <c r="AC1971" s="1439"/>
      <c r="AD1971" s="1439"/>
      <c r="AE1971" s="1439"/>
      <c r="AF1971" s="1439"/>
      <c r="AG1971" s="1439"/>
    </row>
    <row r="1972" spans="1:33" ht="15.75" customHeight="1">
      <c r="A1972" s="1443"/>
      <c r="B1972" s="1452" t="s">
        <v>7390</v>
      </c>
      <c r="C1972" s="1445">
        <v>1</v>
      </c>
      <c r="D1972" s="1453" t="s">
        <v>3827</v>
      </c>
      <c r="E1972" s="1445">
        <v>1</v>
      </c>
      <c r="F1972" s="1446">
        <f>4.765+1.13+2.53+0.23</f>
        <v>8.6549999999999994</v>
      </c>
      <c r="G1972" s="1446">
        <v>0.23</v>
      </c>
      <c r="H1972" s="1447"/>
      <c r="I1972" s="1448">
        <f t="shared" si="82"/>
        <v>1.99</v>
      </c>
      <c r="J1972" s="1449"/>
      <c r="K1972" s="1439"/>
      <c r="L1972" s="1439"/>
      <c r="M1972" s="1439"/>
      <c r="N1972" s="1439"/>
      <c r="O1972" s="1439"/>
      <c r="P1972" s="1439"/>
      <c r="Q1972" s="1439"/>
      <c r="R1972" s="1439"/>
      <c r="S1972" s="1439"/>
      <c r="T1972" s="1439"/>
      <c r="U1972" s="1439"/>
      <c r="V1972" s="1439"/>
      <c r="W1972" s="1439"/>
      <c r="X1972" s="1439"/>
      <c r="Y1972" s="1439"/>
      <c r="Z1972" s="1439"/>
      <c r="AA1972" s="1439"/>
      <c r="AB1972" s="1439"/>
      <c r="AC1972" s="1439"/>
      <c r="AD1972" s="1439"/>
      <c r="AE1972" s="1439"/>
      <c r="AF1972" s="1439"/>
      <c r="AG1972" s="1439"/>
    </row>
    <row r="1973" spans="1:33" ht="15.75" customHeight="1">
      <c r="A1973" s="1443"/>
      <c r="B1973" s="1455" t="s">
        <v>7548</v>
      </c>
      <c r="C1973" s="1445"/>
      <c r="D1973" s="1445"/>
      <c r="E1973" s="1445"/>
      <c r="F1973" s="1446"/>
      <c r="G1973" s="1446"/>
      <c r="H1973" s="1447"/>
      <c r="I1973" s="1448">
        <f t="shared" si="82"/>
        <v>0</v>
      </c>
      <c r="J1973" s="1449"/>
      <c r="K1973" s="1439"/>
      <c r="L1973" s="1439"/>
      <c r="M1973" s="1439"/>
      <c r="N1973" s="1439"/>
      <c r="O1973" s="1439"/>
      <c r="P1973" s="1439"/>
      <c r="Q1973" s="1439"/>
      <c r="R1973" s="1439"/>
      <c r="S1973" s="1439"/>
      <c r="T1973" s="1439"/>
      <c r="U1973" s="1439"/>
      <c r="V1973" s="1439"/>
      <c r="W1973" s="1439"/>
      <c r="X1973" s="1439"/>
      <c r="Y1973" s="1439"/>
      <c r="Z1973" s="1439"/>
      <c r="AA1973" s="1439"/>
      <c r="AB1973" s="1439"/>
      <c r="AC1973" s="1439"/>
      <c r="AD1973" s="1439"/>
      <c r="AE1973" s="1439"/>
      <c r="AF1973" s="1439"/>
      <c r="AG1973" s="1439"/>
    </row>
    <row r="1974" spans="1:33" ht="15.75" customHeight="1">
      <c r="A1974" s="1443"/>
      <c r="B1974" s="1452" t="s">
        <v>7037</v>
      </c>
      <c r="C1974" s="1445">
        <v>2</v>
      </c>
      <c r="D1974" s="1445" t="s">
        <v>3364</v>
      </c>
      <c r="E1974" s="1445">
        <v>7</v>
      </c>
      <c r="F1974" s="1446">
        <v>18.079999999999998</v>
      </c>
      <c r="G1974" s="1446"/>
      <c r="H1974" s="1447">
        <v>0.4</v>
      </c>
      <c r="I1974" s="1448">
        <f t="shared" si="82"/>
        <v>101.25</v>
      </c>
      <c r="J1974" s="1449"/>
      <c r="K1974" s="1439"/>
      <c r="L1974" s="1439"/>
      <c r="M1974" s="1439"/>
      <c r="N1974" s="1439"/>
      <c r="O1974" s="1439"/>
      <c r="P1974" s="1439"/>
      <c r="Q1974" s="1439"/>
      <c r="R1974" s="1439"/>
      <c r="S1974" s="1439"/>
      <c r="T1974" s="1439"/>
      <c r="U1974" s="1439"/>
      <c r="V1974" s="1439"/>
      <c r="W1974" s="1439"/>
      <c r="X1974" s="1439"/>
      <c r="Y1974" s="1439"/>
      <c r="Z1974" s="1439"/>
      <c r="AA1974" s="1439"/>
      <c r="AB1974" s="1439"/>
      <c r="AC1974" s="1439"/>
      <c r="AD1974" s="1439"/>
      <c r="AE1974" s="1439"/>
      <c r="AF1974" s="1439"/>
      <c r="AG1974" s="1439"/>
    </row>
    <row r="1975" spans="1:33" ht="15.75" customHeight="1">
      <c r="A1975" s="1443"/>
      <c r="B1975" s="1452" t="s">
        <v>7391</v>
      </c>
      <c r="C1975" s="1445">
        <v>2</v>
      </c>
      <c r="D1975" s="1445" t="s">
        <v>3364</v>
      </c>
      <c r="E1975" s="1445">
        <v>4</v>
      </c>
      <c r="F1975" s="1446">
        <v>1.54</v>
      </c>
      <c r="G1975" s="1446"/>
      <c r="H1975" s="1447">
        <v>0.4</v>
      </c>
      <c r="I1975" s="1448">
        <f t="shared" si="82"/>
        <v>4.93</v>
      </c>
      <c r="J1975" s="1449"/>
      <c r="K1975" s="1439"/>
      <c r="L1975" s="1439"/>
      <c r="M1975" s="1439"/>
      <c r="N1975" s="1439"/>
      <c r="O1975" s="1439"/>
      <c r="P1975" s="1439"/>
      <c r="Q1975" s="1439"/>
      <c r="R1975" s="1439"/>
      <c r="S1975" s="1439"/>
      <c r="T1975" s="1439"/>
      <c r="U1975" s="1439"/>
      <c r="V1975" s="1439"/>
      <c r="W1975" s="1439"/>
      <c r="X1975" s="1439"/>
      <c r="Y1975" s="1439"/>
      <c r="Z1975" s="1439"/>
      <c r="AA1975" s="1439"/>
      <c r="AB1975" s="1439"/>
      <c r="AC1975" s="1439"/>
      <c r="AD1975" s="1439"/>
      <c r="AE1975" s="1439"/>
      <c r="AF1975" s="1439"/>
      <c r="AG1975" s="1439"/>
    </row>
    <row r="1976" spans="1:33" ht="15.75" customHeight="1">
      <c r="A1976" s="1443"/>
      <c r="B1976" s="1452" t="s">
        <v>7392</v>
      </c>
      <c r="C1976" s="1445">
        <v>2</v>
      </c>
      <c r="D1976" s="1445" t="s">
        <v>3364</v>
      </c>
      <c r="E1976" s="1445">
        <v>1</v>
      </c>
      <c r="F1976" s="1446">
        <v>2.3849999999999998</v>
      </c>
      <c r="G1976" s="1446"/>
      <c r="H1976" s="1447">
        <v>0.4</v>
      </c>
      <c r="I1976" s="1448">
        <f t="shared" si="82"/>
        <v>1.91</v>
      </c>
      <c r="J1976" s="1449"/>
      <c r="K1976" s="1439"/>
      <c r="L1976" s="1439"/>
      <c r="M1976" s="1439"/>
      <c r="N1976" s="1439"/>
      <c r="O1976" s="1439"/>
      <c r="P1976" s="1439"/>
      <c r="Q1976" s="1439"/>
      <c r="R1976" s="1439"/>
      <c r="S1976" s="1439"/>
      <c r="T1976" s="1439"/>
      <c r="U1976" s="1439"/>
      <c r="V1976" s="1439"/>
      <c r="W1976" s="1439"/>
      <c r="X1976" s="1439"/>
      <c r="Y1976" s="1439"/>
      <c r="Z1976" s="1439"/>
      <c r="AA1976" s="1439"/>
      <c r="AB1976" s="1439"/>
      <c r="AC1976" s="1439"/>
      <c r="AD1976" s="1439"/>
      <c r="AE1976" s="1439"/>
      <c r="AF1976" s="1439"/>
      <c r="AG1976" s="1439"/>
    </row>
    <row r="1977" spans="1:33" ht="15.75" customHeight="1">
      <c r="A1977" s="1443"/>
      <c r="B1977" s="1450" t="s">
        <v>7039</v>
      </c>
      <c r="C1977" s="1445">
        <v>2</v>
      </c>
      <c r="D1977" s="1445" t="s">
        <v>3364</v>
      </c>
      <c r="E1977" s="1445">
        <v>1</v>
      </c>
      <c r="F1977" s="1446">
        <f>8.82+0.46</f>
        <v>9.2799999999999994</v>
      </c>
      <c r="G1977" s="1446"/>
      <c r="H1977" s="1447">
        <v>0.4</v>
      </c>
      <c r="I1977" s="1448">
        <f t="shared" si="82"/>
        <v>7.42</v>
      </c>
      <c r="J1977" s="1449"/>
      <c r="K1977" s="1439"/>
      <c r="L1977" s="1439"/>
      <c r="M1977" s="1439"/>
      <c r="N1977" s="1439"/>
      <c r="O1977" s="1439"/>
      <c r="P1977" s="1439"/>
      <c r="Q1977" s="1439"/>
      <c r="R1977" s="1439"/>
      <c r="S1977" s="1439"/>
      <c r="T1977" s="1439"/>
      <c r="U1977" s="1439"/>
      <c r="V1977" s="1439"/>
      <c r="W1977" s="1439"/>
      <c r="X1977" s="1439"/>
      <c r="Y1977" s="1439"/>
      <c r="Z1977" s="1439"/>
      <c r="AA1977" s="1439"/>
      <c r="AB1977" s="1439"/>
      <c r="AC1977" s="1439"/>
      <c r="AD1977" s="1439"/>
      <c r="AE1977" s="1439"/>
      <c r="AF1977" s="1439"/>
      <c r="AG1977" s="1439"/>
    </row>
    <row r="1978" spans="1:33" ht="15.75" customHeight="1">
      <c r="A1978" s="1443"/>
      <c r="B1978" s="1450" t="s">
        <v>7040</v>
      </c>
      <c r="C1978" s="1445">
        <v>2</v>
      </c>
      <c r="D1978" s="1445" t="s">
        <v>3364</v>
      </c>
      <c r="E1978" s="1445">
        <v>1</v>
      </c>
      <c r="F1978" s="1446">
        <v>3.3460000000000001</v>
      </c>
      <c r="G1978" s="1446"/>
      <c r="H1978" s="1447">
        <v>0.4</v>
      </c>
      <c r="I1978" s="1448">
        <f t="shared" si="82"/>
        <v>2.68</v>
      </c>
      <c r="J1978" s="1449"/>
      <c r="K1978" s="1439"/>
      <c r="L1978" s="1439"/>
      <c r="M1978" s="1439"/>
      <c r="N1978" s="1439"/>
      <c r="O1978" s="1439"/>
      <c r="P1978" s="1439"/>
      <c r="Q1978" s="1439"/>
      <c r="R1978" s="1439"/>
      <c r="S1978" s="1439"/>
      <c r="T1978" s="1439"/>
      <c r="U1978" s="1439"/>
      <c r="V1978" s="1439"/>
      <c r="W1978" s="1439"/>
      <c r="X1978" s="1439"/>
      <c r="Y1978" s="1439"/>
      <c r="Z1978" s="1439"/>
      <c r="AA1978" s="1439"/>
      <c r="AB1978" s="1439"/>
      <c r="AC1978" s="1439"/>
      <c r="AD1978" s="1439"/>
      <c r="AE1978" s="1439"/>
      <c r="AF1978" s="1439"/>
      <c r="AG1978" s="1439"/>
    </row>
    <row r="1979" spans="1:33" ht="15.75" customHeight="1">
      <c r="A1979" s="1443"/>
      <c r="B1979" s="1452" t="s">
        <v>7393</v>
      </c>
      <c r="C1979" s="1445">
        <v>2</v>
      </c>
      <c r="D1979" s="1453" t="s">
        <v>3364</v>
      </c>
      <c r="E1979" s="1445">
        <v>6</v>
      </c>
      <c r="F1979" s="1446">
        <v>0.9</v>
      </c>
      <c r="G1979" s="1446"/>
      <c r="H1979" s="1447">
        <v>0.2</v>
      </c>
      <c r="I1979" s="1448">
        <f t="shared" si="82"/>
        <v>2.16</v>
      </c>
      <c r="J1979" s="1449"/>
      <c r="K1979" s="1439"/>
      <c r="L1979" s="1439"/>
      <c r="M1979" s="1439"/>
      <c r="N1979" s="1439"/>
      <c r="O1979" s="1439"/>
      <c r="P1979" s="1439"/>
      <c r="Q1979" s="1439"/>
      <c r="R1979" s="1439"/>
      <c r="S1979" s="1439"/>
      <c r="T1979" s="1439"/>
      <c r="U1979" s="1439"/>
      <c r="V1979" s="1439"/>
      <c r="W1979" s="1439"/>
      <c r="X1979" s="1439"/>
      <c r="Y1979" s="1439"/>
      <c r="Z1979" s="1439"/>
      <c r="AA1979" s="1439"/>
      <c r="AB1979" s="1439"/>
      <c r="AC1979" s="1439"/>
      <c r="AD1979" s="1439"/>
      <c r="AE1979" s="1439"/>
      <c r="AF1979" s="1439"/>
      <c r="AG1979" s="1439"/>
    </row>
    <row r="1980" spans="1:33" ht="15.75" customHeight="1">
      <c r="A1980" s="1494"/>
      <c r="B1980" s="1482" t="s">
        <v>7487</v>
      </c>
      <c r="C1980" s="1445">
        <v>1</v>
      </c>
      <c r="D1980" s="1447" t="s">
        <v>3364</v>
      </c>
      <c r="E1980" s="1445">
        <v>1</v>
      </c>
      <c r="F1980" s="1446">
        <v>4.57</v>
      </c>
      <c r="G1980" s="1446">
        <v>5.0350000000000001</v>
      </c>
      <c r="H1980" s="1447"/>
      <c r="I1980" s="1448">
        <f t="shared" si="82"/>
        <v>23.01</v>
      </c>
      <c r="J1980" s="1527"/>
      <c r="K1980" s="1481"/>
      <c r="L1980" s="1481"/>
      <c r="M1980" s="1481"/>
      <c r="N1980" s="1481"/>
      <c r="O1980" s="1481"/>
      <c r="P1980" s="1481"/>
      <c r="Q1980" s="1481"/>
      <c r="R1980" s="1481"/>
      <c r="S1980" s="1481"/>
      <c r="T1980" s="1481"/>
      <c r="U1980" s="1481"/>
      <c r="V1980" s="1481"/>
      <c r="W1980" s="1481"/>
      <c r="X1980" s="1481"/>
      <c r="Y1980" s="1481"/>
      <c r="Z1980" s="1481"/>
      <c r="AA1980" s="1481"/>
      <c r="AB1980" s="1481"/>
      <c r="AC1980" s="1481"/>
      <c r="AD1980" s="1481"/>
      <c r="AE1980" s="1481"/>
      <c r="AF1980" s="1481"/>
      <c r="AG1980" s="1481"/>
    </row>
    <row r="1981" spans="1:33" ht="15.75" customHeight="1">
      <c r="A1981" s="1494"/>
      <c r="B1981" s="1482" t="s">
        <v>7532</v>
      </c>
      <c r="C1981" s="1445">
        <v>1</v>
      </c>
      <c r="D1981" s="1447" t="s">
        <v>3364</v>
      </c>
      <c r="E1981" s="1445">
        <v>1</v>
      </c>
      <c r="F1981" s="1446">
        <v>9.3699999999999992</v>
      </c>
      <c r="G1981" s="1446">
        <v>5.0350000000000001</v>
      </c>
      <c r="H1981" s="1447"/>
      <c r="I1981" s="1448">
        <f t="shared" si="82"/>
        <v>47.18</v>
      </c>
      <c r="J1981" s="1527"/>
      <c r="K1981" s="1481"/>
      <c r="L1981" s="1481"/>
      <c r="M1981" s="1481"/>
      <c r="N1981" s="1481"/>
      <c r="O1981" s="1481"/>
      <c r="P1981" s="1481"/>
      <c r="Q1981" s="1481"/>
      <c r="R1981" s="1481"/>
      <c r="S1981" s="1481"/>
      <c r="T1981" s="1481"/>
      <c r="U1981" s="1481"/>
      <c r="V1981" s="1481"/>
      <c r="W1981" s="1481"/>
      <c r="X1981" s="1481"/>
      <c r="Y1981" s="1481"/>
      <c r="Z1981" s="1481"/>
      <c r="AA1981" s="1481"/>
      <c r="AB1981" s="1481"/>
      <c r="AC1981" s="1481"/>
      <c r="AD1981" s="1481"/>
      <c r="AE1981" s="1481"/>
      <c r="AF1981" s="1481"/>
      <c r="AG1981" s="1481"/>
    </row>
    <row r="1982" spans="1:33" ht="15.75" customHeight="1">
      <c r="A1982" s="1494"/>
      <c r="B1982" s="1482" t="s">
        <v>6737</v>
      </c>
      <c r="C1982" s="1445">
        <v>1</v>
      </c>
      <c r="D1982" s="1447" t="s">
        <v>3364</v>
      </c>
      <c r="E1982" s="1445">
        <v>1</v>
      </c>
      <c r="F1982" s="1446">
        <f>27.89-9-0.46</f>
        <v>18.43</v>
      </c>
      <c r="G1982" s="1446">
        <v>2</v>
      </c>
      <c r="H1982" s="1447"/>
      <c r="I1982" s="1448">
        <f t="shared" si="82"/>
        <v>36.86</v>
      </c>
      <c r="J1982" s="1527"/>
      <c r="K1982" s="1481"/>
      <c r="L1982" s="1481"/>
      <c r="M1982" s="1481"/>
      <c r="N1982" s="1481"/>
      <c r="O1982" s="1481"/>
      <c r="P1982" s="1481"/>
      <c r="Q1982" s="1481"/>
      <c r="R1982" s="1481"/>
      <c r="S1982" s="1481"/>
      <c r="T1982" s="1481"/>
      <c r="U1982" s="1481"/>
      <c r="V1982" s="1481"/>
      <c r="W1982" s="1481"/>
      <c r="X1982" s="1481"/>
      <c r="Y1982" s="1481"/>
      <c r="Z1982" s="1481"/>
      <c r="AA1982" s="1481"/>
      <c r="AB1982" s="1481"/>
      <c r="AC1982" s="1481"/>
      <c r="AD1982" s="1481"/>
      <c r="AE1982" s="1481"/>
      <c r="AF1982" s="1481"/>
      <c r="AG1982" s="1481"/>
    </row>
    <row r="1983" spans="1:33" ht="15.75" customHeight="1">
      <c r="A1983" s="1494"/>
      <c r="B1983" s="1482" t="s">
        <v>7533</v>
      </c>
      <c r="C1983" s="1445">
        <v>1</v>
      </c>
      <c r="D1983" s="1447" t="s">
        <v>3364</v>
      </c>
      <c r="E1983" s="1445">
        <v>2</v>
      </c>
      <c r="F1983" s="1446">
        <v>7.0549999999999997</v>
      </c>
      <c r="G1983" s="1446">
        <v>4.57</v>
      </c>
      <c r="H1983" s="1447"/>
      <c r="I1983" s="1448">
        <f t="shared" si="82"/>
        <v>64.48</v>
      </c>
      <c r="J1983" s="1527"/>
      <c r="K1983" s="1481"/>
      <c r="L1983" s="1481"/>
      <c r="M1983" s="1481"/>
      <c r="N1983" s="1481"/>
      <c r="O1983" s="1481"/>
      <c r="P1983" s="1481"/>
      <c r="Q1983" s="1481"/>
      <c r="R1983" s="1481"/>
      <c r="S1983" s="1481"/>
      <c r="T1983" s="1481"/>
      <c r="U1983" s="1481"/>
      <c r="V1983" s="1481"/>
      <c r="W1983" s="1481"/>
      <c r="X1983" s="1481"/>
      <c r="Y1983" s="1481"/>
      <c r="Z1983" s="1481"/>
      <c r="AA1983" s="1481"/>
      <c r="AB1983" s="1481"/>
      <c r="AC1983" s="1481"/>
      <c r="AD1983" s="1481"/>
      <c r="AE1983" s="1481"/>
      <c r="AF1983" s="1481"/>
      <c r="AG1983" s="1481"/>
    </row>
    <row r="1984" spans="1:33" ht="15.75" customHeight="1">
      <c r="A1984" s="1494"/>
      <c r="B1984" s="1480" t="s">
        <v>7159</v>
      </c>
      <c r="C1984" s="1445">
        <v>1</v>
      </c>
      <c r="D1984" s="1447" t="s">
        <v>3364</v>
      </c>
      <c r="E1984" s="1445">
        <v>1</v>
      </c>
      <c r="F1984" s="1446">
        <v>7.5549999999999997</v>
      </c>
      <c r="G1984" s="1446">
        <v>5.82</v>
      </c>
      <c r="H1984" s="1447"/>
      <c r="I1984" s="1448">
        <f t="shared" si="82"/>
        <v>43.97</v>
      </c>
      <c r="J1984" s="1527"/>
      <c r="K1984" s="1481"/>
      <c r="L1984" s="1481"/>
      <c r="M1984" s="1481"/>
      <c r="N1984" s="1481"/>
      <c r="O1984" s="1481"/>
      <c r="P1984" s="1481"/>
      <c r="Q1984" s="1481"/>
      <c r="R1984" s="1481"/>
      <c r="S1984" s="1481"/>
      <c r="T1984" s="1481"/>
      <c r="U1984" s="1481"/>
      <c r="V1984" s="1481"/>
      <c r="W1984" s="1481"/>
      <c r="X1984" s="1481"/>
      <c r="Y1984" s="1481"/>
      <c r="Z1984" s="1481"/>
      <c r="AA1984" s="1481"/>
      <c r="AB1984" s="1481"/>
      <c r="AC1984" s="1481"/>
      <c r="AD1984" s="1481"/>
      <c r="AE1984" s="1481"/>
      <c r="AF1984" s="1481"/>
      <c r="AG1984" s="1481"/>
    </row>
    <row r="1985" spans="1:33" ht="15.75" customHeight="1">
      <c r="A1985" s="1494"/>
      <c r="B1985" s="1482" t="s">
        <v>7480</v>
      </c>
      <c r="C1985" s="1445">
        <v>1</v>
      </c>
      <c r="D1985" s="1447" t="s">
        <v>3364</v>
      </c>
      <c r="E1985" s="1445">
        <v>1</v>
      </c>
      <c r="F1985" s="1446">
        <v>3.43</v>
      </c>
      <c r="G1985" s="1446">
        <v>3</v>
      </c>
      <c r="H1985" s="1447"/>
      <c r="I1985" s="1448">
        <f t="shared" si="82"/>
        <v>10.29</v>
      </c>
      <c r="J1985" s="1527"/>
      <c r="K1985" s="1481"/>
      <c r="L1985" s="1481"/>
      <c r="M1985" s="1481"/>
      <c r="N1985" s="1481"/>
      <c r="O1985" s="1481"/>
      <c r="P1985" s="1481"/>
      <c r="Q1985" s="1481"/>
      <c r="R1985" s="1481"/>
      <c r="S1985" s="1481"/>
      <c r="T1985" s="1481"/>
      <c r="U1985" s="1481"/>
      <c r="V1985" s="1481"/>
      <c r="W1985" s="1481"/>
      <c r="X1985" s="1481"/>
      <c r="Y1985" s="1481"/>
      <c r="Z1985" s="1481"/>
      <c r="AA1985" s="1481"/>
      <c r="AB1985" s="1481"/>
      <c r="AC1985" s="1481"/>
      <c r="AD1985" s="1481"/>
      <c r="AE1985" s="1481"/>
      <c r="AF1985" s="1481"/>
      <c r="AG1985" s="1481"/>
    </row>
    <row r="1986" spans="1:33" ht="15.75" customHeight="1">
      <c r="A1986" s="1494"/>
      <c r="B1986" s="1482" t="s">
        <v>7534</v>
      </c>
      <c r="C1986" s="1445">
        <v>1</v>
      </c>
      <c r="D1986" s="1467" t="s">
        <v>3364</v>
      </c>
      <c r="E1986" s="1445">
        <v>3</v>
      </c>
      <c r="F1986" s="1446">
        <f>1.2</f>
        <v>1.2</v>
      </c>
      <c r="G1986" s="1446">
        <v>1.5</v>
      </c>
      <c r="H1986" s="1447"/>
      <c r="I1986" s="1448">
        <f t="shared" si="82"/>
        <v>5.4</v>
      </c>
      <c r="J1986" s="1527"/>
      <c r="K1986" s="1481"/>
      <c r="L1986" s="1481"/>
      <c r="M1986" s="1481"/>
      <c r="N1986" s="1481"/>
      <c r="O1986" s="1481"/>
      <c r="P1986" s="1481"/>
      <c r="Q1986" s="1481"/>
      <c r="R1986" s="1481"/>
      <c r="S1986" s="1481"/>
      <c r="T1986" s="1481"/>
      <c r="U1986" s="1481"/>
      <c r="V1986" s="1481"/>
      <c r="W1986" s="1481"/>
      <c r="X1986" s="1481"/>
      <c r="Y1986" s="1481"/>
      <c r="Z1986" s="1481"/>
      <c r="AA1986" s="1481"/>
      <c r="AB1986" s="1481"/>
      <c r="AC1986" s="1481"/>
      <c r="AD1986" s="1481"/>
      <c r="AE1986" s="1481"/>
      <c r="AF1986" s="1481"/>
      <c r="AG1986" s="1481"/>
    </row>
    <row r="1987" spans="1:33" ht="15.75" customHeight="1">
      <c r="A1987" s="1494"/>
      <c r="B1987" s="1482" t="s">
        <v>6727</v>
      </c>
      <c r="C1987" s="1445">
        <v>1</v>
      </c>
      <c r="D1987" s="1467" t="s">
        <v>3364</v>
      </c>
      <c r="E1987" s="1445">
        <v>3</v>
      </c>
      <c r="F1987" s="1446">
        <v>1.79</v>
      </c>
      <c r="G1987" s="1446">
        <v>1.86</v>
      </c>
      <c r="H1987" s="1447"/>
      <c r="I1987" s="1448">
        <f t="shared" si="82"/>
        <v>9.99</v>
      </c>
      <c r="J1987" s="1527"/>
      <c r="K1987" s="1481"/>
      <c r="L1987" s="1481"/>
      <c r="M1987" s="1481"/>
      <c r="N1987" s="1481"/>
      <c r="O1987" s="1481"/>
      <c r="P1987" s="1481"/>
      <c r="Q1987" s="1481"/>
      <c r="R1987" s="1481"/>
      <c r="S1987" s="1481"/>
      <c r="T1987" s="1481"/>
      <c r="U1987" s="1481"/>
      <c r="V1987" s="1481"/>
      <c r="W1987" s="1481"/>
      <c r="X1987" s="1481"/>
      <c r="Y1987" s="1481"/>
      <c r="Z1987" s="1481"/>
      <c r="AA1987" s="1481"/>
      <c r="AB1987" s="1481"/>
      <c r="AC1987" s="1481"/>
      <c r="AD1987" s="1481"/>
      <c r="AE1987" s="1481"/>
      <c r="AF1987" s="1481"/>
      <c r="AG1987" s="1481"/>
    </row>
    <row r="1988" spans="1:33" ht="15.75" customHeight="1">
      <c r="A1988" s="1494"/>
      <c r="B1988" s="1485" t="s">
        <v>7158</v>
      </c>
      <c r="C1988" s="1445"/>
      <c r="D1988" s="1447"/>
      <c r="E1988" s="1445"/>
      <c r="F1988" s="1446"/>
      <c r="G1988" s="1446"/>
      <c r="H1988" s="1447"/>
      <c r="I1988" s="1448">
        <f t="shared" si="82"/>
        <v>0</v>
      </c>
      <c r="J1988" s="1527"/>
      <c r="K1988" s="1481"/>
      <c r="L1988" s="1481"/>
      <c r="M1988" s="1481"/>
      <c r="N1988" s="1481"/>
      <c r="O1988" s="1481"/>
      <c r="P1988" s="1481"/>
      <c r="Q1988" s="1481"/>
      <c r="R1988" s="1481"/>
      <c r="S1988" s="1481"/>
      <c r="T1988" s="1481"/>
      <c r="U1988" s="1481"/>
      <c r="V1988" s="1481"/>
      <c r="W1988" s="1481"/>
      <c r="X1988" s="1481"/>
      <c r="Y1988" s="1481"/>
      <c r="Z1988" s="1481"/>
      <c r="AA1988" s="1481"/>
      <c r="AB1988" s="1481"/>
      <c r="AC1988" s="1481"/>
      <c r="AD1988" s="1481"/>
      <c r="AE1988" s="1481"/>
      <c r="AF1988" s="1481"/>
      <c r="AG1988" s="1481"/>
    </row>
    <row r="1989" spans="1:33" ht="15.75" customHeight="1">
      <c r="A1989" s="1448"/>
      <c r="B1989" s="1480" t="s">
        <v>3497</v>
      </c>
      <c r="C1989" s="1445">
        <v>1</v>
      </c>
      <c r="D1989" s="1467" t="s">
        <v>3364</v>
      </c>
      <c r="E1989" s="1445">
        <v>1</v>
      </c>
      <c r="F1989" s="1446">
        <v>1.8</v>
      </c>
      <c r="G1989" s="1446"/>
      <c r="H1989" s="1447">
        <v>2</v>
      </c>
      <c r="I1989" s="1448">
        <f t="shared" si="82"/>
        <v>3.6</v>
      </c>
      <c r="J1989" s="1449"/>
      <c r="K1989" s="1481"/>
      <c r="L1989" s="1481"/>
      <c r="M1989" s="1481"/>
      <c r="N1989" s="1481"/>
      <c r="O1989" s="1481"/>
      <c r="P1989" s="1481"/>
      <c r="Q1989" s="1481"/>
      <c r="R1989" s="1481"/>
      <c r="S1989" s="1481"/>
      <c r="T1989" s="1481"/>
      <c r="U1989" s="1481"/>
      <c r="V1989" s="1481"/>
      <c r="W1989" s="1481"/>
      <c r="X1989" s="1481"/>
      <c r="Y1989" s="1481"/>
      <c r="Z1989" s="1481"/>
      <c r="AA1989" s="1481"/>
      <c r="AB1989" s="1481"/>
      <c r="AC1989" s="1481"/>
      <c r="AD1989" s="1481"/>
      <c r="AE1989" s="1481"/>
      <c r="AF1989" s="1481"/>
      <c r="AG1989" s="1481"/>
    </row>
    <row r="1990" spans="1:33" ht="15.75" customHeight="1">
      <c r="A1990" s="1448"/>
      <c r="B1990" s="1480" t="s">
        <v>3414</v>
      </c>
      <c r="C1990" s="1445">
        <v>8</v>
      </c>
      <c r="D1990" s="1467" t="s">
        <v>3364</v>
      </c>
      <c r="E1990" s="1445">
        <v>1</v>
      </c>
      <c r="F1990" s="1446">
        <v>1.8</v>
      </c>
      <c r="G1990" s="1446"/>
      <c r="H1990" s="1447">
        <v>1.35</v>
      </c>
      <c r="I1990" s="1448">
        <f t="shared" si="82"/>
        <v>19.440000000000001</v>
      </c>
      <c r="J1990" s="1449"/>
      <c r="K1990" s="1481"/>
      <c r="L1990" s="1481"/>
      <c r="M1990" s="1481"/>
      <c r="N1990" s="1481"/>
      <c r="O1990" s="1481"/>
      <c r="P1990" s="1481"/>
      <c r="Q1990" s="1481"/>
      <c r="R1990" s="1481"/>
      <c r="S1990" s="1481"/>
      <c r="T1990" s="1481"/>
      <c r="U1990" s="1481"/>
      <c r="V1990" s="1481"/>
      <c r="W1990" s="1481"/>
      <c r="X1990" s="1481"/>
      <c r="Y1990" s="1481"/>
      <c r="Z1990" s="1481"/>
      <c r="AA1990" s="1481"/>
      <c r="AB1990" s="1481"/>
      <c r="AC1990" s="1481"/>
      <c r="AD1990" s="1481"/>
      <c r="AE1990" s="1481"/>
      <c r="AF1990" s="1481"/>
      <c r="AG1990" s="1481"/>
    </row>
    <row r="1991" spans="1:33" ht="15.75" customHeight="1">
      <c r="A1991" s="1448"/>
      <c r="B1991" s="1480" t="s">
        <v>3401</v>
      </c>
      <c r="C1991" s="1445">
        <v>7</v>
      </c>
      <c r="D1991" s="1467" t="s">
        <v>3364</v>
      </c>
      <c r="E1991" s="1445">
        <v>1</v>
      </c>
      <c r="F1991" s="1446">
        <v>0.75</v>
      </c>
      <c r="G1991" s="1446"/>
      <c r="H1991" s="1447">
        <v>0.6</v>
      </c>
      <c r="I1991" s="1448">
        <f t="shared" si="82"/>
        <v>3.15</v>
      </c>
      <c r="J1991" s="1449"/>
      <c r="K1991" s="1481"/>
      <c r="L1991" s="1481"/>
      <c r="M1991" s="1481"/>
      <c r="N1991" s="1481"/>
      <c r="O1991" s="1481"/>
      <c r="P1991" s="1481"/>
      <c r="Q1991" s="1481"/>
      <c r="R1991" s="1481"/>
      <c r="S1991" s="1481"/>
      <c r="T1991" s="1481"/>
      <c r="U1991" s="1481"/>
      <c r="V1991" s="1481"/>
      <c r="W1991" s="1481"/>
      <c r="X1991" s="1481"/>
      <c r="Y1991" s="1481"/>
      <c r="Z1991" s="1481"/>
      <c r="AA1991" s="1481"/>
      <c r="AB1991" s="1481"/>
      <c r="AC1991" s="1481"/>
      <c r="AD1991" s="1481"/>
      <c r="AE1991" s="1481"/>
      <c r="AF1991" s="1481"/>
      <c r="AG1991" s="1481"/>
    </row>
    <row r="1992" spans="1:33" ht="15.75" customHeight="1">
      <c r="A1992" s="1448"/>
      <c r="B1992" s="1480" t="s">
        <v>7413</v>
      </c>
      <c r="C1992" s="1445">
        <v>1</v>
      </c>
      <c r="D1992" s="1467" t="s">
        <v>3364</v>
      </c>
      <c r="E1992" s="1445">
        <v>1</v>
      </c>
      <c r="F1992" s="1446">
        <v>0.9</v>
      </c>
      <c r="G1992" s="1446"/>
      <c r="H1992" s="1447">
        <v>2</v>
      </c>
      <c r="I1992" s="1448">
        <f t="shared" si="82"/>
        <v>1.8</v>
      </c>
      <c r="J1992" s="1449"/>
      <c r="K1992" s="1481"/>
      <c r="L1992" s="1481"/>
      <c r="M1992" s="1481"/>
      <c r="N1992" s="1481"/>
      <c r="O1992" s="1481"/>
      <c r="P1992" s="1481"/>
      <c r="Q1992" s="1481"/>
      <c r="R1992" s="1481"/>
      <c r="S1992" s="1481"/>
      <c r="T1992" s="1481"/>
      <c r="U1992" s="1481"/>
      <c r="V1992" s="1481"/>
      <c r="W1992" s="1481"/>
      <c r="X1992" s="1481"/>
      <c r="Y1992" s="1481"/>
      <c r="Z1992" s="1481"/>
      <c r="AA1992" s="1481"/>
      <c r="AB1992" s="1481"/>
      <c r="AC1992" s="1481"/>
      <c r="AD1992" s="1481"/>
      <c r="AE1992" s="1481"/>
      <c r="AF1992" s="1481"/>
      <c r="AG1992" s="1481"/>
    </row>
    <row r="1993" spans="1:33" ht="15.75" customHeight="1">
      <c r="A1993" s="1494"/>
      <c r="B1993" s="1483" t="s">
        <v>7166</v>
      </c>
      <c r="C1993" s="1445"/>
      <c r="D1993" s="1447"/>
      <c r="E1993" s="1445"/>
      <c r="F1993" s="1446"/>
      <c r="G1993" s="1446"/>
      <c r="H1993" s="1447"/>
      <c r="I1993" s="1448">
        <f t="shared" si="82"/>
        <v>0</v>
      </c>
      <c r="J1993" s="1527"/>
      <c r="K1993" s="1481"/>
      <c r="L1993" s="1481"/>
      <c r="M1993" s="1481"/>
      <c r="N1993" s="1481"/>
      <c r="O1993" s="1481"/>
      <c r="P1993" s="1481"/>
      <c r="Q1993" s="1481"/>
      <c r="R1993" s="1481"/>
      <c r="S1993" s="1481"/>
      <c r="T1993" s="1481"/>
      <c r="U1993" s="1481"/>
      <c r="V1993" s="1481"/>
      <c r="W1993" s="1481"/>
      <c r="X1993" s="1481"/>
      <c r="Y1993" s="1481"/>
      <c r="Z1993" s="1481"/>
      <c r="AA1993" s="1481"/>
      <c r="AB1993" s="1481"/>
      <c r="AC1993" s="1481"/>
      <c r="AD1993" s="1481"/>
      <c r="AE1993" s="1481"/>
      <c r="AF1993" s="1481"/>
      <c r="AG1993" s="1481"/>
    </row>
    <row r="1994" spans="1:33" ht="15.75" customHeight="1">
      <c r="A1994" s="1443"/>
      <c r="B1994" s="1455" t="s">
        <v>7547</v>
      </c>
      <c r="C1994" s="1445"/>
      <c r="D1994" s="1445"/>
      <c r="E1994" s="1445"/>
      <c r="F1994" s="1446"/>
      <c r="G1994" s="1446"/>
      <c r="H1994" s="1447"/>
      <c r="I1994" s="1448">
        <f t="shared" si="82"/>
        <v>0</v>
      </c>
      <c r="J1994" s="1449"/>
      <c r="K1994" s="1439"/>
      <c r="L1994" s="1439"/>
      <c r="M1994" s="1439"/>
      <c r="N1994" s="1439"/>
      <c r="O1994" s="1439"/>
      <c r="P1994" s="1439"/>
      <c r="Q1994" s="1439"/>
      <c r="R1994" s="1439"/>
      <c r="S1994" s="1439"/>
      <c r="T1994" s="1439"/>
      <c r="U1994" s="1439"/>
      <c r="V1994" s="1439"/>
      <c r="W1994" s="1439"/>
      <c r="X1994" s="1439"/>
      <c r="Y1994" s="1439"/>
      <c r="Z1994" s="1439"/>
      <c r="AA1994" s="1439"/>
      <c r="AB1994" s="1439"/>
      <c r="AC1994" s="1439"/>
      <c r="AD1994" s="1439"/>
      <c r="AE1994" s="1439"/>
      <c r="AF1994" s="1439"/>
      <c r="AG1994" s="1439"/>
    </row>
    <row r="1995" spans="1:33" ht="15.75" customHeight="1">
      <c r="A1995" s="1443"/>
      <c r="B1995" s="1452" t="s">
        <v>7388</v>
      </c>
      <c r="C1995" s="1445">
        <v>2</v>
      </c>
      <c r="D1995" s="1445" t="s">
        <v>3364</v>
      </c>
      <c r="E1995" s="1445">
        <v>4</v>
      </c>
      <c r="F1995" s="1446">
        <v>27.89</v>
      </c>
      <c r="G1995" s="1446"/>
      <c r="H1995" s="1447">
        <v>0.4</v>
      </c>
      <c r="I1995" s="1448">
        <f t="shared" si="82"/>
        <v>89.25</v>
      </c>
      <c r="J1995" s="1449"/>
      <c r="K1995" s="1439"/>
      <c r="L1995" s="1439"/>
      <c r="M1995" s="1439"/>
      <c r="N1995" s="1439"/>
      <c r="O1995" s="1439"/>
      <c r="P1995" s="1439"/>
      <c r="Q1995" s="1439"/>
      <c r="R1995" s="1439"/>
      <c r="S1995" s="1439"/>
      <c r="T1995" s="1439"/>
      <c r="U1995" s="1439"/>
      <c r="V1995" s="1439"/>
      <c r="W1995" s="1439"/>
      <c r="X1995" s="1439"/>
      <c r="Y1995" s="1439"/>
      <c r="Z1995" s="1439"/>
      <c r="AA1995" s="1439"/>
      <c r="AB1995" s="1439"/>
      <c r="AC1995" s="1439"/>
      <c r="AD1995" s="1439"/>
      <c r="AE1995" s="1439"/>
      <c r="AF1995" s="1439"/>
      <c r="AG1995" s="1439"/>
    </row>
    <row r="1996" spans="1:33" ht="15.75" customHeight="1">
      <c r="A1996" s="1443"/>
      <c r="B1996" s="1452" t="s">
        <v>7389</v>
      </c>
      <c r="C1996" s="1445">
        <v>2</v>
      </c>
      <c r="D1996" s="1445" t="s">
        <v>3364</v>
      </c>
      <c r="E1996" s="1445">
        <v>1</v>
      </c>
      <c r="F1996" s="1446">
        <f>2.53+0.46</f>
        <v>2.99</v>
      </c>
      <c r="G1996" s="1446"/>
      <c r="H1996" s="1447">
        <v>0.4</v>
      </c>
      <c r="I1996" s="1448">
        <f t="shared" si="82"/>
        <v>2.39</v>
      </c>
      <c r="J1996" s="1449"/>
      <c r="K1996" s="1439"/>
      <c r="L1996" s="1439"/>
      <c r="M1996" s="1439"/>
      <c r="N1996" s="1439"/>
      <c r="O1996" s="1439"/>
      <c r="P1996" s="1439"/>
      <c r="Q1996" s="1439"/>
      <c r="R1996" s="1439"/>
      <c r="S1996" s="1439"/>
      <c r="T1996" s="1439"/>
      <c r="U1996" s="1439"/>
      <c r="V1996" s="1439"/>
      <c r="W1996" s="1439"/>
      <c r="X1996" s="1439"/>
      <c r="Y1996" s="1439"/>
      <c r="Z1996" s="1439"/>
      <c r="AA1996" s="1439"/>
      <c r="AB1996" s="1439"/>
      <c r="AC1996" s="1439"/>
      <c r="AD1996" s="1439"/>
      <c r="AE1996" s="1439"/>
      <c r="AF1996" s="1439"/>
      <c r="AG1996" s="1439"/>
    </row>
    <row r="1997" spans="1:33" ht="15.75" customHeight="1">
      <c r="A1997" s="1443"/>
      <c r="B1997" s="1452" t="s">
        <v>7390</v>
      </c>
      <c r="C1997" s="1445">
        <v>2</v>
      </c>
      <c r="D1997" s="1453" t="s">
        <v>3827</v>
      </c>
      <c r="E1997" s="1445">
        <v>1</v>
      </c>
      <c r="F1997" s="1446">
        <f>4.765+1.13+2.53+0.23</f>
        <v>8.6549999999999994</v>
      </c>
      <c r="G1997" s="1446"/>
      <c r="H1997" s="1447">
        <v>0.4</v>
      </c>
      <c r="I1997" s="1448">
        <f t="shared" si="82"/>
        <v>6.92</v>
      </c>
      <c r="J1997" s="1449"/>
      <c r="K1997" s="1439"/>
      <c r="L1997" s="1439"/>
      <c r="M1997" s="1439"/>
      <c r="N1997" s="1439"/>
      <c r="O1997" s="1439"/>
      <c r="P1997" s="1439"/>
      <c r="Q1997" s="1439"/>
      <c r="R1997" s="1439"/>
      <c r="S1997" s="1439"/>
      <c r="T1997" s="1439"/>
      <c r="U1997" s="1439"/>
      <c r="V1997" s="1439"/>
      <c r="W1997" s="1439"/>
      <c r="X1997" s="1439"/>
      <c r="Y1997" s="1439"/>
      <c r="Z1997" s="1439"/>
      <c r="AA1997" s="1439"/>
      <c r="AB1997" s="1439"/>
      <c r="AC1997" s="1439"/>
      <c r="AD1997" s="1439"/>
      <c r="AE1997" s="1439"/>
      <c r="AF1997" s="1439"/>
      <c r="AG1997" s="1439"/>
    </row>
    <row r="1998" spans="1:33" ht="15.75" customHeight="1">
      <c r="A1998" s="1443"/>
      <c r="B1998" s="1452" t="s">
        <v>7388</v>
      </c>
      <c r="C1998" s="1445">
        <v>1</v>
      </c>
      <c r="D1998" s="1445" t="s">
        <v>3364</v>
      </c>
      <c r="E1998" s="1445">
        <v>4</v>
      </c>
      <c r="F1998" s="1446">
        <v>27.89</v>
      </c>
      <c r="G1998" s="1446">
        <v>0.23</v>
      </c>
      <c r="H1998" s="1447"/>
      <c r="I1998" s="1448">
        <f t="shared" si="82"/>
        <v>25.66</v>
      </c>
      <c r="J1998" s="1449"/>
      <c r="K1998" s="1439"/>
      <c r="L1998" s="1439"/>
      <c r="M1998" s="1439"/>
      <c r="N1998" s="1439"/>
      <c r="O1998" s="1439"/>
      <c r="P1998" s="1439"/>
      <c r="Q1998" s="1439"/>
      <c r="R1998" s="1439"/>
      <c r="S1998" s="1439"/>
      <c r="T1998" s="1439"/>
      <c r="U1998" s="1439"/>
      <c r="V1998" s="1439"/>
      <c r="W1998" s="1439"/>
      <c r="X1998" s="1439"/>
      <c r="Y1998" s="1439"/>
      <c r="Z1998" s="1439"/>
      <c r="AA1998" s="1439"/>
      <c r="AB1998" s="1439"/>
      <c r="AC1998" s="1439"/>
      <c r="AD1998" s="1439"/>
      <c r="AE1998" s="1439"/>
      <c r="AF1998" s="1439"/>
      <c r="AG1998" s="1439"/>
    </row>
    <row r="1999" spans="1:33" ht="15.75" customHeight="1">
      <c r="A1999" s="1443"/>
      <c r="B1999" s="1452" t="s">
        <v>7389</v>
      </c>
      <c r="C1999" s="1445">
        <v>1</v>
      </c>
      <c r="D1999" s="1445" t="s">
        <v>3364</v>
      </c>
      <c r="E1999" s="1445">
        <v>1</v>
      </c>
      <c r="F1999" s="1446">
        <f>2.53+0.46</f>
        <v>2.99</v>
      </c>
      <c r="G1999" s="1446">
        <v>0.23</v>
      </c>
      <c r="H1999" s="1447"/>
      <c r="I1999" s="1448">
        <f t="shared" ref="I1999:I2007" si="83">PRODUCT(C1999:H1999)</f>
        <v>0.69</v>
      </c>
      <c r="J1999" s="1449"/>
      <c r="K1999" s="1439"/>
      <c r="L1999" s="1439"/>
      <c r="M1999" s="1439"/>
      <c r="N1999" s="1439"/>
      <c r="O1999" s="1439"/>
      <c r="P1999" s="1439"/>
      <c r="Q1999" s="1439"/>
      <c r="R1999" s="1439"/>
      <c r="S1999" s="1439"/>
      <c r="T1999" s="1439"/>
      <c r="U1999" s="1439"/>
      <c r="V1999" s="1439"/>
      <c r="W1999" s="1439"/>
      <c r="X1999" s="1439"/>
      <c r="Y1999" s="1439"/>
      <c r="Z1999" s="1439"/>
      <c r="AA1999" s="1439"/>
      <c r="AB1999" s="1439"/>
      <c r="AC1999" s="1439"/>
      <c r="AD1999" s="1439"/>
      <c r="AE1999" s="1439"/>
      <c r="AF1999" s="1439"/>
      <c r="AG1999" s="1439"/>
    </row>
    <row r="2000" spans="1:33" ht="15.75" customHeight="1">
      <c r="A2000" s="1443"/>
      <c r="B2000" s="1452" t="s">
        <v>7390</v>
      </c>
      <c r="C2000" s="1445">
        <v>1</v>
      </c>
      <c r="D2000" s="1453" t="s">
        <v>3827</v>
      </c>
      <c r="E2000" s="1445">
        <v>1</v>
      </c>
      <c r="F2000" s="1446">
        <f>4.765+1.13+2.53+0.23</f>
        <v>8.6549999999999994</v>
      </c>
      <c r="G2000" s="1446">
        <v>0.23</v>
      </c>
      <c r="H2000" s="1447"/>
      <c r="I2000" s="1448">
        <f t="shared" si="83"/>
        <v>1.99</v>
      </c>
      <c r="J2000" s="1449"/>
      <c r="K2000" s="1439"/>
      <c r="L2000" s="1439"/>
      <c r="M2000" s="1439"/>
      <c r="N2000" s="1439"/>
      <c r="O2000" s="1439"/>
      <c r="P2000" s="1439"/>
      <c r="Q2000" s="1439"/>
      <c r="R2000" s="1439"/>
      <c r="S2000" s="1439"/>
      <c r="T2000" s="1439"/>
      <c r="U2000" s="1439"/>
      <c r="V2000" s="1439"/>
      <c r="W2000" s="1439"/>
      <c r="X2000" s="1439"/>
      <c r="Y2000" s="1439"/>
      <c r="Z2000" s="1439"/>
      <c r="AA2000" s="1439"/>
      <c r="AB2000" s="1439"/>
      <c r="AC2000" s="1439"/>
      <c r="AD2000" s="1439"/>
      <c r="AE2000" s="1439"/>
      <c r="AF2000" s="1439"/>
      <c r="AG2000" s="1439"/>
    </row>
    <row r="2001" spans="1:33" ht="15.75" customHeight="1">
      <c r="A2001" s="1443"/>
      <c r="B2001" s="1455" t="s">
        <v>7548</v>
      </c>
      <c r="C2001" s="1445"/>
      <c r="D2001" s="1445"/>
      <c r="E2001" s="1445"/>
      <c r="F2001" s="1446"/>
      <c r="G2001" s="1446"/>
      <c r="H2001" s="1447"/>
      <c r="I2001" s="1448">
        <f t="shared" si="83"/>
        <v>0</v>
      </c>
      <c r="J2001" s="1449"/>
      <c r="K2001" s="1439"/>
      <c r="L2001" s="1439"/>
      <c r="M2001" s="1439"/>
      <c r="N2001" s="1439"/>
      <c r="O2001" s="1439"/>
      <c r="P2001" s="1439"/>
      <c r="Q2001" s="1439"/>
      <c r="R2001" s="1439"/>
      <c r="S2001" s="1439"/>
      <c r="T2001" s="1439"/>
      <c r="U2001" s="1439"/>
      <c r="V2001" s="1439"/>
      <c r="W2001" s="1439"/>
      <c r="X2001" s="1439"/>
      <c r="Y2001" s="1439"/>
      <c r="Z2001" s="1439"/>
      <c r="AA2001" s="1439"/>
      <c r="AB2001" s="1439"/>
      <c r="AC2001" s="1439"/>
      <c r="AD2001" s="1439"/>
      <c r="AE2001" s="1439"/>
      <c r="AF2001" s="1439"/>
      <c r="AG2001" s="1439"/>
    </row>
    <row r="2002" spans="1:33" ht="15.75" customHeight="1">
      <c r="A2002" s="1443"/>
      <c r="B2002" s="1452" t="s">
        <v>7037</v>
      </c>
      <c r="C2002" s="1445">
        <v>2</v>
      </c>
      <c r="D2002" s="1445" t="s">
        <v>3364</v>
      </c>
      <c r="E2002" s="1445">
        <v>7</v>
      </c>
      <c r="F2002" s="1446">
        <v>18.079999999999998</v>
      </c>
      <c r="G2002" s="1446"/>
      <c r="H2002" s="1447">
        <v>0.4</v>
      </c>
      <c r="I2002" s="1448">
        <f t="shared" si="83"/>
        <v>101.25</v>
      </c>
      <c r="J2002" s="1449"/>
      <c r="K2002" s="1439"/>
      <c r="L2002" s="1439"/>
      <c r="M2002" s="1439"/>
      <c r="N2002" s="1439"/>
      <c r="O2002" s="1439"/>
      <c r="P2002" s="1439"/>
      <c r="Q2002" s="1439"/>
      <c r="R2002" s="1439"/>
      <c r="S2002" s="1439"/>
      <c r="T2002" s="1439"/>
      <c r="U2002" s="1439"/>
      <c r="V2002" s="1439"/>
      <c r="W2002" s="1439"/>
      <c r="X2002" s="1439"/>
      <c r="Y2002" s="1439"/>
      <c r="Z2002" s="1439"/>
      <c r="AA2002" s="1439"/>
      <c r="AB2002" s="1439"/>
      <c r="AC2002" s="1439"/>
      <c r="AD2002" s="1439"/>
      <c r="AE2002" s="1439"/>
      <c r="AF2002" s="1439"/>
      <c r="AG2002" s="1439"/>
    </row>
    <row r="2003" spans="1:33" ht="15.75" customHeight="1">
      <c r="A2003" s="1443"/>
      <c r="B2003" s="1452" t="s">
        <v>7391</v>
      </c>
      <c r="C2003" s="1445">
        <v>2</v>
      </c>
      <c r="D2003" s="1445" t="s">
        <v>3364</v>
      </c>
      <c r="E2003" s="1445">
        <v>4</v>
      </c>
      <c r="F2003" s="1446">
        <v>1.54</v>
      </c>
      <c r="G2003" s="1446"/>
      <c r="H2003" s="1447">
        <v>0.4</v>
      </c>
      <c r="I2003" s="1448">
        <f t="shared" si="83"/>
        <v>4.93</v>
      </c>
      <c r="J2003" s="1449"/>
      <c r="K2003" s="1439"/>
      <c r="L2003" s="1439"/>
      <c r="M2003" s="1439"/>
      <c r="N2003" s="1439"/>
      <c r="O2003" s="1439"/>
      <c r="P2003" s="1439"/>
      <c r="Q2003" s="1439"/>
      <c r="R2003" s="1439"/>
      <c r="S2003" s="1439"/>
      <c r="T2003" s="1439"/>
      <c r="U2003" s="1439"/>
      <c r="V2003" s="1439"/>
      <c r="W2003" s="1439"/>
      <c r="X2003" s="1439"/>
      <c r="Y2003" s="1439"/>
      <c r="Z2003" s="1439"/>
      <c r="AA2003" s="1439"/>
      <c r="AB2003" s="1439"/>
      <c r="AC2003" s="1439"/>
      <c r="AD2003" s="1439"/>
      <c r="AE2003" s="1439"/>
      <c r="AF2003" s="1439"/>
      <c r="AG2003" s="1439"/>
    </row>
    <row r="2004" spans="1:33" ht="15.75" customHeight="1">
      <c r="A2004" s="1443"/>
      <c r="B2004" s="1452" t="s">
        <v>7392</v>
      </c>
      <c r="C2004" s="1445">
        <v>2</v>
      </c>
      <c r="D2004" s="1445" t="s">
        <v>3364</v>
      </c>
      <c r="E2004" s="1445">
        <v>1</v>
      </c>
      <c r="F2004" s="1446">
        <v>2.3849999999999998</v>
      </c>
      <c r="G2004" s="1446"/>
      <c r="H2004" s="1447">
        <v>0.4</v>
      </c>
      <c r="I2004" s="1448">
        <f t="shared" si="83"/>
        <v>1.91</v>
      </c>
      <c r="J2004" s="1449"/>
      <c r="K2004" s="1439"/>
      <c r="L2004" s="1439"/>
      <c r="M2004" s="1439"/>
      <c r="N2004" s="1439"/>
      <c r="O2004" s="1439"/>
      <c r="P2004" s="1439"/>
      <c r="Q2004" s="1439"/>
      <c r="R2004" s="1439"/>
      <c r="S2004" s="1439"/>
      <c r="T2004" s="1439"/>
      <c r="U2004" s="1439"/>
      <c r="V2004" s="1439"/>
      <c r="W2004" s="1439"/>
      <c r="X2004" s="1439"/>
      <c r="Y2004" s="1439"/>
      <c r="Z2004" s="1439"/>
      <c r="AA2004" s="1439"/>
      <c r="AB2004" s="1439"/>
      <c r="AC2004" s="1439"/>
      <c r="AD2004" s="1439"/>
      <c r="AE2004" s="1439"/>
      <c r="AF2004" s="1439"/>
      <c r="AG2004" s="1439"/>
    </row>
    <row r="2005" spans="1:33" ht="15.75" customHeight="1">
      <c r="A2005" s="1443"/>
      <c r="B2005" s="1450" t="s">
        <v>7039</v>
      </c>
      <c r="C2005" s="1445">
        <v>2</v>
      </c>
      <c r="D2005" s="1445" t="s">
        <v>3364</v>
      </c>
      <c r="E2005" s="1445">
        <v>1</v>
      </c>
      <c r="F2005" s="1446">
        <f>8.82+0.46</f>
        <v>9.2799999999999994</v>
      </c>
      <c r="G2005" s="1446"/>
      <c r="H2005" s="1447">
        <v>0.4</v>
      </c>
      <c r="I2005" s="1448">
        <f t="shared" si="83"/>
        <v>7.42</v>
      </c>
      <c r="J2005" s="1449"/>
      <c r="K2005" s="1439"/>
      <c r="L2005" s="1439"/>
      <c r="M2005" s="1439"/>
      <c r="N2005" s="1439"/>
      <c r="O2005" s="1439"/>
      <c r="P2005" s="1439"/>
      <c r="Q2005" s="1439"/>
      <c r="R2005" s="1439"/>
      <c r="S2005" s="1439"/>
      <c r="T2005" s="1439"/>
      <c r="U2005" s="1439"/>
      <c r="V2005" s="1439"/>
      <c r="W2005" s="1439"/>
      <c r="X2005" s="1439"/>
      <c r="Y2005" s="1439"/>
      <c r="Z2005" s="1439"/>
      <c r="AA2005" s="1439"/>
      <c r="AB2005" s="1439"/>
      <c r="AC2005" s="1439"/>
      <c r="AD2005" s="1439"/>
      <c r="AE2005" s="1439"/>
      <c r="AF2005" s="1439"/>
      <c r="AG2005" s="1439"/>
    </row>
    <row r="2006" spans="1:33" ht="15.75" customHeight="1">
      <c r="A2006" s="1443"/>
      <c r="B2006" s="1450" t="s">
        <v>7040</v>
      </c>
      <c r="C2006" s="1445">
        <v>2</v>
      </c>
      <c r="D2006" s="1445" t="s">
        <v>3364</v>
      </c>
      <c r="E2006" s="1445">
        <v>1</v>
      </c>
      <c r="F2006" s="1446">
        <v>3.3460000000000001</v>
      </c>
      <c r="G2006" s="1446"/>
      <c r="H2006" s="1447">
        <v>0.4</v>
      </c>
      <c r="I2006" s="1448">
        <f t="shared" si="83"/>
        <v>2.68</v>
      </c>
      <c r="J2006" s="1449"/>
      <c r="K2006" s="1439"/>
      <c r="L2006" s="1439"/>
      <c r="M2006" s="1439"/>
      <c r="N2006" s="1439"/>
      <c r="O2006" s="1439"/>
      <c r="P2006" s="1439"/>
      <c r="Q2006" s="1439"/>
      <c r="R2006" s="1439"/>
      <c r="S2006" s="1439"/>
      <c r="T2006" s="1439"/>
      <c r="U2006" s="1439"/>
      <c r="V2006" s="1439"/>
      <c r="W2006" s="1439"/>
      <c r="X2006" s="1439"/>
      <c r="Y2006" s="1439"/>
      <c r="Z2006" s="1439"/>
      <c r="AA2006" s="1439"/>
      <c r="AB2006" s="1439"/>
      <c r="AC2006" s="1439"/>
      <c r="AD2006" s="1439"/>
      <c r="AE2006" s="1439"/>
      <c r="AF2006" s="1439"/>
      <c r="AG2006" s="1439"/>
    </row>
    <row r="2007" spans="1:33" ht="15.75" customHeight="1">
      <c r="A2007" s="1443"/>
      <c r="B2007" s="1452" t="s">
        <v>7393</v>
      </c>
      <c r="C2007" s="1445">
        <v>2</v>
      </c>
      <c r="D2007" s="1453" t="s">
        <v>3364</v>
      </c>
      <c r="E2007" s="1445">
        <v>6</v>
      </c>
      <c r="F2007" s="1446">
        <v>0.9</v>
      </c>
      <c r="G2007" s="1446"/>
      <c r="H2007" s="1447">
        <v>0.2</v>
      </c>
      <c r="I2007" s="1448">
        <f t="shared" si="83"/>
        <v>2.16</v>
      </c>
      <c r="J2007" s="1449"/>
      <c r="K2007" s="1439"/>
      <c r="L2007" s="1439"/>
      <c r="M2007" s="1439"/>
      <c r="N2007" s="1439"/>
      <c r="O2007" s="1439"/>
      <c r="P2007" s="1439"/>
      <c r="Q2007" s="1439"/>
      <c r="R2007" s="1439"/>
      <c r="S2007" s="1439"/>
      <c r="T2007" s="1439"/>
      <c r="U2007" s="1439"/>
      <c r="V2007" s="1439"/>
      <c r="W2007" s="1439"/>
      <c r="X2007" s="1439"/>
      <c r="Y2007" s="1439"/>
      <c r="Z2007" s="1439"/>
      <c r="AA2007" s="1439"/>
      <c r="AB2007" s="1439"/>
      <c r="AC2007" s="1439"/>
      <c r="AD2007" s="1439"/>
      <c r="AE2007" s="1439"/>
      <c r="AF2007" s="1439"/>
      <c r="AG2007" s="1439"/>
    </row>
    <row r="2008" spans="1:33" ht="15.75" customHeight="1">
      <c r="A2008" s="1494"/>
      <c r="B2008" s="1483"/>
      <c r="C2008" s="1445"/>
      <c r="D2008" s="1447"/>
      <c r="E2008" s="1445"/>
      <c r="F2008" s="1446"/>
      <c r="G2008" s="1446"/>
      <c r="H2008" s="1447"/>
      <c r="I2008" s="1494"/>
      <c r="J2008" s="1527"/>
      <c r="K2008" s="1481"/>
      <c r="L2008" s="1481"/>
      <c r="M2008" s="1481"/>
      <c r="N2008" s="1481"/>
      <c r="O2008" s="1481"/>
      <c r="P2008" s="1481"/>
      <c r="Q2008" s="1481"/>
      <c r="R2008" s="1481"/>
      <c r="S2008" s="1481"/>
      <c r="T2008" s="1481"/>
      <c r="U2008" s="1481"/>
      <c r="V2008" s="1481"/>
      <c r="W2008" s="1481"/>
      <c r="X2008" s="1481"/>
      <c r="Y2008" s="1481"/>
      <c r="Z2008" s="1481"/>
      <c r="AA2008" s="1481"/>
      <c r="AB2008" s="1481"/>
      <c r="AC2008" s="1481"/>
      <c r="AD2008" s="1481"/>
      <c r="AE2008" s="1481"/>
      <c r="AF2008" s="1481"/>
      <c r="AG2008" s="1481"/>
    </row>
    <row r="2009" spans="1:33" ht="15.75" customHeight="1">
      <c r="A2009" s="1494"/>
      <c r="B2009" s="1482" t="s">
        <v>7437</v>
      </c>
      <c r="C2009" s="1445">
        <v>1</v>
      </c>
      <c r="D2009" s="1447" t="s">
        <v>3364</v>
      </c>
      <c r="E2009" s="1445">
        <v>1</v>
      </c>
      <c r="F2009" s="1446">
        <v>5.8849999999999998</v>
      </c>
      <c r="G2009" s="1446">
        <v>5.0350000000000001</v>
      </c>
      <c r="H2009" s="1447"/>
      <c r="I2009" s="1448">
        <f t="shared" ref="I2009:I2021" si="84">PRODUCT(C2009:H2009)</f>
        <v>29.63</v>
      </c>
      <c r="J2009" s="1527"/>
      <c r="K2009" s="1481"/>
      <c r="L2009" s="1481"/>
      <c r="M2009" s="1481"/>
      <c r="N2009" s="1481"/>
      <c r="O2009" s="1481"/>
      <c r="P2009" s="1481"/>
      <c r="Q2009" s="1481"/>
      <c r="R2009" s="1481"/>
      <c r="S2009" s="1481"/>
      <c r="T2009" s="1481"/>
      <c r="U2009" s="1481"/>
      <c r="V2009" s="1481"/>
      <c r="W2009" s="1481"/>
      <c r="X2009" s="1481"/>
      <c r="Y2009" s="1481"/>
      <c r="Z2009" s="1481"/>
      <c r="AA2009" s="1481"/>
      <c r="AB2009" s="1481"/>
      <c r="AC2009" s="1481"/>
      <c r="AD2009" s="1481"/>
      <c r="AE2009" s="1481"/>
      <c r="AF2009" s="1481"/>
      <c r="AG2009" s="1481"/>
    </row>
    <row r="2010" spans="1:33" ht="15.75" customHeight="1">
      <c r="A2010" s="1494"/>
      <c r="B2010" s="1482" t="s">
        <v>7490</v>
      </c>
      <c r="C2010" s="1445">
        <v>1</v>
      </c>
      <c r="D2010" s="1447" t="s">
        <v>3364</v>
      </c>
      <c r="E2010" s="1445">
        <v>1</v>
      </c>
      <c r="F2010" s="1446">
        <v>6.88</v>
      </c>
      <c r="G2010" s="1446">
        <v>5.0350000000000001</v>
      </c>
      <c r="H2010" s="1447"/>
      <c r="I2010" s="1448">
        <f t="shared" si="84"/>
        <v>34.64</v>
      </c>
      <c r="J2010" s="1527"/>
      <c r="K2010" s="1481"/>
      <c r="L2010" s="1481"/>
      <c r="M2010" s="1481"/>
      <c r="N2010" s="1481"/>
      <c r="O2010" s="1481"/>
      <c r="P2010" s="1481"/>
      <c r="Q2010" s="1481"/>
      <c r="R2010" s="1481"/>
      <c r="S2010" s="1481"/>
      <c r="T2010" s="1481"/>
      <c r="U2010" s="1481"/>
      <c r="V2010" s="1481"/>
      <c r="W2010" s="1481"/>
      <c r="X2010" s="1481"/>
      <c r="Y2010" s="1481"/>
      <c r="Z2010" s="1481"/>
      <c r="AA2010" s="1481"/>
      <c r="AB2010" s="1481"/>
      <c r="AC2010" s="1481"/>
      <c r="AD2010" s="1481"/>
      <c r="AE2010" s="1481"/>
      <c r="AF2010" s="1481"/>
      <c r="AG2010" s="1481"/>
    </row>
    <row r="2011" spans="1:33" ht="15.75" customHeight="1">
      <c r="A2011" s="1494"/>
      <c r="B2011" s="1480" t="s">
        <v>7163</v>
      </c>
      <c r="C2011" s="1445">
        <v>1</v>
      </c>
      <c r="D2011" s="1447" t="s">
        <v>3364</v>
      </c>
      <c r="E2011" s="1445">
        <v>1</v>
      </c>
      <c r="F2011" s="1446">
        <v>8.17</v>
      </c>
      <c r="G2011" s="1446">
        <v>5.0350000000000001</v>
      </c>
      <c r="H2011" s="1447"/>
      <c r="I2011" s="1448">
        <f t="shared" si="84"/>
        <v>41.14</v>
      </c>
      <c r="J2011" s="1527"/>
      <c r="K2011" s="1481"/>
      <c r="L2011" s="1481"/>
      <c r="M2011" s="1481"/>
      <c r="N2011" s="1481"/>
      <c r="O2011" s="1481"/>
      <c r="P2011" s="1481"/>
      <c r="Q2011" s="1481"/>
      <c r="R2011" s="1481"/>
      <c r="S2011" s="1481"/>
      <c r="T2011" s="1481"/>
      <c r="U2011" s="1481"/>
      <c r="V2011" s="1481"/>
      <c r="W2011" s="1481"/>
      <c r="X2011" s="1481"/>
      <c r="Y2011" s="1481"/>
      <c r="Z2011" s="1481"/>
      <c r="AA2011" s="1481"/>
      <c r="AB2011" s="1481"/>
      <c r="AC2011" s="1481"/>
      <c r="AD2011" s="1481"/>
      <c r="AE2011" s="1481"/>
      <c r="AF2011" s="1481"/>
      <c r="AG2011" s="1481"/>
    </row>
    <row r="2012" spans="1:33" ht="15.75" customHeight="1">
      <c r="A2012" s="1494"/>
      <c r="B2012" s="1482" t="s">
        <v>7535</v>
      </c>
      <c r="C2012" s="1445">
        <v>1</v>
      </c>
      <c r="D2012" s="1447" t="s">
        <v>3364</v>
      </c>
      <c r="E2012" s="1445">
        <v>3</v>
      </c>
      <c r="F2012" s="1446">
        <v>7.0549999999999997</v>
      </c>
      <c r="G2012" s="1446">
        <v>4.57</v>
      </c>
      <c r="H2012" s="1447"/>
      <c r="I2012" s="1448">
        <f t="shared" si="84"/>
        <v>96.72</v>
      </c>
      <c r="J2012" s="1527"/>
      <c r="K2012" s="1481"/>
      <c r="L2012" s="1481"/>
      <c r="M2012" s="1481"/>
      <c r="N2012" s="1481"/>
      <c r="O2012" s="1481"/>
      <c r="P2012" s="1481"/>
      <c r="Q2012" s="1481"/>
      <c r="R2012" s="1481"/>
      <c r="S2012" s="1481"/>
      <c r="T2012" s="1481"/>
      <c r="U2012" s="1481"/>
      <c r="V2012" s="1481"/>
      <c r="W2012" s="1481"/>
      <c r="X2012" s="1481"/>
      <c r="Y2012" s="1481"/>
      <c r="Z2012" s="1481"/>
      <c r="AA2012" s="1481"/>
      <c r="AB2012" s="1481"/>
      <c r="AC2012" s="1481"/>
      <c r="AD2012" s="1481"/>
      <c r="AE2012" s="1481"/>
      <c r="AF2012" s="1481"/>
      <c r="AG2012" s="1481"/>
    </row>
    <row r="2013" spans="1:33" ht="15.75" customHeight="1">
      <c r="A2013" s="1494"/>
      <c r="B2013" s="1482" t="s">
        <v>7536</v>
      </c>
      <c r="C2013" s="1445">
        <v>1</v>
      </c>
      <c r="D2013" s="1447" t="s">
        <v>3364</v>
      </c>
      <c r="E2013" s="1445">
        <v>1</v>
      </c>
      <c r="F2013" s="1446">
        <v>8.4849999999999994</v>
      </c>
      <c r="G2013" s="1446">
        <v>7.0549999999999997</v>
      </c>
      <c r="H2013" s="1447"/>
      <c r="I2013" s="1448">
        <f t="shared" si="84"/>
        <v>59.86</v>
      </c>
      <c r="J2013" s="1527"/>
      <c r="K2013" s="1481"/>
      <c r="L2013" s="1481"/>
      <c r="M2013" s="1481"/>
      <c r="N2013" s="1481"/>
      <c r="O2013" s="1481"/>
      <c r="P2013" s="1481"/>
      <c r="Q2013" s="1481"/>
      <c r="R2013" s="1481"/>
      <c r="S2013" s="1481"/>
      <c r="T2013" s="1481"/>
      <c r="U2013" s="1481"/>
      <c r="V2013" s="1481"/>
      <c r="W2013" s="1481"/>
      <c r="X2013" s="1481"/>
      <c r="Y2013" s="1481"/>
      <c r="Z2013" s="1481"/>
      <c r="AA2013" s="1481"/>
      <c r="AB2013" s="1481"/>
      <c r="AC2013" s="1481"/>
      <c r="AD2013" s="1481"/>
      <c r="AE2013" s="1481"/>
      <c r="AF2013" s="1481"/>
      <c r="AG2013" s="1481"/>
    </row>
    <row r="2014" spans="1:33" ht="15.75" customHeight="1">
      <c r="A2014" s="1494"/>
      <c r="B2014" s="1482" t="s">
        <v>6727</v>
      </c>
      <c r="C2014" s="1445">
        <v>1</v>
      </c>
      <c r="D2014" s="1447" t="s">
        <v>3364</v>
      </c>
      <c r="E2014" s="1445">
        <v>6</v>
      </c>
      <c r="F2014" s="1446">
        <v>1.89</v>
      </c>
      <c r="G2014" s="1446">
        <v>1.76</v>
      </c>
      <c r="H2014" s="1447"/>
      <c r="I2014" s="1448">
        <f t="shared" si="84"/>
        <v>19.96</v>
      </c>
      <c r="J2014" s="1527"/>
      <c r="K2014" s="1481"/>
      <c r="L2014" s="1481"/>
      <c r="M2014" s="1481"/>
      <c r="N2014" s="1481"/>
      <c r="O2014" s="1481"/>
      <c r="P2014" s="1481"/>
      <c r="Q2014" s="1481"/>
      <c r="R2014" s="1481"/>
      <c r="S2014" s="1481"/>
      <c r="T2014" s="1481"/>
      <c r="U2014" s="1481"/>
      <c r="V2014" s="1481"/>
      <c r="W2014" s="1481"/>
      <c r="X2014" s="1481"/>
      <c r="Y2014" s="1481"/>
      <c r="Z2014" s="1481"/>
      <c r="AA2014" s="1481"/>
      <c r="AB2014" s="1481"/>
      <c r="AC2014" s="1481"/>
      <c r="AD2014" s="1481"/>
      <c r="AE2014" s="1481"/>
      <c r="AF2014" s="1481"/>
      <c r="AG2014" s="1481"/>
    </row>
    <row r="2015" spans="1:33" ht="15.75" customHeight="1">
      <c r="A2015" s="1494"/>
      <c r="B2015" s="1482" t="s">
        <v>6727</v>
      </c>
      <c r="C2015" s="1445">
        <v>1</v>
      </c>
      <c r="D2015" s="1447" t="s">
        <v>3364</v>
      </c>
      <c r="E2015" s="1445">
        <v>1</v>
      </c>
      <c r="F2015" s="1446">
        <v>3.43</v>
      </c>
      <c r="G2015" s="1446">
        <v>4.96</v>
      </c>
      <c r="H2015" s="1447"/>
      <c r="I2015" s="1448">
        <f t="shared" si="84"/>
        <v>17.010000000000002</v>
      </c>
      <c r="J2015" s="1527"/>
      <c r="K2015" s="1481"/>
      <c r="L2015" s="1481"/>
      <c r="M2015" s="1481"/>
      <c r="N2015" s="1481"/>
      <c r="O2015" s="1481"/>
      <c r="P2015" s="1481"/>
      <c r="Q2015" s="1481"/>
      <c r="R2015" s="1481"/>
      <c r="S2015" s="1481"/>
      <c r="T2015" s="1481"/>
      <c r="U2015" s="1481"/>
      <c r="V2015" s="1481"/>
      <c r="W2015" s="1481"/>
      <c r="X2015" s="1481"/>
      <c r="Y2015" s="1481"/>
      <c r="Z2015" s="1481"/>
      <c r="AA2015" s="1481"/>
      <c r="AB2015" s="1481"/>
      <c r="AC2015" s="1481"/>
      <c r="AD2015" s="1481"/>
      <c r="AE2015" s="1481"/>
      <c r="AF2015" s="1481"/>
      <c r="AG2015" s="1481"/>
    </row>
    <row r="2016" spans="1:33" ht="15.75" customHeight="1">
      <c r="A2016" s="1494"/>
      <c r="B2016" s="1482" t="s">
        <v>6737</v>
      </c>
      <c r="C2016" s="1445">
        <v>1</v>
      </c>
      <c r="D2016" s="1447" t="s">
        <v>3364</v>
      </c>
      <c r="E2016" s="1445">
        <v>1</v>
      </c>
      <c r="F2016" s="1446">
        <f>27.89-9-0.46</f>
        <v>18.43</v>
      </c>
      <c r="G2016" s="1446">
        <v>2</v>
      </c>
      <c r="H2016" s="1447"/>
      <c r="I2016" s="1448">
        <f t="shared" si="84"/>
        <v>36.86</v>
      </c>
      <c r="J2016" s="1527"/>
      <c r="K2016" s="1481"/>
      <c r="L2016" s="1481"/>
      <c r="M2016" s="1481"/>
      <c r="N2016" s="1481"/>
      <c r="O2016" s="1481"/>
      <c r="P2016" s="1481"/>
      <c r="Q2016" s="1481"/>
      <c r="R2016" s="1481"/>
      <c r="S2016" s="1481"/>
      <c r="T2016" s="1481"/>
      <c r="U2016" s="1481"/>
      <c r="V2016" s="1481"/>
      <c r="W2016" s="1481"/>
      <c r="X2016" s="1481"/>
      <c r="Y2016" s="1481"/>
      <c r="Z2016" s="1481"/>
      <c r="AA2016" s="1481"/>
      <c r="AB2016" s="1481"/>
      <c r="AC2016" s="1481"/>
      <c r="AD2016" s="1481"/>
      <c r="AE2016" s="1481"/>
      <c r="AF2016" s="1481"/>
      <c r="AG2016" s="1481"/>
    </row>
    <row r="2017" spans="1:33" ht="15.75" customHeight="1">
      <c r="A2017" s="1494"/>
      <c r="B2017" s="1480" t="s">
        <v>7165</v>
      </c>
      <c r="C2017" s="1445">
        <v>1</v>
      </c>
      <c r="D2017" s="1447" t="s">
        <v>3364</v>
      </c>
      <c r="E2017" s="1445">
        <v>1</v>
      </c>
      <c r="F2017" s="1446">
        <v>2.76</v>
      </c>
      <c r="G2017" s="1446">
        <v>0.9</v>
      </c>
      <c r="H2017" s="1447"/>
      <c r="I2017" s="1448">
        <f t="shared" si="84"/>
        <v>2.48</v>
      </c>
      <c r="J2017" s="1527"/>
      <c r="K2017" s="1481"/>
      <c r="L2017" s="1481"/>
      <c r="M2017" s="1481"/>
      <c r="N2017" s="1481"/>
      <c r="O2017" s="1481"/>
      <c r="P2017" s="1481"/>
      <c r="Q2017" s="1481"/>
      <c r="R2017" s="1481"/>
      <c r="S2017" s="1481"/>
      <c r="T2017" s="1481"/>
      <c r="U2017" s="1481"/>
      <c r="V2017" s="1481"/>
      <c r="W2017" s="1481"/>
      <c r="X2017" s="1481"/>
      <c r="Y2017" s="1481"/>
      <c r="Z2017" s="1481"/>
      <c r="AA2017" s="1481"/>
      <c r="AB2017" s="1481"/>
      <c r="AC2017" s="1481"/>
      <c r="AD2017" s="1481"/>
      <c r="AE2017" s="1481"/>
      <c r="AF2017" s="1481"/>
      <c r="AG2017" s="1481"/>
    </row>
    <row r="2018" spans="1:33" ht="15.75" customHeight="1">
      <c r="A2018" s="1494"/>
      <c r="B2018" s="1485" t="s">
        <v>7158</v>
      </c>
      <c r="C2018" s="1445"/>
      <c r="D2018" s="1447"/>
      <c r="E2018" s="1445"/>
      <c r="F2018" s="1446"/>
      <c r="G2018" s="1446"/>
      <c r="H2018" s="1447"/>
      <c r="I2018" s="1448">
        <f t="shared" si="84"/>
        <v>0</v>
      </c>
      <c r="J2018" s="1527"/>
      <c r="K2018" s="1481"/>
      <c r="L2018" s="1481"/>
      <c r="M2018" s="1481"/>
      <c r="N2018" s="1481"/>
      <c r="O2018" s="1481"/>
      <c r="P2018" s="1481"/>
      <c r="Q2018" s="1481"/>
      <c r="R2018" s="1481"/>
      <c r="S2018" s="1481"/>
      <c r="T2018" s="1481"/>
      <c r="U2018" s="1481"/>
      <c r="V2018" s="1481"/>
      <c r="W2018" s="1481"/>
      <c r="X2018" s="1481"/>
      <c r="Y2018" s="1481"/>
      <c r="Z2018" s="1481"/>
      <c r="AA2018" s="1481"/>
      <c r="AB2018" s="1481"/>
      <c r="AC2018" s="1481"/>
      <c r="AD2018" s="1481"/>
      <c r="AE2018" s="1481"/>
      <c r="AF2018" s="1481"/>
      <c r="AG2018" s="1481"/>
    </row>
    <row r="2019" spans="1:33" ht="15.75" customHeight="1">
      <c r="A2019" s="1443"/>
      <c r="B2019" s="1452" t="s">
        <v>3497</v>
      </c>
      <c r="C2019" s="1445">
        <v>1</v>
      </c>
      <c r="D2019" s="1453" t="s">
        <v>3364</v>
      </c>
      <c r="E2019" s="1445">
        <v>1</v>
      </c>
      <c r="F2019" s="1446">
        <v>1.8</v>
      </c>
      <c r="G2019" s="1446"/>
      <c r="H2019" s="1447">
        <v>2</v>
      </c>
      <c r="I2019" s="1448">
        <f t="shared" si="84"/>
        <v>3.6</v>
      </c>
      <c r="J2019" s="1449"/>
      <c r="K2019" s="1439"/>
      <c r="L2019" s="1439"/>
      <c r="M2019" s="1439"/>
      <c r="N2019" s="1439"/>
      <c r="O2019" s="1439"/>
      <c r="P2019" s="1439"/>
      <c r="Q2019" s="1439"/>
      <c r="R2019" s="1439"/>
      <c r="S2019" s="1439"/>
      <c r="T2019" s="1439"/>
      <c r="U2019" s="1439"/>
      <c r="V2019" s="1439"/>
      <c r="W2019" s="1439"/>
      <c r="X2019" s="1439"/>
      <c r="Y2019" s="1439"/>
      <c r="Z2019" s="1439"/>
      <c r="AA2019" s="1439"/>
      <c r="AB2019" s="1439"/>
      <c r="AC2019" s="1439"/>
      <c r="AD2019" s="1439"/>
      <c r="AE2019" s="1439"/>
      <c r="AF2019" s="1439"/>
      <c r="AG2019" s="1439"/>
    </row>
    <row r="2020" spans="1:33" ht="15.75" customHeight="1">
      <c r="A2020" s="1443"/>
      <c r="B2020" s="1452" t="s">
        <v>3414</v>
      </c>
      <c r="C2020" s="1445">
        <v>15</v>
      </c>
      <c r="D2020" s="1453" t="s">
        <v>3364</v>
      </c>
      <c r="E2020" s="1445">
        <v>1</v>
      </c>
      <c r="F2020" s="1446">
        <v>1.8</v>
      </c>
      <c r="G2020" s="1446"/>
      <c r="H2020" s="1447">
        <v>1.35</v>
      </c>
      <c r="I2020" s="1448">
        <f t="shared" si="84"/>
        <v>36.450000000000003</v>
      </c>
      <c r="J2020" s="1449"/>
      <c r="K2020" s="1439"/>
      <c r="L2020" s="1439"/>
      <c r="M2020" s="1439"/>
      <c r="N2020" s="1439"/>
      <c r="O2020" s="1439"/>
      <c r="P2020" s="1439"/>
      <c r="Q2020" s="1439"/>
      <c r="R2020" s="1439"/>
      <c r="S2020" s="1439"/>
      <c r="T2020" s="1439"/>
      <c r="U2020" s="1439"/>
      <c r="V2020" s="1439"/>
      <c r="W2020" s="1439"/>
      <c r="X2020" s="1439"/>
      <c r="Y2020" s="1439"/>
      <c r="Z2020" s="1439"/>
      <c r="AA2020" s="1439"/>
      <c r="AB2020" s="1439"/>
      <c r="AC2020" s="1439"/>
      <c r="AD2020" s="1439"/>
      <c r="AE2020" s="1439"/>
      <c r="AF2020" s="1439"/>
      <c r="AG2020" s="1439"/>
    </row>
    <row r="2021" spans="1:33" ht="15.75" customHeight="1">
      <c r="A2021" s="1443"/>
      <c r="B2021" s="1452" t="s">
        <v>7413</v>
      </c>
      <c r="C2021" s="1445">
        <v>1</v>
      </c>
      <c r="D2021" s="1453" t="s">
        <v>3364</v>
      </c>
      <c r="E2021" s="1445">
        <v>1</v>
      </c>
      <c r="F2021" s="1446">
        <v>0.9</v>
      </c>
      <c r="G2021" s="1446"/>
      <c r="H2021" s="1447">
        <v>2</v>
      </c>
      <c r="I2021" s="1448">
        <f t="shared" si="84"/>
        <v>1.8</v>
      </c>
      <c r="J2021" s="1449"/>
      <c r="K2021" s="1439"/>
      <c r="L2021" s="1439"/>
      <c r="M2021" s="1439"/>
      <c r="N2021" s="1439"/>
      <c r="O2021" s="1439"/>
      <c r="P2021" s="1439"/>
      <c r="Q2021" s="1439"/>
      <c r="R2021" s="1439"/>
      <c r="S2021" s="1439"/>
      <c r="T2021" s="1439"/>
      <c r="U2021" s="1439"/>
      <c r="V2021" s="1439"/>
      <c r="W2021" s="1439"/>
      <c r="X2021" s="1439"/>
      <c r="Y2021" s="1439"/>
      <c r="Z2021" s="1439"/>
      <c r="AA2021" s="1439"/>
      <c r="AB2021" s="1439"/>
      <c r="AC2021" s="1439"/>
      <c r="AD2021" s="1439"/>
      <c r="AE2021" s="1439"/>
      <c r="AF2021" s="1439"/>
      <c r="AG2021" s="1439"/>
    </row>
    <row r="2022" spans="1:33" ht="15.75" customHeight="1">
      <c r="A2022" s="1494"/>
      <c r="B2022" s="1483" t="s">
        <v>7537</v>
      </c>
      <c r="C2022" s="1445"/>
      <c r="D2022" s="1447"/>
      <c r="E2022" s="1445"/>
      <c r="F2022" s="1446"/>
      <c r="G2022" s="1446"/>
      <c r="H2022" s="1447"/>
      <c r="I2022" s="1494">
        <f>PRODUCT(C2022:H2022)</f>
        <v>0</v>
      </c>
      <c r="J2022" s="1527"/>
      <c r="K2022" s="1481"/>
      <c r="L2022" s="1481"/>
      <c r="M2022" s="1481"/>
      <c r="N2022" s="1481"/>
      <c r="O2022" s="1481"/>
      <c r="P2022" s="1481"/>
      <c r="Q2022" s="1481"/>
      <c r="R2022" s="1481"/>
      <c r="S2022" s="1481"/>
      <c r="T2022" s="1481"/>
      <c r="U2022" s="1481"/>
      <c r="V2022" s="1481"/>
      <c r="W2022" s="1481"/>
      <c r="X2022" s="1481"/>
      <c r="Y2022" s="1481"/>
      <c r="Z2022" s="1481"/>
      <c r="AA2022" s="1481"/>
      <c r="AB2022" s="1481"/>
      <c r="AC2022" s="1481"/>
      <c r="AD2022" s="1481"/>
      <c r="AE2022" s="1481"/>
      <c r="AF2022" s="1481"/>
      <c r="AG2022" s="1481"/>
    </row>
    <row r="2023" spans="1:33" ht="15.75" customHeight="1">
      <c r="A2023" s="1443"/>
      <c r="B2023" s="1455" t="s">
        <v>7547</v>
      </c>
      <c r="C2023" s="1445"/>
      <c r="D2023" s="1445"/>
      <c r="E2023" s="1445"/>
      <c r="F2023" s="1446"/>
      <c r="G2023" s="1446"/>
      <c r="H2023" s="1447"/>
      <c r="I2023" s="1448"/>
      <c r="J2023" s="1449"/>
      <c r="K2023" s="1439"/>
      <c r="L2023" s="1439"/>
      <c r="M2023" s="1439"/>
      <c r="N2023" s="1439"/>
      <c r="O2023" s="1439"/>
      <c r="P2023" s="1439"/>
      <c r="Q2023" s="1439"/>
      <c r="R2023" s="1439"/>
      <c r="S2023" s="1439"/>
      <c r="T2023" s="1439"/>
      <c r="U2023" s="1439"/>
      <c r="V2023" s="1439"/>
      <c r="W2023" s="1439"/>
      <c r="X2023" s="1439"/>
      <c r="Y2023" s="1439"/>
      <c r="Z2023" s="1439"/>
      <c r="AA2023" s="1439"/>
      <c r="AB2023" s="1439"/>
      <c r="AC2023" s="1439"/>
      <c r="AD2023" s="1439"/>
      <c r="AE2023" s="1439"/>
      <c r="AF2023" s="1439"/>
      <c r="AG2023" s="1439"/>
    </row>
    <row r="2024" spans="1:33" ht="15.75" customHeight="1">
      <c r="A2024" s="1443"/>
      <c r="B2024" s="1452" t="s">
        <v>7388</v>
      </c>
      <c r="C2024" s="1445">
        <v>2</v>
      </c>
      <c r="D2024" s="1445" t="s">
        <v>3364</v>
      </c>
      <c r="E2024" s="1445">
        <v>4</v>
      </c>
      <c r="F2024" s="1446">
        <v>27.89</v>
      </c>
      <c r="G2024" s="1446"/>
      <c r="H2024" s="1447">
        <v>0.4</v>
      </c>
      <c r="I2024" s="1448">
        <f t="shared" ref="I2024:I2055" si="85">PRODUCT(C2024:H2024)</f>
        <v>89.25</v>
      </c>
      <c r="J2024" s="1449"/>
      <c r="K2024" s="1439"/>
      <c r="L2024" s="1439"/>
      <c r="M2024" s="1439"/>
      <c r="N2024" s="1439"/>
      <c r="O2024" s="1439"/>
      <c r="P2024" s="1439"/>
      <c r="Q2024" s="1439"/>
      <c r="R2024" s="1439"/>
      <c r="S2024" s="1439"/>
      <c r="T2024" s="1439"/>
      <c r="U2024" s="1439"/>
      <c r="V2024" s="1439"/>
      <c r="W2024" s="1439"/>
      <c r="X2024" s="1439"/>
      <c r="Y2024" s="1439"/>
      <c r="Z2024" s="1439"/>
      <c r="AA2024" s="1439"/>
      <c r="AB2024" s="1439"/>
      <c r="AC2024" s="1439"/>
      <c r="AD2024" s="1439"/>
      <c r="AE2024" s="1439"/>
      <c r="AF2024" s="1439"/>
      <c r="AG2024" s="1439"/>
    </row>
    <row r="2025" spans="1:33" ht="15.75" customHeight="1">
      <c r="A2025" s="1443"/>
      <c r="B2025" s="1452" t="s">
        <v>7389</v>
      </c>
      <c r="C2025" s="1445">
        <v>2</v>
      </c>
      <c r="D2025" s="1445" t="s">
        <v>3364</v>
      </c>
      <c r="E2025" s="1445">
        <v>1</v>
      </c>
      <c r="F2025" s="1446">
        <f>2.53+0.46</f>
        <v>2.99</v>
      </c>
      <c r="G2025" s="1446"/>
      <c r="H2025" s="1447">
        <v>0.4</v>
      </c>
      <c r="I2025" s="1448">
        <f t="shared" si="85"/>
        <v>2.39</v>
      </c>
      <c r="J2025" s="1449"/>
      <c r="K2025" s="1439"/>
      <c r="L2025" s="1439"/>
      <c r="M2025" s="1439"/>
      <c r="N2025" s="1439"/>
      <c r="O2025" s="1439"/>
      <c r="P2025" s="1439"/>
      <c r="Q2025" s="1439"/>
      <c r="R2025" s="1439"/>
      <c r="S2025" s="1439"/>
      <c r="T2025" s="1439"/>
      <c r="U2025" s="1439"/>
      <c r="V2025" s="1439"/>
      <c r="W2025" s="1439"/>
      <c r="X2025" s="1439"/>
      <c r="Y2025" s="1439"/>
      <c r="Z2025" s="1439"/>
      <c r="AA2025" s="1439"/>
      <c r="AB2025" s="1439"/>
      <c r="AC2025" s="1439"/>
      <c r="AD2025" s="1439"/>
      <c r="AE2025" s="1439"/>
      <c r="AF2025" s="1439"/>
      <c r="AG2025" s="1439"/>
    </row>
    <row r="2026" spans="1:33" ht="15.75" customHeight="1">
      <c r="A2026" s="1443"/>
      <c r="B2026" s="1452" t="s">
        <v>7390</v>
      </c>
      <c r="C2026" s="1445">
        <v>2</v>
      </c>
      <c r="D2026" s="1453" t="s">
        <v>3827</v>
      </c>
      <c r="E2026" s="1445">
        <v>1</v>
      </c>
      <c r="F2026" s="1446">
        <f>4.765+1.13+2.53+0.23</f>
        <v>8.6549999999999994</v>
      </c>
      <c r="G2026" s="1446"/>
      <c r="H2026" s="1447">
        <v>0.4</v>
      </c>
      <c r="I2026" s="1448">
        <f t="shared" si="85"/>
        <v>6.92</v>
      </c>
      <c r="J2026" s="1449"/>
      <c r="K2026" s="1439"/>
      <c r="L2026" s="1439"/>
      <c r="M2026" s="1439"/>
      <c r="N2026" s="1439"/>
      <c r="O2026" s="1439"/>
      <c r="P2026" s="1439"/>
      <c r="Q2026" s="1439"/>
      <c r="R2026" s="1439"/>
      <c r="S2026" s="1439"/>
      <c r="T2026" s="1439"/>
      <c r="U2026" s="1439"/>
      <c r="V2026" s="1439"/>
      <c r="W2026" s="1439"/>
      <c r="X2026" s="1439"/>
      <c r="Y2026" s="1439"/>
      <c r="Z2026" s="1439"/>
      <c r="AA2026" s="1439"/>
      <c r="AB2026" s="1439"/>
      <c r="AC2026" s="1439"/>
      <c r="AD2026" s="1439"/>
      <c r="AE2026" s="1439"/>
      <c r="AF2026" s="1439"/>
      <c r="AG2026" s="1439"/>
    </row>
    <row r="2027" spans="1:33" ht="15.75" customHeight="1">
      <c r="A2027" s="1443"/>
      <c r="B2027" s="1452" t="s">
        <v>7388</v>
      </c>
      <c r="C2027" s="1445">
        <v>1</v>
      </c>
      <c r="D2027" s="1445" t="s">
        <v>3364</v>
      </c>
      <c r="E2027" s="1445">
        <v>4</v>
      </c>
      <c r="F2027" s="1446">
        <v>27.89</v>
      </c>
      <c r="G2027" s="1446">
        <v>0.23</v>
      </c>
      <c r="H2027" s="1447"/>
      <c r="I2027" s="1448">
        <f t="shared" si="85"/>
        <v>25.66</v>
      </c>
      <c r="J2027" s="1449"/>
      <c r="K2027" s="1439"/>
      <c r="L2027" s="1439"/>
      <c r="M2027" s="1439"/>
      <c r="N2027" s="1439"/>
      <c r="O2027" s="1439"/>
      <c r="P2027" s="1439"/>
      <c r="Q2027" s="1439"/>
      <c r="R2027" s="1439"/>
      <c r="S2027" s="1439"/>
      <c r="T2027" s="1439"/>
      <c r="U2027" s="1439"/>
      <c r="V2027" s="1439"/>
      <c r="W2027" s="1439"/>
      <c r="X2027" s="1439"/>
      <c r="Y2027" s="1439"/>
      <c r="Z2027" s="1439"/>
      <c r="AA2027" s="1439"/>
      <c r="AB2027" s="1439"/>
      <c r="AC2027" s="1439"/>
      <c r="AD2027" s="1439"/>
      <c r="AE2027" s="1439"/>
      <c r="AF2027" s="1439"/>
      <c r="AG2027" s="1439"/>
    </row>
    <row r="2028" spans="1:33" ht="15.75" customHeight="1">
      <c r="A2028" s="1443"/>
      <c r="B2028" s="1452" t="s">
        <v>7389</v>
      </c>
      <c r="C2028" s="1445">
        <v>1</v>
      </c>
      <c r="D2028" s="1445" t="s">
        <v>3364</v>
      </c>
      <c r="E2028" s="1445">
        <v>1</v>
      </c>
      <c r="F2028" s="1446">
        <f>2.53+0.46</f>
        <v>2.99</v>
      </c>
      <c r="G2028" s="1446">
        <v>0.23</v>
      </c>
      <c r="H2028" s="1447"/>
      <c r="I2028" s="1448">
        <f t="shared" si="85"/>
        <v>0.69</v>
      </c>
      <c r="J2028" s="1449"/>
      <c r="K2028" s="1439"/>
      <c r="L2028" s="1439"/>
      <c r="M2028" s="1439"/>
      <c r="N2028" s="1439"/>
      <c r="O2028" s="1439"/>
      <c r="P2028" s="1439"/>
      <c r="Q2028" s="1439"/>
      <c r="R2028" s="1439"/>
      <c r="S2028" s="1439"/>
      <c r="T2028" s="1439"/>
      <c r="U2028" s="1439"/>
      <c r="V2028" s="1439"/>
      <c r="W2028" s="1439"/>
      <c r="X2028" s="1439"/>
      <c r="Y2028" s="1439"/>
      <c r="Z2028" s="1439"/>
      <c r="AA2028" s="1439"/>
      <c r="AB2028" s="1439"/>
      <c r="AC2028" s="1439"/>
      <c r="AD2028" s="1439"/>
      <c r="AE2028" s="1439"/>
      <c r="AF2028" s="1439"/>
      <c r="AG2028" s="1439"/>
    </row>
    <row r="2029" spans="1:33" ht="15.75" customHeight="1">
      <c r="A2029" s="1443"/>
      <c r="B2029" s="1452" t="s">
        <v>7390</v>
      </c>
      <c r="C2029" s="1445">
        <v>1</v>
      </c>
      <c r="D2029" s="1453" t="s">
        <v>3827</v>
      </c>
      <c r="E2029" s="1445">
        <v>1</v>
      </c>
      <c r="F2029" s="1446">
        <f>4.765+1.13+2.53+0.23</f>
        <v>8.6549999999999994</v>
      </c>
      <c r="G2029" s="1446">
        <v>0.23</v>
      </c>
      <c r="H2029" s="1447"/>
      <c r="I2029" s="1448">
        <f t="shared" si="85"/>
        <v>1.99</v>
      </c>
      <c r="J2029" s="1449"/>
      <c r="K2029" s="1439"/>
      <c r="L2029" s="1439"/>
      <c r="M2029" s="1439"/>
      <c r="N2029" s="1439"/>
      <c r="O2029" s="1439"/>
      <c r="P2029" s="1439"/>
      <c r="Q2029" s="1439"/>
      <c r="R2029" s="1439"/>
      <c r="S2029" s="1439"/>
      <c r="T2029" s="1439"/>
      <c r="U2029" s="1439"/>
      <c r="V2029" s="1439"/>
      <c r="W2029" s="1439"/>
      <c r="X2029" s="1439"/>
      <c r="Y2029" s="1439"/>
      <c r="Z2029" s="1439"/>
      <c r="AA2029" s="1439"/>
      <c r="AB2029" s="1439"/>
      <c r="AC2029" s="1439"/>
      <c r="AD2029" s="1439"/>
      <c r="AE2029" s="1439"/>
      <c r="AF2029" s="1439"/>
      <c r="AG2029" s="1439"/>
    </row>
    <row r="2030" spans="1:33" ht="15.75" customHeight="1">
      <c r="A2030" s="1443"/>
      <c r="B2030" s="1455" t="s">
        <v>7548</v>
      </c>
      <c r="C2030" s="1445"/>
      <c r="D2030" s="1445"/>
      <c r="E2030" s="1445"/>
      <c r="F2030" s="1446"/>
      <c r="G2030" s="1446"/>
      <c r="H2030" s="1447"/>
      <c r="I2030" s="1448">
        <f t="shared" si="85"/>
        <v>0</v>
      </c>
      <c r="J2030" s="1449"/>
      <c r="K2030" s="1439"/>
      <c r="L2030" s="1439"/>
      <c r="M2030" s="1439"/>
      <c r="N2030" s="1439"/>
      <c r="O2030" s="1439"/>
      <c r="P2030" s="1439"/>
      <c r="Q2030" s="1439"/>
      <c r="R2030" s="1439"/>
      <c r="S2030" s="1439"/>
      <c r="T2030" s="1439"/>
      <c r="U2030" s="1439"/>
      <c r="V2030" s="1439"/>
      <c r="W2030" s="1439"/>
      <c r="X2030" s="1439"/>
      <c r="Y2030" s="1439"/>
      <c r="Z2030" s="1439"/>
      <c r="AA2030" s="1439"/>
      <c r="AB2030" s="1439"/>
      <c r="AC2030" s="1439"/>
      <c r="AD2030" s="1439"/>
      <c r="AE2030" s="1439"/>
      <c r="AF2030" s="1439"/>
      <c r="AG2030" s="1439"/>
    </row>
    <row r="2031" spans="1:33" ht="15.75" customHeight="1">
      <c r="A2031" s="1443"/>
      <c r="B2031" s="1452" t="s">
        <v>7037</v>
      </c>
      <c r="C2031" s="1445">
        <v>2</v>
      </c>
      <c r="D2031" s="1445" t="s">
        <v>3364</v>
      </c>
      <c r="E2031" s="1445">
        <v>7</v>
      </c>
      <c r="F2031" s="1446">
        <v>18.079999999999998</v>
      </c>
      <c r="G2031" s="1446"/>
      <c r="H2031" s="1447">
        <v>0.4</v>
      </c>
      <c r="I2031" s="1448">
        <f t="shared" si="85"/>
        <v>101.25</v>
      </c>
      <c r="J2031" s="1449"/>
      <c r="K2031" s="1439"/>
      <c r="L2031" s="1439"/>
      <c r="M2031" s="1439"/>
      <c r="N2031" s="1439"/>
      <c r="O2031" s="1439"/>
      <c r="P2031" s="1439"/>
      <c r="Q2031" s="1439"/>
      <c r="R2031" s="1439"/>
      <c r="S2031" s="1439"/>
      <c r="T2031" s="1439"/>
      <c r="U2031" s="1439"/>
      <c r="V2031" s="1439"/>
      <c r="W2031" s="1439"/>
      <c r="X2031" s="1439"/>
      <c r="Y2031" s="1439"/>
      <c r="Z2031" s="1439"/>
      <c r="AA2031" s="1439"/>
      <c r="AB2031" s="1439"/>
      <c r="AC2031" s="1439"/>
      <c r="AD2031" s="1439"/>
      <c r="AE2031" s="1439"/>
      <c r="AF2031" s="1439"/>
      <c r="AG2031" s="1439"/>
    </row>
    <row r="2032" spans="1:33" ht="15.75" customHeight="1">
      <c r="A2032" s="1443"/>
      <c r="B2032" s="1452" t="s">
        <v>7391</v>
      </c>
      <c r="C2032" s="1445">
        <v>2</v>
      </c>
      <c r="D2032" s="1445" t="s">
        <v>3364</v>
      </c>
      <c r="E2032" s="1445">
        <v>4</v>
      </c>
      <c r="F2032" s="1446">
        <v>1.54</v>
      </c>
      <c r="G2032" s="1446"/>
      <c r="H2032" s="1447">
        <v>0.4</v>
      </c>
      <c r="I2032" s="1448">
        <f t="shared" si="85"/>
        <v>4.93</v>
      </c>
      <c r="J2032" s="1449"/>
      <c r="K2032" s="1439"/>
      <c r="L2032" s="1439"/>
      <c r="M2032" s="1439"/>
      <c r="N2032" s="1439"/>
      <c r="O2032" s="1439"/>
      <c r="P2032" s="1439"/>
      <c r="Q2032" s="1439"/>
      <c r="R2032" s="1439"/>
      <c r="S2032" s="1439"/>
      <c r="T2032" s="1439"/>
      <c r="U2032" s="1439"/>
      <c r="V2032" s="1439"/>
      <c r="W2032" s="1439"/>
      <c r="X2032" s="1439"/>
      <c r="Y2032" s="1439"/>
      <c r="Z2032" s="1439"/>
      <c r="AA2032" s="1439"/>
      <c r="AB2032" s="1439"/>
      <c r="AC2032" s="1439"/>
      <c r="AD2032" s="1439"/>
      <c r="AE2032" s="1439"/>
      <c r="AF2032" s="1439"/>
      <c r="AG2032" s="1439"/>
    </row>
    <row r="2033" spans="1:33" ht="15.75" customHeight="1">
      <c r="A2033" s="1443"/>
      <c r="B2033" s="1452" t="s">
        <v>7392</v>
      </c>
      <c r="C2033" s="1445">
        <v>2</v>
      </c>
      <c r="D2033" s="1445" t="s">
        <v>3364</v>
      </c>
      <c r="E2033" s="1445">
        <v>1</v>
      </c>
      <c r="F2033" s="1446">
        <v>2.3849999999999998</v>
      </c>
      <c r="G2033" s="1446"/>
      <c r="H2033" s="1447">
        <v>0.4</v>
      </c>
      <c r="I2033" s="1448">
        <f t="shared" si="85"/>
        <v>1.91</v>
      </c>
      <c r="J2033" s="1449"/>
      <c r="K2033" s="1439"/>
      <c r="L2033" s="1439"/>
      <c r="M2033" s="1439"/>
      <c r="N2033" s="1439"/>
      <c r="O2033" s="1439"/>
      <c r="P2033" s="1439"/>
      <c r="Q2033" s="1439"/>
      <c r="R2033" s="1439"/>
      <c r="S2033" s="1439"/>
      <c r="T2033" s="1439"/>
      <c r="U2033" s="1439"/>
      <c r="V2033" s="1439"/>
      <c r="W2033" s="1439"/>
      <c r="X2033" s="1439"/>
      <c r="Y2033" s="1439"/>
      <c r="Z2033" s="1439"/>
      <c r="AA2033" s="1439"/>
      <c r="AB2033" s="1439"/>
      <c r="AC2033" s="1439"/>
      <c r="AD2033" s="1439"/>
      <c r="AE2033" s="1439"/>
      <c r="AF2033" s="1439"/>
      <c r="AG2033" s="1439"/>
    </row>
    <row r="2034" spans="1:33" ht="15.75" customHeight="1">
      <c r="A2034" s="1443"/>
      <c r="B2034" s="1450" t="s">
        <v>7039</v>
      </c>
      <c r="C2034" s="1445">
        <v>2</v>
      </c>
      <c r="D2034" s="1445" t="s">
        <v>3364</v>
      </c>
      <c r="E2034" s="1445">
        <v>1</v>
      </c>
      <c r="F2034" s="1446">
        <f>8.82+0.46</f>
        <v>9.2799999999999994</v>
      </c>
      <c r="G2034" s="1446"/>
      <c r="H2034" s="1447">
        <v>0.4</v>
      </c>
      <c r="I2034" s="1448">
        <f t="shared" si="85"/>
        <v>7.42</v>
      </c>
      <c r="J2034" s="1449"/>
      <c r="K2034" s="1439"/>
      <c r="L2034" s="1439"/>
      <c r="M2034" s="1439"/>
      <c r="N2034" s="1439"/>
      <c r="O2034" s="1439"/>
      <c r="P2034" s="1439"/>
      <c r="Q2034" s="1439"/>
      <c r="R2034" s="1439"/>
      <c r="S2034" s="1439"/>
      <c r="T2034" s="1439"/>
      <c r="U2034" s="1439"/>
      <c r="V2034" s="1439"/>
      <c r="W2034" s="1439"/>
      <c r="X2034" s="1439"/>
      <c r="Y2034" s="1439"/>
      <c r="Z2034" s="1439"/>
      <c r="AA2034" s="1439"/>
      <c r="AB2034" s="1439"/>
      <c r="AC2034" s="1439"/>
      <c r="AD2034" s="1439"/>
      <c r="AE2034" s="1439"/>
      <c r="AF2034" s="1439"/>
      <c r="AG2034" s="1439"/>
    </row>
    <row r="2035" spans="1:33" ht="15.75" customHeight="1">
      <c r="A2035" s="1443"/>
      <c r="B2035" s="1450" t="s">
        <v>7040</v>
      </c>
      <c r="C2035" s="1445">
        <v>2</v>
      </c>
      <c r="D2035" s="1445" t="s">
        <v>3364</v>
      </c>
      <c r="E2035" s="1445">
        <v>1</v>
      </c>
      <c r="F2035" s="1446">
        <v>3.3460000000000001</v>
      </c>
      <c r="G2035" s="1446"/>
      <c r="H2035" s="1447">
        <v>0.4</v>
      </c>
      <c r="I2035" s="1448">
        <f t="shared" si="85"/>
        <v>2.68</v>
      </c>
      <c r="J2035" s="1449"/>
      <c r="K2035" s="1439"/>
      <c r="L2035" s="1439"/>
      <c r="M2035" s="1439"/>
      <c r="N2035" s="1439"/>
      <c r="O2035" s="1439"/>
      <c r="P2035" s="1439"/>
      <c r="Q2035" s="1439"/>
      <c r="R2035" s="1439"/>
      <c r="S2035" s="1439"/>
      <c r="T2035" s="1439"/>
      <c r="U2035" s="1439"/>
      <c r="V2035" s="1439"/>
      <c r="W2035" s="1439"/>
      <c r="X2035" s="1439"/>
      <c r="Y2035" s="1439"/>
      <c r="Z2035" s="1439"/>
      <c r="AA2035" s="1439"/>
      <c r="AB2035" s="1439"/>
      <c r="AC2035" s="1439"/>
      <c r="AD2035" s="1439"/>
      <c r="AE2035" s="1439"/>
      <c r="AF2035" s="1439"/>
      <c r="AG2035" s="1439"/>
    </row>
    <row r="2036" spans="1:33" ht="15.75" customHeight="1">
      <c r="A2036" s="1443"/>
      <c r="B2036" s="1452" t="s">
        <v>7393</v>
      </c>
      <c r="C2036" s="1445">
        <v>2</v>
      </c>
      <c r="D2036" s="1453" t="s">
        <v>3364</v>
      </c>
      <c r="E2036" s="1445">
        <v>6</v>
      </c>
      <c r="F2036" s="1446">
        <v>0.9</v>
      </c>
      <c r="G2036" s="1446"/>
      <c r="H2036" s="1447">
        <v>0.2</v>
      </c>
      <c r="I2036" s="1448">
        <f t="shared" si="85"/>
        <v>2.16</v>
      </c>
      <c r="J2036" s="1449"/>
      <c r="K2036" s="1439"/>
      <c r="L2036" s="1439"/>
      <c r="M2036" s="1439"/>
      <c r="N2036" s="1439"/>
      <c r="O2036" s="1439"/>
      <c r="P2036" s="1439"/>
      <c r="Q2036" s="1439"/>
      <c r="R2036" s="1439"/>
      <c r="S2036" s="1439"/>
      <c r="T2036" s="1439"/>
      <c r="U2036" s="1439"/>
      <c r="V2036" s="1439"/>
      <c r="W2036" s="1439"/>
      <c r="X2036" s="1439"/>
      <c r="Y2036" s="1439"/>
      <c r="Z2036" s="1439"/>
      <c r="AA2036" s="1439"/>
      <c r="AB2036" s="1439"/>
      <c r="AC2036" s="1439"/>
      <c r="AD2036" s="1439"/>
      <c r="AE2036" s="1439"/>
      <c r="AF2036" s="1439"/>
      <c r="AG2036" s="1439"/>
    </row>
    <row r="2037" spans="1:33" ht="15.75" customHeight="1">
      <c r="A2037" s="1494"/>
      <c r="B2037" s="1482" t="s">
        <v>7491</v>
      </c>
      <c r="C2037" s="1445">
        <v>1</v>
      </c>
      <c r="D2037" s="1447" t="s">
        <v>3364</v>
      </c>
      <c r="E2037" s="1445">
        <v>2</v>
      </c>
      <c r="F2037" s="1446">
        <v>9.3699999999999992</v>
      </c>
      <c r="G2037" s="1446">
        <v>5.0350000000000001</v>
      </c>
      <c r="H2037" s="1447"/>
      <c r="I2037" s="1448">
        <f t="shared" si="85"/>
        <v>94.36</v>
      </c>
      <c r="J2037" s="1527"/>
      <c r="K2037" s="1481"/>
      <c r="L2037" s="1481"/>
      <c r="M2037" s="1481"/>
      <c r="N2037" s="1481"/>
      <c r="O2037" s="1481"/>
      <c r="P2037" s="1481"/>
      <c r="Q2037" s="1481"/>
      <c r="R2037" s="1481"/>
      <c r="S2037" s="1481"/>
      <c r="T2037" s="1481"/>
      <c r="U2037" s="1481"/>
      <c r="V2037" s="1481"/>
      <c r="W2037" s="1481"/>
      <c r="X2037" s="1481"/>
      <c r="Y2037" s="1481"/>
      <c r="Z2037" s="1481"/>
      <c r="AA2037" s="1481"/>
      <c r="AB2037" s="1481"/>
      <c r="AC2037" s="1481"/>
      <c r="AD2037" s="1481"/>
      <c r="AE2037" s="1481"/>
      <c r="AF2037" s="1481"/>
      <c r="AG2037" s="1481"/>
    </row>
    <row r="2038" spans="1:33" ht="15.75" customHeight="1">
      <c r="A2038" s="1494"/>
      <c r="B2038" s="1482" t="s">
        <v>7215</v>
      </c>
      <c r="C2038" s="1445">
        <v>1</v>
      </c>
      <c r="D2038" s="1447" t="s">
        <v>3364</v>
      </c>
      <c r="E2038" s="1445">
        <v>1</v>
      </c>
      <c r="F2038" s="1446">
        <v>4.57</v>
      </c>
      <c r="G2038" s="1446">
        <v>5.0350000000000001</v>
      </c>
      <c r="H2038" s="1447"/>
      <c r="I2038" s="1448">
        <f t="shared" si="85"/>
        <v>23.01</v>
      </c>
      <c r="J2038" s="1527"/>
      <c r="K2038" s="1481"/>
      <c r="L2038" s="1481"/>
      <c r="M2038" s="1481"/>
      <c r="N2038" s="1481"/>
      <c r="O2038" s="1481"/>
      <c r="P2038" s="1481"/>
      <c r="Q2038" s="1481"/>
      <c r="R2038" s="1481"/>
      <c r="S2038" s="1481"/>
      <c r="T2038" s="1481"/>
      <c r="U2038" s="1481"/>
      <c r="V2038" s="1481"/>
      <c r="W2038" s="1481"/>
      <c r="X2038" s="1481"/>
      <c r="Y2038" s="1481"/>
      <c r="Z2038" s="1481"/>
      <c r="AA2038" s="1481"/>
      <c r="AB2038" s="1481"/>
      <c r="AC2038" s="1481"/>
      <c r="AD2038" s="1481"/>
      <c r="AE2038" s="1481"/>
      <c r="AF2038" s="1481"/>
      <c r="AG2038" s="1481"/>
    </row>
    <row r="2039" spans="1:33" ht="15.75" customHeight="1">
      <c r="A2039" s="1494"/>
      <c r="B2039" s="1480" t="s">
        <v>3503</v>
      </c>
      <c r="C2039" s="1445">
        <v>1</v>
      </c>
      <c r="D2039" s="1447" t="s">
        <v>3364</v>
      </c>
      <c r="E2039" s="1445">
        <v>1</v>
      </c>
      <c r="F2039" s="1446">
        <v>1.5449999999999999</v>
      </c>
      <c r="G2039" s="1446">
        <v>2.52</v>
      </c>
      <c r="H2039" s="1447"/>
      <c r="I2039" s="1448">
        <f t="shared" si="85"/>
        <v>3.89</v>
      </c>
      <c r="J2039" s="1527"/>
      <c r="K2039" s="1481"/>
      <c r="L2039" s="1481"/>
      <c r="M2039" s="1481"/>
      <c r="N2039" s="1481"/>
      <c r="O2039" s="1481"/>
      <c r="P2039" s="1481"/>
      <c r="Q2039" s="1481"/>
      <c r="R2039" s="1481"/>
      <c r="S2039" s="1481"/>
      <c r="T2039" s="1481"/>
      <c r="U2039" s="1481"/>
      <c r="V2039" s="1481"/>
      <c r="W2039" s="1481"/>
      <c r="X2039" s="1481"/>
      <c r="Y2039" s="1481"/>
      <c r="Z2039" s="1481"/>
      <c r="AA2039" s="1481"/>
      <c r="AB2039" s="1481"/>
      <c r="AC2039" s="1481"/>
      <c r="AD2039" s="1481"/>
      <c r="AE2039" s="1481"/>
      <c r="AF2039" s="1481"/>
      <c r="AG2039" s="1481"/>
    </row>
    <row r="2040" spans="1:33" ht="15.75" customHeight="1">
      <c r="A2040" s="1494"/>
      <c r="B2040" s="1480" t="s">
        <v>7139</v>
      </c>
      <c r="C2040" s="1445">
        <v>1</v>
      </c>
      <c r="D2040" s="1447" t="s">
        <v>3364</v>
      </c>
      <c r="E2040" s="1445">
        <v>1</v>
      </c>
      <c r="F2040" s="1446">
        <v>9.0449999999999999</v>
      </c>
      <c r="G2040" s="1446">
        <v>4.57</v>
      </c>
      <c r="H2040" s="1447"/>
      <c r="I2040" s="1448">
        <f t="shared" si="85"/>
        <v>41.34</v>
      </c>
      <c r="J2040" s="1527"/>
      <c r="K2040" s="1481"/>
      <c r="L2040" s="1481"/>
      <c r="M2040" s="1481"/>
      <c r="N2040" s="1481"/>
      <c r="O2040" s="1481"/>
      <c r="P2040" s="1481"/>
      <c r="Q2040" s="1481"/>
      <c r="R2040" s="1481"/>
      <c r="S2040" s="1481"/>
      <c r="T2040" s="1481"/>
      <c r="U2040" s="1481"/>
      <c r="V2040" s="1481"/>
      <c r="W2040" s="1481"/>
      <c r="X2040" s="1481"/>
      <c r="Y2040" s="1481"/>
      <c r="Z2040" s="1481"/>
      <c r="AA2040" s="1481"/>
      <c r="AB2040" s="1481"/>
      <c r="AC2040" s="1481"/>
      <c r="AD2040" s="1481"/>
      <c r="AE2040" s="1481"/>
      <c r="AF2040" s="1481"/>
      <c r="AG2040" s="1481"/>
    </row>
    <row r="2041" spans="1:33" ht="15.75" customHeight="1">
      <c r="A2041" s="1494"/>
      <c r="B2041" s="1482" t="s">
        <v>7538</v>
      </c>
      <c r="C2041" s="1445">
        <v>2</v>
      </c>
      <c r="D2041" s="1447" t="s">
        <v>3364</v>
      </c>
      <c r="E2041" s="1445">
        <v>1</v>
      </c>
      <c r="F2041" s="1446">
        <v>4.57</v>
      </c>
      <c r="G2041" s="1446">
        <v>3.94</v>
      </c>
      <c r="H2041" s="1447"/>
      <c r="I2041" s="1448">
        <f t="shared" si="85"/>
        <v>36.01</v>
      </c>
      <c r="J2041" s="1527"/>
      <c r="K2041" s="1481"/>
      <c r="L2041" s="1481"/>
      <c r="M2041" s="1481"/>
      <c r="N2041" s="1481"/>
      <c r="O2041" s="1481"/>
      <c r="P2041" s="1481"/>
      <c r="Q2041" s="1481"/>
      <c r="R2041" s="1481"/>
      <c r="S2041" s="1481"/>
      <c r="T2041" s="1481"/>
      <c r="U2041" s="1481"/>
      <c r="V2041" s="1481"/>
      <c r="W2041" s="1481"/>
      <c r="X2041" s="1481"/>
      <c r="Y2041" s="1481"/>
      <c r="Z2041" s="1481"/>
      <c r="AA2041" s="1481"/>
      <c r="AB2041" s="1481"/>
      <c r="AC2041" s="1481"/>
      <c r="AD2041" s="1481"/>
      <c r="AE2041" s="1481"/>
      <c r="AF2041" s="1481"/>
      <c r="AG2041" s="1481"/>
    </row>
    <row r="2042" spans="1:33" ht="15.75" customHeight="1">
      <c r="A2042" s="1494"/>
      <c r="B2042" s="1482" t="s">
        <v>7521</v>
      </c>
      <c r="C2042" s="1445">
        <v>1</v>
      </c>
      <c r="D2042" s="1447" t="s">
        <v>3364</v>
      </c>
      <c r="E2042" s="1445">
        <v>1</v>
      </c>
      <c r="F2042" s="1446">
        <v>4.57</v>
      </c>
      <c r="G2042" s="1446">
        <v>1.99</v>
      </c>
      <c r="H2042" s="1447"/>
      <c r="I2042" s="1448">
        <f t="shared" si="85"/>
        <v>9.09</v>
      </c>
      <c r="J2042" s="1527"/>
      <c r="K2042" s="1481"/>
      <c r="L2042" s="1481"/>
      <c r="M2042" s="1481"/>
      <c r="N2042" s="1481"/>
      <c r="O2042" s="1481"/>
      <c r="P2042" s="1481"/>
      <c r="Q2042" s="1481"/>
      <c r="R2042" s="1481"/>
      <c r="S2042" s="1481"/>
      <c r="T2042" s="1481"/>
      <c r="U2042" s="1481"/>
      <c r="V2042" s="1481"/>
      <c r="W2042" s="1481"/>
      <c r="X2042" s="1481"/>
      <c r="Y2042" s="1481"/>
      <c r="Z2042" s="1481"/>
      <c r="AA2042" s="1481"/>
      <c r="AB2042" s="1481"/>
      <c r="AC2042" s="1481"/>
      <c r="AD2042" s="1481"/>
      <c r="AE2042" s="1481"/>
      <c r="AF2042" s="1481"/>
      <c r="AG2042" s="1481"/>
    </row>
    <row r="2043" spans="1:33" ht="15.75" customHeight="1">
      <c r="A2043" s="1494"/>
      <c r="B2043" s="1480" t="s">
        <v>6765</v>
      </c>
      <c r="C2043" s="1445">
        <v>1</v>
      </c>
      <c r="D2043" s="1447" t="s">
        <v>3364</v>
      </c>
      <c r="E2043" s="1445">
        <v>1</v>
      </c>
      <c r="F2043" s="1446">
        <v>2.86</v>
      </c>
      <c r="G2043" s="1446">
        <v>1.99</v>
      </c>
      <c r="H2043" s="1447"/>
      <c r="I2043" s="1448">
        <f t="shared" si="85"/>
        <v>5.69</v>
      </c>
      <c r="J2043" s="1527"/>
      <c r="K2043" s="1481"/>
      <c r="L2043" s="1481"/>
      <c r="M2043" s="1481"/>
      <c r="N2043" s="1481"/>
      <c r="O2043" s="1481"/>
      <c r="P2043" s="1481"/>
      <c r="Q2043" s="1481"/>
      <c r="R2043" s="1481"/>
      <c r="S2043" s="1481"/>
      <c r="T2043" s="1481"/>
      <c r="U2043" s="1481"/>
      <c r="V2043" s="1481"/>
      <c r="W2043" s="1481"/>
      <c r="X2043" s="1481"/>
      <c r="Y2043" s="1481"/>
      <c r="Z2043" s="1481"/>
      <c r="AA2043" s="1481"/>
      <c r="AB2043" s="1481"/>
      <c r="AC2043" s="1481"/>
      <c r="AD2043" s="1481"/>
      <c r="AE2043" s="1481"/>
      <c r="AF2043" s="1481"/>
      <c r="AG2043" s="1481"/>
    </row>
    <row r="2044" spans="1:33" ht="15.75" customHeight="1">
      <c r="A2044" s="1494"/>
      <c r="B2044" s="1482" t="s">
        <v>7509</v>
      </c>
      <c r="C2044" s="1445">
        <v>1</v>
      </c>
      <c r="D2044" s="1467" t="s">
        <v>3364</v>
      </c>
      <c r="E2044" s="1445">
        <v>1</v>
      </c>
      <c r="F2044" s="1446">
        <v>3.43</v>
      </c>
      <c r="G2044" s="1446">
        <v>4.96</v>
      </c>
      <c r="H2044" s="1447"/>
      <c r="I2044" s="1448">
        <f t="shared" si="85"/>
        <v>17.010000000000002</v>
      </c>
      <c r="J2044" s="1527"/>
      <c r="K2044" s="1481"/>
      <c r="L2044" s="1481"/>
      <c r="M2044" s="1481"/>
      <c r="N2044" s="1481"/>
      <c r="O2044" s="1481"/>
      <c r="P2044" s="1481"/>
      <c r="Q2044" s="1481"/>
      <c r="R2044" s="1481"/>
      <c r="S2044" s="1481"/>
      <c r="T2044" s="1481"/>
      <c r="U2044" s="1481"/>
      <c r="V2044" s="1481"/>
      <c r="W2044" s="1481"/>
      <c r="X2044" s="1481"/>
      <c r="Y2044" s="1481"/>
      <c r="Z2044" s="1481"/>
      <c r="AA2044" s="1481"/>
      <c r="AB2044" s="1481"/>
      <c r="AC2044" s="1481"/>
      <c r="AD2044" s="1481"/>
      <c r="AE2044" s="1481"/>
      <c r="AF2044" s="1481"/>
      <c r="AG2044" s="1481"/>
    </row>
    <row r="2045" spans="1:33" ht="15.75" customHeight="1">
      <c r="A2045" s="1494"/>
      <c r="B2045" s="1482" t="s">
        <v>6586</v>
      </c>
      <c r="C2045" s="1445">
        <v>1</v>
      </c>
      <c r="D2045" s="1447" t="s">
        <v>3364</v>
      </c>
      <c r="E2045" s="1445">
        <v>1</v>
      </c>
      <c r="F2045" s="1446">
        <v>1.89</v>
      </c>
      <c r="G2045" s="1446">
        <v>1.76</v>
      </c>
      <c r="H2045" s="1447"/>
      <c r="I2045" s="1448">
        <f t="shared" si="85"/>
        <v>3.33</v>
      </c>
      <c r="J2045" s="1527"/>
      <c r="K2045" s="1481"/>
      <c r="L2045" s="1481"/>
      <c r="M2045" s="1481"/>
      <c r="N2045" s="1481"/>
      <c r="O2045" s="1481"/>
      <c r="P2045" s="1481"/>
      <c r="Q2045" s="1481"/>
      <c r="R2045" s="1481"/>
      <c r="S2045" s="1481"/>
      <c r="T2045" s="1481"/>
      <c r="U2045" s="1481"/>
      <c r="V2045" s="1481"/>
      <c r="W2045" s="1481"/>
      <c r="X2045" s="1481"/>
      <c r="Y2045" s="1481"/>
      <c r="Z2045" s="1481"/>
      <c r="AA2045" s="1481"/>
      <c r="AB2045" s="1481"/>
      <c r="AC2045" s="1481"/>
      <c r="AD2045" s="1481"/>
      <c r="AE2045" s="1481"/>
      <c r="AF2045" s="1481"/>
      <c r="AG2045" s="1481"/>
    </row>
    <row r="2046" spans="1:33" ht="15.75" customHeight="1">
      <c r="A2046" s="1494"/>
      <c r="B2046" s="1480" t="s">
        <v>6727</v>
      </c>
      <c r="C2046" s="1445">
        <v>1</v>
      </c>
      <c r="D2046" s="1447" t="s">
        <v>3364</v>
      </c>
      <c r="E2046" s="1445">
        <v>1</v>
      </c>
      <c r="F2046" s="1446">
        <v>1.89</v>
      </c>
      <c r="G2046" s="1446">
        <v>1.76</v>
      </c>
      <c r="H2046" s="1447"/>
      <c r="I2046" s="1448">
        <f t="shared" si="85"/>
        <v>3.33</v>
      </c>
      <c r="J2046" s="1527"/>
      <c r="K2046" s="1481"/>
      <c r="L2046" s="1481"/>
      <c r="M2046" s="1481"/>
      <c r="N2046" s="1481"/>
      <c r="O2046" s="1481"/>
      <c r="P2046" s="1481"/>
      <c r="Q2046" s="1481"/>
      <c r="R2046" s="1481"/>
      <c r="S2046" s="1481"/>
      <c r="T2046" s="1481"/>
      <c r="U2046" s="1481"/>
      <c r="V2046" s="1481"/>
      <c r="W2046" s="1481"/>
      <c r="X2046" s="1481"/>
      <c r="Y2046" s="1481"/>
      <c r="Z2046" s="1481"/>
      <c r="AA2046" s="1481"/>
      <c r="AB2046" s="1481"/>
      <c r="AC2046" s="1481"/>
      <c r="AD2046" s="1481"/>
      <c r="AE2046" s="1481"/>
      <c r="AF2046" s="1481"/>
      <c r="AG2046" s="1481"/>
    </row>
    <row r="2047" spans="1:33" ht="15.75" customHeight="1">
      <c r="A2047" s="1494"/>
      <c r="B2047" s="1480" t="s">
        <v>7169</v>
      </c>
      <c r="C2047" s="1445">
        <v>2</v>
      </c>
      <c r="D2047" s="1447" t="s">
        <v>3364</v>
      </c>
      <c r="E2047" s="1445">
        <v>1</v>
      </c>
      <c r="F2047" s="1446">
        <v>3.43</v>
      </c>
      <c r="G2047" s="1446">
        <v>4.96</v>
      </c>
      <c r="H2047" s="1447"/>
      <c r="I2047" s="1448">
        <f t="shared" si="85"/>
        <v>34.03</v>
      </c>
      <c r="J2047" s="1527"/>
      <c r="K2047" s="1481"/>
      <c r="L2047" s="1481"/>
      <c r="M2047" s="1481"/>
      <c r="N2047" s="1481"/>
      <c r="O2047" s="1481"/>
      <c r="P2047" s="1481"/>
      <c r="Q2047" s="1481"/>
      <c r="R2047" s="1481"/>
      <c r="S2047" s="1481"/>
      <c r="T2047" s="1481"/>
      <c r="U2047" s="1481"/>
      <c r="V2047" s="1481"/>
      <c r="W2047" s="1481"/>
      <c r="X2047" s="1481"/>
      <c r="Y2047" s="1481"/>
      <c r="Z2047" s="1481"/>
      <c r="AA2047" s="1481"/>
      <c r="AB2047" s="1481"/>
      <c r="AC2047" s="1481"/>
      <c r="AD2047" s="1481"/>
      <c r="AE2047" s="1481"/>
      <c r="AF2047" s="1481"/>
      <c r="AG2047" s="1481"/>
    </row>
    <row r="2048" spans="1:33" ht="15.75" customHeight="1">
      <c r="A2048" s="1494"/>
      <c r="B2048" s="1480" t="s">
        <v>6737</v>
      </c>
      <c r="C2048" s="1445">
        <v>1</v>
      </c>
      <c r="D2048" s="1447" t="s">
        <v>3364</v>
      </c>
      <c r="E2048" s="1445">
        <v>1</v>
      </c>
      <c r="F2048" s="1446">
        <v>10.7</v>
      </c>
      <c r="G2048" s="1446">
        <v>2</v>
      </c>
      <c r="H2048" s="1447"/>
      <c r="I2048" s="1448">
        <f t="shared" si="85"/>
        <v>21.4</v>
      </c>
      <c r="J2048" s="1527"/>
      <c r="K2048" s="1481"/>
      <c r="L2048" s="1481"/>
      <c r="M2048" s="1481"/>
      <c r="N2048" s="1481"/>
      <c r="O2048" s="1481"/>
      <c r="P2048" s="1481"/>
      <c r="Q2048" s="1481"/>
      <c r="R2048" s="1481"/>
      <c r="S2048" s="1481"/>
      <c r="T2048" s="1481"/>
      <c r="U2048" s="1481"/>
      <c r="V2048" s="1481"/>
      <c r="W2048" s="1481"/>
      <c r="X2048" s="1481"/>
      <c r="Y2048" s="1481"/>
      <c r="Z2048" s="1481"/>
      <c r="AA2048" s="1481"/>
      <c r="AB2048" s="1481"/>
      <c r="AC2048" s="1481"/>
      <c r="AD2048" s="1481"/>
      <c r="AE2048" s="1481"/>
      <c r="AF2048" s="1481"/>
      <c r="AG2048" s="1481"/>
    </row>
    <row r="2049" spans="1:33" ht="15.75" customHeight="1">
      <c r="A2049" s="1494"/>
      <c r="B2049" s="1480" t="s">
        <v>7165</v>
      </c>
      <c r="C2049" s="1445">
        <v>1</v>
      </c>
      <c r="D2049" s="1447" t="s">
        <v>3364</v>
      </c>
      <c r="E2049" s="1445">
        <v>1</v>
      </c>
      <c r="F2049" s="1446">
        <v>3.43</v>
      </c>
      <c r="G2049" s="1446">
        <v>8.82</v>
      </c>
      <c r="H2049" s="1447"/>
      <c r="I2049" s="1448">
        <f t="shared" si="85"/>
        <v>30.25</v>
      </c>
      <c r="J2049" s="1527"/>
      <c r="K2049" s="1481"/>
      <c r="L2049" s="1481"/>
      <c r="M2049" s="1481"/>
      <c r="N2049" s="1481"/>
      <c r="O2049" s="1481"/>
      <c r="P2049" s="1481"/>
      <c r="Q2049" s="1481"/>
      <c r="R2049" s="1481"/>
      <c r="S2049" s="1481"/>
      <c r="T2049" s="1481"/>
      <c r="U2049" s="1481"/>
      <c r="V2049" s="1481"/>
      <c r="W2049" s="1481"/>
      <c r="X2049" s="1481"/>
      <c r="Y2049" s="1481"/>
      <c r="Z2049" s="1481"/>
      <c r="AA2049" s="1481"/>
      <c r="AB2049" s="1481"/>
      <c r="AC2049" s="1481"/>
      <c r="AD2049" s="1481"/>
      <c r="AE2049" s="1481"/>
      <c r="AF2049" s="1481"/>
      <c r="AG2049" s="1481"/>
    </row>
    <row r="2050" spans="1:33" ht="15.75" customHeight="1">
      <c r="A2050" s="1494"/>
      <c r="B2050" s="1485" t="s">
        <v>7158</v>
      </c>
      <c r="C2050" s="1445"/>
      <c r="D2050" s="1447"/>
      <c r="E2050" s="1445"/>
      <c r="F2050" s="1446"/>
      <c r="G2050" s="1446"/>
      <c r="H2050" s="1447"/>
      <c r="I2050" s="1448">
        <f t="shared" si="85"/>
        <v>0</v>
      </c>
      <c r="J2050" s="1527"/>
      <c r="K2050" s="1481"/>
      <c r="L2050" s="1481"/>
      <c r="M2050" s="1481"/>
      <c r="N2050" s="1481"/>
      <c r="O2050" s="1481"/>
      <c r="P2050" s="1481"/>
      <c r="Q2050" s="1481"/>
      <c r="R2050" s="1481"/>
      <c r="S2050" s="1481"/>
      <c r="T2050" s="1481"/>
      <c r="U2050" s="1481"/>
      <c r="V2050" s="1481"/>
      <c r="W2050" s="1481"/>
      <c r="X2050" s="1481"/>
      <c r="Y2050" s="1481"/>
      <c r="Z2050" s="1481"/>
      <c r="AA2050" s="1481"/>
      <c r="AB2050" s="1481"/>
      <c r="AC2050" s="1481"/>
      <c r="AD2050" s="1481"/>
      <c r="AE2050" s="1481"/>
      <c r="AF2050" s="1481"/>
      <c r="AG2050" s="1481"/>
    </row>
    <row r="2051" spans="1:33" ht="15.75" customHeight="1">
      <c r="A2051" s="1443"/>
      <c r="B2051" s="1452" t="s">
        <v>3497</v>
      </c>
      <c r="C2051" s="1445">
        <v>1</v>
      </c>
      <c r="D2051" s="1453" t="s">
        <v>3364</v>
      </c>
      <c r="E2051" s="1445">
        <v>1</v>
      </c>
      <c r="F2051" s="1446">
        <v>1.8</v>
      </c>
      <c r="G2051" s="1446"/>
      <c r="H2051" s="1447">
        <v>2</v>
      </c>
      <c r="I2051" s="1448">
        <f t="shared" si="85"/>
        <v>3.6</v>
      </c>
      <c r="J2051" s="1449"/>
      <c r="K2051" s="1439"/>
      <c r="L2051" s="1439"/>
      <c r="M2051" s="1439"/>
      <c r="N2051" s="1439"/>
      <c r="O2051" s="1439"/>
      <c r="P2051" s="1439"/>
      <c r="Q2051" s="1439"/>
      <c r="R2051" s="1439"/>
      <c r="S2051" s="1439"/>
      <c r="T2051" s="1439"/>
      <c r="U2051" s="1439"/>
      <c r="V2051" s="1439"/>
      <c r="W2051" s="1439"/>
      <c r="X2051" s="1439"/>
      <c r="Y2051" s="1439"/>
      <c r="Z2051" s="1439"/>
      <c r="AA2051" s="1439"/>
      <c r="AB2051" s="1439"/>
      <c r="AC2051" s="1439"/>
      <c r="AD2051" s="1439"/>
      <c r="AE2051" s="1439"/>
      <c r="AF2051" s="1439"/>
      <c r="AG2051" s="1439"/>
    </row>
    <row r="2052" spans="1:33" ht="15.75" customHeight="1">
      <c r="A2052" s="1443"/>
      <c r="B2052" s="1452" t="s">
        <v>3414</v>
      </c>
      <c r="C2052" s="1445">
        <v>13</v>
      </c>
      <c r="D2052" s="1453" t="s">
        <v>3364</v>
      </c>
      <c r="E2052" s="1445">
        <v>1</v>
      </c>
      <c r="F2052" s="1446">
        <v>1.8</v>
      </c>
      <c r="G2052" s="1446"/>
      <c r="H2052" s="1447">
        <v>1.35</v>
      </c>
      <c r="I2052" s="1448">
        <f t="shared" si="85"/>
        <v>31.59</v>
      </c>
      <c r="J2052" s="1449"/>
      <c r="K2052" s="1439"/>
      <c r="L2052" s="1439"/>
      <c r="M2052" s="1439"/>
      <c r="N2052" s="1439"/>
      <c r="O2052" s="1439"/>
      <c r="P2052" s="1439"/>
      <c r="Q2052" s="1439"/>
      <c r="R2052" s="1439"/>
      <c r="S2052" s="1439"/>
      <c r="T2052" s="1439"/>
      <c r="U2052" s="1439"/>
      <c r="V2052" s="1439"/>
      <c r="W2052" s="1439"/>
      <c r="X2052" s="1439"/>
      <c r="Y2052" s="1439"/>
      <c r="Z2052" s="1439"/>
      <c r="AA2052" s="1439"/>
      <c r="AB2052" s="1439"/>
      <c r="AC2052" s="1439"/>
      <c r="AD2052" s="1439"/>
      <c r="AE2052" s="1439"/>
      <c r="AF2052" s="1439"/>
      <c r="AG2052" s="1439"/>
    </row>
    <row r="2053" spans="1:33" ht="15.75" customHeight="1">
      <c r="A2053" s="1443"/>
      <c r="B2053" s="1452" t="s">
        <v>6968</v>
      </c>
      <c r="C2053" s="1445">
        <v>1</v>
      </c>
      <c r="D2053" s="1453" t="s">
        <v>3364</v>
      </c>
      <c r="E2053" s="1445">
        <v>1</v>
      </c>
      <c r="F2053" s="1446">
        <v>1.5</v>
      </c>
      <c r="G2053" s="1446"/>
      <c r="H2053" s="1447">
        <v>1.05</v>
      </c>
      <c r="I2053" s="1448">
        <f t="shared" si="85"/>
        <v>1.58</v>
      </c>
      <c r="J2053" s="1449"/>
      <c r="K2053" s="1439"/>
      <c r="L2053" s="1439"/>
      <c r="M2053" s="1439"/>
      <c r="N2053" s="1439"/>
      <c r="O2053" s="1439"/>
      <c r="P2053" s="1439"/>
      <c r="Q2053" s="1439"/>
      <c r="R2053" s="1439"/>
      <c r="S2053" s="1439"/>
      <c r="T2053" s="1439"/>
      <c r="U2053" s="1439"/>
      <c r="V2053" s="1439"/>
      <c r="W2053" s="1439"/>
      <c r="X2053" s="1439"/>
      <c r="Y2053" s="1439"/>
      <c r="Z2053" s="1439"/>
      <c r="AA2053" s="1439"/>
      <c r="AB2053" s="1439"/>
      <c r="AC2053" s="1439"/>
      <c r="AD2053" s="1439"/>
      <c r="AE2053" s="1439"/>
      <c r="AF2053" s="1439"/>
      <c r="AG2053" s="1439"/>
    </row>
    <row r="2054" spans="1:33" ht="15.75" customHeight="1">
      <c r="A2054" s="1443"/>
      <c r="B2054" s="1452" t="s">
        <v>7413</v>
      </c>
      <c r="C2054" s="1445">
        <v>1</v>
      </c>
      <c r="D2054" s="1453" t="s">
        <v>3364</v>
      </c>
      <c r="E2054" s="1445">
        <v>1</v>
      </c>
      <c r="F2054" s="1446">
        <v>0.9</v>
      </c>
      <c r="G2054" s="1446"/>
      <c r="H2054" s="1447">
        <v>2</v>
      </c>
      <c r="I2054" s="1448">
        <f t="shared" si="85"/>
        <v>1.8</v>
      </c>
      <c r="J2054" s="1449"/>
      <c r="K2054" s="1439"/>
      <c r="L2054" s="1439"/>
      <c r="M2054" s="1439"/>
      <c r="N2054" s="1439"/>
      <c r="O2054" s="1439"/>
      <c r="P2054" s="1439"/>
      <c r="Q2054" s="1439"/>
      <c r="R2054" s="1439"/>
      <c r="S2054" s="1439"/>
      <c r="T2054" s="1439"/>
      <c r="U2054" s="1439"/>
      <c r="V2054" s="1439"/>
      <c r="W2054" s="1439"/>
      <c r="X2054" s="1439"/>
      <c r="Y2054" s="1439"/>
      <c r="Z2054" s="1439"/>
      <c r="AA2054" s="1439"/>
      <c r="AB2054" s="1439"/>
      <c r="AC2054" s="1439"/>
      <c r="AD2054" s="1439"/>
      <c r="AE2054" s="1439"/>
      <c r="AF2054" s="1439"/>
      <c r="AG2054" s="1439"/>
    </row>
    <row r="2055" spans="1:33" ht="15.75" customHeight="1">
      <c r="A2055" s="1494"/>
      <c r="B2055" s="1528" t="s">
        <v>386</v>
      </c>
      <c r="C2055" s="1445"/>
      <c r="D2055" s="1447"/>
      <c r="E2055" s="1445"/>
      <c r="F2055" s="1446"/>
      <c r="G2055" s="1446"/>
      <c r="H2055" s="1447"/>
      <c r="I2055" s="1448">
        <f t="shared" si="85"/>
        <v>0</v>
      </c>
      <c r="J2055" s="1527"/>
      <c r="K2055" s="1481"/>
      <c r="L2055" s="1481"/>
      <c r="M2055" s="1481"/>
      <c r="N2055" s="1481"/>
      <c r="O2055" s="1481"/>
      <c r="P2055" s="1481"/>
      <c r="Q2055" s="1481"/>
      <c r="R2055" s="1481"/>
      <c r="S2055" s="1481"/>
      <c r="T2055" s="1481"/>
      <c r="U2055" s="1481"/>
      <c r="V2055" s="1481"/>
      <c r="W2055" s="1481"/>
      <c r="X2055" s="1481"/>
      <c r="Y2055" s="1481"/>
      <c r="Z2055" s="1481"/>
      <c r="AA2055" s="1481"/>
      <c r="AB2055" s="1481"/>
      <c r="AC2055" s="1481"/>
      <c r="AD2055" s="1481"/>
      <c r="AE2055" s="1481"/>
      <c r="AF2055" s="1481"/>
      <c r="AG2055" s="1481"/>
    </row>
    <row r="2056" spans="1:33" ht="15.75" customHeight="1">
      <c r="A2056" s="1443"/>
      <c r="B2056" s="1455" t="s">
        <v>7547</v>
      </c>
      <c r="C2056" s="1445"/>
      <c r="D2056" s="1445"/>
      <c r="E2056" s="1445"/>
      <c r="F2056" s="1446"/>
      <c r="G2056" s="1446"/>
      <c r="H2056" s="1447"/>
      <c r="I2056" s="1448"/>
      <c r="J2056" s="1449"/>
      <c r="K2056" s="1439"/>
      <c r="L2056" s="1439"/>
      <c r="M2056" s="1439"/>
      <c r="N2056" s="1439"/>
      <c r="O2056" s="1439"/>
      <c r="P2056" s="1439"/>
      <c r="Q2056" s="1439"/>
      <c r="R2056" s="1439"/>
      <c r="S2056" s="1439"/>
      <c r="T2056" s="1439"/>
      <c r="U2056" s="1439"/>
      <c r="V2056" s="1439"/>
      <c r="W2056" s="1439"/>
      <c r="X2056" s="1439"/>
      <c r="Y2056" s="1439"/>
      <c r="Z2056" s="1439"/>
      <c r="AA2056" s="1439"/>
      <c r="AB2056" s="1439"/>
      <c r="AC2056" s="1439"/>
      <c r="AD2056" s="1439"/>
      <c r="AE2056" s="1439"/>
      <c r="AF2056" s="1439"/>
      <c r="AG2056" s="1439"/>
    </row>
    <row r="2057" spans="1:33" ht="15.75" customHeight="1">
      <c r="A2057" s="1443"/>
      <c r="B2057" s="1452" t="s">
        <v>7388</v>
      </c>
      <c r="C2057" s="1445">
        <v>2</v>
      </c>
      <c r="D2057" s="1445" t="s">
        <v>3364</v>
      </c>
      <c r="E2057" s="1445">
        <v>4</v>
      </c>
      <c r="F2057" s="1446">
        <v>27.89</v>
      </c>
      <c r="G2057" s="1446"/>
      <c r="H2057" s="1447">
        <v>0.4</v>
      </c>
      <c r="I2057" s="1448">
        <f t="shared" ref="I2057:I2087" si="86">PRODUCT(C2057:H2057)</f>
        <v>89.25</v>
      </c>
      <c r="J2057" s="1449"/>
      <c r="K2057" s="1439"/>
      <c r="L2057" s="1439"/>
      <c r="M2057" s="1439"/>
      <c r="N2057" s="1439"/>
      <c r="O2057" s="1439"/>
      <c r="P2057" s="1439"/>
      <c r="Q2057" s="1439"/>
      <c r="R2057" s="1439"/>
      <c r="S2057" s="1439"/>
      <c r="T2057" s="1439"/>
      <c r="U2057" s="1439"/>
      <c r="V2057" s="1439"/>
      <c r="W2057" s="1439"/>
      <c r="X2057" s="1439"/>
      <c r="Y2057" s="1439"/>
      <c r="Z2057" s="1439"/>
      <c r="AA2057" s="1439"/>
      <c r="AB2057" s="1439"/>
      <c r="AC2057" s="1439"/>
      <c r="AD2057" s="1439"/>
      <c r="AE2057" s="1439"/>
      <c r="AF2057" s="1439"/>
      <c r="AG2057" s="1439"/>
    </row>
    <row r="2058" spans="1:33" ht="15.75" customHeight="1">
      <c r="A2058" s="1443"/>
      <c r="B2058" s="1452" t="s">
        <v>7389</v>
      </c>
      <c r="C2058" s="1445">
        <v>2</v>
      </c>
      <c r="D2058" s="1445" t="s">
        <v>3364</v>
      </c>
      <c r="E2058" s="1445">
        <v>1</v>
      </c>
      <c r="F2058" s="1446">
        <f>2.53+0.46</f>
        <v>2.99</v>
      </c>
      <c r="G2058" s="1446"/>
      <c r="H2058" s="1447">
        <v>0.4</v>
      </c>
      <c r="I2058" s="1448">
        <f t="shared" si="86"/>
        <v>2.39</v>
      </c>
      <c r="J2058" s="1449"/>
      <c r="K2058" s="1439"/>
      <c r="L2058" s="1439"/>
      <c r="M2058" s="1439"/>
      <c r="N2058" s="1439"/>
      <c r="O2058" s="1439"/>
      <c r="P2058" s="1439"/>
      <c r="Q2058" s="1439"/>
      <c r="R2058" s="1439"/>
      <c r="S2058" s="1439"/>
      <c r="T2058" s="1439"/>
      <c r="U2058" s="1439"/>
      <c r="V2058" s="1439"/>
      <c r="W2058" s="1439"/>
      <c r="X2058" s="1439"/>
      <c r="Y2058" s="1439"/>
      <c r="Z2058" s="1439"/>
      <c r="AA2058" s="1439"/>
      <c r="AB2058" s="1439"/>
      <c r="AC2058" s="1439"/>
      <c r="AD2058" s="1439"/>
      <c r="AE2058" s="1439"/>
      <c r="AF2058" s="1439"/>
      <c r="AG2058" s="1439"/>
    </row>
    <row r="2059" spans="1:33" ht="15.75" customHeight="1">
      <c r="A2059" s="1443"/>
      <c r="B2059" s="1452" t="s">
        <v>7390</v>
      </c>
      <c r="C2059" s="1445">
        <v>2</v>
      </c>
      <c r="D2059" s="1453" t="s">
        <v>3827</v>
      </c>
      <c r="E2059" s="1445">
        <v>1</v>
      </c>
      <c r="F2059" s="1446">
        <f>4.765+1.13+2.53+0.23</f>
        <v>8.6549999999999994</v>
      </c>
      <c r="G2059" s="1446"/>
      <c r="H2059" s="1447">
        <v>0.4</v>
      </c>
      <c r="I2059" s="1448">
        <f t="shared" si="86"/>
        <v>6.92</v>
      </c>
      <c r="J2059" s="1449"/>
      <c r="K2059" s="1439"/>
      <c r="L2059" s="1439"/>
      <c r="M2059" s="1439"/>
      <c r="N2059" s="1439"/>
      <c r="O2059" s="1439"/>
      <c r="P2059" s="1439"/>
      <c r="Q2059" s="1439"/>
      <c r="R2059" s="1439"/>
      <c r="S2059" s="1439"/>
      <c r="T2059" s="1439"/>
      <c r="U2059" s="1439"/>
      <c r="V2059" s="1439"/>
      <c r="W2059" s="1439"/>
      <c r="X2059" s="1439"/>
      <c r="Y2059" s="1439"/>
      <c r="Z2059" s="1439"/>
      <c r="AA2059" s="1439"/>
      <c r="AB2059" s="1439"/>
      <c r="AC2059" s="1439"/>
      <c r="AD2059" s="1439"/>
      <c r="AE2059" s="1439"/>
      <c r="AF2059" s="1439"/>
      <c r="AG2059" s="1439"/>
    </row>
    <row r="2060" spans="1:33" ht="15.75" customHeight="1">
      <c r="A2060" s="1443"/>
      <c r="B2060" s="1452" t="s">
        <v>7388</v>
      </c>
      <c r="C2060" s="1445">
        <v>1</v>
      </c>
      <c r="D2060" s="1445" t="s">
        <v>3364</v>
      </c>
      <c r="E2060" s="1445">
        <v>4</v>
      </c>
      <c r="F2060" s="1446">
        <v>27.89</v>
      </c>
      <c r="G2060" s="1446">
        <v>0.23</v>
      </c>
      <c r="H2060" s="1447"/>
      <c r="I2060" s="1448">
        <f t="shared" si="86"/>
        <v>25.66</v>
      </c>
      <c r="J2060" s="1449"/>
      <c r="K2060" s="1439"/>
      <c r="L2060" s="1439"/>
      <c r="M2060" s="1439"/>
      <c r="N2060" s="1439"/>
      <c r="O2060" s="1439"/>
      <c r="P2060" s="1439"/>
      <c r="Q2060" s="1439"/>
      <c r="R2060" s="1439"/>
      <c r="S2060" s="1439"/>
      <c r="T2060" s="1439"/>
      <c r="U2060" s="1439"/>
      <c r="V2060" s="1439"/>
      <c r="W2060" s="1439"/>
      <c r="X2060" s="1439"/>
      <c r="Y2060" s="1439"/>
      <c r="Z2060" s="1439"/>
      <c r="AA2060" s="1439"/>
      <c r="AB2060" s="1439"/>
      <c r="AC2060" s="1439"/>
      <c r="AD2060" s="1439"/>
      <c r="AE2060" s="1439"/>
      <c r="AF2060" s="1439"/>
      <c r="AG2060" s="1439"/>
    </row>
    <row r="2061" spans="1:33" ht="15.75" customHeight="1">
      <c r="A2061" s="1443"/>
      <c r="B2061" s="1452" t="s">
        <v>7389</v>
      </c>
      <c r="C2061" s="1445">
        <v>1</v>
      </c>
      <c r="D2061" s="1445" t="s">
        <v>3364</v>
      </c>
      <c r="E2061" s="1445">
        <v>1</v>
      </c>
      <c r="F2061" s="1446">
        <f>2.53+0.46</f>
        <v>2.99</v>
      </c>
      <c r="G2061" s="1446">
        <v>0.23</v>
      </c>
      <c r="H2061" s="1447"/>
      <c r="I2061" s="1448">
        <f t="shared" si="86"/>
        <v>0.69</v>
      </c>
      <c r="J2061" s="1449"/>
      <c r="K2061" s="1439"/>
      <c r="L2061" s="1439"/>
      <c r="M2061" s="1439"/>
      <c r="N2061" s="1439"/>
      <c r="O2061" s="1439"/>
      <c r="P2061" s="1439"/>
      <c r="Q2061" s="1439"/>
      <c r="R2061" s="1439"/>
      <c r="S2061" s="1439"/>
      <c r="T2061" s="1439"/>
      <c r="U2061" s="1439"/>
      <c r="V2061" s="1439"/>
      <c r="W2061" s="1439"/>
      <c r="X2061" s="1439"/>
      <c r="Y2061" s="1439"/>
      <c r="Z2061" s="1439"/>
      <c r="AA2061" s="1439"/>
      <c r="AB2061" s="1439"/>
      <c r="AC2061" s="1439"/>
      <c r="AD2061" s="1439"/>
      <c r="AE2061" s="1439"/>
      <c r="AF2061" s="1439"/>
      <c r="AG2061" s="1439"/>
    </row>
    <row r="2062" spans="1:33" ht="15.75" customHeight="1">
      <c r="A2062" s="1443"/>
      <c r="B2062" s="1452" t="s">
        <v>7390</v>
      </c>
      <c r="C2062" s="1445">
        <v>1</v>
      </c>
      <c r="D2062" s="1453" t="s">
        <v>3827</v>
      </c>
      <c r="E2062" s="1445">
        <v>1</v>
      </c>
      <c r="F2062" s="1446">
        <f>4.765+1.13+2.53+0.23</f>
        <v>8.6549999999999994</v>
      </c>
      <c r="G2062" s="1446">
        <v>0.23</v>
      </c>
      <c r="H2062" s="1447"/>
      <c r="I2062" s="1448">
        <f t="shared" si="86"/>
        <v>1.99</v>
      </c>
      <c r="J2062" s="1449"/>
      <c r="K2062" s="1439"/>
      <c r="L2062" s="1439"/>
      <c r="M2062" s="1439"/>
      <c r="N2062" s="1439"/>
      <c r="O2062" s="1439"/>
      <c r="P2062" s="1439"/>
      <c r="Q2062" s="1439"/>
      <c r="R2062" s="1439"/>
      <c r="S2062" s="1439"/>
      <c r="T2062" s="1439"/>
      <c r="U2062" s="1439"/>
      <c r="V2062" s="1439"/>
      <c r="W2062" s="1439"/>
      <c r="X2062" s="1439"/>
      <c r="Y2062" s="1439"/>
      <c r="Z2062" s="1439"/>
      <c r="AA2062" s="1439"/>
      <c r="AB2062" s="1439"/>
      <c r="AC2062" s="1439"/>
      <c r="AD2062" s="1439"/>
      <c r="AE2062" s="1439"/>
      <c r="AF2062" s="1439"/>
      <c r="AG2062" s="1439"/>
    </row>
    <row r="2063" spans="1:33" ht="15.75" customHeight="1">
      <c r="A2063" s="1443"/>
      <c r="B2063" s="1455" t="s">
        <v>7548</v>
      </c>
      <c r="C2063" s="1445"/>
      <c r="D2063" s="1445"/>
      <c r="E2063" s="1445"/>
      <c r="F2063" s="1446"/>
      <c r="G2063" s="1446"/>
      <c r="H2063" s="1447"/>
      <c r="I2063" s="1448">
        <f t="shared" si="86"/>
        <v>0</v>
      </c>
      <c r="J2063" s="1449"/>
      <c r="K2063" s="1439"/>
      <c r="L2063" s="1439"/>
      <c r="M2063" s="1439"/>
      <c r="N2063" s="1439"/>
      <c r="O2063" s="1439"/>
      <c r="P2063" s="1439"/>
      <c r="Q2063" s="1439"/>
      <c r="R2063" s="1439"/>
      <c r="S2063" s="1439"/>
      <c r="T2063" s="1439"/>
      <c r="U2063" s="1439"/>
      <c r="V2063" s="1439"/>
      <c r="W2063" s="1439"/>
      <c r="X2063" s="1439"/>
      <c r="Y2063" s="1439"/>
      <c r="Z2063" s="1439"/>
      <c r="AA2063" s="1439"/>
      <c r="AB2063" s="1439"/>
      <c r="AC2063" s="1439"/>
      <c r="AD2063" s="1439"/>
      <c r="AE2063" s="1439"/>
      <c r="AF2063" s="1439"/>
      <c r="AG2063" s="1439"/>
    </row>
    <row r="2064" spans="1:33" ht="15.75" customHeight="1">
      <c r="A2064" s="1443"/>
      <c r="B2064" s="1452" t="s">
        <v>7037</v>
      </c>
      <c r="C2064" s="1445">
        <v>2</v>
      </c>
      <c r="D2064" s="1445" t="s">
        <v>3364</v>
      </c>
      <c r="E2064" s="1445">
        <v>7</v>
      </c>
      <c r="F2064" s="1446">
        <v>18.079999999999998</v>
      </c>
      <c r="G2064" s="1446"/>
      <c r="H2064" s="1447">
        <v>0.4</v>
      </c>
      <c r="I2064" s="1448">
        <f t="shared" si="86"/>
        <v>101.25</v>
      </c>
      <c r="J2064" s="1449"/>
      <c r="K2064" s="1439"/>
      <c r="L2064" s="1439"/>
      <c r="M2064" s="1439"/>
      <c r="N2064" s="1439"/>
      <c r="O2064" s="1439"/>
      <c r="P2064" s="1439"/>
      <c r="Q2064" s="1439"/>
      <c r="R2064" s="1439"/>
      <c r="S2064" s="1439"/>
      <c r="T2064" s="1439"/>
      <c r="U2064" s="1439"/>
      <c r="V2064" s="1439"/>
      <c r="W2064" s="1439"/>
      <c r="X2064" s="1439"/>
      <c r="Y2064" s="1439"/>
      <c r="Z2064" s="1439"/>
      <c r="AA2064" s="1439"/>
      <c r="AB2064" s="1439"/>
      <c r="AC2064" s="1439"/>
      <c r="AD2064" s="1439"/>
      <c r="AE2064" s="1439"/>
      <c r="AF2064" s="1439"/>
      <c r="AG2064" s="1439"/>
    </row>
    <row r="2065" spans="1:33" ht="15.75" customHeight="1">
      <c r="A2065" s="1443"/>
      <c r="B2065" s="1452" t="s">
        <v>7391</v>
      </c>
      <c r="C2065" s="1445">
        <v>2</v>
      </c>
      <c r="D2065" s="1445" t="s">
        <v>3364</v>
      </c>
      <c r="E2065" s="1445">
        <v>4</v>
      </c>
      <c r="F2065" s="1446">
        <v>1.54</v>
      </c>
      <c r="G2065" s="1446"/>
      <c r="H2065" s="1447">
        <v>0.4</v>
      </c>
      <c r="I2065" s="1448">
        <f t="shared" si="86"/>
        <v>4.93</v>
      </c>
      <c r="J2065" s="1449"/>
      <c r="K2065" s="1439"/>
      <c r="L2065" s="1439"/>
      <c r="M2065" s="1439"/>
      <c r="N2065" s="1439"/>
      <c r="O2065" s="1439"/>
      <c r="P2065" s="1439"/>
      <c r="Q2065" s="1439"/>
      <c r="R2065" s="1439"/>
      <c r="S2065" s="1439"/>
      <c r="T2065" s="1439"/>
      <c r="U2065" s="1439"/>
      <c r="V2065" s="1439"/>
      <c r="W2065" s="1439"/>
      <c r="X2065" s="1439"/>
      <c r="Y2065" s="1439"/>
      <c r="Z2065" s="1439"/>
      <c r="AA2065" s="1439"/>
      <c r="AB2065" s="1439"/>
      <c r="AC2065" s="1439"/>
      <c r="AD2065" s="1439"/>
      <c r="AE2065" s="1439"/>
      <c r="AF2065" s="1439"/>
      <c r="AG2065" s="1439"/>
    </row>
    <row r="2066" spans="1:33" ht="15.75" customHeight="1">
      <c r="A2066" s="1443"/>
      <c r="B2066" s="1452" t="s">
        <v>7392</v>
      </c>
      <c r="C2066" s="1445">
        <v>2</v>
      </c>
      <c r="D2066" s="1445" t="s">
        <v>3364</v>
      </c>
      <c r="E2066" s="1445">
        <v>1</v>
      </c>
      <c r="F2066" s="1446">
        <v>2.3849999999999998</v>
      </c>
      <c r="G2066" s="1446"/>
      <c r="H2066" s="1447">
        <v>0.4</v>
      </c>
      <c r="I2066" s="1448">
        <f t="shared" si="86"/>
        <v>1.91</v>
      </c>
      <c r="J2066" s="1449"/>
      <c r="K2066" s="1439"/>
      <c r="L2066" s="1439"/>
      <c r="M2066" s="1439"/>
      <c r="N2066" s="1439"/>
      <c r="O2066" s="1439"/>
      <c r="P2066" s="1439"/>
      <c r="Q2066" s="1439"/>
      <c r="R2066" s="1439"/>
      <c r="S2066" s="1439"/>
      <c r="T2066" s="1439"/>
      <c r="U2066" s="1439"/>
      <c r="V2066" s="1439"/>
      <c r="W2066" s="1439"/>
      <c r="X2066" s="1439"/>
      <c r="Y2066" s="1439"/>
      <c r="Z2066" s="1439"/>
      <c r="AA2066" s="1439"/>
      <c r="AB2066" s="1439"/>
      <c r="AC2066" s="1439"/>
      <c r="AD2066" s="1439"/>
      <c r="AE2066" s="1439"/>
      <c r="AF2066" s="1439"/>
      <c r="AG2066" s="1439"/>
    </row>
    <row r="2067" spans="1:33" ht="15.75" customHeight="1">
      <c r="A2067" s="1443"/>
      <c r="B2067" s="1450" t="s">
        <v>7039</v>
      </c>
      <c r="C2067" s="1445">
        <v>2</v>
      </c>
      <c r="D2067" s="1445" t="s">
        <v>3364</v>
      </c>
      <c r="E2067" s="1445">
        <v>1</v>
      </c>
      <c r="F2067" s="1446">
        <f>8.82+0.46</f>
        <v>9.2799999999999994</v>
      </c>
      <c r="G2067" s="1446"/>
      <c r="H2067" s="1447">
        <v>0.4</v>
      </c>
      <c r="I2067" s="1448">
        <f t="shared" si="86"/>
        <v>7.42</v>
      </c>
      <c r="J2067" s="1449"/>
      <c r="K2067" s="1439"/>
      <c r="L2067" s="1439"/>
      <c r="M2067" s="1439"/>
      <c r="N2067" s="1439"/>
      <c r="O2067" s="1439"/>
      <c r="P2067" s="1439"/>
      <c r="Q2067" s="1439"/>
      <c r="R2067" s="1439"/>
      <c r="S2067" s="1439"/>
      <c r="T2067" s="1439"/>
      <c r="U2067" s="1439"/>
      <c r="V2067" s="1439"/>
      <c r="W2067" s="1439"/>
      <c r="X2067" s="1439"/>
      <c r="Y2067" s="1439"/>
      <c r="Z2067" s="1439"/>
      <c r="AA2067" s="1439"/>
      <c r="AB2067" s="1439"/>
      <c r="AC2067" s="1439"/>
      <c r="AD2067" s="1439"/>
      <c r="AE2067" s="1439"/>
      <c r="AF2067" s="1439"/>
      <c r="AG2067" s="1439"/>
    </row>
    <row r="2068" spans="1:33" ht="15.75" customHeight="1">
      <c r="A2068" s="1443"/>
      <c r="B2068" s="1450" t="s">
        <v>7040</v>
      </c>
      <c r="C2068" s="1445">
        <v>2</v>
      </c>
      <c r="D2068" s="1445" t="s">
        <v>3364</v>
      </c>
      <c r="E2068" s="1445">
        <v>1</v>
      </c>
      <c r="F2068" s="1446">
        <v>3.3460000000000001</v>
      </c>
      <c r="G2068" s="1446"/>
      <c r="H2068" s="1447">
        <v>0.4</v>
      </c>
      <c r="I2068" s="1448">
        <f t="shared" si="86"/>
        <v>2.68</v>
      </c>
      <c r="J2068" s="1449"/>
      <c r="K2068" s="1439"/>
      <c r="L2068" s="1439"/>
      <c r="M2068" s="1439"/>
      <c r="N2068" s="1439"/>
      <c r="O2068" s="1439"/>
      <c r="P2068" s="1439"/>
      <c r="Q2068" s="1439"/>
      <c r="R2068" s="1439"/>
      <c r="S2068" s="1439"/>
      <c r="T2068" s="1439"/>
      <c r="U2068" s="1439"/>
      <c r="V2068" s="1439"/>
      <c r="W2068" s="1439"/>
      <c r="X2068" s="1439"/>
      <c r="Y2068" s="1439"/>
      <c r="Z2068" s="1439"/>
      <c r="AA2068" s="1439"/>
      <c r="AB2068" s="1439"/>
      <c r="AC2068" s="1439"/>
      <c r="AD2068" s="1439"/>
      <c r="AE2068" s="1439"/>
      <c r="AF2068" s="1439"/>
      <c r="AG2068" s="1439"/>
    </row>
    <row r="2069" spans="1:33" ht="15.75" customHeight="1">
      <c r="A2069" s="1443"/>
      <c r="B2069" s="1452" t="s">
        <v>7393</v>
      </c>
      <c r="C2069" s="1445">
        <v>2</v>
      </c>
      <c r="D2069" s="1453" t="s">
        <v>3364</v>
      </c>
      <c r="E2069" s="1445">
        <v>6</v>
      </c>
      <c r="F2069" s="1446">
        <v>0.9</v>
      </c>
      <c r="G2069" s="1446"/>
      <c r="H2069" s="1447">
        <v>0.2</v>
      </c>
      <c r="I2069" s="1448">
        <f t="shared" si="86"/>
        <v>2.16</v>
      </c>
      <c r="J2069" s="1449"/>
      <c r="K2069" s="1439"/>
      <c r="L2069" s="1439"/>
      <c r="M2069" s="1439"/>
      <c r="N2069" s="1439"/>
      <c r="O2069" s="1439"/>
      <c r="P2069" s="1439"/>
      <c r="Q2069" s="1439"/>
      <c r="R2069" s="1439"/>
      <c r="S2069" s="1439"/>
      <c r="T2069" s="1439"/>
      <c r="U2069" s="1439"/>
      <c r="V2069" s="1439"/>
      <c r="W2069" s="1439"/>
      <c r="X2069" s="1439"/>
      <c r="Y2069" s="1439"/>
      <c r="Z2069" s="1439"/>
      <c r="AA2069" s="1439"/>
      <c r="AB2069" s="1439"/>
      <c r="AC2069" s="1439"/>
      <c r="AD2069" s="1439"/>
      <c r="AE2069" s="1439"/>
      <c r="AF2069" s="1439"/>
      <c r="AG2069" s="1439"/>
    </row>
    <row r="2070" spans="1:33" ht="15.75" customHeight="1">
      <c r="A2070" s="1494"/>
      <c r="B2070" s="1482" t="s">
        <v>6602</v>
      </c>
      <c r="C2070" s="1445">
        <v>1</v>
      </c>
      <c r="D2070" s="1447" t="s">
        <v>3364</v>
      </c>
      <c r="E2070" s="1445">
        <v>1</v>
      </c>
      <c r="F2070" s="1446">
        <v>12.51</v>
      </c>
      <c r="G2070" s="1446">
        <v>5.0350000000000001</v>
      </c>
      <c r="H2070" s="1447"/>
      <c r="I2070" s="1448">
        <f t="shared" si="86"/>
        <v>62.99</v>
      </c>
      <c r="J2070" s="1527"/>
      <c r="K2070" s="1481"/>
      <c r="L2070" s="1481"/>
      <c r="M2070" s="1481"/>
      <c r="N2070" s="1481"/>
      <c r="O2070" s="1481"/>
      <c r="P2070" s="1481"/>
      <c r="Q2070" s="1481"/>
      <c r="R2070" s="1481"/>
      <c r="S2070" s="1481"/>
      <c r="T2070" s="1481"/>
      <c r="U2070" s="1481"/>
      <c r="V2070" s="1481"/>
      <c r="W2070" s="1481"/>
      <c r="X2070" s="1481"/>
      <c r="Y2070" s="1481"/>
      <c r="Z2070" s="1481"/>
      <c r="AA2070" s="1481"/>
      <c r="AB2070" s="1481"/>
      <c r="AC2070" s="1481"/>
      <c r="AD2070" s="1481"/>
      <c r="AE2070" s="1481"/>
      <c r="AF2070" s="1481"/>
      <c r="AG2070" s="1481"/>
    </row>
    <row r="2071" spans="1:33" ht="15.75" customHeight="1">
      <c r="A2071" s="1494"/>
      <c r="B2071" s="1482" t="s">
        <v>7539</v>
      </c>
      <c r="C2071" s="1445">
        <v>1</v>
      </c>
      <c r="D2071" s="1447" t="s">
        <v>3364</v>
      </c>
      <c r="E2071" s="1445">
        <v>1</v>
      </c>
      <c r="F2071" s="1446">
        <v>1.5449999999999999</v>
      </c>
      <c r="G2071" s="1446">
        <v>2.52</v>
      </c>
      <c r="H2071" s="1447"/>
      <c r="I2071" s="1448">
        <f t="shared" si="86"/>
        <v>3.89</v>
      </c>
      <c r="J2071" s="1527"/>
      <c r="K2071" s="1481"/>
      <c r="L2071" s="1481"/>
      <c r="M2071" s="1481"/>
      <c r="N2071" s="1481"/>
      <c r="O2071" s="1481"/>
      <c r="P2071" s="1481"/>
      <c r="Q2071" s="1481"/>
      <c r="R2071" s="1481"/>
      <c r="S2071" s="1481"/>
      <c r="T2071" s="1481"/>
      <c r="U2071" s="1481"/>
      <c r="V2071" s="1481"/>
      <c r="W2071" s="1481"/>
      <c r="X2071" s="1481"/>
      <c r="Y2071" s="1481"/>
      <c r="Z2071" s="1481"/>
      <c r="AA2071" s="1481"/>
      <c r="AB2071" s="1481"/>
      <c r="AC2071" s="1481"/>
      <c r="AD2071" s="1481"/>
      <c r="AE2071" s="1481"/>
      <c r="AF2071" s="1481"/>
      <c r="AG2071" s="1481"/>
    </row>
    <row r="2072" spans="1:33" ht="15.75" customHeight="1">
      <c r="A2072" s="1494"/>
      <c r="B2072" s="1482" t="s">
        <v>6908</v>
      </c>
      <c r="C2072" s="1445">
        <v>1</v>
      </c>
      <c r="D2072" s="1447" t="s">
        <v>3364</v>
      </c>
      <c r="E2072" s="1445">
        <v>1</v>
      </c>
      <c r="F2072" s="1446">
        <v>1.5449999999999999</v>
      </c>
      <c r="G2072" s="1446">
        <v>2.4</v>
      </c>
      <c r="H2072" s="1447"/>
      <c r="I2072" s="1448">
        <f t="shared" si="86"/>
        <v>3.71</v>
      </c>
      <c r="J2072" s="1527"/>
      <c r="K2072" s="1481"/>
      <c r="L2072" s="1481"/>
      <c r="M2072" s="1481"/>
      <c r="N2072" s="1481"/>
      <c r="O2072" s="1481"/>
      <c r="P2072" s="1481"/>
      <c r="Q2072" s="1481"/>
      <c r="R2072" s="1481"/>
      <c r="S2072" s="1481"/>
      <c r="T2072" s="1481"/>
      <c r="U2072" s="1481"/>
      <c r="V2072" s="1481"/>
      <c r="W2072" s="1481"/>
      <c r="X2072" s="1481"/>
      <c r="Y2072" s="1481"/>
      <c r="Z2072" s="1481"/>
      <c r="AA2072" s="1481"/>
      <c r="AB2072" s="1481"/>
      <c r="AC2072" s="1481"/>
      <c r="AD2072" s="1481"/>
      <c r="AE2072" s="1481"/>
      <c r="AF2072" s="1481"/>
      <c r="AG2072" s="1481"/>
    </row>
    <row r="2073" spans="1:33" ht="15.75" customHeight="1">
      <c r="A2073" s="1494"/>
      <c r="B2073" s="1482" t="s">
        <v>7524</v>
      </c>
      <c r="C2073" s="1445">
        <v>1</v>
      </c>
      <c r="D2073" s="1447" t="s">
        <v>3364</v>
      </c>
      <c r="E2073" s="1445">
        <v>1</v>
      </c>
      <c r="F2073" s="1446">
        <v>9.3699999999999992</v>
      </c>
      <c r="G2073" s="1446">
        <v>5.0350000000000001</v>
      </c>
      <c r="H2073" s="1447"/>
      <c r="I2073" s="1448">
        <f t="shared" si="86"/>
        <v>47.18</v>
      </c>
      <c r="J2073" s="1527"/>
      <c r="K2073" s="1481"/>
      <c r="L2073" s="1481"/>
      <c r="M2073" s="1481"/>
      <c r="N2073" s="1481"/>
      <c r="O2073" s="1481"/>
      <c r="P2073" s="1481"/>
      <c r="Q2073" s="1481"/>
      <c r="R2073" s="1481"/>
      <c r="S2073" s="1481"/>
      <c r="T2073" s="1481"/>
      <c r="U2073" s="1481"/>
      <c r="V2073" s="1481"/>
      <c r="W2073" s="1481"/>
      <c r="X2073" s="1481"/>
      <c r="Y2073" s="1481"/>
      <c r="Z2073" s="1481"/>
      <c r="AA2073" s="1481"/>
      <c r="AB2073" s="1481"/>
      <c r="AC2073" s="1481"/>
      <c r="AD2073" s="1481"/>
      <c r="AE2073" s="1481"/>
      <c r="AF2073" s="1481"/>
      <c r="AG2073" s="1481"/>
    </row>
    <row r="2074" spans="1:33" ht="15.75" customHeight="1">
      <c r="A2074" s="1494"/>
      <c r="B2074" s="1482" t="s">
        <v>6737</v>
      </c>
      <c r="C2074" s="1445">
        <v>1</v>
      </c>
      <c r="D2074" s="1447" t="s">
        <v>3364</v>
      </c>
      <c r="E2074" s="1445">
        <v>1</v>
      </c>
      <c r="F2074" s="1446">
        <v>18.97</v>
      </c>
      <c r="G2074" s="1446">
        <v>9.0449999999999999</v>
      </c>
      <c r="H2074" s="1447"/>
      <c r="I2074" s="1448">
        <f t="shared" si="86"/>
        <v>171.58</v>
      </c>
      <c r="J2074" s="1527"/>
      <c r="K2074" s="1481"/>
      <c r="L2074" s="1481"/>
      <c r="M2074" s="1481"/>
      <c r="N2074" s="1481"/>
      <c r="O2074" s="1481"/>
      <c r="P2074" s="1481"/>
      <c r="Q2074" s="1481"/>
      <c r="R2074" s="1481"/>
      <c r="S2074" s="1481"/>
      <c r="T2074" s="1481"/>
      <c r="U2074" s="1481"/>
      <c r="V2074" s="1481"/>
      <c r="W2074" s="1481"/>
      <c r="X2074" s="1481"/>
      <c r="Y2074" s="1481"/>
      <c r="Z2074" s="1481"/>
      <c r="AA2074" s="1481"/>
      <c r="AB2074" s="1481"/>
      <c r="AC2074" s="1481"/>
      <c r="AD2074" s="1481"/>
      <c r="AE2074" s="1481"/>
      <c r="AF2074" s="1481"/>
      <c r="AG2074" s="1481"/>
    </row>
    <row r="2075" spans="1:33" ht="15.75" customHeight="1">
      <c r="A2075" s="1494"/>
      <c r="B2075" s="1482" t="s">
        <v>6924</v>
      </c>
      <c r="C2075" s="1445">
        <v>1</v>
      </c>
      <c r="D2075" s="1447" t="s">
        <v>3364</v>
      </c>
      <c r="E2075" s="1445">
        <v>1</v>
      </c>
      <c r="F2075" s="1446">
        <v>14.17</v>
      </c>
      <c r="G2075" s="1446">
        <v>9.0449999999999999</v>
      </c>
      <c r="H2075" s="1447"/>
      <c r="I2075" s="1448">
        <f t="shared" si="86"/>
        <v>128.16999999999999</v>
      </c>
      <c r="J2075" s="1527"/>
      <c r="K2075" s="1481"/>
      <c r="L2075" s="1481"/>
      <c r="M2075" s="1481"/>
      <c r="N2075" s="1481"/>
      <c r="O2075" s="1481"/>
      <c r="P2075" s="1481"/>
      <c r="Q2075" s="1481"/>
      <c r="R2075" s="1481"/>
      <c r="S2075" s="1481"/>
      <c r="T2075" s="1481"/>
      <c r="U2075" s="1481"/>
      <c r="V2075" s="1481"/>
      <c r="W2075" s="1481"/>
      <c r="X2075" s="1481"/>
      <c r="Y2075" s="1481"/>
      <c r="Z2075" s="1481"/>
      <c r="AA2075" s="1481"/>
      <c r="AB2075" s="1481"/>
      <c r="AC2075" s="1481"/>
      <c r="AD2075" s="1481"/>
      <c r="AE2075" s="1481"/>
      <c r="AF2075" s="1481"/>
      <c r="AG2075" s="1481"/>
    </row>
    <row r="2076" spans="1:33" ht="15.75" customHeight="1">
      <c r="A2076" s="1494"/>
      <c r="B2076" s="1482" t="s">
        <v>7540</v>
      </c>
      <c r="C2076" s="1445">
        <v>1</v>
      </c>
      <c r="D2076" s="1447" t="s">
        <v>3364</v>
      </c>
      <c r="E2076" s="1445">
        <v>1</v>
      </c>
      <c r="F2076" s="1446">
        <v>5.7</v>
      </c>
      <c r="G2076" s="1446">
        <v>10.475</v>
      </c>
      <c r="H2076" s="1447"/>
      <c r="I2076" s="1448">
        <f t="shared" si="86"/>
        <v>59.71</v>
      </c>
      <c r="J2076" s="1527"/>
      <c r="K2076" s="1481"/>
      <c r="L2076" s="1481"/>
      <c r="M2076" s="1481"/>
      <c r="N2076" s="1481"/>
      <c r="O2076" s="1481"/>
      <c r="P2076" s="1481"/>
      <c r="Q2076" s="1481"/>
      <c r="R2076" s="1481"/>
      <c r="S2076" s="1481"/>
      <c r="T2076" s="1481"/>
      <c r="U2076" s="1481"/>
      <c r="V2076" s="1481"/>
      <c r="W2076" s="1481"/>
      <c r="X2076" s="1481"/>
      <c r="Y2076" s="1481"/>
      <c r="Z2076" s="1481"/>
      <c r="AA2076" s="1481"/>
      <c r="AB2076" s="1481"/>
      <c r="AC2076" s="1481"/>
      <c r="AD2076" s="1481"/>
      <c r="AE2076" s="1481"/>
      <c r="AF2076" s="1481"/>
      <c r="AG2076" s="1481"/>
    </row>
    <row r="2077" spans="1:33" ht="15.75" customHeight="1">
      <c r="A2077" s="1494"/>
      <c r="B2077" s="1482" t="s">
        <v>7165</v>
      </c>
      <c r="C2077" s="1445">
        <v>1</v>
      </c>
      <c r="D2077" s="1447" t="s">
        <v>3364</v>
      </c>
      <c r="E2077" s="1445">
        <v>1</v>
      </c>
      <c r="F2077" s="1446">
        <v>3.895</v>
      </c>
      <c r="G2077" s="1446">
        <v>3.94</v>
      </c>
      <c r="H2077" s="1447"/>
      <c r="I2077" s="1448">
        <f t="shared" si="86"/>
        <v>15.35</v>
      </c>
      <c r="J2077" s="1527"/>
      <c r="K2077" s="1481"/>
      <c r="L2077" s="1481"/>
      <c r="M2077" s="1481"/>
      <c r="N2077" s="1481"/>
      <c r="O2077" s="1481"/>
      <c r="P2077" s="1481"/>
      <c r="Q2077" s="1481"/>
      <c r="R2077" s="1481"/>
      <c r="S2077" s="1481"/>
      <c r="T2077" s="1481"/>
      <c r="U2077" s="1481"/>
      <c r="V2077" s="1481"/>
      <c r="W2077" s="1481"/>
      <c r="X2077" s="1481"/>
      <c r="Y2077" s="1481"/>
      <c r="Z2077" s="1481"/>
      <c r="AA2077" s="1481"/>
      <c r="AB2077" s="1481"/>
      <c r="AC2077" s="1481"/>
      <c r="AD2077" s="1481"/>
      <c r="AE2077" s="1481"/>
      <c r="AF2077" s="1481"/>
      <c r="AG2077" s="1481"/>
    </row>
    <row r="2078" spans="1:33" ht="15.75" customHeight="1">
      <c r="A2078" s="1494"/>
      <c r="B2078" s="1480" t="s">
        <v>7169</v>
      </c>
      <c r="C2078" s="1445">
        <v>1</v>
      </c>
      <c r="D2078" s="1447" t="s">
        <v>3364</v>
      </c>
      <c r="E2078" s="1445">
        <v>6</v>
      </c>
      <c r="F2078" s="1446">
        <v>3.43</v>
      </c>
      <c r="G2078" s="1446">
        <v>4.96</v>
      </c>
      <c r="H2078" s="1447"/>
      <c r="I2078" s="1448">
        <f t="shared" si="86"/>
        <v>102.08</v>
      </c>
      <c r="J2078" s="1527"/>
      <c r="K2078" s="1481"/>
      <c r="L2078" s="1481"/>
      <c r="M2078" s="1481"/>
      <c r="N2078" s="1481"/>
      <c r="O2078" s="1481"/>
      <c r="P2078" s="1481"/>
      <c r="Q2078" s="1481"/>
      <c r="R2078" s="1481"/>
      <c r="S2078" s="1481"/>
      <c r="T2078" s="1481"/>
      <c r="U2078" s="1481"/>
      <c r="V2078" s="1481"/>
      <c r="W2078" s="1481"/>
      <c r="X2078" s="1481"/>
      <c r="Y2078" s="1481"/>
      <c r="Z2078" s="1481"/>
      <c r="AA2078" s="1481"/>
      <c r="AB2078" s="1481"/>
      <c r="AC2078" s="1481"/>
      <c r="AD2078" s="1481"/>
      <c r="AE2078" s="1481"/>
      <c r="AF2078" s="1481"/>
      <c r="AG2078" s="1481"/>
    </row>
    <row r="2079" spans="1:33" ht="15.75" customHeight="1">
      <c r="A2079" s="1494"/>
      <c r="B2079" s="1485" t="s">
        <v>7158</v>
      </c>
      <c r="C2079" s="1445"/>
      <c r="D2079" s="1447"/>
      <c r="E2079" s="1445"/>
      <c r="F2079" s="1446"/>
      <c r="G2079" s="1446"/>
      <c r="H2079" s="1447"/>
      <c r="I2079" s="1448">
        <f t="shared" si="86"/>
        <v>0</v>
      </c>
      <c r="J2079" s="1527"/>
      <c r="K2079" s="1481"/>
      <c r="L2079" s="1481"/>
      <c r="M2079" s="1481"/>
      <c r="N2079" s="1481"/>
      <c r="O2079" s="1481"/>
      <c r="P2079" s="1481"/>
      <c r="Q2079" s="1481"/>
      <c r="R2079" s="1481"/>
      <c r="S2079" s="1481"/>
      <c r="T2079" s="1481"/>
      <c r="U2079" s="1481"/>
      <c r="V2079" s="1481"/>
      <c r="W2079" s="1481"/>
      <c r="X2079" s="1481"/>
      <c r="Y2079" s="1481"/>
      <c r="Z2079" s="1481"/>
      <c r="AA2079" s="1481"/>
      <c r="AB2079" s="1481"/>
      <c r="AC2079" s="1481"/>
      <c r="AD2079" s="1481"/>
      <c r="AE2079" s="1481"/>
      <c r="AF2079" s="1481"/>
      <c r="AG2079" s="1481"/>
    </row>
    <row r="2080" spans="1:33" ht="15.75" customHeight="1">
      <c r="A2080" s="1443"/>
      <c r="B2080" s="1452" t="s">
        <v>3497</v>
      </c>
      <c r="C2080" s="1445">
        <v>1</v>
      </c>
      <c r="D2080" s="1453" t="s">
        <v>3364</v>
      </c>
      <c r="E2080" s="1445">
        <v>-1</v>
      </c>
      <c r="F2080" s="1446">
        <v>1.8</v>
      </c>
      <c r="G2080" s="1446"/>
      <c r="H2080" s="1447">
        <v>2</v>
      </c>
      <c r="I2080" s="1448">
        <f t="shared" si="86"/>
        <v>-3.6</v>
      </c>
      <c r="J2080" s="1449"/>
      <c r="K2080" s="1439"/>
      <c r="L2080" s="1439"/>
      <c r="M2080" s="1439"/>
      <c r="N2080" s="1439"/>
      <c r="O2080" s="1439"/>
      <c r="P2080" s="1439"/>
      <c r="Q2080" s="1439"/>
      <c r="R2080" s="1439"/>
      <c r="S2080" s="1439"/>
      <c r="T2080" s="1439"/>
      <c r="U2080" s="1439"/>
      <c r="V2080" s="1439"/>
      <c r="W2080" s="1439"/>
      <c r="X2080" s="1439"/>
      <c r="Y2080" s="1439"/>
      <c r="Z2080" s="1439"/>
      <c r="AA2080" s="1439"/>
      <c r="AB2080" s="1439"/>
      <c r="AC2080" s="1439"/>
      <c r="AD2080" s="1439"/>
      <c r="AE2080" s="1439"/>
      <c r="AF2080" s="1439"/>
      <c r="AG2080" s="1439"/>
    </row>
    <row r="2081" spans="1:33" ht="15.75" customHeight="1">
      <c r="A2081" s="1443"/>
      <c r="B2081" s="1452" t="s">
        <v>3414</v>
      </c>
      <c r="C2081" s="1445">
        <v>14</v>
      </c>
      <c r="D2081" s="1453" t="s">
        <v>3364</v>
      </c>
      <c r="E2081" s="1445">
        <v>-1</v>
      </c>
      <c r="F2081" s="1446">
        <v>1.8</v>
      </c>
      <c r="G2081" s="1446"/>
      <c r="H2081" s="1447">
        <v>1.35</v>
      </c>
      <c r="I2081" s="1448">
        <f t="shared" si="86"/>
        <v>-34.020000000000003</v>
      </c>
      <c r="J2081" s="1449"/>
      <c r="K2081" s="1439"/>
      <c r="L2081" s="1439"/>
      <c r="M2081" s="1439"/>
      <c r="N2081" s="1439"/>
      <c r="O2081" s="1439"/>
      <c r="P2081" s="1439"/>
      <c r="Q2081" s="1439"/>
      <c r="R2081" s="1439"/>
      <c r="S2081" s="1439"/>
      <c r="T2081" s="1439"/>
      <c r="U2081" s="1439"/>
      <c r="V2081" s="1439"/>
      <c r="W2081" s="1439"/>
      <c r="X2081" s="1439"/>
      <c r="Y2081" s="1439"/>
      <c r="Z2081" s="1439"/>
      <c r="AA2081" s="1439"/>
      <c r="AB2081" s="1439"/>
      <c r="AC2081" s="1439"/>
      <c r="AD2081" s="1439"/>
      <c r="AE2081" s="1439"/>
      <c r="AF2081" s="1439"/>
      <c r="AG2081" s="1439"/>
    </row>
    <row r="2082" spans="1:33" ht="15.75" customHeight="1">
      <c r="A2082" s="1443"/>
      <c r="B2082" s="1452" t="s">
        <v>7413</v>
      </c>
      <c r="C2082" s="1445">
        <v>1</v>
      </c>
      <c r="D2082" s="1453" t="s">
        <v>3364</v>
      </c>
      <c r="E2082" s="1445">
        <v>-1</v>
      </c>
      <c r="F2082" s="1446">
        <v>0.9</v>
      </c>
      <c r="G2082" s="1446"/>
      <c r="H2082" s="1447">
        <v>2</v>
      </c>
      <c r="I2082" s="1448">
        <f t="shared" si="86"/>
        <v>-1.8</v>
      </c>
      <c r="J2082" s="1449"/>
      <c r="K2082" s="1439"/>
      <c r="L2082" s="1439"/>
      <c r="M2082" s="1439"/>
      <c r="N2082" s="1439"/>
      <c r="O2082" s="1439"/>
      <c r="P2082" s="1439"/>
      <c r="Q2082" s="1439"/>
      <c r="R2082" s="1439"/>
      <c r="S2082" s="1439"/>
      <c r="T2082" s="1439"/>
      <c r="U2082" s="1439"/>
      <c r="V2082" s="1439"/>
      <c r="W2082" s="1439"/>
      <c r="X2082" s="1439"/>
      <c r="Y2082" s="1439"/>
      <c r="Z2082" s="1439"/>
      <c r="AA2082" s="1439"/>
      <c r="AB2082" s="1439"/>
      <c r="AC2082" s="1439"/>
      <c r="AD2082" s="1439"/>
      <c r="AE2082" s="1439"/>
      <c r="AF2082" s="1439"/>
      <c r="AG2082" s="1439"/>
    </row>
    <row r="2083" spans="1:33" ht="15.75" customHeight="1">
      <c r="A2083" s="1494"/>
      <c r="B2083" s="1529" t="s">
        <v>386</v>
      </c>
      <c r="C2083" s="1445"/>
      <c r="D2083" s="1447"/>
      <c r="E2083" s="1445"/>
      <c r="F2083" s="1446"/>
      <c r="G2083" s="1446"/>
      <c r="H2083" s="1447"/>
      <c r="I2083" s="1448">
        <f t="shared" si="86"/>
        <v>0</v>
      </c>
      <c r="J2083" s="1527"/>
      <c r="K2083" s="1481"/>
      <c r="L2083" s="1481"/>
      <c r="M2083" s="1481"/>
      <c r="N2083" s="1481"/>
      <c r="O2083" s="1481"/>
      <c r="P2083" s="1481"/>
      <c r="Q2083" s="1481"/>
      <c r="R2083" s="1481"/>
      <c r="S2083" s="1481"/>
      <c r="T2083" s="1481"/>
      <c r="U2083" s="1481"/>
      <c r="V2083" s="1481"/>
      <c r="W2083" s="1481"/>
      <c r="X2083" s="1481"/>
      <c r="Y2083" s="1481"/>
      <c r="Z2083" s="1481"/>
      <c r="AA2083" s="1481"/>
      <c r="AB2083" s="1481"/>
      <c r="AC2083" s="1481"/>
      <c r="AD2083" s="1481"/>
      <c r="AE2083" s="1481"/>
      <c r="AF2083" s="1481"/>
      <c r="AG2083" s="1481"/>
    </row>
    <row r="2084" spans="1:33" ht="15.75" customHeight="1">
      <c r="A2084" s="1494"/>
      <c r="B2084" s="1530" t="s">
        <v>7143</v>
      </c>
      <c r="C2084" s="1445">
        <v>1</v>
      </c>
      <c r="D2084" s="1447" t="s">
        <v>3364</v>
      </c>
      <c r="E2084" s="1445">
        <v>1</v>
      </c>
      <c r="F2084" s="1446">
        <v>3.43</v>
      </c>
      <c r="G2084" s="1446">
        <v>8.82</v>
      </c>
      <c r="H2084" s="1447"/>
      <c r="I2084" s="1448">
        <f t="shared" si="86"/>
        <v>30.25</v>
      </c>
      <c r="J2084" s="1527"/>
      <c r="K2084" s="1481"/>
      <c r="L2084" s="1481"/>
      <c r="M2084" s="1481"/>
      <c r="N2084" s="1481"/>
      <c r="O2084" s="1481"/>
      <c r="P2084" s="1481"/>
      <c r="Q2084" s="1481"/>
      <c r="R2084" s="1481"/>
      <c r="S2084" s="1481"/>
      <c r="T2084" s="1481"/>
      <c r="U2084" s="1481"/>
      <c r="V2084" s="1481"/>
      <c r="W2084" s="1481"/>
      <c r="X2084" s="1481"/>
      <c r="Y2084" s="1481"/>
      <c r="Z2084" s="1481"/>
      <c r="AA2084" s="1481"/>
      <c r="AB2084" s="1481"/>
      <c r="AC2084" s="1481"/>
      <c r="AD2084" s="1481"/>
      <c r="AE2084" s="1481"/>
      <c r="AF2084" s="1481"/>
      <c r="AG2084" s="1481"/>
    </row>
    <row r="2085" spans="1:33" ht="15.75" customHeight="1">
      <c r="A2085" s="1494"/>
      <c r="B2085" s="1530" t="s">
        <v>7059</v>
      </c>
      <c r="C2085" s="1445">
        <v>1</v>
      </c>
      <c r="D2085" s="1447" t="s">
        <v>3364</v>
      </c>
      <c r="E2085" s="1445">
        <v>1</v>
      </c>
      <c r="F2085" s="1446">
        <v>2.2999999999999998</v>
      </c>
      <c r="G2085" s="1446">
        <v>2.2999999999999998</v>
      </c>
      <c r="H2085" s="1447"/>
      <c r="I2085" s="1448">
        <f t="shared" si="86"/>
        <v>5.29</v>
      </c>
      <c r="J2085" s="1527"/>
      <c r="K2085" s="1481"/>
      <c r="L2085" s="1481"/>
      <c r="M2085" s="1481"/>
      <c r="N2085" s="1481"/>
      <c r="O2085" s="1481"/>
      <c r="P2085" s="1481"/>
      <c r="Q2085" s="1481"/>
      <c r="R2085" s="1481"/>
      <c r="S2085" s="1481"/>
      <c r="T2085" s="1481"/>
      <c r="U2085" s="1481"/>
      <c r="V2085" s="1481"/>
      <c r="W2085" s="1481"/>
      <c r="X2085" s="1481"/>
      <c r="Y2085" s="1481"/>
      <c r="Z2085" s="1481"/>
      <c r="AA2085" s="1481"/>
      <c r="AB2085" s="1481"/>
      <c r="AC2085" s="1481"/>
      <c r="AD2085" s="1481"/>
      <c r="AE2085" s="1481"/>
      <c r="AF2085" s="1481"/>
      <c r="AG2085" s="1481"/>
    </row>
    <row r="2086" spans="1:33" ht="15.75" customHeight="1">
      <c r="A2086" s="1494"/>
      <c r="B2086" s="1485" t="s">
        <v>7158</v>
      </c>
      <c r="C2086" s="1445"/>
      <c r="D2086" s="1447"/>
      <c r="E2086" s="1445"/>
      <c r="F2086" s="1446"/>
      <c r="G2086" s="1446"/>
      <c r="H2086" s="1447"/>
      <c r="I2086" s="1448">
        <f t="shared" si="86"/>
        <v>0</v>
      </c>
      <c r="J2086" s="1527"/>
      <c r="K2086" s="1481"/>
      <c r="L2086" s="1481"/>
      <c r="M2086" s="1481"/>
      <c r="N2086" s="1481"/>
      <c r="O2086" s="1481"/>
      <c r="P2086" s="1481"/>
      <c r="Q2086" s="1481"/>
      <c r="R2086" s="1481"/>
      <c r="S2086" s="1481"/>
      <c r="T2086" s="1481"/>
      <c r="U2086" s="1481"/>
      <c r="V2086" s="1481"/>
      <c r="W2086" s="1481"/>
      <c r="X2086" s="1481"/>
      <c r="Y2086" s="1481"/>
      <c r="Z2086" s="1481"/>
      <c r="AA2086" s="1481"/>
      <c r="AB2086" s="1481"/>
      <c r="AC2086" s="1481"/>
      <c r="AD2086" s="1481"/>
      <c r="AE2086" s="1481"/>
      <c r="AF2086" s="1481"/>
      <c r="AG2086" s="1481"/>
    </row>
    <row r="2087" spans="1:33" ht="15.75" customHeight="1">
      <c r="A2087" s="1494"/>
      <c r="B2087" s="1531" t="s">
        <v>3363</v>
      </c>
      <c r="C2087" s="1445">
        <v>1</v>
      </c>
      <c r="D2087" s="1447" t="s">
        <v>3364</v>
      </c>
      <c r="E2087" s="1445">
        <v>1</v>
      </c>
      <c r="F2087" s="1446">
        <v>0.9</v>
      </c>
      <c r="G2087" s="1446">
        <v>0.6</v>
      </c>
      <c r="H2087" s="1447"/>
      <c r="I2087" s="1448">
        <f t="shared" si="86"/>
        <v>0.54</v>
      </c>
      <c r="J2087" s="1527"/>
      <c r="K2087" s="1481"/>
      <c r="L2087" s="1481"/>
      <c r="M2087" s="1481"/>
      <c r="N2087" s="1481"/>
      <c r="O2087" s="1481"/>
      <c r="P2087" s="1481"/>
      <c r="Q2087" s="1481"/>
      <c r="R2087" s="1481"/>
      <c r="S2087" s="1481"/>
      <c r="T2087" s="1481"/>
      <c r="U2087" s="1481"/>
      <c r="V2087" s="1481"/>
      <c r="W2087" s="1481"/>
      <c r="X2087" s="1481"/>
      <c r="Y2087" s="1481"/>
      <c r="Z2087" s="1481"/>
      <c r="AA2087" s="1481"/>
      <c r="AB2087" s="1481"/>
      <c r="AC2087" s="1481"/>
      <c r="AD2087" s="1481"/>
      <c r="AE2087" s="1481"/>
      <c r="AF2087" s="1481"/>
      <c r="AG2087" s="1481"/>
    </row>
    <row r="2088" spans="1:33" ht="15.75" customHeight="1">
      <c r="A2088" s="1494"/>
      <c r="B2088" s="1528" t="s">
        <v>7432</v>
      </c>
      <c r="C2088" s="1445"/>
      <c r="D2088" s="1447"/>
      <c r="E2088" s="1445"/>
      <c r="F2088" s="1446"/>
      <c r="G2088" s="1446"/>
      <c r="H2088" s="1447"/>
      <c r="I2088" s="1494"/>
      <c r="J2088" s="1527"/>
      <c r="K2088" s="1481"/>
      <c r="L2088" s="1481"/>
      <c r="M2088" s="1481"/>
      <c r="N2088" s="1481"/>
      <c r="O2088" s="1481"/>
      <c r="P2088" s="1481"/>
      <c r="Q2088" s="1481"/>
      <c r="R2088" s="1481"/>
      <c r="S2088" s="1481"/>
      <c r="T2088" s="1481"/>
      <c r="U2088" s="1481"/>
      <c r="V2088" s="1481"/>
      <c r="W2088" s="1481"/>
      <c r="X2088" s="1481"/>
      <c r="Y2088" s="1481"/>
      <c r="Z2088" s="1481"/>
      <c r="AA2088" s="1481"/>
      <c r="AB2088" s="1481"/>
      <c r="AC2088" s="1481"/>
      <c r="AD2088" s="1481"/>
      <c r="AE2088" s="1481"/>
      <c r="AF2088" s="1481"/>
      <c r="AG2088" s="1481"/>
    </row>
    <row r="2089" spans="1:33" ht="15.75" customHeight="1">
      <c r="A2089" s="1451"/>
      <c r="B2089" s="1444" t="s">
        <v>3456</v>
      </c>
      <c r="C2089" s="1484"/>
      <c r="D2089" s="1484"/>
      <c r="E2089" s="1484"/>
      <c r="F2089" s="1446"/>
      <c r="G2089" s="1446"/>
      <c r="H2089" s="1447"/>
      <c r="I2089" s="1448"/>
      <c r="J2089" s="1475"/>
      <c r="K2089" s="1439"/>
      <c r="L2089" s="1439"/>
      <c r="M2089" s="1439"/>
      <c r="N2089" s="1439"/>
      <c r="O2089" s="1439"/>
      <c r="P2089" s="1439"/>
      <c r="Q2089" s="1439"/>
      <c r="R2089" s="1439"/>
      <c r="S2089" s="1439"/>
      <c r="T2089" s="1439"/>
      <c r="U2089" s="1439"/>
      <c r="V2089" s="1439"/>
      <c r="W2089" s="1439"/>
      <c r="X2089" s="1439"/>
      <c r="Y2089" s="1439"/>
      <c r="Z2089" s="1439"/>
      <c r="AA2089" s="1439"/>
      <c r="AB2089" s="1439"/>
      <c r="AC2089" s="1439"/>
      <c r="AD2089" s="1439"/>
      <c r="AE2089" s="1439"/>
      <c r="AF2089" s="1439"/>
      <c r="AG2089" s="1439"/>
    </row>
    <row r="2090" spans="1:33" ht="15.75" customHeight="1">
      <c r="A2090" s="1448"/>
      <c r="B2090" s="1480" t="s">
        <v>7079</v>
      </c>
      <c r="C2090" s="1445">
        <v>1</v>
      </c>
      <c r="D2090" s="1447" t="s">
        <v>3364</v>
      </c>
      <c r="E2090" s="1445">
        <v>1</v>
      </c>
      <c r="F2090" s="1446">
        <v>3.43</v>
      </c>
      <c r="G2090" s="1446">
        <v>0.6</v>
      </c>
      <c r="H2090" s="1447"/>
      <c r="I2090" s="1448">
        <f t="shared" ref="I2090:I2153" si="87">PRODUCT(C2090:H2090)</f>
        <v>2.06</v>
      </c>
      <c r="J2090" s="1449"/>
      <c r="K2090" s="1481"/>
      <c r="L2090" s="1481"/>
      <c r="M2090" s="1481"/>
      <c r="N2090" s="1481"/>
      <c r="O2090" s="1481"/>
      <c r="P2090" s="1481"/>
      <c r="Q2090" s="1481"/>
      <c r="R2090" s="1481"/>
      <c r="S2090" s="1481"/>
      <c r="T2090" s="1481"/>
      <c r="U2090" s="1481"/>
      <c r="V2090" s="1481"/>
      <c r="W2090" s="1481"/>
      <c r="X2090" s="1481"/>
      <c r="Y2090" s="1481"/>
      <c r="Z2090" s="1481"/>
      <c r="AA2090" s="1481"/>
      <c r="AB2090" s="1481"/>
      <c r="AC2090" s="1481"/>
      <c r="AD2090" s="1481"/>
      <c r="AE2090" s="1481"/>
      <c r="AF2090" s="1481"/>
      <c r="AG2090" s="1481"/>
    </row>
    <row r="2091" spans="1:33" ht="15.75" customHeight="1">
      <c r="A2091" s="1448"/>
      <c r="B2091" s="1482" t="s">
        <v>7495</v>
      </c>
      <c r="C2091" s="1445">
        <v>2</v>
      </c>
      <c r="D2091" s="1447" t="s">
        <v>3364</v>
      </c>
      <c r="E2091" s="1445">
        <v>1</v>
      </c>
      <c r="F2091" s="1446">
        <f>3.2+1.5</f>
        <v>4.7</v>
      </c>
      <c r="G2091" s="1446">
        <v>0.6</v>
      </c>
      <c r="H2091" s="1447"/>
      <c r="I2091" s="1448">
        <f t="shared" si="87"/>
        <v>5.64</v>
      </c>
      <c r="J2091" s="1449"/>
      <c r="K2091" s="1481"/>
      <c r="L2091" s="1481"/>
      <c r="M2091" s="1481"/>
      <c r="N2091" s="1481"/>
      <c r="O2091" s="1481"/>
      <c r="P2091" s="1481"/>
      <c r="Q2091" s="1481"/>
      <c r="R2091" s="1481"/>
      <c r="S2091" s="1481"/>
      <c r="T2091" s="1481"/>
      <c r="U2091" s="1481"/>
      <c r="V2091" s="1481"/>
      <c r="W2091" s="1481"/>
      <c r="X2091" s="1481"/>
      <c r="Y2091" s="1481"/>
      <c r="Z2091" s="1481"/>
      <c r="AA2091" s="1481"/>
      <c r="AB2091" s="1481"/>
      <c r="AC2091" s="1481"/>
      <c r="AD2091" s="1481"/>
      <c r="AE2091" s="1481"/>
      <c r="AF2091" s="1481"/>
      <c r="AG2091" s="1481"/>
    </row>
    <row r="2092" spans="1:33" ht="15.75" customHeight="1">
      <c r="A2092" s="1451"/>
      <c r="B2092" s="1444" t="s">
        <v>3457</v>
      </c>
      <c r="C2092" s="1484"/>
      <c r="D2092" s="1484"/>
      <c r="E2092" s="1484"/>
      <c r="F2092" s="1446"/>
      <c r="G2092" s="1446"/>
      <c r="H2092" s="1447"/>
      <c r="I2092" s="1448">
        <f t="shared" si="87"/>
        <v>0</v>
      </c>
      <c r="J2092" s="1475"/>
      <c r="K2092" s="1439"/>
      <c r="L2092" s="1439"/>
      <c r="M2092" s="1439"/>
      <c r="N2092" s="1439"/>
      <c r="O2092" s="1439"/>
      <c r="P2092" s="1439"/>
      <c r="Q2092" s="1439"/>
      <c r="R2092" s="1439"/>
      <c r="S2092" s="1439"/>
      <c r="T2092" s="1439"/>
      <c r="U2092" s="1439"/>
      <c r="V2092" s="1439"/>
      <c r="W2092" s="1439"/>
      <c r="X2092" s="1439"/>
      <c r="Y2092" s="1439"/>
      <c r="Z2092" s="1439"/>
      <c r="AA2092" s="1439"/>
      <c r="AB2092" s="1439"/>
      <c r="AC2092" s="1439"/>
      <c r="AD2092" s="1439"/>
      <c r="AE2092" s="1439"/>
      <c r="AF2092" s="1439"/>
      <c r="AG2092" s="1439"/>
    </row>
    <row r="2093" spans="1:33" ht="15.75" customHeight="1">
      <c r="A2093" s="1448"/>
      <c r="B2093" s="1480" t="s">
        <v>7081</v>
      </c>
      <c r="C2093" s="1445">
        <v>2</v>
      </c>
      <c r="D2093" s="1447" t="s">
        <v>3364</v>
      </c>
      <c r="E2093" s="1445">
        <v>1</v>
      </c>
      <c r="F2093" s="1446">
        <v>5.0350000000000001</v>
      </c>
      <c r="G2093" s="1446">
        <v>0.6</v>
      </c>
      <c r="H2093" s="1447"/>
      <c r="I2093" s="1448">
        <f t="shared" si="87"/>
        <v>6.04</v>
      </c>
      <c r="J2093" s="1449"/>
      <c r="K2093" s="1481"/>
      <c r="L2093" s="1481"/>
      <c r="M2093" s="1481"/>
      <c r="N2093" s="1481"/>
      <c r="O2093" s="1481"/>
      <c r="P2093" s="1481"/>
      <c r="Q2093" s="1481"/>
      <c r="R2093" s="1481"/>
      <c r="S2093" s="1481"/>
      <c r="T2093" s="1481"/>
      <c r="U2093" s="1481"/>
      <c r="V2093" s="1481"/>
      <c r="W2093" s="1481"/>
      <c r="X2093" s="1481"/>
      <c r="Y2093" s="1481"/>
      <c r="Z2093" s="1481"/>
      <c r="AA2093" s="1481"/>
      <c r="AB2093" s="1481"/>
      <c r="AC2093" s="1481"/>
      <c r="AD2093" s="1481"/>
      <c r="AE2093" s="1481"/>
      <c r="AF2093" s="1481"/>
      <c r="AG2093" s="1481"/>
    </row>
    <row r="2094" spans="1:33" ht="15.75" customHeight="1">
      <c r="A2094" s="1448"/>
      <c r="B2094" s="1480" t="s">
        <v>7082</v>
      </c>
      <c r="C2094" s="1445">
        <v>2</v>
      </c>
      <c r="D2094" s="1447" t="s">
        <v>3364</v>
      </c>
      <c r="E2094" s="1445">
        <v>1</v>
      </c>
      <c r="F2094" s="1446">
        <v>4.57</v>
      </c>
      <c r="G2094" s="1446">
        <v>0.6</v>
      </c>
      <c r="H2094" s="1447"/>
      <c r="I2094" s="1448">
        <f t="shared" si="87"/>
        <v>5.48</v>
      </c>
      <c r="J2094" s="1449"/>
      <c r="K2094" s="1481"/>
      <c r="L2094" s="1481"/>
      <c r="M2094" s="1481"/>
      <c r="N2094" s="1481"/>
      <c r="O2094" s="1481"/>
      <c r="P2094" s="1481"/>
      <c r="Q2094" s="1481"/>
      <c r="R2094" s="1481"/>
      <c r="S2094" s="1481"/>
      <c r="T2094" s="1481"/>
      <c r="U2094" s="1481"/>
      <c r="V2094" s="1481"/>
      <c r="W2094" s="1481"/>
      <c r="X2094" s="1481"/>
      <c r="Y2094" s="1481"/>
      <c r="Z2094" s="1481"/>
      <c r="AA2094" s="1481"/>
      <c r="AB2094" s="1481"/>
      <c r="AC2094" s="1481"/>
      <c r="AD2094" s="1481"/>
      <c r="AE2094" s="1481"/>
      <c r="AF2094" s="1481"/>
      <c r="AG2094" s="1481"/>
    </row>
    <row r="2095" spans="1:33" ht="15.75" customHeight="1">
      <c r="A2095" s="1448"/>
      <c r="B2095" s="1482" t="s">
        <v>7485</v>
      </c>
      <c r="C2095" s="1445">
        <v>2</v>
      </c>
      <c r="D2095" s="1467" t="s">
        <v>3364</v>
      </c>
      <c r="E2095" s="1445">
        <v>1</v>
      </c>
      <c r="F2095" s="1446">
        <v>4.57</v>
      </c>
      <c r="G2095" s="1446">
        <v>0.6</v>
      </c>
      <c r="H2095" s="1447"/>
      <c r="I2095" s="1448">
        <f t="shared" si="87"/>
        <v>5.48</v>
      </c>
      <c r="J2095" s="1449"/>
      <c r="K2095" s="1481"/>
      <c r="L2095" s="1481"/>
      <c r="M2095" s="1481"/>
      <c r="N2095" s="1481"/>
      <c r="O2095" s="1481"/>
      <c r="P2095" s="1481"/>
      <c r="Q2095" s="1481"/>
      <c r="R2095" s="1481"/>
      <c r="S2095" s="1481"/>
      <c r="T2095" s="1481"/>
      <c r="U2095" s="1481"/>
      <c r="V2095" s="1481"/>
      <c r="W2095" s="1481"/>
      <c r="X2095" s="1481"/>
      <c r="Y2095" s="1481"/>
      <c r="Z2095" s="1481"/>
      <c r="AA2095" s="1481"/>
      <c r="AB2095" s="1481"/>
      <c r="AC2095" s="1481"/>
      <c r="AD2095" s="1481"/>
      <c r="AE2095" s="1481"/>
      <c r="AF2095" s="1481"/>
      <c r="AG2095" s="1481"/>
    </row>
    <row r="2096" spans="1:33" ht="15.75" customHeight="1">
      <c r="A2096" s="1448"/>
      <c r="B2096" s="1482" t="s">
        <v>7486</v>
      </c>
      <c r="C2096" s="1445">
        <v>2</v>
      </c>
      <c r="D2096" s="1467" t="s">
        <v>3364</v>
      </c>
      <c r="E2096" s="1445">
        <v>1</v>
      </c>
      <c r="F2096" s="1446">
        <v>4.57</v>
      </c>
      <c r="G2096" s="1446">
        <v>0.6</v>
      </c>
      <c r="H2096" s="1447"/>
      <c r="I2096" s="1448">
        <f t="shared" si="87"/>
        <v>5.48</v>
      </c>
      <c r="J2096" s="1449"/>
      <c r="K2096" s="1481"/>
      <c r="L2096" s="1481"/>
      <c r="M2096" s="1481"/>
      <c r="N2096" s="1481"/>
      <c r="O2096" s="1481"/>
      <c r="P2096" s="1481"/>
      <c r="Q2096" s="1481"/>
      <c r="R2096" s="1481"/>
      <c r="S2096" s="1481"/>
      <c r="T2096" s="1481"/>
      <c r="U2096" s="1481"/>
      <c r="V2096" s="1481"/>
      <c r="W2096" s="1481"/>
      <c r="X2096" s="1481"/>
      <c r="Y2096" s="1481"/>
      <c r="Z2096" s="1481"/>
      <c r="AA2096" s="1481"/>
      <c r="AB2096" s="1481"/>
      <c r="AC2096" s="1481"/>
      <c r="AD2096" s="1481"/>
      <c r="AE2096" s="1481"/>
      <c r="AF2096" s="1481"/>
      <c r="AG2096" s="1481"/>
    </row>
    <row r="2097" spans="1:33" ht="15.75" customHeight="1">
      <c r="A2097" s="1448"/>
      <c r="B2097" s="1482" t="s">
        <v>7487</v>
      </c>
      <c r="C2097" s="1445">
        <v>2</v>
      </c>
      <c r="D2097" s="1447" t="s">
        <v>3364</v>
      </c>
      <c r="E2097" s="1445">
        <v>1</v>
      </c>
      <c r="F2097" s="1446">
        <v>5.0350000000000001</v>
      </c>
      <c r="G2097" s="1446">
        <v>0.6</v>
      </c>
      <c r="H2097" s="1447"/>
      <c r="I2097" s="1448">
        <f t="shared" si="87"/>
        <v>6.04</v>
      </c>
      <c r="J2097" s="1449"/>
      <c r="K2097" s="1481"/>
      <c r="L2097" s="1481"/>
      <c r="M2097" s="1481"/>
      <c r="N2097" s="1481"/>
      <c r="O2097" s="1481"/>
      <c r="P2097" s="1481"/>
      <c r="Q2097" s="1481"/>
      <c r="R2097" s="1481"/>
      <c r="S2097" s="1481"/>
      <c r="T2097" s="1481"/>
      <c r="U2097" s="1481"/>
      <c r="V2097" s="1481"/>
      <c r="W2097" s="1481"/>
      <c r="X2097" s="1481"/>
      <c r="Y2097" s="1481"/>
      <c r="Z2097" s="1481"/>
      <c r="AA2097" s="1481"/>
      <c r="AB2097" s="1481"/>
      <c r="AC2097" s="1481"/>
      <c r="AD2097" s="1481"/>
      <c r="AE2097" s="1481"/>
      <c r="AF2097" s="1481"/>
      <c r="AG2097" s="1481"/>
    </row>
    <row r="2098" spans="1:33" ht="15.75" customHeight="1">
      <c r="A2098" s="1451"/>
      <c r="B2098" s="1444" t="s">
        <v>3461</v>
      </c>
      <c r="C2098" s="1484"/>
      <c r="D2098" s="1484"/>
      <c r="E2098" s="1484"/>
      <c r="F2098" s="1446"/>
      <c r="G2098" s="1446"/>
      <c r="H2098" s="1447"/>
      <c r="I2098" s="1448">
        <f t="shared" si="87"/>
        <v>0</v>
      </c>
      <c r="J2098" s="1475"/>
      <c r="K2098" s="1439"/>
      <c r="L2098" s="1439"/>
      <c r="M2098" s="1439"/>
      <c r="N2098" s="1439"/>
      <c r="O2098" s="1439"/>
      <c r="P2098" s="1439"/>
      <c r="Q2098" s="1439"/>
      <c r="R2098" s="1439"/>
      <c r="S2098" s="1439"/>
      <c r="T2098" s="1439"/>
      <c r="U2098" s="1439"/>
      <c r="V2098" s="1439"/>
      <c r="W2098" s="1439"/>
      <c r="X2098" s="1439"/>
      <c r="Y2098" s="1439"/>
      <c r="Z2098" s="1439"/>
      <c r="AA2098" s="1439"/>
      <c r="AB2098" s="1439"/>
      <c r="AC2098" s="1439"/>
      <c r="AD2098" s="1439"/>
      <c r="AE2098" s="1439"/>
      <c r="AF2098" s="1439"/>
      <c r="AG2098" s="1439"/>
    </row>
    <row r="2099" spans="1:33" ht="15.75" customHeight="1">
      <c r="A2099" s="1486"/>
      <c r="B2099" s="1487" t="s">
        <v>7488</v>
      </c>
      <c r="C2099" s="1488">
        <v>1</v>
      </c>
      <c r="D2099" s="1488" t="s">
        <v>3364</v>
      </c>
      <c r="E2099" s="1488">
        <v>1</v>
      </c>
      <c r="F2099" s="1454">
        <v>3.43</v>
      </c>
      <c r="G2099" s="1454">
        <v>0.6</v>
      </c>
      <c r="H2099" s="1467"/>
      <c r="I2099" s="1448">
        <f t="shared" si="87"/>
        <v>2.06</v>
      </c>
      <c r="J2099" s="1489"/>
      <c r="K2099" s="1490"/>
      <c r="L2099" s="1490"/>
      <c r="M2099" s="1490"/>
      <c r="N2099" s="1490"/>
      <c r="O2099" s="1490"/>
      <c r="P2099" s="1490"/>
      <c r="Q2099" s="1490"/>
      <c r="R2099" s="1490"/>
      <c r="S2099" s="1490"/>
      <c r="T2099" s="1490"/>
      <c r="U2099" s="1490"/>
      <c r="V2099" s="1490"/>
      <c r="W2099" s="1490"/>
      <c r="X2099" s="1490"/>
      <c r="Y2099" s="1490"/>
      <c r="Z2099" s="1490"/>
      <c r="AA2099" s="1490"/>
      <c r="AB2099" s="1490"/>
      <c r="AC2099" s="1490"/>
      <c r="AD2099" s="1490"/>
      <c r="AE2099" s="1490"/>
      <c r="AF2099" s="1490"/>
      <c r="AG2099" s="1490"/>
    </row>
    <row r="2100" spans="1:33" ht="15.75" customHeight="1">
      <c r="A2100" s="1448"/>
      <c r="B2100" s="1480" t="s">
        <v>7084</v>
      </c>
      <c r="C2100" s="1445">
        <v>3</v>
      </c>
      <c r="D2100" s="1447" t="s">
        <v>3364</v>
      </c>
      <c r="E2100" s="1488">
        <v>1</v>
      </c>
      <c r="F2100" s="1454">
        <v>8.17</v>
      </c>
      <c r="G2100" s="1446">
        <v>0.6</v>
      </c>
      <c r="H2100" s="1447"/>
      <c r="I2100" s="1448">
        <f t="shared" si="87"/>
        <v>14.71</v>
      </c>
      <c r="J2100" s="1449"/>
      <c r="K2100" s="1481"/>
      <c r="L2100" s="1481"/>
      <c r="M2100" s="1481"/>
      <c r="N2100" s="1481"/>
      <c r="O2100" s="1481"/>
      <c r="P2100" s="1481"/>
      <c r="Q2100" s="1481"/>
      <c r="R2100" s="1481"/>
      <c r="S2100" s="1481"/>
      <c r="T2100" s="1481"/>
      <c r="U2100" s="1481"/>
      <c r="V2100" s="1481"/>
      <c r="W2100" s="1481"/>
      <c r="X2100" s="1481"/>
      <c r="Y2100" s="1481"/>
      <c r="Z2100" s="1481"/>
      <c r="AA2100" s="1481"/>
      <c r="AB2100" s="1481"/>
      <c r="AC2100" s="1481"/>
      <c r="AD2100" s="1481"/>
      <c r="AE2100" s="1481"/>
      <c r="AF2100" s="1481"/>
      <c r="AG2100" s="1481"/>
    </row>
    <row r="2101" spans="1:33" ht="15.75" customHeight="1">
      <c r="A2101" s="1448"/>
      <c r="B2101" s="1480" t="s">
        <v>7085</v>
      </c>
      <c r="C2101" s="1445">
        <v>2</v>
      </c>
      <c r="D2101" s="1447" t="s">
        <v>3364</v>
      </c>
      <c r="E2101" s="1488">
        <v>1</v>
      </c>
      <c r="F2101" s="1454">
        <v>5.8849999999999998</v>
      </c>
      <c r="G2101" s="1446">
        <v>0.6</v>
      </c>
      <c r="H2101" s="1447"/>
      <c r="I2101" s="1448">
        <f t="shared" si="87"/>
        <v>7.06</v>
      </c>
      <c r="J2101" s="1449"/>
      <c r="K2101" s="1481"/>
      <c r="L2101" s="1481"/>
      <c r="M2101" s="1481"/>
      <c r="N2101" s="1481"/>
      <c r="O2101" s="1481"/>
      <c r="P2101" s="1481"/>
      <c r="Q2101" s="1481"/>
      <c r="R2101" s="1481"/>
      <c r="S2101" s="1481"/>
      <c r="T2101" s="1481"/>
      <c r="U2101" s="1481"/>
      <c r="V2101" s="1481"/>
      <c r="W2101" s="1481"/>
      <c r="X2101" s="1481"/>
      <c r="Y2101" s="1481"/>
      <c r="Z2101" s="1481"/>
      <c r="AA2101" s="1481"/>
      <c r="AB2101" s="1481"/>
      <c r="AC2101" s="1481"/>
      <c r="AD2101" s="1481"/>
      <c r="AE2101" s="1481"/>
      <c r="AF2101" s="1481"/>
      <c r="AG2101" s="1481"/>
    </row>
    <row r="2102" spans="1:33" ht="15.75" customHeight="1">
      <c r="A2102" s="1448"/>
      <c r="B2102" s="1482" t="s">
        <v>7489</v>
      </c>
      <c r="C2102" s="1445">
        <v>2</v>
      </c>
      <c r="D2102" s="1447" t="s">
        <v>3364</v>
      </c>
      <c r="E2102" s="1488">
        <v>1</v>
      </c>
      <c r="F2102" s="1454">
        <v>5.03</v>
      </c>
      <c r="G2102" s="1446">
        <v>0.6</v>
      </c>
      <c r="H2102" s="1447"/>
      <c r="I2102" s="1448">
        <f t="shared" si="87"/>
        <v>6.04</v>
      </c>
      <c r="J2102" s="1449"/>
      <c r="K2102" s="1481"/>
      <c r="L2102" s="1481"/>
      <c r="M2102" s="1481"/>
      <c r="N2102" s="1481"/>
      <c r="O2102" s="1481"/>
      <c r="P2102" s="1481"/>
      <c r="Q2102" s="1481"/>
      <c r="R2102" s="1481"/>
      <c r="S2102" s="1481"/>
      <c r="T2102" s="1481"/>
      <c r="U2102" s="1481"/>
      <c r="V2102" s="1481"/>
      <c r="W2102" s="1481"/>
      <c r="X2102" s="1481"/>
      <c r="Y2102" s="1481"/>
      <c r="Z2102" s="1481"/>
      <c r="AA2102" s="1481"/>
      <c r="AB2102" s="1481"/>
      <c r="AC2102" s="1481"/>
      <c r="AD2102" s="1481"/>
      <c r="AE2102" s="1481"/>
      <c r="AF2102" s="1481"/>
      <c r="AG2102" s="1481"/>
    </row>
    <row r="2103" spans="1:33" ht="15.75" customHeight="1">
      <c r="A2103" s="1448"/>
      <c r="B2103" s="1482" t="s">
        <v>7490</v>
      </c>
      <c r="C2103" s="1445">
        <v>2</v>
      </c>
      <c r="D2103" s="1447" t="s">
        <v>3364</v>
      </c>
      <c r="E2103" s="1488">
        <v>1</v>
      </c>
      <c r="F2103" s="1454">
        <v>4.96</v>
      </c>
      <c r="G2103" s="1446">
        <v>0.6</v>
      </c>
      <c r="H2103" s="1447"/>
      <c r="I2103" s="1448">
        <f t="shared" si="87"/>
        <v>5.95</v>
      </c>
      <c r="J2103" s="1449"/>
      <c r="K2103" s="1481"/>
      <c r="L2103" s="1481"/>
      <c r="M2103" s="1481"/>
      <c r="N2103" s="1481"/>
      <c r="O2103" s="1481"/>
      <c r="P2103" s="1481"/>
      <c r="Q2103" s="1481"/>
      <c r="R2103" s="1481"/>
      <c r="S2103" s="1481"/>
      <c r="T2103" s="1481"/>
      <c r="U2103" s="1481"/>
      <c r="V2103" s="1481"/>
      <c r="W2103" s="1481"/>
      <c r="X2103" s="1481"/>
      <c r="Y2103" s="1481"/>
      <c r="Z2103" s="1481"/>
      <c r="AA2103" s="1481"/>
      <c r="AB2103" s="1481"/>
      <c r="AC2103" s="1481"/>
      <c r="AD2103" s="1481"/>
      <c r="AE2103" s="1481"/>
      <c r="AF2103" s="1481"/>
      <c r="AG2103" s="1481"/>
    </row>
    <row r="2104" spans="1:33" ht="15.75" customHeight="1">
      <c r="A2104" s="1448"/>
      <c r="B2104" s="1480" t="s">
        <v>7087</v>
      </c>
      <c r="C2104" s="1445">
        <v>2</v>
      </c>
      <c r="D2104" s="1447" t="s">
        <v>3364</v>
      </c>
      <c r="E2104" s="1488">
        <v>1</v>
      </c>
      <c r="F2104" s="1454">
        <v>4.57</v>
      </c>
      <c r="G2104" s="1446">
        <v>0.6</v>
      </c>
      <c r="H2104" s="1447"/>
      <c r="I2104" s="1448">
        <f t="shared" si="87"/>
        <v>5.48</v>
      </c>
      <c r="J2104" s="1449"/>
      <c r="K2104" s="1481"/>
      <c r="L2104" s="1481"/>
      <c r="M2104" s="1481"/>
      <c r="N2104" s="1481"/>
      <c r="O2104" s="1481"/>
      <c r="P2104" s="1481"/>
      <c r="Q2104" s="1481"/>
      <c r="R2104" s="1481"/>
      <c r="S2104" s="1481"/>
      <c r="T2104" s="1481"/>
      <c r="U2104" s="1481"/>
      <c r="V2104" s="1481"/>
      <c r="W2104" s="1481"/>
      <c r="X2104" s="1481"/>
      <c r="Y2104" s="1481"/>
      <c r="Z2104" s="1481"/>
      <c r="AA2104" s="1481"/>
      <c r="AB2104" s="1481"/>
      <c r="AC2104" s="1481"/>
      <c r="AD2104" s="1481"/>
      <c r="AE2104" s="1481"/>
      <c r="AF2104" s="1481"/>
      <c r="AG2104" s="1481"/>
    </row>
    <row r="2105" spans="1:33" ht="15.75" customHeight="1">
      <c r="A2105" s="1448"/>
      <c r="B2105" s="1480" t="s">
        <v>7088</v>
      </c>
      <c r="C2105" s="1445">
        <v>2</v>
      </c>
      <c r="D2105" s="1447" t="s">
        <v>3364</v>
      </c>
      <c r="E2105" s="1488">
        <v>1</v>
      </c>
      <c r="F2105" s="1454">
        <v>4.57</v>
      </c>
      <c r="G2105" s="1446">
        <v>0.6</v>
      </c>
      <c r="H2105" s="1447"/>
      <c r="I2105" s="1448">
        <f t="shared" si="87"/>
        <v>5.48</v>
      </c>
      <c r="J2105" s="1449"/>
      <c r="K2105" s="1481"/>
      <c r="L2105" s="1481"/>
      <c r="M2105" s="1481"/>
      <c r="N2105" s="1481"/>
      <c r="O2105" s="1481"/>
      <c r="P2105" s="1481"/>
      <c r="Q2105" s="1481"/>
      <c r="R2105" s="1481"/>
      <c r="S2105" s="1481"/>
      <c r="T2105" s="1481"/>
      <c r="U2105" s="1481"/>
      <c r="V2105" s="1481"/>
      <c r="W2105" s="1481"/>
      <c r="X2105" s="1481"/>
      <c r="Y2105" s="1481"/>
      <c r="Z2105" s="1481"/>
      <c r="AA2105" s="1481"/>
      <c r="AB2105" s="1481"/>
      <c r="AC2105" s="1481"/>
      <c r="AD2105" s="1481"/>
      <c r="AE2105" s="1481"/>
      <c r="AF2105" s="1481"/>
      <c r="AG2105" s="1481"/>
    </row>
    <row r="2106" spans="1:33" ht="15.75" customHeight="1">
      <c r="A2106" s="1448"/>
      <c r="B2106" s="1480" t="s">
        <v>6689</v>
      </c>
      <c r="C2106" s="1445">
        <v>2</v>
      </c>
      <c r="D2106" s="1447" t="s">
        <v>3364</v>
      </c>
      <c r="E2106" s="1488">
        <v>1</v>
      </c>
      <c r="F2106" s="1454">
        <v>4.57</v>
      </c>
      <c r="G2106" s="1446">
        <v>0.6</v>
      </c>
      <c r="H2106" s="1447"/>
      <c r="I2106" s="1448">
        <f t="shared" si="87"/>
        <v>5.48</v>
      </c>
      <c r="J2106" s="1449"/>
      <c r="K2106" s="1481"/>
      <c r="L2106" s="1481"/>
      <c r="M2106" s="1481"/>
      <c r="N2106" s="1481"/>
      <c r="O2106" s="1481"/>
      <c r="P2106" s="1481"/>
      <c r="Q2106" s="1481"/>
      <c r="R2106" s="1481"/>
      <c r="S2106" s="1481"/>
      <c r="T2106" s="1481"/>
      <c r="U2106" s="1481"/>
      <c r="V2106" s="1481"/>
      <c r="W2106" s="1481"/>
      <c r="X2106" s="1481"/>
      <c r="Y2106" s="1481"/>
      <c r="Z2106" s="1481"/>
      <c r="AA2106" s="1481"/>
      <c r="AB2106" s="1481"/>
      <c r="AC2106" s="1481"/>
      <c r="AD2106" s="1481"/>
      <c r="AE2106" s="1481"/>
      <c r="AF2106" s="1481"/>
      <c r="AG2106" s="1481"/>
    </row>
    <row r="2107" spans="1:33" ht="15.75" customHeight="1">
      <c r="A2107" s="1448"/>
      <c r="B2107" s="1480" t="s">
        <v>7089</v>
      </c>
      <c r="C2107" s="1445">
        <v>2</v>
      </c>
      <c r="D2107" s="1447" t="s">
        <v>3364</v>
      </c>
      <c r="E2107" s="1488">
        <v>1</v>
      </c>
      <c r="F2107" s="1454">
        <v>4.57</v>
      </c>
      <c r="G2107" s="1446">
        <v>0.6</v>
      </c>
      <c r="H2107" s="1447"/>
      <c r="I2107" s="1448">
        <f t="shared" si="87"/>
        <v>5.48</v>
      </c>
      <c r="J2107" s="1449"/>
      <c r="K2107" s="1481"/>
      <c r="L2107" s="1481"/>
      <c r="M2107" s="1481"/>
      <c r="N2107" s="1481"/>
      <c r="O2107" s="1481"/>
      <c r="P2107" s="1481"/>
      <c r="Q2107" s="1481"/>
      <c r="R2107" s="1481"/>
      <c r="S2107" s="1481"/>
      <c r="T2107" s="1481"/>
      <c r="U2107" s="1481"/>
      <c r="V2107" s="1481"/>
      <c r="W2107" s="1481"/>
      <c r="X2107" s="1481"/>
      <c r="Y2107" s="1481"/>
      <c r="Z2107" s="1481"/>
      <c r="AA2107" s="1481"/>
      <c r="AB2107" s="1481"/>
      <c r="AC2107" s="1481"/>
      <c r="AD2107" s="1481"/>
      <c r="AE2107" s="1481"/>
      <c r="AF2107" s="1481"/>
      <c r="AG2107" s="1481"/>
    </row>
    <row r="2108" spans="1:33" ht="15.75" customHeight="1">
      <c r="A2108" s="1451"/>
      <c r="B2108" s="1444" t="s">
        <v>7090</v>
      </c>
      <c r="C2108" s="1484"/>
      <c r="D2108" s="1484"/>
      <c r="E2108" s="1484"/>
      <c r="F2108" s="1446"/>
      <c r="G2108" s="1446"/>
      <c r="H2108" s="1447"/>
      <c r="I2108" s="1448">
        <f t="shared" si="87"/>
        <v>0</v>
      </c>
      <c r="J2108" s="1475"/>
      <c r="K2108" s="1439"/>
      <c r="L2108" s="1439"/>
      <c r="M2108" s="1439"/>
      <c r="N2108" s="1439"/>
      <c r="O2108" s="1466"/>
      <c r="P2108" s="1466"/>
      <c r="Q2108" s="1466"/>
      <c r="R2108" s="1466"/>
      <c r="S2108" s="1466"/>
      <c r="T2108" s="1466"/>
      <c r="U2108" s="1466"/>
      <c r="V2108" s="1466"/>
      <c r="W2108" s="1466"/>
      <c r="X2108" s="1466"/>
      <c r="Y2108" s="1466"/>
      <c r="Z2108" s="1466"/>
      <c r="AA2108" s="1466"/>
      <c r="AB2108" s="1466"/>
      <c r="AC2108" s="1466"/>
      <c r="AD2108" s="1466"/>
      <c r="AE2108" s="1466"/>
      <c r="AF2108" s="1466"/>
      <c r="AG2108" s="1466"/>
    </row>
    <row r="2109" spans="1:33" ht="15.75" customHeight="1">
      <c r="A2109" s="1448"/>
      <c r="B2109" s="1482" t="s">
        <v>7491</v>
      </c>
      <c r="C2109" s="1445">
        <v>4</v>
      </c>
      <c r="D2109" s="1447" t="s">
        <v>3364</v>
      </c>
      <c r="E2109" s="1445">
        <v>1</v>
      </c>
      <c r="F2109" s="1446">
        <v>5.0350000000000001</v>
      </c>
      <c r="G2109" s="1446">
        <v>0.6</v>
      </c>
      <c r="H2109" s="1447"/>
      <c r="I2109" s="1448">
        <f t="shared" si="87"/>
        <v>12.08</v>
      </c>
      <c r="J2109" s="1449"/>
      <c r="K2109" s="1481"/>
      <c r="L2109" s="1481"/>
      <c r="M2109" s="1481"/>
      <c r="N2109" s="1481"/>
      <c r="O2109" s="1481"/>
      <c r="P2109" s="1481"/>
      <c r="Q2109" s="1481"/>
      <c r="R2109" s="1481"/>
      <c r="S2109" s="1481"/>
      <c r="T2109" s="1481"/>
      <c r="U2109" s="1481"/>
      <c r="V2109" s="1481"/>
      <c r="W2109" s="1481"/>
      <c r="X2109" s="1481"/>
      <c r="Y2109" s="1481"/>
      <c r="Z2109" s="1481"/>
      <c r="AA2109" s="1481"/>
      <c r="AB2109" s="1481"/>
      <c r="AC2109" s="1481"/>
      <c r="AD2109" s="1481"/>
      <c r="AE2109" s="1481"/>
      <c r="AF2109" s="1481"/>
      <c r="AG2109" s="1481"/>
    </row>
    <row r="2110" spans="1:33" ht="15.75" customHeight="1">
      <c r="A2110" s="1448"/>
      <c r="B2110" s="1480" t="s">
        <v>7065</v>
      </c>
      <c r="C2110" s="1445">
        <v>2</v>
      </c>
      <c r="D2110" s="1447" t="s">
        <v>3364</v>
      </c>
      <c r="E2110" s="1445">
        <v>1</v>
      </c>
      <c r="F2110" s="1446">
        <v>5.0350000000000001</v>
      </c>
      <c r="G2110" s="1446">
        <v>0.6</v>
      </c>
      <c r="H2110" s="1447"/>
      <c r="I2110" s="1448">
        <f t="shared" si="87"/>
        <v>6.04</v>
      </c>
      <c r="J2110" s="1449"/>
      <c r="K2110" s="1481"/>
      <c r="L2110" s="1481"/>
      <c r="M2110" s="1481"/>
      <c r="N2110" s="1481"/>
      <c r="O2110" s="1481"/>
      <c r="P2110" s="1481"/>
      <c r="Q2110" s="1481"/>
      <c r="R2110" s="1481"/>
      <c r="S2110" s="1481"/>
      <c r="T2110" s="1481"/>
      <c r="U2110" s="1481"/>
      <c r="V2110" s="1481"/>
      <c r="W2110" s="1481"/>
      <c r="X2110" s="1481"/>
      <c r="Y2110" s="1481"/>
      <c r="Z2110" s="1481"/>
      <c r="AA2110" s="1481"/>
      <c r="AB2110" s="1481"/>
      <c r="AC2110" s="1481"/>
      <c r="AD2110" s="1481"/>
      <c r="AE2110" s="1481"/>
      <c r="AF2110" s="1481"/>
      <c r="AG2110" s="1481"/>
    </row>
    <row r="2111" spans="1:33" ht="15.75" customHeight="1">
      <c r="A2111" s="1448"/>
      <c r="B2111" s="1480" t="s">
        <v>7092</v>
      </c>
      <c r="C2111" s="1445">
        <v>2</v>
      </c>
      <c r="D2111" s="1447" t="s">
        <v>3364</v>
      </c>
      <c r="E2111" s="1445">
        <v>1</v>
      </c>
      <c r="F2111" s="1446">
        <f>4.57+3.94</f>
        <v>8.51</v>
      </c>
      <c r="G2111" s="1446">
        <v>0.6</v>
      </c>
      <c r="H2111" s="1447"/>
      <c r="I2111" s="1448">
        <f t="shared" si="87"/>
        <v>10.210000000000001</v>
      </c>
      <c r="J2111" s="1449"/>
      <c r="K2111" s="1481"/>
      <c r="L2111" s="1481"/>
      <c r="M2111" s="1481"/>
      <c r="N2111" s="1481"/>
      <c r="O2111" s="1481"/>
      <c r="P2111" s="1481"/>
      <c r="Q2111" s="1481"/>
      <c r="R2111" s="1481"/>
      <c r="S2111" s="1481"/>
      <c r="T2111" s="1481"/>
      <c r="U2111" s="1481"/>
      <c r="V2111" s="1481"/>
      <c r="W2111" s="1481"/>
      <c r="X2111" s="1481"/>
      <c r="Y2111" s="1481"/>
      <c r="Z2111" s="1481"/>
      <c r="AA2111" s="1481"/>
      <c r="AB2111" s="1481"/>
      <c r="AC2111" s="1481"/>
      <c r="AD2111" s="1481"/>
      <c r="AE2111" s="1481"/>
      <c r="AF2111" s="1481"/>
      <c r="AG2111" s="1481"/>
    </row>
    <row r="2112" spans="1:33" ht="15.75" customHeight="1">
      <c r="A2112" s="1448"/>
      <c r="B2112" s="1482" t="s">
        <v>7492</v>
      </c>
      <c r="C2112" s="1445">
        <v>2</v>
      </c>
      <c r="D2112" s="1447" t="s">
        <v>3364</v>
      </c>
      <c r="E2112" s="1445">
        <v>1</v>
      </c>
      <c r="F2112" s="1446">
        <v>4.57</v>
      </c>
      <c r="G2112" s="1446">
        <v>0.6</v>
      </c>
      <c r="H2112" s="1447"/>
      <c r="I2112" s="1448">
        <f t="shared" si="87"/>
        <v>5.48</v>
      </c>
      <c r="J2112" s="1449"/>
      <c r="K2112" s="1481"/>
      <c r="L2112" s="1481"/>
      <c r="M2112" s="1481"/>
      <c r="N2112" s="1481"/>
      <c r="O2112" s="1481"/>
      <c r="P2112" s="1481"/>
      <c r="Q2112" s="1481"/>
      <c r="R2112" s="1481"/>
      <c r="S2112" s="1481"/>
      <c r="T2112" s="1481"/>
      <c r="U2112" s="1481"/>
      <c r="V2112" s="1481"/>
      <c r="W2112" s="1481"/>
      <c r="X2112" s="1481"/>
      <c r="Y2112" s="1481"/>
      <c r="Z2112" s="1481"/>
      <c r="AA2112" s="1481"/>
      <c r="AB2112" s="1481"/>
      <c r="AC2112" s="1481"/>
      <c r="AD2112" s="1481"/>
      <c r="AE2112" s="1481"/>
      <c r="AF2112" s="1481"/>
      <c r="AG2112" s="1481"/>
    </row>
    <row r="2113" spans="1:33" ht="15.75" customHeight="1">
      <c r="A2113" s="1448"/>
      <c r="B2113" s="1482" t="s">
        <v>7493</v>
      </c>
      <c r="C2113" s="1445">
        <v>2</v>
      </c>
      <c r="D2113" s="1447" t="s">
        <v>3364</v>
      </c>
      <c r="E2113" s="1445">
        <v>1</v>
      </c>
      <c r="F2113" s="1446">
        <v>4.96</v>
      </c>
      <c r="G2113" s="1446">
        <v>0.6</v>
      </c>
      <c r="H2113" s="1447"/>
      <c r="I2113" s="1448">
        <f t="shared" si="87"/>
        <v>5.95</v>
      </c>
      <c r="J2113" s="1449"/>
      <c r="K2113" s="1481"/>
      <c r="L2113" s="1481"/>
      <c r="M2113" s="1481"/>
      <c r="N2113" s="1481"/>
      <c r="O2113" s="1481"/>
      <c r="P2113" s="1481"/>
      <c r="Q2113" s="1481"/>
      <c r="R2113" s="1481"/>
      <c r="S2113" s="1481"/>
      <c r="T2113" s="1481"/>
      <c r="U2113" s="1481"/>
      <c r="V2113" s="1481"/>
      <c r="W2113" s="1481"/>
      <c r="X2113" s="1481"/>
      <c r="Y2113" s="1481"/>
      <c r="Z2113" s="1481"/>
      <c r="AA2113" s="1481"/>
      <c r="AB2113" s="1481"/>
      <c r="AC2113" s="1481"/>
      <c r="AD2113" s="1481"/>
      <c r="AE2113" s="1481"/>
      <c r="AF2113" s="1481"/>
      <c r="AG2113" s="1481"/>
    </row>
    <row r="2114" spans="1:33" ht="15.75" customHeight="1">
      <c r="A2114" s="1448"/>
      <c r="B2114" s="1471" t="s">
        <v>7077</v>
      </c>
      <c r="C2114" s="1445"/>
      <c r="D2114" s="1447"/>
      <c r="E2114" s="1445"/>
      <c r="F2114" s="1446"/>
      <c r="G2114" s="1446"/>
      <c r="H2114" s="1447"/>
      <c r="I2114" s="1448">
        <f t="shared" si="87"/>
        <v>0</v>
      </c>
      <c r="J2114" s="1449"/>
      <c r="K2114" s="1481"/>
      <c r="L2114" s="1481"/>
      <c r="M2114" s="1481"/>
      <c r="N2114" s="1481"/>
      <c r="O2114" s="1481"/>
      <c r="P2114" s="1481"/>
      <c r="Q2114" s="1481"/>
      <c r="R2114" s="1481"/>
      <c r="S2114" s="1481"/>
      <c r="T2114" s="1481"/>
      <c r="U2114" s="1481"/>
      <c r="V2114" s="1481"/>
      <c r="W2114" s="1481"/>
      <c r="X2114" s="1481"/>
      <c r="Y2114" s="1481"/>
      <c r="Z2114" s="1481"/>
      <c r="AA2114" s="1481"/>
      <c r="AB2114" s="1481"/>
      <c r="AC2114" s="1481"/>
      <c r="AD2114" s="1481"/>
      <c r="AE2114" s="1481"/>
      <c r="AF2114" s="1481"/>
      <c r="AG2114" s="1481"/>
    </row>
    <row r="2115" spans="1:33" ht="15.75" customHeight="1">
      <c r="A2115" s="1448"/>
      <c r="B2115" s="1482" t="s">
        <v>7215</v>
      </c>
      <c r="C2115" s="1445">
        <v>4</v>
      </c>
      <c r="D2115" s="1447" t="s">
        <v>3364</v>
      </c>
      <c r="E2115" s="1445">
        <v>1</v>
      </c>
      <c r="F2115" s="1446">
        <v>2.52</v>
      </c>
      <c r="G2115" s="1446">
        <v>0.6</v>
      </c>
      <c r="H2115" s="1447"/>
      <c r="I2115" s="1448">
        <f t="shared" si="87"/>
        <v>6.05</v>
      </c>
      <c r="J2115" s="1449"/>
      <c r="K2115" s="1481"/>
      <c r="L2115" s="1481"/>
      <c r="M2115" s="1481"/>
      <c r="N2115" s="1481"/>
      <c r="O2115" s="1481"/>
      <c r="P2115" s="1481"/>
      <c r="Q2115" s="1481"/>
      <c r="R2115" s="1481"/>
      <c r="S2115" s="1481"/>
      <c r="T2115" s="1481"/>
      <c r="U2115" s="1481"/>
      <c r="V2115" s="1481"/>
      <c r="W2115" s="1481"/>
      <c r="X2115" s="1481"/>
      <c r="Y2115" s="1481"/>
      <c r="Z2115" s="1481"/>
      <c r="AA2115" s="1481"/>
      <c r="AB2115" s="1481"/>
      <c r="AC2115" s="1481"/>
      <c r="AD2115" s="1481"/>
      <c r="AE2115" s="1481"/>
      <c r="AF2115" s="1481"/>
      <c r="AG2115" s="1481"/>
    </row>
    <row r="2116" spans="1:33" ht="15.75" customHeight="1">
      <c r="A2116" s="1448"/>
      <c r="B2116" s="1482" t="s">
        <v>7494</v>
      </c>
      <c r="C2116" s="1445">
        <v>4</v>
      </c>
      <c r="D2116" s="1447" t="s">
        <v>3364</v>
      </c>
      <c r="E2116" s="1445">
        <v>1</v>
      </c>
      <c r="F2116" s="1446">
        <v>2.4</v>
      </c>
      <c r="G2116" s="1446">
        <v>0.6</v>
      </c>
      <c r="H2116" s="1447"/>
      <c r="I2116" s="1448">
        <f t="shared" si="87"/>
        <v>5.76</v>
      </c>
      <c r="J2116" s="1449"/>
      <c r="K2116" s="1481"/>
      <c r="L2116" s="1481"/>
      <c r="M2116" s="1481"/>
      <c r="N2116" s="1481"/>
      <c r="O2116" s="1481"/>
      <c r="P2116" s="1481"/>
      <c r="Q2116" s="1481"/>
      <c r="R2116" s="1481"/>
      <c r="S2116" s="1481"/>
      <c r="T2116" s="1481"/>
      <c r="U2116" s="1481"/>
      <c r="V2116" s="1481"/>
      <c r="W2116" s="1481"/>
      <c r="X2116" s="1481"/>
      <c r="Y2116" s="1481"/>
      <c r="Z2116" s="1481"/>
      <c r="AA2116" s="1481"/>
      <c r="AB2116" s="1481"/>
      <c r="AC2116" s="1481"/>
      <c r="AD2116" s="1481"/>
      <c r="AE2116" s="1481"/>
      <c r="AF2116" s="1481"/>
      <c r="AG2116" s="1481"/>
    </row>
    <row r="2117" spans="1:33" ht="15.75" customHeight="1">
      <c r="A2117" s="1448"/>
      <c r="B2117" s="1482" t="s">
        <v>6760</v>
      </c>
      <c r="C2117" s="1445">
        <v>2</v>
      </c>
      <c r="D2117" s="1447" t="s">
        <v>3364</v>
      </c>
      <c r="E2117" s="1445">
        <v>1</v>
      </c>
      <c r="F2117" s="1446">
        <v>9.0449999999999999</v>
      </c>
      <c r="G2117" s="1446">
        <v>0.6</v>
      </c>
      <c r="H2117" s="1447"/>
      <c r="I2117" s="1448">
        <f t="shared" si="87"/>
        <v>10.85</v>
      </c>
      <c r="J2117" s="1449"/>
      <c r="K2117" s="1481"/>
      <c r="L2117" s="1481"/>
      <c r="M2117" s="1481"/>
      <c r="N2117" s="1481"/>
      <c r="O2117" s="1481"/>
      <c r="P2117" s="1481"/>
      <c r="Q2117" s="1481"/>
      <c r="R2117" s="1481"/>
      <c r="S2117" s="1481"/>
      <c r="T2117" s="1481"/>
      <c r="U2117" s="1481"/>
      <c r="V2117" s="1481"/>
      <c r="W2117" s="1481"/>
      <c r="X2117" s="1481"/>
      <c r="Y2117" s="1481"/>
      <c r="Z2117" s="1481"/>
      <c r="AA2117" s="1481"/>
      <c r="AB2117" s="1481"/>
      <c r="AC2117" s="1481"/>
      <c r="AD2117" s="1481"/>
      <c r="AE2117" s="1481"/>
      <c r="AF2117" s="1481"/>
      <c r="AG2117" s="1481"/>
    </row>
    <row r="2118" spans="1:33" ht="15.75" customHeight="1">
      <c r="A2118" s="1448"/>
      <c r="B2118" s="1480" t="s">
        <v>7093</v>
      </c>
      <c r="C2118" s="1445">
        <v>1</v>
      </c>
      <c r="D2118" s="1447" t="s">
        <v>3364</v>
      </c>
      <c r="E2118" s="1445">
        <v>1</v>
      </c>
      <c r="F2118" s="1446">
        <v>10.475</v>
      </c>
      <c r="G2118" s="1446">
        <v>0.6</v>
      </c>
      <c r="H2118" s="1447"/>
      <c r="I2118" s="1448">
        <f t="shared" si="87"/>
        <v>6.29</v>
      </c>
      <c r="J2118" s="1449"/>
      <c r="K2118" s="1481"/>
      <c r="L2118" s="1481"/>
      <c r="M2118" s="1481"/>
      <c r="N2118" s="1481"/>
      <c r="O2118" s="1481"/>
      <c r="P2118" s="1481"/>
      <c r="Q2118" s="1481"/>
      <c r="R2118" s="1481"/>
      <c r="S2118" s="1481"/>
      <c r="T2118" s="1481"/>
      <c r="U2118" s="1481"/>
      <c r="V2118" s="1481"/>
      <c r="W2118" s="1481"/>
      <c r="X2118" s="1481"/>
      <c r="Y2118" s="1481"/>
      <c r="Z2118" s="1481"/>
      <c r="AA2118" s="1481"/>
      <c r="AB2118" s="1481"/>
      <c r="AC2118" s="1481"/>
      <c r="AD2118" s="1481"/>
      <c r="AE2118" s="1481"/>
      <c r="AF2118" s="1481"/>
      <c r="AG2118" s="1481"/>
    </row>
    <row r="2119" spans="1:33" ht="15.75" customHeight="1">
      <c r="A2119" s="1494"/>
      <c r="B2119" s="1528" t="s">
        <v>7546</v>
      </c>
      <c r="C2119" s="1445"/>
      <c r="D2119" s="1447"/>
      <c r="E2119" s="1445"/>
      <c r="F2119" s="1446"/>
      <c r="G2119" s="1446"/>
      <c r="H2119" s="1447"/>
      <c r="I2119" s="1448">
        <f t="shared" si="87"/>
        <v>0</v>
      </c>
      <c r="J2119" s="1527"/>
      <c r="K2119" s="1481"/>
      <c r="L2119" s="1481"/>
      <c r="M2119" s="1481"/>
      <c r="N2119" s="1481"/>
      <c r="O2119" s="1481"/>
      <c r="P2119" s="1481"/>
      <c r="Q2119" s="1481"/>
      <c r="R2119" s="1481"/>
      <c r="S2119" s="1481"/>
      <c r="T2119" s="1481"/>
      <c r="U2119" s="1481"/>
      <c r="V2119" s="1481"/>
      <c r="W2119" s="1481"/>
      <c r="X2119" s="1481"/>
      <c r="Y2119" s="1481"/>
      <c r="Z2119" s="1481"/>
      <c r="AA2119" s="1481"/>
      <c r="AB2119" s="1481"/>
      <c r="AC2119" s="1481"/>
      <c r="AD2119" s="1481"/>
      <c r="AE2119" s="1481"/>
      <c r="AF2119" s="1481"/>
      <c r="AG2119" s="1481"/>
    </row>
    <row r="2120" spans="1:33" ht="15.75" customHeight="1">
      <c r="A2120" s="1451"/>
      <c r="B2120" s="1444" t="s">
        <v>3456</v>
      </c>
      <c r="C2120" s="1484"/>
      <c r="D2120" s="1484"/>
      <c r="E2120" s="1484"/>
      <c r="F2120" s="1446"/>
      <c r="G2120" s="1446"/>
      <c r="H2120" s="1447"/>
      <c r="I2120" s="1448">
        <f t="shared" si="87"/>
        <v>0</v>
      </c>
      <c r="J2120" s="1475"/>
      <c r="K2120" s="1439"/>
      <c r="L2120" s="1439"/>
      <c r="M2120" s="1439"/>
      <c r="N2120" s="1439"/>
      <c r="O2120" s="1439"/>
      <c r="P2120" s="1439"/>
      <c r="Q2120" s="1439"/>
      <c r="R2120" s="1439"/>
      <c r="S2120" s="1439"/>
      <c r="T2120" s="1439"/>
      <c r="U2120" s="1439"/>
      <c r="V2120" s="1439"/>
      <c r="W2120" s="1439"/>
      <c r="X2120" s="1439"/>
      <c r="Y2120" s="1439"/>
      <c r="Z2120" s="1439"/>
      <c r="AA2120" s="1439"/>
      <c r="AB2120" s="1439"/>
      <c r="AC2120" s="1439"/>
      <c r="AD2120" s="1439"/>
      <c r="AE2120" s="1439"/>
      <c r="AF2120" s="1439"/>
      <c r="AG2120" s="1439"/>
    </row>
    <row r="2121" spans="1:33" ht="15.75" customHeight="1">
      <c r="A2121" s="1448"/>
      <c r="B2121" s="1480" t="s">
        <v>7079</v>
      </c>
      <c r="C2121" s="1445">
        <v>1</v>
      </c>
      <c r="D2121" s="1447" t="s">
        <v>3364</v>
      </c>
      <c r="E2121" s="1445">
        <v>1</v>
      </c>
      <c r="F2121" s="1446">
        <v>3.43</v>
      </c>
      <c r="G2121" s="1446"/>
      <c r="H2121" s="1446">
        <v>0.125</v>
      </c>
      <c r="I2121" s="1448">
        <f t="shared" si="87"/>
        <v>0.43</v>
      </c>
      <c r="J2121" s="1449"/>
      <c r="K2121" s="1481"/>
      <c r="L2121" s="1481"/>
      <c r="M2121" s="1481"/>
      <c r="N2121" s="1481"/>
      <c r="O2121" s="1481"/>
      <c r="P2121" s="1481"/>
      <c r="Q2121" s="1481"/>
      <c r="R2121" s="1481"/>
      <c r="S2121" s="1481"/>
      <c r="T2121" s="1481"/>
      <c r="U2121" s="1481"/>
      <c r="V2121" s="1481"/>
      <c r="W2121" s="1481"/>
      <c r="X2121" s="1481"/>
      <c r="Y2121" s="1481"/>
      <c r="Z2121" s="1481"/>
      <c r="AA2121" s="1481"/>
      <c r="AB2121" s="1481"/>
      <c r="AC2121" s="1481"/>
      <c r="AD2121" s="1481"/>
      <c r="AE2121" s="1481"/>
      <c r="AF2121" s="1481"/>
      <c r="AG2121" s="1481"/>
    </row>
    <row r="2122" spans="1:33" ht="15.75" customHeight="1">
      <c r="A2122" s="1448"/>
      <c r="B2122" s="1482" t="s">
        <v>7495</v>
      </c>
      <c r="C2122" s="1445">
        <v>2</v>
      </c>
      <c r="D2122" s="1447" t="s">
        <v>3364</v>
      </c>
      <c r="E2122" s="1445">
        <v>1</v>
      </c>
      <c r="F2122" s="1446">
        <f>3.2+1.5</f>
        <v>4.7</v>
      </c>
      <c r="G2122" s="1446"/>
      <c r="H2122" s="1446">
        <v>0.125</v>
      </c>
      <c r="I2122" s="1448">
        <f t="shared" si="87"/>
        <v>1.18</v>
      </c>
      <c r="J2122" s="1449"/>
      <c r="K2122" s="1481"/>
      <c r="L2122" s="1481"/>
      <c r="M2122" s="1481"/>
      <c r="N2122" s="1481"/>
      <c r="O2122" s="1481"/>
      <c r="P2122" s="1481"/>
      <c r="Q2122" s="1481"/>
      <c r="R2122" s="1481"/>
      <c r="S2122" s="1481"/>
      <c r="T2122" s="1481"/>
      <c r="U2122" s="1481"/>
      <c r="V2122" s="1481"/>
      <c r="W2122" s="1481"/>
      <c r="X2122" s="1481"/>
      <c r="Y2122" s="1481"/>
      <c r="Z2122" s="1481"/>
      <c r="AA2122" s="1481"/>
      <c r="AB2122" s="1481"/>
      <c r="AC2122" s="1481"/>
      <c r="AD2122" s="1481"/>
      <c r="AE2122" s="1481"/>
      <c r="AF2122" s="1481"/>
      <c r="AG2122" s="1481"/>
    </row>
    <row r="2123" spans="1:33" ht="15.75" customHeight="1">
      <c r="A2123" s="1451"/>
      <c r="B2123" s="1444" t="s">
        <v>3457</v>
      </c>
      <c r="C2123" s="1484"/>
      <c r="D2123" s="1484"/>
      <c r="E2123" s="1484"/>
      <c r="F2123" s="1446"/>
      <c r="G2123" s="1446"/>
      <c r="H2123" s="1446"/>
      <c r="I2123" s="1448">
        <f t="shared" si="87"/>
        <v>0</v>
      </c>
      <c r="J2123" s="1475"/>
      <c r="K2123" s="1439"/>
      <c r="L2123" s="1439"/>
      <c r="M2123" s="1439"/>
      <c r="N2123" s="1439"/>
      <c r="O2123" s="1439"/>
      <c r="P2123" s="1439"/>
      <c r="Q2123" s="1439"/>
      <c r="R2123" s="1439"/>
      <c r="S2123" s="1439"/>
      <c r="T2123" s="1439"/>
      <c r="U2123" s="1439"/>
      <c r="V2123" s="1439"/>
      <c r="W2123" s="1439"/>
      <c r="X2123" s="1439"/>
      <c r="Y2123" s="1439"/>
      <c r="Z2123" s="1439"/>
      <c r="AA2123" s="1439"/>
      <c r="AB2123" s="1439"/>
      <c r="AC2123" s="1439"/>
      <c r="AD2123" s="1439"/>
      <c r="AE2123" s="1439"/>
      <c r="AF2123" s="1439"/>
      <c r="AG2123" s="1439"/>
    </row>
    <row r="2124" spans="1:33" ht="15.75" customHeight="1">
      <c r="A2124" s="1448"/>
      <c r="B2124" s="1480" t="s">
        <v>7081</v>
      </c>
      <c r="C2124" s="1445">
        <v>2</v>
      </c>
      <c r="D2124" s="1447" t="s">
        <v>3364</v>
      </c>
      <c r="E2124" s="1445">
        <v>1</v>
      </c>
      <c r="F2124" s="1446">
        <v>5.0350000000000001</v>
      </c>
      <c r="G2124" s="1446"/>
      <c r="H2124" s="1446">
        <v>0.125</v>
      </c>
      <c r="I2124" s="1448">
        <f t="shared" si="87"/>
        <v>1.26</v>
      </c>
      <c r="J2124" s="1449"/>
      <c r="K2124" s="1481"/>
      <c r="L2124" s="1481"/>
      <c r="M2124" s="1481"/>
      <c r="N2124" s="1481"/>
      <c r="O2124" s="1481"/>
      <c r="P2124" s="1481"/>
      <c r="Q2124" s="1481"/>
      <c r="R2124" s="1481"/>
      <c r="S2124" s="1481"/>
      <c r="T2124" s="1481"/>
      <c r="U2124" s="1481"/>
      <c r="V2124" s="1481"/>
      <c r="W2124" s="1481"/>
      <c r="X2124" s="1481"/>
      <c r="Y2124" s="1481"/>
      <c r="Z2124" s="1481"/>
      <c r="AA2124" s="1481"/>
      <c r="AB2124" s="1481"/>
      <c r="AC2124" s="1481"/>
      <c r="AD2124" s="1481"/>
      <c r="AE2124" s="1481"/>
      <c r="AF2124" s="1481"/>
      <c r="AG2124" s="1481"/>
    </row>
    <row r="2125" spans="1:33" ht="15.75" customHeight="1">
      <c r="A2125" s="1448"/>
      <c r="B2125" s="1480" t="s">
        <v>7082</v>
      </c>
      <c r="C2125" s="1445">
        <v>2</v>
      </c>
      <c r="D2125" s="1447" t="s">
        <v>3364</v>
      </c>
      <c r="E2125" s="1445">
        <v>1</v>
      </c>
      <c r="F2125" s="1446">
        <v>4.57</v>
      </c>
      <c r="G2125" s="1446"/>
      <c r="H2125" s="1446">
        <v>0.125</v>
      </c>
      <c r="I2125" s="1448">
        <f t="shared" si="87"/>
        <v>1.1399999999999999</v>
      </c>
      <c r="J2125" s="1449"/>
      <c r="K2125" s="1481"/>
      <c r="L2125" s="1481"/>
      <c r="M2125" s="1481"/>
      <c r="N2125" s="1481"/>
      <c r="O2125" s="1481"/>
      <c r="P2125" s="1481"/>
      <c r="Q2125" s="1481"/>
      <c r="R2125" s="1481"/>
      <c r="S2125" s="1481"/>
      <c r="T2125" s="1481"/>
      <c r="U2125" s="1481"/>
      <c r="V2125" s="1481"/>
      <c r="W2125" s="1481"/>
      <c r="X2125" s="1481"/>
      <c r="Y2125" s="1481"/>
      <c r="Z2125" s="1481"/>
      <c r="AA2125" s="1481"/>
      <c r="AB2125" s="1481"/>
      <c r="AC2125" s="1481"/>
      <c r="AD2125" s="1481"/>
      <c r="AE2125" s="1481"/>
      <c r="AF2125" s="1481"/>
      <c r="AG2125" s="1481"/>
    </row>
    <row r="2126" spans="1:33" ht="15.75" customHeight="1">
      <c r="A2126" s="1448"/>
      <c r="B2126" s="1482" t="s">
        <v>7485</v>
      </c>
      <c r="C2126" s="1445">
        <v>2</v>
      </c>
      <c r="D2126" s="1467" t="s">
        <v>3364</v>
      </c>
      <c r="E2126" s="1445">
        <v>1</v>
      </c>
      <c r="F2126" s="1446">
        <v>4.57</v>
      </c>
      <c r="G2126" s="1446"/>
      <c r="H2126" s="1446">
        <v>0.125</v>
      </c>
      <c r="I2126" s="1448">
        <f t="shared" si="87"/>
        <v>1.1399999999999999</v>
      </c>
      <c r="J2126" s="1449"/>
      <c r="K2126" s="1481"/>
      <c r="L2126" s="1481"/>
      <c r="M2126" s="1481"/>
      <c r="N2126" s="1481"/>
      <c r="O2126" s="1481"/>
      <c r="P2126" s="1481"/>
      <c r="Q2126" s="1481"/>
      <c r="R2126" s="1481"/>
      <c r="S2126" s="1481"/>
      <c r="T2126" s="1481"/>
      <c r="U2126" s="1481"/>
      <c r="V2126" s="1481"/>
      <c r="W2126" s="1481"/>
      <c r="X2126" s="1481"/>
      <c r="Y2126" s="1481"/>
      <c r="Z2126" s="1481"/>
      <c r="AA2126" s="1481"/>
      <c r="AB2126" s="1481"/>
      <c r="AC2126" s="1481"/>
      <c r="AD2126" s="1481"/>
      <c r="AE2126" s="1481"/>
      <c r="AF2126" s="1481"/>
      <c r="AG2126" s="1481"/>
    </row>
    <row r="2127" spans="1:33" ht="15.75" customHeight="1">
      <c r="A2127" s="1448"/>
      <c r="B2127" s="1482" t="s">
        <v>7486</v>
      </c>
      <c r="C2127" s="1445">
        <v>2</v>
      </c>
      <c r="D2127" s="1467" t="s">
        <v>3364</v>
      </c>
      <c r="E2127" s="1445">
        <v>1</v>
      </c>
      <c r="F2127" s="1446">
        <v>4.57</v>
      </c>
      <c r="G2127" s="1446"/>
      <c r="H2127" s="1446">
        <v>0.125</v>
      </c>
      <c r="I2127" s="1448">
        <f t="shared" si="87"/>
        <v>1.1399999999999999</v>
      </c>
      <c r="J2127" s="1449"/>
      <c r="K2127" s="1481"/>
      <c r="L2127" s="1481"/>
      <c r="M2127" s="1481"/>
      <c r="N2127" s="1481"/>
      <c r="O2127" s="1481"/>
      <c r="P2127" s="1481"/>
      <c r="Q2127" s="1481"/>
      <c r="R2127" s="1481"/>
      <c r="S2127" s="1481"/>
      <c r="T2127" s="1481"/>
      <c r="U2127" s="1481"/>
      <c r="V2127" s="1481"/>
      <c r="W2127" s="1481"/>
      <c r="X2127" s="1481"/>
      <c r="Y2127" s="1481"/>
      <c r="Z2127" s="1481"/>
      <c r="AA2127" s="1481"/>
      <c r="AB2127" s="1481"/>
      <c r="AC2127" s="1481"/>
      <c r="AD2127" s="1481"/>
      <c r="AE2127" s="1481"/>
      <c r="AF2127" s="1481"/>
      <c r="AG2127" s="1481"/>
    </row>
    <row r="2128" spans="1:33" ht="15.75" customHeight="1">
      <c r="A2128" s="1448"/>
      <c r="B2128" s="1482" t="s">
        <v>7487</v>
      </c>
      <c r="C2128" s="1445">
        <v>2</v>
      </c>
      <c r="D2128" s="1447" t="s">
        <v>3364</v>
      </c>
      <c r="E2128" s="1445">
        <v>1</v>
      </c>
      <c r="F2128" s="1446">
        <v>5.0350000000000001</v>
      </c>
      <c r="G2128" s="1446"/>
      <c r="H2128" s="1446">
        <v>0.125</v>
      </c>
      <c r="I2128" s="1448">
        <f t="shared" si="87"/>
        <v>1.26</v>
      </c>
      <c r="J2128" s="1449"/>
      <c r="K2128" s="1481"/>
      <c r="L2128" s="1481"/>
      <c r="M2128" s="1481"/>
      <c r="N2128" s="1481"/>
      <c r="O2128" s="1481"/>
      <c r="P2128" s="1481"/>
      <c r="Q2128" s="1481"/>
      <c r="R2128" s="1481"/>
      <c r="S2128" s="1481"/>
      <c r="T2128" s="1481"/>
      <c r="U2128" s="1481"/>
      <c r="V2128" s="1481"/>
      <c r="W2128" s="1481"/>
      <c r="X2128" s="1481"/>
      <c r="Y2128" s="1481"/>
      <c r="Z2128" s="1481"/>
      <c r="AA2128" s="1481"/>
      <c r="AB2128" s="1481"/>
      <c r="AC2128" s="1481"/>
      <c r="AD2128" s="1481"/>
      <c r="AE2128" s="1481"/>
      <c r="AF2128" s="1481"/>
      <c r="AG2128" s="1481"/>
    </row>
    <row r="2129" spans="1:33" ht="15.75" customHeight="1">
      <c r="A2129" s="1451"/>
      <c r="B2129" s="1444" t="s">
        <v>3461</v>
      </c>
      <c r="C2129" s="1484"/>
      <c r="D2129" s="1484"/>
      <c r="E2129" s="1484"/>
      <c r="F2129" s="1446"/>
      <c r="G2129" s="1446"/>
      <c r="H2129" s="1446"/>
      <c r="I2129" s="1448">
        <f t="shared" si="87"/>
        <v>0</v>
      </c>
      <c r="J2129" s="1475"/>
      <c r="K2129" s="1439"/>
      <c r="L2129" s="1439"/>
      <c r="M2129" s="1439"/>
      <c r="N2129" s="1439"/>
      <c r="O2129" s="1439"/>
      <c r="P2129" s="1439"/>
      <c r="Q2129" s="1439"/>
      <c r="R2129" s="1439"/>
      <c r="S2129" s="1439"/>
      <c r="T2129" s="1439"/>
      <c r="U2129" s="1439"/>
      <c r="V2129" s="1439"/>
      <c r="W2129" s="1439"/>
      <c r="X2129" s="1439"/>
      <c r="Y2129" s="1439"/>
      <c r="Z2129" s="1439"/>
      <c r="AA2129" s="1439"/>
      <c r="AB2129" s="1439"/>
      <c r="AC2129" s="1439"/>
      <c r="AD2129" s="1439"/>
      <c r="AE2129" s="1439"/>
      <c r="AF2129" s="1439"/>
      <c r="AG2129" s="1439"/>
    </row>
    <row r="2130" spans="1:33" ht="15.75" customHeight="1">
      <c r="A2130" s="1486"/>
      <c r="B2130" s="1487" t="s">
        <v>7488</v>
      </c>
      <c r="C2130" s="1488">
        <v>1</v>
      </c>
      <c r="D2130" s="1488" t="s">
        <v>3364</v>
      </c>
      <c r="E2130" s="1488">
        <v>1</v>
      </c>
      <c r="F2130" s="1454">
        <v>3.43</v>
      </c>
      <c r="G2130" s="1454"/>
      <c r="H2130" s="1454">
        <v>0.125</v>
      </c>
      <c r="I2130" s="1448">
        <f t="shared" si="87"/>
        <v>0.43</v>
      </c>
      <c r="J2130" s="1489"/>
      <c r="K2130" s="1490"/>
      <c r="L2130" s="1490"/>
      <c r="M2130" s="1490"/>
      <c r="N2130" s="1490"/>
      <c r="O2130" s="1490"/>
      <c r="P2130" s="1490"/>
      <c r="Q2130" s="1490"/>
      <c r="R2130" s="1490"/>
      <c r="S2130" s="1490"/>
      <c r="T2130" s="1490"/>
      <c r="U2130" s="1490"/>
      <c r="V2130" s="1490"/>
      <c r="W2130" s="1490"/>
      <c r="X2130" s="1490"/>
      <c r="Y2130" s="1490"/>
      <c r="Z2130" s="1490"/>
      <c r="AA2130" s="1490"/>
      <c r="AB2130" s="1490"/>
      <c r="AC2130" s="1490"/>
      <c r="AD2130" s="1490"/>
      <c r="AE2130" s="1490"/>
      <c r="AF2130" s="1490"/>
      <c r="AG2130" s="1490"/>
    </row>
    <row r="2131" spans="1:33" ht="15.75" customHeight="1">
      <c r="A2131" s="1448"/>
      <c r="B2131" s="1480" t="s">
        <v>7084</v>
      </c>
      <c r="C2131" s="1445">
        <v>3</v>
      </c>
      <c r="D2131" s="1447" t="s">
        <v>3364</v>
      </c>
      <c r="E2131" s="1488">
        <v>1</v>
      </c>
      <c r="F2131" s="1454">
        <v>8.17</v>
      </c>
      <c r="G2131" s="1446"/>
      <c r="H2131" s="1446">
        <v>0.125</v>
      </c>
      <c r="I2131" s="1448">
        <f t="shared" si="87"/>
        <v>3.06</v>
      </c>
      <c r="J2131" s="1449"/>
      <c r="K2131" s="1481"/>
      <c r="L2131" s="1481"/>
      <c r="M2131" s="1481"/>
      <c r="N2131" s="1481"/>
      <c r="O2131" s="1481"/>
      <c r="P2131" s="1481"/>
      <c r="Q2131" s="1481"/>
      <c r="R2131" s="1481"/>
      <c r="S2131" s="1481"/>
      <c r="T2131" s="1481"/>
      <c r="U2131" s="1481"/>
      <c r="V2131" s="1481"/>
      <c r="W2131" s="1481"/>
      <c r="X2131" s="1481"/>
      <c r="Y2131" s="1481"/>
      <c r="Z2131" s="1481"/>
      <c r="AA2131" s="1481"/>
      <c r="AB2131" s="1481"/>
      <c r="AC2131" s="1481"/>
      <c r="AD2131" s="1481"/>
      <c r="AE2131" s="1481"/>
      <c r="AF2131" s="1481"/>
      <c r="AG2131" s="1481"/>
    </row>
    <row r="2132" spans="1:33" ht="15.75" customHeight="1">
      <c r="A2132" s="1448"/>
      <c r="B2132" s="1480" t="s">
        <v>7085</v>
      </c>
      <c r="C2132" s="1445">
        <v>2</v>
      </c>
      <c r="D2132" s="1447" t="s">
        <v>3364</v>
      </c>
      <c r="E2132" s="1488">
        <v>1</v>
      </c>
      <c r="F2132" s="1454">
        <v>5.8849999999999998</v>
      </c>
      <c r="G2132" s="1446"/>
      <c r="H2132" s="1446">
        <v>0.125</v>
      </c>
      <c r="I2132" s="1448">
        <f t="shared" si="87"/>
        <v>1.47</v>
      </c>
      <c r="J2132" s="1449"/>
      <c r="K2132" s="1481"/>
      <c r="L2132" s="1481"/>
      <c r="M2132" s="1481"/>
      <c r="N2132" s="1481"/>
      <c r="O2132" s="1481"/>
      <c r="P2132" s="1481"/>
      <c r="Q2132" s="1481"/>
      <c r="R2132" s="1481"/>
      <c r="S2132" s="1481"/>
      <c r="T2132" s="1481"/>
      <c r="U2132" s="1481"/>
      <c r="V2132" s="1481"/>
      <c r="W2132" s="1481"/>
      <c r="X2132" s="1481"/>
      <c r="Y2132" s="1481"/>
      <c r="Z2132" s="1481"/>
      <c r="AA2132" s="1481"/>
      <c r="AB2132" s="1481"/>
      <c r="AC2132" s="1481"/>
      <c r="AD2132" s="1481"/>
      <c r="AE2132" s="1481"/>
      <c r="AF2132" s="1481"/>
      <c r="AG2132" s="1481"/>
    </row>
    <row r="2133" spans="1:33" ht="15.75" customHeight="1">
      <c r="A2133" s="1448"/>
      <c r="B2133" s="1482" t="s">
        <v>7489</v>
      </c>
      <c r="C2133" s="1445">
        <v>2</v>
      </c>
      <c r="D2133" s="1447" t="s">
        <v>3364</v>
      </c>
      <c r="E2133" s="1488">
        <v>1</v>
      </c>
      <c r="F2133" s="1454">
        <v>5.03</v>
      </c>
      <c r="G2133" s="1446"/>
      <c r="H2133" s="1446">
        <v>0.125</v>
      </c>
      <c r="I2133" s="1448">
        <f t="shared" si="87"/>
        <v>1.26</v>
      </c>
      <c r="J2133" s="1449"/>
      <c r="K2133" s="1481"/>
      <c r="L2133" s="1481"/>
      <c r="M2133" s="1481"/>
      <c r="N2133" s="1481"/>
      <c r="O2133" s="1481"/>
      <c r="P2133" s="1481"/>
      <c r="Q2133" s="1481"/>
      <c r="R2133" s="1481"/>
      <c r="S2133" s="1481"/>
      <c r="T2133" s="1481"/>
      <c r="U2133" s="1481"/>
      <c r="V2133" s="1481"/>
      <c r="W2133" s="1481"/>
      <c r="X2133" s="1481"/>
      <c r="Y2133" s="1481"/>
      <c r="Z2133" s="1481"/>
      <c r="AA2133" s="1481"/>
      <c r="AB2133" s="1481"/>
      <c r="AC2133" s="1481"/>
      <c r="AD2133" s="1481"/>
      <c r="AE2133" s="1481"/>
      <c r="AF2133" s="1481"/>
      <c r="AG2133" s="1481"/>
    </row>
    <row r="2134" spans="1:33" ht="15.75" customHeight="1">
      <c r="A2134" s="1448"/>
      <c r="B2134" s="1482" t="s">
        <v>7490</v>
      </c>
      <c r="C2134" s="1445">
        <v>2</v>
      </c>
      <c r="D2134" s="1447" t="s">
        <v>3364</v>
      </c>
      <c r="E2134" s="1488">
        <v>1</v>
      </c>
      <c r="F2134" s="1454">
        <v>4.96</v>
      </c>
      <c r="G2134" s="1446"/>
      <c r="H2134" s="1446">
        <v>0.125</v>
      </c>
      <c r="I2134" s="1448">
        <f t="shared" si="87"/>
        <v>1.24</v>
      </c>
      <c r="J2134" s="1449"/>
      <c r="K2134" s="1481"/>
      <c r="L2134" s="1481"/>
      <c r="M2134" s="1481"/>
      <c r="N2134" s="1481"/>
      <c r="O2134" s="1481"/>
      <c r="P2134" s="1481"/>
      <c r="Q2134" s="1481"/>
      <c r="R2134" s="1481"/>
      <c r="S2134" s="1481"/>
      <c r="T2134" s="1481"/>
      <c r="U2134" s="1481"/>
      <c r="V2134" s="1481"/>
      <c r="W2134" s="1481"/>
      <c r="X2134" s="1481"/>
      <c r="Y2134" s="1481"/>
      <c r="Z2134" s="1481"/>
      <c r="AA2134" s="1481"/>
      <c r="AB2134" s="1481"/>
      <c r="AC2134" s="1481"/>
      <c r="AD2134" s="1481"/>
      <c r="AE2134" s="1481"/>
      <c r="AF2134" s="1481"/>
      <c r="AG2134" s="1481"/>
    </row>
    <row r="2135" spans="1:33" ht="15.75" customHeight="1">
      <c r="A2135" s="1448"/>
      <c r="B2135" s="1480" t="s">
        <v>7087</v>
      </c>
      <c r="C2135" s="1445">
        <v>2</v>
      </c>
      <c r="D2135" s="1447" t="s">
        <v>3364</v>
      </c>
      <c r="E2135" s="1488">
        <v>1</v>
      </c>
      <c r="F2135" s="1454">
        <v>4.57</v>
      </c>
      <c r="G2135" s="1446"/>
      <c r="H2135" s="1446">
        <v>0.125</v>
      </c>
      <c r="I2135" s="1448">
        <f t="shared" si="87"/>
        <v>1.1399999999999999</v>
      </c>
      <c r="J2135" s="1449"/>
      <c r="K2135" s="1481"/>
      <c r="L2135" s="1481"/>
      <c r="M2135" s="1481"/>
      <c r="N2135" s="1481"/>
      <c r="O2135" s="1481"/>
      <c r="P2135" s="1481"/>
      <c r="Q2135" s="1481"/>
      <c r="R2135" s="1481"/>
      <c r="S2135" s="1481"/>
      <c r="T2135" s="1481"/>
      <c r="U2135" s="1481"/>
      <c r="V2135" s="1481"/>
      <c r="W2135" s="1481"/>
      <c r="X2135" s="1481"/>
      <c r="Y2135" s="1481"/>
      <c r="Z2135" s="1481"/>
      <c r="AA2135" s="1481"/>
      <c r="AB2135" s="1481"/>
      <c r="AC2135" s="1481"/>
      <c r="AD2135" s="1481"/>
      <c r="AE2135" s="1481"/>
      <c r="AF2135" s="1481"/>
      <c r="AG2135" s="1481"/>
    </row>
    <row r="2136" spans="1:33" ht="15.75" customHeight="1">
      <c r="A2136" s="1448"/>
      <c r="B2136" s="1480" t="s">
        <v>7088</v>
      </c>
      <c r="C2136" s="1445">
        <v>2</v>
      </c>
      <c r="D2136" s="1447" t="s">
        <v>3364</v>
      </c>
      <c r="E2136" s="1488">
        <v>1</v>
      </c>
      <c r="F2136" s="1454">
        <v>4.57</v>
      </c>
      <c r="G2136" s="1446"/>
      <c r="H2136" s="1446">
        <v>0.125</v>
      </c>
      <c r="I2136" s="1448">
        <f t="shared" si="87"/>
        <v>1.1399999999999999</v>
      </c>
      <c r="J2136" s="1449"/>
      <c r="K2136" s="1481"/>
      <c r="L2136" s="1481"/>
      <c r="M2136" s="1481"/>
      <c r="N2136" s="1481"/>
      <c r="O2136" s="1481"/>
      <c r="P2136" s="1481"/>
      <c r="Q2136" s="1481"/>
      <c r="R2136" s="1481"/>
      <c r="S2136" s="1481"/>
      <c r="T2136" s="1481"/>
      <c r="U2136" s="1481"/>
      <c r="V2136" s="1481"/>
      <c r="W2136" s="1481"/>
      <c r="X2136" s="1481"/>
      <c r="Y2136" s="1481"/>
      <c r="Z2136" s="1481"/>
      <c r="AA2136" s="1481"/>
      <c r="AB2136" s="1481"/>
      <c r="AC2136" s="1481"/>
      <c r="AD2136" s="1481"/>
      <c r="AE2136" s="1481"/>
      <c r="AF2136" s="1481"/>
      <c r="AG2136" s="1481"/>
    </row>
    <row r="2137" spans="1:33" ht="15.75" customHeight="1">
      <c r="A2137" s="1448"/>
      <c r="B2137" s="1480" t="s">
        <v>6689</v>
      </c>
      <c r="C2137" s="1445">
        <v>2</v>
      </c>
      <c r="D2137" s="1447" t="s">
        <v>3364</v>
      </c>
      <c r="E2137" s="1488">
        <v>1</v>
      </c>
      <c r="F2137" s="1454">
        <v>4.57</v>
      </c>
      <c r="G2137" s="1446"/>
      <c r="H2137" s="1446">
        <v>0.125</v>
      </c>
      <c r="I2137" s="1448">
        <f t="shared" si="87"/>
        <v>1.1399999999999999</v>
      </c>
      <c r="J2137" s="1449"/>
      <c r="K2137" s="1481"/>
      <c r="L2137" s="1481"/>
      <c r="M2137" s="1481"/>
      <c r="N2137" s="1481"/>
      <c r="O2137" s="1481"/>
      <c r="P2137" s="1481"/>
      <c r="Q2137" s="1481"/>
      <c r="R2137" s="1481"/>
      <c r="S2137" s="1481"/>
      <c r="T2137" s="1481"/>
      <c r="U2137" s="1481"/>
      <c r="V2137" s="1481"/>
      <c r="W2137" s="1481"/>
      <c r="X2137" s="1481"/>
      <c r="Y2137" s="1481"/>
      <c r="Z2137" s="1481"/>
      <c r="AA2137" s="1481"/>
      <c r="AB2137" s="1481"/>
      <c r="AC2137" s="1481"/>
      <c r="AD2137" s="1481"/>
      <c r="AE2137" s="1481"/>
      <c r="AF2137" s="1481"/>
      <c r="AG2137" s="1481"/>
    </row>
    <row r="2138" spans="1:33" ht="15.75" customHeight="1">
      <c r="A2138" s="1448"/>
      <c r="B2138" s="1480" t="s">
        <v>7089</v>
      </c>
      <c r="C2138" s="1445">
        <v>2</v>
      </c>
      <c r="D2138" s="1447" t="s">
        <v>3364</v>
      </c>
      <c r="E2138" s="1488">
        <v>1</v>
      </c>
      <c r="F2138" s="1454">
        <v>4.57</v>
      </c>
      <c r="G2138" s="1446"/>
      <c r="H2138" s="1446">
        <v>0.125</v>
      </c>
      <c r="I2138" s="1448">
        <f t="shared" si="87"/>
        <v>1.1399999999999999</v>
      </c>
      <c r="J2138" s="1449"/>
      <c r="K2138" s="1481"/>
      <c r="L2138" s="1481"/>
      <c r="M2138" s="1481"/>
      <c r="N2138" s="1481"/>
      <c r="O2138" s="1481"/>
      <c r="P2138" s="1481"/>
      <c r="Q2138" s="1481"/>
      <c r="R2138" s="1481"/>
      <c r="S2138" s="1481"/>
      <c r="T2138" s="1481"/>
      <c r="U2138" s="1481"/>
      <c r="V2138" s="1481"/>
      <c r="W2138" s="1481"/>
      <c r="X2138" s="1481"/>
      <c r="Y2138" s="1481"/>
      <c r="Z2138" s="1481"/>
      <c r="AA2138" s="1481"/>
      <c r="AB2138" s="1481"/>
      <c r="AC2138" s="1481"/>
      <c r="AD2138" s="1481"/>
      <c r="AE2138" s="1481"/>
      <c r="AF2138" s="1481"/>
      <c r="AG2138" s="1481"/>
    </row>
    <row r="2139" spans="1:33" ht="15.75" customHeight="1">
      <c r="A2139" s="1451"/>
      <c r="B2139" s="1444" t="s">
        <v>7090</v>
      </c>
      <c r="C2139" s="1484"/>
      <c r="D2139" s="1484"/>
      <c r="E2139" s="1484"/>
      <c r="F2139" s="1446"/>
      <c r="G2139" s="1446"/>
      <c r="H2139" s="1446"/>
      <c r="I2139" s="1448">
        <f t="shared" si="87"/>
        <v>0</v>
      </c>
      <c r="J2139" s="1475"/>
      <c r="K2139" s="1439"/>
      <c r="L2139" s="1439"/>
      <c r="M2139" s="1439"/>
      <c r="N2139" s="1439"/>
      <c r="O2139" s="1466"/>
      <c r="P2139" s="1466"/>
      <c r="Q2139" s="1466"/>
      <c r="R2139" s="1466"/>
      <c r="S2139" s="1466"/>
      <c r="T2139" s="1466"/>
      <c r="U2139" s="1466"/>
      <c r="V2139" s="1466"/>
      <c r="W2139" s="1466"/>
      <c r="X2139" s="1466"/>
      <c r="Y2139" s="1466"/>
      <c r="Z2139" s="1466"/>
      <c r="AA2139" s="1466"/>
      <c r="AB2139" s="1466"/>
      <c r="AC2139" s="1466"/>
      <c r="AD2139" s="1466"/>
      <c r="AE2139" s="1466"/>
      <c r="AF2139" s="1466"/>
      <c r="AG2139" s="1466"/>
    </row>
    <row r="2140" spans="1:33" ht="15.75" customHeight="1">
      <c r="A2140" s="1448"/>
      <c r="B2140" s="1482" t="s">
        <v>7491</v>
      </c>
      <c r="C2140" s="1445">
        <v>4</v>
      </c>
      <c r="D2140" s="1447" t="s">
        <v>3364</v>
      </c>
      <c r="E2140" s="1445">
        <v>1</v>
      </c>
      <c r="F2140" s="1446">
        <v>5.0350000000000001</v>
      </c>
      <c r="G2140" s="1446"/>
      <c r="H2140" s="1446">
        <v>0.125</v>
      </c>
      <c r="I2140" s="1448">
        <f t="shared" si="87"/>
        <v>2.52</v>
      </c>
      <c r="J2140" s="1449"/>
      <c r="K2140" s="1481"/>
      <c r="L2140" s="1481"/>
      <c r="M2140" s="1481"/>
      <c r="N2140" s="1481"/>
      <c r="O2140" s="1481"/>
      <c r="P2140" s="1481"/>
      <c r="Q2140" s="1481"/>
      <c r="R2140" s="1481"/>
      <c r="S2140" s="1481"/>
      <c r="T2140" s="1481"/>
      <c r="U2140" s="1481"/>
      <c r="V2140" s="1481"/>
      <c r="W2140" s="1481"/>
      <c r="X2140" s="1481"/>
      <c r="Y2140" s="1481"/>
      <c r="Z2140" s="1481"/>
      <c r="AA2140" s="1481"/>
      <c r="AB2140" s="1481"/>
      <c r="AC2140" s="1481"/>
      <c r="AD2140" s="1481"/>
      <c r="AE2140" s="1481"/>
      <c r="AF2140" s="1481"/>
      <c r="AG2140" s="1481"/>
    </row>
    <row r="2141" spans="1:33" ht="15.75" customHeight="1">
      <c r="A2141" s="1448"/>
      <c r="B2141" s="1480" t="s">
        <v>7065</v>
      </c>
      <c r="C2141" s="1445">
        <v>2</v>
      </c>
      <c r="D2141" s="1447" t="s">
        <v>3364</v>
      </c>
      <c r="E2141" s="1445">
        <v>1</v>
      </c>
      <c r="F2141" s="1446">
        <v>5.0350000000000001</v>
      </c>
      <c r="G2141" s="1446"/>
      <c r="H2141" s="1446">
        <v>0.125</v>
      </c>
      <c r="I2141" s="1448">
        <f t="shared" si="87"/>
        <v>1.26</v>
      </c>
      <c r="J2141" s="1449"/>
      <c r="K2141" s="1481"/>
      <c r="L2141" s="1481"/>
      <c r="M2141" s="1481"/>
      <c r="N2141" s="1481"/>
      <c r="O2141" s="1481"/>
      <c r="P2141" s="1481"/>
      <c r="Q2141" s="1481"/>
      <c r="R2141" s="1481"/>
      <c r="S2141" s="1481"/>
      <c r="T2141" s="1481"/>
      <c r="U2141" s="1481"/>
      <c r="V2141" s="1481"/>
      <c r="W2141" s="1481"/>
      <c r="X2141" s="1481"/>
      <c r="Y2141" s="1481"/>
      <c r="Z2141" s="1481"/>
      <c r="AA2141" s="1481"/>
      <c r="AB2141" s="1481"/>
      <c r="AC2141" s="1481"/>
      <c r="AD2141" s="1481"/>
      <c r="AE2141" s="1481"/>
      <c r="AF2141" s="1481"/>
      <c r="AG2141" s="1481"/>
    </row>
    <row r="2142" spans="1:33" ht="15.75" customHeight="1">
      <c r="A2142" s="1448"/>
      <c r="B2142" s="1480" t="s">
        <v>7092</v>
      </c>
      <c r="C2142" s="1445">
        <v>2</v>
      </c>
      <c r="D2142" s="1447" t="s">
        <v>3364</v>
      </c>
      <c r="E2142" s="1445">
        <v>1</v>
      </c>
      <c r="F2142" s="1446">
        <f>4.57+3.94</f>
        <v>8.51</v>
      </c>
      <c r="G2142" s="1446"/>
      <c r="H2142" s="1446">
        <v>0.125</v>
      </c>
      <c r="I2142" s="1448">
        <f t="shared" si="87"/>
        <v>2.13</v>
      </c>
      <c r="J2142" s="1449"/>
      <c r="K2142" s="1481"/>
      <c r="L2142" s="1481"/>
      <c r="M2142" s="1481"/>
      <c r="N2142" s="1481"/>
      <c r="O2142" s="1481"/>
      <c r="P2142" s="1481"/>
      <c r="Q2142" s="1481"/>
      <c r="R2142" s="1481"/>
      <c r="S2142" s="1481"/>
      <c r="T2142" s="1481"/>
      <c r="U2142" s="1481"/>
      <c r="V2142" s="1481"/>
      <c r="W2142" s="1481"/>
      <c r="X2142" s="1481"/>
      <c r="Y2142" s="1481"/>
      <c r="Z2142" s="1481"/>
      <c r="AA2142" s="1481"/>
      <c r="AB2142" s="1481"/>
      <c r="AC2142" s="1481"/>
      <c r="AD2142" s="1481"/>
      <c r="AE2142" s="1481"/>
      <c r="AF2142" s="1481"/>
      <c r="AG2142" s="1481"/>
    </row>
    <row r="2143" spans="1:33" ht="15.75" customHeight="1">
      <c r="A2143" s="1448"/>
      <c r="B2143" s="1482" t="s">
        <v>7492</v>
      </c>
      <c r="C2143" s="1445">
        <v>2</v>
      </c>
      <c r="D2143" s="1447" t="s">
        <v>3364</v>
      </c>
      <c r="E2143" s="1445">
        <v>1</v>
      </c>
      <c r="F2143" s="1446">
        <v>4.57</v>
      </c>
      <c r="G2143" s="1446"/>
      <c r="H2143" s="1446">
        <v>0.125</v>
      </c>
      <c r="I2143" s="1448">
        <f t="shared" si="87"/>
        <v>1.1399999999999999</v>
      </c>
      <c r="J2143" s="1449"/>
      <c r="K2143" s="1481"/>
      <c r="L2143" s="1481"/>
      <c r="M2143" s="1481"/>
      <c r="N2143" s="1481"/>
      <c r="O2143" s="1481"/>
      <c r="P2143" s="1481"/>
      <c r="Q2143" s="1481"/>
      <c r="R2143" s="1481"/>
      <c r="S2143" s="1481"/>
      <c r="T2143" s="1481"/>
      <c r="U2143" s="1481"/>
      <c r="V2143" s="1481"/>
      <c r="W2143" s="1481"/>
      <c r="X2143" s="1481"/>
      <c r="Y2143" s="1481"/>
      <c r="Z2143" s="1481"/>
      <c r="AA2143" s="1481"/>
      <c r="AB2143" s="1481"/>
      <c r="AC2143" s="1481"/>
      <c r="AD2143" s="1481"/>
      <c r="AE2143" s="1481"/>
      <c r="AF2143" s="1481"/>
      <c r="AG2143" s="1481"/>
    </row>
    <row r="2144" spans="1:33" ht="15.75" customHeight="1">
      <c r="A2144" s="1448"/>
      <c r="B2144" s="1482" t="s">
        <v>7493</v>
      </c>
      <c r="C2144" s="1445">
        <v>2</v>
      </c>
      <c r="D2144" s="1447" t="s">
        <v>3364</v>
      </c>
      <c r="E2144" s="1445">
        <v>1</v>
      </c>
      <c r="F2144" s="1446">
        <v>4.96</v>
      </c>
      <c r="G2144" s="1446"/>
      <c r="H2144" s="1446">
        <v>0.125</v>
      </c>
      <c r="I2144" s="1448">
        <f t="shared" si="87"/>
        <v>1.24</v>
      </c>
      <c r="J2144" s="1449"/>
      <c r="K2144" s="1481"/>
      <c r="L2144" s="1481"/>
      <c r="M2144" s="1481"/>
      <c r="N2144" s="1481"/>
      <c r="O2144" s="1481"/>
      <c r="P2144" s="1481"/>
      <c r="Q2144" s="1481"/>
      <c r="R2144" s="1481"/>
      <c r="S2144" s="1481"/>
      <c r="T2144" s="1481"/>
      <c r="U2144" s="1481"/>
      <c r="V2144" s="1481"/>
      <c r="W2144" s="1481"/>
      <c r="X2144" s="1481"/>
      <c r="Y2144" s="1481"/>
      <c r="Z2144" s="1481"/>
      <c r="AA2144" s="1481"/>
      <c r="AB2144" s="1481"/>
      <c r="AC2144" s="1481"/>
      <c r="AD2144" s="1481"/>
      <c r="AE2144" s="1481"/>
      <c r="AF2144" s="1481"/>
      <c r="AG2144" s="1481"/>
    </row>
    <row r="2145" spans="1:33" ht="15.75" customHeight="1">
      <c r="A2145" s="1448"/>
      <c r="B2145" s="1471" t="s">
        <v>7077</v>
      </c>
      <c r="C2145" s="1445"/>
      <c r="D2145" s="1447"/>
      <c r="E2145" s="1445"/>
      <c r="F2145" s="1446"/>
      <c r="G2145" s="1446"/>
      <c r="H2145" s="1446"/>
      <c r="I2145" s="1448">
        <f t="shared" si="87"/>
        <v>0</v>
      </c>
      <c r="J2145" s="1449"/>
      <c r="K2145" s="1481"/>
      <c r="L2145" s="1481"/>
      <c r="M2145" s="1481"/>
      <c r="N2145" s="1481"/>
      <c r="O2145" s="1481"/>
      <c r="P2145" s="1481"/>
      <c r="Q2145" s="1481"/>
      <c r="R2145" s="1481"/>
      <c r="S2145" s="1481"/>
      <c r="T2145" s="1481"/>
      <c r="U2145" s="1481"/>
      <c r="V2145" s="1481"/>
      <c r="W2145" s="1481"/>
      <c r="X2145" s="1481"/>
      <c r="Y2145" s="1481"/>
      <c r="Z2145" s="1481"/>
      <c r="AA2145" s="1481"/>
      <c r="AB2145" s="1481"/>
      <c r="AC2145" s="1481"/>
      <c r="AD2145" s="1481"/>
      <c r="AE2145" s="1481"/>
      <c r="AF2145" s="1481"/>
      <c r="AG2145" s="1481"/>
    </row>
    <row r="2146" spans="1:33" ht="15.75" customHeight="1">
      <c r="A2146" s="1448"/>
      <c r="B2146" s="1482" t="s">
        <v>7215</v>
      </c>
      <c r="C2146" s="1445">
        <v>4</v>
      </c>
      <c r="D2146" s="1447" t="s">
        <v>3364</v>
      </c>
      <c r="E2146" s="1445">
        <v>1</v>
      </c>
      <c r="F2146" s="1446">
        <v>2.52</v>
      </c>
      <c r="G2146" s="1446"/>
      <c r="H2146" s="1446">
        <v>0.125</v>
      </c>
      <c r="I2146" s="1448">
        <f t="shared" si="87"/>
        <v>1.26</v>
      </c>
      <c r="J2146" s="1449"/>
      <c r="K2146" s="1481"/>
      <c r="L2146" s="1481"/>
      <c r="M2146" s="1481"/>
      <c r="N2146" s="1481"/>
      <c r="O2146" s="1481"/>
      <c r="P2146" s="1481"/>
      <c r="Q2146" s="1481"/>
      <c r="R2146" s="1481"/>
      <c r="S2146" s="1481"/>
      <c r="T2146" s="1481"/>
      <c r="U2146" s="1481"/>
      <c r="V2146" s="1481"/>
      <c r="W2146" s="1481"/>
      <c r="X2146" s="1481"/>
      <c r="Y2146" s="1481"/>
      <c r="Z2146" s="1481"/>
      <c r="AA2146" s="1481"/>
      <c r="AB2146" s="1481"/>
      <c r="AC2146" s="1481"/>
      <c r="AD2146" s="1481"/>
      <c r="AE2146" s="1481"/>
      <c r="AF2146" s="1481"/>
      <c r="AG2146" s="1481"/>
    </row>
    <row r="2147" spans="1:33" ht="15.75" customHeight="1">
      <c r="A2147" s="1448"/>
      <c r="B2147" s="1482" t="s">
        <v>7494</v>
      </c>
      <c r="C2147" s="1445">
        <v>4</v>
      </c>
      <c r="D2147" s="1447" t="s">
        <v>3364</v>
      </c>
      <c r="E2147" s="1445">
        <v>1</v>
      </c>
      <c r="F2147" s="1446">
        <v>2.4</v>
      </c>
      <c r="G2147" s="1446"/>
      <c r="H2147" s="1446">
        <v>0.125</v>
      </c>
      <c r="I2147" s="1448">
        <f t="shared" si="87"/>
        <v>1.2</v>
      </c>
      <c r="J2147" s="1449"/>
      <c r="K2147" s="1481"/>
      <c r="L2147" s="1481"/>
      <c r="M2147" s="1481"/>
      <c r="N2147" s="1481"/>
      <c r="O2147" s="1481"/>
      <c r="P2147" s="1481"/>
      <c r="Q2147" s="1481"/>
      <c r="R2147" s="1481"/>
      <c r="S2147" s="1481"/>
      <c r="T2147" s="1481"/>
      <c r="U2147" s="1481"/>
      <c r="V2147" s="1481"/>
      <c r="W2147" s="1481"/>
      <c r="X2147" s="1481"/>
      <c r="Y2147" s="1481"/>
      <c r="Z2147" s="1481"/>
      <c r="AA2147" s="1481"/>
      <c r="AB2147" s="1481"/>
      <c r="AC2147" s="1481"/>
      <c r="AD2147" s="1481"/>
      <c r="AE2147" s="1481"/>
      <c r="AF2147" s="1481"/>
      <c r="AG2147" s="1481"/>
    </row>
    <row r="2148" spans="1:33" ht="15.75" customHeight="1">
      <c r="A2148" s="1448"/>
      <c r="B2148" s="1482" t="s">
        <v>6760</v>
      </c>
      <c r="C2148" s="1445">
        <v>2</v>
      </c>
      <c r="D2148" s="1447" t="s">
        <v>3364</v>
      </c>
      <c r="E2148" s="1445">
        <v>1</v>
      </c>
      <c r="F2148" s="1446">
        <v>9.0449999999999999</v>
      </c>
      <c r="G2148" s="1446"/>
      <c r="H2148" s="1446">
        <v>0.125</v>
      </c>
      <c r="I2148" s="1448">
        <f t="shared" si="87"/>
        <v>2.2599999999999998</v>
      </c>
      <c r="J2148" s="1449"/>
      <c r="K2148" s="1481"/>
      <c r="L2148" s="1481"/>
      <c r="M2148" s="1481"/>
      <c r="N2148" s="1481"/>
      <c r="O2148" s="1481"/>
      <c r="P2148" s="1481"/>
      <c r="Q2148" s="1481"/>
      <c r="R2148" s="1481"/>
      <c r="S2148" s="1481"/>
      <c r="T2148" s="1481"/>
      <c r="U2148" s="1481"/>
      <c r="V2148" s="1481"/>
      <c r="W2148" s="1481"/>
      <c r="X2148" s="1481"/>
      <c r="Y2148" s="1481"/>
      <c r="Z2148" s="1481"/>
      <c r="AA2148" s="1481"/>
      <c r="AB2148" s="1481"/>
      <c r="AC2148" s="1481"/>
      <c r="AD2148" s="1481"/>
      <c r="AE2148" s="1481"/>
      <c r="AF2148" s="1481"/>
      <c r="AG2148" s="1481"/>
    </row>
    <row r="2149" spans="1:33" ht="15.75" customHeight="1">
      <c r="A2149" s="1448"/>
      <c r="B2149" s="1480" t="s">
        <v>7093</v>
      </c>
      <c r="C2149" s="1445">
        <v>1</v>
      </c>
      <c r="D2149" s="1447" t="s">
        <v>3364</v>
      </c>
      <c r="E2149" s="1445">
        <v>1</v>
      </c>
      <c r="F2149" s="1446">
        <v>10.475</v>
      </c>
      <c r="G2149" s="1446"/>
      <c r="H2149" s="1446">
        <v>0.125</v>
      </c>
      <c r="I2149" s="1448">
        <f t="shared" si="87"/>
        <v>1.31</v>
      </c>
      <c r="J2149" s="1449"/>
      <c r="K2149" s="1481"/>
      <c r="L2149" s="1481"/>
      <c r="M2149" s="1481"/>
      <c r="N2149" s="1481"/>
      <c r="O2149" s="1481"/>
      <c r="P2149" s="1481"/>
      <c r="Q2149" s="1481"/>
      <c r="R2149" s="1481"/>
      <c r="S2149" s="1481"/>
      <c r="T2149" s="1481"/>
      <c r="U2149" s="1481"/>
      <c r="V2149" s="1481"/>
      <c r="W2149" s="1481"/>
      <c r="X2149" s="1481"/>
      <c r="Y2149" s="1481"/>
      <c r="Z2149" s="1481"/>
      <c r="AA2149" s="1481"/>
      <c r="AB2149" s="1481"/>
      <c r="AC2149" s="1481"/>
      <c r="AD2149" s="1481"/>
      <c r="AE2149" s="1481"/>
      <c r="AF2149" s="1481"/>
      <c r="AG2149" s="1481"/>
    </row>
    <row r="2150" spans="1:33" ht="15.75" customHeight="1">
      <c r="A2150" s="1538"/>
      <c r="B2150" s="1539" t="s">
        <v>3486</v>
      </c>
      <c r="C2150" s="1540"/>
      <c r="D2150" s="1540"/>
      <c r="E2150" s="1540"/>
      <c r="F2150" s="1540"/>
      <c r="G2150" s="1540"/>
      <c r="H2150" s="1541"/>
      <c r="I2150" s="1448">
        <f t="shared" si="87"/>
        <v>0</v>
      </c>
      <c r="J2150" s="1540"/>
      <c r="K2150" s="1542"/>
      <c r="L2150" s="1542"/>
      <c r="M2150" s="1542"/>
      <c r="N2150" s="1542"/>
      <c r="O2150" s="1542"/>
      <c r="P2150" s="1542"/>
      <c r="Q2150" s="1542"/>
      <c r="R2150" s="1542"/>
      <c r="S2150" s="1542"/>
      <c r="T2150" s="1542"/>
      <c r="U2150" s="1542"/>
      <c r="V2150" s="1542"/>
      <c r="W2150" s="1542"/>
      <c r="X2150" s="1542"/>
      <c r="Y2150" s="1542"/>
      <c r="Z2150" s="1542"/>
      <c r="AA2150" s="1542"/>
      <c r="AB2150" s="1542"/>
      <c r="AC2150" s="1542"/>
      <c r="AD2150" s="1542"/>
      <c r="AE2150" s="1542"/>
      <c r="AF2150" s="1542"/>
      <c r="AG2150" s="1542"/>
    </row>
    <row r="2151" spans="1:33" ht="15.75" customHeight="1">
      <c r="A2151" s="1443"/>
      <c r="B2151" s="1450" t="s">
        <v>7049</v>
      </c>
      <c r="C2151" s="1445">
        <v>2</v>
      </c>
      <c r="D2151" s="1445" t="s">
        <v>3364</v>
      </c>
      <c r="E2151" s="1445">
        <v>2</v>
      </c>
      <c r="F2151" s="1446">
        <v>5.82</v>
      </c>
      <c r="G2151" s="1446"/>
      <c r="H2151" s="1447">
        <v>0.2</v>
      </c>
      <c r="I2151" s="1448">
        <f t="shared" si="87"/>
        <v>4.66</v>
      </c>
      <c r="J2151" s="1449"/>
      <c r="K2151" s="1439"/>
      <c r="L2151" s="1439"/>
      <c r="M2151" s="1439"/>
      <c r="N2151" s="1439"/>
      <c r="O2151" s="1439"/>
      <c r="P2151" s="1439"/>
      <c r="Q2151" s="1439"/>
      <c r="R2151" s="1439"/>
      <c r="S2151" s="1439"/>
      <c r="T2151" s="1439"/>
      <c r="U2151" s="1439"/>
      <c r="V2151" s="1439"/>
      <c r="W2151" s="1439"/>
      <c r="X2151" s="1439"/>
      <c r="Y2151" s="1439"/>
      <c r="Z2151" s="1439"/>
      <c r="AA2151" s="1439"/>
      <c r="AB2151" s="1439"/>
      <c r="AC2151" s="1439"/>
      <c r="AD2151" s="1439"/>
      <c r="AE2151" s="1439"/>
      <c r="AF2151" s="1439"/>
      <c r="AG2151" s="1439"/>
    </row>
    <row r="2152" spans="1:33" ht="15.75" customHeight="1">
      <c r="A2152" s="1443"/>
      <c r="B2152" s="1450" t="s">
        <v>3391</v>
      </c>
      <c r="C2152" s="1445">
        <v>1</v>
      </c>
      <c r="D2152" s="1445" t="s">
        <v>3364</v>
      </c>
      <c r="E2152" s="1445">
        <v>2</v>
      </c>
      <c r="F2152" s="1446">
        <v>3</v>
      </c>
      <c r="G2152" s="1446"/>
      <c r="H2152" s="1447">
        <v>1.5</v>
      </c>
      <c r="I2152" s="1448">
        <f t="shared" si="87"/>
        <v>9</v>
      </c>
      <c r="J2152" s="1449"/>
      <c r="K2152" s="1439"/>
      <c r="L2152" s="1439"/>
      <c r="M2152" s="1439"/>
      <c r="N2152" s="1439"/>
      <c r="O2152" s="1439"/>
      <c r="P2152" s="1439"/>
      <c r="Q2152" s="1439"/>
      <c r="R2152" s="1439"/>
      <c r="S2152" s="1439"/>
      <c r="T2152" s="1439"/>
      <c r="U2152" s="1439"/>
      <c r="V2152" s="1439"/>
      <c r="W2152" s="1439"/>
      <c r="X2152" s="1439"/>
      <c r="Y2152" s="1439"/>
      <c r="Z2152" s="1439"/>
      <c r="AA2152" s="1439"/>
      <c r="AB2152" s="1439"/>
      <c r="AC2152" s="1439"/>
      <c r="AD2152" s="1439"/>
      <c r="AE2152" s="1439"/>
      <c r="AF2152" s="1439"/>
      <c r="AG2152" s="1439"/>
    </row>
    <row r="2153" spans="1:33" ht="15.75" customHeight="1">
      <c r="A2153" s="1443"/>
      <c r="B2153" s="1450" t="s">
        <v>3392</v>
      </c>
      <c r="C2153" s="1445">
        <v>1</v>
      </c>
      <c r="D2153" s="1445" t="s">
        <v>3364</v>
      </c>
      <c r="E2153" s="1445">
        <v>2</v>
      </c>
      <c r="F2153" s="1446">
        <v>3.46</v>
      </c>
      <c r="G2153" s="1446"/>
      <c r="H2153" s="1447">
        <v>1.2</v>
      </c>
      <c r="I2153" s="1448">
        <f t="shared" si="87"/>
        <v>8.3000000000000007</v>
      </c>
      <c r="J2153" s="1449"/>
      <c r="K2153" s="1439"/>
      <c r="L2153" s="1439"/>
      <c r="M2153" s="1439"/>
      <c r="N2153" s="1439"/>
      <c r="O2153" s="1439"/>
      <c r="P2153" s="1439"/>
      <c r="Q2153" s="1439"/>
      <c r="R2153" s="1439"/>
      <c r="S2153" s="1439"/>
      <c r="T2153" s="1439"/>
      <c r="U2153" s="1439"/>
      <c r="V2153" s="1439"/>
      <c r="W2153" s="1439"/>
      <c r="X2153" s="1439"/>
      <c r="Y2153" s="1439"/>
      <c r="Z2153" s="1439"/>
      <c r="AA2153" s="1439"/>
      <c r="AB2153" s="1439"/>
      <c r="AC2153" s="1439"/>
      <c r="AD2153" s="1439"/>
      <c r="AE2153" s="1439"/>
      <c r="AF2153" s="1439"/>
      <c r="AG2153" s="1439"/>
    </row>
    <row r="2154" spans="1:33" ht="15.75" customHeight="1">
      <c r="A2154" s="1443"/>
      <c r="B2154" s="1450" t="s">
        <v>3393</v>
      </c>
      <c r="C2154" s="1457">
        <v>0.5</v>
      </c>
      <c r="D2154" s="1445" t="s">
        <v>3364</v>
      </c>
      <c r="E2154" s="1445">
        <v>22</v>
      </c>
      <c r="F2154" s="1446">
        <v>1.35</v>
      </c>
      <c r="G2154" s="1446"/>
      <c r="H2154" s="1447">
        <v>0.2</v>
      </c>
      <c r="I2154" s="1448">
        <f t="shared" ref="I2154:I2178" si="88">PRODUCT(C2154:H2154)</f>
        <v>2.97</v>
      </c>
      <c r="J2154" s="1449"/>
      <c r="K2154" s="1439"/>
      <c r="L2154" s="1439"/>
      <c r="M2154" s="1439"/>
      <c r="N2154" s="1439"/>
      <c r="O2154" s="1439"/>
      <c r="P2154" s="1439"/>
      <c r="Q2154" s="1439"/>
      <c r="R2154" s="1439"/>
      <c r="S2154" s="1439"/>
      <c r="T2154" s="1439"/>
      <c r="U2154" s="1439"/>
      <c r="V2154" s="1439"/>
      <c r="W2154" s="1439"/>
      <c r="X2154" s="1439"/>
      <c r="Y2154" s="1439"/>
      <c r="Z2154" s="1439"/>
      <c r="AA2154" s="1439"/>
      <c r="AB2154" s="1439"/>
      <c r="AC2154" s="1439"/>
      <c r="AD2154" s="1439"/>
      <c r="AE2154" s="1439"/>
      <c r="AF2154" s="1439"/>
      <c r="AG2154" s="1439"/>
    </row>
    <row r="2155" spans="1:33" ht="15.75" customHeight="1">
      <c r="A2155" s="1443"/>
      <c r="B2155" s="1456" t="s">
        <v>3488</v>
      </c>
      <c r="C2155" s="1445"/>
      <c r="D2155" s="1445"/>
      <c r="E2155" s="1445"/>
      <c r="F2155" s="1446"/>
      <c r="G2155" s="1446"/>
      <c r="H2155" s="1447"/>
      <c r="I2155" s="1448">
        <f t="shared" si="88"/>
        <v>0</v>
      </c>
      <c r="J2155" s="1449"/>
      <c r="K2155" s="1439"/>
      <c r="L2155" s="1439"/>
      <c r="M2155" s="1439"/>
      <c r="N2155" s="1439"/>
      <c r="O2155" s="1439"/>
      <c r="P2155" s="1439"/>
      <c r="Q2155" s="1439"/>
      <c r="R2155" s="1439"/>
      <c r="S2155" s="1439"/>
      <c r="T2155" s="1439"/>
      <c r="U2155" s="1439"/>
      <c r="V2155" s="1439"/>
      <c r="W2155" s="1439"/>
      <c r="X2155" s="1439"/>
      <c r="Y2155" s="1439"/>
      <c r="Z2155" s="1439"/>
      <c r="AA2155" s="1439"/>
      <c r="AB2155" s="1439"/>
      <c r="AC2155" s="1439"/>
      <c r="AD2155" s="1439"/>
      <c r="AE2155" s="1439"/>
      <c r="AF2155" s="1439"/>
      <c r="AG2155" s="1439"/>
    </row>
    <row r="2156" spans="1:33" ht="15.75" customHeight="1">
      <c r="A2156" s="1443"/>
      <c r="B2156" s="1450" t="s">
        <v>3390</v>
      </c>
      <c r="C2156" s="1445">
        <v>1</v>
      </c>
      <c r="D2156" s="1445" t="s">
        <v>3364</v>
      </c>
      <c r="E2156" s="1445">
        <v>2</v>
      </c>
      <c r="F2156" s="1446">
        <v>5.23</v>
      </c>
      <c r="G2156" s="1446">
        <v>1.5</v>
      </c>
      <c r="H2156" s="1447"/>
      <c r="I2156" s="1448">
        <f t="shared" si="88"/>
        <v>15.69</v>
      </c>
      <c r="J2156" s="1449"/>
      <c r="K2156" s="1439"/>
      <c r="L2156" s="1439"/>
      <c r="M2156" s="1439"/>
      <c r="N2156" s="1439"/>
      <c r="O2156" s="1439"/>
      <c r="P2156" s="1439"/>
      <c r="Q2156" s="1439"/>
      <c r="R2156" s="1439"/>
      <c r="S2156" s="1439"/>
      <c r="T2156" s="1439"/>
      <c r="U2156" s="1439"/>
      <c r="V2156" s="1439"/>
      <c r="W2156" s="1439"/>
      <c r="X2156" s="1439"/>
      <c r="Y2156" s="1439"/>
      <c r="Z2156" s="1439"/>
      <c r="AA2156" s="1439"/>
      <c r="AB2156" s="1439"/>
      <c r="AC2156" s="1439"/>
      <c r="AD2156" s="1439"/>
      <c r="AE2156" s="1439"/>
      <c r="AF2156" s="1439"/>
      <c r="AG2156" s="1439"/>
    </row>
    <row r="2157" spans="1:33" ht="15.75" customHeight="1">
      <c r="A2157" s="1443"/>
      <c r="B2157" s="1450" t="s">
        <v>3391</v>
      </c>
      <c r="C2157" s="1445">
        <v>1</v>
      </c>
      <c r="D2157" s="1445" t="s">
        <v>3364</v>
      </c>
      <c r="E2157" s="1445">
        <v>2</v>
      </c>
      <c r="F2157" s="1446">
        <f>3.43+0.46</f>
        <v>3.89</v>
      </c>
      <c r="G2157" s="1446">
        <v>0.23</v>
      </c>
      <c r="H2157" s="1447"/>
      <c r="I2157" s="1448">
        <f t="shared" si="88"/>
        <v>1.79</v>
      </c>
      <c r="J2157" s="1449"/>
      <c r="K2157" s="1439"/>
      <c r="L2157" s="1439"/>
      <c r="M2157" s="1439"/>
      <c r="N2157" s="1439"/>
      <c r="O2157" s="1439"/>
      <c r="P2157" s="1439"/>
      <c r="Q2157" s="1439"/>
      <c r="R2157" s="1439"/>
      <c r="S2157" s="1439"/>
      <c r="T2157" s="1439"/>
      <c r="U2157" s="1439"/>
      <c r="V2157" s="1439"/>
      <c r="W2157" s="1439"/>
      <c r="X2157" s="1439"/>
      <c r="Y2157" s="1439"/>
      <c r="Z2157" s="1439"/>
      <c r="AA2157" s="1439"/>
      <c r="AB2157" s="1439"/>
      <c r="AC2157" s="1439"/>
      <c r="AD2157" s="1439"/>
      <c r="AE2157" s="1439"/>
      <c r="AF2157" s="1439"/>
      <c r="AG2157" s="1439"/>
    </row>
    <row r="2158" spans="1:33" ht="15.75" customHeight="1">
      <c r="A2158" s="1443"/>
      <c r="B2158" s="1450" t="s">
        <v>3392</v>
      </c>
      <c r="C2158" s="1445">
        <v>1</v>
      </c>
      <c r="D2158" s="1445" t="s">
        <v>3364</v>
      </c>
      <c r="E2158" s="1445">
        <v>2</v>
      </c>
      <c r="F2158" s="1446">
        <v>3.46</v>
      </c>
      <c r="G2158" s="1446">
        <v>0.23</v>
      </c>
      <c r="H2158" s="1447"/>
      <c r="I2158" s="1448">
        <f t="shared" si="88"/>
        <v>1.59</v>
      </c>
      <c r="J2158" s="1449"/>
      <c r="K2158" s="1439"/>
      <c r="L2158" s="1439"/>
      <c r="M2158" s="1439"/>
      <c r="N2158" s="1439"/>
      <c r="O2158" s="1439"/>
      <c r="P2158" s="1439"/>
      <c r="Q2158" s="1439"/>
      <c r="R2158" s="1439"/>
      <c r="S2158" s="1439"/>
      <c r="T2158" s="1439"/>
      <c r="U2158" s="1439"/>
      <c r="V2158" s="1439"/>
      <c r="W2158" s="1439"/>
      <c r="X2158" s="1439"/>
      <c r="Y2158" s="1439"/>
      <c r="Z2158" s="1439"/>
      <c r="AA2158" s="1439"/>
      <c r="AB2158" s="1439"/>
      <c r="AC2158" s="1439"/>
      <c r="AD2158" s="1439"/>
      <c r="AE2158" s="1439"/>
      <c r="AF2158" s="1439"/>
      <c r="AG2158" s="1439"/>
    </row>
    <row r="2159" spans="1:33" ht="15.75" customHeight="1">
      <c r="A2159" s="1443"/>
      <c r="B2159" s="1450" t="s">
        <v>3393</v>
      </c>
      <c r="C2159" s="1457">
        <v>0.5</v>
      </c>
      <c r="D2159" s="1445" t="s">
        <v>3364</v>
      </c>
      <c r="E2159" s="1445">
        <v>22</v>
      </c>
      <c r="F2159" s="1446">
        <v>1.35</v>
      </c>
      <c r="G2159" s="1446">
        <v>0.3</v>
      </c>
      <c r="H2159" s="1447"/>
      <c r="I2159" s="1448">
        <f t="shared" si="88"/>
        <v>4.46</v>
      </c>
      <c r="J2159" s="1449"/>
      <c r="K2159" s="1439"/>
      <c r="L2159" s="1439"/>
      <c r="M2159" s="1439"/>
      <c r="N2159" s="1439"/>
      <c r="O2159" s="1439"/>
      <c r="P2159" s="1439"/>
      <c r="Q2159" s="1439"/>
      <c r="R2159" s="1439"/>
      <c r="S2159" s="1439"/>
      <c r="T2159" s="1439"/>
      <c r="U2159" s="1439"/>
      <c r="V2159" s="1439"/>
      <c r="W2159" s="1439"/>
      <c r="X2159" s="1439"/>
      <c r="Y2159" s="1439"/>
      <c r="Z2159" s="1439"/>
      <c r="AA2159" s="1439"/>
      <c r="AB2159" s="1439"/>
      <c r="AC2159" s="1439"/>
      <c r="AD2159" s="1439"/>
      <c r="AE2159" s="1439"/>
      <c r="AF2159" s="1439"/>
      <c r="AG2159" s="1439"/>
    </row>
    <row r="2160" spans="1:33" ht="15.75" customHeight="1">
      <c r="A2160" s="1443"/>
      <c r="B2160" s="1456" t="s">
        <v>3616</v>
      </c>
      <c r="C2160" s="1445"/>
      <c r="D2160" s="1445"/>
      <c r="E2160" s="1445"/>
      <c r="F2160" s="1446"/>
      <c r="G2160" s="1446"/>
      <c r="H2160" s="1447"/>
      <c r="I2160" s="1448">
        <f t="shared" si="88"/>
        <v>0</v>
      </c>
      <c r="J2160" s="1449"/>
      <c r="K2160" s="1439"/>
      <c r="L2160" s="1439"/>
      <c r="M2160" s="1439"/>
      <c r="N2160" s="1439"/>
      <c r="O2160" s="1439"/>
      <c r="P2160" s="1439"/>
      <c r="Q2160" s="1439"/>
      <c r="R2160" s="1439"/>
      <c r="S2160" s="1439"/>
      <c r="T2160" s="1439"/>
      <c r="U2160" s="1439"/>
      <c r="V2160" s="1439"/>
      <c r="W2160" s="1439"/>
      <c r="X2160" s="1439"/>
      <c r="Y2160" s="1439"/>
      <c r="Z2160" s="1439"/>
      <c r="AA2160" s="1439"/>
      <c r="AB2160" s="1439"/>
      <c r="AC2160" s="1439"/>
      <c r="AD2160" s="1439"/>
      <c r="AE2160" s="1439"/>
      <c r="AF2160" s="1439"/>
      <c r="AG2160" s="1439"/>
    </row>
    <row r="2161" spans="1:33" ht="15.75" customHeight="1">
      <c r="A2161" s="1443"/>
      <c r="B2161" s="1450" t="s">
        <v>3390</v>
      </c>
      <c r="C2161" s="1445">
        <v>1</v>
      </c>
      <c r="D2161" s="1445" t="s">
        <v>3364</v>
      </c>
      <c r="E2161" s="1445">
        <v>2</v>
      </c>
      <c r="F2161" s="1446">
        <v>5.23</v>
      </c>
      <c r="G2161" s="1446">
        <v>1.5</v>
      </c>
      <c r="H2161" s="1447"/>
      <c r="I2161" s="1448">
        <f t="shared" si="88"/>
        <v>15.69</v>
      </c>
      <c r="J2161" s="1449"/>
      <c r="K2161" s="1439"/>
      <c r="L2161" s="1439"/>
      <c r="M2161" s="1439"/>
      <c r="N2161" s="1439"/>
      <c r="O2161" s="1439"/>
      <c r="P2161" s="1439"/>
      <c r="Q2161" s="1439"/>
      <c r="R2161" s="1439"/>
      <c r="S2161" s="1439"/>
      <c r="T2161" s="1439"/>
      <c r="U2161" s="1439"/>
      <c r="V2161" s="1439"/>
      <c r="W2161" s="1439"/>
      <c r="X2161" s="1439"/>
      <c r="Y2161" s="1439"/>
      <c r="Z2161" s="1439"/>
      <c r="AA2161" s="1439"/>
      <c r="AB2161" s="1439"/>
      <c r="AC2161" s="1439"/>
      <c r="AD2161" s="1439"/>
      <c r="AE2161" s="1439"/>
      <c r="AF2161" s="1439"/>
      <c r="AG2161" s="1439"/>
    </row>
    <row r="2162" spans="1:33" ht="15.75" customHeight="1">
      <c r="A2162" s="1443"/>
      <c r="B2162" s="1450" t="s">
        <v>3391</v>
      </c>
      <c r="C2162" s="1445">
        <v>1</v>
      </c>
      <c r="D2162" s="1445" t="s">
        <v>3364</v>
      </c>
      <c r="E2162" s="1445">
        <v>2</v>
      </c>
      <c r="F2162" s="1446">
        <f>3.43+0.46</f>
        <v>3.89</v>
      </c>
      <c r="G2162" s="1446"/>
      <c r="H2162" s="1447">
        <v>0.2</v>
      </c>
      <c r="I2162" s="1448">
        <f t="shared" si="88"/>
        <v>1.56</v>
      </c>
      <c r="J2162" s="1449"/>
      <c r="K2162" s="1439"/>
      <c r="L2162" s="1439"/>
      <c r="M2162" s="1439"/>
      <c r="N2162" s="1439"/>
      <c r="O2162" s="1439"/>
      <c r="P2162" s="1439"/>
      <c r="Q2162" s="1439"/>
      <c r="R2162" s="1439"/>
      <c r="S2162" s="1439"/>
      <c r="T2162" s="1439"/>
      <c r="U2162" s="1439"/>
      <c r="V2162" s="1439"/>
      <c r="W2162" s="1439"/>
      <c r="X2162" s="1439"/>
      <c r="Y2162" s="1439"/>
      <c r="Z2162" s="1439"/>
      <c r="AA2162" s="1439"/>
      <c r="AB2162" s="1439"/>
      <c r="AC2162" s="1439"/>
      <c r="AD2162" s="1439"/>
      <c r="AE2162" s="1439"/>
      <c r="AF2162" s="1439"/>
      <c r="AG2162" s="1439"/>
    </row>
    <row r="2163" spans="1:33" ht="15.75" customHeight="1">
      <c r="A2163" s="1443"/>
      <c r="B2163" s="1450" t="s">
        <v>3392</v>
      </c>
      <c r="C2163" s="1445">
        <v>1</v>
      </c>
      <c r="D2163" s="1445" t="s">
        <v>3364</v>
      </c>
      <c r="E2163" s="1445">
        <v>2</v>
      </c>
      <c r="F2163" s="1446">
        <v>3.46</v>
      </c>
      <c r="G2163" s="1446"/>
      <c r="H2163" s="1447">
        <v>0.5</v>
      </c>
      <c r="I2163" s="1448">
        <f t="shared" si="88"/>
        <v>3.46</v>
      </c>
      <c r="J2163" s="1449"/>
      <c r="K2163" s="1439"/>
      <c r="L2163" s="1439"/>
      <c r="M2163" s="1439"/>
      <c r="N2163" s="1439"/>
      <c r="O2163" s="1439"/>
      <c r="P2163" s="1439"/>
      <c r="Q2163" s="1439"/>
      <c r="R2163" s="1439"/>
      <c r="S2163" s="1439"/>
      <c r="T2163" s="1439"/>
      <c r="U2163" s="1439"/>
      <c r="V2163" s="1439"/>
      <c r="W2163" s="1439"/>
      <c r="X2163" s="1439"/>
      <c r="Y2163" s="1439"/>
      <c r="Z2163" s="1439"/>
      <c r="AA2163" s="1439"/>
      <c r="AB2163" s="1439"/>
      <c r="AC2163" s="1439"/>
      <c r="AD2163" s="1439"/>
      <c r="AE2163" s="1439"/>
      <c r="AF2163" s="1439"/>
      <c r="AG2163" s="1439"/>
    </row>
    <row r="2164" spans="1:33" ht="15.75" customHeight="1">
      <c r="A2164" s="1443"/>
      <c r="B2164" s="1450" t="s">
        <v>3393</v>
      </c>
      <c r="C2164" s="1457">
        <v>0.5</v>
      </c>
      <c r="D2164" s="1445" t="s">
        <v>3364</v>
      </c>
      <c r="E2164" s="1445">
        <v>22</v>
      </c>
      <c r="F2164" s="1446">
        <v>1.35</v>
      </c>
      <c r="G2164" s="1446"/>
      <c r="H2164" s="1447">
        <v>0.2</v>
      </c>
      <c r="I2164" s="1448">
        <f t="shared" si="88"/>
        <v>2.97</v>
      </c>
      <c r="J2164" s="1449"/>
      <c r="K2164" s="1439"/>
      <c r="L2164" s="1439"/>
      <c r="M2164" s="1439"/>
      <c r="N2164" s="1439"/>
      <c r="O2164" s="1439"/>
      <c r="P2164" s="1439"/>
      <c r="Q2164" s="1439"/>
      <c r="R2164" s="1439"/>
      <c r="S2164" s="1439"/>
      <c r="T2164" s="1439"/>
      <c r="U2164" s="1439"/>
      <c r="V2164" s="1439"/>
      <c r="W2164" s="1439"/>
      <c r="X2164" s="1439"/>
      <c r="Y2164" s="1439"/>
      <c r="Z2164" s="1439"/>
      <c r="AA2164" s="1439"/>
      <c r="AB2164" s="1439"/>
      <c r="AC2164" s="1439"/>
      <c r="AD2164" s="1439"/>
      <c r="AE2164" s="1439"/>
      <c r="AF2164" s="1439"/>
      <c r="AG2164" s="1439"/>
    </row>
    <row r="2165" spans="1:33" ht="15.75" customHeight="1">
      <c r="A2165" s="1443"/>
      <c r="B2165" s="1455" t="s">
        <v>7257</v>
      </c>
      <c r="C2165" s="1457"/>
      <c r="D2165" s="1445"/>
      <c r="E2165" s="1445"/>
      <c r="F2165" s="1446"/>
      <c r="G2165" s="1446"/>
      <c r="H2165" s="1447"/>
      <c r="I2165" s="1448">
        <f t="shared" si="88"/>
        <v>0</v>
      </c>
      <c r="J2165" s="1449"/>
      <c r="K2165" s="1439"/>
      <c r="L2165" s="1439"/>
      <c r="M2165" s="1439"/>
      <c r="N2165" s="1439"/>
      <c r="O2165" s="1439"/>
      <c r="P2165" s="1439"/>
      <c r="Q2165" s="1439"/>
      <c r="R2165" s="1439"/>
      <c r="S2165" s="1439"/>
      <c r="T2165" s="1439"/>
      <c r="U2165" s="1439"/>
      <c r="V2165" s="1439"/>
      <c r="W2165" s="1439"/>
      <c r="X2165" s="1439"/>
      <c r="Y2165" s="1439"/>
      <c r="Z2165" s="1439"/>
      <c r="AA2165" s="1439"/>
      <c r="AB2165" s="1439"/>
      <c r="AC2165" s="1439"/>
      <c r="AD2165" s="1439"/>
      <c r="AE2165" s="1439"/>
      <c r="AF2165" s="1439"/>
      <c r="AG2165" s="1439"/>
    </row>
    <row r="2166" spans="1:33" ht="15.75" customHeight="1">
      <c r="A2166" s="1443"/>
      <c r="B2166" s="1450" t="s">
        <v>3432</v>
      </c>
      <c r="C2166" s="1445"/>
      <c r="D2166" s="1445"/>
      <c r="E2166" s="1445"/>
      <c r="F2166" s="1446"/>
      <c r="G2166" s="1446"/>
      <c r="H2166" s="1447"/>
      <c r="I2166" s="1448">
        <f t="shared" si="88"/>
        <v>0</v>
      </c>
      <c r="J2166" s="1449"/>
      <c r="K2166" s="1439"/>
      <c r="L2166" s="1439"/>
      <c r="M2166" s="1439"/>
      <c r="N2166" s="1439"/>
      <c r="O2166" s="1439"/>
      <c r="P2166" s="1439"/>
      <c r="Q2166" s="1439"/>
      <c r="R2166" s="1439"/>
      <c r="S2166" s="1439"/>
      <c r="T2166" s="1439"/>
      <c r="U2166" s="1439"/>
      <c r="V2166" s="1439"/>
      <c r="W2166" s="1439"/>
      <c r="X2166" s="1439"/>
      <c r="Y2166" s="1439"/>
      <c r="Z2166" s="1439"/>
      <c r="AA2166" s="1439"/>
      <c r="AB2166" s="1439"/>
      <c r="AC2166" s="1439"/>
      <c r="AD2166" s="1439"/>
      <c r="AE2166" s="1439"/>
      <c r="AF2166" s="1439"/>
      <c r="AG2166" s="1439"/>
    </row>
    <row r="2167" spans="1:33" ht="15.75" customHeight="1">
      <c r="A2167" s="1443"/>
      <c r="B2167" s="1450" t="s">
        <v>3433</v>
      </c>
      <c r="C2167" s="1445">
        <v>1</v>
      </c>
      <c r="D2167" s="1445" t="s">
        <v>3364</v>
      </c>
      <c r="E2167" s="1445">
        <v>1</v>
      </c>
      <c r="F2167" s="1446">
        <v>7.46</v>
      </c>
      <c r="G2167" s="1446">
        <f>3.43+0.46</f>
        <v>3.89</v>
      </c>
      <c r="H2167" s="1447"/>
      <c r="I2167" s="1448">
        <f t="shared" si="88"/>
        <v>29.02</v>
      </c>
      <c r="J2167" s="1449"/>
      <c r="K2167" s="1439"/>
      <c r="L2167" s="1439"/>
      <c r="M2167" s="1439"/>
      <c r="N2167" s="1439"/>
      <c r="O2167" s="1439"/>
      <c r="P2167" s="1439"/>
      <c r="Q2167" s="1439"/>
      <c r="R2167" s="1439"/>
      <c r="S2167" s="1439"/>
      <c r="T2167" s="1439"/>
      <c r="U2167" s="1439"/>
      <c r="V2167" s="1439"/>
      <c r="W2167" s="1439"/>
      <c r="X2167" s="1439"/>
      <c r="Y2167" s="1439"/>
      <c r="Z2167" s="1439"/>
      <c r="AA2167" s="1439"/>
      <c r="AB2167" s="1439"/>
      <c r="AC2167" s="1439"/>
      <c r="AD2167" s="1439"/>
      <c r="AE2167" s="1439"/>
      <c r="AF2167" s="1439"/>
      <c r="AG2167" s="1439"/>
    </row>
    <row r="2168" spans="1:33" ht="18" customHeight="1">
      <c r="A2168" s="1443"/>
      <c r="B2168" s="1450" t="s">
        <v>3434</v>
      </c>
      <c r="C2168" s="1445">
        <v>2</v>
      </c>
      <c r="D2168" s="1445" t="s">
        <v>3364</v>
      </c>
      <c r="E2168" s="1445">
        <v>2</v>
      </c>
      <c r="F2168" s="1446">
        <v>7.46</v>
      </c>
      <c r="G2168" s="1446"/>
      <c r="H2168" s="1447">
        <v>0.4</v>
      </c>
      <c r="I2168" s="1448">
        <f t="shared" si="88"/>
        <v>11.94</v>
      </c>
      <c r="J2168" s="1449"/>
      <c r="K2168" s="1439"/>
      <c r="L2168" s="1439"/>
      <c r="M2168" s="1439"/>
      <c r="N2168" s="1439"/>
      <c r="O2168" s="1439"/>
      <c r="P2168" s="1439"/>
      <c r="Q2168" s="1439"/>
      <c r="R2168" s="1439"/>
      <c r="S2168" s="1439"/>
      <c r="T2168" s="1439"/>
      <c r="U2168" s="1439"/>
      <c r="V2168" s="1439"/>
      <c r="W2168" s="1439"/>
      <c r="X2168" s="1439"/>
      <c r="Y2168" s="1439"/>
      <c r="Z2168" s="1439"/>
      <c r="AA2168" s="1439"/>
      <c r="AB2168" s="1439"/>
      <c r="AC2168" s="1439"/>
      <c r="AD2168" s="1439"/>
      <c r="AE2168" s="1439"/>
      <c r="AF2168" s="1439"/>
      <c r="AG2168" s="1439"/>
    </row>
    <row r="2169" spans="1:33" ht="15.75" customHeight="1">
      <c r="A2169" s="1443"/>
      <c r="B2169" s="1450" t="s">
        <v>3435</v>
      </c>
      <c r="C2169" s="1445">
        <v>1</v>
      </c>
      <c r="D2169" s="1445" t="s">
        <v>3364</v>
      </c>
      <c r="E2169" s="1445">
        <v>2</v>
      </c>
      <c r="F2169" s="1446">
        <v>3.89</v>
      </c>
      <c r="G2169" s="1446"/>
      <c r="H2169" s="1447">
        <v>0.4</v>
      </c>
      <c r="I2169" s="1448">
        <f t="shared" si="88"/>
        <v>3.11</v>
      </c>
      <c r="J2169" s="1449"/>
      <c r="K2169" s="1439"/>
      <c r="L2169" s="1439"/>
      <c r="M2169" s="1439"/>
      <c r="N2169" s="1439"/>
      <c r="O2169" s="1439"/>
      <c r="P2169" s="1439"/>
      <c r="Q2169" s="1439"/>
      <c r="R2169" s="1439"/>
      <c r="S2169" s="1439"/>
      <c r="T2169" s="1439"/>
      <c r="U2169" s="1439"/>
      <c r="V2169" s="1439"/>
      <c r="W2169" s="1439"/>
      <c r="X2169" s="1439"/>
      <c r="Y2169" s="1439"/>
      <c r="Z2169" s="1439"/>
      <c r="AA2169" s="1439"/>
      <c r="AB2169" s="1439"/>
      <c r="AC2169" s="1439"/>
      <c r="AD2169" s="1439"/>
      <c r="AE2169" s="1439"/>
      <c r="AF2169" s="1439"/>
      <c r="AG2169" s="1439"/>
    </row>
    <row r="2170" spans="1:33" ht="15.75" customHeight="1">
      <c r="A2170" s="1443"/>
      <c r="B2170" s="1450" t="s">
        <v>3436</v>
      </c>
      <c r="C2170" s="1445"/>
      <c r="D2170" s="1445"/>
      <c r="E2170" s="1445"/>
      <c r="F2170" s="1446"/>
      <c r="G2170" s="1446"/>
      <c r="H2170" s="1447"/>
      <c r="I2170" s="1448">
        <f t="shared" si="88"/>
        <v>0</v>
      </c>
      <c r="J2170" s="1449"/>
      <c r="K2170" s="1439"/>
      <c r="L2170" s="1439"/>
      <c r="M2170" s="1439"/>
      <c r="N2170" s="1439"/>
      <c r="O2170" s="1439"/>
      <c r="P2170" s="1439"/>
      <c r="Q2170" s="1439"/>
      <c r="R2170" s="1439"/>
      <c r="S2170" s="1439"/>
      <c r="T2170" s="1439"/>
      <c r="U2170" s="1439"/>
      <c r="V2170" s="1439"/>
      <c r="W2170" s="1439"/>
      <c r="X2170" s="1439"/>
      <c r="Y2170" s="1439"/>
      <c r="Z2170" s="1439"/>
      <c r="AA2170" s="1439"/>
      <c r="AB2170" s="1439"/>
      <c r="AC2170" s="1439"/>
      <c r="AD2170" s="1439"/>
      <c r="AE2170" s="1439"/>
      <c r="AF2170" s="1439"/>
      <c r="AG2170" s="1439"/>
    </row>
    <row r="2171" spans="1:33" ht="18" customHeight="1">
      <c r="A2171" s="1443"/>
      <c r="B2171" s="1450" t="s">
        <v>3433</v>
      </c>
      <c r="C2171" s="1445">
        <v>1</v>
      </c>
      <c r="D2171" s="1445" t="s">
        <v>3364</v>
      </c>
      <c r="E2171" s="1445">
        <v>1</v>
      </c>
      <c r="F2171" s="1446">
        <f>4.96</f>
        <v>4.96</v>
      </c>
      <c r="G2171" s="1446">
        <v>5.46</v>
      </c>
      <c r="H2171" s="1447"/>
      <c r="I2171" s="1448">
        <f t="shared" si="88"/>
        <v>27.08</v>
      </c>
      <c r="J2171" s="1449"/>
      <c r="K2171" s="1439"/>
      <c r="L2171" s="1439"/>
      <c r="M2171" s="1439"/>
      <c r="N2171" s="1439"/>
      <c r="O2171" s="1439"/>
      <c r="P2171" s="1439"/>
      <c r="Q2171" s="1439"/>
      <c r="R2171" s="1439"/>
      <c r="S2171" s="1439"/>
      <c r="T2171" s="1439"/>
      <c r="U2171" s="1439"/>
      <c r="V2171" s="1439"/>
      <c r="W2171" s="1439"/>
      <c r="X2171" s="1439"/>
      <c r="Y2171" s="1439"/>
      <c r="Z2171" s="1439"/>
      <c r="AA2171" s="1439"/>
      <c r="AB2171" s="1439"/>
      <c r="AC2171" s="1439"/>
      <c r="AD2171" s="1439"/>
      <c r="AE2171" s="1439"/>
      <c r="AF2171" s="1439"/>
      <c r="AG2171" s="1439"/>
    </row>
    <row r="2172" spans="1:33" ht="15.75" customHeight="1">
      <c r="A2172" s="1443"/>
      <c r="B2172" s="1450" t="s">
        <v>3434</v>
      </c>
      <c r="C2172" s="1445">
        <v>2</v>
      </c>
      <c r="D2172" s="1445" t="s">
        <v>3364</v>
      </c>
      <c r="E2172" s="1445">
        <v>2</v>
      </c>
      <c r="F2172" s="1446">
        <v>5.46</v>
      </c>
      <c r="G2172" s="1446"/>
      <c r="H2172" s="1447">
        <v>0.4</v>
      </c>
      <c r="I2172" s="1448">
        <f t="shared" si="88"/>
        <v>8.74</v>
      </c>
      <c r="J2172" s="1449"/>
      <c r="K2172" s="1439"/>
      <c r="L2172" s="1439"/>
      <c r="M2172" s="1439"/>
      <c r="N2172" s="1439"/>
      <c r="O2172" s="1439"/>
      <c r="P2172" s="1439"/>
      <c r="Q2172" s="1439"/>
      <c r="R2172" s="1439"/>
      <c r="S2172" s="1439"/>
      <c r="T2172" s="1439"/>
      <c r="U2172" s="1439"/>
      <c r="V2172" s="1439"/>
      <c r="W2172" s="1439"/>
      <c r="X2172" s="1439"/>
      <c r="Y2172" s="1439"/>
      <c r="Z2172" s="1439"/>
      <c r="AA2172" s="1439"/>
      <c r="AB2172" s="1439"/>
      <c r="AC2172" s="1439"/>
      <c r="AD2172" s="1439"/>
      <c r="AE2172" s="1439"/>
      <c r="AF2172" s="1439"/>
      <c r="AG2172" s="1439"/>
    </row>
    <row r="2173" spans="1:33" ht="15.75" customHeight="1">
      <c r="A2173" s="1476"/>
      <c r="B2173" s="1450" t="s">
        <v>3435</v>
      </c>
      <c r="C2173" s="1445">
        <v>2</v>
      </c>
      <c r="D2173" s="1445" t="s">
        <v>3364</v>
      </c>
      <c r="E2173" s="1445">
        <v>2</v>
      </c>
      <c r="F2173" s="1446">
        <v>4.96</v>
      </c>
      <c r="G2173" s="1446"/>
      <c r="H2173" s="1447">
        <v>0.4</v>
      </c>
      <c r="I2173" s="1448">
        <f t="shared" si="88"/>
        <v>7.94</v>
      </c>
      <c r="J2173" s="1449"/>
      <c r="K2173" s="1439"/>
      <c r="L2173" s="1439"/>
      <c r="M2173" s="1439"/>
      <c r="N2173" s="1439"/>
      <c r="O2173" s="1439"/>
      <c r="P2173" s="1439"/>
      <c r="Q2173" s="1439"/>
      <c r="R2173" s="1439"/>
      <c r="S2173" s="1439"/>
      <c r="T2173" s="1439"/>
      <c r="U2173" s="1439"/>
      <c r="V2173" s="1439"/>
      <c r="W2173" s="1439"/>
      <c r="X2173" s="1439"/>
      <c r="Y2173" s="1439"/>
      <c r="Z2173" s="1439"/>
      <c r="AA2173" s="1439"/>
      <c r="AB2173" s="1439"/>
      <c r="AC2173" s="1439"/>
      <c r="AD2173" s="1439"/>
      <c r="AE2173" s="1439"/>
      <c r="AF2173" s="1439"/>
      <c r="AG2173" s="1439"/>
    </row>
    <row r="2174" spans="1:33" ht="15.75" customHeight="1">
      <c r="A2174" s="1476"/>
      <c r="B2174" s="1450" t="s">
        <v>3437</v>
      </c>
      <c r="C2174" s="1445">
        <v>1</v>
      </c>
      <c r="D2174" s="1445" t="s">
        <v>3364</v>
      </c>
      <c r="E2174" s="1445">
        <v>2</v>
      </c>
      <c r="F2174" s="1446">
        <f>4.5+4.5+7</f>
        <v>16</v>
      </c>
      <c r="G2174" s="1446"/>
      <c r="H2174" s="1447">
        <v>1</v>
      </c>
      <c r="I2174" s="1448">
        <f t="shared" si="88"/>
        <v>32</v>
      </c>
      <c r="J2174" s="1449"/>
      <c r="K2174" s="1439"/>
      <c r="L2174" s="1439"/>
      <c r="M2174" s="1439"/>
      <c r="N2174" s="1439"/>
      <c r="O2174" s="1439"/>
      <c r="P2174" s="1439"/>
      <c r="Q2174" s="1439"/>
      <c r="R2174" s="1439"/>
      <c r="S2174" s="1439"/>
      <c r="T2174" s="1439"/>
      <c r="U2174" s="1439"/>
      <c r="V2174" s="1439"/>
      <c r="W2174" s="1439"/>
      <c r="X2174" s="1439"/>
      <c r="Y2174" s="1439"/>
      <c r="Z2174" s="1439"/>
      <c r="AA2174" s="1439"/>
      <c r="AB2174" s="1439"/>
      <c r="AC2174" s="1439"/>
      <c r="AD2174" s="1439"/>
      <c r="AE2174" s="1439"/>
      <c r="AF2174" s="1439"/>
      <c r="AG2174" s="1439"/>
    </row>
    <row r="2175" spans="1:33" ht="18" customHeight="1">
      <c r="A2175" s="1443"/>
      <c r="B2175" s="1450" t="s">
        <v>3438</v>
      </c>
      <c r="C2175" s="1445">
        <v>1</v>
      </c>
      <c r="D2175" s="1445" t="s">
        <v>3364</v>
      </c>
      <c r="E2175" s="1445">
        <v>1</v>
      </c>
      <c r="F2175" s="1446">
        <v>4.96</v>
      </c>
      <c r="G2175" s="1446">
        <v>3.96</v>
      </c>
      <c r="H2175" s="1447"/>
      <c r="I2175" s="1448">
        <f t="shared" si="88"/>
        <v>19.64</v>
      </c>
      <c r="J2175" s="1449"/>
      <c r="K2175" s="1439"/>
      <c r="L2175" s="1439"/>
      <c r="M2175" s="1439"/>
      <c r="N2175" s="1439"/>
      <c r="O2175" s="1439"/>
      <c r="P2175" s="1439"/>
      <c r="Q2175" s="1439"/>
      <c r="R2175" s="1439"/>
      <c r="S2175" s="1439"/>
      <c r="T2175" s="1439"/>
      <c r="U2175" s="1439"/>
      <c r="V2175" s="1439"/>
      <c r="W2175" s="1439"/>
      <c r="X2175" s="1439"/>
      <c r="Y2175" s="1439"/>
      <c r="Z2175" s="1439"/>
      <c r="AA2175" s="1439"/>
      <c r="AB2175" s="1439"/>
      <c r="AC2175" s="1439"/>
      <c r="AD2175" s="1439"/>
      <c r="AE2175" s="1439"/>
      <c r="AF2175" s="1439"/>
      <c r="AG2175" s="1439"/>
    </row>
    <row r="2176" spans="1:33" ht="15.75" customHeight="1">
      <c r="A2176" s="1443"/>
      <c r="B2176" s="1450" t="s">
        <v>3439</v>
      </c>
      <c r="C2176" s="1445"/>
      <c r="D2176" s="1445"/>
      <c r="E2176" s="1445"/>
      <c r="F2176" s="1446"/>
      <c r="G2176" s="1446"/>
      <c r="H2176" s="1447"/>
      <c r="I2176" s="1448">
        <f t="shared" si="88"/>
        <v>0</v>
      </c>
      <c r="J2176" s="1449"/>
      <c r="K2176" s="1439"/>
      <c r="L2176" s="1439"/>
      <c r="M2176" s="1439"/>
      <c r="N2176" s="1439"/>
      <c r="O2176" s="1439"/>
      <c r="P2176" s="1439"/>
      <c r="Q2176" s="1439"/>
      <c r="R2176" s="1439"/>
      <c r="S2176" s="1439"/>
      <c r="T2176" s="1439"/>
      <c r="U2176" s="1439"/>
      <c r="V2176" s="1439"/>
      <c r="W2176" s="1439"/>
      <c r="X2176" s="1439"/>
      <c r="Y2176" s="1439"/>
      <c r="Z2176" s="1439"/>
      <c r="AA2176" s="1439"/>
      <c r="AB2176" s="1439"/>
      <c r="AC2176" s="1439"/>
      <c r="AD2176" s="1439"/>
      <c r="AE2176" s="1439"/>
      <c r="AF2176" s="1439"/>
      <c r="AG2176" s="1439"/>
    </row>
    <row r="2177" spans="1:33" ht="15.75" customHeight="1">
      <c r="A2177" s="1443"/>
      <c r="B2177" s="1450" t="s">
        <v>3440</v>
      </c>
      <c r="C2177" s="1445">
        <v>1</v>
      </c>
      <c r="D2177" s="1445" t="s">
        <v>3364</v>
      </c>
      <c r="E2177" s="1445">
        <v>2</v>
      </c>
      <c r="F2177" s="1446">
        <f>1+0.46</f>
        <v>1.46</v>
      </c>
      <c r="G2177" s="1446">
        <v>0.23</v>
      </c>
      <c r="H2177" s="1447">
        <v>0.2</v>
      </c>
      <c r="I2177" s="1448">
        <f t="shared" si="88"/>
        <v>0.13</v>
      </c>
      <c r="J2177" s="1449"/>
      <c r="K2177" s="1439"/>
      <c r="L2177" s="1439"/>
      <c r="M2177" s="1439"/>
      <c r="N2177" s="1439"/>
      <c r="O2177" s="1439"/>
      <c r="P2177" s="1439"/>
      <c r="Q2177" s="1439"/>
      <c r="R2177" s="1439"/>
      <c r="S2177" s="1439"/>
      <c r="T2177" s="1439"/>
      <c r="U2177" s="1439"/>
      <c r="V2177" s="1439"/>
      <c r="W2177" s="1439"/>
      <c r="X2177" s="1439"/>
      <c r="Y2177" s="1439"/>
      <c r="Z2177" s="1439"/>
      <c r="AA2177" s="1439"/>
      <c r="AB2177" s="1439"/>
      <c r="AC2177" s="1439"/>
      <c r="AD2177" s="1439"/>
      <c r="AE2177" s="1439"/>
      <c r="AF2177" s="1439"/>
      <c r="AG2177" s="1439"/>
    </row>
    <row r="2178" spans="1:33" ht="15.75" customHeight="1">
      <c r="A2178" s="1443"/>
      <c r="B2178" s="1450" t="s">
        <v>3441</v>
      </c>
      <c r="C2178" s="1445">
        <v>1</v>
      </c>
      <c r="D2178" s="1445" t="s">
        <v>3364</v>
      </c>
      <c r="E2178" s="1445">
        <v>1</v>
      </c>
      <c r="F2178" s="1446">
        <v>1.96</v>
      </c>
      <c r="G2178" s="1446">
        <v>0.6</v>
      </c>
      <c r="H2178" s="1447"/>
      <c r="I2178" s="1448">
        <f t="shared" si="88"/>
        <v>1.18</v>
      </c>
      <c r="J2178" s="1449"/>
      <c r="K2178" s="1439"/>
      <c r="L2178" s="1439"/>
      <c r="M2178" s="1439"/>
      <c r="N2178" s="1439"/>
      <c r="O2178" s="1439"/>
      <c r="P2178" s="1439"/>
      <c r="Q2178" s="1439"/>
      <c r="R2178" s="1439"/>
      <c r="S2178" s="1439"/>
      <c r="T2178" s="1439"/>
      <c r="U2178" s="1439"/>
      <c r="V2178" s="1439"/>
      <c r="W2178" s="1439"/>
      <c r="X2178" s="1439"/>
      <c r="Y2178" s="1439"/>
      <c r="Z2178" s="1439"/>
      <c r="AA2178" s="1439"/>
      <c r="AB2178" s="1439"/>
      <c r="AC2178" s="1439"/>
      <c r="AD2178" s="1439"/>
      <c r="AE2178" s="1439"/>
      <c r="AF2178" s="1439"/>
      <c r="AG2178" s="1439"/>
    </row>
    <row r="2179" spans="1:33" ht="15.75" customHeight="1">
      <c r="A2179" s="1470"/>
      <c r="B2179" s="1474"/>
      <c r="C2179" s="1445"/>
      <c r="D2179" s="1445"/>
      <c r="E2179" s="1445"/>
      <c r="F2179" s="1446"/>
      <c r="G2179" s="1458"/>
      <c r="H2179" s="1460"/>
      <c r="I2179" s="1459">
        <f>SUM(I1954:I2178)</f>
        <v>3459.95</v>
      </c>
      <c r="J2179" s="1475"/>
      <c r="K2179" s="1439"/>
      <c r="L2179" s="1439"/>
      <c r="M2179" s="1439"/>
      <c r="N2179" s="1439"/>
      <c r="O2179" s="1439"/>
      <c r="P2179" s="1439"/>
      <c r="Q2179" s="1439"/>
      <c r="R2179" s="1439"/>
      <c r="S2179" s="1439"/>
      <c r="T2179" s="1439"/>
      <c r="U2179" s="1439"/>
      <c r="V2179" s="1439"/>
      <c r="W2179" s="1439"/>
      <c r="X2179" s="1439"/>
      <c r="Y2179" s="1439"/>
      <c r="Z2179" s="1439"/>
      <c r="AA2179" s="1439"/>
      <c r="AB2179" s="1439"/>
      <c r="AC2179" s="1439"/>
      <c r="AD2179" s="1439"/>
      <c r="AE2179" s="1439"/>
      <c r="AF2179" s="1439"/>
      <c r="AG2179" s="1439"/>
    </row>
    <row r="2180" spans="1:33" ht="15.75" customHeight="1">
      <c r="A2180" s="1470"/>
      <c r="B2180" s="1450"/>
      <c r="C2180" s="1484"/>
      <c r="D2180" s="1484"/>
      <c r="E2180" s="1484"/>
      <c r="F2180" s="1446"/>
      <c r="G2180" s="1458"/>
      <c r="H2180" s="1460" t="s">
        <v>2981</v>
      </c>
      <c r="I2180" s="1459">
        <f>ROUNDUP(I2179,0.1)</f>
        <v>3460</v>
      </c>
      <c r="J2180" s="1475" t="s">
        <v>724</v>
      </c>
      <c r="K2180" s="1439"/>
      <c r="L2180" s="1439"/>
      <c r="M2180" s="1439"/>
      <c r="N2180" s="1439"/>
      <c r="O2180" s="1439"/>
      <c r="P2180" s="1439"/>
      <c r="Q2180" s="1439"/>
      <c r="R2180" s="1439"/>
      <c r="S2180" s="1439"/>
      <c r="T2180" s="1439"/>
      <c r="U2180" s="1439"/>
      <c r="V2180" s="1439"/>
      <c r="W2180" s="1439"/>
      <c r="X2180" s="1439"/>
      <c r="Y2180" s="1439"/>
      <c r="Z2180" s="1439"/>
      <c r="AA2180" s="1439"/>
      <c r="AB2180" s="1439"/>
      <c r="AC2180" s="1439"/>
      <c r="AD2180" s="1439"/>
      <c r="AE2180" s="1439"/>
      <c r="AF2180" s="1439"/>
      <c r="AG2180" s="1439"/>
    </row>
    <row r="2181" spans="1:33" ht="15.75" customHeight="1">
      <c r="A2181" s="1543"/>
      <c r="B2181" s="1456" t="s">
        <v>3622</v>
      </c>
      <c r="C2181" s="1537"/>
      <c r="D2181" s="1537"/>
      <c r="E2181" s="1537"/>
      <c r="F2181" s="1458"/>
      <c r="G2181" s="1458"/>
      <c r="H2181" s="1460"/>
      <c r="I2181" s="1459"/>
      <c r="J2181" s="1475"/>
      <c r="K2181" s="1466"/>
      <c r="L2181" s="1439"/>
      <c r="M2181" s="1439"/>
      <c r="N2181" s="1439"/>
      <c r="O2181" s="1466"/>
      <c r="P2181" s="1466"/>
      <c r="Q2181" s="1466"/>
      <c r="R2181" s="1466"/>
      <c r="S2181" s="1466"/>
      <c r="T2181" s="1466"/>
      <c r="U2181" s="1466"/>
      <c r="V2181" s="1466"/>
      <c r="W2181" s="1466"/>
      <c r="X2181" s="1466"/>
      <c r="Y2181" s="1466"/>
      <c r="Z2181" s="1466"/>
      <c r="AA2181" s="1466"/>
      <c r="AB2181" s="1466"/>
      <c r="AC2181" s="1466"/>
      <c r="AD2181" s="1466"/>
      <c r="AE2181" s="1466"/>
      <c r="AF2181" s="1466"/>
      <c r="AG2181" s="1466"/>
    </row>
    <row r="2182" spans="1:33" ht="15.75" customHeight="1">
      <c r="A2182" s="1443"/>
      <c r="B2182" s="1452" t="s">
        <v>7396</v>
      </c>
      <c r="C2182" s="1445">
        <v>3</v>
      </c>
      <c r="D2182" s="1453" t="s">
        <v>3364</v>
      </c>
      <c r="E2182" s="1445">
        <v>1</v>
      </c>
      <c r="F2182" s="1446">
        <v>1.06</v>
      </c>
      <c r="G2182" s="1454"/>
      <c r="H2182" s="1447">
        <v>3.15</v>
      </c>
      <c r="I2182" s="1448">
        <f t="shared" ref="I2182:I2236" si="89">PRODUCT(C2182:H2182)</f>
        <v>10.02</v>
      </c>
      <c r="J2182" s="1449"/>
      <c r="K2182" s="1439"/>
      <c r="L2182" s="1439"/>
      <c r="M2182" s="1439"/>
      <c r="N2182" s="1439"/>
      <c r="O2182" s="1439"/>
      <c r="P2182" s="1439"/>
      <c r="Q2182" s="1439"/>
      <c r="R2182" s="1439"/>
      <c r="S2182" s="1439"/>
      <c r="T2182" s="1439"/>
      <c r="U2182" s="1439"/>
      <c r="V2182" s="1439"/>
      <c r="W2182" s="1439"/>
      <c r="X2182" s="1439"/>
      <c r="Y2182" s="1439"/>
      <c r="Z2182" s="1439"/>
      <c r="AA2182" s="1439"/>
      <c r="AB2182" s="1439"/>
      <c r="AC2182" s="1439"/>
      <c r="AD2182" s="1439"/>
      <c r="AE2182" s="1439"/>
      <c r="AF2182" s="1439"/>
      <c r="AG2182" s="1439"/>
    </row>
    <row r="2183" spans="1:33" ht="15.75" customHeight="1">
      <c r="A2183" s="1443"/>
      <c r="B2183" s="1452" t="s">
        <v>7397</v>
      </c>
      <c r="C2183" s="1445">
        <v>2</v>
      </c>
      <c r="D2183" s="1453" t="s">
        <v>3364</v>
      </c>
      <c r="E2183" s="1445">
        <v>1</v>
      </c>
      <c r="F2183" s="1446">
        <v>1.22</v>
      </c>
      <c r="G2183" s="1446"/>
      <c r="H2183" s="1447">
        <v>3.15</v>
      </c>
      <c r="I2183" s="1448">
        <f t="shared" si="89"/>
        <v>7.69</v>
      </c>
      <c r="J2183" s="1449"/>
      <c r="K2183" s="1439"/>
      <c r="L2183" s="1439"/>
      <c r="M2183" s="1439"/>
      <c r="N2183" s="1439"/>
      <c r="O2183" s="1439"/>
      <c r="P2183" s="1439"/>
      <c r="Q2183" s="1439"/>
      <c r="R2183" s="1439"/>
      <c r="S2183" s="1439"/>
      <c r="T2183" s="1439"/>
      <c r="U2183" s="1439"/>
      <c r="V2183" s="1439"/>
      <c r="W2183" s="1439"/>
      <c r="X2183" s="1439"/>
      <c r="Y2183" s="1439"/>
      <c r="Z2183" s="1439"/>
      <c r="AA2183" s="1439"/>
      <c r="AB2183" s="1439"/>
      <c r="AC2183" s="1439"/>
      <c r="AD2183" s="1439"/>
      <c r="AE2183" s="1439"/>
      <c r="AF2183" s="1439"/>
      <c r="AG2183" s="1439"/>
    </row>
    <row r="2184" spans="1:33" ht="15.75" customHeight="1">
      <c r="A2184" s="1443"/>
      <c r="B2184" s="1452" t="s">
        <v>7398</v>
      </c>
      <c r="C2184" s="1445">
        <v>4</v>
      </c>
      <c r="D2184" s="1453" t="s">
        <v>3364</v>
      </c>
      <c r="E2184" s="1445">
        <v>1</v>
      </c>
      <c r="F2184" s="1446">
        <v>1.36</v>
      </c>
      <c r="G2184" s="1446"/>
      <c r="H2184" s="1447">
        <v>3.15</v>
      </c>
      <c r="I2184" s="1448">
        <f t="shared" si="89"/>
        <v>17.14</v>
      </c>
      <c r="J2184" s="1449"/>
      <c r="K2184" s="1439"/>
      <c r="L2184" s="1439">
        <f>3.6-0.45</f>
        <v>3.15</v>
      </c>
      <c r="M2184" s="1439"/>
      <c r="N2184" s="1439"/>
      <c r="O2184" s="1439"/>
      <c r="P2184" s="1439"/>
      <c r="Q2184" s="1439"/>
      <c r="R2184" s="1439"/>
      <c r="S2184" s="1439"/>
      <c r="T2184" s="1439"/>
      <c r="U2184" s="1439"/>
      <c r="V2184" s="1439"/>
      <c r="W2184" s="1439"/>
      <c r="X2184" s="1439"/>
      <c r="Y2184" s="1439"/>
      <c r="Z2184" s="1439"/>
      <c r="AA2184" s="1439"/>
      <c r="AB2184" s="1439"/>
      <c r="AC2184" s="1439"/>
      <c r="AD2184" s="1439"/>
      <c r="AE2184" s="1439"/>
      <c r="AF2184" s="1439"/>
      <c r="AG2184" s="1439"/>
    </row>
    <row r="2185" spans="1:33" ht="15.75" customHeight="1">
      <c r="A2185" s="1443"/>
      <c r="B2185" s="1452" t="s">
        <v>7399</v>
      </c>
      <c r="C2185" s="1445">
        <v>5</v>
      </c>
      <c r="D2185" s="1453" t="s">
        <v>3364</v>
      </c>
      <c r="E2185" s="1445">
        <v>1</v>
      </c>
      <c r="F2185" s="1446">
        <v>1.36</v>
      </c>
      <c r="G2185" s="1446"/>
      <c r="H2185" s="1447">
        <v>2.9</v>
      </c>
      <c r="I2185" s="1448">
        <f t="shared" si="89"/>
        <v>19.72</v>
      </c>
      <c r="J2185" s="1449"/>
      <c r="K2185" s="1439"/>
      <c r="L2185" s="1439"/>
      <c r="M2185" s="1439"/>
      <c r="N2185" s="1439"/>
      <c r="O2185" s="1439"/>
      <c r="P2185" s="1439"/>
      <c r="Q2185" s="1439"/>
      <c r="R2185" s="1439"/>
      <c r="S2185" s="1439"/>
      <c r="T2185" s="1439"/>
      <c r="U2185" s="1439"/>
      <c r="V2185" s="1439"/>
      <c r="W2185" s="1439"/>
      <c r="X2185" s="1439"/>
      <c r="Y2185" s="1439"/>
      <c r="Z2185" s="1439"/>
      <c r="AA2185" s="1439"/>
      <c r="AB2185" s="1439"/>
      <c r="AC2185" s="1439"/>
      <c r="AD2185" s="1439"/>
      <c r="AE2185" s="1439"/>
      <c r="AF2185" s="1439"/>
      <c r="AG2185" s="1439"/>
    </row>
    <row r="2186" spans="1:33" ht="15.75" customHeight="1">
      <c r="A2186" s="1443"/>
      <c r="B2186" s="1452" t="s">
        <v>7400</v>
      </c>
      <c r="C2186" s="1445">
        <v>6</v>
      </c>
      <c r="D2186" s="1453" t="s">
        <v>3364</v>
      </c>
      <c r="E2186" s="1445">
        <v>1</v>
      </c>
      <c r="F2186" s="1446">
        <v>1.5</v>
      </c>
      <c r="G2186" s="1446"/>
      <c r="H2186" s="1447">
        <v>3.15</v>
      </c>
      <c r="I2186" s="1448">
        <f t="shared" si="89"/>
        <v>28.35</v>
      </c>
      <c r="J2186" s="1449"/>
      <c r="K2186" s="1439"/>
      <c r="L2186" s="1439">
        <f>3-0.2-0.1-1.05</f>
        <v>1.65</v>
      </c>
      <c r="M2186" s="1439"/>
      <c r="N2186" s="1439"/>
      <c r="O2186" s="1439"/>
      <c r="P2186" s="1439"/>
      <c r="Q2186" s="1439"/>
      <c r="R2186" s="1439"/>
      <c r="S2186" s="1439"/>
      <c r="T2186" s="1439"/>
      <c r="U2186" s="1439"/>
      <c r="V2186" s="1439"/>
      <c r="W2186" s="1439"/>
      <c r="X2186" s="1439"/>
      <c r="Y2186" s="1439"/>
      <c r="Z2186" s="1439"/>
      <c r="AA2186" s="1439"/>
      <c r="AB2186" s="1439"/>
      <c r="AC2186" s="1439"/>
      <c r="AD2186" s="1439"/>
      <c r="AE2186" s="1439"/>
      <c r="AF2186" s="1439"/>
      <c r="AG2186" s="1439"/>
    </row>
    <row r="2187" spans="1:33" ht="15.75" customHeight="1">
      <c r="A2187" s="1443"/>
      <c r="B2187" s="1452" t="s">
        <v>7401</v>
      </c>
      <c r="C2187" s="1445">
        <v>6</v>
      </c>
      <c r="D2187" s="1453" t="s">
        <v>3364</v>
      </c>
      <c r="E2187" s="1445">
        <v>1</v>
      </c>
      <c r="F2187" s="1446">
        <v>1.5</v>
      </c>
      <c r="G2187" s="1446"/>
      <c r="H2187" s="1447">
        <v>2.9</v>
      </c>
      <c r="I2187" s="1448">
        <f t="shared" si="89"/>
        <v>26.1</v>
      </c>
      <c r="J2187" s="1449"/>
      <c r="K2187" s="1439"/>
      <c r="L2187" s="1439">
        <f>1.65+1</f>
        <v>2.65</v>
      </c>
      <c r="M2187" s="1439"/>
      <c r="N2187" s="1439"/>
      <c r="O2187" s="1439"/>
      <c r="P2187" s="1439"/>
      <c r="Q2187" s="1439"/>
      <c r="R2187" s="1439"/>
      <c r="S2187" s="1439"/>
      <c r="T2187" s="1439"/>
      <c r="U2187" s="1439"/>
      <c r="V2187" s="1439"/>
      <c r="W2187" s="1439"/>
      <c r="X2187" s="1439"/>
      <c r="Y2187" s="1439"/>
      <c r="Z2187" s="1439"/>
      <c r="AA2187" s="1439"/>
      <c r="AB2187" s="1439"/>
      <c r="AC2187" s="1439"/>
      <c r="AD2187" s="1439"/>
      <c r="AE2187" s="1439"/>
      <c r="AF2187" s="1439"/>
      <c r="AG2187" s="1439"/>
    </row>
    <row r="2188" spans="1:33" ht="15.75" customHeight="1">
      <c r="A2188" s="1443"/>
      <c r="B2188" s="1452" t="s">
        <v>7402</v>
      </c>
      <c r="C2188" s="1445">
        <v>2</v>
      </c>
      <c r="D2188" s="1453" t="s">
        <v>3364</v>
      </c>
      <c r="E2188" s="1445">
        <v>1</v>
      </c>
      <c r="F2188" s="1446">
        <v>1.8</v>
      </c>
      <c r="G2188" s="1446"/>
      <c r="H2188" s="1447">
        <v>2.9</v>
      </c>
      <c r="I2188" s="1448">
        <f t="shared" si="89"/>
        <v>10.44</v>
      </c>
      <c r="J2188" s="1449"/>
      <c r="K2188" s="1439"/>
      <c r="L2188" s="1439"/>
      <c r="M2188" s="1439"/>
      <c r="N2188" s="1439"/>
      <c r="O2188" s="1439"/>
      <c r="P2188" s="1439"/>
      <c r="Q2188" s="1439"/>
      <c r="R2188" s="1439"/>
      <c r="S2188" s="1439"/>
      <c r="T2188" s="1439"/>
      <c r="U2188" s="1439"/>
      <c r="V2188" s="1439"/>
      <c r="W2188" s="1439"/>
      <c r="X2188" s="1439"/>
      <c r="Y2188" s="1439"/>
      <c r="Z2188" s="1439"/>
      <c r="AA2188" s="1439"/>
      <c r="AB2188" s="1439"/>
      <c r="AC2188" s="1439"/>
      <c r="AD2188" s="1439"/>
      <c r="AE2188" s="1439"/>
      <c r="AF2188" s="1439"/>
      <c r="AG2188" s="1439"/>
    </row>
    <row r="2189" spans="1:33" ht="15.75" customHeight="1">
      <c r="A2189" s="1443"/>
      <c r="B2189" s="1452" t="s">
        <v>7403</v>
      </c>
      <c r="C2189" s="1445">
        <v>6</v>
      </c>
      <c r="D2189" s="1453" t="s">
        <v>3364</v>
      </c>
      <c r="E2189" s="1445">
        <v>1</v>
      </c>
      <c r="F2189" s="1446">
        <v>1.8</v>
      </c>
      <c r="G2189" s="1446"/>
      <c r="H2189" s="1447">
        <v>3.15</v>
      </c>
      <c r="I2189" s="1448">
        <f t="shared" si="89"/>
        <v>34.020000000000003</v>
      </c>
      <c r="J2189" s="1449"/>
      <c r="K2189" s="1439"/>
      <c r="L2189" s="1439"/>
      <c r="M2189" s="1439"/>
      <c r="N2189" s="1439"/>
      <c r="O2189" s="1439"/>
      <c r="P2189" s="1439"/>
      <c r="Q2189" s="1439"/>
      <c r="R2189" s="1439"/>
      <c r="S2189" s="1439"/>
      <c r="T2189" s="1439"/>
      <c r="U2189" s="1439"/>
      <c r="V2189" s="1439"/>
      <c r="W2189" s="1439"/>
      <c r="X2189" s="1439"/>
      <c r="Y2189" s="1439"/>
      <c r="Z2189" s="1439"/>
      <c r="AA2189" s="1439"/>
      <c r="AB2189" s="1439"/>
      <c r="AC2189" s="1439"/>
      <c r="AD2189" s="1439"/>
      <c r="AE2189" s="1439"/>
      <c r="AF2189" s="1439"/>
      <c r="AG2189" s="1439"/>
    </row>
    <row r="2190" spans="1:33" ht="15.75" customHeight="1">
      <c r="A2190" s="1470"/>
      <c r="B2190" s="1471" t="s">
        <v>3404</v>
      </c>
      <c r="C2190" s="1445"/>
      <c r="D2190" s="1445"/>
      <c r="E2190" s="1445"/>
      <c r="F2190" s="1446"/>
      <c r="G2190" s="1446"/>
      <c r="H2190" s="1447"/>
      <c r="I2190" s="1494">
        <f>PRODUCT(C2190:H2190)</f>
        <v>0</v>
      </c>
      <c r="J2190" s="1449"/>
      <c r="K2190" s="1439"/>
      <c r="L2190" s="1439"/>
      <c r="M2190" s="1439"/>
      <c r="N2190" s="1439"/>
      <c r="O2190" s="1439"/>
      <c r="P2190" s="1439"/>
      <c r="Q2190" s="1439"/>
      <c r="R2190" s="1439"/>
      <c r="S2190" s="1439"/>
      <c r="T2190" s="1439"/>
      <c r="U2190" s="1439"/>
      <c r="V2190" s="1439"/>
      <c r="W2190" s="1439"/>
      <c r="X2190" s="1439"/>
      <c r="Y2190" s="1439"/>
      <c r="Z2190" s="1439"/>
      <c r="AA2190" s="1439"/>
      <c r="AB2190" s="1439"/>
      <c r="AC2190" s="1439"/>
      <c r="AD2190" s="1439"/>
      <c r="AE2190" s="1439"/>
      <c r="AF2190" s="1439"/>
      <c r="AG2190" s="1439"/>
    </row>
    <row r="2191" spans="1:33" ht="15.75" customHeight="1">
      <c r="A2191" s="1443"/>
      <c r="B2191" s="1452" t="s">
        <v>7396</v>
      </c>
      <c r="C2191" s="1445">
        <v>3</v>
      </c>
      <c r="D2191" s="1453" t="s">
        <v>3364</v>
      </c>
      <c r="E2191" s="1445">
        <v>1</v>
      </c>
      <c r="F2191" s="1446">
        <v>1.06</v>
      </c>
      <c r="G2191" s="1454"/>
      <c r="H2191" s="1447">
        <v>2.9</v>
      </c>
      <c r="I2191" s="1448">
        <f t="shared" si="89"/>
        <v>9.2200000000000006</v>
      </c>
      <c r="J2191" s="1449"/>
      <c r="K2191" s="1439"/>
      <c r="L2191" s="1439"/>
      <c r="M2191" s="1439"/>
      <c r="N2191" s="1439"/>
      <c r="O2191" s="1439"/>
      <c r="P2191" s="1439"/>
      <c r="Q2191" s="1439"/>
      <c r="R2191" s="1439"/>
      <c r="S2191" s="1439"/>
      <c r="T2191" s="1439"/>
      <c r="U2191" s="1439"/>
      <c r="V2191" s="1439"/>
      <c r="W2191" s="1439"/>
      <c r="X2191" s="1439"/>
      <c r="Y2191" s="1439"/>
      <c r="Z2191" s="1439"/>
      <c r="AA2191" s="1439"/>
      <c r="AB2191" s="1439"/>
      <c r="AC2191" s="1439"/>
      <c r="AD2191" s="1439"/>
      <c r="AE2191" s="1439"/>
      <c r="AF2191" s="1439"/>
      <c r="AG2191" s="1439"/>
    </row>
    <row r="2192" spans="1:33" ht="15.75" customHeight="1">
      <c r="A2192" s="1443"/>
      <c r="B2192" s="1452" t="s">
        <v>7397</v>
      </c>
      <c r="C2192" s="1445">
        <v>2</v>
      </c>
      <c r="D2192" s="1453" t="s">
        <v>3364</v>
      </c>
      <c r="E2192" s="1445">
        <v>1</v>
      </c>
      <c r="F2192" s="1446">
        <v>1.22</v>
      </c>
      <c r="G2192" s="1446"/>
      <c r="H2192" s="1447">
        <v>2.9</v>
      </c>
      <c r="I2192" s="1448">
        <f t="shared" si="89"/>
        <v>7.08</v>
      </c>
      <c r="J2192" s="1449"/>
      <c r="K2192" s="1439"/>
      <c r="L2192" s="1439"/>
      <c r="M2192" s="1439"/>
      <c r="N2192" s="1439"/>
      <c r="O2192" s="1439"/>
      <c r="P2192" s="1439"/>
      <c r="Q2192" s="1439"/>
      <c r="R2192" s="1439"/>
      <c r="S2192" s="1439"/>
      <c r="T2192" s="1439"/>
      <c r="U2192" s="1439"/>
      <c r="V2192" s="1439"/>
      <c r="W2192" s="1439"/>
      <c r="X2192" s="1439"/>
      <c r="Y2192" s="1439"/>
      <c r="Z2192" s="1439"/>
      <c r="AA2192" s="1439"/>
      <c r="AB2192" s="1439"/>
      <c r="AC2192" s="1439"/>
      <c r="AD2192" s="1439"/>
      <c r="AE2192" s="1439"/>
      <c r="AF2192" s="1439"/>
      <c r="AG2192" s="1439"/>
    </row>
    <row r="2193" spans="1:33" ht="15.75" customHeight="1">
      <c r="A2193" s="1443"/>
      <c r="B2193" s="1452" t="s">
        <v>7398</v>
      </c>
      <c r="C2193" s="1445">
        <v>4</v>
      </c>
      <c r="D2193" s="1453" t="s">
        <v>3364</v>
      </c>
      <c r="E2193" s="1445">
        <v>1</v>
      </c>
      <c r="F2193" s="1446">
        <v>1.36</v>
      </c>
      <c r="G2193" s="1446"/>
      <c r="H2193" s="1447">
        <v>2.9</v>
      </c>
      <c r="I2193" s="1448">
        <f t="shared" si="89"/>
        <v>15.78</v>
      </c>
      <c r="J2193" s="1449"/>
      <c r="K2193" s="1439"/>
      <c r="L2193" s="1439">
        <f>3.6-0.45</f>
        <v>3.15</v>
      </c>
      <c r="M2193" s="1439"/>
      <c r="N2193" s="1439"/>
      <c r="O2193" s="1439"/>
      <c r="P2193" s="1439"/>
      <c r="Q2193" s="1439"/>
      <c r="R2193" s="1439"/>
      <c r="S2193" s="1439"/>
      <c r="T2193" s="1439"/>
      <c r="U2193" s="1439"/>
      <c r="V2193" s="1439"/>
      <c r="W2193" s="1439"/>
      <c r="X2193" s="1439"/>
      <c r="Y2193" s="1439"/>
      <c r="Z2193" s="1439"/>
      <c r="AA2193" s="1439"/>
      <c r="AB2193" s="1439"/>
      <c r="AC2193" s="1439"/>
      <c r="AD2193" s="1439"/>
      <c r="AE2193" s="1439"/>
      <c r="AF2193" s="1439"/>
      <c r="AG2193" s="1439"/>
    </row>
    <row r="2194" spans="1:33" ht="15.75" customHeight="1">
      <c r="A2194" s="1443"/>
      <c r="B2194" s="1452" t="s">
        <v>7399</v>
      </c>
      <c r="C2194" s="1445">
        <v>5</v>
      </c>
      <c r="D2194" s="1453" t="s">
        <v>3364</v>
      </c>
      <c r="E2194" s="1445">
        <v>1</v>
      </c>
      <c r="F2194" s="1446">
        <v>1.36</v>
      </c>
      <c r="G2194" s="1446"/>
      <c r="H2194" s="1447">
        <v>2.9</v>
      </c>
      <c r="I2194" s="1448">
        <f t="shared" si="89"/>
        <v>19.72</v>
      </c>
      <c r="J2194" s="1449"/>
      <c r="K2194" s="1439"/>
      <c r="L2194" s="1439"/>
      <c r="M2194" s="1439"/>
      <c r="N2194" s="1439"/>
      <c r="O2194" s="1439"/>
      <c r="P2194" s="1439"/>
      <c r="Q2194" s="1439"/>
      <c r="R2194" s="1439"/>
      <c r="S2194" s="1439"/>
      <c r="T2194" s="1439"/>
      <c r="U2194" s="1439"/>
      <c r="V2194" s="1439"/>
      <c r="W2194" s="1439"/>
      <c r="X2194" s="1439"/>
      <c r="Y2194" s="1439"/>
      <c r="Z2194" s="1439"/>
      <c r="AA2194" s="1439"/>
      <c r="AB2194" s="1439"/>
      <c r="AC2194" s="1439"/>
      <c r="AD2194" s="1439"/>
      <c r="AE2194" s="1439"/>
      <c r="AF2194" s="1439"/>
      <c r="AG2194" s="1439"/>
    </row>
    <row r="2195" spans="1:33" ht="15.75" customHeight="1">
      <c r="A2195" s="1443"/>
      <c r="B2195" s="1452" t="s">
        <v>7400</v>
      </c>
      <c r="C2195" s="1445">
        <v>6</v>
      </c>
      <c r="D2195" s="1453" t="s">
        <v>3364</v>
      </c>
      <c r="E2195" s="1445">
        <v>1</v>
      </c>
      <c r="F2195" s="1446">
        <v>1.5</v>
      </c>
      <c r="G2195" s="1446"/>
      <c r="H2195" s="1447">
        <v>2.9</v>
      </c>
      <c r="I2195" s="1448">
        <f t="shared" si="89"/>
        <v>26.1</v>
      </c>
      <c r="J2195" s="1449"/>
      <c r="K2195" s="1439"/>
      <c r="L2195" s="1439">
        <f>3-0.2-0.1-1.05</f>
        <v>1.65</v>
      </c>
      <c r="M2195" s="1439"/>
      <c r="N2195" s="1439"/>
      <c r="O2195" s="1439"/>
      <c r="P2195" s="1439"/>
      <c r="Q2195" s="1439"/>
      <c r="R2195" s="1439"/>
      <c r="S2195" s="1439"/>
      <c r="T2195" s="1439"/>
      <c r="U2195" s="1439"/>
      <c r="V2195" s="1439"/>
      <c r="W2195" s="1439"/>
      <c r="X2195" s="1439"/>
      <c r="Y2195" s="1439"/>
      <c r="Z2195" s="1439"/>
      <c r="AA2195" s="1439"/>
      <c r="AB2195" s="1439"/>
      <c r="AC2195" s="1439"/>
      <c r="AD2195" s="1439"/>
      <c r="AE2195" s="1439"/>
      <c r="AF2195" s="1439"/>
      <c r="AG2195" s="1439"/>
    </row>
    <row r="2196" spans="1:33" ht="15.75" customHeight="1">
      <c r="A2196" s="1443"/>
      <c r="B2196" s="1452" t="s">
        <v>7401</v>
      </c>
      <c r="C2196" s="1445">
        <v>6</v>
      </c>
      <c r="D2196" s="1453" t="s">
        <v>3364</v>
      </c>
      <c r="E2196" s="1445">
        <v>1</v>
      </c>
      <c r="F2196" s="1446">
        <v>1.5</v>
      </c>
      <c r="G2196" s="1446"/>
      <c r="H2196" s="1447">
        <v>2.9</v>
      </c>
      <c r="I2196" s="1448">
        <f t="shared" si="89"/>
        <v>26.1</v>
      </c>
      <c r="J2196" s="1449"/>
      <c r="K2196" s="1439"/>
      <c r="L2196" s="1439">
        <f>1.65+1</f>
        <v>2.65</v>
      </c>
      <c r="M2196" s="1439"/>
      <c r="N2196" s="1439"/>
      <c r="O2196" s="1439"/>
      <c r="P2196" s="1439"/>
      <c r="Q2196" s="1439"/>
      <c r="R2196" s="1439"/>
      <c r="S2196" s="1439"/>
      <c r="T2196" s="1439"/>
      <c r="U2196" s="1439"/>
      <c r="V2196" s="1439"/>
      <c r="W2196" s="1439"/>
      <c r="X2196" s="1439"/>
      <c r="Y2196" s="1439"/>
      <c r="Z2196" s="1439"/>
      <c r="AA2196" s="1439"/>
      <c r="AB2196" s="1439"/>
      <c r="AC2196" s="1439"/>
      <c r="AD2196" s="1439"/>
      <c r="AE2196" s="1439"/>
      <c r="AF2196" s="1439"/>
      <c r="AG2196" s="1439"/>
    </row>
    <row r="2197" spans="1:33" ht="15.75" customHeight="1">
      <c r="A2197" s="1443"/>
      <c r="B2197" s="1452" t="s">
        <v>7402</v>
      </c>
      <c r="C2197" s="1445">
        <v>2</v>
      </c>
      <c r="D2197" s="1453" t="s">
        <v>3364</v>
      </c>
      <c r="E2197" s="1445">
        <v>1</v>
      </c>
      <c r="F2197" s="1446">
        <v>1.8</v>
      </c>
      <c r="G2197" s="1446"/>
      <c r="H2197" s="1447">
        <v>2.9</v>
      </c>
      <c r="I2197" s="1448">
        <f t="shared" si="89"/>
        <v>10.44</v>
      </c>
      <c r="J2197" s="1449"/>
      <c r="K2197" s="1439"/>
      <c r="L2197" s="1439"/>
      <c r="M2197" s="1439"/>
      <c r="N2197" s="1439"/>
      <c r="O2197" s="1439"/>
      <c r="P2197" s="1439"/>
      <c r="Q2197" s="1439"/>
      <c r="R2197" s="1439"/>
      <c r="S2197" s="1439"/>
      <c r="T2197" s="1439"/>
      <c r="U2197" s="1439"/>
      <c r="V2197" s="1439"/>
      <c r="W2197" s="1439"/>
      <c r="X2197" s="1439"/>
      <c r="Y2197" s="1439"/>
      <c r="Z2197" s="1439"/>
      <c r="AA2197" s="1439"/>
      <c r="AB2197" s="1439"/>
      <c r="AC2197" s="1439"/>
      <c r="AD2197" s="1439"/>
      <c r="AE2197" s="1439"/>
      <c r="AF2197" s="1439"/>
      <c r="AG2197" s="1439"/>
    </row>
    <row r="2198" spans="1:33" ht="15.75" customHeight="1">
      <c r="A2198" s="1443"/>
      <c r="B2198" s="1452" t="s">
        <v>7403</v>
      </c>
      <c r="C2198" s="1445">
        <v>6</v>
      </c>
      <c r="D2198" s="1453" t="s">
        <v>3364</v>
      </c>
      <c r="E2198" s="1445">
        <v>1</v>
      </c>
      <c r="F2198" s="1446">
        <v>1.8</v>
      </c>
      <c r="G2198" s="1446"/>
      <c r="H2198" s="1447">
        <v>2.9</v>
      </c>
      <c r="I2198" s="1448">
        <f t="shared" si="89"/>
        <v>31.32</v>
      </c>
      <c r="J2198" s="1449"/>
      <c r="K2198" s="1439"/>
      <c r="L2198" s="1439"/>
      <c r="M2198" s="1439"/>
      <c r="N2198" s="1439"/>
      <c r="O2198" s="1439"/>
      <c r="P2198" s="1439"/>
      <c r="Q2198" s="1439"/>
      <c r="R2198" s="1439"/>
      <c r="S2198" s="1439"/>
      <c r="T2198" s="1439"/>
      <c r="U2198" s="1439"/>
      <c r="V2198" s="1439"/>
      <c r="W2198" s="1439"/>
      <c r="X2198" s="1439"/>
      <c r="Y2198" s="1439"/>
      <c r="Z2198" s="1439"/>
      <c r="AA2198" s="1439"/>
      <c r="AB2198" s="1439"/>
      <c r="AC2198" s="1439"/>
      <c r="AD2198" s="1439"/>
      <c r="AE2198" s="1439"/>
      <c r="AF2198" s="1439"/>
      <c r="AG2198" s="1439"/>
    </row>
    <row r="2199" spans="1:33" ht="15.75" customHeight="1">
      <c r="A2199" s="1470"/>
      <c r="B2199" s="1491" t="s">
        <v>7564</v>
      </c>
      <c r="C2199" s="1445"/>
      <c r="D2199" s="1445"/>
      <c r="E2199" s="1445"/>
      <c r="F2199" s="1446"/>
      <c r="G2199" s="1446"/>
      <c r="H2199" s="1447"/>
      <c r="I2199" s="1494">
        <f>PRODUCT(C2199:H2199)</f>
        <v>0</v>
      </c>
      <c r="J2199" s="1449"/>
      <c r="K2199" s="1439"/>
      <c r="L2199" s="1439"/>
      <c r="M2199" s="1439"/>
      <c r="N2199" s="1439"/>
      <c r="O2199" s="1439"/>
      <c r="P2199" s="1439"/>
      <c r="Q2199" s="1439"/>
      <c r="R2199" s="1439"/>
      <c r="S2199" s="1439"/>
      <c r="T2199" s="1439"/>
      <c r="U2199" s="1439"/>
      <c r="V2199" s="1439"/>
      <c r="W2199" s="1439"/>
      <c r="X2199" s="1439"/>
      <c r="Y2199" s="1439"/>
      <c r="Z2199" s="1439"/>
      <c r="AA2199" s="1439"/>
      <c r="AB2199" s="1439"/>
      <c r="AC2199" s="1439"/>
      <c r="AD2199" s="1439"/>
      <c r="AE2199" s="1439"/>
      <c r="AF2199" s="1439"/>
      <c r="AG2199" s="1439"/>
    </row>
    <row r="2200" spans="1:33" ht="15.75" customHeight="1">
      <c r="A2200" s="1443"/>
      <c r="B2200" s="1452" t="s">
        <v>7396</v>
      </c>
      <c r="C2200" s="1445">
        <v>3</v>
      </c>
      <c r="D2200" s="1453" t="s">
        <v>3364</v>
      </c>
      <c r="E2200" s="1445">
        <v>1</v>
      </c>
      <c r="F2200" s="1446">
        <v>1.06</v>
      </c>
      <c r="G2200" s="1454"/>
      <c r="H2200" s="1447">
        <v>2.9</v>
      </c>
      <c r="I2200" s="1448">
        <f t="shared" si="89"/>
        <v>9.2200000000000006</v>
      </c>
      <c r="J2200" s="1449"/>
      <c r="K2200" s="1439"/>
      <c r="L2200" s="1439"/>
      <c r="M2200" s="1439"/>
      <c r="N2200" s="1439"/>
      <c r="O2200" s="1439"/>
      <c r="P2200" s="1439"/>
      <c r="Q2200" s="1439"/>
      <c r="R2200" s="1439"/>
      <c r="S2200" s="1439"/>
      <c r="T2200" s="1439"/>
      <c r="U2200" s="1439"/>
      <c r="V2200" s="1439"/>
      <c r="W2200" s="1439"/>
      <c r="X2200" s="1439"/>
      <c r="Y2200" s="1439"/>
      <c r="Z2200" s="1439"/>
      <c r="AA2200" s="1439"/>
      <c r="AB2200" s="1439"/>
      <c r="AC2200" s="1439"/>
      <c r="AD2200" s="1439"/>
      <c r="AE2200" s="1439"/>
      <c r="AF2200" s="1439"/>
      <c r="AG2200" s="1439"/>
    </row>
    <row r="2201" spans="1:33" ht="15.75" customHeight="1">
      <c r="A2201" s="1443"/>
      <c r="B2201" s="1452" t="s">
        <v>7397</v>
      </c>
      <c r="C2201" s="1445">
        <v>2</v>
      </c>
      <c r="D2201" s="1453" t="s">
        <v>3364</v>
      </c>
      <c r="E2201" s="1445">
        <v>1</v>
      </c>
      <c r="F2201" s="1446">
        <v>1.22</v>
      </c>
      <c r="G2201" s="1446"/>
      <c r="H2201" s="1447">
        <v>2.9</v>
      </c>
      <c r="I2201" s="1448">
        <f t="shared" si="89"/>
        <v>7.08</v>
      </c>
      <c r="J2201" s="1449"/>
      <c r="K2201" s="1439"/>
      <c r="L2201" s="1439"/>
      <c r="M2201" s="1439"/>
      <c r="N2201" s="1439"/>
      <c r="O2201" s="1439"/>
      <c r="P2201" s="1439"/>
      <c r="Q2201" s="1439"/>
      <c r="R2201" s="1439"/>
      <c r="S2201" s="1439"/>
      <c r="T2201" s="1439"/>
      <c r="U2201" s="1439"/>
      <c r="V2201" s="1439"/>
      <c r="W2201" s="1439"/>
      <c r="X2201" s="1439"/>
      <c r="Y2201" s="1439"/>
      <c r="Z2201" s="1439"/>
      <c r="AA2201" s="1439"/>
      <c r="AB2201" s="1439"/>
      <c r="AC2201" s="1439"/>
      <c r="AD2201" s="1439"/>
      <c r="AE2201" s="1439"/>
      <c r="AF2201" s="1439"/>
      <c r="AG2201" s="1439"/>
    </row>
    <row r="2202" spans="1:33" ht="15.75" customHeight="1">
      <c r="A2202" s="1443"/>
      <c r="B2202" s="1452" t="s">
        <v>7398</v>
      </c>
      <c r="C2202" s="1445">
        <v>4</v>
      </c>
      <c r="D2202" s="1453" t="s">
        <v>3364</v>
      </c>
      <c r="E2202" s="1445">
        <v>1</v>
      </c>
      <c r="F2202" s="1446">
        <v>1.36</v>
      </c>
      <c r="G2202" s="1446"/>
      <c r="H2202" s="1447">
        <v>2.9</v>
      </c>
      <c r="I2202" s="1448">
        <f t="shared" si="89"/>
        <v>15.78</v>
      </c>
      <c r="J2202" s="1449"/>
      <c r="K2202" s="1439"/>
      <c r="L2202" s="1439">
        <f>3.6-0.45</f>
        <v>3.15</v>
      </c>
      <c r="M2202" s="1439"/>
      <c r="N2202" s="1439"/>
      <c r="O2202" s="1439"/>
      <c r="P2202" s="1439"/>
      <c r="Q2202" s="1439"/>
      <c r="R2202" s="1439"/>
      <c r="S2202" s="1439"/>
      <c r="T2202" s="1439"/>
      <c r="U2202" s="1439"/>
      <c r="V2202" s="1439"/>
      <c r="W2202" s="1439"/>
      <c r="X2202" s="1439"/>
      <c r="Y2202" s="1439"/>
      <c r="Z2202" s="1439"/>
      <c r="AA2202" s="1439"/>
      <c r="AB2202" s="1439"/>
      <c r="AC2202" s="1439"/>
      <c r="AD2202" s="1439"/>
      <c r="AE2202" s="1439"/>
      <c r="AF2202" s="1439"/>
      <c r="AG2202" s="1439"/>
    </row>
    <row r="2203" spans="1:33" ht="15.75" customHeight="1">
      <c r="A2203" s="1443"/>
      <c r="B2203" s="1452" t="s">
        <v>7399</v>
      </c>
      <c r="C2203" s="1445">
        <v>5</v>
      </c>
      <c r="D2203" s="1453" t="s">
        <v>3364</v>
      </c>
      <c r="E2203" s="1445">
        <v>1</v>
      </c>
      <c r="F2203" s="1446">
        <v>1.36</v>
      </c>
      <c r="G2203" s="1446"/>
      <c r="H2203" s="1447">
        <v>2.9</v>
      </c>
      <c r="I2203" s="1448">
        <f t="shared" si="89"/>
        <v>19.72</v>
      </c>
      <c r="J2203" s="1449"/>
      <c r="K2203" s="1439"/>
      <c r="L2203" s="1439"/>
      <c r="M2203" s="1439"/>
      <c r="N2203" s="1439"/>
      <c r="O2203" s="1439"/>
      <c r="P2203" s="1439"/>
      <c r="Q2203" s="1439"/>
      <c r="R2203" s="1439"/>
      <c r="S2203" s="1439"/>
      <c r="T2203" s="1439"/>
      <c r="U2203" s="1439"/>
      <c r="V2203" s="1439"/>
      <c r="W2203" s="1439"/>
      <c r="X2203" s="1439"/>
      <c r="Y2203" s="1439"/>
      <c r="Z2203" s="1439"/>
      <c r="AA2203" s="1439"/>
      <c r="AB2203" s="1439"/>
      <c r="AC2203" s="1439"/>
      <c r="AD2203" s="1439"/>
      <c r="AE2203" s="1439"/>
      <c r="AF2203" s="1439"/>
      <c r="AG2203" s="1439"/>
    </row>
    <row r="2204" spans="1:33" ht="15.75" customHeight="1">
      <c r="A2204" s="1443"/>
      <c r="B2204" s="1452" t="s">
        <v>7400</v>
      </c>
      <c r="C2204" s="1445">
        <v>6</v>
      </c>
      <c r="D2204" s="1453" t="s">
        <v>3364</v>
      </c>
      <c r="E2204" s="1445">
        <v>1</v>
      </c>
      <c r="F2204" s="1446">
        <v>1.5</v>
      </c>
      <c r="G2204" s="1446"/>
      <c r="H2204" s="1447">
        <v>2.9</v>
      </c>
      <c r="I2204" s="1448">
        <f t="shared" si="89"/>
        <v>26.1</v>
      </c>
      <c r="J2204" s="1449"/>
      <c r="K2204" s="1439"/>
      <c r="L2204" s="1439">
        <f>3-0.2-0.1-1.05</f>
        <v>1.65</v>
      </c>
      <c r="M2204" s="1439"/>
      <c r="N2204" s="1439"/>
      <c r="O2204" s="1439"/>
      <c r="P2204" s="1439"/>
      <c r="Q2204" s="1439"/>
      <c r="R2204" s="1439"/>
      <c r="S2204" s="1439"/>
      <c r="T2204" s="1439"/>
      <c r="U2204" s="1439"/>
      <c r="V2204" s="1439"/>
      <c r="W2204" s="1439"/>
      <c r="X2204" s="1439"/>
      <c r="Y2204" s="1439"/>
      <c r="Z2204" s="1439"/>
      <c r="AA2204" s="1439"/>
      <c r="AB2204" s="1439"/>
      <c r="AC2204" s="1439"/>
      <c r="AD2204" s="1439"/>
      <c r="AE2204" s="1439"/>
      <c r="AF2204" s="1439"/>
      <c r="AG2204" s="1439"/>
    </row>
    <row r="2205" spans="1:33" ht="15.75" customHeight="1">
      <c r="A2205" s="1443"/>
      <c r="B2205" s="1452" t="s">
        <v>7401</v>
      </c>
      <c r="C2205" s="1445">
        <v>6</v>
      </c>
      <c r="D2205" s="1453" t="s">
        <v>3364</v>
      </c>
      <c r="E2205" s="1445">
        <v>1</v>
      </c>
      <c r="F2205" s="1446">
        <v>1.5</v>
      </c>
      <c r="G2205" s="1446"/>
      <c r="H2205" s="1447">
        <v>2.9</v>
      </c>
      <c r="I2205" s="1448">
        <f t="shared" si="89"/>
        <v>26.1</v>
      </c>
      <c r="J2205" s="1449"/>
      <c r="K2205" s="1439"/>
      <c r="L2205" s="1439">
        <f>1.65+1</f>
        <v>2.65</v>
      </c>
      <c r="M2205" s="1439"/>
      <c r="N2205" s="1439"/>
      <c r="O2205" s="1439"/>
      <c r="P2205" s="1439"/>
      <c r="Q2205" s="1439"/>
      <c r="R2205" s="1439"/>
      <c r="S2205" s="1439"/>
      <c r="T2205" s="1439"/>
      <c r="U2205" s="1439"/>
      <c r="V2205" s="1439"/>
      <c r="W2205" s="1439"/>
      <c r="X2205" s="1439"/>
      <c r="Y2205" s="1439"/>
      <c r="Z2205" s="1439"/>
      <c r="AA2205" s="1439"/>
      <c r="AB2205" s="1439"/>
      <c r="AC2205" s="1439"/>
      <c r="AD2205" s="1439"/>
      <c r="AE2205" s="1439"/>
      <c r="AF2205" s="1439"/>
      <c r="AG2205" s="1439"/>
    </row>
    <row r="2206" spans="1:33" ht="15.75" customHeight="1">
      <c r="A2206" s="1443"/>
      <c r="B2206" s="1452" t="s">
        <v>7402</v>
      </c>
      <c r="C2206" s="1445">
        <v>2</v>
      </c>
      <c r="D2206" s="1453" t="s">
        <v>3364</v>
      </c>
      <c r="E2206" s="1445">
        <v>1</v>
      </c>
      <c r="F2206" s="1446">
        <v>1.8</v>
      </c>
      <c r="G2206" s="1446"/>
      <c r="H2206" s="1447">
        <v>2.9</v>
      </c>
      <c r="I2206" s="1448">
        <f t="shared" si="89"/>
        <v>10.44</v>
      </c>
      <c r="J2206" s="1449"/>
      <c r="K2206" s="1439"/>
      <c r="L2206" s="1439"/>
      <c r="M2206" s="1439"/>
      <c r="N2206" s="1439"/>
      <c r="O2206" s="1439"/>
      <c r="P2206" s="1439"/>
      <c r="Q2206" s="1439"/>
      <c r="R2206" s="1439"/>
      <c r="S2206" s="1439"/>
      <c r="T2206" s="1439"/>
      <c r="U2206" s="1439"/>
      <c r="V2206" s="1439"/>
      <c r="W2206" s="1439"/>
      <c r="X2206" s="1439"/>
      <c r="Y2206" s="1439"/>
      <c r="Z2206" s="1439"/>
      <c r="AA2206" s="1439"/>
      <c r="AB2206" s="1439"/>
      <c r="AC2206" s="1439"/>
      <c r="AD2206" s="1439"/>
      <c r="AE2206" s="1439"/>
      <c r="AF2206" s="1439"/>
      <c r="AG2206" s="1439"/>
    </row>
    <row r="2207" spans="1:33" ht="15.75" customHeight="1">
      <c r="A2207" s="1443"/>
      <c r="B2207" s="1452" t="s">
        <v>7403</v>
      </c>
      <c r="C2207" s="1445">
        <v>6</v>
      </c>
      <c r="D2207" s="1453" t="s">
        <v>3364</v>
      </c>
      <c r="E2207" s="1445">
        <v>1</v>
      </c>
      <c r="F2207" s="1446">
        <v>1.8</v>
      </c>
      <c r="G2207" s="1446"/>
      <c r="H2207" s="1447">
        <v>2.9</v>
      </c>
      <c r="I2207" s="1448">
        <f t="shared" si="89"/>
        <v>31.32</v>
      </c>
      <c r="J2207" s="1449"/>
      <c r="K2207" s="1439"/>
      <c r="L2207" s="1439"/>
      <c r="M2207" s="1439"/>
      <c r="N2207" s="1439"/>
      <c r="O2207" s="1439"/>
      <c r="P2207" s="1439"/>
      <c r="Q2207" s="1439"/>
      <c r="R2207" s="1439"/>
      <c r="S2207" s="1439"/>
      <c r="T2207" s="1439"/>
      <c r="U2207" s="1439"/>
      <c r="V2207" s="1439"/>
      <c r="W2207" s="1439"/>
      <c r="X2207" s="1439"/>
      <c r="Y2207" s="1439"/>
      <c r="Z2207" s="1439"/>
      <c r="AA2207" s="1439"/>
      <c r="AB2207" s="1439"/>
      <c r="AC2207" s="1439"/>
      <c r="AD2207" s="1439"/>
      <c r="AE2207" s="1439"/>
      <c r="AF2207" s="1439"/>
      <c r="AG2207" s="1439"/>
    </row>
    <row r="2208" spans="1:33" ht="15.75" customHeight="1">
      <c r="A2208" s="1470"/>
      <c r="B2208" s="1491" t="s">
        <v>7563</v>
      </c>
      <c r="C2208" s="1445"/>
      <c r="D2208" s="1445"/>
      <c r="E2208" s="1445"/>
      <c r="F2208" s="1446"/>
      <c r="G2208" s="1446"/>
      <c r="H2208" s="1447"/>
      <c r="I2208" s="1448">
        <f t="shared" si="89"/>
        <v>0</v>
      </c>
      <c r="J2208" s="1449"/>
      <c r="K2208" s="1439"/>
      <c r="L2208" s="1439"/>
      <c r="M2208" s="1439"/>
      <c r="N2208" s="1439"/>
      <c r="O2208" s="1439"/>
      <c r="P2208" s="1439"/>
      <c r="Q2208" s="1439"/>
      <c r="R2208" s="1439"/>
      <c r="S2208" s="1439"/>
      <c r="T2208" s="1439"/>
      <c r="U2208" s="1439"/>
      <c r="V2208" s="1439"/>
      <c r="W2208" s="1439"/>
      <c r="X2208" s="1439"/>
      <c r="Y2208" s="1439"/>
      <c r="Z2208" s="1439"/>
      <c r="AA2208" s="1439"/>
      <c r="AB2208" s="1439"/>
      <c r="AC2208" s="1439"/>
      <c r="AD2208" s="1439"/>
      <c r="AE2208" s="1439"/>
      <c r="AF2208" s="1439"/>
      <c r="AG2208" s="1439"/>
    </row>
    <row r="2209" spans="1:33" ht="15.75" customHeight="1">
      <c r="A2209" s="1443"/>
      <c r="B2209" s="1452" t="s">
        <v>7396</v>
      </c>
      <c r="C2209" s="1445">
        <v>3</v>
      </c>
      <c r="D2209" s="1453" t="s">
        <v>3364</v>
      </c>
      <c r="E2209" s="1445">
        <v>1</v>
      </c>
      <c r="F2209" s="1446">
        <v>1.06</v>
      </c>
      <c r="G2209" s="1454"/>
      <c r="H2209" s="1447">
        <v>2.9</v>
      </c>
      <c r="I2209" s="1448">
        <f t="shared" si="89"/>
        <v>9.2200000000000006</v>
      </c>
      <c r="J2209" s="1449"/>
      <c r="K2209" s="1439"/>
      <c r="L2209" s="1439"/>
      <c r="M2209" s="1439"/>
      <c r="N2209" s="1439"/>
      <c r="O2209" s="1439"/>
      <c r="P2209" s="1439"/>
      <c r="Q2209" s="1439"/>
      <c r="R2209" s="1439"/>
      <c r="S2209" s="1439"/>
      <c r="T2209" s="1439"/>
      <c r="U2209" s="1439"/>
      <c r="V2209" s="1439"/>
      <c r="W2209" s="1439"/>
      <c r="X2209" s="1439"/>
      <c r="Y2209" s="1439"/>
      <c r="Z2209" s="1439"/>
      <c r="AA2209" s="1439"/>
      <c r="AB2209" s="1439"/>
      <c r="AC2209" s="1439"/>
      <c r="AD2209" s="1439"/>
      <c r="AE2209" s="1439"/>
      <c r="AF2209" s="1439"/>
      <c r="AG2209" s="1439"/>
    </row>
    <row r="2210" spans="1:33" ht="15.75" customHeight="1">
      <c r="A2210" s="1443"/>
      <c r="B2210" s="1452" t="s">
        <v>7397</v>
      </c>
      <c r="C2210" s="1445">
        <v>2</v>
      </c>
      <c r="D2210" s="1453" t="s">
        <v>3364</v>
      </c>
      <c r="E2210" s="1445">
        <v>1</v>
      </c>
      <c r="F2210" s="1446">
        <v>1.22</v>
      </c>
      <c r="G2210" s="1446"/>
      <c r="H2210" s="1447">
        <v>2.9</v>
      </c>
      <c r="I2210" s="1448">
        <f t="shared" si="89"/>
        <v>7.08</v>
      </c>
      <c r="J2210" s="1449"/>
      <c r="K2210" s="1439"/>
      <c r="L2210" s="1439"/>
      <c r="M2210" s="1439"/>
      <c r="N2210" s="1439"/>
      <c r="O2210" s="1439"/>
      <c r="P2210" s="1439"/>
      <c r="Q2210" s="1439"/>
      <c r="R2210" s="1439"/>
      <c r="S2210" s="1439"/>
      <c r="T2210" s="1439"/>
      <c r="U2210" s="1439"/>
      <c r="V2210" s="1439"/>
      <c r="W2210" s="1439"/>
      <c r="X2210" s="1439"/>
      <c r="Y2210" s="1439"/>
      <c r="Z2210" s="1439"/>
      <c r="AA2210" s="1439"/>
      <c r="AB2210" s="1439"/>
      <c r="AC2210" s="1439"/>
      <c r="AD2210" s="1439"/>
      <c r="AE2210" s="1439"/>
      <c r="AF2210" s="1439"/>
      <c r="AG2210" s="1439"/>
    </row>
    <row r="2211" spans="1:33" ht="15.75" customHeight="1">
      <c r="A2211" s="1443"/>
      <c r="B2211" s="1452" t="s">
        <v>7398</v>
      </c>
      <c r="C2211" s="1445">
        <v>4</v>
      </c>
      <c r="D2211" s="1453" t="s">
        <v>3364</v>
      </c>
      <c r="E2211" s="1445">
        <v>1</v>
      </c>
      <c r="F2211" s="1446">
        <v>1.36</v>
      </c>
      <c r="G2211" s="1446"/>
      <c r="H2211" s="1447">
        <v>2.9</v>
      </c>
      <c r="I2211" s="1448">
        <f t="shared" si="89"/>
        <v>15.78</v>
      </c>
      <c r="J2211" s="1449"/>
      <c r="K2211" s="1439"/>
      <c r="L2211" s="1439">
        <f>3.6-0.45</f>
        <v>3.15</v>
      </c>
      <c r="M2211" s="1439"/>
      <c r="N2211" s="1439"/>
      <c r="O2211" s="1439"/>
      <c r="P2211" s="1439"/>
      <c r="Q2211" s="1439"/>
      <c r="R2211" s="1439"/>
      <c r="S2211" s="1439"/>
      <c r="T2211" s="1439"/>
      <c r="U2211" s="1439"/>
      <c r="V2211" s="1439"/>
      <c r="W2211" s="1439"/>
      <c r="X2211" s="1439"/>
      <c r="Y2211" s="1439"/>
      <c r="Z2211" s="1439"/>
      <c r="AA2211" s="1439"/>
      <c r="AB2211" s="1439"/>
      <c r="AC2211" s="1439"/>
      <c r="AD2211" s="1439"/>
      <c r="AE2211" s="1439"/>
      <c r="AF2211" s="1439"/>
      <c r="AG2211" s="1439"/>
    </row>
    <row r="2212" spans="1:33" ht="15.75" customHeight="1">
      <c r="A2212" s="1443"/>
      <c r="B2212" s="1452" t="s">
        <v>7399</v>
      </c>
      <c r="C2212" s="1445">
        <v>5</v>
      </c>
      <c r="D2212" s="1453" t="s">
        <v>3364</v>
      </c>
      <c r="E2212" s="1445">
        <v>1</v>
      </c>
      <c r="F2212" s="1446">
        <v>1.36</v>
      </c>
      <c r="G2212" s="1446"/>
      <c r="H2212" s="1447">
        <v>2.9</v>
      </c>
      <c r="I2212" s="1448">
        <f t="shared" si="89"/>
        <v>19.72</v>
      </c>
      <c r="J2212" s="1449"/>
      <c r="K2212" s="1439"/>
      <c r="L2212" s="1439"/>
      <c r="M2212" s="1439"/>
      <c r="N2212" s="1439"/>
      <c r="O2212" s="1439"/>
      <c r="P2212" s="1439"/>
      <c r="Q2212" s="1439"/>
      <c r="R2212" s="1439"/>
      <c r="S2212" s="1439"/>
      <c r="T2212" s="1439"/>
      <c r="U2212" s="1439"/>
      <c r="V2212" s="1439"/>
      <c r="W2212" s="1439"/>
      <c r="X2212" s="1439"/>
      <c r="Y2212" s="1439"/>
      <c r="Z2212" s="1439"/>
      <c r="AA2212" s="1439"/>
      <c r="AB2212" s="1439"/>
      <c r="AC2212" s="1439"/>
      <c r="AD2212" s="1439"/>
      <c r="AE2212" s="1439"/>
      <c r="AF2212" s="1439"/>
      <c r="AG2212" s="1439"/>
    </row>
    <row r="2213" spans="1:33" ht="15.75" customHeight="1">
      <c r="A2213" s="1443"/>
      <c r="B2213" s="1452" t="s">
        <v>7400</v>
      </c>
      <c r="C2213" s="1445">
        <v>6</v>
      </c>
      <c r="D2213" s="1453" t="s">
        <v>3364</v>
      </c>
      <c r="E2213" s="1445">
        <v>1</v>
      </c>
      <c r="F2213" s="1446">
        <v>1.5</v>
      </c>
      <c r="G2213" s="1446"/>
      <c r="H2213" s="1447">
        <v>2.9</v>
      </c>
      <c r="I2213" s="1448">
        <f t="shared" si="89"/>
        <v>26.1</v>
      </c>
      <c r="J2213" s="1449"/>
      <c r="K2213" s="1439"/>
      <c r="L2213" s="1439">
        <f>3-0.2-0.1-1.05</f>
        <v>1.65</v>
      </c>
      <c r="M2213" s="1439"/>
      <c r="N2213" s="1439"/>
      <c r="O2213" s="1439"/>
      <c r="P2213" s="1439"/>
      <c r="Q2213" s="1439"/>
      <c r="R2213" s="1439"/>
      <c r="S2213" s="1439"/>
      <c r="T2213" s="1439"/>
      <c r="U2213" s="1439"/>
      <c r="V2213" s="1439"/>
      <c r="W2213" s="1439"/>
      <c r="X2213" s="1439"/>
      <c r="Y2213" s="1439"/>
      <c r="Z2213" s="1439"/>
      <c r="AA2213" s="1439"/>
      <c r="AB2213" s="1439"/>
      <c r="AC2213" s="1439"/>
      <c r="AD2213" s="1439"/>
      <c r="AE2213" s="1439"/>
      <c r="AF2213" s="1439"/>
      <c r="AG2213" s="1439"/>
    </row>
    <row r="2214" spans="1:33" ht="15.75" customHeight="1">
      <c r="A2214" s="1443"/>
      <c r="B2214" s="1452" t="s">
        <v>7401</v>
      </c>
      <c r="C2214" s="1445">
        <v>6</v>
      </c>
      <c r="D2214" s="1453" t="s">
        <v>3364</v>
      </c>
      <c r="E2214" s="1445">
        <v>1</v>
      </c>
      <c r="F2214" s="1446">
        <v>1.5</v>
      </c>
      <c r="G2214" s="1446"/>
      <c r="H2214" s="1447">
        <v>2.9</v>
      </c>
      <c r="I2214" s="1448">
        <f t="shared" si="89"/>
        <v>26.1</v>
      </c>
      <c r="J2214" s="1449"/>
      <c r="K2214" s="1439"/>
      <c r="L2214" s="1439">
        <f>1.65+1</f>
        <v>2.65</v>
      </c>
      <c r="M2214" s="1439"/>
      <c r="N2214" s="1439"/>
      <c r="O2214" s="1439"/>
      <c r="P2214" s="1439"/>
      <c r="Q2214" s="1439"/>
      <c r="R2214" s="1439"/>
      <c r="S2214" s="1439"/>
      <c r="T2214" s="1439"/>
      <c r="U2214" s="1439"/>
      <c r="V2214" s="1439"/>
      <c r="W2214" s="1439"/>
      <c r="X2214" s="1439"/>
      <c r="Y2214" s="1439"/>
      <c r="Z2214" s="1439"/>
      <c r="AA2214" s="1439"/>
      <c r="AB2214" s="1439"/>
      <c r="AC2214" s="1439"/>
      <c r="AD2214" s="1439"/>
      <c r="AE2214" s="1439"/>
      <c r="AF2214" s="1439"/>
      <c r="AG2214" s="1439"/>
    </row>
    <row r="2215" spans="1:33" ht="15.75" customHeight="1">
      <c r="A2215" s="1443"/>
      <c r="B2215" s="1452" t="s">
        <v>7402</v>
      </c>
      <c r="C2215" s="1445">
        <v>2</v>
      </c>
      <c r="D2215" s="1453" t="s">
        <v>3364</v>
      </c>
      <c r="E2215" s="1445">
        <v>1</v>
      </c>
      <c r="F2215" s="1446">
        <v>1.8</v>
      </c>
      <c r="G2215" s="1446"/>
      <c r="H2215" s="1447">
        <v>2.9</v>
      </c>
      <c r="I2215" s="1448">
        <f t="shared" si="89"/>
        <v>10.44</v>
      </c>
      <c r="J2215" s="1449"/>
      <c r="K2215" s="1439"/>
      <c r="L2215" s="1439"/>
      <c r="M2215" s="1439"/>
      <c r="N2215" s="1439"/>
      <c r="O2215" s="1439"/>
      <c r="P2215" s="1439"/>
      <c r="Q2215" s="1439"/>
      <c r="R2215" s="1439"/>
      <c r="S2215" s="1439"/>
      <c r="T2215" s="1439"/>
      <c r="U2215" s="1439"/>
      <c r="V2215" s="1439"/>
      <c r="W2215" s="1439"/>
      <c r="X2215" s="1439"/>
      <c r="Y2215" s="1439"/>
      <c r="Z2215" s="1439"/>
      <c r="AA2215" s="1439"/>
      <c r="AB2215" s="1439"/>
      <c r="AC2215" s="1439"/>
      <c r="AD2215" s="1439"/>
      <c r="AE2215" s="1439"/>
      <c r="AF2215" s="1439"/>
      <c r="AG2215" s="1439"/>
    </row>
    <row r="2216" spans="1:33" ht="15.75" customHeight="1">
      <c r="A2216" s="1443"/>
      <c r="B2216" s="1452" t="s">
        <v>7403</v>
      </c>
      <c r="C2216" s="1445">
        <v>6</v>
      </c>
      <c r="D2216" s="1453" t="s">
        <v>3364</v>
      </c>
      <c r="E2216" s="1445">
        <v>1</v>
      </c>
      <c r="F2216" s="1446">
        <v>1.8</v>
      </c>
      <c r="G2216" s="1446"/>
      <c r="H2216" s="1447">
        <v>2.9</v>
      </c>
      <c r="I2216" s="1448">
        <f t="shared" si="89"/>
        <v>31.32</v>
      </c>
      <c r="J2216" s="1449"/>
      <c r="K2216" s="1439"/>
      <c r="L2216" s="1439"/>
      <c r="M2216" s="1439"/>
      <c r="N2216" s="1439"/>
      <c r="O2216" s="1439"/>
      <c r="P2216" s="1439"/>
      <c r="Q2216" s="1439"/>
      <c r="R2216" s="1439"/>
      <c r="S2216" s="1439"/>
      <c r="T2216" s="1439"/>
      <c r="U2216" s="1439"/>
      <c r="V2216" s="1439"/>
      <c r="W2216" s="1439"/>
      <c r="X2216" s="1439"/>
      <c r="Y2216" s="1439"/>
      <c r="Z2216" s="1439"/>
      <c r="AA2216" s="1439"/>
      <c r="AB2216" s="1439"/>
      <c r="AC2216" s="1439"/>
      <c r="AD2216" s="1439"/>
      <c r="AE2216" s="1439"/>
      <c r="AF2216" s="1439"/>
      <c r="AG2216" s="1439"/>
    </row>
    <row r="2217" spans="1:33" ht="15.75" customHeight="1">
      <c r="A2217" s="1470"/>
      <c r="B2217" s="1491" t="s">
        <v>57</v>
      </c>
      <c r="C2217" s="1445"/>
      <c r="D2217" s="1445"/>
      <c r="E2217" s="1445"/>
      <c r="F2217" s="1446"/>
      <c r="G2217" s="1446"/>
      <c r="H2217" s="1447"/>
      <c r="I2217" s="1494">
        <f>PRODUCT(C2217:H2217)</f>
        <v>0</v>
      </c>
      <c r="J2217" s="1449"/>
      <c r="K2217" s="1439"/>
      <c r="L2217" s="1439"/>
      <c r="M2217" s="1439"/>
      <c r="N2217" s="1439"/>
      <c r="O2217" s="1439"/>
      <c r="P2217" s="1439"/>
      <c r="Q2217" s="1439"/>
      <c r="R2217" s="1439"/>
      <c r="S2217" s="1439"/>
      <c r="T2217" s="1439"/>
      <c r="U2217" s="1439"/>
      <c r="V2217" s="1439"/>
      <c r="W2217" s="1439"/>
      <c r="X2217" s="1439"/>
      <c r="Y2217" s="1439"/>
      <c r="Z2217" s="1439"/>
      <c r="AA2217" s="1439"/>
      <c r="AB2217" s="1439"/>
      <c r="AC2217" s="1439"/>
      <c r="AD2217" s="1439"/>
      <c r="AE2217" s="1439"/>
      <c r="AF2217" s="1439"/>
      <c r="AG2217" s="1439"/>
    </row>
    <row r="2218" spans="1:33" ht="15.75" customHeight="1">
      <c r="A2218" s="1443"/>
      <c r="B2218" s="1452" t="s">
        <v>7396</v>
      </c>
      <c r="C2218" s="1445">
        <v>3</v>
      </c>
      <c r="D2218" s="1453" t="s">
        <v>3364</v>
      </c>
      <c r="E2218" s="1445">
        <v>1</v>
      </c>
      <c r="F2218" s="1446">
        <v>1.06</v>
      </c>
      <c r="G2218" s="1454"/>
      <c r="H2218" s="1447">
        <v>2.9</v>
      </c>
      <c r="I2218" s="1448">
        <f t="shared" si="89"/>
        <v>9.2200000000000006</v>
      </c>
      <c r="J2218" s="1449"/>
      <c r="K2218" s="1439"/>
      <c r="L2218" s="1439"/>
      <c r="M2218" s="1439"/>
      <c r="N2218" s="1439"/>
      <c r="O2218" s="1439"/>
      <c r="P2218" s="1439"/>
      <c r="Q2218" s="1439"/>
      <c r="R2218" s="1439"/>
      <c r="S2218" s="1439"/>
      <c r="T2218" s="1439"/>
      <c r="U2218" s="1439"/>
      <c r="V2218" s="1439"/>
      <c r="W2218" s="1439"/>
      <c r="X2218" s="1439"/>
      <c r="Y2218" s="1439"/>
      <c r="Z2218" s="1439"/>
      <c r="AA2218" s="1439"/>
      <c r="AB2218" s="1439"/>
      <c r="AC2218" s="1439"/>
      <c r="AD2218" s="1439"/>
      <c r="AE2218" s="1439"/>
      <c r="AF2218" s="1439"/>
      <c r="AG2218" s="1439"/>
    </row>
    <row r="2219" spans="1:33" ht="15.75" customHeight="1">
      <c r="A2219" s="1443"/>
      <c r="B2219" s="1452" t="s">
        <v>7397</v>
      </c>
      <c r="C2219" s="1445">
        <v>2</v>
      </c>
      <c r="D2219" s="1453" t="s">
        <v>3364</v>
      </c>
      <c r="E2219" s="1445">
        <v>1</v>
      </c>
      <c r="F2219" s="1446">
        <v>1.22</v>
      </c>
      <c r="G2219" s="1446"/>
      <c r="H2219" s="1447">
        <v>2.9</v>
      </c>
      <c r="I2219" s="1448">
        <f t="shared" si="89"/>
        <v>7.08</v>
      </c>
      <c r="J2219" s="1449"/>
      <c r="K2219" s="1439"/>
      <c r="L2219" s="1439"/>
      <c r="M2219" s="1439"/>
      <c r="N2219" s="1439"/>
      <c r="O2219" s="1439"/>
      <c r="P2219" s="1439"/>
      <c r="Q2219" s="1439"/>
      <c r="R2219" s="1439"/>
      <c r="S2219" s="1439"/>
      <c r="T2219" s="1439"/>
      <c r="U2219" s="1439"/>
      <c r="V2219" s="1439"/>
      <c r="W2219" s="1439"/>
      <c r="X2219" s="1439"/>
      <c r="Y2219" s="1439"/>
      <c r="Z2219" s="1439"/>
      <c r="AA2219" s="1439"/>
      <c r="AB2219" s="1439"/>
      <c r="AC2219" s="1439"/>
      <c r="AD2219" s="1439"/>
      <c r="AE2219" s="1439"/>
      <c r="AF2219" s="1439"/>
      <c r="AG2219" s="1439"/>
    </row>
    <row r="2220" spans="1:33" ht="15.75" customHeight="1">
      <c r="A2220" s="1443"/>
      <c r="B2220" s="1452" t="s">
        <v>7398</v>
      </c>
      <c r="C2220" s="1445">
        <v>4</v>
      </c>
      <c r="D2220" s="1453" t="s">
        <v>3364</v>
      </c>
      <c r="E2220" s="1445">
        <v>1</v>
      </c>
      <c r="F2220" s="1446">
        <v>1.36</v>
      </c>
      <c r="G2220" s="1446"/>
      <c r="H2220" s="1447">
        <v>2.9</v>
      </c>
      <c r="I2220" s="1448">
        <f t="shared" si="89"/>
        <v>15.78</v>
      </c>
      <c r="J2220" s="1449"/>
      <c r="K2220" s="1439"/>
      <c r="L2220" s="1439">
        <f>3.6-0.45</f>
        <v>3.15</v>
      </c>
      <c r="M2220" s="1439"/>
      <c r="N2220" s="1439"/>
      <c r="O2220" s="1439"/>
      <c r="P2220" s="1439"/>
      <c r="Q2220" s="1439"/>
      <c r="R2220" s="1439"/>
      <c r="S2220" s="1439"/>
      <c r="T2220" s="1439"/>
      <c r="U2220" s="1439"/>
      <c r="V2220" s="1439"/>
      <c r="W2220" s="1439"/>
      <c r="X2220" s="1439"/>
      <c r="Y2220" s="1439"/>
      <c r="Z2220" s="1439"/>
      <c r="AA2220" s="1439"/>
      <c r="AB2220" s="1439"/>
      <c r="AC2220" s="1439"/>
      <c r="AD2220" s="1439"/>
      <c r="AE2220" s="1439"/>
      <c r="AF2220" s="1439"/>
      <c r="AG2220" s="1439"/>
    </row>
    <row r="2221" spans="1:33" ht="15.75" customHeight="1">
      <c r="A2221" s="1443"/>
      <c r="B2221" s="1452" t="s">
        <v>7399</v>
      </c>
      <c r="C2221" s="1445">
        <v>5</v>
      </c>
      <c r="D2221" s="1453" t="s">
        <v>3364</v>
      </c>
      <c r="E2221" s="1445">
        <v>1</v>
      </c>
      <c r="F2221" s="1446">
        <v>1.36</v>
      </c>
      <c r="G2221" s="1446"/>
      <c r="H2221" s="1447">
        <v>2.9</v>
      </c>
      <c r="I2221" s="1448">
        <f t="shared" si="89"/>
        <v>19.72</v>
      </c>
      <c r="J2221" s="1449"/>
      <c r="K2221" s="1439"/>
      <c r="L2221" s="1439"/>
      <c r="M2221" s="1439"/>
      <c r="N2221" s="1439"/>
      <c r="O2221" s="1439"/>
      <c r="P2221" s="1439"/>
      <c r="Q2221" s="1439"/>
      <c r="R2221" s="1439"/>
      <c r="S2221" s="1439"/>
      <c r="T2221" s="1439"/>
      <c r="U2221" s="1439"/>
      <c r="V2221" s="1439"/>
      <c r="W2221" s="1439"/>
      <c r="X2221" s="1439"/>
      <c r="Y2221" s="1439"/>
      <c r="Z2221" s="1439"/>
      <c r="AA2221" s="1439"/>
      <c r="AB2221" s="1439"/>
      <c r="AC2221" s="1439"/>
      <c r="AD2221" s="1439"/>
      <c r="AE2221" s="1439"/>
      <c r="AF2221" s="1439"/>
      <c r="AG2221" s="1439"/>
    </row>
    <row r="2222" spans="1:33" ht="15.75" customHeight="1">
      <c r="A2222" s="1443"/>
      <c r="B2222" s="1452" t="s">
        <v>7400</v>
      </c>
      <c r="C2222" s="1445">
        <v>6</v>
      </c>
      <c r="D2222" s="1453" t="s">
        <v>3364</v>
      </c>
      <c r="E2222" s="1445">
        <v>1</v>
      </c>
      <c r="F2222" s="1446">
        <v>1.5</v>
      </c>
      <c r="G2222" s="1446"/>
      <c r="H2222" s="1447">
        <v>2.9</v>
      </c>
      <c r="I2222" s="1448">
        <f t="shared" si="89"/>
        <v>26.1</v>
      </c>
      <c r="J2222" s="1449"/>
      <c r="K2222" s="1439"/>
      <c r="L2222" s="1439">
        <f>3-0.2-0.1-1.05</f>
        <v>1.65</v>
      </c>
      <c r="M2222" s="1439"/>
      <c r="N2222" s="1439"/>
      <c r="O2222" s="1439"/>
      <c r="P2222" s="1439"/>
      <c r="Q2222" s="1439"/>
      <c r="R2222" s="1439"/>
      <c r="S2222" s="1439"/>
      <c r="T2222" s="1439"/>
      <c r="U2222" s="1439"/>
      <c r="V2222" s="1439"/>
      <c r="W2222" s="1439"/>
      <c r="X2222" s="1439"/>
      <c r="Y2222" s="1439"/>
      <c r="Z2222" s="1439"/>
      <c r="AA2222" s="1439"/>
      <c r="AB2222" s="1439"/>
      <c r="AC2222" s="1439"/>
      <c r="AD2222" s="1439"/>
      <c r="AE2222" s="1439"/>
      <c r="AF2222" s="1439"/>
      <c r="AG2222" s="1439"/>
    </row>
    <row r="2223" spans="1:33" ht="15.75" customHeight="1">
      <c r="A2223" s="1443"/>
      <c r="B2223" s="1452" t="s">
        <v>7401</v>
      </c>
      <c r="C2223" s="1445">
        <v>6</v>
      </c>
      <c r="D2223" s="1453" t="s">
        <v>3364</v>
      </c>
      <c r="E2223" s="1445">
        <v>1</v>
      </c>
      <c r="F2223" s="1446">
        <v>1.5</v>
      </c>
      <c r="G2223" s="1446"/>
      <c r="H2223" s="1447">
        <v>2.9</v>
      </c>
      <c r="I2223" s="1448">
        <f t="shared" si="89"/>
        <v>26.1</v>
      </c>
      <c r="J2223" s="1449"/>
      <c r="K2223" s="1439"/>
      <c r="L2223" s="1439">
        <f>1.65+1</f>
        <v>2.65</v>
      </c>
      <c r="M2223" s="1439"/>
      <c r="N2223" s="1439"/>
      <c r="O2223" s="1439"/>
      <c r="P2223" s="1439"/>
      <c r="Q2223" s="1439"/>
      <c r="R2223" s="1439"/>
      <c r="S2223" s="1439"/>
      <c r="T2223" s="1439"/>
      <c r="U2223" s="1439"/>
      <c r="V2223" s="1439"/>
      <c r="W2223" s="1439"/>
      <c r="X2223" s="1439"/>
      <c r="Y2223" s="1439"/>
      <c r="Z2223" s="1439"/>
      <c r="AA2223" s="1439"/>
      <c r="AB2223" s="1439"/>
      <c r="AC2223" s="1439"/>
      <c r="AD2223" s="1439"/>
      <c r="AE2223" s="1439"/>
      <c r="AF2223" s="1439"/>
      <c r="AG2223" s="1439"/>
    </row>
    <row r="2224" spans="1:33" ht="15.75" customHeight="1">
      <c r="A2224" s="1443"/>
      <c r="B2224" s="1452" t="s">
        <v>7402</v>
      </c>
      <c r="C2224" s="1445">
        <v>2</v>
      </c>
      <c r="D2224" s="1453" t="s">
        <v>3364</v>
      </c>
      <c r="E2224" s="1445">
        <v>1</v>
      </c>
      <c r="F2224" s="1446">
        <v>1.8</v>
      </c>
      <c r="G2224" s="1446"/>
      <c r="H2224" s="1447">
        <v>2.9</v>
      </c>
      <c r="I2224" s="1448">
        <f t="shared" si="89"/>
        <v>10.44</v>
      </c>
      <c r="J2224" s="1449"/>
      <c r="K2224" s="1439"/>
      <c r="L2224" s="1439"/>
      <c r="M2224" s="1439"/>
      <c r="N2224" s="1439"/>
      <c r="O2224" s="1439"/>
      <c r="P2224" s="1439"/>
      <c r="Q2224" s="1439"/>
      <c r="R2224" s="1439"/>
      <c r="S2224" s="1439"/>
      <c r="T2224" s="1439"/>
      <c r="U2224" s="1439"/>
      <c r="V2224" s="1439"/>
      <c r="W2224" s="1439"/>
      <c r="X2224" s="1439"/>
      <c r="Y2224" s="1439"/>
      <c r="Z2224" s="1439"/>
      <c r="AA2224" s="1439"/>
      <c r="AB2224" s="1439"/>
      <c r="AC2224" s="1439"/>
      <c r="AD2224" s="1439"/>
      <c r="AE2224" s="1439"/>
      <c r="AF2224" s="1439"/>
      <c r="AG2224" s="1439"/>
    </row>
    <row r="2225" spans="1:33" ht="15.75" customHeight="1">
      <c r="A2225" s="1443"/>
      <c r="B2225" s="1452" t="s">
        <v>7403</v>
      </c>
      <c r="C2225" s="1445">
        <v>6</v>
      </c>
      <c r="D2225" s="1453" t="s">
        <v>3364</v>
      </c>
      <c r="E2225" s="1445">
        <v>1</v>
      </c>
      <c r="F2225" s="1446">
        <v>1.8</v>
      </c>
      <c r="G2225" s="1446"/>
      <c r="H2225" s="1447">
        <v>2.9</v>
      </c>
      <c r="I2225" s="1448">
        <f t="shared" si="89"/>
        <v>31.32</v>
      </c>
      <c r="J2225" s="1449"/>
      <c r="K2225" s="1439"/>
      <c r="L2225" s="1439"/>
      <c r="M2225" s="1439"/>
      <c r="N2225" s="1439"/>
      <c r="O2225" s="1439"/>
      <c r="P2225" s="1439"/>
      <c r="Q2225" s="1439"/>
      <c r="R2225" s="1439"/>
      <c r="S2225" s="1439"/>
      <c r="T2225" s="1439"/>
      <c r="U2225" s="1439"/>
      <c r="V2225" s="1439"/>
      <c r="W2225" s="1439"/>
      <c r="X2225" s="1439"/>
      <c r="Y2225" s="1439"/>
      <c r="Z2225" s="1439"/>
      <c r="AA2225" s="1439"/>
      <c r="AB2225" s="1439"/>
      <c r="AC2225" s="1439"/>
      <c r="AD2225" s="1439"/>
      <c r="AE2225" s="1439"/>
      <c r="AF2225" s="1439"/>
      <c r="AG2225" s="1439"/>
    </row>
    <row r="2226" spans="1:33" ht="15.75" customHeight="1">
      <c r="A2226" s="1443"/>
      <c r="B2226" s="1471" t="s">
        <v>7257</v>
      </c>
      <c r="C2226" s="1445"/>
      <c r="D2226" s="1445"/>
      <c r="E2226" s="1445"/>
      <c r="F2226" s="1446"/>
      <c r="G2226" s="1446"/>
      <c r="H2226" s="1447"/>
      <c r="I2226" s="1448">
        <f t="shared" si="89"/>
        <v>0</v>
      </c>
      <c r="J2226" s="1449"/>
      <c r="K2226" s="1439"/>
      <c r="L2226" s="1439"/>
      <c r="M2226" s="1439"/>
      <c r="N2226" s="1439"/>
      <c r="O2226" s="1439"/>
      <c r="P2226" s="1439"/>
      <c r="Q2226" s="1439"/>
      <c r="R2226" s="1439"/>
      <c r="S2226" s="1439"/>
      <c r="T2226" s="1439"/>
      <c r="U2226" s="1439"/>
      <c r="V2226" s="1439"/>
      <c r="W2226" s="1439"/>
      <c r="X2226" s="1439"/>
      <c r="Y2226" s="1439"/>
      <c r="Z2226" s="1439"/>
      <c r="AA2226" s="1439"/>
      <c r="AB2226" s="1439"/>
      <c r="AC2226" s="1439"/>
      <c r="AD2226" s="1439"/>
      <c r="AE2226" s="1439"/>
      <c r="AF2226" s="1439"/>
      <c r="AG2226" s="1439"/>
    </row>
    <row r="2227" spans="1:33" ht="15.75" customHeight="1">
      <c r="A2227" s="1443"/>
      <c r="B2227" s="1452" t="s">
        <v>7396</v>
      </c>
      <c r="C2227" s="1445">
        <v>3</v>
      </c>
      <c r="D2227" s="1453" t="s">
        <v>3364</v>
      </c>
      <c r="E2227" s="1445">
        <v>1</v>
      </c>
      <c r="F2227" s="1446">
        <v>1.06</v>
      </c>
      <c r="G2227" s="1454"/>
      <c r="H2227" s="1447">
        <v>1.2</v>
      </c>
      <c r="I2227" s="1448">
        <f t="shared" si="89"/>
        <v>3.82</v>
      </c>
      <c r="J2227" s="1449"/>
      <c r="K2227" s="1439"/>
      <c r="L2227" s="1439"/>
      <c r="M2227" s="1439"/>
      <c r="N2227" s="1439"/>
      <c r="O2227" s="1439"/>
      <c r="P2227" s="1439"/>
      <c r="Q2227" s="1439"/>
      <c r="R2227" s="1439"/>
      <c r="S2227" s="1439"/>
      <c r="T2227" s="1439"/>
      <c r="U2227" s="1439"/>
      <c r="V2227" s="1439"/>
      <c r="W2227" s="1439"/>
      <c r="X2227" s="1439"/>
      <c r="Y2227" s="1439"/>
      <c r="Z2227" s="1439"/>
      <c r="AA2227" s="1439"/>
      <c r="AB2227" s="1439"/>
      <c r="AC2227" s="1439"/>
      <c r="AD2227" s="1439"/>
      <c r="AE2227" s="1439"/>
      <c r="AF2227" s="1439"/>
      <c r="AG2227" s="1439"/>
    </row>
    <row r="2228" spans="1:33" ht="15.75" customHeight="1">
      <c r="A2228" s="1443"/>
      <c r="B2228" s="1452" t="s">
        <v>7397</v>
      </c>
      <c r="C2228" s="1445">
        <v>2</v>
      </c>
      <c r="D2228" s="1453" t="s">
        <v>3364</v>
      </c>
      <c r="E2228" s="1445">
        <v>1</v>
      </c>
      <c r="F2228" s="1446">
        <v>1.22</v>
      </c>
      <c r="G2228" s="1446"/>
      <c r="H2228" s="1447">
        <v>1.2</v>
      </c>
      <c r="I2228" s="1448">
        <f t="shared" si="89"/>
        <v>2.93</v>
      </c>
      <c r="J2228" s="1449"/>
      <c r="K2228" s="1439"/>
      <c r="L2228" s="1439"/>
      <c r="M2228" s="1439"/>
      <c r="N2228" s="1439"/>
      <c r="O2228" s="1439"/>
      <c r="P2228" s="1439"/>
      <c r="Q2228" s="1439"/>
      <c r="R2228" s="1439"/>
      <c r="S2228" s="1439"/>
      <c r="T2228" s="1439"/>
      <c r="U2228" s="1439"/>
      <c r="V2228" s="1439"/>
      <c r="W2228" s="1439"/>
      <c r="X2228" s="1439"/>
      <c r="Y2228" s="1439"/>
      <c r="Z2228" s="1439"/>
      <c r="AA2228" s="1439"/>
      <c r="AB2228" s="1439"/>
      <c r="AC2228" s="1439"/>
      <c r="AD2228" s="1439"/>
      <c r="AE2228" s="1439"/>
      <c r="AF2228" s="1439"/>
      <c r="AG2228" s="1439"/>
    </row>
    <row r="2229" spans="1:33" ht="15.75" customHeight="1">
      <c r="A2229" s="1443"/>
      <c r="B2229" s="1452" t="s">
        <v>7398</v>
      </c>
      <c r="C2229" s="1445">
        <v>4</v>
      </c>
      <c r="D2229" s="1453" t="s">
        <v>3364</v>
      </c>
      <c r="E2229" s="1445">
        <v>1</v>
      </c>
      <c r="F2229" s="1446">
        <v>1.36</v>
      </c>
      <c r="G2229" s="1446"/>
      <c r="H2229" s="1447">
        <v>1.2</v>
      </c>
      <c r="I2229" s="1448">
        <f t="shared" si="89"/>
        <v>6.53</v>
      </c>
      <c r="J2229" s="1449"/>
      <c r="K2229" s="1439"/>
      <c r="L2229" s="1439">
        <f>3.6-0.45</f>
        <v>3.15</v>
      </c>
      <c r="M2229" s="1439"/>
      <c r="N2229" s="1439"/>
      <c r="O2229" s="1439"/>
      <c r="P2229" s="1439"/>
      <c r="Q2229" s="1439"/>
      <c r="R2229" s="1439"/>
      <c r="S2229" s="1439"/>
      <c r="T2229" s="1439"/>
      <c r="U2229" s="1439"/>
      <c r="V2229" s="1439"/>
      <c r="W2229" s="1439"/>
      <c r="X2229" s="1439"/>
      <c r="Y2229" s="1439"/>
      <c r="Z2229" s="1439"/>
      <c r="AA2229" s="1439"/>
      <c r="AB2229" s="1439"/>
      <c r="AC2229" s="1439"/>
      <c r="AD2229" s="1439"/>
      <c r="AE2229" s="1439"/>
      <c r="AF2229" s="1439"/>
      <c r="AG2229" s="1439"/>
    </row>
    <row r="2230" spans="1:33" ht="15.75" customHeight="1">
      <c r="A2230" s="1443"/>
      <c r="B2230" s="1452" t="s">
        <v>7399</v>
      </c>
      <c r="C2230" s="1445">
        <v>5</v>
      </c>
      <c r="D2230" s="1453" t="s">
        <v>3364</v>
      </c>
      <c r="E2230" s="1445">
        <v>1</v>
      </c>
      <c r="F2230" s="1446">
        <v>1.36</v>
      </c>
      <c r="G2230" s="1446"/>
      <c r="H2230" s="1447">
        <v>1.2</v>
      </c>
      <c r="I2230" s="1448">
        <f t="shared" si="89"/>
        <v>8.16</v>
      </c>
      <c r="J2230" s="1449"/>
      <c r="K2230" s="1439"/>
      <c r="L2230" s="1439"/>
      <c r="M2230" s="1439"/>
      <c r="N2230" s="1439"/>
      <c r="O2230" s="1439"/>
      <c r="P2230" s="1439"/>
      <c r="Q2230" s="1439"/>
      <c r="R2230" s="1439"/>
      <c r="S2230" s="1439"/>
      <c r="T2230" s="1439"/>
      <c r="U2230" s="1439"/>
      <c r="V2230" s="1439"/>
      <c r="W2230" s="1439"/>
      <c r="X2230" s="1439"/>
      <c r="Y2230" s="1439"/>
      <c r="Z2230" s="1439"/>
      <c r="AA2230" s="1439"/>
      <c r="AB2230" s="1439"/>
      <c r="AC2230" s="1439"/>
      <c r="AD2230" s="1439"/>
      <c r="AE2230" s="1439"/>
      <c r="AF2230" s="1439"/>
      <c r="AG2230" s="1439"/>
    </row>
    <row r="2231" spans="1:33" ht="15.75" customHeight="1">
      <c r="A2231" s="1443"/>
      <c r="B2231" s="1452" t="s">
        <v>7400</v>
      </c>
      <c r="C2231" s="1445">
        <v>6</v>
      </c>
      <c r="D2231" s="1453" t="s">
        <v>3364</v>
      </c>
      <c r="E2231" s="1445">
        <v>1</v>
      </c>
      <c r="F2231" s="1446">
        <v>1.5</v>
      </c>
      <c r="G2231" s="1446"/>
      <c r="H2231" s="1447">
        <v>1.2</v>
      </c>
      <c r="I2231" s="1448">
        <f t="shared" si="89"/>
        <v>10.8</v>
      </c>
      <c r="J2231" s="1449"/>
      <c r="K2231" s="1439"/>
      <c r="L2231" s="1439">
        <f>3-0.2-0.1-1.05</f>
        <v>1.65</v>
      </c>
      <c r="M2231" s="1439"/>
      <c r="N2231" s="1439"/>
      <c r="O2231" s="1439"/>
      <c r="P2231" s="1439"/>
      <c r="Q2231" s="1439"/>
      <c r="R2231" s="1439"/>
      <c r="S2231" s="1439"/>
      <c r="T2231" s="1439"/>
      <c r="U2231" s="1439"/>
      <c r="V2231" s="1439"/>
      <c r="W2231" s="1439"/>
      <c r="X2231" s="1439"/>
      <c r="Y2231" s="1439"/>
      <c r="Z2231" s="1439"/>
      <c r="AA2231" s="1439"/>
      <c r="AB2231" s="1439"/>
      <c r="AC2231" s="1439"/>
      <c r="AD2231" s="1439"/>
      <c r="AE2231" s="1439"/>
      <c r="AF2231" s="1439"/>
      <c r="AG2231" s="1439"/>
    </row>
    <row r="2232" spans="1:33" ht="15.75" customHeight="1">
      <c r="A2232" s="1443"/>
      <c r="B2232" s="1452" t="s">
        <v>7401</v>
      </c>
      <c r="C2232" s="1445">
        <v>6</v>
      </c>
      <c r="D2232" s="1453" t="s">
        <v>3364</v>
      </c>
      <c r="E2232" s="1445">
        <v>1</v>
      </c>
      <c r="F2232" s="1446">
        <v>1.5</v>
      </c>
      <c r="G2232" s="1446"/>
      <c r="H2232" s="1447">
        <v>1.2</v>
      </c>
      <c r="I2232" s="1448">
        <f t="shared" si="89"/>
        <v>10.8</v>
      </c>
      <c r="J2232" s="1449"/>
      <c r="K2232" s="1439"/>
      <c r="L2232" s="1439">
        <f>1.65+1</f>
        <v>2.65</v>
      </c>
      <c r="M2232" s="1439"/>
      <c r="N2232" s="1439"/>
      <c r="O2232" s="1439"/>
      <c r="P2232" s="1439"/>
      <c r="Q2232" s="1439"/>
      <c r="R2232" s="1439"/>
      <c r="S2232" s="1439"/>
      <c r="T2232" s="1439"/>
      <c r="U2232" s="1439"/>
      <c r="V2232" s="1439"/>
      <c r="W2232" s="1439"/>
      <c r="X2232" s="1439"/>
      <c r="Y2232" s="1439"/>
      <c r="Z2232" s="1439"/>
      <c r="AA2232" s="1439"/>
      <c r="AB2232" s="1439"/>
      <c r="AC2232" s="1439"/>
      <c r="AD2232" s="1439"/>
      <c r="AE2232" s="1439"/>
      <c r="AF2232" s="1439"/>
      <c r="AG2232" s="1439"/>
    </row>
    <row r="2233" spans="1:33" ht="15.75" customHeight="1">
      <c r="A2233" s="1443"/>
      <c r="B2233" s="1452" t="s">
        <v>7402</v>
      </c>
      <c r="C2233" s="1445">
        <v>2</v>
      </c>
      <c r="D2233" s="1453" t="s">
        <v>3364</v>
      </c>
      <c r="E2233" s="1445">
        <v>1</v>
      </c>
      <c r="F2233" s="1446">
        <v>1.8</v>
      </c>
      <c r="G2233" s="1446"/>
      <c r="H2233" s="1447">
        <v>1.2</v>
      </c>
      <c r="I2233" s="1448">
        <f t="shared" si="89"/>
        <v>4.32</v>
      </c>
      <c r="J2233" s="1449"/>
      <c r="K2233" s="1439"/>
      <c r="L2233" s="1439"/>
      <c r="M2233" s="1439"/>
      <c r="N2233" s="1439"/>
      <c r="O2233" s="1439"/>
      <c r="P2233" s="1439"/>
      <c r="Q2233" s="1439"/>
      <c r="R2233" s="1439"/>
      <c r="S2233" s="1439"/>
      <c r="T2233" s="1439"/>
      <c r="U2233" s="1439"/>
      <c r="V2233" s="1439"/>
      <c r="W2233" s="1439"/>
      <c r="X2233" s="1439"/>
      <c r="Y2233" s="1439"/>
      <c r="Z2233" s="1439"/>
      <c r="AA2233" s="1439"/>
      <c r="AB2233" s="1439"/>
      <c r="AC2233" s="1439"/>
      <c r="AD2233" s="1439"/>
      <c r="AE2233" s="1439"/>
      <c r="AF2233" s="1439"/>
      <c r="AG2233" s="1439"/>
    </row>
    <row r="2234" spans="1:33" ht="15.75" customHeight="1">
      <c r="A2234" s="1443"/>
      <c r="B2234" s="1452" t="s">
        <v>7403</v>
      </c>
      <c r="C2234" s="1445">
        <v>6</v>
      </c>
      <c r="D2234" s="1453" t="s">
        <v>3364</v>
      </c>
      <c r="E2234" s="1445">
        <v>1</v>
      </c>
      <c r="F2234" s="1446">
        <v>1.8</v>
      </c>
      <c r="G2234" s="1446"/>
      <c r="H2234" s="1447">
        <v>1.2</v>
      </c>
      <c r="I2234" s="1448">
        <f t="shared" si="89"/>
        <v>12.96</v>
      </c>
      <c r="J2234" s="1449"/>
      <c r="K2234" s="1439"/>
      <c r="L2234" s="1439"/>
      <c r="M2234" s="1439"/>
      <c r="N2234" s="1439"/>
      <c r="O2234" s="1439"/>
      <c r="P2234" s="1439"/>
      <c r="Q2234" s="1439"/>
      <c r="R2234" s="1439"/>
      <c r="S2234" s="1439"/>
      <c r="T2234" s="1439"/>
      <c r="U2234" s="1439"/>
      <c r="V2234" s="1439"/>
      <c r="W2234" s="1439"/>
      <c r="X2234" s="1439"/>
      <c r="Y2234" s="1439"/>
      <c r="Z2234" s="1439"/>
      <c r="AA2234" s="1439"/>
      <c r="AB2234" s="1439"/>
      <c r="AC2234" s="1439"/>
      <c r="AD2234" s="1439"/>
      <c r="AE2234" s="1439"/>
      <c r="AF2234" s="1439"/>
      <c r="AG2234" s="1439"/>
    </row>
    <row r="2235" spans="1:33" ht="15.75" customHeight="1">
      <c r="A2235" s="1443"/>
      <c r="B2235" s="1450" t="s">
        <v>7051</v>
      </c>
      <c r="C2235" s="1445">
        <v>1</v>
      </c>
      <c r="D2235" s="1445" t="s">
        <v>3364</v>
      </c>
      <c r="E2235" s="1445">
        <v>4</v>
      </c>
      <c r="F2235" s="1446">
        <f>1.2+0.46</f>
        <v>1.66</v>
      </c>
      <c r="G2235" s="1446"/>
      <c r="H2235" s="1447">
        <v>2.9</v>
      </c>
      <c r="I2235" s="1448">
        <f t="shared" si="89"/>
        <v>19.260000000000002</v>
      </c>
      <c r="J2235" s="1449"/>
      <c r="K2235" s="1439"/>
      <c r="L2235" s="1439"/>
      <c r="M2235" s="1439"/>
      <c r="N2235" s="1439"/>
      <c r="O2235" s="1439"/>
      <c r="P2235" s="1439"/>
      <c r="Q2235" s="1439"/>
      <c r="R2235" s="1439"/>
      <c r="S2235" s="1439"/>
      <c r="T2235" s="1439"/>
      <c r="U2235" s="1439"/>
      <c r="V2235" s="1439"/>
      <c r="W2235" s="1439"/>
      <c r="X2235" s="1439"/>
      <c r="Y2235" s="1439"/>
      <c r="Z2235" s="1439"/>
      <c r="AA2235" s="1439"/>
      <c r="AB2235" s="1439"/>
      <c r="AC2235" s="1439"/>
      <c r="AD2235" s="1439"/>
      <c r="AE2235" s="1439"/>
      <c r="AF2235" s="1439"/>
      <c r="AG2235" s="1439"/>
    </row>
    <row r="2236" spans="1:33" ht="15.75" customHeight="1">
      <c r="A2236" s="1443"/>
      <c r="B2236" s="1450" t="s">
        <v>7052</v>
      </c>
      <c r="C2236" s="1445">
        <v>1</v>
      </c>
      <c r="D2236" s="1445" t="s">
        <v>3364</v>
      </c>
      <c r="E2236" s="1445">
        <v>4</v>
      </c>
      <c r="F2236" s="1446">
        <f>1.2+0.6</f>
        <v>1.8</v>
      </c>
      <c r="G2236" s="1446"/>
      <c r="H2236" s="1447">
        <v>2.9</v>
      </c>
      <c r="I2236" s="1448">
        <f t="shared" si="89"/>
        <v>20.88</v>
      </c>
      <c r="J2236" s="1449"/>
      <c r="K2236" s="1439"/>
      <c r="L2236" s="1439"/>
      <c r="M2236" s="1439"/>
      <c r="N2236" s="1439"/>
      <c r="O2236" s="1439"/>
      <c r="P2236" s="1439"/>
      <c r="Q2236" s="1439"/>
      <c r="R2236" s="1439"/>
      <c r="S2236" s="1439"/>
      <c r="T2236" s="1439"/>
      <c r="U2236" s="1439"/>
      <c r="V2236" s="1439"/>
      <c r="W2236" s="1439"/>
      <c r="X2236" s="1439"/>
      <c r="Y2236" s="1439"/>
      <c r="Z2236" s="1439"/>
      <c r="AA2236" s="1439"/>
      <c r="AB2236" s="1439"/>
      <c r="AC2236" s="1439"/>
      <c r="AD2236" s="1439"/>
      <c r="AE2236" s="1439"/>
      <c r="AF2236" s="1439"/>
      <c r="AG2236" s="1439"/>
    </row>
    <row r="2237" spans="1:33" ht="15.75" customHeight="1">
      <c r="A2237" s="1443"/>
      <c r="B2237" s="1450"/>
      <c r="C2237" s="1445"/>
      <c r="D2237" s="1445"/>
      <c r="E2237" s="1445"/>
      <c r="F2237" s="1446"/>
      <c r="G2237" s="1446"/>
      <c r="H2237" s="1460" t="s">
        <v>104</v>
      </c>
      <c r="I2237" s="1448">
        <f>SUM(I2182:I2236)</f>
        <v>836.98</v>
      </c>
      <c r="J2237" s="1449"/>
      <c r="K2237" s="1439"/>
      <c r="L2237" s="1439"/>
      <c r="M2237" s="1439"/>
      <c r="N2237" s="1439"/>
      <c r="O2237" s="1439"/>
      <c r="P2237" s="1439"/>
      <c r="Q2237" s="1439"/>
      <c r="R2237" s="1439"/>
      <c r="S2237" s="1439"/>
      <c r="T2237" s="1439"/>
      <c r="U2237" s="1439"/>
      <c r="V2237" s="1439"/>
      <c r="W2237" s="1439"/>
      <c r="X2237" s="1439"/>
      <c r="Y2237" s="1439"/>
      <c r="Z2237" s="1439"/>
      <c r="AA2237" s="1439"/>
      <c r="AB2237" s="1439"/>
      <c r="AC2237" s="1439"/>
      <c r="AD2237" s="1439"/>
      <c r="AE2237" s="1439"/>
      <c r="AF2237" s="1439"/>
      <c r="AG2237" s="1439"/>
    </row>
    <row r="2238" spans="1:33" ht="15.75" customHeight="1">
      <c r="A2238" s="1464"/>
      <c r="B2238" s="1456"/>
      <c r="C2238" s="1465"/>
      <c r="D2238" s="1465"/>
      <c r="E2238" s="1465"/>
      <c r="F2238" s="1458"/>
      <c r="G2238" s="1458"/>
      <c r="H2238" s="1460" t="s">
        <v>2981</v>
      </c>
      <c r="I2238" s="1459">
        <f>ROUNDUP(I2237,0.1)</f>
        <v>837</v>
      </c>
      <c r="J2238" s="1449" t="s">
        <v>724</v>
      </c>
      <c r="K2238" s="1466"/>
      <c r="L2238" s="1439"/>
      <c r="M2238" s="1439"/>
      <c r="N2238" s="1439"/>
      <c r="O2238" s="1544"/>
      <c r="P2238" s="1545"/>
      <c r="Q2238" s="1545"/>
      <c r="R2238" s="1545"/>
      <c r="S2238" s="1546"/>
      <c r="T2238" s="1466"/>
      <c r="U2238" s="1466"/>
      <c r="V2238" s="1466"/>
      <c r="W2238" s="1466"/>
      <c r="X2238" s="1466"/>
      <c r="Y2238" s="1466"/>
      <c r="Z2238" s="1466"/>
      <c r="AA2238" s="1466"/>
      <c r="AB2238" s="1466"/>
      <c r="AC2238" s="1466"/>
      <c r="AD2238" s="1466"/>
      <c r="AE2238" s="1466"/>
      <c r="AF2238" s="1466"/>
      <c r="AG2238" s="1466"/>
    </row>
    <row r="2239" spans="1:33" ht="15.75" customHeight="1">
      <c r="A2239" s="1464"/>
      <c r="B2239" s="1456"/>
      <c r="C2239" s="1465"/>
      <c r="D2239" s="1465"/>
      <c r="E2239" s="1465"/>
      <c r="F2239" s="1458"/>
      <c r="G2239" s="1458"/>
      <c r="H2239" s="1460"/>
      <c r="I2239" s="1459"/>
      <c r="J2239" s="1449"/>
      <c r="K2239" s="1466"/>
      <c r="L2239" s="1439"/>
      <c r="M2239" s="1439"/>
      <c r="N2239" s="1439"/>
      <c r="O2239" s="1544"/>
      <c r="P2239" s="1545"/>
      <c r="Q2239" s="1545"/>
      <c r="R2239" s="1545"/>
      <c r="S2239" s="1546"/>
      <c r="T2239" s="1466"/>
      <c r="U2239" s="1466"/>
      <c r="V2239" s="1466"/>
      <c r="W2239" s="1466"/>
      <c r="X2239" s="1466"/>
      <c r="Y2239" s="1466"/>
      <c r="Z2239" s="1466"/>
      <c r="AA2239" s="1466"/>
      <c r="AB2239" s="1466"/>
      <c r="AC2239" s="1466"/>
      <c r="AD2239" s="1466"/>
      <c r="AE2239" s="1466"/>
      <c r="AF2239" s="1466"/>
      <c r="AG2239" s="1466"/>
    </row>
    <row r="2240" spans="1:33" ht="15.75" customHeight="1">
      <c r="A2240" s="1470"/>
      <c r="B2240" s="1456" t="s">
        <v>3623</v>
      </c>
      <c r="C2240" s="1484"/>
      <c r="D2240" s="1484"/>
      <c r="E2240" s="1484"/>
      <c r="F2240" s="1446"/>
      <c r="G2240" s="1458"/>
      <c r="H2240" s="1460"/>
      <c r="I2240" s="1459"/>
      <c r="J2240" s="1475"/>
      <c r="K2240" s="1439"/>
      <c r="L2240" s="1439"/>
      <c r="M2240" s="1439"/>
      <c r="N2240" s="1439"/>
      <c r="O2240" s="1439"/>
      <c r="P2240" s="1439"/>
      <c r="Q2240" s="1439"/>
      <c r="R2240" s="1439"/>
      <c r="S2240" s="1439"/>
      <c r="T2240" s="1439"/>
      <c r="U2240" s="1439"/>
      <c r="V2240" s="1439"/>
      <c r="W2240" s="1439"/>
      <c r="X2240" s="1439"/>
      <c r="Y2240" s="1439"/>
      <c r="Z2240" s="1439"/>
      <c r="AA2240" s="1439"/>
      <c r="AB2240" s="1439"/>
      <c r="AC2240" s="1439"/>
      <c r="AD2240" s="1439"/>
      <c r="AE2240" s="1439"/>
      <c r="AF2240" s="1439"/>
      <c r="AG2240" s="1439"/>
    </row>
    <row r="2241" spans="1:33" ht="15.75" customHeight="1">
      <c r="A2241" s="1443"/>
      <c r="B2241" s="1450" t="s">
        <v>7258</v>
      </c>
      <c r="C2241" s="1445">
        <v>1</v>
      </c>
      <c r="D2241" s="1445" t="s">
        <v>3364</v>
      </c>
      <c r="E2241" s="1445">
        <v>1</v>
      </c>
      <c r="F2241" s="1446">
        <f>9+7</f>
        <v>16</v>
      </c>
      <c r="G2241" s="1446"/>
      <c r="H2241" s="1447">
        <v>1.2</v>
      </c>
      <c r="I2241" s="1494">
        <f>PRODUCT(C2241:H2241)</f>
        <v>19.2</v>
      </c>
      <c r="J2241" s="1449"/>
      <c r="K2241" s="1439"/>
      <c r="L2241" s="1466"/>
      <c r="M2241" s="1466"/>
      <c r="N2241" s="1466"/>
      <c r="O2241" s="1439"/>
      <c r="P2241" s="1439"/>
      <c r="Q2241" s="1439"/>
      <c r="R2241" s="1439"/>
      <c r="S2241" s="1439"/>
      <c r="T2241" s="1439"/>
      <c r="U2241" s="1439"/>
      <c r="V2241" s="1439"/>
      <c r="W2241" s="1439"/>
      <c r="X2241" s="1439"/>
      <c r="Y2241" s="1439"/>
      <c r="Z2241" s="1439"/>
      <c r="AA2241" s="1439"/>
      <c r="AB2241" s="1439"/>
      <c r="AC2241" s="1439"/>
      <c r="AD2241" s="1439"/>
      <c r="AE2241" s="1439"/>
      <c r="AF2241" s="1439"/>
      <c r="AG2241" s="1439"/>
    </row>
    <row r="2242" spans="1:33" ht="15.75" customHeight="1">
      <c r="A2242" s="1443"/>
      <c r="B2242" s="1450" t="s">
        <v>7259</v>
      </c>
      <c r="C2242" s="1445">
        <v>1</v>
      </c>
      <c r="D2242" s="1445" t="s">
        <v>3364</v>
      </c>
      <c r="E2242" s="1445">
        <v>1</v>
      </c>
      <c r="F2242" s="1446">
        <f>4.96+3.96+4.96+3.96</f>
        <v>17.84</v>
      </c>
      <c r="G2242" s="1446"/>
      <c r="H2242" s="1447">
        <v>1.2</v>
      </c>
      <c r="I2242" s="1494">
        <f>PRODUCT(C2242:H2242)</f>
        <v>21.41</v>
      </c>
      <c r="J2242" s="1449"/>
      <c r="K2242" s="1439"/>
      <c r="L2242" s="1466"/>
      <c r="M2242" s="1466"/>
      <c r="N2242" s="1466"/>
      <c r="O2242" s="1439"/>
      <c r="P2242" s="1439"/>
      <c r="Q2242" s="1439"/>
      <c r="R2242" s="1439"/>
      <c r="S2242" s="1439"/>
      <c r="T2242" s="1439"/>
      <c r="U2242" s="1439"/>
      <c r="V2242" s="1439"/>
      <c r="W2242" s="1439"/>
      <c r="X2242" s="1439"/>
      <c r="Y2242" s="1439"/>
      <c r="Z2242" s="1439"/>
      <c r="AA2242" s="1439"/>
      <c r="AB2242" s="1439"/>
      <c r="AC2242" s="1439"/>
      <c r="AD2242" s="1439"/>
      <c r="AE2242" s="1439"/>
      <c r="AF2242" s="1439"/>
      <c r="AG2242" s="1439"/>
    </row>
    <row r="2243" spans="1:33" ht="15.75" customHeight="1">
      <c r="A2243" s="1443"/>
      <c r="B2243" s="1450" t="s">
        <v>3624</v>
      </c>
      <c r="C2243" s="1445">
        <v>1</v>
      </c>
      <c r="D2243" s="1445" t="s">
        <v>3364</v>
      </c>
      <c r="E2243" s="1445">
        <v>2</v>
      </c>
      <c r="F2243" s="1446">
        <f>2.5+0.46+2.3</f>
        <v>5.26</v>
      </c>
      <c r="G2243" s="1446"/>
      <c r="H2243" s="1447">
        <v>1.9</v>
      </c>
      <c r="I2243" s="1494">
        <f>PRODUCT(C2243:H2243)</f>
        <v>19.989999999999998</v>
      </c>
      <c r="J2243" s="1449"/>
      <c r="K2243" s="1439"/>
      <c r="L2243" s="1466"/>
      <c r="M2243" s="1466"/>
      <c r="N2243" s="1466"/>
      <c r="O2243" s="1439"/>
      <c r="P2243" s="1439"/>
      <c r="Q2243" s="1439"/>
      <c r="R2243" s="1439"/>
      <c r="S2243" s="1439"/>
      <c r="T2243" s="1439"/>
      <c r="U2243" s="1439"/>
      <c r="V2243" s="1439"/>
      <c r="W2243" s="1439"/>
      <c r="X2243" s="1439"/>
      <c r="Y2243" s="1439"/>
      <c r="Z2243" s="1439"/>
      <c r="AA2243" s="1439"/>
      <c r="AB2243" s="1439"/>
      <c r="AC2243" s="1439"/>
      <c r="AD2243" s="1439"/>
      <c r="AE2243" s="1439"/>
      <c r="AF2243" s="1439"/>
      <c r="AG2243" s="1439"/>
    </row>
    <row r="2244" spans="1:33" ht="15.75" customHeight="1">
      <c r="A2244" s="1443"/>
      <c r="B2244" s="1450"/>
      <c r="C2244" s="1445"/>
      <c r="D2244" s="1445"/>
      <c r="E2244" s="1445"/>
      <c r="F2244" s="1446"/>
      <c r="G2244" s="1446"/>
      <c r="H2244" s="1447"/>
      <c r="I2244" s="1448">
        <f>SUM(I2241:I2243)</f>
        <v>60.6</v>
      </c>
      <c r="J2244" s="1449"/>
      <c r="K2244" s="1439"/>
      <c r="L2244" s="1466"/>
      <c r="M2244" s="1466"/>
      <c r="N2244" s="1466"/>
      <c r="O2244" s="1439"/>
      <c r="P2244" s="1439"/>
      <c r="Q2244" s="1439"/>
      <c r="R2244" s="1439"/>
      <c r="S2244" s="1439"/>
      <c r="T2244" s="1439"/>
      <c r="U2244" s="1439"/>
      <c r="V2244" s="1439"/>
      <c r="W2244" s="1439"/>
      <c r="X2244" s="1439"/>
      <c r="Y2244" s="1439"/>
      <c r="Z2244" s="1439"/>
      <c r="AA2244" s="1439"/>
      <c r="AB2244" s="1439"/>
      <c r="AC2244" s="1439"/>
      <c r="AD2244" s="1439"/>
      <c r="AE2244" s="1439"/>
      <c r="AF2244" s="1439"/>
      <c r="AG2244" s="1439"/>
    </row>
    <row r="2245" spans="1:33" ht="15.75" customHeight="1">
      <c r="A2245" s="1443"/>
      <c r="B2245" s="1450"/>
      <c r="C2245" s="1445"/>
      <c r="D2245" s="1445"/>
      <c r="E2245" s="1445"/>
      <c r="F2245" s="1446"/>
      <c r="G2245" s="1446"/>
      <c r="H2245" s="1460" t="s">
        <v>104</v>
      </c>
      <c r="I2245" s="1459">
        <f>ROUNDUP(I2244,0.1)</f>
        <v>61</v>
      </c>
      <c r="J2245" s="1449" t="s">
        <v>468</v>
      </c>
      <c r="K2245" s="1439"/>
      <c r="L2245" s="1466"/>
      <c r="M2245" s="1466"/>
      <c r="N2245" s="1466"/>
      <c r="O2245" s="1439"/>
      <c r="P2245" s="1439"/>
      <c r="Q2245" s="1439"/>
      <c r="R2245" s="1439"/>
      <c r="S2245" s="1439"/>
      <c r="T2245" s="1439"/>
      <c r="U2245" s="1439"/>
      <c r="V2245" s="1439"/>
      <c r="W2245" s="1439"/>
      <c r="X2245" s="1439"/>
      <c r="Y2245" s="1439"/>
      <c r="Z2245" s="1439"/>
      <c r="AA2245" s="1439"/>
      <c r="AB2245" s="1439"/>
      <c r="AC2245" s="1439"/>
      <c r="AD2245" s="1439"/>
      <c r="AE2245" s="1439"/>
      <c r="AF2245" s="1439"/>
      <c r="AG2245" s="1439"/>
    </row>
    <row r="2246" spans="1:33">
      <c r="A2246" s="1470"/>
      <c r="B2246" s="1456" t="s">
        <v>3625</v>
      </c>
      <c r="C2246" s="1484"/>
      <c r="D2246" s="1484"/>
      <c r="E2246" s="1484"/>
      <c r="F2246" s="1446"/>
      <c r="G2246" s="1458"/>
      <c r="H2246" s="1460"/>
      <c r="I2246" s="1459"/>
      <c r="J2246" s="1475"/>
      <c r="K2246" s="1439"/>
      <c r="L2246" s="1439"/>
      <c r="M2246" s="1439"/>
      <c r="N2246" s="1439"/>
      <c r="O2246" s="1439"/>
      <c r="P2246" s="1439"/>
      <c r="Q2246" s="1439"/>
      <c r="R2246" s="1439"/>
      <c r="S2246" s="1439"/>
      <c r="T2246" s="1439"/>
      <c r="U2246" s="1439"/>
      <c r="V2246" s="1439"/>
      <c r="W2246" s="1439"/>
      <c r="X2246" s="1439"/>
      <c r="Y2246" s="1439"/>
      <c r="Z2246" s="1439"/>
      <c r="AA2246" s="1439"/>
      <c r="AB2246" s="1439"/>
      <c r="AC2246" s="1439"/>
      <c r="AD2246" s="1439"/>
      <c r="AE2246" s="1439"/>
      <c r="AF2246" s="1439"/>
      <c r="AG2246" s="1439"/>
    </row>
    <row r="2247" spans="1:33" ht="15.75" customHeight="1">
      <c r="A2247" s="1443"/>
      <c r="B2247" s="1450" t="s">
        <v>3626</v>
      </c>
      <c r="C2247" s="1445">
        <v>1</v>
      </c>
      <c r="D2247" s="1445" t="s">
        <v>3364</v>
      </c>
      <c r="E2247" s="1445">
        <v>1</v>
      </c>
      <c r="F2247" s="1446">
        <f>4.5+4.5+0.23+0.23+0.23</f>
        <v>9.69</v>
      </c>
      <c r="G2247" s="1446"/>
      <c r="H2247" s="1447">
        <v>17</v>
      </c>
      <c r="I2247" s="1494">
        <f>PRODUCT(C2247:H2247)</f>
        <v>164.73</v>
      </c>
      <c r="J2247" s="1449"/>
      <c r="K2247" s="1439"/>
      <c r="L2247" s="1466"/>
      <c r="M2247" s="1466"/>
      <c r="N2247" s="1466"/>
      <c r="O2247" s="1439"/>
      <c r="P2247" s="1439"/>
      <c r="Q2247" s="1439"/>
      <c r="R2247" s="1439"/>
      <c r="S2247" s="1439"/>
      <c r="T2247" s="1439"/>
      <c r="U2247" s="1439"/>
      <c r="V2247" s="1439"/>
      <c r="W2247" s="1439"/>
      <c r="X2247" s="1439"/>
      <c r="Y2247" s="1439"/>
      <c r="Z2247" s="1439"/>
      <c r="AA2247" s="1439"/>
      <c r="AB2247" s="1439"/>
      <c r="AC2247" s="1439"/>
      <c r="AD2247" s="1439"/>
      <c r="AE2247" s="1439"/>
      <c r="AF2247" s="1439"/>
      <c r="AG2247" s="1439"/>
    </row>
    <row r="2248" spans="1:33" ht="15.75" customHeight="1">
      <c r="A2248" s="1443"/>
      <c r="B2248" s="1450"/>
      <c r="C2248" s="1445"/>
      <c r="D2248" s="1445"/>
      <c r="E2248" s="1445"/>
      <c r="F2248" s="1446"/>
      <c r="G2248" s="1446"/>
      <c r="H2248" s="1447"/>
      <c r="I2248" s="1448">
        <f>SUM(I2247)</f>
        <v>164.73</v>
      </c>
      <c r="J2248" s="1449"/>
      <c r="K2248" s="1439"/>
      <c r="L2248" s="1466"/>
      <c r="M2248" s="1466"/>
      <c r="N2248" s="1466"/>
      <c r="O2248" s="1439"/>
      <c r="P2248" s="1439"/>
      <c r="Q2248" s="1439"/>
      <c r="R2248" s="1439"/>
      <c r="S2248" s="1439"/>
      <c r="T2248" s="1439"/>
      <c r="U2248" s="1439"/>
      <c r="V2248" s="1439"/>
      <c r="W2248" s="1439"/>
      <c r="X2248" s="1439"/>
      <c r="Y2248" s="1439"/>
      <c r="Z2248" s="1439"/>
      <c r="AA2248" s="1439"/>
      <c r="AB2248" s="1439"/>
      <c r="AC2248" s="1439"/>
      <c r="AD2248" s="1439"/>
      <c r="AE2248" s="1439"/>
      <c r="AF2248" s="1439"/>
      <c r="AG2248" s="1439"/>
    </row>
    <row r="2249" spans="1:33" ht="15.75" customHeight="1">
      <c r="A2249" s="1443"/>
      <c r="B2249" s="1450"/>
      <c r="C2249" s="1445"/>
      <c r="D2249" s="1445"/>
      <c r="E2249" s="1445"/>
      <c r="F2249" s="1446"/>
      <c r="G2249" s="1446"/>
      <c r="H2249" s="1460" t="s">
        <v>104</v>
      </c>
      <c r="I2249" s="1459">
        <f>ROUNDUP(I2248,0.1)</f>
        <v>165</v>
      </c>
      <c r="J2249" s="1449" t="s">
        <v>468</v>
      </c>
      <c r="K2249" s="1439"/>
      <c r="L2249" s="1466"/>
      <c r="M2249" s="1466"/>
      <c r="N2249" s="1466"/>
      <c r="O2249" s="1439"/>
      <c r="P2249" s="1439"/>
      <c r="Q2249" s="1439"/>
      <c r="R2249" s="1439"/>
      <c r="S2249" s="1439"/>
      <c r="T2249" s="1439"/>
      <c r="U2249" s="1439"/>
      <c r="V2249" s="1439"/>
      <c r="W2249" s="1439"/>
      <c r="X2249" s="1439"/>
      <c r="Y2249" s="1439"/>
      <c r="Z2249" s="1439"/>
      <c r="AA2249" s="1439"/>
      <c r="AB2249" s="1439"/>
      <c r="AC2249" s="1439"/>
      <c r="AD2249" s="1439"/>
      <c r="AE2249" s="1439"/>
      <c r="AF2249" s="1439"/>
      <c r="AG2249" s="1439"/>
    </row>
    <row r="2250" spans="1:33" ht="172.5" customHeight="1">
      <c r="A2250" s="1451">
        <v>21.6</v>
      </c>
      <c r="B2250" s="1462" t="s">
        <v>7260</v>
      </c>
      <c r="C2250" s="1484"/>
      <c r="D2250" s="1484"/>
      <c r="E2250" s="1484"/>
      <c r="F2250" s="1446"/>
      <c r="G2250" s="1446"/>
      <c r="H2250" s="1447"/>
      <c r="I2250" s="1448"/>
      <c r="J2250" s="1475"/>
      <c r="K2250" s="1439"/>
      <c r="L2250" s="1439"/>
      <c r="M2250" s="1439"/>
      <c r="N2250" s="1439"/>
      <c r="O2250" s="1439"/>
      <c r="P2250" s="1439"/>
      <c r="Q2250" s="1439"/>
      <c r="R2250" s="1439"/>
      <c r="S2250" s="1439"/>
      <c r="T2250" s="1439"/>
      <c r="U2250" s="1439"/>
      <c r="V2250" s="1439"/>
      <c r="W2250" s="1439"/>
      <c r="X2250" s="1439"/>
      <c r="Y2250" s="1439"/>
      <c r="Z2250" s="1439"/>
      <c r="AA2250" s="1439"/>
      <c r="AB2250" s="1439"/>
      <c r="AC2250" s="1439"/>
      <c r="AD2250" s="1439"/>
      <c r="AE2250" s="1439"/>
      <c r="AF2250" s="1439"/>
      <c r="AG2250" s="1439"/>
    </row>
    <row r="2251" spans="1:33" ht="15.75" customHeight="1">
      <c r="A2251" s="1470"/>
      <c r="B2251" s="1455" t="s">
        <v>7550</v>
      </c>
      <c r="C2251" s="1484"/>
      <c r="D2251" s="1477"/>
      <c r="E2251" s="1484"/>
      <c r="F2251" s="1446"/>
      <c r="G2251" s="1446"/>
      <c r="H2251" s="1447"/>
      <c r="I2251" s="1459"/>
      <c r="J2251" s="1475"/>
      <c r="K2251" s="1439"/>
      <c r="L2251" s="1439"/>
      <c r="M2251" s="1439"/>
      <c r="N2251" s="1439"/>
      <c r="O2251" s="1439"/>
      <c r="P2251" s="1439"/>
      <c r="Q2251" s="1439"/>
      <c r="R2251" s="1439"/>
      <c r="S2251" s="1439"/>
      <c r="T2251" s="1439"/>
      <c r="U2251" s="1439"/>
      <c r="V2251" s="1439"/>
      <c r="W2251" s="1439"/>
      <c r="X2251" s="1439"/>
      <c r="Y2251" s="1439"/>
      <c r="Z2251" s="1439"/>
      <c r="AA2251" s="1439"/>
      <c r="AB2251" s="1439"/>
      <c r="AC2251" s="1439"/>
      <c r="AD2251" s="1439"/>
      <c r="AE2251" s="1439"/>
      <c r="AF2251" s="1439"/>
      <c r="AG2251" s="1439"/>
    </row>
    <row r="2252" spans="1:33" ht="15.75" customHeight="1">
      <c r="A2252" s="1470"/>
      <c r="B2252" s="1452" t="s">
        <v>7549</v>
      </c>
      <c r="C2252" s="1484">
        <f>Joineries!K4</f>
        <v>4</v>
      </c>
      <c r="D2252" s="1477" t="s">
        <v>3364</v>
      </c>
      <c r="E2252" s="1484">
        <v>1</v>
      </c>
      <c r="F2252" s="1446"/>
      <c r="G2252" s="1446"/>
      <c r="H2252" s="1447"/>
      <c r="I2252" s="1448">
        <f>PRODUCT(C2252:H2252)</f>
        <v>4</v>
      </c>
      <c r="J2252" s="1475"/>
      <c r="K2252" s="1439"/>
      <c r="L2252" s="1439"/>
      <c r="M2252" s="1439"/>
      <c r="N2252" s="1439"/>
      <c r="O2252" s="1439"/>
      <c r="P2252" s="1439"/>
      <c r="Q2252" s="1439"/>
      <c r="R2252" s="1439"/>
      <c r="S2252" s="1439"/>
      <c r="T2252" s="1439"/>
      <c r="U2252" s="1439"/>
      <c r="V2252" s="1439"/>
      <c r="W2252" s="1439"/>
      <c r="X2252" s="1439"/>
      <c r="Y2252" s="1439"/>
      <c r="Z2252" s="1439"/>
      <c r="AA2252" s="1439"/>
      <c r="AB2252" s="1439"/>
      <c r="AC2252" s="1439"/>
      <c r="AD2252" s="1439"/>
      <c r="AE2252" s="1439"/>
      <c r="AF2252" s="1439"/>
      <c r="AG2252" s="1439"/>
    </row>
    <row r="2253" spans="1:33" ht="15.75" customHeight="1">
      <c r="A2253" s="1470"/>
      <c r="B2253" s="1455" t="s">
        <v>7583</v>
      </c>
      <c r="C2253" s="1484"/>
      <c r="D2253" s="1477"/>
      <c r="E2253" s="1484"/>
      <c r="F2253" s="1446"/>
      <c r="G2253" s="1446"/>
      <c r="H2253" s="1447"/>
      <c r="I2253" s="1459">
        <f>SUM(I2252)</f>
        <v>4</v>
      </c>
      <c r="J2253" s="1475" t="s">
        <v>41</v>
      </c>
      <c r="K2253" s="1439"/>
      <c r="L2253" s="1439"/>
      <c r="M2253" s="1439"/>
      <c r="N2253" s="1439"/>
      <c r="O2253" s="1439"/>
      <c r="P2253" s="1439"/>
      <c r="Q2253" s="1439"/>
      <c r="R2253" s="1439"/>
      <c r="S2253" s="1439"/>
      <c r="T2253" s="1439"/>
      <c r="U2253" s="1439"/>
      <c r="V2253" s="1439"/>
      <c r="W2253" s="1439"/>
      <c r="X2253" s="1439"/>
      <c r="Y2253" s="1439"/>
      <c r="Z2253" s="1439"/>
      <c r="AA2253" s="1439"/>
      <c r="AB2253" s="1439"/>
      <c r="AC2253" s="1439"/>
      <c r="AD2253" s="1439"/>
      <c r="AE2253" s="1439"/>
      <c r="AF2253" s="1439"/>
      <c r="AG2253" s="1439"/>
    </row>
    <row r="2254" spans="1:33" ht="15.75" customHeight="1">
      <c r="A2254" s="1470"/>
      <c r="B2254" s="1452" t="s">
        <v>7582</v>
      </c>
      <c r="C2254" s="1484">
        <v>31</v>
      </c>
      <c r="D2254" s="1477" t="s">
        <v>3364</v>
      </c>
      <c r="E2254" s="1484">
        <v>1</v>
      </c>
      <c r="F2254" s="1446"/>
      <c r="G2254" s="1446"/>
      <c r="H2254" s="1447"/>
      <c r="I2254" s="1448">
        <f>PRODUCT(C2254:H2254)</f>
        <v>31</v>
      </c>
      <c r="J2254" s="1475"/>
      <c r="K2254" s="1439"/>
      <c r="L2254" s="1439"/>
      <c r="M2254" s="1439"/>
      <c r="N2254" s="1439"/>
      <c r="O2254" s="1439"/>
      <c r="P2254" s="1439"/>
      <c r="Q2254" s="1439"/>
      <c r="R2254" s="1439"/>
      <c r="S2254" s="1439"/>
      <c r="T2254" s="1439"/>
      <c r="U2254" s="1439"/>
      <c r="V2254" s="1439"/>
      <c r="W2254" s="1439"/>
      <c r="X2254" s="1439"/>
      <c r="Y2254" s="1439"/>
      <c r="Z2254" s="1439"/>
      <c r="AA2254" s="1439"/>
      <c r="AB2254" s="1439"/>
      <c r="AC2254" s="1439"/>
      <c r="AD2254" s="1439"/>
      <c r="AE2254" s="1439"/>
      <c r="AF2254" s="1439"/>
      <c r="AG2254" s="1439"/>
    </row>
    <row r="2255" spans="1:33" ht="15.75" customHeight="1">
      <c r="A2255" s="1470"/>
      <c r="B2255" s="1450"/>
      <c r="C2255" s="1484"/>
      <c r="D2255" s="1477"/>
      <c r="E2255" s="1484"/>
      <c r="F2255" s="1446"/>
      <c r="G2255" s="1446"/>
      <c r="H2255" s="1447"/>
      <c r="I2255" s="1459">
        <f>SUM(I2254)</f>
        <v>31</v>
      </c>
      <c r="J2255" s="1475" t="s">
        <v>41</v>
      </c>
      <c r="K2255" s="1439"/>
      <c r="L2255" s="1439"/>
      <c r="M2255" s="1439"/>
      <c r="N2255" s="1439"/>
      <c r="O2255" s="1439"/>
      <c r="P2255" s="1439"/>
      <c r="Q2255" s="1439"/>
      <c r="R2255" s="1439"/>
      <c r="S2255" s="1439"/>
      <c r="T2255" s="1439"/>
      <c r="U2255" s="1439"/>
      <c r="V2255" s="1439"/>
      <c r="W2255" s="1439"/>
      <c r="X2255" s="1439"/>
      <c r="Y2255" s="1439"/>
      <c r="Z2255" s="1439"/>
      <c r="AA2255" s="1439"/>
      <c r="AB2255" s="1439"/>
      <c r="AC2255" s="1439"/>
      <c r="AD2255" s="1439"/>
      <c r="AE2255" s="1439"/>
      <c r="AF2255" s="1439"/>
      <c r="AG2255" s="1439"/>
    </row>
    <row r="2256" spans="1:33" ht="31.5">
      <c r="A2256" s="1451">
        <v>22.3</v>
      </c>
      <c r="B2256" s="1456" t="s">
        <v>3629</v>
      </c>
      <c r="C2256" s="1477"/>
      <c r="D2256" s="1477"/>
      <c r="E2256" s="1477"/>
      <c r="F2256" s="1478"/>
      <c r="G2256" s="1478"/>
      <c r="H2256" s="1500"/>
      <c r="I2256" s="1494"/>
      <c r="J2256" s="1501"/>
      <c r="K2256" s="1439"/>
      <c r="L2256" s="1439"/>
      <c r="M2256" s="1439"/>
      <c r="N2256" s="1439"/>
      <c r="O2256" s="1439"/>
      <c r="P2256" s="1439"/>
      <c r="Q2256" s="1439"/>
      <c r="R2256" s="1439"/>
      <c r="S2256" s="1439"/>
      <c r="T2256" s="1439"/>
      <c r="U2256" s="1439"/>
      <c r="V2256" s="1439"/>
      <c r="W2256" s="1439"/>
      <c r="X2256" s="1439"/>
      <c r="Y2256" s="1439"/>
      <c r="Z2256" s="1439"/>
      <c r="AA2256" s="1439"/>
      <c r="AB2256" s="1439"/>
      <c r="AC2256" s="1439"/>
      <c r="AD2256" s="1439"/>
      <c r="AE2256" s="1439"/>
      <c r="AF2256" s="1439"/>
      <c r="AG2256" s="1439"/>
    </row>
    <row r="2257" spans="1:33" ht="15.75" customHeight="1">
      <c r="A2257" s="1451"/>
      <c r="B2257" s="1444" t="s">
        <v>3456</v>
      </c>
      <c r="C2257" s="1484"/>
      <c r="D2257" s="1484"/>
      <c r="E2257" s="1484"/>
      <c r="F2257" s="1446"/>
      <c r="G2257" s="1446"/>
      <c r="H2257" s="1447"/>
      <c r="I2257" s="1448"/>
      <c r="J2257" s="1475"/>
      <c r="K2257" s="1439"/>
      <c r="L2257" s="1439"/>
      <c r="M2257" s="1439"/>
      <c r="N2257" s="1439"/>
      <c r="O2257" s="1439"/>
      <c r="P2257" s="1439"/>
      <c r="Q2257" s="1439"/>
      <c r="R2257" s="1439"/>
      <c r="S2257" s="1439"/>
      <c r="T2257" s="1439"/>
      <c r="U2257" s="1439"/>
      <c r="V2257" s="1439"/>
      <c r="W2257" s="1439"/>
      <c r="X2257" s="1439"/>
      <c r="Y2257" s="1439"/>
      <c r="Z2257" s="1439"/>
      <c r="AA2257" s="1439"/>
      <c r="AB2257" s="1439"/>
      <c r="AC2257" s="1439"/>
      <c r="AD2257" s="1439"/>
      <c r="AE2257" s="1439"/>
      <c r="AF2257" s="1439"/>
      <c r="AG2257" s="1439"/>
    </row>
    <row r="2258" spans="1:33" ht="15.75" customHeight="1">
      <c r="A2258" s="1448"/>
      <c r="B2258" s="1480" t="s">
        <v>7079</v>
      </c>
      <c r="C2258" s="1445">
        <v>2</v>
      </c>
      <c r="D2258" s="1447" t="s">
        <v>3364</v>
      </c>
      <c r="E2258" s="1445">
        <v>1</v>
      </c>
      <c r="F2258" s="1446">
        <v>1.2</v>
      </c>
      <c r="G2258" s="1446"/>
      <c r="H2258" s="1447">
        <v>2.1</v>
      </c>
      <c r="I2258" s="1448">
        <f>PRODUCT(C2258:H2258)</f>
        <v>5.04</v>
      </c>
      <c r="J2258" s="1449"/>
      <c r="K2258" s="1481"/>
      <c r="L2258" s="1481"/>
      <c r="M2258" s="1481"/>
      <c r="N2258" s="1481"/>
      <c r="O2258" s="1481"/>
      <c r="P2258" s="1481"/>
      <c r="Q2258" s="1481"/>
      <c r="R2258" s="1481"/>
      <c r="S2258" s="1481"/>
      <c r="T2258" s="1481"/>
      <c r="U2258" s="1481"/>
      <c r="V2258" s="1481"/>
      <c r="W2258" s="1481"/>
      <c r="X2258" s="1481"/>
      <c r="Y2258" s="1481"/>
      <c r="Z2258" s="1481"/>
      <c r="AA2258" s="1481"/>
      <c r="AB2258" s="1481"/>
      <c r="AC2258" s="1481"/>
      <c r="AD2258" s="1481"/>
      <c r="AE2258" s="1481"/>
      <c r="AF2258" s="1481"/>
      <c r="AG2258" s="1481"/>
    </row>
    <row r="2259" spans="1:33">
      <c r="A2259" s="1448"/>
      <c r="B2259" s="1480" t="s">
        <v>6723</v>
      </c>
      <c r="C2259" s="1445">
        <v>2</v>
      </c>
      <c r="D2259" s="1447" t="s">
        <v>3364</v>
      </c>
      <c r="E2259" s="1445">
        <v>1</v>
      </c>
      <c r="F2259" s="1446">
        <v>1.2</v>
      </c>
      <c r="G2259" s="1446"/>
      <c r="H2259" s="1447">
        <v>2.1</v>
      </c>
      <c r="I2259" s="1448">
        <f>PRODUCT(C2259:H2259)</f>
        <v>5.04</v>
      </c>
      <c r="J2259" s="1449"/>
      <c r="K2259" s="1481"/>
      <c r="L2259" s="1481"/>
      <c r="M2259" s="1481"/>
      <c r="N2259" s="1481"/>
      <c r="O2259" s="1481"/>
      <c r="P2259" s="1481"/>
      <c r="Q2259" s="1481"/>
      <c r="R2259" s="1481"/>
      <c r="S2259" s="1481"/>
      <c r="T2259" s="1481"/>
      <c r="U2259" s="1481"/>
      <c r="V2259" s="1481"/>
      <c r="W2259" s="1481"/>
      <c r="X2259" s="1481"/>
      <c r="Y2259" s="1481"/>
      <c r="Z2259" s="1481"/>
      <c r="AA2259" s="1481"/>
      <c r="AB2259" s="1481"/>
      <c r="AC2259" s="1481"/>
      <c r="AD2259" s="1481"/>
      <c r="AE2259" s="1481"/>
      <c r="AF2259" s="1481"/>
      <c r="AG2259" s="1481"/>
    </row>
    <row r="2260" spans="1:33" ht="15.75" customHeight="1">
      <c r="A2260" s="1451"/>
      <c r="B2260" s="1444" t="s">
        <v>3457</v>
      </c>
      <c r="C2260" s="1484"/>
      <c r="D2260" s="1484"/>
      <c r="E2260" s="1484"/>
      <c r="F2260" s="1446"/>
      <c r="G2260" s="1446"/>
      <c r="H2260" s="1447"/>
      <c r="I2260" s="1448"/>
      <c r="J2260" s="1475"/>
      <c r="K2260" s="1439"/>
      <c r="L2260" s="1439"/>
      <c r="M2260" s="1439"/>
      <c r="N2260" s="1439"/>
      <c r="O2260" s="1439"/>
      <c r="P2260" s="1439"/>
      <c r="Q2260" s="1439"/>
      <c r="R2260" s="1439"/>
      <c r="S2260" s="1439"/>
      <c r="T2260" s="1439"/>
      <c r="U2260" s="1439"/>
      <c r="V2260" s="1439"/>
      <c r="W2260" s="1439"/>
      <c r="X2260" s="1439"/>
      <c r="Y2260" s="1439"/>
      <c r="Z2260" s="1439"/>
      <c r="AA2260" s="1439"/>
      <c r="AB2260" s="1439"/>
      <c r="AC2260" s="1439"/>
      <c r="AD2260" s="1439"/>
      <c r="AE2260" s="1439"/>
      <c r="AF2260" s="1439"/>
      <c r="AG2260" s="1439"/>
    </row>
    <row r="2261" spans="1:33" ht="15.75" customHeight="1">
      <c r="A2261" s="1448"/>
      <c r="B2261" s="1480" t="s">
        <v>7081</v>
      </c>
      <c r="C2261" s="1445">
        <v>2</v>
      </c>
      <c r="D2261" s="1447" t="s">
        <v>3364</v>
      </c>
      <c r="E2261" s="1445">
        <v>1</v>
      </c>
      <c r="F2261" s="1446">
        <v>1.2</v>
      </c>
      <c r="G2261" s="1446"/>
      <c r="H2261" s="1447">
        <v>2.1</v>
      </c>
      <c r="I2261" s="1448">
        <f>PRODUCT(C2261:H2261)</f>
        <v>5.04</v>
      </c>
      <c r="J2261" s="1449"/>
      <c r="K2261" s="1481"/>
      <c r="L2261" s="1481"/>
      <c r="M2261" s="1481"/>
      <c r="N2261" s="1481"/>
      <c r="O2261" s="1481"/>
      <c r="P2261" s="1481"/>
      <c r="Q2261" s="1481"/>
      <c r="R2261" s="1481"/>
      <c r="S2261" s="1481"/>
      <c r="T2261" s="1481"/>
      <c r="U2261" s="1481"/>
      <c r="V2261" s="1481"/>
      <c r="W2261" s="1481"/>
      <c r="X2261" s="1481"/>
      <c r="Y2261" s="1481"/>
      <c r="Z2261" s="1481"/>
      <c r="AA2261" s="1481"/>
      <c r="AB2261" s="1481"/>
      <c r="AC2261" s="1481"/>
      <c r="AD2261" s="1481"/>
      <c r="AE2261" s="1481"/>
      <c r="AF2261" s="1481"/>
      <c r="AG2261" s="1481"/>
    </row>
    <row r="2262" spans="1:33" ht="15.75" customHeight="1">
      <c r="A2262" s="1448"/>
      <c r="B2262" s="1480" t="s">
        <v>7082</v>
      </c>
      <c r="C2262" s="1445">
        <v>2</v>
      </c>
      <c r="D2262" s="1447" t="s">
        <v>3364</v>
      </c>
      <c r="E2262" s="1445">
        <v>1</v>
      </c>
      <c r="F2262" s="1446">
        <v>1.2</v>
      </c>
      <c r="G2262" s="1446"/>
      <c r="H2262" s="1447">
        <v>2.1</v>
      </c>
      <c r="I2262" s="1448">
        <f>PRODUCT(C2262:H2262)</f>
        <v>5.04</v>
      </c>
      <c r="J2262" s="1449"/>
      <c r="K2262" s="1481"/>
      <c r="L2262" s="1481"/>
      <c r="M2262" s="1481"/>
      <c r="N2262" s="1481"/>
      <c r="O2262" s="1481"/>
      <c r="P2262" s="1481"/>
      <c r="Q2262" s="1481"/>
      <c r="R2262" s="1481"/>
      <c r="S2262" s="1481"/>
      <c r="T2262" s="1481"/>
      <c r="U2262" s="1481"/>
      <c r="V2262" s="1481"/>
      <c r="W2262" s="1481"/>
      <c r="X2262" s="1481"/>
      <c r="Y2262" s="1481"/>
      <c r="Z2262" s="1481"/>
      <c r="AA2262" s="1481"/>
      <c r="AB2262" s="1481"/>
      <c r="AC2262" s="1481"/>
      <c r="AD2262" s="1481"/>
      <c r="AE2262" s="1481"/>
      <c r="AF2262" s="1481"/>
      <c r="AG2262" s="1481"/>
    </row>
    <row r="2263" spans="1:33" ht="15.75" customHeight="1">
      <c r="A2263" s="1448"/>
      <c r="B2263" s="1482" t="s">
        <v>7485</v>
      </c>
      <c r="C2263" s="1445">
        <v>2</v>
      </c>
      <c r="D2263" s="1467" t="s">
        <v>3364</v>
      </c>
      <c r="E2263" s="1445">
        <v>1</v>
      </c>
      <c r="F2263" s="1446">
        <v>1.2</v>
      </c>
      <c r="G2263" s="1446"/>
      <c r="H2263" s="1447">
        <v>2.1</v>
      </c>
      <c r="I2263" s="1448">
        <f>PRODUCT(C2263:H2263)</f>
        <v>5.04</v>
      </c>
      <c r="J2263" s="1449"/>
      <c r="K2263" s="1481"/>
      <c r="L2263" s="1481"/>
      <c r="M2263" s="1481"/>
      <c r="N2263" s="1481"/>
      <c r="O2263" s="1481"/>
      <c r="P2263" s="1481"/>
      <c r="Q2263" s="1481"/>
      <c r="R2263" s="1481"/>
      <c r="S2263" s="1481"/>
      <c r="T2263" s="1481"/>
      <c r="U2263" s="1481"/>
      <c r="V2263" s="1481"/>
      <c r="W2263" s="1481"/>
      <c r="X2263" s="1481"/>
      <c r="Y2263" s="1481"/>
      <c r="Z2263" s="1481"/>
      <c r="AA2263" s="1481"/>
      <c r="AB2263" s="1481"/>
      <c r="AC2263" s="1481"/>
      <c r="AD2263" s="1481"/>
      <c r="AE2263" s="1481"/>
      <c r="AF2263" s="1481"/>
      <c r="AG2263" s="1481"/>
    </row>
    <row r="2264" spans="1:33" ht="15.75" customHeight="1">
      <c r="A2264" s="1448"/>
      <c r="B2264" s="1482" t="s">
        <v>7486</v>
      </c>
      <c r="C2264" s="1445">
        <v>2</v>
      </c>
      <c r="D2264" s="1467" t="s">
        <v>3364</v>
      </c>
      <c r="E2264" s="1445">
        <v>1</v>
      </c>
      <c r="F2264" s="1446">
        <v>1.2</v>
      </c>
      <c r="G2264" s="1446"/>
      <c r="H2264" s="1447">
        <v>2.1</v>
      </c>
      <c r="I2264" s="1448">
        <f>PRODUCT(C2264:H2264)</f>
        <v>5.04</v>
      </c>
      <c r="J2264" s="1449"/>
      <c r="K2264" s="1481"/>
      <c r="L2264" s="1481"/>
      <c r="M2264" s="1481"/>
      <c r="N2264" s="1481"/>
      <c r="O2264" s="1481"/>
      <c r="P2264" s="1481"/>
      <c r="Q2264" s="1481"/>
      <c r="R2264" s="1481"/>
      <c r="S2264" s="1481"/>
      <c r="T2264" s="1481"/>
      <c r="U2264" s="1481"/>
      <c r="V2264" s="1481"/>
      <c r="W2264" s="1481"/>
      <c r="X2264" s="1481"/>
      <c r="Y2264" s="1481"/>
      <c r="Z2264" s="1481"/>
      <c r="AA2264" s="1481"/>
      <c r="AB2264" s="1481"/>
      <c r="AC2264" s="1481"/>
      <c r="AD2264" s="1481"/>
      <c r="AE2264" s="1481"/>
      <c r="AF2264" s="1481"/>
      <c r="AG2264" s="1481"/>
    </row>
    <row r="2265" spans="1:33" ht="15.75" customHeight="1">
      <c r="A2265" s="1448"/>
      <c r="B2265" s="1482" t="s">
        <v>7487</v>
      </c>
      <c r="C2265" s="1445">
        <v>2</v>
      </c>
      <c r="D2265" s="1447" t="s">
        <v>3364</v>
      </c>
      <c r="E2265" s="1445">
        <v>1</v>
      </c>
      <c r="F2265" s="1446">
        <v>1.2</v>
      </c>
      <c r="G2265" s="1446"/>
      <c r="H2265" s="1447">
        <v>2.1</v>
      </c>
      <c r="I2265" s="1448">
        <f>PRODUCT(C2265:H2265)</f>
        <v>5.04</v>
      </c>
      <c r="J2265" s="1449"/>
      <c r="K2265" s="1481"/>
      <c r="L2265" s="1481"/>
      <c r="M2265" s="1481"/>
      <c r="N2265" s="1481"/>
      <c r="O2265" s="1481"/>
      <c r="P2265" s="1481"/>
      <c r="Q2265" s="1481"/>
      <c r="R2265" s="1481"/>
      <c r="S2265" s="1481"/>
      <c r="T2265" s="1481"/>
      <c r="U2265" s="1481"/>
      <c r="V2265" s="1481"/>
      <c r="W2265" s="1481"/>
      <c r="X2265" s="1481"/>
      <c r="Y2265" s="1481"/>
      <c r="Z2265" s="1481"/>
      <c r="AA2265" s="1481"/>
      <c r="AB2265" s="1481"/>
      <c r="AC2265" s="1481"/>
      <c r="AD2265" s="1481"/>
      <c r="AE2265" s="1481"/>
      <c r="AF2265" s="1481"/>
      <c r="AG2265" s="1481"/>
    </row>
    <row r="2266" spans="1:33" ht="15.75" customHeight="1">
      <c r="A2266" s="1451"/>
      <c r="B2266" s="1444" t="s">
        <v>3461</v>
      </c>
      <c r="C2266" s="1484"/>
      <c r="D2266" s="1484"/>
      <c r="E2266" s="1484"/>
      <c r="F2266" s="1446"/>
      <c r="G2266" s="1446"/>
      <c r="H2266" s="1447"/>
      <c r="I2266" s="1448"/>
      <c r="J2266" s="1475"/>
      <c r="K2266" s="1439"/>
      <c r="L2266" s="1439"/>
      <c r="M2266" s="1439"/>
      <c r="N2266" s="1439"/>
      <c r="O2266" s="1439"/>
      <c r="P2266" s="1439"/>
      <c r="Q2266" s="1439"/>
      <c r="R2266" s="1439"/>
      <c r="S2266" s="1439"/>
      <c r="T2266" s="1439"/>
      <c r="U2266" s="1439"/>
      <c r="V2266" s="1439"/>
      <c r="W2266" s="1439"/>
      <c r="X2266" s="1439"/>
      <c r="Y2266" s="1439"/>
      <c r="Z2266" s="1439"/>
      <c r="AA2266" s="1439"/>
      <c r="AB2266" s="1439"/>
      <c r="AC2266" s="1439"/>
      <c r="AD2266" s="1439"/>
      <c r="AE2266" s="1439"/>
      <c r="AF2266" s="1439"/>
      <c r="AG2266" s="1439"/>
    </row>
    <row r="2267" spans="1:33" ht="15.75" customHeight="1">
      <c r="A2267" s="1486"/>
      <c r="B2267" s="1487" t="s">
        <v>7488</v>
      </c>
      <c r="C2267" s="1488">
        <v>1</v>
      </c>
      <c r="D2267" s="1488" t="s">
        <v>3364</v>
      </c>
      <c r="E2267" s="1488">
        <v>1</v>
      </c>
      <c r="F2267" s="1454">
        <v>1.2</v>
      </c>
      <c r="G2267" s="1454"/>
      <c r="H2267" s="1447">
        <v>2.1</v>
      </c>
      <c r="I2267" s="1448">
        <f t="shared" ref="I2267:I2275" si="90">PRODUCT(C2267:H2267)</f>
        <v>2.52</v>
      </c>
      <c r="J2267" s="1489"/>
      <c r="K2267" s="1490"/>
      <c r="L2267" s="1490"/>
      <c r="M2267" s="1490"/>
      <c r="N2267" s="1490"/>
      <c r="O2267" s="1490"/>
      <c r="P2267" s="1490"/>
      <c r="Q2267" s="1490"/>
      <c r="R2267" s="1490"/>
      <c r="S2267" s="1490"/>
      <c r="T2267" s="1490"/>
      <c r="U2267" s="1490"/>
      <c r="V2267" s="1490"/>
      <c r="W2267" s="1490"/>
      <c r="X2267" s="1490"/>
      <c r="Y2267" s="1490"/>
      <c r="Z2267" s="1490"/>
      <c r="AA2267" s="1490"/>
      <c r="AB2267" s="1490"/>
      <c r="AC2267" s="1490"/>
      <c r="AD2267" s="1490"/>
      <c r="AE2267" s="1490"/>
      <c r="AF2267" s="1490"/>
      <c r="AG2267" s="1490"/>
    </row>
    <row r="2268" spans="1:33" ht="15.75" customHeight="1">
      <c r="A2268" s="1448"/>
      <c r="B2268" s="1480" t="s">
        <v>7084</v>
      </c>
      <c r="C2268" s="1445">
        <v>3</v>
      </c>
      <c r="D2268" s="1447" t="s">
        <v>3364</v>
      </c>
      <c r="E2268" s="1488">
        <v>1</v>
      </c>
      <c r="F2268" s="1454">
        <v>1.2</v>
      </c>
      <c r="G2268" s="1446"/>
      <c r="H2268" s="1447">
        <v>2.1</v>
      </c>
      <c r="I2268" s="1448">
        <f t="shared" si="90"/>
        <v>7.56</v>
      </c>
      <c r="J2268" s="1449"/>
      <c r="K2268" s="1481"/>
      <c r="L2268" s="1481"/>
      <c r="M2268" s="1481"/>
      <c r="N2268" s="1481"/>
      <c r="O2268" s="1481"/>
      <c r="P2268" s="1481"/>
      <c r="Q2268" s="1481"/>
      <c r="R2268" s="1481"/>
      <c r="S2268" s="1481"/>
      <c r="T2268" s="1481"/>
      <c r="U2268" s="1481"/>
      <c r="V2268" s="1481"/>
      <c r="W2268" s="1481"/>
      <c r="X2268" s="1481"/>
      <c r="Y2268" s="1481"/>
      <c r="Z2268" s="1481"/>
      <c r="AA2268" s="1481"/>
      <c r="AB2268" s="1481"/>
      <c r="AC2268" s="1481"/>
      <c r="AD2268" s="1481"/>
      <c r="AE2268" s="1481"/>
      <c r="AF2268" s="1481"/>
      <c r="AG2268" s="1481"/>
    </row>
    <row r="2269" spans="1:33" ht="15.75" customHeight="1">
      <c r="A2269" s="1448"/>
      <c r="B2269" s="1480" t="s">
        <v>7085</v>
      </c>
      <c r="C2269" s="1445">
        <v>2</v>
      </c>
      <c r="D2269" s="1447" t="s">
        <v>3364</v>
      </c>
      <c r="E2269" s="1488">
        <v>1</v>
      </c>
      <c r="F2269" s="1454">
        <v>1.2</v>
      </c>
      <c r="G2269" s="1446"/>
      <c r="H2269" s="1447">
        <v>2.1</v>
      </c>
      <c r="I2269" s="1448">
        <f t="shared" si="90"/>
        <v>5.04</v>
      </c>
      <c r="J2269" s="1449"/>
      <c r="K2269" s="1481"/>
      <c r="L2269" s="1481"/>
      <c r="M2269" s="1481"/>
      <c r="N2269" s="1481"/>
      <c r="O2269" s="1481"/>
      <c r="P2269" s="1481"/>
      <c r="Q2269" s="1481"/>
      <c r="R2269" s="1481"/>
      <c r="S2269" s="1481"/>
      <c r="T2269" s="1481"/>
      <c r="U2269" s="1481"/>
      <c r="V2269" s="1481"/>
      <c r="W2269" s="1481"/>
      <c r="X2269" s="1481"/>
      <c r="Y2269" s="1481"/>
      <c r="Z2269" s="1481"/>
      <c r="AA2269" s="1481"/>
      <c r="AB2269" s="1481"/>
      <c r="AC2269" s="1481"/>
      <c r="AD2269" s="1481"/>
      <c r="AE2269" s="1481"/>
      <c r="AF2269" s="1481"/>
      <c r="AG2269" s="1481"/>
    </row>
    <row r="2270" spans="1:33" ht="15.75" customHeight="1">
      <c r="A2270" s="1448"/>
      <c r="B2270" s="1482" t="s">
        <v>7489</v>
      </c>
      <c r="C2270" s="1445">
        <v>2</v>
      </c>
      <c r="D2270" s="1447" t="s">
        <v>3364</v>
      </c>
      <c r="E2270" s="1488">
        <v>1</v>
      </c>
      <c r="F2270" s="1454">
        <v>1.2</v>
      </c>
      <c r="G2270" s="1446"/>
      <c r="H2270" s="1447">
        <v>2.1</v>
      </c>
      <c r="I2270" s="1448">
        <f t="shared" si="90"/>
        <v>5.04</v>
      </c>
      <c r="J2270" s="1449"/>
      <c r="K2270" s="1481"/>
      <c r="L2270" s="1481"/>
      <c r="M2270" s="1481"/>
      <c r="N2270" s="1481"/>
      <c r="O2270" s="1481"/>
      <c r="P2270" s="1481"/>
      <c r="Q2270" s="1481"/>
      <c r="R2270" s="1481"/>
      <c r="S2270" s="1481"/>
      <c r="T2270" s="1481"/>
      <c r="U2270" s="1481"/>
      <c r="V2270" s="1481"/>
      <c r="W2270" s="1481"/>
      <c r="X2270" s="1481"/>
      <c r="Y2270" s="1481"/>
      <c r="Z2270" s="1481"/>
      <c r="AA2270" s="1481"/>
      <c r="AB2270" s="1481"/>
      <c r="AC2270" s="1481"/>
      <c r="AD2270" s="1481"/>
      <c r="AE2270" s="1481"/>
      <c r="AF2270" s="1481"/>
      <c r="AG2270" s="1481"/>
    </row>
    <row r="2271" spans="1:33" ht="15.75" customHeight="1">
      <c r="A2271" s="1448"/>
      <c r="B2271" s="1482" t="s">
        <v>7490</v>
      </c>
      <c r="C2271" s="1445">
        <v>2</v>
      </c>
      <c r="D2271" s="1447" t="s">
        <v>3364</v>
      </c>
      <c r="E2271" s="1488">
        <v>1</v>
      </c>
      <c r="F2271" s="1454">
        <v>1.2</v>
      </c>
      <c r="G2271" s="1446"/>
      <c r="H2271" s="1447">
        <v>2.1</v>
      </c>
      <c r="I2271" s="1448">
        <f t="shared" si="90"/>
        <v>5.04</v>
      </c>
      <c r="J2271" s="1449"/>
      <c r="K2271" s="1481"/>
      <c r="L2271" s="1481"/>
      <c r="M2271" s="1481"/>
      <c r="N2271" s="1481"/>
      <c r="O2271" s="1481"/>
      <c r="P2271" s="1481"/>
      <c r="Q2271" s="1481"/>
      <c r="R2271" s="1481"/>
      <c r="S2271" s="1481"/>
      <c r="T2271" s="1481"/>
      <c r="U2271" s="1481"/>
      <c r="V2271" s="1481"/>
      <c r="W2271" s="1481"/>
      <c r="X2271" s="1481"/>
      <c r="Y2271" s="1481"/>
      <c r="Z2271" s="1481"/>
      <c r="AA2271" s="1481"/>
      <c r="AB2271" s="1481"/>
      <c r="AC2271" s="1481"/>
      <c r="AD2271" s="1481"/>
      <c r="AE2271" s="1481"/>
      <c r="AF2271" s="1481"/>
      <c r="AG2271" s="1481"/>
    </row>
    <row r="2272" spans="1:33" ht="15.75" customHeight="1">
      <c r="A2272" s="1448"/>
      <c r="B2272" s="1480" t="s">
        <v>7087</v>
      </c>
      <c r="C2272" s="1445">
        <v>2</v>
      </c>
      <c r="D2272" s="1447" t="s">
        <v>3364</v>
      </c>
      <c r="E2272" s="1488">
        <v>1</v>
      </c>
      <c r="F2272" s="1454">
        <v>1.2</v>
      </c>
      <c r="G2272" s="1446"/>
      <c r="H2272" s="1447">
        <v>2.1</v>
      </c>
      <c r="I2272" s="1448">
        <f t="shared" si="90"/>
        <v>5.04</v>
      </c>
      <c r="J2272" s="1449"/>
      <c r="K2272" s="1481"/>
      <c r="L2272" s="1481"/>
      <c r="M2272" s="1481"/>
      <c r="N2272" s="1481"/>
      <c r="O2272" s="1481"/>
      <c r="P2272" s="1481"/>
      <c r="Q2272" s="1481"/>
      <c r="R2272" s="1481"/>
      <c r="S2272" s="1481"/>
      <c r="T2272" s="1481"/>
      <c r="U2272" s="1481"/>
      <c r="V2272" s="1481"/>
      <c r="W2272" s="1481"/>
      <c r="X2272" s="1481"/>
      <c r="Y2272" s="1481"/>
      <c r="Z2272" s="1481"/>
      <c r="AA2272" s="1481"/>
      <c r="AB2272" s="1481"/>
      <c r="AC2272" s="1481"/>
      <c r="AD2272" s="1481"/>
      <c r="AE2272" s="1481"/>
      <c r="AF2272" s="1481"/>
      <c r="AG2272" s="1481"/>
    </row>
    <row r="2273" spans="1:33" ht="15.75" customHeight="1">
      <c r="A2273" s="1448"/>
      <c r="B2273" s="1480" t="s">
        <v>7088</v>
      </c>
      <c r="C2273" s="1445">
        <v>2</v>
      </c>
      <c r="D2273" s="1447" t="s">
        <v>3364</v>
      </c>
      <c r="E2273" s="1488">
        <v>1</v>
      </c>
      <c r="F2273" s="1454">
        <v>1.2</v>
      </c>
      <c r="G2273" s="1446"/>
      <c r="H2273" s="1447">
        <v>2.1</v>
      </c>
      <c r="I2273" s="1448">
        <f t="shared" si="90"/>
        <v>5.04</v>
      </c>
      <c r="J2273" s="1449"/>
      <c r="K2273" s="1481"/>
      <c r="L2273" s="1481"/>
      <c r="M2273" s="1481"/>
      <c r="N2273" s="1481"/>
      <c r="O2273" s="1481"/>
      <c r="P2273" s="1481"/>
      <c r="Q2273" s="1481"/>
      <c r="R2273" s="1481"/>
      <c r="S2273" s="1481"/>
      <c r="T2273" s="1481"/>
      <c r="U2273" s="1481"/>
      <c r="V2273" s="1481"/>
      <c r="W2273" s="1481"/>
      <c r="X2273" s="1481"/>
      <c r="Y2273" s="1481"/>
      <c r="Z2273" s="1481"/>
      <c r="AA2273" s="1481"/>
      <c r="AB2273" s="1481"/>
      <c r="AC2273" s="1481"/>
      <c r="AD2273" s="1481"/>
      <c r="AE2273" s="1481"/>
      <c r="AF2273" s="1481"/>
      <c r="AG2273" s="1481"/>
    </row>
    <row r="2274" spans="1:33" ht="15.75" customHeight="1">
      <c r="A2274" s="1448"/>
      <c r="B2274" s="1480" t="s">
        <v>6689</v>
      </c>
      <c r="C2274" s="1445">
        <v>2</v>
      </c>
      <c r="D2274" s="1447" t="s">
        <v>3364</v>
      </c>
      <c r="E2274" s="1488">
        <v>1</v>
      </c>
      <c r="F2274" s="1454">
        <v>1.2</v>
      </c>
      <c r="G2274" s="1446"/>
      <c r="H2274" s="1447">
        <v>2.1</v>
      </c>
      <c r="I2274" s="1448">
        <f t="shared" si="90"/>
        <v>5.04</v>
      </c>
      <c r="J2274" s="1449"/>
      <c r="K2274" s="1481"/>
      <c r="L2274" s="1481"/>
      <c r="M2274" s="1481"/>
      <c r="N2274" s="1481"/>
      <c r="O2274" s="1481"/>
      <c r="P2274" s="1481"/>
      <c r="Q2274" s="1481"/>
      <c r="R2274" s="1481"/>
      <c r="S2274" s="1481"/>
      <c r="T2274" s="1481"/>
      <c r="U2274" s="1481"/>
      <c r="V2274" s="1481"/>
      <c r="W2274" s="1481"/>
      <c r="X2274" s="1481"/>
      <c r="Y2274" s="1481"/>
      <c r="Z2274" s="1481"/>
      <c r="AA2274" s="1481"/>
      <c r="AB2274" s="1481"/>
      <c r="AC2274" s="1481"/>
      <c r="AD2274" s="1481"/>
      <c r="AE2274" s="1481"/>
      <c r="AF2274" s="1481"/>
      <c r="AG2274" s="1481"/>
    </row>
    <row r="2275" spans="1:33" ht="15.75" customHeight="1">
      <c r="A2275" s="1448"/>
      <c r="B2275" s="1480" t="s">
        <v>7089</v>
      </c>
      <c r="C2275" s="1445">
        <v>2</v>
      </c>
      <c r="D2275" s="1447" t="s">
        <v>3364</v>
      </c>
      <c r="E2275" s="1488">
        <v>1</v>
      </c>
      <c r="F2275" s="1454">
        <v>1.2</v>
      </c>
      <c r="G2275" s="1446"/>
      <c r="H2275" s="1447">
        <v>2.1</v>
      </c>
      <c r="I2275" s="1448">
        <f t="shared" si="90"/>
        <v>5.04</v>
      </c>
      <c r="J2275" s="1449"/>
      <c r="K2275" s="1481"/>
      <c r="L2275" s="1481"/>
      <c r="M2275" s="1481"/>
      <c r="N2275" s="1481"/>
      <c r="O2275" s="1481"/>
      <c r="P2275" s="1481"/>
      <c r="Q2275" s="1481"/>
      <c r="R2275" s="1481"/>
      <c r="S2275" s="1481"/>
      <c r="T2275" s="1481"/>
      <c r="U2275" s="1481"/>
      <c r="V2275" s="1481"/>
      <c r="W2275" s="1481"/>
      <c r="X2275" s="1481"/>
      <c r="Y2275" s="1481"/>
      <c r="Z2275" s="1481"/>
      <c r="AA2275" s="1481"/>
      <c r="AB2275" s="1481"/>
      <c r="AC2275" s="1481"/>
      <c r="AD2275" s="1481"/>
      <c r="AE2275" s="1481"/>
      <c r="AF2275" s="1481"/>
      <c r="AG2275" s="1481"/>
    </row>
    <row r="2276" spans="1:33" ht="15.75" customHeight="1">
      <c r="A2276" s="1451"/>
      <c r="B2276" s="1444" t="s">
        <v>7090</v>
      </c>
      <c r="C2276" s="1484"/>
      <c r="D2276" s="1484"/>
      <c r="E2276" s="1484"/>
      <c r="F2276" s="1446"/>
      <c r="G2276" s="1446"/>
      <c r="H2276" s="1447"/>
      <c r="I2276" s="1448"/>
      <c r="J2276" s="1475"/>
      <c r="K2276" s="1439"/>
      <c r="L2276" s="1439"/>
      <c r="M2276" s="1439"/>
      <c r="N2276" s="1439"/>
      <c r="O2276" s="1466"/>
      <c r="P2276" s="1466"/>
      <c r="Q2276" s="1466"/>
      <c r="R2276" s="1466"/>
      <c r="S2276" s="1466"/>
      <c r="T2276" s="1466"/>
      <c r="U2276" s="1466"/>
      <c r="V2276" s="1466"/>
      <c r="W2276" s="1466"/>
      <c r="X2276" s="1466"/>
      <c r="Y2276" s="1466"/>
      <c r="Z2276" s="1466"/>
      <c r="AA2276" s="1466"/>
      <c r="AB2276" s="1466"/>
      <c r="AC2276" s="1466"/>
      <c r="AD2276" s="1466"/>
      <c r="AE2276" s="1466"/>
      <c r="AF2276" s="1466"/>
      <c r="AG2276" s="1466"/>
    </row>
    <row r="2277" spans="1:33" ht="15.75" customHeight="1">
      <c r="A2277" s="1448"/>
      <c r="B2277" s="1482" t="s">
        <v>7491</v>
      </c>
      <c r="C2277" s="1445">
        <v>4</v>
      </c>
      <c r="D2277" s="1447" t="s">
        <v>3364</v>
      </c>
      <c r="E2277" s="1445">
        <v>1</v>
      </c>
      <c r="F2277" s="1446">
        <v>1.2</v>
      </c>
      <c r="G2277" s="1446"/>
      <c r="H2277" s="1447">
        <v>2.1</v>
      </c>
      <c r="I2277" s="1448">
        <f t="shared" ref="I2277:I2286" si="91">PRODUCT(C2277:H2277)</f>
        <v>10.08</v>
      </c>
      <c r="J2277" s="1449"/>
      <c r="K2277" s="1481"/>
      <c r="L2277" s="1481"/>
      <c r="M2277" s="1481"/>
      <c r="N2277" s="1481"/>
      <c r="O2277" s="1481"/>
      <c r="P2277" s="1481"/>
      <c r="Q2277" s="1481"/>
      <c r="R2277" s="1481"/>
      <c r="S2277" s="1481"/>
      <c r="T2277" s="1481"/>
      <c r="U2277" s="1481"/>
      <c r="V2277" s="1481"/>
      <c r="W2277" s="1481"/>
      <c r="X2277" s="1481"/>
      <c r="Y2277" s="1481"/>
      <c r="Z2277" s="1481"/>
      <c r="AA2277" s="1481"/>
      <c r="AB2277" s="1481"/>
      <c r="AC2277" s="1481"/>
      <c r="AD2277" s="1481"/>
      <c r="AE2277" s="1481"/>
      <c r="AF2277" s="1481"/>
      <c r="AG2277" s="1481"/>
    </row>
    <row r="2278" spans="1:33" ht="15.75" customHeight="1">
      <c r="A2278" s="1448"/>
      <c r="B2278" s="1480" t="s">
        <v>7065</v>
      </c>
      <c r="C2278" s="1445">
        <v>2</v>
      </c>
      <c r="D2278" s="1447" t="s">
        <v>3364</v>
      </c>
      <c r="E2278" s="1445">
        <v>1</v>
      </c>
      <c r="F2278" s="1446">
        <v>1.2</v>
      </c>
      <c r="G2278" s="1446"/>
      <c r="H2278" s="1447">
        <v>2.1</v>
      </c>
      <c r="I2278" s="1448">
        <f t="shared" si="91"/>
        <v>5.04</v>
      </c>
      <c r="J2278" s="1449"/>
      <c r="K2278" s="1481"/>
      <c r="L2278" s="1481"/>
      <c r="M2278" s="1481"/>
      <c r="N2278" s="1481"/>
      <c r="O2278" s="1481"/>
      <c r="P2278" s="1481"/>
      <c r="Q2278" s="1481"/>
      <c r="R2278" s="1481"/>
      <c r="S2278" s="1481"/>
      <c r="T2278" s="1481"/>
      <c r="U2278" s="1481"/>
      <c r="V2278" s="1481"/>
      <c r="W2278" s="1481"/>
      <c r="X2278" s="1481"/>
      <c r="Y2278" s="1481"/>
      <c r="Z2278" s="1481"/>
      <c r="AA2278" s="1481"/>
      <c r="AB2278" s="1481"/>
      <c r="AC2278" s="1481"/>
      <c r="AD2278" s="1481"/>
      <c r="AE2278" s="1481"/>
      <c r="AF2278" s="1481"/>
      <c r="AG2278" s="1481"/>
    </row>
    <row r="2279" spans="1:33" ht="15.75" customHeight="1">
      <c r="A2279" s="1448"/>
      <c r="B2279" s="1480" t="s">
        <v>7092</v>
      </c>
      <c r="C2279" s="1445">
        <v>2</v>
      </c>
      <c r="D2279" s="1447" t="s">
        <v>3364</v>
      </c>
      <c r="E2279" s="1445">
        <v>1</v>
      </c>
      <c r="F2279" s="1446">
        <v>1.2</v>
      </c>
      <c r="G2279" s="1446"/>
      <c r="H2279" s="1447">
        <v>2.1</v>
      </c>
      <c r="I2279" s="1448">
        <f t="shared" si="91"/>
        <v>5.04</v>
      </c>
      <c r="J2279" s="1449"/>
      <c r="K2279" s="1481"/>
      <c r="L2279" s="1481"/>
      <c r="M2279" s="1481"/>
      <c r="N2279" s="1481"/>
      <c r="O2279" s="1481"/>
      <c r="P2279" s="1481"/>
      <c r="Q2279" s="1481"/>
      <c r="R2279" s="1481"/>
      <c r="S2279" s="1481"/>
      <c r="T2279" s="1481"/>
      <c r="U2279" s="1481"/>
      <c r="V2279" s="1481"/>
      <c r="W2279" s="1481"/>
      <c r="X2279" s="1481"/>
      <c r="Y2279" s="1481"/>
      <c r="Z2279" s="1481"/>
      <c r="AA2279" s="1481"/>
      <c r="AB2279" s="1481"/>
      <c r="AC2279" s="1481"/>
      <c r="AD2279" s="1481"/>
      <c r="AE2279" s="1481"/>
      <c r="AF2279" s="1481"/>
      <c r="AG2279" s="1481"/>
    </row>
    <row r="2280" spans="1:33" ht="15.75" customHeight="1">
      <c r="A2280" s="1448"/>
      <c r="B2280" s="1482" t="s">
        <v>7492</v>
      </c>
      <c r="C2280" s="1445">
        <v>2</v>
      </c>
      <c r="D2280" s="1447" t="s">
        <v>3364</v>
      </c>
      <c r="E2280" s="1445">
        <v>1</v>
      </c>
      <c r="F2280" s="1446">
        <v>1.2</v>
      </c>
      <c r="G2280" s="1446"/>
      <c r="H2280" s="1447">
        <v>2.1</v>
      </c>
      <c r="I2280" s="1448">
        <f t="shared" si="91"/>
        <v>5.04</v>
      </c>
      <c r="J2280" s="1449"/>
      <c r="K2280" s="1481"/>
      <c r="L2280" s="1481"/>
      <c r="M2280" s="1481"/>
      <c r="N2280" s="1481"/>
      <c r="O2280" s="1481"/>
      <c r="P2280" s="1481"/>
      <c r="Q2280" s="1481"/>
      <c r="R2280" s="1481"/>
      <c r="S2280" s="1481"/>
      <c r="T2280" s="1481"/>
      <c r="U2280" s="1481"/>
      <c r="V2280" s="1481"/>
      <c r="W2280" s="1481"/>
      <c r="X2280" s="1481"/>
      <c r="Y2280" s="1481"/>
      <c r="Z2280" s="1481"/>
      <c r="AA2280" s="1481"/>
      <c r="AB2280" s="1481"/>
      <c r="AC2280" s="1481"/>
      <c r="AD2280" s="1481"/>
      <c r="AE2280" s="1481"/>
      <c r="AF2280" s="1481"/>
      <c r="AG2280" s="1481"/>
    </row>
    <row r="2281" spans="1:33" ht="15.75" customHeight="1">
      <c r="A2281" s="1448"/>
      <c r="B2281" s="1482" t="s">
        <v>7493</v>
      </c>
      <c r="C2281" s="1445">
        <v>2</v>
      </c>
      <c r="D2281" s="1447" t="s">
        <v>3364</v>
      </c>
      <c r="E2281" s="1445">
        <v>1</v>
      </c>
      <c r="F2281" s="1446">
        <v>1.2</v>
      </c>
      <c r="G2281" s="1446"/>
      <c r="H2281" s="1447">
        <v>2.1</v>
      </c>
      <c r="I2281" s="1448">
        <f t="shared" si="91"/>
        <v>5.04</v>
      </c>
      <c r="J2281" s="1449"/>
      <c r="K2281" s="1481"/>
      <c r="L2281" s="1481"/>
      <c r="M2281" s="1481"/>
      <c r="N2281" s="1481"/>
      <c r="O2281" s="1481"/>
      <c r="P2281" s="1481"/>
      <c r="Q2281" s="1481"/>
      <c r="R2281" s="1481"/>
      <c r="S2281" s="1481"/>
      <c r="T2281" s="1481"/>
      <c r="U2281" s="1481"/>
      <c r="V2281" s="1481"/>
      <c r="W2281" s="1481"/>
      <c r="X2281" s="1481"/>
      <c r="Y2281" s="1481"/>
      <c r="Z2281" s="1481"/>
      <c r="AA2281" s="1481"/>
      <c r="AB2281" s="1481"/>
      <c r="AC2281" s="1481"/>
      <c r="AD2281" s="1481"/>
      <c r="AE2281" s="1481"/>
      <c r="AF2281" s="1481"/>
      <c r="AG2281" s="1481"/>
    </row>
    <row r="2282" spans="1:33" ht="15.75" customHeight="1">
      <c r="A2282" s="1448"/>
      <c r="B2282" s="1471" t="s">
        <v>7077</v>
      </c>
      <c r="C2282" s="1445"/>
      <c r="D2282" s="1447"/>
      <c r="E2282" s="1445"/>
      <c r="F2282" s="1446"/>
      <c r="G2282" s="1446"/>
      <c r="H2282" s="1447"/>
      <c r="I2282" s="1448">
        <f t="shared" si="91"/>
        <v>0</v>
      </c>
      <c r="J2282" s="1449"/>
      <c r="K2282" s="1481"/>
      <c r="L2282" s="1481"/>
      <c r="M2282" s="1481"/>
      <c r="N2282" s="1481"/>
      <c r="O2282" s="1481"/>
      <c r="P2282" s="1481"/>
      <c r="Q2282" s="1481"/>
      <c r="R2282" s="1481"/>
      <c r="S2282" s="1481"/>
      <c r="T2282" s="1481"/>
      <c r="U2282" s="1481"/>
      <c r="V2282" s="1481"/>
      <c r="W2282" s="1481"/>
      <c r="X2282" s="1481"/>
      <c r="Y2282" s="1481"/>
      <c r="Z2282" s="1481"/>
      <c r="AA2282" s="1481"/>
      <c r="AB2282" s="1481"/>
      <c r="AC2282" s="1481"/>
      <c r="AD2282" s="1481"/>
      <c r="AE2282" s="1481"/>
      <c r="AF2282" s="1481"/>
      <c r="AG2282" s="1481"/>
    </row>
    <row r="2283" spans="1:33" ht="15.75" customHeight="1">
      <c r="A2283" s="1448"/>
      <c r="B2283" s="1482" t="s">
        <v>7215</v>
      </c>
      <c r="C2283" s="1445">
        <v>4</v>
      </c>
      <c r="D2283" s="1447" t="s">
        <v>3364</v>
      </c>
      <c r="E2283" s="1445">
        <v>1</v>
      </c>
      <c r="F2283" s="1446">
        <v>1.2</v>
      </c>
      <c r="G2283" s="1446"/>
      <c r="H2283" s="1447">
        <v>2.1</v>
      </c>
      <c r="I2283" s="1448">
        <f t="shared" si="91"/>
        <v>10.08</v>
      </c>
      <c r="J2283" s="1449"/>
      <c r="K2283" s="1481"/>
      <c r="L2283" s="1481"/>
      <c r="M2283" s="1481"/>
      <c r="N2283" s="1481"/>
      <c r="O2283" s="1481"/>
      <c r="P2283" s="1481"/>
      <c r="Q2283" s="1481"/>
      <c r="R2283" s="1481"/>
      <c r="S2283" s="1481"/>
      <c r="T2283" s="1481"/>
      <c r="U2283" s="1481"/>
      <c r="V2283" s="1481"/>
      <c r="W2283" s="1481"/>
      <c r="X2283" s="1481"/>
      <c r="Y2283" s="1481"/>
      <c r="Z2283" s="1481"/>
      <c r="AA2283" s="1481"/>
      <c r="AB2283" s="1481"/>
      <c r="AC2283" s="1481"/>
      <c r="AD2283" s="1481"/>
      <c r="AE2283" s="1481"/>
      <c r="AF2283" s="1481"/>
      <c r="AG2283" s="1481"/>
    </row>
    <row r="2284" spans="1:33" ht="15.75" customHeight="1">
      <c r="A2284" s="1448"/>
      <c r="B2284" s="1482" t="s">
        <v>7494</v>
      </c>
      <c r="C2284" s="1445">
        <v>4</v>
      </c>
      <c r="D2284" s="1447" t="s">
        <v>3364</v>
      </c>
      <c r="E2284" s="1445">
        <v>1</v>
      </c>
      <c r="F2284" s="1446">
        <v>1.2</v>
      </c>
      <c r="G2284" s="1446"/>
      <c r="H2284" s="1447">
        <v>2.1</v>
      </c>
      <c r="I2284" s="1448">
        <f t="shared" si="91"/>
        <v>10.08</v>
      </c>
      <c r="J2284" s="1449"/>
      <c r="K2284" s="1481"/>
      <c r="L2284" s="1481"/>
      <c r="M2284" s="1481"/>
      <c r="N2284" s="1481"/>
      <c r="O2284" s="1481"/>
      <c r="P2284" s="1481"/>
      <c r="Q2284" s="1481"/>
      <c r="R2284" s="1481"/>
      <c r="S2284" s="1481"/>
      <c r="T2284" s="1481"/>
      <c r="U2284" s="1481"/>
      <c r="V2284" s="1481"/>
      <c r="W2284" s="1481"/>
      <c r="X2284" s="1481"/>
      <c r="Y2284" s="1481"/>
      <c r="Z2284" s="1481"/>
      <c r="AA2284" s="1481"/>
      <c r="AB2284" s="1481"/>
      <c r="AC2284" s="1481"/>
      <c r="AD2284" s="1481"/>
      <c r="AE2284" s="1481"/>
      <c r="AF2284" s="1481"/>
      <c r="AG2284" s="1481"/>
    </row>
    <row r="2285" spans="1:33" ht="15.75" customHeight="1">
      <c r="A2285" s="1448"/>
      <c r="B2285" s="1482" t="s">
        <v>6760</v>
      </c>
      <c r="C2285" s="1445">
        <v>2</v>
      </c>
      <c r="D2285" s="1447" t="s">
        <v>3364</v>
      </c>
      <c r="E2285" s="1445">
        <v>1</v>
      </c>
      <c r="F2285" s="1446">
        <v>1.2</v>
      </c>
      <c r="G2285" s="1446"/>
      <c r="H2285" s="1447">
        <v>2.1</v>
      </c>
      <c r="I2285" s="1448">
        <f t="shared" si="91"/>
        <v>5.04</v>
      </c>
      <c r="J2285" s="1449"/>
      <c r="K2285" s="1481"/>
      <c r="L2285" s="1481"/>
      <c r="M2285" s="1481"/>
      <c r="N2285" s="1481"/>
      <c r="O2285" s="1481"/>
      <c r="P2285" s="1481"/>
      <c r="Q2285" s="1481"/>
      <c r="R2285" s="1481"/>
      <c r="S2285" s="1481"/>
      <c r="T2285" s="1481"/>
      <c r="U2285" s="1481"/>
      <c r="V2285" s="1481"/>
      <c r="W2285" s="1481"/>
      <c r="X2285" s="1481"/>
      <c r="Y2285" s="1481"/>
      <c r="Z2285" s="1481"/>
      <c r="AA2285" s="1481"/>
      <c r="AB2285" s="1481"/>
      <c r="AC2285" s="1481"/>
      <c r="AD2285" s="1481"/>
      <c r="AE2285" s="1481"/>
      <c r="AF2285" s="1481"/>
      <c r="AG2285" s="1481"/>
    </row>
    <row r="2286" spans="1:33" ht="15.75" customHeight="1">
      <c r="A2286" s="1448"/>
      <c r="B2286" s="1480" t="s">
        <v>7093</v>
      </c>
      <c r="C2286" s="1445">
        <v>1</v>
      </c>
      <c r="D2286" s="1447" t="s">
        <v>3364</v>
      </c>
      <c r="E2286" s="1445">
        <v>1</v>
      </c>
      <c r="F2286" s="1446">
        <v>1.2</v>
      </c>
      <c r="G2286" s="1446"/>
      <c r="H2286" s="1447">
        <v>2.1</v>
      </c>
      <c r="I2286" s="1448">
        <f t="shared" si="91"/>
        <v>2.52</v>
      </c>
      <c r="J2286" s="1449"/>
      <c r="K2286" s="1481"/>
      <c r="L2286" s="1481"/>
      <c r="M2286" s="1481"/>
      <c r="N2286" s="1481"/>
      <c r="O2286" s="1481"/>
      <c r="P2286" s="1481"/>
      <c r="Q2286" s="1481"/>
      <c r="R2286" s="1481"/>
      <c r="S2286" s="1481"/>
      <c r="T2286" s="1481"/>
      <c r="U2286" s="1481"/>
      <c r="V2286" s="1481"/>
      <c r="W2286" s="1481"/>
      <c r="X2286" s="1481"/>
      <c r="Y2286" s="1481"/>
      <c r="Z2286" s="1481"/>
      <c r="AA2286" s="1481"/>
      <c r="AB2286" s="1481"/>
      <c r="AC2286" s="1481"/>
      <c r="AD2286" s="1481"/>
      <c r="AE2286" s="1481"/>
      <c r="AF2286" s="1481"/>
      <c r="AG2286" s="1481"/>
    </row>
    <row r="2287" spans="1:33" ht="15.75" customHeight="1">
      <c r="A2287" s="1448"/>
      <c r="B2287" s="1480"/>
      <c r="C2287" s="1445"/>
      <c r="D2287" s="1447"/>
      <c r="E2287" s="1445"/>
      <c r="F2287" s="1446"/>
      <c r="G2287" s="1446"/>
      <c r="H2287" s="1447"/>
      <c r="I2287" s="1494">
        <f>SUM(I2258:I2286)</f>
        <v>138.6</v>
      </c>
      <c r="J2287" s="1449"/>
      <c r="K2287" s="1481"/>
      <c r="L2287" s="1481"/>
      <c r="M2287" s="1481"/>
      <c r="N2287" s="1481"/>
      <c r="O2287" s="1481"/>
      <c r="P2287" s="1481"/>
      <c r="Q2287" s="1481"/>
      <c r="R2287" s="1481"/>
      <c r="S2287" s="1481"/>
      <c r="T2287" s="1481"/>
      <c r="U2287" s="1481"/>
      <c r="V2287" s="1481"/>
      <c r="W2287" s="1481"/>
      <c r="X2287" s="1481"/>
      <c r="Y2287" s="1481"/>
      <c r="Z2287" s="1481"/>
      <c r="AA2287" s="1481"/>
      <c r="AB2287" s="1481"/>
      <c r="AC2287" s="1481"/>
      <c r="AD2287" s="1481"/>
      <c r="AE2287" s="1481"/>
      <c r="AF2287" s="1481"/>
      <c r="AG2287" s="1481"/>
    </row>
    <row r="2288" spans="1:33" ht="15.75" customHeight="1">
      <c r="A2288" s="1470"/>
      <c r="B2288" s="1450"/>
      <c r="C2288" s="1484"/>
      <c r="D2288" s="1484"/>
      <c r="E2288" s="1484"/>
      <c r="F2288" s="1446"/>
      <c r="G2288" s="1458" t="s">
        <v>104</v>
      </c>
      <c r="H2288" s="1447"/>
      <c r="I2288" s="1459">
        <f>SUM(I2287:I2287)</f>
        <v>138.6</v>
      </c>
      <c r="J2288" s="1475" t="s">
        <v>724</v>
      </c>
      <c r="K2288" s="1439"/>
      <c r="L2288" s="1439"/>
      <c r="M2288" s="1439"/>
      <c r="N2288" s="1439"/>
      <c r="O2288" s="1439"/>
      <c r="P2288" s="1439"/>
      <c r="Q2288" s="1439"/>
      <c r="R2288" s="1439"/>
      <c r="S2288" s="1439"/>
      <c r="T2288" s="1439"/>
      <c r="U2288" s="1439"/>
      <c r="V2288" s="1439"/>
      <c r="W2288" s="1439"/>
      <c r="X2288" s="1439"/>
      <c r="Y2288" s="1439"/>
      <c r="Z2288" s="1439"/>
      <c r="AA2288" s="1439"/>
      <c r="AB2288" s="1439"/>
      <c r="AC2288" s="1439"/>
      <c r="AD2288" s="1439"/>
      <c r="AE2288" s="1439"/>
      <c r="AF2288" s="1439"/>
      <c r="AG2288" s="1439"/>
    </row>
    <row r="2289" spans="1:33" s="1719" customFormat="1" ht="31.5">
      <c r="A2289" s="1711"/>
      <c r="B2289" s="1712" t="s">
        <v>3630</v>
      </c>
      <c r="C2289" s="1713"/>
      <c r="D2289" s="1713"/>
      <c r="E2289" s="1713"/>
      <c r="F2289" s="1714"/>
      <c r="G2289" s="1714"/>
      <c r="H2289" s="1715"/>
      <c r="I2289" s="1716"/>
      <c r="J2289" s="1717"/>
      <c r="K2289" s="1718"/>
      <c r="L2289" s="1718"/>
      <c r="M2289" s="1718"/>
      <c r="N2289" s="1718"/>
      <c r="O2289" s="1718"/>
      <c r="P2289" s="1718"/>
      <c r="Q2289" s="1718"/>
      <c r="R2289" s="1718"/>
      <c r="S2289" s="1718"/>
      <c r="T2289" s="1718"/>
      <c r="U2289" s="1718"/>
      <c r="V2289" s="1718"/>
      <c r="W2289" s="1718"/>
      <c r="X2289" s="1718"/>
      <c r="Y2289" s="1718"/>
      <c r="Z2289" s="1718"/>
      <c r="AA2289" s="1718"/>
      <c r="AB2289" s="1718"/>
      <c r="AC2289" s="1718"/>
      <c r="AD2289" s="1718"/>
      <c r="AE2289" s="1718"/>
      <c r="AF2289" s="1718"/>
      <c r="AG2289" s="1718"/>
    </row>
    <row r="2290" spans="1:33" s="1719" customFormat="1" ht="15.75" customHeight="1">
      <c r="A2290" s="1720"/>
      <c r="B2290" s="1721" t="s">
        <v>7551</v>
      </c>
      <c r="C2290" s="1722">
        <v>2</v>
      </c>
      <c r="D2290" s="1722" t="s">
        <v>3364</v>
      </c>
      <c r="E2290" s="1722">
        <v>3</v>
      </c>
      <c r="F2290" s="1723">
        <v>4</v>
      </c>
      <c r="G2290" s="1723"/>
      <c r="H2290" s="1724">
        <v>2.1</v>
      </c>
      <c r="I2290" s="1725">
        <f>PRODUCT(C2290:H2290)</f>
        <v>50.4</v>
      </c>
      <c r="J2290" s="1726"/>
      <c r="K2290" s="1718"/>
      <c r="L2290" s="1718"/>
      <c r="M2290" s="1718"/>
      <c r="N2290" s="1718"/>
      <c r="O2290" s="1718"/>
      <c r="P2290" s="1718"/>
      <c r="Q2290" s="1718"/>
      <c r="R2290" s="1718"/>
      <c r="S2290" s="1718"/>
      <c r="T2290" s="1718"/>
      <c r="U2290" s="1718"/>
      <c r="V2290" s="1718"/>
      <c r="W2290" s="1718"/>
      <c r="X2290" s="1718"/>
      <c r="Y2290" s="1718"/>
      <c r="Z2290" s="1718"/>
      <c r="AA2290" s="1718"/>
      <c r="AB2290" s="1718"/>
      <c r="AC2290" s="1718"/>
      <c r="AD2290" s="1718"/>
      <c r="AE2290" s="1718"/>
      <c r="AF2290" s="1718"/>
      <c r="AG2290" s="1718"/>
    </row>
    <row r="2291" spans="1:33" ht="36" customHeight="1">
      <c r="A2291" s="1451" t="s">
        <v>3634</v>
      </c>
      <c r="B2291" s="1456" t="s">
        <v>7261</v>
      </c>
      <c r="C2291" s="1477"/>
      <c r="D2291" s="1477"/>
      <c r="E2291" s="1477"/>
      <c r="F2291" s="1478"/>
      <c r="G2291" s="1441"/>
      <c r="H2291" s="1500"/>
      <c r="I2291" s="1494"/>
      <c r="J2291" s="1501"/>
      <c r="K2291" s="1439"/>
      <c r="L2291" s="1439"/>
      <c r="M2291" s="1439"/>
      <c r="N2291" s="1439"/>
      <c r="O2291" s="1439"/>
      <c r="P2291" s="1439"/>
      <c r="Q2291" s="1439"/>
      <c r="R2291" s="1439"/>
      <c r="S2291" s="1439"/>
      <c r="T2291" s="1439"/>
      <c r="U2291" s="1439"/>
      <c r="V2291" s="1439"/>
      <c r="W2291" s="1439"/>
      <c r="X2291" s="1439"/>
      <c r="Y2291" s="1439"/>
      <c r="Z2291" s="1439"/>
      <c r="AA2291" s="1439"/>
      <c r="AB2291" s="1439"/>
      <c r="AC2291" s="1439"/>
      <c r="AD2291" s="1439"/>
      <c r="AE2291" s="1439"/>
      <c r="AF2291" s="1439"/>
      <c r="AG2291" s="1439"/>
    </row>
    <row r="2292" spans="1:33" ht="15.75" customHeight="1">
      <c r="A2292" s="1451"/>
      <c r="B2292" s="1450" t="s">
        <v>3636</v>
      </c>
      <c r="C2292" s="1477">
        <v>1</v>
      </c>
      <c r="D2292" s="1477" t="s">
        <v>3364</v>
      </c>
      <c r="E2292" s="1477">
        <v>44</v>
      </c>
      <c r="F2292" s="1478">
        <v>0.75</v>
      </c>
      <c r="G2292" s="1478"/>
      <c r="H2292" s="1500">
        <v>2.1</v>
      </c>
      <c r="I2292" s="1494">
        <f>PRODUCT(C2292:H2292)</f>
        <v>69.3</v>
      </c>
      <c r="J2292" s="1501"/>
      <c r="K2292" s="1439"/>
      <c r="L2292" s="1439">
        <v>1</v>
      </c>
      <c r="M2292" s="1439"/>
      <c r="N2292" s="1439"/>
      <c r="O2292" s="1439"/>
      <c r="P2292" s="1439"/>
      <c r="Q2292" s="1439"/>
      <c r="R2292" s="1439"/>
      <c r="S2292" s="1439"/>
      <c r="T2292" s="1439"/>
      <c r="U2292" s="1439"/>
      <c r="V2292" s="1439"/>
      <c r="W2292" s="1439"/>
      <c r="X2292" s="1439"/>
      <c r="Y2292" s="1439"/>
      <c r="Z2292" s="1439"/>
      <c r="AA2292" s="1439"/>
      <c r="AB2292" s="1439"/>
      <c r="AC2292" s="1439"/>
      <c r="AD2292" s="1439"/>
      <c r="AE2292" s="1439"/>
      <c r="AF2292" s="1439"/>
      <c r="AG2292" s="1439"/>
    </row>
    <row r="2293" spans="1:33" ht="15.75" customHeight="1">
      <c r="A2293" s="1451"/>
      <c r="B2293" s="1450"/>
      <c r="C2293" s="1477"/>
      <c r="D2293" s="1477"/>
      <c r="E2293" s="1477"/>
      <c r="F2293" s="1478"/>
      <c r="G2293" s="1478"/>
      <c r="H2293" s="1442" t="s">
        <v>3473</v>
      </c>
      <c r="I2293" s="1479">
        <f>CEILING(I2292,0.1)</f>
        <v>69.3</v>
      </c>
      <c r="J2293" s="1501" t="s">
        <v>724</v>
      </c>
      <c r="K2293" s="1439"/>
      <c r="L2293" s="1439"/>
      <c r="M2293" s="1439"/>
      <c r="N2293" s="1439"/>
      <c r="O2293" s="1439"/>
      <c r="P2293" s="1439"/>
      <c r="Q2293" s="1439"/>
      <c r="R2293" s="1439"/>
      <c r="S2293" s="1439"/>
      <c r="T2293" s="1439"/>
      <c r="U2293" s="1439"/>
      <c r="V2293" s="1439"/>
      <c r="W2293" s="1439"/>
      <c r="X2293" s="1439"/>
      <c r="Y2293" s="1439"/>
      <c r="Z2293" s="1439"/>
      <c r="AA2293" s="1439"/>
      <c r="AB2293" s="1439"/>
      <c r="AC2293" s="1439"/>
      <c r="AD2293" s="1439"/>
      <c r="AE2293" s="1439"/>
      <c r="AF2293" s="1439"/>
      <c r="AG2293" s="1439"/>
    </row>
    <row r="2294" spans="1:33" ht="189">
      <c r="A2294" s="1451">
        <v>29.8</v>
      </c>
      <c r="B2294" s="1462" t="s">
        <v>7262</v>
      </c>
      <c r="C2294" s="1484"/>
      <c r="D2294" s="1484"/>
      <c r="E2294" s="1484"/>
      <c r="F2294" s="1446"/>
      <c r="G2294" s="1446"/>
      <c r="H2294" s="1447"/>
      <c r="I2294" s="1448"/>
      <c r="J2294" s="1475"/>
      <c r="K2294" s="1439"/>
      <c r="L2294" s="1439"/>
      <c r="M2294" s="1439"/>
      <c r="N2294" s="1439"/>
      <c r="O2294" s="1439"/>
      <c r="P2294" s="1439"/>
      <c r="Q2294" s="1439"/>
      <c r="R2294" s="1439"/>
      <c r="S2294" s="1439"/>
      <c r="T2294" s="1439"/>
      <c r="U2294" s="1439"/>
      <c r="V2294" s="1439"/>
      <c r="W2294" s="1439"/>
      <c r="X2294" s="1439"/>
      <c r="Y2294" s="1439"/>
      <c r="Z2294" s="1439"/>
      <c r="AA2294" s="1439"/>
      <c r="AB2294" s="1439"/>
      <c r="AC2294" s="1439"/>
      <c r="AD2294" s="1439"/>
      <c r="AE2294" s="1439"/>
      <c r="AF2294" s="1439"/>
      <c r="AG2294" s="1439"/>
    </row>
    <row r="2295" spans="1:33" ht="15.75" customHeight="1">
      <c r="A2295" s="1448"/>
      <c r="B2295" s="1491" t="s">
        <v>7157</v>
      </c>
      <c r="C2295" s="1445"/>
      <c r="D2295" s="1447"/>
      <c r="E2295" s="1445"/>
      <c r="F2295" s="1446"/>
      <c r="G2295" s="1446"/>
      <c r="H2295" s="1447"/>
      <c r="I2295" s="1448"/>
      <c r="J2295" s="1449"/>
      <c r="K2295" s="1481" t="s">
        <v>88</v>
      </c>
      <c r="L2295" s="1481"/>
      <c r="M2295" s="1481"/>
      <c r="N2295" s="1481"/>
      <c r="O2295" s="1481"/>
      <c r="P2295" s="1481"/>
      <c r="Q2295" s="1481"/>
      <c r="R2295" s="1481"/>
      <c r="S2295" s="1481"/>
      <c r="T2295" s="1481"/>
      <c r="U2295" s="1481"/>
      <c r="V2295" s="1481"/>
      <c r="W2295" s="1481"/>
      <c r="X2295" s="1481"/>
      <c r="Y2295" s="1481"/>
      <c r="Z2295" s="1481"/>
      <c r="AA2295" s="1481"/>
      <c r="AB2295" s="1481"/>
      <c r="AC2295" s="1481"/>
      <c r="AD2295" s="1481"/>
      <c r="AE2295" s="1481"/>
      <c r="AF2295" s="1481"/>
      <c r="AG2295" s="1481"/>
    </row>
    <row r="2296" spans="1:33" ht="15.75" customHeight="1">
      <c r="A2296" s="1448"/>
      <c r="B2296" s="1474" t="s">
        <v>6727</v>
      </c>
      <c r="C2296" s="1445">
        <v>1</v>
      </c>
      <c r="D2296" s="1447" t="s">
        <v>3364</v>
      </c>
      <c r="E2296" s="1445">
        <v>1</v>
      </c>
      <c r="F2296" s="1446">
        <v>8.0299999999999994</v>
      </c>
      <c r="G2296" s="1446"/>
      <c r="H2296" s="1447">
        <v>1.5</v>
      </c>
      <c r="I2296" s="1448">
        <f t="shared" ref="I2296:I2382" si="92">PRODUCT(C2296:H2296)</f>
        <v>12.05</v>
      </c>
      <c r="J2296" s="1449"/>
      <c r="K2296" s="1481"/>
      <c r="L2296" s="1481"/>
      <c r="M2296" s="1481"/>
      <c r="N2296" s="1481"/>
      <c r="O2296" s="1481"/>
      <c r="P2296" s="1481"/>
      <c r="Q2296" s="1481"/>
      <c r="R2296" s="1481"/>
      <c r="S2296" s="1481"/>
      <c r="T2296" s="1481"/>
      <c r="U2296" s="1481"/>
      <c r="V2296" s="1481"/>
      <c r="W2296" s="1481"/>
      <c r="X2296" s="1481"/>
      <c r="Y2296" s="1481"/>
      <c r="Z2296" s="1481"/>
      <c r="AA2296" s="1481"/>
      <c r="AB2296" s="1481"/>
      <c r="AC2296" s="1481"/>
      <c r="AD2296" s="1481"/>
      <c r="AE2296" s="1481"/>
      <c r="AF2296" s="1481"/>
      <c r="AG2296" s="1481"/>
    </row>
    <row r="2297" spans="1:33" ht="15.75" customHeight="1">
      <c r="A2297" s="1448"/>
      <c r="B2297" s="1474" t="s">
        <v>3640</v>
      </c>
      <c r="C2297" s="1445">
        <v>1</v>
      </c>
      <c r="D2297" s="1447" t="s">
        <v>3364</v>
      </c>
      <c r="E2297" s="1445">
        <v>1</v>
      </c>
      <c r="F2297" s="1446">
        <v>0.115</v>
      </c>
      <c r="G2297" s="1446"/>
      <c r="H2297" s="1447">
        <v>1.5</v>
      </c>
      <c r="I2297" s="1448">
        <f t="shared" si="92"/>
        <v>0.17</v>
      </c>
      <c r="J2297" s="1449"/>
      <c r="K2297" s="1481"/>
      <c r="L2297" s="1481"/>
      <c r="M2297" s="1481"/>
      <c r="N2297" s="1481"/>
      <c r="O2297" s="1481"/>
      <c r="P2297" s="1481"/>
      <c r="Q2297" s="1481"/>
      <c r="R2297" s="1481"/>
      <c r="S2297" s="1481"/>
      <c r="T2297" s="1481"/>
      <c r="U2297" s="1481"/>
      <c r="V2297" s="1481"/>
      <c r="W2297" s="1481"/>
      <c r="X2297" s="1481"/>
      <c r="Y2297" s="1481"/>
      <c r="Z2297" s="1481"/>
      <c r="AA2297" s="1481"/>
      <c r="AB2297" s="1481"/>
      <c r="AC2297" s="1481"/>
      <c r="AD2297" s="1481"/>
      <c r="AE2297" s="1481"/>
      <c r="AF2297" s="1481"/>
      <c r="AG2297" s="1481"/>
    </row>
    <row r="2298" spans="1:33" ht="15.75" customHeight="1">
      <c r="A2298" s="1448"/>
      <c r="B2298" s="1474" t="s">
        <v>7137</v>
      </c>
      <c r="C2298" s="1445">
        <v>1</v>
      </c>
      <c r="D2298" s="1447" t="s">
        <v>3364</v>
      </c>
      <c r="E2298" s="1445">
        <v>1</v>
      </c>
      <c r="F2298" s="1446">
        <v>5.67</v>
      </c>
      <c r="G2298" s="1446"/>
      <c r="H2298" s="1447">
        <v>1.5</v>
      </c>
      <c r="I2298" s="1448">
        <f t="shared" si="92"/>
        <v>8.51</v>
      </c>
      <c r="J2298" s="1449"/>
      <c r="K2298" s="1481"/>
      <c r="L2298" s="1481"/>
      <c r="M2298" s="1481"/>
      <c r="N2298" s="1481"/>
      <c r="O2298" s="1481"/>
      <c r="P2298" s="1481"/>
      <c r="Q2298" s="1481"/>
      <c r="R2298" s="1481"/>
      <c r="S2298" s="1481"/>
      <c r="T2298" s="1481"/>
      <c r="U2298" s="1481"/>
      <c r="V2298" s="1481"/>
      <c r="W2298" s="1481"/>
      <c r="X2298" s="1481"/>
      <c r="Y2298" s="1481"/>
      <c r="Z2298" s="1481"/>
      <c r="AA2298" s="1481"/>
      <c r="AB2298" s="1481"/>
      <c r="AC2298" s="1481"/>
      <c r="AD2298" s="1481"/>
      <c r="AE2298" s="1481"/>
      <c r="AF2298" s="1481"/>
      <c r="AG2298" s="1481"/>
    </row>
    <row r="2299" spans="1:33" ht="15.75" customHeight="1">
      <c r="A2299" s="1448"/>
      <c r="B2299" s="1474" t="s">
        <v>3640</v>
      </c>
      <c r="C2299" s="1445">
        <v>1</v>
      </c>
      <c r="D2299" s="1447" t="s">
        <v>3364</v>
      </c>
      <c r="E2299" s="1445">
        <v>1</v>
      </c>
      <c r="F2299" s="1446">
        <v>0.115</v>
      </c>
      <c r="G2299" s="1446"/>
      <c r="H2299" s="1447">
        <v>1.5</v>
      </c>
      <c r="I2299" s="1448">
        <f t="shared" si="92"/>
        <v>0.17</v>
      </c>
      <c r="J2299" s="1449"/>
      <c r="K2299" s="1481"/>
      <c r="L2299" s="1481"/>
      <c r="M2299" s="1481"/>
      <c r="N2299" s="1481"/>
      <c r="O2299" s="1481"/>
      <c r="P2299" s="1481"/>
      <c r="Q2299" s="1481"/>
      <c r="R2299" s="1481"/>
      <c r="S2299" s="1481"/>
      <c r="T2299" s="1481"/>
      <c r="U2299" s="1481"/>
      <c r="V2299" s="1481"/>
      <c r="W2299" s="1481"/>
      <c r="X2299" s="1481"/>
      <c r="Y2299" s="1481"/>
      <c r="Z2299" s="1481"/>
      <c r="AA2299" s="1481"/>
      <c r="AB2299" s="1481"/>
      <c r="AC2299" s="1481"/>
      <c r="AD2299" s="1481"/>
      <c r="AE2299" s="1481"/>
      <c r="AF2299" s="1481"/>
      <c r="AG2299" s="1481"/>
    </row>
    <row r="2300" spans="1:33" ht="15.75" customHeight="1">
      <c r="A2300" s="1448"/>
      <c r="B2300" s="1474" t="s">
        <v>7137</v>
      </c>
      <c r="C2300" s="1445">
        <v>1</v>
      </c>
      <c r="D2300" s="1447" t="s">
        <v>3364</v>
      </c>
      <c r="E2300" s="1445">
        <v>1</v>
      </c>
      <c r="F2300" s="1446">
        <v>5.2</v>
      </c>
      <c r="G2300" s="1446"/>
      <c r="H2300" s="1447">
        <v>1.5</v>
      </c>
      <c r="I2300" s="1448">
        <f t="shared" si="92"/>
        <v>7.8</v>
      </c>
      <c r="J2300" s="1449"/>
      <c r="K2300" s="1481"/>
      <c r="L2300" s="1481"/>
      <c r="M2300" s="1481"/>
      <c r="N2300" s="1481"/>
      <c r="O2300" s="1481"/>
      <c r="P2300" s="1481"/>
      <c r="Q2300" s="1481"/>
      <c r="R2300" s="1481"/>
      <c r="S2300" s="1481"/>
      <c r="T2300" s="1481"/>
      <c r="U2300" s="1481"/>
      <c r="V2300" s="1481"/>
      <c r="W2300" s="1481"/>
      <c r="X2300" s="1481"/>
      <c r="Y2300" s="1481"/>
      <c r="Z2300" s="1481"/>
      <c r="AA2300" s="1481"/>
      <c r="AB2300" s="1481"/>
      <c r="AC2300" s="1481"/>
      <c r="AD2300" s="1481"/>
      <c r="AE2300" s="1481"/>
      <c r="AF2300" s="1481"/>
      <c r="AG2300" s="1481"/>
    </row>
    <row r="2301" spans="1:33" ht="15.75" customHeight="1">
      <c r="A2301" s="1448"/>
      <c r="B2301" s="1474" t="s">
        <v>3640</v>
      </c>
      <c r="C2301" s="1445">
        <v>1</v>
      </c>
      <c r="D2301" s="1447" t="s">
        <v>3364</v>
      </c>
      <c r="E2301" s="1445">
        <v>1</v>
      </c>
      <c r="F2301" s="1446">
        <v>0.115</v>
      </c>
      <c r="G2301" s="1446"/>
      <c r="H2301" s="1447">
        <v>1.5</v>
      </c>
      <c r="I2301" s="1448">
        <f t="shared" si="92"/>
        <v>0.17</v>
      </c>
      <c r="J2301" s="1449"/>
      <c r="K2301" s="1481"/>
      <c r="L2301" s="1481"/>
      <c r="M2301" s="1481"/>
      <c r="N2301" s="1481"/>
      <c r="O2301" s="1481"/>
      <c r="P2301" s="1481"/>
      <c r="Q2301" s="1481"/>
      <c r="R2301" s="1481"/>
      <c r="S2301" s="1481"/>
      <c r="T2301" s="1481"/>
      <c r="U2301" s="1481"/>
      <c r="V2301" s="1481"/>
      <c r="W2301" s="1481"/>
      <c r="X2301" s="1481"/>
      <c r="Y2301" s="1481"/>
      <c r="Z2301" s="1481"/>
      <c r="AA2301" s="1481"/>
      <c r="AB2301" s="1481"/>
      <c r="AC2301" s="1481"/>
      <c r="AD2301" s="1481"/>
      <c r="AE2301" s="1481"/>
      <c r="AF2301" s="1481"/>
      <c r="AG2301" s="1481"/>
    </row>
    <row r="2302" spans="1:33" ht="15.75" customHeight="1">
      <c r="A2302" s="1448"/>
      <c r="B2302" s="1474" t="s">
        <v>7263</v>
      </c>
      <c r="C2302" s="1445">
        <v>1</v>
      </c>
      <c r="D2302" s="1447" t="s">
        <v>3364</v>
      </c>
      <c r="E2302" s="1445">
        <v>1</v>
      </c>
      <c r="F2302" s="1446">
        <v>7.8</v>
      </c>
      <c r="G2302" s="1446"/>
      <c r="H2302" s="1447">
        <v>1.5</v>
      </c>
      <c r="I2302" s="1448">
        <f t="shared" si="92"/>
        <v>11.7</v>
      </c>
      <c r="J2302" s="1449"/>
      <c r="K2302" s="1481"/>
      <c r="L2302" s="1481"/>
      <c r="M2302" s="1481"/>
      <c r="N2302" s="1481"/>
      <c r="O2302" s="1481"/>
      <c r="P2302" s="1481"/>
      <c r="Q2302" s="1481"/>
      <c r="R2302" s="1481"/>
      <c r="S2302" s="1481"/>
      <c r="T2302" s="1481"/>
      <c r="U2302" s="1481"/>
      <c r="V2302" s="1481"/>
      <c r="W2302" s="1481"/>
      <c r="X2302" s="1481"/>
      <c r="Y2302" s="1481"/>
      <c r="Z2302" s="1481"/>
      <c r="AA2302" s="1481"/>
      <c r="AB2302" s="1481"/>
      <c r="AC2302" s="1481"/>
      <c r="AD2302" s="1481"/>
      <c r="AE2302" s="1481"/>
      <c r="AF2302" s="1481"/>
      <c r="AG2302" s="1481"/>
    </row>
    <row r="2303" spans="1:33" ht="15.75" customHeight="1">
      <c r="A2303" s="1448"/>
      <c r="B2303" s="1474" t="s">
        <v>3640</v>
      </c>
      <c r="C2303" s="1445">
        <v>1</v>
      </c>
      <c r="D2303" s="1447" t="s">
        <v>3364</v>
      </c>
      <c r="E2303" s="1445">
        <v>1</v>
      </c>
      <c r="F2303" s="1446">
        <v>0.115</v>
      </c>
      <c r="G2303" s="1446"/>
      <c r="H2303" s="1447">
        <v>1.5</v>
      </c>
      <c r="I2303" s="1448">
        <f t="shared" si="92"/>
        <v>0.17</v>
      </c>
      <c r="J2303" s="1449"/>
      <c r="K2303" s="1481"/>
      <c r="L2303" s="1481"/>
      <c r="M2303" s="1481"/>
      <c r="N2303" s="1481"/>
      <c r="O2303" s="1481"/>
      <c r="P2303" s="1481"/>
      <c r="Q2303" s="1481"/>
      <c r="R2303" s="1481"/>
      <c r="S2303" s="1481"/>
      <c r="T2303" s="1481"/>
      <c r="U2303" s="1481"/>
      <c r="V2303" s="1481"/>
      <c r="W2303" s="1481"/>
      <c r="X2303" s="1481"/>
      <c r="Y2303" s="1481"/>
      <c r="Z2303" s="1481"/>
      <c r="AA2303" s="1481"/>
      <c r="AB2303" s="1481"/>
      <c r="AC2303" s="1481"/>
      <c r="AD2303" s="1481"/>
      <c r="AE2303" s="1481"/>
      <c r="AF2303" s="1481"/>
      <c r="AG2303" s="1481"/>
    </row>
    <row r="2304" spans="1:33" ht="15.75" customHeight="1">
      <c r="A2304" s="1448"/>
      <c r="B2304" s="1474" t="s">
        <v>3639</v>
      </c>
      <c r="C2304" s="1445">
        <v>-1</v>
      </c>
      <c r="D2304" s="1447" t="s">
        <v>3364</v>
      </c>
      <c r="E2304" s="1445">
        <v>4</v>
      </c>
      <c r="F2304" s="1446">
        <v>0.9</v>
      </c>
      <c r="G2304" s="1446"/>
      <c r="H2304" s="1447">
        <v>1.5</v>
      </c>
      <c r="I2304" s="1448">
        <f t="shared" si="92"/>
        <v>-5.4</v>
      </c>
      <c r="J2304" s="1449"/>
      <c r="K2304" s="1481"/>
      <c r="L2304" s="1481"/>
      <c r="M2304" s="1481"/>
      <c r="N2304" s="1481"/>
      <c r="O2304" s="1481"/>
      <c r="P2304" s="1481"/>
      <c r="Q2304" s="1481"/>
      <c r="R2304" s="1481"/>
      <c r="S2304" s="1481"/>
      <c r="T2304" s="1481"/>
      <c r="U2304" s="1481"/>
      <c r="V2304" s="1481"/>
      <c r="W2304" s="1481"/>
      <c r="X2304" s="1481"/>
      <c r="Y2304" s="1481"/>
      <c r="Z2304" s="1481"/>
      <c r="AA2304" s="1481"/>
      <c r="AB2304" s="1481"/>
      <c r="AC2304" s="1481"/>
      <c r="AD2304" s="1481"/>
      <c r="AE2304" s="1481"/>
      <c r="AF2304" s="1481"/>
      <c r="AG2304" s="1481"/>
    </row>
    <row r="2305" spans="1:33" ht="15.75" customHeight="1">
      <c r="A2305" s="1448"/>
      <c r="B2305" s="1474" t="s">
        <v>3640</v>
      </c>
      <c r="C2305" s="1445">
        <v>1</v>
      </c>
      <c r="D2305" s="1447" t="s">
        <v>3364</v>
      </c>
      <c r="E2305" s="1445">
        <v>2</v>
      </c>
      <c r="F2305" s="1446">
        <v>0.115</v>
      </c>
      <c r="G2305" s="1446"/>
      <c r="H2305" s="1447">
        <v>1.5</v>
      </c>
      <c r="I2305" s="1448">
        <f t="shared" si="92"/>
        <v>0.35</v>
      </c>
      <c r="J2305" s="1449"/>
      <c r="K2305" s="1481"/>
      <c r="L2305" s="1481"/>
      <c r="M2305" s="1481"/>
      <c r="N2305" s="1481"/>
      <c r="O2305" s="1481"/>
      <c r="P2305" s="1481"/>
      <c r="Q2305" s="1481"/>
      <c r="R2305" s="1481"/>
      <c r="S2305" s="1481"/>
      <c r="T2305" s="1481"/>
      <c r="U2305" s="1481"/>
      <c r="V2305" s="1481"/>
      <c r="W2305" s="1481"/>
      <c r="X2305" s="1481"/>
      <c r="Y2305" s="1481"/>
      <c r="Z2305" s="1481"/>
      <c r="AA2305" s="1481"/>
      <c r="AB2305" s="1481"/>
      <c r="AC2305" s="1481"/>
      <c r="AD2305" s="1481"/>
      <c r="AE2305" s="1481"/>
      <c r="AF2305" s="1481"/>
      <c r="AG2305" s="1481"/>
    </row>
    <row r="2306" spans="1:33" ht="15.75" customHeight="1">
      <c r="A2306" s="1448"/>
      <c r="B2306" s="1474" t="s">
        <v>7264</v>
      </c>
      <c r="C2306" s="1445"/>
      <c r="D2306" s="1447"/>
      <c r="E2306" s="1445"/>
      <c r="F2306" s="1446"/>
      <c r="G2306" s="1446"/>
      <c r="H2306" s="1447"/>
      <c r="I2306" s="1448">
        <f t="shared" si="92"/>
        <v>0</v>
      </c>
      <c r="J2306" s="1449"/>
      <c r="K2306" s="1481"/>
      <c r="L2306" s="1481"/>
      <c r="M2306" s="1481"/>
      <c r="N2306" s="1481"/>
      <c r="O2306" s="1481"/>
      <c r="P2306" s="1481"/>
      <c r="Q2306" s="1481"/>
      <c r="R2306" s="1481"/>
      <c r="S2306" s="1481"/>
      <c r="T2306" s="1481"/>
      <c r="U2306" s="1481"/>
      <c r="V2306" s="1481"/>
      <c r="W2306" s="1481"/>
      <c r="X2306" s="1481"/>
      <c r="Y2306" s="1481"/>
      <c r="Z2306" s="1481"/>
      <c r="AA2306" s="1481"/>
      <c r="AB2306" s="1481"/>
      <c r="AC2306" s="1481"/>
      <c r="AD2306" s="1481"/>
      <c r="AE2306" s="1481"/>
      <c r="AF2306" s="1481"/>
      <c r="AG2306" s="1481"/>
    </row>
    <row r="2307" spans="1:33" ht="15.75" customHeight="1">
      <c r="A2307" s="1448"/>
      <c r="B2307" s="1474" t="s">
        <v>7265</v>
      </c>
      <c r="C2307" s="1445">
        <v>1</v>
      </c>
      <c r="D2307" s="1447" t="s">
        <v>3364</v>
      </c>
      <c r="E2307" s="1445">
        <v>2</v>
      </c>
      <c r="F2307" s="1446">
        <v>7.3</v>
      </c>
      <c r="G2307" s="1446"/>
      <c r="H2307" s="1447">
        <v>2.1</v>
      </c>
      <c r="I2307" s="1448">
        <f t="shared" si="92"/>
        <v>30.66</v>
      </c>
      <c r="J2307" s="1449"/>
      <c r="K2307" s="1481"/>
      <c r="L2307" s="1481"/>
      <c r="M2307" s="1481"/>
      <c r="N2307" s="1481"/>
      <c r="O2307" s="1481"/>
      <c r="P2307" s="1481"/>
      <c r="Q2307" s="1481"/>
      <c r="R2307" s="1481"/>
      <c r="S2307" s="1481"/>
      <c r="T2307" s="1481"/>
      <c r="U2307" s="1481"/>
      <c r="V2307" s="1481"/>
      <c r="W2307" s="1481"/>
      <c r="X2307" s="1481"/>
      <c r="Y2307" s="1481"/>
      <c r="Z2307" s="1481"/>
      <c r="AA2307" s="1481"/>
      <c r="AB2307" s="1481"/>
      <c r="AC2307" s="1481"/>
      <c r="AD2307" s="1481"/>
      <c r="AE2307" s="1481"/>
      <c r="AF2307" s="1481"/>
      <c r="AG2307" s="1481"/>
    </row>
    <row r="2308" spans="1:33" ht="15.75" customHeight="1">
      <c r="A2308" s="1448"/>
      <c r="B2308" s="1474" t="s">
        <v>7266</v>
      </c>
      <c r="C2308" s="1445">
        <v>1</v>
      </c>
      <c r="D2308" s="1447" t="s">
        <v>3364</v>
      </c>
      <c r="E2308" s="1445">
        <v>2</v>
      </c>
      <c r="F2308" s="1446">
        <v>0.115</v>
      </c>
      <c r="G2308" s="1446"/>
      <c r="H2308" s="1447">
        <v>2.1</v>
      </c>
      <c r="I2308" s="1448">
        <f t="shared" si="92"/>
        <v>0.48</v>
      </c>
      <c r="J2308" s="1449"/>
      <c r="K2308" s="1481"/>
      <c r="L2308" s="1481"/>
      <c r="M2308" s="1481"/>
      <c r="N2308" s="1481"/>
      <c r="O2308" s="1481"/>
      <c r="P2308" s="1481"/>
      <c r="Q2308" s="1481"/>
      <c r="R2308" s="1481"/>
      <c r="S2308" s="1481"/>
      <c r="T2308" s="1481"/>
      <c r="U2308" s="1481"/>
      <c r="V2308" s="1481"/>
      <c r="W2308" s="1481"/>
      <c r="X2308" s="1481"/>
      <c r="Y2308" s="1481"/>
      <c r="Z2308" s="1481"/>
      <c r="AA2308" s="1481"/>
      <c r="AB2308" s="1481"/>
      <c r="AC2308" s="1481"/>
      <c r="AD2308" s="1481"/>
      <c r="AE2308" s="1481"/>
      <c r="AF2308" s="1481"/>
      <c r="AG2308" s="1481"/>
    </row>
    <row r="2309" spans="1:33" ht="15.75" customHeight="1">
      <c r="A2309" s="1448"/>
      <c r="B2309" s="1474" t="s">
        <v>3639</v>
      </c>
      <c r="C2309" s="1445">
        <v>-1</v>
      </c>
      <c r="D2309" s="1447" t="s">
        <v>3364</v>
      </c>
      <c r="E2309" s="1445">
        <v>2</v>
      </c>
      <c r="F2309" s="1446">
        <v>0.75</v>
      </c>
      <c r="G2309" s="1446"/>
      <c r="H2309" s="1447">
        <v>2.1</v>
      </c>
      <c r="I2309" s="1448">
        <f t="shared" si="92"/>
        <v>-3.15</v>
      </c>
      <c r="J2309" s="1449"/>
      <c r="K2309" s="1481"/>
      <c r="L2309" s="1481"/>
      <c r="M2309" s="1481"/>
      <c r="N2309" s="1481"/>
      <c r="O2309" s="1481"/>
      <c r="P2309" s="1481"/>
      <c r="Q2309" s="1481"/>
      <c r="R2309" s="1481"/>
      <c r="S2309" s="1481"/>
      <c r="T2309" s="1481"/>
      <c r="U2309" s="1481"/>
      <c r="V2309" s="1481"/>
      <c r="W2309" s="1481"/>
      <c r="X2309" s="1481"/>
      <c r="Y2309" s="1481"/>
      <c r="Z2309" s="1481"/>
      <c r="AA2309" s="1481"/>
      <c r="AB2309" s="1481"/>
      <c r="AC2309" s="1481"/>
      <c r="AD2309" s="1481"/>
      <c r="AE2309" s="1481"/>
      <c r="AF2309" s="1481"/>
      <c r="AG2309" s="1481"/>
    </row>
    <row r="2310" spans="1:33" ht="15.75" customHeight="1">
      <c r="A2310" s="1448"/>
      <c r="B2310" s="1471" t="s">
        <v>7121</v>
      </c>
      <c r="C2310" s="1445">
        <v>1</v>
      </c>
      <c r="D2310" s="1447" t="s">
        <v>3364</v>
      </c>
      <c r="E2310" s="1445">
        <v>1</v>
      </c>
      <c r="F2310" s="1446">
        <v>14.24</v>
      </c>
      <c r="G2310" s="1446"/>
      <c r="H2310" s="1447">
        <v>1.5</v>
      </c>
      <c r="I2310" s="1448">
        <f t="shared" si="92"/>
        <v>21.36</v>
      </c>
      <c r="J2310" s="1449"/>
      <c r="K2310" s="1481"/>
      <c r="L2310" s="1481"/>
      <c r="M2310" s="1481"/>
      <c r="N2310" s="1481"/>
      <c r="O2310" s="1481"/>
      <c r="P2310" s="1481"/>
      <c r="Q2310" s="1481"/>
      <c r="R2310" s="1481"/>
      <c r="S2310" s="1481"/>
      <c r="T2310" s="1481"/>
      <c r="U2310" s="1481"/>
      <c r="V2310" s="1481"/>
      <c r="W2310" s="1481"/>
      <c r="X2310" s="1481"/>
      <c r="Y2310" s="1481"/>
      <c r="Z2310" s="1481"/>
      <c r="AA2310" s="1481"/>
      <c r="AB2310" s="1481"/>
      <c r="AC2310" s="1481"/>
      <c r="AD2310" s="1481"/>
      <c r="AE2310" s="1481"/>
      <c r="AF2310" s="1481"/>
      <c r="AG2310" s="1481"/>
    </row>
    <row r="2311" spans="1:33" ht="15.75" customHeight="1">
      <c r="A2311" s="1448"/>
      <c r="B2311" s="1474" t="s">
        <v>7267</v>
      </c>
      <c r="C2311" s="1445">
        <v>1</v>
      </c>
      <c r="D2311" s="1447" t="s">
        <v>3364</v>
      </c>
      <c r="E2311" s="1445">
        <v>5</v>
      </c>
      <c r="F2311" s="1446">
        <v>7.3</v>
      </c>
      <c r="G2311" s="1446"/>
      <c r="H2311" s="1447">
        <v>2.1</v>
      </c>
      <c r="I2311" s="1448">
        <f t="shared" si="92"/>
        <v>76.650000000000006</v>
      </c>
      <c r="J2311" s="1449"/>
      <c r="K2311" s="1481"/>
      <c r="L2311" s="1481"/>
      <c r="M2311" s="1481"/>
      <c r="N2311" s="1481"/>
      <c r="O2311" s="1481"/>
      <c r="P2311" s="1481"/>
      <c r="Q2311" s="1481"/>
      <c r="R2311" s="1481"/>
      <c r="S2311" s="1481"/>
      <c r="T2311" s="1481"/>
      <c r="U2311" s="1481"/>
      <c r="V2311" s="1481"/>
      <c r="W2311" s="1481"/>
      <c r="X2311" s="1481"/>
      <c r="Y2311" s="1481"/>
      <c r="Z2311" s="1481"/>
      <c r="AA2311" s="1481"/>
      <c r="AB2311" s="1481"/>
      <c r="AC2311" s="1481"/>
      <c r="AD2311" s="1481"/>
      <c r="AE2311" s="1481"/>
      <c r="AF2311" s="1481"/>
      <c r="AG2311" s="1481"/>
    </row>
    <row r="2312" spans="1:33" ht="15.75" customHeight="1">
      <c r="A2312" s="1448"/>
      <c r="B2312" s="1474" t="s">
        <v>3640</v>
      </c>
      <c r="C2312" s="1445">
        <v>1</v>
      </c>
      <c r="D2312" s="1447" t="s">
        <v>3364</v>
      </c>
      <c r="E2312" s="1445">
        <v>5</v>
      </c>
      <c r="F2312" s="1446">
        <v>0.115</v>
      </c>
      <c r="G2312" s="1446"/>
      <c r="H2312" s="1447">
        <v>2.1</v>
      </c>
      <c r="I2312" s="1448">
        <f t="shared" si="92"/>
        <v>1.21</v>
      </c>
      <c r="J2312" s="1449"/>
      <c r="K2312" s="1481"/>
      <c r="L2312" s="1481">
        <v>1</v>
      </c>
      <c r="M2312" s="1481"/>
      <c r="N2312" s="1481"/>
      <c r="O2312" s="1481"/>
      <c r="P2312" s="1481"/>
      <c r="Q2312" s="1481"/>
      <c r="R2312" s="1481"/>
      <c r="S2312" s="1481"/>
      <c r="T2312" s="1481"/>
      <c r="U2312" s="1481"/>
      <c r="V2312" s="1481"/>
      <c r="W2312" s="1481"/>
      <c r="X2312" s="1481"/>
      <c r="Y2312" s="1481"/>
      <c r="Z2312" s="1481"/>
      <c r="AA2312" s="1481"/>
      <c r="AB2312" s="1481"/>
      <c r="AC2312" s="1481"/>
      <c r="AD2312" s="1481"/>
      <c r="AE2312" s="1481"/>
      <c r="AF2312" s="1481"/>
      <c r="AG2312" s="1481"/>
    </row>
    <row r="2313" spans="1:33" ht="15.75" customHeight="1">
      <c r="A2313" s="1448"/>
      <c r="B2313" s="1474" t="s">
        <v>3639</v>
      </c>
      <c r="C2313" s="1445">
        <v>-1</v>
      </c>
      <c r="D2313" s="1447" t="s">
        <v>3364</v>
      </c>
      <c r="E2313" s="1445">
        <v>1</v>
      </c>
      <c r="F2313" s="1446">
        <v>0.75</v>
      </c>
      <c r="G2313" s="1446"/>
      <c r="H2313" s="1447">
        <v>2.1</v>
      </c>
      <c r="I2313" s="1448">
        <f t="shared" si="92"/>
        <v>-1.58</v>
      </c>
      <c r="J2313" s="1449"/>
      <c r="K2313" s="1481"/>
      <c r="L2313" s="1481"/>
      <c r="M2313" s="1481"/>
      <c r="N2313" s="1481"/>
      <c r="O2313" s="1481"/>
      <c r="P2313" s="1481"/>
      <c r="Q2313" s="1481"/>
      <c r="R2313" s="1481"/>
      <c r="S2313" s="1481"/>
      <c r="T2313" s="1481"/>
      <c r="U2313" s="1481"/>
      <c r="V2313" s="1481"/>
      <c r="W2313" s="1481"/>
      <c r="X2313" s="1481"/>
      <c r="Y2313" s="1481"/>
      <c r="Z2313" s="1481"/>
      <c r="AA2313" s="1481"/>
      <c r="AB2313" s="1481"/>
      <c r="AC2313" s="1481"/>
      <c r="AD2313" s="1481"/>
      <c r="AE2313" s="1481"/>
      <c r="AF2313" s="1481"/>
      <c r="AG2313" s="1481"/>
    </row>
    <row r="2314" spans="1:33" ht="15.75" customHeight="1">
      <c r="A2314" s="1448"/>
      <c r="B2314" s="1474" t="s">
        <v>7123</v>
      </c>
      <c r="C2314" s="1445">
        <v>1</v>
      </c>
      <c r="D2314" s="1447" t="s">
        <v>3364</v>
      </c>
      <c r="E2314" s="1445">
        <v>1</v>
      </c>
      <c r="F2314" s="1446">
        <v>12.35</v>
      </c>
      <c r="G2314" s="1446"/>
      <c r="H2314" s="1447">
        <v>1.5</v>
      </c>
      <c r="I2314" s="1448">
        <f t="shared" si="92"/>
        <v>18.53</v>
      </c>
      <c r="J2314" s="1449"/>
      <c r="K2314" s="1481"/>
      <c r="L2314" s="1481"/>
      <c r="M2314" s="1481"/>
      <c r="N2314" s="1481"/>
      <c r="O2314" s="1481"/>
      <c r="P2314" s="1481"/>
      <c r="Q2314" s="1481"/>
      <c r="R2314" s="1481"/>
      <c r="S2314" s="1481"/>
      <c r="T2314" s="1481"/>
      <c r="U2314" s="1481"/>
      <c r="V2314" s="1481"/>
      <c r="W2314" s="1481"/>
      <c r="X2314" s="1481"/>
      <c r="Y2314" s="1481"/>
      <c r="Z2314" s="1481"/>
      <c r="AA2314" s="1481"/>
      <c r="AB2314" s="1481"/>
      <c r="AC2314" s="1481"/>
      <c r="AD2314" s="1481"/>
      <c r="AE2314" s="1481"/>
      <c r="AF2314" s="1481"/>
      <c r="AG2314" s="1481"/>
    </row>
    <row r="2315" spans="1:33" ht="15.75" customHeight="1">
      <c r="A2315" s="1448"/>
      <c r="B2315" s="1474" t="s">
        <v>7266</v>
      </c>
      <c r="C2315" s="1445">
        <v>1</v>
      </c>
      <c r="D2315" s="1447" t="s">
        <v>3364</v>
      </c>
      <c r="E2315" s="1445">
        <v>1</v>
      </c>
      <c r="F2315" s="1446">
        <v>0.115</v>
      </c>
      <c r="G2315" s="1446"/>
      <c r="H2315" s="1447">
        <v>1.5</v>
      </c>
      <c r="I2315" s="1448">
        <f t="shared" si="92"/>
        <v>0.17</v>
      </c>
      <c r="J2315" s="1449"/>
      <c r="K2315" s="1481"/>
      <c r="L2315" s="1481"/>
      <c r="M2315" s="1481"/>
      <c r="N2315" s="1481"/>
      <c r="O2315" s="1481"/>
      <c r="P2315" s="1481"/>
      <c r="Q2315" s="1481"/>
      <c r="R2315" s="1481"/>
      <c r="S2315" s="1481"/>
      <c r="T2315" s="1481"/>
      <c r="U2315" s="1481"/>
      <c r="V2315" s="1481"/>
      <c r="W2315" s="1481"/>
      <c r="X2315" s="1481"/>
      <c r="Y2315" s="1481"/>
      <c r="Z2315" s="1481"/>
      <c r="AA2315" s="1481"/>
      <c r="AB2315" s="1481"/>
      <c r="AC2315" s="1481"/>
      <c r="AD2315" s="1481"/>
      <c r="AE2315" s="1481"/>
      <c r="AF2315" s="1481"/>
      <c r="AG2315" s="1481"/>
    </row>
    <row r="2316" spans="1:33" ht="15.75" customHeight="1">
      <c r="A2316" s="1448"/>
      <c r="B2316" s="1474" t="s">
        <v>3639</v>
      </c>
      <c r="C2316" s="1445">
        <v>1</v>
      </c>
      <c r="D2316" s="1447" t="s">
        <v>3364</v>
      </c>
      <c r="E2316" s="1445">
        <v>1</v>
      </c>
      <c r="F2316" s="1446">
        <v>1</v>
      </c>
      <c r="G2316" s="1446"/>
      <c r="H2316" s="1447">
        <v>1.5</v>
      </c>
      <c r="I2316" s="1448">
        <f t="shared" si="92"/>
        <v>1.5</v>
      </c>
      <c r="J2316" s="1449"/>
      <c r="K2316" s="1481"/>
      <c r="L2316" s="1481"/>
      <c r="M2316" s="1481"/>
      <c r="N2316" s="1481"/>
      <c r="O2316" s="1481"/>
      <c r="P2316" s="1481"/>
      <c r="Q2316" s="1481"/>
      <c r="R2316" s="1481"/>
      <c r="S2316" s="1481"/>
      <c r="T2316" s="1481"/>
      <c r="U2316" s="1481"/>
      <c r="V2316" s="1481"/>
      <c r="W2316" s="1481"/>
      <c r="X2316" s="1481"/>
      <c r="Y2316" s="1481"/>
      <c r="Z2316" s="1481"/>
      <c r="AA2316" s="1481"/>
      <c r="AB2316" s="1481"/>
      <c r="AC2316" s="1481"/>
      <c r="AD2316" s="1481"/>
      <c r="AE2316" s="1481"/>
      <c r="AF2316" s="1481"/>
      <c r="AG2316" s="1481"/>
    </row>
    <row r="2317" spans="1:33" ht="15.75" customHeight="1">
      <c r="A2317" s="1448"/>
      <c r="B2317" s="1474" t="s">
        <v>7268</v>
      </c>
      <c r="C2317" s="1445">
        <v>1</v>
      </c>
      <c r="D2317" s="1447" t="s">
        <v>3364</v>
      </c>
      <c r="E2317" s="1445">
        <v>5</v>
      </c>
      <c r="F2317" s="1446">
        <v>5.2</v>
      </c>
      <c r="G2317" s="1446"/>
      <c r="H2317" s="1447">
        <v>2.1</v>
      </c>
      <c r="I2317" s="1448">
        <f t="shared" si="92"/>
        <v>54.6</v>
      </c>
      <c r="J2317" s="1449"/>
      <c r="K2317" s="1481"/>
      <c r="L2317" s="1481"/>
      <c r="M2317" s="1481"/>
      <c r="N2317" s="1481"/>
      <c r="O2317" s="1481"/>
      <c r="P2317" s="1481"/>
      <c r="Q2317" s="1481"/>
      <c r="R2317" s="1481"/>
      <c r="S2317" s="1481"/>
      <c r="T2317" s="1481"/>
      <c r="U2317" s="1481"/>
      <c r="V2317" s="1481"/>
      <c r="W2317" s="1481"/>
      <c r="X2317" s="1481"/>
      <c r="Y2317" s="1481"/>
      <c r="Z2317" s="1481"/>
      <c r="AA2317" s="1481"/>
      <c r="AB2317" s="1481"/>
      <c r="AC2317" s="1481"/>
      <c r="AD2317" s="1481"/>
      <c r="AE2317" s="1481"/>
      <c r="AF2317" s="1481"/>
      <c r="AG2317" s="1481"/>
    </row>
    <row r="2318" spans="1:33" ht="15.75" customHeight="1">
      <c r="A2318" s="1448"/>
      <c r="B2318" s="1474" t="s">
        <v>7266</v>
      </c>
      <c r="C2318" s="1445">
        <v>1</v>
      </c>
      <c r="D2318" s="1447" t="s">
        <v>3364</v>
      </c>
      <c r="E2318" s="1445">
        <v>5</v>
      </c>
      <c r="F2318" s="1446">
        <v>0.115</v>
      </c>
      <c r="G2318" s="1446"/>
      <c r="H2318" s="1447">
        <v>2.1</v>
      </c>
      <c r="I2318" s="1448">
        <f t="shared" si="92"/>
        <v>1.21</v>
      </c>
      <c r="J2318" s="1449"/>
      <c r="K2318" s="1481"/>
      <c r="L2318" s="1481"/>
      <c r="M2318" s="1481"/>
      <c r="N2318" s="1481"/>
      <c r="O2318" s="1481"/>
      <c r="P2318" s="1481"/>
      <c r="Q2318" s="1481"/>
      <c r="R2318" s="1481"/>
      <c r="S2318" s="1481"/>
      <c r="T2318" s="1481"/>
      <c r="U2318" s="1481"/>
      <c r="V2318" s="1481"/>
      <c r="W2318" s="1481"/>
      <c r="X2318" s="1481"/>
      <c r="Y2318" s="1481"/>
      <c r="Z2318" s="1481"/>
      <c r="AA2318" s="1481"/>
      <c r="AB2318" s="1481"/>
      <c r="AC2318" s="1481"/>
      <c r="AD2318" s="1481"/>
      <c r="AE2318" s="1481"/>
      <c r="AF2318" s="1481"/>
      <c r="AG2318" s="1481"/>
    </row>
    <row r="2319" spans="1:33" ht="15.75" customHeight="1">
      <c r="A2319" s="1448"/>
      <c r="B2319" s="1474" t="s">
        <v>3639</v>
      </c>
      <c r="C2319" s="1445">
        <v>-1</v>
      </c>
      <c r="D2319" s="1447" t="s">
        <v>3364</v>
      </c>
      <c r="E2319" s="1445">
        <v>5</v>
      </c>
      <c r="F2319" s="1446">
        <v>0.75</v>
      </c>
      <c r="G2319" s="1446"/>
      <c r="H2319" s="1447">
        <v>2.1</v>
      </c>
      <c r="I2319" s="1448">
        <f t="shared" si="92"/>
        <v>-7.88</v>
      </c>
      <c r="J2319" s="1449"/>
      <c r="K2319" s="1481"/>
      <c r="L2319" s="1481"/>
      <c r="M2319" s="1481"/>
      <c r="N2319" s="1481"/>
      <c r="O2319" s="1481"/>
      <c r="P2319" s="1481"/>
      <c r="Q2319" s="1481"/>
      <c r="R2319" s="1481"/>
      <c r="S2319" s="1481"/>
      <c r="T2319" s="1481"/>
      <c r="U2319" s="1481"/>
      <c r="V2319" s="1481"/>
      <c r="W2319" s="1481"/>
      <c r="X2319" s="1481"/>
      <c r="Y2319" s="1481"/>
      <c r="Z2319" s="1481"/>
      <c r="AA2319" s="1481"/>
      <c r="AB2319" s="1481"/>
      <c r="AC2319" s="1481"/>
      <c r="AD2319" s="1481"/>
      <c r="AE2319" s="1481"/>
      <c r="AF2319" s="1481"/>
      <c r="AG2319" s="1481"/>
    </row>
    <row r="2320" spans="1:33" ht="15.75" customHeight="1">
      <c r="A2320" s="1448"/>
      <c r="B2320" s="1474" t="s">
        <v>7269</v>
      </c>
      <c r="C2320" s="1445">
        <v>1</v>
      </c>
      <c r="D2320" s="1447" t="s">
        <v>3364</v>
      </c>
      <c r="E2320" s="1445">
        <v>3</v>
      </c>
      <c r="F2320" s="1446">
        <v>5.64</v>
      </c>
      <c r="G2320" s="1446"/>
      <c r="H2320" s="1447">
        <v>2.1</v>
      </c>
      <c r="I2320" s="1448">
        <f t="shared" si="92"/>
        <v>35.53</v>
      </c>
      <c r="J2320" s="1449"/>
      <c r="K2320" s="1481"/>
      <c r="L2320" s="1481"/>
      <c r="M2320" s="1481"/>
      <c r="N2320" s="1481"/>
      <c r="O2320" s="1481"/>
      <c r="P2320" s="1481"/>
      <c r="Q2320" s="1481"/>
      <c r="R2320" s="1481"/>
      <c r="S2320" s="1481"/>
      <c r="T2320" s="1481"/>
      <c r="U2320" s="1481"/>
      <c r="V2320" s="1481"/>
      <c r="W2320" s="1481"/>
      <c r="X2320" s="1481"/>
      <c r="Y2320" s="1481"/>
      <c r="Z2320" s="1481"/>
      <c r="AA2320" s="1481"/>
      <c r="AB2320" s="1481"/>
      <c r="AC2320" s="1481"/>
      <c r="AD2320" s="1481"/>
      <c r="AE2320" s="1481"/>
      <c r="AF2320" s="1481"/>
      <c r="AG2320" s="1481"/>
    </row>
    <row r="2321" spans="1:33" ht="15.75" customHeight="1">
      <c r="A2321" s="1448"/>
      <c r="B2321" s="1474" t="s">
        <v>7270</v>
      </c>
      <c r="C2321" s="1445">
        <v>1</v>
      </c>
      <c r="D2321" s="1447" t="s">
        <v>3364</v>
      </c>
      <c r="E2321" s="1445">
        <v>3</v>
      </c>
      <c r="F2321" s="1446">
        <v>0.115</v>
      </c>
      <c r="G2321" s="1446"/>
      <c r="H2321" s="1447">
        <v>1.5</v>
      </c>
      <c r="I2321" s="1448">
        <f t="shared" si="92"/>
        <v>0.52</v>
      </c>
      <c r="J2321" s="1449"/>
      <c r="K2321" s="1481"/>
      <c r="L2321" s="1481"/>
      <c r="M2321" s="1481"/>
      <c r="N2321" s="1481"/>
      <c r="O2321" s="1481"/>
      <c r="P2321" s="1481"/>
      <c r="Q2321" s="1481"/>
      <c r="R2321" s="1481"/>
      <c r="S2321" s="1481"/>
      <c r="T2321" s="1481"/>
      <c r="U2321" s="1481"/>
      <c r="V2321" s="1481"/>
      <c r="W2321" s="1481"/>
      <c r="X2321" s="1481"/>
      <c r="Y2321" s="1481"/>
      <c r="Z2321" s="1481"/>
      <c r="AA2321" s="1481"/>
      <c r="AB2321" s="1481"/>
      <c r="AC2321" s="1481"/>
      <c r="AD2321" s="1481"/>
      <c r="AE2321" s="1481"/>
      <c r="AF2321" s="1481"/>
      <c r="AG2321" s="1481"/>
    </row>
    <row r="2322" spans="1:33" ht="15.75" customHeight="1">
      <c r="A2322" s="1448"/>
      <c r="B2322" s="1474" t="s">
        <v>3639</v>
      </c>
      <c r="C2322" s="1445">
        <v>-1</v>
      </c>
      <c r="D2322" s="1447" t="s">
        <v>3364</v>
      </c>
      <c r="E2322" s="1445">
        <v>3</v>
      </c>
      <c r="F2322" s="1446">
        <v>0.75</v>
      </c>
      <c r="G2322" s="1446"/>
      <c r="H2322" s="1447">
        <v>1.5</v>
      </c>
      <c r="I2322" s="1448">
        <f t="shared" si="92"/>
        <v>-3.38</v>
      </c>
      <c r="J2322" s="1449"/>
      <c r="K2322" s="1481"/>
      <c r="L2322" s="1481"/>
      <c r="M2322" s="1481"/>
      <c r="N2322" s="1481"/>
      <c r="O2322" s="1481"/>
      <c r="P2322" s="1481"/>
      <c r="Q2322" s="1481"/>
      <c r="R2322" s="1481"/>
      <c r="S2322" s="1481"/>
      <c r="T2322" s="1481"/>
      <c r="U2322" s="1481"/>
      <c r="V2322" s="1481"/>
      <c r="W2322" s="1481"/>
      <c r="X2322" s="1481"/>
      <c r="Y2322" s="1481"/>
      <c r="Z2322" s="1481"/>
      <c r="AA2322" s="1481"/>
      <c r="AB2322" s="1481"/>
      <c r="AC2322" s="1481"/>
      <c r="AD2322" s="1481"/>
      <c r="AE2322" s="1481"/>
      <c r="AF2322" s="1481"/>
      <c r="AG2322" s="1481"/>
    </row>
    <row r="2323" spans="1:33" ht="15.75" customHeight="1">
      <c r="A2323" s="1448"/>
      <c r="B2323" s="1474" t="s">
        <v>7271</v>
      </c>
      <c r="C2323" s="1445">
        <v>1</v>
      </c>
      <c r="D2323" s="1447" t="s">
        <v>3364</v>
      </c>
      <c r="E2323" s="1445">
        <v>1</v>
      </c>
      <c r="F2323" s="1446">
        <v>8.64</v>
      </c>
      <c r="G2323" s="1446"/>
      <c r="H2323" s="1447">
        <v>1.5</v>
      </c>
      <c r="I2323" s="1448">
        <f t="shared" si="92"/>
        <v>12.96</v>
      </c>
      <c r="J2323" s="1449"/>
      <c r="K2323" s="1481"/>
      <c r="L2323" s="1481"/>
      <c r="M2323" s="1481"/>
      <c r="N2323" s="1481"/>
      <c r="O2323" s="1481"/>
      <c r="P2323" s="1481"/>
      <c r="Q2323" s="1481"/>
      <c r="R2323" s="1481"/>
      <c r="S2323" s="1481"/>
      <c r="T2323" s="1481"/>
      <c r="U2323" s="1481"/>
      <c r="V2323" s="1481"/>
      <c r="W2323" s="1481"/>
      <c r="X2323" s="1481"/>
      <c r="Y2323" s="1481"/>
      <c r="Z2323" s="1481"/>
      <c r="AA2323" s="1481"/>
      <c r="AB2323" s="1481"/>
      <c r="AC2323" s="1481"/>
      <c r="AD2323" s="1481"/>
      <c r="AE2323" s="1481"/>
      <c r="AF2323" s="1481"/>
      <c r="AG2323" s="1481"/>
    </row>
    <row r="2324" spans="1:33" ht="15.75" customHeight="1">
      <c r="A2324" s="1448"/>
      <c r="B2324" s="1480" t="s">
        <v>7266</v>
      </c>
      <c r="C2324" s="1445">
        <v>1</v>
      </c>
      <c r="D2324" s="1447" t="s">
        <v>3364</v>
      </c>
      <c r="E2324" s="1445">
        <v>1</v>
      </c>
      <c r="F2324" s="1446">
        <v>0.115</v>
      </c>
      <c r="G2324" s="1446"/>
      <c r="H2324" s="1447">
        <v>1.5</v>
      </c>
      <c r="I2324" s="1448">
        <f t="shared" si="92"/>
        <v>0.17</v>
      </c>
      <c r="J2324" s="1449"/>
      <c r="K2324" s="1481"/>
      <c r="L2324" s="1481"/>
      <c r="M2324" s="1481"/>
      <c r="N2324" s="1481"/>
      <c r="O2324" s="1481"/>
      <c r="P2324" s="1481"/>
      <c r="Q2324" s="1481"/>
      <c r="R2324" s="1481"/>
      <c r="S2324" s="1481"/>
      <c r="T2324" s="1481"/>
      <c r="U2324" s="1481"/>
      <c r="V2324" s="1481"/>
      <c r="W2324" s="1481"/>
      <c r="X2324" s="1481"/>
      <c r="Y2324" s="1481"/>
      <c r="Z2324" s="1481"/>
      <c r="AA2324" s="1481"/>
      <c r="AB2324" s="1481"/>
      <c r="AC2324" s="1481"/>
      <c r="AD2324" s="1481"/>
      <c r="AE2324" s="1481"/>
      <c r="AF2324" s="1481"/>
      <c r="AG2324" s="1481"/>
    </row>
    <row r="2325" spans="1:33" ht="15.75" customHeight="1">
      <c r="A2325" s="1448"/>
      <c r="B2325" s="1474" t="s">
        <v>3639</v>
      </c>
      <c r="C2325" s="1445">
        <v>-1</v>
      </c>
      <c r="D2325" s="1447" t="s">
        <v>3364</v>
      </c>
      <c r="E2325" s="1445">
        <v>1</v>
      </c>
      <c r="F2325" s="1446">
        <v>0.9</v>
      </c>
      <c r="G2325" s="1446"/>
      <c r="H2325" s="1447">
        <v>1.5</v>
      </c>
      <c r="I2325" s="1448">
        <f t="shared" si="92"/>
        <v>-1.35</v>
      </c>
      <c r="J2325" s="1449"/>
      <c r="K2325" s="1481"/>
      <c r="L2325" s="1481"/>
      <c r="M2325" s="1481"/>
      <c r="N2325" s="1481"/>
      <c r="O2325" s="1481"/>
      <c r="P2325" s="1481"/>
      <c r="Q2325" s="1481"/>
      <c r="R2325" s="1481"/>
      <c r="S2325" s="1481"/>
      <c r="T2325" s="1481"/>
      <c r="U2325" s="1481"/>
      <c r="V2325" s="1481"/>
      <c r="W2325" s="1481"/>
      <c r="X2325" s="1481"/>
      <c r="Y2325" s="1481"/>
      <c r="Z2325" s="1481"/>
      <c r="AA2325" s="1481"/>
      <c r="AB2325" s="1481"/>
      <c r="AC2325" s="1481"/>
      <c r="AD2325" s="1481"/>
      <c r="AE2325" s="1481"/>
      <c r="AF2325" s="1481"/>
      <c r="AG2325" s="1481"/>
    </row>
    <row r="2326" spans="1:33" ht="15.75" customHeight="1">
      <c r="A2326" s="1448"/>
      <c r="B2326" s="1474" t="s">
        <v>7272</v>
      </c>
      <c r="C2326" s="1445">
        <v>-1</v>
      </c>
      <c r="D2326" s="1447" t="s">
        <v>3364</v>
      </c>
      <c r="E2326" s="1445">
        <v>1</v>
      </c>
      <c r="F2326" s="1446">
        <v>1</v>
      </c>
      <c r="G2326" s="1446"/>
      <c r="H2326" s="1447">
        <v>1.5</v>
      </c>
      <c r="I2326" s="1448">
        <f t="shared" si="92"/>
        <v>-1.5</v>
      </c>
      <c r="J2326" s="1449"/>
      <c r="K2326" s="1481"/>
      <c r="L2326" s="1481"/>
      <c r="M2326" s="1481"/>
      <c r="N2326" s="1481"/>
      <c r="O2326" s="1481"/>
      <c r="P2326" s="1481"/>
      <c r="Q2326" s="1481"/>
      <c r="R2326" s="1481"/>
      <c r="S2326" s="1481"/>
      <c r="T2326" s="1481"/>
      <c r="U2326" s="1481"/>
      <c r="V2326" s="1481"/>
      <c r="W2326" s="1481"/>
      <c r="X2326" s="1481"/>
      <c r="Y2326" s="1481"/>
      <c r="Z2326" s="1481"/>
      <c r="AA2326" s="1481"/>
      <c r="AB2326" s="1481"/>
      <c r="AC2326" s="1481"/>
      <c r="AD2326" s="1481"/>
      <c r="AE2326" s="1481"/>
      <c r="AF2326" s="1481"/>
      <c r="AG2326" s="1481"/>
    </row>
    <row r="2327" spans="1:33" ht="15.75" customHeight="1">
      <c r="A2327" s="1448"/>
      <c r="B2327" s="1480" t="s">
        <v>6888</v>
      </c>
      <c r="C2327" s="1445">
        <v>1</v>
      </c>
      <c r="D2327" s="1447" t="s">
        <v>3364</v>
      </c>
      <c r="E2327" s="1445">
        <v>1</v>
      </c>
      <c r="F2327" s="1446">
        <v>6.35</v>
      </c>
      <c r="G2327" s="1446"/>
      <c r="H2327" s="1447">
        <v>1.5</v>
      </c>
      <c r="I2327" s="1448">
        <f t="shared" si="92"/>
        <v>9.5299999999999994</v>
      </c>
      <c r="J2327" s="1449"/>
      <c r="K2327" s="1481"/>
      <c r="L2327" s="1481"/>
      <c r="M2327" s="1481"/>
      <c r="N2327" s="1481"/>
      <c r="O2327" s="1481"/>
      <c r="P2327" s="1481"/>
      <c r="Q2327" s="1481"/>
      <c r="R2327" s="1481"/>
      <c r="S2327" s="1481"/>
      <c r="T2327" s="1481"/>
      <c r="U2327" s="1481"/>
      <c r="V2327" s="1481"/>
      <c r="W2327" s="1481"/>
      <c r="X2327" s="1481"/>
      <c r="Y2327" s="1481"/>
      <c r="Z2327" s="1481"/>
      <c r="AA2327" s="1481"/>
      <c r="AB2327" s="1481"/>
      <c r="AC2327" s="1481"/>
      <c r="AD2327" s="1481"/>
      <c r="AE2327" s="1481"/>
      <c r="AF2327" s="1481"/>
      <c r="AG2327" s="1481"/>
    </row>
    <row r="2328" spans="1:33" ht="15.75" customHeight="1">
      <c r="A2328" s="1448"/>
      <c r="B2328" s="1474" t="s">
        <v>7273</v>
      </c>
      <c r="C2328" s="1445">
        <v>1</v>
      </c>
      <c r="D2328" s="1447" t="s">
        <v>3364</v>
      </c>
      <c r="E2328" s="1445">
        <v>1</v>
      </c>
      <c r="F2328" s="1446">
        <v>10.685</v>
      </c>
      <c r="G2328" s="1446"/>
      <c r="H2328" s="1447">
        <v>1.5</v>
      </c>
      <c r="I2328" s="1448">
        <f t="shared" si="92"/>
        <v>16.03</v>
      </c>
      <c r="J2328" s="1449"/>
      <c r="K2328" s="1481"/>
      <c r="L2328" s="1481"/>
      <c r="M2328" s="1481"/>
      <c r="N2328" s="1481"/>
      <c r="O2328" s="1481"/>
      <c r="P2328" s="1481"/>
      <c r="Q2328" s="1481"/>
      <c r="R2328" s="1481"/>
      <c r="S2328" s="1481"/>
      <c r="T2328" s="1481"/>
      <c r="U2328" s="1481"/>
      <c r="V2328" s="1481"/>
      <c r="W2328" s="1481"/>
      <c r="X2328" s="1481"/>
      <c r="Y2328" s="1481"/>
      <c r="Z2328" s="1481"/>
      <c r="AA2328" s="1481"/>
      <c r="AB2328" s="1481"/>
      <c r="AC2328" s="1481"/>
      <c r="AD2328" s="1481"/>
      <c r="AE2328" s="1481"/>
      <c r="AF2328" s="1481"/>
      <c r="AG2328" s="1481"/>
    </row>
    <row r="2329" spans="1:33" ht="15.75" customHeight="1">
      <c r="A2329" s="1448"/>
      <c r="B2329" s="1474" t="s">
        <v>7274</v>
      </c>
      <c r="C2329" s="1445">
        <v>-1</v>
      </c>
      <c r="D2329" s="1447" t="s">
        <v>3364</v>
      </c>
      <c r="E2329" s="1445">
        <v>6</v>
      </c>
      <c r="F2329" s="1446">
        <v>0.75</v>
      </c>
      <c r="G2329" s="1446"/>
      <c r="H2329" s="1447">
        <v>1.5</v>
      </c>
      <c r="I2329" s="1448">
        <f t="shared" si="92"/>
        <v>-6.75</v>
      </c>
      <c r="J2329" s="1449"/>
      <c r="K2329" s="1481"/>
      <c r="L2329" s="1481"/>
      <c r="M2329" s="1481"/>
      <c r="N2329" s="1481"/>
      <c r="O2329" s="1481"/>
      <c r="P2329" s="1481"/>
      <c r="Q2329" s="1481"/>
      <c r="R2329" s="1481"/>
      <c r="S2329" s="1481"/>
      <c r="T2329" s="1481"/>
      <c r="U2329" s="1481"/>
      <c r="V2329" s="1481"/>
      <c r="W2329" s="1481"/>
      <c r="X2329" s="1481"/>
      <c r="Y2329" s="1481"/>
      <c r="Z2329" s="1481"/>
      <c r="AA2329" s="1481"/>
      <c r="AB2329" s="1481"/>
      <c r="AC2329" s="1481"/>
      <c r="AD2329" s="1481"/>
      <c r="AE2329" s="1481"/>
      <c r="AF2329" s="1481"/>
      <c r="AG2329" s="1481"/>
    </row>
    <row r="2330" spans="1:33" ht="15.75" customHeight="1">
      <c r="A2330" s="1448"/>
      <c r="B2330" s="1474" t="s">
        <v>7275</v>
      </c>
      <c r="C2330" s="1445">
        <v>-1</v>
      </c>
      <c r="D2330" s="1447" t="s">
        <v>3364</v>
      </c>
      <c r="E2330" s="1445">
        <v>1</v>
      </c>
      <c r="F2330" s="1446">
        <v>0.82499999999999996</v>
      </c>
      <c r="G2330" s="1446"/>
      <c r="H2330" s="1447">
        <v>1.5</v>
      </c>
      <c r="I2330" s="1448">
        <f t="shared" si="92"/>
        <v>-1.24</v>
      </c>
      <c r="J2330" s="1449"/>
      <c r="K2330" s="1481"/>
      <c r="L2330" s="1481"/>
      <c r="M2330" s="1481"/>
      <c r="N2330" s="1481"/>
      <c r="O2330" s="1481"/>
      <c r="P2330" s="1481"/>
      <c r="Q2330" s="1481"/>
      <c r="R2330" s="1481"/>
      <c r="S2330" s="1481"/>
      <c r="T2330" s="1481"/>
      <c r="U2330" s="1481"/>
      <c r="V2330" s="1481"/>
      <c r="W2330" s="1481"/>
      <c r="X2330" s="1481"/>
      <c r="Y2330" s="1481"/>
      <c r="Z2330" s="1481"/>
      <c r="AA2330" s="1481"/>
      <c r="AB2330" s="1481"/>
      <c r="AC2330" s="1481"/>
      <c r="AD2330" s="1481"/>
      <c r="AE2330" s="1481"/>
      <c r="AF2330" s="1481"/>
      <c r="AG2330" s="1481"/>
    </row>
    <row r="2331" spans="1:33" ht="15.75" customHeight="1">
      <c r="A2331" s="1448"/>
      <c r="B2331" s="1471" t="s">
        <v>7127</v>
      </c>
      <c r="C2331" s="1445"/>
      <c r="D2331" s="1447"/>
      <c r="E2331" s="1445"/>
      <c r="F2331" s="1446"/>
      <c r="G2331" s="1446"/>
      <c r="H2331" s="1447"/>
      <c r="I2331" s="1448">
        <f t="shared" si="92"/>
        <v>0</v>
      </c>
      <c r="J2331" s="1449"/>
      <c r="K2331" s="1481"/>
      <c r="L2331" s="1481"/>
      <c r="M2331" s="1481"/>
      <c r="N2331" s="1481"/>
      <c r="O2331" s="1481"/>
      <c r="P2331" s="1481"/>
      <c r="Q2331" s="1481"/>
      <c r="R2331" s="1481"/>
      <c r="S2331" s="1481"/>
      <c r="T2331" s="1481"/>
      <c r="U2331" s="1481"/>
      <c r="V2331" s="1481"/>
      <c r="W2331" s="1481"/>
      <c r="X2331" s="1481"/>
      <c r="Y2331" s="1481"/>
      <c r="Z2331" s="1481"/>
      <c r="AA2331" s="1481"/>
      <c r="AB2331" s="1481"/>
      <c r="AC2331" s="1481"/>
      <c r="AD2331" s="1481"/>
      <c r="AE2331" s="1481"/>
      <c r="AF2331" s="1481"/>
      <c r="AG2331" s="1481"/>
    </row>
    <row r="2332" spans="1:33">
      <c r="A2332" s="1448"/>
      <c r="B2332" s="1474" t="s">
        <v>7276</v>
      </c>
      <c r="C2332" s="1445">
        <v>1</v>
      </c>
      <c r="D2332" s="1447" t="s">
        <v>3364</v>
      </c>
      <c r="E2332" s="1445">
        <v>1</v>
      </c>
      <c r="F2332" s="1446">
        <v>7.32</v>
      </c>
      <c r="G2332" s="1446"/>
      <c r="H2332" s="1447">
        <v>2.1</v>
      </c>
      <c r="I2332" s="1448">
        <f t="shared" si="92"/>
        <v>15.37</v>
      </c>
      <c r="J2332" s="1449"/>
      <c r="K2332" s="1481"/>
      <c r="L2332" s="1481"/>
      <c r="M2332" s="1481"/>
      <c r="N2332" s="1481"/>
      <c r="O2332" s="1481"/>
      <c r="P2332" s="1481"/>
      <c r="Q2332" s="1481"/>
      <c r="R2332" s="1481"/>
      <c r="S2332" s="1481"/>
      <c r="T2332" s="1481"/>
      <c r="U2332" s="1481"/>
      <c r="V2332" s="1481"/>
      <c r="W2332" s="1481"/>
      <c r="X2332" s="1481"/>
      <c r="Y2332" s="1481"/>
      <c r="Z2332" s="1481"/>
      <c r="AA2332" s="1481"/>
      <c r="AB2332" s="1481"/>
      <c r="AC2332" s="1481"/>
      <c r="AD2332" s="1481"/>
      <c r="AE2332" s="1481"/>
      <c r="AF2332" s="1481"/>
      <c r="AG2332" s="1481"/>
    </row>
    <row r="2333" spans="1:33">
      <c r="A2333" s="1448"/>
      <c r="B2333" s="1474" t="s">
        <v>7266</v>
      </c>
      <c r="C2333" s="1445">
        <v>1</v>
      </c>
      <c r="D2333" s="1447" t="s">
        <v>3364</v>
      </c>
      <c r="E2333" s="1445">
        <v>1</v>
      </c>
      <c r="F2333" s="1446">
        <v>0.115</v>
      </c>
      <c r="G2333" s="1446"/>
      <c r="H2333" s="1447">
        <v>2.1</v>
      </c>
      <c r="I2333" s="1448">
        <f t="shared" si="92"/>
        <v>0.24</v>
      </c>
      <c r="J2333" s="1449"/>
      <c r="K2333" s="1481"/>
      <c r="L2333" s="1481"/>
      <c r="M2333" s="1481"/>
      <c r="N2333" s="1481"/>
      <c r="O2333" s="1481"/>
      <c r="P2333" s="1481"/>
      <c r="Q2333" s="1481"/>
      <c r="R2333" s="1481"/>
      <c r="S2333" s="1481"/>
      <c r="T2333" s="1481"/>
      <c r="U2333" s="1481"/>
      <c r="V2333" s="1481"/>
      <c r="W2333" s="1481"/>
      <c r="X2333" s="1481"/>
      <c r="Y2333" s="1481"/>
      <c r="Z2333" s="1481"/>
      <c r="AA2333" s="1481"/>
      <c r="AB2333" s="1481"/>
      <c r="AC2333" s="1481"/>
      <c r="AD2333" s="1481"/>
      <c r="AE2333" s="1481"/>
      <c r="AF2333" s="1481"/>
      <c r="AG2333" s="1481"/>
    </row>
    <row r="2334" spans="1:33">
      <c r="A2334" s="1448"/>
      <c r="B2334" s="1474" t="s">
        <v>3639</v>
      </c>
      <c r="C2334" s="1445">
        <v>-1</v>
      </c>
      <c r="D2334" s="1447" t="s">
        <v>3364</v>
      </c>
      <c r="E2334" s="1445">
        <v>1</v>
      </c>
      <c r="F2334" s="1446">
        <v>0.75</v>
      </c>
      <c r="G2334" s="1446"/>
      <c r="H2334" s="1447">
        <v>2.1</v>
      </c>
      <c r="I2334" s="1448">
        <f t="shared" si="92"/>
        <v>-1.58</v>
      </c>
      <c r="J2334" s="1449"/>
      <c r="K2334" s="1481"/>
      <c r="L2334" s="1481"/>
      <c r="M2334" s="1481"/>
      <c r="N2334" s="1481"/>
      <c r="O2334" s="1481"/>
      <c r="P2334" s="1481"/>
      <c r="Q2334" s="1481"/>
      <c r="R2334" s="1481"/>
      <c r="S2334" s="1481"/>
      <c r="T2334" s="1481"/>
      <c r="U2334" s="1481"/>
      <c r="V2334" s="1481"/>
      <c r="W2334" s="1481"/>
      <c r="X2334" s="1481"/>
      <c r="Y2334" s="1481"/>
      <c r="Z2334" s="1481"/>
      <c r="AA2334" s="1481"/>
      <c r="AB2334" s="1481"/>
      <c r="AC2334" s="1481"/>
      <c r="AD2334" s="1481"/>
      <c r="AE2334" s="1481"/>
      <c r="AF2334" s="1481"/>
      <c r="AG2334" s="1481"/>
    </row>
    <row r="2335" spans="1:33">
      <c r="A2335" s="1448"/>
      <c r="B2335" s="1474" t="s">
        <v>7277</v>
      </c>
      <c r="C2335" s="1445">
        <v>1</v>
      </c>
      <c r="D2335" s="1447" t="s">
        <v>3364</v>
      </c>
      <c r="E2335" s="1445">
        <v>2</v>
      </c>
      <c r="F2335" s="1446">
        <v>5.4</v>
      </c>
      <c r="G2335" s="1446"/>
      <c r="H2335" s="1447">
        <v>1.5</v>
      </c>
      <c r="I2335" s="1448">
        <f t="shared" si="92"/>
        <v>16.2</v>
      </c>
      <c r="J2335" s="1449"/>
      <c r="K2335" s="1481"/>
      <c r="L2335" s="1481"/>
      <c r="M2335" s="1481"/>
      <c r="N2335" s="1481"/>
      <c r="O2335" s="1481"/>
      <c r="P2335" s="1481"/>
      <c r="Q2335" s="1481"/>
      <c r="R2335" s="1481"/>
      <c r="S2335" s="1481"/>
      <c r="T2335" s="1481"/>
      <c r="U2335" s="1481"/>
      <c r="V2335" s="1481"/>
      <c r="W2335" s="1481"/>
      <c r="X2335" s="1481"/>
      <c r="Y2335" s="1481"/>
      <c r="Z2335" s="1481"/>
      <c r="AA2335" s="1481"/>
      <c r="AB2335" s="1481"/>
      <c r="AC2335" s="1481"/>
      <c r="AD2335" s="1481"/>
      <c r="AE2335" s="1481"/>
      <c r="AF2335" s="1481"/>
      <c r="AG2335" s="1481"/>
    </row>
    <row r="2336" spans="1:33">
      <c r="A2336" s="1448"/>
      <c r="B2336" s="1474" t="s">
        <v>7266</v>
      </c>
      <c r="C2336" s="1445">
        <v>1</v>
      </c>
      <c r="D2336" s="1447" t="s">
        <v>3364</v>
      </c>
      <c r="E2336" s="1445">
        <v>2</v>
      </c>
      <c r="F2336" s="1446">
        <v>0.115</v>
      </c>
      <c r="G2336" s="1446"/>
      <c r="H2336" s="1447">
        <v>1.5</v>
      </c>
      <c r="I2336" s="1448">
        <f t="shared" si="92"/>
        <v>0.35</v>
      </c>
      <c r="J2336" s="1449"/>
      <c r="K2336" s="1481"/>
      <c r="L2336" s="1481"/>
      <c r="M2336" s="1481"/>
      <c r="N2336" s="1481"/>
      <c r="O2336" s="1481"/>
      <c r="P2336" s="1481"/>
      <c r="Q2336" s="1481"/>
      <c r="R2336" s="1481"/>
      <c r="S2336" s="1481"/>
      <c r="T2336" s="1481"/>
      <c r="U2336" s="1481"/>
      <c r="V2336" s="1481"/>
      <c r="W2336" s="1481"/>
      <c r="X2336" s="1481"/>
      <c r="Y2336" s="1481"/>
      <c r="Z2336" s="1481"/>
      <c r="AA2336" s="1481"/>
      <c r="AB2336" s="1481"/>
      <c r="AC2336" s="1481"/>
      <c r="AD2336" s="1481"/>
      <c r="AE2336" s="1481"/>
      <c r="AF2336" s="1481"/>
      <c r="AG2336" s="1481"/>
    </row>
    <row r="2337" spans="1:33">
      <c r="A2337" s="1448"/>
      <c r="B2337" s="1474" t="s">
        <v>7274</v>
      </c>
      <c r="C2337" s="1445">
        <v>-1</v>
      </c>
      <c r="D2337" s="1447" t="s">
        <v>3364</v>
      </c>
      <c r="E2337" s="1445">
        <v>2</v>
      </c>
      <c r="F2337" s="1446">
        <v>0.75</v>
      </c>
      <c r="G2337" s="1446"/>
      <c r="H2337" s="1447">
        <v>1.5</v>
      </c>
      <c r="I2337" s="1448">
        <f t="shared" si="92"/>
        <v>-2.25</v>
      </c>
      <c r="J2337" s="1449"/>
      <c r="K2337" s="1481"/>
      <c r="L2337" s="1481"/>
      <c r="M2337" s="1481"/>
      <c r="N2337" s="1481"/>
      <c r="O2337" s="1481"/>
      <c r="P2337" s="1481"/>
      <c r="Q2337" s="1481"/>
      <c r="R2337" s="1481"/>
      <c r="S2337" s="1481"/>
      <c r="T2337" s="1481"/>
      <c r="U2337" s="1481"/>
      <c r="V2337" s="1481"/>
      <c r="W2337" s="1481"/>
      <c r="X2337" s="1481"/>
      <c r="Y2337" s="1481"/>
      <c r="Z2337" s="1481"/>
      <c r="AA2337" s="1481"/>
      <c r="AB2337" s="1481"/>
      <c r="AC2337" s="1481"/>
      <c r="AD2337" s="1481"/>
      <c r="AE2337" s="1481"/>
      <c r="AF2337" s="1481"/>
      <c r="AG2337" s="1481"/>
    </row>
    <row r="2338" spans="1:33">
      <c r="A2338" s="1448"/>
      <c r="B2338" s="1474" t="s">
        <v>7278</v>
      </c>
      <c r="C2338" s="1445">
        <v>1</v>
      </c>
      <c r="D2338" s="1447" t="s">
        <v>3364</v>
      </c>
      <c r="E2338" s="1445">
        <v>1</v>
      </c>
      <c r="F2338" s="1446">
        <v>5.8</v>
      </c>
      <c r="G2338" s="1446"/>
      <c r="H2338" s="1447">
        <v>1.5</v>
      </c>
      <c r="I2338" s="1448">
        <f t="shared" si="92"/>
        <v>8.6999999999999993</v>
      </c>
      <c r="J2338" s="1449"/>
      <c r="K2338" s="1481"/>
      <c r="L2338" s="1481"/>
      <c r="M2338" s="1481"/>
      <c r="N2338" s="1481"/>
      <c r="O2338" s="1481"/>
      <c r="P2338" s="1481"/>
      <c r="Q2338" s="1481"/>
      <c r="R2338" s="1481"/>
      <c r="S2338" s="1481"/>
      <c r="T2338" s="1481"/>
      <c r="U2338" s="1481"/>
      <c r="V2338" s="1481"/>
      <c r="W2338" s="1481"/>
      <c r="X2338" s="1481"/>
      <c r="Y2338" s="1481"/>
      <c r="Z2338" s="1481"/>
      <c r="AA2338" s="1481"/>
      <c r="AB2338" s="1481"/>
      <c r="AC2338" s="1481"/>
      <c r="AD2338" s="1481"/>
      <c r="AE2338" s="1481"/>
      <c r="AF2338" s="1481"/>
      <c r="AG2338" s="1481"/>
    </row>
    <row r="2339" spans="1:33">
      <c r="A2339" s="1448"/>
      <c r="B2339" s="1474" t="s">
        <v>7266</v>
      </c>
      <c r="C2339" s="1445">
        <v>1</v>
      </c>
      <c r="D2339" s="1447" t="s">
        <v>3364</v>
      </c>
      <c r="E2339" s="1445">
        <v>1</v>
      </c>
      <c r="F2339" s="1446">
        <v>0.115</v>
      </c>
      <c r="G2339" s="1446"/>
      <c r="H2339" s="1447">
        <v>1.5</v>
      </c>
      <c r="I2339" s="1448">
        <f t="shared" si="92"/>
        <v>0.17</v>
      </c>
      <c r="J2339" s="1449"/>
      <c r="K2339" s="1481"/>
      <c r="L2339" s="1481"/>
      <c r="M2339" s="1481"/>
      <c r="N2339" s="1481"/>
      <c r="O2339" s="1481"/>
      <c r="P2339" s="1481"/>
      <c r="Q2339" s="1481"/>
      <c r="R2339" s="1481"/>
      <c r="S2339" s="1481"/>
      <c r="T2339" s="1481"/>
      <c r="U2339" s="1481"/>
      <c r="V2339" s="1481"/>
      <c r="W2339" s="1481"/>
      <c r="X2339" s="1481"/>
      <c r="Y2339" s="1481"/>
      <c r="Z2339" s="1481"/>
      <c r="AA2339" s="1481"/>
      <c r="AB2339" s="1481"/>
      <c r="AC2339" s="1481"/>
      <c r="AD2339" s="1481"/>
      <c r="AE2339" s="1481"/>
      <c r="AF2339" s="1481"/>
      <c r="AG2339" s="1481"/>
    </row>
    <row r="2340" spans="1:33">
      <c r="A2340" s="1448"/>
      <c r="B2340" s="1474" t="s">
        <v>7274</v>
      </c>
      <c r="C2340" s="1445">
        <v>-1</v>
      </c>
      <c r="D2340" s="1447" t="s">
        <v>3364</v>
      </c>
      <c r="E2340" s="1445">
        <v>1</v>
      </c>
      <c r="F2340" s="1446">
        <v>0.75</v>
      </c>
      <c r="G2340" s="1446"/>
      <c r="H2340" s="1447">
        <v>1.5</v>
      </c>
      <c r="I2340" s="1448">
        <f t="shared" si="92"/>
        <v>-1.1299999999999999</v>
      </c>
      <c r="J2340" s="1449"/>
      <c r="K2340" s="1481"/>
      <c r="L2340" s="1481"/>
      <c r="M2340" s="1481"/>
      <c r="N2340" s="1481"/>
      <c r="O2340" s="1481"/>
      <c r="P2340" s="1481"/>
      <c r="Q2340" s="1481"/>
      <c r="R2340" s="1481"/>
      <c r="S2340" s="1481"/>
      <c r="T2340" s="1481"/>
      <c r="U2340" s="1481"/>
      <c r="V2340" s="1481"/>
      <c r="W2340" s="1481"/>
      <c r="X2340" s="1481"/>
      <c r="Y2340" s="1481"/>
      <c r="Z2340" s="1481"/>
      <c r="AA2340" s="1481"/>
      <c r="AB2340" s="1481"/>
      <c r="AC2340" s="1481"/>
      <c r="AD2340" s="1481"/>
      <c r="AE2340" s="1481"/>
      <c r="AF2340" s="1481"/>
      <c r="AG2340" s="1481"/>
    </row>
    <row r="2341" spans="1:33">
      <c r="A2341" s="1448"/>
      <c r="B2341" s="1474" t="s">
        <v>6888</v>
      </c>
      <c r="C2341" s="1445">
        <v>1</v>
      </c>
      <c r="D2341" s="1447" t="s">
        <v>3364</v>
      </c>
      <c r="E2341" s="1445">
        <v>1</v>
      </c>
      <c r="F2341" s="1446">
        <v>17.594999999999999</v>
      </c>
      <c r="G2341" s="1446"/>
      <c r="H2341" s="1447">
        <v>1.5</v>
      </c>
      <c r="I2341" s="1448">
        <f t="shared" si="92"/>
        <v>26.39</v>
      </c>
      <c r="J2341" s="1449"/>
      <c r="K2341" s="1481"/>
      <c r="L2341" s="1481"/>
      <c r="M2341" s="1481"/>
      <c r="N2341" s="1481"/>
      <c r="O2341" s="1481"/>
      <c r="P2341" s="1481"/>
      <c r="Q2341" s="1481"/>
      <c r="R2341" s="1481"/>
      <c r="S2341" s="1481"/>
      <c r="T2341" s="1481"/>
      <c r="U2341" s="1481"/>
      <c r="V2341" s="1481"/>
      <c r="W2341" s="1481"/>
      <c r="X2341" s="1481"/>
      <c r="Y2341" s="1481"/>
      <c r="Z2341" s="1481"/>
      <c r="AA2341" s="1481"/>
      <c r="AB2341" s="1481"/>
      <c r="AC2341" s="1481"/>
      <c r="AD2341" s="1481"/>
      <c r="AE2341" s="1481"/>
      <c r="AF2341" s="1481"/>
      <c r="AG2341" s="1481"/>
    </row>
    <row r="2342" spans="1:33">
      <c r="A2342" s="1448"/>
      <c r="B2342" s="1474" t="s">
        <v>7279</v>
      </c>
      <c r="C2342" s="1445">
        <v>-1</v>
      </c>
      <c r="D2342" s="1447" t="s">
        <v>3364</v>
      </c>
      <c r="E2342" s="1445">
        <v>1</v>
      </c>
      <c r="F2342" s="1446">
        <v>0.9</v>
      </c>
      <c r="G2342" s="1446"/>
      <c r="H2342" s="1447">
        <v>1.5</v>
      </c>
      <c r="I2342" s="1448">
        <f t="shared" si="92"/>
        <v>-1.35</v>
      </c>
      <c r="J2342" s="1449"/>
      <c r="K2342" s="1481"/>
      <c r="L2342" s="1481"/>
      <c r="M2342" s="1481"/>
      <c r="N2342" s="1481"/>
      <c r="O2342" s="1481"/>
      <c r="P2342" s="1481"/>
      <c r="Q2342" s="1481"/>
      <c r="R2342" s="1481"/>
      <c r="S2342" s="1481"/>
      <c r="T2342" s="1481"/>
      <c r="U2342" s="1481"/>
      <c r="V2342" s="1481"/>
      <c r="W2342" s="1481"/>
      <c r="X2342" s="1481"/>
      <c r="Y2342" s="1481"/>
      <c r="Z2342" s="1481"/>
      <c r="AA2342" s="1481"/>
      <c r="AB2342" s="1481"/>
      <c r="AC2342" s="1481"/>
      <c r="AD2342" s="1481"/>
      <c r="AE2342" s="1481"/>
      <c r="AF2342" s="1481"/>
      <c r="AG2342" s="1481"/>
    </row>
    <row r="2343" spans="1:33">
      <c r="A2343" s="1448"/>
      <c r="B2343" s="1474" t="s">
        <v>7280</v>
      </c>
      <c r="C2343" s="1445">
        <v>-1</v>
      </c>
      <c r="D2343" s="1447" t="s">
        <v>3364</v>
      </c>
      <c r="E2343" s="1445">
        <v>2</v>
      </c>
      <c r="F2343" s="1446">
        <v>0.75</v>
      </c>
      <c r="G2343" s="1446"/>
      <c r="H2343" s="1447">
        <v>1.5</v>
      </c>
      <c r="I2343" s="1448">
        <f t="shared" si="92"/>
        <v>-2.25</v>
      </c>
      <c r="J2343" s="1449"/>
      <c r="K2343" s="1481"/>
      <c r="L2343" s="1481"/>
      <c r="M2343" s="1481"/>
      <c r="N2343" s="1481"/>
      <c r="O2343" s="1481"/>
      <c r="P2343" s="1481"/>
      <c r="Q2343" s="1481"/>
      <c r="R2343" s="1481"/>
      <c r="S2343" s="1481"/>
      <c r="T2343" s="1481"/>
      <c r="U2343" s="1481"/>
      <c r="V2343" s="1481"/>
      <c r="W2343" s="1481"/>
      <c r="X2343" s="1481"/>
      <c r="Y2343" s="1481"/>
      <c r="Z2343" s="1481"/>
      <c r="AA2343" s="1481"/>
      <c r="AB2343" s="1481"/>
      <c r="AC2343" s="1481"/>
      <c r="AD2343" s="1481"/>
      <c r="AE2343" s="1481"/>
      <c r="AF2343" s="1481"/>
      <c r="AG2343" s="1481"/>
    </row>
    <row r="2344" spans="1:33">
      <c r="A2344" s="1448"/>
      <c r="B2344" s="1474" t="s">
        <v>7281</v>
      </c>
      <c r="C2344" s="1445">
        <v>1</v>
      </c>
      <c r="D2344" s="1447" t="s">
        <v>3364</v>
      </c>
      <c r="E2344" s="1445">
        <v>1</v>
      </c>
      <c r="F2344" s="1446">
        <v>7.89</v>
      </c>
      <c r="G2344" s="1446"/>
      <c r="H2344" s="1447">
        <v>0.8</v>
      </c>
      <c r="I2344" s="1448">
        <f t="shared" si="92"/>
        <v>6.31</v>
      </c>
      <c r="J2344" s="1449"/>
      <c r="K2344" s="1481"/>
      <c r="L2344" s="1481"/>
      <c r="M2344" s="1481"/>
      <c r="N2344" s="1481"/>
      <c r="O2344" s="1481"/>
      <c r="P2344" s="1481"/>
      <c r="Q2344" s="1481"/>
      <c r="R2344" s="1481"/>
      <c r="S2344" s="1481"/>
      <c r="T2344" s="1481"/>
      <c r="U2344" s="1481"/>
      <c r="V2344" s="1481"/>
      <c r="W2344" s="1481"/>
      <c r="X2344" s="1481"/>
      <c r="Y2344" s="1481"/>
      <c r="Z2344" s="1481"/>
      <c r="AA2344" s="1481"/>
      <c r="AB2344" s="1481"/>
      <c r="AC2344" s="1481"/>
      <c r="AD2344" s="1481"/>
      <c r="AE2344" s="1481"/>
      <c r="AF2344" s="1481"/>
      <c r="AG2344" s="1481"/>
    </row>
    <row r="2345" spans="1:33">
      <c r="A2345" s="1448"/>
      <c r="B2345" s="1474" t="s">
        <v>7270</v>
      </c>
      <c r="C2345" s="1445">
        <v>1</v>
      </c>
      <c r="D2345" s="1447" t="s">
        <v>3364</v>
      </c>
      <c r="E2345" s="1445">
        <v>1</v>
      </c>
      <c r="F2345" s="1446">
        <v>0.115</v>
      </c>
      <c r="G2345" s="1446"/>
      <c r="H2345" s="1447">
        <v>0.8</v>
      </c>
      <c r="I2345" s="1448">
        <f t="shared" si="92"/>
        <v>0.09</v>
      </c>
      <c r="J2345" s="1449"/>
      <c r="K2345" s="1481"/>
      <c r="L2345" s="1481"/>
      <c r="M2345" s="1481"/>
      <c r="N2345" s="1481"/>
      <c r="O2345" s="1481"/>
      <c r="P2345" s="1481"/>
      <c r="Q2345" s="1481"/>
      <c r="R2345" s="1481"/>
      <c r="S2345" s="1481"/>
      <c r="T2345" s="1481"/>
      <c r="U2345" s="1481"/>
      <c r="V2345" s="1481"/>
      <c r="W2345" s="1481"/>
      <c r="X2345" s="1481"/>
      <c r="Y2345" s="1481"/>
      <c r="Z2345" s="1481"/>
      <c r="AA2345" s="1481"/>
      <c r="AB2345" s="1481"/>
      <c r="AC2345" s="1481"/>
      <c r="AD2345" s="1481"/>
      <c r="AE2345" s="1481"/>
      <c r="AF2345" s="1481"/>
      <c r="AG2345" s="1481"/>
    </row>
    <row r="2346" spans="1:33">
      <c r="A2346" s="1448"/>
      <c r="B2346" s="1474" t="s">
        <v>7092</v>
      </c>
      <c r="C2346" s="1445">
        <v>1</v>
      </c>
      <c r="D2346" s="1447" t="s">
        <v>3364</v>
      </c>
      <c r="E2346" s="1445">
        <v>1</v>
      </c>
      <c r="F2346" s="1446">
        <v>13.08</v>
      </c>
      <c r="G2346" s="1446"/>
      <c r="H2346" s="1447">
        <v>0.8</v>
      </c>
      <c r="I2346" s="1448">
        <f t="shared" si="92"/>
        <v>10.46</v>
      </c>
      <c r="J2346" s="1449"/>
      <c r="K2346" s="1481"/>
      <c r="L2346" s="1481"/>
      <c r="M2346" s="1481"/>
      <c r="N2346" s="1481"/>
      <c r="O2346" s="1481"/>
      <c r="P2346" s="1481"/>
      <c r="Q2346" s="1481"/>
      <c r="R2346" s="1481"/>
      <c r="S2346" s="1481"/>
      <c r="T2346" s="1481"/>
      <c r="U2346" s="1481"/>
      <c r="V2346" s="1481"/>
      <c r="W2346" s="1481"/>
      <c r="X2346" s="1481"/>
      <c r="Y2346" s="1481"/>
      <c r="Z2346" s="1481"/>
      <c r="AA2346" s="1481"/>
      <c r="AB2346" s="1481"/>
      <c r="AC2346" s="1481"/>
      <c r="AD2346" s="1481"/>
      <c r="AE2346" s="1481"/>
      <c r="AF2346" s="1481"/>
      <c r="AG2346" s="1481"/>
    </row>
    <row r="2347" spans="1:33">
      <c r="A2347" s="1448"/>
      <c r="B2347" s="1474" t="s">
        <v>7266</v>
      </c>
      <c r="C2347" s="1445">
        <v>1</v>
      </c>
      <c r="D2347" s="1447" t="s">
        <v>3364</v>
      </c>
      <c r="E2347" s="1445">
        <v>2</v>
      </c>
      <c r="F2347" s="1446">
        <v>0.115</v>
      </c>
      <c r="G2347" s="1446"/>
      <c r="H2347" s="1447">
        <v>0.8</v>
      </c>
      <c r="I2347" s="1448">
        <f t="shared" si="92"/>
        <v>0.18</v>
      </c>
      <c r="J2347" s="1449"/>
      <c r="K2347" s="1481"/>
      <c r="L2347" s="1481"/>
      <c r="M2347" s="1481"/>
      <c r="N2347" s="1481"/>
      <c r="O2347" s="1481"/>
      <c r="P2347" s="1481"/>
      <c r="Q2347" s="1481"/>
      <c r="R2347" s="1481"/>
      <c r="S2347" s="1481"/>
      <c r="T2347" s="1481"/>
      <c r="U2347" s="1481"/>
      <c r="V2347" s="1481"/>
      <c r="W2347" s="1481"/>
      <c r="X2347" s="1481"/>
      <c r="Y2347" s="1481"/>
      <c r="Z2347" s="1481"/>
      <c r="AA2347" s="1481"/>
      <c r="AB2347" s="1481"/>
      <c r="AC2347" s="1481"/>
      <c r="AD2347" s="1481"/>
      <c r="AE2347" s="1481"/>
      <c r="AF2347" s="1481"/>
      <c r="AG2347" s="1481"/>
    </row>
    <row r="2348" spans="1:33">
      <c r="A2348" s="1448"/>
      <c r="B2348" s="1474"/>
      <c r="C2348" s="1445"/>
      <c r="D2348" s="1447"/>
      <c r="E2348" s="1445"/>
      <c r="F2348" s="1446"/>
      <c r="G2348" s="1446"/>
      <c r="H2348" s="1447"/>
      <c r="I2348" s="1448">
        <f t="shared" si="92"/>
        <v>0</v>
      </c>
      <c r="J2348" s="1449"/>
      <c r="K2348" s="1481"/>
      <c r="L2348" s="1481"/>
      <c r="M2348" s="1481"/>
      <c r="N2348" s="1481"/>
      <c r="O2348" s="1481"/>
      <c r="P2348" s="1481"/>
      <c r="Q2348" s="1481"/>
      <c r="R2348" s="1481"/>
      <c r="S2348" s="1481"/>
      <c r="T2348" s="1481"/>
      <c r="U2348" s="1481"/>
      <c r="V2348" s="1481"/>
      <c r="W2348" s="1481"/>
      <c r="X2348" s="1481"/>
      <c r="Y2348" s="1481"/>
      <c r="Z2348" s="1481"/>
      <c r="AA2348" s="1481"/>
      <c r="AB2348" s="1481"/>
      <c r="AC2348" s="1481"/>
      <c r="AD2348" s="1481"/>
      <c r="AE2348" s="1481"/>
      <c r="AF2348" s="1481"/>
      <c r="AG2348" s="1481"/>
    </row>
    <row r="2349" spans="1:33">
      <c r="A2349" s="1448"/>
      <c r="B2349" s="1491" t="s">
        <v>7552</v>
      </c>
      <c r="C2349" s="1445"/>
      <c r="D2349" s="1447"/>
      <c r="E2349" s="1445"/>
      <c r="F2349" s="1446"/>
      <c r="G2349" s="1446"/>
      <c r="H2349" s="1447"/>
      <c r="I2349" s="1448">
        <f t="shared" si="92"/>
        <v>0</v>
      </c>
      <c r="J2349" s="1449"/>
      <c r="K2349" s="1481"/>
      <c r="L2349" s="1481"/>
      <c r="M2349" s="1481"/>
      <c r="N2349" s="1481"/>
      <c r="O2349" s="1481"/>
      <c r="P2349" s="1481"/>
      <c r="Q2349" s="1481"/>
      <c r="R2349" s="1481"/>
      <c r="S2349" s="1481"/>
      <c r="T2349" s="1481"/>
      <c r="U2349" s="1481"/>
      <c r="V2349" s="1481"/>
      <c r="W2349" s="1481"/>
      <c r="X2349" s="1481"/>
      <c r="Y2349" s="1481"/>
      <c r="Z2349" s="1481"/>
      <c r="AA2349" s="1481"/>
      <c r="AB2349" s="1481"/>
      <c r="AC2349" s="1481"/>
      <c r="AD2349" s="1481"/>
      <c r="AE2349" s="1481"/>
      <c r="AF2349" s="1481"/>
      <c r="AG2349" s="1481"/>
    </row>
    <row r="2350" spans="1:33">
      <c r="A2350" s="1448"/>
      <c r="B2350" s="1474" t="s">
        <v>7276</v>
      </c>
      <c r="C2350" s="1445">
        <v>1</v>
      </c>
      <c r="D2350" s="1447" t="s">
        <v>3364</v>
      </c>
      <c r="E2350" s="1445">
        <v>1</v>
      </c>
      <c r="F2350" s="1446">
        <v>7.32</v>
      </c>
      <c r="G2350" s="1446"/>
      <c r="H2350" s="1447">
        <v>1.5</v>
      </c>
      <c r="I2350" s="1448">
        <f t="shared" si="92"/>
        <v>10.98</v>
      </c>
      <c r="J2350" s="1449"/>
      <c r="K2350" s="1481"/>
      <c r="L2350" s="1481"/>
      <c r="M2350" s="1481"/>
      <c r="N2350" s="1481"/>
      <c r="O2350" s="1481"/>
      <c r="P2350" s="1481"/>
      <c r="Q2350" s="1481"/>
      <c r="R2350" s="1481"/>
      <c r="S2350" s="1481"/>
      <c r="T2350" s="1481"/>
      <c r="U2350" s="1481"/>
      <c r="V2350" s="1481"/>
      <c r="W2350" s="1481"/>
      <c r="X2350" s="1481"/>
      <c r="Y2350" s="1481"/>
      <c r="Z2350" s="1481"/>
      <c r="AA2350" s="1481"/>
      <c r="AB2350" s="1481"/>
      <c r="AC2350" s="1481"/>
      <c r="AD2350" s="1481"/>
      <c r="AE2350" s="1481"/>
      <c r="AF2350" s="1481"/>
      <c r="AG2350" s="1481"/>
    </row>
    <row r="2351" spans="1:33">
      <c r="A2351" s="1448"/>
      <c r="B2351" s="1474" t="s">
        <v>7266</v>
      </c>
      <c r="C2351" s="1445">
        <v>1</v>
      </c>
      <c r="D2351" s="1447" t="s">
        <v>3364</v>
      </c>
      <c r="E2351" s="1445">
        <v>1</v>
      </c>
      <c r="F2351" s="1446">
        <v>0.115</v>
      </c>
      <c r="G2351" s="1446"/>
      <c r="H2351" s="1447">
        <v>1.5</v>
      </c>
      <c r="I2351" s="1448">
        <f t="shared" si="92"/>
        <v>0.17</v>
      </c>
      <c r="J2351" s="1449"/>
      <c r="K2351" s="1481"/>
      <c r="L2351" s="1481"/>
      <c r="M2351" s="1481"/>
      <c r="N2351" s="1481"/>
      <c r="O2351" s="1481"/>
      <c r="P2351" s="1481"/>
      <c r="Q2351" s="1481"/>
      <c r="R2351" s="1481"/>
      <c r="S2351" s="1481"/>
      <c r="T2351" s="1481"/>
      <c r="U2351" s="1481"/>
      <c r="V2351" s="1481"/>
      <c r="W2351" s="1481"/>
      <c r="X2351" s="1481"/>
      <c r="Y2351" s="1481"/>
      <c r="Z2351" s="1481"/>
      <c r="AA2351" s="1481"/>
      <c r="AB2351" s="1481"/>
      <c r="AC2351" s="1481"/>
      <c r="AD2351" s="1481"/>
      <c r="AE2351" s="1481"/>
      <c r="AF2351" s="1481"/>
      <c r="AG2351" s="1481"/>
    </row>
    <row r="2352" spans="1:33">
      <c r="A2352" s="1448"/>
      <c r="B2352" s="1474" t="s">
        <v>3639</v>
      </c>
      <c r="C2352" s="1445">
        <v>-1</v>
      </c>
      <c r="D2352" s="1447" t="s">
        <v>3364</v>
      </c>
      <c r="E2352" s="1445">
        <v>1</v>
      </c>
      <c r="F2352" s="1446">
        <v>0.75</v>
      </c>
      <c r="G2352" s="1446"/>
      <c r="H2352" s="1447">
        <v>1.5</v>
      </c>
      <c r="I2352" s="1448">
        <f t="shared" si="92"/>
        <v>-1.1299999999999999</v>
      </c>
      <c r="J2352" s="1449"/>
      <c r="K2352" s="1481"/>
      <c r="L2352" s="1481"/>
      <c r="M2352" s="1481"/>
      <c r="N2352" s="1481"/>
      <c r="O2352" s="1481"/>
      <c r="P2352" s="1481"/>
      <c r="Q2352" s="1481"/>
      <c r="R2352" s="1481"/>
      <c r="S2352" s="1481"/>
      <c r="T2352" s="1481"/>
      <c r="U2352" s="1481"/>
      <c r="V2352" s="1481"/>
      <c r="W2352" s="1481"/>
      <c r="X2352" s="1481"/>
      <c r="Y2352" s="1481"/>
      <c r="Z2352" s="1481"/>
      <c r="AA2352" s="1481"/>
      <c r="AB2352" s="1481"/>
      <c r="AC2352" s="1481"/>
      <c r="AD2352" s="1481"/>
      <c r="AE2352" s="1481"/>
      <c r="AF2352" s="1481"/>
      <c r="AG2352" s="1481"/>
    </row>
    <row r="2353" spans="1:33">
      <c r="A2353" s="1448"/>
      <c r="B2353" s="1474" t="s">
        <v>7277</v>
      </c>
      <c r="C2353" s="1445">
        <v>1</v>
      </c>
      <c r="D2353" s="1447" t="s">
        <v>3364</v>
      </c>
      <c r="E2353" s="1445">
        <v>2</v>
      </c>
      <c r="F2353" s="1446">
        <v>5.4</v>
      </c>
      <c r="G2353" s="1446"/>
      <c r="H2353" s="1447">
        <v>1.5</v>
      </c>
      <c r="I2353" s="1448">
        <f t="shared" si="92"/>
        <v>16.2</v>
      </c>
      <c r="J2353" s="1449"/>
      <c r="K2353" s="1481"/>
      <c r="L2353" s="1481"/>
      <c r="M2353" s="1481"/>
      <c r="N2353" s="1481"/>
      <c r="O2353" s="1481"/>
      <c r="P2353" s="1481"/>
      <c r="Q2353" s="1481"/>
      <c r="R2353" s="1481"/>
      <c r="S2353" s="1481"/>
      <c r="T2353" s="1481"/>
      <c r="U2353" s="1481"/>
      <c r="V2353" s="1481"/>
      <c r="W2353" s="1481"/>
      <c r="X2353" s="1481"/>
      <c r="Y2353" s="1481"/>
      <c r="Z2353" s="1481"/>
      <c r="AA2353" s="1481"/>
      <c r="AB2353" s="1481"/>
      <c r="AC2353" s="1481"/>
      <c r="AD2353" s="1481"/>
      <c r="AE2353" s="1481"/>
      <c r="AF2353" s="1481"/>
      <c r="AG2353" s="1481"/>
    </row>
    <row r="2354" spans="1:33">
      <c r="A2354" s="1448"/>
      <c r="B2354" s="1474" t="s">
        <v>7266</v>
      </c>
      <c r="C2354" s="1445">
        <v>1</v>
      </c>
      <c r="D2354" s="1447" t="s">
        <v>3364</v>
      </c>
      <c r="E2354" s="1445">
        <v>2</v>
      </c>
      <c r="F2354" s="1446">
        <v>0.115</v>
      </c>
      <c r="G2354" s="1446"/>
      <c r="H2354" s="1447">
        <v>1.5</v>
      </c>
      <c r="I2354" s="1448">
        <f t="shared" si="92"/>
        <v>0.35</v>
      </c>
      <c r="J2354" s="1449"/>
      <c r="K2354" s="1481"/>
      <c r="L2354" s="1481"/>
      <c r="M2354" s="1481"/>
      <c r="N2354" s="1481"/>
      <c r="O2354" s="1481"/>
      <c r="P2354" s="1481"/>
      <c r="Q2354" s="1481"/>
      <c r="R2354" s="1481"/>
      <c r="S2354" s="1481"/>
      <c r="T2354" s="1481"/>
      <c r="U2354" s="1481"/>
      <c r="V2354" s="1481"/>
      <c r="W2354" s="1481"/>
      <c r="X2354" s="1481"/>
      <c r="Y2354" s="1481"/>
      <c r="Z2354" s="1481"/>
      <c r="AA2354" s="1481"/>
      <c r="AB2354" s="1481"/>
      <c r="AC2354" s="1481"/>
      <c r="AD2354" s="1481"/>
      <c r="AE2354" s="1481"/>
      <c r="AF2354" s="1481"/>
      <c r="AG2354" s="1481"/>
    </row>
    <row r="2355" spans="1:33">
      <c r="A2355" s="1448"/>
      <c r="B2355" s="1474" t="s">
        <v>7274</v>
      </c>
      <c r="C2355" s="1445">
        <v>-1</v>
      </c>
      <c r="D2355" s="1447" t="s">
        <v>3364</v>
      </c>
      <c r="E2355" s="1445">
        <v>2</v>
      </c>
      <c r="F2355" s="1446">
        <v>0.75</v>
      </c>
      <c r="G2355" s="1446"/>
      <c r="H2355" s="1447">
        <v>1.5</v>
      </c>
      <c r="I2355" s="1448">
        <f t="shared" si="92"/>
        <v>-2.25</v>
      </c>
      <c r="J2355" s="1449"/>
      <c r="K2355" s="1481"/>
      <c r="L2355" s="1481"/>
      <c r="M2355" s="1481"/>
      <c r="N2355" s="1481"/>
      <c r="O2355" s="1481"/>
      <c r="P2355" s="1481"/>
      <c r="Q2355" s="1481"/>
      <c r="R2355" s="1481"/>
      <c r="S2355" s="1481"/>
      <c r="T2355" s="1481"/>
      <c r="U2355" s="1481"/>
      <c r="V2355" s="1481"/>
      <c r="W2355" s="1481"/>
      <c r="X2355" s="1481"/>
      <c r="Y2355" s="1481"/>
      <c r="Z2355" s="1481"/>
      <c r="AA2355" s="1481"/>
      <c r="AB2355" s="1481"/>
      <c r="AC2355" s="1481"/>
      <c r="AD2355" s="1481"/>
      <c r="AE2355" s="1481"/>
      <c r="AF2355" s="1481"/>
      <c r="AG2355" s="1481"/>
    </row>
    <row r="2356" spans="1:33">
      <c r="A2356" s="1448"/>
      <c r="B2356" s="1474" t="s">
        <v>7278</v>
      </c>
      <c r="C2356" s="1445">
        <v>1</v>
      </c>
      <c r="D2356" s="1447" t="s">
        <v>3364</v>
      </c>
      <c r="E2356" s="1445">
        <v>1</v>
      </c>
      <c r="F2356" s="1446">
        <v>5.8</v>
      </c>
      <c r="G2356" s="1446"/>
      <c r="H2356" s="1447">
        <v>2.1</v>
      </c>
      <c r="I2356" s="1448">
        <f t="shared" si="92"/>
        <v>12.18</v>
      </c>
      <c r="J2356" s="1449"/>
      <c r="K2356" s="1481"/>
      <c r="L2356" s="1481"/>
      <c r="M2356" s="1481"/>
      <c r="N2356" s="1481"/>
      <c r="O2356" s="1481"/>
      <c r="P2356" s="1481"/>
      <c r="Q2356" s="1481"/>
      <c r="R2356" s="1481"/>
      <c r="S2356" s="1481"/>
      <c r="T2356" s="1481"/>
      <c r="U2356" s="1481"/>
      <c r="V2356" s="1481"/>
      <c r="W2356" s="1481"/>
      <c r="X2356" s="1481"/>
      <c r="Y2356" s="1481"/>
      <c r="Z2356" s="1481"/>
      <c r="AA2356" s="1481"/>
      <c r="AB2356" s="1481"/>
      <c r="AC2356" s="1481"/>
      <c r="AD2356" s="1481"/>
      <c r="AE2356" s="1481"/>
      <c r="AF2356" s="1481"/>
      <c r="AG2356" s="1481"/>
    </row>
    <row r="2357" spans="1:33">
      <c r="A2357" s="1448"/>
      <c r="B2357" s="1474" t="s">
        <v>7266</v>
      </c>
      <c r="C2357" s="1445">
        <v>1</v>
      </c>
      <c r="D2357" s="1447" t="s">
        <v>3364</v>
      </c>
      <c r="E2357" s="1445">
        <v>1</v>
      </c>
      <c r="F2357" s="1446">
        <v>0.115</v>
      </c>
      <c r="G2357" s="1446"/>
      <c r="H2357" s="1447">
        <v>2.1</v>
      </c>
      <c r="I2357" s="1448">
        <f t="shared" si="92"/>
        <v>0.24</v>
      </c>
      <c r="J2357" s="1449"/>
      <c r="K2357" s="1481"/>
      <c r="L2357" s="1481"/>
      <c r="M2357" s="1481"/>
      <c r="N2357" s="1481"/>
      <c r="O2357" s="1481"/>
      <c r="P2357" s="1481"/>
      <c r="Q2357" s="1481"/>
      <c r="R2357" s="1481"/>
      <c r="S2357" s="1481"/>
      <c r="T2357" s="1481"/>
      <c r="U2357" s="1481"/>
      <c r="V2357" s="1481"/>
      <c r="W2357" s="1481"/>
      <c r="X2357" s="1481"/>
      <c r="Y2357" s="1481"/>
      <c r="Z2357" s="1481"/>
      <c r="AA2357" s="1481"/>
      <c r="AB2357" s="1481"/>
      <c r="AC2357" s="1481"/>
      <c r="AD2357" s="1481"/>
      <c r="AE2357" s="1481"/>
      <c r="AF2357" s="1481"/>
      <c r="AG2357" s="1481"/>
    </row>
    <row r="2358" spans="1:33">
      <c r="A2358" s="1448"/>
      <c r="B2358" s="1474" t="s">
        <v>7274</v>
      </c>
      <c r="C2358" s="1445">
        <v>-1</v>
      </c>
      <c r="D2358" s="1447" t="s">
        <v>3364</v>
      </c>
      <c r="E2358" s="1445">
        <v>1</v>
      </c>
      <c r="F2358" s="1446">
        <v>0.75</v>
      </c>
      <c r="G2358" s="1446"/>
      <c r="H2358" s="1447">
        <v>1.5</v>
      </c>
      <c r="I2358" s="1448">
        <f t="shared" si="92"/>
        <v>-1.1299999999999999</v>
      </c>
      <c r="J2358" s="1449"/>
      <c r="K2358" s="1481"/>
      <c r="L2358" s="1481"/>
      <c r="M2358" s="1481"/>
      <c r="N2358" s="1481"/>
      <c r="O2358" s="1481"/>
      <c r="P2358" s="1481"/>
      <c r="Q2358" s="1481"/>
      <c r="R2358" s="1481"/>
      <c r="S2358" s="1481"/>
      <c r="T2358" s="1481"/>
      <c r="U2358" s="1481"/>
      <c r="V2358" s="1481"/>
      <c r="W2358" s="1481"/>
      <c r="X2358" s="1481"/>
      <c r="Y2358" s="1481"/>
      <c r="Z2358" s="1481"/>
      <c r="AA2358" s="1481"/>
      <c r="AB2358" s="1481"/>
      <c r="AC2358" s="1481"/>
      <c r="AD2358" s="1481"/>
      <c r="AE2358" s="1481"/>
      <c r="AF2358" s="1481"/>
      <c r="AG2358" s="1481"/>
    </row>
    <row r="2359" spans="1:33">
      <c r="A2359" s="1448"/>
      <c r="B2359" s="1474" t="s">
        <v>6888</v>
      </c>
      <c r="C2359" s="1445">
        <v>1</v>
      </c>
      <c r="D2359" s="1447" t="s">
        <v>3364</v>
      </c>
      <c r="E2359" s="1445">
        <v>1</v>
      </c>
      <c r="F2359" s="1446">
        <v>17.594999999999999</v>
      </c>
      <c r="G2359" s="1446"/>
      <c r="H2359" s="1447">
        <v>1.5</v>
      </c>
      <c r="I2359" s="1448">
        <f t="shared" si="92"/>
        <v>26.39</v>
      </c>
      <c r="J2359" s="1449"/>
      <c r="K2359" s="1481"/>
      <c r="L2359" s="1481"/>
      <c r="M2359" s="1481"/>
      <c r="N2359" s="1481"/>
      <c r="O2359" s="1481"/>
      <c r="P2359" s="1481"/>
      <c r="Q2359" s="1481"/>
      <c r="R2359" s="1481"/>
      <c r="S2359" s="1481"/>
      <c r="T2359" s="1481"/>
      <c r="U2359" s="1481"/>
      <c r="V2359" s="1481"/>
      <c r="W2359" s="1481"/>
      <c r="X2359" s="1481"/>
      <c r="Y2359" s="1481"/>
      <c r="Z2359" s="1481"/>
      <c r="AA2359" s="1481"/>
      <c r="AB2359" s="1481"/>
      <c r="AC2359" s="1481"/>
      <c r="AD2359" s="1481"/>
      <c r="AE2359" s="1481"/>
      <c r="AF2359" s="1481"/>
      <c r="AG2359" s="1481"/>
    </row>
    <row r="2360" spans="1:33">
      <c r="A2360" s="1448"/>
      <c r="B2360" s="1474" t="s">
        <v>7279</v>
      </c>
      <c r="C2360" s="1445">
        <v>-1</v>
      </c>
      <c r="D2360" s="1447" t="s">
        <v>3364</v>
      </c>
      <c r="E2360" s="1445">
        <v>1</v>
      </c>
      <c r="F2360" s="1446">
        <v>0.9</v>
      </c>
      <c r="G2360" s="1446"/>
      <c r="H2360" s="1447">
        <v>1.5</v>
      </c>
      <c r="I2360" s="1448">
        <f t="shared" si="92"/>
        <v>-1.35</v>
      </c>
      <c r="J2360" s="1449"/>
      <c r="K2360" s="1481"/>
      <c r="L2360" s="1481"/>
      <c r="M2360" s="1481"/>
      <c r="N2360" s="1481"/>
      <c r="O2360" s="1481"/>
      <c r="P2360" s="1481"/>
      <c r="Q2360" s="1481"/>
      <c r="R2360" s="1481"/>
      <c r="S2360" s="1481"/>
      <c r="T2360" s="1481"/>
      <c r="U2360" s="1481"/>
      <c r="V2360" s="1481"/>
      <c r="W2360" s="1481"/>
      <c r="X2360" s="1481"/>
      <c r="Y2360" s="1481"/>
      <c r="Z2360" s="1481"/>
      <c r="AA2360" s="1481"/>
      <c r="AB2360" s="1481"/>
      <c r="AC2360" s="1481"/>
      <c r="AD2360" s="1481"/>
      <c r="AE2360" s="1481"/>
      <c r="AF2360" s="1481"/>
      <c r="AG2360" s="1481"/>
    </row>
    <row r="2361" spans="1:33">
      <c r="A2361" s="1448"/>
      <c r="B2361" s="1474" t="s">
        <v>7280</v>
      </c>
      <c r="C2361" s="1445">
        <v>-1</v>
      </c>
      <c r="D2361" s="1447" t="s">
        <v>3364</v>
      </c>
      <c r="E2361" s="1445">
        <v>2</v>
      </c>
      <c r="F2361" s="1446">
        <v>0.75</v>
      </c>
      <c r="G2361" s="1446"/>
      <c r="H2361" s="1447">
        <v>1.5</v>
      </c>
      <c r="I2361" s="1448">
        <f t="shared" si="92"/>
        <v>-2.25</v>
      </c>
      <c r="J2361" s="1449"/>
      <c r="K2361" s="1481"/>
      <c r="L2361" s="1481"/>
      <c r="M2361" s="1481"/>
      <c r="N2361" s="1481"/>
      <c r="O2361" s="1481"/>
      <c r="P2361" s="1481"/>
      <c r="Q2361" s="1481"/>
      <c r="R2361" s="1481"/>
      <c r="S2361" s="1481"/>
      <c r="T2361" s="1481"/>
      <c r="U2361" s="1481"/>
      <c r="V2361" s="1481"/>
      <c r="W2361" s="1481"/>
      <c r="X2361" s="1481"/>
      <c r="Y2361" s="1481"/>
      <c r="Z2361" s="1481"/>
      <c r="AA2361" s="1481"/>
      <c r="AB2361" s="1481"/>
      <c r="AC2361" s="1481"/>
      <c r="AD2361" s="1481"/>
      <c r="AE2361" s="1481"/>
      <c r="AF2361" s="1481"/>
      <c r="AG2361" s="1481"/>
    </row>
    <row r="2362" spans="1:33">
      <c r="A2362" s="1448"/>
      <c r="B2362" s="1474" t="s">
        <v>7281</v>
      </c>
      <c r="C2362" s="1445">
        <v>1</v>
      </c>
      <c r="D2362" s="1447" t="s">
        <v>3364</v>
      </c>
      <c r="E2362" s="1445">
        <v>1</v>
      </c>
      <c r="F2362" s="1446">
        <v>7.89</v>
      </c>
      <c r="G2362" s="1446"/>
      <c r="H2362" s="1447">
        <v>0.8</v>
      </c>
      <c r="I2362" s="1448">
        <f t="shared" si="92"/>
        <v>6.31</v>
      </c>
      <c r="J2362" s="1449"/>
      <c r="K2362" s="1481"/>
      <c r="L2362" s="1481"/>
      <c r="M2362" s="1481"/>
      <c r="N2362" s="1481"/>
      <c r="O2362" s="1481"/>
      <c r="P2362" s="1481"/>
      <c r="Q2362" s="1481"/>
      <c r="R2362" s="1481"/>
      <c r="S2362" s="1481"/>
      <c r="T2362" s="1481"/>
      <c r="U2362" s="1481"/>
      <c r="V2362" s="1481"/>
      <c r="W2362" s="1481"/>
      <c r="X2362" s="1481"/>
      <c r="Y2362" s="1481"/>
      <c r="Z2362" s="1481"/>
      <c r="AA2362" s="1481"/>
      <c r="AB2362" s="1481"/>
      <c r="AC2362" s="1481"/>
      <c r="AD2362" s="1481"/>
      <c r="AE2362" s="1481"/>
      <c r="AF2362" s="1481"/>
      <c r="AG2362" s="1481"/>
    </row>
    <row r="2363" spans="1:33">
      <c r="A2363" s="1448"/>
      <c r="B2363" s="1474" t="s">
        <v>7270</v>
      </c>
      <c r="C2363" s="1445">
        <v>1</v>
      </c>
      <c r="D2363" s="1447" t="s">
        <v>3364</v>
      </c>
      <c r="E2363" s="1445">
        <v>1</v>
      </c>
      <c r="F2363" s="1446">
        <v>0.115</v>
      </c>
      <c r="G2363" s="1446"/>
      <c r="H2363" s="1447">
        <v>0.8</v>
      </c>
      <c r="I2363" s="1448">
        <f t="shared" si="92"/>
        <v>0.09</v>
      </c>
      <c r="J2363" s="1449"/>
      <c r="K2363" s="1481"/>
      <c r="L2363" s="1481"/>
      <c r="M2363" s="1481"/>
      <c r="N2363" s="1481"/>
      <c r="O2363" s="1481"/>
      <c r="P2363" s="1481"/>
      <c r="Q2363" s="1481"/>
      <c r="R2363" s="1481"/>
      <c r="S2363" s="1481"/>
      <c r="T2363" s="1481"/>
      <c r="U2363" s="1481"/>
      <c r="V2363" s="1481"/>
      <c r="W2363" s="1481"/>
      <c r="X2363" s="1481"/>
      <c r="Y2363" s="1481"/>
      <c r="Z2363" s="1481"/>
      <c r="AA2363" s="1481"/>
      <c r="AB2363" s="1481"/>
      <c r="AC2363" s="1481"/>
      <c r="AD2363" s="1481"/>
      <c r="AE2363" s="1481"/>
      <c r="AF2363" s="1481"/>
      <c r="AG2363" s="1481"/>
    </row>
    <row r="2364" spans="1:33">
      <c r="A2364" s="1448"/>
      <c r="B2364" s="1474" t="s">
        <v>7092</v>
      </c>
      <c r="C2364" s="1445">
        <v>1</v>
      </c>
      <c r="D2364" s="1447" t="s">
        <v>3364</v>
      </c>
      <c r="E2364" s="1445">
        <v>1</v>
      </c>
      <c r="F2364" s="1446">
        <v>13.08</v>
      </c>
      <c r="G2364" s="1446"/>
      <c r="H2364" s="1447">
        <v>0.8</v>
      </c>
      <c r="I2364" s="1448">
        <f t="shared" si="92"/>
        <v>10.46</v>
      </c>
      <c r="J2364" s="1449"/>
      <c r="K2364" s="1481"/>
      <c r="L2364" s="1481"/>
      <c r="M2364" s="1481"/>
      <c r="N2364" s="1481"/>
      <c r="O2364" s="1481"/>
      <c r="P2364" s="1481"/>
      <c r="Q2364" s="1481"/>
      <c r="R2364" s="1481"/>
      <c r="S2364" s="1481"/>
      <c r="T2364" s="1481"/>
      <c r="U2364" s="1481"/>
      <c r="V2364" s="1481"/>
      <c r="W2364" s="1481"/>
      <c r="X2364" s="1481"/>
      <c r="Y2364" s="1481"/>
      <c r="Z2364" s="1481"/>
      <c r="AA2364" s="1481"/>
      <c r="AB2364" s="1481"/>
      <c r="AC2364" s="1481"/>
      <c r="AD2364" s="1481"/>
      <c r="AE2364" s="1481"/>
      <c r="AF2364" s="1481"/>
      <c r="AG2364" s="1481"/>
    </row>
    <row r="2365" spans="1:33">
      <c r="A2365" s="1448"/>
      <c r="B2365" s="1474" t="s">
        <v>7266</v>
      </c>
      <c r="C2365" s="1445">
        <v>1</v>
      </c>
      <c r="D2365" s="1447" t="s">
        <v>3364</v>
      </c>
      <c r="E2365" s="1445">
        <v>2</v>
      </c>
      <c r="F2365" s="1446">
        <v>0.115</v>
      </c>
      <c r="G2365" s="1446"/>
      <c r="H2365" s="1447">
        <v>0.8</v>
      </c>
      <c r="I2365" s="1448">
        <f t="shared" si="92"/>
        <v>0.18</v>
      </c>
      <c r="J2365" s="1449"/>
      <c r="K2365" s="1481"/>
      <c r="L2365" s="1481"/>
      <c r="M2365" s="1481"/>
      <c r="N2365" s="1481"/>
      <c r="O2365" s="1481"/>
      <c r="P2365" s="1481"/>
      <c r="Q2365" s="1481"/>
      <c r="R2365" s="1481"/>
      <c r="S2365" s="1481"/>
      <c r="T2365" s="1481"/>
      <c r="U2365" s="1481"/>
      <c r="V2365" s="1481"/>
      <c r="W2365" s="1481"/>
      <c r="X2365" s="1481"/>
      <c r="Y2365" s="1481"/>
      <c r="Z2365" s="1481"/>
      <c r="AA2365" s="1481"/>
      <c r="AB2365" s="1481"/>
      <c r="AC2365" s="1481"/>
      <c r="AD2365" s="1481"/>
      <c r="AE2365" s="1481"/>
      <c r="AF2365" s="1481"/>
      <c r="AG2365" s="1481"/>
    </row>
    <row r="2366" spans="1:33">
      <c r="A2366" s="1448"/>
      <c r="B2366" s="1471" t="s">
        <v>3616</v>
      </c>
      <c r="C2366" s="1445"/>
      <c r="D2366" s="1447"/>
      <c r="E2366" s="1445"/>
      <c r="F2366" s="1446"/>
      <c r="G2366" s="1446"/>
      <c r="H2366" s="1447"/>
      <c r="I2366" s="1448">
        <f t="shared" si="92"/>
        <v>0</v>
      </c>
      <c r="J2366" s="1449"/>
      <c r="K2366" s="1481"/>
      <c r="L2366" s="1481"/>
      <c r="M2366" s="1481"/>
      <c r="N2366" s="1481"/>
      <c r="O2366" s="1481"/>
      <c r="P2366" s="1481"/>
      <c r="Q2366" s="1481"/>
      <c r="R2366" s="1481"/>
      <c r="S2366" s="1481"/>
      <c r="T2366" s="1481"/>
      <c r="U2366" s="1481"/>
      <c r="V2366" s="1481"/>
      <c r="W2366" s="1481"/>
      <c r="X2366" s="1481"/>
      <c r="Y2366" s="1481"/>
      <c r="Z2366" s="1481"/>
      <c r="AA2366" s="1481"/>
      <c r="AB2366" s="1481"/>
      <c r="AC2366" s="1481"/>
      <c r="AD2366" s="1481"/>
      <c r="AE2366" s="1481"/>
      <c r="AF2366" s="1481"/>
      <c r="AG2366" s="1481"/>
    </row>
    <row r="2367" spans="1:33">
      <c r="A2367" s="1448"/>
      <c r="B2367" s="1474" t="s">
        <v>7276</v>
      </c>
      <c r="C2367" s="1445">
        <v>1</v>
      </c>
      <c r="D2367" s="1447" t="s">
        <v>3364</v>
      </c>
      <c r="E2367" s="1445">
        <v>1</v>
      </c>
      <c r="F2367" s="1446">
        <v>7.32</v>
      </c>
      <c r="G2367" s="1446"/>
      <c r="H2367" s="1447">
        <v>1.5</v>
      </c>
      <c r="I2367" s="1448">
        <f t="shared" si="92"/>
        <v>10.98</v>
      </c>
      <c r="J2367" s="1449"/>
      <c r="K2367" s="1481"/>
      <c r="L2367" s="1481"/>
      <c r="M2367" s="1481"/>
      <c r="N2367" s="1481"/>
      <c r="O2367" s="1481"/>
      <c r="P2367" s="1481"/>
      <c r="Q2367" s="1481"/>
      <c r="R2367" s="1481"/>
      <c r="S2367" s="1481"/>
      <c r="T2367" s="1481"/>
      <c r="U2367" s="1481"/>
      <c r="V2367" s="1481"/>
      <c r="W2367" s="1481"/>
      <c r="X2367" s="1481"/>
      <c r="Y2367" s="1481"/>
      <c r="Z2367" s="1481"/>
      <c r="AA2367" s="1481"/>
      <c r="AB2367" s="1481"/>
      <c r="AC2367" s="1481"/>
      <c r="AD2367" s="1481"/>
      <c r="AE2367" s="1481"/>
      <c r="AF2367" s="1481"/>
      <c r="AG2367" s="1481"/>
    </row>
    <row r="2368" spans="1:33">
      <c r="A2368" s="1448"/>
      <c r="B2368" s="1474" t="s">
        <v>7266</v>
      </c>
      <c r="C2368" s="1445">
        <v>1</v>
      </c>
      <c r="D2368" s="1447" t="s">
        <v>3364</v>
      </c>
      <c r="E2368" s="1445">
        <v>1</v>
      </c>
      <c r="F2368" s="1446">
        <v>0.115</v>
      </c>
      <c r="G2368" s="1446"/>
      <c r="H2368" s="1447">
        <v>1.5</v>
      </c>
      <c r="I2368" s="1448">
        <f t="shared" si="92"/>
        <v>0.17</v>
      </c>
      <c r="J2368" s="1449"/>
      <c r="K2368" s="1481"/>
      <c r="L2368" s="1481"/>
      <c r="M2368" s="1481"/>
      <c r="N2368" s="1481"/>
      <c r="O2368" s="1481"/>
      <c r="P2368" s="1481"/>
      <c r="Q2368" s="1481"/>
      <c r="R2368" s="1481"/>
      <c r="S2368" s="1481"/>
      <c r="T2368" s="1481"/>
      <c r="U2368" s="1481"/>
      <c r="V2368" s="1481"/>
      <c r="W2368" s="1481"/>
      <c r="X2368" s="1481"/>
      <c r="Y2368" s="1481"/>
      <c r="Z2368" s="1481"/>
      <c r="AA2368" s="1481"/>
      <c r="AB2368" s="1481"/>
      <c r="AC2368" s="1481"/>
      <c r="AD2368" s="1481"/>
      <c r="AE2368" s="1481"/>
      <c r="AF2368" s="1481"/>
      <c r="AG2368" s="1481"/>
    </row>
    <row r="2369" spans="1:33">
      <c r="A2369" s="1448"/>
      <c r="B2369" s="1474" t="s">
        <v>3639</v>
      </c>
      <c r="C2369" s="1445">
        <v>-1</v>
      </c>
      <c r="D2369" s="1447" t="s">
        <v>3364</v>
      </c>
      <c r="E2369" s="1445">
        <v>1</v>
      </c>
      <c r="F2369" s="1446">
        <v>0.75</v>
      </c>
      <c r="G2369" s="1446"/>
      <c r="H2369" s="1447">
        <v>1.5</v>
      </c>
      <c r="I2369" s="1448">
        <f t="shared" si="92"/>
        <v>-1.1299999999999999</v>
      </c>
      <c r="J2369" s="1449"/>
      <c r="K2369" s="1481"/>
      <c r="L2369" s="1481"/>
      <c r="M2369" s="1481"/>
      <c r="N2369" s="1481"/>
      <c r="O2369" s="1481"/>
      <c r="P2369" s="1481"/>
      <c r="Q2369" s="1481"/>
      <c r="R2369" s="1481"/>
      <c r="S2369" s="1481"/>
      <c r="T2369" s="1481"/>
      <c r="U2369" s="1481"/>
      <c r="V2369" s="1481"/>
      <c r="W2369" s="1481"/>
      <c r="X2369" s="1481"/>
      <c r="Y2369" s="1481"/>
      <c r="Z2369" s="1481"/>
      <c r="AA2369" s="1481"/>
      <c r="AB2369" s="1481"/>
      <c r="AC2369" s="1481"/>
      <c r="AD2369" s="1481"/>
      <c r="AE2369" s="1481"/>
      <c r="AF2369" s="1481"/>
      <c r="AG2369" s="1481"/>
    </row>
    <row r="2370" spans="1:33">
      <c r="A2370" s="1448"/>
      <c r="B2370" s="1474" t="s">
        <v>7277</v>
      </c>
      <c r="C2370" s="1445">
        <v>1</v>
      </c>
      <c r="D2370" s="1447" t="s">
        <v>3364</v>
      </c>
      <c r="E2370" s="1445">
        <v>2</v>
      </c>
      <c r="F2370" s="1446">
        <v>5.4</v>
      </c>
      <c r="G2370" s="1446"/>
      <c r="H2370" s="1447">
        <v>1.5</v>
      </c>
      <c r="I2370" s="1448">
        <f t="shared" si="92"/>
        <v>16.2</v>
      </c>
      <c r="J2370" s="1449"/>
      <c r="K2370" s="1481"/>
      <c r="L2370" s="1481"/>
      <c r="M2370" s="1481"/>
      <c r="N2370" s="1481"/>
      <c r="O2370" s="1481"/>
      <c r="P2370" s="1481"/>
      <c r="Q2370" s="1481"/>
      <c r="R2370" s="1481"/>
      <c r="S2370" s="1481"/>
      <c r="T2370" s="1481"/>
      <c r="U2370" s="1481"/>
      <c r="V2370" s="1481"/>
      <c r="W2370" s="1481"/>
      <c r="X2370" s="1481"/>
      <c r="Y2370" s="1481"/>
      <c r="Z2370" s="1481"/>
      <c r="AA2370" s="1481"/>
      <c r="AB2370" s="1481"/>
      <c r="AC2370" s="1481"/>
      <c r="AD2370" s="1481"/>
      <c r="AE2370" s="1481"/>
      <c r="AF2370" s="1481"/>
      <c r="AG2370" s="1481"/>
    </row>
    <row r="2371" spans="1:33">
      <c r="A2371" s="1448"/>
      <c r="B2371" s="1474" t="s">
        <v>7266</v>
      </c>
      <c r="C2371" s="1445">
        <v>1</v>
      </c>
      <c r="D2371" s="1447" t="s">
        <v>3364</v>
      </c>
      <c r="E2371" s="1445">
        <v>2</v>
      </c>
      <c r="F2371" s="1446">
        <v>0.115</v>
      </c>
      <c r="G2371" s="1446"/>
      <c r="H2371" s="1447">
        <v>1.5</v>
      </c>
      <c r="I2371" s="1448">
        <f t="shared" si="92"/>
        <v>0.35</v>
      </c>
      <c r="J2371" s="1449"/>
      <c r="K2371" s="1481"/>
      <c r="L2371" s="1481"/>
      <c r="M2371" s="1481"/>
      <c r="N2371" s="1481"/>
      <c r="O2371" s="1481"/>
      <c r="P2371" s="1481"/>
      <c r="Q2371" s="1481"/>
      <c r="R2371" s="1481"/>
      <c r="S2371" s="1481"/>
      <c r="T2371" s="1481"/>
      <c r="U2371" s="1481"/>
      <c r="V2371" s="1481"/>
      <c r="W2371" s="1481"/>
      <c r="X2371" s="1481"/>
      <c r="Y2371" s="1481"/>
      <c r="Z2371" s="1481"/>
      <c r="AA2371" s="1481"/>
      <c r="AB2371" s="1481"/>
      <c r="AC2371" s="1481"/>
      <c r="AD2371" s="1481"/>
      <c r="AE2371" s="1481"/>
      <c r="AF2371" s="1481"/>
      <c r="AG2371" s="1481"/>
    </row>
    <row r="2372" spans="1:33">
      <c r="A2372" s="1448"/>
      <c r="B2372" s="1474" t="s">
        <v>7274</v>
      </c>
      <c r="C2372" s="1445">
        <v>-1</v>
      </c>
      <c r="D2372" s="1447" t="s">
        <v>3364</v>
      </c>
      <c r="E2372" s="1445">
        <v>2</v>
      </c>
      <c r="F2372" s="1446">
        <v>0.75</v>
      </c>
      <c r="G2372" s="1446"/>
      <c r="H2372" s="1447">
        <v>1.5</v>
      </c>
      <c r="I2372" s="1448">
        <f t="shared" si="92"/>
        <v>-2.25</v>
      </c>
      <c r="J2372" s="1449"/>
      <c r="K2372" s="1481"/>
      <c r="L2372" s="1481"/>
      <c r="M2372" s="1481"/>
      <c r="N2372" s="1481"/>
      <c r="O2372" s="1481"/>
      <c r="P2372" s="1481"/>
      <c r="Q2372" s="1481"/>
      <c r="R2372" s="1481"/>
      <c r="S2372" s="1481"/>
      <c r="T2372" s="1481"/>
      <c r="U2372" s="1481"/>
      <c r="V2372" s="1481"/>
      <c r="W2372" s="1481"/>
      <c r="X2372" s="1481"/>
      <c r="Y2372" s="1481"/>
      <c r="Z2372" s="1481"/>
      <c r="AA2372" s="1481"/>
      <c r="AB2372" s="1481"/>
      <c r="AC2372" s="1481"/>
      <c r="AD2372" s="1481"/>
      <c r="AE2372" s="1481"/>
      <c r="AF2372" s="1481"/>
      <c r="AG2372" s="1481"/>
    </row>
    <row r="2373" spans="1:33">
      <c r="A2373" s="1448"/>
      <c r="B2373" s="1474" t="s">
        <v>7278</v>
      </c>
      <c r="C2373" s="1445">
        <v>1</v>
      </c>
      <c r="D2373" s="1447" t="s">
        <v>3364</v>
      </c>
      <c r="E2373" s="1445">
        <v>1</v>
      </c>
      <c r="F2373" s="1446">
        <v>5.8</v>
      </c>
      <c r="G2373" s="1446"/>
      <c r="H2373" s="1447">
        <v>2.1</v>
      </c>
      <c r="I2373" s="1448">
        <f t="shared" si="92"/>
        <v>12.18</v>
      </c>
      <c r="J2373" s="1449"/>
      <c r="K2373" s="1481"/>
      <c r="L2373" s="1481"/>
      <c r="M2373" s="1481"/>
      <c r="N2373" s="1481"/>
      <c r="O2373" s="1481"/>
      <c r="P2373" s="1481"/>
      <c r="Q2373" s="1481"/>
      <c r="R2373" s="1481"/>
      <c r="S2373" s="1481"/>
      <c r="T2373" s="1481"/>
      <c r="U2373" s="1481"/>
      <c r="V2373" s="1481"/>
      <c r="W2373" s="1481"/>
      <c r="X2373" s="1481"/>
      <c r="Y2373" s="1481"/>
      <c r="Z2373" s="1481"/>
      <c r="AA2373" s="1481"/>
      <c r="AB2373" s="1481"/>
      <c r="AC2373" s="1481"/>
      <c r="AD2373" s="1481"/>
      <c r="AE2373" s="1481"/>
      <c r="AF2373" s="1481"/>
      <c r="AG2373" s="1481"/>
    </row>
    <row r="2374" spans="1:33">
      <c r="A2374" s="1448"/>
      <c r="B2374" s="1474" t="s">
        <v>7266</v>
      </c>
      <c r="C2374" s="1445">
        <v>1</v>
      </c>
      <c r="D2374" s="1447" t="s">
        <v>3364</v>
      </c>
      <c r="E2374" s="1445">
        <v>1</v>
      </c>
      <c r="F2374" s="1446">
        <v>0.115</v>
      </c>
      <c r="G2374" s="1446"/>
      <c r="H2374" s="1447">
        <v>2.1</v>
      </c>
      <c r="I2374" s="1448">
        <f t="shared" si="92"/>
        <v>0.24</v>
      </c>
      <c r="J2374" s="1449"/>
      <c r="K2374" s="1481"/>
      <c r="L2374" s="1481"/>
      <c r="M2374" s="1481"/>
      <c r="N2374" s="1481"/>
      <c r="O2374" s="1481"/>
      <c r="P2374" s="1481"/>
      <c r="Q2374" s="1481"/>
      <c r="R2374" s="1481"/>
      <c r="S2374" s="1481"/>
      <c r="T2374" s="1481"/>
      <c r="U2374" s="1481"/>
      <c r="V2374" s="1481"/>
      <c r="W2374" s="1481"/>
      <c r="X2374" s="1481"/>
      <c r="Y2374" s="1481"/>
      <c r="Z2374" s="1481"/>
      <c r="AA2374" s="1481"/>
      <c r="AB2374" s="1481"/>
      <c r="AC2374" s="1481"/>
      <c r="AD2374" s="1481"/>
      <c r="AE2374" s="1481"/>
      <c r="AF2374" s="1481"/>
      <c r="AG2374" s="1481"/>
    </row>
    <row r="2375" spans="1:33">
      <c r="A2375" s="1448"/>
      <c r="B2375" s="1474" t="s">
        <v>7274</v>
      </c>
      <c r="C2375" s="1445">
        <v>-1</v>
      </c>
      <c r="D2375" s="1447" t="s">
        <v>3364</v>
      </c>
      <c r="E2375" s="1445">
        <v>1</v>
      </c>
      <c r="F2375" s="1446">
        <v>0.75</v>
      </c>
      <c r="G2375" s="1446"/>
      <c r="H2375" s="1447">
        <v>1.5</v>
      </c>
      <c r="I2375" s="1448">
        <f t="shared" si="92"/>
        <v>-1.1299999999999999</v>
      </c>
      <c r="J2375" s="1449"/>
      <c r="K2375" s="1481"/>
      <c r="L2375" s="1481"/>
      <c r="M2375" s="1481"/>
      <c r="N2375" s="1481"/>
      <c r="O2375" s="1481"/>
      <c r="P2375" s="1481"/>
      <c r="Q2375" s="1481"/>
      <c r="R2375" s="1481"/>
      <c r="S2375" s="1481"/>
      <c r="T2375" s="1481"/>
      <c r="U2375" s="1481"/>
      <c r="V2375" s="1481"/>
      <c r="W2375" s="1481"/>
      <c r="X2375" s="1481"/>
      <c r="Y2375" s="1481"/>
      <c r="Z2375" s="1481"/>
      <c r="AA2375" s="1481"/>
      <c r="AB2375" s="1481"/>
      <c r="AC2375" s="1481"/>
      <c r="AD2375" s="1481"/>
      <c r="AE2375" s="1481"/>
      <c r="AF2375" s="1481"/>
      <c r="AG2375" s="1481"/>
    </row>
    <row r="2376" spans="1:33">
      <c r="A2376" s="1448"/>
      <c r="B2376" s="1474" t="s">
        <v>6888</v>
      </c>
      <c r="C2376" s="1445">
        <v>1</v>
      </c>
      <c r="D2376" s="1447" t="s">
        <v>3364</v>
      </c>
      <c r="E2376" s="1445">
        <v>1</v>
      </c>
      <c r="F2376" s="1446">
        <v>17.594999999999999</v>
      </c>
      <c r="G2376" s="1446"/>
      <c r="H2376" s="1447">
        <v>1.5</v>
      </c>
      <c r="I2376" s="1448">
        <f t="shared" si="92"/>
        <v>26.39</v>
      </c>
      <c r="J2376" s="1449"/>
      <c r="K2376" s="1481"/>
      <c r="L2376" s="1481"/>
      <c r="M2376" s="1481"/>
      <c r="N2376" s="1481"/>
      <c r="O2376" s="1481"/>
      <c r="P2376" s="1481"/>
      <c r="Q2376" s="1481"/>
      <c r="R2376" s="1481"/>
      <c r="S2376" s="1481"/>
      <c r="T2376" s="1481"/>
      <c r="U2376" s="1481"/>
      <c r="V2376" s="1481"/>
      <c r="W2376" s="1481"/>
      <c r="X2376" s="1481"/>
      <c r="Y2376" s="1481"/>
      <c r="Z2376" s="1481"/>
      <c r="AA2376" s="1481"/>
      <c r="AB2376" s="1481"/>
      <c r="AC2376" s="1481"/>
      <c r="AD2376" s="1481"/>
      <c r="AE2376" s="1481"/>
      <c r="AF2376" s="1481"/>
      <c r="AG2376" s="1481"/>
    </row>
    <row r="2377" spans="1:33">
      <c r="A2377" s="1448"/>
      <c r="B2377" s="1474" t="s">
        <v>7279</v>
      </c>
      <c r="C2377" s="1445">
        <v>-1</v>
      </c>
      <c r="D2377" s="1447" t="s">
        <v>3364</v>
      </c>
      <c r="E2377" s="1445">
        <v>1</v>
      </c>
      <c r="F2377" s="1446">
        <v>0.9</v>
      </c>
      <c r="G2377" s="1446"/>
      <c r="H2377" s="1447">
        <v>1.5</v>
      </c>
      <c r="I2377" s="1448">
        <f t="shared" si="92"/>
        <v>-1.35</v>
      </c>
      <c r="J2377" s="1449"/>
      <c r="K2377" s="1481"/>
      <c r="L2377" s="1481"/>
      <c r="M2377" s="1481"/>
      <c r="N2377" s="1481"/>
      <c r="O2377" s="1481"/>
      <c r="P2377" s="1481"/>
      <c r="Q2377" s="1481"/>
      <c r="R2377" s="1481"/>
      <c r="S2377" s="1481"/>
      <c r="T2377" s="1481"/>
      <c r="U2377" s="1481"/>
      <c r="V2377" s="1481"/>
      <c r="W2377" s="1481"/>
      <c r="X2377" s="1481"/>
      <c r="Y2377" s="1481"/>
      <c r="Z2377" s="1481"/>
      <c r="AA2377" s="1481"/>
      <c r="AB2377" s="1481"/>
      <c r="AC2377" s="1481"/>
      <c r="AD2377" s="1481"/>
      <c r="AE2377" s="1481"/>
      <c r="AF2377" s="1481"/>
      <c r="AG2377" s="1481"/>
    </row>
    <row r="2378" spans="1:33">
      <c r="A2378" s="1448"/>
      <c r="B2378" s="1474" t="s">
        <v>7280</v>
      </c>
      <c r="C2378" s="1445">
        <v>-1</v>
      </c>
      <c r="D2378" s="1447" t="s">
        <v>3364</v>
      </c>
      <c r="E2378" s="1445">
        <v>2</v>
      </c>
      <c r="F2378" s="1446">
        <v>0.75</v>
      </c>
      <c r="G2378" s="1446"/>
      <c r="H2378" s="1447">
        <v>1.5</v>
      </c>
      <c r="I2378" s="1448">
        <f t="shared" si="92"/>
        <v>-2.25</v>
      </c>
      <c r="J2378" s="1449"/>
      <c r="K2378" s="1481"/>
      <c r="L2378" s="1481"/>
      <c r="M2378" s="1481"/>
      <c r="N2378" s="1481"/>
      <c r="O2378" s="1481"/>
      <c r="P2378" s="1481"/>
      <c r="Q2378" s="1481"/>
      <c r="R2378" s="1481"/>
      <c r="S2378" s="1481"/>
      <c r="T2378" s="1481"/>
      <c r="U2378" s="1481"/>
      <c r="V2378" s="1481"/>
      <c r="W2378" s="1481"/>
      <c r="X2378" s="1481"/>
      <c r="Y2378" s="1481"/>
      <c r="Z2378" s="1481"/>
      <c r="AA2378" s="1481"/>
      <c r="AB2378" s="1481"/>
      <c r="AC2378" s="1481"/>
      <c r="AD2378" s="1481"/>
      <c r="AE2378" s="1481"/>
      <c r="AF2378" s="1481"/>
      <c r="AG2378" s="1481"/>
    </row>
    <row r="2379" spans="1:33">
      <c r="A2379" s="1448"/>
      <c r="B2379" s="1474" t="s">
        <v>7281</v>
      </c>
      <c r="C2379" s="1445">
        <v>1</v>
      </c>
      <c r="D2379" s="1447" t="s">
        <v>3364</v>
      </c>
      <c r="E2379" s="1445">
        <v>1</v>
      </c>
      <c r="F2379" s="1446">
        <v>7.89</v>
      </c>
      <c r="G2379" s="1446"/>
      <c r="H2379" s="1447">
        <v>0.8</v>
      </c>
      <c r="I2379" s="1448">
        <f t="shared" si="92"/>
        <v>6.31</v>
      </c>
      <c r="J2379" s="1449"/>
      <c r="K2379" s="1481"/>
      <c r="L2379" s="1481"/>
      <c r="M2379" s="1481"/>
      <c r="N2379" s="1481"/>
      <c r="O2379" s="1481"/>
      <c r="P2379" s="1481"/>
      <c r="Q2379" s="1481"/>
      <c r="R2379" s="1481"/>
      <c r="S2379" s="1481"/>
      <c r="T2379" s="1481"/>
      <c r="U2379" s="1481"/>
      <c r="V2379" s="1481"/>
      <c r="W2379" s="1481"/>
      <c r="X2379" s="1481"/>
      <c r="Y2379" s="1481"/>
      <c r="Z2379" s="1481"/>
      <c r="AA2379" s="1481"/>
      <c r="AB2379" s="1481"/>
      <c r="AC2379" s="1481"/>
      <c r="AD2379" s="1481"/>
      <c r="AE2379" s="1481"/>
      <c r="AF2379" s="1481"/>
      <c r="AG2379" s="1481"/>
    </row>
    <row r="2380" spans="1:33">
      <c r="A2380" s="1448"/>
      <c r="B2380" s="1474" t="s">
        <v>7270</v>
      </c>
      <c r="C2380" s="1445">
        <v>1</v>
      </c>
      <c r="D2380" s="1447" t="s">
        <v>3364</v>
      </c>
      <c r="E2380" s="1445">
        <v>1</v>
      </c>
      <c r="F2380" s="1446">
        <v>0.115</v>
      </c>
      <c r="G2380" s="1446"/>
      <c r="H2380" s="1447">
        <v>0.8</v>
      </c>
      <c r="I2380" s="1448">
        <f t="shared" si="92"/>
        <v>0.09</v>
      </c>
      <c r="J2380" s="1449"/>
      <c r="K2380" s="1481"/>
      <c r="L2380" s="1481"/>
      <c r="M2380" s="1481"/>
      <c r="N2380" s="1481"/>
      <c r="O2380" s="1481"/>
      <c r="P2380" s="1481"/>
      <c r="Q2380" s="1481"/>
      <c r="R2380" s="1481"/>
      <c r="S2380" s="1481"/>
      <c r="T2380" s="1481"/>
      <c r="U2380" s="1481"/>
      <c r="V2380" s="1481"/>
      <c r="W2380" s="1481"/>
      <c r="X2380" s="1481"/>
      <c r="Y2380" s="1481"/>
      <c r="Z2380" s="1481"/>
      <c r="AA2380" s="1481"/>
      <c r="AB2380" s="1481"/>
      <c r="AC2380" s="1481"/>
      <c r="AD2380" s="1481"/>
      <c r="AE2380" s="1481"/>
      <c r="AF2380" s="1481"/>
      <c r="AG2380" s="1481"/>
    </row>
    <row r="2381" spans="1:33">
      <c r="A2381" s="1448"/>
      <c r="B2381" s="1474" t="s">
        <v>7092</v>
      </c>
      <c r="C2381" s="1445">
        <v>1</v>
      </c>
      <c r="D2381" s="1447" t="s">
        <v>3364</v>
      </c>
      <c r="E2381" s="1445">
        <v>1</v>
      </c>
      <c r="F2381" s="1446">
        <v>13.08</v>
      </c>
      <c r="G2381" s="1446"/>
      <c r="H2381" s="1447">
        <v>0.8</v>
      </c>
      <c r="I2381" s="1448">
        <f t="shared" si="92"/>
        <v>10.46</v>
      </c>
      <c r="J2381" s="1449"/>
      <c r="K2381" s="1481"/>
      <c r="L2381" s="1481"/>
      <c r="M2381" s="1481"/>
      <c r="N2381" s="1481"/>
      <c r="O2381" s="1481"/>
      <c r="P2381" s="1481"/>
      <c r="Q2381" s="1481"/>
      <c r="R2381" s="1481"/>
      <c r="S2381" s="1481"/>
      <c r="T2381" s="1481"/>
      <c r="U2381" s="1481"/>
      <c r="V2381" s="1481"/>
      <c r="W2381" s="1481"/>
      <c r="X2381" s="1481"/>
      <c r="Y2381" s="1481"/>
      <c r="Z2381" s="1481"/>
      <c r="AA2381" s="1481"/>
      <c r="AB2381" s="1481"/>
      <c r="AC2381" s="1481"/>
      <c r="AD2381" s="1481"/>
      <c r="AE2381" s="1481"/>
      <c r="AF2381" s="1481"/>
      <c r="AG2381" s="1481"/>
    </row>
    <row r="2382" spans="1:33">
      <c r="A2382" s="1448"/>
      <c r="B2382" s="1474" t="s">
        <v>7266</v>
      </c>
      <c r="C2382" s="1445">
        <v>1</v>
      </c>
      <c r="D2382" s="1447" t="s">
        <v>3364</v>
      </c>
      <c r="E2382" s="1445">
        <v>2</v>
      </c>
      <c r="F2382" s="1446">
        <v>0.115</v>
      </c>
      <c r="G2382" s="1446"/>
      <c r="H2382" s="1447">
        <v>0.8</v>
      </c>
      <c r="I2382" s="1448">
        <f t="shared" si="92"/>
        <v>0.18</v>
      </c>
      <c r="J2382" s="1449"/>
      <c r="K2382" s="1481"/>
      <c r="L2382" s="1481"/>
      <c r="M2382" s="1481"/>
      <c r="N2382" s="1481"/>
      <c r="O2382" s="1481"/>
      <c r="P2382" s="1481"/>
      <c r="Q2382" s="1481"/>
      <c r="R2382" s="1481"/>
      <c r="S2382" s="1481"/>
      <c r="T2382" s="1481"/>
      <c r="U2382" s="1481"/>
      <c r="V2382" s="1481"/>
      <c r="W2382" s="1481"/>
      <c r="X2382" s="1481"/>
      <c r="Y2382" s="1481"/>
      <c r="Z2382" s="1481"/>
      <c r="AA2382" s="1481"/>
      <c r="AB2382" s="1481"/>
      <c r="AC2382" s="1481"/>
      <c r="AD2382" s="1481"/>
      <c r="AE2382" s="1481"/>
      <c r="AF2382" s="1481"/>
      <c r="AG2382" s="1481"/>
    </row>
    <row r="2383" spans="1:33" ht="15.75" customHeight="1">
      <c r="A2383" s="1470"/>
      <c r="B2383" s="1450"/>
      <c r="C2383" s="1484"/>
      <c r="D2383" s="1484"/>
      <c r="E2383" s="1484"/>
      <c r="F2383" s="1446"/>
      <c r="G2383" s="1458" t="s">
        <v>104</v>
      </c>
      <c r="H2383" s="1447"/>
      <c r="I2383" s="1459">
        <f>SUM(I2295:I2382)</f>
        <v>516.75</v>
      </c>
      <c r="J2383" s="1475"/>
      <c r="K2383" s="1439"/>
      <c r="L2383" s="1439"/>
      <c r="M2383" s="1439"/>
      <c r="N2383" s="1439"/>
      <c r="O2383" s="1439"/>
      <c r="P2383" s="1439"/>
      <c r="Q2383" s="1439"/>
      <c r="R2383" s="1439"/>
      <c r="S2383" s="1439"/>
      <c r="T2383" s="1439"/>
      <c r="U2383" s="1439"/>
      <c r="V2383" s="1439"/>
      <c r="W2383" s="1439"/>
      <c r="X2383" s="1439"/>
      <c r="Y2383" s="1439"/>
      <c r="Z2383" s="1439"/>
      <c r="AA2383" s="1439"/>
      <c r="AB2383" s="1439"/>
      <c r="AC2383" s="1439"/>
      <c r="AD2383" s="1439"/>
      <c r="AE2383" s="1439"/>
      <c r="AF2383" s="1439"/>
      <c r="AG2383" s="1439"/>
    </row>
    <row r="2384" spans="1:33" ht="15.75" customHeight="1">
      <c r="A2384" s="1470"/>
      <c r="B2384" s="1450"/>
      <c r="C2384" s="1484"/>
      <c r="D2384" s="1484"/>
      <c r="E2384" s="1484"/>
      <c r="F2384" s="1446"/>
      <c r="G2384" s="1446"/>
      <c r="H2384" s="1460" t="s">
        <v>2981</v>
      </c>
      <c r="I2384" s="1479">
        <f>CEILING(I2383,0.1)</f>
        <v>516.79999999999995</v>
      </c>
      <c r="J2384" s="1475" t="s">
        <v>468</v>
      </c>
      <c r="K2384" s="1439"/>
      <c r="L2384" s="1439"/>
      <c r="M2384" s="1439"/>
      <c r="N2384" s="1439"/>
      <c r="O2384" s="1439"/>
      <c r="P2384" s="1439"/>
      <c r="Q2384" s="1439"/>
      <c r="R2384" s="1439"/>
      <c r="S2384" s="1439"/>
      <c r="T2384" s="1439"/>
      <c r="U2384" s="1439"/>
      <c r="V2384" s="1439"/>
      <c r="W2384" s="1439"/>
      <c r="X2384" s="1439"/>
      <c r="Y2384" s="1439"/>
      <c r="Z2384" s="1439"/>
      <c r="AA2384" s="1439"/>
      <c r="AB2384" s="1439"/>
      <c r="AC2384" s="1439"/>
      <c r="AD2384" s="1439"/>
      <c r="AE2384" s="1439"/>
      <c r="AF2384" s="1439"/>
      <c r="AG2384" s="1439"/>
    </row>
    <row r="2385" spans="1:33" ht="220.5">
      <c r="A2385" s="1451">
        <v>29.9</v>
      </c>
      <c r="B2385" s="1450" t="s">
        <v>7282</v>
      </c>
      <c r="C2385" s="1484"/>
      <c r="D2385" s="1484"/>
      <c r="E2385" s="1484"/>
      <c r="F2385" s="1446"/>
      <c r="G2385" s="1446"/>
      <c r="H2385" s="1447"/>
      <c r="I2385" s="1448"/>
      <c r="J2385" s="1475"/>
      <c r="K2385" s="1439"/>
      <c r="L2385" s="1439"/>
      <c r="M2385" s="1439"/>
      <c r="N2385" s="1439"/>
      <c r="O2385" s="1439"/>
      <c r="P2385" s="1439"/>
      <c r="Q2385" s="1439"/>
      <c r="R2385" s="1439"/>
      <c r="S2385" s="1439"/>
      <c r="T2385" s="1439"/>
      <c r="U2385" s="1439"/>
      <c r="V2385" s="1439"/>
      <c r="W2385" s="1439"/>
      <c r="X2385" s="1439"/>
      <c r="Y2385" s="1439"/>
      <c r="Z2385" s="1439"/>
      <c r="AA2385" s="1439"/>
      <c r="AB2385" s="1439"/>
      <c r="AC2385" s="1439"/>
      <c r="AD2385" s="1439"/>
      <c r="AE2385" s="1439"/>
      <c r="AF2385" s="1439"/>
      <c r="AG2385" s="1439"/>
    </row>
    <row r="2386" spans="1:33" ht="15.75" customHeight="1">
      <c r="A2386" s="1470"/>
      <c r="B2386" s="1471" t="s">
        <v>7283</v>
      </c>
      <c r="C2386" s="1484"/>
      <c r="D2386" s="1484"/>
      <c r="E2386" s="1484"/>
      <c r="F2386" s="1446"/>
      <c r="G2386" s="1446"/>
      <c r="H2386" s="1447"/>
      <c r="I2386" s="1448"/>
      <c r="J2386" s="1475"/>
      <c r="K2386" s="1439"/>
      <c r="L2386" s="1439"/>
      <c r="M2386" s="1439"/>
      <c r="N2386" s="1439"/>
      <c r="O2386" s="1439"/>
      <c r="P2386" s="1439"/>
      <c r="Q2386" s="1439"/>
      <c r="R2386" s="1439"/>
      <c r="S2386" s="1439"/>
      <c r="T2386" s="1439"/>
      <c r="U2386" s="1439"/>
      <c r="V2386" s="1439"/>
      <c r="W2386" s="1439"/>
      <c r="X2386" s="1439"/>
      <c r="Y2386" s="1439"/>
      <c r="Z2386" s="1439"/>
      <c r="AA2386" s="1439"/>
      <c r="AB2386" s="1439"/>
      <c r="AC2386" s="1439"/>
      <c r="AD2386" s="1439"/>
      <c r="AE2386" s="1439"/>
      <c r="AF2386" s="1439"/>
      <c r="AG2386" s="1439"/>
    </row>
    <row r="2387" spans="1:33" ht="15.75" customHeight="1">
      <c r="A2387" s="1470"/>
      <c r="B2387" s="1474" t="s">
        <v>7116</v>
      </c>
      <c r="C2387" s="1484">
        <v>2</v>
      </c>
      <c r="D2387" s="1484" t="s">
        <v>3364</v>
      </c>
      <c r="E2387" s="1484">
        <v>1</v>
      </c>
      <c r="F2387" s="1446">
        <v>2.665</v>
      </c>
      <c r="G2387" s="1446">
        <v>1.35</v>
      </c>
      <c r="H2387" s="1447"/>
      <c r="I2387" s="1448">
        <f t="shared" ref="I2387:I2426" si="93">PRODUCT(C2387:H2387)</f>
        <v>7.2</v>
      </c>
      <c r="J2387" s="1475"/>
      <c r="K2387" s="1439"/>
      <c r="L2387" s="1439"/>
      <c r="M2387" s="1439"/>
      <c r="N2387" s="1439"/>
      <c r="O2387" s="1439"/>
      <c r="P2387" s="1439"/>
      <c r="Q2387" s="1439"/>
      <c r="R2387" s="1439"/>
      <c r="S2387" s="1439"/>
      <c r="T2387" s="1439"/>
      <c r="U2387" s="1439"/>
      <c r="V2387" s="1439"/>
      <c r="W2387" s="1439"/>
      <c r="X2387" s="1439"/>
      <c r="Y2387" s="1439"/>
      <c r="Z2387" s="1439"/>
      <c r="AA2387" s="1439"/>
      <c r="AB2387" s="1439"/>
      <c r="AC2387" s="1439"/>
      <c r="AD2387" s="1439"/>
      <c r="AE2387" s="1439"/>
      <c r="AF2387" s="1439"/>
      <c r="AG2387" s="1439"/>
    </row>
    <row r="2388" spans="1:33" ht="15.75" customHeight="1">
      <c r="A2388" s="1470"/>
      <c r="B2388" s="1474" t="s">
        <v>7284</v>
      </c>
      <c r="C2388" s="1484">
        <v>1</v>
      </c>
      <c r="D2388" s="1484"/>
      <c r="E2388" s="1484">
        <v>1</v>
      </c>
      <c r="F2388" s="1446">
        <v>0.75</v>
      </c>
      <c r="G2388" s="1446">
        <v>0.115</v>
      </c>
      <c r="H2388" s="1447"/>
      <c r="I2388" s="1448">
        <f t="shared" si="93"/>
        <v>0.09</v>
      </c>
      <c r="J2388" s="1475"/>
      <c r="K2388" s="1439"/>
      <c r="L2388" s="1439"/>
      <c r="M2388" s="1439"/>
      <c r="N2388" s="1439"/>
      <c r="O2388" s="1439"/>
      <c r="P2388" s="1439"/>
      <c r="Q2388" s="1439"/>
      <c r="R2388" s="1439"/>
      <c r="S2388" s="1439"/>
      <c r="T2388" s="1439"/>
      <c r="U2388" s="1439"/>
      <c r="V2388" s="1439"/>
      <c r="W2388" s="1439"/>
      <c r="X2388" s="1439"/>
      <c r="Y2388" s="1439"/>
      <c r="Z2388" s="1439"/>
      <c r="AA2388" s="1439"/>
      <c r="AB2388" s="1439"/>
      <c r="AC2388" s="1439"/>
      <c r="AD2388" s="1439"/>
      <c r="AE2388" s="1439"/>
      <c r="AF2388" s="1439"/>
      <c r="AG2388" s="1439"/>
    </row>
    <row r="2389" spans="1:33" ht="15.75" customHeight="1">
      <c r="A2389" s="1470"/>
      <c r="B2389" s="1474" t="s">
        <v>7117</v>
      </c>
      <c r="C2389" s="1484">
        <v>1</v>
      </c>
      <c r="D2389" s="1484" t="s">
        <v>3364</v>
      </c>
      <c r="E2389" s="1484">
        <v>1</v>
      </c>
      <c r="F2389" s="1446">
        <v>1.2</v>
      </c>
      <c r="G2389" s="1446">
        <v>1.4350000000000001</v>
      </c>
      <c r="H2389" s="1447"/>
      <c r="I2389" s="1448">
        <f t="shared" si="93"/>
        <v>1.72</v>
      </c>
      <c r="J2389" s="1475"/>
      <c r="K2389" s="1439"/>
      <c r="L2389" s="1439"/>
      <c r="M2389" s="1439"/>
      <c r="N2389" s="1439"/>
      <c r="O2389" s="1439"/>
      <c r="P2389" s="1439"/>
      <c r="Q2389" s="1439"/>
      <c r="R2389" s="1439"/>
      <c r="S2389" s="1439"/>
      <c r="T2389" s="1439"/>
      <c r="U2389" s="1439"/>
      <c r="V2389" s="1439"/>
      <c r="W2389" s="1439"/>
      <c r="X2389" s="1439"/>
      <c r="Y2389" s="1439"/>
      <c r="Z2389" s="1439"/>
      <c r="AA2389" s="1439"/>
      <c r="AB2389" s="1439"/>
      <c r="AC2389" s="1439"/>
      <c r="AD2389" s="1439"/>
      <c r="AE2389" s="1439"/>
      <c r="AF2389" s="1439"/>
      <c r="AG2389" s="1439"/>
    </row>
    <row r="2390" spans="1:33" ht="15.75" customHeight="1">
      <c r="A2390" s="1470"/>
      <c r="B2390" s="1474" t="s">
        <v>7284</v>
      </c>
      <c r="C2390" s="1484">
        <v>1</v>
      </c>
      <c r="D2390" s="1484" t="s">
        <v>3364</v>
      </c>
      <c r="E2390" s="1484">
        <v>1</v>
      </c>
      <c r="F2390" s="1446">
        <v>0.75</v>
      </c>
      <c r="G2390" s="1446">
        <v>0.115</v>
      </c>
      <c r="H2390" s="1447"/>
      <c r="I2390" s="1448">
        <f t="shared" si="93"/>
        <v>0.09</v>
      </c>
      <c r="J2390" s="1475"/>
      <c r="K2390" s="1439"/>
      <c r="L2390" s="1439"/>
      <c r="M2390" s="1439"/>
      <c r="N2390" s="1439"/>
      <c r="O2390" s="1439"/>
      <c r="P2390" s="1439"/>
      <c r="Q2390" s="1439"/>
      <c r="R2390" s="1439"/>
      <c r="S2390" s="1439"/>
      <c r="T2390" s="1439"/>
      <c r="U2390" s="1439"/>
      <c r="V2390" s="1439"/>
      <c r="W2390" s="1439"/>
      <c r="X2390" s="1439"/>
      <c r="Y2390" s="1439"/>
      <c r="Z2390" s="1439"/>
      <c r="AA2390" s="1439"/>
      <c r="AB2390" s="1439"/>
      <c r="AC2390" s="1439"/>
      <c r="AD2390" s="1439"/>
      <c r="AE2390" s="1439"/>
      <c r="AF2390" s="1439"/>
      <c r="AG2390" s="1439"/>
    </row>
    <row r="2391" spans="1:33" ht="15.75" customHeight="1">
      <c r="A2391" s="1470"/>
      <c r="B2391" s="1474" t="s">
        <v>7117</v>
      </c>
      <c r="C2391" s="1484">
        <v>1</v>
      </c>
      <c r="D2391" s="1484" t="s">
        <v>3364</v>
      </c>
      <c r="E2391" s="1484">
        <v>1</v>
      </c>
      <c r="F2391" s="1446">
        <v>1.2</v>
      </c>
      <c r="G2391" s="1446">
        <v>1.2</v>
      </c>
      <c r="H2391" s="1447"/>
      <c r="I2391" s="1448">
        <f t="shared" si="93"/>
        <v>1.44</v>
      </c>
      <c r="J2391" s="1475"/>
      <c r="K2391" s="1439"/>
      <c r="L2391" s="1439"/>
      <c r="M2391" s="1439"/>
      <c r="N2391" s="1439"/>
      <c r="O2391" s="1439"/>
      <c r="P2391" s="1439"/>
      <c r="Q2391" s="1439"/>
      <c r="R2391" s="1439"/>
      <c r="S2391" s="1439"/>
      <c r="T2391" s="1439"/>
      <c r="U2391" s="1439"/>
      <c r="V2391" s="1439"/>
      <c r="W2391" s="1439"/>
      <c r="X2391" s="1439"/>
      <c r="Y2391" s="1439"/>
      <c r="Z2391" s="1439"/>
      <c r="AA2391" s="1439"/>
      <c r="AB2391" s="1439"/>
      <c r="AC2391" s="1439"/>
      <c r="AD2391" s="1439"/>
      <c r="AE2391" s="1439"/>
      <c r="AF2391" s="1439"/>
      <c r="AG2391" s="1439"/>
    </row>
    <row r="2392" spans="1:33" ht="15.75" customHeight="1">
      <c r="A2392" s="1470"/>
      <c r="B2392" s="1474" t="s">
        <v>7285</v>
      </c>
      <c r="C2392" s="1484">
        <v>1</v>
      </c>
      <c r="D2392" s="1484" t="s">
        <v>3364</v>
      </c>
      <c r="E2392" s="1484">
        <v>1</v>
      </c>
      <c r="F2392" s="1446">
        <v>0.75</v>
      </c>
      <c r="G2392" s="1446">
        <v>0.115</v>
      </c>
      <c r="H2392" s="1447"/>
      <c r="I2392" s="1448">
        <f t="shared" si="93"/>
        <v>0.09</v>
      </c>
      <c r="J2392" s="1475"/>
      <c r="K2392" s="1439"/>
      <c r="L2392" s="1439"/>
      <c r="M2392" s="1439"/>
      <c r="N2392" s="1439"/>
      <c r="O2392" s="1439"/>
      <c r="P2392" s="1439"/>
      <c r="Q2392" s="1439"/>
      <c r="R2392" s="1439"/>
      <c r="S2392" s="1439"/>
      <c r="T2392" s="1439"/>
      <c r="U2392" s="1439"/>
      <c r="V2392" s="1439"/>
      <c r="W2392" s="1439"/>
      <c r="X2392" s="1439"/>
      <c r="Y2392" s="1439"/>
      <c r="Z2392" s="1439"/>
      <c r="AA2392" s="1439"/>
      <c r="AB2392" s="1439"/>
      <c r="AC2392" s="1439"/>
      <c r="AD2392" s="1439"/>
      <c r="AE2392" s="1439"/>
      <c r="AF2392" s="1439"/>
      <c r="AG2392" s="1439"/>
    </row>
    <row r="2393" spans="1:33" ht="15.75" customHeight="1">
      <c r="A2393" s="1470"/>
      <c r="B2393" s="1474" t="s">
        <v>7118</v>
      </c>
      <c r="C2393" s="1484">
        <v>1</v>
      </c>
      <c r="D2393" s="1484" t="s">
        <v>3364</v>
      </c>
      <c r="E2393" s="1484">
        <v>1</v>
      </c>
      <c r="F2393" s="1446">
        <v>1.35</v>
      </c>
      <c r="G2393" s="1446">
        <v>2.75</v>
      </c>
      <c r="H2393" s="1447"/>
      <c r="I2393" s="1448">
        <f t="shared" si="93"/>
        <v>3.71</v>
      </c>
      <c r="J2393" s="1475"/>
      <c r="K2393" s="1439"/>
      <c r="L2393" s="1439"/>
      <c r="M2393" s="1439"/>
      <c r="N2393" s="1439"/>
      <c r="O2393" s="1439"/>
      <c r="P2393" s="1439"/>
      <c r="Q2393" s="1439"/>
      <c r="R2393" s="1439"/>
      <c r="S2393" s="1439"/>
      <c r="T2393" s="1439"/>
      <c r="U2393" s="1439"/>
      <c r="V2393" s="1439"/>
      <c r="W2393" s="1439"/>
      <c r="X2393" s="1439"/>
      <c r="Y2393" s="1439"/>
      <c r="Z2393" s="1439"/>
      <c r="AA2393" s="1439"/>
      <c r="AB2393" s="1439"/>
      <c r="AC2393" s="1439"/>
      <c r="AD2393" s="1439"/>
      <c r="AE2393" s="1439"/>
      <c r="AF2393" s="1439"/>
      <c r="AG2393" s="1439"/>
    </row>
    <row r="2394" spans="1:33" ht="15.75" customHeight="1">
      <c r="A2394" s="1470"/>
      <c r="B2394" s="1471" t="s">
        <v>6729</v>
      </c>
      <c r="C2394" s="1484"/>
      <c r="D2394" s="1484"/>
      <c r="E2394" s="1484"/>
      <c r="F2394" s="1446"/>
      <c r="G2394" s="1446"/>
      <c r="H2394" s="1447"/>
      <c r="I2394" s="1448">
        <f t="shared" si="93"/>
        <v>0</v>
      </c>
      <c r="J2394" s="1475"/>
      <c r="K2394" s="1439"/>
      <c r="L2394" s="1439"/>
      <c r="M2394" s="1439"/>
      <c r="N2394" s="1439"/>
      <c r="O2394" s="1439"/>
      <c r="P2394" s="1439"/>
      <c r="Q2394" s="1439"/>
      <c r="R2394" s="1439"/>
      <c r="S2394" s="1439"/>
      <c r="T2394" s="1439"/>
      <c r="U2394" s="1439"/>
      <c r="V2394" s="1439"/>
      <c r="W2394" s="1439"/>
      <c r="X2394" s="1439"/>
      <c r="Y2394" s="1439"/>
      <c r="Z2394" s="1439"/>
      <c r="AA2394" s="1439"/>
      <c r="AB2394" s="1439"/>
      <c r="AC2394" s="1439"/>
      <c r="AD2394" s="1439"/>
      <c r="AE2394" s="1439"/>
      <c r="AF2394" s="1439"/>
      <c r="AG2394" s="1439"/>
    </row>
    <row r="2395" spans="1:33" ht="15.75" customHeight="1">
      <c r="A2395" s="1470"/>
      <c r="B2395" s="1474" t="s">
        <v>7119</v>
      </c>
      <c r="C2395" s="1484">
        <v>1</v>
      </c>
      <c r="D2395" s="1484" t="s">
        <v>3364</v>
      </c>
      <c r="E2395" s="1484">
        <v>1</v>
      </c>
      <c r="F2395" s="1446">
        <v>1.89</v>
      </c>
      <c r="G2395" s="1446">
        <v>1.76</v>
      </c>
      <c r="H2395" s="1447"/>
      <c r="I2395" s="1448">
        <f t="shared" si="93"/>
        <v>3.33</v>
      </c>
      <c r="J2395" s="1475"/>
      <c r="K2395" s="1439"/>
      <c r="L2395" s="1439"/>
      <c r="M2395" s="1439"/>
      <c r="N2395" s="1439"/>
      <c r="O2395" s="1439"/>
      <c r="P2395" s="1439"/>
      <c r="Q2395" s="1439"/>
      <c r="R2395" s="1439"/>
      <c r="S2395" s="1439"/>
      <c r="T2395" s="1439"/>
      <c r="U2395" s="1439"/>
      <c r="V2395" s="1439"/>
      <c r="W2395" s="1439"/>
      <c r="X2395" s="1439"/>
      <c r="Y2395" s="1439"/>
      <c r="Z2395" s="1439"/>
      <c r="AA2395" s="1439"/>
      <c r="AB2395" s="1439"/>
      <c r="AC2395" s="1439"/>
      <c r="AD2395" s="1439"/>
      <c r="AE2395" s="1439"/>
      <c r="AF2395" s="1439"/>
      <c r="AG2395" s="1439"/>
    </row>
    <row r="2396" spans="1:33" ht="15.75" customHeight="1">
      <c r="A2396" s="1470"/>
      <c r="B2396" s="1474" t="s">
        <v>7284</v>
      </c>
      <c r="C2396" s="1484">
        <v>1</v>
      </c>
      <c r="D2396" s="1484" t="s">
        <v>3364</v>
      </c>
      <c r="E2396" s="1484">
        <v>1</v>
      </c>
      <c r="F2396" s="1446">
        <v>0.75</v>
      </c>
      <c r="G2396" s="1446">
        <v>0.115</v>
      </c>
      <c r="H2396" s="1447"/>
      <c r="I2396" s="1448">
        <f t="shared" si="93"/>
        <v>0.09</v>
      </c>
      <c r="J2396" s="1475"/>
      <c r="K2396" s="1439"/>
      <c r="L2396" s="1439"/>
      <c r="M2396" s="1439"/>
      <c r="N2396" s="1439"/>
      <c r="O2396" s="1439"/>
      <c r="P2396" s="1439"/>
      <c r="Q2396" s="1439"/>
      <c r="R2396" s="1439"/>
      <c r="S2396" s="1439"/>
      <c r="T2396" s="1439"/>
      <c r="U2396" s="1439"/>
      <c r="V2396" s="1439"/>
      <c r="W2396" s="1439"/>
      <c r="X2396" s="1439"/>
      <c r="Y2396" s="1439"/>
      <c r="Z2396" s="1439"/>
      <c r="AA2396" s="1439"/>
      <c r="AB2396" s="1439"/>
      <c r="AC2396" s="1439"/>
      <c r="AD2396" s="1439"/>
      <c r="AE2396" s="1439"/>
      <c r="AF2396" s="1439"/>
      <c r="AG2396" s="1439"/>
    </row>
    <row r="2397" spans="1:33" ht="15.75" customHeight="1">
      <c r="A2397" s="1470"/>
      <c r="B2397" s="1474" t="s">
        <v>7120</v>
      </c>
      <c r="C2397" s="1484">
        <v>1</v>
      </c>
      <c r="D2397" s="1484" t="s">
        <v>3364</v>
      </c>
      <c r="E2397" s="1484">
        <v>1</v>
      </c>
      <c r="F2397" s="1446">
        <v>1.89</v>
      </c>
      <c r="G2397" s="1446">
        <v>1.76</v>
      </c>
      <c r="H2397" s="1447"/>
      <c r="I2397" s="1448">
        <f t="shared" si="93"/>
        <v>3.33</v>
      </c>
      <c r="J2397" s="1475"/>
      <c r="K2397" s="1439"/>
      <c r="L2397" s="1439"/>
      <c r="M2397" s="1439"/>
      <c r="N2397" s="1439"/>
      <c r="O2397" s="1439"/>
      <c r="P2397" s="1439"/>
      <c r="Q2397" s="1439"/>
      <c r="R2397" s="1439"/>
      <c r="S2397" s="1439"/>
      <c r="T2397" s="1439"/>
      <c r="U2397" s="1439"/>
      <c r="V2397" s="1439"/>
      <c r="W2397" s="1439"/>
      <c r="X2397" s="1439"/>
      <c r="Y2397" s="1439"/>
      <c r="Z2397" s="1439"/>
      <c r="AA2397" s="1439"/>
      <c r="AB2397" s="1439"/>
      <c r="AC2397" s="1439"/>
      <c r="AD2397" s="1439"/>
      <c r="AE2397" s="1439"/>
      <c r="AF2397" s="1439"/>
      <c r="AG2397" s="1439"/>
    </row>
    <row r="2398" spans="1:33" ht="15.75" customHeight="1">
      <c r="A2398" s="1470"/>
      <c r="B2398" s="1474" t="s">
        <v>7284</v>
      </c>
      <c r="C2398" s="1484">
        <v>1</v>
      </c>
      <c r="D2398" s="1484" t="s">
        <v>3364</v>
      </c>
      <c r="E2398" s="1484">
        <v>1</v>
      </c>
      <c r="F2398" s="1446">
        <v>0.75</v>
      </c>
      <c r="G2398" s="1446">
        <v>0.115</v>
      </c>
      <c r="H2398" s="1447"/>
      <c r="I2398" s="1448">
        <f t="shared" si="93"/>
        <v>0.09</v>
      </c>
      <c r="J2398" s="1475"/>
      <c r="K2398" s="1439"/>
      <c r="L2398" s="1439"/>
      <c r="M2398" s="1439"/>
      <c r="N2398" s="1439"/>
      <c r="O2398" s="1439"/>
      <c r="P2398" s="1439"/>
      <c r="Q2398" s="1439"/>
      <c r="R2398" s="1439"/>
      <c r="S2398" s="1439"/>
      <c r="T2398" s="1439"/>
      <c r="U2398" s="1439"/>
      <c r="V2398" s="1439"/>
      <c r="W2398" s="1439"/>
      <c r="X2398" s="1439"/>
      <c r="Y2398" s="1439"/>
      <c r="Z2398" s="1439"/>
      <c r="AA2398" s="1439"/>
      <c r="AB2398" s="1439"/>
      <c r="AC2398" s="1439"/>
      <c r="AD2398" s="1439"/>
      <c r="AE2398" s="1439"/>
      <c r="AF2398" s="1439"/>
      <c r="AG2398" s="1439"/>
    </row>
    <row r="2399" spans="1:33" ht="15.75" customHeight="1">
      <c r="A2399" s="1470"/>
      <c r="B2399" s="1471" t="s">
        <v>7121</v>
      </c>
      <c r="C2399" s="1484"/>
      <c r="D2399" s="1484"/>
      <c r="E2399" s="1484"/>
      <c r="F2399" s="1446"/>
      <c r="G2399" s="1446"/>
      <c r="H2399" s="1447"/>
      <c r="I2399" s="1448">
        <f t="shared" si="93"/>
        <v>0</v>
      </c>
      <c r="J2399" s="1475"/>
      <c r="K2399" s="1439"/>
      <c r="L2399" s="1439"/>
      <c r="M2399" s="1439"/>
      <c r="N2399" s="1439"/>
      <c r="O2399" s="1439"/>
      <c r="P2399" s="1439"/>
      <c r="Q2399" s="1439"/>
      <c r="R2399" s="1439"/>
      <c r="S2399" s="1439"/>
      <c r="T2399" s="1439"/>
      <c r="U2399" s="1439"/>
      <c r="V2399" s="1439"/>
      <c r="W2399" s="1439"/>
      <c r="X2399" s="1439"/>
      <c r="Y2399" s="1439"/>
      <c r="Z2399" s="1439"/>
      <c r="AA2399" s="1439"/>
      <c r="AB2399" s="1439"/>
      <c r="AC2399" s="1439"/>
      <c r="AD2399" s="1439"/>
      <c r="AE2399" s="1439"/>
      <c r="AF2399" s="1439"/>
      <c r="AG2399" s="1439"/>
    </row>
    <row r="2400" spans="1:33" ht="15.75" customHeight="1">
      <c r="A2400" s="1470"/>
      <c r="B2400" s="1474" t="s">
        <v>7122</v>
      </c>
      <c r="C2400" s="1484">
        <v>2</v>
      </c>
      <c r="D2400" s="1484" t="s">
        <v>3364</v>
      </c>
      <c r="E2400" s="1484">
        <v>5</v>
      </c>
      <c r="F2400" s="1446">
        <v>1.89</v>
      </c>
      <c r="G2400" s="1446">
        <v>1.76</v>
      </c>
      <c r="H2400" s="1447"/>
      <c r="I2400" s="1448">
        <f t="shared" si="93"/>
        <v>33.26</v>
      </c>
      <c r="J2400" s="1475"/>
      <c r="K2400" s="1439"/>
      <c r="L2400" s="1439"/>
      <c r="M2400" s="1439"/>
      <c r="N2400" s="1439"/>
      <c r="O2400" s="1439"/>
      <c r="P2400" s="1439"/>
      <c r="Q2400" s="1439"/>
      <c r="R2400" s="1439"/>
      <c r="S2400" s="1439"/>
      <c r="T2400" s="1439"/>
      <c r="U2400" s="1439"/>
      <c r="V2400" s="1439"/>
      <c r="W2400" s="1439"/>
      <c r="X2400" s="1439"/>
      <c r="Y2400" s="1439"/>
      <c r="Z2400" s="1439"/>
      <c r="AA2400" s="1439"/>
      <c r="AB2400" s="1439"/>
      <c r="AC2400" s="1439"/>
      <c r="AD2400" s="1439"/>
      <c r="AE2400" s="1439"/>
      <c r="AF2400" s="1439"/>
      <c r="AG2400" s="1439"/>
    </row>
    <row r="2401" spans="1:33" ht="15.75" customHeight="1">
      <c r="A2401" s="1470"/>
      <c r="B2401" s="1474" t="s">
        <v>7284</v>
      </c>
      <c r="C2401" s="1484">
        <v>1</v>
      </c>
      <c r="D2401" s="1484" t="s">
        <v>3364</v>
      </c>
      <c r="E2401" s="1484">
        <v>5</v>
      </c>
      <c r="F2401" s="1446">
        <v>0.75</v>
      </c>
      <c r="G2401" s="1446">
        <v>0.115</v>
      </c>
      <c r="H2401" s="1447"/>
      <c r="I2401" s="1448">
        <f t="shared" si="93"/>
        <v>0.43</v>
      </c>
      <c r="J2401" s="1475"/>
      <c r="K2401" s="1439"/>
      <c r="L2401" s="1439"/>
      <c r="M2401" s="1439"/>
      <c r="N2401" s="1439"/>
      <c r="O2401" s="1439"/>
      <c r="P2401" s="1439"/>
      <c r="Q2401" s="1439"/>
      <c r="R2401" s="1439"/>
      <c r="S2401" s="1439"/>
      <c r="T2401" s="1439"/>
      <c r="U2401" s="1439"/>
      <c r="V2401" s="1439"/>
      <c r="W2401" s="1439"/>
      <c r="X2401" s="1439"/>
      <c r="Y2401" s="1439"/>
      <c r="Z2401" s="1439"/>
      <c r="AA2401" s="1439"/>
      <c r="AB2401" s="1439"/>
      <c r="AC2401" s="1439"/>
      <c r="AD2401" s="1439"/>
      <c r="AE2401" s="1439"/>
      <c r="AF2401" s="1439"/>
      <c r="AG2401" s="1439"/>
    </row>
    <row r="2402" spans="1:33" ht="15.75" customHeight="1">
      <c r="A2402" s="1470"/>
      <c r="B2402" s="1474" t="s">
        <v>7123</v>
      </c>
      <c r="C2402" s="1484">
        <v>2</v>
      </c>
      <c r="D2402" s="1484" t="s">
        <v>3364</v>
      </c>
      <c r="E2402" s="1484">
        <v>1</v>
      </c>
      <c r="F2402" s="1446">
        <v>3.3450000000000002</v>
      </c>
      <c r="G2402" s="1446">
        <v>2.72</v>
      </c>
      <c r="H2402" s="1447"/>
      <c r="I2402" s="1448">
        <f t="shared" si="93"/>
        <v>18.2</v>
      </c>
      <c r="J2402" s="1475"/>
      <c r="K2402" s="1439"/>
      <c r="L2402" s="1439"/>
      <c r="M2402" s="1439"/>
      <c r="N2402" s="1439"/>
      <c r="O2402" s="1439"/>
      <c r="P2402" s="1439"/>
      <c r="Q2402" s="1439"/>
      <c r="R2402" s="1439"/>
      <c r="S2402" s="1439"/>
      <c r="T2402" s="1439"/>
      <c r="U2402" s="1439"/>
      <c r="V2402" s="1439"/>
      <c r="W2402" s="1439"/>
      <c r="X2402" s="1439"/>
      <c r="Y2402" s="1439"/>
      <c r="Z2402" s="1439"/>
      <c r="AA2402" s="1439"/>
      <c r="AB2402" s="1439"/>
      <c r="AC2402" s="1439"/>
      <c r="AD2402" s="1439"/>
      <c r="AE2402" s="1439"/>
      <c r="AF2402" s="1439"/>
      <c r="AG2402" s="1439"/>
    </row>
    <row r="2403" spans="1:33" ht="15.75" customHeight="1">
      <c r="A2403" s="1470"/>
      <c r="B2403" s="1474" t="s">
        <v>7284</v>
      </c>
      <c r="C2403" s="1484">
        <v>1</v>
      </c>
      <c r="D2403" s="1484" t="s">
        <v>3364</v>
      </c>
      <c r="E2403" s="1484">
        <v>1</v>
      </c>
      <c r="F2403" s="1446">
        <v>0.1</v>
      </c>
      <c r="G2403" s="1446">
        <v>0.115</v>
      </c>
      <c r="H2403" s="1447"/>
      <c r="I2403" s="1448">
        <f t="shared" si="93"/>
        <v>0.01</v>
      </c>
      <c r="J2403" s="1475"/>
      <c r="K2403" s="1439"/>
      <c r="L2403" s="1439"/>
      <c r="M2403" s="1439"/>
      <c r="N2403" s="1439"/>
      <c r="O2403" s="1439"/>
      <c r="P2403" s="1439"/>
      <c r="Q2403" s="1439"/>
      <c r="R2403" s="1439"/>
      <c r="S2403" s="1439"/>
      <c r="T2403" s="1439"/>
      <c r="U2403" s="1439"/>
      <c r="V2403" s="1439"/>
      <c r="W2403" s="1439"/>
      <c r="X2403" s="1439"/>
      <c r="Y2403" s="1439"/>
      <c r="Z2403" s="1439"/>
      <c r="AA2403" s="1439"/>
      <c r="AB2403" s="1439"/>
      <c r="AC2403" s="1439"/>
      <c r="AD2403" s="1439"/>
      <c r="AE2403" s="1439"/>
      <c r="AF2403" s="1439"/>
      <c r="AG2403" s="1439"/>
    </row>
    <row r="2404" spans="1:33" ht="15.75" customHeight="1">
      <c r="A2404" s="1470"/>
      <c r="B2404" s="1474" t="s">
        <v>7124</v>
      </c>
      <c r="C2404" s="1484">
        <v>2</v>
      </c>
      <c r="D2404" s="1484" t="s">
        <v>3364</v>
      </c>
      <c r="E2404" s="1484">
        <v>1</v>
      </c>
      <c r="F2404" s="1446">
        <v>0.82499999999999996</v>
      </c>
      <c r="G2404" s="1446">
        <v>4.5449999999999999</v>
      </c>
      <c r="H2404" s="1447"/>
      <c r="I2404" s="1448">
        <f t="shared" si="93"/>
        <v>7.5</v>
      </c>
      <c r="J2404" s="1475"/>
      <c r="K2404" s="1439"/>
      <c r="L2404" s="1439"/>
      <c r="M2404" s="1439"/>
      <c r="N2404" s="1439"/>
      <c r="O2404" s="1439"/>
      <c r="P2404" s="1439"/>
      <c r="Q2404" s="1439"/>
      <c r="R2404" s="1439"/>
      <c r="S2404" s="1439"/>
      <c r="T2404" s="1439"/>
      <c r="U2404" s="1439"/>
      <c r="V2404" s="1439"/>
      <c r="W2404" s="1439"/>
      <c r="X2404" s="1439"/>
      <c r="Y2404" s="1439"/>
      <c r="Z2404" s="1439"/>
      <c r="AA2404" s="1439"/>
      <c r="AB2404" s="1439"/>
      <c r="AC2404" s="1439"/>
      <c r="AD2404" s="1439"/>
      <c r="AE2404" s="1439"/>
      <c r="AF2404" s="1439"/>
      <c r="AG2404" s="1439"/>
    </row>
    <row r="2405" spans="1:33" ht="15.75" customHeight="1">
      <c r="A2405" s="1470"/>
      <c r="B2405" s="1474" t="s">
        <v>7125</v>
      </c>
      <c r="C2405" s="1484">
        <v>1</v>
      </c>
      <c r="D2405" s="1484" t="s">
        <v>3364</v>
      </c>
      <c r="E2405" s="1484">
        <v>5</v>
      </c>
      <c r="F2405" s="1446">
        <v>1.2</v>
      </c>
      <c r="G2405" s="1446">
        <v>1.4</v>
      </c>
      <c r="H2405" s="1447"/>
      <c r="I2405" s="1448">
        <f t="shared" si="93"/>
        <v>8.4</v>
      </c>
      <c r="J2405" s="1475"/>
      <c r="K2405" s="1439"/>
      <c r="L2405" s="1439"/>
      <c r="M2405" s="1439"/>
      <c r="N2405" s="1439"/>
      <c r="O2405" s="1439"/>
      <c r="P2405" s="1439"/>
      <c r="Q2405" s="1439"/>
      <c r="R2405" s="1439"/>
      <c r="S2405" s="1439"/>
      <c r="T2405" s="1439"/>
      <c r="U2405" s="1439"/>
      <c r="V2405" s="1439"/>
      <c r="W2405" s="1439"/>
      <c r="X2405" s="1439"/>
      <c r="Y2405" s="1439"/>
      <c r="Z2405" s="1439"/>
      <c r="AA2405" s="1439"/>
      <c r="AB2405" s="1439"/>
      <c r="AC2405" s="1439"/>
      <c r="AD2405" s="1439"/>
      <c r="AE2405" s="1439"/>
      <c r="AF2405" s="1439"/>
      <c r="AG2405" s="1439"/>
    </row>
    <row r="2406" spans="1:33" ht="15.75" customHeight="1">
      <c r="A2406" s="1470"/>
      <c r="B2406" s="1474" t="s">
        <v>7284</v>
      </c>
      <c r="C2406" s="1484">
        <v>2</v>
      </c>
      <c r="D2406" s="1484" t="s">
        <v>3364</v>
      </c>
      <c r="E2406" s="1484">
        <v>5</v>
      </c>
      <c r="F2406" s="1446">
        <v>0.75</v>
      </c>
      <c r="G2406" s="1446">
        <v>0.115</v>
      </c>
      <c r="H2406" s="1447"/>
      <c r="I2406" s="1448">
        <f t="shared" si="93"/>
        <v>0.86</v>
      </c>
      <c r="J2406" s="1475"/>
      <c r="K2406" s="1439"/>
      <c r="L2406" s="1439"/>
      <c r="M2406" s="1439"/>
      <c r="N2406" s="1439"/>
      <c r="O2406" s="1439"/>
      <c r="P2406" s="1439"/>
      <c r="Q2406" s="1439"/>
      <c r="R2406" s="1439"/>
      <c r="S2406" s="1439"/>
      <c r="T2406" s="1439"/>
      <c r="U2406" s="1439"/>
      <c r="V2406" s="1439"/>
      <c r="W2406" s="1439"/>
      <c r="X2406" s="1439"/>
      <c r="Y2406" s="1439"/>
      <c r="Z2406" s="1439"/>
      <c r="AA2406" s="1439"/>
      <c r="AB2406" s="1439"/>
      <c r="AC2406" s="1439"/>
      <c r="AD2406" s="1439"/>
      <c r="AE2406" s="1439"/>
      <c r="AF2406" s="1439"/>
      <c r="AG2406" s="1439"/>
    </row>
    <row r="2407" spans="1:33" ht="15.75" customHeight="1">
      <c r="A2407" s="1470"/>
      <c r="B2407" s="1474" t="s">
        <v>7126</v>
      </c>
      <c r="C2407" s="1484">
        <v>2</v>
      </c>
      <c r="D2407" s="1484" t="s">
        <v>3364</v>
      </c>
      <c r="E2407" s="1484">
        <v>3</v>
      </c>
      <c r="F2407" s="1446">
        <v>1.2</v>
      </c>
      <c r="G2407" s="1446">
        <v>1.62</v>
      </c>
      <c r="H2407" s="1447"/>
      <c r="I2407" s="1448">
        <f t="shared" si="93"/>
        <v>11.66</v>
      </c>
      <c r="J2407" s="1475"/>
      <c r="K2407" s="1439"/>
      <c r="L2407" s="1439"/>
      <c r="M2407" s="1439"/>
      <c r="N2407" s="1439"/>
      <c r="O2407" s="1439"/>
      <c r="P2407" s="1439"/>
      <c r="Q2407" s="1439"/>
      <c r="R2407" s="1439"/>
      <c r="S2407" s="1439"/>
      <c r="T2407" s="1439"/>
      <c r="U2407" s="1439"/>
      <c r="V2407" s="1439"/>
      <c r="W2407" s="1439"/>
      <c r="X2407" s="1439"/>
      <c r="Y2407" s="1439"/>
      <c r="Z2407" s="1439"/>
      <c r="AA2407" s="1439"/>
      <c r="AB2407" s="1439"/>
      <c r="AC2407" s="1439"/>
      <c r="AD2407" s="1439"/>
      <c r="AE2407" s="1439"/>
      <c r="AF2407" s="1439"/>
      <c r="AG2407" s="1439"/>
    </row>
    <row r="2408" spans="1:33" ht="15.75" customHeight="1">
      <c r="A2408" s="1470"/>
      <c r="B2408" s="1474" t="s">
        <v>7284</v>
      </c>
      <c r="C2408" s="1484">
        <v>2</v>
      </c>
      <c r="D2408" s="1484" t="s">
        <v>3364</v>
      </c>
      <c r="E2408" s="1484">
        <v>3</v>
      </c>
      <c r="F2408" s="1446">
        <v>0.75</v>
      </c>
      <c r="G2408" s="1446">
        <v>0.115</v>
      </c>
      <c r="H2408" s="1447"/>
      <c r="I2408" s="1448">
        <f t="shared" si="93"/>
        <v>0.52</v>
      </c>
      <c r="J2408" s="1475"/>
      <c r="K2408" s="1439"/>
      <c r="L2408" s="1439"/>
      <c r="M2408" s="1439"/>
      <c r="N2408" s="1439"/>
      <c r="O2408" s="1439"/>
      <c r="P2408" s="1439"/>
      <c r="Q2408" s="1439"/>
      <c r="R2408" s="1439"/>
      <c r="S2408" s="1439"/>
      <c r="T2408" s="1439"/>
      <c r="U2408" s="1439"/>
      <c r="V2408" s="1439"/>
      <c r="W2408" s="1439"/>
      <c r="X2408" s="1439"/>
      <c r="Y2408" s="1439"/>
      <c r="Z2408" s="1439"/>
      <c r="AA2408" s="1439"/>
      <c r="AB2408" s="1439"/>
      <c r="AC2408" s="1439"/>
      <c r="AD2408" s="1439"/>
      <c r="AE2408" s="1439"/>
      <c r="AF2408" s="1439"/>
      <c r="AG2408" s="1439"/>
    </row>
    <row r="2409" spans="1:33" ht="15.75" customHeight="1">
      <c r="A2409" s="1470"/>
      <c r="B2409" s="1471" t="s">
        <v>7127</v>
      </c>
      <c r="C2409" s="1484"/>
      <c r="D2409" s="1484"/>
      <c r="E2409" s="1484"/>
      <c r="F2409" s="1446"/>
      <c r="G2409" s="1446"/>
      <c r="H2409" s="1447"/>
      <c r="I2409" s="1448">
        <f t="shared" si="93"/>
        <v>0</v>
      </c>
      <c r="J2409" s="1475"/>
      <c r="K2409" s="1439"/>
      <c r="L2409" s="1439"/>
      <c r="M2409" s="1439"/>
      <c r="N2409" s="1439"/>
      <c r="O2409" s="1439"/>
      <c r="P2409" s="1439"/>
      <c r="Q2409" s="1439"/>
      <c r="R2409" s="1439"/>
      <c r="S2409" s="1439"/>
      <c r="T2409" s="1439"/>
      <c r="U2409" s="1439"/>
      <c r="V2409" s="1439"/>
      <c r="W2409" s="1439"/>
      <c r="X2409" s="1439"/>
      <c r="Y2409" s="1439"/>
      <c r="Z2409" s="1439"/>
      <c r="AA2409" s="1439"/>
      <c r="AB2409" s="1439"/>
      <c r="AC2409" s="1439"/>
      <c r="AD2409" s="1439"/>
      <c r="AE2409" s="1439"/>
      <c r="AF2409" s="1439"/>
      <c r="AG2409" s="1439"/>
    </row>
    <row r="2410" spans="1:33" ht="15.75" customHeight="1">
      <c r="A2410" s="1470"/>
      <c r="B2410" s="1474" t="s">
        <v>6753</v>
      </c>
      <c r="C2410" s="1484">
        <v>1</v>
      </c>
      <c r="D2410" s="1484" t="s">
        <v>3364</v>
      </c>
      <c r="E2410" s="1484">
        <v>1</v>
      </c>
      <c r="F2410" s="1446">
        <v>2</v>
      </c>
      <c r="G2410" s="1446">
        <v>1.79</v>
      </c>
      <c r="H2410" s="1447"/>
      <c r="I2410" s="1448">
        <f t="shared" si="93"/>
        <v>3.58</v>
      </c>
      <c r="J2410" s="1475"/>
      <c r="K2410" s="1439"/>
      <c r="L2410" s="1439"/>
      <c r="M2410" s="1439"/>
      <c r="N2410" s="1439"/>
      <c r="O2410" s="1439"/>
      <c r="P2410" s="1439"/>
      <c r="Q2410" s="1439"/>
      <c r="R2410" s="1439"/>
      <c r="S2410" s="1439"/>
      <c r="T2410" s="1439"/>
      <c r="U2410" s="1439"/>
      <c r="V2410" s="1439"/>
      <c r="W2410" s="1439"/>
      <c r="X2410" s="1439"/>
      <c r="Y2410" s="1439"/>
      <c r="Z2410" s="1439"/>
      <c r="AA2410" s="1439"/>
      <c r="AB2410" s="1439"/>
      <c r="AC2410" s="1439"/>
      <c r="AD2410" s="1439"/>
      <c r="AE2410" s="1439"/>
      <c r="AF2410" s="1439"/>
      <c r="AG2410" s="1439"/>
    </row>
    <row r="2411" spans="1:33" ht="15.75" customHeight="1">
      <c r="A2411" s="1470"/>
      <c r="B2411" s="1474" t="s">
        <v>7284</v>
      </c>
      <c r="C2411" s="1484">
        <v>2</v>
      </c>
      <c r="D2411" s="1484" t="s">
        <v>3364</v>
      </c>
      <c r="E2411" s="1484">
        <v>1</v>
      </c>
      <c r="F2411" s="1446">
        <v>0.75</v>
      </c>
      <c r="G2411" s="1446">
        <v>0.115</v>
      </c>
      <c r="H2411" s="1447"/>
      <c r="I2411" s="1448">
        <f t="shared" si="93"/>
        <v>0.17</v>
      </c>
      <c r="J2411" s="1475"/>
      <c r="K2411" s="1439"/>
      <c r="L2411" s="1439"/>
      <c r="M2411" s="1439"/>
      <c r="N2411" s="1439"/>
      <c r="O2411" s="1439"/>
      <c r="P2411" s="1439"/>
      <c r="Q2411" s="1439"/>
      <c r="R2411" s="1439"/>
      <c r="S2411" s="1439"/>
      <c r="T2411" s="1439"/>
      <c r="U2411" s="1439"/>
      <c r="V2411" s="1439"/>
      <c r="W2411" s="1439"/>
      <c r="X2411" s="1439"/>
      <c r="Y2411" s="1439"/>
      <c r="Z2411" s="1439"/>
      <c r="AA2411" s="1439"/>
      <c r="AB2411" s="1439"/>
      <c r="AC2411" s="1439"/>
      <c r="AD2411" s="1439"/>
      <c r="AE2411" s="1439"/>
      <c r="AF2411" s="1439"/>
      <c r="AG2411" s="1439"/>
    </row>
    <row r="2412" spans="1:33" ht="15.75" customHeight="1">
      <c r="A2412" s="1470"/>
      <c r="B2412" s="1450" t="s">
        <v>7128</v>
      </c>
      <c r="C2412" s="1484">
        <v>2</v>
      </c>
      <c r="D2412" s="1484" t="s">
        <v>3364</v>
      </c>
      <c r="E2412" s="1484">
        <v>2</v>
      </c>
      <c r="F2412" s="1446">
        <v>1.93</v>
      </c>
      <c r="G2412" s="1446">
        <v>4.96</v>
      </c>
      <c r="H2412" s="1447"/>
      <c r="I2412" s="1448">
        <f t="shared" si="93"/>
        <v>38.29</v>
      </c>
      <c r="J2412" s="1475"/>
      <c r="K2412" s="1439"/>
      <c r="L2412" s="1439"/>
      <c r="M2412" s="1439"/>
      <c r="N2412" s="1439"/>
      <c r="O2412" s="1439"/>
      <c r="P2412" s="1439"/>
      <c r="Q2412" s="1439"/>
      <c r="R2412" s="1439"/>
      <c r="S2412" s="1439"/>
      <c r="T2412" s="1439"/>
      <c r="U2412" s="1439"/>
      <c r="V2412" s="1439"/>
      <c r="W2412" s="1439"/>
      <c r="X2412" s="1439"/>
      <c r="Y2412" s="1439"/>
      <c r="Z2412" s="1439"/>
      <c r="AA2412" s="1439"/>
      <c r="AB2412" s="1439"/>
      <c r="AC2412" s="1439"/>
      <c r="AD2412" s="1439"/>
      <c r="AE2412" s="1439"/>
      <c r="AF2412" s="1439"/>
      <c r="AG2412" s="1439"/>
    </row>
    <row r="2413" spans="1:33" ht="15.75" customHeight="1">
      <c r="A2413" s="1470"/>
      <c r="B2413" s="1450"/>
      <c r="C2413" s="1484">
        <v>2</v>
      </c>
      <c r="D2413" s="1484" t="s">
        <v>3364</v>
      </c>
      <c r="E2413" s="1484">
        <v>1</v>
      </c>
      <c r="F2413" s="1446">
        <v>1.5</v>
      </c>
      <c r="G2413" s="1446">
        <v>0.7</v>
      </c>
      <c r="H2413" s="1447"/>
      <c r="I2413" s="1448">
        <f t="shared" si="93"/>
        <v>2.1</v>
      </c>
      <c r="J2413" s="1475"/>
      <c r="K2413" s="1439"/>
      <c r="L2413" s="1439"/>
      <c r="M2413" s="1439"/>
      <c r="N2413" s="1439"/>
      <c r="O2413" s="1439"/>
      <c r="P2413" s="1439"/>
      <c r="Q2413" s="1439"/>
      <c r="R2413" s="1439"/>
      <c r="S2413" s="1439"/>
      <c r="T2413" s="1439"/>
      <c r="U2413" s="1439"/>
      <c r="V2413" s="1439"/>
      <c r="W2413" s="1439"/>
      <c r="X2413" s="1439"/>
      <c r="Y2413" s="1439"/>
      <c r="Z2413" s="1439"/>
      <c r="AA2413" s="1439"/>
      <c r="AB2413" s="1439"/>
      <c r="AC2413" s="1439"/>
      <c r="AD2413" s="1439"/>
      <c r="AE2413" s="1439"/>
      <c r="AF2413" s="1439"/>
      <c r="AG2413" s="1439"/>
    </row>
    <row r="2414" spans="1:33" ht="15.75" customHeight="1">
      <c r="A2414" s="1470"/>
      <c r="B2414" s="1450" t="s">
        <v>7129</v>
      </c>
      <c r="C2414" s="1484">
        <v>2</v>
      </c>
      <c r="D2414" s="1484" t="s">
        <v>3364</v>
      </c>
      <c r="E2414" s="1484">
        <v>2</v>
      </c>
      <c r="F2414" s="1446">
        <v>1.5</v>
      </c>
      <c r="G2414" s="1446">
        <v>1.2</v>
      </c>
      <c r="H2414" s="1447"/>
      <c r="I2414" s="1448">
        <f t="shared" si="93"/>
        <v>7.2</v>
      </c>
      <c r="J2414" s="1475"/>
      <c r="K2414" s="1439"/>
      <c r="L2414" s="1439"/>
      <c r="M2414" s="1439"/>
      <c r="N2414" s="1439"/>
      <c r="O2414" s="1439"/>
      <c r="P2414" s="1439"/>
      <c r="Q2414" s="1439"/>
      <c r="R2414" s="1439"/>
      <c r="S2414" s="1439"/>
      <c r="T2414" s="1439"/>
      <c r="U2414" s="1439"/>
      <c r="V2414" s="1439"/>
      <c r="W2414" s="1439"/>
      <c r="X2414" s="1439"/>
      <c r="Y2414" s="1439"/>
      <c r="Z2414" s="1439"/>
      <c r="AA2414" s="1439"/>
      <c r="AB2414" s="1439"/>
      <c r="AC2414" s="1439"/>
      <c r="AD2414" s="1439"/>
      <c r="AE2414" s="1439"/>
      <c r="AF2414" s="1439"/>
      <c r="AG2414" s="1439"/>
    </row>
    <row r="2415" spans="1:33" ht="15.75" customHeight="1">
      <c r="A2415" s="1470"/>
      <c r="B2415" s="1450" t="s">
        <v>7284</v>
      </c>
      <c r="C2415" s="1484">
        <v>1</v>
      </c>
      <c r="D2415" s="1484" t="s">
        <v>3364</v>
      </c>
      <c r="E2415" s="1484">
        <v>2</v>
      </c>
      <c r="F2415" s="1446">
        <v>0.75</v>
      </c>
      <c r="G2415" s="1446">
        <v>0.115</v>
      </c>
      <c r="H2415" s="1447"/>
      <c r="I2415" s="1448">
        <f t="shared" si="93"/>
        <v>0.17</v>
      </c>
      <c r="J2415" s="1475"/>
      <c r="K2415" s="1439"/>
      <c r="L2415" s="1439"/>
      <c r="M2415" s="1439"/>
      <c r="N2415" s="1439"/>
      <c r="O2415" s="1439"/>
      <c r="P2415" s="1439"/>
      <c r="Q2415" s="1439"/>
      <c r="R2415" s="1439"/>
      <c r="S2415" s="1439"/>
      <c r="T2415" s="1439"/>
      <c r="U2415" s="1439"/>
      <c r="V2415" s="1439"/>
      <c r="W2415" s="1439"/>
      <c r="X2415" s="1439"/>
      <c r="Y2415" s="1439"/>
      <c r="Z2415" s="1439"/>
      <c r="AA2415" s="1439"/>
      <c r="AB2415" s="1439"/>
      <c r="AC2415" s="1439"/>
      <c r="AD2415" s="1439"/>
      <c r="AE2415" s="1439"/>
      <c r="AF2415" s="1439"/>
      <c r="AG2415" s="1439"/>
    </row>
    <row r="2416" spans="1:33" ht="15.75" customHeight="1">
      <c r="A2416" s="1470"/>
      <c r="B2416" s="1450" t="s">
        <v>7130</v>
      </c>
      <c r="C2416" s="1484">
        <v>1</v>
      </c>
      <c r="D2416" s="1484" t="s">
        <v>3364</v>
      </c>
      <c r="E2416" s="1484">
        <v>1</v>
      </c>
      <c r="F2416" s="1446">
        <v>1.5</v>
      </c>
      <c r="G2416" s="1446">
        <v>1.4</v>
      </c>
      <c r="H2416" s="1447"/>
      <c r="I2416" s="1448">
        <f t="shared" si="93"/>
        <v>2.1</v>
      </c>
      <c r="J2416" s="1475"/>
      <c r="K2416" s="1439"/>
      <c r="L2416" s="1439"/>
      <c r="M2416" s="1439"/>
      <c r="N2416" s="1439"/>
      <c r="O2416" s="1439"/>
      <c r="P2416" s="1439"/>
      <c r="Q2416" s="1439"/>
      <c r="R2416" s="1439"/>
      <c r="S2416" s="1439"/>
      <c r="T2416" s="1439"/>
      <c r="U2416" s="1439"/>
      <c r="V2416" s="1439"/>
      <c r="W2416" s="1439"/>
      <c r="X2416" s="1439"/>
      <c r="Y2416" s="1439"/>
      <c r="Z2416" s="1439"/>
      <c r="AA2416" s="1439"/>
      <c r="AB2416" s="1439"/>
      <c r="AC2416" s="1439"/>
      <c r="AD2416" s="1439"/>
      <c r="AE2416" s="1439"/>
      <c r="AF2416" s="1439"/>
      <c r="AG2416" s="1439"/>
    </row>
    <row r="2417" spans="1:33" ht="15.75" customHeight="1">
      <c r="A2417" s="1470"/>
      <c r="B2417" s="1474" t="s">
        <v>7284</v>
      </c>
      <c r="C2417" s="1484">
        <v>2</v>
      </c>
      <c r="D2417" s="1484" t="s">
        <v>3364</v>
      </c>
      <c r="E2417" s="1484">
        <v>1</v>
      </c>
      <c r="F2417" s="1446">
        <v>0.75</v>
      </c>
      <c r="G2417" s="1446">
        <v>0.115</v>
      </c>
      <c r="H2417" s="1447"/>
      <c r="I2417" s="1448">
        <f t="shared" si="93"/>
        <v>0.17</v>
      </c>
      <c r="J2417" s="1475"/>
      <c r="K2417" s="1439"/>
      <c r="L2417" s="1439"/>
      <c r="M2417" s="1439"/>
      <c r="N2417" s="1439"/>
      <c r="O2417" s="1439"/>
      <c r="P2417" s="1439"/>
      <c r="Q2417" s="1439"/>
      <c r="R2417" s="1439"/>
      <c r="S2417" s="1439"/>
      <c r="T2417" s="1439"/>
      <c r="U2417" s="1439"/>
      <c r="V2417" s="1439"/>
      <c r="W2417" s="1439"/>
      <c r="X2417" s="1439"/>
      <c r="Y2417" s="1439"/>
      <c r="Z2417" s="1439"/>
      <c r="AA2417" s="1439"/>
      <c r="AB2417" s="1439"/>
      <c r="AC2417" s="1439"/>
      <c r="AD2417" s="1439"/>
      <c r="AE2417" s="1439"/>
      <c r="AF2417" s="1439"/>
      <c r="AG2417" s="1439"/>
    </row>
    <row r="2418" spans="1:33" ht="15.75" customHeight="1">
      <c r="A2418" s="1470"/>
      <c r="B2418" s="1471" t="s">
        <v>7131</v>
      </c>
      <c r="C2418" s="1484"/>
      <c r="D2418" s="1484"/>
      <c r="E2418" s="1484"/>
      <c r="F2418" s="1446"/>
      <c r="G2418" s="1446"/>
      <c r="H2418" s="1447"/>
      <c r="I2418" s="1448">
        <f t="shared" si="93"/>
        <v>0</v>
      </c>
      <c r="J2418" s="1475"/>
      <c r="K2418" s="1439"/>
      <c r="L2418" s="1439"/>
      <c r="M2418" s="1439"/>
      <c r="N2418" s="1439"/>
      <c r="O2418" s="1439"/>
      <c r="P2418" s="1439"/>
      <c r="Q2418" s="1439"/>
      <c r="R2418" s="1439"/>
      <c r="S2418" s="1439"/>
      <c r="T2418" s="1439"/>
      <c r="U2418" s="1439"/>
      <c r="V2418" s="1439"/>
      <c r="W2418" s="1439"/>
      <c r="X2418" s="1439"/>
      <c r="Y2418" s="1439"/>
      <c r="Z2418" s="1439"/>
      <c r="AA2418" s="1439"/>
      <c r="AB2418" s="1439"/>
      <c r="AC2418" s="1439"/>
      <c r="AD2418" s="1439"/>
      <c r="AE2418" s="1439"/>
      <c r="AF2418" s="1439"/>
      <c r="AG2418" s="1439"/>
    </row>
    <row r="2419" spans="1:33" ht="15.75" customHeight="1">
      <c r="A2419" s="1470"/>
      <c r="B2419" s="1474" t="s">
        <v>6753</v>
      </c>
      <c r="C2419" s="1484">
        <v>1</v>
      </c>
      <c r="D2419" s="1484" t="s">
        <v>3364</v>
      </c>
      <c r="E2419" s="1484">
        <v>1</v>
      </c>
      <c r="F2419" s="1446">
        <v>2</v>
      </c>
      <c r="G2419" s="1446">
        <v>1.79</v>
      </c>
      <c r="H2419" s="1447"/>
      <c r="I2419" s="1448">
        <f t="shared" si="93"/>
        <v>3.58</v>
      </c>
      <c r="J2419" s="1475"/>
      <c r="K2419" s="1439"/>
      <c r="L2419" s="1439"/>
      <c r="M2419" s="1439"/>
      <c r="N2419" s="1439"/>
      <c r="O2419" s="1439"/>
      <c r="P2419" s="1439"/>
      <c r="Q2419" s="1439"/>
      <c r="R2419" s="1439"/>
      <c r="S2419" s="1439"/>
      <c r="T2419" s="1439"/>
      <c r="U2419" s="1439"/>
      <c r="V2419" s="1439"/>
      <c r="W2419" s="1439"/>
      <c r="X2419" s="1439"/>
      <c r="Y2419" s="1439"/>
      <c r="Z2419" s="1439"/>
      <c r="AA2419" s="1439"/>
      <c r="AB2419" s="1439"/>
      <c r="AC2419" s="1439"/>
      <c r="AD2419" s="1439"/>
      <c r="AE2419" s="1439"/>
      <c r="AF2419" s="1439"/>
      <c r="AG2419" s="1439"/>
    </row>
    <row r="2420" spans="1:33" ht="15.75" customHeight="1">
      <c r="A2420" s="1470"/>
      <c r="B2420" s="1474" t="s">
        <v>7284</v>
      </c>
      <c r="C2420" s="1484">
        <v>2</v>
      </c>
      <c r="D2420" s="1484" t="s">
        <v>3364</v>
      </c>
      <c r="E2420" s="1484">
        <v>1</v>
      </c>
      <c r="F2420" s="1446">
        <v>0.75</v>
      </c>
      <c r="G2420" s="1446">
        <v>0.115</v>
      </c>
      <c r="H2420" s="1447"/>
      <c r="I2420" s="1448">
        <f t="shared" si="93"/>
        <v>0.17</v>
      </c>
      <c r="J2420" s="1475"/>
      <c r="K2420" s="1439"/>
      <c r="L2420" s="1439"/>
      <c r="M2420" s="1439"/>
      <c r="N2420" s="1439"/>
      <c r="O2420" s="1439"/>
      <c r="P2420" s="1439"/>
      <c r="Q2420" s="1439"/>
      <c r="R2420" s="1439"/>
      <c r="S2420" s="1439"/>
      <c r="T2420" s="1439"/>
      <c r="U2420" s="1439"/>
      <c r="V2420" s="1439"/>
      <c r="W2420" s="1439"/>
      <c r="X2420" s="1439"/>
      <c r="Y2420" s="1439"/>
      <c r="Z2420" s="1439"/>
      <c r="AA2420" s="1439"/>
      <c r="AB2420" s="1439"/>
      <c r="AC2420" s="1439"/>
      <c r="AD2420" s="1439"/>
      <c r="AE2420" s="1439"/>
      <c r="AF2420" s="1439"/>
      <c r="AG2420" s="1439"/>
    </row>
    <row r="2421" spans="1:33" ht="15.75" customHeight="1">
      <c r="A2421" s="1470"/>
      <c r="B2421" s="1450" t="s">
        <v>7128</v>
      </c>
      <c r="C2421" s="1484">
        <v>2</v>
      </c>
      <c r="D2421" s="1484" t="s">
        <v>3364</v>
      </c>
      <c r="E2421" s="1484">
        <v>2</v>
      </c>
      <c r="F2421" s="1446">
        <v>2.5</v>
      </c>
      <c r="G2421" s="1446">
        <v>4.96</v>
      </c>
      <c r="H2421" s="1447"/>
      <c r="I2421" s="1448">
        <f t="shared" si="93"/>
        <v>49.6</v>
      </c>
      <c r="J2421" s="1475"/>
      <c r="K2421" s="1439"/>
      <c r="L2421" s="1439"/>
      <c r="M2421" s="1439"/>
      <c r="N2421" s="1439"/>
      <c r="O2421" s="1439"/>
      <c r="P2421" s="1439"/>
      <c r="Q2421" s="1439"/>
      <c r="R2421" s="1439"/>
      <c r="S2421" s="1439"/>
      <c r="T2421" s="1439"/>
      <c r="U2421" s="1439"/>
      <c r="V2421" s="1439"/>
      <c r="W2421" s="1439"/>
      <c r="X2421" s="1439"/>
      <c r="Y2421" s="1439"/>
      <c r="Z2421" s="1439"/>
      <c r="AA2421" s="1439"/>
      <c r="AB2421" s="1439"/>
      <c r="AC2421" s="1439"/>
      <c r="AD2421" s="1439"/>
      <c r="AE2421" s="1439"/>
      <c r="AF2421" s="1439"/>
      <c r="AG2421" s="1439"/>
    </row>
    <row r="2422" spans="1:33" ht="15.75" customHeight="1">
      <c r="A2422" s="1470"/>
      <c r="B2422" s="1450"/>
      <c r="C2422" s="1484">
        <v>2</v>
      </c>
      <c r="D2422" s="1484" t="s">
        <v>3364</v>
      </c>
      <c r="E2422" s="1484">
        <v>1</v>
      </c>
      <c r="F2422" s="1446">
        <v>1.5</v>
      </c>
      <c r="G2422" s="1446">
        <v>0.7</v>
      </c>
      <c r="H2422" s="1447"/>
      <c r="I2422" s="1448">
        <f t="shared" si="93"/>
        <v>2.1</v>
      </c>
      <c r="J2422" s="1475"/>
      <c r="K2422" s="1439"/>
      <c r="L2422" s="1439"/>
      <c r="M2422" s="1439"/>
      <c r="N2422" s="1439"/>
      <c r="O2422" s="1439"/>
      <c r="P2422" s="1439"/>
      <c r="Q2422" s="1439"/>
      <c r="R2422" s="1439"/>
      <c r="S2422" s="1439"/>
      <c r="T2422" s="1439"/>
      <c r="U2422" s="1439"/>
      <c r="V2422" s="1439"/>
      <c r="W2422" s="1439"/>
      <c r="X2422" s="1439"/>
      <c r="Y2422" s="1439"/>
      <c r="Z2422" s="1439"/>
      <c r="AA2422" s="1439"/>
      <c r="AB2422" s="1439"/>
      <c r="AC2422" s="1439"/>
      <c r="AD2422" s="1439"/>
      <c r="AE2422" s="1439"/>
      <c r="AF2422" s="1439"/>
      <c r="AG2422" s="1439"/>
    </row>
    <row r="2423" spans="1:33" ht="15.75" customHeight="1">
      <c r="A2423" s="1470"/>
      <c r="B2423" s="1450" t="s">
        <v>7129</v>
      </c>
      <c r="C2423" s="1484">
        <v>1</v>
      </c>
      <c r="D2423" s="1484" t="s">
        <v>3364</v>
      </c>
      <c r="E2423" s="1484">
        <v>2</v>
      </c>
      <c r="F2423" s="1446">
        <v>1.5</v>
      </c>
      <c r="G2423" s="1446">
        <v>1.2</v>
      </c>
      <c r="H2423" s="1447"/>
      <c r="I2423" s="1448">
        <f t="shared" si="93"/>
        <v>3.6</v>
      </c>
      <c r="J2423" s="1475"/>
      <c r="K2423" s="1439"/>
      <c r="L2423" s="1439"/>
      <c r="M2423" s="1439"/>
      <c r="N2423" s="1439"/>
      <c r="O2423" s="1439"/>
      <c r="P2423" s="1439"/>
      <c r="Q2423" s="1439"/>
      <c r="R2423" s="1439"/>
      <c r="S2423" s="1439"/>
      <c r="T2423" s="1439"/>
      <c r="U2423" s="1439"/>
      <c r="V2423" s="1439"/>
      <c r="W2423" s="1439"/>
      <c r="X2423" s="1439"/>
      <c r="Y2423" s="1439"/>
      <c r="Z2423" s="1439"/>
      <c r="AA2423" s="1439"/>
      <c r="AB2423" s="1439"/>
      <c r="AC2423" s="1439"/>
      <c r="AD2423" s="1439"/>
      <c r="AE2423" s="1439"/>
      <c r="AF2423" s="1439"/>
      <c r="AG2423" s="1439"/>
    </row>
    <row r="2424" spans="1:33" ht="15.75" customHeight="1">
      <c r="A2424" s="1470"/>
      <c r="B2424" s="1450" t="s">
        <v>7284</v>
      </c>
      <c r="C2424" s="1484">
        <v>2</v>
      </c>
      <c r="D2424" s="1484" t="s">
        <v>3364</v>
      </c>
      <c r="E2424" s="1484">
        <v>2</v>
      </c>
      <c r="F2424" s="1446">
        <v>0.75</v>
      </c>
      <c r="G2424" s="1446">
        <v>0.115</v>
      </c>
      <c r="H2424" s="1447"/>
      <c r="I2424" s="1448">
        <f t="shared" si="93"/>
        <v>0.35</v>
      </c>
      <c r="J2424" s="1475"/>
      <c r="K2424" s="1439"/>
      <c r="L2424" s="1439"/>
      <c r="M2424" s="1439"/>
      <c r="N2424" s="1439"/>
      <c r="O2424" s="1439"/>
      <c r="P2424" s="1439"/>
      <c r="Q2424" s="1439"/>
      <c r="R2424" s="1439"/>
      <c r="S2424" s="1439"/>
      <c r="T2424" s="1439"/>
      <c r="U2424" s="1439"/>
      <c r="V2424" s="1439"/>
      <c r="W2424" s="1439"/>
      <c r="X2424" s="1439"/>
      <c r="Y2424" s="1439"/>
      <c r="Z2424" s="1439"/>
      <c r="AA2424" s="1439"/>
      <c r="AB2424" s="1439"/>
      <c r="AC2424" s="1439"/>
      <c r="AD2424" s="1439"/>
      <c r="AE2424" s="1439"/>
      <c r="AF2424" s="1439"/>
      <c r="AG2424" s="1439"/>
    </row>
    <row r="2425" spans="1:33" ht="15.75" customHeight="1">
      <c r="A2425" s="1470"/>
      <c r="B2425" s="1450" t="s">
        <v>7130</v>
      </c>
      <c r="C2425" s="1484">
        <v>1</v>
      </c>
      <c r="D2425" s="1484" t="s">
        <v>3364</v>
      </c>
      <c r="E2425" s="1484">
        <v>1</v>
      </c>
      <c r="F2425" s="1446">
        <v>1.5</v>
      </c>
      <c r="G2425" s="1446">
        <v>1.4</v>
      </c>
      <c r="H2425" s="1447"/>
      <c r="I2425" s="1448">
        <f t="shared" si="93"/>
        <v>2.1</v>
      </c>
      <c r="J2425" s="1475"/>
      <c r="K2425" s="1439"/>
      <c r="L2425" s="1439"/>
      <c r="M2425" s="1439"/>
      <c r="N2425" s="1439"/>
      <c r="O2425" s="1439"/>
      <c r="P2425" s="1439"/>
      <c r="Q2425" s="1439"/>
      <c r="R2425" s="1439"/>
      <c r="S2425" s="1439"/>
      <c r="T2425" s="1439"/>
      <c r="U2425" s="1439"/>
      <c r="V2425" s="1439"/>
      <c r="W2425" s="1439"/>
      <c r="X2425" s="1439"/>
      <c r="Y2425" s="1439"/>
      <c r="Z2425" s="1439"/>
      <c r="AA2425" s="1439"/>
      <c r="AB2425" s="1439"/>
      <c r="AC2425" s="1439"/>
      <c r="AD2425" s="1439"/>
      <c r="AE2425" s="1439"/>
      <c r="AF2425" s="1439"/>
      <c r="AG2425" s="1439"/>
    </row>
    <row r="2426" spans="1:33" ht="15.75" customHeight="1">
      <c r="A2426" s="1470"/>
      <c r="B2426" s="1474" t="s">
        <v>7284</v>
      </c>
      <c r="C2426" s="1484">
        <v>2</v>
      </c>
      <c r="D2426" s="1484" t="s">
        <v>3364</v>
      </c>
      <c r="E2426" s="1484">
        <v>1</v>
      </c>
      <c r="F2426" s="1446">
        <v>0.75</v>
      </c>
      <c r="G2426" s="1446">
        <v>0.115</v>
      </c>
      <c r="H2426" s="1447"/>
      <c r="I2426" s="1448">
        <f t="shared" si="93"/>
        <v>0.17</v>
      </c>
      <c r="J2426" s="1475"/>
      <c r="K2426" s="1439"/>
      <c r="L2426" s="1439"/>
      <c r="M2426" s="1439"/>
      <c r="N2426" s="1439"/>
      <c r="O2426" s="1439"/>
      <c r="P2426" s="1439"/>
      <c r="Q2426" s="1439"/>
      <c r="R2426" s="1439"/>
      <c r="S2426" s="1439"/>
      <c r="T2426" s="1439"/>
      <c r="U2426" s="1439"/>
      <c r="V2426" s="1439"/>
      <c r="W2426" s="1439"/>
      <c r="X2426" s="1439"/>
      <c r="Y2426" s="1439"/>
      <c r="Z2426" s="1439"/>
      <c r="AA2426" s="1439"/>
      <c r="AB2426" s="1439"/>
      <c r="AC2426" s="1439"/>
      <c r="AD2426" s="1439"/>
      <c r="AE2426" s="1439"/>
      <c r="AF2426" s="1439"/>
      <c r="AG2426" s="1439"/>
    </row>
    <row r="2427" spans="1:33" ht="15.75" customHeight="1">
      <c r="A2427" s="1470"/>
      <c r="B2427" s="1450"/>
      <c r="C2427" s="1484"/>
      <c r="D2427" s="1484"/>
      <c r="E2427" s="1484"/>
      <c r="F2427" s="1446"/>
      <c r="G2427" s="1458" t="s">
        <v>104</v>
      </c>
      <c r="H2427" s="1447"/>
      <c r="I2427" s="1459">
        <f>SUM(I2386:I2426)</f>
        <v>217.47</v>
      </c>
      <c r="J2427" s="1475"/>
      <c r="K2427" s="1439"/>
      <c r="L2427" s="1439"/>
      <c r="M2427" s="1439"/>
      <c r="N2427" s="1439"/>
      <c r="O2427" s="1439"/>
      <c r="P2427" s="1439"/>
      <c r="Q2427" s="1439"/>
      <c r="R2427" s="1439"/>
      <c r="S2427" s="1439"/>
      <c r="T2427" s="1439"/>
      <c r="U2427" s="1439"/>
      <c r="V2427" s="1439"/>
      <c r="W2427" s="1439"/>
      <c r="X2427" s="1439"/>
      <c r="Y2427" s="1439"/>
      <c r="Z2427" s="1439"/>
      <c r="AA2427" s="1439"/>
      <c r="AB2427" s="1439"/>
      <c r="AC2427" s="1439"/>
      <c r="AD2427" s="1439"/>
      <c r="AE2427" s="1439"/>
      <c r="AF2427" s="1439"/>
      <c r="AG2427" s="1439"/>
    </row>
    <row r="2428" spans="1:33" ht="15.75" customHeight="1">
      <c r="A2428" s="1470"/>
      <c r="B2428" s="1450"/>
      <c r="C2428" s="1484"/>
      <c r="D2428" s="1484"/>
      <c r="E2428" s="1484"/>
      <c r="F2428" s="1446"/>
      <c r="G2428" s="1446"/>
      <c r="H2428" s="1460" t="s">
        <v>2981</v>
      </c>
      <c r="I2428" s="1479">
        <f>CEILING(I2427,0.1)</f>
        <v>217.5</v>
      </c>
      <c r="J2428" s="1475" t="s">
        <v>468</v>
      </c>
      <c r="K2428" s="1439"/>
      <c r="L2428" s="1439"/>
      <c r="M2428" s="1439"/>
      <c r="N2428" s="1439"/>
      <c r="O2428" s="1439"/>
      <c r="P2428" s="1439"/>
      <c r="Q2428" s="1439"/>
      <c r="R2428" s="1439"/>
      <c r="S2428" s="1439"/>
      <c r="T2428" s="1439"/>
      <c r="U2428" s="1439"/>
      <c r="V2428" s="1439"/>
      <c r="W2428" s="1439"/>
      <c r="X2428" s="1439"/>
      <c r="Y2428" s="1439"/>
      <c r="Z2428" s="1439"/>
      <c r="AA2428" s="1439"/>
      <c r="AB2428" s="1439"/>
      <c r="AC2428" s="1439"/>
      <c r="AD2428" s="1439"/>
      <c r="AE2428" s="1439"/>
      <c r="AF2428" s="1439"/>
      <c r="AG2428" s="1439"/>
    </row>
    <row r="2429" spans="1:33" ht="141.75">
      <c r="A2429" s="1451">
        <v>38.6</v>
      </c>
      <c r="B2429" s="1517" t="s">
        <v>7565</v>
      </c>
      <c r="C2429" s="1484"/>
      <c r="D2429" s="1484"/>
      <c r="E2429" s="1484"/>
      <c r="F2429" s="1446"/>
      <c r="G2429" s="1446"/>
      <c r="H2429" s="1447"/>
      <c r="I2429" s="1448"/>
      <c r="J2429" s="1475"/>
      <c r="K2429" s="1439"/>
      <c r="L2429" s="1439"/>
      <c r="M2429" s="1439"/>
      <c r="N2429" s="1439"/>
      <c r="O2429" s="1439"/>
      <c r="P2429" s="1439"/>
      <c r="Q2429" s="1439"/>
      <c r="R2429" s="1439"/>
      <c r="S2429" s="1439"/>
      <c r="T2429" s="1439"/>
      <c r="U2429" s="1439"/>
      <c r="V2429" s="1439"/>
      <c r="W2429" s="1439"/>
      <c r="X2429" s="1439"/>
      <c r="Y2429" s="1439"/>
      <c r="Z2429" s="1439"/>
      <c r="AA2429" s="1439"/>
      <c r="AB2429" s="1439"/>
      <c r="AC2429" s="1439"/>
      <c r="AD2429" s="1439"/>
      <c r="AE2429" s="1439"/>
      <c r="AF2429" s="1439"/>
      <c r="AG2429" s="1439"/>
    </row>
    <row r="2430" spans="1:33" ht="15.75" customHeight="1">
      <c r="A2430" s="1451"/>
      <c r="B2430" s="1450" t="s">
        <v>7286</v>
      </c>
      <c r="C2430" s="1484"/>
      <c r="D2430" s="1484"/>
      <c r="E2430" s="1484"/>
      <c r="F2430" s="1459">
        <f>I1038</f>
        <v>4032</v>
      </c>
      <c r="G2430" s="1447"/>
      <c r="H2430" s="1447"/>
      <c r="I2430" s="1547">
        <f>SUM(F2430:G2430)</f>
        <v>4032</v>
      </c>
      <c r="J2430" s="1475" t="s">
        <v>724</v>
      </c>
      <c r="K2430" s="1439"/>
      <c r="L2430" s="1439"/>
      <c r="M2430" s="1439"/>
      <c r="N2430" s="1439"/>
      <c r="O2430" s="1439"/>
      <c r="P2430" s="1439"/>
      <c r="Q2430" s="1439"/>
      <c r="R2430" s="1439"/>
      <c r="S2430" s="1439"/>
      <c r="T2430" s="1439"/>
      <c r="U2430" s="1439"/>
      <c r="V2430" s="1439"/>
      <c r="W2430" s="1439"/>
      <c r="X2430" s="1439"/>
      <c r="Y2430" s="1439"/>
      <c r="Z2430" s="1439"/>
      <c r="AA2430" s="1439"/>
      <c r="AB2430" s="1439"/>
      <c r="AC2430" s="1439"/>
      <c r="AD2430" s="1439"/>
      <c r="AE2430" s="1439"/>
      <c r="AF2430" s="1439"/>
      <c r="AG2430" s="1439"/>
    </row>
    <row r="2431" spans="1:33" ht="31.5">
      <c r="A2431" s="1451">
        <v>38.6</v>
      </c>
      <c r="B2431" s="1455" t="s">
        <v>3643</v>
      </c>
      <c r="C2431" s="1484"/>
      <c r="D2431" s="1484"/>
      <c r="E2431" s="1484"/>
      <c r="F2431" s="1446"/>
      <c r="G2431" s="1446"/>
      <c r="H2431" s="1447"/>
      <c r="I2431" s="1448"/>
      <c r="J2431" s="1475"/>
      <c r="K2431" s="1439"/>
      <c r="L2431" s="1439"/>
      <c r="M2431" s="1439"/>
      <c r="N2431" s="1439"/>
      <c r="O2431" s="1439"/>
      <c r="P2431" s="1439"/>
      <c r="Q2431" s="1439"/>
      <c r="R2431" s="1439"/>
      <c r="S2431" s="1439"/>
      <c r="T2431" s="1439"/>
      <c r="U2431" s="1439"/>
      <c r="V2431" s="1439"/>
      <c r="W2431" s="1439"/>
      <c r="X2431" s="1439"/>
      <c r="Y2431" s="1439"/>
      <c r="Z2431" s="1439"/>
      <c r="AA2431" s="1439"/>
      <c r="AB2431" s="1439"/>
      <c r="AC2431" s="1439"/>
      <c r="AD2431" s="1439"/>
      <c r="AE2431" s="1439"/>
      <c r="AF2431" s="1439"/>
      <c r="AG2431" s="1439"/>
    </row>
    <row r="2432" spans="1:33" ht="47.25">
      <c r="A2432" s="1451"/>
      <c r="B2432" s="1450" t="s">
        <v>7286</v>
      </c>
      <c r="C2432" s="1484"/>
      <c r="D2432" s="1484"/>
      <c r="E2432" s="1484"/>
      <c r="F2432" s="1459">
        <f>F2430</f>
        <v>4032</v>
      </c>
      <c r="G2432" s="1447"/>
      <c r="H2432" s="1447"/>
      <c r="I2432" s="1547">
        <f>SUM(F2432:G2432)</f>
        <v>4032</v>
      </c>
      <c r="J2432" s="1475" t="s">
        <v>724</v>
      </c>
      <c r="K2432" s="1439"/>
      <c r="L2432" s="1439"/>
      <c r="M2432" s="1439"/>
      <c r="N2432" s="1439"/>
      <c r="O2432" s="1439"/>
      <c r="P2432" s="1439"/>
      <c r="Q2432" s="1439"/>
      <c r="R2432" s="1439"/>
      <c r="S2432" s="1439"/>
      <c r="T2432" s="1439"/>
      <c r="U2432" s="1439"/>
      <c r="V2432" s="1439"/>
      <c r="W2432" s="1439"/>
      <c r="X2432" s="1439"/>
      <c r="Y2432" s="1439"/>
      <c r="Z2432" s="1439"/>
      <c r="AA2432" s="1439"/>
      <c r="AB2432" s="1439"/>
      <c r="AC2432" s="1439"/>
      <c r="AD2432" s="1439"/>
      <c r="AE2432" s="1439"/>
      <c r="AF2432" s="1439"/>
      <c r="AG2432" s="1439"/>
    </row>
    <row r="2433" spans="1:33" ht="31.5">
      <c r="A2433" s="1451">
        <v>50.2</v>
      </c>
      <c r="B2433" s="1455" t="s">
        <v>3521</v>
      </c>
      <c r="C2433" s="1484"/>
      <c r="D2433" s="1484"/>
      <c r="E2433" s="1484"/>
      <c r="F2433" s="1459"/>
      <c r="G2433" s="1446"/>
      <c r="H2433" s="1447"/>
      <c r="I2433" s="1547"/>
      <c r="J2433" s="1475"/>
      <c r="K2433" s="1439"/>
      <c r="L2433" s="1439"/>
      <c r="M2433" s="1439"/>
      <c r="N2433" s="1439"/>
      <c r="O2433" s="1439"/>
      <c r="P2433" s="1439"/>
      <c r="Q2433" s="1439"/>
      <c r="R2433" s="1439"/>
      <c r="S2433" s="1439"/>
      <c r="T2433" s="1439"/>
      <c r="U2433" s="1439"/>
      <c r="V2433" s="1439"/>
      <c r="W2433" s="1439"/>
      <c r="X2433" s="1439"/>
      <c r="Y2433" s="1439"/>
      <c r="Z2433" s="1439"/>
      <c r="AA2433" s="1439"/>
      <c r="AB2433" s="1439"/>
      <c r="AC2433" s="1439"/>
      <c r="AD2433" s="1439"/>
      <c r="AE2433" s="1439"/>
      <c r="AF2433" s="1439"/>
      <c r="AG2433" s="1439"/>
    </row>
    <row r="2434" spans="1:33" ht="15.75" customHeight="1">
      <c r="A2434" s="1470"/>
      <c r="B2434" s="1450" t="s">
        <v>7042</v>
      </c>
      <c r="C2434" s="1445">
        <v>1</v>
      </c>
      <c r="D2434" s="1445" t="s">
        <v>3364</v>
      </c>
      <c r="E2434" s="1445">
        <v>2</v>
      </c>
      <c r="F2434" s="1446">
        <v>34.5</v>
      </c>
      <c r="G2434" s="1446"/>
      <c r="H2434" s="1447"/>
      <c r="I2434" s="1448">
        <f>PRODUCT(C2434:H2434)</f>
        <v>69</v>
      </c>
      <c r="J2434" s="1475"/>
      <c r="K2434" s="1439"/>
      <c r="L2434" s="1439">
        <v>1</v>
      </c>
      <c r="M2434" s="1439"/>
      <c r="N2434" s="1439"/>
      <c r="O2434" s="1439"/>
      <c r="P2434" s="1439"/>
      <c r="Q2434" s="1439"/>
      <c r="R2434" s="1439"/>
      <c r="S2434" s="1439"/>
      <c r="T2434" s="1439"/>
      <c r="U2434" s="1439"/>
      <c r="V2434" s="1439"/>
      <c r="W2434" s="1439"/>
      <c r="X2434" s="1439"/>
      <c r="Y2434" s="1439"/>
      <c r="Z2434" s="1439"/>
      <c r="AA2434" s="1439"/>
      <c r="AB2434" s="1439"/>
      <c r="AC2434" s="1439"/>
      <c r="AD2434" s="1439"/>
      <c r="AE2434" s="1439"/>
      <c r="AF2434" s="1439"/>
      <c r="AG2434" s="1439"/>
    </row>
    <row r="2435" spans="1:33" ht="15.75" customHeight="1">
      <c r="A2435" s="1470"/>
      <c r="B2435" s="1450" t="s">
        <v>7043</v>
      </c>
      <c r="C2435" s="1445">
        <v>1</v>
      </c>
      <c r="D2435" s="1445" t="s">
        <v>3364</v>
      </c>
      <c r="E2435" s="1445">
        <v>1</v>
      </c>
      <c r="F2435" s="1446">
        <v>17</v>
      </c>
      <c r="G2435" s="1446"/>
      <c r="H2435" s="1447"/>
      <c r="I2435" s="1448">
        <f>PRODUCT(C2435:H2435)</f>
        <v>17</v>
      </c>
      <c r="J2435" s="1475"/>
      <c r="K2435" s="1439"/>
      <c r="L2435" s="1439"/>
      <c r="M2435" s="1439"/>
      <c r="N2435" s="1439"/>
      <c r="O2435" s="1439"/>
      <c r="P2435" s="1439"/>
      <c r="Q2435" s="1439"/>
      <c r="R2435" s="1439"/>
      <c r="S2435" s="1439"/>
      <c r="T2435" s="1439"/>
      <c r="U2435" s="1439"/>
      <c r="V2435" s="1439"/>
      <c r="W2435" s="1439"/>
      <c r="X2435" s="1439"/>
      <c r="Y2435" s="1439"/>
      <c r="Z2435" s="1439"/>
      <c r="AA2435" s="1439"/>
      <c r="AB2435" s="1439"/>
      <c r="AC2435" s="1439"/>
      <c r="AD2435" s="1439"/>
      <c r="AE2435" s="1439"/>
      <c r="AF2435" s="1439"/>
      <c r="AG2435" s="1439"/>
    </row>
    <row r="2436" spans="1:33" ht="15.75" customHeight="1">
      <c r="A2436" s="1470"/>
      <c r="B2436" s="1450"/>
      <c r="C2436" s="1484"/>
      <c r="D2436" s="1484"/>
      <c r="E2436" s="1484"/>
      <c r="F2436" s="1446"/>
      <c r="G2436" s="1458" t="s">
        <v>104</v>
      </c>
      <c r="H2436" s="1447"/>
      <c r="I2436" s="1459">
        <f>SUM(I2434:I2435)</f>
        <v>86</v>
      </c>
      <c r="J2436" s="1475"/>
      <c r="K2436" s="1439"/>
      <c r="L2436" s="1439"/>
      <c r="M2436" s="1439"/>
      <c r="N2436" s="1439"/>
      <c r="O2436" s="1439"/>
      <c r="P2436" s="1439"/>
      <c r="Q2436" s="1439"/>
      <c r="R2436" s="1439"/>
      <c r="S2436" s="1439"/>
      <c r="T2436" s="1439"/>
      <c r="U2436" s="1439"/>
      <c r="V2436" s="1439"/>
      <c r="W2436" s="1439"/>
      <c r="X2436" s="1439"/>
      <c r="Y2436" s="1439"/>
      <c r="Z2436" s="1439"/>
      <c r="AA2436" s="1439"/>
      <c r="AB2436" s="1439"/>
      <c r="AC2436" s="1439"/>
      <c r="AD2436" s="1439"/>
      <c r="AE2436" s="1439"/>
      <c r="AF2436" s="1439"/>
      <c r="AG2436" s="1439"/>
    </row>
    <row r="2437" spans="1:33" ht="15.75" customHeight="1">
      <c r="A2437" s="1470"/>
      <c r="B2437" s="1450"/>
      <c r="C2437" s="1484"/>
      <c r="D2437" s="1484"/>
      <c r="E2437" s="1484"/>
      <c r="F2437" s="1446"/>
      <c r="G2437" s="1446"/>
      <c r="H2437" s="1460" t="s">
        <v>2981</v>
      </c>
      <c r="I2437" s="1479">
        <f>CEILING(I2436,0.1)</f>
        <v>86</v>
      </c>
      <c r="J2437" s="1475" t="s">
        <v>468</v>
      </c>
      <c r="K2437" s="1439"/>
      <c r="L2437" s="1439"/>
      <c r="M2437" s="1439"/>
      <c r="N2437" s="1439"/>
      <c r="O2437" s="1439"/>
      <c r="P2437" s="1439"/>
      <c r="Q2437" s="1439"/>
      <c r="R2437" s="1439"/>
      <c r="S2437" s="1439"/>
      <c r="T2437" s="1439"/>
      <c r="U2437" s="1439"/>
      <c r="V2437" s="1439"/>
      <c r="W2437" s="1439"/>
      <c r="X2437" s="1439"/>
      <c r="Y2437" s="1439"/>
      <c r="Z2437" s="1439"/>
      <c r="AA2437" s="1439"/>
      <c r="AB2437" s="1439"/>
      <c r="AC2437" s="1439"/>
      <c r="AD2437" s="1439"/>
      <c r="AE2437" s="1439"/>
      <c r="AF2437" s="1439"/>
      <c r="AG2437" s="1439"/>
    </row>
    <row r="2438" spans="1:33" ht="63">
      <c r="A2438" s="1548">
        <v>1</v>
      </c>
      <c r="B2438" s="1462" t="s">
        <v>3644</v>
      </c>
      <c r="C2438" s="1504"/>
      <c r="D2438" s="1504"/>
      <c r="E2438" s="1504"/>
      <c r="F2438" s="1500"/>
      <c r="G2438" s="1548"/>
      <c r="H2438" s="1500"/>
      <c r="I2438" s="1494"/>
      <c r="J2438" s="1549"/>
      <c r="K2438" s="1550"/>
      <c r="L2438" s="1550"/>
      <c r="M2438" s="1550"/>
      <c r="N2438" s="1550"/>
      <c r="O2438" s="1550"/>
      <c r="P2438" s="1550"/>
      <c r="Q2438" s="1550"/>
      <c r="R2438" s="1550"/>
      <c r="S2438" s="1550"/>
      <c r="T2438" s="1550"/>
      <c r="U2438" s="1550"/>
      <c r="V2438" s="1550"/>
      <c r="W2438" s="1550"/>
      <c r="X2438" s="1550"/>
      <c r="Y2438" s="1550"/>
      <c r="Z2438" s="1550"/>
      <c r="AA2438" s="1550"/>
      <c r="AB2438" s="1550"/>
      <c r="AC2438" s="1550"/>
      <c r="AD2438" s="1550"/>
      <c r="AE2438" s="1550"/>
      <c r="AF2438" s="1550"/>
      <c r="AG2438" s="1550"/>
    </row>
    <row r="2439" spans="1:33" ht="15.75" customHeight="1">
      <c r="A2439" s="1548"/>
      <c r="B2439" s="1444" t="s">
        <v>7287</v>
      </c>
      <c r="C2439" s="1504"/>
      <c r="D2439" s="1504"/>
      <c r="E2439" s="1504"/>
      <c r="F2439" s="1500"/>
      <c r="G2439" s="1548"/>
      <c r="H2439" s="1500"/>
      <c r="I2439" s="1494"/>
      <c r="J2439" s="1549"/>
      <c r="K2439" s="1550"/>
      <c r="L2439" s="1550"/>
      <c r="M2439" s="1550"/>
      <c r="N2439" s="1550"/>
      <c r="O2439" s="1550"/>
      <c r="P2439" s="1550"/>
      <c r="Q2439" s="1550"/>
      <c r="R2439" s="1550"/>
      <c r="S2439" s="1550"/>
      <c r="T2439" s="1550"/>
      <c r="U2439" s="1550"/>
      <c r="V2439" s="1550"/>
      <c r="W2439" s="1550"/>
      <c r="X2439" s="1550"/>
      <c r="Y2439" s="1550"/>
      <c r="Z2439" s="1550"/>
      <c r="AA2439" s="1550"/>
      <c r="AB2439" s="1550"/>
      <c r="AC2439" s="1550"/>
      <c r="AD2439" s="1550"/>
      <c r="AE2439" s="1550"/>
      <c r="AF2439" s="1550"/>
      <c r="AG2439" s="1550"/>
    </row>
    <row r="2440" spans="1:33" ht="15.75" customHeight="1">
      <c r="A2440" s="1548"/>
      <c r="B2440" s="1462" t="s">
        <v>7288</v>
      </c>
      <c r="C2440" s="1504">
        <v>1</v>
      </c>
      <c r="D2440" s="1504" t="s">
        <v>3364</v>
      </c>
      <c r="E2440" s="1504">
        <v>1</v>
      </c>
      <c r="F2440" s="1500"/>
      <c r="G2440" s="1548"/>
      <c r="H2440" s="1500"/>
      <c r="I2440" s="1494">
        <f>PRODUCT(C2440:H2440)</f>
        <v>1</v>
      </c>
      <c r="J2440" s="1549"/>
      <c r="K2440" s="1550"/>
      <c r="L2440" s="1550"/>
      <c r="M2440" s="1550"/>
      <c r="N2440" s="1550"/>
      <c r="O2440" s="1550"/>
      <c r="P2440" s="1550"/>
      <c r="Q2440" s="1550"/>
      <c r="R2440" s="1550"/>
      <c r="S2440" s="1550"/>
      <c r="T2440" s="1550"/>
      <c r="U2440" s="1550"/>
      <c r="V2440" s="1550"/>
      <c r="W2440" s="1550"/>
      <c r="X2440" s="1550"/>
      <c r="Y2440" s="1550"/>
      <c r="Z2440" s="1550"/>
      <c r="AA2440" s="1550"/>
      <c r="AB2440" s="1550"/>
      <c r="AC2440" s="1550"/>
      <c r="AD2440" s="1550"/>
      <c r="AE2440" s="1550"/>
      <c r="AF2440" s="1550"/>
      <c r="AG2440" s="1550"/>
    </row>
    <row r="2441" spans="1:33" ht="15.75" customHeight="1">
      <c r="A2441" s="1548"/>
      <c r="B2441" s="1462"/>
      <c r="C2441" s="1504"/>
      <c r="D2441" s="1504"/>
      <c r="E2441" s="1504"/>
      <c r="F2441" s="1500"/>
      <c r="G2441" s="1548"/>
      <c r="H2441" s="1500"/>
      <c r="I2441" s="1494">
        <f>SUM(I2440)</f>
        <v>1</v>
      </c>
      <c r="J2441" s="1549" t="s">
        <v>41</v>
      </c>
      <c r="K2441" s="1550"/>
      <c r="L2441" s="1550"/>
      <c r="M2441" s="1550"/>
      <c r="N2441" s="1550"/>
      <c r="O2441" s="1550"/>
      <c r="P2441" s="1550"/>
      <c r="Q2441" s="1550"/>
      <c r="R2441" s="1550"/>
      <c r="S2441" s="1550"/>
      <c r="T2441" s="1550"/>
      <c r="U2441" s="1550"/>
      <c r="V2441" s="1550"/>
      <c r="W2441" s="1550"/>
      <c r="X2441" s="1550"/>
      <c r="Y2441" s="1550"/>
      <c r="Z2441" s="1550"/>
      <c r="AA2441" s="1550"/>
      <c r="AB2441" s="1550"/>
      <c r="AC2441" s="1550"/>
      <c r="AD2441" s="1550"/>
      <c r="AE2441" s="1550"/>
      <c r="AF2441" s="1550"/>
      <c r="AG2441" s="1550"/>
    </row>
    <row r="2442" spans="1:33" ht="94.5">
      <c r="A2442" s="1548">
        <v>2</v>
      </c>
      <c r="B2442" s="1462" t="s">
        <v>3646</v>
      </c>
      <c r="C2442" s="1504"/>
      <c r="D2442" s="1504"/>
      <c r="E2442" s="1504"/>
      <c r="F2442" s="1500"/>
      <c r="G2442" s="1548"/>
      <c r="H2442" s="1500"/>
      <c r="I2442" s="1494"/>
      <c r="J2442" s="1549"/>
      <c r="K2442" s="1550"/>
      <c r="L2442" s="1550"/>
      <c r="M2442" s="1550"/>
      <c r="N2442" s="1550"/>
      <c r="O2442" s="1550"/>
      <c r="P2442" s="1550"/>
      <c r="Q2442" s="1550"/>
      <c r="R2442" s="1550"/>
      <c r="S2442" s="1550"/>
      <c r="T2442" s="1550"/>
      <c r="U2442" s="1550"/>
      <c r="V2442" s="1550"/>
      <c r="W2442" s="1550"/>
      <c r="X2442" s="1550"/>
      <c r="Y2442" s="1550"/>
      <c r="Z2442" s="1550"/>
      <c r="AA2442" s="1550"/>
      <c r="AB2442" s="1550"/>
      <c r="AC2442" s="1550"/>
      <c r="AD2442" s="1550"/>
      <c r="AE2442" s="1550"/>
      <c r="AF2442" s="1550"/>
      <c r="AG2442" s="1550"/>
    </row>
    <row r="2443" spans="1:33" ht="15.75" customHeight="1">
      <c r="A2443" s="1548"/>
      <c r="B2443" s="1462" t="s">
        <v>7290</v>
      </c>
      <c r="C2443" s="1504">
        <v>1</v>
      </c>
      <c r="D2443" s="1504" t="s">
        <v>3364</v>
      </c>
      <c r="E2443" s="1504">
        <v>1</v>
      </c>
      <c r="F2443" s="1500"/>
      <c r="G2443" s="1548"/>
      <c r="H2443" s="1500"/>
      <c r="I2443" s="1494">
        <f>PRODUCT(C2443:H2443)</f>
        <v>1</v>
      </c>
      <c r="J2443" s="1549" t="s">
        <v>41</v>
      </c>
      <c r="K2443" s="1550"/>
      <c r="L2443" s="1550"/>
      <c r="M2443" s="1550"/>
      <c r="N2443" s="1550"/>
      <c r="O2443" s="1550"/>
      <c r="P2443" s="1550"/>
      <c r="Q2443" s="1550"/>
      <c r="R2443" s="1550"/>
      <c r="S2443" s="1550"/>
      <c r="T2443" s="1550"/>
      <c r="U2443" s="1550"/>
      <c r="V2443" s="1550"/>
      <c r="W2443" s="1550"/>
      <c r="X2443" s="1550"/>
      <c r="Y2443" s="1550"/>
      <c r="Z2443" s="1550"/>
      <c r="AA2443" s="1550"/>
      <c r="AB2443" s="1550"/>
      <c r="AC2443" s="1550"/>
      <c r="AD2443" s="1550"/>
      <c r="AE2443" s="1550"/>
      <c r="AF2443" s="1550"/>
      <c r="AG2443" s="1550"/>
    </row>
    <row r="2444" spans="1:33" ht="63">
      <c r="A2444" s="1548">
        <v>4</v>
      </c>
      <c r="B2444" s="1462" t="s">
        <v>3647</v>
      </c>
      <c r="C2444" s="1504"/>
      <c r="D2444" s="1504"/>
      <c r="E2444" s="1504"/>
      <c r="F2444" s="1500"/>
      <c r="G2444" s="1548"/>
      <c r="H2444" s="1500"/>
      <c r="I2444" s="1494"/>
      <c r="J2444" s="1549"/>
      <c r="K2444" s="1550"/>
      <c r="L2444" s="1550"/>
      <c r="M2444" s="1550"/>
      <c r="N2444" s="1550"/>
      <c r="O2444" s="1550"/>
      <c r="P2444" s="1550"/>
      <c r="Q2444" s="1550"/>
      <c r="R2444" s="1550"/>
      <c r="S2444" s="1550"/>
      <c r="T2444" s="1550"/>
      <c r="U2444" s="1550"/>
      <c r="V2444" s="1550"/>
      <c r="W2444" s="1550"/>
      <c r="X2444" s="1550"/>
      <c r="Y2444" s="1550"/>
      <c r="Z2444" s="1550"/>
      <c r="AA2444" s="1550"/>
      <c r="AB2444" s="1550"/>
      <c r="AC2444" s="1550"/>
      <c r="AD2444" s="1550"/>
      <c r="AE2444" s="1550"/>
      <c r="AF2444" s="1550"/>
      <c r="AG2444" s="1550"/>
    </row>
    <row r="2445" spans="1:33" ht="15.75" customHeight="1">
      <c r="A2445" s="1548"/>
      <c r="B2445" s="1462" t="s">
        <v>7291</v>
      </c>
      <c r="C2445" s="1504">
        <v>1</v>
      </c>
      <c r="D2445" s="1504" t="s">
        <v>3364</v>
      </c>
      <c r="E2445" s="1504">
        <v>1</v>
      </c>
      <c r="F2445" s="1500">
        <v>9.5</v>
      </c>
      <c r="G2445" s="1548"/>
      <c r="H2445" s="1500"/>
      <c r="I2445" s="1448">
        <f t="shared" ref="I2445:I2450" si="94">PRODUCT(C2445:H2445)</f>
        <v>9.5</v>
      </c>
      <c r="J2445" s="1549"/>
      <c r="K2445" s="1550"/>
      <c r="L2445" s="1550"/>
      <c r="M2445" s="1550"/>
      <c r="N2445" s="1550"/>
      <c r="O2445" s="1550"/>
      <c r="P2445" s="1550"/>
      <c r="Q2445" s="1550"/>
      <c r="R2445" s="1550"/>
      <c r="S2445" s="1550"/>
      <c r="T2445" s="1550"/>
      <c r="U2445" s="1550"/>
      <c r="V2445" s="1550"/>
      <c r="W2445" s="1550"/>
      <c r="X2445" s="1550"/>
      <c r="Y2445" s="1550"/>
      <c r="Z2445" s="1550"/>
      <c r="AA2445" s="1550"/>
      <c r="AB2445" s="1550"/>
      <c r="AC2445" s="1550"/>
      <c r="AD2445" s="1550"/>
      <c r="AE2445" s="1550"/>
      <c r="AF2445" s="1550"/>
      <c r="AG2445" s="1550"/>
    </row>
    <row r="2446" spans="1:33" ht="15.75" customHeight="1">
      <c r="A2446" s="1548"/>
      <c r="B2446" s="1462" t="s">
        <v>7292</v>
      </c>
      <c r="C2446" s="1504">
        <v>1</v>
      </c>
      <c r="D2446" s="1504" t="s">
        <v>3364</v>
      </c>
      <c r="E2446" s="1504">
        <v>1</v>
      </c>
      <c r="F2446" s="1500">
        <v>9.5</v>
      </c>
      <c r="G2446" s="1548"/>
      <c r="H2446" s="1500"/>
      <c r="I2446" s="1448">
        <f t="shared" si="94"/>
        <v>9.5</v>
      </c>
      <c r="J2446" s="1549"/>
      <c r="K2446" s="1550"/>
      <c r="L2446" s="1550"/>
      <c r="M2446" s="1550"/>
      <c r="N2446" s="1550"/>
      <c r="O2446" s="1550"/>
      <c r="P2446" s="1550"/>
      <c r="Q2446" s="1550"/>
      <c r="R2446" s="1550"/>
      <c r="S2446" s="1550"/>
      <c r="T2446" s="1550"/>
      <c r="U2446" s="1550"/>
      <c r="V2446" s="1550"/>
      <c r="W2446" s="1550"/>
      <c r="X2446" s="1550"/>
      <c r="Y2446" s="1550"/>
      <c r="Z2446" s="1550"/>
      <c r="AA2446" s="1550"/>
      <c r="AB2446" s="1550"/>
      <c r="AC2446" s="1550"/>
      <c r="AD2446" s="1550"/>
      <c r="AE2446" s="1550"/>
      <c r="AF2446" s="1550"/>
      <c r="AG2446" s="1550"/>
    </row>
    <row r="2447" spans="1:33" ht="15.75" customHeight="1">
      <c r="A2447" s="1548"/>
      <c r="B2447" s="1462" t="s">
        <v>7293</v>
      </c>
      <c r="C2447" s="1504">
        <v>1</v>
      </c>
      <c r="D2447" s="1504" t="s">
        <v>3364</v>
      </c>
      <c r="E2447" s="1504">
        <v>1</v>
      </c>
      <c r="F2447" s="1500">
        <v>9.5</v>
      </c>
      <c r="G2447" s="1548"/>
      <c r="H2447" s="1500"/>
      <c r="I2447" s="1448">
        <f t="shared" si="94"/>
        <v>9.5</v>
      </c>
      <c r="J2447" s="1549"/>
      <c r="K2447" s="1550"/>
      <c r="L2447" s="1550"/>
      <c r="M2447" s="1550"/>
      <c r="N2447" s="1550"/>
      <c r="O2447" s="1550"/>
      <c r="P2447" s="1550"/>
      <c r="Q2447" s="1550"/>
      <c r="R2447" s="1550"/>
      <c r="S2447" s="1550"/>
      <c r="T2447" s="1550"/>
      <c r="U2447" s="1550"/>
      <c r="V2447" s="1550"/>
      <c r="W2447" s="1550"/>
      <c r="X2447" s="1550"/>
      <c r="Y2447" s="1550"/>
      <c r="Z2447" s="1550"/>
      <c r="AA2447" s="1550"/>
      <c r="AB2447" s="1550"/>
      <c r="AC2447" s="1550"/>
      <c r="AD2447" s="1550"/>
      <c r="AE2447" s="1550"/>
      <c r="AF2447" s="1550"/>
      <c r="AG2447" s="1550"/>
    </row>
    <row r="2448" spans="1:33" ht="15.75" customHeight="1">
      <c r="A2448" s="1548"/>
      <c r="B2448" s="1462" t="s">
        <v>7294</v>
      </c>
      <c r="C2448" s="1504">
        <v>1</v>
      </c>
      <c r="D2448" s="1504" t="s">
        <v>3364</v>
      </c>
      <c r="E2448" s="1504">
        <v>1</v>
      </c>
      <c r="F2448" s="1500">
        <v>9.5</v>
      </c>
      <c r="G2448" s="1548"/>
      <c r="H2448" s="1500"/>
      <c r="I2448" s="1448">
        <f t="shared" si="94"/>
        <v>9.5</v>
      </c>
      <c r="J2448" s="1549"/>
      <c r="K2448" s="1550"/>
      <c r="L2448" s="1550"/>
      <c r="M2448" s="1550"/>
      <c r="N2448" s="1550"/>
      <c r="O2448" s="1550"/>
      <c r="P2448" s="1550"/>
      <c r="Q2448" s="1550"/>
      <c r="R2448" s="1550"/>
      <c r="S2448" s="1550"/>
      <c r="T2448" s="1550"/>
      <c r="U2448" s="1550"/>
      <c r="V2448" s="1550"/>
      <c r="W2448" s="1550"/>
      <c r="X2448" s="1550"/>
      <c r="Y2448" s="1550"/>
      <c r="Z2448" s="1550"/>
      <c r="AA2448" s="1550"/>
      <c r="AB2448" s="1550"/>
      <c r="AC2448" s="1550"/>
      <c r="AD2448" s="1550"/>
      <c r="AE2448" s="1550"/>
      <c r="AF2448" s="1550"/>
      <c r="AG2448" s="1550"/>
    </row>
    <row r="2449" spans="1:33" ht="15.75" customHeight="1">
      <c r="A2449" s="1548"/>
      <c r="B2449" s="1462" t="s">
        <v>7295</v>
      </c>
      <c r="C2449" s="1504">
        <v>1</v>
      </c>
      <c r="D2449" s="1504" t="s">
        <v>3364</v>
      </c>
      <c r="E2449" s="1504">
        <v>1</v>
      </c>
      <c r="F2449" s="1500">
        <v>9.5</v>
      </c>
      <c r="G2449" s="1548"/>
      <c r="H2449" s="1500"/>
      <c r="I2449" s="1448">
        <f t="shared" si="94"/>
        <v>9.5</v>
      </c>
      <c r="J2449" s="1549"/>
      <c r="K2449" s="1550"/>
      <c r="L2449" s="1550"/>
      <c r="M2449" s="1550"/>
      <c r="N2449" s="1550"/>
      <c r="O2449" s="1550"/>
      <c r="P2449" s="1550"/>
      <c r="Q2449" s="1550"/>
      <c r="R2449" s="1550"/>
      <c r="S2449" s="1550"/>
      <c r="T2449" s="1550"/>
      <c r="U2449" s="1550"/>
      <c r="V2449" s="1550"/>
      <c r="W2449" s="1550"/>
      <c r="X2449" s="1550"/>
      <c r="Y2449" s="1550"/>
      <c r="Z2449" s="1550"/>
      <c r="AA2449" s="1550"/>
      <c r="AB2449" s="1550"/>
      <c r="AC2449" s="1550"/>
      <c r="AD2449" s="1550"/>
      <c r="AE2449" s="1550"/>
      <c r="AF2449" s="1550"/>
      <c r="AG2449" s="1550"/>
    </row>
    <row r="2450" spans="1:33" ht="15.75" customHeight="1">
      <c r="A2450" s="1548"/>
      <c r="B2450" s="1462" t="s">
        <v>7289</v>
      </c>
      <c r="C2450" s="1504">
        <v>1</v>
      </c>
      <c r="D2450" s="1504" t="s">
        <v>3364</v>
      </c>
      <c r="E2450" s="1504">
        <v>1</v>
      </c>
      <c r="F2450" s="1500">
        <v>9.5</v>
      </c>
      <c r="G2450" s="1548"/>
      <c r="H2450" s="1500"/>
      <c r="I2450" s="1448">
        <f t="shared" si="94"/>
        <v>9.5</v>
      </c>
      <c r="J2450" s="1549"/>
      <c r="K2450" s="1550"/>
      <c r="L2450" s="1550"/>
      <c r="M2450" s="1550"/>
      <c r="N2450" s="1550"/>
      <c r="O2450" s="1550"/>
      <c r="P2450" s="1550"/>
      <c r="Q2450" s="1550"/>
      <c r="R2450" s="1550"/>
      <c r="S2450" s="1550"/>
      <c r="T2450" s="1550"/>
      <c r="U2450" s="1550"/>
      <c r="V2450" s="1550"/>
      <c r="W2450" s="1550"/>
      <c r="X2450" s="1550"/>
      <c r="Y2450" s="1550"/>
      <c r="Z2450" s="1550"/>
      <c r="AA2450" s="1550"/>
      <c r="AB2450" s="1550"/>
      <c r="AC2450" s="1550"/>
      <c r="AD2450" s="1550"/>
      <c r="AE2450" s="1550"/>
      <c r="AF2450" s="1550"/>
      <c r="AG2450" s="1550"/>
    </row>
    <row r="2451" spans="1:33" ht="15.75" customHeight="1">
      <c r="A2451" s="1548"/>
      <c r="B2451" s="1462"/>
      <c r="C2451" s="1504"/>
      <c r="D2451" s="1504"/>
      <c r="E2451" s="1504"/>
      <c r="F2451" s="1500"/>
      <c r="G2451" s="1548"/>
      <c r="H2451" s="1500"/>
      <c r="I2451" s="1494">
        <f>SUM(I2445:I2450)</f>
        <v>57</v>
      </c>
      <c r="J2451" s="1549" t="s">
        <v>13</v>
      </c>
      <c r="K2451" s="1550"/>
      <c r="L2451" s="1550"/>
      <c r="M2451" s="1550"/>
      <c r="N2451" s="1550"/>
      <c r="O2451" s="1550"/>
      <c r="P2451" s="1550"/>
      <c r="Q2451" s="1550"/>
      <c r="R2451" s="1550"/>
      <c r="S2451" s="1550"/>
      <c r="T2451" s="1550"/>
      <c r="U2451" s="1550"/>
      <c r="V2451" s="1550"/>
      <c r="W2451" s="1550"/>
      <c r="X2451" s="1550"/>
      <c r="Y2451" s="1550"/>
      <c r="Z2451" s="1550"/>
      <c r="AA2451" s="1550"/>
      <c r="AB2451" s="1550"/>
      <c r="AC2451" s="1550"/>
      <c r="AD2451" s="1550"/>
      <c r="AE2451" s="1550"/>
      <c r="AF2451" s="1550"/>
      <c r="AG2451" s="1550"/>
    </row>
    <row r="2452" spans="1:33" ht="47.25">
      <c r="A2452" s="1548">
        <v>5</v>
      </c>
      <c r="B2452" s="1462" t="s">
        <v>3648</v>
      </c>
      <c r="C2452" s="1504"/>
      <c r="D2452" s="1504"/>
      <c r="E2452" s="1504"/>
      <c r="F2452" s="1500"/>
      <c r="G2452" s="1548"/>
      <c r="H2452" s="1500"/>
      <c r="I2452" s="1494"/>
      <c r="J2452" s="1549"/>
      <c r="K2452" s="1550"/>
      <c r="L2452" s="1550"/>
      <c r="M2452" s="1550"/>
      <c r="N2452" s="1550"/>
      <c r="O2452" s="1550"/>
      <c r="P2452" s="1550"/>
      <c r="Q2452" s="1550"/>
      <c r="R2452" s="1550"/>
      <c r="S2452" s="1550"/>
      <c r="T2452" s="1550"/>
      <c r="U2452" s="1550"/>
      <c r="V2452" s="1550"/>
      <c r="W2452" s="1550"/>
      <c r="X2452" s="1550"/>
      <c r="Y2452" s="1550"/>
      <c r="Z2452" s="1550"/>
      <c r="AA2452" s="1550"/>
      <c r="AB2452" s="1550"/>
      <c r="AC2452" s="1550"/>
      <c r="AD2452" s="1550"/>
      <c r="AE2452" s="1550"/>
      <c r="AF2452" s="1550"/>
      <c r="AG2452" s="1550"/>
    </row>
    <row r="2453" spans="1:33" ht="15.75" customHeight="1">
      <c r="A2453" s="1548"/>
      <c r="B2453" s="1462" t="s">
        <v>7291</v>
      </c>
      <c r="C2453" s="1504">
        <v>1</v>
      </c>
      <c r="D2453" s="1504" t="s">
        <v>3364</v>
      </c>
      <c r="E2453" s="1504">
        <v>1</v>
      </c>
      <c r="F2453" s="1500">
        <v>9.5</v>
      </c>
      <c r="G2453" s="1548"/>
      <c r="H2453" s="1500"/>
      <c r="I2453" s="1448">
        <f t="shared" ref="I2453:I2458" si="95">PRODUCT(C2453:H2453)</f>
        <v>9.5</v>
      </c>
      <c r="J2453" s="1549"/>
      <c r="K2453" s="1550"/>
      <c r="L2453" s="1550"/>
      <c r="M2453" s="1550"/>
      <c r="N2453" s="1550"/>
      <c r="O2453" s="1550"/>
      <c r="P2453" s="1550"/>
      <c r="Q2453" s="1550"/>
      <c r="R2453" s="1550"/>
      <c r="S2453" s="1550"/>
      <c r="T2453" s="1550"/>
      <c r="U2453" s="1550"/>
      <c r="V2453" s="1550"/>
      <c r="W2453" s="1550"/>
      <c r="X2453" s="1550"/>
      <c r="Y2453" s="1550"/>
      <c r="Z2453" s="1550"/>
      <c r="AA2453" s="1550"/>
      <c r="AB2453" s="1550"/>
      <c r="AC2453" s="1550"/>
      <c r="AD2453" s="1550"/>
      <c r="AE2453" s="1550"/>
      <c r="AF2453" s="1550"/>
      <c r="AG2453" s="1550"/>
    </row>
    <row r="2454" spans="1:33" ht="15.75" customHeight="1">
      <c r="A2454" s="1548"/>
      <c r="B2454" s="1462" t="s">
        <v>7292</v>
      </c>
      <c r="C2454" s="1504">
        <v>1</v>
      </c>
      <c r="D2454" s="1504" t="s">
        <v>3364</v>
      </c>
      <c r="E2454" s="1504">
        <v>1</v>
      </c>
      <c r="F2454" s="1500">
        <v>12</v>
      </c>
      <c r="G2454" s="1548"/>
      <c r="H2454" s="1500"/>
      <c r="I2454" s="1448">
        <f t="shared" si="95"/>
        <v>12</v>
      </c>
      <c r="J2454" s="1549"/>
      <c r="K2454" s="1550"/>
      <c r="L2454" s="1550"/>
      <c r="M2454" s="1550"/>
      <c r="N2454" s="1550"/>
      <c r="O2454" s="1550"/>
      <c r="P2454" s="1550"/>
      <c r="Q2454" s="1550"/>
      <c r="R2454" s="1550"/>
      <c r="S2454" s="1550"/>
      <c r="T2454" s="1550"/>
      <c r="U2454" s="1550"/>
      <c r="V2454" s="1550"/>
      <c r="W2454" s="1550"/>
      <c r="X2454" s="1550"/>
      <c r="Y2454" s="1550"/>
      <c r="Z2454" s="1550"/>
      <c r="AA2454" s="1550"/>
      <c r="AB2454" s="1550"/>
      <c r="AC2454" s="1550"/>
      <c r="AD2454" s="1550"/>
      <c r="AE2454" s="1550"/>
      <c r="AF2454" s="1550"/>
      <c r="AG2454" s="1550"/>
    </row>
    <row r="2455" spans="1:33" ht="15.75" customHeight="1">
      <c r="A2455" s="1548"/>
      <c r="B2455" s="1462" t="s">
        <v>7293</v>
      </c>
      <c r="C2455" s="1504">
        <v>1</v>
      </c>
      <c r="D2455" s="1504" t="s">
        <v>3364</v>
      </c>
      <c r="E2455" s="1504">
        <v>1</v>
      </c>
      <c r="F2455" s="1500">
        <v>12</v>
      </c>
      <c r="G2455" s="1548"/>
      <c r="H2455" s="1500"/>
      <c r="I2455" s="1448">
        <f t="shared" si="95"/>
        <v>12</v>
      </c>
      <c r="J2455" s="1549"/>
      <c r="K2455" s="1550"/>
      <c r="L2455" s="1550"/>
      <c r="M2455" s="1550"/>
      <c r="N2455" s="1550"/>
      <c r="O2455" s="1550"/>
      <c r="P2455" s="1550"/>
      <c r="Q2455" s="1550"/>
      <c r="R2455" s="1550"/>
      <c r="S2455" s="1550"/>
      <c r="T2455" s="1550"/>
      <c r="U2455" s="1550"/>
      <c r="V2455" s="1550"/>
      <c r="W2455" s="1550"/>
      <c r="X2455" s="1550"/>
      <c r="Y2455" s="1550"/>
      <c r="Z2455" s="1550"/>
      <c r="AA2455" s="1550"/>
      <c r="AB2455" s="1550"/>
      <c r="AC2455" s="1550"/>
      <c r="AD2455" s="1550"/>
      <c r="AE2455" s="1550"/>
      <c r="AF2455" s="1550"/>
      <c r="AG2455" s="1550"/>
    </row>
    <row r="2456" spans="1:33" ht="15.75" customHeight="1">
      <c r="A2456" s="1548"/>
      <c r="B2456" s="1462" t="s">
        <v>7294</v>
      </c>
      <c r="C2456" s="1504">
        <v>1</v>
      </c>
      <c r="D2456" s="1504" t="s">
        <v>3364</v>
      </c>
      <c r="E2456" s="1504">
        <v>1</v>
      </c>
      <c r="F2456" s="1500">
        <v>12</v>
      </c>
      <c r="G2456" s="1548"/>
      <c r="H2456" s="1500"/>
      <c r="I2456" s="1448">
        <f t="shared" si="95"/>
        <v>12</v>
      </c>
      <c r="J2456" s="1549"/>
      <c r="K2456" s="1550"/>
      <c r="L2456" s="1550"/>
      <c r="M2456" s="1550"/>
      <c r="N2456" s="1550"/>
      <c r="O2456" s="1550"/>
      <c r="P2456" s="1550"/>
      <c r="Q2456" s="1550"/>
      <c r="R2456" s="1550"/>
      <c r="S2456" s="1550"/>
      <c r="T2456" s="1550"/>
      <c r="U2456" s="1550"/>
      <c r="V2456" s="1550"/>
      <c r="W2456" s="1550"/>
      <c r="X2456" s="1550"/>
      <c r="Y2456" s="1550"/>
      <c r="Z2456" s="1550"/>
      <c r="AA2456" s="1550"/>
      <c r="AB2456" s="1550"/>
      <c r="AC2456" s="1550"/>
      <c r="AD2456" s="1550"/>
      <c r="AE2456" s="1550"/>
      <c r="AF2456" s="1550"/>
      <c r="AG2456" s="1550"/>
    </row>
    <row r="2457" spans="1:33" ht="15.75" customHeight="1">
      <c r="A2457" s="1548"/>
      <c r="B2457" s="1462" t="s">
        <v>7295</v>
      </c>
      <c r="C2457" s="1504">
        <v>1</v>
      </c>
      <c r="D2457" s="1504" t="s">
        <v>3364</v>
      </c>
      <c r="E2457" s="1504">
        <v>1</v>
      </c>
      <c r="F2457" s="1500">
        <v>12</v>
      </c>
      <c r="G2457" s="1548"/>
      <c r="H2457" s="1500"/>
      <c r="I2457" s="1448">
        <f t="shared" si="95"/>
        <v>12</v>
      </c>
      <c r="J2457" s="1549"/>
      <c r="K2457" s="1550"/>
      <c r="L2457" s="1550"/>
      <c r="M2457" s="1550"/>
      <c r="N2457" s="1550"/>
      <c r="O2457" s="1550"/>
      <c r="P2457" s="1550"/>
      <c r="Q2457" s="1550"/>
      <c r="R2457" s="1550"/>
      <c r="S2457" s="1550"/>
      <c r="T2457" s="1550"/>
      <c r="U2457" s="1550"/>
      <c r="V2457" s="1550"/>
      <c r="W2457" s="1550"/>
      <c r="X2457" s="1550"/>
      <c r="Y2457" s="1550"/>
      <c r="Z2457" s="1550"/>
      <c r="AA2457" s="1550"/>
      <c r="AB2457" s="1550"/>
      <c r="AC2457" s="1550"/>
      <c r="AD2457" s="1550"/>
      <c r="AE2457" s="1550"/>
      <c r="AF2457" s="1550"/>
      <c r="AG2457" s="1550"/>
    </row>
    <row r="2458" spans="1:33" ht="15.75" customHeight="1">
      <c r="A2458" s="1548"/>
      <c r="B2458" s="1462" t="s">
        <v>7289</v>
      </c>
      <c r="C2458" s="1504">
        <v>1</v>
      </c>
      <c r="D2458" s="1504" t="s">
        <v>3364</v>
      </c>
      <c r="E2458" s="1504">
        <v>1</v>
      </c>
      <c r="F2458" s="1500">
        <v>12</v>
      </c>
      <c r="G2458" s="1548"/>
      <c r="H2458" s="1500"/>
      <c r="I2458" s="1448">
        <f t="shared" si="95"/>
        <v>12</v>
      </c>
      <c r="J2458" s="1549"/>
      <c r="K2458" s="1550"/>
      <c r="L2458" s="1550"/>
      <c r="M2458" s="1550"/>
      <c r="N2458" s="1550"/>
      <c r="O2458" s="1550"/>
      <c r="P2458" s="1550"/>
      <c r="Q2458" s="1550"/>
      <c r="R2458" s="1550"/>
      <c r="S2458" s="1550"/>
      <c r="T2458" s="1550"/>
      <c r="U2458" s="1550"/>
      <c r="V2458" s="1550"/>
      <c r="W2458" s="1550"/>
      <c r="X2458" s="1550"/>
      <c r="Y2458" s="1550"/>
      <c r="Z2458" s="1550"/>
      <c r="AA2458" s="1550"/>
      <c r="AB2458" s="1550"/>
      <c r="AC2458" s="1550"/>
      <c r="AD2458" s="1550"/>
      <c r="AE2458" s="1550"/>
      <c r="AF2458" s="1550"/>
      <c r="AG2458" s="1550"/>
    </row>
    <row r="2459" spans="1:33" ht="15.75" customHeight="1">
      <c r="A2459" s="1548"/>
      <c r="B2459" s="1462"/>
      <c r="C2459" s="1504"/>
      <c r="D2459" s="1504"/>
      <c r="E2459" s="1504"/>
      <c r="F2459" s="1500"/>
      <c r="G2459" s="1548"/>
      <c r="H2459" s="1500"/>
      <c r="I2459" s="1494">
        <f>SUM(I2453:I2458)</f>
        <v>69.5</v>
      </c>
      <c r="J2459" s="1549" t="s">
        <v>13</v>
      </c>
      <c r="K2459" s="1550"/>
      <c r="L2459" s="1550"/>
      <c r="M2459" s="1550"/>
      <c r="N2459" s="1550"/>
      <c r="O2459" s="1550"/>
      <c r="P2459" s="1550"/>
      <c r="Q2459" s="1550"/>
      <c r="R2459" s="1550"/>
      <c r="S2459" s="1550"/>
      <c r="T2459" s="1550"/>
      <c r="U2459" s="1550"/>
      <c r="V2459" s="1550"/>
      <c r="W2459" s="1550"/>
      <c r="X2459" s="1550"/>
      <c r="Y2459" s="1550"/>
      <c r="Z2459" s="1550"/>
      <c r="AA2459" s="1550"/>
      <c r="AB2459" s="1550"/>
      <c r="AC2459" s="1550"/>
      <c r="AD2459" s="1550"/>
      <c r="AE2459" s="1550"/>
      <c r="AF2459" s="1550"/>
      <c r="AG2459" s="1550"/>
    </row>
    <row r="2460" spans="1:33" ht="267.75">
      <c r="A2460" s="1451">
        <v>52.4</v>
      </c>
      <c r="B2460" s="1462" t="s">
        <v>7296</v>
      </c>
      <c r="C2460" s="1484"/>
      <c r="D2460" s="1484"/>
      <c r="E2460" s="1484"/>
      <c r="F2460" s="1446"/>
      <c r="G2460" s="1446"/>
      <c r="H2460" s="1447"/>
      <c r="I2460" s="1448"/>
      <c r="J2460" s="1475"/>
      <c r="K2460" s="1439"/>
      <c r="L2460" s="1439"/>
      <c r="M2460" s="1439"/>
      <c r="N2460" s="1439"/>
      <c r="O2460" s="1439"/>
      <c r="P2460" s="1439"/>
      <c r="Q2460" s="1439"/>
      <c r="R2460" s="1439"/>
      <c r="S2460" s="1439"/>
      <c r="T2460" s="1439"/>
      <c r="U2460" s="1439"/>
      <c r="V2460" s="1439"/>
      <c r="W2460" s="1439"/>
      <c r="X2460" s="1439"/>
      <c r="Y2460" s="1439"/>
      <c r="Z2460" s="1439"/>
      <c r="AA2460" s="1439"/>
      <c r="AB2460" s="1439"/>
      <c r="AC2460" s="1439"/>
      <c r="AD2460" s="1439"/>
      <c r="AE2460" s="1439"/>
      <c r="AF2460" s="1439"/>
      <c r="AG2460" s="1439"/>
    </row>
    <row r="2461" spans="1:33" ht="15.75" customHeight="1">
      <c r="A2461" s="1451"/>
      <c r="B2461" s="1517" t="s">
        <v>3650</v>
      </c>
      <c r="C2461" s="1484"/>
      <c r="D2461" s="1484"/>
      <c r="E2461" s="1484"/>
      <c r="F2461" s="1446"/>
      <c r="G2461" s="1446"/>
      <c r="H2461" s="1447"/>
      <c r="I2461" s="1448"/>
      <c r="J2461" s="1475"/>
      <c r="K2461" s="1439"/>
      <c r="L2461" s="1439"/>
      <c r="M2461" s="1439"/>
      <c r="N2461" s="1439"/>
      <c r="O2461" s="1439"/>
      <c r="P2461" s="1439"/>
      <c r="Q2461" s="1439"/>
      <c r="R2461" s="1439"/>
      <c r="S2461" s="1439"/>
      <c r="T2461" s="1439"/>
      <c r="U2461" s="1439"/>
      <c r="V2461" s="1439"/>
      <c r="W2461" s="1439"/>
      <c r="X2461" s="1439"/>
      <c r="Y2461" s="1439"/>
      <c r="Z2461" s="1439"/>
      <c r="AA2461" s="1439"/>
      <c r="AB2461" s="1439"/>
      <c r="AC2461" s="1439"/>
      <c r="AD2461" s="1439"/>
      <c r="AE2461" s="1439"/>
      <c r="AF2461" s="1439"/>
      <c r="AG2461" s="1439"/>
    </row>
    <row r="2462" spans="1:33" ht="15.75" customHeight="1">
      <c r="A2462" s="1470"/>
      <c r="B2462" s="1450" t="s">
        <v>7297</v>
      </c>
      <c r="C2462" s="1484">
        <v>1</v>
      </c>
      <c r="D2462" s="1484" t="s">
        <v>3364</v>
      </c>
      <c r="E2462" s="1484">
        <v>3</v>
      </c>
      <c r="F2462" s="1446">
        <v>3.6</v>
      </c>
      <c r="G2462" s="1446"/>
      <c r="H2462" s="1447"/>
      <c r="I2462" s="1448">
        <f t="shared" ref="I2462:I2468" si="96">PRODUCT(C2462:H2462)</f>
        <v>10.8</v>
      </c>
      <c r="J2462" s="1525"/>
      <c r="K2462" s="1439"/>
      <c r="L2462" s="1439"/>
      <c r="M2462" s="1439"/>
      <c r="N2462" s="1439"/>
      <c r="O2462" s="1439"/>
      <c r="P2462" s="1439"/>
      <c r="Q2462" s="1439"/>
      <c r="R2462" s="1439"/>
      <c r="S2462" s="1439"/>
      <c r="T2462" s="1439"/>
      <c r="U2462" s="1439"/>
      <c r="V2462" s="1439"/>
      <c r="W2462" s="1439"/>
      <c r="X2462" s="1439"/>
      <c r="Y2462" s="1439"/>
      <c r="Z2462" s="1439"/>
      <c r="AA2462" s="1439"/>
      <c r="AB2462" s="1439"/>
      <c r="AC2462" s="1439"/>
      <c r="AD2462" s="1439"/>
      <c r="AE2462" s="1439"/>
      <c r="AF2462" s="1439"/>
      <c r="AG2462" s="1439"/>
    </row>
    <row r="2463" spans="1:33" ht="15.75" customHeight="1">
      <c r="A2463" s="1470"/>
      <c r="B2463" s="1474" t="s">
        <v>7298</v>
      </c>
      <c r="C2463" s="1484">
        <v>1</v>
      </c>
      <c r="D2463" s="1484" t="s">
        <v>3364</v>
      </c>
      <c r="E2463" s="1484">
        <v>2</v>
      </c>
      <c r="F2463" s="1446">
        <f>10+3+2.5</f>
        <v>15.5</v>
      </c>
      <c r="G2463" s="1446"/>
      <c r="H2463" s="1447"/>
      <c r="I2463" s="1448">
        <f t="shared" si="96"/>
        <v>31</v>
      </c>
      <c r="J2463" s="1475"/>
      <c r="K2463" s="1439"/>
      <c r="L2463" s="1439"/>
      <c r="M2463" s="1439"/>
      <c r="N2463" s="1439"/>
      <c r="O2463" s="1439"/>
      <c r="P2463" s="1439"/>
      <c r="Q2463" s="1439"/>
      <c r="R2463" s="1439"/>
      <c r="S2463" s="1439"/>
      <c r="T2463" s="1439"/>
      <c r="U2463" s="1439"/>
      <c r="V2463" s="1439"/>
      <c r="W2463" s="1439"/>
      <c r="X2463" s="1439"/>
      <c r="Y2463" s="1439"/>
      <c r="Z2463" s="1439"/>
      <c r="AA2463" s="1439"/>
      <c r="AB2463" s="1439"/>
      <c r="AC2463" s="1439"/>
      <c r="AD2463" s="1439"/>
      <c r="AE2463" s="1439"/>
      <c r="AF2463" s="1439"/>
      <c r="AG2463" s="1439"/>
    </row>
    <row r="2464" spans="1:33" ht="15.75" customHeight="1">
      <c r="A2464" s="1470"/>
      <c r="B2464" s="1474" t="s">
        <v>7299</v>
      </c>
      <c r="C2464" s="1484">
        <v>1</v>
      </c>
      <c r="D2464" s="1484" t="s">
        <v>3364</v>
      </c>
      <c r="E2464" s="1484">
        <v>1</v>
      </c>
      <c r="F2464" s="1446">
        <v>3.6</v>
      </c>
      <c r="G2464" s="1446"/>
      <c r="H2464" s="1447"/>
      <c r="I2464" s="1448">
        <f t="shared" si="96"/>
        <v>3.6</v>
      </c>
      <c r="J2464" s="1475"/>
      <c r="K2464" s="1439"/>
      <c r="L2464" s="1439"/>
      <c r="M2464" s="1439"/>
      <c r="N2464" s="1439"/>
      <c r="O2464" s="1439"/>
      <c r="P2464" s="1439"/>
      <c r="Q2464" s="1439"/>
      <c r="R2464" s="1439"/>
      <c r="S2464" s="1439"/>
      <c r="T2464" s="1439"/>
      <c r="U2464" s="1439"/>
      <c r="V2464" s="1439"/>
      <c r="W2464" s="1439"/>
      <c r="X2464" s="1439"/>
      <c r="Y2464" s="1439"/>
      <c r="Z2464" s="1439"/>
      <c r="AA2464" s="1439"/>
      <c r="AB2464" s="1439"/>
      <c r="AC2464" s="1439"/>
      <c r="AD2464" s="1439"/>
      <c r="AE2464" s="1439"/>
      <c r="AF2464" s="1439"/>
      <c r="AG2464" s="1439"/>
    </row>
    <row r="2465" spans="1:33" ht="15.75" customHeight="1">
      <c r="A2465" s="1470"/>
      <c r="B2465" s="1474" t="s">
        <v>7300</v>
      </c>
      <c r="C2465" s="1484">
        <v>2</v>
      </c>
      <c r="D2465" s="1484" t="s">
        <v>3364</v>
      </c>
      <c r="E2465" s="1484">
        <v>3</v>
      </c>
      <c r="F2465" s="1446">
        <f>1.8+2+1.5</f>
        <v>5.3</v>
      </c>
      <c r="G2465" s="1446"/>
      <c r="H2465" s="1447"/>
      <c r="I2465" s="1448">
        <f t="shared" si="96"/>
        <v>31.8</v>
      </c>
      <c r="J2465" s="1475"/>
      <c r="K2465" s="1439"/>
      <c r="L2465" s="1439">
        <v>1</v>
      </c>
      <c r="M2465" s="1439"/>
      <c r="N2465" s="1439"/>
      <c r="O2465" s="1439"/>
      <c r="P2465" s="1439"/>
      <c r="Q2465" s="1439"/>
      <c r="R2465" s="1439"/>
      <c r="S2465" s="1439"/>
      <c r="T2465" s="1439"/>
      <c r="U2465" s="1439"/>
      <c r="V2465" s="1439"/>
      <c r="W2465" s="1439"/>
      <c r="X2465" s="1439"/>
      <c r="Y2465" s="1439"/>
      <c r="Z2465" s="1439"/>
      <c r="AA2465" s="1439"/>
      <c r="AB2465" s="1439"/>
      <c r="AC2465" s="1439"/>
      <c r="AD2465" s="1439"/>
      <c r="AE2465" s="1439"/>
      <c r="AF2465" s="1439"/>
      <c r="AG2465" s="1439"/>
    </row>
    <row r="2466" spans="1:33" ht="15.75" customHeight="1">
      <c r="A2466" s="1470"/>
      <c r="B2466" s="1474" t="s">
        <v>7301</v>
      </c>
      <c r="C2466" s="1484">
        <v>2</v>
      </c>
      <c r="D2466" s="1484" t="s">
        <v>3364</v>
      </c>
      <c r="E2466" s="1484">
        <v>2</v>
      </c>
      <c r="F2466" s="1446">
        <f>6.25+2.2</f>
        <v>8.4499999999999993</v>
      </c>
      <c r="G2466" s="1446"/>
      <c r="H2466" s="1447"/>
      <c r="I2466" s="1448">
        <f t="shared" si="96"/>
        <v>33.799999999999997</v>
      </c>
      <c r="J2466" s="1475"/>
      <c r="K2466" s="1439"/>
      <c r="L2466" s="1439">
        <v>1</v>
      </c>
      <c r="M2466" s="1439"/>
      <c r="N2466" s="1439"/>
      <c r="O2466" s="1439"/>
      <c r="P2466" s="1439"/>
      <c r="Q2466" s="1439"/>
      <c r="R2466" s="1439"/>
      <c r="S2466" s="1439"/>
      <c r="T2466" s="1439"/>
      <c r="U2466" s="1439"/>
      <c r="V2466" s="1439"/>
      <c r="W2466" s="1439"/>
      <c r="X2466" s="1439"/>
      <c r="Y2466" s="1439"/>
      <c r="Z2466" s="1439"/>
      <c r="AA2466" s="1439"/>
      <c r="AB2466" s="1439"/>
      <c r="AC2466" s="1439"/>
      <c r="AD2466" s="1439"/>
      <c r="AE2466" s="1439"/>
      <c r="AF2466" s="1439"/>
      <c r="AG2466" s="1439"/>
    </row>
    <row r="2467" spans="1:33" ht="15.75" customHeight="1">
      <c r="A2467" s="1470"/>
      <c r="B2467" s="1474" t="s">
        <v>3539</v>
      </c>
      <c r="C2467" s="1484">
        <v>2</v>
      </c>
      <c r="D2467" s="1484" t="s">
        <v>3364</v>
      </c>
      <c r="E2467" s="1484">
        <v>7</v>
      </c>
      <c r="F2467" s="1446">
        <v>6.5</v>
      </c>
      <c r="G2467" s="1446"/>
      <c r="H2467" s="1447"/>
      <c r="I2467" s="1448">
        <f t="shared" si="96"/>
        <v>91</v>
      </c>
      <c r="J2467" s="1475"/>
      <c r="K2467" s="1439"/>
      <c r="L2467" s="1439"/>
      <c r="M2467" s="1439"/>
      <c r="N2467" s="1439"/>
      <c r="O2467" s="1439"/>
      <c r="P2467" s="1439"/>
      <c r="Q2467" s="1439"/>
      <c r="R2467" s="1439"/>
      <c r="S2467" s="1439"/>
      <c r="T2467" s="1439"/>
      <c r="U2467" s="1439"/>
      <c r="V2467" s="1439"/>
      <c r="W2467" s="1439"/>
      <c r="X2467" s="1439"/>
      <c r="Y2467" s="1439"/>
      <c r="Z2467" s="1439"/>
      <c r="AA2467" s="1439"/>
      <c r="AB2467" s="1439"/>
      <c r="AC2467" s="1439"/>
      <c r="AD2467" s="1439"/>
      <c r="AE2467" s="1439"/>
      <c r="AF2467" s="1439"/>
      <c r="AG2467" s="1439"/>
    </row>
    <row r="2468" spans="1:33" ht="15.75" customHeight="1">
      <c r="A2468" s="1470"/>
      <c r="B2468" s="1474" t="s">
        <v>7302</v>
      </c>
      <c r="C2468" s="1484">
        <v>4</v>
      </c>
      <c r="D2468" s="1484" t="s">
        <v>3364</v>
      </c>
      <c r="E2468" s="1484">
        <v>2</v>
      </c>
      <c r="F2468" s="1446">
        <v>8.4</v>
      </c>
      <c r="G2468" s="1446"/>
      <c r="H2468" s="1447"/>
      <c r="I2468" s="1448">
        <f t="shared" si="96"/>
        <v>67.2</v>
      </c>
      <c r="J2468" s="1475"/>
      <c r="K2468" s="1439"/>
      <c r="L2468" s="1439">
        <v>1</v>
      </c>
      <c r="M2468" s="1439"/>
      <c r="N2468" s="1439"/>
      <c r="O2468" s="1439"/>
      <c r="P2468" s="1439"/>
      <c r="Q2468" s="1439"/>
      <c r="R2468" s="1439"/>
      <c r="S2468" s="1439"/>
      <c r="T2468" s="1439"/>
      <c r="U2468" s="1439"/>
      <c r="V2468" s="1439"/>
      <c r="W2468" s="1439"/>
      <c r="X2468" s="1439"/>
      <c r="Y2468" s="1439"/>
      <c r="Z2468" s="1439"/>
      <c r="AA2468" s="1439"/>
      <c r="AB2468" s="1439"/>
      <c r="AC2468" s="1439"/>
      <c r="AD2468" s="1439"/>
      <c r="AE2468" s="1439"/>
      <c r="AF2468" s="1439"/>
      <c r="AG2468" s="1439"/>
    </row>
    <row r="2469" spans="1:33" ht="15.75" customHeight="1">
      <c r="A2469" s="1470"/>
      <c r="B2469" s="1450"/>
      <c r="C2469" s="1484"/>
      <c r="D2469" s="1484"/>
      <c r="E2469" s="1484"/>
      <c r="F2469" s="1446"/>
      <c r="G2469" s="1458" t="s">
        <v>104</v>
      </c>
      <c r="H2469" s="1447"/>
      <c r="I2469" s="1459">
        <f>SUM(I2462:I2468)</f>
        <v>269.2</v>
      </c>
      <c r="J2469" s="1475"/>
      <c r="K2469" s="1439"/>
      <c r="L2469" s="1439"/>
      <c r="M2469" s="1439"/>
      <c r="N2469" s="1439"/>
      <c r="O2469" s="1439"/>
      <c r="P2469" s="1439"/>
      <c r="Q2469" s="1439"/>
      <c r="R2469" s="1439"/>
      <c r="S2469" s="1439"/>
      <c r="T2469" s="1439"/>
      <c r="U2469" s="1439"/>
      <c r="V2469" s="1439"/>
      <c r="W2469" s="1439"/>
      <c r="X2469" s="1439"/>
      <c r="Y2469" s="1439"/>
      <c r="Z2469" s="1439"/>
      <c r="AA2469" s="1439"/>
      <c r="AB2469" s="1439"/>
      <c r="AC2469" s="1439"/>
      <c r="AD2469" s="1439"/>
      <c r="AE2469" s="1439"/>
      <c r="AF2469" s="1439"/>
      <c r="AG2469" s="1439"/>
    </row>
    <row r="2470" spans="1:33" ht="15.75" customHeight="1">
      <c r="A2470" s="1470"/>
      <c r="B2470" s="1450"/>
      <c r="C2470" s="1484"/>
      <c r="D2470" s="1484"/>
      <c r="E2470" s="1484"/>
      <c r="F2470" s="1446"/>
      <c r="G2470" s="1446"/>
      <c r="H2470" s="1460" t="s">
        <v>2981</v>
      </c>
      <c r="I2470" s="1479">
        <f>CEILING(I2469,0.1)</f>
        <v>269.2</v>
      </c>
      <c r="J2470" s="1475" t="s">
        <v>468</v>
      </c>
      <c r="K2470" s="1439"/>
      <c r="L2470" s="1439"/>
      <c r="M2470" s="1439"/>
      <c r="N2470" s="1439"/>
      <c r="O2470" s="1439"/>
      <c r="P2470" s="1439"/>
      <c r="Q2470" s="1439"/>
      <c r="R2470" s="1439"/>
      <c r="S2470" s="1439"/>
      <c r="T2470" s="1439"/>
      <c r="U2470" s="1439"/>
      <c r="V2470" s="1439"/>
      <c r="W2470" s="1439"/>
      <c r="X2470" s="1439"/>
      <c r="Y2470" s="1439"/>
      <c r="Z2470" s="1439"/>
      <c r="AA2470" s="1439"/>
      <c r="AB2470" s="1439"/>
      <c r="AC2470" s="1439"/>
      <c r="AD2470" s="1439"/>
      <c r="AE2470" s="1439"/>
      <c r="AF2470" s="1439"/>
      <c r="AG2470" s="1439"/>
    </row>
    <row r="2471" spans="1:33" ht="31.5">
      <c r="A2471" s="1551">
        <v>53.4</v>
      </c>
      <c r="B2471" s="1456" t="s">
        <v>3651</v>
      </c>
      <c r="C2471" s="1537"/>
      <c r="D2471" s="1537"/>
      <c r="E2471" s="1537"/>
      <c r="F2471" s="1458"/>
      <c r="G2471" s="1458"/>
      <c r="H2471" s="1460"/>
      <c r="I2471" s="1459"/>
      <c r="J2471" s="1475"/>
      <c r="K2471" s="1466"/>
      <c r="L2471" s="1439">
        <v>1</v>
      </c>
      <c r="M2471" s="1439"/>
      <c r="N2471" s="1439"/>
      <c r="O2471" s="1466"/>
      <c r="P2471" s="1466"/>
      <c r="Q2471" s="1466"/>
      <c r="R2471" s="1466"/>
      <c r="S2471" s="1466"/>
      <c r="T2471" s="1466"/>
      <c r="U2471" s="1466"/>
      <c r="V2471" s="1466"/>
      <c r="W2471" s="1466"/>
      <c r="X2471" s="1466"/>
      <c r="Y2471" s="1466"/>
      <c r="Z2471" s="1466"/>
      <c r="AA2471" s="1466"/>
      <c r="AB2471" s="1466"/>
      <c r="AC2471" s="1466"/>
      <c r="AD2471" s="1466"/>
      <c r="AE2471" s="1466"/>
      <c r="AF2471" s="1466"/>
      <c r="AG2471" s="1466"/>
    </row>
    <row r="2472" spans="1:33" ht="15.75" customHeight="1">
      <c r="A2472" s="1472"/>
      <c r="B2472" s="1450" t="s">
        <v>3652</v>
      </c>
      <c r="C2472" s="1484">
        <v>1</v>
      </c>
      <c r="D2472" s="1484" t="s">
        <v>3364</v>
      </c>
      <c r="E2472" s="1484">
        <v>2</v>
      </c>
      <c r="F2472" s="1446"/>
      <c r="G2472" s="1446"/>
      <c r="H2472" s="1447"/>
      <c r="I2472" s="1448">
        <f>PRODUCT(C2472:H2472)</f>
        <v>2</v>
      </c>
      <c r="J2472" s="1492"/>
      <c r="K2472" s="1439"/>
      <c r="L2472" s="1439">
        <v>1</v>
      </c>
      <c r="M2472" s="1439"/>
      <c r="N2472" s="1439"/>
      <c r="O2472" s="1439"/>
      <c r="P2472" s="1439"/>
      <c r="Q2472" s="1439"/>
      <c r="R2472" s="1439"/>
      <c r="S2472" s="1439"/>
      <c r="T2472" s="1439"/>
      <c r="U2472" s="1439"/>
      <c r="V2472" s="1439"/>
      <c r="W2472" s="1439"/>
      <c r="X2472" s="1439"/>
      <c r="Y2472" s="1439"/>
      <c r="Z2472" s="1439"/>
      <c r="AA2472" s="1439"/>
      <c r="AB2472" s="1439"/>
      <c r="AC2472" s="1439"/>
      <c r="AD2472" s="1439"/>
      <c r="AE2472" s="1439"/>
      <c r="AF2472" s="1439"/>
      <c r="AG2472" s="1439"/>
    </row>
    <row r="2473" spans="1:33" ht="15.75" customHeight="1">
      <c r="A2473" s="1472"/>
      <c r="B2473" s="1450" t="s">
        <v>3653</v>
      </c>
      <c r="C2473" s="1484">
        <v>1</v>
      </c>
      <c r="D2473" s="1484" t="s">
        <v>3364</v>
      </c>
      <c r="E2473" s="1484">
        <v>2</v>
      </c>
      <c r="F2473" s="1446"/>
      <c r="G2473" s="1446"/>
      <c r="H2473" s="1447"/>
      <c r="I2473" s="1448">
        <f>PRODUCT(C2473:H2473)</f>
        <v>2</v>
      </c>
      <c r="J2473" s="1492"/>
      <c r="K2473" s="1439"/>
      <c r="L2473" s="1439"/>
      <c r="M2473" s="1439"/>
      <c r="N2473" s="1439"/>
      <c r="O2473" s="1439"/>
      <c r="P2473" s="1439"/>
      <c r="Q2473" s="1439"/>
      <c r="R2473" s="1439"/>
      <c r="S2473" s="1439"/>
      <c r="T2473" s="1439"/>
      <c r="U2473" s="1439"/>
      <c r="V2473" s="1439"/>
      <c r="W2473" s="1439"/>
      <c r="X2473" s="1439"/>
      <c r="Y2473" s="1439"/>
      <c r="Z2473" s="1439"/>
      <c r="AA2473" s="1439"/>
      <c r="AB2473" s="1439"/>
      <c r="AC2473" s="1439"/>
      <c r="AD2473" s="1439"/>
      <c r="AE2473" s="1439"/>
      <c r="AF2473" s="1439"/>
      <c r="AG2473" s="1439"/>
    </row>
    <row r="2474" spans="1:33" ht="15.75" customHeight="1">
      <c r="A2474" s="1472"/>
      <c r="B2474" s="1450" t="s">
        <v>3654</v>
      </c>
      <c r="C2474" s="1484">
        <v>1</v>
      </c>
      <c r="D2474" s="1484" t="s">
        <v>3364</v>
      </c>
      <c r="E2474" s="1484">
        <v>2</v>
      </c>
      <c r="F2474" s="1446"/>
      <c r="G2474" s="1446"/>
      <c r="H2474" s="1447"/>
      <c r="I2474" s="1448">
        <f>PRODUCT(C2474:H2474)</f>
        <v>2</v>
      </c>
      <c r="J2474" s="1492"/>
      <c r="K2474" s="1439"/>
      <c r="L2474" s="1439"/>
      <c r="M2474" s="1439"/>
      <c r="N2474" s="1439"/>
      <c r="O2474" s="1439"/>
      <c r="P2474" s="1439"/>
      <c r="Q2474" s="1439"/>
      <c r="R2474" s="1439"/>
      <c r="S2474" s="1439"/>
      <c r="T2474" s="1439"/>
      <c r="U2474" s="1439"/>
      <c r="V2474" s="1439"/>
      <c r="W2474" s="1439"/>
      <c r="X2474" s="1439"/>
      <c r="Y2474" s="1439"/>
      <c r="Z2474" s="1439"/>
      <c r="AA2474" s="1439"/>
      <c r="AB2474" s="1439"/>
      <c r="AC2474" s="1439"/>
      <c r="AD2474" s="1439"/>
      <c r="AE2474" s="1439"/>
      <c r="AF2474" s="1439"/>
      <c r="AG2474" s="1439"/>
    </row>
    <row r="2475" spans="1:33" ht="15.75" customHeight="1">
      <c r="A2475" s="1470"/>
      <c r="B2475" s="1450"/>
      <c r="C2475" s="1484"/>
      <c r="D2475" s="1484"/>
      <c r="E2475" s="1484"/>
      <c r="F2475" s="1446"/>
      <c r="G2475" s="1446"/>
      <c r="H2475" s="1447"/>
      <c r="I2475" s="1448">
        <f>SUM(I2472:I2474)</f>
        <v>6</v>
      </c>
      <c r="J2475" s="1475" t="s">
        <v>1034</v>
      </c>
      <c r="K2475" s="1439"/>
      <c r="L2475" s="1439"/>
      <c r="M2475" s="1439"/>
      <c r="N2475" s="1439"/>
      <c r="O2475" s="1439"/>
      <c r="P2475" s="1439"/>
      <c r="Q2475" s="1439"/>
      <c r="R2475" s="1439"/>
      <c r="S2475" s="1439"/>
      <c r="T2475" s="1439"/>
      <c r="U2475" s="1439"/>
      <c r="V2475" s="1439"/>
      <c r="W2475" s="1439"/>
      <c r="X2475" s="1439"/>
      <c r="Y2475" s="1439"/>
      <c r="Z2475" s="1439"/>
      <c r="AA2475" s="1439"/>
      <c r="AB2475" s="1439"/>
      <c r="AC2475" s="1439"/>
      <c r="AD2475" s="1439"/>
      <c r="AE2475" s="1439"/>
      <c r="AF2475" s="1439"/>
      <c r="AG2475" s="1439"/>
    </row>
    <row r="2476" spans="1:33" ht="220.5">
      <c r="A2476" s="1451">
        <v>53.5</v>
      </c>
      <c r="B2476" s="1462" t="s">
        <v>7303</v>
      </c>
      <c r="C2476" s="1484"/>
      <c r="D2476" s="1484"/>
      <c r="E2476" s="1484"/>
      <c r="F2476" s="1446"/>
      <c r="G2476" s="1446"/>
      <c r="H2476" s="1447"/>
      <c r="I2476" s="1448"/>
      <c r="J2476" s="1525"/>
      <c r="K2476" s="1439"/>
      <c r="L2476" s="1439"/>
      <c r="M2476" s="1439"/>
      <c r="N2476" s="1439"/>
      <c r="O2476" s="1439"/>
      <c r="P2476" s="1439"/>
      <c r="Q2476" s="1439"/>
      <c r="R2476" s="1439"/>
      <c r="S2476" s="1439"/>
      <c r="T2476" s="1439"/>
      <c r="U2476" s="1439"/>
      <c r="V2476" s="1439"/>
      <c r="W2476" s="1439"/>
      <c r="X2476" s="1439"/>
      <c r="Y2476" s="1439"/>
      <c r="Z2476" s="1439"/>
      <c r="AA2476" s="1439"/>
      <c r="AB2476" s="1439"/>
      <c r="AC2476" s="1439"/>
      <c r="AD2476" s="1439"/>
      <c r="AE2476" s="1439"/>
      <c r="AF2476" s="1439"/>
      <c r="AG2476" s="1439"/>
    </row>
    <row r="2477" spans="1:33" ht="15.75" customHeight="1">
      <c r="A2477" s="1470"/>
      <c r="B2477" s="1499" t="s">
        <v>7542</v>
      </c>
      <c r="C2477" s="1484">
        <v>1</v>
      </c>
      <c r="D2477" s="1484" t="s">
        <v>3364</v>
      </c>
      <c r="E2477" s="1484">
        <f>Joineries!K20</f>
        <v>29</v>
      </c>
      <c r="F2477" s="1446"/>
      <c r="G2477" s="1446"/>
      <c r="H2477" s="1447"/>
      <c r="I2477" s="1448">
        <f>PRODUCT(C2477:H2477)</f>
        <v>29</v>
      </c>
      <c r="J2477" s="1475"/>
      <c r="K2477" s="1439"/>
      <c r="L2477" s="1439"/>
      <c r="M2477" s="1439"/>
      <c r="N2477" s="1439"/>
      <c r="O2477" s="1439"/>
      <c r="P2477" s="1439"/>
      <c r="Q2477" s="1439"/>
      <c r="R2477" s="1439"/>
      <c r="S2477" s="1439"/>
      <c r="T2477" s="1439"/>
      <c r="U2477" s="1439"/>
      <c r="V2477" s="1439"/>
      <c r="W2477" s="1439"/>
      <c r="X2477" s="1439"/>
      <c r="Y2477" s="1439"/>
      <c r="Z2477" s="1439"/>
      <c r="AA2477" s="1439"/>
      <c r="AB2477" s="1439"/>
      <c r="AC2477" s="1439"/>
      <c r="AD2477" s="1439"/>
      <c r="AE2477" s="1439"/>
      <c r="AF2477" s="1439"/>
      <c r="AG2477" s="1439"/>
    </row>
    <row r="2478" spans="1:33" ht="15.75" customHeight="1">
      <c r="A2478" s="1470"/>
      <c r="B2478" s="1450"/>
      <c r="C2478" s="1484"/>
      <c r="D2478" s="1484"/>
      <c r="E2478" s="1484"/>
      <c r="F2478" s="1446"/>
      <c r="G2478" s="1458" t="s">
        <v>104</v>
      </c>
      <c r="H2478" s="1447"/>
      <c r="I2478" s="1459">
        <f>SUM(I2477:I2477)</f>
        <v>29</v>
      </c>
      <c r="J2478" s="1475"/>
      <c r="K2478" s="1439"/>
      <c r="L2478" s="1439"/>
      <c r="M2478" s="1439"/>
      <c r="N2478" s="1439"/>
      <c r="O2478" s="1439"/>
      <c r="P2478" s="1439"/>
      <c r="Q2478" s="1439"/>
      <c r="R2478" s="1439"/>
      <c r="S2478" s="1439"/>
      <c r="T2478" s="1439"/>
      <c r="U2478" s="1439"/>
      <c r="V2478" s="1439"/>
      <c r="W2478" s="1439"/>
      <c r="X2478" s="1439"/>
      <c r="Y2478" s="1439"/>
      <c r="Z2478" s="1439"/>
      <c r="AA2478" s="1439"/>
      <c r="AB2478" s="1439"/>
      <c r="AC2478" s="1439"/>
      <c r="AD2478" s="1439"/>
      <c r="AE2478" s="1439"/>
      <c r="AF2478" s="1439"/>
      <c r="AG2478" s="1439"/>
    </row>
    <row r="2479" spans="1:33" ht="15.75" customHeight="1">
      <c r="A2479" s="1470"/>
      <c r="B2479" s="1450"/>
      <c r="C2479" s="1484"/>
      <c r="D2479" s="1484"/>
      <c r="E2479" s="1484"/>
      <c r="F2479" s="1446"/>
      <c r="G2479" s="1446"/>
      <c r="H2479" s="1460" t="s">
        <v>2981</v>
      </c>
      <c r="I2479" s="1479">
        <f>CEILING(I2478,0.1)</f>
        <v>29</v>
      </c>
      <c r="J2479" s="1475" t="s">
        <v>3471</v>
      </c>
      <c r="K2479" s="1439"/>
      <c r="L2479" s="1439"/>
      <c r="M2479" s="1439"/>
      <c r="N2479" s="1439"/>
      <c r="O2479" s="1439"/>
      <c r="P2479" s="1439"/>
      <c r="Q2479" s="1439"/>
      <c r="R2479" s="1439"/>
      <c r="S2479" s="1439"/>
      <c r="T2479" s="1439"/>
      <c r="U2479" s="1439"/>
      <c r="V2479" s="1439"/>
      <c r="W2479" s="1439"/>
      <c r="X2479" s="1439"/>
      <c r="Y2479" s="1439"/>
      <c r="Z2479" s="1439"/>
      <c r="AA2479" s="1439"/>
      <c r="AB2479" s="1439"/>
      <c r="AC2479" s="1439"/>
      <c r="AD2479" s="1439"/>
      <c r="AE2479" s="1439"/>
      <c r="AF2479" s="1439"/>
      <c r="AG2479" s="1439"/>
    </row>
    <row r="2480" spans="1:33" ht="47.25">
      <c r="A2480" s="1470"/>
      <c r="B2480" s="1450" t="s">
        <v>3661</v>
      </c>
      <c r="C2480" s="1484"/>
      <c r="D2480" s="1484"/>
      <c r="E2480" s="1484"/>
      <c r="F2480" s="1446"/>
      <c r="G2480" s="1446"/>
      <c r="H2480" s="1460"/>
      <c r="I2480" s="1459"/>
      <c r="J2480" s="1475"/>
      <c r="K2480" s="1439"/>
      <c r="L2480" s="1439"/>
      <c r="M2480" s="1439"/>
      <c r="N2480" s="1439"/>
      <c r="O2480" s="1439"/>
      <c r="P2480" s="1439"/>
      <c r="Q2480" s="1439"/>
      <c r="R2480" s="1439"/>
      <c r="S2480" s="1439"/>
      <c r="T2480" s="1439"/>
      <c r="U2480" s="1439"/>
      <c r="V2480" s="1439"/>
      <c r="W2480" s="1439"/>
      <c r="X2480" s="1439"/>
      <c r="Y2480" s="1439"/>
      <c r="Z2480" s="1439"/>
      <c r="AA2480" s="1439"/>
      <c r="AB2480" s="1439"/>
      <c r="AC2480" s="1439"/>
      <c r="AD2480" s="1439"/>
      <c r="AE2480" s="1439"/>
      <c r="AF2480" s="1439"/>
      <c r="AG2480" s="1439"/>
    </row>
    <row r="2481" spans="1:33" ht="15.75" customHeight="1">
      <c r="A2481" s="1470"/>
      <c r="B2481" s="1452" t="s">
        <v>7553</v>
      </c>
      <c r="C2481" s="1484">
        <f>Joineries!F18+Joineries!G18+Joineries!H18+Joineries!I18</f>
        <v>8</v>
      </c>
      <c r="D2481" s="1484" t="s">
        <v>3364</v>
      </c>
      <c r="E2481" s="1484">
        <v>1</v>
      </c>
      <c r="F2481" s="1446"/>
      <c r="G2481" s="1446"/>
      <c r="H2481" s="1447"/>
      <c r="I2481" s="1448">
        <f>PRODUCT(C2481:H2481)</f>
        <v>8</v>
      </c>
      <c r="J2481" s="1475"/>
      <c r="K2481" s="1439"/>
      <c r="L2481" s="1439"/>
      <c r="M2481" s="1439"/>
      <c r="N2481" s="1439"/>
      <c r="O2481" s="1439"/>
      <c r="P2481" s="1439"/>
      <c r="Q2481" s="1439"/>
      <c r="R2481" s="1439"/>
      <c r="S2481" s="1439"/>
      <c r="T2481" s="1439"/>
      <c r="U2481" s="1439"/>
      <c r="V2481" s="1439"/>
      <c r="W2481" s="1439"/>
      <c r="X2481" s="1439"/>
      <c r="Y2481" s="1439"/>
      <c r="Z2481" s="1439"/>
      <c r="AA2481" s="1439"/>
      <c r="AB2481" s="1439"/>
      <c r="AC2481" s="1439"/>
      <c r="AD2481" s="1439"/>
      <c r="AE2481" s="1439"/>
      <c r="AF2481" s="1439"/>
      <c r="AG2481" s="1439"/>
    </row>
    <row r="2482" spans="1:33" ht="15.75" customHeight="1">
      <c r="A2482" s="1470"/>
      <c r="B2482" s="1450"/>
      <c r="C2482" s="1484"/>
      <c r="D2482" s="1484"/>
      <c r="E2482" s="1484"/>
      <c r="F2482" s="1446"/>
      <c r="G2482" s="1458" t="s">
        <v>104</v>
      </c>
      <c r="H2482" s="1447"/>
      <c r="I2482" s="1459">
        <f>SUM(I2481)</f>
        <v>8</v>
      </c>
      <c r="J2482" s="1475"/>
      <c r="K2482" s="1439"/>
      <c r="L2482" s="1439"/>
      <c r="M2482" s="1439"/>
      <c r="N2482" s="1439"/>
      <c r="O2482" s="1439"/>
      <c r="P2482" s="1439"/>
      <c r="Q2482" s="1439"/>
      <c r="R2482" s="1439"/>
      <c r="S2482" s="1439"/>
      <c r="T2482" s="1439"/>
      <c r="U2482" s="1439"/>
      <c r="V2482" s="1439"/>
      <c r="W2482" s="1439"/>
      <c r="X2482" s="1439"/>
      <c r="Y2482" s="1439"/>
      <c r="Z2482" s="1439"/>
      <c r="AA2482" s="1439"/>
      <c r="AB2482" s="1439"/>
      <c r="AC2482" s="1439"/>
      <c r="AD2482" s="1439"/>
      <c r="AE2482" s="1439"/>
      <c r="AF2482" s="1439"/>
      <c r="AG2482" s="1439"/>
    </row>
    <row r="2483" spans="1:33" ht="15.75" customHeight="1">
      <c r="A2483" s="1470"/>
      <c r="B2483" s="1450"/>
      <c r="C2483" s="1484"/>
      <c r="D2483" s="1484"/>
      <c r="E2483" s="1484"/>
      <c r="F2483" s="1446"/>
      <c r="G2483" s="1446"/>
      <c r="H2483" s="1460" t="s">
        <v>2981</v>
      </c>
      <c r="I2483" s="1479">
        <f>CEILING(I2482,0.1)</f>
        <v>8</v>
      </c>
      <c r="J2483" s="1475" t="s">
        <v>3471</v>
      </c>
      <c r="K2483" s="1439"/>
      <c r="L2483" s="1439"/>
      <c r="M2483" s="1439"/>
      <c r="N2483" s="1439"/>
      <c r="O2483" s="1439"/>
      <c r="P2483" s="1439"/>
      <c r="Q2483" s="1439"/>
      <c r="R2483" s="1439"/>
      <c r="S2483" s="1439"/>
      <c r="T2483" s="1439"/>
      <c r="U2483" s="1439"/>
      <c r="V2483" s="1439"/>
      <c r="W2483" s="1439"/>
      <c r="X2483" s="1439"/>
      <c r="Y2483" s="1439"/>
      <c r="Z2483" s="1439"/>
      <c r="AA2483" s="1439"/>
      <c r="AB2483" s="1439"/>
      <c r="AC2483" s="1439"/>
      <c r="AD2483" s="1439"/>
      <c r="AE2483" s="1439"/>
      <c r="AF2483" s="1439"/>
      <c r="AG2483" s="1439"/>
    </row>
    <row r="2484" spans="1:33" ht="47.25">
      <c r="A2484" s="1451">
        <v>58.4</v>
      </c>
      <c r="B2484" s="1450" t="s">
        <v>3662</v>
      </c>
      <c r="C2484" s="1477"/>
      <c r="D2484" s="1477"/>
      <c r="E2484" s="1477"/>
      <c r="F2484" s="1478"/>
      <c r="G2484" s="1478"/>
      <c r="H2484" s="1442"/>
      <c r="I2484" s="1479"/>
      <c r="J2484" s="1501"/>
      <c r="K2484" s="1439"/>
      <c r="L2484" s="1439"/>
      <c r="M2484" s="1439"/>
      <c r="N2484" s="1439"/>
      <c r="O2484" s="1439"/>
      <c r="P2484" s="1439"/>
      <c r="Q2484" s="1439"/>
      <c r="R2484" s="1439"/>
      <c r="S2484" s="1439"/>
      <c r="T2484" s="1439"/>
      <c r="U2484" s="1439"/>
      <c r="V2484" s="1439"/>
      <c r="W2484" s="1439"/>
      <c r="X2484" s="1439"/>
      <c r="Y2484" s="1439"/>
      <c r="Z2484" s="1439"/>
      <c r="AA2484" s="1439"/>
      <c r="AB2484" s="1439"/>
      <c r="AC2484" s="1439"/>
      <c r="AD2484" s="1439"/>
      <c r="AE2484" s="1439"/>
      <c r="AF2484" s="1439"/>
      <c r="AG2484" s="1439"/>
    </row>
    <row r="2485" spans="1:33" ht="15.75" customHeight="1">
      <c r="A2485" s="1470"/>
      <c r="B2485" s="1450" t="s">
        <v>3663</v>
      </c>
      <c r="C2485" s="1477">
        <v>1</v>
      </c>
      <c r="D2485" s="1477" t="s">
        <v>3364</v>
      </c>
      <c r="E2485" s="1477">
        <v>44</v>
      </c>
      <c r="F2485" s="1478">
        <v>3</v>
      </c>
      <c r="G2485" s="1478"/>
      <c r="H2485" s="1442"/>
      <c r="I2485" s="1448">
        <f>PRODUCT(C2485:H2485)</f>
        <v>132</v>
      </c>
      <c r="J2485" s="1501" t="s">
        <v>13</v>
      </c>
      <c r="K2485" s="1439"/>
      <c r="L2485" s="1439"/>
      <c r="M2485" s="1439"/>
      <c r="N2485" s="1439"/>
      <c r="O2485" s="1439"/>
      <c r="P2485" s="1439"/>
      <c r="Q2485" s="1439"/>
      <c r="R2485" s="1439"/>
      <c r="S2485" s="1439"/>
      <c r="T2485" s="1439"/>
      <c r="U2485" s="1439"/>
      <c r="V2485" s="1439"/>
      <c r="W2485" s="1439"/>
      <c r="X2485" s="1439"/>
      <c r="Y2485" s="1439"/>
      <c r="Z2485" s="1439"/>
      <c r="AA2485" s="1439"/>
      <c r="AB2485" s="1439"/>
      <c r="AC2485" s="1439"/>
      <c r="AD2485" s="1439"/>
      <c r="AE2485" s="1439"/>
      <c r="AF2485" s="1439"/>
      <c r="AG2485" s="1439"/>
    </row>
    <row r="2486" spans="1:33" ht="31.5">
      <c r="A2486" s="1451">
        <v>75.2</v>
      </c>
      <c r="B2486" s="1462" t="s">
        <v>7304</v>
      </c>
      <c r="C2486" s="1484"/>
      <c r="D2486" s="1484"/>
      <c r="E2486" s="1484"/>
      <c r="F2486" s="1446"/>
      <c r="G2486" s="1446"/>
      <c r="H2486" s="1447"/>
      <c r="I2486" s="1448"/>
      <c r="J2486" s="1475"/>
      <c r="K2486" s="1439"/>
      <c r="L2486" s="1439"/>
      <c r="M2486" s="1439"/>
      <c r="N2486" s="1439"/>
      <c r="O2486" s="1439"/>
      <c r="P2486" s="1439"/>
      <c r="Q2486" s="1439"/>
      <c r="R2486" s="1439"/>
      <c r="S2486" s="1439"/>
      <c r="T2486" s="1439"/>
      <c r="U2486" s="1439"/>
      <c r="V2486" s="1439"/>
      <c r="W2486" s="1439"/>
      <c r="X2486" s="1439"/>
      <c r="Y2486" s="1439"/>
      <c r="Z2486" s="1439"/>
      <c r="AA2486" s="1439"/>
      <c r="AB2486" s="1439"/>
      <c r="AC2486" s="1439"/>
      <c r="AD2486" s="1439"/>
      <c r="AE2486" s="1439"/>
      <c r="AF2486" s="1439"/>
      <c r="AG2486" s="1439"/>
    </row>
    <row r="2487" spans="1:33" ht="15.75" customHeight="1">
      <c r="A2487" s="1451"/>
      <c r="B2487" s="1444" t="s">
        <v>3678</v>
      </c>
      <c r="C2487" s="1484"/>
      <c r="D2487" s="1484"/>
      <c r="E2487" s="1484"/>
      <c r="F2487" s="1446"/>
      <c r="G2487" s="1446"/>
      <c r="H2487" s="1447"/>
      <c r="I2487" s="1448"/>
      <c r="J2487" s="1475"/>
      <c r="K2487" s="1439"/>
      <c r="L2487" s="1439"/>
      <c r="M2487" s="1439"/>
      <c r="N2487" s="1439"/>
      <c r="O2487" s="1439"/>
      <c r="P2487" s="1439"/>
      <c r="Q2487" s="1439"/>
      <c r="R2487" s="1439"/>
      <c r="S2487" s="1439"/>
      <c r="T2487" s="1439"/>
      <c r="U2487" s="1439"/>
      <c r="V2487" s="1439"/>
      <c r="W2487" s="1439"/>
      <c r="X2487" s="1439"/>
      <c r="Y2487" s="1439"/>
      <c r="Z2487" s="1439"/>
      <c r="AA2487" s="1439"/>
      <c r="AB2487" s="1439"/>
      <c r="AC2487" s="1439"/>
      <c r="AD2487" s="1439"/>
      <c r="AE2487" s="1439"/>
      <c r="AF2487" s="1439"/>
      <c r="AG2487" s="1439"/>
    </row>
    <row r="2488" spans="1:33" ht="15.75" customHeight="1">
      <c r="A2488" s="1451"/>
      <c r="B2488" s="1456" t="s">
        <v>7157</v>
      </c>
      <c r="C2488" s="1484"/>
      <c r="D2488" s="1484"/>
      <c r="E2488" s="1484"/>
      <c r="F2488" s="1446"/>
      <c r="G2488" s="1446"/>
      <c r="H2488" s="1447"/>
      <c r="I2488" s="1494"/>
      <c r="J2488" s="1492"/>
      <c r="K2488" s="1439"/>
      <c r="L2488" s="1439"/>
      <c r="M2488" s="1439"/>
      <c r="N2488" s="1439"/>
      <c r="O2488" s="1439"/>
      <c r="P2488" s="1439"/>
      <c r="Q2488" s="1439"/>
      <c r="R2488" s="1439"/>
      <c r="S2488" s="1439"/>
      <c r="T2488" s="1439"/>
      <c r="U2488" s="1439"/>
      <c r="V2488" s="1439"/>
      <c r="W2488" s="1439"/>
      <c r="X2488" s="1439"/>
      <c r="Y2488" s="1439"/>
      <c r="Z2488" s="1439"/>
      <c r="AA2488" s="1439"/>
      <c r="AB2488" s="1439"/>
      <c r="AC2488" s="1439"/>
      <c r="AD2488" s="1439"/>
      <c r="AE2488" s="1439"/>
      <c r="AF2488" s="1439"/>
      <c r="AG2488" s="1439"/>
    </row>
    <row r="2489" spans="1:33" ht="15.75" customHeight="1">
      <c r="A2489" s="1451"/>
      <c r="B2489" s="1450" t="s">
        <v>7079</v>
      </c>
      <c r="C2489" s="1484">
        <v>2</v>
      </c>
      <c r="D2489" s="1484" t="s">
        <v>3364</v>
      </c>
      <c r="E2489" s="1484">
        <v>1</v>
      </c>
      <c r="F2489" s="1446"/>
      <c r="G2489" s="1446"/>
      <c r="H2489" s="1447"/>
      <c r="I2489" s="1494">
        <f t="shared" ref="I2489:I2539" si="97">PRODUCT(C2489:H2489)</f>
        <v>2</v>
      </c>
      <c r="J2489" s="1492"/>
      <c r="K2489" s="1439"/>
      <c r="L2489" s="1439"/>
      <c r="M2489" s="1439"/>
      <c r="N2489" s="1439"/>
      <c r="O2489" s="1439"/>
      <c r="P2489" s="1439"/>
      <c r="Q2489" s="1439"/>
      <c r="R2489" s="1439"/>
      <c r="S2489" s="1439"/>
      <c r="T2489" s="1439"/>
      <c r="U2489" s="1439"/>
      <c r="V2489" s="1439"/>
      <c r="W2489" s="1439"/>
      <c r="X2489" s="1439"/>
      <c r="Y2489" s="1439"/>
      <c r="Z2489" s="1439"/>
      <c r="AA2489" s="1439"/>
      <c r="AB2489" s="1439"/>
      <c r="AC2489" s="1439"/>
      <c r="AD2489" s="1439"/>
      <c r="AE2489" s="1439"/>
      <c r="AF2489" s="1439"/>
      <c r="AG2489" s="1439"/>
    </row>
    <row r="2490" spans="1:33" ht="15.75" customHeight="1">
      <c r="A2490" s="1451"/>
      <c r="B2490" s="1450" t="s">
        <v>7214</v>
      </c>
      <c r="C2490" s="1484">
        <v>2</v>
      </c>
      <c r="D2490" s="1484" t="s">
        <v>3364</v>
      </c>
      <c r="E2490" s="1484">
        <v>3</v>
      </c>
      <c r="F2490" s="1446"/>
      <c r="G2490" s="1446"/>
      <c r="H2490" s="1447"/>
      <c r="I2490" s="1494">
        <f t="shared" si="97"/>
        <v>6</v>
      </c>
      <c r="J2490" s="1492"/>
      <c r="K2490" s="1439"/>
      <c r="L2490" s="1439"/>
      <c r="M2490" s="1439"/>
      <c r="N2490" s="1439"/>
      <c r="O2490" s="1439"/>
      <c r="P2490" s="1439"/>
      <c r="Q2490" s="1439"/>
      <c r="R2490" s="1439"/>
      <c r="S2490" s="1439"/>
      <c r="T2490" s="1439"/>
      <c r="U2490" s="1439"/>
      <c r="V2490" s="1439"/>
      <c r="W2490" s="1439"/>
      <c r="X2490" s="1439"/>
      <c r="Y2490" s="1439"/>
      <c r="Z2490" s="1439"/>
      <c r="AA2490" s="1439"/>
      <c r="AB2490" s="1439"/>
      <c r="AC2490" s="1439"/>
      <c r="AD2490" s="1439"/>
      <c r="AE2490" s="1439"/>
      <c r="AF2490" s="1439"/>
      <c r="AG2490" s="1439"/>
    </row>
    <row r="2491" spans="1:33" ht="15.75" customHeight="1">
      <c r="A2491" s="1451"/>
      <c r="B2491" s="1450" t="s">
        <v>7215</v>
      </c>
      <c r="C2491" s="1484">
        <v>1</v>
      </c>
      <c r="D2491" s="1484" t="s">
        <v>3364</v>
      </c>
      <c r="E2491" s="1484">
        <v>2</v>
      </c>
      <c r="F2491" s="1446"/>
      <c r="G2491" s="1446"/>
      <c r="H2491" s="1447"/>
      <c r="I2491" s="1494">
        <f t="shared" si="97"/>
        <v>2</v>
      </c>
      <c r="J2491" s="1492"/>
      <c r="K2491" s="1439"/>
      <c r="L2491" s="1439"/>
      <c r="M2491" s="1439"/>
      <c r="N2491" s="1439"/>
      <c r="O2491" s="1439"/>
      <c r="P2491" s="1439"/>
      <c r="Q2491" s="1439"/>
      <c r="R2491" s="1439"/>
      <c r="S2491" s="1439"/>
      <c r="T2491" s="1439"/>
      <c r="U2491" s="1439"/>
      <c r="V2491" s="1439"/>
      <c r="W2491" s="1439"/>
      <c r="X2491" s="1439"/>
      <c r="Y2491" s="1439"/>
      <c r="Z2491" s="1439"/>
      <c r="AA2491" s="1439"/>
      <c r="AB2491" s="1439"/>
      <c r="AC2491" s="1439"/>
      <c r="AD2491" s="1439"/>
      <c r="AE2491" s="1439"/>
      <c r="AF2491" s="1439"/>
      <c r="AG2491" s="1439"/>
    </row>
    <row r="2492" spans="1:33" ht="15.75" customHeight="1">
      <c r="A2492" s="1451"/>
      <c r="B2492" s="1450" t="s">
        <v>7080</v>
      </c>
      <c r="C2492" s="1484">
        <v>1</v>
      </c>
      <c r="D2492" s="1484" t="s">
        <v>3364</v>
      </c>
      <c r="E2492" s="1484">
        <v>2</v>
      </c>
      <c r="F2492" s="1446"/>
      <c r="G2492" s="1446"/>
      <c r="H2492" s="1447"/>
      <c r="I2492" s="1494">
        <f t="shared" si="97"/>
        <v>2</v>
      </c>
      <c r="J2492" s="1492"/>
      <c r="K2492" s="1439"/>
      <c r="L2492" s="1439"/>
      <c r="M2492" s="1439"/>
      <c r="N2492" s="1439"/>
      <c r="O2492" s="1439"/>
      <c r="P2492" s="1439"/>
      <c r="Q2492" s="1439"/>
      <c r="R2492" s="1439"/>
      <c r="S2492" s="1439"/>
      <c r="T2492" s="1439"/>
      <c r="U2492" s="1439"/>
      <c r="V2492" s="1439"/>
      <c r="W2492" s="1439"/>
      <c r="X2492" s="1439"/>
      <c r="Y2492" s="1439"/>
      <c r="Z2492" s="1439"/>
      <c r="AA2492" s="1439"/>
      <c r="AB2492" s="1439"/>
      <c r="AC2492" s="1439"/>
      <c r="AD2492" s="1439"/>
      <c r="AE2492" s="1439"/>
      <c r="AF2492" s="1439"/>
      <c r="AG2492" s="1439"/>
    </row>
    <row r="2493" spans="1:33" ht="15.75" customHeight="1">
      <c r="A2493" s="1451"/>
      <c r="B2493" s="1450" t="s">
        <v>7216</v>
      </c>
      <c r="C2493" s="1484">
        <v>2</v>
      </c>
      <c r="D2493" s="1484" t="s">
        <v>3364</v>
      </c>
      <c r="E2493" s="1484">
        <v>3</v>
      </c>
      <c r="F2493" s="1446"/>
      <c r="G2493" s="1446"/>
      <c r="H2493" s="1447"/>
      <c r="I2493" s="1494">
        <f t="shared" si="97"/>
        <v>6</v>
      </c>
      <c r="J2493" s="1492"/>
      <c r="K2493" s="1439"/>
      <c r="L2493" s="1439"/>
      <c r="M2493" s="1439"/>
      <c r="N2493" s="1439"/>
      <c r="O2493" s="1439"/>
      <c r="P2493" s="1439"/>
      <c r="Q2493" s="1439"/>
      <c r="R2493" s="1439"/>
      <c r="S2493" s="1439"/>
      <c r="T2493" s="1439"/>
      <c r="U2493" s="1439"/>
      <c r="V2493" s="1439"/>
      <c r="W2493" s="1439"/>
      <c r="X2493" s="1439"/>
      <c r="Y2493" s="1439"/>
      <c r="Z2493" s="1439"/>
      <c r="AA2493" s="1439"/>
      <c r="AB2493" s="1439"/>
      <c r="AC2493" s="1439"/>
      <c r="AD2493" s="1439"/>
      <c r="AE2493" s="1439"/>
      <c r="AF2493" s="1439"/>
      <c r="AG2493" s="1439"/>
    </row>
    <row r="2494" spans="1:33" ht="15.75" customHeight="1">
      <c r="A2494" s="1451"/>
      <c r="B2494" s="1450" t="s">
        <v>7218</v>
      </c>
      <c r="C2494" s="1484">
        <v>1</v>
      </c>
      <c r="D2494" s="1484" t="s">
        <v>3364</v>
      </c>
      <c r="E2494" s="1484">
        <v>1</v>
      </c>
      <c r="F2494" s="1446"/>
      <c r="G2494" s="1446"/>
      <c r="H2494" s="1447"/>
      <c r="I2494" s="1494">
        <f t="shared" si="97"/>
        <v>1</v>
      </c>
      <c r="J2494" s="1492"/>
      <c r="K2494" s="1439"/>
      <c r="L2494" s="1439"/>
      <c r="M2494" s="1439"/>
      <c r="N2494" s="1439"/>
      <c r="O2494" s="1439"/>
      <c r="P2494" s="1439"/>
      <c r="Q2494" s="1439"/>
      <c r="R2494" s="1439"/>
      <c r="S2494" s="1439"/>
      <c r="T2494" s="1439"/>
      <c r="U2494" s="1439"/>
      <c r="V2494" s="1439"/>
      <c r="W2494" s="1439"/>
      <c r="X2494" s="1439"/>
      <c r="Y2494" s="1439"/>
      <c r="Z2494" s="1439"/>
      <c r="AA2494" s="1439"/>
      <c r="AB2494" s="1439"/>
      <c r="AC2494" s="1439"/>
      <c r="AD2494" s="1439"/>
      <c r="AE2494" s="1439"/>
      <c r="AF2494" s="1439"/>
      <c r="AG2494" s="1439"/>
    </row>
    <row r="2495" spans="1:33" ht="15.75" customHeight="1">
      <c r="A2495" s="1451"/>
      <c r="B2495" s="1456" t="s">
        <v>3486</v>
      </c>
      <c r="C2495" s="1484"/>
      <c r="D2495" s="1484"/>
      <c r="E2495" s="1484"/>
      <c r="F2495" s="1446"/>
      <c r="G2495" s="1446"/>
      <c r="H2495" s="1447"/>
      <c r="I2495" s="1494"/>
      <c r="J2495" s="1492"/>
      <c r="K2495" s="1439"/>
      <c r="L2495" s="1439"/>
      <c r="M2495" s="1439"/>
      <c r="N2495" s="1439"/>
      <c r="O2495" s="1439"/>
      <c r="P2495" s="1439"/>
      <c r="Q2495" s="1439"/>
      <c r="R2495" s="1439"/>
      <c r="S2495" s="1439"/>
      <c r="T2495" s="1439"/>
      <c r="U2495" s="1439"/>
      <c r="V2495" s="1439"/>
      <c r="W2495" s="1439"/>
      <c r="X2495" s="1439"/>
      <c r="Y2495" s="1439"/>
      <c r="Z2495" s="1439"/>
      <c r="AA2495" s="1439"/>
      <c r="AB2495" s="1439"/>
      <c r="AC2495" s="1439"/>
      <c r="AD2495" s="1439"/>
      <c r="AE2495" s="1439"/>
      <c r="AF2495" s="1439"/>
      <c r="AG2495" s="1439"/>
    </row>
    <row r="2496" spans="1:33" ht="15.75" customHeight="1">
      <c r="A2496" s="1451"/>
      <c r="B2496" s="1450" t="s">
        <v>7219</v>
      </c>
      <c r="C2496" s="1484">
        <v>1</v>
      </c>
      <c r="D2496" s="1484" t="s">
        <v>3364</v>
      </c>
      <c r="E2496" s="1484">
        <v>1</v>
      </c>
      <c r="F2496" s="1446"/>
      <c r="G2496" s="1446"/>
      <c r="H2496" s="1447"/>
      <c r="I2496" s="1494">
        <f t="shared" si="97"/>
        <v>1</v>
      </c>
      <c r="J2496" s="1492"/>
      <c r="K2496" s="1439"/>
      <c r="L2496" s="1439"/>
      <c r="M2496" s="1439"/>
      <c r="N2496" s="1439"/>
      <c r="O2496" s="1439"/>
      <c r="P2496" s="1439"/>
      <c r="Q2496" s="1439"/>
      <c r="R2496" s="1439"/>
      <c r="S2496" s="1439"/>
      <c r="T2496" s="1439"/>
      <c r="U2496" s="1439"/>
      <c r="V2496" s="1439"/>
      <c r="W2496" s="1439"/>
      <c r="X2496" s="1439"/>
      <c r="Y2496" s="1439"/>
      <c r="Z2496" s="1439"/>
      <c r="AA2496" s="1439"/>
      <c r="AB2496" s="1439"/>
      <c r="AC2496" s="1439"/>
      <c r="AD2496" s="1439"/>
      <c r="AE2496" s="1439"/>
      <c r="AF2496" s="1439"/>
      <c r="AG2496" s="1439"/>
    </row>
    <row r="2497" spans="1:33" ht="15.75" customHeight="1">
      <c r="A2497" s="1451"/>
      <c r="B2497" s="1450" t="s">
        <v>7220</v>
      </c>
      <c r="C2497" s="1484">
        <v>1</v>
      </c>
      <c r="D2497" s="1484" t="s">
        <v>3364</v>
      </c>
      <c r="E2497" s="1484">
        <v>2</v>
      </c>
      <c r="F2497" s="1446"/>
      <c r="G2497" s="1446"/>
      <c r="H2497" s="1447"/>
      <c r="I2497" s="1494">
        <f t="shared" si="97"/>
        <v>2</v>
      </c>
      <c r="J2497" s="1492"/>
      <c r="K2497" s="1439"/>
      <c r="L2497" s="1439"/>
      <c r="M2497" s="1439"/>
      <c r="N2497" s="1439"/>
      <c r="O2497" s="1439"/>
      <c r="P2497" s="1439"/>
      <c r="Q2497" s="1439"/>
      <c r="R2497" s="1439"/>
      <c r="S2497" s="1439"/>
      <c r="T2497" s="1439"/>
      <c r="U2497" s="1439"/>
      <c r="V2497" s="1439"/>
      <c r="W2497" s="1439"/>
      <c r="X2497" s="1439"/>
      <c r="Y2497" s="1439"/>
      <c r="Z2497" s="1439"/>
      <c r="AA2497" s="1439"/>
      <c r="AB2497" s="1439"/>
      <c r="AC2497" s="1439"/>
      <c r="AD2497" s="1439"/>
      <c r="AE2497" s="1439"/>
      <c r="AF2497" s="1439"/>
      <c r="AG2497" s="1439"/>
    </row>
    <row r="2498" spans="1:33" ht="15.75" customHeight="1">
      <c r="A2498" s="1451"/>
      <c r="B2498" s="1450" t="s">
        <v>7221</v>
      </c>
      <c r="C2498" s="1484">
        <v>1</v>
      </c>
      <c r="D2498" s="1484" t="s">
        <v>3364</v>
      </c>
      <c r="E2498" s="1484">
        <v>2</v>
      </c>
      <c r="F2498" s="1446"/>
      <c r="G2498" s="1446"/>
      <c r="H2498" s="1447"/>
      <c r="I2498" s="1494">
        <f t="shared" si="97"/>
        <v>2</v>
      </c>
      <c r="J2498" s="1492"/>
      <c r="K2498" s="1439"/>
      <c r="L2498" s="1439"/>
      <c r="M2498" s="1439"/>
      <c r="N2498" s="1439"/>
      <c r="O2498" s="1439"/>
      <c r="P2498" s="1439"/>
      <c r="Q2498" s="1439"/>
      <c r="R2498" s="1439"/>
      <c r="S2498" s="1439"/>
      <c r="T2498" s="1439"/>
      <c r="U2498" s="1439"/>
      <c r="V2498" s="1439"/>
      <c r="W2498" s="1439"/>
      <c r="X2498" s="1439"/>
      <c r="Y2498" s="1439"/>
      <c r="Z2498" s="1439"/>
      <c r="AA2498" s="1439"/>
      <c r="AB2498" s="1439"/>
      <c r="AC2498" s="1439"/>
      <c r="AD2498" s="1439"/>
      <c r="AE2498" s="1439"/>
      <c r="AF2498" s="1439"/>
      <c r="AG2498" s="1439"/>
    </row>
    <row r="2499" spans="1:33" ht="15.75" customHeight="1">
      <c r="A2499" s="1451"/>
      <c r="B2499" s="1450" t="s">
        <v>7222</v>
      </c>
      <c r="C2499" s="1484">
        <v>1</v>
      </c>
      <c r="D2499" s="1484" t="s">
        <v>3364</v>
      </c>
      <c r="E2499" s="1484">
        <v>1</v>
      </c>
      <c r="F2499" s="1446"/>
      <c r="G2499" s="1446"/>
      <c r="H2499" s="1447"/>
      <c r="I2499" s="1494">
        <f t="shared" si="97"/>
        <v>1</v>
      </c>
      <c r="J2499" s="1492"/>
      <c r="K2499" s="1439"/>
      <c r="L2499" s="1439"/>
      <c r="M2499" s="1439"/>
      <c r="N2499" s="1439"/>
      <c r="O2499" s="1439"/>
      <c r="P2499" s="1439"/>
      <c r="Q2499" s="1439"/>
      <c r="R2499" s="1439"/>
      <c r="S2499" s="1439"/>
      <c r="T2499" s="1439"/>
      <c r="U2499" s="1439"/>
      <c r="V2499" s="1439"/>
      <c r="W2499" s="1439"/>
      <c r="X2499" s="1439"/>
      <c r="Y2499" s="1439"/>
      <c r="Z2499" s="1439"/>
      <c r="AA2499" s="1439"/>
      <c r="AB2499" s="1439"/>
      <c r="AC2499" s="1439"/>
      <c r="AD2499" s="1439"/>
      <c r="AE2499" s="1439"/>
      <c r="AF2499" s="1439"/>
      <c r="AG2499" s="1439"/>
    </row>
    <row r="2500" spans="1:33" ht="15.75" customHeight="1">
      <c r="A2500" s="1451"/>
      <c r="B2500" s="1450" t="s">
        <v>7223</v>
      </c>
      <c r="C2500" s="1484">
        <v>2</v>
      </c>
      <c r="D2500" s="1484" t="s">
        <v>3364</v>
      </c>
      <c r="E2500" s="1484">
        <v>2</v>
      </c>
      <c r="F2500" s="1446"/>
      <c r="G2500" s="1446"/>
      <c r="H2500" s="1447"/>
      <c r="I2500" s="1494">
        <f t="shared" si="97"/>
        <v>4</v>
      </c>
      <c r="J2500" s="1492"/>
      <c r="K2500" s="1439"/>
      <c r="L2500" s="1439"/>
      <c r="M2500" s="1439"/>
      <c r="N2500" s="1439"/>
      <c r="O2500" s="1439"/>
      <c r="P2500" s="1439"/>
      <c r="Q2500" s="1439"/>
      <c r="R2500" s="1439"/>
      <c r="S2500" s="1439"/>
      <c r="T2500" s="1439"/>
      <c r="U2500" s="1439"/>
      <c r="V2500" s="1439"/>
      <c r="W2500" s="1439"/>
      <c r="X2500" s="1439"/>
      <c r="Y2500" s="1439"/>
      <c r="Z2500" s="1439"/>
      <c r="AA2500" s="1439"/>
      <c r="AB2500" s="1439"/>
      <c r="AC2500" s="1439"/>
      <c r="AD2500" s="1439"/>
      <c r="AE2500" s="1439"/>
      <c r="AF2500" s="1439"/>
      <c r="AG2500" s="1439"/>
    </row>
    <row r="2501" spans="1:33" ht="15.75" customHeight="1">
      <c r="A2501" s="1451"/>
      <c r="B2501" s="1450" t="s">
        <v>7083</v>
      </c>
      <c r="C2501" s="1484">
        <v>1</v>
      </c>
      <c r="D2501" s="1484" t="s">
        <v>3364</v>
      </c>
      <c r="E2501" s="1484">
        <v>1</v>
      </c>
      <c r="F2501" s="1446"/>
      <c r="G2501" s="1446"/>
      <c r="H2501" s="1447"/>
      <c r="I2501" s="1494">
        <f t="shared" si="97"/>
        <v>1</v>
      </c>
      <c r="J2501" s="1492"/>
      <c r="K2501" s="1439"/>
      <c r="L2501" s="1439"/>
      <c r="M2501" s="1439"/>
      <c r="N2501" s="1439"/>
      <c r="O2501" s="1439"/>
      <c r="P2501" s="1439"/>
      <c r="Q2501" s="1439"/>
      <c r="R2501" s="1439"/>
      <c r="S2501" s="1439"/>
      <c r="T2501" s="1439"/>
      <c r="U2501" s="1439"/>
      <c r="V2501" s="1439"/>
      <c r="W2501" s="1439"/>
      <c r="X2501" s="1439"/>
      <c r="Y2501" s="1439"/>
      <c r="Z2501" s="1439"/>
      <c r="AA2501" s="1439"/>
      <c r="AB2501" s="1439"/>
      <c r="AC2501" s="1439"/>
      <c r="AD2501" s="1439"/>
      <c r="AE2501" s="1439"/>
      <c r="AF2501" s="1439"/>
      <c r="AG2501" s="1439"/>
    </row>
    <row r="2502" spans="1:33" ht="15.75" customHeight="1">
      <c r="A2502" s="1451"/>
      <c r="B2502" s="1456" t="s">
        <v>3488</v>
      </c>
      <c r="C2502" s="1484"/>
      <c r="D2502" s="1484"/>
      <c r="E2502" s="1484"/>
      <c r="F2502" s="1446"/>
      <c r="G2502" s="1446"/>
      <c r="H2502" s="1447"/>
      <c r="I2502" s="1494">
        <f t="shared" si="97"/>
        <v>0</v>
      </c>
      <c r="J2502" s="1492"/>
      <c r="K2502" s="1439"/>
      <c r="L2502" s="1439"/>
      <c r="M2502" s="1439"/>
      <c r="N2502" s="1439"/>
      <c r="O2502" s="1439"/>
      <c r="P2502" s="1439"/>
      <c r="Q2502" s="1439"/>
      <c r="R2502" s="1439"/>
      <c r="S2502" s="1439"/>
      <c r="T2502" s="1439"/>
      <c r="U2502" s="1439"/>
      <c r="V2502" s="1439"/>
      <c r="W2502" s="1439"/>
      <c r="X2502" s="1439"/>
      <c r="Y2502" s="1439"/>
      <c r="Z2502" s="1439"/>
      <c r="AA2502" s="1439"/>
      <c r="AB2502" s="1439"/>
      <c r="AC2502" s="1439"/>
      <c r="AD2502" s="1439"/>
      <c r="AE2502" s="1439"/>
      <c r="AF2502" s="1439"/>
      <c r="AG2502" s="1439"/>
    </row>
    <row r="2503" spans="1:33" ht="15.75" customHeight="1">
      <c r="A2503" s="1451"/>
      <c r="B2503" s="1450" t="s">
        <v>7224</v>
      </c>
      <c r="C2503" s="1484">
        <v>1</v>
      </c>
      <c r="D2503" s="1484" t="s">
        <v>3364</v>
      </c>
      <c r="E2503" s="1484">
        <v>1</v>
      </c>
      <c r="F2503" s="1446"/>
      <c r="G2503" s="1446"/>
      <c r="H2503" s="1447"/>
      <c r="I2503" s="1494">
        <f t="shared" si="97"/>
        <v>1</v>
      </c>
      <c r="J2503" s="1492"/>
      <c r="K2503" s="1439"/>
      <c r="L2503" s="1439"/>
      <c r="M2503" s="1439"/>
      <c r="N2503" s="1439"/>
      <c r="O2503" s="1439"/>
      <c r="P2503" s="1439"/>
      <c r="Q2503" s="1439"/>
      <c r="R2503" s="1439"/>
      <c r="S2503" s="1439"/>
      <c r="T2503" s="1439"/>
      <c r="U2503" s="1439"/>
      <c r="V2503" s="1439"/>
      <c r="W2503" s="1439"/>
      <c r="X2503" s="1439"/>
      <c r="Y2503" s="1439"/>
      <c r="Z2503" s="1439"/>
      <c r="AA2503" s="1439"/>
      <c r="AB2503" s="1439"/>
      <c r="AC2503" s="1439"/>
      <c r="AD2503" s="1439"/>
      <c r="AE2503" s="1439"/>
      <c r="AF2503" s="1439"/>
      <c r="AG2503" s="1439"/>
    </row>
    <row r="2504" spans="1:33" ht="15.75" customHeight="1">
      <c r="A2504" s="1451"/>
      <c r="B2504" s="1450" t="s">
        <v>7221</v>
      </c>
      <c r="C2504" s="1484">
        <v>1</v>
      </c>
      <c r="D2504" s="1484" t="s">
        <v>3364</v>
      </c>
      <c r="E2504" s="1484">
        <v>2</v>
      </c>
      <c r="F2504" s="1446"/>
      <c r="G2504" s="1446"/>
      <c r="H2504" s="1447"/>
      <c r="I2504" s="1494">
        <f t="shared" si="97"/>
        <v>2</v>
      </c>
      <c r="J2504" s="1492"/>
      <c r="K2504" s="1439"/>
      <c r="L2504" s="1439"/>
      <c r="M2504" s="1439"/>
      <c r="N2504" s="1439"/>
      <c r="O2504" s="1439"/>
      <c r="P2504" s="1439"/>
      <c r="Q2504" s="1439"/>
      <c r="R2504" s="1439"/>
      <c r="S2504" s="1439"/>
      <c r="T2504" s="1439"/>
      <c r="U2504" s="1439"/>
      <c r="V2504" s="1439"/>
      <c r="W2504" s="1439"/>
      <c r="X2504" s="1439"/>
      <c r="Y2504" s="1439"/>
      <c r="Z2504" s="1439"/>
      <c r="AA2504" s="1439"/>
      <c r="AB2504" s="1439"/>
      <c r="AC2504" s="1439"/>
      <c r="AD2504" s="1439"/>
      <c r="AE2504" s="1439"/>
      <c r="AF2504" s="1439"/>
      <c r="AG2504" s="1439"/>
    </row>
    <row r="2505" spans="1:33" ht="15.75" customHeight="1">
      <c r="A2505" s="1451"/>
      <c r="B2505" s="1450" t="s">
        <v>7163</v>
      </c>
      <c r="C2505" s="1484">
        <v>1</v>
      </c>
      <c r="D2505" s="1484" t="s">
        <v>3364</v>
      </c>
      <c r="E2505" s="1484">
        <v>4</v>
      </c>
      <c r="F2505" s="1446"/>
      <c r="G2505" s="1446"/>
      <c r="H2505" s="1447"/>
      <c r="I2505" s="1494">
        <f t="shared" si="97"/>
        <v>4</v>
      </c>
      <c r="J2505" s="1492"/>
      <c r="K2505" s="1439"/>
      <c r="L2505" s="1439"/>
      <c r="M2505" s="1439"/>
      <c r="N2505" s="1439"/>
      <c r="O2505" s="1439"/>
      <c r="P2505" s="1439"/>
      <c r="Q2505" s="1439"/>
      <c r="R2505" s="1439"/>
      <c r="S2505" s="1439"/>
      <c r="T2505" s="1439"/>
      <c r="U2505" s="1439"/>
      <c r="V2505" s="1439"/>
      <c r="W2505" s="1439"/>
      <c r="X2505" s="1439"/>
      <c r="Y2505" s="1439"/>
      <c r="Z2505" s="1439"/>
      <c r="AA2505" s="1439"/>
      <c r="AB2505" s="1439"/>
      <c r="AC2505" s="1439"/>
      <c r="AD2505" s="1439"/>
      <c r="AE2505" s="1439"/>
      <c r="AF2505" s="1439"/>
      <c r="AG2505" s="1439"/>
    </row>
    <row r="2506" spans="1:33" ht="15.75" customHeight="1">
      <c r="A2506" s="1451"/>
      <c r="B2506" s="1450" t="s">
        <v>7227</v>
      </c>
      <c r="C2506" s="1484">
        <v>1</v>
      </c>
      <c r="D2506" s="1484" t="s">
        <v>3364</v>
      </c>
      <c r="E2506" s="1484">
        <v>4</v>
      </c>
      <c r="F2506" s="1446"/>
      <c r="G2506" s="1446"/>
      <c r="H2506" s="1447"/>
      <c r="I2506" s="1494">
        <f t="shared" si="97"/>
        <v>4</v>
      </c>
      <c r="J2506" s="1492"/>
      <c r="K2506" s="1439"/>
      <c r="L2506" s="1439"/>
      <c r="M2506" s="1439"/>
      <c r="N2506" s="1439"/>
      <c r="O2506" s="1439"/>
      <c r="P2506" s="1439"/>
      <c r="Q2506" s="1439"/>
      <c r="R2506" s="1439"/>
      <c r="S2506" s="1439"/>
      <c r="T2506" s="1439"/>
      <c r="U2506" s="1439"/>
      <c r="V2506" s="1439"/>
      <c r="W2506" s="1439"/>
      <c r="X2506" s="1439"/>
      <c r="Y2506" s="1439"/>
      <c r="Z2506" s="1439"/>
      <c r="AA2506" s="1439"/>
      <c r="AB2506" s="1439"/>
      <c r="AC2506" s="1439"/>
      <c r="AD2506" s="1439"/>
      <c r="AE2506" s="1439"/>
      <c r="AF2506" s="1439"/>
      <c r="AG2506" s="1439"/>
    </row>
    <row r="2507" spans="1:33" ht="15.75" customHeight="1">
      <c r="A2507" s="1451"/>
      <c r="B2507" s="1450" t="s">
        <v>7228</v>
      </c>
      <c r="C2507" s="1484">
        <v>1</v>
      </c>
      <c r="D2507" s="1484" t="s">
        <v>3364</v>
      </c>
      <c r="E2507" s="1484">
        <v>4</v>
      </c>
      <c r="F2507" s="1446"/>
      <c r="G2507" s="1446"/>
      <c r="H2507" s="1447"/>
      <c r="I2507" s="1494">
        <f t="shared" si="97"/>
        <v>4</v>
      </c>
      <c r="J2507" s="1492"/>
      <c r="K2507" s="1439"/>
      <c r="L2507" s="1439"/>
      <c r="M2507" s="1439"/>
      <c r="N2507" s="1439"/>
      <c r="O2507" s="1439"/>
      <c r="P2507" s="1439"/>
      <c r="Q2507" s="1439"/>
      <c r="R2507" s="1439"/>
      <c r="S2507" s="1439"/>
      <c r="T2507" s="1439"/>
      <c r="U2507" s="1439"/>
      <c r="V2507" s="1439"/>
      <c r="W2507" s="1439"/>
      <c r="X2507" s="1439"/>
      <c r="Y2507" s="1439"/>
      <c r="Z2507" s="1439"/>
      <c r="AA2507" s="1439"/>
      <c r="AB2507" s="1439"/>
      <c r="AC2507" s="1439"/>
      <c r="AD2507" s="1439"/>
      <c r="AE2507" s="1439"/>
      <c r="AF2507" s="1439"/>
      <c r="AG2507" s="1439"/>
    </row>
    <row r="2508" spans="1:33" ht="15.75" customHeight="1">
      <c r="A2508" s="1451"/>
      <c r="B2508" s="1450" t="s">
        <v>7229</v>
      </c>
      <c r="C2508" s="1484">
        <v>1</v>
      </c>
      <c r="D2508" s="1484" t="s">
        <v>3364</v>
      </c>
      <c r="E2508" s="1484">
        <v>4</v>
      </c>
      <c r="F2508" s="1446"/>
      <c r="G2508" s="1446"/>
      <c r="H2508" s="1447"/>
      <c r="I2508" s="1494">
        <f t="shared" si="97"/>
        <v>4</v>
      </c>
      <c r="J2508" s="1492"/>
      <c r="K2508" s="1439"/>
      <c r="L2508" s="1439"/>
      <c r="M2508" s="1439"/>
      <c r="N2508" s="1439"/>
      <c r="O2508" s="1439"/>
      <c r="P2508" s="1439"/>
      <c r="Q2508" s="1439"/>
      <c r="R2508" s="1439"/>
      <c r="S2508" s="1439"/>
      <c r="T2508" s="1439"/>
      <c r="U2508" s="1439"/>
      <c r="V2508" s="1439"/>
      <c r="W2508" s="1439"/>
      <c r="X2508" s="1439"/>
      <c r="Y2508" s="1439"/>
      <c r="Z2508" s="1439"/>
      <c r="AA2508" s="1439"/>
      <c r="AB2508" s="1439"/>
      <c r="AC2508" s="1439"/>
      <c r="AD2508" s="1439"/>
      <c r="AE2508" s="1439"/>
      <c r="AF2508" s="1439"/>
      <c r="AG2508" s="1439"/>
    </row>
    <row r="2509" spans="1:33" ht="15.75" customHeight="1">
      <c r="A2509" s="1451"/>
      <c r="B2509" s="1450" t="s">
        <v>7230</v>
      </c>
      <c r="C2509" s="1484">
        <v>3</v>
      </c>
      <c r="D2509" s="1484" t="s">
        <v>3364</v>
      </c>
      <c r="E2509" s="1484">
        <v>4</v>
      </c>
      <c r="F2509" s="1446"/>
      <c r="G2509" s="1446"/>
      <c r="H2509" s="1447"/>
      <c r="I2509" s="1494">
        <f t="shared" si="97"/>
        <v>12</v>
      </c>
      <c r="J2509" s="1492"/>
      <c r="K2509" s="1439"/>
      <c r="L2509" s="1439"/>
      <c r="M2509" s="1439"/>
      <c r="N2509" s="1439"/>
      <c r="O2509" s="1439"/>
      <c r="P2509" s="1439"/>
      <c r="Q2509" s="1439"/>
      <c r="R2509" s="1439"/>
      <c r="S2509" s="1439"/>
      <c r="T2509" s="1439"/>
      <c r="U2509" s="1439"/>
      <c r="V2509" s="1439"/>
      <c r="W2509" s="1439"/>
      <c r="X2509" s="1439"/>
      <c r="Y2509" s="1439"/>
      <c r="Z2509" s="1439"/>
      <c r="AA2509" s="1439"/>
      <c r="AB2509" s="1439"/>
      <c r="AC2509" s="1439"/>
      <c r="AD2509" s="1439"/>
      <c r="AE2509" s="1439"/>
      <c r="AF2509" s="1439"/>
      <c r="AG2509" s="1439"/>
    </row>
    <row r="2510" spans="1:33" ht="15.75" customHeight="1">
      <c r="A2510" s="1451"/>
      <c r="B2510" s="1450" t="s">
        <v>6723</v>
      </c>
      <c r="C2510" s="1484">
        <v>1</v>
      </c>
      <c r="D2510" s="1484" t="s">
        <v>3364</v>
      </c>
      <c r="E2510" s="1484">
        <v>2</v>
      </c>
      <c r="F2510" s="1446"/>
      <c r="G2510" s="1446"/>
      <c r="H2510" s="1447"/>
      <c r="I2510" s="1494">
        <f t="shared" si="97"/>
        <v>2</v>
      </c>
      <c r="J2510" s="1492"/>
      <c r="K2510" s="1439"/>
      <c r="L2510" s="1439"/>
      <c r="M2510" s="1439"/>
      <c r="N2510" s="1439"/>
      <c r="O2510" s="1439"/>
      <c r="P2510" s="1439"/>
      <c r="Q2510" s="1439"/>
      <c r="R2510" s="1439"/>
      <c r="S2510" s="1439"/>
      <c r="T2510" s="1439"/>
      <c r="U2510" s="1439"/>
      <c r="V2510" s="1439"/>
      <c r="W2510" s="1439"/>
      <c r="X2510" s="1439"/>
      <c r="Y2510" s="1439"/>
      <c r="Z2510" s="1439"/>
      <c r="AA2510" s="1439"/>
      <c r="AB2510" s="1439"/>
      <c r="AC2510" s="1439"/>
      <c r="AD2510" s="1439"/>
      <c r="AE2510" s="1439"/>
      <c r="AF2510" s="1439"/>
      <c r="AG2510" s="1439"/>
    </row>
    <row r="2511" spans="1:33" ht="15.75" customHeight="1">
      <c r="A2511" s="1451"/>
      <c r="B2511" s="1450" t="s">
        <v>6933</v>
      </c>
      <c r="C2511" s="1484">
        <v>1</v>
      </c>
      <c r="D2511" s="1484" t="s">
        <v>3364</v>
      </c>
      <c r="E2511" s="1484">
        <v>1</v>
      </c>
      <c r="F2511" s="1446"/>
      <c r="G2511" s="1446"/>
      <c r="H2511" s="1447"/>
      <c r="I2511" s="1494">
        <f t="shared" si="97"/>
        <v>1</v>
      </c>
      <c r="J2511" s="1492"/>
      <c r="K2511" s="1439"/>
      <c r="L2511" s="1439"/>
      <c r="M2511" s="1439"/>
      <c r="N2511" s="1439"/>
      <c r="O2511" s="1439"/>
      <c r="P2511" s="1439"/>
      <c r="Q2511" s="1439"/>
      <c r="R2511" s="1439"/>
      <c r="S2511" s="1439"/>
      <c r="T2511" s="1439"/>
      <c r="U2511" s="1439"/>
      <c r="V2511" s="1439"/>
      <c r="W2511" s="1439"/>
      <c r="X2511" s="1439"/>
      <c r="Y2511" s="1439"/>
      <c r="Z2511" s="1439"/>
      <c r="AA2511" s="1439"/>
      <c r="AB2511" s="1439"/>
      <c r="AC2511" s="1439"/>
      <c r="AD2511" s="1439"/>
      <c r="AE2511" s="1439"/>
      <c r="AF2511" s="1439"/>
      <c r="AG2511" s="1439"/>
    </row>
    <row r="2512" spans="1:33" ht="15.75" customHeight="1">
      <c r="A2512" s="1451"/>
      <c r="B2512" s="1450" t="s">
        <v>7231</v>
      </c>
      <c r="C2512" s="1484">
        <v>1</v>
      </c>
      <c r="D2512" s="1484" t="s">
        <v>3364</v>
      </c>
      <c r="E2512" s="1484">
        <v>5</v>
      </c>
      <c r="F2512" s="1446"/>
      <c r="G2512" s="1446"/>
      <c r="H2512" s="1447"/>
      <c r="I2512" s="1494">
        <f t="shared" si="97"/>
        <v>5</v>
      </c>
      <c r="J2512" s="1492"/>
      <c r="K2512" s="1439"/>
      <c r="L2512" s="1439"/>
      <c r="M2512" s="1439"/>
      <c r="N2512" s="1439"/>
      <c r="O2512" s="1439"/>
      <c r="P2512" s="1439"/>
      <c r="Q2512" s="1439"/>
      <c r="R2512" s="1439"/>
      <c r="S2512" s="1439"/>
      <c r="T2512" s="1439"/>
      <c r="U2512" s="1439"/>
      <c r="V2512" s="1439"/>
      <c r="W2512" s="1439"/>
      <c r="X2512" s="1439"/>
      <c r="Y2512" s="1439"/>
      <c r="Z2512" s="1439"/>
      <c r="AA2512" s="1439"/>
      <c r="AB2512" s="1439"/>
      <c r="AC2512" s="1439"/>
      <c r="AD2512" s="1439"/>
      <c r="AE2512" s="1439"/>
      <c r="AF2512" s="1439"/>
      <c r="AG2512" s="1439"/>
    </row>
    <row r="2513" spans="1:33" ht="15.75" customHeight="1">
      <c r="A2513" s="1451"/>
      <c r="B2513" s="1456" t="s">
        <v>7232</v>
      </c>
      <c r="C2513" s="1484"/>
      <c r="D2513" s="1484"/>
      <c r="E2513" s="1484"/>
      <c r="F2513" s="1446"/>
      <c r="G2513" s="1446"/>
      <c r="H2513" s="1447"/>
      <c r="I2513" s="1494">
        <f t="shared" si="97"/>
        <v>0</v>
      </c>
      <c r="J2513" s="1492"/>
      <c r="K2513" s="1439"/>
      <c r="L2513" s="1439"/>
      <c r="M2513" s="1439"/>
      <c r="N2513" s="1439"/>
      <c r="O2513" s="1439"/>
      <c r="P2513" s="1439"/>
      <c r="Q2513" s="1439"/>
      <c r="R2513" s="1439"/>
      <c r="S2513" s="1439"/>
      <c r="T2513" s="1439"/>
      <c r="U2513" s="1439"/>
      <c r="V2513" s="1439"/>
      <c r="W2513" s="1439"/>
      <c r="X2513" s="1439"/>
      <c r="Y2513" s="1439"/>
      <c r="Z2513" s="1439"/>
      <c r="AA2513" s="1439"/>
      <c r="AB2513" s="1439"/>
      <c r="AC2513" s="1439"/>
      <c r="AD2513" s="1439"/>
      <c r="AE2513" s="1439"/>
      <c r="AF2513" s="1439"/>
      <c r="AG2513" s="1439"/>
    </row>
    <row r="2514" spans="1:33" ht="15.75" customHeight="1">
      <c r="A2514" s="1451"/>
      <c r="B2514" s="1450" t="s">
        <v>7224</v>
      </c>
      <c r="C2514" s="1484">
        <v>1</v>
      </c>
      <c r="D2514" s="1484" t="s">
        <v>3364</v>
      </c>
      <c r="E2514" s="1484">
        <v>1</v>
      </c>
      <c r="F2514" s="1446"/>
      <c r="G2514" s="1446"/>
      <c r="H2514" s="1447"/>
      <c r="I2514" s="1494">
        <f t="shared" si="97"/>
        <v>1</v>
      </c>
      <c r="J2514" s="1492"/>
      <c r="K2514" s="1439"/>
      <c r="L2514" s="1439"/>
      <c r="M2514" s="1439"/>
      <c r="N2514" s="1439"/>
      <c r="O2514" s="1439"/>
      <c r="P2514" s="1439"/>
      <c r="Q2514" s="1439"/>
      <c r="R2514" s="1439"/>
      <c r="S2514" s="1439"/>
      <c r="T2514" s="1439"/>
      <c r="U2514" s="1439"/>
      <c r="V2514" s="1439"/>
      <c r="W2514" s="1439"/>
      <c r="X2514" s="1439"/>
      <c r="Y2514" s="1439"/>
      <c r="Z2514" s="1439"/>
      <c r="AA2514" s="1439"/>
      <c r="AB2514" s="1439"/>
      <c r="AC2514" s="1439"/>
      <c r="AD2514" s="1439"/>
      <c r="AE2514" s="1439"/>
      <c r="AF2514" s="1439"/>
      <c r="AG2514" s="1439"/>
    </row>
    <row r="2515" spans="1:33" ht="15.75" customHeight="1">
      <c r="A2515" s="1451"/>
      <c r="B2515" s="1450" t="s">
        <v>7221</v>
      </c>
      <c r="C2515" s="1484">
        <v>1</v>
      </c>
      <c r="D2515" s="1484" t="s">
        <v>3364</v>
      </c>
      <c r="E2515" s="1484">
        <v>3</v>
      </c>
      <c r="F2515" s="1446"/>
      <c r="G2515" s="1446"/>
      <c r="H2515" s="1447"/>
      <c r="I2515" s="1494">
        <f t="shared" si="97"/>
        <v>3</v>
      </c>
      <c r="J2515" s="1492"/>
      <c r="K2515" s="1439"/>
      <c r="L2515" s="1439"/>
      <c r="M2515" s="1439"/>
      <c r="N2515" s="1439"/>
      <c r="O2515" s="1439"/>
      <c r="P2515" s="1439"/>
      <c r="Q2515" s="1439"/>
      <c r="R2515" s="1439"/>
      <c r="S2515" s="1439"/>
      <c r="T2515" s="1439"/>
      <c r="U2515" s="1439"/>
      <c r="V2515" s="1439"/>
      <c r="W2515" s="1439"/>
      <c r="X2515" s="1439"/>
      <c r="Y2515" s="1439"/>
      <c r="Z2515" s="1439"/>
      <c r="AA2515" s="1439"/>
      <c r="AB2515" s="1439"/>
      <c r="AC2515" s="1439"/>
      <c r="AD2515" s="1439"/>
      <c r="AE2515" s="1439"/>
      <c r="AF2515" s="1439"/>
      <c r="AG2515" s="1439"/>
    </row>
    <row r="2516" spans="1:33" ht="15.75" customHeight="1">
      <c r="A2516" s="1451"/>
      <c r="B2516" s="1450" t="s">
        <v>7233</v>
      </c>
      <c r="C2516" s="1484">
        <v>1</v>
      </c>
      <c r="D2516" s="1484" t="s">
        <v>3364</v>
      </c>
      <c r="E2516" s="1484">
        <v>4</v>
      </c>
      <c r="F2516" s="1446"/>
      <c r="G2516" s="1446"/>
      <c r="H2516" s="1447"/>
      <c r="I2516" s="1494">
        <f t="shared" si="97"/>
        <v>4</v>
      </c>
      <c r="J2516" s="1492"/>
      <c r="K2516" s="1439"/>
      <c r="L2516" s="1439"/>
      <c r="M2516" s="1439"/>
      <c r="N2516" s="1439"/>
      <c r="O2516" s="1439"/>
      <c r="P2516" s="1439"/>
      <c r="Q2516" s="1439"/>
      <c r="R2516" s="1439"/>
      <c r="S2516" s="1439"/>
      <c r="T2516" s="1439"/>
      <c r="U2516" s="1439"/>
      <c r="V2516" s="1439"/>
      <c r="W2516" s="1439"/>
      <c r="X2516" s="1439"/>
      <c r="Y2516" s="1439"/>
      <c r="Z2516" s="1439"/>
      <c r="AA2516" s="1439"/>
      <c r="AB2516" s="1439"/>
      <c r="AC2516" s="1439"/>
      <c r="AD2516" s="1439"/>
      <c r="AE2516" s="1439"/>
      <c r="AF2516" s="1439"/>
      <c r="AG2516" s="1439"/>
    </row>
    <row r="2517" spans="1:33" ht="15.75" customHeight="1">
      <c r="A2517" s="1451"/>
      <c r="B2517" s="1450" t="s">
        <v>7231</v>
      </c>
      <c r="C2517" s="1484">
        <v>1</v>
      </c>
      <c r="D2517" s="1484" t="s">
        <v>3364</v>
      </c>
      <c r="E2517" s="1484">
        <v>2</v>
      </c>
      <c r="F2517" s="1446"/>
      <c r="G2517" s="1446"/>
      <c r="H2517" s="1447"/>
      <c r="I2517" s="1494">
        <f t="shared" si="97"/>
        <v>2</v>
      </c>
      <c r="J2517" s="1492"/>
      <c r="K2517" s="1439"/>
      <c r="L2517" s="1439"/>
      <c r="M2517" s="1439"/>
      <c r="N2517" s="1439"/>
      <c r="O2517" s="1439"/>
      <c r="P2517" s="1439"/>
      <c r="Q2517" s="1439"/>
      <c r="R2517" s="1439"/>
      <c r="S2517" s="1439"/>
      <c r="T2517" s="1439"/>
      <c r="U2517" s="1439"/>
      <c r="V2517" s="1439"/>
      <c r="W2517" s="1439"/>
      <c r="X2517" s="1439"/>
      <c r="Y2517" s="1439"/>
      <c r="Z2517" s="1439"/>
      <c r="AA2517" s="1439"/>
      <c r="AB2517" s="1439"/>
      <c r="AC2517" s="1439"/>
      <c r="AD2517" s="1439"/>
      <c r="AE2517" s="1439"/>
      <c r="AF2517" s="1439"/>
      <c r="AG2517" s="1439"/>
    </row>
    <row r="2518" spans="1:33" ht="15.75" customHeight="1">
      <c r="A2518" s="1451"/>
      <c r="B2518" s="1450" t="s">
        <v>6908</v>
      </c>
      <c r="C2518" s="1484">
        <v>1</v>
      </c>
      <c r="D2518" s="1484" t="s">
        <v>3364</v>
      </c>
      <c r="E2518" s="1484">
        <v>1</v>
      </c>
      <c r="F2518" s="1446"/>
      <c r="G2518" s="1446"/>
      <c r="H2518" s="1447"/>
      <c r="I2518" s="1494">
        <f t="shared" si="97"/>
        <v>1</v>
      </c>
      <c r="J2518" s="1492"/>
      <c r="K2518" s="1439"/>
      <c r="L2518" s="1439"/>
      <c r="M2518" s="1439"/>
      <c r="N2518" s="1439"/>
      <c r="O2518" s="1439"/>
      <c r="P2518" s="1439"/>
      <c r="Q2518" s="1439"/>
      <c r="R2518" s="1439"/>
      <c r="S2518" s="1439"/>
      <c r="T2518" s="1439"/>
      <c r="U2518" s="1439"/>
      <c r="V2518" s="1439"/>
      <c r="W2518" s="1439"/>
      <c r="X2518" s="1439"/>
      <c r="Y2518" s="1439"/>
      <c r="Z2518" s="1439"/>
      <c r="AA2518" s="1439"/>
      <c r="AB2518" s="1439"/>
      <c r="AC2518" s="1439"/>
      <c r="AD2518" s="1439"/>
      <c r="AE2518" s="1439"/>
      <c r="AF2518" s="1439"/>
      <c r="AG2518" s="1439"/>
    </row>
    <row r="2519" spans="1:33" ht="15.75" customHeight="1">
      <c r="A2519" s="1451"/>
      <c r="B2519" s="1450" t="s">
        <v>7138</v>
      </c>
      <c r="C2519" s="1484">
        <v>1</v>
      </c>
      <c r="D2519" s="1484" t="s">
        <v>3364</v>
      </c>
      <c r="E2519" s="1484">
        <v>10</v>
      </c>
      <c r="F2519" s="1446"/>
      <c r="G2519" s="1446"/>
      <c r="H2519" s="1447"/>
      <c r="I2519" s="1494">
        <f t="shared" si="97"/>
        <v>10</v>
      </c>
      <c r="J2519" s="1492"/>
      <c r="K2519" s="1439"/>
      <c r="L2519" s="1439"/>
      <c r="M2519" s="1439"/>
      <c r="N2519" s="1439"/>
      <c r="O2519" s="1439"/>
      <c r="P2519" s="1439"/>
      <c r="Q2519" s="1439"/>
      <c r="R2519" s="1439"/>
      <c r="S2519" s="1439"/>
      <c r="T2519" s="1439"/>
      <c r="U2519" s="1439"/>
      <c r="V2519" s="1439"/>
      <c r="W2519" s="1439"/>
      <c r="X2519" s="1439"/>
      <c r="Y2519" s="1439"/>
      <c r="Z2519" s="1439"/>
      <c r="AA2519" s="1439"/>
      <c r="AB2519" s="1439"/>
      <c r="AC2519" s="1439"/>
      <c r="AD2519" s="1439"/>
      <c r="AE2519" s="1439"/>
      <c r="AF2519" s="1439"/>
      <c r="AG2519" s="1439"/>
    </row>
    <row r="2520" spans="1:33" ht="15.75" customHeight="1">
      <c r="A2520" s="1451"/>
      <c r="B2520" s="1450" t="s">
        <v>7234</v>
      </c>
      <c r="C2520" s="1484">
        <v>1</v>
      </c>
      <c r="D2520" s="1484" t="s">
        <v>3364</v>
      </c>
      <c r="E2520" s="1484">
        <v>4</v>
      </c>
      <c r="F2520" s="1446"/>
      <c r="G2520" s="1446"/>
      <c r="H2520" s="1447"/>
      <c r="I2520" s="1494">
        <f t="shared" si="97"/>
        <v>4</v>
      </c>
      <c r="J2520" s="1492"/>
      <c r="K2520" s="1439"/>
      <c r="L2520" s="1439"/>
      <c r="M2520" s="1439"/>
      <c r="N2520" s="1439"/>
      <c r="O2520" s="1439"/>
      <c r="P2520" s="1439"/>
      <c r="Q2520" s="1439"/>
      <c r="R2520" s="1439"/>
      <c r="S2520" s="1439"/>
      <c r="T2520" s="1439"/>
      <c r="U2520" s="1439"/>
      <c r="V2520" s="1439"/>
      <c r="W2520" s="1439"/>
      <c r="X2520" s="1439"/>
      <c r="Y2520" s="1439"/>
      <c r="Z2520" s="1439"/>
      <c r="AA2520" s="1439"/>
      <c r="AB2520" s="1439"/>
      <c r="AC2520" s="1439"/>
      <c r="AD2520" s="1439"/>
      <c r="AE2520" s="1439"/>
      <c r="AF2520" s="1439"/>
      <c r="AG2520" s="1439"/>
    </row>
    <row r="2521" spans="1:33" ht="15.75" customHeight="1">
      <c r="A2521" s="1451"/>
      <c r="B2521" s="1450" t="s">
        <v>7141</v>
      </c>
      <c r="C2521" s="1484">
        <v>1</v>
      </c>
      <c r="D2521" s="1484" t="s">
        <v>3364</v>
      </c>
      <c r="E2521" s="1484">
        <v>6</v>
      </c>
      <c r="F2521" s="1446"/>
      <c r="G2521" s="1446"/>
      <c r="H2521" s="1447"/>
      <c r="I2521" s="1494">
        <f t="shared" si="97"/>
        <v>6</v>
      </c>
      <c r="J2521" s="1492"/>
      <c r="K2521" s="1439"/>
      <c r="L2521" s="1439"/>
      <c r="M2521" s="1439"/>
      <c r="N2521" s="1439"/>
      <c r="O2521" s="1439"/>
      <c r="P2521" s="1439"/>
      <c r="Q2521" s="1439"/>
      <c r="R2521" s="1439"/>
      <c r="S2521" s="1439"/>
      <c r="T2521" s="1439"/>
      <c r="U2521" s="1439"/>
      <c r="V2521" s="1439"/>
      <c r="W2521" s="1439"/>
      <c r="X2521" s="1439"/>
      <c r="Y2521" s="1439"/>
      <c r="Z2521" s="1439"/>
      <c r="AA2521" s="1439"/>
      <c r="AB2521" s="1439"/>
      <c r="AC2521" s="1439"/>
      <c r="AD2521" s="1439"/>
      <c r="AE2521" s="1439"/>
      <c r="AF2521" s="1439"/>
      <c r="AG2521" s="1439"/>
    </row>
    <row r="2522" spans="1:33" ht="15.75" customHeight="1">
      <c r="A2522" s="1451"/>
      <c r="B2522" s="1450" t="s">
        <v>7235</v>
      </c>
      <c r="C2522" s="1484">
        <v>1</v>
      </c>
      <c r="D2522" s="1484" t="s">
        <v>3364</v>
      </c>
      <c r="E2522" s="1484">
        <v>3</v>
      </c>
      <c r="F2522" s="1446"/>
      <c r="G2522" s="1446"/>
      <c r="H2522" s="1447"/>
      <c r="I2522" s="1494">
        <f t="shared" si="97"/>
        <v>3</v>
      </c>
      <c r="J2522" s="1492"/>
      <c r="K2522" s="1439"/>
      <c r="L2522" s="1439"/>
      <c r="M2522" s="1439"/>
      <c r="N2522" s="1439"/>
      <c r="O2522" s="1439"/>
      <c r="P2522" s="1439"/>
      <c r="Q2522" s="1439"/>
      <c r="R2522" s="1439"/>
      <c r="S2522" s="1439"/>
      <c r="T2522" s="1439"/>
      <c r="U2522" s="1439"/>
      <c r="V2522" s="1439"/>
      <c r="W2522" s="1439"/>
      <c r="X2522" s="1439"/>
      <c r="Y2522" s="1439"/>
      <c r="Z2522" s="1439"/>
      <c r="AA2522" s="1439"/>
      <c r="AB2522" s="1439"/>
      <c r="AC2522" s="1439"/>
      <c r="AD2522" s="1439"/>
      <c r="AE2522" s="1439"/>
      <c r="AF2522" s="1439"/>
      <c r="AG2522" s="1439"/>
    </row>
    <row r="2523" spans="1:33" ht="15.75" customHeight="1">
      <c r="A2523" s="1451"/>
      <c r="B2523" s="1450" t="s">
        <v>7236</v>
      </c>
      <c r="C2523" s="1484">
        <v>1</v>
      </c>
      <c r="D2523" s="1484" t="s">
        <v>3364</v>
      </c>
      <c r="E2523" s="1484">
        <v>1</v>
      </c>
      <c r="F2523" s="1446"/>
      <c r="G2523" s="1446"/>
      <c r="H2523" s="1447"/>
      <c r="I2523" s="1494">
        <f t="shared" si="97"/>
        <v>1</v>
      </c>
      <c r="J2523" s="1492"/>
      <c r="K2523" s="1439"/>
      <c r="L2523" s="1439"/>
      <c r="M2523" s="1439"/>
      <c r="N2523" s="1439"/>
      <c r="O2523" s="1439"/>
      <c r="P2523" s="1439"/>
      <c r="Q2523" s="1439"/>
      <c r="R2523" s="1439"/>
      <c r="S2523" s="1439"/>
      <c r="T2523" s="1439"/>
      <c r="U2523" s="1439"/>
      <c r="V2523" s="1439"/>
      <c r="W2523" s="1439"/>
      <c r="X2523" s="1439"/>
      <c r="Y2523" s="1439"/>
      <c r="Z2523" s="1439"/>
      <c r="AA2523" s="1439"/>
      <c r="AB2523" s="1439"/>
      <c r="AC2523" s="1439"/>
      <c r="AD2523" s="1439"/>
      <c r="AE2523" s="1439"/>
      <c r="AF2523" s="1439"/>
      <c r="AG2523" s="1439"/>
    </row>
    <row r="2524" spans="1:33" ht="15.75" customHeight="1">
      <c r="A2524" s="1451"/>
      <c r="B2524" s="1450" t="s">
        <v>7237</v>
      </c>
      <c r="C2524" s="1484">
        <v>2</v>
      </c>
      <c r="D2524" s="1484" t="s">
        <v>3364</v>
      </c>
      <c r="E2524" s="1484">
        <v>2</v>
      </c>
      <c r="F2524" s="1446"/>
      <c r="G2524" s="1446"/>
      <c r="H2524" s="1447"/>
      <c r="I2524" s="1494">
        <f t="shared" si="97"/>
        <v>4</v>
      </c>
      <c r="J2524" s="1492"/>
      <c r="K2524" s="1439"/>
      <c r="L2524" s="1439"/>
      <c r="M2524" s="1439"/>
      <c r="N2524" s="1439"/>
      <c r="O2524" s="1439"/>
      <c r="P2524" s="1439"/>
      <c r="Q2524" s="1439"/>
      <c r="R2524" s="1439"/>
      <c r="S2524" s="1439"/>
      <c r="T2524" s="1439"/>
      <c r="U2524" s="1439"/>
      <c r="V2524" s="1439"/>
      <c r="W2524" s="1439"/>
      <c r="X2524" s="1439"/>
      <c r="Y2524" s="1439"/>
      <c r="Z2524" s="1439"/>
      <c r="AA2524" s="1439"/>
      <c r="AB2524" s="1439"/>
      <c r="AC2524" s="1439"/>
      <c r="AD2524" s="1439"/>
      <c r="AE2524" s="1439"/>
      <c r="AF2524" s="1439"/>
      <c r="AG2524" s="1439"/>
    </row>
    <row r="2525" spans="1:33" ht="15.75" customHeight="1">
      <c r="A2525" s="1451"/>
      <c r="B2525" s="1450" t="s">
        <v>7238</v>
      </c>
      <c r="C2525" s="1484">
        <v>1</v>
      </c>
      <c r="D2525" s="1484" t="s">
        <v>3364</v>
      </c>
      <c r="E2525" s="1484">
        <v>3</v>
      </c>
      <c r="F2525" s="1446"/>
      <c r="G2525" s="1446"/>
      <c r="H2525" s="1447"/>
      <c r="I2525" s="1494">
        <f t="shared" si="97"/>
        <v>3</v>
      </c>
      <c r="J2525" s="1492"/>
      <c r="K2525" s="1439"/>
      <c r="L2525" s="1439"/>
      <c r="M2525" s="1439"/>
      <c r="N2525" s="1439"/>
      <c r="O2525" s="1439"/>
      <c r="P2525" s="1439"/>
      <c r="Q2525" s="1439"/>
      <c r="R2525" s="1439"/>
      <c r="S2525" s="1439"/>
      <c r="T2525" s="1439"/>
      <c r="U2525" s="1439"/>
      <c r="V2525" s="1439"/>
      <c r="W2525" s="1439"/>
      <c r="X2525" s="1439"/>
      <c r="Y2525" s="1439"/>
      <c r="Z2525" s="1439"/>
      <c r="AA2525" s="1439"/>
      <c r="AB2525" s="1439"/>
      <c r="AC2525" s="1439"/>
      <c r="AD2525" s="1439"/>
      <c r="AE2525" s="1439"/>
      <c r="AF2525" s="1439"/>
      <c r="AG2525" s="1439"/>
    </row>
    <row r="2526" spans="1:33" ht="15.75" customHeight="1">
      <c r="A2526" s="1451"/>
      <c r="B2526" s="1450" t="s">
        <v>7239</v>
      </c>
      <c r="C2526" s="1484">
        <v>3</v>
      </c>
      <c r="D2526" s="1484" t="s">
        <v>3364</v>
      </c>
      <c r="E2526" s="1484">
        <v>2</v>
      </c>
      <c r="F2526" s="1446"/>
      <c r="G2526" s="1446"/>
      <c r="H2526" s="1447"/>
      <c r="I2526" s="1494">
        <f t="shared" si="97"/>
        <v>6</v>
      </c>
      <c r="J2526" s="1492"/>
      <c r="K2526" s="1439"/>
      <c r="L2526" s="1439"/>
      <c r="M2526" s="1439"/>
      <c r="N2526" s="1439"/>
      <c r="O2526" s="1439"/>
      <c r="P2526" s="1439"/>
      <c r="Q2526" s="1439"/>
      <c r="R2526" s="1439"/>
      <c r="S2526" s="1439"/>
      <c r="T2526" s="1439"/>
      <c r="U2526" s="1439"/>
      <c r="V2526" s="1439"/>
      <c r="W2526" s="1439"/>
      <c r="X2526" s="1439"/>
      <c r="Y2526" s="1439"/>
      <c r="Z2526" s="1439"/>
      <c r="AA2526" s="1439"/>
      <c r="AB2526" s="1439"/>
      <c r="AC2526" s="1439"/>
      <c r="AD2526" s="1439"/>
      <c r="AE2526" s="1439"/>
      <c r="AF2526" s="1439"/>
      <c r="AG2526" s="1439"/>
    </row>
    <row r="2527" spans="1:33" ht="15.75" customHeight="1">
      <c r="A2527" s="1451"/>
      <c r="B2527" s="1456" t="s">
        <v>7240</v>
      </c>
      <c r="C2527" s="1484"/>
      <c r="D2527" s="1484"/>
      <c r="E2527" s="1484"/>
      <c r="F2527" s="1446"/>
      <c r="G2527" s="1446"/>
      <c r="H2527" s="1447"/>
      <c r="I2527" s="1494">
        <f t="shared" si="97"/>
        <v>0</v>
      </c>
      <c r="J2527" s="1492"/>
      <c r="K2527" s="1439"/>
      <c r="L2527" s="1439"/>
      <c r="M2527" s="1439"/>
      <c r="N2527" s="1439"/>
      <c r="O2527" s="1439"/>
      <c r="P2527" s="1439"/>
      <c r="Q2527" s="1439"/>
      <c r="R2527" s="1439"/>
      <c r="S2527" s="1439"/>
      <c r="T2527" s="1439"/>
      <c r="U2527" s="1439"/>
      <c r="V2527" s="1439"/>
      <c r="W2527" s="1439"/>
      <c r="X2527" s="1439"/>
      <c r="Y2527" s="1439"/>
      <c r="Z2527" s="1439"/>
      <c r="AA2527" s="1439"/>
      <c r="AB2527" s="1439"/>
      <c r="AC2527" s="1439"/>
      <c r="AD2527" s="1439"/>
      <c r="AE2527" s="1439"/>
      <c r="AF2527" s="1439"/>
      <c r="AG2527" s="1439"/>
    </row>
    <row r="2528" spans="1:33" ht="15.75" customHeight="1">
      <c r="A2528" s="1451"/>
      <c r="B2528" s="1450" t="s">
        <v>7224</v>
      </c>
      <c r="C2528" s="1484">
        <v>1</v>
      </c>
      <c r="D2528" s="1484" t="s">
        <v>3364</v>
      </c>
      <c r="E2528" s="1484">
        <v>1</v>
      </c>
      <c r="F2528" s="1446"/>
      <c r="G2528" s="1446"/>
      <c r="H2528" s="1447"/>
      <c r="I2528" s="1494">
        <f t="shared" si="97"/>
        <v>1</v>
      </c>
      <c r="J2528" s="1492"/>
      <c r="K2528" s="1439"/>
      <c r="L2528" s="1439"/>
      <c r="M2528" s="1439"/>
      <c r="N2528" s="1439"/>
      <c r="O2528" s="1439"/>
      <c r="P2528" s="1439"/>
      <c r="Q2528" s="1439"/>
      <c r="R2528" s="1439"/>
      <c r="S2528" s="1439"/>
      <c r="T2528" s="1439"/>
      <c r="U2528" s="1439"/>
      <c r="V2528" s="1439"/>
      <c r="W2528" s="1439"/>
      <c r="X2528" s="1439"/>
      <c r="Y2528" s="1439"/>
      <c r="Z2528" s="1439"/>
      <c r="AA2528" s="1439"/>
      <c r="AB2528" s="1439"/>
      <c r="AC2528" s="1439"/>
      <c r="AD2528" s="1439"/>
      <c r="AE2528" s="1439"/>
      <c r="AF2528" s="1439"/>
      <c r="AG2528" s="1439"/>
    </row>
    <row r="2529" spans="1:33" ht="15.75" customHeight="1">
      <c r="A2529" s="1451"/>
      <c r="B2529" s="1450" t="s">
        <v>7221</v>
      </c>
      <c r="C2529" s="1484">
        <v>1</v>
      </c>
      <c r="D2529" s="1484" t="s">
        <v>3364</v>
      </c>
      <c r="E2529" s="1484">
        <v>3</v>
      </c>
      <c r="F2529" s="1446"/>
      <c r="G2529" s="1446"/>
      <c r="H2529" s="1447"/>
      <c r="I2529" s="1494">
        <f t="shared" si="97"/>
        <v>3</v>
      </c>
      <c r="J2529" s="1492"/>
      <c r="K2529" s="1439"/>
      <c r="L2529" s="1439"/>
      <c r="M2529" s="1439"/>
      <c r="N2529" s="1439"/>
      <c r="O2529" s="1439"/>
      <c r="P2529" s="1439"/>
      <c r="Q2529" s="1439"/>
      <c r="R2529" s="1439"/>
      <c r="S2529" s="1439"/>
      <c r="T2529" s="1439"/>
      <c r="U2529" s="1439"/>
      <c r="V2529" s="1439"/>
      <c r="W2529" s="1439"/>
      <c r="X2529" s="1439"/>
      <c r="Y2529" s="1439"/>
      <c r="Z2529" s="1439"/>
      <c r="AA2529" s="1439"/>
      <c r="AB2529" s="1439"/>
      <c r="AC2529" s="1439"/>
      <c r="AD2529" s="1439"/>
      <c r="AE2529" s="1439"/>
      <c r="AF2529" s="1439"/>
      <c r="AG2529" s="1439"/>
    </row>
    <row r="2530" spans="1:33" ht="15.75" customHeight="1">
      <c r="A2530" s="1451"/>
      <c r="B2530" s="1450" t="s">
        <v>7233</v>
      </c>
      <c r="C2530" s="1484">
        <v>1</v>
      </c>
      <c r="D2530" s="1484" t="s">
        <v>3364</v>
      </c>
      <c r="E2530" s="1484">
        <v>4</v>
      </c>
      <c r="F2530" s="1446"/>
      <c r="G2530" s="1446"/>
      <c r="H2530" s="1447"/>
      <c r="I2530" s="1494">
        <f t="shared" si="97"/>
        <v>4</v>
      </c>
      <c r="J2530" s="1492"/>
      <c r="K2530" s="1439"/>
      <c r="L2530" s="1439"/>
      <c r="M2530" s="1439"/>
      <c r="N2530" s="1439"/>
      <c r="O2530" s="1439"/>
      <c r="P2530" s="1439"/>
      <c r="Q2530" s="1439"/>
      <c r="R2530" s="1439"/>
      <c r="S2530" s="1439"/>
      <c r="T2530" s="1439"/>
      <c r="U2530" s="1439"/>
      <c r="V2530" s="1439"/>
      <c r="W2530" s="1439"/>
      <c r="X2530" s="1439"/>
      <c r="Y2530" s="1439"/>
      <c r="Z2530" s="1439"/>
      <c r="AA2530" s="1439"/>
      <c r="AB2530" s="1439"/>
      <c r="AC2530" s="1439"/>
      <c r="AD2530" s="1439"/>
      <c r="AE2530" s="1439"/>
      <c r="AF2530" s="1439"/>
      <c r="AG2530" s="1439"/>
    </row>
    <row r="2531" spans="1:33" ht="15.75" customHeight="1">
      <c r="A2531" s="1451"/>
      <c r="B2531" s="1450" t="s">
        <v>7231</v>
      </c>
      <c r="C2531" s="1484">
        <v>1</v>
      </c>
      <c r="D2531" s="1484" t="s">
        <v>3364</v>
      </c>
      <c r="E2531" s="1484">
        <v>2</v>
      </c>
      <c r="F2531" s="1446"/>
      <c r="G2531" s="1446"/>
      <c r="H2531" s="1447"/>
      <c r="I2531" s="1494">
        <f t="shared" si="97"/>
        <v>2</v>
      </c>
      <c r="J2531" s="1492"/>
      <c r="K2531" s="1439"/>
      <c r="L2531" s="1439"/>
      <c r="M2531" s="1439"/>
      <c r="N2531" s="1439"/>
      <c r="O2531" s="1439"/>
      <c r="P2531" s="1439"/>
      <c r="Q2531" s="1439"/>
      <c r="R2531" s="1439"/>
      <c r="S2531" s="1439"/>
      <c r="T2531" s="1439"/>
      <c r="U2531" s="1439"/>
      <c r="V2531" s="1439"/>
      <c r="W2531" s="1439"/>
      <c r="X2531" s="1439"/>
      <c r="Y2531" s="1439"/>
      <c r="Z2531" s="1439"/>
      <c r="AA2531" s="1439"/>
      <c r="AB2531" s="1439"/>
      <c r="AC2531" s="1439"/>
      <c r="AD2531" s="1439"/>
      <c r="AE2531" s="1439"/>
      <c r="AF2531" s="1439"/>
      <c r="AG2531" s="1439"/>
    </row>
    <row r="2532" spans="1:33" ht="15.75" customHeight="1">
      <c r="A2532" s="1451"/>
      <c r="B2532" s="1450" t="s">
        <v>6908</v>
      </c>
      <c r="C2532" s="1484">
        <v>1</v>
      </c>
      <c r="D2532" s="1484" t="s">
        <v>3364</v>
      </c>
      <c r="E2532" s="1484">
        <v>1</v>
      </c>
      <c r="F2532" s="1446"/>
      <c r="G2532" s="1446"/>
      <c r="H2532" s="1447"/>
      <c r="I2532" s="1494">
        <f t="shared" si="97"/>
        <v>1</v>
      </c>
      <c r="J2532" s="1492"/>
      <c r="K2532" s="1439"/>
      <c r="L2532" s="1439"/>
      <c r="M2532" s="1439"/>
      <c r="N2532" s="1439"/>
      <c r="O2532" s="1439"/>
      <c r="P2532" s="1439"/>
      <c r="Q2532" s="1439"/>
      <c r="R2532" s="1439"/>
      <c r="S2532" s="1439"/>
      <c r="T2532" s="1439"/>
      <c r="U2532" s="1439"/>
      <c r="V2532" s="1439"/>
      <c r="W2532" s="1439"/>
      <c r="X2532" s="1439"/>
      <c r="Y2532" s="1439"/>
      <c r="Z2532" s="1439"/>
      <c r="AA2532" s="1439"/>
      <c r="AB2532" s="1439"/>
      <c r="AC2532" s="1439"/>
      <c r="AD2532" s="1439"/>
      <c r="AE2532" s="1439"/>
      <c r="AF2532" s="1439"/>
      <c r="AG2532" s="1439"/>
    </row>
    <row r="2533" spans="1:33" ht="15.75" customHeight="1">
      <c r="A2533" s="1451"/>
      <c r="B2533" s="1450" t="s">
        <v>7138</v>
      </c>
      <c r="C2533" s="1484">
        <v>1</v>
      </c>
      <c r="D2533" s="1484" t="s">
        <v>3364</v>
      </c>
      <c r="E2533" s="1484">
        <v>10</v>
      </c>
      <c r="F2533" s="1446"/>
      <c r="G2533" s="1446"/>
      <c r="H2533" s="1447"/>
      <c r="I2533" s="1494">
        <f t="shared" si="97"/>
        <v>10</v>
      </c>
      <c r="J2533" s="1492"/>
      <c r="K2533" s="1439"/>
      <c r="L2533" s="1439"/>
      <c r="M2533" s="1439"/>
      <c r="N2533" s="1439"/>
      <c r="O2533" s="1439"/>
      <c r="P2533" s="1439"/>
      <c r="Q2533" s="1439"/>
      <c r="R2533" s="1439"/>
      <c r="S2533" s="1439"/>
      <c r="T2533" s="1439"/>
      <c r="U2533" s="1439"/>
      <c r="V2533" s="1439"/>
      <c r="W2533" s="1439"/>
      <c r="X2533" s="1439"/>
      <c r="Y2533" s="1439"/>
      <c r="Z2533" s="1439"/>
      <c r="AA2533" s="1439"/>
      <c r="AB2533" s="1439"/>
      <c r="AC2533" s="1439"/>
      <c r="AD2533" s="1439"/>
      <c r="AE2533" s="1439"/>
      <c r="AF2533" s="1439"/>
      <c r="AG2533" s="1439"/>
    </row>
    <row r="2534" spans="1:33" ht="15.75" customHeight="1">
      <c r="A2534" s="1451"/>
      <c r="B2534" s="1450" t="s">
        <v>7241</v>
      </c>
      <c r="C2534" s="1484">
        <v>1</v>
      </c>
      <c r="D2534" s="1484" t="s">
        <v>3364</v>
      </c>
      <c r="E2534" s="1484">
        <v>4</v>
      </c>
      <c r="F2534" s="1446"/>
      <c r="G2534" s="1446"/>
      <c r="H2534" s="1447"/>
      <c r="I2534" s="1494">
        <f t="shared" si="97"/>
        <v>4</v>
      </c>
      <c r="J2534" s="1492"/>
      <c r="K2534" s="1439"/>
      <c r="L2534" s="1439"/>
      <c r="M2534" s="1439"/>
      <c r="N2534" s="1439"/>
      <c r="O2534" s="1439"/>
      <c r="P2534" s="1439"/>
      <c r="Q2534" s="1439"/>
      <c r="R2534" s="1439"/>
      <c r="S2534" s="1439"/>
      <c r="T2534" s="1439"/>
      <c r="U2534" s="1439"/>
      <c r="V2534" s="1439"/>
      <c r="W2534" s="1439"/>
      <c r="X2534" s="1439"/>
      <c r="Y2534" s="1439"/>
      <c r="Z2534" s="1439"/>
      <c r="AA2534" s="1439"/>
      <c r="AB2534" s="1439"/>
      <c r="AC2534" s="1439"/>
      <c r="AD2534" s="1439"/>
      <c r="AE2534" s="1439"/>
      <c r="AF2534" s="1439"/>
      <c r="AG2534" s="1439"/>
    </row>
    <row r="2535" spans="1:33" ht="15.75" customHeight="1">
      <c r="A2535" s="1451"/>
      <c r="B2535" s="1450" t="s">
        <v>7235</v>
      </c>
      <c r="C2535" s="1484">
        <v>1</v>
      </c>
      <c r="D2535" s="1484" t="s">
        <v>3364</v>
      </c>
      <c r="E2535" s="1484">
        <v>6</v>
      </c>
      <c r="F2535" s="1446"/>
      <c r="G2535" s="1446"/>
      <c r="H2535" s="1447"/>
      <c r="I2535" s="1494">
        <f t="shared" si="97"/>
        <v>6</v>
      </c>
      <c r="J2535" s="1492"/>
      <c r="K2535" s="1439"/>
      <c r="L2535" s="1439"/>
      <c r="M2535" s="1439"/>
      <c r="N2535" s="1439"/>
      <c r="O2535" s="1439"/>
      <c r="P2535" s="1439"/>
      <c r="Q2535" s="1439"/>
      <c r="R2535" s="1439"/>
      <c r="S2535" s="1439"/>
      <c r="T2535" s="1439"/>
      <c r="U2535" s="1439"/>
      <c r="V2535" s="1439"/>
      <c r="W2535" s="1439"/>
      <c r="X2535" s="1439"/>
      <c r="Y2535" s="1439"/>
      <c r="Z2535" s="1439"/>
      <c r="AA2535" s="1439"/>
      <c r="AB2535" s="1439"/>
      <c r="AC2535" s="1439"/>
      <c r="AD2535" s="1439"/>
      <c r="AE2535" s="1439"/>
      <c r="AF2535" s="1439"/>
      <c r="AG2535" s="1439"/>
    </row>
    <row r="2536" spans="1:33" ht="15.75" customHeight="1">
      <c r="A2536" s="1451"/>
      <c r="B2536" s="1450" t="s">
        <v>7236</v>
      </c>
      <c r="C2536" s="1484">
        <v>1</v>
      </c>
      <c r="D2536" s="1484" t="s">
        <v>3364</v>
      </c>
      <c r="E2536" s="1484">
        <v>3</v>
      </c>
      <c r="F2536" s="1446"/>
      <c r="G2536" s="1446"/>
      <c r="H2536" s="1447"/>
      <c r="I2536" s="1494">
        <f t="shared" si="97"/>
        <v>3</v>
      </c>
      <c r="J2536" s="1492"/>
      <c r="K2536" s="1439"/>
      <c r="L2536" s="1439"/>
      <c r="M2536" s="1439"/>
      <c r="N2536" s="1439"/>
      <c r="O2536" s="1439"/>
      <c r="P2536" s="1439"/>
      <c r="Q2536" s="1439"/>
      <c r="R2536" s="1439"/>
      <c r="S2536" s="1439"/>
      <c r="T2536" s="1439"/>
      <c r="U2536" s="1439"/>
      <c r="V2536" s="1439"/>
      <c r="W2536" s="1439"/>
      <c r="X2536" s="1439"/>
      <c r="Y2536" s="1439"/>
      <c r="Z2536" s="1439"/>
      <c r="AA2536" s="1439"/>
      <c r="AB2536" s="1439"/>
      <c r="AC2536" s="1439"/>
      <c r="AD2536" s="1439"/>
      <c r="AE2536" s="1439"/>
      <c r="AF2536" s="1439"/>
      <c r="AG2536" s="1439"/>
    </row>
    <row r="2537" spans="1:33" ht="15.75" customHeight="1">
      <c r="A2537" s="1451"/>
      <c r="B2537" s="1450" t="s">
        <v>7237</v>
      </c>
      <c r="C2537" s="1484">
        <v>2</v>
      </c>
      <c r="D2537" s="1484" t="s">
        <v>3364</v>
      </c>
      <c r="E2537" s="1484">
        <v>1</v>
      </c>
      <c r="F2537" s="1446"/>
      <c r="G2537" s="1446"/>
      <c r="H2537" s="1447"/>
      <c r="I2537" s="1494">
        <f t="shared" si="97"/>
        <v>2</v>
      </c>
      <c r="J2537" s="1492"/>
      <c r="K2537" s="1439"/>
      <c r="L2537" s="1439"/>
      <c r="M2537" s="1439"/>
      <c r="N2537" s="1439"/>
      <c r="O2537" s="1439"/>
      <c r="P2537" s="1439"/>
      <c r="Q2537" s="1439"/>
      <c r="R2537" s="1439"/>
      <c r="S2537" s="1439"/>
      <c r="T2537" s="1439"/>
      <c r="U2537" s="1439"/>
      <c r="V2537" s="1439"/>
      <c r="W2537" s="1439"/>
      <c r="X2537" s="1439"/>
      <c r="Y2537" s="1439"/>
      <c r="Z2537" s="1439"/>
      <c r="AA2537" s="1439"/>
      <c r="AB2537" s="1439"/>
      <c r="AC2537" s="1439"/>
      <c r="AD2537" s="1439"/>
      <c r="AE2537" s="1439"/>
      <c r="AF2537" s="1439"/>
      <c r="AG2537" s="1439"/>
    </row>
    <row r="2538" spans="1:33" ht="15.75" customHeight="1">
      <c r="A2538" s="1451"/>
      <c r="B2538" s="1450" t="s">
        <v>7238</v>
      </c>
      <c r="C2538" s="1484">
        <v>1</v>
      </c>
      <c r="D2538" s="1484" t="s">
        <v>3364</v>
      </c>
      <c r="E2538" s="1484">
        <v>3</v>
      </c>
      <c r="F2538" s="1446"/>
      <c r="G2538" s="1446"/>
      <c r="H2538" s="1447"/>
      <c r="I2538" s="1494">
        <f t="shared" si="97"/>
        <v>3</v>
      </c>
      <c r="J2538" s="1492"/>
      <c r="K2538" s="1439"/>
      <c r="L2538" s="1439"/>
      <c r="M2538" s="1439"/>
      <c r="N2538" s="1439"/>
      <c r="O2538" s="1439"/>
      <c r="P2538" s="1439"/>
      <c r="Q2538" s="1439"/>
      <c r="R2538" s="1439"/>
      <c r="S2538" s="1439"/>
      <c r="T2538" s="1439"/>
      <c r="U2538" s="1439"/>
      <c r="V2538" s="1439"/>
      <c r="W2538" s="1439"/>
      <c r="X2538" s="1439"/>
      <c r="Y2538" s="1439"/>
      <c r="Z2538" s="1439"/>
      <c r="AA2538" s="1439"/>
      <c r="AB2538" s="1439"/>
      <c r="AC2538" s="1439"/>
      <c r="AD2538" s="1439"/>
      <c r="AE2538" s="1439"/>
      <c r="AF2538" s="1439"/>
      <c r="AG2538" s="1439"/>
    </row>
    <row r="2539" spans="1:33" ht="15.75" customHeight="1">
      <c r="A2539" s="1451"/>
      <c r="B2539" s="1450" t="s">
        <v>7239</v>
      </c>
      <c r="C2539" s="1484">
        <v>1</v>
      </c>
      <c r="D2539" s="1484" t="s">
        <v>3364</v>
      </c>
      <c r="E2539" s="1484">
        <v>2</v>
      </c>
      <c r="F2539" s="1446"/>
      <c r="G2539" s="1446"/>
      <c r="H2539" s="1447"/>
      <c r="I2539" s="1494">
        <f t="shared" si="97"/>
        <v>2</v>
      </c>
      <c r="J2539" s="1492"/>
      <c r="K2539" s="1439"/>
      <c r="L2539" s="1439"/>
      <c r="M2539" s="1439"/>
      <c r="N2539" s="1439"/>
      <c r="O2539" s="1439"/>
      <c r="P2539" s="1439"/>
      <c r="Q2539" s="1439"/>
      <c r="R2539" s="1439"/>
      <c r="S2539" s="1439"/>
      <c r="T2539" s="1439"/>
      <c r="U2539" s="1439"/>
      <c r="V2539" s="1439"/>
      <c r="W2539" s="1439"/>
      <c r="X2539" s="1439"/>
      <c r="Y2539" s="1439"/>
      <c r="Z2539" s="1439"/>
      <c r="AA2539" s="1439"/>
      <c r="AB2539" s="1439"/>
      <c r="AC2539" s="1439"/>
      <c r="AD2539" s="1439"/>
      <c r="AE2539" s="1439"/>
      <c r="AF2539" s="1439"/>
      <c r="AG2539" s="1439"/>
    </row>
    <row r="2540" spans="1:33" ht="15.75" customHeight="1">
      <c r="A2540" s="1470"/>
      <c r="B2540" s="1450"/>
      <c r="C2540" s="1484"/>
      <c r="D2540" s="1484"/>
      <c r="E2540" s="1484"/>
      <c r="F2540" s="1446"/>
      <c r="G2540" s="1458" t="s">
        <v>104</v>
      </c>
      <c r="H2540" s="1447"/>
      <c r="I2540" s="1459">
        <f>SUM(I2489:I2539)</f>
        <v>158</v>
      </c>
      <c r="J2540" s="1475" t="s">
        <v>3471</v>
      </c>
      <c r="K2540" s="1439"/>
      <c r="L2540" s="1439"/>
      <c r="M2540" s="1439"/>
      <c r="N2540" s="1439"/>
      <c r="O2540" s="1439"/>
      <c r="P2540" s="1439"/>
      <c r="Q2540" s="1439"/>
      <c r="R2540" s="1439"/>
      <c r="S2540" s="1439"/>
      <c r="T2540" s="1439"/>
      <c r="U2540" s="1439"/>
      <c r="V2540" s="1439"/>
      <c r="W2540" s="1439"/>
      <c r="X2540" s="1439"/>
      <c r="Y2540" s="1439"/>
      <c r="Z2540" s="1439"/>
      <c r="AA2540" s="1439"/>
      <c r="AB2540" s="1439"/>
      <c r="AC2540" s="1439"/>
      <c r="AD2540" s="1439"/>
      <c r="AE2540" s="1439"/>
      <c r="AF2540" s="1439"/>
      <c r="AG2540" s="1439"/>
    </row>
    <row r="2541" spans="1:33" ht="31.5">
      <c r="A2541" s="1451">
        <v>84.3</v>
      </c>
      <c r="B2541" s="1450" t="s">
        <v>3679</v>
      </c>
      <c r="C2541" s="1484"/>
      <c r="D2541" s="1484"/>
      <c r="E2541" s="1484"/>
      <c r="F2541" s="1446"/>
      <c r="G2541" s="1446"/>
      <c r="H2541" s="1447"/>
      <c r="I2541" s="1448"/>
      <c r="J2541" s="1475"/>
      <c r="K2541" s="1439"/>
      <c r="L2541" s="1439"/>
      <c r="M2541" s="1439"/>
      <c r="N2541" s="1439"/>
      <c r="O2541" s="1439"/>
      <c r="P2541" s="1439"/>
      <c r="Q2541" s="1439"/>
      <c r="R2541" s="1439"/>
      <c r="S2541" s="1439"/>
      <c r="T2541" s="1439"/>
      <c r="U2541" s="1439"/>
      <c r="V2541" s="1439"/>
      <c r="W2541" s="1439"/>
      <c r="X2541" s="1439"/>
      <c r="Y2541" s="1439"/>
      <c r="Z2541" s="1439"/>
      <c r="AA2541" s="1439"/>
      <c r="AB2541" s="1439"/>
      <c r="AC2541" s="1439"/>
      <c r="AD2541" s="1439"/>
      <c r="AE2541" s="1439"/>
      <c r="AF2541" s="1439"/>
      <c r="AG2541" s="1439"/>
    </row>
    <row r="2542" spans="1:33" ht="15.75" customHeight="1">
      <c r="A2542" s="1451"/>
      <c r="B2542" s="1456" t="s">
        <v>3680</v>
      </c>
      <c r="C2542" s="1484"/>
      <c r="D2542" s="1484"/>
      <c r="E2542" s="1484"/>
      <c r="F2542" s="1446"/>
      <c r="G2542" s="1446"/>
      <c r="H2542" s="1447"/>
      <c r="I2542" s="1448"/>
      <c r="J2542" s="1475"/>
      <c r="K2542" s="1439"/>
      <c r="L2542" s="1439"/>
      <c r="M2542" s="1439"/>
      <c r="N2542" s="1439"/>
      <c r="O2542" s="1439"/>
      <c r="P2542" s="1439"/>
      <c r="Q2542" s="1439"/>
      <c r="R2542" s="1439"/>
      <c r="S2542" s="1439"/>
      <c r="T2542" s="1439"/>
      <c r="U2542" s="1439"/>
      <c r="V2542" s="1439"/>
      <c r="W2542" s="1439"/>
      <c r="X2542" s="1439"/>
      <c r="Y2542" s="1439"/>
      <c r="Z2542" s="1439"/>
      <c r="AA2542" s="1439"/>
      <c r="AB2542" s="1439"/>
      <c r="AC2542" s="1439"/>
      <c r="AD2542" s="1439"/>
      <c r="AE2542" s="1439"/>
      <c r="AF2542" s="1439"/>
      <c r="AG2542" s="1439"/>
    </row>
    <row r="2543" spans="1:33" ht="15.75" customHeight="1">
      <c r="A2543" s="1548"/>
      <c r="B2543" s="1462" t="s">
        <v>7291</v>
      </c>
      <c r="C2543" s="1504">
        <v>1</v>
      </c>
      <c r="D2543" s="1504" t="s">
        <v>3364</v>
      </c>
      <c r="E2543" s="1504">
        <v>3</v>
      </c>
      <c r="F2543" s="1447">
        <v>20</v>
      </c>
      <c r="G2543" s="1548"/>
      <c r="H2543" s="1500"/>
      <c r="I2543" s="1448">
        <f t="shared" ref="I2543:I2548" si="98">PRODUCT(C2543:H2543)</f>
        <v>60</v>
      </c>
      <c r="J2543" s="1549"/>
      <c r="K2543" s="1550"/>
      <c r="L2543" s="1550"/>
      <c r="M2543" s="1550"/>
      <c r="N2543" s="1550"/>
      <c r="O2543" s="1550"/>
      <c r="P2543" s="1550"/>
      <c r="Q2543" s="1550"/>
      <c r="R2543" s="1550"/>
      <c r="S2543" s="1550"/>
      <c r="T2543" s="1550"/>
      <c r="U2543" s="1550"/>
      <c r="V2543" s="1550"/>
      <c r="W2543" s="1550"/>
      <c r="X2543" s="1550"/>
      <c r="Y2543" s="1550"/>
      <c r="Z2543" s="1550"/>
      <c r="AA2543" s="1550"/>
      <c r="AB2543" s="1550"/>
      <c r="AC2543" s="1550"/>
      <c r="AD2543" s="1550"/>
      <c r="AE2543" s="1550"/>
      <c r="AF2543" s="1550"/>
      <c r="AG2543" s="1550"/>
    </row>
    <row r="2544" spans="1:33" ht="15.75" customHeight="1">
      <c r="A2544" s="1548"/>
      <c r="B2544" s="1462" t="s">
        <v>7292</v>
      </c>
      <c r="C2544" s="1504">
        <v>1</v>
      </c>
      <c r="D2544" s="1504" t="s">
        <v>3364</v>
      </c>
      <c r="E2544" s="1504">
        <v>2</v>
      </c>
      <c r="F2544" s="1447">
        <v>25</v>
      </c>
      <c r="G2544" s="1548"/>
      <c r="H2544" s="1500"/>
      <c r="I2544" s="1448">
        <f t="shared" si="98"/>
        <v>50</v>
      </c>
      <c r="J2544" s="1549"/>
      <c r="K2544" s="1550"/>
      <c r="L2544" s="1550"/>
      <c r="M2544" s="1550"/>
      <c r="N2544" s="1550"/>
      <c r="O2544" s="1550"/>
      <c r="P2544" s="1550"/>
      <c r="Q2544" s="1550"/>
      <c r="R2544" s="1550"/>
      <c r="S2544" s="1550"/>
      <c r="T2544" s="1550"/>
      <c r="U2544" s="1550"/>
      <c r="V2544" s="1550"/>
      <c r="W2544" s="1550"/>
      <c r="X2544" s="1550"/>
      <c r="Y2544" s="1550"/>
      <c r="Z2544" s="1550"/>
      <c r="AA2544" s="1550"/>
      <c r="AB2544" s="1550"/>
      <c r="AC2544" s="1550"/>
      <c r="AD2544" s="1550"/>
      <c r="AE2544" s="1550"/>
      <c r="AF2544" s="1550"/>
      <c r="AG2544" s="1550"/>
    </row>
    <row r="2545" spans="1:33" ht="15.75" customHeight="1">
      <c r="A2545" s="1548"/>
      <c r="B2545" s="1462" t="s">
        <v>7293</v>
      </c>
      <c r="C2545" s="1504">
        <v>1</v>
      </c>
      <c r="D2545" s="1504" t="s">
        <v>3364</v>
      </c>
      <c r="E2545" s="1504">
        <v>3</v>
      </c>
      <c r="F2545" s="1447">
        <v>16</v>
      </c>
      <c r="G2545" s="1548"/>
      <c r="H2545" s="1500"/>
      <c r="I2545" s="1448">
        <f t="shared" si="98"/>
        <v>48</v>
      </c>
      <c r="J2545" s="1549"/>
      <c r="K2545" s="1550"/>
      <c r="L2545" s="1550"/>
      <c r="M2545" s="1550"/>
      <c r="N2545" s="1550"/>
      <c r="O2545" s="1550"/>
      <c r="P2545" s="1550"/>
      <c r="Q2545" s="1550"/>
      <c r="R2545" s="1550"/>
      <c r="S2545" s="1550"/>
      <c r="T2545" s="1550"/>
      <c r="U2545" s="1550"/>
      <c r="V2545" s="1550"/>
      <c r="W2545" s="1550"/>
      <c r="X2545" s="1550"/>
      <c r="Y2545" s="1550"/>
      <c r="Z2545" s="1550"/>
      <c r="AA2545" s="1550"/>
      <c r="AB2545" s="1550"/>
      <c r="AC2545" s="1550"/>
      <c r="AD2545" s="1550"/>
      <c r="AE2545" s="1550"/>
      <c r="AF2545" s="1550"/>
      <c r="AG2545" s="1550"/>
    </row>
    <row r="2546" spans="1:33" ht="15.75" customHeight="1">
      <c r="A2546" s="1548"/>
      <c r="B2546" s="1462" t="s">
        <v>7294</v>
      </c>
      <c r="C2546" s="1504">
        <v>1</v>
      </c>
      <c r="D2546" s="1504" t="s">
        <v>3364</v>
      </c>
      <c r="E2546" s="1504">
        <v>1</v>
      </c>
      <c r="F2546" s="1447">
        <v>23.6</v>
      </c>
      <c r="G2546" s="1548"/>
      <c r="H2546" s="1500"/>
      <c r="I2546" s="1448">
        <f t="shared" si="98"/>
        <v>23.6</v>
      </c>
      <c r="J2546" s="1549"/>
      <c r="K2546" s="1550"/>
      <c r="L2546" s="1550"/>
      <c r="M2546" s="1550"/>
      <c r="N2546" s="1550"/>
      <c r="O2546" s="1550"/>
      <c r="P2546" s="1550"/>
      <c r="Q2546" s="1550"/>
      <c r="R2546" s="1550"/>
      <c r="S2546" s="1550"/>
      <c r="T2546" s="1550"/>
      <c r="U2546" s="1550"/>
      <c r="V2546" s="1550"/>
      <c r="W2546" s="1550"/>
      <c r="X2546" s="1550"/>
      <c r="Y2546" s="1550"/>
      <c r="Z2546" s="1550"/>
      <c r="AA2546" s="1550"/>
      <c r="AB2546" s="1550"/>
      <c r="AC2546" s="1550"/>
      <c r="AD2546" s="1550"/>
      <c r="AE2546" s="1550"/>
      <c r="AF2546" s="1550"/>
      <c r="AG2546" s="1550"/>
    </row>
    <row r="2547" spans="1:33" ht="15.75" customHeight="1">
      <c r="A2547" s="1548"/>
      <c r="B2547" s="1462" t="s">
        <v>7295</v>
      </c>
      <c r="C2547" s="1504">
        <v>1</v>
      </c>
      <c r="D2547" s="1504" t="s">
        <v>3364</v>
      </c>
      <c r="E2547" s="1504">
        <v>1</v>
      </c>
      <c r="F2547" s="1447">
        <v>35</v>
      </c>
      <c r="G2547" s="1548"/>
      <c r="H2547" s="1500"/>
      <c r="I2547" s="1448">
        <f t="shared" si="98"/>
        <v>35</v>
      </c>
      <c r="J2547" s="1549"/>
      <c r="K2547" s="1550"/>
      <c r="L2547" s="1550"/>
      <c r="M2547" s="1550"/>
      <c r="N2547" s="1550"/>
      <c r="O2547" s="1550"/>
      <c r="P2547" s="1550"/>
      <c r="Q2547" s="1550"/>
      <c r="R2547" s="1550"/>
      <c r="S2547" s="1550"/>
      <c r="T2547" s="1550"/>
      <c r="U2547" s="1550"/>
      <c r="V2547" s="1550"/>
      <c r="W2547" s="1550"/>
      <c r="X2547" s="1550"/>
      <c r="Y2547" s="1550"/>
      <c r="Z2547" s="1550"/>
      <c r="AA2547" s="1550"/>
      <c r="AB2547" s="1550"/>
      <c r="AC2547" s="1550"/>
      <c r="AD2547" s="1550"/>
      <c r="AE2547" s="1550"/>
      <c r="AF2547" s="1550"/>
      <c r="AG2547" s="1550"/>
    </row>
    <row r="2548" spans="1:33" ht="15.75" customHeight="1">
      <c r="A2548" s="1548"/>
      <c r="B2548" s="1462" t="s">
        <v>7289</v>
      </c>
      <c r="C2548" s="1504">
        <v>1</v>
      </c>
      <c r="D2548" s="1504" t="s">
        <v>3364</v>
      </c>
      <c r="E2548" s="1504">
        <v>4</v>
      </c>
      <c r="F2548" s="1500">
        <v>27</v>
      </c>
      <c r="G2548" s="1548"/>
      <c r="H2548" s="1500"/>
      <c r="I2548" s="1448">
        <f t="shared" si="98"/>
        <v>108</v>
      </c>
      <c r="J2548" s="1549"/>
      <c r="K2548" s="1550"/>
      <c r="L2548" s="1550"/>
      <c r="M2548" s="1550"/>
      <c r="N2548" s="1550"/>
      <c r="O2548" s="1550"/>
      <c r="P2548" s="1550"/>
      <c r="Q2548" s="1550"/>
      <c r="R2548" s="1550"/>
      <c r="S2548" s="1550"/>
      <c r="T2548" s="1550"/>
      <c r="U2548" s="1550"/>
      <c r="V2548" s="1550"/>
      <c r="W2548" s="1550"/>
      <c r="X2548" s="1550"/>
      <c r="Y2548" s="1550"/>
      <c r="Z2548" s="1550"/>
      <c r="AA2548" s="1550"/>
      <c r="AB2548" s="1550"/>
      <c r="AC2548" s="1550"/>
      <c r="AD2548" s="1550"/>
      <c r="AE2548" s="1550"/>
      <c r="AF2548" s="1550"/>
      <c r="AG2548" s="1550"/>
    </row>
    <row r="2549" spans="1:33" ht="15.75" customHeight="1">
      <c r="A2549" s="1451"/>
      <c r="B2549" s="1450"/>
      <c r="C2549" s="1484"/>
      <c r="D2549" s="1484"/>
      <c r="E2549" s="1484"/>
      <c r="F2549" s="1446"/>
      <c r="G2549" s="1446"/>
      <c r="H2549" s="1447"/>
      <c r="I2549" s="1494"/>
      <c r="J2549" s="1475"/>
      <c r="K2549" s="1439"/>
      <c r="L2549" s="1439"/>
      <c r="M2549" s="1439"/>
      <c r="N2549" s="1439"/>
      <c r="O2549" s="1439"/>
      <c r="P2549" s="1439"/>
      <c r="Q2549" s="1439"/>
      <c r="R2549" s="1439"/>
      <c r="S2549" s="1439"/>
      <c r="T2549" s="1439"/>
      <c r="U2549" s="1439"/>
      <c r="V2549" s="1439"/>
      <c r="W2549" s="1439"/>
      <c r="X2549" s="1439"/>
      <c r="Y2549" s="1439"/>
      <c r="Z2549" s="1439"/>
      <c r="AA2549" s="1439"/>
      <c r="AB2549" s="1439"/>
      <c r="AC2549" s="1439"/>
      <c r="AD2549" s="1439"/>
      <c r="AE2549" s="1439"/>
      <c r="AF2549" s="1439"/>
      <c r="AG2549" s="1439"/>
    </row>
    <row r="2550" spans="1:33" ht="15.75" customHeight="1">
      <c r="A2550" s="1451"/>
      <c r="B2550" s="1456"/>
      <c r="C2550" s="1484"/>
      <c r="D2550" s="1484"/>
      <c r="E2550" s="1484"/>
      <c r="F2550" s="1446"/>
      <c r="G2550" s="1446"/>
      <c r="H2550" s="1460" t="s">
        <v>104</v>
      </c>
      <c r="I2550" s="1459">
        <f>SUM(I2543:I2548)</f>
        <v>324.60000000000002</v>
      </c>
      <c r="J2550" s="1475" t="s">
        <v>13</v>
      </c>
      <c r="K2550" s="1439"/>
      <c r="L2550" s="1439"/>
      <c r="M2550" s="1439"/>
      <c r="N2550" s="1439"/>
      <c r="O2550" s="1439"/>
      <c r="P2550" s="1439"/>
      <c r="Q2550" s="1439"/>
      <c r="R2550" s="1439"/>
      <c r="S2550" s="1439"/>
      <c r="T2550" s="1439"/>
      <c r="U2550" s="1439"/>
      <c r="V2550" s="1439"/>
      <c r="W2550" s="1439"/>
      <c r="X2550" s="1439"/>
      <c r="Y2550" s="1439"/>
      <c r="Z2550" s="1439"/>
      <c r="AA2550" s="1439"/>
      <c r="AB2550" s="1439"/>
      <c r="AC2550" s="1439"/>
      <c r="AD2550" s="1439"/>
      <c r="AE2550" s="1439"/>
      <c r="AF2550" s="1439"/>
      <c r="AG2550" s="1439"/>
    </row>
    <row r="2551" spans="1:33" ht="31.5">
      <c r="A2551" s="1470" t="s">
        <v>3681</v>
      </c>
      <c r="B2551" s="1456" t="s">
        <v>7305</v>
      </c>
      <c r="C2551" s="1484"/>
      <c r="D2551" s="1484"/>
      <c r="E2551" s="1484"/>
      <c r="F2551" s="1446"/>
      <c r="G2551" s="1446"/>
      <c r="H2551" s="1447"/>
      <c r="I2551" s="1448"/>
      <c r="J2551" s="1475"/>
      <c r="K2551" s="1439"/>
      <c r="L2551" s="1439"/>
      <c r="M2551" s="1439"/>
      <c r="N2551" s="1439"/>
      <c r="O2551" s="1439"/>
      <c r="P2551" s="1439"/>
      <c r="Q2551" s="1439"/>
      <c r="R2551" s="1439"/>
      <c r="S2551" s="1439"/>
      <c r="T2551" s="1439"/>
      <c r="U2551" s="1439"/>
      <c r="V2551" s="1439"/>
      <c r="W2551" s="1439"/>
      <c r="X2551" s="1439"/>
      <c r="Y2551" s="1439"/>
      <c r="Z2551" s="1439"/>
      <c r="AA2551" s="1439"/>
      <c r="AB2551" s="1439"/>
      <c r="AC2551" s="1439"/>
      <c r="AD2551" s="1439"/>
      <c r="AE2551" s="1439"/>
      <c r="AF2551" s="1439"/>
      <c r="AG2551" s="1439"/>
    </row>
    <row r="2552" spans="1:33" ht="15.75" customHeight="1">
      <c r="A2552" s="1470"/>
      <c r="B2552" s="1450" t="s">
        <v>7306</v>
      </c>
      <c r="C2552" s="1484">
        <v>1</v>
      </c>
      <c r="D2552" s="1484" t="s">
        <v>3364</v>
      </c>
      <c r="E2552" s="1484">
        <v>3</v>
      </c>
      <c r="F2552" s="1447">
        <v>25</v>
      </c>
      <c r="G2552" s="1446"/>
      <c r="H2552" s="1447"/>
      <c r="I2552" s="1494">
        <f>PRODUCT(C2552:H2552)</f>
        <v>75</v>
      </c>
      <c r="J2552" s="1475"/>
      <c r="K2552" s="1439"/>
      <c r="L2552" s="1439"/>
      <c r="M2552" s="1439"/>
      <c r="N2552" s="1439"/>
      <c r="O2552" s="1439"/>
      <c r="P2552" s="1439"/>
      <c r="Q2552" s="1439"/>
      <c r="R2552" s="1439"/>
      <c r="S2552" s="1439"/>
      <c r="T2552" s="1439"/>
      <c r="U2552" s="1439"/>
      <c r="V2552" s="1439"/>
      <c r="W2552" s="1439"/>
      <c r="X2552" s="1439"/>
      <c r="Y2552" s="1439"/>
      <c r="Z2552" s="1439"/>
      <c r="AA2552" s="1439"/>
      <c r="AB2552" s="1439"/>
      <c r="AC2552" s="1439"/>
      <c r="AD2552" s="1439"/>
      <c r="AE2552" s="1439"/>
      <c r="AF2552" s="1439"/>
      <c r="AG2552" s="1439"/>
    </row>
    <row r="2553" spans="1:33" ht="15.75" customHeight="1">
      <c r="A2553" s="1470"/>
      <c r="B2553" s="1450"/>
      <c r="C2553" s="1484"/>
      <c r="D2553" s="1484"/>
      <c r="E2553" s="1484"/>
      <c r="F2553" s="1447"/>
      <c r="G2553" s="1446"/>
      <c r="H2553" s="1460" t="s">
        <v>104</v>
      </c>
      <c r="I2553" s="1459">
        <f>I2552</f>
        <v>75</v>
      </c>
      <c r="J2553" s="1475" t="s">
        <v>13</v>
      </c>
      <c r="K2553" s="1439"/>
      <c r="L2553" s="1439"/>
      <c r="M2553" s="1439"/>
      <c r="N2553" s="1439"/>
      <c r="O2553" s="1439"/>
      <c r="P2553" s="1439"/>
      <c r="Q2553" s="1439"/>
      <c r="R2553" s="1439"/>
      <c r="S2553" s="1439"/>
      <c r="T2553" s="1439"/>
      <c r="U2553" s="1439"/>
      <c r="V2553" s="1439"/>
      <c r="W2553" s="1439"/>
      <c r="X2553" s="1439"/>
      <c r="Y2553" s="1439"/>
      <c r="Z2553" s="1439"/>
      <c r="AA2553" s="1439"/>
      <c r="AB2553" s="1439"/>
      <c r="AC2553" s="1439"/>
      <c r="AD2553" s="1439"/>
      <c r="AE2553" s="1439"/>
      <c r="AF2553" s="1439"/>
      <c r="AG2553" s="1439"/>
    </row>
    <row r="2554" spans="1:33" ht="31.5">
      <c r="A2554" s="1470" t="s">
        <v>3681</v>
      </c>
      <c r="B2554" s="1456" t="s">
        <v>7307</v>
      </c>
      <c r="C2554" s="1484"/>
      <c r="D2554" s="1484"/>
      <c r="E2554" s="1484"/>
      <c r="F2554" s="1447"/>
      <c r="G2554" s="1446"/>
      <c r="H2554" s="1447"/>
      <c r="I2554" s="1448"/>
      <c r="J2554" s="1475"/>
      <c r="K2554" s="1439"/>
      <c r="L2554" s="1439"/>
      <c r="M2554" s="1439"/>
      <c r="N2554" s="1439"/>
      <c r="O2554" s="1439"/>
      <c r="P2554" s="1439"/>
      <c r="Q2554" s="1439"/>
      <c r="R2554" s="1439"/>
      <c r="S2554" s="1439"/>
      <c r="T2554" s="1439"/>
      <c r="U2554" s="1439"/>
      <c r="V2554" s="1439"/>
      <c r="W2554" s="1439"/>
      <c r="X2554" s="1439"/>
      <c r="Y2554" s="1439"/>
      <c r="Z2554" s="1439"/>
      <c r="AA2554" s="1439"/>
      <c r="AB2554" s="1439"/>
      <c r="AC2554" s="1439"/>
      <c r="AD2554" s="1439"/>
      <c r="AE2554" s="1439"/>
      <c r="AF2554" s="1439"/>
      <c r="AG2554" s="1439"/>
    </row>
    <row r="2555" spans="1:33" ht="15.75" customHeight="1">
      <c r="A2555" s="1470"/>
      <c r="B2555" s="1450" t="s">
        <v>7308</v>
      </c>
      <c r="C2555" s="1484">
        <v>1</v>
      </c>
      <c r="D2555" s="1484" t="s">
        <v>3364</v>
      </c>
      <c r="E2555" s="1484">
        <v>4</v>
      </c>
      <c r="F2555" s="1447">
        <v>30</v>
      </c>
      <c r="G2555" s="1446"/>
      <c r="H2555" s="1447"/>
      <c r="I2555" s="1494">
        <f>PRODUCT(C2555:H2555)</f>
        <v>120</v>
      </c>
      <c r="J2555" s="1475"/>
      <c r="K2555" s="1439"/>
      <c r="L2555" s="1439"/>
      <c r="M2555" s="1439"/>
      <c r="N2555" s="1439"/>
      <c r="O2555" s="1439"/>
      <c r="P2555" s="1439"/>
      <c r="Q2555" s="1439"/>
      <c r="R2555" s="1439"/>
      <c r="S2555" s="1439"/>
      <c r="T2555" s="1439"/>
      <c r="U2555" s="1439"/>
      <c r="V2555" s="1439"/>
      <c r="W2555" s="1439"/>
      <c r="X2555" s="1439"/>
      <c r="Y2555" s="1439"/>
      <c r="Z2555" s="1439"/>
      <c r="AA2555" s="1439"/>
      <c r="AB2555" s="1439"/>
      <c r="AC2555" s="1439"/>
      <c r="AD2555" s="1439"/>
      <c r="AE2555" s="1439"/>
      <c r="AF2555" s="1439"/>
      <c r="AG2555" s="1439"/>
    </row>
    <row r="2556" spans="1:33" ht="15.75" customHeight="1">
      <c r="A2556" s="1470"/>
      <c r="B2556" s="1450"/>
      <c r="C2556" s="1484"/>
      <c r="D2556" s="1484"/>
      <c r="E2556" s="1484"/>
      <c r="F2556" s="1446"/>
      <c r="G2556" s="1446"/>
      <c r="H2556" s="1460" t="s">
        <v>104</v>
      </c>
      <c r="I2556" s="1459">
        <f>I2555</f>
        <v>120</v>
      </c>
      <c r="J2556" s="1475" t="s">
        <v>13</v>
      </c>
      <c r="K2556" s="1439"/>
      <c r="L2556" s="1439"/>
      <c r="M2556" s="1439"/>
      <c r="N2556" s="1439"/>
      <c r="O2556" s="1439"/>
      <c r="P2556" s="1439"/>
      <c r="Q2556" s="1439"/>
      <c r="R2556" s="1439"/>
      <c r="S2556" s="1439"/>
      <c r="T2556" s="1439"/>
      <c r="U2556" s="1439"/>
      <c r="V2556" s="1439"/>
      <c r="W2556" s="1439"/>
      <c r="X2556" s="1439"/>
      <c r="Y2556" s="1439"/>
      <c r="Z2556" s="1439"/>
      <c r="AA2556" s="1439"/>
      <c r="AB2556" s="1439"/>
      <c r="AC2556" s="1439"/>
      <c r="AD2556" s="1439"/>
      <c r="AE2556" s="1439"/>
      <c r="AF2556" s="1439"/>
      <c r="AG2556" s="1439"/>
    </row>
    <row r="2557" spans="1:33" ht="31.5">
      <c r="A2557" s="1451">
        <v>44.2</v>
      </c>
      <c r="B2557" s="1450" t="s">
        <v>3683</v>
      </c>
      <c r="C2557" s="1477"/>
      <c r="D2557" s="1477"/>
      <c r="E2557" s="1477"/>
      <c r="F2557" s="1478"/>
      <c r="G2557" s="1441"/>
      <c r="H2557" s="1500"/>
      <c r="I2557" s="1479"/>
      <c r="J2557" s="1501"/>
      <c r="K2557" s="1439"/>
      <c r="L2557" s="1439"/>
      <c r="M2557" s="1439"/>
      <c r="N2557" s="1439"/>
      <c r="O2557" s="1439"/>
      <c r="P2557" s="1439"/>
      <c r="Q2557" s="1439"/>
      <c r="R2557" s="1439"/>
      <c r="S2557" s="1439"/>
      <c r="T2557" s="1439"/>
      <c r="U2557" s="1439"/>
      <c r="V2557" s="1439"/>
      <c r="W2557" s="1439"/>
      <c r="X2557" s="1439"/>
      <c r="Y2557" s="1439"/>
      <c r="Z2557" s="1439"/>
      <c r="AA2557" s="1439"/>
      <c r="AB2557" s="1439"/>
      <c r="AC2557" s="1439"/>
      <c r="AD2557" s="1439"/>
      <c r="AE2557" s="1439"/>
      <c r="AF2557" s="1439"/>
      <c r="AG2557" s="1439"/>
    </row>
    <row r="2558" spans="1:33" ht="15.75" customHeight="1">
      <c r="A2558" s="1451"/>
      <c r="B2558" s="1450" t="s">
        <v>3684</v>
      </c>
      <c r="C2558" s="1477">
        <v>1</v>
      </c>
      <c r="D2558" s="1477" t="s">
        <v>3364</v>
      </c>
      <c r="E2558" s="1477">
        <v>10</v>
      </c>
      <c r="F2558" s="1478"/>
      <c r="G2558" s="1478"/>
      <c r="H2558" s="1500"/>
      <c r="I2558" s="1494">
        <f>PRODUCT(C2558:H2558)</f>
        <v>10</v>
      </c>
      <c r="J2558" s="1501"/>
      <c r="K2558" s="1439"/>
      <c r="L2558" s="1439"/>
      <c r="M2558" s="1439"/>
      <c r="N2558" s="1439"/>
      <c r="O2558" s="1439"/>
      <c r="P2558" s="1439"/>
      <c r="Q2558" s="1439"/>
      <c r="R2558" s="1439"/>
      <c r="S2558" s="1439"/>
      <c r="T2558" s="1439"/>
      <c r="U2558" s="1439"/>
      <c r="V2558" s="1439"/>
      <c r="W2558" s="1439"/>
      <c r="X2558" s="1439"/>
      <c r="Y2558" s="1439"/>
      <c r="Z2558" s="1439"/>
      <c r="AA2558" s="1439"/>
      <c r="AB2558" s="1439"/>
      <c r="AC2558" s="1439"/>
      <c r="AD2558" s="1439"/>
      <c r="AE2558" s="1439"/>
      <c r="AF2558" s="1439"/>
      <c r="AG2558" s="1439"/>
    </row>
    <row r="2559" spans="1:33" ht="15.75" customHeight="1">
      <c r="A2559" s="1451"/>
      <c r="B2559" s="1450"/>
      <c r="C2559" s="1477"/>
      <c r="D2559" s="1477"/>
      <c r="E2559" s="1477"/>
      <c r="F2559" s="1478"/>
      <c r="G2559" s="1441" t="s">
        <v>104</v>
      </c>
      <c r="H2559" s="1500"/>
      <c r="I2559" s="1479">
        <f>SUM(I2558)</f>
        <v>10</v>
      </c>
      <c r="J2559" s="1501" t="s">
        <v>729</v>
      </c>
      <c r="K2559" s="1439"/>
      <c r="L2559" s="1439"/>
      <c r="M2559" s="1439"/>
      <c r="N2559" s="1439"/>
      <c r="O2559" s="1439"/>
      <c r="P2559" s="1439"/>
      <c r="Q2559" s="1439"/>
      <c r="R2559" s="1439"/>
      <c r="S2559" s="1439"/>
      <c r="T2559" s="1439"/>
      <c r="U2559" s="1439"/>
      <c r="V2559" s="1439"/>
      <c r="W2559" s="1439"/>
      <c r="X2559" s="1439"/>
      <c r="Y2559" s="1439"/>
      <c r="Z2559" s="1439"/>
      <c r="AA2559" s="1439"/>
      <c r="AB2559" s="1439"/>
      <c r="AC2559" s="1439"/>
      <c r="AD2559" s="1439"/>
      <c r="AE2559" s="1439"/>
      <c r="AF2559" s="1439"/>
      <c r="AG2559" s="1439"/>
    </row>
    <row r="2560" spans="1:33" ht="15.75" customHeight="1">
      <c r="A2560" s="1451"/>
      <c r="B2560" s="1450" t="s">
        <v>3685</v>
      </c>
      <c r="C2560" s="1477"/>
      <c r="D2560" s="1477"/>
      <c r="E2560" s="1477"/>
      <c r="F2560" s="1478"/>
      <c r="G2560" s="1478"/>
      <c r="H2560" s="1500"/>
      <c r="I2560" s="1494"/>
      <c r="J2560" s="1501"/>
      <c r="K2560" s="1439"/>
      <c r="L2560" s="1439"/>
      <c r="M2560" s="1439"/>
      <c r="N2560" s="1439"/>
      <c r="O2560" s="1439"/>
      <c r="P2560" s="1439"/>
      <c r="Q2560" s="1439"/>
      <c r="R2560" s="1439"/>
      <c r="S2560" s="1439"/>
      <c r="T2560" s="1439"/>
      <c r="U2560" s="1439"/>
      <c r="V2560" s="1439"/>
      <c r="W2560" s="1439"/>
      <c r="X2560" s="1439"/>
      <c r="Y2560" s="1439"/>
      <c r="Z2560" s="1439"/>
      <c r="AA2560" s="1439"/>
      <c r="AB2560" s="1439"/>
      <c r="AC2560" s="1439"/>
      <c r="AD2560" s="1439"/>
      <c r="AE2560" s="1439"/>
      <c r="AF2560" s="1439"/>
      <c r="AG2560" s="1439"/>
    </row>
    <row r="2561" spans="1:33" ht="15.75" customHeight="1">
      <c r="A2561" s="1451"/>
      <c r="B2561" s="1450" t="s">
        <v>3686</v>
      </c>
      <c r="C2561" s="1477">
        <v>1</v>
      </c>
      <c r="D2561" s="1477" t="s">
        <v>3364</v>
      </c>
      <c r="E2561" s="1477">
        <v>10</v>
      </c>
      <c r="F2561" s="1500">
        <v>3</v>
      </c>
      <c r="G2561" s="1478"/>
      <c r="H2561" s="1500"/>
      <c r="I2561" s="1494">
        <f>PRODUCT(C2561,E2561,F2561,G2561,H2561)</f>
        <v>30</v>
      </c>
      <c r="J2561" s="1501"/>
      <c r="K2561" s="1439"/>
      <c r="L2561" s="1439"/>
      <c r="M2561" s="1439"/>
      <c r="N2561" s="1439"/>
      <c r="O2561" s="1439"/>
      <c r="P2561" s="1439"/>
      <c r="Q2561" s="1439"/>
      <c r="R2561" s="1439"/>
      <c r="S2561" s="1439"/>
      <c r="T2561" s="1439"/>
      <c r="U2561" s="1439"/>
      <c r="V2561" s="1439"/>
      <c r="W2561" s="1439"/>
      <c r="X2561" s="1439"/>
      <c r="Y2561" s="1439"/>
      <c r="Z2561" s="1439"/>
      <c r="AA2561" s="1439"/>
      <c r="AB2561" s="1439"/>
      <c r="AC2561" s="1439"/>
      <c r="AD2561" s="1439"/>
      <c r="AE2561" s="1439"/>
      <c r="AF2561" s="1439"/>
      <c r="AG2561" s="1439"/>
    </row>
    <row r="2562" spans="1:33" ht="15.75" customHeight="1">
      <c r="A2562" s="1451"/>
      <c r="B2562" s="1450"/>
      <c r="C2562" s="1477"/>
      <c r="D2562" s="1477"/>
      <c r="E2562" s="1477"/>
      <c r="F2562" s="1478"/>
      <c r="G2562" s="1441" t="s">
        <v>104</v>
      </c>
      <c r="H2562" s="1500"/>
      <c r="I2562" s="1479">
        <f>SUM(I2561)</f>
        <v>30</v>
      </c>
      <c r="J2562" s="1501" t="s">
        <v>13</v>
      </c>
      <c r="K2562" s="1439"/>
      <c r="L2562" s="1439"/>
      <c r="M2562" s="1439"/>
      <c r="N2562" s="1439"/>
      <c r="O2562" s="1439"/>
      <c r="P2562" s="1439"/>
      <c r="Q2562" s="1439"/>
      <c r="R2562" s="1439"/>
      <c r="S2562" s="1439"/>
      <c r="T2562" s="1439"/>
      <c r="U2562" s="1439"/>
      <c r="V2562" s="1439"/>
      <c r="W2562" s="1439"/>
      <c r="X2562" s="1439"/>
      <c r="Y2562" s="1439"/>
      <c r="Z2562" s="1439"/>
      <c r="AA2562" s="1439"/>
      <c r="AB2562" s="1439"/>
      <c r="AC2562" s="1439"/>
      <c r="AD2562" s="1439"/>
      <c r="AE2562" s="1439"/>
      <c r="AF2562" s="1439"/>
      <c r="AG2562" s="1439"/>
    </row>
    <row r="2563" spans="1:33" ht="47.25">
      <c r="A2563" s="1470">
        <v>344.2</v>
      </c>
      <c r="B2563" s="1462" t="s">
        <v>7309</v>
      </c>
      <c r="C2563" s="1484"/>
      <c r="D2563" s="1484"/>
      <c r="E2563" s="1484"/>
      <c r="F2563" s="1446"/>
      <c r="G2563" s="1446"/>
      <c r="H2563" s="1447"/>
      <c r="I2563" s="1470"/>
      <c r="J2563" s="1525"/>
      <c r="K2563" s="1439"/>
      <c r="L2563" s="1439"/>
      <c r="M2563" s="1439"/>
      <c r="N2563" s="1439"/>
      <c r="O2563" s="1439"/>
      <c r="P2563" s="1439"/>
      <c r="Q2563" s="1439"/>
      <c r="R2563" s="1439"/>
      <c r="S2563" s="1439"/>
      <c r="T2563" s="1439"/>
      <c r="U2563" s="1439"/>
      <c r="V2563" s="1439"/>
      <c r="W2563" s="1439"/>
      <c r="X2563" s="1439"/>
      <c r="Y2563" s="1439"/>
      <c r="Z2563" s="1439"/>
      <c r="AA2563" s="1439"/>
      <c r="AB2563" s="1439"/>
      <c r="AC2563" s="1439"/>
      <c r="AD2563" s="1439"/>
      <c r="AE2563" s="1439"/>
      <c r="AF2563" s="1439"/>
      <c r="AG2563" s="1439"/>
    </row>
    <row r="2564" spans="1:33" ht="15.75" customHeight="1">
      <c r="A2564" s="1470"/>
      <c r="B2564" s="1499" t="s">
        <v>7554</v>
      </c>
      <c r="C2564" s="1484">
        <v>1</v>
      </c>
      <c r="D2564" s="1484" t="s">
        <v>3364</v>
      </c>
      <c r="E2564" s="1484">
        <f>Joineries!K20</f>
        <v>29</v>
      </c>
      <c r="F2564" s="1446"/>
      <c r="G2564" s="1446"/>
      <c r="H2564" s="1447"/>
      <c r="I2564" s="1448">
        <f>PRODUCT(C2564:H2564)</f>
        <v>29</v>
      </c>
      <c r="J2564" s="1475"/>
      <c r="K2564" s="1439"/>
      <c r="L2564" s="1439"/>
      <c r="M2564" s="1439"/>
      <c r="N2564" s="1439"/>
      <c r="O2564" s="1439"/>
      <c r="P2564" s="1439"/>
      <c r="Q2564" s="1439"/>
      <c r="R2564" s="1439"/>
      <c r="S2564" s="1439"/>
      <c r="T2564" s="1439"/>
      <c r="U2564" s="1439"/>
      <c r="V2564" s="1439"/>
      <c r="W2564" s="1439"/>
      <c r="X2564" s="1439"/>
      <c r="Y2564" s="1439"/>
      <c r="Z2564" s="1439"/>
      <c r="AA2564" s="1439"/>
      <c r="AB2564" s="1439"/>
      <c r="AC2564" s="1439"/>
      <c r="AD2564" s="1439"/>
      <c r="AE2564" s="1439"/>
      <c r="AF2564" s="1439"/>
      <c r="AG2564" s="1439"/>
    </row>
    <row r="2565" spans="1:33" ht="15.75" customHeight="1">
      <c r="A2565" s="1470"/>
      <c r="B2565" s="1450"/>
      <c r="C2565" s="1484"/>
      <c r="D2565" s="1484"/>
      <c r="E2565" s="1484"/>
      <c r="F2565" s="1446"/>
      <c r="G2565" s="1446"/>
      <c r="H2565" s="1460" t="s">
        <v>2981</v>
      </c>
      <c r="I2565" s="1459">
        <f>SUM(I2564:I2564)</f>
        <v>29</v>
      </c>
      <c r="J2565" s="1475" t="s">
        <v>3471</v>
      </c>
      <c r="K2565" s="1439"/>
      <c r="L2565" s="1439"/>
      <c r="M2565" s="1439"/>
      <c r="N2565" s="1439"/>
      <c r="O2565" s="1439"/>
      <c r="P2565" s="1439"/>
      <c r="Q2565" s="1439"/>
      <c r="R2565" s="1439"/>
      <c r="S2565" s="1439"/>
      <c r="T2565" s="1439"/>
      <c r="U2565" s="1439"/>
      <c r="V2565" s="1439"/>
      <c r="W2565" s="1439"/>
      <c r="X2565" s="1439"/>
      <c r="Y2565" s="1439"/>
      <c r="Z2565" s="1439"/>
      <c r="AA2565" s="1439"/>
      <c r="AB2565" s="1439"/>
      <c r="AC2565" s="1439"/>
      <c r="AD2565" s="1439"/>
      <c r="AE2565" s="1439"/>
      <c r="AF2565" s="1439"/>
      <c r="AG2565" s="1439"/>
    </row>
    <row r="2566" spans="1:33" ht="15.75" hidden="1" customHeight="1">
      <c r="A2566" s="1470">
        <v>238.1</v>
      </c>
      <c r="B2566" s="1450" t="s">
        <v>3693</v>
      </c>
      <c r="C2566" s="1484"/>
      <c r="D2566" s="1484"/>
      <c r="E2566" s="1484"/>
      <c r="F2566" s="1446"/>
      <c r="G2566" s="1446"/>
      <c r="H2566" s="1447"/>
      <c r="I2566" s="1448"/>
      <c r="J2566" s="1475"/>
      <c r="K2566" s="1439"/>
      <c r="L2566" s="1439"/>
      <c r="M2566" s="1439"/>
      <c r="N2566" s="1439"/>
      <c r="O2566" s="1439"/>
      <c r="P2566" s="1439"/>
      <c r="Q2566" s="1439"/>
      <c r="R2566" s="1439"/>
      <c r="S2566" s="1439"/>
      <c r="T2566" s="1439"/>
      <c r="U2566" s="1439"/>
      <c r="V2566" s="1439"/>
      <c r="W2566" s="1439"/>
      <c r="X2566" s="1439"/>
      <c r="Y2566" s="1439"/>
      <c r="Z2566" s="1439"/>
      <c r="AA2566" s="1439"/>
      <c r="AB2566" s="1439"/>
      <c r="AC2566" s="1439"/>
      <c r="AD2566" s="1439"/>
      <c r="AE2566" s="1439"/>
      <c r="AF2566" s="1439"/>
      <c r="AG2566" s="1439"/>
    </row>
    <row r="2567" spans="1:33" ht="15.75" customHeight="1">
      <c r="A2567" s="1470"/>
      <c r="B2567" s="1450"/>
      <c r="C2567" s="1484"/>
      <c r="D2567" s="1484"/>
      <c r="E2567" s="1484"/>
      <c r="F2567" s="1446"/>
      <c r="G2567" s="1446"/>
      <c r="H2567" s="1447"/>
      <c r="I2567" s="1495"/>
      <c r="J2567" s="1475"/>
      <c r="K2567" s="1439"/>
      <c r="L2567" s="1439"/>
      <c r="M2567" s="1439"/>
      <c r="N2567" s="1439"/>
      <c r="O2567" s="1439"/>
      <c r="P2567" s="1439"/>
      <c r="Q2567" s="1439"/>
      <c r="R2567" s="1439"/>
      <c r="S2567" s="1439"/>
      <c r="T2567" s="1439"/>
      <c r="U2567" s="1439"/>
      <c r="V2567" s="1439"/>
      <c r="W2567" s="1439"/>
      <c r="X2567" s="1439"/>
      <c r="Y2567" s="1439"/>
      <c r="Z2567" s="1439"/>
      <c r="AA2567" s="1439"/>
      <c r="AB2567" s="1439"/>
      <c r="AC2567" s="1439"/>
      <c r="AD2567" s="1439"/>
      <c r="AE2567" s="1439"/>
      <c r="AF2567" s="1439"/>
      <c r="AG2567" s="1439"/>
    </row>
    <row r="2568" spans="1:33" ht="31.5">
      <c r="A2568" s="1451">
        <v>87</v>
      </c>
      <c r="B2568" s="1456" t="s">
        <v>3694</v>
      </c>
      <c r="C2568" s="1552"/>
      <c r="D2568" s="1477"/>
      <c r="E2568" s="1552"/>
      <c r="F2568" s="1441"/>
      <c r="G2568" s="1441"/>
      <c r="H2568" s="1442"/>
      <c r="I2568" s="1494"/>
      <c r="J2568" s="1501"/>
      <c r="K2568" s="1439"/>
      <c r="L2568" s="1439"/>
      <c r="M2568" s="1439"/>
      <c r="N2568" s="1439"/>
      <c r="O2568" s="1439"/>
      <c r="P2568" s="1439"/>
      <c r="Q2568" s="1439"/>
      <c r="R2568" s="1439"/>
      <c r="S2568" s="1439"/>
      <c r="T2568" s="1439"/>
      <c r="U2568" s="1439"/>
      <c r="V2568" s="1439"/>
      <c r="W2568" s="1439"/>
      <c r="X2568" s="1439"/>
      <c r="Y2568" s="1439"/>
      <c r="Z2568" s="1439"/>
      <c r="AA2568" s="1439"/>
      <c r="AB2568" s="1439"/>
      <c r="AC2568" s="1439"/>
      <c r="AD2568" s="1439"/>
      <c r="AE2568" s="1439"/>
      <c r="AF2568" s="1439"/>
      <c r="AG2568" s="1439"/>
    </row>
    <row r="2569" spans="1:33" ht="15.75" customHeight="1">
      <c r="A2569" s="1470"/>
      <c r="B2569" s="1450" t="s">
        <v>3695</v>
      </c>
      <c r="C2569" s="1552">
        <v>8</v>
      </c>
      <c r="D2569" s="1477" t="s">
        <v>3364</v>
      </c>
      <c r="E2569" s="1552">
        <v>1</v>
      </c>
      <c r="F2569" s="1441"/>
      <c r="G2569" s="1441"/>
      <c r="H2569" s="1442"/>
      <c r="I2569" s="1494">
        <f>PRODUCT(C2569:H2569)</f>
        <v>8</v>
      </c>
      <c r="J2569" s="1501" t="s">
        <v>729</v>
      </c>
      <c r="K2569" s="1439"/>
      <c r="L2569" s="1439"/>
      <c r="M2569" s="1439"/>
      <c r="N2569" s="1439"/>
      <c r="O2569" s="1439"/>
      <c r="P2569" s="1439"/>
      <c r="Q2569" s="1439"/>
      <c r="R2569" s="1439"/>
      <c r="S2569" s="1439"/>
      <c r="T2569" s="1439"/>
      <c r="U2569" s="1439"/>
      <c r="V2569" s="1439"/>
      <c r="W2569" s="1439"/>
      <c r="X2569" s="1439"/>
      <c r="Y2569" s="1439"/>
      <c r="Z2569" s="1439"/>
      <c r="AA2569" s="1439"/>
      <c r="AB2569" s="1439"/>
      <c r="AC2569" s="1439"/>
      <c r="AD2569" s="1439"/>
      <c r="AE2569" s="1439"/>
      <c r="AF2569" s="1439"/>
      <c r="AG2569" s="1439"/>
    </row>
    <row r="2570" spans="1:33" ht="15.75" hidden="1" customHeight="1">
      <c r="A2570" s="1451"/>
      <c r="B2570" s="1456" t="s">
        <v>3696</v>
      </c>
      <c r="C2570" s="1477"/>
      <c r="D2570" s="1477"/>
      <c r="E2570" s="1477"/>
      <c r="F2570" s="1478"/>
      <c r="G2570" s="1478"/>
      <c r="H2570" s="1500"/>
      <c r="I2570" s="1494"/>
      <c r="J2570" s="1501"/>
      <c r="K2570" s="1439"/>
      <c r="L2570" s="1439"/>
      <c r="M2570" s="1439"/>
      <c r="N2570" s="1439"/>
      <c r="O2570" s="1439"/>
      <c r="P2570" s="1439"/>
      <c r="Q2570" s="1439"/>
      <c r="R2570" s="1439"/>
      <c r="S2570" s="1439"/>
      <c r="T2570" s="1439"/>
      <c r="U2570" s="1439"/>
      <c r="V2570" s="1439"/>
      <c r="W2570" s="1439"/>
      <c r="X2570" s="1439"/>
      <c r="Y2570" s="1439"/>
      <c r="Z2570" s="1439"/>
      <c r="AA2570" s="1439"/>
      <c r="AB2570" s="1439"/>
      <c r="AC2570" s="1439"/>
      <c r="AD2570" s="1439"/>
      <c r="AE2570" s="1439"/>
      <c r="AF2570" s="1439"/>
      <c r="AG2570" s="1439"/>
    </row>
    <row r="2571" spans="1:33" ht="15.75" hidden="1" customHeight="1">
      <c r="A2571" s="1451"/>
      <c r="B2571" s="1450"/>
      <c r="C2571" s="1477"/>
      <c r="D2571" s="1477"/>
      <c r="E2571" s="1477"/>
      <c r="F2571" s="1478"/>
      <c r="G2571" s="1478"/>
      <c r="H2571" s="1500"/>
      <c r="I2571" s="1479"/>
      <c r="J2571" s="1501"/>
      <c r="K2571" s="1439"/>
      <c r="L2571" s="1439"/>
      <c r="M2571" s="1439"/>
      <c r="N2571" s="1439"/>
      <c r="O2571" s="1439"/>
      <c r="P2571" s="1439"/>
      <c r="Q2571" s="1439"/>
      <c r="R2571" s="1439"/>
      <c r="S2571" s="1439"/>
      <c r="T2571" s="1439"/>
      <c r="U2571" s="1439"/>
      <c r="V2571" s="1439"/>
      <c r="W2571" s="1439"/>
      <c r="X2571" s="1439"/>
      <c r="Y2571" s="1439"/>
      <c r="Z2571" s="1439"/>
      <c r="AA2571" s="1439"/>
      <c r="AB2571" s="1439"/>
      <c r="AC2571" s="1439"/>
      <c r="AD2571" s="1439"/>
      <c r="AE2571" s="1439"/>
      <c r="AF2571" s="1439"/>
      <c r="AG2571" s="1439"/>
    </row>
    <row r="2572" spans="1:33" ht="47.25">
      <c r="A2572" s="1470" t="s">
        <v>3701</v>
      </c>
      <c r="B2572" s="1450" t="s">
        <v>7310</v>
      </c>
      <c r="C2572" s="1484"/>
      <c r="D2572" s="1484"/>
      <c r="E2572" s="1484"/>
      <c r="F2572" s="1446"/>
      <c r="G2572" s="1446"/>
      <c r="H2572" s="1460"/>
      <c r="I2572" s="1459"/>
      <c r="J2572" s="1475"/>
      <c r="K2572" s="1439"/>
      <c r="L2572" s="1439"/>
      <c r="M2572" s="1439"/>
      <c r="N2572" s="1439"/>
      <c r="O2572" s="1439"/>
      <c r="P2572" s="1439"/>
      <c r="Q2572" s="1439"/>
      <c r="R2572" s="1439"/>
      <c r="S2572" s="1439"/>
      <c r="T2572" s="1439"/>
      <c r="U2572" s="1439"/>
      <c r="V2572" s="1439"/>
      <c r="W2572" s="1439"/>
      <c r="X2572" s="1439"/>
      <c r="Y2572" s="1439"/>
      <c r="Z2572" s="1439"/>
      <c r="AA2572" s="1439"/>
      <c r="AB2572" s="1439"/>
      <c r="AC2572" s="1439"/>
      <c r="AD2572" s="1439"/>
      <c r="AE2572" s="1439"/>
      <c r="AF2572" s="1439"/>
      <c r="AG2572" s="1439"/>
    </row>
    <row r="2573" spans="1:33" ht="15.75" customHeight="1">
      <c r="A2573" s="1470"/>
      <c r="B2573" s="1450" t="s">
        <v>3702</v>
      </c>
      <c r="C2573" s="1484"/>
      <c r="D2573" s="1484"/>
      <c r="E2573" s="1484"/>
      <c r="F2573" s="1446"/>
      <c r="G2573" s="1446"/>
      <c r="H2573" s="1460"/>
      <c r="I2573" s="1459">
        <f>I1057</f>
        <v>1818.54</v>
      </c>
      <c r="J2573" s="1475" t="s">
        <v>724</v>
      </c>
      <c r="K2573" s="1439"/>
      <c r="L2573" s="1439"/>
      <c r="M2573" s="1439"/>
      <c r="N2573" s="1439"/>
      <c r="O2573" s="1439"/>
      <c r="P2573" s="1439"/>
      <c r="Q2573" s="1439"/>
      <c r="R2573" s="1439"/>
      <c r="S2573" s="1439"/>
      <c r="T2573" s="1439"/>
      <c r="U2573" s="1439"/>
      <c r="V2573" s="1439"/>
      <c r="W2573" s="1439"/>
      <c r="X2573" s="1439"/>
      <c r="Y2573" s="1439"/>
      <c r="Z2573" s="1439"/>
      <c r="AA2573" s="1439"/>
      <c r="AB2573" s="1439"/>
      <c r="AC2573" s="1439"/>
      <c r="AD2573" s="1439"/>
      <c r="AE2573" s="1439"/>
      <c r="AF2573" s="1439"/>
      <c r="AG2573" s="1439"/>
    </row>
    <row r="2574" spans="1:33" s="1524" customFormat="1" ht="31.5">
      <c r="A2574" s="1516"/>
      <c r="B2574" s="1455" t="s">
        <v>3703</v>
      </c>
      <c r="C2574" s="1553"/>
      <c r="D2574" s="1553"/>
      <c r="E2574" s="1553"/>
      <c r="F2574" s="1520"/>
      <c r="G2574" s="1520"/>
      <c r="H2574" s="1521"/>
      <c r="I2574" s="1535"/>
      <c r="J2574" s="1554"/>
      <c r="K2574" s="1523"/>
      <c r="L2574" s="1523"/>
      <c r="M2574" s="1523"/>
      <c r="N2574" s="1523"/>
      <c r="O2574" s="1523"/>
      <c r="P2574" s="1523"/>
      <c r="Q2574" s="1523"/>
      <c r="R2574" s="1523"/>
      <c r="S2574" s="1523"/>
      <c r="T2574" s="1523"/>
      <c r="U2574" s="1523"/>
      <c r="V2574" s="1523"/>
      <c r="W2574" s="1523"/>
      <c r="X2574" s="1523"/>
      <c r="Y2574" s="1523"/>
      <c r="Z2574" s="1523"/>
      <c r="AA2574" s="1523"/>
      <c r="AB2574" s="1523"/>
      <c r="AC2574" s="1523"/>
      <c r="AD2574" s="1523"/>
      <c r="AE2574" s="1523"/>
      <c r="AF2574" s="1523"/>
      <c r="AG2574" s="1523"/>
    </row>
    <row r="2575" spans="1:33" ht="15.75" customHeight="1">
      <c r="A2575" s="1470"/>
      <c r="B2575" s="1450" t="s">
        <v>3704</v>
      </c>
      <c r="C2575" s="1552">
        <v>1</v>
      </c>
      <c r="D2575" s="1477">
        <f>Joineries!K2</f>
        <v>7</v>
      </c>
      <c r="E2575" s="1552">
        <v>1</v>
      </c>
      <c r="F2575" s="1442">
        <v>1.2</v>
      </c>
      <c r="G2575" s="1442">
        <v>2.6</v>
      </c>
      <c r="H2575" s="1442">
        <v>2.1</v>
      </c>
      <c r="I2575" s="1479">
        <f>PRODUCT(C2575:H2575)</f>
        <v>45.86</v>
      </c>
      <c r="J2575" s="1501"/>
      <c r="K2575" s="1439"/>
      <c r="L2575" s="1439"/>
      <c r="M2575" s="1439"/>
      <c r="N2575" s="1439"/>
      <c r="O2575" s="1439"/>
      <c r="P2575" s="1439"/>
      <c r="Q2575" s="1439"/>
      <c r="R2575" s="1439"/>
      <c r="S2575" s="1439"/>
      <c r="T2575" s="1439"/>
      <c r="U2575" s="1439"/>
      <c r="V2575" s="1439"/>
      <c r="W2575" s="1439"/>
      <c r="X2575" s="1439"/>
      <c r="Y2575" s="1439"/>
      <c r="Z2575" s="1439"/>
      <c r="AA2575" s="1439"/>
      <c r="AB2575" s="1439"/>
      <c r="AC2575" s="1439"/>
      <c r="AD2575" s="1439"/>
      <c r="AE2575" s="1439"/>
      <c r="AF2575" s="1439"/>
      <c r="AG2575" s="1439"/>
    </row>
    <row r="2576" spans="1:33" ht="15.75" customHeight="1">
      <c r="A2576" s="1470"/>
      <c r="B2576" s="1450"/>
      <c r="C2576" s="1552"/>
      <c r="D2576" s="1477"/>
      <c r="E2576" s="1552"/>
      <c r="F2576" s="1441"/>
      <c r="G2576" s="1441"/>
      <c r="H2576" s="1442"/>
      <c r="I2576" s="1479">
        <f>CEILING(I2575,0.1)</f>
        <v>45.9</v>
      </c>
      <c r="J2576" s="1501" t="s">
        <v>724</v>
      </c>
      <c r="K2576" s="1439"/>
      <c r="L2576" s="1439"/>
      <c r="M2576" s="1439"/>
      <c r="N2576" s="1439"/>
      <c r="O2576" s="1439"/>
      <c r="P2576" s="1439"/>
      <c r="Q2576" s="1439"/>
      <c r="R2576" s="1439"/>
      <c r="S2576" s="1439"/>
      <c r="T2576" s="1439"/>
      <c r="U2576" s="1439"/>
      <c r="V2576" s="1439"/>
      <c r="W2576" s="1439"/>
      <c r="X2576" s="1439"/>
      <c r="Y2576" s="1439"/>
      <c r="Z2576" s="1439"/>
      <c r="AA2576" s="1439"/>
      <c r="AB2576" s="1439"/>
      <c r="AC2576" s="1439"/>
      <c r="AD2576" s="1439"/>
      <c r="AE2576" s="1439"/>
      <c r="AF2576" s="1439"/>
      <c r="AG2576" s="1439"/>
    </row>
    <row r="2577" spans="1:33" ht="47.25">
      <c r="A2577" s="1470">
        <v>38.799999999999997</v>
      </c>
      <c r="B2577" s="1452" t="s">
        <v>7311</v>
      </c>
      <c r="C2577" s="1484"/>
      <c r="D2577" s="1484"/>
      <c r="E2577" s="1484"/>
      <c r="F2577" s="1446"/>
      <c r="G2577" s="1446"/>
      <c r="H2577" s="1460"/>
      <c r="I2577" s="1459"/>
      <c r="J2577" s="1475"/>
      <c r="K2577" s="1439"/>
      <c r="L2577" s="1439"/>
      <c r="M2577" s="1439"/>
      <c r="N2577" s="1439"/>
      <c r="O2577" s="1439"/>
      <c r="P2577" s="1439"/>
      <c r="Q2577" s="1439"/>
      <c r="R2577" s="1439"/>
      <c r="S2577" s="1439"/>
      <c r="T2577" s="1439"/>
      <c r="U2577" s="1439"/>
      <c r="V2577" s="1439"/>
      <c r="W2577" s="1439"/>
      <c r="X2577" s="1439"/>
      <c r="Y2577" s="1439"/>
      <c r="Z2577" s="1439"/>
      <c r="AA2577" s="1439"/>
      <c r="AB2577" s="1439"/>
      <c r="AC2577" s="1439"/>
      <c r="AD2577" s="1439"/>
      <c r="AE2577" s="1439"/>
      <c r="AF2577" s="1439"/>
      <c r="AG2577" s="1439"/>
    </row>
    <row r="2578" spans="1:33" ht="48" customHeight="1">
      <c r="A2578" s="1470"/>
      <c r="B2578" s="1450" t="s">
        <v>3705</v>
      </c>
      <c r="C2578" s="1484"/>
      <c r="D2578" s="1484"/>
      <c r="E2578" s="1484"/>
      <c r="F2578" s="1446"/>
      <c r="G2578" s="1446"/>
      <c r="H2578" s="1447"/>
      <c r="I2578" s="1459">
        <f>I1038</f>
        <v>4032</v>
      </c>
      <c r="J2578" s="1475" t="s">
        <v>724</v>
      </c>
      <c r="K2578" s="1439"/>
      <c r="L2578" s="1439"/>
      <c r="M2578" s="1439"/>
      <c r="N2578" s="1439"/>
      <c r="O2578" s="1439"/>
      <c r="P2578" s="1439"/>
      <c r="Q2578" s="1439"/>
      <c r="R2578" s="1439"/>
      <c r="S2578" s="1439"/>
      <c r="T2578" s="1439"/>
      <c r="U2578" s="1439"/>
      <c r="V2578" s="1439"/>
      <c r="W2578" s="1439"/>
      <c r="X2578" s="1439"/>
      <c r="Y2578" s="1439"/>
      <c r="Z2578" s="1439"/>
      <c r="AA2578" s="1439"/>
      <c r="AB2578" s="1439"/>
      <c r="AC2578" s="1439"/>
      <c r="AD2578" s="1439"/>
      <c r="AE2578" s="1439"/>
      <c r="AF2578" s="1439"/>
      <c r="AG2578" s="1439"/>
    </row>
    <row r="2579" spans="1:33" ht="15.75" customHeight="1">
      <c r="A2579" s="1470"/>
      <c r="B2579" s="1450"/>
      <c r="C2579" s="1484"/>
      <c r="D2579" s="1484"/>
      <c r="E2579" s="1484"/>
      <c r="F2579" s="1446"/>
      <c r="G2579" s="1446"/>
      <c r="H2579" s="1447"/>
      <c r="I2579" s="1459"/>
      <c r="J2579" s="1475"/>
      <c r="K2579" s="1439"/>
      <c r="L2579" s="1439"/>
      <c r="M2579" s="1439"/>
      <c r="N2579" s="1439"/>
      <c r="O2579" s="1439"/>
      <c r="P2579" s="1439"/>
      <c r="Q2579" s="1439"/>
      <c r="R2579" s="1439"/>
      <c r="S2579" s="1439"/>
      <c r="T2579" s="1439"/>
      <c r="U2579" s="1439"/>
      <c r="V2579" s="1439"/>
      <c r="W2579" s="1439"/>
      <c r="X2579" s="1439"/>
      <c r="Y2579" s="1439"/>
      <c r="Z2579" s="1439"/>
      <c r="AA2579" s="1439"/>
      <c r="AB2579" s="1439"/>
      <c r="AC2579" s="1439"/>
      <c r="AD2579" s="1439"/>
      <c r="AE2579" s="1439"/>
      <c r="AF2579" s="1439"/>
      <c r="AG2579" s="1439"/>
    </row>
    <row r="2580" spans="1:33" ht="31.5">
      <c r="A2580" s="1470"/>
      <c r="B2580" s="1456" t="s">
        <v>3706</v>
      </c>
      <c r="C2580" s="1484"/>
      <c r="D2580" s="1484"/>
      <c r="E2580" s="1484"/>
      <c r="F2580" s="1446"/>
      <c r="G2580" s="1446"/>
      <c r="H2580" s="1447"/>
      <c r="I2580" s="1448"/>
      <c r="J2580" s="1525"/>
      <c r="K2580" s="1439"/>
      <c r="L2580" s="1439"/>
      <c r="M2580" s="1439"/>
      <c r="N2580" s="1439"/>
      <c r="O2580" s="1439"/>
      <c r="P2580" s="1439"/>
      <c r="Q2580" s="1439"/>
      <c r="R2580" s="1439"/>
      <c r="S2580" s="1439"/>
      <c r="T2580" s="1439"/>
      <c r="U2580" s="1439"/>
      <c r="V2580" s="1439"/>
      <c r="W2580" s="1439"/>
      <c r="X2580" s="1439"/>
      <c r="Y2580" s="1439"/>
      <c r="Z2580" s="1439"/>
      <c r="AA2580" s="1439"/>
      <c r="AB2580" s="1439"/>
      <c r="AC2580" s="1439"/>
      <c r="AD2580" s="1439"/>
      <c r="AE2580" s="1439"/>
      <c r="AF2580" s="1439"/>
      <c r="AG2580" s="1439"/>
    </row>
    <row r="2581" spans="1:33" ht="15.75" customHeight="1">
      <c r="A2581" s="1451"/>
      <c r="B2581" s="1456" t="s">
        <v>7157</v>
      </c>
      <c r="C2581" s="1484"/>
      <c r="D2581" s="1484"/>
      <c r="E2581" s="1484"/>
      <c r="F2581" s="1446"/>
      <c r="G2581" s="1446"/>
      <c r="H2581" s="1447"/>
      <c r="I2581" s="1494"/>
      <c r="J2581" s="1492"/>
      <c r="K2581" s="1439"/>
      <c r="L2581" s="1439"/>
      <c r="M2581" s="1439"/>
      <c r="N2581" s="1439"/>
      <c r="O2581" s="1439"/>
      <c r="P2581" s="1439"/>
      <c r="Q2581" s="1439"/>
      <c r="R2581" s="1439"/>
      <c r="S2581" s="1439"/>
      <c r="T2581" s="1439"/>
      <c r="U2581" s="1439"/>
      <c r="V2581" s="1439"/>
      <c r="W2581" s="1439"/>
      <c r="X2581" s="1439"/>
      <c r="Y2581" s="1439"/>
      <c r="Z2581" s="1439"/>
      <c r="AA2581" s="1439"/>
      <c r="AB2581" s="1439"/>
      <c r="AC2581" s="1439"/>
      <c r="AD2581" s="1439"/>
      <c r="AE2581" s="1439"/>
      <c r="AF2581" s="1439"/>
      <c r="AG2581" s="1439"/>
    </row>
    <row r="2582" spans="1:33" ht="15.75" customHeight="1">
      <c r="A2582" s="1451"/>
      <c r="B2582" s="1450" t="s">
        <v>6908</v>
      </c>
      <c r="C2582" s="1484">
        <v>1</v>
      </c>
      <c r="D2582" s="1484" t="s">
        <v>3364</v>
      </c>
      <c r="E2582" s="1484">
        <v>1</v>
      </c>
      <c r="F2582" s="1446">
        <v>3.895</v>
      </c>
      <c r="G2582" s="1446">
        <v>1.385</v>
      </c>
      <c r="H2582" s="1447"/>
      <c r="I2582" s="1479">
        <f t="shared" ref="I2582:I2673" si="99">PRODUCT(C2582:H2582)</f>
        <v>5.39</v>
      </c>
      <c r="J2582" s="1492"/>
      <c r="K2582" s="1439"/>
      <c r="L2582" s="1439"/>
      <c r="M2582" s="1439"/>
      <c r="N2582" s="1439"/>
      <c r="O2582" s="1439"/>
      <c r="P2582" s="1439"/>
      <c r="Q2582" s="1439"/>
      <c r="R2582" s="1439"/>
      <c r="S2582" s="1439"/>
      <c r="T2582" s="1439"/>
      <c r="U2582" s="1439"/>
      <c r="V2582" s="1439"/>
      <c r="W2582" s="1439"/>
      <c r="X2582" s="1439"/>
      <c r="Y2582" s="1439"/>
      <c r="Z2582" s="1439"/>
      <c r="AA2582" s="1439"/>
      <c r="AB2582" s="1439"/>
      <c r="AC2582" s="1439"/>
      <c r="AD2582" s="1439"/>
      <c r="AE2582" s="1439"/>
      <c r="AF2582" s="1439"/>
      <c r="AG2582" s="1439"/>
    </row>
    <row r="2583" spans="1:33" ht="15.75" customHeight="1">
      <c r="A2583" s="1451"/>
      <c r="B2583" s="1450" t="s">
        <v>6909</v>
      </c>
      <c r="C2583" s="1484">
        <v>1</v>
      </c>
      <c r="D2583" s="1484" t="s">
        <v>3364</v>
      </c>
      <c r="E2583" s="1484">
        <v>1</v>
      </c>
      <c r="F2583" s="1446">
        <f>(F2582+G2582)*2</f>
        <v>10.56</v>
      </c>
      <c r="G2583" s="1446"/>
      <c r="H2583" s="1447">
        <v>0.1</v>
      </c>
      <c r="I2583" s="1479">
        <f t="shared" si="99"/>
        <v>1.06</v>
      </c>
      <c r="J2583" s="1492"/>
      <c r="K2583" s="1439"/>
      <c r="L2583" s="1439"/>
      <c r="M2583" s="1439"/>
      <c r="N2583" s="1439"/>
      <c r="O2583" s="1439"/>
      <c r="P2583" s="1439"/>
      <c r="Q2583" s="1439"/>
      <c r="R2583" s="1439"/>
      <c r="S2583" s="1439"/>
      <c r="T2583" s="1439"/>
      <c r="U2583" s="1439"/>
      <c r="V2583" s="1439"/>
      <c r="W2583" s="1439"/>
      <c r="X2583" s="1439"/>
      <c r="Y2583" s="1439"/>
      <c r="Z2583" s="1439"/>
      <c r="AA2583" s="1439"/>
      <c r="AB2583" s="1439"/>
      <c r="AC2583" s="1439"/>
      <c r="AD2583" s="1439"/>
      <c r="AE2583" s="1439"/>
      <c r="AF2583" s="1439"/>
      <c r="AG2583" s="1439"/>
    </row>
    <row r="2584" spans="1:33" ht="15.75" customHeight="1">
      <c r="A2584" s="1451"/>
      <c r="B2584" s="1450" t="s">
        <v>6723</v>
      </c>
      <c r="C2584" s="1484">
        <v>1</v>
      </c>
      <c r="D2584" s="1484" t="s">
        <v>3364</v>
      </c>
      <c r="E2584" s="1484">
        <v>1</v>
      </c>
      <c r="F2584" s="1446">
        <v>3.895</v>
      </c>
      <c r="G2584" s="1446">
        <v>4</v>
      </c>
      <c r="H2584" s="1447"/>
      <c r="I2584" s="1479">
        <f t="shared" si="99"/>
        <v>15.58</v>
      </c>
      <c r="J2584" s="1492"/>
      <c r="K2584" s="1439"/>
      <c r="L2584" s="1439"/>
      <c r="M2584" s="1439"/>
      <c r="N2584" s="1439"/>
      <c r="O2584" s="1439"/>
      <c r="P2584" s="1439"/>
      <c r="Q2584" s="1439"/>
      <c r="R2584" s="1439"/>
      <c r="S2584" s="1439"/>
      <c r="T2584" s="1439"/>
      <c r="U2584" s="1439"/>
      <c r="V2584" s="1439"/>
      <c r="W2584" s="1439"/>
      <c r="X2584" s="1439"/>
      <c r="Y2584" s="1439"/>
      <c r="Z2584" s="1439"/>
      <c r="AA2584" s="1439"/>
      <c r="AB2584" s="1439"/>
      <c r="AC2584" s="1439"/>
      <c r="AD2584" s="1439"/>
      <c r="AE2584" s="1439"/>
      <c r="AF2584" s="1439"/>
      <c r="AG2584" s="1439"/>
    </row>
    <row r="2585" spans="1:33" ht="15.75" customHeight="1">
      <c r="A2585" s="1451"/>
      <c r="B2585" s="1450" t="s">
        <v>6910</v>
      </c>
      <c r="C2585" s="1484">
        <v>1</v>
      </c>
      <c r="D2585" s="1484" t="s">
        <v>3364</v>
      </c>
      <c r="E2585" s="1484">
        <v>1</v>
      </c>
      <c r="F2585" s="1446">
        <f>(F2584+G2584)*2</f>
        <v>15.79</v>
      </c>
      <c r="G2585" s="1446"/>
      <c r="H2585" s="1447">
        <v>0.1</v>
      </c>
      <c r="I2585" s="1479">
        <f t="shared" si="99"/>
        <v>1.58</v>
      </c>
      <c r="J2585" s="1492"/>
      <c r="K2585" s="1439"/>
      <c r="L2585" s="1439"/>
      <c r="M2585" s="1439"/>
      <c r="N2585" s="1439"/>
      <c r="O2585" s="1439"/>
      <c r="P2585" s="1439"/>
      <c r="Q2585" s="1439"/>
      <c r="R2585" s="1439"/>
      <c r="S2585" s="1439"/>
      <c r="T2585" s="1439"/>
      <c r="U2585" s="1439"/>
      <c r="V2585" s="1439"/>
      <c r="W2585" s="1439"/>
      <c r="X2585" s="1439"/>
      <c r="Y2585" s="1439"/>
      <c r="Z2585" s="1439"/>
      <c r="AA2585" s="1439"/>
      <c r="AB2585" s="1439"/>
      <c r="AC2585" s="1439"/>
      <c r="AD2585" s="1439"/>
      <c r="AE2585" s="1439"/>
      <c r="AF2585" s="1439"/>
      <c r="AG2585" s="1439"/>
    </row>
    <row r="2586" spans="1:33" ht="15.75" customHeight="1">
      <c r="A2586" s="1451"/>
      <c r="B2586" s="1450" t="s">
        <v>7080</v>
      </c>
      <c r="C2586" s="1484">
        <v>1</v>
      </c>
      <c r="D2586" s="1484" t="s">
        <v>3364</v>
      </c>
      <c r="E2586" s="1484">
        <v>1</v>
      </c>
      <c r="F2586" s="1446">
        <v>3.43</v>
      </c>
      <c r="G2586" s="1446">
        <v>4.96</v>
      </c>
      <c r="H2586" s="1447"/>
      <c r="I2586" s="1479">
        <f t="shared" si="99"/>
        <v>17.010000000000002</v>
      </c>
      <c r="J2586" s="1492"/>
      <c r="K2586" s="1439"/>
      <c r="L2586" s="1439"/>
      <c r="M2586" s="1439"/>
      <c r="N2586" s="1439"/>
      <c r="O2586" s="1439"/>
      <c r="P2586" s="1439"/>
      <c r="Q2586" s="1439"/>
      <c r="R2586" s="1439"/>
      <c r="S2586" s="1439"/>
      <c r="T2586" s="1439"/>
      <c r="U2586" s="1439"/>
      <c r="V2586" s="1439"/>
      <c r="W2586" s="1439"/>
      <c r="X2586" s="1439"/>
      <c r="Y2586" s="1439"/>
      <c r="Z2586" s="1439"/>
      <c r="AA2586" s="1439"/>
      <c r="AB2586" s="1439"/>
      <c r="AC2586" s="1439"/>
      <c r="AD2586" s="1439"/>
      <c r="AE2586" s="1439"/>
      <c r="AF2586" s="1439"/>
      <c r="AG2586" s="1439"/>
    </row>
    <row r="2587" spans="1:33" ht="15.75" customHeight="1">
      <c r="A2587" s="1451"/>
      <c r="B2587" s="1450" t="s">
        <v>6910</v>
      </c>
      <c r="C2587" s="1484">
        <v>1</v>
      </c>
      <c r="D2587" s="1484" t="s">
        <v>3364</v>
      </c>
      <c r="E2587" s="1484">
        <v>1</v>
      </c>
      <c r="F2587" s="1446">
        <f>(F2586+G2586)*2</f>
        <v>16.78</v>
      </c>
      <c r="G2587" s="1446"/>
      <c r="H2587" s="1447">
        <v>0.1</v>
      </c>
      <c r="I2587" s="1479">
        <f t="shared" si="99"/>
        <v>1.68</v>
      </c>
      <c r="J2587" s="1492"/>
      <c r="K2587" s="1439"/>
      <c r="L2587" s="1439"/>
      <c r="M2587" s="1439"/>
      <c r="N2587" s="1439"/>
      <c r="O2587" s="1439"/>
      <c r="P2587" s="1439"/>
      <c r="Q2587" s="1439"/>
      <c r="R2587" s="1439"/>
      <c r="S2587" s="1439"/>
      <c r="T2587" s="1439"/>
      <c r="U2587" s="1439"/>
      <c r="V2587" s="1439"/>
      <c r="W2587" s="1439"/>
      <c r="X2587" s="1439"/>
      <c r="Y2587" s="1439"/>
      <c r="Z2587" s="1439"/>
      <c r="AA2587" s="1439"/>
      <c r="AB2587" s="1439"/>
      <c r="AC2587" s="1439"/>
      <c r="AD2587" s="1439"/>
      <c r="AE2587" s="1439"/>
      <c r="AF2587" s="1439"/>
      <c r="AG2587" s="1439"/>
    </row>
    <row r="2588" spans="1:33" ht="15.75" customHeight="1">
      <c r="A2588" s="1451"/>
      <c r="B2588" s="1450" t="s">
        <v>7312</v>
      </c>
      <c r="C2588" s="1484">
        <v>1</v>
      </c>
      <c r="D2588" s="1484" t="s">
        <v>3364</v>
      </c>
      <c r="E2588" s="1484">
        <v>1</v>
      </c>
      <c r="F2588" s="1446">
        <v>4</v>
      </c>
      <c r="G2588" s="1446">
        <v>4.75</v>
      </c>
      <c r="H2588" s="1447"/>
      <c r="I2588" s="1479">
        <f t="shared" si="99"/>
        <v>19</v>
      </c>
      <c r="J2588" s="1492"/>
      <c r="K2588" s="1439"/>
      <c r="L2588" s="1439"/>
      <c r="M2588" s="1439"/>
      <c r="N2588" s="1439"/>
      <c r="O2588" s="1439"/>
      <c r="P2588" s="1439"/>
      <c r="Q2588" s="1439"/>
      <c r="R2588" s="1439"/>
      <c r="S2588" s="1439"/>
      <c r="T2588" s="1439"/>
      <c r="U2588" s="1439"/>
      <c r="V2588" s="1439"/>
      <c r="W2588" s="1439"/>
      <c r="X2588" s="1439"/>
      <c r="Y2588" s="1439"/>
      <c r="Z2588" s="1439"/>
      <c r="AA2588" s="1439"/>
      <c r="AB2588" s="1439"/>
      <c r="AC2588" s="1439"/>
      <c r="AD2588" s="1439"/>
      <c r="AE2588" s="1439"/>
      <c r="AF2588" s="1439"/>
      <c r="AG2588" s="1439"/>
    </row>
    <row r="2589" spans="1:33" ht="15.75" customHeight="1">
      <c r="A2589" s="1451"/>
      <c r="B2589" s="1450" t="s">
        <v>6910</v>
      </c>
      <c r="C2589" s="1484">
        <v>1</v>
      </c>
      <c r="D2589" s="1484" t="s">
        <v>3364</v>
      </c>
      <c r="E2589" s="1484">
        <v>1</v>
      </c>
      <c r="F2589" s="1446">
        <f>(F2588+G2588)*2</f>
        <v>17.5</v>
      </c>
      <c r="G2589" s="1446"/>
      <c r="H2589" s="1447">
        <v>0.1</v>
      </c>
      <c r="I2589" s="1479">
        <f t="shared" si="99"/>
        <v>1.75</v>
      </c>
      <c r="J2589" s="1492"/>
      <c r="K2589" s="1439"/>
      <c r="L2589" s="1439"/>
      <c r="M2589" s="1439"/>
      <c r="N2589" s="1439"/>
      <c r="O2589" s="1439"/>
      <c r="P2589" s="1439"/>
      <c r="Q2589" s="1439"/>
      <c r="R2589" s="1439"/>
      <c r="S2589" s="1439"/>
      <c r="T2589" s="1439"/>
      <c r="U2589" s="1439"/>
      <c r="V2589" s="1439"/>
      <c r="W2589" s="1439"/>
      <c r="X2589" s="1439"/>
      <c r="Y2589" s="1439"/>
      <c r="Z2589" s="1439"/>
      <c r="AA2589" s="1439"/>
      <c r="AB2589" s="1439"/>
      <c r="AC2589" s="1439"/>
      <c r="AD2589" s="1439"/>
      <c r="AE2589" s="1439"/>
      <c r="AF2589" s="1439"/>
      <c r="AG2589" s="1439"/>
    </row>
    <row r="2590" spans="1:33" ht="15.75" customHeight="1">
      <c r="A2590" s="1451"/>
      <c r="B2590" s="1450" t="s">
        <v>7079</v>
      </c>
      <c r="C2590" s="1484">
        <v>1</v>
      </c>
      <c r="D2590" s="1484" t="s">
        <v>3364</v>
      </c>
      <c r="E2590" s="1484">
        <v>1</v>
      </c>
      <c r="F2590" s="1446">
        <v>4</v>
      </c>
      <c r="G2590" s="1446">
        <v>3</v>
      </c>
      <c r="H2590" s="1447"/>
      <c r="I2590" s="1479">
        <f t="shared" si="99"/>
        <v>12</v>
      </c>
      <c r="J2590" s="1492"/>
      <c r="K2590" s="1439"/>
      <c r="L2590" s="1439"/>
      <c r="M2590" s="1439"/>
      <c r="N2590" s="1439"/>
      <c r="O2590" s="1439"/>
      <c r="P2590" s="1439"/>
      <c r="Q2590" s="1439"/>
      <c r="R2590" s="1439"/>
      <c r="S2590" s="1439"/>
      <c r="T2590" s="1439"/>
      <c r="U2590" s="1439"/>
      <c r="V2590" s="1439"/>
      <c r="W2590" s="1439"/>
      <c r="X2590" s="1439"/>
      <c r="Y2590" s="1439"/>
      <c r="Z2590" s="1439"/>
      <c r="AA2590" s="1439"/>
      <c r="AB2590" s="1439"/>
      <c r="AC2590" s="1439"/>
      <c r="AD2590" s="1439"/>
      <c r="AE2590" s="1439"/>
      <c r="AF2590" s="1439"/>
      <c r="AG2590" s="1439"/>
    </row>
    <row r="2591" spans="1:33" ht="15.75" customHeight="1">
      <c r="A2591" s="1451"/>
      <c r="B2591" s="1450" t="s">
        <v>6910</v>
      </c>
      <c r="C2591" s="1484">
        <v>1</v>
      </c>
      <c r="D2591" s="1484" t="s">
        <v>3364</v>
      </c>
      <c r="E2591" s="1484">
        <v>1</v>
      </c>
      <c r="F2591" s="1446">
        <f>(F2590+G2590)*2</f>
        <v>14</v>
      </c>
      <c r="G2591" s="1446"/>
      <c r="H2591" s="1447">
        <v>0.1</v>
      </c>
      <c r="I2591" s="1479">
        <f t="shared" si="99"/>
        <v>1.4</v>
      </c>
      <c r="J2591" s="1492"/>
      <c r="K2591" s="1439"/>
      <c r="L2591" s="1439"/>
      <c r="M2591" s="1439"/>
      <c r="N2591" s="1439"/>
      <c r="O2591" s="1439"/>
      <c r="P2591" s="1439"/>
      <c r="Q2591" s="1439"/>
      <c r="R2591" s="1439"/>
      <c r="S2591" s="1439"/>
      <c r="T2591" s="1439"/>
      <c r="U2591" s="1439"/>
      <c r="V2591" s="1439"/>
      <c r="W2591" s="1439"/>
      <c r="X2591" s="1439"/>
      <c r="Y2591" s="1439"/>
      <c r="Z2591" s="1439"/>
      <c r="AA2591" s="1439"/>
      <c r="AB2591" s="1439"/>
      <c r="AC2591" s="1439"/>
      <c r="AD2591" s="1439"/>
      <c r="AE2591" s="1439"/>
      <c r="AF2591" s="1439"/>
      <c r="AG2591" s="1439"/>
    </row>
    <row r="2592" spans="1:33" ht="15.75" customHeight="1">
      <c r="A2592" s="1451"/>
      <c r="B2592" s="1450" t="s">
        <v>7313</v>
      </c>
      <c r="C2592" s="1484">
        <v>1</v>
      </c>
      <c r="D2592" s="1484" t="s">
        <v>3364</v>
      </c>
      <c r="E2592" s="1484">
        <v>1</v>
      </c>
      <c r="F2592" s="1446">
        <v>3.43</v>
      </c>
      <c r="G2592" s="1446">
        <v>8.82</v>
      </c>
      <c r="H2592" s="1447"/>
      <c r="I2592" s="1479">
        <f t="shared" si="99"/>
        <v>30.25</v>
      </c>
      <c r="J2592" s="1492"/>
      <c r="K2592" s="1439"/>
      <c r="L2592" s="1439"/>
      <c r="M2592" s="1439"/>
      <c r="N2592" s="1439"/>
      <c r="O2592" s="1439"/>
      <c r="P2592" s="1439"/>
      <c r="Q2592" s="1439"/>
      <c r="R2592" s="1439"/>
      <c r="S2592" s="1439"/>
      <c r="T2592" s="1439"/>
      <c r="U2592" s="1439"/>
      <c r="V2592" s="1439"/>
      <c r="W2592" s="1439"/>
      <c r="X2592" s="1439"/>
      <c r="Y2592" s="1439"/>
      <c r="Z2592" s="1439"/>
      <c r="AA2592" s="1439"/>
      <c r="AB2592" s="1439"/>
      <c r="AC2592" s="1439"/>
      <c r="AD2592" s="1439"/>
      <c r="AE2592" s="1439"/>
      <c r="AF2592" s="1439"/>
      <c r="AG2592" s="1439"/>
    </row>
    <row r="2593" spans="1:33" ht="15.75" customHeight="1">
      <c r="A2593" s="1451"/>
      <c r="B2593" s="1450" t="s">
        <v>6910</v>
      </c>
      <c r="C2593" s="1484">
        <v>1</v>
      </c>
      <c r="D2593" s="1484" t="s">
        <v>3364</v>
      </c>
      <c r="E2593" s="1484">
        <v>1</v>
      </c>
      <c r="F2593" s="1446">
        <f>(F2592+G2592)*2</f>
        <v>24.5</v>
      </c>
      <c r="G2593" s="1446"/>
      <c r="H2593" s="1447">
        <v>0.1</v>
      </c>
      <c r="I2593" s="1479">
        <f t="shared" si="99"/>
        <v>2.4500000000000002</v>
      </c>
      <c r="J2593" s="1492"/>
      <c r="K2593" s="1439"/>
      <c r="L2593" s="1439"/>
      <c r="M2593" s="1439"/>
      <c r="N2593" s="1439"/>
      <c r="O2593" s="1439"/>
      <c r="P2593" s="1439"/>
      <c r="Q2593" s="1439"/>
      <c r="R2593" s="1439"/>
      <c r="S2593" s="1439"/>
      <c r="T2593" s="1439"/>
      <c r="U2593" s="1439"/>
      <c r="V2593" s="1439"/>
      <c r="W2593" s="1439"/>
      <c r="X2593" s="1439"/>
      <c r="Y2593" s="1439"/>
      <c r="Z2593" s="1439"/>
      <c r="AA2593" s="1439"/>
      <c r="AB2593" s="1439"/>
      <c r="AC2593" s="1439"/>
      <c r="AD2593" s="1439"/>
      <c r="AE2593" s="1439"/>
      <c r="AF2593" s="1439"/>
      <c r="AG2593" s="1439"/>
    </row>
    <row r="2594" spans="1:33" ht="15.75" customHeight="1">
      <c r="A2594" s="1451"/>
      <c r="B2594" s="1455" t="s">
        <v>7555</v>
      </c>
      <c r="C2594" s="1484"/>
      <c r="D2594" s="1484"/>
      <c r="E2594" s="1484"/>
      <c r="F2594" s="1446"/>
      <c r="G2594" s="1446"/>
      <c r="H2594" s="1447"/>
      <c r="I2594" s="1479">
        <f t="shared" si="99"/>
        <v>0</v>
      </c>
      <c r="J2594" s="1475"/>
      <c r="K2594" s="1439"/>
      <c r="L2594" s="1439"/>
      <c r="M2594" s="1439"/>
      <c r="N2594" s="1439"/>
      <c r="O2594" s="1439"/>
      <c r="P2594" s="1439"/>
      <c r="Q2594" s="1439"/>
      <c r="R2594" s="1439"/>
      <c r="S2594" s="1439"/>
      <c r="T2594" s="1439"/>
      <c r="U2594" s="1439"/>
      <c r="V2594" s="1439"/>
      <c r="W2594" s="1439"/>
      <c r="X2594" s="1439"/>
      <c r="Y2594" s="1439"/>
      <c r="Z2594" s="1439"/>
      <c r="AA2594" s="1439"/>
      <c r="AB2594" s="1439"/>
      <c r="AC2594" s="1439"/>
      <c r="AD2594" s="1439"/>
      <c r="AE2594" s="1439"/>
      <c r="AF2594" s="1439"/>
      <c r="AG2594" s="1439"/>
    </row>
    <row r="2595" spans="1:33" ht="15.75" customHeight="1">
      <c r="A2595" s="1451"/>
      <c r="B2595" s="1450" t="s">
        <v>7082</v>
      </c>
      <c r="C2595" s="1484">
        <v>2</v>
      </c>
      <c r="D2595" s="1484" t="s">
        <v>3364</v>
      </c>
      <c r="E2595" s="1484">
        <v>1</v>
      </c>
      <c r="F2595" s="1446">
        <v>4</v>
      </c>
      <c r="G2595" s="1446">
        <v>7.49</v>
      </c>
      <c r="H2595" s="1447"/>
      <c r="I2595" s="1479">
        <f t="shared" si="99"/>
        <v>59.92</v>
      </c>
      <c r="J2595" s="1475"/>
      <c r="K2595" s="1439"/>
      <c r="L2595" s="1439"/>
      <c r="M2595" s="1439"/>
      <c r="N2595" s="1439"/>
      <c r="O2595" s="1439"/>
      <c r="P2595" s="1439"/>
      <c r="Q2595" s="1439"/>
      <c r="R2595" s="1439"/>
      <c r="S2595" s="1439"/>
      <c r="T2595" s="1439"/>
      <c r="U2595" s="1439"/>
      <c r="V2595" s="1439"/>
      <c r="W2595" s="1439"/>
      <c r="X2595" s="1439"/>
      <c r="Y2595" s="1439"/>
      <c r="Z2595" s="1439"/>
      <c r="AA2595" s="1439"/>
      <c r="AB2595" s="1439"/>
      <c r="AC2595" s="1439"/>
      <c r="AD2595" s="1439"/>
      <c r="AE2595" s="1439"/>
      <c r="AF2595" s="1439"/>
      <c r="AG2595" s="1439"/>
    </row>
    <row r="2596" spans="1:33" ht="15.75" customHeight="1">
      <c r="A2596" s="1451"/>
      <c r="B2596" s="1450" t="s">
        <v>6910</v>
      </c>
      <c r="C2596" s="1484">
        <v>1</v>
      </c>
      <c r="D2596" s="1484" t="s">
        <v>3364</v>
      </c>
      <c r="E2596" s="1484">
        <v>1</v>
      </c>
      <c r="F2596" s="1446">
        <f>(F2595+G2595)*2</f>
        <v>22.98</v>
      </c>
      <c r="G2596" s="1446"/>
      <c r="H2596" s="1447">
        <v>0.1</v>
      </c>
      <c r="I2596" s="1479">
        <f t="shared" si="99"/>
        <v>2.2999999999999998</v>
      </c>
      <c r="J2596" s="1475"/>
      <c r="K2596" s="1439"/>
      <c r="L2596" s="1439"/>
      <c r="M2596" s="1439"/>
      <c r="N2596" s="1439"/>
      <c r="O2596" s="1439"/>
      <c r="P2596" s="1439"/>
      <c r="Q2596" s="1439"/>
      <c r="R2596" s="1439"/>
      <c r="S2596" s="1439"/>
      <c r="T2596" s="1439"/>
      <c r="U2596" s="1439"/>
      <c r="V2596" s="1439"/>
      <c r="W2596" s="1439"/>
      <c r="X2596" s="1439"/>
      <c r="Y2596" s="1439"/>
      <c r="Z2596" s="1439"/>
      <c r="AA2596" s="1439"/>
      <c r="AB2596" s="1439"/>
      <c r="AC2596" s="1439"/>
      <c r="AD2596" s="1439"/>
      <c r="AE2596" s="1439"/>
      <c r="AF2596" s="1439"/>
      <c r="AG2596" s="1439"/>
    </row>
    <row r="2597" spans="1:33" ht="15.75" customHeight="1">
      <c r="A2597" s="1451"/>
      <c r="B2597" s="1450" t="s">
        <v>7083</v>
      </c>
      <c r="C2597" s="1484">
        <v>1</v>
      </c>
      <c r="D2597" s="1484" t="s">
        <v>3364</v>
      </c>
      <c r="E2597" s="1484">
        <v>1</v>
      </c>
      <c r="F2597" s="1446">
        <v>3.43</v>
      </c>
      <c r="G2597" s="1446">
        <v>4.96</v>
      </c>
      <c r="H2597" s="1447"/>
      <c r="I2597" s="1479">
        <f t="shared" si="99"/>
        <v>17.010000000000002</v>
      </c>
      <c r="J2597" s="1475"/>
      <c r="K2597" s="1439"/>
      <c r="L2597" s="1439"/>
      <c r="M2597" s="1439"/>
      <c r="N2597" s="1439"/>
      <c r="O2597" s="1439"/>
      <c r="P2597" s="1439"/>
      <c r="Q2597" s="1439"/>
      <c r="R2597" s="1439"/>
      <c r="S2597" s="1439"/>
      <c r="T2597" s="1439"/>
      <c r="U2597" s="1439"/>
      <c r="V2597" s="1439"/>
      <c r="W2597" s="1439"/>
      <c r="X2597" s="1439"/>
      <c r="Y2597" s="1439"/>
      <c r="Z2597" s="1439"/>
      <c r="AA2597" s="1439"/>
      <c r="AB2597" s="1439"/>
      <c r="AC2597" s="1439"/>
      <c r="AD2597" s="1439"/>
      <c r="AE2597" s="1439"/>
      <c r="AF2597" s="1439"/>
      <c r="AG2597" s="1439"/>
    </row>
    <row r="2598" spans="1:33" ht="15.75" customHeight="1">
      <c r="A2598" s="1451"/>
      <c r="B2598" s="1450" t="s">
        <v>6910</v>
      </c>
      <c r="C2598" s="1484">
        <v>1</v>
      </c>
      <c r="D2598" s="1484" t="s">
        <v>3364</v>
      </c>
      <c r="E2598" s="1484">
        <v>1</v>
      </c>
      <c r="F2598" s="1446">
        <f>(F2597+G2597)*2</f>
        <v>16.78</v>
      </c>
      <c r="G2598" s="1446"/>
      <c r="H2598" s="1447">
        <v>0.1</v>
      </c>
      <c r="I2598" s="1479">
        <f t="shared" si="99"/>
        <v>1.68</v>
      </c>
      <c r="J2598" s="1475"/>
      <c r="K2598" s="1439"/>
      <c r="L2598" s="1439"/>
      <c r="M2598" s="1439"/>
      <c r="N2598" s="1439"/>
      <c r="O2598" s="1439"/>
      <c r="P2598" s="1439"/>
      <c r="Q2598" s="1439"/>
      <c r="R2598" s="1439"/>
      <c r="S2598" s="1439"/>
      <c r="T2598" s="1439"/>
      <c r="U2598" s="1439"/>
      <c r="V2598" s="1439"/>
      <c r="W2598" s="1439"/>
      <c r="X2598" s="1439"/>
      <c r="Y2598" s="1439"/>
      <c r="Z2598" s="1439"/>
      <c r="AA2598" s="1439"/>
      <c r="AB2598" s="1439"/>
      <c r="AC2598" s="1439"/>
      <c r="AD2598" s="1439"/>
      <c r="AE2598" s="1439"/>
      <c r="AF2598" s="1439"/>
      <c r="AG2598" s="1439"/>
    </row>
    <row r="2599" spans="1:33" ht="15.75" customHeight="1">
      <c r="A2599" s="1451"/>
      <c r="B2599" s="1450" t="s">
        <v>7314</v>
      </c>
      <c r="C2599" s="1484">
        <v>1</v>
      </c>
      <c r="D2599" s="1484" t="s">
        <v>3364</v>
      </c>
      <c r="E2599" s="1484">
        <v>1</v>
      </c>
      <c r="F2599" s="1446">
        <v>7.3250000000000002</v>
      </c>
      <c r="G2599" s="1446">
        <v>5.82</v>
      </c>
      <c r="H2599" s="1447"/>
      <c r="I2599" s="1479">
        <f t="shared" si="99"/>
        <v>42.63</v>
      </c>
      <c r="J2599" s="1475"/>
      <c r="K2599" s="1439"/>
      <c r="L2599" s="1439"/>
      <c r="M2599" s="1439"/>
      <c r="N2599" s="1439"/>
      <c r="O2599" s="1439"/>
      <c r="P2599" s="1439"/>
      <c r="Q2599" s="1439"/>
      <c r="R2599" s="1439"/>
      <c r="S2599" s="1439"/>
      <c r="T2599" s="1439"/>
      <c r="U2599" s="1439"/>
      <c r="V2599" s="1439"/>
      <c r="W2599" s="1439"/>
      <c r="X2599" s="1439"/>
      <c r="Y2599" s="1439"/>
      <c r="Z2599" s="1439"/>
      <c r="AA2599" s="1439"/>
      <c r="AB2599" s="1439"/>
      <c r="AC2599" s="1439"/>
      <c r="AD2599" s="1439"/>
      <c r="AE2599" s="1439"/>
      <c r="AF2599" s="1439"/>
      <c r="AG2599" s="1439"/>
    </row>
    <row r="2600" spans="1:33" ht="15.75" customHeight="1">
      <c r="A2600" s="1451"/>
      <c r="B2600" s="1450" t="s">
        <v>6910</v>
      </c>
      <c r="C2600" s="1484">
        <v>1</v>
      </c>
      <c r="D2600" s="1484" t="s">
        <v>3364</v>
      </c>
      <c r="E2600" s="1484">
        <v>1</v>
      </c>
      <c r="F2600" s="1446">
        <f>(F2599+G2599)*2</f>
        <v>26.29</v>
      </c>
      <c r="G2600" s="1446"/>
      <c r="H2600" s="1447">
        <v>0.1</v>
      </c>
      <c r="I2600" s="1479">
        <f t="shared" si="99"/>
        <v>2.63</v>
      </c>
      <c r="J2600" s="1475"/>
      <c r="K2600" s="1439"/>
      <c r="L2600" s="1439"/>
      <c r="M2600" s="1439"/>
      <c r="N2600" s="1439"/>
      <c r="O2600" s="1439"/>
      <c r="P2600" s="1439"/>
      <c r="Q2600" s="1439"/>
      <c r="R2600" s="1439"/>
      <c r="S2600" s="1439"/>
      <c r="T2600" s="1439"/>
      <c r="U2600" s="1439"/>
      <c r="V2600" s="1439"/>
      <c r="W2600" s="1439"/>
      <c r="X2600" s="1439"/>
      <c r="Y2600" s="1439"/>
      <c r="Z2600" s="1439"/>
      <c r="AA2600" s="1439"/>
      <c r="AB2600" s="1439"/>
      <c r="AC2600" s="1439"/>
      <c r="AD2600" s="1439"/>
      <c r="AE2600" s="1439"/>
      <c r="AF2600" s="1439"/>
      <c r="AG2600" s="1439"/>
    </row>
    <row r="2601" spans="1:33" ht="15.75" customHeight="1">
      <c r="A2601" s="1451"/>
      <c r="B2601" s="1450" t="s">
        <v>6722</v>
      </c>
      <c r="C2601" s="1484">
        <v>1</v>
      </c>
      <c r="D2601" s="1484" t="s">
        <v>3364</v>
      </c>
      <c r="E2601" s="1484">
        <v>1</v>
      </c>
      <c r="F2601" s="1446">
        <v>3.895</v>
      </c>
      <c r="G2601" s="1446">
        <v>3</v>
      </c>
      <c r="H2601" s="1447"/>
      <c r="I2601" s="1479">
        <f t="shared" si="99"/>
        <v>11.69</v>
      </c>
      <c r="J2601" s="1475"/>
      <c r="K2601" s="1439"/>
      <c r="L2601" s="1439"/>
      <c r="M2601" s="1439"/>
      <c r="N2601" s="1439"/>
      <c r="O2601" s="1439"/>
      <c r="P2601" s="1439"/>
      <c r="Q2601" s="1439"/>
      <c r="R2601" s="1439"/>
      <c r="S2601" s="1439"/>
      <c r="T2601" s="1439"/>
      <c r="U2601" s="1439"/>
      <c r="V2601" s="1439"/>
      <c r="W2601" s="1439"/>
      <c r="X2601" s="1439"/>
      <c r="Y2601" s="1439"/>
      <c r="Z2601" s="1439"/>
      <c r="AA2601" s="1439"/>
      <c r="AB2601" s="1439"/>
      <c r="AC2601" s="1439"/>
      <c r="AD2601" s="1439"/>
      <c r="AE2601" s="1439"/>
      <c r="AF2601" s="1439"/>
      <c r="AG2601" s="1439"/>
    </row>
    <row r="2602" spans="1:33" ht="15.75" customHeight="1">
      <c r="A2602" s="1451"/>
      <c r="B2602" s="1450" t="s">
        <v>6910</v>
      </c>
      <c r="C2602" s="1484">
        <v>1</v>
      </c>
      <c r="D2602" s="1484" t="s">
        <v>3364</v>
      </c>
      <c r="E2602" s="1484">
        <v>1</v>
      </c>
      <c r="F2602" s="1446">
        <f>(F2601+G2601)*2</f>
        <v>13.79</v>
      </c>
      <c r="G2602" s="1446"/>
      <c r="H2602" s="1447">
        <v>0.1</v>
      </c>
      <c r="I2602" s="1479">
        <f t="shared" si="99"/>
        <v>1.38</v>
      </c>
      <c r="J2602" s="1475"/>
      <c r="K2602" s="1439"/>
      <c r="L2602" s="1439"/>
      <c r="M2602" s="1439"/>
      <c r="N2602" s="1439"/>
      <c r="O2602" s="1439"/>
      <c r="P2602" s="1439"/>
      <c r="Q2602" s="1439"/>
      <c r="R2602" s="1439"/>
      <c r="S2602" s="1439"/>
      <c r="T2602" s="1439"/>
      <c r="U2602" s="1439"/>
      <c r="V2602" s="1439"/>
      <c r="W2602" s="1439"/>
      <c r="X2602" s="1439"/>
      <c r="Y2602" s="1439"/>
      <c r="Z2602" s="1439"/>
      <c r="AA2602" s="1439"/>
      <c r="AB2602" s="1439"/>
      <c r="AC2602" s="1439"/>
      <c r="AD2602" s="1439"/>
      <c r="AE2602" s="1439"/>
      <c r="AF2602" s="1439"/>
      <c r="AG2602" s="1439"/>
    </row>
    <row r="2603" spans="1:33" ht="15.75" customHeight="1">
      <c r="A2603" s="1451"/>
      <c r="B2603" s="1455" t="s">
        <v>7318</v>
      </c>
      <c r="C2603" s="1484"/>
      <c r="D2603" s="1484"/>
      <c r="E2603" s="1484"/>
      <c r="F2603" s="1446"/>
      <c r="G2603" s="1446"/>
      <c r="H2603" s="1447"/>
      <c r="I2603" s="1479">
        <f t="shared" si="99"/>
        <v>0</v>
      </c>
      <c r="J2603" s="1475"/>
      <c r="K2603" s="1439"/>
      <c r="L2603" s="1439"/>
      <c r="M2603" s="1439"/>
      <c r="N2603" s="1439"/>
      <c r="O2603" s="1439"/>
      <c r="P2603" s="1439"/>
      <c r="Q2603" s="1439"/>
      <c r="R2603" s="1439"/>
      <c r="S2603" s="1439"/>
      <c r="T2603" s="1439"/>
      <c r="U2603" s="1439"/>
      <c r="V2603" s="1439"/>
      <c r="W2603" s="1439"/>
      <c r="X2603" s="1439"/>
      <c r="Y2603" s="1439"/>
      <c r="Z2603" s="1439"/>
      <c r="AA2603" s="1439"/>
      <c r="AB2603" s="1439"/>
      <c r="AC2603" s="1439"/>
      <c r="AD2603" s="1439"/>
      <c r="AE2603" s="1439"/>
      <c r="AF2603" s="1439"/>
      <c r="AG2603" s="1439"/>
    </row>
    <row r="2604" spans="1:33" ht="15.75" customHeight="1">
      <c r="A2604" s="1451"/>
      <c r="B2604" s="1450" t="s">
        <v>7161</v>
      </c>
      <c r="C2604" s="1484">
        <v>1</v>
      </c>
      <c r="D2604" s="1484" t="s">
        <v>3364</v>
      </c>
      <c r="E2604" s="1484">
        <v>1</v>
      </c>
      <c r="F2604" s="1446">
        <v>8.17</v>
      </c>
      <c r="G2604" s="1446">
        <v>5.0350000000000001</v>
      </c>
      <c r="H2604" s="1447"/>
      <c r="I2604" s="1479">
        <f t="shared" si="99"/>
        <v>41.14</v>
      </c>
      <c r="J2604" s="1475"/>
      <c r="K2604" s="1439"/>
      <c r="L2604" s="1439"/>
      <c r="M2604" s="1439"/>
      <c r="N2604" s="1439"/>
      <c r="O2604" s="1439"/>
      <c r="P2604" s="1439"/>
      <c r="Q2604" s="1439"/>
      <c r="R2604" s="1439"/>
      <c r="S2604" s="1439"/>
      <c r="T2604" s="1439"/>
      <c r="U2604" s="1439"/>
      <c r="V2604" s="1439"/>
      <c r="W2604" s="1439"/>
      <c r="X2604" s="1439"/>
      <c r="Y2604" s="1439"/>
      <c r="Z2604" s="1439"/>
      <c r="AA2604" s="1439"/>
      <c r="AB2604" s="1439"/>
      <c r="AC2604" s="1439"/>
      <c r="AD2604" s="1439"/>
      <c r="AE2604" s="1439"/>
      <c r="AF2604" s="1439"/>
      <c r="AG2604" s="1439"/>
    </row>
    <row r="2605" spans="1:33" ht="15.75" customHeight="1">
      <c r="A2605" s="1451"/>
      <c r="B2605" s="1450" t="s">
        <v>6910</v>
      </c>
      <c r="C2605" s="1484">
        <v>1</v>
      </c>
      <c r="D2605" s="1484" t="s">
        <v>3364</v>
      </c>
      <c r="E2605" s="1484">
        <v>1</v>
      </c>
      <c r="F2605" s="1446">
        <f>(F2604+G2604)*2</f>
        <v>26.41</v>
      </c>
      <c r="G2605" s="1446"/>
      <c r="H2605" s="1447">
        <v>0.1</v>
      </c>
      <c r="I2605" s="1479">
        <f t="shared" si="99"/>
        <v>2.64</v>
      </c>
      <c r="J2605" s="1475"/>
      <c r="K2605" s="1439"/>
      <c r="L2605" s="1439"/>
      <c r="M2605" s="1439"/>
      <c r="N2605" s="1439"/>
      <c r="O2605" s="1439"/>
      <c r="P2605" s="1439"/>
      <c r="Q2605" s="1439"/>
      <c r="R2605" s="1439"/>
      <c r="S2605" s="1439"/>
      <c r="T2605" s="1439"/>
      <c r="U2605" s="1439"/>
      <c r="V2605" s="1439"/>
      <c r="W2605" s="1439"/>
      <c r="X2605" s="1439"/>
      <c r="Y2605" s="1439"/>
      <c r="Z2605" s="1439"/>
      <c r="AA2605" s="1439"/>
      <c r="AB2605" s="1439"/>
      <c r="AC2605" s="1439"/>
      <c r="AD2605" s="1439"/>
      <c r="AE2605" s="1439"/>
      <c r="AF2605" s="1439"/>
      <c r="AG2605" s="1439"/>
    </row>
    <row r="2606" spans="1:33" ht="15.75" customHeight="1">
      <c r="A2606" s="1451"/>
      <c r="B2606" s="1450" t="s">
        <v>7162</v>
      </c>
      <c r="C2606" s="1484">
        <v>1</v>
      </c>
      <c r="D2606" s="1484" t="s">
        <v>3364</v>
      </c>
      <c r="E2606" s="1484">
        <v>1</v>
      </c>
      <c r="F2606" s="1446">
        <v>6.88</v>
      </c>
      <c r="G2606" s="1446">
        <v>5.0350000000000001</v>
      </c>
      <c r="H2606" s="1447"/>
      <c r="I2606" s="1479">
        <f t="shared" si="99"/>
        <v>34.64</v>
      </c>
      <c r="J2606" s="1475"/>
      <c r="K2606" s="1439"/>
      <c r="L2606" s="1439"/>
      <c r="M2606" s="1439"/>
      <c r="N2606" s="1439"/>
      <c r="O2606" s="1439"/>
      <c r="P2606" s="1439"/>
      <c r="Q2606" s="1439"/>
      <c r="R2606" s="1439"/>
      <c r="S2606" s="1439"/>
      <c r="T2606" s="1439"/>
      <c r="U2606" s="1439"/>
      <c r="V2606" s="1439"/>
      <c r="W2606" s="1439"/>
      <c r="X2606" s="1439"/>
      <c r="Y2606" s="1439"/>
      <c r="Z2606" s="1439"/>
      <c r="AA2606" s="1439"/>
      <c r="AB2606" s="1439"/>
      <c r="AC2606" s="1439"/>
      <c r="AD2606" s="1439"/>
      <c r="AE2606" s="1439"/>
      <c r="AF2606" s="1439"/>
      <c r="AG2606" s="1439"/>
    </row>
    <row r="2607" spans="1:33" ht="15.75" customHeight="1">
      <c r="A2607" s="1451"/>
      <c r="B2607" s="1450" t="s">
        <v>6910</v>
      </c>
      <c r="C2607" s="1484">
        <v>1</v>
      </c>
      <c r="D2607" s="1484" t="s">
        <v>3364</v>
      </c>
      <c r="E2607" s="1484">
        <v>1</v>
      </c>
      <c r="F2607" s="1446">
        <f>(F2606+G2606)*2</f>
        <v>23.83</v>
      </c>
      <c r="G2607" s="1446"/>
      <c r="H2607" s="1447">
        <v>0.1</v>
      </c>
      <c r="I2607" s="1479">
        <f t="shared" si="99"/>
        <v>2.38</v>
      </c>
      <c r="J2607" s="1475"/>
      <c r="K2607" s="1439"/>
      <c r="L2607" s="1439"/>
      <c r="M2607" s="1439"/>
      <c r="N2607" s="1439"/>
      <c r="O2607" s="1439"/>
      <c r="P2607" s="1439"/>
      <c r="Q2607" s="1439"/>
      <c r="R2607" s="1439"/>
      <c r="S2607" s="1439"/>
      <c r="T2607" s="1439"/>
      <c r="U2607" s="1439"/>
      <c r="V2607" s="1439"/>
      <c r="W2607" s="1439"/>
      <c r="X2607" s="1439"/>
      <c r="Y2607" s="1439"/>
      <c r="Z2607" s="1439"/>
      <c r="AA2607" s="1439"/>
      <c r="AB2607" s="1439"/>
      <c r="AC2607" s="1439"/>
      <c r="AD2607" s="1439"/>
      <c r="AE2607" s="1439"/>
      <c r="AF2607" s="1439"/>
      <c r="AG2607" s="1439"/>
    </row>
    <row r="2608" spans="1:33" ht="15.75" customHeight="1">
      <c r="A2608" s="1451"/>
      <c r="B2608" s="1450" t="s">
        <v>7136</v>
      </c>
      <c r="C2608" s="1484">
        <v>1</v>
      </c>
      <c r="D2608" s="1484" t="s">
        <v>3364</v>
      </c>
      <c r="E2608" s="1484">
        <v>1</v>
      </c>
      <c r="F2608" s="1446">
        <v>6.5</v>
      </c>
      <c r="G2608" s="1446">
        <v>5.0350000000000001</v>
      </c>
      <c r="H2608" s="1447"/>
      <c r="I2608" s="1479">
        <f t="shared" si="99"/>
        <v>32.729999999999997</v>
      </c>
      <c r="J2608" s="1475"/>
      <c r="K2608" s="1439"/>
      <c r="L2608" s="1439"/>
      <c r="M2608" s="1439"/>
      <c r="N2608" s="1439"/>
      <c r="O2608" s="1439"/>
      <c r="P2608" s="1439"/>
      <c r="Q2608" s="1439"/>
      <c r="R2608" s="1439"/>
      <c r="S2608" s="1439"/>
      <c r="T2608" s="1439"/>
      <c r="U2608" s="1439"/>
      <c r="V2608" s="1439"/>
      <c r="W2608" s="1439"/>
      <c r="X2608" s="1439"/>
      <c r="Y2608" s="1439"/>
      <c r="Z2608" s="1439"/>
      <c r="AA2608" s="1439"/>
      <c r="AB2608" s="1439"/>
      <c r="AC2608" s="1439"/>
      <c r="AD2608" s="1439"/>
      <c r="AE2608" s="1439"/>
      <c r="AF2608" s="1439"/>
      <c r="AG2608" s="1439"/>
    </row>
    <row r="2609" spans="1:33" ht="15.75" customHeight="1">
      <c r="A2609" s="1451"/>
      <c r="B2609" s="1450" t="s">
        <v>6910</v>
      </c>
      <c r="C2609" s="1484">
        <v>1</v>
      </c>
      <c r="D2609" s="1484" t="s">
        <v>3364</v>
      </c>
      <c r="E2609" s="1484">
        <v>1</v>
      </c>
      <c r="F2609" s="1446">
        <f>(F2608+G2608)*2</f>
        <v>23.07</v>
      </c>
      <c r="G2609" s="1446"/>
      <c r="H2609" s="1447">
        <v>0.1</v>
      </c>
      <c r="I2609" s="1479">
        <f t="shared" si="99"/>
        <v>2.31</v>
      </c>
      <c r="J2609" s="1475"/>
      <c r="K2609" s="1439"/>
      <c r="L2609" s="1439"/>
      <c r="M2609" s="1439"/>
      <c r="N2609" s="1439"/>
      <c r="O2609" s="1439"/>
      <c r="P2609" s="1439"/>
      <c r="Q2609" s="1439"/>
      <c r="R2609" s="1439"/>
      <c r="S2609" s="1439"/>
      <c r="T2609" s="1439"/>
      <c r="U2609" s="1439"/>
      <c r="V2609" s="1439"/>
      <c r="W2609" s="1439"/>
      <c r="X2609" s="1439"/>
      <c r="Y2609" s="1439"/>
      <c r="Z2609" s="1439"/>
      <c r="AA2609" s="1439"/>
      <c r="AB2609" s="1439"/>
      <c r="AC2609" s="1439"/>
      <c r="AD2609" s="1439"/>
      <c r="AE2609" s="1439"/>
      <c r="AF2609" s="1439"/>
      <c r="AG2609" s="1439"/>
    </row>
    <row r="2610" spans="1:33" ht="15.75" customHeight="1">
      <c r="A2610" s="1451"/>
      <c r="B2610" s="1450" t="s">
        <v>7315</v>
      </c>
      <c r="C2610" s="1484">
        <v>1</v>
      </c>
      <c r="D2610" s="1484" t="s">
        <v>3364</v>
      </c>
      <c r="E2610" s="1484">
        <v>1</v>
      </c>
      <c r="F2610" s="1446">
        <v>8.82</v>
      </c>
      <c r="G2610" s="1446">
        <v>3.43</v>
      </c>
      <c r="H2610" s="1447"/>
      <c r="I2610" s="1479">
        <f t="shared" si="99"/>
        <v>30.25</v>
      </c>
      <c r="J2610" s="1475"/>
      <c r="K2610" s="1439"/>
      <c r="L2610" s="1439"/>
      <c r="M2610" s="1439"/>
      <c r="N2610" s="1439"/>
      <c r="O2610" s="1439"/>
      <c r="P2610" s="1439"/>
      <c r="Q2610" s="1439"/>
      <c r="R2610" s="1439"/>
      <c r="S2610" s="1439"/>
      <c r="T2610" s="1439"/>
      <c r="U2610" s="1439"/>
      <c r="V2610" s="1439"/>
      <c r="W2610" s="1439"/>
      <c r="X2610" s="1439"/>
      <c r="Y2610" s="1439"/>
      <c r="Z2610" s="1439"/>
      <c r="AA2610" s="1439"/>
      <c r="AB2610" s="1439"/>
      <c r="AC2610" s="1439"/>
      <c r="AD2610" s="1439"/>
      <c r="AE2610" s="1439"/>
      <c r="AF2610" s="1439"/>
      <c r="AG2610" s="1439"/>
    </row>
    <row r="2611" spans="1:33" ht="15.75" customHeight="1">
      <c r="A2611" s="1451"/>
      <c r="B2611" s="1450" t="s">
        <v>6910</v>
      </c>
      <c r="C2611" s="1484">
        <v>1</v>
      </c>
      <c r="D2611" s="1484" t="s">
        <v>3364</v>
      </c>
      <c r="E2611" s="1484">
        <v>1</v>
      </c>
      <c r="F2611" s="1446">
        <f>(F2610+G2610)*2</f>
        <v>24.5</v>
      </c>
      <c r="G2611" s="1446"/>
      <c r="H2611" s="1447">
        <v>0.1</v>
      </c>
      <c r="I2611" s="1479">
        <f t="shared" si="99"/>
        <v>2.4500000000000002</v>
      </c>
      <c r="J2611" s="1475"/>
      <c r="K2611" s="1439"/>
      <c r="L2611" s="1439"/>
      <c r="M2611" s="1439"/>
      <c r="N2611" s="1439"/>
      <c r="O2611" s="1439"/>
      <c r="P2611" s="1439"/>
      <c r="Q2611" s="1439"/>
      <c r="R2611" s="1439"/>
      <c r="S2611" s="1439"/>
      <c r="T2611" s="1439"/>
      <c r="U2611" s="1439"/>
      <c r="V2611" s="1439"/>
      <c r="W2611" s="1439"/>
      <c r="X2611" s="1439"/>
      <c r="Y2611" s="1439"/>
      <c r="Z2611" s="1439"/>
      <c r="AA2611" s="1439"/>
      <c r="AB2611" s="1439"/>
      <c r="AC2611" s="1439"/>
      <c r="AD2611" s="1439"/>
      <c r="AE2611" s="1439"/>
      <c r="AF2611" s="1439"/>
      <c r="AG2611" s="1439"/>
    </row>
    <row r="2612" spans="1:33" ht="15.75" customHeight="1">
      <c r="A2612" s="1451"/>
      <c r="B2612" s="1450" t="s">
        <v>6737</v>
      </c>
      <c r="C2612" s="1484">
        <v>1</v>
      </c>
      <c r="D2612" s="1484" t="s">
        <v>3364</v>
      </c>
      <c r="E2612" s="1484">
        <v>1</v>
      </c>
      <c r="F2612" s="1446">
        <v>24.015000000000001</v>
      </c>
      <c r="G2612" s="1446">
        <v>2</v>
      </c>
      <c r="H2612" s="1447"/>
      <c r="I2612" s="1479">
        <f t="shared" si="99"/>
        <v>48.03</v>
      </c>
      <c r="J2612" s="1475"/>
      <c r="K2612" s="1439"/>
      <c r="L2612" s="1439"/>
      <c r="M2612" s="1439"/>
      <c r="N2612" s="1439"/>
      <c r="O2612" s="1439"/>
      <c r="P2612" s="1439"/>
      <c r="Q2612" s="1439"/>
      <c r="R2612" s="1439"/>
      <c r="S2612" s="1439"/>
      <c r="T2612" s="1439"/>
      <c r="U2612" s="1439"/>
      <c r="V2612" s="1439"/>
      <c r="W2612" s="1439"/>
      <c r="X2612" s="1439"/>
      <c r="Y2612" s="1439"/>
      <c r="Z2612" s="1439"/>
      <c r="AA2612" s="1439"/>
      <c r="AB2612" s="1439"/>
      <c r="AC2612" s="1439"/>
      <c r="AD2612" s="1439"/>
      <c r="AE2612" s="1439"/>
      <c r="AF2612" s="1439"/>
      <c r="AG2612" s="1439"/>
    </row>
    <row r="2613" spans="1:33" ht="15.75" customHeight="1">
      <c r="A2613" s="1451"/>
      <c r="B2613" s="1450" t="s">
        <v>6910</v>
      </c>
      <c r="C2613" s="1484">
        <v>1</v>
      </c>
      <c r="D2613" s="1484" t="s">
        <v>3364</v>
      </c>
      <c r="E2613" s="1484">
        <v>1</v>
      </c>
      <c r="F2613" s="1446">
        <f>(F2612+G2612)*2</f>
        <v>52.03</v>
      </c>
      <c r="G2613" s="1446"/>
      <c r="H2613" s="1447">
        <v>0.1</v>
      </c>
      <c r="I2613" s="1479">
        <f t="shared" si="99"/>
        <v>5.2</v>
      </c>
      <c r="J2613" s="1475"/>
      <c r="K2613" s="1439"/>
      <c r="L2613" s="1439"/>
      <c r="M2613" s="1439"/>
      <c r="N2613" s="1439"/>
      <c r="O2613" s="1439"/>
      <c r="P2613" s="1439"/>
      <c r="Q2613" s="1439"/>
      <c r="R2613" s="1439"/>
      <c r="S2613" s="1439"/>
      <c r="T2613" s="1439"/>
      <c r="U2613" s="1439"/>
      <c r="V2613" s="1439"/>
      <c r="W2613" s="1439"/>
      <c r="X2613" s="1439"/>
      <c r="Y2613" s="1439"/>
      <c r="Z2613" s="1439"/>
      <c r="AA2613" s="1439"/>
      <c r="AB2613" s="1439"/>
      <c r="AC2613" s="1439"/>
      <c r="AD2613" s="1439"/>
      <c r="AE2613" s="1439"/>
      <c r="AF2613" s="1439"/>
      <c r="AG2613" s="1439"/>
    </row>
    <row r="2614" spans="1:33" ht="15.75" customHeight="1">
      <c r="A2614" s="1451"/>
      <c r="B2614" s="1450" t="s">
        <v>6723</v>
      </c>
      <c r="C2614" s="1484">
        <v>1</v>
      </c>
      <c r="D2614" s="1484" t="s">
        <v>3364</v>
      </c>
      <c r="E2614" s="1484">
        <v>1</v>
      </c>
      <c r="F2614" s="1446">
        <v>3.43</v>
      </c>
      <c r="G2614" s="1446">
        <v>4.96</v>
      </c>
      <c r="H2614" s="1447"/>
      <c r="I2614" s="1479">
        <f t="shared" si="99"/>
        <v>17.010000000000002</v>
      </c>
      <c r="J2614" s="1475"/>
      <c r="K2614" s="1439"/>
      <c r="L2614" s="1439"/>
      <c r="M2614" s="1439"/>
      <c r="N2614" s="1439"/>
      <c r="O2614" s="1439"/>
      <c r="P2614" s="1439"/>
      <c r="Q2614" s="1439"/>
      <c r="R2614" s="1439"/>
      <c r="S2614" s="1439"/>
      <c r="T2614" s="1439"/>
      <c r="U2614" s="1439"/>
      <c r="V2614" s="1439"/>
      <c r="W2614" s="1439"/>
      <c r="X2614" s="1439"/>
      <c r="Y2614" s="1439"/>
      <c r="Z2614" s="1439"/>
      <c r="AA2614" s="1439"/>
      <c r="AB2614" s="1439"/>
      <c r="AC2614" s="1439"/>
      <c r="AD2614" s="1439"/>
      <c r="AE2614" s="1439"/>
      <c r="AF2614" s="1439"/>
      <c r="AG2614" s="1439"/>
    </row>
    <row r="2615" spans="1:33" ht="15.75" customHeight="1">
      <c r="A2615" s="1451"/>
      <c r="B2615" s="1450" t="s">
        <v>6910</v>
      </c>
      <c r="C2615" s="1484">
        <v>1</v>
      </c>
      <c r="D2615" s="1484" t="s">
        <v>3364</v>
      </c>
      <c r="E2615" s="1484">
        <v>1</v>
      </c>
      <c r="F2615" s="1446">
        <f>(F2614+G2614)*2</f>
        <v>16.78</v>
      </c>
      <c r="G2615" s="1446"/>
      <c r="H2615" s="1447">
        <v>0.1</v>
      </c>
      <c r="I2615" s="1479">
        <f t="shared" si="99"/>
        <v>1.68</v>
      </c>
      <c r="J2615" s="1475"/>
      <c r="K2615" s="1439"/>
      <c r="L2615" s="1439"/>
      <c r="M2615" s="1439"/>
      <c r="N2615" s="1439"/>
      <c r="O2615" s="1439"/>
      <c r="P2615" s="1439"/>
      <c r="Q2615" s="1439"/>
      <c r="R2615" s="1439"/>
      <c r="S2615" s="1439"/>
      <c r="T2615" s="1439"/>
      <c r="U2615" s="1439"/>
      <c r="V2615" s="1439"/>
      <c r="W2615" s="1439"/>
      <c r="X2615" s="1439"/>
      <c r="Y2615" s="1439"/>
      <c r="Z2615" s="1439"/>
      <c r="AA2615" s="1439"/>
      <c r="AB2615" s="1439"/>
      <c r="AC2615" s="1439"/>
      <c r="AD2615" s="1439"/>
      <c r="AE2615" s="1439"/>
      <c r="AF2615" s="1439"/>
      <c r="AG2615" s="1439"/>
    </row>
    <row r="2616" spans="1:33" ht="15.75" customHeight="1">
      <c r="A2616" s="1451"/>
      <c r="B2616" s="1450" t="s">
        <v>7164</v>
      </c>
      <c r="C2616" s="1484">
        <v>1</v>
      </c>
      <c r="D2616" s="1484" t="s">
        <v>3364</v>
      </c>
      <c r="E2616" s="1484">
        <v>1</v>
      </c>
      <c r="F2616" s="1446">
        <v>4</v>
      </c>
      <c r="G2616" s="1446">
        <v>7.0549999999999997</v>
      </c>
      <c r="H2616" s="1447"/>
      <c r="I2616" s="1479">
        <f t="shared" si="99"/>
        <v>28.22</v>
      </c>
      <c r="J2616" s="1475"/>
      <c r="K2616" s="1439"/>
      <c r="L2616" s="1439"/>
      <c r="M2616" s="1439"/>
      <c r="N2616" s="1439"/>
      <c r="O2616" s="1439"/>
      <c r="P2616" s="1439"/>
      <c r="Q2616" s="1439"/>
      <c r="R2616" s="1439"/>
      <c r="S2616" s="1439"/>
      <c r="T2616" s="1439"/>
      <c r="U2616" s="1439"/>
      <c r="V2616" s="1439"/>
      <c r="W2616" s="1439"/>
      <c r="X2616" s="1439"/>
      <c r="Y2616" s="1439"/>
      <c r="Z2616" s="1439"/>
      <c r="AA2616" s="1439"/>
      <c r="AB2616" s="1439"/>
      <c r="AC2616" s="1439"/>
      <c r="AD2616" s="1439"/>
      <c r="AE2616" s="1439"/>
      <c r="AF2616" s="1439"/>
      <c r="AG2616" s="1439"/>
    </row>
    <row r="2617" spans="1:33" ht="15.75" customHeight="1">
      <c r="A2617" s="1451"/>
      <c r="B2617" s="1450" t="s">
        <v>6910</v>
      </c>
      <c r="C2617" s="1484">
        <v>2</v>
      </c>
      <c r="D2617" s="1484" t="s">
        <v>3364</v>
      </c>
      <c r="E2617" s="1484">
        <v>1</v>
      </c>
      <c r="F2617" s="1446">
        <f>(F2616+G2616)*2</f>
        <v>22.11</v>
      </c>
      <c r="G2617" s="1446"/>
      <c r="H2617" s="1447">
        <v>0.1</v>
      </c>
      <c r="I2617" s="1479">
        <f t="shared" si="99"/>
        <v>4.42</v>
      </c>
      <c r="J2617" s="1475"/>
      <c r="K2617" s="1439"/>
      <c r="L2617" s="1439"/>
      <c r="M2617" s="1439"/>
      <c r="N2617" s="1439"/>
      <c r="O2617" s="1439"/>
      <c r="P2617" s="1439"/>
      <c r="Q2617" s="1439"/>
      <c r="R2617" s="1439"/>
      <c r="S2617" s="1439"/>
      <c r="T2617" s="1439"/>
      <c r="U2617" s="1439"/>
      <c r="V2617" s="1439"/>
      <c r="W2617" s="1439"/>
      <c r="X2617" s="1439"/>
      <c r="Y2617" s="1439"/>
      <c r="Z2617" s="1439"/>
      <c r="AA2617" s="1439"/>
      <c r="AB2617" s="1439"/>
      <c r="AC2617" s="1439"/>
      <c r="AD2617" s="1439"/>
      <c r="AE2617" s="1439"/>
      <c r="AF2617" s="1439"/>
      <c r="AG2617" s="1439"/>
    </row>
    <row r="2618" spans="1:33" ht="15.75" customHeight="1">
      <c r="A2618" s="1451"/>
      <c r="B2618" s="1450" t="s">
        <v>7316</v>
      </c>
      <c r="C2618" s="1484">
        <v>1</v>
      </c>
      <c r="D2618" s="1484" t="s">
        <v>3364</v>
      </c>
      <c r="E2618" s="1484">
        <v>1</v>
      </c>
      <c r="F2618" s="1446">
        <v>4.57</v>
      </c>
      <c r="G2618" s="1446">
        <v>7.0549999999999997</v>
      </c>
      <c r="H2618" s="1447"/>
      <c r="I2618" s="1479">
        <f t="shared" si="99"/>
        <v>32.24</v>
      </c>
      <c r="J2618" s="1475"/>
      <c r="K2618" s="1439"/>
      <c r="L2618" s="1439"/>
      <c r="M2618" s="1439"/>
      <c r="N2618" s="1439"/>
      <c r="O2618" s="1439"/>
      <c r="P2618" s="1439"/>
      <c r="Q2618" s="1439"/>
      <c r="R2618" s="1439"/>
      <c r="S2618" s="1439"/>
      <c r="T2618" s="1439"/>
      <c r="U2618" s="1439"/>
      <c r="V2618" s="1439"/>
      <c r="W2618" s="1439"/>
      <c r="X2618" s="1439"/>
      <c r="Y2618" s="1439"/>
      <c r="Z2618" s="1439"/>
      <c r="AA2618" s="1439"/>
      <c r="AB2618" s="1439"/>
      <c r="AC2618" s="1439"/>
      <c r="AD2618" s="1439"/>
      <c r="AE2618" s="1439"/>
      <c r="AF2618" s="1439"/>
      <c r="AG2618" s="1439"/>
    </row>
    <row r="2619" spans="1:33" ht="15.75" customHeight="1">
      <c r="A2619" s="1451"/>
      <c r="B2619" s="1450" t="s">
        <v>6910</v>
      </c>
      <c r="C2619" s="1484">
        <v>1</v>
      </c>
      <c r="D2619" s="1484" t="s">
        <v>3364</v>
      </c>
      <c r="E2619" s="1484">
        <v>1</v>
      </c>
      <c r="F2619" s="1446">
        <f>(F2618+G2618)*2</f>
        <v>23.25</v>
      </c>
      <c r="G2619" s="1446"/>
      <c r="H2619" s="1447">
        <v>0.1</v>
      </c>
      <c r="I2619" s="1479">
        <f t="shared" si="99"/>
        <v>2.33</v>
      </c>
      <c r="J2619" s="1475"/>
      <c r="K2619" s="1439"/>
      <c r="L2619" s="1439"/>
      <c r="M2619" s="1439"/>
      <c r="N2619" s="1439"/>
      <c r="O2619" s="1439"/>
      <c r="P2619" s="1439"/>
      <c r="Q2619" s="1439"/>
      <c r="R2619" s="1439"/>
      <c r="S2619" s="1439"/>
      <c r="T2619" s="1439"/>
      <c r="U2619" s="1439"/>
      <c r="V2619" s="1439"/>
      <c r="W2619" s="1439"/>
      <c r="X2619" s="1439"/>
      <c r="Y2619" s="1439"/>
      <c r="Z2619" s="1439"/>
      <c r="AA2619" s="1439"/>
      <c r="AB2619" s="1439"/>
      <c r="AC2619" s="1439"/>
      <c r="AD2619" s="1439"/>
      <c r="AE2619" s="1439"/>
      <c r="AF2619" s="1439"/>
      <c r="AG2619" s="1439"/>
    </row>
    <row r="2620" spans="1:33" ht="15.75" customHeight="1">
      <c r="A2620" s="1451"/>
      <c r="B2620" s="1450" t="s">
        <v>7317</v>
      </c>
      <c r="C2620" s="1484">
        <v>1</v>
      </c>
      <c r="D2620" s="1484" t="s">
        <v>3364</v>
      </c>
      <c r="E2620" s="1484">
        <v>1</v>
      </c>
      <c r="F2620" s="1446">
        <v>4.57</v>
      </c>
      <c r="G2620" s="1446">
        <v>7.0549999999999997</v>
      </c>
      <c r="H2620" s="1447"/>
      <c r="I2620" s="1479">
        <f t="shared" si="99"/>
        <v>32.24</v>
      </c>
      <c r="J2620" s="1475"/>
      <c r="K2620" s="1439"/>
      <c r="L2620" s="1439"/>
      <c r="M2620" s="1439"/>
      <c r="N2620" s="1439"/>
      <c r="O2620" s="1439"/>
      <c r="P2620" s="1439"/>
      <c r="Q2620" s="1439"/>
      <c r="R2620" s="1439"/>
      <c r="S2620" s="1439"/>
      <c r="T2620" s="1439"/>
      <c r="U2620" s="1439"/>
      <c r="V2620" s="1439"/>
      <c r="W2620" s="1439"/>
      <c r="X2620" s="1439"/>
      <c r="Y2620" s="1439"/>
      <c r="Z2620" s="1439"/>
      <c r="AA2620" s="1439"/>
      <c r="AB2620" s="1439"/>
      <c r="AC2620" s="1439"/>
      <c r="AD2620" s="1439"/>
      <c r="AE2620" s="1439"/>
      <c r="AF2620" s="1439"/>
      <c r="AG2620" s="1439"/>
    </row>
    <row r="2621" spans="1:33" ht="15.75" customHeight="1">
      <c r="A2621" s="1451"/>
      <c r="B2621" s="1450" t="s">
        <v>6910</v>
      </c>
      <c r="C2621" s="1484">
        <v>1</v>
      </c>
      <c r="D2621" s="1484" t="s">
        <v>3364</v>
      </c>
      <c r="E2621" s="1484">
        <v>1</v>
      </c>
      <c r="F2621" s="1446">
        <f>(F2620+G2620)*2</f>
        <v>23.25</v>
      </c>
      <c r="G2621" s="1446"/>
      <c r="H2621" s="1447">
        <v>0.1</v>
      </c>
      <c r="I2621" s="1479">
        <f t="shared" si="99"/>
        <v>2.33</v>
      </c>
      <c r="J2621" s="1475"/>
      <c r="K2621" s="1439"/>
      <c r="L2621" s="1439"/>
      <c r="M2621" s="1439"/>
      <c r="N2621" s="1439"/>
      <c r="O2621" s="1439"/>
      <c r="P2621" s="1439"/>
      <c r="Q2621" s="1439"/>
      <c r="R2621" s="1439"/>
      <c r="S2621" s="1439"/>
      <c r="T2621" s="1439"/>
      <c r="U2621" s="1439"/>
      <c r="V2621" s="1439"/>
      <c r="W2621" s="1439"/>
      <c r="X2621" s="1439"/>
      <c r="Y2621" s="1439"/>
      <c r="Z2621" s="1439"/>
      <c r="AA2621" s="1439"/>
      <c r="AB2621" s="1439"/>
      <c r="AC2621" s="1439"/>
      <c r="AD2621" s="1439"/>
      <c r="AE2621" s="1439"/>
      <c r="AF2621" s="1439"/>
      <c r="AG2621" s="1439"/>
    </row>
    <row r="2622" spans="1:33" ht="15.75" customHeight="1">
      <c r="A2622" s="1451"/>
      <c r="B2622" s="1450" t="s">
        <v>7087</v>
      </c>
      <c r="C2622" s="1484">
        <v>1</v>
      </c>
      <c r="D2622" s="1484" t="s">
        <v>3364</v>
      </c>
      <c r="E2622" s="1484">
        <v>1</v>
      </c>
      <c r="F2622" s="1446">
        <v>4.57</v>
      </c>
      <c r="G2622" s="1446">
        <v>7.0549999999999997</v>
      </c>
      <c r="H2622" s="1447"/>
      <c r="I2622" s="1479">
        <f t="shared" si="99"/>
        <v>32.24</v>
      </c>
      <c r="J2622" s="1475"/>
      <c r="K2622" s="1439"/>
      <c r="L2622" s="1439"/>
      <c r="M2622" s="1439"/>
      <c r="N2622" s="1439"/>
      <c r="O2622" s="1439"/>
      <c r="P2622" s="1439"/>
      <c r="Q2622" s="1439"/>
      <c r="R2622" s="1439"/>
      <c r="S2622" s="1439"/>
      <c r="T2622" s="1439"/>
      <c r="U2622" s="1439"/>
      <c r="V2622" s="1439"/>
      <c r="W2622" s="1439"/>
      <c r="X2622" s="1439"/>
      <c r="Y2622" s="1439"/>
      <c r="Z2622" s="1439"/>
      <c r="AA2622" s="1439"/>
      <c r="AB2622" s="1439"/>
      <c r="AC2622" s="1439"/>
      <c r="AD2622" s="1439"/>
      <c r="AE2622" s="1439"/>
      <c r="AF2622" s="1439"/>
      <c r="AG2622" s="1439"/>
    </row>
    <row r="2623" spans="1:33" ht="15.75" customHeight="1">
      <c r="A2623" s="1451"/>
      <c r="B2623" s="1450" t="s">
        <v>6910</v>
      </c>
      <c r="C2623" s="1484">
        <v>1</v>
      </c>
      <c r="D2623" s="1484" t="s">
        <v>3364</v>
      </c>
      <c r="E2623" s="1484">
        <v>1</v>
      </c>
      <c r="F2623" s="1446">
        <f>(F2622+G2622)*2</f>
        <v>23.25</v>
      </c>
      <c r="G2623" s="1446"/>
      <c r="H2623" s="1447">
        <v>0.1</v>
      </c>
      <c r="I2623" s="1479">
        <f t="shared" si="99"/>
        <v>2.33</v>
      </c>
      <c r="J2623" s="1475"/>
      <c r="K2623" s="1439"/>
      <c r="L2623" s="1439"/>
      <c r="M2623" s="1439"/>
      <c r="N2623" s="1439"/>
      <c r="O2623" s="1439"/>
      <c r="P2623" s="1439"/>
      <c r="Q2623" s="1439"/>
      <c r="R2623" s="1439"/>
      <c r="S2623" s="1439"/>
      <c r="T2623" s="1439"/>
      <c r="U2623" s="1439"/>
      <c r="V2623" s="1439"/>
      <c r="W2623" s="1439"/>
      <c r="X2623" s="1439"/>
      <c r="Y2623" s="1439"/>
      <c r="Z2623" s="1439"/>
      <c r="AA2623" s="1439"/>
      <c r="AB2623" s="1439"/>
      <c r="AC2623" s="1439"/>
      <c r="AD2623" s="1439"/>
      <c r="AE2623" s="1439"/>
      <c r="AF2623" s="1439"/>
      <c r="AG2623" s="1439"/>
    </row>
    <row r="2624" spans="1:33" ht="15.75" customHeight="1">
      <c r="A2624" s="1451"/>
      <c r="B2624" s="1450" t="s">
        <v>7086</v>
      </c>
      <c r="C2624" s="1484">
        <v>1</v>
      </c>
      <c r="D2624" s="1484" t="s">
        <v>3364</v>
      </c>
      <c r="E2624" s="1484">
        <v>1</v>
      </c>
      <c r="F2624" s="1446">
        <v>4.57</v>
      </c>
      <c r="G2624" s="1446">
        <v>7.0549999999999997</v>
      </c>
      <c r="H2624" s="1447"/>
      <c r="I2624" s="1479">
        <f t="shared" si="99"/>
        <v>32.24</v>
      </c>
      <c r="J2624" s="1475"/>
      <c r="K2624" s="1439"/>
      <c r="L2624" s="1439"/>
      <c r="M2624" s="1439"/>
      <c r="N2624" s="1439"/>
      <c r="O2624" s="1439"/>
      <c r="P2624" s="1439"/>
      <c r="Q2624" s="1439"/>
      <c r="R2624" s="1439"/>
      <c r="S2624" s="1439"/>
      <c r="T2624" s="1439"/>
      <c r="U2624" s="1439"/>
      <c r="V2624" s="1439"/>
      <c r="W2624" s="1439"/>
      <c r="X2624" s="1439"/>
      <c r="Y2624" s="1439"/>
      <c r="Z2624" s="1439"/>
      <c r="AA2624" s="1439"/>
      <c r="AB2624" s="1439"/>
      <c r="AC2624" s="1439"/>
      <c r="AD2624" s="1439"/>
      <c r="AE2624" s="1439"/>
      <c r="AF2624" s="1439"/>
      <c r="AG2624" s="1439"/>
    </row>
    <row r="2625" spans="1:33" ht="15.75" customHeight="1">
      <c r="A2625" s="1451"/>
      <c r="B2625" s="1450" t="s">
        <v>6910</v>
      </c>
      <c r="C2625" s="1484">
        <v>1</v>
      </c>
      <c r="D2625" s="1484" t="s">
        <v>3364</v>
      </c>
      <c r="E2625" s="1484">
        <v>1</v>
      </c>
      <c r="F2625" s="1446">
        <f>(F2624+G2624)*2</f>
        <v>23.25</v>
      </c>
      <c r="G2625" s="1446"/>
      <c r="H2625" s="1447">
        <v>0.1</v>
      </c>
      <c r="I2625" s="1479">
        <f t="shared" si="99"/>
        <v>2.33</v>
      </c>
      <c r="J2625" s="1475"/>
      <c r="K2625" s="1439"/>
      <c r="L2625" s="1439"/>
      <c r="M2625" s="1439"/>
      <c r="N2625" s="1439"/>
      <c r="O2625" s="1439"/>
      <c r="P2625" s="1439"/>
      <c r="Q2625" s="1439"/>
      <c r="R2625" s="1439"/>
      <c r="S2625" s="1439"/>
      <c r="T2625" s="1439"/>
      <c r="U2625" s="1439"/>
      <c r="V2625" s="1439"/>
      <c r="W2625" s="1439"/>
      <c r="X2625" s="1439"/>
      <c r="Y2625" s="1439"/>
      <c r="Z2625" s="1439"/>
      <c r="AA2625" s="1439"/>
      <c r="AB2625" s="1439"/>
      <c r="AC2625" s="1439"/>
      <c r="AD2625" s="1439"/>
      <c r="AE2625" s="1439"/>
      <c r="AF2625" s="1439"/>
      <c r="AG2625" s="1439"/>
    </row>
    <row r="2626" spans="1:33" ht="15.75" customHeight="1">
      <c r="A2626" s="1451"/>
      <c r="B2626" s="1450" t="s">
        <v>6757</v>
      </c>
      <c r="C2626" s="1484">
        <v>1</v>
      </c>
      <c r="D2626" s="1484" t="s">
        <v>3364</v>
      </c>
      <c r="E2626" s="1484">
        <v>1</v>
      </c>
      <c r="F2626" s="1446">
        <v>4.57</v>
      </c>
      <c r="G2626" s="1446">
        <v>7.0549999999999997</v>
      </c>
      <c r="H2626" s="1447"/>
      <c r="I2626" s="1479">
        <f t="shared" si="99"/>
        <v>32.24</v>
      </c>
      <c r="J2626" s="1475"/>
      <c r="K2626" s="1439"/>
      <c r="L2626" s="1439"/>
      <c r="M2626" s="1439"/>
      <c r="N2626" s="1439"/>
      <c r="O2626" s="1439"/>
      <c r="P2626" s="1439"/>
      <c r="Q2626" s="1439"/>
      <c r="R2626" s="1439"/>
      <c r="S2626" s="1439"/>
      <c r="T2626" s="1439"/>
      <c r="U2626" s="1439"/>
      <c r="V2626" s="1439"/>
      <c r="W2626" s="1439"/>
      <c r="X2626" s="1439"/>
      <c r="Y2626" s="1439"/>
      <c r="Z2626" s="1439"/>
      <c r="AA2626" s="1439"/>
      <c r="AB2626" s="1439"/>
      <c r="AC2626" s="1439"/>
      <c r="AD2626" s="1439"/>
      <c r="AE2626" s="1439"/>
      <c r="AF2626" s="1439"/>
      <c r="AG2626" s="1439"/>
    </row>
    <row r="2627" spans="1:33" ht="15.75" customHeight="1">
      <c r="A2627" s="1451"/>
      <c r="B2627" s="1450" t="s">
        <v>6910</v>
      </c>
      <c r="C2627" s="1484">
        <v>1</v>
      </c>
      <c r="D2627" s="1484" t="s">
        <v>3364</v>
      </c>
      <c r="E2627" s="1484">
        <v>1</v>
      </c>
      <c r="F2627" s="1446">
        <f>(F2626+G2626)*2</f>
        <v>23.25</v>
      </c>
      <c r="G2627" s="1446"/>
      <c r="H2627" s="1447">
        <v>0.1</v>
      </c>
      <c r="I2627" s="1479">
        <f t="shared" si="99"/>
        <v>2.33</v>
      </c>
      <c r="J2627" s="1475"/>
      <c r="K2627" s="1439"/>
      <c r="L2627" s="1439"/>
      <c r="M2627" s="1439"/>
      <c r="N2627" s="1439"/>
      <c r="O2627" s="1439"/>
      <c r="P2627" s="1439"/>
      <c r="Q2627" s="1439"/>
      <c r="R2627" s="1439"/>
      <c r="S2627" s="1439"/>
      <c r="T2627" s="1439"/>
      <c r="U2627" s="1439"/>
      <c r="V2627" s="1439"/>
      <c r="W2627" s="1439"/>
      <c r="X2627" s="1439"/>
      <c r="Y2627" s="1439"/>
      <c r="Z2627" s="1439"/>
      <c r="AA2627" s="1439"/>
      <c r="AB2627" s="1439"/>
      <c r="AC2627" s="1439"/>
      <c r="AD2627" s="1439"/>
      <c r="AE2627" s="1439"/>
      <c r="AF2627" s="1439"/>
      <c r="AG2627" s="1439"/>
    </row>
    <row r="2628" spans="1:33" ht="15.75" customHeight="1">
      <c r="A2628" s="1451"/>
      <c r="B2628" s="1455" t="s">
        <v>7320</v>
      </c>
      <c r="C2628" s="1484"/>
      <c r="D2628" s="1484"/>
      <c r="E2628" s="1484"/>
      <c r="F2628" s="1446"/>
      <c r="G2628" s="1446"/>
      <c r="H2628" s="1447"/>
      <c r="I2628" s="1479">
        <f t="shared" si="99"/>
        <v>0</v>
      </c>
      <c r="J2628" s="1475"/>
      <c r="K2628" s="1439"/>
      <c r="L2628" s="1439"/>
      <c r="M2628" s="1439"/>
      <c r="N2628" s="1439"/>
      <c r="O2628" s="1439"/>
      <c r="P2628" s="1439"/>
      <c r="Q2628" s="1439"/>
      <c r="R2628" s="1439"/>
      <c r="S2628" s="1439"/>
      <c r="T2628" s="1439"/>
      <c r="U2628" s="1439"/>
      <c r="V2628" s="1439"/>
      <c r="W2628" s="1439"/>
      <c r="X2628" s="1439"/>
      <c r="Y2628" s="1439"/>
      <c r="Z2628" s="1439"/>
      <c r="AA2628" s="1439"/>
      <c r="AB2628" s="1439"/>
      <c r="AC2628" s="1439"/>
      <c r="AD2628" s="1439"/>
      <c r="AE2628" s="1439"/>
      <c r="AF2628" s="1439"/>
      <c r="AG2628" s="1439"/>
    </row>
    <row r="2629" spans="1:33" ht="15.75" customHeight="1">
      <c r="A2629" s="1451"/>
      <c r="B2629" s="1450" t="s">
        <v>7319</v>
      </c>
      <c r="C2629" s="1484">
        <v>1</v>
      </c>
      <c r="D2629" s="1484" t="s">
        <v>3364</v>
      </c>
      <c r="E2629" s="1484">
        <v>1</v>
      </c>
      <c r="F2629" s="1446">
        <v>17.309999999999999</v>
      </c>
      <c r="G2629" s="1446">
        <v>7.2649999999999997</v>
      </c>
      <c r="H2629" s="1447"/>
      <c r="I2629" s="1479">
        <f t="shared" si="99"/>
        <v>125.76</v>
      </c>
      <c r="J2629" s="1475"/>
      <c r="K2629" s="1439"/>
      <c r="L2629" s="1439"/>
      <c r="M2629" s="1439"/>
      <c r="N2629" s="1439"/>
      <c r="O2629" s="1439"/>
      <c r="P2629" s="1439"/>
      <c r="Q2629" s="1439"/>
      <c r="R2629" s="1439"/>
      <c r="S2629" s="1439"/>
      <c r="T2629" s="1439"/>
      <c r="U2629" s="1439"/>
      <c r="V2629" s="1439"/>
      <c r="W2629" s="1439"/>
      <c r="X2629" s="1439"/>
      <c r="Y2629" s="1439"/>
      <c r="Z2629" s="1439"/>
      <c r="AA2629" s="1439"/>
      <c r="AB2629" s="1439"/>
      <c r="AC2629" s="1439"/>
      <c r="AD2629" s="1439"/>
      <c r="AE2629" s="1439"/>
      <c r="AF2629" s="1439"/>
      <c r="AG2629" s="1439"/>
    </row>
    <row r="2630" spans="1:33" ht="15.75" customHeight="1">
      <c r="A2630" s="1451"/>
      <c r="B2630" s="1450" t="s">
        <v>6910</v>
      </c>
      <c r="C2630" s="1484">
        <v>1</v>
      </c>
      <c r="D2630" s="1484" t="s">
        <v>3364</v>
      </c>
      <c r="E2630" s="1484">
        <v>1</v>
      </c>
      <c r="F2630" s="1446">
        <f>(F2629+G2629)*2</f>
        <v>49.15</v>
      </c>
      <c r="G2630" s="1446"/>
      <c r="H2630" s="1447">
        <v>0.1</v>
      </c>
      <c r="I2630" s="1479">
        <f t="shared" si="99"/>
        <v>4.92</v>
      </c>
      <c r="J2630" s="1475"/>
      <c r="K2630" s="1439"/>
      <c r="L2630" s="1439"/>
      <c r="M2630" s="1439"/>
      <c r="N2630" s="1439"/>
      <c r="O2630" s="1439"/>
      <c r="P2630" s="1439"/>
      <c r="Q2630" s="1439"/>
      <c r="R2630" s="1439"/>
      <c r="S2630" s="1439"/>
      <c r="T2630" s="1439"/>
      <c r="U2630" s="1439"/>
      <c r="V2630" s="1439"/>
      <c r="W2630" s="1439"/>
      <c r="X2630" s="1439"/>
      <c r="Y2630" s="1439"/>
      <c r="Z2630" s="1439"/>
      <c r="AA2630" s="1439"/>
      <c r="AB2630" s="1439"/>
      <c r="AC2630" s="1439"/>
      <c r="AD2630" s="1439"/>
      <c r="AE2630" s="1439"/>
      <c r="AF2630" s="1439"/>
      <c r="AG2630" s="1439"/>
    </row>
    <row r="2631" spans="1:33" ht="15.75" customHeight="1">
      <c r="A2631" s="1451"/>
      <c r="B2631" s="1450" t="s">
        <v>7139</v>
      </c>
      <c r="C2631" s="1484">
        <v>1</v>
      </c>
      <c r="D2631" s="1484" t="s">
        <v>3364</v>
      </c>
      <c r="E2631" s="1484">
        <v>1</v>
      </c>
      <c r="F2631" s="1446">
        <v>8.6950000000000003</v>
      </c>
      <c r="G2631" s="1446">
        <v>5.0350000000000001</v>
      </c>
      <c r="H2631" s="1447"/>
      <c r="I2631" s="1479">
        <f t="shared" si="99"/>
        <v>43.78</v>
      </c>
      <c r="J2631" s="1475"/>
      <c r="K2631" s="1439"/>
      <c r="L2631" s="1439"/>
      <c r="M2631" s="1439"/>
      <c r="N2631" s="1439"/>
      <c r="O2631" s="1439"/>
      <c r="P2631" s="1439"/>
      <c r="Q2631" s="1439"/>
      <c r="R2631" s="1439"/>
      <c r="S2631" s="1439"/>
      <c r="T2631" s="1439"/>
      <c r="U2631" s="1439"/>
      <c r="V2631" s="1439"/>
      <c r="W2631" s="1439"/>
      <c r="X2631" s="1439"/>
      <c r="Y2631" s="1439"/>
      <c r="Z2631" s="1439"/>
      <c r="AA2631" s="1439"/>
      <c r="AB2631" s="1439"/>
      <c r="AC2631" s="1439"/>
      <c r="AD2631" s="1439"/>
      <c r="AE2631" s="1439"/>
      <c r="AF2631" s="1439"/>
      <c r="AG2631" s="1439"/>
    </row>
    <row r="2632" spans="1:33" ht="15.75" customHeight="1">
      <c r="A2632" s="1451"/>
      <c r="B2632" s="1450" t="s">
        <v>6910</v>
      </c>
      <c r="C2632" s="1484">
        <v>1</v>
      </c>
      <c r="D2632" s="1484" t="s">
        <v>3364</v>
      </c>
      <c r="E2632" s="1484">
        <v>1</v>
      </c>
      <c r="F2632" s="1446">
        <f>(F2631+G2631)*2</f>
        <v>27.46</v>
      </c>
      <c r="G2632" s="1446"/>
      <c r="H2632" s="1447">
        <v>0.1</v>
      </c>
      <c r="I2632" s="1479">
        <f t="shared" si="99"/>
        <v>2.75</v>
      </c>
      <c r="J2632" s="1475"/>
      <c r="K2632" s="1439"/>
      <c r="L2632" s="1439"/>
      <c r="M2632" s="1439"/>
      <c r="N2632" s="1439"/>
      <c r="O2632" s="1439"/>
      <c r="P2632" s="1439"/>
      <c r="Q2632" s="1439"/>
      <c r="R2632" s="1439"/>
      <c r="S2632" s="1439"/>
      <c r="T2632" s="1439"/>
      <c r="U2632" s="1439"/>
      <c r="V2632" s="1439"/>
      <c r="W2632" s="1439"/>
      <c r="X2632" s="1439"/>
      <c r="Y2632" s="1439"/>
      <c r="Z2632" s="1439"/>
      <c r="AA2632" s="1439"/>
      <c r="AB2632" s="1439"/>
      <c r="AC2632" s="1439"/>
      <c r="AD2632" s="1439"/>
      <c r="AE2632" s="1439"/>
      <c r="AF2632" s="1439"/>
      <c r="AG2632" s="1439"/>
    </row>
    <row r="2633" spans="1:33" ht="15.75" customHeight="1">
      <c r="A2633" s="1451"/>
      <c r="B2633" s="1450" t="s">
        <v>7315</v>
      </c>
      <c r="C2633" s="1484">
        <v>1</v>
      </c>
      <c r="D2633" s="1484" t="s">
        <v>3364</v>
      </c>
      <c r="E2633" s="1484">
        <v>1</v>
      </c>
      <c r="F2633" s="1446">
        <v>8.82</v>
      </c>
      <c r="G2633" s="1446">
        <v>3.43</v>
      </c>
      <c r="H2633" s="1447"/>
      <c r="I2633" s="1479">
        <f t="shared" si="99"/>
        <v>30.25</v>
      </c>
      <c r="J2633" s="1475"/>
      <c r="K2633" s="1439"/>
      <c r="L2633" s="1439"/>
      <c r="M2633" s="1439"/>
      <c r="N2633" s="1439"/>
      <c r="O2633" s="1439"/>
      <c r="P2633" s="1439"/>
      <c r="Q2633" s="1439"/>
      <c r="R2633" s="1439"/>
      <c r="S2633" s="1439"/>
      <c r="T2633" s="1439"/>
      <c r="U2633" s="1439"/>
      <c r="V2633" s="1439"/>
      <c r="W2633" s="1439"/>
      <c r="X2633" s="1439"/>
      <c r="Y2633" s="1439"/>
      <c r="Z2633" s="1439"/>
      <c r="AA2633" s="1439"/>
      <c r="AB2633" s="1439"/>
      <c r="AC2633" s="1439"/>
      <c r="AD2633" s="1439"/>
      <c r="AE2633" s="1439"/>
      <c r="AF2633" s="1439"/>
      <c r="AG2633" s="1439"/>
    </row>
    <row r="2634" spans="1:33" ht="15.75" customHeight="1">
      <c r="A2634" s="1451"/>
      <c r="B2634" s="1450" t="s">
        <v>6910</v>
      </c>
      <c r="C2634" s="1484">
        <v>1</v>
      </c>
      <c r="D2634" s="1484" t="s">
        <v>3364</v>
      </c>
      <c r="E2634" s="1484">
        <v>1</v>
      </c>
      <c r="F2634" s="1446">
        <f>(F2633+G2633)*2</f>
        <v>24.5</v>
      </c>
      <c r="G2634" s="1446"/>
      <c r="H2634" s="1447">
        <v>0.1</v>
      </c>
      <c r="I2634" s="1479">
        <f t="shared" si="99"/>
        <v>2.4500000000000002</v>
      </c>
      <c r="J2634" s="1475"/>
      <c r="K2634" s="1439"/>
      <c r="L2634" s="1439"/>
      <c r="M2634" s="1439"/>
      <c r="N2634" s="1439"/>
      <c r="O2634" s="1439"/>
      <c r="P2634" s="1439"/>
      <c r="Q2634" s="1439"/>
      <c r="R2634" s="1439"/>
      <c r="S2634" s="1439"/>
      <c r="T2634" s="1439"/>
      <c r="U2634" s="1439"/>
      <c r="V2634" s="1439"/>
      <c r="W2634" s="1439"/>
      <c r="X2634" s="1439"/>
      <c r="Y2634" s="1439"/>
      <c r="Z2634" s="1439"/>
      <c r="AA2634" s="1439"/>
      <c r="AB2634" s="1439"/>
      <c r="AC2634" s="1439"/>
      <c r="AD2634" s="1439"/>
      <c r="AE2634" s="1439"/>
      <c r="AF2634" s="1439"/>
      <c r="AG2634" s="1439"/>
    </row>
    <row r="2635" spans="1:33" ht="15.75" customHeight="1">
      <c r="A2635" s="1451"/>
      <c r="B2635" s="1450" t="s">
        <v>7140</v>
      </c>
      <c r="C2635" s="1484">
        <v>1</v>
      </c>
      <c r="D2635" s="1484" t="s">
        <v>3364</v>
      </c>
      <c r="E2635" s="1484">
        <v>1</v>
      </c>
      <c r="F2635" s="1446">
        <v>4.125</v>
      </c>
      <c r="G2635" s="1446">
        <v>3.23</v>
      </c>
      <c r="H2635" s="1447"/>
      <c r="I2635" s="1479">
        <f t="shared" si="99"/>
        <v>13.32</v>
      </c>
      <c r="J2635" s="1475"/>
      <c r="K2635" s="1439"/>
      <c r="L2635" s="1439"/>
      <c r="M2635" s="1439"/>
      <c r="N2635" s="1439"/>
      <c r="O2635" s="1439"/>
      <c r="P2635" s="1439"/>
      <c r="Q2635" s="1439"/>
      <c r="R2635" s="1439"/>
      <c r="S2635" s="1439"/>
      <c r="T2635" s="1439"/>
      <c r="U2635" s="1439"/>
      <c r="V2635" s="1439"/>
      <c r="W2635" s="1439"/>
      <c r="X2635" s="1439"/>
      <c r="Y2635" s="1439"/>
      <c r="Z2635" s="1439"/>
      <c r="AA2635" s="1439"/>
      <c r="AB2635" s="1439"/>
      <c r="AC2635" s="1439"/>
      <c r="AD2635" s="1439"/>
      <c r="AE2635" s="1439"/>
      <c r="AF2635" s="1439"/>
      <c r="AG2635" s="1439"/>
    </row>
    <row r="2636" spans="1:33" ht="15.75" customHeight="1">
      <c r="A2636" s="1451"/>
      <c r="B2636" s="1450" t="s">
        <v>6910</v>
      </c>
      <c r="C2636" s="1484">
        <v>1</v>
      </c>
      <c r="D2636" s="1484" t="s">
        <v>3364</v>
      </c>
      <c r="E2636" s="1484">
        <v>1</v>
      </c>
      <c r="F2636" s="1446">
        <f>(F2635+G2635)*2</f>
        <v>14.71</v>
      </c>
      <c r="G2636" s="1446"/>
      <c r="H2636" s="1447">
        <v>0.1</v>
      </c>
      <c r="I2636" s="1479">
        <f t="shared" si="99"/>
        <v>1.47</v>
      </c>
      <c r="J2636" s="1475"/>
      <c r="K2636" s="1439"/>
      <c r="L2636" s="1439"/>
      <c r="M2636" s="1439"/>
      <c r="N2636" s="1439"/>
      <c r="O2636" s="1439"/>
      <c r="P2636" s="1439"/>
      <c r="Q2636" s="1439"/>
      <c r="R2636" s="1439"/>
      <c r="S2636" s="1439"/>
      <c r="T2636" s="1439"/>
      <c r="U2636" s="1439"/>
      <c r="V2636" s="1439"/>
      <c r="W2636" s="1439"/>
      <c r="X2636" s="1439"/>
      <c r="Y2636" s="1439"/>
      <c r="Z2636" s="1439"/>
      <c r="AA2636" s="1439"/>
      <c r="AB2636" s="1439"/>
      <c r="AC2636" s="1439"/>
      <c r="AD2636" s="1439"/>
      <c r="AE2636" s="1439"/>
      <c r="AF2636" s="1439"/>
      <c r="AG2636" s="1439"/>
    </row>
    <row r="2637" spans="1:33" ht="15.75" customHeight="1">
      <c r="A2637" s="1451"/>
      <c r="B2637" s="1450" t="s">
        <v>6737</v>
      </c>
      <c r="C2637" s="1484">
        <v>1</v>
      </c>
      <c r="D2637" s="1484" t="s">
        <v>3364</v>
      </c>
      <c r="E2637" s="1484">
        <v>1</v>
      </c>
      <c r="F2637" s="1446">
        <v>9.66</v>
      </c>
      <c r="G2637" s="1446">
        <v>2</v>
      </c>
      <c r="H2637" s="1447"/>
      <c r="I2637" s="1479">
        <f t="shared" si="99"/>
        <v>19.32</v>
      </c>
      <c r="J2637" s="1475"/>
      <c r="K2637" s="1439"/>
      <c r="L2637" s="1439"/>
      <c r="M2637" s="1439"/>
      <c r="N2637" s="1439"/>
      <c r="O2637" s="1439"/>
      <c r="P2637" s="1439"/>
      <c r="Q2637" s="1439"/>
      <c r="R2637" s="1439"/>
      <c r="S2637" s="1439"/>
      <c r="T2637" s="1439"/>
      <c r="U2637" s="1439"/>
      <c r="V2637" s="1439"/>
      <c r="W2637" s="1439"/>
      <c r="X2637" s="1439"/>
      <c r="Y2637" s="1439"/>
      <c r="Z2637" s="1439"/>
      <c r="AA2637" s="1439"/>
      <c r="AB2637" s="1439"/>
      <c r="AC2637" s="1439"/>
      <c r="AD2637" s="1439"/>
      <c r="AE2637" s="1439"/>
      <c r="AF2637" s="1439"/>
      <c r="AG2637" s="1439"/>
    </row>
    <row r="2638" spans="1:33" ht="15.75" customHeight="1">
      <c r="A2638" s="1451"/>
      <c r="B2638" s="1450" t="s">
        <v>6910</v>
      </c>
      <c r="C2638" s="1484">
        <v>1</v>
      </c>
      <c r="D2638" s="1484" t="s">
        <v>3364</v>
      </c>
      <c r="E2638" s="1484">
        <v>1</v>
      </c>
      <c r="F2638" s="1446">
        <f>(F2637+G2637)*2</f>
        <v>23.32</v>
      </c>
      <c r="G2638" s="1446"/>
      <c r="H2638" s="1447">
        <v>0.1</v>
      </c>
      <c r="I2638" s="1479">
        <f t="shared" si="99"/>
        <v>2.33</v>
      </c>
      <c r="J2638" s="1475"/>
      <c r="K2638" s="1439"/>
      <c r="L2638" s="1439"/>
      <c r="M2638" s="1439"/>
      <c r="N2638" s="1439"/>
      <c r="O2638" s="1439"/>
      <c r="P2638" s="1439"/>
      <c r="Q2638" s="1439"/>
      <c r="R2638" s="1439"/>
      <c r="S2638" s="1439"/>
      <c r="T2638" s="1439"/>
      <c r="U2638" s="1439"/>
      <c r="V2638" s="1439"/>
      <c r="W2638" s="1439"/>
      <c r="X2638" s="1439"/>
      <c r="Y2638" s="1439"/>
      <c r="Z2638" s="1439"/>
      <c r="AA2638" s="1439"/>
      <c r="AB2638" s="1439"/>
      <c r="AC2638" s="1439"/>
      <c r="AD2638" s="1439"/>
      <c r="AE2638" s="1439"/>
      <c r="AF2638" s="1439"/>
      <c r="AG2638" s="1439"/>
    </row>
    <row r="2639" spans="1:33" ht="15.75" customHeight="1">
      <c r="A2639" s="1451"/>
      <c r="B2639" s="1450" t="s">
        <v>7168</v>
      </c>
      <c r="C2639" s="1484">
        <v>1</v>
      </c>
      <c r="D2639" s="1484" t="s">
        <v>3364</v>
      </c>
      <c r="E2639" s="1484">
        <v>1</v>
      </c>
      <c r="F2639" s="1446">
        <v>3.895</v>
      </c>
      <c r="G2639" s="1446">
        <v>3.94</v>
      </c>
      <c r="H2639" s="1447"/>
      <c r="I2639" s="1479">
        <f t="shared" si="99"/>
        <v>15.35</v>
      </c>
      <c r="J2639" s="1475"/>
      <c r="K2639" s="1439"/>
      <c r="L2639" s="1439"/>
      <c r="M2639" s="1439"/>
      <c r="N2639" s="1439"/>
      <c r="O2639" s="1439"/>
      <c r="P2639" s="1439"/>
      <c r="Q2639" s="1439"/>
      <c r="R2639" s="1439"/>
      <c r="S2639" s="1439"/>
      <c r="T2639" s="1439"/>
      <c r="U2639" s="1439"/>
      <c r="V2639" s="1439"/>
      <c r="W2639" s="1439"/>
      <c r="X2639" s="1439"/>
      <c r="Y2639" s="1439"/>
      <c r="Z2639" s="1439"/>
      <c r="AA2639" s="1439"/>
      <c r="AB2639" s="1439"/>
      <c r="AC2639" s="1439"/>
      <c r="AD2639" s="1439"/>
      <c r="AE2639" s="1439"/>
      <c r="AF2639" s="1439"/>
      <c r="AG2639" s="1439"/>
    </row>
    <row r="2640" spans="1:33" ht="15.75" customHeight="1">
      <c r="A2640" s="1451"/>
      <c r="B2640" s="1450" t="s">
        <v>6910</v>
      </c>
      <c r="C2640" s="1484">
        <v>1</v>
      </c>
      <c r="D2640" s="1484" t="s">
        <v>3364</v>
      </c>
      <c r="E2640" s="1484">
        <v>1</v>
      </c>
      <c r="F2640" s="1446">
        <f>+(F2639+G2639)*2</f>
        <v>15.67</v>
      </c>
      <c r="G2640" s="1446"/>
      <c r="H2640" s="1447">
        <v>0.1</v>
      </c>
      <c r="I2640" s="1479">
        <f t="shared" si="99"/>
        <v>1.57</v>
      </c>
      <c r="J2640" s="1475"/>
      <c r="K2640" s="1439"/>
      <c r="L2640" s="1439"/>
      <c r="M2640" s="1439"/>
      <c r="N2640" s="1439"/>
      <c r="O2640" s="1439"/>
      <c r="P2640" s="1439"/>
      <c r="Q2640" s="1439"/>
      <c r="R2640" s="1439"/>
      <c r="S2640" s="1439"/>
      <c r="T2640" s="1439"/>
      <c r="U2640" s="1439"/>
      <c r="V2640" s="1439"/>
      <c r="W2640" s="1439"/>
      <c r="X2640" s="1439"/>
      <c r="Y2640" s="1439"/>
      <c r="Z2640" s="1439"/>
      <c r="AA2640" s="1439"/>
      <c r="AB2640" s="1439"/>
      <c r="AC2640" s="1439"/>
      <c r="AD2640" s="1439"/>
      <c r="AE2640" s="1439"/>
      <c r="AF2640" s="1439"/>
      <c r="AG2640" s="1439"/>
    </row>
    <row r="2641" spans="1:33" ht="15.75" customHeight="1">
      <c r="A2641" s="1451"/>
      <c r="B2641" s="1450" t="s">
        <v>7167</v>
      </c>
      <c r="C2641" s="1484">
        <v>1</v>
      </c>
      <c r="D2641" s="1484" t="s">
        <v>3364</v>
      </c>
      <c r="E2641" s="1484">
        <v>1</v>
      </c>
      <c r="F2641" s="1446">
        <v>4.57</v>
      </c>
      <c r="G2641" s="1446">
        <v>3.94</v>
      </c>
      <c r="H2641" s="1447"/>
      <c r="I2641" s="1479">
        <f t="shared" si="99"/>
        <v>18.010000000000002</v>
      </c>
      <c r="J2641" s="1475"/>
      <c r="K2641" s="1439"/>
      <c r="L2641" s="1439"/>
      <c r="M2641" s="1439"/>
      <c r="N2641" s="1439"/>
      <c r="O2641" s="1439"/>
      <c r="P2641" s="1439"/>
      <c r="Q2641" s="1439"/>
      <c r="R2641" s="1439"/>
      <c r="S2641" s="1439"/>
      <c r="T2641" s="1439"/>
      <c r="U2641" s="1439"/>
      <c r="V2641" s="1439"/>
      <c r="W2641" s="1439"/>
      <c r="X2641" s="1439"/>
      <c r="Y2641" s="1439"/>
      <c r="Z2641" s="1439"/>
      <c r="AA2641" s="1439"/>
      <c r="AB2641" s="1439"/>
      <c r="AC2641" s="1439"/>
      <c r="AD2641" s="1439"/>
      <c r="AE2641" s="1439"/>
      <c r="AF2641" s="1439"/>
      <c r="AG2641" s="1439"/>
    </row>
    <row r="2642" spans="1:33" ht="15.75" customHeight="1">
      <c r="A2642" s="1451"/>
      <c r="B2642" s="1450" t="s">
        <v>6910</v>
      </c>
      <c r="C2642" s="1484">
        <v>1</v>
      </c>
      <c r="D2642" s="1484" t="s">
        <v>3364</v>
      </c>
      <c r="E2642" s="1484">
        <v>1</v>
      </c>
      <c r="F2642" s="1446">
        <f>(F2641+G2641)*2</f>
        <v>17.02</v>
      </c>
      <c r="G2642" s="1446"/>
      <c r="H2642" s="1447">
        <v>0.1</v>
      </c>
      <c r="I2642" s="1479">
        <f t="shared" si="99"/>
        <v>1.7</v>
      </c>
      <c r="J2642" s="1475"/>
      <c r="K2642" s="1439"/>
      <c r="L2642" s="1439"/>
      <c r="M2642" s="1439"/>
      <c r="N2642" s="1439"/>
      <c r="O2642" s="1439"/>
      <c r="P2642" s="1439"/>
      <c r="Q2642" s="1439"/>
      <c r="R2642" s="1439"/>
      <c r="S2642" s="1439"/>
      <c r="T2642" s="1439"/>
      <c r="U2642" s="1439"/>
      <c r="V2642" s="1439"/>
      <c r="W2642" s="1439"/>
      <c r="X2642" s="1439"/>
      <c r="Y2642" s="1439"/>
      <c r="Z2642" s="1439"/>
      <c r="AA2642" s="1439"/>
      <c r="AB2642" s="1439"/>
      <c r="AC2642" s="1439"/>
      <c r="AD2642" s="1439"/>
      <c r="AE2642" s="1439"/>
      <c r="AF2642" s="1439"/>
      <c r="AG2642" s="1439"/>
    </row>
    <row r="2643" spans="1:33" ht="15.75" customHeight="1">
      <c r="A2643" s="1451"/>
      <c r="B2643" s="1450" t="s">
        <v>6765</v>
      </c>
      <c r="C2643" s="1484">
        <v>1</v>
      </c>
      <c r="D2643" s="1484" t="s">
        <v>3364</v>
      </c>
      <c r="E2643" s="1484">
        <v>1</v>
      </c>
      <c r="F2643" s="1446">
        <v>6.18</v>
      </c>
      <c r="G2643" s="1446">
        <v>1.76</v>
      </c>
      <c r="H2643" s="1447"/>
      <c r="I2643" s="1479">
        <f t="shared" si="99"/>
        <v>10.88</v>
      </c>
      <c r="J2643" s="1475"/>
      <c r="K2643" s="1439"/>
      <c r="L2643" s="1439"/>
      <c r="M2643" s="1439"/>
      <c r="N2643" s="1439"/>
      <c r="O2643" s="1439"/>
      <c r="P2643" s="1439"/>
      <c r="Q2643" s="1439"/>
      <c r="R2643" s="1439"/>
      <c r="S2643" s="1439"/>
      <c r="T2643" s="1439"/>
      <c r="U2643" s="1439"/>
      <c r="V2643" s="1439"/>
      <c r="W2643" s="1439"/>
      <c r="X2643" s="1439"/>
      <c r="Y2643" s="1439"/>
      <c r="Z2643" s="1439"/>
      <c r="AA2643" s="1439"/>
      <c r="AB2643" s="1439"/>
      <c r="AC2643" s="1439"/>
      <c r="AD2643" s="1439"/>
      <c r="AE2643" s="1439"/>
      <c r="AF2643" s="1439"/>
      <c r="AG2643" s="1439"/>
    </row>
    <row r="2644" spans="1:33" ht="15.75" customHeight="1">
      <c r="A2644" s="1451"/>
      <c r="B2644" s="1450" t="s">
        <v>6910</v>
      </c>
      <c r="C2644" s="1484">
        <v>1</v>
      </c>
      <c r="D2644" s="1484" t="s">
        <v>3364</v>
      </c>
      <c r="E2644" s="1484">
        <v>1</v>
      </c>
      <c r="F2644" s="1446">
        <f>(F2643+G2643)*2</f>
        <v>15.88</v>
      </c>
      <c r="G2644" s="1446"/>
      <c r="H2644" s="1447">
        <v>0.1</v>
      </c>
      <c r="I2644" s="1479">
        <f t="shared" si="99"/>
        <v>1.59</v>
      </c>
      <c r="J2644" s="1475"/>
      <c r="K2644" s="1439"/>
      <c r="L2644" s="1439"/>
      <c r="M2644" s="1439"/>
      <c r="N2644" s="1439"/>
      <c r="O2644" s="1439"/>
      <c r="P2644" s="1439"/>
      <c r="Q2644" s="1439"/>
      <c r="R2644" s="1439"/>
      <c r="S2644" s="1439"/>
      <c r="T2644" s="1439"/>
      <c r="U2644" s="1439"/>
      <c r="V2644" s="1439"/>
      <c r="W2644" s="1439"/>
      <c r="X2644" s="1439"/>
      <c r="Y2644" s="1439"/>
      <c r="Z2644" s="1439"/>
      <c r="AA2644" s="1439"/>
      <c r="AB2644" s="1439"/>
      <c r="AC2644" s="1439"/>
      <c r="AD2644" s="1439"/>
      <c r="AE2644" s="1439"/>
      <c r="AF2644" s="1439"/>
      <c r="AG2644" s="1439"/>
    </row>
    <row r="2645" spans="1:33" ht="15.75" customHeight="1">
      <c r="A2645" s="1451"/>
      <c r="B2645" s="1450" t="s">
        <v>7141</v>
      </c>
      <c r="C2645" s="1484">
        <v>1</v>
      </c>
      <c r="D2645" s="1484" t="s">
        <v>3364</v>
      </c>
      <c r="E2645" s="1484">
        <v>1</v>
      </c>
      <c r="F2645" s="1446">
        <v>13.414999999999999</v>
      </c>
      <c r="G2645" s="1446">
        <v>9.0449999999999999</v>
      </c>
      <c r="H2645" s="1447"/>
      <c r="I2645" s="1479">
        <f t="shared" si="99"/>
        <v>121.34</v>
      </c>
      <c r="J2645" s="1475"/>
      <c r="K2645" s="1439"/>
      <c r="L2645" s="1439"/>
      <c r="M2645" s="1439"/>
      <c r="N2645" s="1439"/>
      <c r="O2645" s="1439"/>
      <c r="P2645" s="1439"/>
      <c r="Q2645" s="1439"/>
      <c r="R2645" s="1439"/>
      <c r="S2645" s="1439"/>
      <c r="T2645" s="1439"/>
      <c r="U2645" s="1439"/>
      <c r="V2645" s="1439"/>
      <c r="W2645" s="1439"/>
      <c r="X2645" s="1439"/>
      <c r="Y2645" s="1439"/>
      <c r="Z2645" s="1439"/>
      <c r="AA2645" s="1439"/>
      <c r="AB2645" s="1439"/>
      <c r="AC2645" s="1439"/>
      <c r="AD2645" s="1439"/>
      <c r="AE2645" s="1439"/>
      <c r="AF2645" s="1439"/>
      <c r="AG2645" s="1439"/>
    </row>
    <row r="2646" spans="1:33" ht="15.75" customHeight="1">
      <c r="A2646" s="1451"/>
      <c r="B2646" s="1450" t="s">
        <v>6910</v>
      </c>
      <c r="C2646" s="1484">
        <v>1</v>
      </c>
      <c r="D2646" s="1484" t="s">
        <v>3364</v>
      </c>
      <c r="E2646" s="1484">
        <v>1</v>
      </c>
      <c r="F2646" s="1446">
        <f>(F2645+G2645)*2</f>
        <v>44.92</v>
      </c>
      <c r="G2646" s="1446"/>
      <c r="H2646" s="1447">
        <v>0.1</v>
      </c>
      <c r="I2646" s="1479">
        <f t="shared" si="99"/>
        <v>4.49</v>
      </c>
      <c r="J2646" s="1475"/>
      <c r="K2646" s="1439"/>
      <c r="L2646" s="1439"/>
      <c r="M2646" s="1439"/>
      <c r="N2646" s="1439"/>
      <c r="O2646" s="1439"/>
      <c r="P2646" s="1439"/>
      <c r="Q2646" s="1439"/>
      <c r="R2646" s="1439"/>
      <c r="S2646" s="1439"/>
      <c r="T2646" s="1439"/>
      <c r="U2646" s="1439"/>
      <c r="V2646" s="1439"/>
      <c r="W2646" s="1439"/>
      <c r="X2646" s="1439"/>
      <c r="Y2646" s="1439"/>
      <c r="Z2646" s="1439"/>
      <c r="AA2646" s="1439"/>
      <c r="AB2646" s="1439"/>
      <c r="AC2646" s="1439"/>
      <c r="AD2646" s="1439"/>
      <c r="AE2646" s="1439"/>
      <c r="AF2646" s="1439"/>
      <c r="AG2646" s="1439"/>
    </row>
    <row r="2647" spans="1:33" ht="15.75" customHeight="1">
      <c r="A2647" s="1451"/>
      <c r="B2647" s="1450" t="s">
        <v>7091</v>
      </c>
      <c r="C2647" s="1484">
        <v>1</v>
      </c>
      <c r="D2647" s="1484" t="s">
        <v>3364</v>
      </c>
      <c r="E2647" s="1484">
        <v>1</v>
      </c>
      <c r="F2647" s="1446">
        <v>5.3250000000000002</v>
      </c>
      <c r="G2647" s="1446">
        <v>9.0449999999999999</v>
      </c>
      <c r="H2647" s="1447"/>
      <c r="I2647" s="1479">
        <f t="shared" si="99"/>
        <v>48.16</v>
      </c>
      <c r="J2647" s="1475"/>
      <c r="K2647" s="1439"/>
      <c r="L2647" s="1439"/>
      <c r="M2647" s="1439"/>
      <c r="N2647" s="1439"/>
      <c r="O2647" s="1439"/>
      <c r="P2647" s="1439"/>
      <c r="Q2647" s="1439"/>
      <c r="R2647" s="1439"/>
      <c r="S2647" s="1439"/>
      <c r="T2647" s="1439"/>
      <c r="U2647" s="1439"/>
      <c r="V2647" s="1439"/>
      <c r="W2647" s="1439"/>
      <c r="X2647" s="1439"/>
      <c r="Y2647" s="1439"/>
      <c r="Z2647" s="1439"/>
      <c r="AA2647" s="1439"/>
      <c r="AB2647" s="1439"/>
      <c r="AC2647" s="1439"/>
      <c r="AD2647" s="1439"/>
      <c r="AE2647" s="1439"/>
      <c r="AF2647" s="1439"/>
      <c r="AG2647" s="1439"/>
    </row>
    <row r="2648" spans="1:33" ht="15.75" customHeight="1">
      <c r="A2648" s="1451"/>
      <c r="B2648" s="1450" t="s">
        <v>6910</v>
      </c>
      <c r="C2648" s="1484">
        <v>1</v>
      </c>
      <c r="D2648" s="1484" t="s">
        <v>3364</v>
      </c>
      <c r="E2648" s="1484">
        <v>1</v>
      </c>
      <c r="F2648" s="1484">
        <f>(F2647+G2647)*2</f>
        <v>28.74</v>
      </c>
      <c r="G2648" s="1484"/>
      <c r="H2648" s="1447">
        <v>0.1</v>
      </c>
      <c r="I2648" s="1479">
        <f t="shared" si="99"/>
        <v>2.87</v>
      </c>
      <c r="J2648" s="1475"/>
      <c r="K2648" s="1439"/>
      <c r="L2648" s="1439"/>
      <c r="M2648" s="1439"/>
      <c r="N2648" s="1439"/>
      <c r="O2648" s="1439"/>
      <c r="P2648" s="1439"/>
      <c r="Q2648" s="1439"/>
      <c r="R2648" s="1439"/>
      <c r="S2648" s="1439"/>
      <c r="T2648" s="1439"/>
      <c r="U2648" s="1439"/>
      <c r="V2648" s="1439"/>
      <c r="W2648" s="1439"/>
      <c r="X2648" s="1439"/>
      <c r="Y2648" s="1439"/>
      <c r="Z2648" s="1439"/>
      <c r="AA2648" s="1439"/>
      <c r="AB2648" s="1439"/>
      <c r="AC2648" s="1439"/>
      <c r="AD2648" s="1439"/>
      <c r="AE2648" s="1439"/>
      <c r="AF2648" s="1439"/>
      <c r="AG2648" s="1439"/>
    </row>
    <row r="2649" spans="1:33" ht="15.75" customHeight="1">
      <c r="A2649" s="1451"/>
      <c r="B2649" s="1455" t="s">
        <v>6917</v>
      </c>
      <c r="C2649" s="1484"/>
      <c r="D2649" s="1484"/>
      <c r="E2649" s="1484"/>
      <c r="F2649" s="1484"/>
      <c r="G2649" s="1484"/>
      <c r="H2649" s="1447"/>
      <c r="I2649" s="1479">
        <f t="shared" si="99"/>
        <v>0</v>
      </c>
      <c r="J2649" s="1475"/>
      <c r="K2649" s="1439"/>
      <c r="L2649" s="1439"/>
      <c r="M2649" s="1439"/>
      <c r="N2649" s="1439"/>
      <c r="O2649" s="1439"/>
      <c r="P2649" s="1439"/>
      <c r="Q2649" s="1439"/>
      <c r="R2649" s="1439"/>
      <c r="S2649" s="1439"/>
      <c r="T2649" s="1439"/>
      <c r="U2649" s="1439"/>
      <c r="V2649" s="1439"/>
      <c r="W2649" s="1439"/>
      <c r="X2649" s="1439"/>
      <c r="Y2649" s="1439"/>
      <c r="Z2649" s="1439"/>
      <c r="AA2649" s="1439"/>
      <c r="AB2649" s="1439"/>
      <c r="AC2649" s="1439"/>
      <c r="AD2649" s="1439"/>
      <c r="AE2649" s="1439"/>
      <c r="AF2649" s="1439"/>
      <c r="AG2649" s="1439"/>
    </row>
    <row r="2650" spans="1:33" ht="15.75" customHeight="1">
      <c r="A2650" s="1451"/>
      <c r="B2650" s="1450" t="s">
        <v>6758</v>
      </c>
      <c r="C2650" s="1484">
        <v>1</v>
      </c>
      <c r="D2650" s="1484" t="s">
        <v>3364</v>
      </c>
      <c r="E2650" s="1484">
        <v>1</v>
      </c>
      <c r="F2650" s="1484">
        <v>17.309999999999999</v>
      </c>
      <c r="G2650" s="1484">
        <v>7.2649999999999997</v>
      </c>
      <c r="H2650" s="1447"/>
      <c r="I2650" s="1479">
        <f t="shared" si="99"/>
        <v>125.76</v>
      </c>
      <c r="J2650" s="1475"/>
      <c r="K2650" s="1439"/>
      <c r="L2650" s="1439"/>
      <c r="M2650" s="1439"/>
      <c r="N2650" s="1439"/>
      <c r="O2650" s="1439"/>
      <c r="P2650" s="1439"/>
      <c r="Q2650" s="1439"/>
      <c r="R2650" s="1439"/>
      <c r="S2650" s="1439"/>
      <c r="T2650" s="1439"/>
      <c r="U2650" s="1439"/>
      <c r="V2650" s="1439"/>
      <c r="W2650" s="1439"/>
      <c r="X2650" s="1439"/>
      <c r="Y2650" s="1439"/>
      <c r="Z2650" s="1439"/>
      <c r="AA2650" s="1439"/>
      <c r="AB2650" s="1439"/>
      <c r="AC2650" s="1439"/>
      <c r="AD2650" s="1439"/>
      <c r="AE2650" s="1439"/>
      <c r="AF2650" s="1439"/>
      <c r="AG2650" s="1439"/>
    </row>
    <row r="2651" spans="1:33" ht="15.75" customHeight="1">
      <c r="A2651" s="1451"/>
      <c r="B2651" s="1450" t="s">
        <v>6910</v>
      </c>
      <c r="C2651" s="1484">
        <v>1</v>
      </c>
      <c r="D2651" s="1484" t="s">
        <v>3364</v>
      </c>
      <c r="E2651" s="1484">
        <v>1</v>
      </c>
      <c r="F2651" s="1484">
        <f>(F2650+G2650)*2</f>
        <v>49.15</v>
      </c>
      <c r="G2651" s="1484"/>
      <c r="H2651" s="1447">
        <v>0.1</v>
      </c>
      <c r="I2651" s="1479">
        <f t="shared" si="99"/>
        <v>4.92</v>
      </c>
      <c r="J2651" s="1475"/>
      <c r="K2651" s="1439"/>
      <c r="L2651" s="1439"/>
      <c r="M2651" s="1439"/>
      <c r="N2651" s="1439"/>
      <c r="O2651" s="1439"/>
      <c r="P2651" s="1439"/>
      <c r="Q2651" s="1439"/>
      <c r="R2651" s="1439"/>
      <c r="S2651" s="1439"/>
      <c r="T2651" s="1439"/>
      <c r="U2651" s="1439"/>
      <c r="V2651" s="1439"/>
      <c r="W2651" s="1439"/>
      <c r="X2651" s="1439"/>
      <c r="Y2651" s="1439"/>
      <c r="Z2651" s="1439"/>
      <c r="AA2651" s="1439"/>
      <c r="AB2651" s="1439"/>
      <c r="AC2651" s="1439"/>
      <c r="AD2651" s="1439"/>
      <c r="AE2651" s="1439"/>
      <c r="AF2651" s="1439"/>
      <c r="AG2651" s="1439"/>
    </row>
    <row r="2652" spans="1:33" ht="15.75" customHeight="1">
      <c r="A2652" s="1451"/>
      <c r="B2652" s="1450" t="s">
        <v>6908</v>
      </c>
      <c r="C2652" s="1484">
        <v>1</v>
      </c>
      <c r="D2652" s="1484" t="s">
        <v>3364</v>
      </c>
      <c r="E2652" s="1484">
        <v>1</v>
      </c>
      <c r="F2652" s="1484">
        <v>1.5449999999999999</v>
      </c>
      <c r="G2652" s="1484">
        <v>2.4</v>
      </c>
      <c r="H2652" s="1447"/>
      <c r="I2652" s="1479">
        <f t="shared" si="99"/>
        <v>3.71</v>
      </c>
      <c r="J2652" s="1475"/>
      <c r="K2652" s="1439"/>
      <c r="L2652" s="1439"/>
      <c r="M2652" s="1439"/>
      <c r="N2652" s="1439"/>
      <c r="O2652" s="1439"/>
      <c r="P2652" s="1439"/>
      <c r="Q2652" s="1439"/>
      <c r="R2652" s="1439"/>
      <c r="S2652" s="1439"/>
      <c r="T2652" s="1439"/>
      <c r="U2652" s="1439"/>
      <c r="V2652" s="1439"/>
      <c r="W2652" s="1439"/>
      <c r="X2652" s="1439"/>
      <c r="Y2652" s="1439"/>
      <c r="Z2652" s="1439"/>
      <c r="AA2652" s="1439"/>
      <c r="AB2652" s="1439"/>
      <c r="AC2652" s="1439"/>
      <c r="AD2652" s="1439"/>
      <c r="AE2652" s="1439"/>
      <c r="AF2652" s="1439"/>
      <c r="AG2652" s="1439"/>
    </row>
    <row r="2653" spans="1:33" ht="15.75" customHeight="1">
      <c r="A2653" s="1451"/>
      <c r="B2653" s="1450" t="s">
        <v>6910</v>
      </c>
      <c r="C2653" s="1484">
        <v>1</v>
      </c>
      <c r="D2653" s="1484" t="s">
        <v>3364</v>
      </c>
      <c r="E2653" s="1484">
        <v>2</v>
      </c>
      <c r="F2653" s="1484">
        <f>(F2652+G2652)*2</f>
        <v>7.89</v>
      </c>
      <c r="G2653" s="1484"/>
      <c r="H2653" s="1447">
        <v>0.1</v>
      </c>
      <c r="I2653" s="1479">
        <f t="shared" si="99"/>
        <v>1.58</v>
      </c>
      <c r="J2653" s="1475"/>
      <c r="K2653" s="1439"/>
      <c r="L2653" s="1439"/>
      <c r="M2653" s="1439"/>
      <c r="N2653" s="1439"/>
      <c r="O2653" s="1439"/>
      <c r="P2653" s="1439"/>
      <c r="Q2653" s="1439"/>
      <c r="R2653" s="1439"/>
      <c r="S2653" s="1439"/>
      <c r="T2653" s="1439"/>
      <c r="U2653" s="1439"/>
      <c r="V2653" s="1439"/>
      <c r="W2653" s="1439"/>
      <c r="X2653" s="1439"/>
      <c r="Y2653" s="1439"/>
      <c r="Z2653" s="1439"/>
      <c r="AA2653" s="1439"/>
      <c r="AB2653" s="1439"/>
      <c r="AC2653" s="1439"/>
      <c r="AD2653" s="1439"/>
      <c r="AE2653" s="1439"/>
      <c r="AF2653" s="1439"/>
      <c r="AG2653" s="1439"/>
    </row>
    <row r="2654" spans="1:33" ht="15.75" customHeight="1">
      <c r="A2654" s="1451"/>
      <c r="B2654" s="1450" t="s">
        <v>6723</v>
      </c>
      <c r="C2654" s="1484">
        <v>1</v>
      </c>
      <c r="D2654" s="1484" t="s">
        <v>3364</v>
      </c>
      <c r="E2654" s="1484">
        <v>1</v>
      </c>
      <c r="F2654" s="1484">
        <v>1.5449999999999999</v>
      </c>
      <c r="G2654" s="1484">
        <v>2.52</v>
      </c>
      <c r="H2654" s="1447"/>
      <c r="I2654" s="1479">
        <f t="shared" si="99"/>
        <v>3.89</v>
      </c>
      <c r="J2654" s="1475"/>
      <c r="K2654" s="1439"/>
      <c r="L2654" s="1439"/>
      <c r="M2654" s="1439"/>
      <c r="N2654" s="1439"/>
      <c r="O2654" s="1439"/>
      <c r="P2654" s="1439"/>
      <c r="Q2654" s="1439"/>
      <c r="R2654" s="1439"/>
      <c r="S2654" s="1439"/>
      <c r="T2654" s="1439"/>
      <c r="U2654" s="1439"/>
      <c r="V2654" s="1439"/>
      <c r="W2654" s="1439"/>
      <c r="X2654" s="1439"/>
      <c r="Y2654" s="1439"/>
      <c r="Z2654" s="1439"/>
      <c r="AA2654" s="1439"/>
      <c r="AB2654" s="1439"/>
      <c r="AC2654" s="1439"/>
      <c r="AD2654" s="1439"/>
      <c r="AE2654" s="1439"/>
      <c r="AF2654" s="1439"/>
      <c r="AG2654" s="1439"/>
    </row>
    <row r="2655" spans="1:33">
      <c r="A2655" s="1451"/>
      <c r="B2655" s="1450" t="s">
        <v>6910</v>
      </c>
      <c r="C2655" s="1484">
        <v>1</v>
      </c>
      <c r="D2655" s="1484" t="s">
        <v>3364</v>
      </c>
      <c r="E2655" s="1484">
        <v>1</v>
      </c>
      <c r="F2655" s="1484">
        <f>(F2654+G2654)*2</f>
        <v>8.1300000000000008</v>
      </c>
      <c r="G2655" s="1484"/>
      <c r="H2655" s="1447">
        <v>0.1</v>
      </c>
      <c r="I2655" s="1479">
        <f t="shared" si="99"/>
        <v>0.81</v>
      </c>
      <c r="J2655" s="1475"/>
      <c r="K2655" s="1439"/>
      <c r="L2655" s="1439"/>
      <c r="M2655" s="1439"/>
      <c r="N2655" s="1439"/>
      <c r="O2655" s="1439"/>
      <c r="P2655" s="1439"/>
      <c r="Q2655" s="1439"/>
      <c r="R2655" s="1439"/>
      <c r="S2655" s="1439"/>
      <c r="T2655" s="1439"/>
      <c r="U2655" s="1439"/>
      <c r="V2655" s="1439"/>
      <c r="W2655" s="1439"/>
      <c r="X2655" s="1439"/>
      <c r="Y2655" s="1439"/>
      <c r="Z2655" s="1439"/>
      <c r="AA2655" s="1439"/>
      <c r="AB2655" s="1439"/>
      <c r="AC2655" s="1439"/>
      <c r="AD2655" s="1439"/>
      <c r="AE2655" s="1439"/>
      <c r="AF2655" s="1439"/>
      <c r="AG2655" s="1439"/>
    </row>
    <row r="2656" spans="1:33" ht="15.75" customHeight="1">
      <c r="A2656" s="1451"/>
      <c r="B2656" s="1450" t="s">
        <v>6759</v>
      </c>
      <c r="C2656" s="1484">
        <v>1</v>
      </c>
      <c r="D2656" s="1484" t="s">
        <v>3364</v>
      </c>
      <c r="E2656" s="1484">
        <v>2</v>
      </c>
      <c r="F2656" s="1484">
        <v>8.6950000000000003</v>
      </c>
      <c r="G2656" s="1484">
        <v>5.0350000000000001</v>
      </c>
      <c r="H2656" s="1447"/>
      <c r="I2656" s="1479">
        <f t="shared" si="99"/>
        <v>87.56</v>
      </c>
      <c r="J2656" s="1475"/>
      <c r="K2656" s="1439"/>
      <c r="L2656" s="1439"/>
      <c r="M2656" s="1439"/>
      <c r="N2656" s="1439"/>
      <c r="O2656" s="1439"/>
      <c r="P2656" s="1439"/>
      <c r="Q2656" s="1439"/>
      <c r="R2656" s="1439"/>
      <c r="S2656" s="1439"/>
      <c r="T2656" s="1439"/>
      <c r="U2656" s="1439"/>
      <c r="V2656" s="1439"/>
      <c r="W2656" s="1439"/>
      <c r="X2656" s="1439"/>
      <c r="Y2656" s="1439"/>
      <c r="Z2656" s="1439"/>
      <c r="AA2656" s="1439"/>
      <c r="AB2656" s="1439"/>
      <c r="AC2656" s="1439"/>
      <c r="AD2656" s="1439"/>
      <c r="AE2656" s="1439"/>
      <c r="AF2656" s="1439"/>
      <c r="AG2656" s="1439"/>
    </row>
    <row r="2657" spans="1:33" ht="15.75" customHeight="1">
      <c r="A2657" s="1451"/>
      <c r="B2657" s="1450" t="s">
        <v>6910</v>
      </c>
      <c r="C2657" s="1484">
        <v>1</v>
      </c>
      <c r="D2657" s="1484" t="s">
        <v>3364</v>
      </c>
      <c r="E2657" s="1484">
        <v>1</v>
      </c>
      <c r="F2657" s="1484">
        <f>(F2656+G2656)*2</f>
        <v>27.46</v>
      </c>
      <c r="G2657" s="1484"/>
      <c r="H2657" s="1447">
        <v>0.1</v>
      </c>
      <c r="I2657" s="1479">
        <f t="shared" si="99"/>
        <v>2.75</v>
      </c>
      <c r="J2657" s="1475"/>
      <c r="K2657" s="1439"/>
      <c r="L2657" s="1439"/>
      <c r="M2657" s="1439"/>
      <c r="N2657" s="1439"/>
      <c r="O2657" s="1439"/>
      <c r="P2657" s="1439"/>
      <c r="Q2657" s="1439"/>
      <c r="R2657" s="1439"/>
      <c r="S2657" s="1439"/>
      <c r="T2657" s="1439"/>
      <c r="U2657" s="1439"/>
      <c r="V2657" s="1439"/>
      <c r="W2657" s="1439"/>
      <c r="X2657" s="1439"/>
      <c r="Y2657" s="1439"/>
      <c r="Z2657" s="1439"/>
      <c r="AA2657" s="1439"/>
      <c r="AB2657" s="1439"/>
      <c r="AC2657" s="1439"/>
      <c r="AD2657" s="1439"/>
      <c r="AE2657" s="1439"/>
      <c r="AF2657" s="1439"/>
      <c r="AG2657" s="1439"/>
    </row>
    <row r="2658" spans="1:33" ht="15.75" customHeight="1">
      <c r="A2658" s="1451"/>
      <c r="B2658" s="1450" t="s">
        <v>7315</v>
      </c>
      <c r="C2658" s="1484">
        <v>1</v>
      </c>
      <c r="D2658" s="1484" t="s">
        <v>3364</v>
      </c>
      <c r="E2658" s="1484">
        <v>1</v>
      </c>
      <c r="F2658" s="1484">
        <v>8.82</v>
      </c>
      <c r="G2658" s="1484">
        <v>3.43</v>
      </c>
      <c r="H2658" s="1447"/>
      <c r="I2658" s="1479">
        <f t="shared" si="99"/>
        <v>30.25</v>
      </c>
      <c r="J2658" s="1475"/>
      <c r="K2658" s="1439"/>
      <c r="L2658" s="1439"/>
      <c r="M2658" s="1439"/>
      <c r="N2658" s="1439"/>
      <c r="O2658" s="1439"/>
      <c r="P2658" s="1439"/>
      <c r="Q2658" s="1439"/>
      <c r="R2658" s="1439"/>
      <c r="S2658" s="1439"/>
      <c r="T2658" s="1439"/>
      <c r="U2658" s="1439"/>
      <c r="V2658" s="1439"/>
      <c r="W2658" s="1439"/>
      <c r="X2658" s="1439"/>
      <c r="Y2658" s="1439"/>
      <c r="Z2658" s="1439"/>
      <c r="AA2658" s="1439"/>
      <c r="AB2658" s="1439"/>
      <c r="AC2658" s="1439"/>
      <c r="AD2658" s="1439"/>
      <c r="AE2658" s="1439"/>
      <c r="AF2658" s="1439"/>
      <c r="AG2658" s="1439"/>
    </row>
    <row r="2659" spans="1:33" ht="15.75" customHeight="1">
      <c r="A2659" s="1451"/>
      <c r="B2659" s="1450" t="s">
        <v>6910</v>
      </c>
      <c r="C2659" s="1484">
        <v>1</v>
      </c>
      <c r="D2659" s="1484" t="s">
        <v>3364</v>
      </c>
      <c r="E2659" s="1484">
        <v>1</v>
      </c>
      <c r="F2659" s="1484">
        <f>(F2658+G2658)*2</f>
        <v>24.5</v>
      </c>
      <c r="G2659" s="1484"/>
      <c r="H2659" s="1447">
        <v>0.1</v>
      </c>
      <c r="I2659" s="1479">
        <f t="shared" si="99"/>
        <v>2.4500000000000002</v>
      </c>
      <c r="J2659" s="1475"/>
      <c r="K2659" s="1439"/>
      <c r="L2659" s="1439"/>
      <c r="M2659" s="1439"/>
      <c r="N2659" s="1439"/>
      <c r="O2659" s="1439"/>
      <c r="P2659" s="1439"/>
      <c r="Q2659" s="1439"/>
      <c r="R2659" s="1439"/>
      <c r="S2659" s="1439"/>
      <c r="T2659" s="1439"/>
      <c r="U2659" s="1439"/>
      <c r="V2659" s="1439"/>
      <c r="W2659" s="1439"/>
      <c r="X2659" s="1439"/>
      <c r="Y2659" s="1439"/>
      <c r="Z2659" s="1439"/>
      <c r="AA2659" s="1439"/>
      <c r="AB2659" s="1439"/>
      <c r="AC2659" s="1439"/>
      <c r="AD2659" s="1439"/>
      <c r="AE2659" s="1439"/>
      <c r="AF2659" s="1439"/>
      <c r="AG2659" s="1439"/>
    </row>
    <row r="2660" spans="1:33" ht="15.75" customHeight="1">
      <c r="A2660" s="1451"/>
      <c r="B2660" s="1450" t="s">
        <v>7140</v>
      </c>
      <c r="C2660" s="1484">
        <v>1</v>
      </c>
      <c r="D2660" s="1484" t="s">
        <v>3364</v>
      </c>
      <c r="E2660" s="1484">
        <v>1</v>
      </c>
      <c r="F2660" s="1484">
        <v>4.125</v>
      </c>
      <c r="G2660" s="1484">
        <v>3.23</v>
      </c>
      <c r="H2660" s="1447"/>
      <c r="I2660" s="1479">
        <f t="shared" si="99"/>
        <v>13.32</v>
      </c>
      <c r="J2660" s="1475"/>
      <c r="K2660" s="1439"/>
      <c r="L2660" s="1439"/>
      <c r="M2660" s="1439"/>
      <c r="N2660" s="1439"/>
      <c r="O2660" s="1439"/>
      <c r="P2660" s="1439"/>
      <c r="Q2660" s="1439"/>
      <c r="R2660" s="1439"/>
      <c r="S2660" s="1439"/>
      <c r="T2660" s="1439"/>
      <c r="U2660" s="1439"/>
      <c r="V2660" s="1439"/>
      <c r="W2660" s="1439"/>
      <c r="X2660" s="1439"/>
      <c r="Y2660" s="1439"/>
      <c r="Z2660" s="1439"/>
      <c r="AA2660" s="1439"/>
      <c r="AB2660" s="1439"/>
      <c r="AC2660" s="1439"/>
      <c r="AD2660" s="1439"/>
      <c r="AE2660" s="1439"/>
      <c r="AF2660" s="1439"/>
      <c r="AG2660" s="1439"/>
    </row>
    <row r="2661" spans="1:33" ht="15.75" customHeight="1">
      <c r="A2661" s="1451"/>
      <c r="B2661" s="1450" t="s">
        <v>6910</v>
      </c>
      <c r="C2661" s="1484">
        <v>1</v>
      </c>
      <c r="D2661" s="1484" t="s">
        <v>3364</v>
      </c>
      <c r="E2661" s="1484">
        <v>2</v>
      </c>
      <c r="F2661" s="1484">
        <f>(F2660+G2660)*2</f>
        <v>14.71</v>
      </c>
      <c r="G2661" s="1484"/>
      <c r="H2661" s="1447">
        <v>0.1</v>
      </c>
      <c r="I2661" s="1479">
        <f t="shared" si="99"/>
        <v>2.94</v>
      </c>
      <c r="J2661" s="1475"/>
      <c r="K2661" s="1439"/>
      <c r="L2661" s="1439"/>
      <c r="M2661" s="1439"/>
      <c r="N2661" s="1439"/>
      <c r="O2661" s="1439"/>
      <c r="P2661" s="1439"/>
      <c r="Q2661" s="1439"/>
      <c r="R2661" s="1439"/>
      <c r="S2661" s="1439"/>
      <c r="T2661" s="1439"/>
      <c r="U2661" s="1439"/>
      <c r="V2661" s="1439"/>
      <c r="W2661" s="1439"/>
      <c r="X2661" s="1439"/>
      <c r="Y2661" s="1439"/>
      <c r="Z2661" s="1439"/>
      <c r="AA2661" s="1439"/>
      <c r="AB2661" s="1439"/>
      <c r="AC2661" s="1439"/>
      <c r="AD2661" s="1439"/>
      <c r="AE2661" s="1439"/>
      <c r="AF2661" s="1439"/>
      <c r="AG2661" s="1439"/>
    </row>
    <row r="2662" spans="1:33" ht="15.75" customHeight="1">
      <c r="A2662" s="1451"/>
      <c r="B2662" s="1450" t="s">
        <v>6737</v>
      </c>
      <c r="C2662" s="1484">
        <v>1</v>
      </c>
      <c r="D2662" s="1484" t="s">
        <v>3364</v>
      </c>
      <c r="E2662" s="1484">
        <v>1</v>
      </c>
      <c r="F2662" s="1484">
        <v>9.66</v>
      </c>
      <c r="G2662" s="1447">
        <v>2</v>
      </c>
      <c r="H2662" s="1447"/>
      <c r="I2662" s="1479">
        <f t="shared" si="99"/>
        <v>19.32</v>
      </c>
      <c r="J2662" s="1475"/>
      <c r="K2662" s="1439"/>
      <c r="L2662" s="1439"/>
      <c r="M2662" s="1439"/>
      <c r="N2662" s="1439"/>
      <c r="O2662" s="1439"/>
      <c r="P2662" s="1439"/>
      <c r="Q2662" s="1439"/>
      <c r="R2662" s="1439"/>
      <c r="S2662" s="1439"/>
      <c r="T2662" s="1439"/>
      <c r="U2662" s="1439"/>
      <c r="V2662" s="1439"/>
      <c r="W2662" s="1439"/>
      <c r="X2662" s="1439"/>
      <c r="Y2662" s="1439"/>
      <c r="Z2662" s="1439"/>
      <c r="AA2662" s="1439"/>
      <c r="AB2662" s="1439"/>
      <c r="AC2662" s="1439"/>
      <c r="AD2662" s="1439"/>
      <c r="AE2662" s="1439"/>
      <c r="AF2662" s="1439"/>
      <c r="AG2662" s="1439"/>
    </row>
    <row r="2663" spans="1:33" ht="15.75" customHeight="1">
      <c r="A2663" s="1451"/>
      <c r="B2663" s="1450" t="s">
        <v>6910</v>
      </c>
      <c r="C2663" s="1484">
        <v>1</v>
      </c>
      <c r="D2663" s="1484" t="s">
        <v>3364</v>
      </c>
      <c r="E2663" s="1484">
        <v>1</v>
      </c>
      <c r="F2663" s="1484">
        <f>(F2662+G2662)*2</f>
        <v>23.32</v>
      </c>
      <c r="G2663" s="1447"/>
      <c r="H2663" s="1447">
        <v>0.1</v>
      </c>
      <c r="I2663" s="1479">
        <f t="shared" si="99"/>
        <v>2.33</v>
      </c>
      <c r="J2663" s="1475"/>
      <c r="K2663" s="1439"/>
      <c r="L2663" s="1439"/>
      <c r="M2663" s="1439"/>
      <c r="N2663" s="1439"/>
      <c r="O2663" s="1439"/>
      <c r="P2663" s="1439"/>
      <c r="Q2663" s="1439"/>
      <c r="R2663" s="1439"/>
      <c r="S2663" s="1439"/>
      <c r="T2663" s="1439"/>
      <c r="U2663" s="1439"/>
      <c r="V2663" s="1439"/>
      <c r="W2663" s="1439"/>
      <c r="X2663" s="1439"/>
      <c r="Y2663" s="1439"/>
      <c r="Z2663" s="1439"/>
      <c r="AA2663" s="1439"/>
      <c r="AB2663" s="1439"/>
      <c r="AC2663" s="1439"/>
      <c r="AD2663" s="1439"/>
      <c r="AE2663" s="1439"/>
      <c r="AF2663" s="1439"/>
      <c r="AG2663" s="1439"/>
    </row>
    <row r="2664" spans="1:33" ht="15.75" customHeight="1">
      <c r="A2664" s="1451"/>
      <c r="B2664" s="1450" t="s">
        <v>7321</v>
      </c>
      <c r="C2664" s="1484">
        <v>1</v>
      </c>
      <c r="D2664" s="1484" t="s">
        <v>3364</v>
      </c>
      <c r="E2664" s="1484">
        <v>1</v>
      </c>
      <c r="F2664" s="1484">
        <v>4.57</v>
      </c>
      <c r="G2664" s="1447">
        <v>3</v>
      </c>
      <c r="H2664" s="1447"/>
      <c r="I2664" s="1479">
        <f t="shared" si="99"/>
        <v>13.71</v>
      </c>
      <c r="J2664" s="1475"/>
      <c r="K2664" s="1439"/>
      <c r="L2664" s="1439"/>
      <c r="M2664" s="1439"/>
      <c r="N2664" s="1439"/>
      <c r="O2664" s="1439"/>
      <c r="P2664" s="1439"/>
      <c r="Q2664" s="1439"/>
      <c r="R2664" s="1439"/>
      <c r="S2664" s="1439"/>
      <c r="T2664" s="1439"/>
      <c r="U2664" s="1439"/>
      <c r="V2664" s="1439"/>
      <c r="W2664" s="1439"/>
      <c r="X2664" s="1439"/>
      <c r="Y2664" s="1439"/>
      <c r="Z2664" s="1439"/>
      <c r="AA2664" s="1439"/>
      <c r="AB2664" s="1439"/>
      <c r="AC2664" s="1439"/>
      <c r="AD2664" s="1439"/>
      <c r="AE2664" s="1439"/>
      <c r="AF2664" s="1439"/>
      <c r="AG2664" s="1439"/>
    </row>
    <row r="2665" spans="1:33" ht="15.75" customHeight="1">
      <c r="A2665" s="1451"/>
      <c r="B2665" s="1450" t="s">
        <v>6910</v>
      </c>
      <c r="C2665" s="1484">
        <v>1</v>
      </c>
      <c r="D2665" s="1484" t="s">
        <v>3364</v>
      </c>
      <c r="E2665" s="1484">
        <v>1</v>
      </c>
      <c r="F2665" s="1484">
        <f>(F2664+G2664)*2</f>
        <v>15.14</v>
      </c>
      <c r="G2665" s="1447"/>
      <c r="H2665" s="1447">
        <v>0.1</v>
      </c>
      <c r="I2665" s="1479">
        <f t="shared" si="99"/>
        <v>1.51</v>
      </c>
      <c r="J2665" s="1475"/>
      <c r="K2665" s="1439"/>
      <c r="L2665" s="1439"/>
      <c r="M2665" s="1439"/>
      <c r="N2665" s="1439"/>
      <c r="O2665" s="1439"/>
      <c r="P2665" s="1439"/>
      <c r="Q2665" s="1439"/>
      <c r="R2665" s="1439"/>
      <c r="S2665" s="1439"/>
      <c r="T2665" s="1439"/>
      <c r="U2665" s="1439"/>
      <c r="V2665" s="1439"/>
      <c r="W2665" s="1439"/>
      <c r="X2665" s="1439"/>
      <c r="Y2665" s="1439"/>
      <c r="Z2665" s="1439"/>
      <c r="AA2665" s="1439"/>
      <c r="AB2665" s="1439"/>
      <c r="AC2665" s="1439"/>
      <c r="AD2665" s="1439"/>
      <c r="AE2665" s="1439"/>
      <c r="AF2665" s="1439"/>
      <c r="AG2665" s="1439"/>
    </row>
    <row r="2666" spans="1:33" ht="15.75" customHeight="1">
      <c r="A2666" s="1451"/>
      <c r="B2666" s="1450" t="s">
        <v>7167</v>
      </c>
      <c r="C2666" s="1484">
        <v>1</v>
      </c>
      <c r="D2666" s="1484" t="s">
        <v>3364</v>
      </c>
      <c r="E2666" s="1484">
        <v>2</v>
      </c>
      <c r="F2666" s="1484">
        <v>4.57</v>
      </c>
      <c r="G2666" s="1447">
        <v>3.94</v>
      </c>
      <c r="H2666" s="1447"/>
      <c r="I2666" s="1479">
        <f t="shared" si="99"/>
        <v>36.01</v>
      </c>
      <c r="J2666" s="1475"/>
      <c r="K2666" s="1439"/>
      <c r="L2666" s="1439"/>
      <c r="M2666" s="1439"/>
      <c r="N2666" s="1439"/>
      <c r="O2666" s="1439"/>
      <c r="P2666" s="1439"/>
      <c r="Q2666" s="1439"/>
      <c r="R2666" s="1439"/>
      <c r="S2666" s="1439"/>
      <c r="T2666" s="1439"/>
      <c r="U2666" s="1439"/>
      <c r="V2666" s="1439"/>
      <c r="W2666" s="1439"/>
      <c r="X2666" s="1439"/>
      <c r="Y2666" s="1439"/>
      <c r="Z2666" s="1439"/>
      <c r="AA2666" s="1439"/>
      <c r="AB2666" s="1439"/>
      <c r="AC2666" s="1439"/>
      <c r="AD2666" s="1439"/>
      <c r="AE2666" s="1439"/>
      <c r="AF2666" s="1439"/>
      <c r="AG2666" s="1439"/>
    </row>
    <row r="2667" spans="1:33" ht="15.75" customHeight="1">
      <c r="A2667" s="1451"/>
      <c r="B2667" s="1450" t="s">
        <v>6910</v>
      </c>
      <c r="C2667" s="1484">
        <v>1</v>
      </c>
      <c r="D2667" s="1484" t="s">
        <v>3364</v>
      </c>
      <c r="E2667" s="1484">
        <v>1</v>
      </c>
      <c r="F2667" s="1484">
        <f>(F2666+G2666)*2</f>
        <v>17.02</v>
      </c>
      <c r="G2667" s="1447"/>
      <c r="H2667" s="1447">
        <v>0.1</v>
      </c>
      <c r="I2667" s="1479">
        <f t="shared" si="99"/>
        <v>1.7</v>
      </c>
      <c r="J2667" s="1475"/>
      <c r="K2667" s="1439"/>
      <c r="L2667" s="1439"/>
      <c r="M2667" s="1439"/>
      <c r="N2667" s="1439"/>
      <c r="O2667" s="1439"/>
      <c r="P2667" s="1439"/>
      <c r="Q2667" s="1439"/>
      <c r="R2667" s="1439"/>
      <c r="S2667" s="1439"/>
      <c r="T2667" s="1439"/>
      <c r="U2667" s="1439"/>
      <c r="V2667" s="1439"/>
      <c r="W2667" s="1439"/>
      <c r="X2667" s="1439"/>
      <c r="Y2667" s="1439"/>
      <c r="Z2667" s="1439"/>
      <c r="AA2667" s="1439"/>
      <c r="AB2667" s="1439"/>
      <c r="AC2667" s="1439"/>
      <c r="AD2667" s="1439"/>
      <c r="AE2667" s="1439"/>
      <c r="AF2667" s="1439"/>
      <c r="AG2667" s="1439"/>
    </row>
    <row r="2668" spans="1:33" ht="15.75" customHeight="1">
      <c r="A2668" s="1451"/>
      <c r="B2668" s="1450" t="s">
        <v>6765</v>
      </c>
      <c r="C2668" s="1484">
        <v>1</v>
      </c>
      <c r="D2668" s="1484" t="s">
        <v>3364</v>
      </c>
      <c r="E2668" s="1484">
        <v>1</v>
      </c>
      <c r="F2668" s="1484">
        <v>5.18</v>
      </c>
      <c r="G2668" s="1447">
        <v>1.76</v>
      </c>
      <c r="H2668" s="1447"/>
      <c r="I2668" s="1479">
        <f t="shared" si="99"/>
        <v>9.1199999999999992</v>
      </c>
      <c r="J2668" s="1475"/>
      <c r="K2668" s="1439"/>
      <c r="L2668" s="1439"/>
      <c r="M2668" s="1439"/>
      <c r="N2668" s="1439"/>
      <c r="O2668" s="1439"/>
      <c r="P2668" s="1439"/>
      <c r="Q2668" s="1439"/>
      <c r="R2668" s="1439"/>
      <c r="S2668" s="1439"/>
      <c r="T2668" s="1439"/>
      <c r="U2668" s="1439"/>
      <c r="V2668" s="1439"/>
      <c r="W2668" s="1439"/>
      <c r="X2668" s="1439"/>
      <c r="Y2668" s="1439"/>
      <c r="Z2668" s="1439"/>
      <c r="AA2668" s="1439"/>
      <c r="AB2668" s="1439"/>
      <c r="AC2668" s="1439"/>
      <c r="AD2668" s="1439"/>
      <c r="AE2668" s="1439"/>
      <c r="AF2668" s="1439"/>
      <c r="AG2668" s="1439"/>
    </row>
    <row r="2669" spans="1:33" ht="15.75" customHeight="1">
      <c r="A2669" s="1451"/>
      <c r="B2669" s="1450" t="s">
        <v>6910</v>
      </c>
      <c r="C2669" s="1484">
        <v>1</v>
      </c>
      <c r="D2669" s="1484" t="s">
        <v>3364</v>
      </c>
      <c r="E2669" s="1484">
        <v>1</v>
      </c>
      <c r="F2669" s="1484">
        <f>(F2668+G2668)*2</f>
        <v>13.88</v>
      </c>
      <c r="G2669" s="1447"/>
      <c r="H2669" s="1447">
        <v>0.1</v>
      </c>
      <c r="I2669" s="1479">
        <f t="shared" si="99"/>
        <v>1.39</v>
      </c>
      <c r="J2669" s="1475"/>
      <c r="K2669" s="1439"/>
      <c r="L2669" s="1439"/>
      <c r="M2669" s="1439"/>
      <c r="N2669" s="1439"/>
      <c r="O2669" s="1439"/>
      <c r="P2669" s="1439"/>
      <c r="Q2669" s="1439"/>
      <c r="R2669" s="1439"/>
      <c r="S2669" s="1439"/>
      <c r="T2669" s="1439"/>
      <c r="U2669" s="1439"/>
      <c r="V2669" s="1439"/>
      <c r="W2669" s="1439"/>
      <c r="X2669" s="1439"/>
      <c r="Y2669" s="1439"/>
      <c r="Z2669" s="1439"/>
      <c r="AA2669" s="1439"/>
      <c r="AB2669" s="1439"/>
      <c r="AC2669" s="1439"/>
      <c r="AD2669" s="1439"/>
      <c r="AE2669" s="1439"/>
      <c r="AF2669" s="1439"/>
      <c r="AG2669" s="1439"/>
    </row>
    <row r="2670" spans="1:33" ht="15.75" customHeight="1">
      <c r="A2670" s="1451"/>
      <c r="B2670" s="1450" t="s">
        <v>7322</v>
      </c>
      <c r="C2670" s="1484">
        <v>1</v>
      </c>
      <c r="D2670" s="1484" t="s">
        <v>3364</v>
      </c>
      <c r="E2670" s="1484">
        <v>2</v>
      </c>
      <c r="F2670" s="1484">
        <v>3.895</v>
      </c>
      <c r="G2670" s="1447">
        <v>3.94</v>
      </c>
      <c r="H2670" s="1447"/>
      <c r="I2670" s="1479">
        <f t="shared" si="99"/>
        <v>30.69</v>
      </c>
      <c r="J2670" s="1475"/>
      <c r="K2670" s="1439"/>
      <c r="L2670" s="1439"/>
      <c r="M2670" s="1439"/>
      <c r="N2670" s="1439"/>
      <c r="O2670" s="1439"/>
      <c r="P2670" s="1439"/>
      <c r="Q2670" s="1439"/>
      <c r="R2670" s="1439"/>
      <c r="S2670" s="1439"/>
      <c r="T2670" s="1439"/>
      <c r="U2670" s="1439"/>
      <c r="V2670" s="1439"/>
      <c r="W2670" s="1439"/>
      <c r="X2670" s="1439"/>
      <c r="Y2670" s="1439"/>
      <c r="Z2670" s="1439"/>
      <c r="AA2670" s="1439"/>
      <c r="AB2670" s="1439"/>
      <c r="AC2670" s="1439"/>
      <c r="AD2670" s="1439"/>
      <c r="AE2670" s="1439"/>
      <c r="AF2670" s="1439"/>
      <c r="AG2670" s="1439"/>
    </row>
    <row r="2671" spans="1:33" ht="15.75" customHeight="1">
      <c r="A2671" s="1451"/>
      <c r="B2671" s="1450" t="s">
        <v>6910</v>
      </c>
      <c r="C2671" s="1484">
        <v>1</v>
      </c>
      <c r="D2671" s="1484" t="s">
        <v>3364</v>
      </c>
      <c r="E2671" s="1484">
        <v>1</v>
      </c>
      <c r="F2671" s="1484">
        <f>(F2670+G2670)*2</f>
        <v>15.67</v>
      </c>
      <c r="G2671" s="1447"/>
      <c r="H2671" s="1447">
        <v>0.1</v>
      </c>
      <c r="I2671" s="1479">
        <f t="shared" si="99"/>
        <v>1.57</v>
      </c>
      <c r="J2671" s="1475"/>
      <c r="K2671" s="1439"/>
      <c r="L2671" s="1439"/>
      <c r="M2671" s="1439"/>
      <c r="N2671" s="1439"/>
      <c r="O2671" s="1439"/>
      <c r="P2671" s="1439"/>
      <c r="Q2671" s="1439"/>
      <c r="R2671" s="1439"/>
      <c r="S2671" s="1439"/>
      <c r="T2671" s="1439"/>
      <c r="U2671" s="1439"/>
      <c r="V2671" s="1439"/>
      <c r="W2671" s="1439"/>
      <c r="X2671" s="1439"/>
      <c r="Y2671" s="1439"/>
      <c r="Z2671" s="1439"/>
      <c r="AA2671" s="1439"/>
      <c r="AB2671" s="1439"/>
      <c r="AC2671" s="1439"/>
      <c r="AD2671" s="1439"/>
      <c r="AE2671" s="1439"/>
      <c r="AF2671" s="1439"/>
      <c r="AG2671" s="1439"/>
    </row>
    <row r="2672" spans="1:33" ht="15.75" customHeight="1">
      <c r="A2672" s="1451"/>
      <c r="B2672" s="1450" t="s">
        <v>7142</v>
      </c>
      <c r="C2672" s="1484">
        <v>1</v>
      </c>
      <c r="D2672" s="1484" t="s">
        <v>3364</v>
      </c>
      <c r="E2672" s="1484">
        <v>1</v>
      </c>
      <c r="F2672" s="1484">
        <v>1.897</v>
      </c>
      <c r="G2672" s="1447">
        <v>9.0500000000000007</v>
      </c>
      <c r="H2672" s="1447"/>
      <c r="I2672" s="1479">
        <f t="shared" si="99"/>
        <v>17.170000000000002</v>
      </c>
      <c r="J2672" s="1475"/>
      <c r="K2672" s="1439"/>
      <c r="L2672" s="1439"/>
      <c r="M2672" s="1439"/>
      <c r="N2672" s="1439"/>
      <c r="O2672" s="1439"/>
      <c r="P2672" s="1439"/>
      <c r="Q2672" s="1439"/>
      <c r="R2672" s="1439"/>
      <c r="S2672" s="1439"/>
      <c r="T2672" s="1439"/>
      <c r="U2672" s="1439"/>
      <c r="V2672" s="1439"/>
      <c r="W2672" s="1439"/>
      <c r="X2672" s="1439"/>
      <c r="Y2672" s="1439"/>
      <c r="Z2672" s="1439"/>
      <c r="AA2672" s="1439"/>
      <c r="AB2672" s="1439"/>
      <c r="AC2672" s="1439"/>
      <c r="AD2672" s="1439"/>
      <c r="AE2672" s="1439"/>
      <c r="AF2672" s="1439"/>
      <c r="AG2672" s="1439"/>
    </row>
    <row r="2673" spans="1:33" ht="15.75" customHeight="1">
      <c r="A2673" s="1451"/>
      <c r="B2673" s="1450" t="s">
        <v>6910</v>
      </c>
      <c r="C2673" s="1484">
        <v>1</v>
      </c>
      <c r="D2673" s="1484" t="s">
        <v>3364</v>
      </c>
      <c r="E2673" s="1484">
        <v>1</v>
      </c>
      <c r="F2673" s="1484">
        <f>(F2672+G2672)*2</f>
        <v>21.893999999999998</v>
      </c>
      <c r="G2673" s="1447"/>
      <c r="H2673" s="1447">
        <v>0.1</v>
      </c>
      <c r="I2673" s="1479">
        <f t="shared" si="99"/>
        <v>2.19</v>
      </c>
      <c r="J2673" s="1475"/>
      <c r="K2673" s="1439"/>
      <c r="L2673" s="1439"/>
      <c r="M2673" s="1439"/>
      <c r="N2673" s="1439"/>
      <c r="O2673" s="1439"/>
      <c r="P2673" s="1439"/>
      <c r="Q2673" s="1439"/>
      <c r="R2673" s="1439"/>
      <c r="S2673" s="1439"/>
      <c r="T2673" s="1439"/>
      <c r="U2673" s="1439"/>
      <c r="V2673" s="1439"/>
      <c r="W2673" s="1439"/>
      <c r="X2673" s="1439"/>
      <c r="Y2673" s="1439"/>
      <c r="Z2673" s="1439"/>
      <c r="AA2673" s="1439"/>
      <c r="AB2673" s="1439"/>
      <c r="AC2673" s="1439"/>
      <c r="AD2673" s="1439"/>
      <c r="AE2673" s="1439"/>
      <c r="AF2673" s="1439"/>
      <c r="AG2673" s="1439"/>
    </row>
    <row r="2674" spans="1:33" ht="15.75" customHeight="1">
      <c r="A2674" s="1451"/>
      <c r="B2674" s="1450"/>
      <c r="C2674" s="1484"/>
      <c r="D2674" s="1484"/>
      <c r="E2674" s="1484"/>
      <c r="F2674" s="1446"/>
      <c r="G2674" s="1446"/>
      <c r="H2674" s="1447"/>
      <c r="I2674" s="1459">
        <f>SUM(I2581:I2673)</f>
        <v>1563.3</v>
      </c>
      <c r="J2674" s="1492"/>
      <c r="K2674" s="1439"/>
      <c r="L2674" s="1439"/>
      <c r="M2674" s="1439"/>
      <c r="N2674" s="1439"/>
      <c r="O2674" s="1439"/>
      <c r="P2674" s="1439"/>
      <c r="Q2674" s="1439"/>
      <c r="R2674" s="1439"/>
      <c r="S2674" s="1439"/>
      <c r="T2674" s="1439"/>
      <c r="U2674" s="1439"/>
      <c r="V2674" s="1439"/>
      <c r="W2674" s="1439"/>
      <c r="X2674" s="1439"/>
      <c r="Y2674" s="1439"/>
      <c r="Z2674" s="1439"/>
      <c r="AA2674" s="1439"/>
      <c r="AB2674" s="1439"/>
      <c r="AC2674" s="1439"/>
      <c r="AD2674" s="1439"/>
      <c r="AE2674" s="1439"/>
      <c r="AF2674" s="1439"/>
      <c r="AG2674" s="1439"/>
    </row>
    <row r="2675" spans="1:33" ht="15.75" customHeight="1">
      <c r="A2675" s="1470"/>
      <c r="B2675" s="1450"/>
      <c r="C2675" s="1484"/>
      <c r="D2675" s="1484"/>
      <c r="E2675" s="1484"/>
      <c r="F2675" s="1446"/>
      <c r="G2675" s="1446"/>
      <c r="H2675" s="1460" t="s">
        <v>2981</v>
      </c>
      <c r="I2675" s="1479">
        <f>CEILING(I2674,0.1)</f>
        <v>1563.3</v>
      </c>
      <c r="J2675" s="1475" t="s">
        <v>724</v>
      </c>
      <c r="K2675" s="1439"/>
      <c r="L2675" s="1439"/>
      <c r="M2675" s="1439"/>
      <c r="N2675" s="1439"/>
      <c r="O2675" s="1439"/>
      <c r="P2675" s="1439"/>
      <c r="Q2675" s="1439"/>
      <c r="R2675" s="1439"/>
      <c r="S2675" s="1439"/>
      <c r="T2675" s="1439"/>
      <c r="U2675" s="1439"/>
      <c r="V2675" s="1439"/>
      <c r="W2675" s="1439"/>
      <c r="X2675" s="1439"/>
      <c r="Y2675" s="1439"/>
      <c r="Z2675" s="1439"/>
      <c r="AA2675" s="1439"/>
      <c r="AB2675" s="1439"/>
      <c r="AC2675" s="1439"/>
      <c r="AD2675" s="1439"/>
      <c r="AE2675" s="1439"/>
      <c r="AF2675" s="1439"/>
      <c r="AG2675" s="1439"/>
    </row>
    <row r="2676" spans="1:33" ht="31.5">
      <c r="A2676" s="1470"/>
      <c r="B2676" s="1455" t="s">
        <v>7323</v>
      </c>
      <c r="C2676" s="1484"/>
      <c r="D2676" s="1484"/>
      <c r="E2676" s="1484"/>
      <c r="F2676" s="1446"/>
      <c r="G2676" s="1446"/>
      <c r="H2676" s="1447"/>
      <c r="I2676" s="1448"/>
      <c r="J2676" s="1475"/>
      <c r="K2676" s="1439"/>
      <c r="L2676" s="1439"/>
      <c r="M2676" s="1439"/>
      <c r="N2676" s="1439"/>
      <c r="O2676" s="1439"/>
      <c r="P2676" s="1439"/>
      <c r="Q2676" s="1439"/>
      <c r="R2676" s="1439"/>
      <c r="S2676" s="1439"/>
      <c r="T2676" s="1439"/>
      <c r="U2676" s="1439"/>
      <c r="V2676" s="1439"/>
      <c r="W2676" s="1439"/>
      <c r="X2676" s="1439"/>
      <c r="Y2676" s="1439"/>
      <c r="Z2676" s="1439"/>
      <c r="AA2676" s="1439"/>
      <c r="AB2676" s="1439"/>
      <c r="AC2676" s="1439"/>
      <c r="AD2676" s="1439"/>
      <c r="AE2676" s="1439"/>
      <c r="AF2676" s="1439"/>
      <c r="AG2676" s="1439"/>
    </row>
    <row r="2677" spans="1:33" ht="15.75" customHeight="1">
      <c r="A2677" s="1470"/>
      <c r="B2677" s="1450" t="s">
        <v>7324</v>
      </c>
      <c r="C2677" s="1484">
        <v>6</v>
      </c>
      <c r="D2677" s="1484" t="s">
        <v>3364</v>
      </c>
      <c r="E2677" s="1484">
        <v>2</v>
      </c>
      <c r="F2677" s="1447">
        <v>4.45</v>
      </c>
      <c r="G2677" s="1447">
        <v>0.3</v>
      </c>
      <c r="H2677" s="1447"/>
      <c r="I2677" s="1479">
        <f t="shared" ref="I2677:I2682" si="100">PRODUCT(C2677:H2677)</f>
        <v>16.02</v>
      </c>
      <c r="J2677" s="1475"/>
      <c r="K2677" s="1439"/>
      <c r="L2677" s="1439"/>
      <c r="M2677" s="1439"/>
      <c r="N2677" s="1439"/>
      <c r="O2677" s="1439"/>
      <c r="P2677" s="1439"/>
      <c r="Q2677" s="1439"/>
      <c r="R2677" s="1439"/>
      <c r="S2677" s="1439"/>
      <c r="T2677" s="1439"/>
      <c r="U2677" s="1439"/>
      <c r="V2677" s="1439"/>
      <c r="W2677" s="1439"/>
      <c r="X2677" s="1439"/>
      <c r="Y2677" s="1439"/>
      <c r="Z2677" s="1439"/>
      <c r="AA2677" s="1439"/>
      <c r="AB2677" s="1439"/>
      <c r="AC2677" s="1439"/>
      <c r="AD2677" s="1439"/>
      <c r="AE2677" s="1439"/>
      <c r="AF2677" s="1439"/>
      <c r="AG2677" s="1439"/>
    </row>
    <row r="2678" spans="1:33" ht="15.75" customHeight="1">
      <c r="A2678" s="1470"/>
      <c r="B2678" s="1450" t="s">
        <v>7325</v>
      </c>
      <c r="C2678" s="1484">
        <v>6</v>
      </c>
      <c r="D2678" s="1484" t="s">
        <v>3364</v>
      </c>
      <c r="E2678" s="1484">
        <v>2</v>
      </c>
      <c r="F2678" s="1447">
        <v>4.45</v>
      </c>
      <c r="G2678" s="1447"/>
      <c r="H2678" s="1447">
        <v>0.2</v>
      </c>
      <c r="I2678" s="1479">
        <f t="shared" si="100"/>
        <v>10.68</v>
      </c>
      <c r="J2678" s="1475"/>
      <c r="K2678" s="1439"/>
      <c r="L2678" s="1439"/>
      <c r="M2678" s="1439"/>
      <c r="N2678" s="1439"/>
      <c r="O2678" s="1439"/>
      <c r="P2678" s="1439"/>
      <c r="Q2678" s="1439"/>
      <c r="R2678" s="1439"/>
      <c r="S2678" s="1439"/>
      <c r="T2678" s="1439"/>
      <c r="U2678" s="1439"/>
      <c r="V2678" s="1439"/>
      <c r="W2678" s="1439"/>
      <c r="X2678" s="1439"/>
      <c r="Y2678" s="1439"/>
      <c r="Z2678" s="1439"/>
      <c r="AA2678" s="1439"/>
      <c r="AB2678" s="1439"/>
      <c r="AC2678" s="1439"/>
      <c r="AD2678" s="1439"/>
      <c r="AE2678" s="1439"/>
      <c r="AF2678" s="1439"/>
      <c r="AG2678" s="1439"/>
    </row>
    <row r="2679" spans="1:33" ht="15.75" customHeight="1">
      <c r="A2679" s="1470"/>
      <c r="B2679" s="1450" t="s">
        <v>7326</v>
      </c>
      <c r="C2679" s="1484">
        <v>10</v>
      </c>
      <c r="D2679" s="1484" t="s">
        <v>3364</v>
      </c>
      <c r="E2679" s="1484">
        <v>24</v>
      </c>
      <c r="F2679" s="1447">
        <v>1.5</v>
      </c>
      <c r="G2679" s="1447">
        <v>0.3</v>
      </c>
      <c r="H2679" s="1447"/>
      <c r="I2679" s="1479">
        <f t="shared" si="100"/>
        <v>108</v>
      </c>
      <c r="J2679" s="1475"/>
      <c r="K2679" s="1439"/>
      <c r="L2679" s="1439"/>
      <c r="M2679" s="1439"/>
      <c r="N2679" s="1439"/>
      <c r="O2679" s="1439"/>
      <c r="P2679" s="1439"/>
      <c r="Q2679" s="1439"/>
      <c r="R2679" s="1439"/>
      <c r="S2679" s="1439"/>
      <c r="T2679" s="1439"/>
      <c r="U2679" s="1439"/>
      <c r="V2679" s="1439"/>
      <c r="W2679" s="1439"/>
      <c r="X2679" s="1439"/>
      <c r="Y2679" s="1439"/>
      <c r="Z2679" s="1439"/>
      <c r="AA2679" s="1439"/>
      <c r="AB2679" s="1439"/>
      <c r="AC2679" s="1439"/>
      <c r="AD2679" s="1439"/>
      <c r="AE2679" s="1439"/>
      <c r="AF2679" s="1439"/>
      <c r="AG2679" s="1439"/>
    </row>
    <row r="2680" spans="1:33" ht="15.75" customHeight="1">
      <c r="A2680" s="1470"/>
      <c r="B2680" s="1450" t="s">
        <v>7327</v>
      </c>
      <c r="C2680" s="1484">
        <v>10</v>
      </c>
      <c r="D2680" s="1484" t="s">
        <v>3364</v>
      </c>
      <c r="E2680" s="1484">
        <v>24</v>
      </c>
      <c r="F2680" s="1447">
        <v>1.5</v>
      </c>
      <c r="G2680" s="1447"/>
      <c r="H2680" s="1447">
        <v>0.2</v>
      </c>
      <c r="I2680" s="1479">
        <f t="shared" si="100"/>
        <v>72</v>
      </c>
      <c r="J2680" s="1475"/>
      <c r="K2680" s="1439"/>
      <c r="L2680" s="1439"/>
      <c r="M2680" s="1439"/>
      <c r="N2680" s="1439"/>
      <c r="O2680" s="1439"/>
      <c r="P2680" s="1439"/>
      <c r="Q2680" s="1439"/>
      <c r="R2680" s="1439"/>
      <c r="S2680" s="1439"/>
      <c r="T2680" s="1439"/>
      <c r="U2680" s="1439"/>
      <c r="V2680" s="1439"/>
      <c r="W2680" s="1439"/>
      <c r="X2680" s="1439"/>
      <c r="Y2680" s="1439"/>
      <c r="Z2680" s="1439"/>
      <c r="AA2680" s="1439"/>
      <c r="AB2680" s="1439"/>
      <c r="AC2680" s="1439"/>
      <c r="AD2680" s="1439"/>
      <c r="AE2680" s="1439"/>
      <c r="AF2680" s="1439"/>
      <c r="AG2680" s="1439"/>
    </row>
    <row r="2681" spans="1:33" ht="15.75" customHeight="1">
      <c r="A2681" s="1470"/>
      <c r="B2681" s="1450" t="s">
        <v>3707</v>
      </c>
      <c r="C2681" s="1484">
        <v>1</v>
      </c>
      <c r="D2681" s="1484" t="s">
        <v>3364</v>
      </c>
      <c r="E2681" s="1484">
        <v>5</v>
      </c>
      <c r="F2681" s="1447">
        <v>3</v>
      </c>
      <c r="G2681" s="1447">
        <v>1.5</v>
      </c>
      <c r="H2681" s="1447"/>
      <c r="I2681" s="1479">
        <f t="shared" si="100"/>
        <v>22.5</v>
      </c>
      <c r="J2681" s="1475"/>
      <c r="K2681" s="1439"/>
      <c r="L2681" s="1439"/>
      <c r="M2681" s="1439"/>
      <c r="N2681" s="1439"/>
      <c r="O2681" s="1439"/>
      <c r="P2681" s="1439"/>
      <c r="Q2681" s="1439"/>
      <c r="R2681" s="1439"/>
      <c r="S2681" s="1439"/>
      <c r="T2681" s="1439"/>
      <c r="U2681" s="1439"/>
      <c r="V2681" s="1439"/>
      <c r="W2681" s="1439"/>
      <c r="X2681" s="1439"/>
      <c r="Y2681" s="1439"/>
      <c r="Z2681" s="1439"/>
      <c r="AA2681" s="1439"/>
      <c r="AB2681" s="1439"/>
      <c r="AC2681" s="1439"/>
      <c r="AD2681" s="1439"/>
      <c r="AE2681" s="1439"/>
      <c r="AF2681" s="1439"/>
      <c r="AG2681" s="1439"/>
    </row>
    <row r="2682" spans="1:33" ht="15.75" customHeight="1">
      <c r="A2682" s="1470"/>
      <c r="B2682" s="1450" t="s">
        <v>7328</v>
      </c>
      <c r="C2682" s="1484">
        <v>1</v>
      </c>
      <c r="D2682" s="1484" t="s">
        <v>3364</v>
      </c>
      <c r="E2682" s="1484">
        <v>1</v>
      </c>
      <c r="F2682" s="1447">
        <v>8.82</v>
      </c>
      <c r="G2682" s="1447">
        <v>3</v>
      </c>
      <c r="H2682" s="1447"/>
      <c r="I2682" s="1479">
        <f t="shared" si="100"/>
        <v>26.46</v>
      </c>
      <c r="J2682" s="1475"/>
      <c r="K2682" s="1439"/>
      <c r="L2682" s="1439"/>
      <c r="M2682" s="1439"/>
      <c r="N2682" s="1439"/>
      <c r="O2682" s="1439"/>
      <c r="P2682" s="1439"/>
      <c r="Q2682" s="1439"/>
      <c r="R2682" s="1439"/>
      <c r="S2682" s="1439"/>
      <c r="T2682" s="1439"/>
      <c r="U2682" s="1439"/>
      <c r="V2682" s="1439"/>
      <c r="W2682" s="1439"/>
      <c r="X2682" s="1439"/>
      <c r="Y2682" s="1439"/>
      <c r="Z2682" s="1439"/>
      <c r="AA2682" s="1439"/>
      <c r="AB2682" s="1439"/>
      <c r="AC2682" s="1439"/>
      <c r="AD2682" s="1439"/>
      <c r="AE2682" s="1439"/>
      <c r="AF2682" s="1439"/>
      <c r="AG2682" s="1439"/>
    </row>
    <row r="2683" spans="1:33" ht="15.75" customHeight="1">
      <c r="A2683" s="1470"/>
      <c r="B2683" s="1456"/>
      <c r="C2683" s="1484"/>
      <c r="D2683" s="1484"/>
      <c r="E2683" s="1484"/>
      <c r="F2683" s="1447"/>
      <c r="G2683" s="1458" t="s">
        <v>104</v>
      </c>
      <c r="H2683" s="1460"/>
      <c r="I2683" s="1459">
        <f>SUM(I2677:I2682)</f>
        <v>255.66</v>
      </c>
      <c r="J2683" s="1475"/>
      <c r="K2683" s="1439"/>
      <c r="L2683" s="1439"/>
      <c r="M2683" s="1439"/>
      <c r="N2683" s="1439"/>
      <c r="O2683" s="1439"/>
      <c r="P2683" s="1439"/>
      <c r="Q2683" s="1439"/>
      <c r="R2683" s="1439"/>
      <c r="S2683" s="1439"/>
      <c r="T2683" s="1439"/>
      <c r="U2683" s="1439"/>
      <c r="V2683" s="1439"/>
      <c r="W2683" s="1439"/>
      <c r="X2683" s="1439"/>
      <c r="Y2683" s="1439"/>
      <c r="Z2683" s="1439"/>
      <c r="AA2683" s="1439"/>
      <c r="AB2683" s="1439"/>
      <c r="AC2683" s="1439"/>
      <c r="AD2683" s="1439"/>
      <c r="AE2683" s="1439"/>
      <c r="AF2683" s="1439"/>
      <c r="AG2683" s="1439"/>
    </row>
    <row r="2684" spans="1:33" ht="15.75" customHeight="1">
      <c r="A2684" s="1470"/>
      <c r="B2684" s="1456"/>
      <c r="C2684" s="1484"/>
      <c r="D2684" s="1484"/>
      <c r="E2684" s="1484"/>
      <c r="F2684" s="1446"/>
      <c r="G2684" s="1458"/>
      <c r="H2684" s="1460" t="s">
        <v>2981</v>
      </c>
      <c r="I2684" s="1479">
        <f>CEILING(I2683,0.1)</f>
        <v>255.7</v>
      </c>
      <c r="J2684" s="1475" t="s">
        <v>724</v>
      </c>
      <c r="K2684" s="1439"/>
      <c r="L2684" s="1439"/>
      <c r="M2684" s="1439"/>
      <c r="N2684" s="1439"/>
      <c r="O2684" s="1439"/>
      <c r="P2684" s="1439"/>
      <c r="Q2684" s="1439"/>
      <c r="R2684" s="1439"/>
      <c r="S2684" s="1439"/>
      <c r="T2684" s="1439"/>
      <c r="U2684" s="1439"/>
      <c r="V2684" s="1439"/>
      <c r="W2684" s="1439"/>
      <c r="X2684" s="1439"/>
      <c r="Y2684" s="1439"/>
      <c r="Z2684" s="1439"/>
      <c r="AA2684" s="1439"/>
      <c r="AB2684" s="1439"/>
      <c r="AC2684" s="1439"/>
      <c r="AD2684" s="1439"/>
      <c r="AE2684" s="1439"/>
      <c r="AF2684" s="1439"/>
      <c r="AG2684" s="1439"/>
    </row>
    <row r="2685" spans="1:33" ht="47.25">
      <c r="A2685" s="1470"/>
      <c r="B2685" s="1455" t="s">
        <v>3712</v>
      </c>
      <c r="C2685" s="1484"/>
      <c r="D2685" s="1484"/>
      <c r="E2685" s="1484"/>
      <c r="F2685" s="1446"/>
      <c r="G2685" s="1446"/>
      <c r="H2685" s="1447"/>
      <c r="I2685" s="1448"/>
      <c r="J2685" s="1475"/>
      <c r="K2685" s="1439"/>
      <c r="L2685" s="1439"/>
      <c r="M2685" s="1439"/>
      <c r="N2685" s="1439"/>
      <c r="O2685" s="1439"/>
      <c r="P2685" s="1439"/>
      <c r="Q2685" s="1439"/>
      <c r="R2685" s="1439"/>
      <c r="S2685" s="1439"/>
      <c r="T2685" s="1439"/>
      <c r="U2685" s="1439"/>
      <c r="V2685" s="1439"/>
      <c r="W2685" s="1439"/>
      <c r="X2685" s="1439"/>
      <c r="Y2685" s="1439"/>
      <c r="Z2685" s="1439"/>
      <c r="AA2685" s="1439"/>
      <c r="AB2685" s="1439"/>
      <c r="AC2685" s="1439"/>
      <c r="AD2685" s="1439"/>
      <c r="AE2685" s="1439"/>
      <c r="AF2685" s="1439"/>
      <c r="AG2685" s="1439"/>
    </row>
    <row r="2686" spans="1:33" ht="31.5">
      <c r="A2686" s="1470"/>
      <c r="B2686" s="1452" t="s">
        <v>7566</v>
      </c>
      <c r="C2686" s="1484">
        <v>1</v>
      </c>
      <c r="D2686" s="1484" t="s">
        <v>3364</v>
      </c>
      <c r="E2686" s="1484">
        <v>1</v>
      </c>
      <c r="F2686" s="1446">
        <v>80</v>
      </c>
      <c r="G2686" s="1446"/>
      <c r="H2686" s="1447"/>
      <c r="I2686" s="1479">
        <f>PRODUCT(C2686:H2686)</f>
        <v>80</v>
      </c>
      <c r="J2686" s="1475" t="s">
        <v>13</v>
      </c>
      <c r="K2686" s="1439"/>
      <c r="L2686" s="1439"/>
      <c r="M2686" s="1439"/>
      <c r="N2686" s="1439"/>
      <c r="O2686" s="1439"/>
      <c r="P2686" s="1439"/>
      <c r="Q2686" s="1439"/>
      <c r="R2686" s="1439"/>
      <c r="S2686" s="1439"/>
      <c r="T2686" s="1439"/>
      <c r="U2686" s="1439"/>
      <c r="V2686" s="1439"/>
      <c r="W2686" s="1439"/>
      <c r="X2686" s="1439"/>
      <c r="Y2686" s="1439"/>
      <c r="Z2686" s="1439"/>
      <c r="AA2686" s="1439"/>
      <c r="AB2686" s="1439"/>
      <c r="AC2686" s="1439"/>
      <c r="AD2686" s="1439"/>
      <c r="AE2686" s="1439"/>
      <c r="AF2686" s="1439"/>
      <c r="AG2686" s="1439"/>
    </row>
    <row r="2687" spans="1:33" ht="47.25">
      <c r="A2687" s="1470"/>
      <c r="B2687" s="1455" t="s">
        <v>7329</v>
      </c>
      <c r="C2687" s="1484"/>
      <c r="D2687" s="1484"/>
      <c r="E2687" s="1484"/>
      <c r="F2687" s="1446"/>
      <c r="G2687" s="1446"/>
      <c r="H2687" s="1447"/>
      <c r="I2687" s="1448"/>
      <c r="J2687" s="1475"/>
      <c r="K2687" s="1439"/>
      <c r="L2687" s="1439"/>
      <c r="M2687" s="1439"/>
      <c r="N2687" s="1439"/>
      <c r="O2687" s="1439"/>
      <c r="P2687" s="1439"/>
      <c r="Q2687" s="1439"/>
      <c r="R2687" s="1439"/>
      <c r="S2687" s="1439"/>
      <c r="T2687" s="1439"/>
      <c r="U2687" s="1439"/>
      <c r="V2687" s="1439"/>
      <c r="W2687" s="1439"/>
      <c r="X2687" s="1439"/>
      <c r="Y2687" s="1439"/>
      <c r="Z2687" s="1439"/>
      <c r="AA2687" s="1439"/>
      <c r="AB2687" s="1439"/>
      <c r="AC2687" s="1439"/>
      <c r="AD2687" s="1439"/>
      <c r="AE2687" s="1439"/>
      <c r="AF2687" s="1439"/>
      <c r="AG2687" s="1439"/>
    </row>
    <row r="2688" spans="1:33" ht="31.5">
      <c r="A2688" s="1470"/>
      <c r="B2688" s="1452" t="s">
        <v>7566</v>
      </c>
      <c r="C2688" s="1484">
        <v>1</v>
      </c>
      <c r="D2688" s="1484" t="s">
        <v>3364</v>
      </c>
      <c r="E2688" s="1484">
        <v>1</v>
      </c>
      <c r="F2688" s="1447">
        <v>20</v>
      </c>
      <c r="G2688" s="1446"/>
      <c r="H2688" s="1447"/>
      <c r="I2688" s="1479">
        <f>PRODUCT(C2688:H2688)</f>
        <v>20</v>
      </c>
      <c r="J2688" s="1475" t="s">
        <v>13</v>
      </c>
      <c r="K2688" s="1439"/>
      <c r="L2688" s="1439"/>
      <c r="M2688" s="1439"/>
      <c r="N2688" s="1439"/>
      <c r="O2688" s="1439"/>
      <c r="P2688" s="1439"/>
      <c r="Q2688" s="1439"/>
      <c r="R2688" s="1439"/>
      <c r="S2688" s="1439"/>
      <c r="T2688" s="1439"/>
      <c r="U2688" s="1439"/>
      <c r="V2688" s="1439"/>
      <c r="W2688" s="1439"/>
      <c r="X2688" s="1439"/>
      <c r="Y2688" s="1439"/>
      <c r="Z2688" s="1439"/>
      <c r="AA2688" s="1439"/>
      <c r="AB2688" s="1439"/>
      <c r="AC2688" s="1439"/>
      <c r="AD2688" s="1439"/>
      <c r="AE2688" s="1439"/>
      <c r="AF2688" s="1439"/>
      <c r="AG2688" s="1439"/>
    </row>
    <row r="2689" spans="1:33" ht="47.25">
      <c r="A2689" s="1470"/>
      <c r="B2689" s="1455" t="s">
        <v>3709</v>
      </c>
      <c r="C2689" s="1484"/>
      <c r="D2689" s="1484"/>
      <c r="E2689" s="1484"/>
      <c r="F2689" s="1446"/>
      <c r="G2689" s="1446"/>
      <c r="H2689" s="1447"/>
      <c r="I2689" s="1448"/>
      <c r="J2689" s="1475"/>
      <c r="K2689" s="1439"/>
      <c r="L2689" s="1439"/>
      <c r="M2689" s="1439"/>
      <c r="N2689" s="1439"/>
      <c r="O2689" s="1439"/>
      <c r="P2689" s="1439"/>
      <c r="Q2689" s="1439"/>
      <c r="R2689" s="1439"/>
      <c r="S2689" s="1439"/>
      <c r="T2689" s="1439"/>
      <c r="U2689" s="1439"/>
      <c r="V2689" s="1439"/>
      <c r="W2689" s="1439"/>
      <c r="X2689" s="1439"/>
      <c r="Y2689" s="1439"/>
      <c r="Z2689" s="1439"/>
      <c r="AA2689" s="1439"/>
      <c r="AB2689" s="1439"/>
      <c r="AC2689" s="1439"/>
      <c r="AD2689" s="1439"/>
      <c r="AE2689" s="1439"/>
      <c r="AF2689" s="1439"/>
      <c r="AG2689" s="1439"/>
    </row>
    <row r="2690" spans="1:33" ht="15.75" customHeight="1">
      <c r="A2690" s="1470"/>
      <c r="B2690" s="1480" t="s">
        <v>3710</v>
      </c>
      <c r="C2690" s="1484">
        <v>2</v>
      </c>
      <c r="D2690" s="1484" t="s">
        <v>3364</v>
      </c>
      <c r="E2690" s="1484">
        <v>2</v>
      </c>
      <c r="F2690" s="1446"/>
      <c r="G2690" s="1446"/>
      <c r="H2690" s="1447"/>
      <c r="I2690" s="1479">
        <f>PRODUCT(C2690:H2690)</f>
        <v>4</v>
      </c>
      <c r="J2690" s="1475" t="s">
        <v>3471</v>
      </c>
      <c r="K2690" s="1439"/>
      <c r="L2690" s="1439"/>
      <c r="M2690" s="1439"/>
      <c r="N2690" s="1439"/>
      <c r="O2690" s="1439"/>
      <c r="P2690" s="1439"/>
      <c r="Q2690" s="1439"/>
      <c r="R2690" s="1439"/>
      <c r="S2690" s="1439"/>
      <c r="T2690" s="1439"/>
      <c r="U2690" s="1439"/>
      <c r="V2690" s="1439"/>
      <c r="W2690" s="1439"/>
      <c r="X2690" s="1439"/>
      <c r="Y2690" s="1439"/>
      <c r="Z2690" s="1439"/>
      <c r="AA2690" s="1439"/>
      <c r="AB2690" s="1439"/>
      <c r="AC2690" s="1439"/>
      <c r="AD2690" s="1439"/>
      <c r="AE2690" s="1439"/>
      <c r="AF2690" s="1439"/>
      <c r="AG2690" s="1439"/>
    </row>
    <row r="2691" spans="1:33" ht="47.25">
      <c r="A2691" s="1470"/>
      <c r="B2691" s="1455" t="s">
        <v>3711</v>
      </c>
      <c r="C2691" s="1484"/>
      <c r="D2691" s="1484"/>
      <c r="E2691" s="1484"/>
      <c r="F2691" s="1446"/>
      <c r="G2691" s="1446"/>
      <c r="H2691" s="1447"/>
      <c r="I2691" s="1448"/>
      <c r="J2691" s="1525"/>
      <c r="K2691" s="1439"/>
      <c r="L2691" s="1439"/>
      <c r="M2691" s="1439"/>
      <c r="N2691" s="1439"/>
      <c r="O2691" s="1439"/>
      <c r="P2691" s="1439"/>
      <c r="Q2691" s="1439"/>
      <c r="R2691" s="1439"/>
      <c r="S2691" s="1439"/>
      <c r="T2691" s="1439"/>
      <c r="U2691" s="1439"/>
      <c r="V2691" s="1439"/>
      <c r="W2691" s="1439"/>
      <c r="X2691" s="1439"/>
      <c r="Y2691" s="1439"/>
      <c r="Z2691" s="1439"/>
      <c r="AA2691" s="1439"/>
      <c r="AB2691" s="1439"/>
      <c r="AC2691" s="1439"/>
      <c r="AD2691" s="1439"/>
      <c r="AE2691" s="1439"/>
      <c r="AF2691" s="1439"/>
      <c r="AG2691" s="1439"/>
    </row>
    <row r="2692" spans="1:33">
      <c r="A2692" s="1470"/>
      <c r="B2692" s="1480" t="s">
        <v>3710</v>
      </c>
      <c r="C2692" s="1484">
        <v>2</v>
      </c>
      <c r="D2692" s="1484" t="s">
        <v>3364</v>
      </c>
      <c r="E2692" s="1484">
        <v>2</v>
      </c>
      <c r="F2692" s="1446"/>
      <c r="G2692" s="1446"/>
      <c r="H2692" s="1447"/>
      <c r="I2692" s="1479">
        <f>PRODUCT(C2692:H2692)</f>
        <v>4</v>
      </c>
      <c r="J2692" s="1475" t="s">
        <v>3471</v>
      </c>
      <c r="K2692" s="1439"/>
      <c r="L2692" s="1439"/>
      <c r="M2692" s="1439"/>
      <c r="N2692" s="1439"/>
      <c r="O2692" s="1439"/>
      <c r="P2692" s="1439"/>
      <c r="Q2692" s="1439"/>
      <c r="R2692" s="1439"/>
      <c r="S2692" s="1439"/>
      <c r="T2692" s="1439"/>
      <c r="U2692" s="1439"/>
      <c r="V2692" s="1439"/>
      <c r="W2692" s="1439"/>
      <c r="X2692" s="1439"/>
      <c r="Y2692" s="1439"/>
      <c r="Z2692" s="1439"/>
      <c r="AA2692" s="1439"/>
      <c r="AB2692" s="1439"/>
      <c r="AC2692" s="1439"/>
      <c r="AD2692" s="1439"/>
      <c r="AE2692" s="1439"/>
      <c r="AF2692" s="1439"/>
      <c r="AG2692" s="1439"/>
    </row>
    <row r="2693" spans="1:33" ht="189">
      <c r="A2693" s="1555">
        <v>44</v>
      </c>
      <c r="B2693" s="1517" t="s">
        <v>7330</v>
      </c>
      <c r="C2693" s="1556"/>
      <c r="D2693" s="1556"/>
      <c r="E2693" s="1556"/>
      <c r="F2693" s="1556"/>
      <c r="G2693" s="1556"/>
      <c r="H2693" s="1526"/>
      <c r="I2693" s="1526"/>
      <c r="J2693" s="1556"/>
      <c r="K2693" s="1557"/>
      <c r="L2693" s="1557"/>
      <c r="M2693" s="1557"/>
      <c r="N2693" s="1557"/>
      <c r="O2693" s="1557"/>
      <c r="P2693" s="1557"/>
      <c r="Q2693" s="1557"/>
      <c r="R2693" s="1557"/>
      <c r="S2693" s="1557"/>
      <c r="T2693" s="1557"/>
      <c r="U2693" s="1557"/>
      <c r="V2693" s="1557"/>
      <c r="W2693" s="1557"/>
      <c r="X2693" s="1557"/>
      <c r="Y2693" s="1557"/>
      <c r="Z2693" s="1557"/>
      <c r="AA2693" s="1557"/>
      <c r="AB2693" s="1557"/>
      <c r="AC2693" s="1557"/>
      <c r="AD2693" s="1557"/>
      <c r="AE2693" s="1557"/>
      <c r="AF2693" s="1557"/>
      <c r="AG2693" s="1557"/>
    </row>
    <row r="2694" spans="1:33" ht="15.75" customHeight="1">
      <c r="A2694" s="1555"/>
      <c r="B2694" s="1462" t="s">
        <v>7331</v>
      </c>
      <c r="C2694" s="1492">
        <v>1</v>
      </c>
      <c r="D2694" s="1492" t="s">
        <v>3364</v>
      </c>
      <c r="E2694" s="1492">
        <v>10</v>
      </c>
      <c r="F2694" s="1558"/>
      <c r="G2694" s="1558"/>
      <c r="H2694" s="1527"/>
      <c r="I2694" s="1527">
        <f>PRODUCT(C2694:H2694)</f>
        <v>10</v>
      </c>
      <c r="J2694" s="1525"/>
      <c r="K2694" s="1557"/>
      <c r="L2694" s="1557"/>
      <c r="M2694" s="1557"/>
      <c r="N2694" s="1557"/>
      <c r="O2694" s="1557"/>
      <c r="P2694" s="1557"/>
      <c r="Q2694" s="1557"/>
      <c r="R2694" s="1557"/>
      <c r="S2694" s="1557"/>
      <c r="T2694" s="1557"/>
      <c r="U2694" s="1557"/>
      <c r="V2694" s="1557"/>
      <c r="W2694" s="1557"/>
      <c r="X2694" s="1557"/>
      <c r="Y2694" s="1557"/>
      <c r="Z2694" s="1557"/>
      <c r="AA2694" s="1557"/>
      <c r="AB2694" s="1557"/>
      <c r="AC2694" s="1557"/>
      <c r="AD2694" s="1557"/>
      <c r="AE2694" s="1557"/>
      <c r="AF2694" s="1557"/>
      <c r="AG2694" s="1557"/>
    </row>
    <row r="2695" spans="1:33" ht="63">
      <c r="A2695" s="1559"/>
      <c r="B2695" s="1560" t="s">
        <v>7332</v>
      </c>
      <c r="C2695" s="1561"/>
      <c r="D2695" s="1561"/>
      <c r="E2695" s="1561"/>
      <c r="F2695" s="1561"/>
      <c r="G2695" s="1561"/>
      <c r="H2695" s="1474"/>
      <c r="I2695" s="1561"/>
      <c r="J2695" s="1562"/>
      <c r="K2695" s="1563"/>
      <c r="L2695" s="1563"/>
      <c r="M2695" s="1563"/>
      <c r="N2695" s="1563"/>
      <c r="O2695" s="1563"/>
      <c r="P2695" s="1563"/>
      <c r="Q2695" s="1563"/>
      <c r="R2695" s="1563"/>
      <c r="S2695" s="1563"/>
      <c r="T2695" s="1563"/>
      <c r="U2695" s="1563"/>
      <c r="V2695" s="1563"/>
      <c r="W2695" s="1563"/>
      <c r="X2695" s="1563"/>
      <c r="Y2695" s="1563"/>
      <c r="Z2695" s="1563"/>
      <c r="AA2695" s="1563"/>
      <c r="AB2695" s="1563"/>
      <c r="AC2695" s="1563"/>
      <c r="AD2695" s="1563"/>
      <c r="AE2695" s="1563"/>
      <c r="AF2695" s="1563"/>
      <c r="AG2695" s="1563"/>
    </row>
    <row r="2696" spans="1:33" ht="15.75" customHeight="1">
      <c r="A2696" s="1443"/>
      <c r="B2696" s="1450" t="s">
        <v>7333</v>
      </c>
      <c r="C2696" s="1445">
        <v>1</v>
      </c>
      <c r="D2696" s="1445" t="s">
        <v>3364</v>
      </c>
      <c r="E2696" s="1445">
        <v>1</v>
      </c>
      <c r="F2696" s="1446">
        <v>17</v>
      </c>
      <c r="G2696" s="1446">
        <v>2</v>
      </c>
      <c r="H2696" s="1447"/>
      <c r="I2696" s="1448">
        <f>PRODUCT(C2696:H2696)</f>
        <v>34</v>
      </c>
      <c r="J2696" s="1449"/>
      <c r="K2696" s="1439"/>
      <c r="L2696" s="1439"/>
      <c r="M2696" s="1439"/>
      <c r="N2696" s="1439"/>
      <c r="O2696" s="1439"/>
      <c r="P2696" s="1439"/>
      <c r="Q2696" s="1439"/>
      <c r="R2696" s="1439"/>
      <c r="S2696" s="1439"/>
      <c r="T2696" s="1439"/>
      <c r="U2696" s="1439"/>
      <c r="V2696" s="1439"/>
      <c r="W2696" s="1439"/>
      <c r="X2696" s="1439"/>
      <c r="Y2696" s="1439"/>
      <c r="Z2696" s="1439"/>
      <c r="AA2696" s="1439"/>
      <c r="AB2696" s="1439"/>
      <c r="AC2696" s="1439"/>
      <c r="AD2696" s="1439"/>
      <c r="AE2696" s="1439"/>
      <c r="AF2696" s="1439"/>
      <c r="AG2696" s="1439"/>
    </row>
    <row r="2697" spans="1:33" ht="15.75" customHeight="1">
      <c r="A2697" s="1562"/>
      <c r="B2697" s="1561"/>
      <c r="C2697" s="1561"/>
      <c r="D2697" s="1561"/>
      <c r="E2697" s="1561"/>
      <c r="F2697" s="1561"/>
      <c r="G2697" s="1561"/>
      <c r="H2697" s="1474"/>
      <c r="I2697" s="1561">
        <f>SUM(I2696)</f>
        <v>34</v>
      </c>
      <c r="J2697" s="1562"/>
      <c r="K2697" s="1564"/>
      <c r="L2697" s="1564"/>
      <c r="M2697" s="1564"/>
      <c r="N2697" s="1564"/>
      <c r="O2697" s="1564"/>
      <c r="P2697" s="1564"/>
      <c r="Q2697" s="1564"/>
      <c r="R2697" s="1564"/>
      <c r="S2697" s="1564"/>
      <c r="T2697" s="1564"/>
      <c r="U2697" s="1564"/>
      <c r="V2697" s="1564"/>
      <c r="W2697" s="1564"/>
      <c r="X2697" s="1564"/>
      <c r="Y2697" s="1564"/>
      <c r="Z2697" s="1564"/>
      <c r="AA2697" s="1564"/>
      <c r="AB2697" s="1564"/>
      <c r="AC2697" s="1564"/>
      <c r="AD2697" s="1564"/>
      <c r="AE2697" s="1564"/>
      <c r="AF2697" s="1564"/>
      <c r="AG2697" s="1564"/>
    </row>
    <row r="2698" spans="1:33" ht="15.75" customHeight="1">
      <c r="A2698" s="1562"/>
      <c r="B2698" s="1561"/>
      <c r="C2698" s="1561"/>
      <c r="D2698" s="1561"/>
      <c r="E2698" s="1561"/>
      <c r="F2698" s="1561"/>
      <c r="G2698" s="1561"/>
      <c r="H2698" s="1474"/>
      <c r="I2698" s="1561">
        <v>34</v>
      </c>
      <c r="J2698" s="1562" t="s">
        <v>7334</v>
      </c>
      <c r="K2698" s="1564"/>
      <c r="L2698" s="1564"/>
      <c r="M2698" s="1564"/>
      <c r="N2698" s="1564"/>
      <c r="O2698" s="1564"/>
      <c r="P2698" s="1564"/>
      <c r="Q2698" s="1564"/>
      <c r="R2698" s="1564"/>
      <c r="S2698" s="1564"/>
      <c r="T2698" s="1564"/>
      <c r="U2698" s="1564"/>
      <c r="V2698" s="1564"/>
      <c r="W2698" s="1564"/>
      <c r="X2698" s="1564"/>
      <c r="Y2698" s="1564"/>
      <c r="Z2698" s="1564"/>
      <c r="AA2698" s="1564"/>
      <c r="AB2698" s="1564"/>
      <c r="AC2698" s="1564"/>
      <c r="AD2698" s="1564"/>
      <c r="AE2698" s="1564"/>
      <c r="AF2698" s="1564"/>
      <c r="AG2698" s="1564"/>
    </row>
    <row r="2699" spans="1:33" ht="54.75" customHeight="1">
      <c r="A2699" s="1470">
        <v>832.3</v>
      </c>
      <c r="B2699" s="1450" t="s">
        <v>3713</v>
      </c>
      <c r="C2699" s="1484"/>
      <c r="D2699" s="1484"/>
      <c r="E2699" s="1484"/>
      <c r="F2699" s="1446"/>
      <c r="G2699" s="1446"/>
      <c r="H2699" s="1447"/>
      <c r="I2699" s="1448"/>
      <c r="J2699" s="1475"/>
      <c r="K2699" s="1439"/>
      <c r="L2699" s="1439"/>
      <c r="M2699" s="1439"/>
      <c r="N2699" s="1439"/>
      <c r="O2699" s="1439"/>
      <c r="P2699" s="1439"/>
      <c r="Q2699" s="1439"/>
      <c r="R2699" s="1439"/>
      <c r="S2699" s="1439"/>
      <c r="T2699" s="1439"/>
      <c r="U2699" s="1439"/>
      <c r="V2699" s="1439"/>
      <c r="W2699" s="1439"/>
      <c r="X2699" s="1439"/>
      <c r="Y2699" s="1439"/>
      <c r="Z2699" s="1439"/>
      <c r="AA2699" s="1439"/>
      <c r="AB2699" s="1439"/>
      <c r="AC2699" s="1439"/>
      <c r="AD2699" s="1439"/>
      <c r="AE2699" s="1439"/>
      <c r="AF2699" s="1439"/>
      <c r="AG2699" s="1439"/>
    </row>
    <row r="2700" spans="1:33" ht="15.75" customHeight="1">
      <c r="A2700" s="1470"/>
      <c r="B2700" s="1444" t="s">
        <v>7335</v>
      </c>
      <c r="C2700" s="1484">
        <v>1</v>
      </c>
      <c r="D2700" s="1484" t="s">
        <v>3364</v>
      </c>
      <c r="E2700" s="1484">
        <f>Joineries!K9</f>
        <v>10</v>
      </c>
      <c r="F2700" s="1446">
        <v>0.9</v>
      </c>
      <c r="G2700" s="1446"/>
      <c r="H2700" s="1447">
        <v>0.6</v>
      </c>
      <c r="I2700" s="1494">
        <f>PRODUCT(C2700:H2700)</f>
        <v>5.4</v>
      </c>
      <c r="J2700" s="1475"/>
      <c r="K2700" s="1439"/>
      <c r="L2700" s="1439"/>
      <c r="M2700" s="1439"/>
      <c r="N2700" s="1439"/>
      <c r="O2700" s="1439"/>
      <c r="P2700" s="1439"/>
      <c r="Q2700" s="1439"/>
      <c r="R2700" s="1439"/>
      <c r="S2700" s="1439"/>
      <c r="T2700" s="1439"/>
      <c r="U2700" s="1439"/>
      <c r="V2700" s="1439"/>
      <c r="W2700" s="1439"/>
      <c r="X2700" s="1439"/>
      <c r="Y2700" s="1439"/>
      <c r="Z2700" s="1439"/>
      <c r="AA2700" s="1439"/>
      <c r="AB2700" s="1439"/>
      <c r="AC2700" s="1439"/>
      <c r="AD2700" s="1439"/>
      <c r="AE2700" s="1439"/>
      <c r="AF2700" s="1439"/>
      <c r="AG2700" s="1439"/>
    </row>
    <row r="2701" spans="1:33" ht="15.75" customHeight="1">
      <c r="A2701" s="1470"/>
      <c r="B2701" s="1444" t="s">
        <v>7336</v>
      </c>
      <c r="C2701" s="1484">
        <v>1</v>
      </c>
      <c r="D2701" s="1484" t="s">
        <v>3364</v>
      </c>
      <c r="E2701" s="1484">
        <f>Joineries!K10</f>
        <v>42</v>
      </c>
      <c r="F2701" s="1446">
        <v>0.75</v>
      </c>
      <c r="G2701" s="1446"/>
      <c r="H2701" s="1447">
        <v>0.6</v>
      </c>
      <c r="I2701" s="1494">
        <f>PRODUCT(C2701:H2701)</f>
        <v>18.899999999999999</v>
      </c>
      <c r="J2701" s="1475"/>
      <c r="K2701" s="1439"/>
      <c r="L2701" s="1439"/>
      <c r="M2701" s="1439"/>
      <c r="N2701" s="1439"/>
      <c r="O2701" s="1439"/>
      <c r="P2701" s="1439"/>
      <c r="Q2701" s="1439"/>
      <c r="R2701" s="1439"/>
      <c r="S2701" s="1439"/>
      <c r="T2701" s="1439"/>
      <c r="U2701" s="1439"/>
      <c r="V2701" s="1439"/>
      <c r="W2701" s="1439"/>
      <c r="X2701" s="1439"/>
      <c r="Y2701" s="1439"/>
      <c r="Z2701" s="1439"/>
      <c r="AA2701" s="1439"/>
      <c r="AB2701" s="1439"/>
      <c r="AC2701" s="1439"/>
      <c r="AD2701" s="1439"/>
      <c r="AE2701" s="1439"/>
      <c r="AF2701" s="1439"/>
      <c r="AG2701" s="1439"/>
    </row>
    <row r="2702" spans="1:33" ht="15.75" customHeight="1">
      <c r="A2702" s="1470"/>
      <c r="B2702" s="1444"/>
      <c r="C2702" s="1484"/>
      <c r="D2702" s="1484"/>
      <c r="E2702" s="1484"/>
      <c r="F2702" s="1446"/>
      <c r="G2702" s="1446"/>
      <c r="H2702" s="1447"/>
      <c r="I2702" s="1494">
        <f>SUM(I2700:I2701)</f>
        <v>24.3</v>
      </c>
      <c r="J2702" s="1475"/>
      <c r="K2702" s="1439"/>
      <c r="L2702" s="1439"/>
      <c r="M2702" s="1439"/>
      <c r="N2702" s="1439"/>
      <c r="O2702" s="1439"/>
      <c r="P2702" s="1439"/>
      <c r="Q2702" s="1439"/>
      <c r="R2702" s="1439"/>
      <c r="S2702" s="1439"/>
      <c r="T2702" s="1439"/>
      <c r="U2702" s="1439"/>
      <c r="V2702" s="1439"/>
      <c r="W2702" s="1439"/>
      <c r="X2702" s="1439"/>
      <c r="Y2702" s="1439"/>
      <c r="Z2702" s="1439"/>
      <c r="AA2702" s="1439"/>
      <c r="AB2702" s="1439"/>
      <c r="AC2702" s="1439"/>
      <c r="AD2702" s="1439"/>
      <c r="AE2702" s="1439"/>
      <c r="AF2702" s="1439"/>
      <c r="AG2702" s="1439"/>
    </row>
    <row r="2703" spans="1:33" ht="15.75" customHeight="1">
      <c r="A2703" s="1470"/>
      <c r="B2703" s="1450"/>
      <c r="C2703" s="1484"/>
      <c r="D2703" s="1484"/>
      <c r="E2703" s="1484"/>
      <c r="F2703" s="1446"/>
      <c r="G2703" s="1446"/>
      <c r="H2703" s="1447" t="s">
        <v>2981</v>
      </c>
      <c r="I2703" s="1479">
        <f>CEILING(I2702,0.1)</f>
        <v>24.3</v>
      </c>
      <c r="J2703" s="1475" t="s">
        <v>724</v>
      </c>
      <c r="K2703" s="1439"/>
      <c r="L2703" s="1439"/>
      <c r="M2703" s="1439"/>
      <c r="N2703" s="1439"/>
      <c r="O2703" s="1439"/>
      <c r="P2703" s="1439"/>
      <c r="Q2703" s="1439"/>
      <c r="R2703" s="1439"/>
      <c r="S2703" s="1439"/>
      <c r="T2703" s="1439"/>
      <c r="U2703" s="1439"/>
      <c r="V2703" s="1439"/>
      <c r="W2703" s="1439"/>
      <c r="X2703" s="1439"/>
      <c r="Y2703" s="1439"/>
      <c r="Z2703" s="1439"/>
      <c r="AA2703" s="1439"/>
      <c r="AB2703" s="1439"/>
      <c r="AC2703" s="1439"/>
      <c r="AD2703" s="1439"/>
      <c r="AE2703" s="1439"/>
      <c r="AF2703" s="1439"/>
      <c r="AG2703" s="1439"/>
    </row>
    <row r="2704" spans="1:33" ht="47.25">
      <c r="A2704" s="1470" t="s">
        <v>3714</v>
      </c>
      <c r="B2704" s="1450" t="s">
        <v>3715</v>
      </c>
      <c r="C2704" s="1484"/>
      <c r="D2704" s="1484"/>
      <c r="E2704" s="1484"/>
      <c r="F2704" s="1446"/>
      <c r="G2704" s="1446"/>
      <c r="H2704" s="1447"/>
      <c r="I2704" s="1448"/>
      <c r="J2704" s="1525"/>
      <c r="K2704" s="1439"/>
      <c r="L2704" s="1439"/>
      <c r="M2704" s="1439"/>
      <c r="N2704" s="1439"/>
      <c r="O2704" s="1439"/>
      <c r="P2704" s="1439"/>
      <c r="Q2704" s="1439"/>
      <c r="R2704" s="1439"/>
      <c r="S2704" s="1439"/>
      <c r="T2704" s="1439"/>
      <c r="U2704" s="1439"/>
      <c r="V2704" s="1439"/>
      <c r="W2704" s="1439"/>
      <c r="X2704" s="1439"/>
      <c r="Y2704" s="1439"/>
      <c r="Z2704" s="1439"/>
      <c r="AA2704" s="1439"/>
      <c r="AB2704" s="1439"/>
      <c r="AC2704" s="1439"/>
      <c r="AD2704" s="1439"/>
      <c r="AE2704" s="1439"/>
      <c r="AF2704" s="1439"/>
      <c r="AG2704" s="1439"/>
    </row>
    <row r="2705" spans="1:33">
      <c r="A2705" s="1470"/>
      <c r="B2705" s="1450" t="s">
        <v>3497</v>
      </c>
      <c r="C2705" s="1484">
        <v>6</v>
      </c>
      <c r="D2705" s="1488" t="s">
        <v>3364</v>
      </c>
      <c r="E2705" s="1484">
        <v>1</v>
      </c>
      <c r="F2705" s="1447">
        <v>1.8</v>
      </c>
      <c r="G2705" s="1446"/>
      <c r="H2705" s="1447">
        <v>2</v>
      </c>
      <c r="I2705" s="1479">
        <f t="shared" ref="I2705:I2710" si="101">PRODUCT(C2705:H2705)</f>
        <v>21.6</v>
      </c>
      <c r="J2705" s="1525"/>
      <c r="K2705" s="1439"/>
      <c r="L2705" s="1439"/>
      <c r="M2705" s="1439"/>
      <c r="N2705" s="1439"/>
      <c r="O2705" s="1439"/>
      <c r="P2705" s="1439"/>
      <c r="Q2705" s="1439"/>
      <c r="R2705" s="1439"/>
      <c r="S2705" s="1439"/>
      <c r="T2705" s="1439"/>
      <c r="U2705" s="1439"/>
      <c r="V2705" s="1439"/>
      <c r="W2705" s="1439"/>
      <c r="X2705" s="1439"/>
      <c r="Y2705" s="1439"/>
      <c r="Z2705" s="1439"/>
      <c r="AA2705" s="1439"/>
      <c r="AB2705" s="1439"/>
      <c r="AC2705" s="1439"/>
      <c r="AD2705" s="1439"/>
      <c r="AE2705" s="1439"/>
      <c r="AF2705" s="1439"/>
      <c r="AG2705" s="1439"/>
    </row>
    <row r="2706" spans="1:33">
      <c r="A2706" s="1470"/>
      <c r="B2706" s="1450" t="s">
        <v>3414</v>
      </c>
      <c r="C2706" s="1484">
        <v>58</v>
      </c>
      <c r="D2706" s="1488" t="s">
        <v>3364</v>
      </c>
      <c r="E2706" s="1484">
        <v>1</v>
      </c>
      <c r="F2706" s="1447">
        <v>1.8</v>
      </c>
      <c r="G2706" s="1446"/>
      <c r="H2706" s="1447">
        <v>1.35</v>
      </c>
      <c r="I2706" s="1479">
        <f t="shared" si="101"/>
        <v>140.94</v>
      </c>
      <c r="J2706" s="1525"/>
      <c r="K2706" s="1439"/>
      <c r="L2706" s="1439"/>
      <c r="M2706" s="1439"/>
      <c r="N2706" s="1439"/>
      <c r="O2706" s="1439"/>
      <c r="P2706" s="1439"/>
      <c r="Q2706" s="1439"/>
      <c r="R2706" s="1439"/>
      <c r="S2706" s="1439"/>
      <c r="T2706" s="1439"/>
      <c r="U2706" s="1439"/>
      <c r="V2706" s="1439"/>
      <c r="W2706" s="1439"/>
      <c r="X2706" s="1439"/>
      <c r="Y2706" s="1439"/>
      <c r="Z2706" s="1439"/>
      <c r="AA2706" s="1439"/>
      <c r="AB2706" s="1439"/>
      <c r="AC2706" s="1439"/>
      <c r="AD2706" s="1439"/>
      <c r="AE2706" s="1439"/>
      <c r="AF2706" s="1439"/>
      <c r="AG2706" s="1439"/>
    </row>
    <row r="2707" spans="1:33">
      <c r="A2707" s="1470"/>
      <c r="B2707" s="1450" t="s">
        <v>3400</v>
      </c>
      <c r="C2707" s="1484">
        <v>1</v>
      </c>
      <c r="D2707" s="1488" t="s">
        <v>3364</v>
      </c>
      <c r="E2707" s="1484">
        <v>1</v>
      </c>
      <c r="F2707" s="1447">
        <v>1.5</v>
      </c>
      <c r="G2707" s="1446"/>
      <c r="H2707" s="1447">
        <v>0.6</v>
      </c>
      <c r="I2707" s="1479">
        <f t="shared" si="101"/>
        <v>0.9</v>
      </c>
      <c r="J2707" s="1525"/>
      <c r="K2707" s="1439"/>
      <c r="L2707" s="1439"/>
      <c r="M2707" s="1439"/>
      <c r="N2707" s="1439"/>
      <c r="O2707" s="1439"/>
      <c r="P2707" s="1439"/>
      <c r="Q2707" s="1439"/>
      <c r="R2707" s="1439"/>
      <c r="S2707" s="1439"/>
      <c r="T2707" s="1439"/>
      <c r="U2707" s="1439"/>
      <c r="V2707" s="1439"/>
      <c r="W2707" s="1439"/>
      <c r="X2707" s="1439"/>
      <c r="Y2707" s="1439"/>
      <c r="Z2707" s="1439"/>
      <c r="AA2707" s="1439"/>
      <c r="AB2707" s="1439"/>
      <c r="AC2707" s="1439"/>
      <c r="AD2707" s="1439"/>
      <c r="AE2707" s="1439"/>
      <c r="AF2707" s="1439"/>
      <c r="AG2707" s="1439"/>
    </row>
    <row r="2708" spans="1:33">
      <c r="A2708" s="1470"/>
      <c r="B2708" s="1450" t="s">
        <v>7412</v>
      </c>
      <c r="C2708" s="1484">
        <v>1</v>
      </c>
      <c r="D2708" s="1488" t="s">
        <v>3364</v>
      </c>
      <c r="E2708" s="1484">
        <v>1</v>
      </c>
      <c r="F2708" s="1447">
        <v>0.9</v>
      </c>
      <c r="G2708" s="1446"/>
      <c r="H2708" s="1447">
        <v>2.1</v>
      </c>
      <c r="I2708" s="1479">
        <f t="shared" si="101"/>
        <v>1.89</v>
      </c>
      <c r="J2708" s="1525"/>
      <c r="K2708" s="1439"/>
      <c r="L2708" s="1439"/>
      <c r="M2708" s="1439"/>
      <c r="N2708" s="1439"/>
      <c r="O2708" s="1439"/>
      <c r="P2708" s="1439"/>
      <c r="Q2708" s="1439"/>
      <c r="R2708" s="1439"/>
      <c r="S2708" s="1439"/>
      <c r="T2708" s="1439"/>
      <c r="U2708" s="1439"/>
      <c r="V2708" s="1439"/>
      <c r="W2708" s="1439"/>
      <c r="X2708" s="1439"/>
      <c r="Y2708" s="1439"/>
      <c r="Z2708" s="1439"/>
      <c r="AA2708" s="1439"/>
      <c r="AB2708" s="1439"/>
      <c r="AC2708" s="1439"/>
      <c r="AD2708" s="1439"/>
      <c r="AE2708" s="1439"/>
      <c r="AF2708" s="1439"/>
      <c r="AG2708" s="1439"/>
    </row>
    <row r="2709" spans="1:33" ht="15.75" customHeight="1">
      <c r="A2709" s="1532"/>
      <c r="B2709" s="1462" t="s">
        <v>6968</v>
      </c>
      <c r="C2709" s="1484">
        <v>1</v>
      </c>
      <c r="D2709" s="1488" t="s">
        <v>3364</v>
      </c>
      <c r="E2709" s="1484">
        <v>1</v>
      </c>
      <c r="F2709" s="1447">
        <v>1.5</v>
      </c>
      <c r="G2709" s="1446"/>
      <c r="H2709" s="1447">
        <v>1.05</v>
      </c>
      <c r="I2709" s="1479">
        <f t="shared" si="101"/>
        <v>1.58</v>
      </c>
      <c r="J2709" s="1475"/>
      <c r="K2709" s="1439"/>
      <c r="L2709" s="1439"/>
      <c r="M2709" s="1439"/>
      <c r="N2709" s="1439"/>
      <c r="O2709" s="1439"/>
      <c r="P2709" s="1439"/>
      <c r="Q2709" s="1439"/>
      <c r="R2709" s="1439"/>
      <c r="S2709" s="1439"/>
      <c r="T2709" s="1439"/>
      <c r="U2709" s="1439"/>
      <c r="V2709" s="1439"/>
      <c r="W2709" s="1439"/>
      <c r="X2709" s="1439"/>
      <c r="Y2709" s="1439"/>
      <c r="Z2709" s="1439"/>
      <c r="AA2709" s="1439"/>
      <c r="AB2709" s="1439"/>
      <c r="AC2709" s="1439"/>
      <c r="AD2709" s="1439"/>
      <c r="AE2709" s="1439"/>
      <c r="AF2709" s="1439"/>
      <c r="AG2709" s="1439"/>
    </row>
    <row r="2710" spans="1:33" ht="15.75" customHeight="1">
      <c r="A2710" s="1532"/>
      <c r="B2710" s="1462" t="s">
        <v>7413</v>
      </c>
      <c r="C2710" s="1484">
        <v>4</v>
      </c>
      <c r="D2710" s="1488" t="s">
        <v>3364</v>
      </c>
      <c r="E2710" s="1484">
        <v>1</v>
      </c>
      <c r="F2710" s="1447">
        <v>0.9</v>
      </c>
      <c r="G2710" s="1446"/>
      <c r="H2710" s="1447">
        <v>2</v>
      </c>
      <c r="I2710" s="1479">
        <f t="shared" si="101"/>
        <v>7.2</v>
      </c>
      <c r="J2710" s="1475"/>
      <c r="K2710" s="1439"/>
      <c r="L2710" s="1439"/>
      <c r="M2710" s="1439"/>
      <c r="N2710" s="1439"/>
      <c r="O2710" s="1439"/>
      <c r="P2710" s="1439"/>
      <c r="Q2710" s="1439"/>
      <c r="R2710" s="1439"/>
      <c r="S2710" s="1439"/>
      <c r="T2710" s="1439"/>
      <c r="U2710" s="1439"/>
      <c r="V2710" s="1439"/>
      <c r="W2710" s="1439"/>
      <c r="X2710" s="1439"/>
      <c r="Y2710" s="1439"/>
      <c r="Z2710" s="1439"/>
      <c r="AA2710" s="1439"/>
      <c r="AB2710" s="1439"/>
      <c r="AC2710" s="1439"/>
      <c r="AD2710" s="1439"/>
      <c r="AE2710" s="1439"/>
      <c r="AF2710" s="1439"/>
      <c r="AG2710" s="1439"/>
    </row>
    <row r="2711" spans="1:33" ht="15.75" customHeight="1">
      <c r="A2711" s="1470"/>
      <c r="B2711" s="1444"/>
      <c r="C2711" s="1484"/>
      <c r="D2711" s="1484"/>
      <c r="E2711" s="1537"/>
      <c r="F2711" s="1446"/>
      <c r="G2711" s="1446"/>
      <c r="H2711" s="1447"/>
      <c r="I2711" s="1494">
        <f>SUM(I2705:I2710)</f>
        <v>174.11</v>
      </c>
      <c r="J2711" s="1475"/>
      <c r="K2711" s="1565"/>
      <c r="L2711" s="1439"/>
      <c r="M2711" s="1439"/>
      <c r="N2711" s="1439"/>
      <c r="O2711" s="1439"/>
      <c r="P2711" s="1439"/>
      <c r="Q2711" s="1439"/>
      <c r="R2711" s="1439"/>
      <c r="S2711" s="1439"/>
      <c r="T2711" s="1439"/>
      <c r="U2711" s="1439"/>
      <c r="V2711" s="1439"/>
      <c r="W2711" s="1439"/>
      <c r="X2711" s="1439"/>
      <c r="Y2711" s="1439"/>
      <c r="Z2711" s="1439"/>
      <c r="AA2711" s="1439"/>
      <c r="AB2711" s="1439"/>
      <c r="AC2711" s="1439"/>
      <c r="AD2711" s="1439"/>
      <c r="AE2711" s="1439"/>
      <c r="AF2711" s="1439"/>
      <c r="AG2711" s="1439"/>
    </row>
    <row r="2712" spans="1:33" ht="15.75" customHeight="1">
      <c r="A2712" s="1470"/>
      <c r="B2712" s="1480"/>
      <c r="C2712" s="1484"/>
      <c r="D2712" s="1484"/>
      <c r="E2712" s="1484"/>
      <c r="F2712" s="1446"/>
      <c r="G2712" s="1446"/>
      <c r="H2712" s="1447" t="s">
        <v>2981</v>
      </c>
      <c r="I2712" s="1479">
        <f>CEILING(I2711,0.1)</f>
        <v>174.2</v>
      </c>
      <c r="J2712" s="1475" t="s">
        <v>724</v>
      </c>
      <c r="K2712" s="1439"/>
      <c r="L2712" s="1439"/>
      <c r="M2712" s="1439"/>
      <c r="N2712" s="1439"/>
      <c r="O2712" s="1439"/>
      <c r="P2712" s="1439"/>
      <c r="Q2712" s="1439"/>
      <c r="R2712" s="1439"/>
      <c r="S2712" s="1439"/>
      <c r="T2712" s="1439"/>
      <c r="U2712" s="1439"/>
      <c r="V2712" s="1439"/>
      <c r="W2712" s="1439"/>
      <c r="X2712" s="1439"/>
      <c r="Y2712" s="1439"/>
      <c r="Z2712" s="1439"/>
      <c r="AA2712" s="1439"/>
      <c r="AB2712" s="1439"/>
      <c r="AC2712" s="1439"/>
      <c r="AD2712" s="1439"/>
      <c r="AE2712" s="1439"/>
      <c r="AF2712" s="1439"/>
      <c r="AG2712" s="1439"/>
    </row>
    <row r="2713" spans="1:33" ht="31.5">
      <c r="A2713" s="1451"/>
      <c r="B2713" s="1456" t="s">
        <v>3716</v>
      </c>
      <c r="C2713" s="1484"/>
      <c r="D2713" s="1484"/>
      <c r="E2713" s="1484"/>
      <c r="F2713" s="1446"/>
      <c r="G2713" s="1446"/>
      <c r="H2713" s="1447"/>
      <c r="I2713" s="1494"/>
      <c r="J2713" s="1475"/>
      <c r="K2713" s="1439"/>
      <c r="L2713" s="1439"/>
      <c r="M2713" s="1439"/>
      <c r="N2713" s="1439"/>
      <c r="O2713" s="1439"/>
      <c r="P2713" s="1439"/>
      <c r="Q2713" s="1439"/>
      <c r="R2713" s="1439"/>
      <c r="S2713" s="1439"/>
      <c r="T2713" s="1439"/>
      <c r="U2713" s="1439"/>
      <c r="V2713" s="1439"/>
      <c r="W2713" s="1439"/>
      <c r="X2713" s="1439"/>
      <c r="Y2713" s="1439"/>
      <c r="Z2713" s="1439"/>
      <c r="AA2713" s="1439"/>
      <c r="AB2713" s="1439"/>
      <c r="AC2713" s="1439"/>
      <c r="AD2713" s="1439"/>
      <c r="AE2713" s="1439"/>
      <c r="AF2713" s="1439"/>
      <c r="AG2713" s="1439"/>
    </row>
    <row r="2714" spans="1:33" ht="15.75" customHeight="1">
      <c r="A2714" s="1470"/>
      <c r="B2714" s="1471" t="s">
        <v>3486</v>
      </c>
      <c r="C2714" s="1484"/>
      <c r="D2714" s="1484"/>
      <c r="E2714" s="1484"/>
      <c r="F2714" s="1446"/>
      <c r="G2714" s="1446"/>
      <c r="H2714" s="1447"/>
      <c r="I2714" s="1494"/>
      <c r="J2714" s="1475"/>
      <c r="K2714" s="1439"/>
      <c r="L2714" s="1439"/>
      <c r="M2714" s="1439"/>
      <c r="N2714" s="1439"/>
      <c r="O2714" s="1439"/>
      <c r="P2714" s="1439"/>
      <c r="Q2714" s="1439"/>
      <c r="R2714" s="1439"/>
      <c r="S2714" s="1439"/>
      <c r="T2714" s="1439"/>
      <c r="U2714" s="1439"/>
      <c r="V2714" s="1439"/>
      <c r="W2714" s="1439"/>
      <c r="X2714" s="1439"/>
      <c r="Y2714" s="1439"/>
      <c r="Z2714" s="1439"/>
      <c r="AA2714" s="1439"/>
      <c r="AB2714" s="1439"/>
      <c r="AC2714" s="1439"/>
      <c r="AD2714" s="1439"/>
      <c r="AE2714" s="1439"/>
      <c r="AF2714" s="1439"/>
      <c r="AG2714" s="1439"/>
    </row>
    <row r="2715" spans="1:33" ht="15.75" customHeight="1">
      <c r="A2715" s="1451"/>
      <c r="B2715" s="1456" t="s">
        <v>7157</v>
      </c>
      <c r="C2715" s="1484"/>
      <c r="D2715" s="1484"/>
      <c r="E2715" s="1484"/>
      <c r="F2715" s="1446"/>
      <c r="G2715" s="1446"/>
      <c r="H2715" s="1447"/>
      <c r="I2715" s="1494"/>
      <c r="J2715" s="1492"/>
      <c r="K2715" s="1439"/>
      <c r="L2715" s="1439"/>
      <c r="M2715" s="1439"/>
      <c r="N2715" s="1439"/>
      <c r="O2715" s="1439"/>
      <c r="P2715" s="1439"/>
      <c r="Q2715" s="1439"/>
      <c r="R2715" s="1439"/>
      <c r="S2715" s="1439"/>
      <c r="T2715" s="1439"/>
      <c r="U2715" s="1439"/>
      <c r="V2715" s="1439"/>
      <c r="W2715" s="1439"/>
      <c r="X2715" s="1439"/>
      <c r="Y2715" s="1439"/>
      <c r="Z2715" s="1439"/>
      <c r="AA2715" s="1439"/>
      <c r="AB2715" s="1439"/>
      <c r="AC2715" s="1439"/>
      <c r="AD2715" s="1439"/>
      <c r="AE2715" s="1439"/>
      <c r="AF2715" s="1439"/>
      <c r="AG2715" s="1439"/>
    </row>
    <row r="2716" spans="1:33" ht="15.75" customHeight="1">
      <c r="A2716" s="1451"/>
      <c r="B2716" s="1450" t="s">
        <v>7313</v>
      </c>
      <c r="C2716" s="1484">
        <v>1</v>
      </c>
      <c r="D2716" s="1484" t="s">
        <v>3364</v>
      </c>
      <c r="E2716" s="1484">
        <v>1</v>
      </c>
      <c r="F2716" s="1447">
        <v>3.43</v>
      </c>
      <c r="G2716" s="1446">
        <v>8.82</v>
      </c>
      <c r="H2716" s="1447"/>
      <c r="I2716" s="1479">
        <f t="shared" ref="I2716:I2741" si="102">PRODUCT(C2716:H2716)</f>
        <v>30.25</v>
      </c>
      <c r="J2716" s="1492"/>
      <c r="K2716" s="1439"/>
      <c r="L2716" s="1439"/>
      <c r="M2716" s="1439"/>
      <c r="N2716" s="1439"/>
      <c r="O2716" s="1439"/>
      <c r="P2716" s="1439"/>
      <c r="Q2716" s="1439"/>
      <c r="R2716" s="1439"/>
      <c r="S2716" s="1439"/>
      <c r="T2716" s="1439"/>
      <c r="U2716" s="1439"/>
      <c r="V2716" s="1439"/>
      <c r="W2716" s="1439"/>
      <c r="X2716" s="1439"/>
      <c r="Y2716" s="1439"/>
      <c r="Z2716" s="1439"/>
      <c r="AA2716" s="1439"/>
      <c r="AB2716" s="1439"/>
      <c r="AC2716" s="1439"/>
      <c r="AD2716" s="1439"/>
      <c r="AE2716" s="1439"/>
      <c r="AF2716" s="1439"/>
      <c r="AG2716" s="1439"/>
    </row>
    <row r="2717" spans="1:33" ht="15.75" customHeight="1">
      <c r="A2717" s="1451"/>
      <c r="B2717" s="1450" t="s">
        <v>6910</v>
      </c>
      <c r="C2717" s="1484">
        <v>1</v>
      </c>
      <c r="D2717" s="1484" t="s">
        <v>3364</v>
      </c>
      <c r="E2717" s="1484">
        <v>1</v>
      </c>
      <c r="F2717" s="1447">
        <f>(F2716+G2716)*2</f>
        <v>24.5</v>
      </c>
      <c r="G2717" s="1446"/>
      <c r="H2717" s="1447">
        <v>0.1</v>
      </c>
      <c r="I2717" s="1479">
        <f t="shared" si="102"/>
        <v>2.4500000000000002</v>
      </c>
      <c r="J2717" s="1492"/>
      <c r="K2717" s="1439"/>
      <c r="L2717" s="1439"/>
      <c r="M2717" s="1439"/>
      <c r="N2717" s="1439"/>
      <c r="O2717" s="1439"/>
      <c r="P2717" s="1439"/>
      <c r="Q2717" s="1439"/>
      <c r="R2717" s="1439"/>
      <c r="S2717" s="1439"/>
      <c r="T2717" s="1439"/>
      <c r="U2717" s="1439"/>
      <c r="V2717" s="1439"/>
      <c r="W2717" s="1439"/>
      <c r="X2717" s="1439"/>
      <c r="Y2717" s="1439"/>
      <c r="Z2717" s="1439"/>
      <c r="AA2717" s="1439"/>
      <c r="AB2717" s="1439"/>
      <c r="AC2717" s="1439"/>
      <c r="AD2717" s="1439"/>
      <c r="AE2717" s="1439"/>
      <c r="AF2717" s="1439"/>
      <c r="AG2717" s="1439"/>
    </row>
    <row r="2718" spans="1:33" ht="15.75" customHeight="1">
      <c r="A2718" s="1451"/>
      <c r="B2718" s="1456" t="s">
        <v>6917</v>
      </c>
      <c r="C2718" s="1484"/>
      <c r="D2718" s="1484"/>
      <c r="E2718" s="1484"/>
      <c r="F2718" s="1447"/>
      <c r="G2718" s="1446"/>
      <c r="H2718" s="1447"/>
      <c r="I2718" s="1479">
        <f t="shared" si="102"/>
        <v>0</v>
      </c>
      <c r="J2718" s="1475"/>
      <c r="K2718" s="1439"/>
      <c r="L2718" s="1439"/>
      <c r="M2718" s="1439"/>
      <c r="N2718" s="1439"/>
      <c r="O2718" s="1439"/>
      <c r="P2718" s="1439"/>
      <c r="Q2718" s="1439"/>
      <c r="R2718" s="1439"/>
      <c r="S2718" s="1439"/>
      <c r="T2718" s="1439"/>
      <c r="U2718" s="1439"/>
      <c r="V2718" s="1439"/>
      <c r="W2718" s="1439"/>
      <c r="X2718" s="1439"/>
      <c r="Y2718" s="1439"/>
      <c r="Z2718" s="1439"/>
      <c r="AA2718" s="1439"/>
      <c r="AB2718" s="1439"/>
      <c r="AC2718" s="1439"/>
      <c r="AD2718" s="1439"/>
      <c r="AE2718" s="1439"/>
      <c r="AF2718" s="1439"/>
      <c r="AG2718" s="1439"/>
    </row>
    <row r="2719" spans="1:33" ht="15.75" customHeight="1">
      <c r="A2719" s="1451"/>
      <c r="B2719" s="1450" t="s">
        <v>7314</v>
      </c>
      <c r="C2719" s="1484">
        <v>1</v>
      </c>
      <c r="D2719" s="1484" t="s">
        <v>3364</v>
      </c>
      <c r="E2719" s="1484">
        <v>1</v>
      </c>
      <c r="F2719" s="1447">
        <v>7.33</v>
      </c>
      <c r="G2719" s="1446">
        <v>5.82</v>
      </c>
      <c r="H2719" s="1447"/>
      <c r="I2719" s="1479">
        <f t="shared" si="102"/>
        <v>42.66</v>
      </c>
      <c r="J2719" s="1475"/>
      <c r="K2719" s="1439"/>
      <c r="L2719" s="1439"/>
      <c r="M2719" s="1439"/>
      <c r="N2719" s="1439"/>
      <c r="O2719" s="1439"/>
      <c r="P2719" s="1439"/>
      <c r="Q2719" s="1439"/>
      <c r="R2719" s="1439"/>
      <c r="S2719" s="1439"/>
      <c r="T2719" s="1439"/>
      <c r="U2719" s="1439"/>
      <c r="V2719" s="1439"/>
      <c r="W2719" s="1439"/>
      <c r="X2719" s="1439"/>
      <c r="Y2719" s="1439"/>
      <c r="Z2719" s="1439"/>
      <c r="AA2719" s="1439"/>
      <c r="AB2719" s="1439"/>
      <c r="AC2719" s="1439"/>
      <c r="AD2719" s="1439"/>
      <c r="AE2719" s="1439"/>
      <c r="AF2719" s="1439"/>
      <c r="AG2719" s="1439"/>
    </row>
    <row r="2720" spans="1:33" ht="15.75" customHeight="1">
      <c r="A2720" s="1451"/>
      <c r="B2720" s="1450" t="s">
        <v>6910</v>
      </c>
      <c r="C2720" s="1484">
        <v>1</v>
      </c>
      <c r="D2720" s="1484" t="s">
        <v>3364</v>
      </c>
      <c r="E2720" s="1484">
        <v>1</v>
      </c>
      <c r="F2720" s="1447">
        <f>(F2719+G2719)*2</f>
        <v>26.3</v>
      </c>
      <c r="G2720" s="1446"/>
      <c r="H2720" s="1447">
        <v>0.1</v>
      </c>
      <c r="I2720" s="1479">
        <f t="shared" si="102"/>
        <v>2.63</v>
      </c>
      <c r="J2720" s="1475"/>
      <c r="K2720" s="1439"/>
      <c r="L2720" s="1439"/>
      <c r="M2720" s="1439"/>
      <c r="N2720" s="1439"/>
      <c r="O2720" s="1439"/>
      <c r="P2720" s="1439"/>
      <c r="Q2720" s="1439"/>
      <c r="R2720" s="1439"/>
      <c r="S2720" s="1439"/>
      <c r="T2720" s="1439"/>
      <c r="U2720" s="1439"/>
      <c r="V2720" s="1439"/>
      <c r="W2720" s="1439"/>
      <c r="X2720" s="1439"/>
      <c r="Y2720" s="1439"/>
      <c r="Z2720" s="1439"/>
      <c r="AA2720" s="1439"/>
      <c r="AB2720" s="1439"/>
      <c r="AC2720" s="1439"/>
      <c r="AD2720" s="1439"/>
      <c r="AE2720" s="1439"/>
      <c r="AF2720" s="1439"/>
      <c r="AG2720" s="1439"/>
    </row>
    <row r="2721" spans="1:33" ht="15.75" customHeight="1">
      <c r="A2721" s="1451"/>
      <c r="B2721" s="1456" t="s">
        <v>7318</v>
      </c>
      <c r="C2721" s="1484"/>
      <c r="D2721" s="1484"/>
      <c r="E2721" s="1484"/>
      <c r="F2721" s="1447"/>
      <c r="G2721" s="1446"/>
      <c r="H2721" s="1447"/>
      <c r="I2721" s="1479">
        <f t="shared" si="102"/>
        <v>0</v>
      </c>
      <c r="J2721" s="1475"/>
      <c r="K2721" s="1439"/>
      <c r="L2721" s="1439"/>
      <c r="M2721" s="1439"/>
      <c r="N2721" s="1439"/>
      <c r="O2721" s="1439"/>
      <c r="P2721" s="1439"/>
      <c r="Q2721" s="1439"/>
      <c r="R2721" s="1439"/>
      <c r="S2721" s="1439"/>
      <c r="T2721" s="1439"/>
      <c r="U2721" s="1439"/>
      <c r="V2721" s="1439"/>
      <c r="W2721" s="1439"/>
      <c r="X2721" s="1439"/>
      <c r="Y2721" s="1439"/>
      <c r="Z2721" s="1439"/>
      <c r="AA2721" s="1439"/>
      <c r="AB2721" s="1439"/>
      <c r="AC2721" s="1439"/>
      <c r="AD2721" s="1439"/>
      <c r="AE2721" s="1439"/>
      <c r="AF2721" s="1439"/>
      <c r="AG2721" s="1439"/>
    </row>
    <row r="2722" spans="1:33" ht="15.75" customHeight="1">
      <c r="A2722" s="1451"/>
      <c r="B2722" s="1450" t="s">
        <v>7315</v>
      </c>
      <c r="C2722" s="1484">
        <v>1</v>
      </c>
      <c r="D2722" s="1484" t="s">
        <v>3364</v>
      </c>
      <c r="E2722" s="1484">
        <v>1</v>
      </c>
      <c r="F2722" s="1447">
        <v>8.82</v>
      </c>
      <c r="G2722" s="1446">
        <v>3.43</v>
      </c>
      <c r="H2722" s="1447"/>
      <c r="I2722" s="1479">
        <f t="shared" si="102"/>
        <v>30.25</v>
      </c>
      <c r="J2722" s="1475"/>
      <c r="K2722" s="1439"/>
      <c r="L2722" s="1439"/>
      <c r="M2722" s="1439"/>
      <c r="N2722" s="1439"/>
      <c r="O2722" s="1439"/>
      <c r="P2722" s="1439"/>
      <c r="Q2722" s="1439"/>
      <c r="R2722" s="1439"/>
      <c r="S2722" s="1439"/>
      <c r="T2722" s="1439"/>
      <c r="U2722" s="1439"/>
      <c r="V2722" s="1439"/>
      <c r="W2722" s="1439"/>
      <c r="X2722" s="1439"/>
      <c r="Y2722" s="1439"/>
      <c r="Z2722" s="1439"/>
      <c r="AA2722" s="1439"/>
      <c r="AB2722" s="1439"/>
      <c r="AC2722" s="1439"/>
      <c r="AD2722" s="1439"/>
      <c r="AE2722" s="1439"/>
      <c r="AF2722" s="1439"/>
      <c r="AG2722" s="1439"/>
    </row>
    <row r="2723" spans="1:33" ht="15.75" customHeight="1">
      <c r="A2723" s="1451"/>
      <c r="B2723" s="1450" t="s">
        <v>6910</v>
      </c>
      <c r="C2723" s="1484">
        <v>1</v>
      </c>
      <c r="D2723" s="1484" t="s">
        <v>3364</v>
      </c>
      <c r="E2723" s="1484">
        <v>1</v>
      </c>
      <c r="F2723" s="1447">
        <f>(F2722+G2722)*2</f>
        <v>24.5</v>
      </c>
      <c r="G2723" s="1446"/>
      <c r="H2723" s="1447">
        <v>0.1</v>
      </c>
      <c r="I2723" s="1479">
        <f t="shared" si="102"/>
        <v>2.4500000000000002</v>
      </c>
      <c r="J2723" s="1475"/>
      <c r="K2723" s="1439"/>
      <c r="L2723" s="1439"/>
      <c r="M2723" s="1439"/>
      <c r="N2723" s="1439"/>
      <c r="O2723" s="1439"/>
      <c r="P2723" s="1439"/>
      <c r="Q2723" s="1439"/>
      <c r="R2723" s="1439"/>
      <c r="S2723" s="1439"/>
      <c r="T2723" s="1439"/>
      <c r="U2723" s="1439"/>
      <c r="V2723" s="1439"/>
      <c r="W2723" s="1439"/>
      <c r="X2723" s="1439"/>
      <c r="Y2723" s="1439"/>
      <c r="Z2723" s="1439"/>
      <c r="AA2723" s="1439"/>
      <c r="AB2723" s="1439"/>
      <c r="AC2723" s="1439"/>
      <c r="AD2723" s="1439"/>
      <c r="AE2723" s="1439"/>
      <c r="AF2723" s="1439"/>
      <c r="AG2723" s="1439"/>
    </row>
    <row r="2724" spans="1:33" ht="15.75" customHeight="1">
      <c r="A2724" s="1451"/>
      <c r="B2724" s="1450" t="s">
        <v>6737</v>
      </c>
      <c r="C2724" s="1484">
        <v>1</v>
      </c>
      <c r="D2724" s="1484" t="s">
        <v>3364</v>
      </c>
      <c r="E2724" s="1484">
        <v>1</v>
      </c>
      <c r="F2724" s="1447">
        <v>24.02</v>
      </c>
      <c r="G2724" s="1446">
        <v>2</v>
      </c>
      <c r="H2724" s="1447"/>
      <c r="I2724" s="1479">
        <f t="shared" si="102"/>
        <v>48.04</v>
      </c>
      <c r="J2724" s="1475"/>
      <c r="K2724" s="1439"/>
      <c r="L2724" s="1439"/>
      <c r="M2724" s="1439"/>
      <c r="N2724" s="1439"/>
      <c r="O2724" s="1439"/>
      <c r="P2724" s="1439"/>
      <c r="Q2724" s="1439"/>
      <c r="R2724" s="1439"/>
      <c r="S2724" s="1439"/>
      <c r="T2724" s="1439"/>
      <c r="U2724" s="1439"/>
      <c r="V2724" s="1439"/>
      <c r="W2724" s="1439"/>
      <c r="X2724" s="1439"/>
      <c r="Y2724" s="1439"/>
      <c r="Z2724" s="1439"/>
      <c r="AA2724" s="1439"/>
      <c r="AB2724" s="1439"/>
      <c r="AC2724" s="1439"/>
      <c r="AD2724" s="1439"/>
      <c r="AE2724" s="1439"/>
      <c r="AF2724" s="1439"/>
      <c r="AG2724" s="1439"/>
    </row>
    <row r="2725" spans="1:33" ht="15.75" customHeight="1">
      <c r="A2725" s="1451"/>
      <c r="B2725" s="1450" t="s">
        <v>6910</v>
      </c>
      <c r="C2725" s="1484">
        <v>1</v>
      </c>
      <c r="D2725" s="1484" t="s">
        <v>3364</v>
      </c>
      <c r="E2725" s="1484">
        <v>1</v>
      </c>
      <c r="F2725" s="1447">
        <f>(F2724+G2724)*2</f>
        <v>52.04</v>
      </c>
      <c r="G2725" s="1446"/>
      <c r="H2725" s="1447">
        <v>0.1</v>
      </c>
      <c r="I2725" s="1479">
        <f t="shared" si="102"/>
        <v>5.2</v>
      </c>
      <c r="J2725" s="1475"/>
      <c r="K2725" s="1439"/>
      <c r="L2725" s="1439"/>
      <c r="M2725" s="1439"/>
      <c r="N2725" s="1439"/>
      <c r="O2725" s="1439"/>
      <c r="P2725" s="1439"/>
      <c r="Q2725" s="1439"/>
      <c r="R2725" s="1439"/>
      <c r="S2725" s="1439"/>
      <c r="T2725" s="1439"/>
      <c r="U2725" s="1439"/>
      <c r="V2725" s="1439"/>
      <c r="W2725" s="1439"/>
      <c r="X2725" s="1439"/>
      <c r="Y2725" s="1439"/>
      <c r="Z2725" s="1439"/>
      <c r="AA2725" s="1439"/>
      <c r="AB2725" s="1439"/>
      <c r="AC2725" s="1439"/>
      <c r="AD2725" s="1439"/>
      <c r="AE2725" s="1439"/>
      <c r="AF2725" s="1439"/>
      <c r="AG2725" s="1439"/>
    </row>
    <row r="2726" spans="1:33" ht="15.75" customHeight="1">
      <c r="A2726" s="1451"/>
      <c r="B2726" s="1456" t="s">
        <v>7320</v>
      </c>
      <c r="C2726" s="1484"/>
      <c r="D2726" s="1484"/>
      <c r="E2726" s="1484"/>
      <c r="F2726" s="1447"/>
      <c r="G2726" s="1446"/>
      <c r="H2726" s="1447"/>
      <c r="I2726" s="1479">
        <f t="shared" si="102"/>
        <v>0</v>
      </c>
      <c r="J2726" s="1475"/>
      <c r="K2726" s="1439"/>
      <c r="L2726" s="1439"/>
      <c r="M2726" s="1439"/>
      <c r="N2726" s="1439"/>
      <c r="O2726" s="1439"/>
      <c r="P2726" s="1439"/>
      <c r="Q2726" s="1439"/>
      <c r="R2726" s="1439"/>
      <c r="S2726" s="1439"/>
      <c r="T2726" s="1439"/>
      <c r="U2726" s="1439"/>
      <c r="V2726" s="1439"/>
      <c r="W2726" s="1439"/>
      <c r="X2726" s="1439"/>
      <c r="Y2726" s="1439"/>
      <c r="Z2726" s="1439"/>
      <c r="AA2726" s="1439"/>
      <c r="AB2726" s="1439"/>
      <c r="AC2726" s="1439"/>
      <c r="AD2726" s="1439"/>
      <c r="AE2726" s="1439"/>
      <c r="AF2726" s="1439"/>
      <c r="AG2726" s="1439"/>
    </row>
    <row r="2727" spans="1:33" ht="15.75" customHeight="1">
      <c r="A2727" s="1451"/>
      <c r="B2727" s="1450" t="s">
        <v>7139</v>
      </c>
      <c r="C2727" s="1484">
        <v>1</v>
      </c>
      <c r="D2727" s="1484" t="s">
        <v>3364</v>
      </c>
      <c r="E2727" s="1484">
        <v>1</v>
      </c>
      <c r="F2727" s="1447">
        <v>8.6999999999999993</v>
      </c>
      <c r="G2727" s="1446">
        <v>5.0350000000000001</v>
      </c>
      <c r="H2727" s="1447"/>
      <c r="I2727" s="1479">
        <f t="shared" si="102"/>
        <v>43.8</v>
      </c>
      <c r="J2727" s="1475"/>
      <c r="K2727" s="1439"/>
      <c r="L2727" s="1439"/>
      <c r="M2727" s="1439"/>
      <c r="N2727" s="1439"/>
      <c r="O2727" s="1439"/>
      <c r="P2727" s="1439"/>
      <c r="Q2727" s="1439"/>
      <c r="R2727" s="1439"/>
      <c r="S2727" s="1439"/>
      <c r="T2727" s="1439"/>
      <c r="U2727" s="1439"/>
      <c r="V2727" s="1439"/>
      <c r="W2727" s="1439"/>
      <c r="X2727" s="1439"/>
      <c r="Y2727" s="1439"/>
      <c r="Z2727" s="1439"/>
      <c r="AA2727" s="1439"/>
      <c r="AB2727" s="1439"/>
      <c r="AC2727" s="1439"/>
      <c r="AD2727" s="1439"/>
      <c r="AE2727" s="1439"/>
      <c r="AF2727" s="1439"/>
      <c r="AG2727" s="1439"/>
    </row>
    <row r="2728" spans="1:33" ht="15.75" customHeight="1">
      <c r="A2728" s="1451"/>
      <c r="B2728" s="1450" t="s">
        <v>6910</v>
      </c>
      <c r="C2728" s="1484">
        <v>1</v>
      </c>
      <c r="D2728" s="1484" t="s">
        <v>3364</v>
      </c>
      <c r="E2728" s="1484">
        <v>1</v>
      </c>
      <c r="F2728" s="1447">
        <f>(F2727+G2727)*2</f>
        <v>27.47</v>
      </c>
      <c r="G2728" s="1446"/>
      <c r="H2728" s="1447">
        <v>0.1</v>
      </c>
      <c r="I2728" s="1479">
        <f t="shared" si="102"/>
        <v>2.75</v>
      </c>
      <c r="J2728" s="1475"/>
      <c r="K2728" s="1439"/>
      <c r="L2728" s="1439"/>
      <c r="M2728" s="1439"/>
      <c r="N2728" s="1439"/>
      <c r="O2728" s="1439"/>
      <c r="P2728" s="1439"/>
      <c r="Q2728" s="1439"/>
      <c r="R2728" s="1439"/>
      <c r="S2728" s="1439"/>
      <c r="T2728" s="1439"/>
      <c r="U2728" s="1439"/>
      <c r="V2728" s="1439"/>
      <c r="W2728" s="1439"/>
      <c r="X2728" s="1439"/>
      <c r="Y2728" s="1439"/>
      <c r="Z2728" s="1439"/>
      <c r="AA2728" s="1439"/>
      <c r="AB2728" s="1439"/>
      <c r="AC2728" s="1439"/>
      <c r="AD2728" s="1439"/>
      <c r="AE2728" s="1439"/>
      <c r="AF2728" s="1439"/>
      <c r="AG2728" s="1439"/>
    </row>
    <row r="2729" spans="1:33" ht="15.75" customHeight="1">
      <c r="A2729" s="1451"/>
      <c r="B2729" s="1450" t="s">
        <v>7315</v>
      </c>
      <c r="C2729" s="1484">
        <v>1</v>
      </c>
      <c r="D2729" s="1484" t="s">
        <v>3364</v>
      </c>
      <c r="E2729" s="1484">
        <v>1</v>
      </c>
      <c r="F2729" s="1447">
        <v>8.82</v>
      </c>
      <c r="G2729" s="1446">
        <v>3.43</v>
      </c>
      <c r="H2729" s="1447"/>
      <c r="I2729" s="1479">
        <f t="shared" si="102"/>
        <v>30.25</v>
      </c>
      <c r="J2729" s="1475"/>
      <c r="K2729" s="1439"/>
      <c r="L2729" s="1439"/>
      <c r="M2729" s="1439"/>
      <c r="N2729" s="1439"/>
      <c r="O2729" s="1439"/>
      <c r="P2729" s="1439"/>
      <c r="Q2729" s="1439"/>
      <c r="R2729" s="1439"/>
      <c r="S2729" s="1439"/>
      <c r="T2729" s="1439"/>
      <c r="U2729" s="1439"/>
      <c r="V2729" s="1439"/>
      <c r="W2729" s="1439"/>
      <c r="X2729" s="1439"/>
      <c r="Y2729" s="1439"/>
      <c r="Z2729" s="1439"/>
      <c r="AA2729" s="1439"/>
      <c r="AB2729" s="1439"/>
      <c r="AC2729" s="1439"/>
      <c r="AD2729" s="1439"/>
      <c r="AE2729" s="1439"/>
      <c r="AF2729" s="1439"/>
      <c r="AG2729" s="1439"/>
    </row>
    <row r="2730" spans="1:33" ht="15.75" customHeight="1">
      <c r="A2730" s="1451"/>
      <c r="B2730" s="1450" t="s">
        <v>6910</v>
      </c>
      <c r="C2730" s="1484">
        <v>1</v>
      </c>
      <c r="D2730" s="1484" t="s">
        <v>3364</v>
      </c>
      <c r="E2730" s="1484">
        <v>1</v>
      </c>
      <c r="F2730" s="1447">
        <f>(F2729+G2729)*2</f>
        <v>24.5</v>
      </c>
      <c r="G2730" s="1446"/>
      <c r="H2730" s="1447">
        <v>0.1</v>
      </c>
      <c r="I2730" s="1479">
        <f t="shared" si="102"/>
        <v>2.4500000000000002</v>
      </c>
      <c r="J2730" s="1475"/>
      <c r="K2730" s="1439"/>
      <c r="L2730" s="1439"/>
      <c r="M2730" s="1439"/>
      <c r="N2730" s="1439"/>
      <c r="O2730" s="1439"/>
      <c r="P2730" s="1439"/>
      <c r="Q2730" s="1439"/>
      <c r="R2730" s="1439"/>
      <c r="S2730" s="1439"/>
      <c r="T2730" s="1439"/>
      <c r="U2730" s="1439"/>
      <c r="V2730" s="1439"/>
      <c r="W2730" s="1439"/>
      <c r="X2730" s="1439"/>
      <c r="Y2730" s="1439"/>
      <c r="Z2730" s="1439"/>
      <c r="AA2730" s="1439"/>
      <c r="AB2730" s="1439"/>
      <c r="AC2730" s="1439"/>
      <c r="AD2730" s="1439"/>
      <c r="AE2730" s="1439"/>
      <c r="AF2730" s="1439"/>
      <c r="AG2730" s="1439"/>
    </row>
    <row r="2731" spans="1:33" ht="15.75" customHeight="1">
      <c r="A2731" s="1451"/>
      <c r="B2731" s="1450" t="s">
        <v>7140</v>
      </c>
      <c r="C2731" s="1484">
        <v>1</v>
      </c>
      <c r="D2731" s="1484" t="s">
        <v>3364</v>
      </c>
      <c r="E2731" s="1484">
        <v>1</v>
      </c>
      <c r="F2731" s="1447">
        <v>4.13</v>
      </c>
      <c r="G2731" s="1446">
        <v>3.23</v>
      </c>
      <c r="H2731" s="1447"/>
      <c r="I2731" s="1479">
        <f t="shared" si="102"/>
        <v>13.34</v>
      </c>
      <c r="J2731" s="1475"/>
      <c r="K2731" s="1439"/>
      <c r="L2731" s="1439"/>
      <c r="M2731" s="1439"/>
      <c r="N2731" s="1439"/>
      <c r="O2731" s="1439"/>
      <c r="P2731" s="1439"/>
      <c r="Q2731" s="1439"/>
      <c r="R2731" s="1439"/>
      <c r="S2731" s="1439"/>
      <c r="T2731" s="1439"/>
      <c r="U2731" s="1439"/>
      <c r="V2731" s="1439"/>
      <c r="W2731" s="1439"/>
      <c r="X2731" s="1439"/>
      <c r="Y2731" s="1439"/>
      <c r="Z2731" s="1439"/>
      <c r="AA2731" s="1439"/>
      <c r="AB2731" s="1439"/>
      <c r="AC2731" s="1439"/>
      <c r="AD2731" s="1439"/>
      <c r="AE2731" s="1439"/>
      <c r="AF2731" s="1439"/>
      <c r="AG2731" s="1439"/>
    </row>
    <row r="2732" spans="1:33" ht="15.75" customHeight="1">
      <c r="A2732" s="1451"/>
      <c r="B2732" s="1450" t="s">
        <v>6910</v>
      </c>
      <c r="C2732" s="1484">
        <v>1</v>
      </c>
      <c r="D2732" s="1484" t="s">
        <v>3364</v>
      </c>
      <c r="E2732" s="1484">
        <v>1</v>
      </c>
      <c r="F2732" s="1447">
        <f>(F2731+G2731)*2</f>
        <v>14.72</v>
      </c>
      <c r="G2732" s="1446"/>
      <c r="H2732" s="1447">
        <v>0.1</v>
      </c>
      <c r="I2732" s="1479">
        <f t="shared" si="102"/>
        <v>1.47</v>
      </c>
      <c r="J2732" s="1475"/>
      <c r="K2732" s="1439"/>
      <c r="L2732" s="1439"/>
      <c r="M2732" s="1439"/>
      <c r="N2732" s="1439"/>
      <c r="O2732" s="1439"/>
      <c r="P2732" s="1439"/>
      <c r="Q2732" s="1439"/>
      <c r="R2732" s="1439"/>
      <c r="S2732" s="1439"/>
      <c r="T2732" s="1439"/>
      <c r="U2732" s="1439"/>
      <c r="V2732" s="1439"/>
      <c r="W2732" s="1439"/>
      <c r="X2732" s="1439"/>
      <c r="Y2732" s="1439"/>
      <c r="Z2732" s="1439"/>
      <c r="AA2732" s="1439"/>
      <c r="AB2732" s="1439"/>
      <c r="AC2732" s="1439"/>
      <c r="AD2732" s="1439"/>
      <c r="AE2732" s="1439"/>
      <c r="AF2732" s="1439"/>
      <c r="AG2732" s="1439"/>
    </row>
    <row r="2733" spans="1:33" ht="15.75" customHeight="1">
      <c r="A2733" s="1451"/>
      <c r="B2733" s="1450" t="s">
        <v>6737</v>
      </c>
      <c r="C2733" s="1484">
        <v>1</v>
      </c>
      <c r="D2733" s="1484" t="s">
        <v>3364</v>
      </c>
      <c r="E2733" s="1484">
        <v>1</v>
      </c>
      <c r="F2733" s="1447">
        <v>9.66</v>
      </c>
      <c r="G2733" s="1446">
        <v>2</v>
      </c>
      <c r="H2733" s="1447"/>
      <c r="I2733" s="1479">
        <f t="shared" si="102"/>
        <v>19.32</v>
      </c>
      <c r="J2733" s="1475"/>
      <c r="K2733" s="1439"/>
      <c r="L2733" s="1439"/>
      <c r="M2733" s="1439"/>
      <c r="N2733" s="1439"/>
      <c r="O2733" s="1439"/>
      <c r="P2733" s="1439"/>
      <c r="Q2733" s="1439"/>
      <c r="R2733" s="1439"/>
      <c r="S2733" s="1439"/>
      <c r="T2733" s="1439"/>
      <c r="U2733" s="1439"/>
      <c r="V2733" s="1439"/>
      <c r="W2733" s="1439"/>
      <c r="X2733" s="1439"/>
      <c r="Y2733" s="1439"/>
      <c r="Z2733" s="1439"/>
      <c r="AA2733" s="1439"/>
      <c r="AB2733" s="1439"/>
      <c r="AC2733" s="1439"/>
      <c r="AD2733" s="1439"/>
      <c r="AE2733" s="1439"/>
      <c r="AF2733" s="1439"/>
      <c r="AG2733" s="1439"/>
    </row>
    <row r="2734" spans="1:33" ht="15.75" customHeight="1">
      <c r="A2734" s="1451"/>
      <c r="B2734" s="1450" t="s">
        <v>6910</v>
      </c>
      <c r="C2734" s="1484">
        <v>1</v>
      </c>
      <c r="D2734" s="1484" t="s">
        <v>3364</v>
      </c>
      <c r="E2734" s="1484">
        <v>1</v>
      </c>
      <c r="F2734" s="1447">
        <f>(F2733+G2733)*2</f>
        <v>23.32</v>
      </c>
      <c r="G2734" s="1446"/>
      <c r="H2734" s="1447">
        <v>0.1</v>
      </c>
      <c r="I2734" s="1479">
        <f t="shared" si="102"/>
        <v>2.33</v>
      </c>
      <c r="J2734" s="1475"/>
      <c r="K2734" s="1439"/>
      <c r="L2734" s="1439"/>
      <c r="M2734" s="1439"/>
      <c r="N2734" s="1439"/>
      <c r="O2734" s="1439"/>
      <c r="P2734" s="1439"/>
      <c r="Q2734" s="1439"/>
      <c r="R2734" s="1439"/>
      <c r="S2734" s="1439"/>
      <c r="T2734" s="1439"/>
      <c r="U2734" s="1439"/>
      <c r="V2734" s="1439"/>
      <c r="W2734" s="1439"/>
      <c r="X2734" s="1439"/>
      <c r="Y2734" s="1439"/>
      <c r="Z2734" s="1439"/>
      <c r="AA2734" s="1439"/>
      <c r="AB2734" s="1439"/>
      <c r="AC2734" s="1439"/>
      <c r="AD2734" s="1439"/>
      <c r="AE2734" s="1439"/>
      <c r="AF2734" s="1439"/>
      <c r="AG2734" s="1439"/>
    </row>
    <row r="2735" spans="1:33" ht="15.75" customHeight="1">
      <c r="A2735" s="1451"/>
      <c r="B2735" s="1455" t="s">
        <v>7556</v>
      </c>
      <c r="C2735" s="1484"/>
      <c r="D2735" s="1484"/>
      <c r="E2735" s="1484"/>
      <c r="F2735" s="1447"/>
      <c r="G2735" s="1484"/>
      <c r="H2735" s="1447"/>
      <c r="I2735" s="1479">
        <f t="shared" si="102"/>
        <v>0</v>
      </c>
      <c r="J2735" s="1475"/>
      <c r="K2735" s="1439"/>
      <c r="L2735" s="1439"/>
      <c r="M2735" s="1439"/>
      <c r="N2735" s="1439"/>
      <c r="O2735" s="1439"/>
      <c r="P2735" s="1439"/>
      <c r="Q2735" s="1439"/>
      <c r="R2735" s="1439"/>
      <c r="S2735" s="1439"/>
      <c r="T2735" s="1439"/>
      <c r="U2735" s="1439"/>
      <c r="V2735" s="1439"/>
      <c r="W2735" s="1439"/>
      <c r="X2735" s="1439"/>
      <c r="Y2735" s="1439"/>
      <c r="Z2735" s="1439"/>
      <c r="AA2735" s="1439"/>
      <c r="AB2735" s="1439"/>
      <c r="AC2735" s="1439"/>
      <c r="AD2735" s="1439"/>
      <c r="AE2735" s="1439"/>
      <c r="AF2735" s="1439"/>
      <c r="AG2735" s="1439"/>
    </row>
    <row r="2736" spans="1:33" ht="15.75" customHeight="1">
      <c r="A2736" s="1451"/>
      <c r="B2736" s="1450" t="s">
        <v>7315</v>
      </c>
      <c r="C2736" s="1484">
        <v>1</v>
      </c>
      <c r="D2736" s="1484" t="s">
        <v>3364</v>
      </c>
      <c r="E2736" s="1484">
        <v>1</v>
      </c>
      <c r="F2736" s="1447">
        <v>8.82</v>
      </c>
      <c r="G2736" s="1484">
        <v>3.43</v>
      </c>
      <c r="H2736" s="1447"/>
      <c r="I2736" s="1479">
        <f t="shared" si="102"/>
        <v>30.25</v>
      </c>
      <c r="J2736" s="1475"/>
      <c r="K2736" s="1439"/>
      <c r="L2736" s="1439"/>
      <c r="M2736" s="1439"/>
      <c r="N2736" s="1439"/>
      <c r="O2736" s="1439"/>
      <c r="P2736" s="1439"/>
      <c r="Q2736" s="1439"/>
      <c r="R2736" s="1439"/>
      <c r="S2736" s="1439"/>
      <c r="T2736" s="1439"/>
      <c r="U2736" s="1439"/>
      <c r="V2736" s="1439"/>
      <c r="W2736" s="1439"/>
      <c r="X2736" s="1439"/>
      <c r="Y2736" s="1439"/>
      <c r="Z2736" s="1439"/>
      <c r="AA2736" s="1439"/>
      <c r="AB2736" s="1439"/>
      <c r="AC2736" s="1439"/>
      <c r="AD2736" s="1439"/>
      <c r="AE2736" s="1439"/>
      <c r="AF2736" s="1439"/>
      <c r="AG2736" s="1439"/>
    </row>
    <row r="2737" spans="1:33" ht="15.75" customHeight="1">
      <c r="A2737" s="1451"/>
      <c r="B2737" s="1450" t="s">
        <v>6910</v>
      </c>
      <c r="C2737" s="1484">
        <v>1</v>
      </c>
      <c r="D2737" s="1484" t="s">
        <v>3364</v>
      </c>
      <c r="E2737" s="1484">
        <v>1</v>
      </c>
      <c r="F2737" s="1447">
        <f>(F2736+G2736)*2</f>
        <v>24.5</v>
      </c>
      <c r="G2737" s="1484"/>
      <c r="H2737" s="1447">
        <v>0.1</v>
      </c>
      <c r="I2737" s="1479">
        <f t="shared" si="102"/>
        <v>2.4500000000000002</v>
      </c>
      <c r="J2737" s="1475"/>
      <c r="K2737" s="1439"/>
      <c r="L2737" s="1439"/>
      <c r="M2737" s="1439"/>
      <c r="N2737" s="1439"/>
      <c r="O2737" s="1439"/>
      <c r="P2737" s="1439"/>
      <c r="Q2737" s="1439"/>
      <c r="R2737" s="1439"/>
      <c r="S2737" s="1439"/>
      <c r="T2737" s="1439"/>
      <c r="U2737" s="1439"/>
      <c r="V2737" s="1439"/>
      <c r="W2737" s="1439"/>
      <c r="X2737" s="1439"/>
      <c r="Y2737" s="1439"/>
      <c r="Z2737" s="1439"/>
      <c r="AA2737" s="1439"/>
      <c r="AB2737" s="1439"/>
      <c r="AC2737" s="1439"/>
      <c r="AD2737" s="1439"/>
      <c r="AE2737" s="1439"/>
      <c r="AF2737" s="1439"/>
      <c r="AG2737" s="1439"/>
    </row>
    <row r="2738" spans="1:33" ht="15.75" customHeight="1">
      <c r="A2738" s="1451"/>
      <c r="B2738" s="1450" t="s">
        <v>7140</v>
      </c>
      <c r="C2738" s="1484">
        <v>1</v>
      </c>
      <c r="D2738" s="1484" t="s">
        <v>3364</v>
      </c>
      <c r="E2738" s="1484">
        <v>1</v>
      </c>
      <c r="F2738" s="1447">
        <v>4.13</v>
      </c>
      <c r="G2738" s="1484">
        <v>3.23</v>
      </c>
      <c r="H2738" s="1447"/>
      <c r="I2738" s="1479">
        <f t="shared" si="102"/>
        <v>13.34</v>
      </c>
      <c r="J2738" s="1475"/>
      <c r="K2738" s="1439"/>
      <c r="L2738" s="1439"/>
      <c r="M2738" s="1439"/>
      <c r="N2738" s="1439"/>
      <c r="O2738" s="1439"/>
      <c r="P2738" s="1439"/>
      <c r="Q2738" s="1439"/>
      <c r="R2738" s="1439"/>
      <c r="S2738" s="1439"/>
      <c r="T2738" s="1439"/>
      <c r="U2738" s="1439"/>
      <c r="V2738" s="1439"/>
      <c r="W2738" s="1439"/>
      <c r="X2738" s="1439"/>
      <c r="Y2738" s="1439"/>
      <c r="Z2738" s="1439"/>
      <c r="AA2738" s="1439"/>
      <c r="AB2738" s="1439"/>
      <c r="AC2738" s="1439"/>
      <c r="AD2738" s="1439"/>
      <c r="AE2738" s="1439"/>
      <c r="AF2738" s="1439"/>
      <c r="AG2738" s="1439"/>
    </row>
    <row r="2739" spans="1:33" ht="15.75" customHeight="1">
      <c r="A2739" s="1451"/>
      <c r="B2739" s="1450" t="s">
        <v>6910</v>
      </c>
      <c r="C2739" s="1484">
        <v>1</v>
      </c>
      <c r="D2739" s="1484" t="s">
        <v>3364</v>
      </c>
      <c r="E2739" s="1484">
        <v>2</v>
      </c>
      <c r="F2739" s="1447">
        <f>(F2738+G2738)*2</f>
        <v>14.72</v>
      </c>
      <c r="G2739" s="1484"/>
      <c r="H2739" s="1447">
        <v>0.1</v>
      </c>
      <c r="I2739" s="1479">
        <f t="shared" si="102"/>
        <v>2.94</v>
      </c>
      <c r="J2739" s="1475"/>
      <c r="K2739" s="1439"/>
      <c r="L2739" s="1439"/>
      <c r="M2739" s="1439"/>
      <c r="N2739" s="1439"/>
      <c r="O2739" s="1439"/>
      <c r="P2739" s="1439"/>
      <c r="Q2739" s="1439"/>
      <c r="R2739" s="1439"/>
      <c r="S2739" s="1439"/>
      <c r="T2739" s="1439"/>
      <c r="U2739" s="1439"/>
      <c r="V2739" s="1439"/>
      <c r="W2739" s="1439"/>
      <c r="X2739" s="1439"/>
      <c r="Y2739" s="1439"/>
      <c r="Z2739" s="1439"/>
      <c r="AA2739" s="1439"/>
      <c r="AB2739" s="1439"/>
      <c r="AC2739" s="1439"/>
      <c r="AD2739" s="1439"/>
      <c r="AE2739" s="1439"/>
      <c r="AF2739" s="1439"/>
      <c r="AG2739" s="1439"/>
    </row>
    <row r="2740" spans="1:33" ht="15.75" customHeight="1">
      <c r="A2740" s="1451"/>
      <c r="B2740" s="1450" t="s">
        <v>6737</v>
      </c>
      <c r="C2740" s="1484">
        <v>1</v>
      </c>
      <c r="D2740" s="1484" t="s">
        <v>3364</v>
      </c>
      <c r="E2740" s="1484">
        <v>1</v>
      </c>
      <c r="F2740" s="1447">
        <v>9.66</v>
      </c>
      <c r="G2740" s="1447">
        <v>2</v>
      </c>
      <c r="H2740" s="1447"/>
      <c r="I2740" s="1479">
        <f t="shared" si="102"/>
        <v>19.32</v>
      </c>
      <c r="J2740" s="1475"/>
      <c r="K2740" s="1439"/>
      <c r="L2740" s="1439"/>
      <c r="M2740" s="1439"/>
      <c r="N2740" s="1439"/>
      <c r="O2740" s="1439"/>
      <c r="P2740" s="1439"/>
      <c r="Q2740" s="1439"/>
      <c r="R2740" s="1439"/>
      <c r="S2740" s="1439"/>
      <c r="T2740" s="1439"/>
      <c r="U2740" s="1439"/>
      <c r="V2740" s="1439"/>
      <c r="W2740" s="1439"/>
      <c r="X2740" s="1439"/>
      <c r="Y2740" s="1439"/>
      <c r="Z2740" s="1439"/>
      <c r="AA2740" s="1439"/>
      <c r="AB2740" s="1439"/>
      <c r="AC2740" s="1439"/>
      <c r="AD2740" s="1439"/>
      <c r="AE2740" s="1439"/>
      <c r="AF2740" s="1439"/>
      <c r="AG2740" s="1439"/>
    </row>
    <row r="2741" spans="1:33" ht="15.75" customHeight="1">
      <c r="A2741" s="1451"/>
      <c r="B2741" s="1450" t="s">
        <v>6910</v>
      </c>
      <c r="C2741" s="1484">
        <v>1</v>
      </c>
      <c r="D2741" s="1484" t="s">
        <v>3364</v>
      </c>
      <c r="E2741" s="1484">
        <v>1</v>
      </c>
      <c r="F2741" s="1447">
        <f>(F2740+G2740)*2</f>
        <v>23.32</v>
      </c>
      <c r="G2741" s="1447"/>
      <c r="H2741" s="1447">
        <v>0.1</v>
      </c>
      <c r="I2741" s="1479">
        <f t="shared" si="102"/>
        <v>2.33</v>
      </c>
      <c r="J2741" s="1475"/>
      <c r="K2741" s="1439"/>
      <c r="L2741" s="1439"/>
      <c r="M2741" s="1439"/>
      <c r="N2741" s="1439"/>
      <c r="O2741" s="1439"/>
      <c r="P2741" s="1439"/>
      <c r="Q2741" s="1439"/>
      <c r="R2741" s="1439"/>
      <c r="S2741" s="1439"/>
      <c r="T2741" s="1439"/>
      <c r="U2741" s="1439"/>
      <c r="V2741" s="1439"/>
      <c r="W2741" s="1439"/>
      <c r="X2741" s="1439"/>
      <c r="Y2741" s="1439"/>
      <c r="Z2741" s="1439"/>
      <c r="AA2741" s="1439"/>
      <c r="AB2741" s="1439"/>
      <c r="AC2741" s="1439"/>
      <c r="AD2741" s="1439"/>
      <c r="AE2741" s="1439"/>
      <c r="AF2741" s="1439"/>
      <c r="AG2741" s="1439"/>
    </row>
    <row r="2742" spans="1:33" ht="15.75" customHeight="1">
      <c r="A2742" s="1470"/>
      <c r="B2742" s="1444"/>
      <c r="C2742" s="1484"/>
      <c r="D2742" s="1484"/>
      <c r="E2742" s="1537"/>
      <c r="F2742" s="1446"/>
      <c r="G2742" s="1446"/>
      <c r="H2742" s="1447"/>
      <c r="I2742" s="1494">
        <f>SUM(I2715:I2741)</f>
        <v>350.27</v>
      </c>
      <c r="J2742" s="1475"/>
      <c r="K2742" s="1565"/>
      <c r="L2742" s="1439"/>
      <c r="M2742" s="1439"/>
      <c r="N2742" s="1439"/>
      <c r="O2742" s="1439"/>
      <c r="P2742" s="1439"/>
      <c r="Q2742" s="1439"/>
      <c r="R2742" s="1439"/>
      <c r="S2742" s="1439"/>
      <c r="T2742" s="1439"/>
      <c r="U2742" s="1439"/>
      <c r="V2742" s="1439"/>
      <c r="W2742" s="1439"/>
      <c r="X2742" s="1439"/>
      <c r="Y2742" s="1439"/>
      <c r="Z2742" s="1439"/>
      <c r="AA2742" s="1439"/>
      <c r="AB2742" s="1439"/>
      <c r="AC2742" s="1439"/>
      <c r="AD2742" s="1439"/>
      <c r="AE2742" s="1439"/>
      <c r="AF2742" s="1439"/>
      <c r="AG2742" s="1439"/>
    </row>
    <row r="2743" spans="1:33" ht="15.75" customHeight="1">
      <c r="A2743" s="1470"/>
      <c r="B2743" s="1480"/>
      <c r="C2743" s="1484"/>
      <c r="D2743" s="1484"/>
      <c r="E2743" s="1484"/>
      <c r="F2743" s="1446"/>
      <c r="G2743" s="1446"/>
      <c r="H2743" s="1447" t="s">
        <v>2981</v>
      </c>
      <c r="I2743" s="1479">
        <f>CEILING(I2742,0.1)</f>
        <v>350.3</v>
      </c>
      <c r="J2743" s="1475" t="s">
        <v>724</v>
      </c>
      <c r="K2743" s="1439"/>
      <c r="L2743" s="1439"/>
      <c r="M2743" s="1439"/>
      <c r="N2743" s="1439"/>
      <c r="O2743" s="1439"/>
      <c r="P2743" s="1439"/>
      <c r="Q2743" s="1439"/>
      <c r="R2743" s="1439"/>
      <c r="S2743" s="1439"/>
      <c r="T2743" s="1439"/>
      <c r="U2743" s="1439"/>
      <c r="V2743" s="1439"/>
      <c r="W2743" s="1439"/>
      <c r="X2743" s="1439"/>
      <c r="Y2743" s="1439"/>
      <c r="Z2743" s="1439"/>
      <c r="AA2743" s="1439"/>
      <c r="AB2743" s="1439"/>
      <c r="AC2743" s="1439"/>
      <c r="AD2743" s="1439"/>
      <c r="AE2743" s="1439"/>
      <c r="AF2743" s="1439"/>
      <c r="AG2743" s="1439"/>
    </row>
    <row r="2744" spans="1:33" ht="15.75" customHeight="1">
      <c r="A2744" s="1451"/>
      <c r="B2744" s="1450"/>
      <c r="C2744" s="1484"/>
      <c r="D2744" s="1484"/>
      <c r="E2744" s="1484"/>
      <c r="F2744" s="1446"/>
      <c r="G2744" s="1446"/>
      <c r="H2744" s="1447"/>
      <c r="I2744" s="1494"/>
      <c r="J2744" s="1492"/>
      <c r="K2744" s="1439"/>
      <c r="L2744" s="1439"/>
      <c r="M2744" s="1439"/>
      <c r="N2744" s="1439"/>
      <c r="O2744" s="1439"/>
      <c r="P2744" s="1439"/>
      <c r="Q2744" s="1439"/>
      <c r="R2744" s="1439"/>
      <c r="S2744" s="1439"/>
      <c r="T2744" s="1439"/>
      <c r="U2744" s="1439"/>
      <c r="V2744" s="1439"/>
      <c r="W2744" s="1439"/>
      <c r="X2744" s="1439"/>
      <c r="Y2744" s="1439"/>
      <c r="Z2744" s="1439"/>
      <c r="AA2744" s="1439"/>
      <c r="AB2744" s="1439"/>
      <c r="AC2744" s="1439"/>
      <c r="AD2744" s="1439"/>
      <c r="AE2744" s="1439"/>
      <c r="AF2744" s="1439"/>
      <c r="AG2744" s="1439"/>
    </row>
    <row r="2745" spans="1:33" ht="47.25">
      <c r="A2745" s="1470">
        <v>31.3</v>
      </c>
      <c r="B2745" s="1450" t="s">
        <v>3717</v>
      </c>
      <c r="C2745" s="1484"/>
      <c r="D2745" s="1484"/>
      <c r="E2745" s="1484"/>
      <c r="F2745" s="1446"/>
      <c r="G2745" s="1446"/>
      <c r="H2745" s="1447"/>
      <c r="I2745" s="1448"/>
      <c r="J2745" s="1475"/>
      <c r="K2745" s="1439"/>
      <c r="L2745" s="1439"/>
      <c r="M2745" s="1439"/>
      <c r="N2745" s="1439"/>
      <c r="O2745" s="1439"/>
      <c r="P2745" s="1439"/>
      <c r="Q2745" s="1439"/>
      <c r="R2745" s="1439"/>
      <c r="S2745" s="1439"/>
      <c r="T2745" s="1439"/>
      <c r="U2745" s="1439"/>
      <c r="V2745" s="1439"/>
      <c r="W2745" s="1439"/>
      <c r="X2745" s="1439"/>
      <c r="Y2745" s="1439"/>
      <c r="Z2745" s="1439"/>
      <c r="AA2745" s="1439"/>
      <c r="AB2745" s="1439"/>
      <c r="AC2745" s="1439"/>
      <c r="AD2745" s="1439"/>
      <c r="AE2745" s="1439"/>
      <c r="AF2745" s="1439"/>
      <c r="AG2745" s="1439"/>
    </row>
    <row r="2746" spans="1:33" ht="15.75" customHeight="1">
      <c r="A2746" s="1470"/>
      <c r="B2746" s="1450" t="s">
        <v>6935</v>
      </c>
      <c r="C2746" s="1484">
        <v>1</v>
      </c>
      <c r="D2746" s="1484" t="s">
        <v>3364</v>
      </c>
      <c r="E2746" s="1484">
        <v>1</v>
      </c>
      <c r="F2746" s="1446">
        <f>27.89-0.46</f>
        <v>27.43</v>
      </c>
      <c r="G2746" s="1446">
        <v>17</v>
      </c>
      <c r="H2746" s="1447"/>
      <c r="I2746" s="1479">
        <f t="shared" ref="I2746:I2753" si="103">PRODUCT(C2746:H2746)</f>
        <v>466.31</v>
      </c>
      <c r="J2746" s="1475"/>
      <c r="K2746" s="1439"/>
      <c r="L2746" s="1439"/>
      <c r="M2746" s="1439"/>
      <c r="N2746" s="1439"/>
      <c r="O2746" s="1439"/>
      <c r="P2746" s="1439"/>
      <c r="Q2746" s="1439"/>
      <c r="R2746" s="1439"/>
      <c r="S2746" s="1439"/>
      <c r="T2746" s="1439"/>
      <c r="U2746" s="1439"/>
      <c r="V2746" s="1439"/>
      <c r="W2746" s="1439"/>
      <c r="X2746" s="1439"/>
      <c r="Y2746" s="1439"/>
      <c r="Z2746" s="1439"/>
      <c r="AA2746" s="1439"/>
      <c r="AB2746" s="1439"/>
      <c r="AC2746" s="1439"/>
      <c r="AD2746" s="1439"/>
      <c r="AE2746" s="1439"/>
      <c r="AF2746" s="1439"/>
      <c r="AG2746" s="1439"/>
    </row>
    <row r="2747" spans="1:33" ht="15.75" customHeight="1">
      <c r="A2747" s="1470"/>
      <c r="B2747" s="1450" t="s">
        <v>6910</v>
      </c>
      <c r="C2747" s="1484">
        <v>1</v>
      </c>
      <c r="D2747" s="1484" t="s">
        <v>3364</v>
      </c>
      <c r="E2747" s="1484">
        <v>1</v>
      </c>
      <c r="F2747" s="1446">
        <f>(F2746+G2746)*2</f>
        <v>88.86</v>
      </c>
      <c r="G2747" s="1446"/>
      <c r="H2747" s="1447">
        <v>0.1</v>
      </c>
      <c r="I2747" s="1479">
        <f t="shared" si="103"/>
        <v>8.89</v>
      </c>
      <c r="J2747" s="1475"/>
      <c r="K2747" s="1439"/>
      <c r="L2747" s="1439"/>
      <c r="M2747" s="1439"/>
      <c r="N2747" s="1439"/>
      <c r="O2747" s="1439"/>
      <c r="P2747" s="1439"/>
      <c r="Q2747" s="1439"/>
      <c r="R2747" s="1439"/>
      <c r="S2747" s="1439"/>
      <c r="T2747" s="1439"/>
      <c r="U2747" s="1439"/>
      <c r="V2747" s="1439"/>
      <c r="W2747" s="1439"/>
      <c r="X2747" s="1439"/>
      <c r="Y2747" s="1439"/>
      <c r="Z2747" s="1439"/>
      <c r="AA2747" s="1439"/>
      <c r="AB2747" s="1439"/>
      <c r="AC2747" s="1439"/>
      <c r="AD2747" s="1439"/>
      <c r="AE2747" s="1439"/>
      <c r="AF2747" s="1439"/>
      <c r="AG2747" s="1439"/>
    </row>
    <row r="2748" spans="1:33" ht="15.75" customHeight="1">
      <c r="A2748" s="1470"/>
      <c r="B2748" s="1450" t="s">
        <v>7337</v>
      </c>
      <c r="C2748" s="1484">
        <v>1</v>
      </c>
      <c r="D2748" s="1484" t="s">
        <v>3364</v>
      </c>
      <c r="E2748" s="1484">
        <v>1</v>
      </c>
      <c r="F2748" s="1446">
        <v>7.26</v>
      </c>
      <c r="G2748" s="1446">
        <v>3.43</v>
      </c>
      <c r="H2748" s="1447"/>
      <c r="I2748" s="1479">
        <f t="shared" si="103"/>
        <v>24.9</v>
      </c>
      <c r="J2748" s="1475"/>
      <c r="K2748" s="1439"/>
      <c r="L2748" s="1439"/>
      <c r="M2748" s="1439"/>
      <c r="N2748" s="1439"/>
      <c r="O2748" s="1439"/>
      <c r="P2748" s="1439"/>
      <c r="Q2748" s="1439"/>
      <c r="R2748" s="1439"/>
      <c r="S2748" s="1439"/>
      <c r="T2748" s="1439"/>
      <c r="U2748" s="1439"/>
      <c r="V2748" s="1439"/>
      <c r="W2748" s="1439"/>
      <c r="X2748" s="1439"/>
      <c r="Y2748" s="1439"/>
      <c r="Z2748" s="1439"/>
      <c r="AA2748" s="1439"/>
      <c r="AB2748" s="1439"/>
      <c r="AC2748" s="1439"/>
      <c r="AD2748" s="1439"/>
      <c r="AE2748" s="1439"/>
      <c r="AF2748" s="1439"/>
      <c r="AG2748" s="1439"/>
    </row>
    <row r="2749" spans="1:33" ht="15.75" customHeight="1">
      <c r="A2749" s="1470"/>
      <c r="B2749" s="1450" t="s">
        <v>6910</v>
      </c>
      <c r="C2749" s="1484">
        <v>1</v>
      </c>
      <c r="D2749" s="1484" t="s">
        <v>3364</v>
      </c>
      <c r="E2749" s="1484">
        <v>1</v>
      </c>
      <c r="F2749" s="1446">
        <v>18.2</v>
      </c>
      <c r="G2749" s="1446"/>
      <c r="H2749" s="1447">
        <v>0.1</v>
      </c>
      <c r="I2749" s="1479">
        <f t="shared" si="103"/>
        <v>1.82</v>
      </c>
      <c r="J2749" s="1475"/>
      <c r="K2749" s="1439"/>
      <c r="L2749" s="1439"/>
      <c r="M2749" s="1439"/>
      <c r="N2749" s="1439"/>
      <c r="O2749" s="1439"/>
      <c r="P2749" s="1439"/>
      <c r="Q2749" s="1439"/>
      <c r="R2749" s="1439"/>
      <c r="S2749" s="1439"/>
      <c r="T2749" s="1439"/>
      <c r="U2749" s="1439"/>
      <c r="V2749" s="1439"/>
      <c r="W2749" s="1439"/>
      <c r="X2749" s="1439"/>
      <c r="Y2749" s="1439"/>
      <c r="Z2749" s="1439"/>
      <c r="AA2749" s="1439"/>
      <c r="AB2749" s="1439"/>
      <c r="AC2749" s="1439"/>
      <c r="AD2749" s="1439"/>
      <c r="AE2749" s="1439"/>
      <c r="AF2749" s="1439"/>
      <c r="AG2749" s="1439"/>
    </row>
    <row r="2750" spans="1:33" ht="15.75" customHeight="1">
      <c r="A2750" s="1470"/>
      <c r="B2750" s="1450" t="s">
        <v>6617</v>
      </c>
      <c r="C2750" s="1484">
        <v>1</v>
      </c>
      <c r="D2750" s="1484" t="s">
        <v>3364</v>
      </c>
      <c r="E2750" s="1484">
        <v>1</v>
      </c>
      <c r="F2750" s="1446">
        <v>3.43</v>
      </c>
      <c r="G2750" s="1446">
        <v>8.82</v>
      </c>
      <c r="H2750" s="1447"/>
      <c r="I2750" s="1479">
        <f t="shared" si="103"/>
        <v>30.25</v>
      </c>
      <c r="J2750" s="1475"/>
      <c r="K2750" s="1439"/>
      <c r="L2750" s="1439"/>
      <c r="M2750" s="1439"/>
      <c r="N2750" s="1439"/>
      <c r="O2750" s="1439"/>
      <c r="P2750" s="1439"/>
      <c r="Q2750" s="1439"/>
      <c r="R2750" s="1439"/>
      <c r="S2750" s="1439"/>
      <c r="T2750" s="1439"/>
      <c r="U2750" s="1439"/>
      <c r="V2750" s="1439"/>
      <c r="W2750" s="1439"/>
      <c r="X2750" s="1439"/>
      <c r="Y2750" s="1439"/>
      <c r="Z2750" s="1439"/>
      <c r="AA2750" s="1439"/>
      <c r="AB2750" s="1439"/>
      <c r="AC2750" s="1439"/>
      <c r="AD2750" s="1439"/>
      <c r="AE2750" s="1439"/>
      <c r="AF2750" s="1439"/>
      <c r="AG2750" s="1439"/>
    </row>
    <row r="2751" spans="1:33" ht="15.75" customHeight="1">
      <c r="A2751" s="1470"/>
      <c r="B2751" s="1450" t="s">
        <v>6910</v>
      </c>
      <c r="C2751" s="1484">
        <v>1</v>
      </c>
      <c r="D2751" s="1484" t="s">
        <v>3364</v>
      </c>
      <c r="E2751" s="1484">
        <v>1</v>
      </c>
      <c r="F2751" s="1446">
        <v>44.32</v>
      </c>
      <c r="G2751" s="1446"/>
      <c r="H2751" s="1447">
        <v>0.1</v>
      </c>
      <c r="I2751" s="1479">
        <f t="shared" si="103"/>
        <v>4.43</v>
      </c>
      <c r="J2751" s="1475"/>
      <c r="K2751" s="1439"/>
      <c r="L2751" s="1439"/>
      <c r="M2751" s="1439"/>
      <c r="N2751" s="1439"/>
      <c r="O2751" s="1439"/>
      <c r="P2751" s="1439"/>
      <c r="Q2751" s="1439"/>
      <c r="R2751" s="1439"/>
      <c r="S2751" s="1439"/>
      <c r="T2751" s="1439"/>
      <c r="U2751" s="1439"/>
      <c r="V2751" s="1439"/>
      <c r="W2751" s="1439"/>
      <c r="X2751" s="1439"/>
      <c r="Y2751" s="1439"/>
      <c r="Z2751" s="1439"/>
      <c r="AA2751" s="1439"/>
      <c r="AB2751" s="1439"/>
      <c r="AC2751" s="1439"/>
      <c r="AD2751" s="1439"/>
      <c r="AE2751" s="1439"/>
      <c r="AF2751" s="1439"/>
      <c r="AG2751" s="1439"/>
    </row>
    <row r="2752" spans="1:33" ht="15.75" customHeight="1">
      <c r="A2752" s="1470"/>
      <c r="B2752" s="1450" t="s">
        <v>7059</v>
      </c>
      <c r="C2752" s="1484">
        <v>1</v>
      </c>
      <c r="D2752" s="1484" t="s">
        <v>3364</v>
      </c>
      <c r="E2752" s="1484">
        <v>1</v>
      </c>
      <c r="F2752" s="1446">
        <f>2.3*2</f>
        <v>4.5999999999999996</v>
      </c>
      <c r="G2752" s="1446">
        <v>2.2999999999999998</v>
      </c>
      <c r="H2752" s="1447"/>
      <c r="I2752" s="1479">
        <f t="shared" si="103"/>
        <v>10.58</v>
      </c>
      <c r="J2752" s="1475"/>
      <c r="K2752" s="1439"/>
      <c r="L2752" s="1439"/>
      <c r="M2752" s="1439"/>
      <c r="N2752" s="1439"/>
      <c r="O2752" s="1439"/>
      <c r="P2752" s="1439"/>
      <c r="Q2752" s="1439"/>
      <c r="R2752" s="1439"/>
      <c r="S2752" s="1439"/>
      <c r="T2752" s="1439"/>
      <c r="U2752" s="1439"/>
      <c r="V2752" s="1439"/>
      <c r="W2752" s="1439"/>
      <c r="X2752" s="1439"/>
      <c r="Y2752" s="1439"/>
      <c r="Z2752" s="1439"/>
      <c r="AA2752" s="1439"/>
      <c r="AB2752" s="1439"/>
      <c r="AC2752" s="1439"/>
      <c r="AD2752" s="1439"/>
      <c r="AE2752" s="1439"/>
      <c r="AF2752" s="1439"/>
      <c r="AG2752" s="1439"/>
    </row>
    <row r="2753" spans="1:33" ht="15.75" customHeight="1">
      <c r="A2753" s="1470"/>
      <c r="B2753" s="1450" t="s">
        <v>7338</v>
      </c>
      <c r="C2753" s="1484">
        <v>1</v>
      </c>
      <c r="D2753" s="1484" t="s">
        <v>3364</v>
      </c>
      <c r="E2753" s="1484">
        <v>1</v>
      </c>
      <c r="F2753" s="1446">
        <v>28.9</v>
      </c>
      <c r="G2753" s="1446"/>
      <c r="H2753" s="1447">
        <v>0.1</v>
      </c>
      <c r="I2753" s="1479">
        <f t="shared" si="103"/>
        <v>2.89</v>
      </c>
      <c r="J2753" s="1475"/>
      <c r="K2753" s="1439"/>
      <c r="L2753" s="1439"/>
      <c r="M2753" s="1439"/>
      <c r="N2753" s="1439"/>
      <c r="O2753" s="1439"/>
      <c r="P2753" s="1439"/>
      <c r="Q2753" s="1439"/>
      <c r="R2753" s="1439"/>
      <c r="S2753" s="1439"/>
      <c r="T2753" s="1439"/>
      <c r="U2753" s="1439"/>
      <c r="V2753" s="1439"/>
      <c r="W2753" s="1439"/>
      <c r="X2753" s="1439"/>
      <c r="Y2753" s="1439"/>
      <c r="Z2753" s="1439"/>
      <c r="AA2753" s="1439"/>
      <c r="AB2753" s="1439"/>
      <c r="AC2753" s="1439"/>
      <c r="AD2753" s="1439"/>
      <c r="AE2753" s="1439"/>
      <c r="AF2753" s="1439"/>
      <c r="AG2753" s="1439"/>
    </row>
    <row r="2754" spans="1:33" ht="15.75" customHeight="1">
      <c r="A2754" s="1470"/>
      <c r="B2754" s="1450"/>
      <c r="C2754" s="1484"/>
      <c r="D2754" s="1484"/>
      <c r="E2754" s="1484"/>
      <c r="F2754" s="1446"/>
      <c r="G2754" s="1441" t="s">
        <v>104</v>
      </c>
      <c r="H2754" s="1500"/>
      <c r="I2754" s="1459">
        <f>SUM(I2746:I2753)</f>
        <v>550.07000000000005</v>
      </c>
      <c r="J2754" s="1475"/>
      <c r="K2754" s="1439"/>
      <c r="L2754" s="1439"/>
      <c r="M2754" s="1439"/>
      <c r="N2754" s="1439"/>
      <c r="O2754" s="1439"/>
      <c r="P2754" s="1439"/>
      <c r="Q2754" s="1439"/>
      <c r="R2754" s="1439"/>
      <c r="S2754" s="1439"/>
      <c r="T2754" s="1439"/>
      <c r="U2754" s="1439"/>
      <c r="V2754" s="1439"/>
      <c r="W2754" s="1439"/>
      <c r="X2754" s="1439"/>
      <c r="Y2754" s="1439"/>
      <c r="Z2754" s="1439"/>
      <c r="AA2754" s="1439"/>
      <c r="AB2754" s="1439"/>
      <c r="AC2754" s="1439"/>
      <c r="AD2754" s="1439"/>
      <c r="AE2754" s="1439"/>
      <c r="AF2754" s="1439"/>
      <c r="AG2754" s="1439"/>
    </row>
    <row r="2755" spans="1:33" ht="15.75" customHeight="1">
      <c r="A2755" s="1470"/>
      <c r="B2755" s="1450"/>
      <c r="C2755" s="1484"/>
      <c r="D2755" s="1484"/>
      <c r="E2755" s="1484"/>
      <c r="F2755" s="1446"/>
      <c r="G2755" s="1478"/>
      <c r="H2755" s="1442" t="s">
        <v>3473</v>
      </c>
      <c r="I2755" s="1479">
        <f>CEILING(I2754,0.1)</f>
        <v>550.1</v>
      </c>
      <c r="J2755" s="1475" t="s">
        <v>724</v>
      </c>
      <c r="K2755" s="1439"/>
      <c r="L2755" s="1439"/>
      <c r="M2755" s="1439"/>
      <c r="N2755" s="1439"/>
      <c r="O2755" s="1439"/>
      <c r="P2755" s="1439"/>
      <c r="Q2755" s="1439"/>
      <c r="R2755" s="1439"/>
      <c r="S2755" s="1439"/>
      <c r="T2755" s="1439"/>
      <c r="U2755" s="1439"/>
      <c r="V2755" s="1439"/>
      <c r="W2755" s="1439"/>
      <c r="X2755" s="1439"/>
      <c r="Y2755" s="1439"/>
      <c r="Z2755" s="1439"/>
      <c r="AA2755" s="1439"/>
      <c r="AB2755" s="1439"/>
      <c r="AC2755" s="1439"/>
      <c r="AD2755" s="1439"/>
      <c r="AE2755" s="1439"/>
      <c r="AF2755" s="1439"/>
      <c r="AG2755" s="1439"/>
    </row>
    <row r="2756" spans="1:33" ht="31.5">
      <c r="A2756" s="1451">
        <v>61.1</v>
      </c>
      <c r="B2756" s="1456" t="s">
        <v>3719</v>
      </c>
      <c r="C2756" s="1484"/>
      <c r="D2756" s="1484"/>
      <c r="E2756" s="1484"/>
      <c r="F2756" s="1446"/>
      <c r="G2756" s="1446"/>
      <c r="H2756" s="1447"/>
      <c r="I2756" s="1448"/>
      <c r="J2756" s="1475"/>
      <c r="K2756" s="1439"/>
      <c r="L2756" s="1439"/>
      <c r="M2756" s="1439"/>
      <c r="N2756" s="1439"/>
      <c r="O2756" s="1439"/>
      <c r="P2756" s="1439"/>
      <c r="Q2756" s="1439"/>
      <c r="R2756" s="1439"/>
      <c r="S2756" s="1439"/>
      <c r="T2756" s="1439"/>
      <c r="U2756" s="1439"/>
      <c r="V2756" s="1439"/>
      <c r="W2756" s="1439"/>
      <c r="X2756" s="1439"/>
      <c r="Y2756" s="1439"/>
      <c r="Z2756" s="1439"/>
      <c r="AA2756" s="1439"/>
      <c r="AB2756" s="1439"/>
      <c r="AC2756" s="1439"/>
      <c r="AD2756" s="1439"/>
      <c r="AE2756" s="1439"/>
      <c r="AF2756" s="1439"/>
      <c r="AG2756" s="1439"/>
    </row>
    <row r="2757" spans="1:33" ht="15.75" customHeight="1">
      <c r="A2757" s="1451"/>
      <c r="B2757" s="1456" t="s">
        <v>3720</v>
      </c>
      <c r="C2757" s="1484"/>
      <c r="D2757" s="1484"/>
      <c r="E2757" s="1484"/>
      <c r="F2757" s="1446"/>
      <c r="G2757" s="1446"/>
      <c r="H2757" s="1447"/>
      <c r="I2757" s="1448"/>
      <c r="J2757" s="1475"/>
      <c r="K2757" s="1439"/>
      <c r="L2757" s="1439"/>
      <c r="M2757" s="1439"/>
      <c r="N2757" s="1439"/>
      <c r="O2757" s="1439"/>
      <c r="P2757" s="1439"/>
      <c r="Q2757" s="1439"/>
      <c r="R2757" s="1439"/>
      <c r="S2757" s="1439"/>
      <c r="T2757" s="1439"/>
      <c r="U2757" s="1439"/>
      <c r="V2757" s="1439"/>
      <c r="W2757" s="1439"/>
      <c r="X2757" s="1439"/>
      <c r="Y2757" s="1439"/>
      <c r="Z2757" s="1439"/>
      <c r="AA2757" s="1439"/>
      <c r="AB2757" s="1439"/>
      <c r="AC2757" s="1439"/>
      <c r="AD2757" s="1439"/>
      <c r="AE2757" s="1439"/>
      <c r="AF2757" s="1439"/>
      <c r="AG2757" s="1439"/>
    </row>
    <row r="2758" spans="1:33" ht="15.75" customHeight="1">
      <c r="A2758" s="1451"/>
      <c r="B2758" s="1450" t="s">
        <v>3721</v>
      </c>
      <c r="C2758" s="1484">
        <v>1</v>
      </c>
      <c r="D2758" s="1484" t="s">
        <v>3364</v>
      </c>
      <c r="E2758" s="1484">
        <v>1</v>
      </c>
      <c r="F2758" s="1447">
        <v>100</v>
      </c>
      <c r="G2758" s="1446"/>
      <c r="H2758" s="1447"/>
      <c r="I2758" s="1479">
        <f>PRODUCT(C2758:H2758)</f>
        <v>100</v>
      </c>
      <c r="J2758" s="1475" t="s">
        <v>13</v>
      </c>
      <c r="K2758" s="1439"/>
      <c r="L2758" s="1439"/>
      <c r="M2758" s="1439"/>
      <c r="N2758" s="1439"/>
      <c r="O2758" s="1439"/>
      <c r="P2758" s="1439"/>
      <c r="Q2758" s="1439"/>
      <c r="R2758" s="1439"/>
      <c r="S2758" s="1439"/>
      <c r="T2758" s="1439"/>
      <c r="U2758" s="1439"/>
      <c r="V2758" s="1439"/>
      <c r="W2758" s="1439"/>
      <c r="X2758" s="1439"/>
      <c r="Y2758" s="1439"/>
      <c r="Z2758" s="1439"/>
      <c r="AA2758" s="1439"/>
      <c r="AB2758" s="1439"/>
      <c r="AC2758" s="1439"/>
      <c r="AD2758" s="1439"/>
      <c r="AE2758" s="1439"/>
      <c r="AF2758" s="1439"/>
      <c r="AG2758" s="1439"/>
    </row>
    <row r="2759" spans="1:33" ht="15.75" customHeight="1">
      <c r="A2759" s="1451"/>
      <c r="B2759" s="1450"/>
      <c r="C2759" s="1484"/>
      <c r="D2759" s="1484"/>
      <c r="E2759" s="1484"/>
      <c r="F2759" s="1447"/>
      <c r="G2759" s="1446"/>
      <c r="H2759" s="1447"/>
      <c r="I2759" s="1448"/>
      <c r="J2759" s="1475"/>
      <c r="K2759" s="1439"/>
      <c r="L2759" s="1439"/>
      <c r="M2759" s="1439"/>
      <c r="N2759" s="1439"/>
      <c r="O2759" s="1439"/>
      <c r="P2759" s="1439"/>
      <c r="Q2759" s="1439"/>
      <c r="R2759" s="1439"/>
      <c r="S2759" s="1439"/>
      <c r="T2759" s="1439"/>
      <c r="U2759" s="1439"/>
      <c r="V2759" s="1439"/>
      <c r="W2759" s="1439"/>
      <c r="X2759" s="1439"/>
      <c r="Y2759" s="1439"/>
      <c r="Z2759" s="1439"/>
      <c r="AA2759" s="1439"/>
      <c r="AB2759" s="1439"/>
      <c r="AC2759" s="1439"/>
      <c r="AD2759" s="1439"/>
      <c r="AE2759" s="1439"/>
      <c r="AF2759" s="1439"/>
      <c r="AG2759" s="1439"/>
    </row>
    <row r="2760" spans="1:33" ht="15.75" customHeight="1">
      <c r="A2760" s="1451"/>
      <c r="B2760" s="1456" t="s">
        <v>3722</v>
      </c>
      <c r="C2760" s="1484"/>
      <c r="D2760" s="1484"/>
      <c r="E2760" s="1484"/>
      <c r="F2760" s="1447"/>
      <c r="G2760" s="1446"/>
      <c r="H2760" s="1447"/>
      <c r="I2760" s="1448"/>
      <c r="J2760" s="1475"/>
      <c r="K2760" s="1439"/>
      <c r="L2760" s="1439"/>
      <c r="M2760" s="1439"/>
      <c r="N2760" s="1439"/>
      <c r="O2760" s="1439"/>
      <c r="P2760" s="1439"/>
      <c r="Q2760" s="1439"/>
      <c r="R2760" s="1439"/>
      <c r="S2760" s="1439"/>
      <c r="T2760" s="1439"/>
      <c r="U2760" s="1439"/>
      <c r="V2760" s="1439"/>
      <c r="W2760" s="1439"/>
      <c r="X2760" s="1439"/>
      <c r="Y2760" s="1439"/>
      <c r="Z2760" s="1439"/>
      <c r="AA2760" s="1439"/>
      <c r="AB2760" s="1439"/>
      <c r="AC2760" s="1439"/>
      <c r="AD2760" s="1439"/>
      <c r="AE2760" s="1439"/>
      <c r="AF2760" s="1439"/>
      <c r="AG2760" s="1439"/>
    </row>
    <row r="2761" spans="1:33" ht="15.75" customHeight="1">
      <c r="A2761" s="1451"/>
      <c r="B2761" s="1450" t="s">
        <v>3723</v>
      </c>
      <c r="C2761" s="1484">
        <v>1</v>
      </c>
      <c r="D2761" s="1484" t="s">
        <v>3364</v>
      </c>
      <c r="E2761" s="1484">
        <v>1</v>
      </c>
      <c r="F2761" s="1447">
        <v>10</v>
      </c>
      <c r="G2761" s="1446"/>
      <c r="H2761" s="1447"/>
      <c r="I2761" s="1479">
        <f>PRODUCT(C2761:H2761)</f>
        <v>10</v>
      </c>
      <c r="J2761" s="1475" t="s">
        <v>13</v>
      </c>
      <c r="K2761" s="1439"/>
      <c r="L2761" s="1439"/>
      <c r="M2761" s="1439"/>
      <c r="N2761" s="1439"/>
      <c r="O2761" s="1439"/>
      <c r="P2761" s="1439"/>
      <c r="Q2761" s="1439"/>
      <c r="R2761" s="1439"/>
      <c r="S2761" s="1439"/>
      <c r="T2761" s="1439"/>
      <c r="U2761" s="1439"/>
      <c r="V2761" s="1439"/>
      <c r="W2761" s="1439"/>
      <c r="X2761" s="1439"/>
      <c r="Y2761" s="1439"/>
      <c r="Z2761" s="1439"/>
      <c r="AA2761" s="1439"/>
      <c r="AB2761" s="1439"/>
      <c r="AC2761" s="1439"/>
      <c r="AD2761" s="1439"/>
      <c r="AE2761" s="1439"/>
      <c r="AF2761" s="1439"/>
      <c r="AG2761" s="1439"/>
    </row>
    <row r="2762" spans="1:33" ht="15.75" customHeight="1">
      <c r="A2762" s="1451"/>
      <c r="B2762" s="1485" t="s">
        <v>3724</v>
      </c>
      <c r="C2762" s="1484"/>
      <c r="D2762" s="1484"/>
      <c r="E2762" s="1484"/>
      <c r="F2762" s="1446"/>
      <c r="G2762" s="1446"/>
      <c r="H2762" s="1447"/>
      <c r="I2762" s="1479"/>
      <c r="J2762" s="1475"/>
      <c r="K2762" s="1439"/>
      <c r="L2762" s="1439"/>
      <c r="M2762" s="1439"/>
      <c r="N2762" s="1439"/>
      <c r="O2762" s="1439"/>
      <c r="P2762" s="1439"/>
      <c r="Q2762" s="1439"/>
      <c r="R2762" s="1439"/>
      <c r="S2762" s="1439"/>
      <c r="T2762" s="1439"/>
      <c r="U2762" s="1439"/>
      <c r="V2762" s="1439"/>
      <c r="W2762" s="1439"/>
      <c r="X2762" s="1439"/>
      <c r="Y2762" s="1439"/>
      <c r="Z2762" s="1439"/>
      <c r="AA2762" s="1439"/>
      <c r="AB2762" s="1439"/>
      <c r="AC2762" s="1439"/>
      <c r="AD2762" s="1439"/>
      <c r="AE2762" s="1439"/>
      <c r="AF2762" s="1439"/>
      <c r="AG2762" s="1439"/>
    </row>
    <row r="2763" spans="1:33" ht="15.75" customHeight="1">
      <c r="A2763" s="1451"/>
      <c r="B2763" s="1480" t="s">
        <v>3725</v>
      </c>
      <c r="C2763" s="1484">
        <v>1</v>
      </c>
      <c r="D2763" s="1484" t="s">
        <v>3364</v>
      </c>
      <c r="E2763" s="1484">
        <v>2</v>
      </c>
      <c r="F2763" s="1446"/>
      <c r="G2763" s="1446"/>
      <c r="H2763" s="1447"/>
      <c r="I2763" s="1479">
        <f>PRODUCT(C2763:H2763)</f>
        <v>2</v>
      </c>
      <c r="J2763" s="1475" t="s">
        <v>41</v>
      </c>
      <c r="K2763" s="1439"/>
      <c r="L2763" s="1439"/>
      <c r="M2763" s="1439"/>
      <c r="N2763" s="1439"/>
      <c r="O2763" s="1439"/>
      <c r="P2763" s="1439"/>
      <c r="Q2763" s="1439"/>
      <c r="R2763" s="1439"/>
      <c r="S2763" s="1439"/>
      <c r="T2763" s="1439"/>
      <c r="U2763" s="1439"/>
      <c r="V2763" s="1439"/>
      <c r="W2763" s="1439"/>
      <c r="X2763" s="1439"/>
      <c r="Y2763" s="1439"/>
      <c r="Z2763" s="1439"/>
      <c r="AA2763" s="1439"/>
      <c r="AB2763" s="1439"/>
      <c r="AC2763" s="1439"/>
      <c r="AD2763" s="1439"/>
      <c r="AE2763" s="1439"/>
      <c r="AF2763" s="1439"/>
      <c r="AG2763" s="1439"/>
    </row>
    <row r="2764" spans="1:33" ht="15.75" customHeight="1">
      <c r="A2764" s="1451"/>
      <c r="B2764" s="1480" t="s">
        <v>3726</v>
      </c>
      <c r="C2764" s="1484">
        <v>1</v>
      </c>
      <c r="D2764" s="1484" t="s">
        <v>3364</v>
      </c>
      <c r="E2764" s="1484">
        <v>2</v>
      </c>
      <c r="F2764" s="1446"/>
      <c r="G2764" s="1446"/>
      <c r="H2764" s="1447"/>
      <c r="I2764" s="1479">
        <f>PRODUCT(C2764:H2764)</f>
        <v>2</v>
      </c>
      <c r="J2764" s="1475" t="s">
        <v>41</v>
      </c>
      <c r="K2764" s="1439"/>
      <c r="L2764" s="1439"/>
      <c r="M2764" s="1439"/>
      <c r="N2764" s="1439"/>
      <c r="O2764" s="1439"/>
      <c r="P2764" s="1439"/>
      <c r="Q2764" s="1439"/>
      <c r="R2764" s="1439"/>
      <c r="S2764" s="1439"/>
      <c r="T2764" s="1439"/>
      <c r="U2764" s="1439"/>
      <c r="V2764" s="1439"/>
      <c r="W2764" s="1439"/>
      <c r="X2764" s="1439"/>
      <c r="Y2764" s="1439"/>
      <c r="Z2764" s="1439"/>
      <c r="AA2764" s="1439"/>
      <c r="AB2764" s="1439"/>
      <c r="AC2764" s="1439"/>
      <c r="AD2764" s="1439"/>
      <c r="AE2764" s="1439"/>
      <c r="AF2764" s="1439"/>
      <c r="AG2764" s="1439"/>
    </row>
    <row r="2765" spans="1:33" ht="15.75" customHeight="1">
      <c r="A2765" s="1451"/>
      <c r="B2765" s="1485" t="s">
        <v>3727</v>
      </c>
      <c r="C2765" s="1484"/>
      <c r="D2765" s="1484"/>
      <c r="E2765" s="1484"/>
      <c r="F2765" s="1446"/>
      <c r="G2765" s="1446"/>
      <c r="H2765" s="1447"/>
      <c r="I2765" s="1479"/>
      <c r="J2765" s="1475"/>
      <c r="K2765" s="1439"/>
      <c r="L2765" s="1439"/>
      <c r="M2765" s="1439"/>
      <c r="N2765" s="1439"/>
      <c r="O2765" s="1439"/>
      <c r="P2765" s="1439"/>
      <c r="Q2765" s="1439"/>
      <c r="R2765" s="1439"/>
      <c r="S2765" s="1439"/>
      <c r="T2765" s="1439"/>
      <c r="U2765" s="1439"/>
      <c r="V2765" s="1439"/>
      <c r="W2765" s="1439"/>
      <c r="X2765" s="1439"/>
      <c r="Y2765" s="1439"/>
      <c r="Z2765" s="1439"/>
      <c r="AA2765" s="1439"/>
      <c r="AB2765" s="1439"/>
      <c r="AC2765" s="1439"/>
      <c r="AD2765" s="1439"/>
      <c r="AE2765" s="1439"/>
      <c r="AF2765" s="1439"/>
      <c r="AG2765" s="1439"/>
    </row>
    <row r="2766" spans="1:33" ht="15.75" customHeight="1">
      <c r="A2766" s="1451"/>
      <c r="B2766" s="1480" t="s">
        <v>3728</v>
      </c>
      <c r="C2766" s="1484">
        <v>1</v>
      </c>
      <c r="D2766" s="1484" t="s">
        <v>3364</v>
      </c>
      <c r="E2766" s="1484">
        <v>2</v>
      </c>
      <c r="F2766" s="1446"/>
      <c r="G2766" s="1446"/>
      <c r="H2766" s="1447"/>
      <c r="I2766" s="1479">
        <f>PRODUCT(C2766:H2766)</f>
        <v>2</v>
      </c>
      <c r="J2766" s="1475" t="s">
        <v>41</v>
      </c>
      <c r="K2766" s="1439"/>
      <c r="L2766" s="1439"/>
      <c r="M2766" s="1439"/>
      <c r="N2766" s="1439"/>
      <c r="O2766" s="1439"/>
      <c r="P2766" s="1439"/>
      <c r="Q2766" s="1439"/>
      <c r="R2766" s="1439"/>
      <c r="S2766" s="1439"/>
      <c r="T2766" s="1439"/>
      <c r="U2766" s="1439"/>
      <c r="V2766" s="1439"/>
      <c r="W2766" s="1439"/>
      <c r="X2766" s="1439"/>
      <c r="Y2766" s="1439"/>
      <c r="Z2766" s="1439"/>
      <c r="AA2766" s="1439"/>
      <c r="AB2766" s="1439"/>
      <c r="AC2766" s="1439"/>
      <c r="AD2766" s="1439"/>
      <c r="AE2766" s="1439"/>
      <c r="AF2766" s="1439"/>
      <c r="AG2766" s="1439"/>
    </row>
    <row r="2767" spans="1:33" ht="15.75" customHeight="1">
      <c r="A2767" s="1451"/>
      <c r="B2767" s="1480" t="s">
        <v>3729</v>
      </c>
      <c r="C2767" s="1484">
        <v>1</v>
      </c>
      <c r="D2767" s="1484" t="s">
        <v>3364</v>
      </c>
      <c r="E2767" s="1484">
        <v>2</v>
      </c>
      <c r="F2767" s="1446"/>
      <c r="G2767" s="1446"/>
      <c r="H2767" s="1447"/>
      <c r="I2767" s="1479">
        <f>PRODUCT(C2767:H2767)</f>
        <v>2</v>
      </c>
      <c r="J2767" s="1475" t="s">
        <v>41</v>
      </c>
      <c r="K2767" s="1439"/>
      <c r="L2767" s="1439"/>
      <c r="M2767" s="1439"/>
      <c r="N2767" s="1439"/>
      <c r="O2767" s="1439"/>
      <c r="P2767" s="1439"/>
      <c r="Q2767" s="1439"/>
      <c r="R2767" s="1439"/>
      <c r="S2767" s="1439"/>
      <c r="T2767" s="1439"/>
      <c r="U2767" s="1439"/>
      <c r="V2767" s="1439"/>
      <c r="W2767" s="1439"/>
      <c r="X2767" s="1439"/>
      <c r="Y2767" s="1439"/>
      <c r="Z2767" s="1439"/>
      <c r="AA2767" s="1439"/>
      <c r="AB2767" s="1439"/>
      <c r="AC2767" s="1439"/>
      <c r="AD2767" s="1439"/>
      <c r="AE2767" s="1439"/>
      <c r="AF2767" s="1439"/>
      <c r="AG2767" s="1439"/>
    </row>
    <row r="2768" spans="1:33" ht="15.75" customHeight="1">
      <c r="A2768" s="1451"/>
      <c r="B2768" s="1450"/>
      <c r="C2768" s="1484"/>
      <c r="D2768" s="1484"/>
      <c r="E2768" s="1484"/>
      <c r="F2768" s="1446"/>
      <c r="G2768" s="1446"/>
      <c r="H2768" s="1447"/>
      <c r="I2768" s="1479"/>
      <c r="J2768" s="1475"/>
      <c r="K2768" s="1439"/>
      <c r="L2768" s="1439"/>
      <c r="M2768" s="1439"/>
      <c r="N2768" s="1439"/>
      <c r="O2768" s="1439"/>
      <c r="P2768" s="1439"/>
      <c r="Q2768" s="1439"/>
      <c r="R2768" s="1439"/>
      <c r="S2768" s="1439"/>
      <c r="T2768" s="1439"/>
      <c r="U2768" s="1439"/>
      <c r="V2768" s="1439"/>
      <c r="W2768" s="1439"/>
      <c r="X2768" s="1439"/>
      <c r="Y2768" s="1439"/>
      <c r="Z2768" s="1439"/>
      <c r="AA2768" s="1439"/>
      <c r="AB2768" s="1439"/>
      <c r="AC2768" s="1439"/>
      <c r="AD2768" s="1439"/>
      <c r="AE2768" s="1439"/>
      <c r="AF2768" s="1439"/>
      <c r="AG2768" s="1439"/>
    </row>
    <row r="2769" spans="1:33" ht="47.25">
      <c r="A2769" s="1451">
        <v>43.1</v>
      </c>
      <c r="B2769" s="1450" t="s">
        <v>3730</v>
      </c>
      <c r="C2769" s="1484"/>
      <c r="D2769" s="1484"/>
      <c r="E2769" s="1484"/>
      <c r="F2769" s="1446"/>
      <c r="G2769" s="1446"/>
      <c r="H2769" s="1447"/>
      <c r="I2769" s="1448"/>
      <c r="J2769" s="1475"/>
      <c r="K2769" s="1439"/>
      <c r="L2769" s="1439"/>
      <c r="M2769" s="1439"/>
      <c r="N2769" s="1439"/>
      <c r="O2769" s="1439"/>
      <c r="P2769" s="1439"/>
      <c r="Q2769" s="1439"/>
      <c r="R2769" s="1439"/>
      <c r="S2769" s="1439"/>
      <c r="T2769" s="1439"/>
      <c r="U2769" s="1439"/>
      <c r="V2769" s="1439"/>
      <c r="W2769" s="1439"/>
      <c r="X2769" s="1439"/>
      <c r="Y2769" s="1439"/>
      <c r="Z2769" s="1439"/>
      <c r="AA2769" s="1439"/>
      <c r="AB2769" s="1439"/>
      <c r="AC2769" s="1439"/>
      <c r="AD2769" s="1439"/>
      <c r="AE2769" s="1439"/>
      <c r="AF2769" s="1439"/>
      <c r="AG2769" s="1439"/>
    </row>
    <row r="2770" spans="1:33" ht="23.25" customHeight="1">
      <c r="A2770" s="1451"/>
      <c r="B2770" s="1450" t="s">
        <v>3731</v>
      </c>
      <c r="C2770" s="1484">
        <v>1</v>
      </c>
      <c r="D2770" s="1484" t="s">
        <v>3364</v>
      </c>
      <c r="E2770" s="1484">
        <v>1</v>
      </c>
      <c r="F2770" s="1446">
        <f>I135</f>
        <v>258.39999999999998</v>
      </c>
      <c r="G2770" s="1446">
        <v>113</v>
      </c>
      <c r="H2770" s="1447"/>
      <c r="I2770" s="1494">
        <f t="shared" ref="I2770:I2776" si="104">PRODUCT(C2770:H2770)</f>
        <v>29199.200000000001</v>
      </c>
      <c r="J2770" s="1475"/>
      <c r="K2770" s="1439"/>
      <c r="L2770" s="1439"/>
      <c r="M2770" s="1439"/>
      <c r="N2770" s="1439"/>
      <c r="O2770" s="1439"/>
      <c r="P2770" s="1439"/>
      <c r="Q2770" s="1439"/>
      <c r="R2770" s="1439"/>
      <c r="S2770" s="1439"/>
      <c r="T2770" s="1439"/>
      <c r="U2770" s="1439"/>
      <c r="V2770" s="1439"/>
      <c r="W2770" s="1439"/>
      <c r="X2770" s="1439"/>
      <c r="Y2770" s="1439"/>
      <c r="Z2770" s="1439"/>
      <c r="AA2770" s="1439"/>
      <c r="AB2770" s="1439"/>
      <c r="AC2770" s="1439"/>
      <c r="AD2770" s="1439"/>
      <c r="AE2770" s="1439"/>
      <c r="AF2770" s="1439"/>
      <c r="AG2770" s="1439"/>
    </row>
    <row r="2771" spans="1:33" ht="23.25" customHeight="1">
      <c r="A2771" s="1451"/>
      <c r="B2771" s="1450" t="s">
        <v>3732</v>
      </c>
      <c r="C2771" s="1484">
        <v>1</v>
      </c>
      <c r="D2771" s="1484" t="s">
        <v>3364</v>
      </c>
      <c r="E2771" s="1484">
        <v>1</v>
      </c>
      <c r="F2771" s="1446">
        <f>I187</f>
        <v>122.7</v>
      </c>
      <c r="G2771" s="1446">
        <v>113</v>
      </c>
      <c r="H2771" s="1447"/>
      <c r="I2771" s="1494">
        <f t="shared" si="104"/>
        <v>13865.1</v>
      </c>
      <c r="J2771" s="1475"/>
      <c r="K2771" s="1439"/>
      <c r="L2771" s="1439"/>
      <c r="M2771" s="1439"/>
      <c r="N2771" s="1439"/>
      <c r="O2771" s="1439"/>
      <c r="P2771" s="1439"/>
      <c r="Q2771" s="1439"/>
      <c r="R2771" s="1439"/>
      <c r="S2771" s="1439"/>
      <c r="T2771" s="1439"/>
      <c r="U2771" s="1439"/>
      <c r="V2771" s="1439"/>
      <c r="W2771" s="1439"/>
      <c r="X2771" s="1439"/>
      <c r="Y2771" s="1439"/>
      <c r="Z2771" s="1439"/>
      <c r="AA2771" s="1439"/>
      <c r="AB2771" s="1439"/>
      <c r="AC2771" s="1439"/>
      <c r="AD2771" s="1439"/>
      <c r="AE2771" s="1439"/>
      <c r="AF2771" s="1439"/>
      <c r="AG2771" s="1439"/>
    </row>
    <row r="2772" spans="1:33" ht="23.25" customHeight="1">
      <c r="A2772" s="1451"/>
      <c r="B2772" s="1450" t="s">
        <v>3733</v>
      </c>
      <c r="C2772" s="1484">
        <v>1</v>
      </c>
      <c r="D2772" s="1484" t="s">
        <v>3364</v>
      </c>
      <c r="E2772" s="1484">
        <v>1</v>
      </c>
      <c r="F2772" s="1446">
        <f>I233</f>
        <v>125.4</v>
      </c>
      <c r="G2772" s="1446">
        <v>113</v>
      </c>
      <c r="H2772" s="1447"/>
      <c r="I2772" s="1494">
        <f t="shared" si="104"/>
        <v>14170.2</v>
      </c>
      <c r="J2772" s="1475"/>
      <c r="K2772" s="1439"/>
      <c r="L2772" s="1439"/>
      <c r="M2772" s="1439"/>
      <c r="N2772" s="1439"/>
      <c r="O2772" s="1439"/>
      <c r="P2772" s="1439"/>
      <c r="Q2772" s="1439"/>
      <c r="R2772" s="1439"/>
      <c r="S2772" s="1439"/>
      <c r="T2772" s="1439"/>
      <c r="U2772" s="1439"/>
      <c r="V2772" s="1439"/>
      <c r="W2772" s="1439"/>
      <c r="X2772" s="1439"/>
      <c r="Y2772" s="1439"/>
      <c r="Z2772" s="1439"/>
      <c r="AA2772" s="1439"/>
      <c r="AB2772" s="1439"/>
      <c r="AC2772" s="1439"/>
      <c r="AD2772" s="1439"/>
      <c r="AE2772" s="1439"/>
      <c r="AF2772" s="1439"/>
      <c r="AG2772" s="1439"/>
    </row>
    <row r="2773" spans="1:33" ht="23.25" customHeight="1">
      <c r="A2773" s="1451"/>
      <c r="B2773" s="1450" t="s">
        <v>3734</v>
      </c>
      <c r="C2773" s="1484">
        <v>1</v>
      </c>
      <c r="D2773" s="1484" t="s">
        <v>3364</v>
      </c>
      <c r="E2773" s="1484">
        <v>1</v>
      </c>
      <c r="F2773" s="1446">
        <f>I285</f>
        <v>158.19999999999999</v>
      </c>
      <c r="G2773" s="1446">
        <v>113</v>
      </c>
      <c r="H2773" s="1447"/>
      <c r="I2773" s="1494">
        <f t="shared" si="104"/>
        <v>17876.599999999999</v>
      </c>
      <c r="J2773" s="1475"/>
      <c r="K2773" s="1439"/>
      <c r="L2773" s="1439"/>
      <c r="M2773" s="1439"/>
      <c r="N2773" s="1439"/>
      <c r="O2773" s="1439"/>
      <c r="P2773" s="1439"/>
      <c r="Q2773" s="1439"/>
      <c r="R2773" s="1439"/>
      <c r="S2773" s="1439"/>
      <c r="T2773" s="1439"/>
      <c r="U2773" s="1439"/>
      <c r="V2773" s="1439"/>
      <c r="W2773" s="1439"/>
      <c r="X2773" s="1439"/>
      <c r="Y2773" s="1439"/>
      <c r="Z2773" s="1439"/>
      <c r="AA2773" s="1439"/>
      <c r="AB2773" s="1439"/>
      <c r="AC2773" s="1439"/>
      <c r="AD2773" s="1439"/>
      <c r="AE2773" s="1439"/>
      <c r="AF2773" s="1439"/>
      <c r="AG2773" s="1439"/>
    </row>
    <row r="2774" spans="1:33" ht="23.25" customHeight="1">
      <c r="A2774" s="1451"/>
      <c r="B2774" s="1450" t="s">
        <v>3735</v>
      </c>
      <c r="C2774" s="1484">
        <v>1</v>
      </c>
      <c r="D2774" s="1484" t="s">
        <v>3364</v>
      </c>
      <c r="E2774" s="1484">
        <v>1</v>
      </c>
      <c r="F2774" s="1446">
        <f>I340</f>
        <v>153.19999999999999</v>
      </c>
      <c r="G2774" s="1446">
        <v>113</v>
      </c>
      <c r="H2774" s="1447"/>
      <c r="I2774" s="1494">
        <f t="shared" si="104"/>
        <v>17311.599999999999</v>
      </c>
      <c r="J2774" s="1475"/>
      <c r="K2774" s="1439"/>
      <c r="L2774" s="1439"/>
      <c r="M2774" s="1439"/>
      <c r="N2774" s="1439"/>
      <c r="O2774" s="1439"/>
      <c r="P2774" s="1439"/>
      <c r="Q2774" s="1439"/>
      <c r="R2774" s="1439"/>
      <c r="S2774" s="1439"/>
      <c r="T2774" s="1439"/>
      <c r="U2774" s="1439"/>
      <c r="V2774" s="1439"/>
      <c r="W2774" s="1439"/>
      <c r="X2774" s="1439"/>
      <c r="Y2774" s="1439"/>
      <c r="Z2774" s="1439"/>
      <c r="AA2774" s="1439"/>
      <c r="AB2774" s="1439"/>
      <c r="AC2774" s="1439"/>
      <c r="AD2774" s="1439"/>
      <c r="AE2774" s="1439"/>
      <c r="AF2774" s="1439"/>
      <c r="AG2774" s="1439"/>
    </row>
    <row r="2775" spans="1:33" ht="23.25" customHeight="1">
      <c r="A2775" s="1451"/>
      <c r="B2775" s="1452" t="s">
        <v>3733</v>
      </c>
      <c r="C2775" s="1484">
        <v>1</v>
      </c>
      <c r="D2775" s="1484" t="s">
        <v>3364</v>
      </c>
      <c r="E2775" s="1484">
        <v>1</v>
      </c>
      <c r="F2775" s="1446">
        <f>I390</f>
        <v>157.9</v>
      </c>
      <c r="G2775" s="1446">
        <v>113</v>
      </c>
      <c r="H2775" s="1447"/>
      <c r="I2775" s="1494">
        <f t="shared" si="104"/>
        <v>17842.7</v>
      </c>
      <c r="J2775" s="1475"/>
      <c r="K2775" s="1439"/>
      <c r="L2775" s="1439"/>
      <c r="M2775" s="1439"/>
      <c r="N2775" s="1439"/>
      <c r="O2775" s="1439"/>
      <c r="P2775" s="1439"/>
      <c r="Q2775" s="1439"/>
      <c r="R2775" s="1439"/>
      <c r="S2775" s="1439"/>
      <c r="T2775" s="1439"/>
      <c r="U2775" s="1439"/>
      <c r="V2775" s="1439"/>
      <c r="W2775" s="1439"/>
      <c r="X2775" s="1439"/>
      <c r="Y2775" s="1439"/>
      <c r="Z2775" s="1439"/>
      <c r="AA2775" s="1439"/>
      <c r="AB2775" s="1439"/>
      <c r="AC2775" s="1439"/>
      <c r="AD2775" s="1439"/>
      <c r="AE2775" s="1439"/>
      <c r="AF2775" s="1439"/>
      <c r="AG2775" s="1439"/>
    </row>
    <row r="2776" spans="1:33" ht="23.25" customHeight="1">
      <c r="A2776" s="1451"/>
      <c r="B2776" s="1452" t="s">
        <v>7557</v>
      </c>
      <c r="C2776" s="1484">
        <v>1</v>
      </c>
      <c r="D2776" s="1484" t="s">
        <v>3364</v>
      </c>
      <c r="E2776" s="1484">
        <v>1</v>
      </c>
      <c r="F2776" s="1446">
        <f>I684</f>
        <v>11.4</v>
      </c>
      <c r="G2776" s="1446">
        <v>113</v>
      </c>
      <c r="H2776" s="1447"/>
      <c r="I2776" s="1494">
        <f t="shared" si="104"/>
        <v>1288.2</v>
      </c>
      <c r="J2776" s="1475"/>
      <c r="K2776" s="1439"/>
      <c r="L2776" s="1439"/>
      <c r="M2776" s="1439"/>
      <c r="N2776" s="1439"/>
      <c r="O2776" s="1439"/>
      <c r="P2776" s="1439"/>
      <c r="Q2776" s="1439"/>
      <c r="R2776" s="1439"/>
      <c r="S2776" s="1439"/>
      <c r="T2776" s="1439"/>
      <c r="U2776" s="1439"/>
      <c r="V2776" s="1439"/>
      <c r="W2776" s="1439"/>
      <c r="X2776" s="1439"/>
      <c r="Y2776" s="1439"/>
      <c r="Z2776" s="1439"/>
      <c r="AA2776" s="1439"/>
      <c r="AB2776" s="1439"/>
      <c r="AC2776" s="1439"/>
      <c r="AD2776" s="1439"/>
      <c r="AE2776" s="1439"/>
      <c r="AF2776" s="1439"/>
      <c r="AG2776" s="1439"/>
    </row>
    <row r="2777" spans="1:33" ht="15.75" customHeight="1">
      <c r="A2777" s="1451"/>
      <c r="B2777" s="1450"/>
      <c r="C2777" s="1484"/>
      <c r="D2777" s="1484"/>
      <c r="E2777" s="1484"/>
      <c r="F2777" s="1446"/>
      <c r="G2777" s="1446"/>
      <c r="H2777" s="1447"/>
      <c r="I2777" s="1459">
        <f>SUM(I2770:I2776)</f>
        <v>111553.60000000001</v>
      </c>
      <c r="J2777" s="1475"/>
      <c r="K2777" s="1439"/>
      <c r="L2777" s="1439"/>
      <c r="M2777" s="1439"/>
      <c r="N2777" s="1439"/>
      <c r="O2777" s="1439"/>
      <c r="P2777" s="1439"/>
      <c r="Q2777" s="1439"/>
      <c r="R2777" s="1439"/>
      <c r="S2777" s="1439"/>
      <c r="T2777" s="1439"/>
      <c r="U2777" s="1439"/>
      <c r="V2777" s="1439"/>
      <c r="W2777" s="1439"/>
      <c r="X2777" s="1439"/>
      <c r="Y2777" s="1439"/>
      <c r="Z2777" s="1439"/>
      <c r="AA2777" s="1439"/>
      <c r="AB2777" s="1439"/>
      <c r="AC2777" s="1439"/>
      <c r="AD2777" s="1439"/>
      <c r="AE2777" s="1439"/>
      <c r="AF2777" s="1439"/>
      <c r="AG2777" s="1439"/>
    </row>
    <row r="2778" spans="1:33" ht="15.75" customHeight="1">
      <c r="A2778" s="1451"/>
      <c r="B2778" s="1450"/>
      <c r="C2778" s="1484"/>
      <c r="D2778" s="1484"/>
      <c r="E2778" s="1484"/>
      <c r="F2778" s="1446"/>
      <c r="G2778" s="1446"/>
      <c r="H2778" s="1447" t="s">
        <v>3473</v>
      </c>
      <c r="I2778" s="1498">
        <f>I2777/1000</f>
        <v>111.554</v>
      </c>
      <c r="J2778" s="1475" t="s">
        <v>11</v>
      </c>
      <c r="K2778" s="1439"/>
      <c r="L2778" s="1439"/>
      <c r="M2778" s="1439"/>
      <c r="N2778" s="1439"/>
      <c r="O2778" s="1439"/>
      <c r="P2778" s="1439"/>
      <c r="Q2778" s="1439"/>
      <c r="R2778" s="1439"/>
      <c r="S2778" s="1439"/>
      <c r="T2778" s="1439"/>
      <c r="U2778" s="1439"/>
      <c r="V2778" s="1439"/>
      <c r="W2778" s="1439"/>
      <c r="X2778" s="1439"/>
      <c r="Y2778" s="1439"/>
      <c r="Z2778" s="1439"/>
      <c r="AA2778" s="1439"/>
      <c r="AB2778" s="1439"/>
      <c r="AC2778" s="1439"/>
      <c r="AD2778" s="1439"/>
      <c r="AE2778" s="1439"/>
      <c r="AF2778" s="1439"/>
      <c r="AG2778" s="1439"/>
    </row>
    <row r="2779" spans="1:33" ht="94.5">
      <c r="A2779" s="1451">
        <v>44.6</v>
      </c>
      <c r="B2779" s="1462" t="s">
        <v>7339</v>
      </c>
      <c r="C2779" s="1484"/>
      <c r="D2779" s="1484"/>
      <c r="E2779" s="1484"/>
      <c r="F2779" s="1446"/>
      <c r="G2779" s="1446"/>
      <c r="H2779" s="1447"/>
      <c r="I2779" s="1448"/>
      <c r="J2779" s="1475"/>
      <c r="K2779" s="1439"/>
      <c r="L2779" s="1439"/>
      <c r="M2779" s="1439"/>
      <c r="N2779" s="1439"/>
      <c r="O2779" s="1439"/>
      <c r="P2779" s="1439"/>
      <c r="Q2779" s="1439"/>
      <c r="R2779" s="1439"/>
      <c r="S2779" s="1439"/>
      <c r="T2779" s="1439"/>
      <c r="U2779" s="1439"/>
      <c r="V2779" s="1439"/>
      <c r="W2779" s="1439"/>
      <c r="X2779" s="1439"/>
      <c r="Y2779" s="1439"/>
      <c r="Z2779" s="1439"/>
      <c r="AA2779" s="1439"/>
      <c r="AB2779" s="1439"/>
      <c r="AC2779" s="1439"/>
      <c r="AD2779" s="1439"/>
      <c r="AE2779" s="1439"/>
      <c r="AF2779" s="1439"/>
      <c r="AG2779" s="1439"/>
    </row>
    <row r="2780" spans="1:33" ht="15.75" customHeight="1">
      <c r="A2780" s="1470"/>
      <c r="B2780" s="1450" t="s">
        <v>3688</v>
      </c>
      <c r="C2780" s="1484">
        <v>1</v>
      </c>
      <c r="D2780" s="1484" t="s">
        <v>3364</v>
      </c>
      <c r="E2780" s="1484">
        <v>10</v>
      </c>
      <c r="F2780" s="1446">
        <v>19</v>
      </c>
      <c r="G2780" s="1446"/>
      <c r="H2780" s="1447"/>
      <c r="I2780" s="1494">
        <f>PRODUCT(C2780:H2780)</f>
        <v>190</v>
      </c>
      <c r="J2780" s="1475"/>
      <c r="K2780" s="1439"/>
      <c r="L2780" s="1439"/>
      <c r="M2780" s="1439"/>
      <c r="N2780" s="1439"/>
      <c r="O2780" s="1439"/>
      <c r="P2780" s="1439"/>
      <c r="Q2780" s="1439"/>
      <c r="R2780" s="1439"/>
      <c r="S2780" s="1439"/>
      <c r="T2780" s="1439"/>
      <c r="U2780" s="1439"/>
      <c r="V2780" s="1439"/>
      <c r="W2780" s="1439"/>
      <c r="X2780" s="1439"/>
      <c r="Y2780" s="1439"/>
      <c r="Z2780" s="1439"/>
      <c r="AA2780" s="1439"/>
      <c r="AB2780" s="1439"/>
      <c r="AC2780" s="1439"/>
      <c r="AD2780" s="1439"/>
      <c r="AE2780" s="1439"/>
      <c r="AF2780" s="1439"/>
      <c r="AG2780" s="1439"/>
    </row>
    <row r="2781" spans="1:33" ht="15.75" customHeight="1">
      <c r="A2781" s="1470"/>
      <c r="B2781" s="1450" t="s">
        <v>3689</v>
      </c>
      <c r="C2781" s="1484">
        <v>2</v>
      </c>
      <c r="D2781" s="1477" t="s">
        <v>3364</v>
      </c>
      <c r="E2781" s="1484">
        <v>2</v>
      </c>
      <c r="F2781" s="1478">
        <v>3.6</v>
      </c>
      <c r="G2781" s="1478"/>
      <c r="H2781" s="1500"/>
      <c r="I2781" s="1494">
        <f>PRODUCT(C2781:H2781)</f>
        <v>14.4</v>
      </c>
      <c r="J2781" s="1475"/>
      <c r="K2781" s="1439"/>
      <c r="L2781" s="1439"/>
      <c r="M2781" s="1439"/>
      <c r="N2781" s="1439"/>
      <c r="O2781" s="1439"/>
      <c r="P2781" s="1439"/>
      <c r="Q2781" s="1439"/>
      <c r="R2781" s="1439"/>
      <c r="S2781" s="1439"/>
      <c r="T2781" s="1439"/>
      <c r="U2781" s="1439"/>
      <c r="V2781" s="1439"/>
      <c r="W2781" s="1439"/>
      <c r="X2781" s="1439"/>
      <c r="Y2781" s="1439"/>
      <c r="Z2781" s="1439"/>
      <c r="AA2781" s="1439"/>
      <c r="AB2781" s="1439"/>
      <c r="AC2781" s="1439"/>
      <c r="AD2781" s="1439"/>
      <c r="AE2781" s="1439"/>
      <c r="AF2781" s="1439"/>
      <c r="AG2781" s="1439"/>
    </row>
    <row r="2782" spans="1:33" ht="15.75" customHeight="1">
      <c r="A2782" s="1470"/>
      <c r="B2782" s="1450" t="s">
        <v>7340</v>
      </c>
      <c r="C2782" s="1484">
        <v>1</v>
      </c>
      <c r="D2782" s="1477" t="s">
        <v>3364</v>
      </c>
      <c r="E2782" s="1484">
        <v>10</v>
      </c>
      <c r="F2782" s="1478">
        <v>3.6</v>
      </c>
      <c r="G2782" s="1478"/>
      <c r="H2782" s="1500"/>
      <c r="I2782" s="1494">
        <f>PRODUCT(C2782:H2782)</f>
        <v>36</v>
      </c>
      <c r="J2782" s="1475"/>
      <c r="K2782" s="1439"/>
      <c r="L2782" s="1439"/>
      <c r="M2782" s="1439"/>
      <c r="N2782" s="1439"/>
      <c r="O2782" s="1439"/>
      <c r="P2782" s="1439"/>
      <c r="Q2782" s="1439"/>
      <c r="R2782" s="1439"/>
      <c r="S2782" s="1439"/>
      <c r="T2782" s="1439"/>
      <c r="U2782" s="1439"/>
      <c r="V2782" s="1439"/>
      <c r="W2782" s="1439"/>
      <c r="X2782" s="1439"/>
      <c r="Y2782" s="1439"/>
      <c r="Z2782" s="1439"/>
      <c r="AA2782" s="1439"/>
      <c r="AB2782" s="1439"/>
      <c r="AC2782" s="1439"/>
      <c r="AD2782" s="1439"/>
      <c r="AE2782" s="1439"/>
      <c r="AF2782" s="1439"/>
      <c r="AG2782" s="1439"/>
    </row>
    <row r="2783" spans="1:33" ht="15.75" customHeight="1">
      <c r="A2783" s="1470"/>
      <c r="B2783" s="1450"/>
      <c r="C2783" s="1484"/>
      <c r="D2783" s="1484"/>
      <c r="E2783" s="1484"/>
      <c r="F2783" s="1446"/>
      <c r="G2783" s="1458" t="s">
        <v>104</v>
      </c>
      <c r="H2783" s="1460"/>
      <c r="I2783" s="1459">
        <f>SUM(I2780:I2782)</f>
        <v>240.4</v>
      </c>
      <c r="J2783" s="1475"/>
      <c r="K2783" s="1439"/>
      <c r="L2783" s="1439"/>
      <c r="M2783" s="1439"/>
      <c r="N2783" s="1439"/>
      <c r="O2783" s="1439"/>
      <c r="P2783" s="1439"/>
      <c r="Q2783" s="1439"/>
      <c r="R2783" s="1439"/>
      <c r="S2783" s="1439"/>
      <c r="T2783" s="1439"/>
      <c r="U2783" s="1439"/>
      <c r="V2783" s="1439"/>
      <c r="W2783" s="1439"/>
      <c r="X2783" s="1439"/>
      <c r="Y2783" s="1439"/>
      <c r="Z2783" s="1439"/>
      <c r="AA2783" s="1439"/>
      <c r="AB2783" s="1439"/>
      <c r="AC2783" s="1439"/>
      <c r="AD2783" s="1439"/>
      <c r="AE2783" s="1439"/>
      <c r="AF2783" s="1439"/>
      <c r="AG2783" s="1439"/>
    </row>
    <row r="2784" spans="1:33" ht="15.75" customHeight="1">
      <c r="A2784" s="1470"/>
      <c r="B2784" s="1450"/>
      <c r="C2784" s="1484"/>
      <c r="D2784" s="1484"/>
      <c r="E2784" s="1484"/>
      <c r="F2784" s="1446"/>
      <c r="G2784" s="1458"/>
      <c r="H2784" s="1460" t="s">
        <v>2981</v>
      </c>
      <c r="I2784" s="1479">
        <f>CEILING(I2783,0.1)</f>
        <v>240.4</v>
      </c>
      <c r="J2784" s="1475" t="s">
        <v>13</v>
      </c>
      <c r="K2784" s="1439"/>
      <c r="L2784" s="1439"/>
      <c r="M2784" s="1439"/>
      <c r="N2784" s="1439"/>
      <c r="O2784" s="1439"/>
      <c r="P2784" s="1439"/>
      <c r="Q2784" s="1439"/>
      <c r="R2784" s="1439"/>
      <c r="S2784" s="1439"/>
      <c r="T2784" s="1439"/>
      <c r="U2784" s="1439"/>
      <c r="V2784" s="1439"/>
      <c r="W2784" s="1439"/>
      <c r="X2784" s="1439"/>
      <c r="Y2784" s="1439"/>
      <c r="Z2784" s="1439"/>
      <c r="AA2784" s="1439"/>
      <c r="AB2784" s="1439"/>
      <c r="AC2784" s="1439"/>
      <c r="AD2784" s="1439"/>
      <c r="AE2784" s="1439"/>
      <c r="AF2784" s="1439"/>
      <c r="AG2784" s="1439"/>
    </row>
    <row r="2785" spans="1:33" ht="16.5" customHeight="1">
      <c r="A2785" s="1451">
        <v>77.2</v>
      </c>
      <c r="B2785" s="1455" t="s">
        <v>3736</v>
      </c>
      <c r="C2785" s="1477"/>
      <c r="D2785" s="1477"/>
      <c r="E2785" s="1477"/>
      <c r="F2785" s="1478"/>
      <c r="G2785" s="1478"/>
      <c r="H2785" s="1500"/>
      <c r="I2785" s="1479"/>
      <c r="J2785" s="1501"/>
      <c r="K2785" s="1439"/>
      <c r="L2785" s="1439"/>
      <c r="M2785" s="1439"/>
      <c r="N2785" s="1439"/>
      <c r="O2785" s="1439"/>
      <c r="P2785" s="1439"/>
      <c r="Q2785" s="1439"/>
      <c r="R2785" s="1439"/>
      <c r="S2785" s="1439"/>
      <c r="T2785" s="1439"/>
      <c r="U2785" s="1439"/>
      <c r="V2785" s="1439"/>
      <c r="W2785" s="1439"/>
      <c r="X2785" s="1439"/>
      <c r="Y2785" s="1439"/>
      <c r="Z2785" s="1439"/>
      <c r="AA2785" s="1439"/>
      <c r="AB2785" s="1439"/>
      <c r="AC2785" s="1439"/>
      <c r="AD2785" s="1439"/>
      <c r="AE2785" s="1439"/>
      <c r="AF2785" s="1439"/>
      <c r="AG2785" s="1439"/>
    </row>
    <row r="2786" spans="1:33" ht="16.5" customHeight="1">
      <c r="A2786" s="1451"/>
      <c r="B2786" s="1462" t="s">
        <v>7288</v>
      </c>
      <c r="C2786" s="1477">
        <v>1</v>
      </c>
      <c r="D2786" s="1477" t="s">
        <v>3364</v>
      </c>
      <c r="E2786" s="1477">
        <v>10</v>
      </c>
      <c r="F2786" s="1478"/>
      <c r="G2786" s="1478"/>
      <c r="H2786" s="1500"/>
      <c r="I2786" s="1494">
        <f>PRODUCT(C2786:H2786)</f>
        <v>10</v>
      </c>
      <c r="J2786" s="1549"/>
      <c r="K2786" s="1439"/>
      <c r="L2786" s="1439"/>
      <c r="M2786" s="1439"/>
      <c r="N2786" s="1439"/>
      <c r="O2786" s="1439"/>
      <c r="P2786" s="1439"/>
      <c r="Q2786" s="1439"/>
      <c r="R2786" s="1439"/>
      <c r="S2786" s="1439"/>
      <c r="T2786" s="1439"/>
      <c r="U2786" s="1439"/>
      <c r="V2786" s="1439"/>
      <c r="W2786" s="1439"/>
      <c r="X2786" s="1439"/>
      <c r="Y2786" s="1439"/>
      <c r="Z2786" s="1439"/>
      <c r="AA2786" s="1439"/>
      <c r="AB2786" s="1439"/>
      <c r="AC2786" s="1439"/>
      <c r="AD2786" s="1439"/>
      <c r="AE2786" s="1439"/>
      <c r="AF2786" s="1439"/>
      <c r="AG2786" s="1439"/>
    </row>
    <row r="2787" spans="1:33" ht="16.5" customHeight="1">
      <c r="A2787" s="1451"/>
      <c r="B2787" s="1450" t="s">
        <v>7341</v>
      </c>
      <c r="C2787" s="1477">
        <v>1</v>
      </c>
      <c r="D2787" s="1477" t="s">
        <v>3364</v>
      </c>
      <c r="E2787" s="1477">
        <v>2</v>
      </c>
      <c r="F2787" s="1478"/>
      <c r="G2787" s="1478"/>
      <c r="H2787" s="1500"/>
      <c r="I2787" s="1494">
        <f>PRODUCT(C2787:H2787)</f>
        <v>2</v>
      </c>
      <c r="J2787" s="1549"/>
      <c r="K2787" s="1439"/>
      <c r="L2787" s="1439"/>
      <c r="M2787" s="1439"/>
      <c r="N2787" s="1439"/>
      <c r="O2787" s="1439"/>
      <c r="P2787" s="1439"/>
      <c r="Q2787" s="1439"/>
      <c r="R2787" s="1439"/>
      <c r="S2787" s="1439"/>
      <c r="T2787" s="1439"/>
      <c r="U2787" s="1439"/>
      <c r="V2787" s="1439"/>
      <c r="W2787" s="1439"/>
      <c r="X2787" s="1439"/>
      <c r="Y2787" s="1439"/>
      <c r="Z2787" s="1439"/>
      <c r="AA2787" s="1439"/>
      <c r="AB2787" s="1439"/>
      <c r="AC2787" s="1439"/>
      <c r="AD2787" s="1439"/>
      <c r="AE2787" s="1439"/>
      <c r="AF2787" s="1439"/>
      <c r="AG2787" s="1439"/>
    </row>
    <row r="2788" spans="1:33" ht="16.5" customHeight="1">
      <c r="A2788" s="1451"/>
      <c r="B2788" s="1450" t="s">
        <v>7319</v>
      </c>
      <c r="C2788" s="1477">
        <v>1</v>
      </c>
      <c r="D2788" s="1477" t="s">
        <v>3364</v>
      </c>
      <c r="E2788" s="1477">
        <v>6</v>
      </c>
      <c r="F2788" s="1478"/>
      <c r="G2788" s="1478"/>
      <c r="H2788" s="1500"/>
      <c r="I2788" s="1494">
        <f>PRODUCT(C2788:H2788)</f>
        <v>6</v>
      </c>
      <c r="J2788" s="1549"/>
      <c r="K2788" s="1439"/>
      <c r="L2788" s="1439"/>
      <c r="M2788" s="1439"/>
      <c r="N2788" s="1439"/>
      <c r="O2788" s="1439"/>
      <c r="P2788" s="1439"/>
      <c r="Q2788" s="1439"/>
      <c r="R2788" s="1439"/>
      <c r="S2788" s="1439"/>
      <c r="T2788" s="1439"/>
      <c r="U2788" s="1439"/>
      <c r="V2788" s="1439"/>
      <c r="W2788" s="1439"/>
      <c r="X2788" s="1439"/>
      <c r="Y2788" s="1439"/>
      <c r="Z2788" s="1439"/>
      <c r="AA2788" s="1439"/>
      <c r="AB2788" s="1439"/>
      <c r="AC2788" s="1439"/>
      <c r="AD2788" s="1439"/>
      <c r="AE2788" s="1439"/>
      <c r="AF2788" s="1439"/>
      <c r="AG2788" s="1439"/>
    </row>
    <row r="2789" spans="1:33" ht="16.5" customHeight="1">
      <c r="A2789" s="1451"/>
      <c r="B2789" s="1450"/>
      <c r="C2789" s="1477"/>
      <c r="D2789" s="1477"/>
      <c r="E2789" s="1477"/>
      <c r="F2789" s="1478"/>
      <c r="G2789" s="1478"/>
      <c r="H2789" s="1500"/>
      <c r="I2789" s="1535">
        <f>SUM(I2786:I2788)</f>
        <v>18</v>
      </c>
      <c r="J2789" s="1554" t="s">
        <v>41</v>
      </c>
      <c r="K2789" s="1439"/>
      <c r="L2789" s="1439"/>
      <c r="M2789" s="1439"/>
      <c r="N2789" s="1439"/>
      <c r="O2789" s="1439"/>
      <c r="P2789" s="1439"/>
      <c r="Q2789" s="1439"/>
      <c r="R2789" s="1439"/>
      <c r="S2789" s="1439"/>
      <c r="T2789" s="1439"/>
      <c r="U2789" s="1439"/>
      <c r="V2789" s="1439"/>
      <c r="W2789" s="1439"/>
      <c r="X2789" s="1439"/>
      <c r="Y2789" s="1439"/>
      <c r="Z2789" s="1439"/>
      <c r="AA2789" s="1439"/>
      <c r="AB2789" s="1439"/>
      <c r="AC2789" s="1439"/>
      <c r="AD2789" s="1439"/>
      <c r="AE2789" s="1439"/>
      <c r="AF2789" s="1439"/>
      <c r="AG2789" s="1439"/>
    </row>
    <row r="2790" spans="1:33" ht="31.5">
      <c r="A2790" s="1451">
        <v>255.7</v>
      </c>
      <c r="B2790" s="1450" t="s">
        <v>3737</v>
      </c>
      <c r="C2790" s="1484"/>
      <c r="D2790" s="1484"/>
      <c r="E2790" s="1484"/>
      <c r="F2790" s="1446"/>
      <c r="G2790" s="1446"/>
      <c r="H2790" s="1447"/>
      <c r="I2790" s="1448"/>
      <c r="J2790" s="1475"/>
      <c r="K2790" s="1439"/>
      <c r="L2790" s="1439"/>
      <c r="M2790" s="1439"/>
      <c r="N2790" s="1439"/>
      <c r="O2790" s="1439"/>
      <c r="P2790" s="1439"/>
      <c r="Q2790" s="1439"/>
      <c r="R2790" s="1439"/>
      <c r="S2790" s="1439"/>
      <c r="T2790" s="1439"/>
      <c r="U2790" s="1439"/>
      <c r="V2790" s="1439"/>
      <c r="W2790" s="1439"/>
      <c r="X2790" s="1439"/>
      <c r="Y2790" s="1439"/>
      <c r="Z2790" s="1439"/>
      <c r="AA2790" s="1439"/>
      <c r="AB2790" s="1439"/>
      <c r="AC2790" s="1439"/>
      <c r="AD2790" s="1439"/>
      <c r="AE2790" s="1439"/>
      <c r="AF2790" s="1439"/>
      <c r="AG2790" s="1439"/>
    </row>
    <row r="2791" spans="1:33" ht="15.75" customHeight="1">
      <c r="A2791" s="1451"/>
      <c r="B2791" s="1456" t="s">
        <v>3738</v>
      </c>
      <c r="C2791" s="1484"/>
      <c r="D2791" s="1484"/>
      <c r="E2791" s="1484"/>
      <c r="F2791" s="1446"/>
      <c r="G2791" s="1446"/>
      <c r="H2791" s="1447"/>
      <c r="I2791" s="1448"/>
      <c r="J2791" s="1475"/>
      <c r="K2791" s="1439"/>
      <c r="L2791" s="1439"/>
      <c r="M2791" s="1439"/>
      <c r="N2791" s="1439"/>
      <c r="O2791" s="1439"/>
      <c r="P2791" s="1439"/>
      <c r="Q2791" s="1439"/>
      <c r="R2791" s="1439"/>
      <c r="S2791" s="1439"/>
      <c r="T2791" s="1439"/>
      <c r="U2791" s="1439"/>
      <c r="V2791" s="1439"/>
      <c r="W2791" s="1439"/>
      <c r="X2791" s="1439"/>
      <c r="Y2791" s="1439"/>
      <c r="Z2791" s="1439"/>
      <c r="AA2791" s="1439"/>
      <c r="AB2791" s="1439"/>
      <c r="AC2791" s="1439"/>
      <c r="AD2791" s="1439"/>
      <c r="AE2791" s="1439"/>
      <c r="AF2791" s="1439"/>
      <c r="AG2791" s="1439"/>
    </row>
    <row r="2792" spans="1:33" ht="15.75" customHeight="1">
      <c r="A2792" s="1451"/>
      <c r="B2792" s="1456" t="s">
        <v>7157</v>
      </c>
      <c r="C2792" s="1484"/>
      <c r="D2792" s="1484"/>
      <c r="E2792" s="1484"/>
      <c r="F2792" s="1446"/>
      <c r="G2792" s="1446"/>
      <c r="H2792" s="1447"/>
      <c r="I2792" s="1494"/>
      <c r="J2792" s="1492"/>
      <c r="K2792" s="1439"/>
      <c r="L2792" s="1439"/>
      <c r="M2792" s="1439"/>
      <c r="N2792" s="1439"/>
      <c r="O2792" s="1439"/>
      <c r="P2792" s="1439"/>
      <c r="Q2792" s="1439"/>
      <c r="R2792" s="1439"/>
      <c r="S2792" s="1439"/>
      <c r="T2792" s="1439"/>
      <c r="U2792" s="1439"/>
      <c r="V2792" s="1439"/>
      <c r="W2792" s="1439"/>
      <c r="X2792" s="1439"/>
      <c r="Y2792" s="1439"/>
      <c r="Z2792" s="1439"/>
      <c r="AA2792" s="1439"/>
      <c r="AB2792" s="1439"/>
      <c r="AC2792" s="1439"/>
      <c r="AD2792" s="1439"/>
      <c r="AE2792" s="1439"/>
      <c r="AF2792" s="1439"/>
      <c r="AG2792" s="1439"/>
    </row>
    <row r="2793" spans="1:33" ht="15.75" customHeight="1">
      <c r="A2793" s="1451"/>
      <c r="B2793" s="1450" t="s">
        <v>7079</v>
      </c>
      <c r="C2793" s="1484">
        <v>2</v>
      </c>
      <c r="D2793" s="1484" t="s">
        <v>3364</v>
      </c>
      <c r="E2793" s="1484">
        <v>1</v>
      </c>
      <c r="F2793" s="1446"/>
      <c r="G2793" s="1446"/>
      <c r="H2793" s="1447"/>
      <c r="I2793" s="1494">
        <f t="shared" ref="I2793:I2851" si="105">PRODUCT(C2793:H2793)</f>
        <v>2</v>
      </c>
      <c r="J2793" s="1492"/>
      <c r="K2793" s="1439"/>
      <c r="L2793" s="1439"/>
      <c r="M2793" s="1439"/>
      <c r="N2793" s="1439"/>
      <c r="O2793" s="1439"/>
      <c r="P2793" s="1439"/>
      <c r="Q2793" s="1439"/>
      <c r="R2793" s="1439"/>
      <c r="S2793" s="1439"/>
      <c r="T2793" s="1439"/>
      <c r="U2793" s="1439"/>
      <c r="V2793" s="1439"/>
      <c r="W2793" s="1439"/>
      <c r="X2793" s="1439"/>
      <c r="Y2793" s="1439"/>
      <c r="Z2793" s="1439"/>
      <c r="AA2793" s="1439"/>
      <c r="AB2793" s="1439"/>
      <c r="AC2793" s="1439"/>
      <c r="AD2793" s="1439"/>
      <c r="AE2793" s="1439"/>
      <c r="AF2793" s="1439"/>
      <c r="AG2793" s="1439"/>
    </row>
    <row r="2794" spans="1:33" ht="15.75" customHeight="1">
      <c r="A2794" s="1451"/>
      <c r="B2794" s="1450" t="s">
        <v>7214</v>
      </c>
      <c r="C2794" s="1484">
        <v>2</v>
      </c>
      <c r="D2794" s="1484" t="s">
        <v>3364</v>
      </c>
      <c r="E2794" s="1484">
        <v>3</v>
      </c>
      <c r="F2794" s="1446"/>
      <c r="G2794" s="1446"/>
      <c r="H2794" s="1447"/>
      <c r="I2794" s="1494">
        <f t="shared" si="105"/>
        <v>6</v>
      </c>
      <c r="J2794" s="1492"/>
      <c r="K2794" s="1439"/>
      <c r="L2794" s="1439"/>
      <c r="M2794" s="1439"/>
      <c r="N2794" s="1439"/>
      <c r="O2794" s="1439"/>
      <c r="P2794" s="1439"/>
      <c r="Q2794" s="1439"/>
      <c r="R2794" s="1439"/>
      <c r="S2794" s="1439"/>
      <c r="T2794" s="1439"/>
      <c r="U2794" s="1439"/>
      <c r="V2794" s="1439"/>
      <c r="W2794" s="1439"/>
      <c r="X2794" s="1439"/>
      <c r="Y2794" s="1439"/>
      <c r="Z2794" s="1439"/>
      <c r="AA2794" s="1439"/>
      <c r="AB2794" s="1439"/>
      <c r="AC2794" s="1439"/>
      <c r="AD2794" s="1439"/>
      <c r="AE2794" s="1439"/>
      <c r="AF2794" s="1439"/>
      <c r="AG2794" s="1439"/>
    </row>
    <row r="2795" spans="1:33" ht="15.75" customHeight="1">
      <c r="A2795" s="1451"/>
      <c r="B2795" s="1450" t="s">
        <v>7215</v>
      </c>
      <c r="C2795" s="1484">
        <v>1</v>
      </c>
      <c r="D2795" s="1484" t="s">
        <v>3364</v>
      </c>
      <c r="E2795" s="1484">
        <v>2</v>
      </c>
      <c r="F2795" s="1446"/>
      <c r="G2795" s="1446"/>
      <c r="H2795" s="1447"/>
      <c r="I2795" s="1494">
        <f t="shared" si="105"/>
        <v>2</v>
      </c>
      <c r="J2795" s="1492"/>
      <c r="K2795" s="1439"/>
      <c r="L2795" s="1439"/>
      <c r="M2795" s="1439"/>
      <c r="N2795" s="1439"/>
      <c r="O2795" s="1439"/>
      <c r="P2795" s="1439"/>
      <c r="Q2795" s="1439"/>
      <c r="R2795" s="1439"/>
      <c r="S2795" s="1439"/>
      <c r="T2795" s="1439"/>
      <c r="U2795" s="1439"/>
      <c r="V2795" s="1439"/>
      <c r="W2795" s="1439"/>
      <c r="X2795" s="1439"/>
      <c r="Y2795" s="1439"/>
      <c r="Z2795" s="1439"/>
      <c r="AA2795" s="1439"/>
      <c r="AB2795" s="1439"/>
      <c r="AC2795" s="1439"/>
      <c r="AD2795" s="1439"/>
      <c r="AE2795" s="1439"/>
      <c r="AF2795" s="1439"/>
      <c r="AG2795" s="1439"/>
    </row>
    <row r="2796" spans="1:33" ht="15.75" customHeight="1">
      <c r="A2796" s="1451"/>
      <c r="B2796" s="1450" t="s">
        <v>7080</v>
      </c>
      <c r="C2796" s="1484">
        <v>1</v>
      </c>
      <c r="D2796" s="1484" t="s">
        <v>3364</v>
      </c>
      <c r="E2796" s="1484">
        <v>2</v>
      </c>
      <c r="F2796" s="1446"/>
      <c r="G2796" s="1446"/>
      <c r="H2796" s="1447"/>
      <c r="I2796" s="1494">
        <f t="shared" si="105"/>
        <v>2</v>
      </c>
      <c r="J2796" s="1492"/>
      <c r="K2796" s="1439"/>
      <c r="L2796" s="1439"/>
      <c r="M2796" s="1439"/>
      <c r="N2796" s="1439"/>
      <c r="O2796" s="1439"/>
      <c r="P2796" s="1439"/>
      <c r="Q2796" s="1439"/>
      <c r="R2796" s="1439"/>
      <c r="S2796" s="1439"/>
      <c r="T2796" s="1439"/>
      <c r="U2796" s="1439"/>
      <c r="V2796" s="1439"/>
      <c r="W2796" s="1439"/>
      <c r="X2796" s="1439"/>
      <c r="Y2796" s="1439"/>
      <c r="Z2796" s="1439"/>
      <c r="AA2796" s="1439"/>
      <c r="AB2796" s="1439"/>
      <c r="AC2796" s="1439"/>
      <c r="AD2796" s="1439"/>
      <c r="AE2796" s="1439"/>
      <c r="AF2796" s="1439"/>
      <c r="AG2796" s="1439"/>
    </row>
    <row r="2797" spans="1:33" ht="15.75" customHeight="1">
      <c r="A2797" s="1451"/>
      <c r="B2797" s="1450" t="s">
        <v>7216</v>
      </c>
      <c r="C2797" s="1484">
        <v>2</v>
      </c>
      <c r="D2797" s="1484" t="s">
        <v>3364</v>
      </c>
      <c r="E2797" s="1484">
        <v>3</v>
      </c>
      <c r="F2797" s="1446"/>
      <c r="G2797" s="1446"/>
      <c r="H2797" s="1447"/>
      <c r="I2797" s="1494">
        <f t="shared" si="105"/>
        <v>6</v>
      </c>
      <c r="J2797" s="1492"/>
      <c r="K2797" s="1439"/>
      <c r="L2797" s="1439"/>
      <c r="M2797" s="1439"/>
      <c r="N2797" s="1439"/>
      <c r="O2797" s="1439"/>
      <c r="P2797" s="1439"/>
      <c r="Q2797" s="1439"/>
      <c r="R2797" s="1439"/>
      <c r="S2797" s="1439"/>
      <c r="T2797" s="1439"/>
      <c r="U2797" s="1439"/>
      <c r="V2797" s="1439"/>
      <c r="W2797" s="1439"/>
      <c r="X2797" s="1439"/>
      <c r="Y2797" s="1439"/>
      <c r="Z2797" s="1439"/>
      <c r="AA2797" s="1439"/>
      <c r="AB2797" s="1439"/>
      <c r="AC2797" s="1439"/>
      <c r="AD2797" s="1439"/>
      <c r="AE2797" s="1439"/>
      <c r="AF2797" s="1439"/>
      <c r="AG2797" s="1439"/>
    </row>
    <row r="2798" spans="1:33" ht="15.75" customHeight="1">
      <c r="A2798" s="1451"/>
      <c r="B2798" s="1450" t="s">
        <v>7217</v>
      </c>
      <c r="C2798" s="1484">
        <v>2</v>
      </c>
      <c r="D2798" s="1484" t="s">
        <v>3364</v>
      </c>
      <c r="E2798" s="1484">
        <v>1</v>
      </c>
      <c r="F2798" s="1446"/>
      <c r="G2798" s="1446"/>
      <c r="H2798" s="1447"/>
      <c r="I2798" s="1494">
        <f t="shared" si="105"/>
        <v>2</v>
      </c>
      <c r="J2798" s="1492"/>
      <c r="K2798" s="1439"/>
      <c r="L2798" s="1439"/>
      <c r="M2798" s="1439"/>
      <c r="N2798" s="1439"/>
      <c r="O2798" s="1439"/>
      <c r="P2798" s="1439"/>
      <c r="Q2798" s="1439"/>
      <c r="R2798" s="1439"/>
      <c r="S2798" s="1439"/>
      <c r="T2798" s="1439"/>
      <c r="U2798" s="1439"/>
      <c r="V2798" s="1439"/>
      <c r="W2798" s="1439"/>
      <c r="X2798" s="1439"/>
      <c r="Y2798" s="1439"/>
      <c r="Z2798" s="1439"/>
      <c r="AA2798" s="1439"/>
      <c r="AB2798" s="1439"/>
      <c r="AC2798" s="1439"/>
      <c r="AD2798" s="1439"/>
      <c r="AE2798" s="1439"/>
      <c r="AF2798" s="1439"/>
      <c r="AG2798" s="1439"/>
    </row>
    <row r="2799" spans="1:33" ht="15.75" customHeight="1">
      <c r="A2799" s="1451"/>
      <c r="B2799" s="1450" t="s">
        <v>7218</v>
      </c>
      <c r="C2799" s="1484">
        <v>1</v>
      </c>
      <c r="D2799" s="1484" t="s">
        <v>3364</v>
      </c>
      <c r="E2799" s="1484">
        <v>1</v>
      </c>
      <c r="F2799" s="1446"/>
      <c r="G2799" s="1446"/>
      <c r="H2799" s="1447"/>
      <c r="I2799" s="1494">
        <f t="shared" si="105"/>
        <v>1</v>
      </c>
      <c r="J2799" s="1492"/>
      <c r="K2799" s="1439"/>
      <c r="L2799" s="1439"/>
      <c r="M2799" s="1439"/>
      <c r="N2799" s="1439"/>
      <c r="O2799" s="1439"/>
      <c r="P2799" s="1439"/>
      <c r="Q2799" s="1439"/>
      <c r="R2799" s="1439"/>
      <c r="S2799" s="1439"/>
      <c r="T2799" s="1439"/>
      <c r="U2799" s="1439"/>
      <c r="V2799" s="1439"/>
      <c r="W2799" s="1439"/>
      <c r="X2799" s="1439"/>
      <c r="Y2799" s="1439"/>
      <c r="Z2799" s="1439"/>
      <c r="AA2799" s="1439"/>
      <c r="AB2799" s="1439"/>
      <c r="AC2799" s="1439"/>
      <c r="AD2799" s="1439"/>
      <c r="AE2799" s="1439"/>
      <c r="AF2799" s="1439"/>
      <c r="AG2799" s="1439"/>
    </row>
    <row r="2800" spans="1:33">
      <c r="A2800" s="1451"/>
      <c r="B2800" s="1456" t="s">
        <v>3486</v>
      </c>
      <c r="C2800" s="1484"/>
      <c r="D2800" s="1484"/>
      <c r="E2800" s="1484"/>
      <c r="F2800" s="1446"/>
      <c r="G2800" s="1446"/>
      <c r="H2800" s="1447"/>
      <c r="I2800" s="1494"/>
      <c r="J2800" s="1492"/>
      <c r="K2800" s="1439"/>
      <c r="L2800" s="1439"/>
      <c r="M2800" s="1439"/>
      <c r="N2800" s="1439"/>
      <c r="O2800" s="1439"/>
      <c r="P2800" s="1439"/>
      <c r="Q2800" s="1439"/>
      <c r="R2800" s="1439"/>
      <c r="S2800" s="1439"/>
      <c r="T2800" s="1439"/>
      <c r="U2800" s="1439"/>
      <c r="V2800" s="1439"/>
      <c r="W2800" s="1439"/>
      <c r="X2800" s="1439"/>
      <c r="Y2800" s="1439"/>
      <c r="Z2800" s="1439"/>
      <c r="AA2800" s="1439"/>
      <c r="AB2800" s="1439"/>
      <c r="AC2800" s="1439"/>
      <c r="AD2800" s="1439"/>
      <c r="AE2800" s="1439"/>
      <c r="AF2800" s="1439"/>
      <c r="AG2800" s="1439"/>
    </row>
    <row r="2801" spans="1:33" ht="15.75" customHeight="1">
      <c r="A2801" s="1451"/>
      <c r="B2801" s="1450" t="s">
        <v>7219</v>
      </c>
      <c r="C2801" s="1484">
        <v>2</v>
      </c>
      <c r="D2801" s="1484" t="s">
        <v>3364</v>
      </c>
      <c r="E2801" s="1484">
        <v>1</v>
      </c>
      <c r="F2801" s="1446"/>
      <c r="G2801" s="1446"/>
      <c r="H2801" s="1447"/>
      <c r="I2801" s="1494">
        <f t="shared" si="105"/>
        <v>2</v>
      </c>
      <c r="J2801" s="1492"/>
      <c r="K2801" s="1439"/>
      <c r="L2801" s="1439"/>
      <c r="M2801" s="1439"/>
      <c r="N2801" s="1439"/>
      <c r="O2801" s="1439"/>
      <c r="P2801" s="1439"/>
      <c r="Q2801" s="1439"/>
      <c r="R2801" s="1439"/>
      <c r="S2801" s="1439"/>
      <c r="T2801" s="1439"/>
      <c r="U2801" s="1439"/>
      <c r="V2801" s="1439"/>
      <c r="W2801" s="1439"/>
      <c r="X2801" s="1439"/>
      <c r="Y2801" s="1439"/>
      <c r="Z2801" s="1439"/>
      <c r="AA2801" s="1439"/>
      <c r="AB2801" s="1439"/>
      <c r="AC2801" s="1439"/>
      <c r="AD2801" s="1439"/>
      <c r="AE2801" s="1439"/>
      <c r="AF2801" s="1439"/>
      <c r="AG2801" s="1439"/>
    </row>
    <row r="2802" spans="1:33" ht="15.75" customHeight="1">
      <c r="A2802" s="1451"/>
      <c r="B2802" s="1450" t="s">
        <v>7220</v>
      </c>
      <c r="C2802" s="1484">
        <v>1</v>
      </c>
      <c r="D2802" s="1484" t="s">
        <v>3364</v>
      </c>
      <c r="E2802" s="1484">
        <v>2</v>
      </c>
      <c r="F2802" s="1446"/>
      <c r="G2802" s="1446"/>
      <c r="H2802" s="1447"/>
      <c r="I2802" s="1494">
        <f t="shared" si="105"/>
        <v>2</v>
      </c>
      <c r="J2802" s="1492"/>
      <c r="K2802" s="1439"/>
      <c r="L2802" s="1439"/>
      <c r="M2802" s="1439"/>
      <c r="N2802" s="1439"/>
      <c r="O2802" s="1439"/>
      <c r="P2802" s="1439"/>
      <c r="Q2802" s="1439"/>
      <c r="R2802" s="1439"/>
      <c r="S2802" s="1439"/>
      <c r="T2802" s="1439"/>
      <c r="U2802" s="1439"/>
      <c r="V2802" s="1439"/>
      <c r="W2802" s="1439"/>
      <c r="X2802" s="1439"/>
      <c r="Y2802" s="1439"/>
      <c r="Z2802" s="1439"/>
      <c r="AA2802" s="1439"/>
      <c r="AB2802" s="1439"/>
      <c r="AC2802" s="1439"/>
      <c r="AD2802" s="1439"/>
      <c r="AE2802" s="1439"/>
      <c r="AF2802" s="1439"/>
      <c r="AG2802" s="1439"/>
    </row>
    <row r="2803" spans="1:33" ht="15.75" customHeight="1">
      <c r="A2803" s="1451"/>
      <c r="B2803" s="1450" t="s">
        <v>7221</v>
      </c>
      <c r="C2803" s="1484">
        <v>1</v>
      </c>
      <c r="D2803" s="1484" t="s">
        <v>3364</v>
      </c>
      <c r="E2803" s="1484">
        <v>2</v>
      </c>
      <c r="F2803" s="1446"/>
      <c r="G2803" s="1446"/>
      <c r="H2803" s="1447"/>
      <c r="I2803" s="1494">
        <f t="shared" si="105"/>
        <v>2</v>
      </c>
      <c r="J2803" s="1492"/>
      <c r="K2803" s="1439"/>
      <c r="L2803" s="1439"/>
      <c r="M2803" s="1439"/>
      <c r="N2803" s="1439"/>
      <c r="O2803" s="1439"/>
      <c r="P2803" s="1439"/>
      <c r="Q2803" s="1439"/>
      <c r="R2803" s="1439"/>
      <c r="S2803" s="1439"/>
      <c r="T2803" s="1439"/>
      <c r="U2803" s="1439"/>
      <c r="V2803" s="1439"/>
      <c r="W2803" s="1439"/>
      <c r="X2803" s="1439"/>
      <c r="Y2803" s="1439"/>
      <c r="Z2803" s="1439"/>
      <c r="AA2803" s="1439"/>
      <c r="AB2803" s="1439"/>
      <c r="AC2803" s="1439"/>
      <c r="AD2803" s="1439"/>
      <c r="AE2803" s="1439"/>
      <c r="AF2803" s="1439"/>
      <c r="AG2803" s="1439"/>
    </row>
    <row r="2804" spans="1:33" ht="15.75" customHeight="1">
      <c r="A2804" s="1451"/>
      <c r="B2804" s="1450" t="s">
        <v>7222</v>
      </c>
      <c r="C2804" s="1484">
        <v>2</v>
      </c>
      <c r="D2804" s="1484" t="s">
        <v>3364</v>
      </c>
      <c r="E2804" s="1484">
        <v>1</v>
      </c>
      <c r="F2804" s="1446"/>
      <c r="G2804" s="1446"/>
      <c r="H2804" s="1447"/>
      <c r="I2804" s="1494">
        <f t="shared" si="105"/>
        <v>2</v>
      </c>
      <c r="J2804" s="1492"/>
      <c r="K2804" s="1439"/>
      <c r="L2804" s="1439"/>
      <c r="M2804" s="1439"/>
      <c r="N2804" s="1439"/>
      <c r="O2804" s="1439"/>
      <c r="P2804" s="1439"/>
      <c r="Q2804" s="1439"/>
      <c r="R2804" s="1439"/>
      <c r="S2804" s="1439"/>
      <c r="T2804" s="1439"/>
      <c r="U2804" s="1439"/>
      <c r="V2804" s="1439"/>
      <c r="W2804" s="1439"/>
      <c r="X2804" s="1439"/>
      <c r="Y2804" s="1439"/>
      <c r="Z2804" s="1439"/>
      <c r="AA2804" s="1439"/>
      <c r="AB2804" s="1439"/>
      <c r="AC2804" s="1439"/>
      <c r="AD2804" s="1439"/>
      <c r="AE2804" s="1439"/>
      <c r="AF2804" s="1439"/>
      <c r="AG2804" s="1439"/>
    </row>
    <row r="2805" spans="1:33" ht="15.75" customHeight="1">
      <c r="A2805" s="1451"/>
      <c r="B2805" s="1450" t="s">
        <v>7223</v>
      </c>
      <c r="C2805" s="1484">
        <v>2</v>
      </c>
      <c r="D2805" s="1484" t="s">
        <v>3364</v>
      </c>
      <c r="E2805" s="1484">
        <v>2</v>
      </c>
      <c r="F2805" s="1446"/>
      <c r="G2805" s="1446"/>
      <c r="H2805" s="1447"/>
      <c r="I2805" s="1494">
        <f t="shared" si="105"/>
        <v>4</v>
      </c>
      <c r="J2805" s="1492"/>
      <c r="K2805" s="1439"/>
      <c r="L2805" s="1439"/>
      <c r="M2805" s="1439"/>
      <c r="N2805" s="1439"/>
      <c r="O2805" s="1439"/>
      <c r="P2805" s="1439"/>
      <c r="Q2805" s="1439"/>
      <c r="R2805" s="1439"/>
      <c r="S2805" s="1439"/>
      <c r="T2805" s="1439"/>
      <c r="U2805" s="1439"/>
      <c r="V2805" s="1439"/>
      <c r="W2805" s="1439"/>
      <c r="X2805" s="1439"/>
      <c r="Y2805" s="1439"/>
      <c r="Z2805" s="1439"/>
      <c r="AA2805" s="1439"/>
      <c r="AB2805" s="1439"/>
      <c r="AC2805" s="1439"/>
      <c r="AD2805" s="1439"/>
      <c r="AE2805" s="1439"/>
      <c r="AF2805" s="1439"/>
      <c r="AG2805" s="1439"/>
    </row>
    <row r="2806" spans="1:33" ht="15.75" customHeight="1">
      <c r="A2806" s="1451"/>
      <c r="B2806" s="1450" t="s">
        <v>7217</v>
      </c>
      <c r="C2806" s="1484">
        <v>2</v>
      </c>
      <c r="D2806" s="1484" t="s">
        <v>3364</v>
      </c>
      <c r="E2806" s="1484">
        <v>1</v>
      </c>
      <c r="F2806" s="1446"/>
      <c r="G2806" s="1446"/>
      <c r="H2806" s="1447"/>
      <c r="I2806" s="1494">
        <f t="shared" si="105"/>
        <v>2</v>
      </c>
      <c r="J2806" s="1492"/>
      <c r="K2806" s="1439"/>
      <c r="L2806" s="1439"/>
      <c r="M2806" s="1439"/>
      <c r="N2806" s="1439"/>
      <c r="O2806" s="1439"/>
      <c r="P2806" s="1439"/>
      <c r="Q2806" s="1439"/>
      <c r="R2806" s="1439"/>
      <c r="S2806" s="1439"/>
      <c r="T2806" s="1439"/>
      <c r="U2806" s="1439"/>
      <c r="V2806" s="1439"/>
      <c r="W2806" s="1439"/>
      <c r="X2806" s="1439"/>
      <c r="Y2806" s="1439"/>
      <c r="Z2806" s="1439"/>
      <c r="AA2806" s="1439"/>
      <c r="AB2806" s="1439"/>
      <c r="AC2806" s="1439"/>
      <c r="AD2806" s="1439"/>
      <c r="AE2806" s="1439"/>
      <c r="AF2806" s="1439"/>
      <c r="AG2806" s="1439"/>
    </row>
    <row r="2807" spans="1:33" ht="15.75" customHeight="1">
      <c r="A2807" s="1451"/>
      <c r="B2807" s="1450" t="s">
        <v>7083</v>
      </c>
      <c r="C2807" s="1484">
        <v>2</v>
      </c>
      <c r="D2807" s="1484" t="s">
        <v>3364</v>
      </c>
      <c r="E2807" s="1484">
        <v>1</v>
      </c>
      <c r="F2807" s="1446"/>
      <c r="G2807" s="1446"/>
      <c r="H2807" s="1447"/>
      <c r="I2807" s="1494">
        <f t="shared" si="105"/>
        <v>2</v>
      </c>
      <c r="J2807" s="1492"/>
      <c r="K2807" s="1439"/>
      <c r="L2807" s="1439"/>
      <c r="M2807" s="1439"/>
      <c r="N2807" s="1439"/>
      <c r="O2807" s="1439"/>
      <c r="P2807" s="1439"/>
      <c r="Q2807" s="1439"/>
      <c r="R2807" s="1439"/>
      <c r="S2807" s="1439"/>
      <c r="T2807" s="1439"/>
      <c r="U2807" s="1439"/>
      <c r="V2807" s="1439"/>
      <c r="W2807" s="1439"/>
      <c r="X2807" s="1439"/>
      <c r="Y2807" s="1439"/>
      <c r="Z2807" s="1439"/>
      <c r="AA2807" s="1439"/>
      <c r="AB2807" s="1439"/>
      <c r="AC2807" s="1439"/>
      <c r="AD2807" s="1439"/>
      <c r="AE2807" s="1439"/>
      <c r="AF2807" s="1439"/>
      <c r="AG2807" s="1439"/>
    </row>
    <row r="2808" spans="1:33" ht="15.75" customHeight="1">
      <c r="A2808" s="1451"/>
      <c r="B2808" s="1456" t="s">
        <v>3488</v>
      </c>
      <c r="C2808" s="1484"/>
      <c r="D2808" s="1484"/>
      <c r="E2808" s="1484"/>
      <c r="F2808" s="1446"/>
      <c r="G2808" s="1446"/>
      <c r="H2808" s="1447"/>
      <c r="I2808" s="1494">
        <f t="shared" si="105"/>
        <v>0</v>
      </c>
      <c r="J2808" s="1492"/>
      <c r="K2808" s="1439"/>
      <c r="L2808" s="1439"/>
      <c r="M2808" s="1439"/>
      <c r="N2808" s="1439"/>
      <c r="O2808" s="1439"/>
      <c r="P2808" s="1439"/>
      <c r="Q2808" s="1439"/>
      <c r="R2808" s="1439"/>
      <c r="S2808" s="1439"/>
      <c r="T2808" s="1439"/>
      <c r="U2808" s="1439"/>
      <c r="V2808" s="1439"/>
      <c r="W2808" s="1439"/>
      <c r="X2808" s="1439"/>
      <c r="Y2808" s="1439"/>
      <c r="Z2808" s="1439"/>
      <c r="AA2808" s="1439"/>
      <c r="AB2808" s="1439"/>
      <c r="AC2808" s="1439"/>
      <c r="AD2808" s="1439"/>
      <c r="AE2808" s="1439"/>
      <c r="AF2808" s="1439"/>
      <c r="AG2808" s="1439"/>
    </row>
    <row r="2809" spans="1:33" ht="15.75" customHeight="1">
      <c r="A2809" s="1451"/>
      <c r="B2809" s="1450" t="s">
        <v>7224</v>
      </c>
      <c r="C2809" s="1484">
        <v>2</v>
      </c>
      <c r="D2809" s="1484" t="s">
        <v>3364</v>
      </c>
      <c r="E2809" s="1484">
        <v>1</v>
      </c>
      <c r="F2809" s="1446"/>
      <c r="G2809" s="1446"/>
      <c r="H2809" s="1447"/>
      <c r="I2809" s="1494">
        <f t="shared" si="105"/>
        <v>2</v>
      </c>
      <c r="J2809" s="1492"/>
      <c r="K2809" s="1439"/>
      <c r="L2809" s="1439"/>
      <c r="M2809" s="1439"/>
      <c r="N2809" s="1439"/>
      <c r="O2809" s="1439"/>
      <c r="P2809" s="1439"/>
      <c r="Q2809" s="1439"/>
      <c r="R2809" s="1439"/>
      <c r="S2809" s="1439"/>
      <c r="T2809" s="1439"/>
      <c r="U2809" s="1439"/>
      <c r="V2809" s="1439"/>
      <c r="W2809" s="1439"/>
      <c r="X2809" s="1439"/>
      <c r="Y2809" s="1439"/>
      <c r="Z2809" s="1439"/>
      <c r="AA2809" s="1439"/>
      <c r="AB2809" s="1439"/>
      <c r="AC2809" s="1439"/>
      <c r="AD2809" s="1439"/>
      <c r="AE2809" s="1439"/>
      <c r="AF2809" s="1439"/>
      <c r="AG2809" s="1439"/>
    </row>
    <row r="2810" spans="1:33" ht="15.75" customHeight="1">
      <c r="A2810" s="1451"/>
      <c r="B2810" s="1450" t="s">
        <v>7221</v>
      </c>
      <c r="C2810" s="1484">
        <v>1</v>
      </c>
      <c r="D2810" s="1484" t="s">
        <v>3364</v>
      </c>
      <c r="E2810" s="1484">
        <v>2</v>
      </c>
      <c r="F2810" s="1446"/>
      <c r="G2810" s="1446"/>
      <c r="H2810" s="1447"/>
      <c r="I2810" s="1494">
        <f t="shared" si="105"/>
        <v>2</v>
      </c>
      <c r="J2810" s="1492"/>
      <c r="K2810" s="1439"/>
      <c r="L2810" s="1439"/>
      <c r="M2810" s="1439"/>
      <c r="N2810" s="1439"/>
      <c r="O2810" s="1439"/>
      <c r="P2810" s="1439"/>
      <c r="Q2810" s="1439"/>
      <c r="R2810" s="1439"/>
      <c r="S2810" s="1439"/>
      <c r="T2810" s="1439"/>
      <c r="U2810" s="1439"/>
      <c r="V2810" s="1439"/>
      <c r="W2810" s="1439"/>
      <c r="X2810" s="1439"/>
      <c r="Y2810" s="1439"/>
      <c r="Z2810" s="1439"/>
      <c r="AA2810" s="1439"/>
      <c r="AB2810" s="1439"/>
      <c r="AC2810" s="1439"/>
      <c r="AD2810" s="1439"/>
      <c r="AE2810" s="1439"/>
      <c r="AF2810" s="1439"/>
      <c r="AG2810" s="1439"/>
    </row>
    <row r="2811" spans="1:33" ht="15.75" customHeight="1">
      <c r="A2811" s="1451"/>
      <c r="B2811" s="1450" t="s">
        <v>7163</v>
      </c>
      <c r="C2811" s="1484">
        <v>1</v>
      </c>
      <c r="D2811" s="1484" t="s">
        <v>3364</v>
      </c>
      <c r="E2811" s="1484">
        <v>4</v>
      </c>
      <c r="F2811" s="1446"/>
      <c r="G2811" s="1446"/>
      <c r="H2811" s="1447"/>
      <c r="I2811" s="1494">
        <f t="shared" si="105"/>
        <v>4</v>
      </c>
      <c r="J2811" s="1492"/>
      <c r="K2811" s="1439"/>
      <c r="L2811" s="1439"/>
      <c r="M2811" s="1439"/>
      <c r="N2811" s="1439"/>
      <c r="O2811" s="1439"/>
      <c r="P2811" s="1439"/>
      <c r="Q2811" s="1439"/>
      <c r="R2811" s="1439"/>
      <c r="S2811" s="1439"/>
      <c r="T2811" s="1439"/>
      <c r="U2811" s="1439"/>
      <c r="V2811" s="1439"/>
      <c r="W2811" s="1439"/>
      <c r="X2811" s="1439"/>
      <c r="Y2811" s="1439"/>
      <c r="Z2811" s="1439"/>
      <c r="AA2811" s="1439"/>
      <c r="AB2811" s="1439"/>
      <c r="AC2811" s="1439"/>
      <c r="AD2811" s="1439"/>
      <c r="AE2811" s="1439"/>
      <c r="AF2811" s="1439"/>
      <c r="AG2811" s="1439"/>
    </row>
    <row r="2812" spans="1:33" ht="15.75" customHeight="1">
      <c r="A2812" s="1451"/>
      <c r="B2812" s="1450" t="s">
        <v>7225</v>
      </c>
      <c r="C2812" s="1484">
        <v>1</v>
      </c>
      <c r="D2812" s="1484" t="s">
        <v>3364</v>
      </c>
      <c r="E2812" s="1484">
        <v>4</v>
      </c>
      <c r="F2812" s="1446"/>
      <c r="G2812" s="1446"/>
      <c r="H2812" s="1447"/>
      <c r="I2812" s="1494">
        <f t="shared" si="105"/>
        <v>4</v>
      </c>
      <c r="J2812" s="1492"/>
      <c r="K2812" s="1439"/>
      <c r="L2812" s="1439"/>
      <c r="M2812" s="1439"/>
      <c r="N2812" s="1439"/>
      <c r="O2812" s="1439"/>
      <c r="P2812" s="1439"/>
      <c r="Q2812" s="1439"/>
      <c r="R2812" s="1439"/>
      <c r="S2812" s="1439"/>
      <c r="T2812" s="1439"/>
      <c r="U2812" s="1439"/>
      <c r="V2812" s="1439"/>
      <c r="W2812" s="1439"/>
      <c r="X2812" s="1439"/>
      <c r="Y2812" s="1439"/>
      <c r="Z2812" s="1439"/>
      <c r="AA2812" s="1439"/>
      <c r="AB2812" s="1439"/>
      <c r="AC2812" s="1439"/>
      <c r="AD2812" s="1439"/>
      <c r="AE2812" s="1439"/>
      <c r="AF2812" s="1439"/>
      <c r="AG2812" s="1439"/>
    </row>
    <row r="2813" spans="1:33" ht="15.75" customHeight="1">
      <c r="A2813" s="1451"/>
      <c r="B2813" s="1450" t="s">
        <v>7226</v>
      </c>
      <c r="C2813" s="1484">
        <v>1</v>
      </c>
      <c r="D2813" s="1484" t="s">
        <v>3364</v>
      </c>
      <c r="E2813" s="1484">
        <v>2</v>
      </c>
      <c r="F2813" s="1446"/>
      <c r="G2813" s="1446"/>
      <c r="H2813" s="1447"/>
      <c r="I2813" s="1494">
        <f t="shared" si="105"/>
        <v>2</v>
      </c>
      <c r="J2813" s="1492"/>
      <c r="K2813" s="1439"/>
      <c r="L2813" s="1439"/>
      <c r="M2813" s="1439"/>
      <c r="N2813" s="1439"/>
      <c r="O2813" s="1439"/>
      <c r="P2813" s="1439"/>
      <c r="Q2813" s="1439"/>
      <c r="R2813" s="1439"/>
      <c r="S2813" s="1439"/>
      <c r="T2813" s="1439"/>
      <c r="U2813" s="1439"/>
      <c r="V2813" s="1439"/>
      <c r="W2813" s="1439"/>
      <c r="X2813" s="1439"/>
      <c r="Y2813" s="1439"/>
      <c r="Z2813" s="1439"/>
      <c r="AA2813" s="1439"/>
      <c r="AB2813" s="1439"/>
      <c r="AC2813" s="1439"/>
      <c r="AD2813" s="1439"/>
      <c r="AE2813" s="1439"/>
      <c r="AF2813" s="1439"/>
      <c r="AG2813" s="1439"/>
    </row>
    <row r="2814" spans="1:33" ht="15.75" customHeight="1">
      <c r="A2814" s="1451"/>
      <c r="B2814" s="1450" t="s">
        <v>7227</v>
      </c>
      <c r="C2814" s="1484">
        <v>1</v>
      </c>
      <c r="D2814" s="1484" t="s">
        <v>3364</v>
      </c>
      <c r="E2814" s="1484">
        <v>4</v>
      </c>
      <c r="F2814" s="1446"/>
      <c r="G2814" s="1446"/>
      <c r="H2814" s="1447"/>
      <c r="I2814" s="1494">
        <f t="shared" si="105"/>
        <v>4</v>
      </c>
      <c r="J2814" s="1492"/>
      <c r="K2814" s="1439"/>
      <c r="L2814" s="1439"/>
      <c r="M2814" s="1439"/>
      <c r="N2814" s="1439"/>
      <c r="O2814" s="1439"/>
      <c r="P2814" s="1439"/>
      <c r="Q2814" s="1439"/>
      <c r="R2814" s="1439"/>
      <c r="S2814" s="1439"/>
      <c r="T2814" s="1439"/>
      <c r="U2814" s="1439"/>
      <c r="V2814" s="1439"/>
      <c r="W2814" s="1439"/>
      <c r="X2814" s="1439"/>
      <c r="Y2814" s="1439"/>
      <c r="Z2814" s="1439"/>
      <c r="AA2814" s="1439"/>
      <c r="AB2814" s="1439"/>
      <c r="AC2814" s="1439"/>
      <c r="AD2814" s="1439"/>
      <c r="AE2814" s="1439"/>
      <c r="AF2814" s="1439"/>
      <c r="AG2814" s="1439"/>
    </row>
    <row r="2815" spans="1:33" ht="15.75" customHeight="1">
      <c r="A2815" s="1451"/>
      <c r="B2815" s="1450" t="s">
        <v>7228</v>
      </c>
      <c r="C2815" s="1484">
        <v>1</v>
      </c>
      <c r="D2815" s="1484" t="s">
        <v>3364</v>
      </c>
      <c r="E2815" s="1484">
        <v>4</v>
      </c>
      <c r="F2815" s="1446"/>
      <c r="G2815" s="1446"/>
      <c r="H2815" s="1447"/>
      <c r="I2815" s="1494">
        <f t="shared" si="105"/>
        <v>4</v>
      </c>
      <c r="J2815" s="1492"/>
      <c r="K2815" s="1439"/>
      <c r="L2815" s="1439"/>
      <c r="M2815" s="1439"/>
      <c r="N2815" s="1439"/>
      <c r="O2815" s="1439"/>
      <c r="P2815" s="1439"/>
      <c r="Q2815" s="1439"/>
      <c r="R2815" s="1439"/>
      <c r="S2815" s="1439"/>
      <c r="T2815" s="1439"/>
      <c r="U2815" s="1439"/>
      <c r="V2815" s="1439"/>
      <c r="W2815" s="1439"/>
      <c r="X2815" s="1439"/>
      <c r="Y2815" s="1439"/>
      <c r="Z2815" s="1439"/>
      <c r="AA2815" s="1439"/>
      <c r="AB2815" s="1439"/>
      <c r="AC2815" s="1439"/>
      <c r="AD2815" s="1439"/>
      <c r="AE2815" s="1439"/>
      <c r="AF2815" s="1439"/>
      <c r="AG2815" s="1439"/>
    </row>
    <row r="2816" spans="1:33" ht="15.75" customHeight="1">
      <c r="A2816" s="1451"/>
      <c r="B2816" s="1450" t="s">
        <v>7229</v>
      </c>
      <c r="C2816" s="1484">
        <v>1</v>
      </c>
      <c r="D2816" s="1484" t="s">
        <v>3364</v>
      </c>
      <c r="E2816" s="1484">
        <v>4</v>
      </c>
      <c r="F2816" s="1446"/>
      <c r="G2816" s="1446"/>
      <c r="H2816" s="1447"/>
      <c r="I2816" s="1494">
        <f t="shared" si="105"/>
        <v>4</v>
      </c>
      <c r="J2816" s="1492"/>
      <c r="K2816" s="1439"/>
      <c r="L2816" s="1439"/>
      <c r="M2816" s="1439"/>
      <c r="N2816" s="1439"/>
      <c r="O2816" s="1439"/>
      <c r="P2816" s="1439"/>
      <c r="Q2816" s="1439"/>
      <c r="R2816" s="1439"/>
      <c r="S2816" s="1439"/>
      <c r="T2816" s="1439"/>
      <c r="U2816" s="1439"/>
      <c r="V2816" s="1439"/>
      <c r="W2816" s="1439"/>
      <c r="X2816" s="1439"/>
      <c r="Y2816" s="1439"/>
      <c r="Z2816" s="1439"/>
      <c r="AA2816" s="1439"/>
      <c r="AB2816" s="1439"/>
      <c r="AC2816" s="1439"/>
      <c r="AD2816" s="1439"/>
      <c r="AE2816" s="1439"/>
      <c r="AF2816" s="1439"/>
      <c r="AG2816" s="1439"/>
    </row>
    <row r="2817" spans="1:33" ht="15.75" customHeight="1">
      <c r="A2817" s="1451"/>
      <c r="B2817" s="1450" t="s">
        <v>7230</v>
      </c>
      <c r="C2817" s="1484">
        <v>3</v>
      </c>
      <c r="D2817" s="1484" t="s">
        <v>3364</v>
      </c>
      <c r="E2817" s="1484">
        <v>4</v>
      </c>
      <c r="F2817" s="1446"/>
      <c r="G2817" s="1446"/>
      <c r="H2817" s="1447"/>
      <c r="I2817" s="1494">
        <f t="shared" si="105"/>
        <v>12</v>
      </c>
      <c r="J2817" s="1492"/>
      <c r="K2817" s="1439"/>
      <c r="L2817" s="1439"/>
      <c r="M2817" s="1439"/>
      <c r="N2817" s="1439"/>
      <c r="O2817" s="1439"/>
      <c r="P2817" s="1439"/>
      <c r="Q2817" s="1439"/>
      <c r="R2817" s="1439"/>
      <c r="S2817" s="1439"/>
      <c r="T2817" s="1439"/>
      <c r="U2817" s="1439"/>
      <c r="V2817" s="1439"/>
      <c r="W2817" s="1439"/>
      <c r="X2817" s="1439"/>
      <c r="Y2817" s="1439"/>
      <c r="Z2817" s="1439"/>
      <c r="AA2817" s="1439"/>
      <c r="AB2817" s="1439"/>
      <c r="AC2817" s="1439"/>
      <c r="AD2817" s="1439"/>
      <c r="AE2817" s="1439"/>
      <c r="AF2817" s="1439"/>
      <c r="AG2817" s="1439"/>
    </row>
    <row r="2818" spans="1:33" ht="15.75" customHeight="1">
      <c r="A2818" s="1451"/>
      <c r="B2818" s="1450" t="s">
        <v>6723</v>
      </c>
      <c r="C2818" s="1484">
        <v>1</v>
      </c>
      <c r="D2818" s="1484" t="s">
        <v>3364</v>
      </c>
      <c r="E2818" s="1484">
        <v>2</v>
      </c>
      <c r="F2818" s="1446"/>
      <c r="G2818" s="1446"/>
      <c r="H2818" s="1447"/>
      <c r="I2818" s="1494">
        <f t="shared" si="105"/>
        <v>2</v>
      </c>
      <c r="J2818" s="1492"/>
      <c r="K2818" s="1439"/>
      <c r="L2818" s="1439"/>
      <c r="M2818" s="1439"/>
      <c r="N2818" s="1439"/>
      <c r="O2818" s="1439"/>
      <c r="P2818" s="1439"/>
      <c r="Q2818" s="1439"/>
      <c r="R2818" s="1439"/>
      <c r="S2818" s="1439"/>
      <c r="T2818" s="1439"/>
      <c r="U2818" s="1439"/>
      <c r="V2818" s="1439"/>
      <c r="W2818" s="1439"/>
      <c r="X2818" s="1439"/>
      <c r="Y2818" s="1439"/>
      <c r="Z2818" s="1439"/>
      <c r="AA2818" s="1439"/>
      <c r="AB2818" s="1439"/>
      <c r="AC2818" s="1439"/>
      <c r="AD2818" s="1439"/>
      <c r="AE2818" s="1439"/>
      <c r="AF2818" s="1439"/>
      <c r="AG2818" s="1439"/>
    </row>
    <row r="2819" spans="1:33" ht="15.75" customHeight="1">
      <c r="A2819" s="1451"/>
      <c r="B2819" s="1450" t="s">
        <v>6933</v>
      </c>
      <c r="C2819" s="1484">
        <v>1</v>
      </c>
      <c r="D2819" s="1484" t="s">
        <v>3364</v>
      </c>
      <c r="E2819" s="1484">
        <v>1</v>
      </c>
      <c r="F2819" s="1446"/>
      <c r="G2819" s="1446"/>
      <c r="H2819" s="1447"/>
      <c r="I2819" s="1494">
        <f t="shared" si="105"/>
        <v>1</v>
      </c>
      <c r="J2819" s="1492"/>
      <c r="K2819" s="1439"/>
      <c r="L2819" s="1439"/>
      <c r="M2819" s="1439"/>
      <c r="N2819" s="1439"/>
      <c r="O2819" s="1439"/>
      <c r="P2819" s="1439"/>
      <c r="Q2819" s="1439"/>
      <c r="R2819" s="1439"/>
      <c r="S2819" s="1439"/>
      <c r="T2819" s="1439"/>
      <c r="U2819" s="1439"/>
      <c r="V2819" s="1439"/>
      <c r="W2819" s="1439"/>
      <c r="X2819" s="1439"/>
      <c r="Y2819" s="1439"/>
      <c r="Z2819" s="1439"/>
      <c r="AA2819" s="1439"/>
      <c r="AB2819" s="1439"/>
      <c r="AC2819" s="1439"/>
      <c r="AD2819" s="1439"/>
      <c r="AE2819" s="1439"/>
      <c r="AF2819" s="1439"/>
      <c r="AG2819" s="1439"/>
    </row>
    <row r="2820" spans="1:33" ht="15.75" customHeight="1">
      <c r="A2820" s="1451"/>
      <c r="B2820" s="1450" t="s">
        <v>7231</v>
      </c>
      <c r="C2820" s="1484">
        <v>1</v>
      </c>
      <c r="D2820" s="1484" t="s">
        <v>3364</v>
      </c>
      <c r="E2820" s="1484">
        <v>5</v>
      </c>
      <c r="F2820" s="1446"/>
      <c r="G2820" s="1446"/>
      <c r="H2820" s="1447"/>
      <c r="I2820" s="1494">
        <f t="shared" si="105"/>
        <v>5</v>
      </c>
      <c r="J2820" s="1492"/>
      <c r="K2820" s="1439"/>
      <c r="L2820" s="1439"/>
      <c r="M2820" s="1439"/>
      <c r="N2820" s="1439"/>
      <c r="O2820" s="1439"/>
      <c r="P2820" s="1439"/>
      <c r="Q2820" s="1439"/>
      <c r="R2820" s="1439"/>
      <c r="S2820" s="1439"/>
      <c r="T2820" s="1439"/>
      <c r="U2820" s="1439"/>
      <c r="V2820" s="1439"/>
      <c r="W2820" s="1439"/>
      <c r="X2820" s="1439"/>
      <c r="Y2820" s="1439"/>
      <c r="Z2820" s="1439"/>
      <c r="AA2820" s="1439"/>
      <c r="AB2820" s="1439"/>
      <c r="AC2820" s="1439"/>
      <c r="AD2820" s="1439"/>
      <c r="AE2820" s="1439"/>
      <c r="AF2820" s="1439"/>
      <c r="AG2820" s="1439"/>
    </row>
    <row r="2821" spans="1:33" ht="15.75" customHeight="1">
      <c r="A2821" s="1451"/>
      <c r="B2821" s="1456" t="s">
        <v>7232</v>
      </c>
      <c r="C2821" s="1484"/>
      <c r="D2821" s="1484"/>
      <c r="E2821" s="1484"/>
      <c r="F2821" s="1446"/>
      <c r="G2821" s="1446"/>
      <c r="H2821" s="1447"/>
      <c r="I2821" s="1494"/>
      <c r="J2821" s="1492"/>
      <c r="K2821" s="1439"/>
      <c r="L2821" s="1439"/>
      <c r="M2821" s="1439"/>
      <c r="N2821" s="1439"/>
      <c r="O2821" s="1439"/>
      <c r="P2821" s="1439"/>
      <c r="Q2821" s="1439"/>
      <c r="R2821" s="1439"/>
      <c r="S2821" s="1439"/>
      <c r="T2821" s="1439"/>
      <c r="U2821" s="1439"/>
      <c r="V2821" s="1439"/>
      <c r="W2821" s="1439"/>
      <c r="X2821" s="1439"/>
      <c r="Y2821" s="1439"/>
      <c r="Z2821" s="1439"/>
      <c r="AA2821" s="1439"/>
      <c r="AB2821" s="1439"/>
      <c r="AC2821" s="1439"/>
      <c r="AD2821" s="1439"/>
      <c r="AE2821" s="1439"/>
      <c r="AF2821" s="1439"/>
      <c r="AG2821" s="1439"/>
    </row>
    <row r="2822" spans="1:33" ht="15.75" customHeight="1">
      <c r="A2822" s="1451"/>
      <c r="B2822" s="1450" t="s">
        <v>7224</v>
      </c>
      <c r="C2822" s="1484">
        <v>2</v>
      </c>
      <c r="D2822" s="1484" t="s">
        <v>3364</v>
      </c>
      <c r="E2822" s="1484">
        <v>1</v>
      </c>
      <c r="F2822" s="1446"/>
      <c r="G2822" s="1446"/>
      <c r="H2822" s="1447"/>
      <c r="I2822" s="1494">
        <f t="shared" si="105"/>
        <v>2</v>
      </c>
      <c r="J2822" s="1492"/>
      <c r="K2822" s="1439"/>
      <c r="L2822" s="1439"/>
      <c r="M2822" s="1439"/>
      <c r="N2822" s="1439"/>
      <c r="O2822" s="1439"/>
      <c r="P2822" s="1439"/>
      <c r="Q2822" s="1439"/>
      <c r="R2822" s="1439"/>
      <c r="S2822" s="1439"/>
      <c r="T2822" s="1439"/>
      <c r="U2822" s="1439"/>
      <c r="V2822" s="1439"/>
      <c r="W2822" s="1439"/>
      <c r="X2822" s="1439"/>
      <c r="Y2822" s="1439"/>
      <c r="Z2822" s="1439"/>
      <c r="AA2822" s="1439"/>
      <c r="AB2822" s="1439"/>
      <c r="AC2822" s="1439"/>
      <c r="AD2822" s="1439"/>
      <c r="AE2822" s="1439"/>
      <c r="AF2822" s="1439"/>
      <c r="AG2822" s="1439"/>
    </row>
    <row r="2823" spans="1:33" ht="15.75" customHeight="1">
      <c r="A2823" s="1451"/>
      <c r="B2823" s="1450" t="s">
        <v>7221</v>
      </c>
      <c r="C2823" s="1484">
        <v>1</v>
      </c>
      <c r="D2823" s="1484" t="s">
        <v>3364</v>
      </c>
      <c r="E2823" s="1484">
        <v>3</v>
      </c>
      <c r="F2823" s="1446"/>
      <c r="G2823" s="1446"/>
      <c r="H2823" s="1447"/>
      <c r="I2823" s="1494">
        <f t="shared" si="105"/>
        <v>3</v>
      </c>
      <c r="J2823" s="1492"/>
      <c r="K2823" s="1439"/>
      <c r="L2823" s="1439"/>
      <c r="M2823" s="1439"/>
      <c r="N2823" s="1439"/>
      <c r="O2823" s="1439"/>
      <c r="P2823" s="1439"/>
      <c r="Q2823" s="1439"/>
      <c r="R2823" s="1439"/>
      <c r="S2823" s="1439"/>
      <c r="T2823" s="1439"/>
      <c r="U2823" s="1439"/>
      <c r="V2823" s="1439"/>
      <c r="W2823" s="1439"/>
      <c r="X2823" s="1439"/>
      <c r="Y2823" s="1439"/>
      <c r="Z2823" s="1439"/>
      <c r="AA2823" s="1439"/>
      <c r="AB2823" s="1439"/>
      <c r="AC2823" s="1439"/>
      <c r="AD2823" s="1439"/>
      <c r="AE2823" s="1439"/>
      <c r="AF2823" s="1439"/>
      <c r="AG2823" s="1439"/>
    </row>
    <row r="2824" spans="1:33" ht="15.75" customHeight="1">
      <c r="A2824" s="1451"/>
      <c r="B2824" s="1450" t="s">
        <v>7233</v>
      </c>
      <c r="C2824" s="1484">
        <v>1</v>
      </c>
      <c r="D2824" s="1484" t="s">
        <v>3364</v>
      </c>
      <c r="E2824" s="1484">
        <v>4</v>
      </c>
      <c r="F2824" s="1446"/>
      <c r="G2824" s="1446"/>
      <c r="H2824" s="1447"/>
      <c r="I2824" s="1494">
        <f t="shared" si="105"/>
        <v>4</v>
      </c>
      <c r="J2824" s="1492"/>
      <c r="K2824" s="1439"/>
      <c r="L2824" s="1439"/>
      <c r="M2824" s="1439"/>
      <c r="N2824" s="1439"/>
      <c r="O2824" s="1439"/>
      <c r="P2824" s="1439"/>
      <c r="Q2824" s="1439"/>
      <c r="R2824" s="1439"/>
      <c r="S2824" s="1439"/>
      <c r="T2824" s="1439"/>
      <c r="U2824" s="1439"/>
      <c r="V2824" s="1439"/>
      <c r="W2824" s="1439"/>
      <c r="X2824" s="1439"/>
      <c r="Y2824" s="1439"/>
      <c r="Z2824" s="1439"/>
      <c r="AA2824" s="1439"/>
      <c r="AB2824" s="1439"/>
      <c r="AC2824" s="1439"/>
      <c r="AD2824" s="1439"/>
      <c r="AE2824" s="1439"/>
      <c r="AF2824" s="1439"/>
      <c r="AG2824" s="1439"/>
    </row>
    <row r="2825" spans="1:33" ht="15.75" customHeight="1">
      <c r="A2825" s="1451"/>
      <c r="B2825" s="1450" t="s">
        <v>7231</v>
      </c>
      <c r="C2825" s="1484">
        <v>1</v>
      </c>
      <c r="D2825" s="1484" t="s">
        <v>3364</v>
      </c>
      <c r="E2825" s="1484">
        <v>2</v>
      </c>
      <c r="F2825" s="1446"/>
      <c r="G2825" s="1446"/>
      <c r="H2825" s="1447"/>
      <c r="I2825" s="1494">
        <f t="shared" si="105"/>
        <v>2</v>
      </c>
      <c r="J2825" s="1492"/>
      <c r="K2825" s="1439"/>
      <c r="L2825" s="1439"/>
      <c r="M2825" s="1439"/>
      <c r="N2825" s="1439"/>
      <c r="O2825" s="1439"/>
      <c r="P2825" s="1439"/>
      <c r="Q2825" s="1439"/>
      <c r="R2825" s="1439"/>
      <c r="S2825" s="1439"/>
      <c r="T2825" s="1439"/>
      <c r="U2825" s="1439"/>
      <c r="V2825" s="1439"/>
      <c r="W2825" s="1439"/>
      <c r="X2825" s="1439"/>
      <c r="Y2825" s="1439"/>
      <c r="Z2825" s="1439"/>
      <c r="AA2825" s="1439"/>
      <c r="AB2825" s="1439"/>
      <c r="AC2825" s="1439"/>
      <c r="AD2825" s="1439"/>
      <c r="AE2825" s="1439"/>
      <c r="AF2825" s="1439"/>
      <c r="AG2825" s="1439"/>
    </row>
    <row r="2826" spans="1:33" ht="15.75" customHeight="1">
      <c r="A2826" s="1451"/>
      <c r="B2826" s="1450" t="s">
        <v>6908</v>
      </c>
      <c r="C2826" s="1484">
        <v>1</v>
      </c>
      <c r="D2826" s="1484" t="s">
        <v>3364</v>
      </c>
      <c r="E2826" s="1484">
        <v>1</v>
      </c>
      <c r="F2826" s="1446"/>
      <c r="G2826" s="1446"/>
      <c r="H2826" s="1447"/>
      <c r="I2826" s="1494">
        <f t="shared" si="105"/>
        <v>1</v>
      </c>
      <c r="J2826" s="1492"/>
      <c r="K2826" s="1439"/>
      <c r="L2826" s="1439"/>
      <c r="M2826" s="1439"/>
      <c r="N2826" s="1439"/>
      <c r="O2826" s="1439"/>
      <c r="P2826" s="1439"/>
      <c r="Q2826" s="1439"/>
      <c r="R2826" s="1439"/>
      <c r="S2826" s="1439"/>
      <c r="T2826" s="1439"/>
      <c r="U2826" s="1439"/>
      <c r="V2826" s="1439"/>
      <c r="W2826" s="1439"/>
      <c r="X2826" s="1439"/>
      <c r="Y2826" s="1439"/>
      <c r="Z2826" s="1439"/>
      <c r="AA2826" s="1439"/>
      <c r="AB2826" s="1439"/>
      <c r="AC2826" s="1439"/>
      <c r="AD2826" s="1439"/>
      <c r="AE2826" s="1439"/>
      <c r="AF2826" s="1439"/>
      <c r="AG2826" s="1439"/>
    </row>
    <row r="2827" spans="1:33" ht="15.75" customHeight="1">
      <c r="A2827" s="1451"/>
      <c r="B2827" s="1450" t="s">
        <v>7138</v>
      </c>
      <c r="C2827" s="1484">
        <v>1</v>
      </c>
      <c r="D2827" s="1484" t="s">
        <v>3364</v>
      </c>
      <c r="E2827" s="1484">
        <v>10</v>
      </c>
      <c r="F2827" s="1446"/>
      <c r="G2827" s="1446"/>
      <c r="H2827" s="1447"/>
      <c r="I2827" s="1494">
        <f t="shared" si="105"/>
        <v>10</v>
      </c>
      <c r="J2827" s="1492"/>
      <c r="K2827" s="1439"/>
      <c r="L2827" s="1439"/>
      <c r="M2827" s="1439"/>
      <c r="N2827" s="1439"/>
      <c r="O2827" s="1439"/>
      <c r="P2827" s="1439"/>
      <c r="Q2827" s="1439"/>
      <c r="R2827" s="1439"/>
      <c r="S2827" s="1439"/>
      <c r="T2827" s="1439"/>
      <c r="U2827" s="1439"/>
      <c r="V2827" s="1439"/>
      <c r="W2827" s="1439"/>
      <c r="X2827" s="1439"/>
      <c r="Y2827" s="1439"/>
      <c r="Z2827" s="1439"/>
      <c r="AA2827" s="1439"/>
      <c r="AB2827" s="1439"/>
      <c r="AC2827" s="1439"/>
      <c r="AD2827" s="1439"/>
      <c r="AE2827" s="1439"/>
      <c r="AF2827" s="1439"/>
      <c r="AG2827" s="1439"/>
    </row>
    <row r="2828" spans="1:33" ht="15.75" customHeight="1">
      <c r="A2828" s="1451"/>
      <c r="B2828" s="1450" t="s">
        <v>6586</v>
      </c>
      <c r="C2828" s="1484">
        <v>1</v>
      </c>
      <c r="D2828" s="1484" t="s">
        <v>3364</v>
      </c>
      <c r="E2828" s="1484">
        <v>1</v>
      </c>
      <c r="F2828" s="1446"/>
      <c r="G2828" s="1446"/>
      <c r="H2828" s="1447"/>
      <c r="I2828" s="1494">
        <f t="shared" si="105"/>
        <v>1</v>
      </c>
      <c r="J2828" s="1492"/>
      <c r="K2828" s="1439"/>
      <c r="L2828" s="1439"/>
      <c r="M2828" s="1439"/>
      <c r="N2828" s="1439"/>
      <c r="O2828" s="1439"/>
      <c r="P2828" s="1439"/>
      <c r="Q2828" s="1439"/>
      <c r="R2828" s="1439"/>
      <c r="S2828" s="1439"/>
      <c r="T2828" s="1439"/>
      <c r="U2828" s="1439"/>
      <c r="V2828" s="1439"/>
      <c r="W2828" s="1439"/>
      <c r="X2828" s="1439"/>
      <c r="Y2828" s="1439"/>
      <c r="Z2828" s="1439"/>
      <c r="AA2828" s="1439"/>
      <c r="AB2828" s="1439"/>
      <c r="AC2828" s="1439"/>
      <c r="AD2828" s="1439"/>
      <c r="AE2828" s="1439"/>
      <c r="AF2828" s="1439"/>
      <c r="AG2828" s="1439"/>
    </row>
    <row r="2829" spans="1:33" ht="15.75" customHeight="1">
      <c r="A2829" s="1451"/>
      <c r="B2829" s="1450" t="s">
        <v>7234</v>
      </c>
      <c r="C2829" s="1484">
        <v>1</v>
      </c>
      <c r="D2829" s="1484" t="s">
        <v>3364</v>
      </c>
      <c r="E2829" s="1484">
        <v>4</v>
      </c>
      <c r="F2829" s="1446"/>
      <c r="G2829" s="1446"/>
      <c r="H2829" s="1447"/>
      <c r="I2829" s="1494">
        <f t="shared" si="105"/>
        <v>4</v>
      </c>
      <c r="J2829" s="1492"/>
      <c r="K2829" s="1439"/>
      <c r="L2829" s="1439"/>
      <c r="M2829" s="1439"/>
      <c r="N2829" s="1439"/>
      <c r="O2829" s="1439"/>
      <c r="P2829" s="1439"/>
      <c r="Q2829" s="1439"/>
      <c r="R2829" s="1439"/>
      <c r="S2829" s="1439"/>
      <c r="T2829" s="1439"/>
      <c r="U2829" s="1439"/>
      <c r="V2829" s="1439"/>
      <c r="W2829" s="1439"/>
      <c r="X2829" s="1439"/>
      <c r="Y2829" s="1439"/>
      <c r="Z2829" s="1439"/>
      <c r="AA2829" s="1439"/>
      <c r="AB2829" s="1439"/>
      <c r="AC2829" s="1439"/>
      <c r="AD2829" s="1439"/>
      <c r="AE2829" s="1439"/>
      <c r="AF2829" s="1439"/>
      <c r="AG2829" s="1439"/>
    </row>
    <row r="2830" spans="1:33" ht="15.75" customHeight="1">
      <c r="A2830" s="1451"/>
      <c r="B2830" s="1450" t="s">
        <v>7141</v>
      </c>
      <c r="C2830" s="1484">
        <v>1</v>
      </c>
      <c r="D2830" s="1484" t="s">
        <v>3364</v>
      </c>
      <c r="E2830" s="1484">
        <v>6</v>
      </c>
      <c r="F2830" s="1446"/>
      <c r="G2830" s="1446"/>
      <c r="H2830" s="1447"/>
      <c r="I2830" s="1494">
        <f t="shared" si="105"/>
        <v>6</v>
      </c>
      <c r="J2830" s="1492"/>
      <c r="K2830" s="1439"/>
      <c r="L2830" s="1439"/>
      <c r="M2830" s="1439"/>
      <c r="N2830" s="1439"/>
      <c r="O2830" s="1439"/>
      <c r="P2830" s="1439"/>
      <c r="Q2830" s="1439"/>
      <c r="R2830" s="1439"/>
      <c r="S2830" s="1439"/>
      <c r="T2830" s="1439"/>
      <c r="U2830" s="1439"/>
      <c r="V2830" s="1439"/>
      <c r="W2830" s="1439"/>
      <c r="X2830" s="1439"/>
      <c r="Y2830" s="1439"/>
      <c r="Z2830" s="1439"/>
      <c r="AA2830" s="1439"/>
      <c r="AB2830" s="1439"/>
      <c r="AC2830" s="1439"/>
      <c r="AD2830" s="1439"/>
      <c r="AE2830" s="1439"/>
      <c r="AF2830" s="1439"/>
      <c r="AG2830" s="1439"/>
    </row>
    <row r="2831" spans="1:33" ht="15.75" customHeight="1">
      <c r="A2831" s="1451"/>
      <c r="B2831" s="1450" t="s">
        <v>7235</v>
      </c>
      <c r="C2831" s="1484">
        <v>1</v>
      </c>
      <c r="D2831" s="1484" t="s">
        <v>3364</v>
      </c>
      <c r="E2831" s="1484">
        <v>3</v>
      </c>
      <c r="F2831" s="1446"/>
      <c r="G2831" s="1446"/>
      <c r="H2831" s="1447"/>
      <c r="I2831" s="1494">
        <f t="shared" si="105"/>
        <v>3</v>
      </c>
      <c r="J2831" s="1492"/>
      <c r="K2831" s="1439"/>
      <c r="L2831" s="1439"/>
      <c r="M2831" s="1439"/>
      <c r="N2831" s="1439"/>
      <c r="O2831" s="1439"/>
      <c r="P2831" s="1439"/>
      <c r="Q2831" s="1439"/>
      <c r="R2831" s="1439"/>
      <c r="S2831" s="1439"/>
      <c r="T2831" s="1439"/>
      <c r="U2831" s="1439"/>
      <c r="V2831" s="1439"/>
      <c r="W2831" s="1439"/>
      <c r="X2831" s="1439"/>
      <c r="Y2831" s="1439"/>
      <c r="Z2831" s="1439"/>
      <c r="AA2831" s="1439"/>
      <c r="AB2831" s="1439"/>
      <c r="AC2831" s="1439"/>
      <c r="AD2831" s="1439"/>
      <c r="AE2831" s="1439"/>
      <c r="AF2831" s="1439"/>
      <c r="AG2831" s="1439"/>
    </row>
    <row r="2832" spans="1:33" ht="15.75" customHeight="1">
      <c r="A2832" s="1451"/>
      <c r="B2832" s="1450" t="s">
        <v>7236</v>
      </c>
      <c r="C2832" s="1484">
        <v>1</v>
      </c>
      <c r="D2832" s="1484" t="s">
        <v>3364</v>
      </c>
      <c r="E2832" s="1484">
        <v>1</v>
      </c>
      <c r="F2832" s="1446"/>
      <c r="G2832" s="1446"/>
      <c r="H2832" s="1447"/>
      <c r="I2832" s="1494">
        <f t="shared" si="105"/>
        <v>1</v>
      </c>
      <c r="J2832" s="1492"/>
      <c r="K2832" s="1439"/>
      <c r="L2832" s="1439"/>
      <c r="M2832" s="1439"/>
      <c r="N2832" s="1439"/>
      <c r="O2832" s="1439"/>
      <c r="P2832" s="1439"/>
      <c r="Q2832" s="1439"/>
      <c r="R2832" s="1439"/>
      <c r="S2832" s="1439"/>
      <c r="T2832" s="1439"/>
      <c r="U2832" s="1439"/>
      <c r="V2832" s="1439"/>
      <c r="W2832" s="1439"/>
      <c r="X2832" s="1439"/>
      <c r="Y2832" s="1439"/>
      <c r="Z2832" s="1439"/>
      <c r="AA2832" s="1439"/>
      <c r="AB2832" s="1439"/>
      <c r="AC2832" s="1439"/>
      <c r="AD2832" s="1439"/>
      <c r="AE2832" s="1439"/>
      <c r="AF2832" s="1439"/>
      <c r="AG2832" s="1439"/>
    </row>
    <row r="2833" spans="1:33" ht="15.75" customHeight="1">
      <c r="A2833" s="1451"/>
      <c r="B2833" s="1450" t="s">
        <v>7237</v>
      </c>
      <c r="C2833" s="1484">
        <v>2</v>
      </c>
      <c r="D2833" s="1484" t="s">
        <v>3364</v>
      </c>
      <c r="E2833" s="1484">
        <v>2</v>
      </c>
      <c r="F2833" s="1446"/>
      <c r="G2833" s="1446"/>
      <c r="H2833" s="1447"/>
      <c r="I2833" s="1494">
        <f t="shared" si="105"/>
        <v>4</v>
      </c>
      <c r="J2833" s="1492"/>
      <c r="K2833" s="1439"/>
      <c r="L2833" s="1439"/>
      <c r="M2833" s="1439"/>
      <c r="N2833" s="1439"/>
      <c r="O2833" s="1439"/>
      <c r="P2833" s="1439"/>
      <c r="Q2833" s="1439"/>
      <c r="R2833" s="1439"/>
      <c r="S2833" s="1439"/>
      <c r="T2833" s="1439"/>
      <c r="U2833" s="1439"/>
      <c r="V2833" s="1439"/>
      <c r="W2833" s="1439"/>
      <c r="X2833" s="1439"/>
      <c r="Y2833" s="1439"/>
      <c r="Z2833" s="1439"/>
      <c r="AA2833" s="1439"/>
      <c r="AB2833" s="1439"/>
      <c r="AC2833" s="1439"/>
      <c r="AD2833" s="1439"/>
      <c r="AE2833" s="1439"/>
      <c r="AF2833" s="1439"/>
      <c r="AG2833" s="1439"/>
    </row>
    <row r="2834" spans="1:33" ht="15.75" customHeight="1">
      <c r="A2834" s="1451"/>
      <c r="B2834" s="1450" t="s">
        <v>6586</v>
      </c>
      <c r="C2834" s="1484">
        <v>1</v>
      </c>
      <c r="D2834" s="1484" t="s">
        <v>3364</v>
      </c>
      <c r="E2834" s="1484">
        <v>1</v>
      </c>
      <c r="F2834" s="1446"/>
      <c r="G2834" s="1446"/>
      <c r="H2834" s="1447"/>
      <c r="I2834" s="1494">
        <f t="shared" si="105"/>
        <v>1</v>
      </c>
      <c r="J2834" s="1492"/>
      <c r="K2834" s="1439"/>
      <c r="L2834" s="1439"/>
      <c r="M2834" s="1439"/>
      <c r="N2834" s="1439"/>
      <c r="O2834" s="1439"/>
      <c r="P2834" s="1439"/>
      <c r="Q2834" s="1439"/>
      <c r="R2834" s="1439"/>
      <c r="S2834" s="1439"/>
      <c r="T2834" s="1439"/>
      <c r="U2834" s="1439"/>
      <c r="V2834" s="1439"/>
      <c r="W2834" s="1439"/>
      <c r="X2834" s="1439"/>
      <c r="Y2834" s="1439"/>
      <c r="Z2834" s="1439"/>
      <c r="AA2834" s="1439"/>
      <c r="AB2834" s="1439"/>
      <c r="AC2834" s="1439"/>
      <c r="AD2834" s="1439"/>
      <c r="AE2834" s="1439"/>
      <c r="AF2834" s="1439"/>
      <c r="AG2834" s="1439"/>
    </row>
    <row r="2835" spans="1:33" ht="15.75" customHeight="1">
      <c r="A2835" s="1451"/>
      <c r="B2835" s="1450" t="s">
        <v>7238</v>
      </c>
      <c r="C2835" s="1484">
        <v>1</v>
      </c>
      <c r="D2835" s="1484" t="s">
        <v>3364</v>
      </c>
      <c r="E2835" s="1484">
        <v>3</v>
      </c>
      <c r="F2835" s="1446"/>
      <c r="G2835" s="1446"/>
      <c r="H2835" s="1447"/>
      <c r="I2835" s="1494">
        <f t="shared" si="105"/>
        <v>3</v>
      </c>
      <c r="J2835" s="1492"/>
      <c r="K2835" s="1439"/>
      <c r="L2835" s="1439"/>
      <c r="M2835" s="1439"/>
      <c r="N2835" s="1439"/>
      <c r="O2835" s="1439"/>
      <c r="P2835" s="1439"/>
      <c r="Q2835" s="1439"/>
      <c r="R2835" s="1439"/>
      <c r="S2835" s="1439"/>
      <c r="T2835" s="1439"/>
      <c r="U2835" s="1439"/>
      <c r="V2835" s="1439"/>
      <c r="W2835" s="1439"/>
      <c r="X2835" s="1439"/>
      <c r="Y2835" s="1439"/>
      <c r="Z2835" s="1439"/>
      <c r="AA2835" s="1439"/>
      <c r="AB2835" s="1439"/>
      <c r="AC2835" s="1439"/>
      <c r="AD2835" s="1439"/>
      <c r="AE2835" s="1439"/>
      <c r="AF2835" s="1439"/>
      <c r="AG2835" s="1439"/>
    </row>
    <row r="2836" spans="1:33" ht="15.75" customHeight="1">
      <c r="A2836" s="1451"/>
      <c r="B2836" s="1450" t="s">
        <v>7239</v>
      </c>
      <c r="C2836" s="1484">
        <v>3</v>
      </c>
      <c r="D2836" s="1484" t="s">
        <v>3364</v>
      </c>
      <c r="E2836" s="1484">
        <v>2</v>
      </c>
      <c r="F2836" s="1446"/>
      <c r="G2836" s="1446"/>
      <c r="H2836" s="1447"/>
      <c r="I2836" s="1494">
        <f t="shared" si="105"/>
        <v>6</v>
      </c>
      <c r="J2836" s="1492"/>
      <c r="K2836" s="1439"/>
      <c r="L2836" s="1439"/>
      <c r="M2836" s="1439"/>
      <c r="N2836" s="1439"/>
      <c r="O2836" s="1439"/>
      <c r="P2836" s="1439"/>
      <c r="Q2836" s="1439"/>
      <c r="R2836" s="1439"/>
      <c r="S2836" s="1439"/>
      <c r="T2836" s="1439"/>
      <c r="U2836" s="1439"/>
      <c r="V2836" s="1439"/>
      <c r="W2836" s="1439"/>
      <c r="X2836" s="1439"/>
      <c r="Y2836" s="1439"/>
      <c r="Z2836" s="1439"/>
      <c r="AA2836" s="1439"/>
      <c r="AB2836" s="1439"/>
      <c r="AC2836" s="1439"/>
      <c r="AD2836" s="1439"/>
      <c r="AE2836" s="1439"/>
      <c r="AF2836" s="1439"/>
      <c r="AG2836" s="1439"/>
    </row>
    <row r="2837" spans="1:33" ht="15.75" customHeight="1">
      <c r="A2837" s="1451"/>
      <c r="B2837" s="1456" t="s">
        <v>7240</v>
      </c>
      <c r="C2837" s="1484"/>
      <c r="D2837" s="1484"/>
      <c r="E2837" s="1484"/>
      <c r="F2837" s="1446"/>
      <c r="G2837" s="1446"/>
      <c r="H2837" s="1447"/>
      <c r="I2837" s="1494"/>
      <c r="J2837" s="1492"/>
      <c r="K2837" s="1439"/>
      <c r="L2837" s="1439"/>
      <c r="M2837" s="1439"/>
      <c r="N2837" s="1439"/>
      <c r="O2837" s="1439"/>
      <c r="P2837" s="1439"/>
      <c r="Q2837" s="1439"/>
      <c r="R2837" s="1439"/>
      <c r="S2837" s="1439"/>
      <c r="T2837" s="1439"/>
      <c r="U2837" s="1439"/>
      <c r="V2837" s="1439"/>
      <c r="W2837" s="1439"/>
      <c r="X2837" s="1439"/>
      <c r="Y2837" s="1439"/>
      <c r="Z2837" s="1439"/>
      <c r="AA2837" s="1439"/>
      <c r="AB2837" s="1439"/>
      <c r="AC2837" s="1439"/>
      <c r="AD2837" s="1439"/>
      <c r="AE2837" s="1439"/>
      <c r="AF2837" s="1439"/>
      <c r="AG2837" s="1439"/>
    </row>
    <row r="2838" spans="1:33" ht="15.75" customHeight="1">
      <c r="A2838" s="1451"/>
      <c r="B2838" s="1450" t="s">
        <v>7224</v>
      </c>
      <c r="C2838" s="1484">
        <v>1</v>
      </c>
      <c r="D2838" s="1484" t="s">
        <v>3364</v>
      </c>
      <c r="E2838" s="1484">
        <v>1</v>
      </c>
      <c r="F2838" s="1446"/>
      <c r="G2838" s="1446"/>
      <c r="H2838" s="1447"/>
      <c r="I2838" s="1494">
        <f t="shared" si="105"/>
        <v>1</v>
      </c>
      <c r="J2838" s="1492"/>
      <c r="K2838" s="1439"/>
      <c r="L2838" s="1439"/>
      <c r="M2838" s="1439"/>
      <c r="N2838" s="1439"/>
      <c r="O2838" s="1439"/>
      <c r="P2838" s="1439"/>
      <c r="Q2838" s="1439"/>
      <c r="R2838" s="1439"/>
      <c r="S2838" s="1439"/>
      <c r="T2838" s="1439"/>
      <c r="U2838" s="1439"/>
      <c r="V2838" s="1439"/>
      <c r="W2838" s="1439"/>
      <c r="X2838" s="1439"/>
      <c r="Y2838" s="1439"/>
      <c r="Z2838" s="1439"/>
      <c r="AA2838" s="1439"/>
      <c r="AB2838" s="1439"/>
      <c r="AC2838" s="1439"/>
      <c r="AD2838" s="1439"/>
      <c r="AE2838" s="1439"/>
      <c r="AF2838" s="1439"/>
      <c r="AG2838" s="1439"/>
    </row>
    <row r="2839" spans="1:33" ht="15.75" customHeight="1">
      <c r="A2839" s="1451"/>
      <c r="B2839" s="1450" t="s">
        <v>7221</v>
      </c>
      <c r="C2839" s="1484">
        <v>1</v>
      </c>
      <c r="D2839" s="1484" t="s">
        <v>3364</v>
      </c>
      <c r="E2839" s="1484">
        <v>3</v>
      </c>
      <c r="F2839" s="1446"/>
      <c r="G2839" s="1446"/>
      <c r="H2839" s="1447"/>
      <c r="I2839" s="1494">
        <f t="shared" si="105"/>
        <v>3</v>
      </c>
      <c r="J2839" s="1492"/>
      <c r="K2839" s="1439"/>
      <c r="L2839" s="1439"/>
      <c r="M2839" s="1439"/>
      <c r="N2839" s="1439"/>
      <c r="O2839" s="1439"/>
      <c r="P2839" s="1439"/>
      <c r="Q2839" s="1439"/>
      <c r="R2839" s="1439"/>
      <c r="S2839" s="1439"/>
      <c r="T2839" s="1439"/>
      <c r="U2839" s="1439"/>
      <c r="V2839" s="1439"/>
      <c r="W2839" s="1439"/>
      <c r="X2839" s="1439"/>
      <c r="Y2839" s="1439"/>
      <c r="Z2839" s="1439"/>
      <c r="AA2839" s="1439"/>
      <c r="AB2839" s="1439"/>
      <c r="AC2839" s="1439"/>
      <c r="AD2839" s="1439"/>
      <c r="AE2839" s="1439"/>
      <c r="AF2839" s="1439"/>
      <c r="AG2839" s="1439"/>
    </row>
    <row r="2840" spans="1:33" ht="15.75" customHeight="1">
      <c r="A2840" s="1451"/>
      <c r="B2840" s="1450" t="s">
        <v>7233</v>
      </c>
      <c r="C2840" s="1484">
        <v>1</v>
      </c>
      <c r="D2840" s="1484" t="s">
        <v>3364</v>
      </c>
      <c r="E2840" s="1484">
        <v>4</v>
      </c>
      <c r="F2840" s="1446"/>
      <c r="G2840" s="1446"/>
      <c r="H2840" s="1447"/>
      <c r="I2840" s="1494">
        <f t="shared" si="105"/>
        <v>4</v>
      </c>
      <c r="J2840" s="1492"/>
      <c r="K2840" s="1439"/>
      <c r="L2840" s="1439"/>
      <c r="M2840" s="1439"/>
      <c r="N2840" s="1439"/>
      <c r="O2840" s="1439"/>
      <c r="P2840" s="1439"/>
      <c r="Q2840" s="1439"/>
      <c r="R2840" s="1439"/>
      <c r="S2840" s="1439"/>
      <c r="T2840" s="1439"/>
      <c r="U2840" s="1439"/>
      <c r="V2840" s="1439"/>
      <c r="W2840" s="1439"/>
      <c r="X2840" s="1439"/>
      <c r="Y2840" s="1439"/>
      <c r="Z2840" s="1439"/>
      <c r="AA2840" s="1439"/>
      <c r="AB2840" s="1439"/>
      <c r="AC2840" s="1439"/>
      <c r="AD2840" s="1439"/>
      <c r="AE2840" s="1439"/>
      <c r="AF2840" s="1439"/>
      <c r="AG2840" s="1439"/>
    </row>
    <row r="2841" spans="1:33" ht="15.75" customHeight="1">
      <c r="A2841" s="1451"/>
      <c r="B2841" s="1450" t="s">
        <v>7231</v>
      </c>
      <c r="C2841" s="1484">
        <v>1</v>
      </c>
      <c r="D2841" s="1484" t="s">
        <v>3364</v>
      </c>
      <c r="E2841" s="1484">
        <v>2</v>
      </c>
      <c r="F2841" s="1446"/>
      <c r="G2841" s="1446"/>
      <c r="H2841" s="1447"/>
      <c r="I2841" s="1494">
        <f t="shared" si="105"/>
        <v>2</v>
      </c>
      <c r="J2841" s="1492"/>
      <c r="K2841" s="1439"/>
      <c r="L2841" s="1439"/>
      <c r="M2841" s="1439"/>
      <c r="N2841" s="1439"/>
      <c r="O2841" s="1439"/>
      <c r="P2841" s="1439"/>
      <c r="Q2841" s="1439"/>
      <c r="R2841" s="1439"/>
      <c r="S2841" s="1439"/>
      <c r="T2841" s="1439"/>
      <c r="U2841" s="1439"/>
      <c r="V2841" s="1439"/>
      <c r="W2841" s="1439"/>
      <c r="X2841" s="1439"/>
      <c r="Y2841" s="1439"/>
      <c r="Z2841" s="1439"/>
      <c r="AA2841" s="1439"/>
      <c r="AB2841" s="1439"/>
      <c r="AC2841" s="1439"/>
      <c r="AD2841" s="1439"/>
      <c r="AE2841" s="1439"/>
      <c r="AF2841" s="1439"/>
      <c r="AG2841" s="1439"/>
    </row>
    <row r="2842" spans="1:33" ht="15.75" customHeight="1">
      <c r="A2842" s="1451"/>
      <c r="B2842" s="1450" t="s">
        <v>6908</v>
      </c>
      <c r="C2842" s="1484">
        <v>1</v>
      </c>
      <c r="D2842" s="1484" t="s">
        <v>3364</v>
      </c>
      <c r="E2842" s="1484">
        <v>1</v>
      </c>
      <c r="F2842" s="1446"/>
      <c r="G2842" s="1446"/>
      <c r="H2842" s="1447"/>
      <c r="I2842" s="1494">
        <f t="shared" si="105"/>
        <v>1</v>
      </c>
      <c r="J2842" s="1492"/>
      <c r="K2842" s="1439"/>
      <c r="L2842" s="1439"/>
      <c r="M2842" s="1439"/>
      <c r="N2842" s="1439"/>
      <c r="O2842" s="1439"/>
      <c r="P2842" s="1439"/>
      <c r="Q2842" s="1439"/>
      <c r="R2842" s="1439"/>
      <c r="S2842" s="1439"/>
      <c r="T2842" s="1439"/>
      <c r="U2842" s="1439"/>
      <c r="V2842" s="1439"/>
      <c r="W2842" s="1439"/>
      <c r="X2842" s="1439"/>
      <c r="Y2842" s="1439"/>
      <c r="Z2842" s="1439"/>
      <c r="AA2842" s="1439"/>
      <c r="AB2842" s="1439"/>
      <c r="AC2842" s="1439"/>
      <c r="AD2842" s="1439"/>
      <c r="AE2842" s="1439"/>
      <c r="AF2842" s="1439"/>
      <c r="AG2842" s="1439"/>
    </row>
    <row r="2843" spans="1:33" ht="15.75" customHeight="1">
      <c r="A2843" s="1451"/>
      <c r="B2843" s="1450" t="s">
        <v>7138</v>
      </c>
      <c r="C2843" s="1484">
        <v>1</v>
      </c>
      <c r="D2843" s="1484" t="s">
        <v>3364</v>
      </c>
      <c r="E2843" s="1484">
        <v>10</v>
      </c>
      <c r="F2843" s="1446"/>
      <c r="G2843" s="1446"/>
      <c r="H2843" s="1447"/>
      <c r="I2843" s="1494">
        <f t="shared" si="105"/>
        <v>10</v>
      </c>
      <c r="J2843" s="1492"/>
      <c r="K2843" s="1439"/>
      <c r="L2843" s="1439"/>
      <c r="M2843" s="1439"/>
      <c r="N2843" s="1439"/>
      <c r="O2843" s="1439"/>
      <c r="P2843" s="1439"/>
      <c r="Q2843" s="1439"/>
      <c r="R2843" s="1439"/>
      <c r="S2843" s="1439"/>
      <c r="T2843" s="1439"/>
      <c r="U2843" s="1439"/>
      <c r="V2843" s="1439"/>
      <c r="W2843" s="1439"/>
      <c r="X2843" s="1439"/>
      <c r="Y2843" s="1439"/>
      <c r="Z2843" s="1439"/>
      <c r="AA2843" s="1439"/>
      <c r="AB2843" s="1439"/>
      <c r="AC2843" s="1439"/>
      <c r="AD2843" s="1439"/>
      <c r="AE2843" s="1439"/>
      <c r="AF2843" s="1439"/>
      <c r="AG2843" s="1439"/>
    </row>
    <row r="2844" spans="1:33" ht="15.75" customHeight="1">
      <c r="A2844" s="1451"/>
      <c r="B2844" s="1450" t="s">
        <v>6586</v>
      </c>
      <c r="C2844" s="1484">
        <v>2</v>
      </c>
      <c r="D2844" s="1484" t="s">
        <v>3364</v>
      </c>
      <c r="E2844" s="1484">
        <v>1</v>
      </c>
      <c r="F2844" s="1446"/>
      <c r="G2844" s="1446"/>
      <c r="H2844" s="1447"/>
      <c r="I2844" s="1494">
        <f t="shared" si="105"/>
        <v>2</v>
      </c>
      <c r="J2844" s="1492"/>
      <c r="K2844" s="1439"/>
      <c r="L2844" s="1439"/>
      <c r="M2844" s="1439"/>
      <c r="N2844" s="1439"/>
      <c r="O2844" s="1439"/>
      <c r="P2844" s="1439"/>
      <c r="Q2844" s="1439"/>
      <c r="R2844" s="1439"/>
      <c r="S2844" s="1439"/>
      <c r="T2844" s="1439"/>
      <c r="U2844" s="1439"/>
      <c r="V2844" s="1439"/>
      <c r="W2844" s="1439"/>
      <c r="X2844" s="1439"/>
      <c r="Y2844" s="1439"/>
      <c r="Z2844" s="1439"/>
      <c r="AA2844" s="1439"/>
      <c r="AB2844" s="1439"/>
      <c r="AC2844" s="1439"/>
      <c r="AD2844" s="1439"/>
      <c r="AE2844" s="1439"/>
      <c r="AF2844" s="1439"/>
      <c r="AG2844" s="1439"/>
    </row>
    <row r="2845" spans="1:33" ht="15.75" customHeight="1">
      <c r="A2845" s="1451"/>
      <c r="B2845" s="1450" t="s">
        <v>7241</v>
      </c>
      <c r="C2845" s="1484">
        <v>1</v>
      </c>
      <c r="D2845" s="1484" t="s">
        <v>3364</v>
      </c>
      <c r="E2845" s="1484">
        <v>4</v>
      </c>
      <c r="F2845" s="1446"/>
      <c r="G2845" s="1446"/>
      <c r="H2845" s="1447"/>
      <c r="I2845" s="1494">
        <f t="shared" si="105"/>
        <v>4</v>
      </c>
      <c r="J2845" s="1492"/>
      <c r="K2845" s="1439"/>
      <c r="L2845" s="1439"/>
      <c r="M2845" s="1439"/>
      <c r="N2845" s="1439"/>
      <c r="O2845" s="1439"/>
      <c r="P2845" s="1439"/>
      <c r="Q2845" s="1439"/>
      <c r="R2845" s="1439"/>
      <c r="S2845" s="1439"/>
      <c r="T2845" s="1439"/>
      <c r="U2845" s="1439"/>
      <c r="V2845" s="1439"/>
      <c r="W2845" s="1439"/>
      <c r="X2845" s="1439"/>
      <c r="Y2845" s="1439"/>
      <c r="Z2845" s="1439"/>
      <c r="AA2845" s="1439"/>
      <c r="AB2845" s="1439"/>
      <c r="AC2845" s="1439"/>
      <c r="AD2845" s="1439"/>
      <c r="AE2845" s="1439"/>
      <c r="AF2845" s="1439"/>
      <c r="AG2845" s="1439"/>
    </row>
    <row r="2846" spans="1:33" ht="15.75" customHeight="1">
      <c r="A2846" s="1451"/>
      <c r="B2846" s="1450" t="s">
        <v>7235</v>
      </c>
      <c r="C2846" s="1484">
        <v>1</v>
      </c>
      <c r="D2846" s="1484" t="s">
        <v>3364</v>
      </c>
      <c r="E2846" s="1484">
        <v>6</v>
      </c>
      <c r="F2846" s="1446"/>
      <c r="G2846" s="1446"/>
      <c r="H2846" s="1447"/>
      <c r="I2846" s="1494">
        <f t="shared" si="105"/>
        <v>6</v>
      </c>
      <c r="J2846" s="1492"/>
      <c r="K2846" s="1439"/>
      <c r="L2846" s="1439"/>
      <c r="M2846" s="1439"/>
      <c r="N2846" s="1439"/>
      <c r="O2846" s="1439"/>
      <c r="P2846" s="1439"/>
      <c r="Q2846" s="1439"/>
      <c r="R2846" s="1439"/>
      <c r="S2846" s="1439"/>
      <c r="T2846" s="1439"/>
      <c r="U2846" s="1439"/>
      <c r="V2846" s="1439"/>
      <c r="W2846" s="1439"/>
      <c r="X2846" s="1439"/>
      <c r="Y2846" s="1439"/>
      <c r="Z2846" s="1439"/>
      <c r="AA2846" s="1439"/>
      <c r="AB2846" s="1439"/>
      <c r="AC2846" s="1439"/>
      <c r="AD2846" s="1439"/>
      <c r="AE2846" s="1439"/>
      <c r="AF2846" s="1439"/>
      <c r="AG2846" s="1439"/>
    </row>
    <row r="2847" spans="1:33" ht="15.75" customHeight="1">
      <c r="A2847" s="1451"/>
      <c r="B2847" s="1450" t="s">
        <v>7236</v>
      </c>
      <c r="C2847" s="1484">
        <v>1</v>
      </c>
      <c r="D2847" s="1484" t="s">
        <v>3364</v>
      </c>
      <c r="E2847" s="1484">
        <v>3</v>
      </c>
      <c r="F2847" s="1446"/>
      <c r="G2847" s="1446"/>
      <c r="H2847" s="1447"/>
      <c r="I2847" s="1494">
        <f t="shared" si="105"/>
        <v>3</v>
      </c>
      <c r="J2847" s="1492"/>
      <c r="K2847" s="1439"/>
      <c r="L2847" s="1439"/>
      <c r="M2847" s="1439"/>
      <c r="N2847" s="1439"/>
      <c r="O2847" s="1439"/>
      <c r="P2847" s="1439"/>
      <c r="Q2847" s="1439"/>
      <c r="R2847" s="1439"/>
      <c r="S2847" s="1439"/>
      <c r="T2847" s="1439"/>
      <c r="U2847" s="1439"/>
      <c r="V2847" s="1439"/>
      <c r="W2847" s="1439"/>
      <c r="X2847" s="1439"/>
      <c r="Y2847" s="1439"/>
      <c r="Z2847" s="1439"/>
      <c r="AA2847" s="1439"/>
      <c r="AB2847" s="1439"/>
      <c r="AC2847" s="1439"/>
      <c r="AD2847" s="1439"/>
      <c r="AE2847" s="1439"/>
      <c r="AF2847" s="1439"/>
      <c r="AG2847" s="1439"/>
    </row>
    <row r="2848" spans="1:33" ht="15.75" customHeight="1">
      <c r="A2848" s="1451"/>
      <c r="B2848" s="1450" t="s">
        <v>7237</v>
      </c>
      <c r="C2848" s="1484">
        <v>2</v>
      </c>
      <c r="D2848" s="1484" t="s">
        <v>3364</v>
      </c>
      <c r="E2848" s="1484">
        <v>1</v>
      </c>
      <c r="F2848" s="1446"/>
      <c r="G2848" s="1446"/>
      <c r="H2848" s="1447"/>
      <c r="I2848" s="1494">
        <f t="shared" si="105"/>
        <v>2</v>
      </c>
      <c r="J2848" s="1492"/>
      <c r="K2848" s="1439"/>
      <c r="L2848" s="1439"/>
      <c r="M2848" s="1439"/>
      <c r="N2848" s="1439"/>
      <c r="O2848" s="1439"/>
      <c r="P2848" s="1439"/>
      <c r="Q2848" s="1439"/>
      <c r="R2848" s="1439"/>
      <c r="S2848" s="1439"/>
      <c r="T2848" s="1439"/>
      <c r="U2848" s="1439"/>
      <c r="V2848" s="1439"/>
      <c r="W2848" s="1439"/>
      <c r="X2848" s="1439"/>
      <c r="Y2848" s="1439"/>
      <c r="Z2848" s="1439"/>
      <c r="AA2848" s="1439"/>
      <c r="AB2848" s="1439"/>
      <c r="AC2848" s="1439"/>
      <c r="AD2848" s="1439"/>
      <c r="AE2848" s="1439"/>
      <c r="AF2848" s="1439"/>
      <c r="AG2848" s="1439"/>
    </row>
    <row r="2849" spans="1:33" ht="15.75" customHeight="1">
      <c r="A2849" s="1451"/>
      <c r="B2849" s="1450" t="s">
        <v>6586</v>
      </c>
      <c r="C2849" s="1484">
        <v>1</v>
      </c>
      <c r="D2849" s="1484" t="s">
        <v>3364</v>
      </c>
      <c r="E2849" s="1484">
        <v>2</v>
      </c>
      <c r="F2849" s="1446"/>
      <c r="G2849" s="1446"/>
      <c r="H2849" s="1447"/>
      <c r="I2849" s="1494">
        <f t="shared" si="105"/>
        <v>2</v>
      </c>
      <c r="J2849" s="1492"/>
      <c r="K2849" s="1439"/>
      <c r="L2849" s="1439"/>
      <c r="M2849" s="1439"/>
      <c r="N2849" s="1439"/>
      <c r="O2849" s="1439"/>
      <c r="P2849" s="1439"/>
      <c r="Q2849" s="1439"/>
      <c r="R2849" s="1439"/>
      <c r="S2849" s="1439"/>
      <c r="T2849" s="1439"/>
      <c r="U2849" s="1439"/>
      <c r="V2849" s="1439"/>
      <c r="W2849" s="1439"/>
      <c r="X2849" s="1439"/>
      <c r="Y2849" s="1439"/>
      <c r="Z2849" s="1439"/>
      <c r="AA2849" s="1439"/>
      <c r="AB2849" s="1439"/>
      <c r="AC2849" s="1439"/>
      <c r="AD2849" s="1439"/>
      <c r="AE2849" s="1439"/>
      <c r="AF2849" s="1439"/>
      <c r="AG2849" s="1439"/>
    </row>
    <row r="2850" spans="1:33" ht="15.75" customHeight="1">
      <c r="A2850" s="1451"/>
      <c r="B2850" s="1450" t="s">
        <v>7238</v>
      </c>
      <c r="C2850" s="1484">
        <v>1</v>
      </c>
      <c r="D2850" s="1484" t="s">
        <v>3364</v>
      </c>
      <c r="E2850" s="1484">
        <v>3</v>
      </c>
      <c r="F2850" s="1446"/>
      <c r="G2850" s="1446"/>
      <c r="H2850" s="1447"/>
      <c r="I2850" s="1494">
        <f t="shared" si="105"/>
        <v>3</v>
      </c>
      <c r="J2850" s="1492"/>
      <c r="K2850" s="1439"/>
      <c r="L2850" s="1439"/>
      <c r="M2850" s="1439"/>
      <c r="N2850" s="1439"/>
      <c r="O2850" s="1439"/>
      <c r="P2850" s="1439"/>
      <c r="Q2850" s="1439"/>
      <c r="R2850" s="1439"/>
      <c r="S2850" s="1439"/>
      <c r="T2850" s="1439"/>
      <c r="U2850" s="1439"/>
      <c r="V2850" s="1439"/>
      <c r="W2850" s="1439"/>
      <c r="X2850" s="1439"/>
      <c r="Y2850" s="1439"/>
      <c r="Z2850" s="1439"/>
      <c r="AA2850" s="1439"/>
      <c r="AB2850" s="1439"/>
      <c r="AC2850" s="1439"/>
      <c r="AD2850" s="1439"/>
      <c r="AE2850" s="1439"/>
      <c r="AF2850" s="1439"/>
      <c r="AG2850" s="1439"/>
    </row>
    <row r="2851" spans="1:33" ht="15.75" customHeight="1">
      <c r="A2851" s="1451"/>
      <c r="B2851" s="1450" t="s">
        <v>7239</v>
      </c>
      <c r="C2851" s="1484">
        <v>1</v>
      </c>
      <c r="D2851" s="1484" t="s">
        <v>3364</v>
      </c>
      <c r="E2851" s="1484">
        <v>2</v>
      </c>
      <c r="F2851" s="1446"/>
      <c r="G2851" s="1446"/>
      <c r="H2851" s="1447"/>
      <c r="I2851" s="1494">
        <f t="shared" si="105"/>
        <v>2</v>
      </c>
      <c r="J2851" s="1492"/>
      <c r="K2851" s="1439"/>
      <c r="L2851" s="1439"/>
      <c r="M2851" s="1439"/>
      <c r="N2851" s="1439"/>
      <c r="O2851" s="1439"/>
      <c r="P2851" s="1439"/>
      <c r="Q2851" s="1439"/>
      <c r="R2851" s="1439"/>
      <c r="S2851" s="1439"/>
      <c r="T2851" s="1439"/>
      <c r="U2851" s="1439"/>
      <c r="V2851" s="1439"/>
      <c r="W2851" s="1439"/>
      <c r="X2851" s="1439"/>
      <c r="Y2851" s="1439"/>
      <c r="Z2851" s="1439"/>
      <c r="AA2851" s="1439"/>
      <c r="AB2851" s="1439"/>
      <c r="AC2851" s="1439"/>
      <c r="AD2851" s="1439"/>
      <c r="AE2851" s="1439"/>
      <c r="AF2851" s="1439"/>
      <c r="AG2851" s="1439"/>
    </row>
    <row r="2852" spans="1:33" ht="15.75" customHeight="1">
      <c r="A2852" s="1470"/>
      <c r="B2852" s="1450"/>
      <c r="C2852" s="1484"/>
      <c r="D2852" s="1484"/>
      <c r="E2852" s="1484"/>
      <c r="F2852" s="1446"/>
      <c r="G2852" s="1458" t="s">
        <v>104</v>
      </c>
      <c r="H2852" s="1447"/>
      <c r="I2852" s="1459">
        <f>SUM(I2793:I2851)</f>
        <v>179</v>
      </c>
      <c r="J2852" s="1475" t="s">
        <v>3471</v>
      </c>
      <c r="K2852" s="1439"/>
      <c r="L2852" s="1439"/>
      <c r="M2852" s="1439"/>
      <c r="N2852" s="1439"/>
      <c r="O2852" s="1439"/>
      <c r="P2852" s="1439"/>
      <c r="Q2852" s="1439"/>
      <c r="R2852" s="1439"/>
      <c r="S2852" s="1439"/>
      <c r="T2852" s="1439"/>
      <c r="U2852" s="1439"/>
      <c r="V2852" s="1439"/>
      <c r="W2852" s="1439"/>
      <c r="X2852" s="1439"/>
      <c r="Y2852" s="1439"/>
      <c r="Z2852" s="1439"/>
      <c r="AA2852" s="1439"/>
      <c r="AB2852" s="1439"/>
      <c r="AC2852" s="1439"/>
      <c r="AD2852" s="1439"/>
      <c r="AE2852" s="1439"/>
      <c r="AF2852" s="1439"/>
      <c r="AG2852" s="1439"/>
    </row>
    <row r="2853" spans="1:33" ht="157.5">
      <c r="A2853" s="1451">
        <v>70.5</v>
      </c>
      <c r="B2853" s="1462" t="s">
        <v>3742</v>
      </c>
      <c r="C2853" s="1484"/>
      <c r="D2853" s="1484"/>
      <c r="E2853" s="1484"/>
      <c r="F2853" s="1446"/>
      <c r="G2853" s="1446"/>
      <c r="H2853" s="1447"/>
      <c r="I2853" s="1448"/>
      <c r="J2853" s="1475"/>
      <c r="K2853" s="1439"/>
      <c r="L2853" s="1439"/>
      <c r="M2853" s="1439"/>
      <c r="N2853" s="1439"/>
      <c r="O2853" s="1439"/>
      <c r="P2853" s="1439"/>
      <c r="Q2853" s="1439"/>
      <c r="R2853" s="1439"/>
      <c r="S2853" s="1439"/>
      <c r="T2853" s="1439"/>
      <c r="U2853" s="1439"/>
      <c r="V2853" s="1439"/>
      <c r="W2853" s="1439"/>
      <c r="X2853" s="1439"/>
      <c r="Y2853" s="1439"/>
      <c r="Z2853" s="1439"/>
      <c r="AA2853" s="1439"/>
      <c r="AB2853" s="1439"/>
      <c r="AC2853" s="1439"/>
      <c r="AD2853" s="1439"/>
      <c r="AE2853" s="1439"/>
      <c r="AF2853" s="1439"/>
      <c r="AG2853" s="1439"/>
    </row>
    <row r="2854" spans="1:33" ht="15.75" customHeight="1">
      <c r="A2854" s="1451"/>
      <c r="B2854" s="1456" t="s">
        <v>7157</v>
      </c>
      <c r="C2854" s="1484"/>
      <c r="D2854" s="1484"/>
      <c r="E2854" s="1484"/>
      <c r="F2854" s="1446"/>
      <c r="G2854" s="1446"/>
      <c r="H2854" s="1447"/>
      <c r="I2854" s="1494"/>
      <c r="J2854" s="1492"/>
      <c r="K2854" s="1439"/>
      <c r="L2854" s="1439"/>
      <c r="M2854" s="1439"/>
      <c r="N2854" s="1439"/>
      <c r="O2854" s="1439"/>
      <c r="P2854" s="1439"/>
      <c r="Q2854" s="1439"/>
      <c r="R2854" s="1439"/>
      <c r="S2854" s="1439"/>
      <c r="T2854" s="1439"/>
      <c r="U2854" s="1439"/>
      <c r="V2854" s="1439"/>
      <c r="W2854" s="1439"/>
      <c r="X2854" s="1439"/>
      <c r="Y2854" s="1439"/>
      <c r="Z2854" s="1439"/>
      <c r="AA2854" s="1439"/>
      <c r="AB2854" s="1439"/>
      <c r="AC2854" s="1439"/>
      <c r="AD2854" s="1439"/>
      <c r="AE2854" s="1439"/>
      <c r="AF2854" s="1439"/>
      <c r="AG2854" s="1439"/>
    </row>
    <row r="2855" spans="1:33" ht="15.75" customHeight="1">
      <c r="A2855" s="1451"/>
      <c r="B2855" s="1450" t="s">
        <v>7079</v>
      </c>
      <c r="C2855" s="1484">
        <v>2</v>
      </c>
      <c r="D2855" s="1484" t="s">
        <v>3364</v>
      </c>
      <c r="E2855" s="1484">
        <v>1</v>
      </c>
      <c r="F2855" s="1446"/>
      <c r="G2855" s="1446"/>
      <c r="H2855" s="1447"/>
      <c r="I2855" s="1494">
        <f t="shared" ref="I2855:I2913" si="106">PRODUCT(C2855:H2855)</f>
        <v>2</v>
      </c>
      <c r="J2855" s="1492"/>
      <c r="K2855" s="1439"/>
      <c r="L2855" s="1439"/>
      <c r="M2855" s="1439"/>
      <c r="N2855" s="1439"/>
      <c r="O2855" s="1439"/>
      <c r="P2855" s="1439"/>
      <c r="Q2855" s="1439"/>
      <c r="R2855" s="1439"/>
      <c r="S2855" s="1439"/>
      <c r="T2855" s="1439"/>
      <c r="U2855" s="1439"/>
      <c r="V2855" s="1439"/>
      <c r="W2855" s="1439"/>
      <c r="X2855" s="1439"/>
      <c r="Y2855" s="1439"/>
      <c r="Z2855" s="1439"/>
      <c r="AA2855" s="1439"/>
      <c r="AB2855" s="1439"/>
      <c r="AC2855" s="1439"/>
      <c r="AD2855" s="1439"/>
      <c r="AE2855" s="1439"/>
      <c r="AF2855" s="1439"/>
      <c r="AG2855" s="1439"/>
    </row>
    <row r="2856" spans="1:33" ht="15.75" customHeight="1">
      <c r="A2856" s="1451"/>
      <c r="B2856" s="1450" t="s">
        <v>7214</v>
      </c>
      <c r="C2856" s="1484">
        <v>1</v>
      </c>
      <c r="D2856" s="1484" t="s">
        <v>3364</v>
      </c>
      <c r="E2856" s="1484">
        <v>3</v>
      </c>
      <c r="F2856" s="1446"/>
      <c r="G2856" s="1446"/>
      <c r="H2856" s="1447"/>
      <c r="I2856" s="1494">
        <f t="shared" si="106"/>
        <v>3</v>
      </c>
      <c r="J2856" s="1492"/>
      <c r="K2856" s="1439"/>
      <c r="L2856" s="1439"/>
      <c r="M2856" s="1439"/>
      <c r="N2856" s="1439"/>
      <c r="O2856" s="1439"/>
      <c r="P2856" s="1439"/>
      <c r="Q2856" s="1439"/>
      <c r="R2856" s="1439"/>
      <c r="S2856" s="1439"/>
      <c r="T2856" s="1439"/>
      <c r="U2856" s="1439"/>
      <c r="V2856" s="1439"/>
      <c r="W2856" s="1439"/>
      <c r="X2856" s="1439"/>
      <c r="Y2856" s="1439"/>
      <c r="Z2856" s="1439"/>
      <c r="AA2856" s="1439"/>
      <c r="AB2856" s="1439"/>
      <c r="AC2856" s="1439"/>
      <c r="AD2856" s="1439"/>
      <c r="AE2856" s="1439"/>
      <c r="AF2856" s="1439"/>
      <c r="AG2856" s="1439"/>
    </row>
    <row r="2857" spans="1:33" ht="15.75" customHeight="1">
      <c r="A2857" s="1451"/>
      <c r="B2857" s="1450" t="s">
        <v>7215</v>
      </c>
      <c r="C2857" s="1484">
        <v>1</v>
      </c>
      <c r="D2857" s="1484" t="s">
        <v>3364</v>
      </c>
      <c r="E2857" s="1484">
        <v>2</v>
      </c>
      <c r="F2857" s="1446"/>
      <c r="G2857" s="1446"/>
      <c r="H2857" s="1447"/>
      <c r="I2857" s="1494">
        <f t="shared" si="106"/>
        <v>2</v>
      </c>
      <c r="J2857" s="1492"/>
      <c r="K2857" s="1439"/>
      <c r="L2857" s="1439"/>
      <c r="M2857" s="1439"/>
      <c r="N2857" s="1439"/>
      <c r="O2857" s="1439"/>
      <c r="P2857" s="1439"/>
      <c r="Q2857" s="1439"/>
      <c r="R2857" s="1439"/>
      <c r="S2857" s="1439"/>
      <c r="T2857" s="1439"/>
      <c r="U2857" s="1439"/>
      <c r="V2857" s="1439"/>
      <c r="W2857" s="1439"/>
      <c r="X2857" s="1439"/>
      <c r="Y2857" s="1439"/>
      <c r="Z2857" s="1439"/>
      <c r="AA2857" s="1439"/>
      <c r="AB2857" s="1439"/>
      <c r="AC2857" s="1439"/>
      <c r="AD2857" s="1439"/>
      <c r="AE2857" s="1439"/>
      <c r="AF2857" s="1439"/>
      <c r="AG2857" s="1439"/>
    </row>
    <row r="2858" spans="1:33" ht="15.75" customHeight="1">
      <c r="A2858" s="1451"/>
      <c r="B2858" s="1450" t="s">
        <v>7080</v>
      </c>
      <c r="C2858" s="1484">
        <v>1</v>
      </c>
      <c r="D2858" s="1484" t="s">
        <v>3364</v>
      </c>
      <c r="E2858" s="1484">
        <v>2</v>
      </c>
      <c r="F2858" s="1446"/>
      <c r="G2858" s="1446"/>
      <c r="H2858" s="1447"/>
      <c r="I2858" s="1494">
        <f t="shared" si="106"/>
        <v>2</v>
      </c>
      <c r="J2858" s="1492"/>
      <c r="K2858" s="1439"/>
      <c r="L2858" s="1439"/>
      <c r="M2858" s="1439"/>
      <c r="N2858" s="1439"/>
      <c r="O2858" s="1439"/>
      <c r="P2858" s="1439"/>
      <c r="Q2858" s="1439"/>
      <c r="R2858" s="1439"/>
      <c r="S2858" s="1439"/>
      <c r="T2858" s="1439"/>
      <c r="U2858" s="1439"/>
      <c r="V2858" s="1439"/>
      <c r="W2858" s="1439"/>
      <c r="X2858" s="1439"/>
      <c r="Y2858" s="1439"/>
      <c r="Z2858" s="1439"/>
      <c r="AA2858" s="1439"/>
      <c r="AB2858" s="1439"/>
      <c r="AC2858" s="1439"/>
      <c r="AD2858" s="1439"/>
      <c r="AE2858" s="1439"/>
      <c r="AF2858" s="1439"/>
      <c r="AG2858" s="1439"/>
    </row>
    <row r="2859" spans="1:33" ht="15.75" customHeight="1">
      <c r="A2859" s="1451"/>
      <c r="B2859" s="1450" t="s">
        <v>7216</v>
      </c>
      <c r="C2859" s="1484">
        <v>2</v>
      </c>
      <c r="D2859" s="1484" t="s">
        <v>3364</v>
      </c>
      <c r="E2859" s="1484">
        <v>2</v>
      </c>
      <c r="F2859" s="1446"/>
      <c r="G2859" s="1446"/>
      <c r="H2859" s="1447"/>
      <c r="I2859" s="1494">
        <f t="shared" si="106"/>
        <v>4</v>
      </c>
      <c r="J2859" s="1492"/>
      <c r="K2859" s="1439"/>
      <c r="L2859" s="1439"/>
      <c r="M2859" s="1439"/>
      <c r="N2859" s="1439"/>
      <c r="O2859" s="1439"/>
      <c r="P2859" s="1439"/>
      <c r="Q2859" s="1439"/>
      <c r="R2859" s="1439"/>
      <c r="S2859" s="1439"/>
      <c r="T2859" s="1439"/>
      <c r="U2859" s="1439"/>
      <c r="V2859" s="1439"/>
      <c r="W2859" s="1439"/>
      <c r="X2859" s="1439"/>
      <c r="Y2859" s="1439"/>
      <c r="Z2859" s="1439"/>
      <c r="AA2859" s="1439"/>
      <c r="AB2859" s="1439"/>
      <c r="AC2859" s="1439"/>
      <c r="AD2859" s="1439"/>
      <c r="AE2859" s="1439"/>
      <c r="AF2859" s="1439"/>
      <c r="AG2859" s="1439"/>
    </row>
    <row r="2860" spans="1:33" ht="15.75" customHeight="1">
      <c r="A2860" s="1451"/>
      <c r="B2860" s="1450" t="s">
        <v>7217</v>
      </c>
      <c r="C2860" s="1484">
        <v>2</v>
      </c>
      <c r="D2860" s="1484" t="s">
        <v>3364</v>
      </c>
      <c r="E2860" s="1484">
        <v>1</v>
      </c>
      <c r="F2860" s="1446"/>
      <c r="G2860" s="1446"/>
      <c r="H2860" s="1447"/>
      <c r="I2860" s="1494">
        <f t="shared" si="106"/>
        <v>2</v>
      </c>
      <c r="J2860" s="1492"/>
      <c r="K2860" s="1439"/>
      <c r="L2860" s="1439"/>
      <c r="M2860" s="1439"/>
      <c r="N2860" s="1439"/>
      <c r="O2860" s="1439"/>
      <c r="P2860" s="1439"/>
      <c r="Q2860" s="1439"/>
      <c r="R2860" s="1439"/>
      <c r="S2860" s="1439"/>
      <c r="T2860" s="1439"/>
      <c r="U2860" s="1439"/>
      <c r="V2860" s="1439"/>
      <c r="W2860" s="1439"/>
      <c r="X2860" s="1439"/>
      <c r="Y2860" s="1439"/>
      <c r="Z2860" s="1439"/>
      <c r="AA2860" s="1439"/>
      <c r="AB2860" s="1439"/>
      <c r="AC2860" s="1439"/>
      <c r="AD2860" s="1439"/>
      <c r="AE2860" s="1439"/>
      <c r="AF2860" s="1439"/>
      <c r="AG2860" s="1439"/>
    </row>
    <row r="2861" spans="1:33" ht="15.75" customHeight="1">
      <c r="A2861" s="1451"/>
      <c r="B2861" s="1450" t="s">
        <v>7218</v>
      </c>
      <c r="C2861" s="1484">
        <v>1</v>
      </c>
      <c r="D2861" s="1484" t="s">
        <v>3364</v>
      </c>
      <c r="E2861" s="1484">
        <v>1</v>
      </c>
      <c r="F2861" s="1446"/>
      <c r="G2861" s="1446"/>
      <c r="H2861" s="1447"/>
      <c r="I2861" s="1494">
        <f t="shared" si="106"/>
        <v>1</v>
      </c>
      <c r="J2861" s="1492"/>
      <c r="K2861" s="1439"/>
      <c r="L2861" s="1439"/>
      <c r="M2861" s="1439"/>
      <c r="N2861" s="1439"/>
      <c r="O2861" s="1439"/>
      <c r="P2861" s="1439"/>
      <c r="Q2861" s="1439"/>
      <c r="R2861" s="1439"/>
      <c r="S2861" s="1439"/>
      <c r="T2861" s="1439"/>
      <c r="U2861" s="1439"/>
      <c r="V2861" s="1439"/>
      <c r="W2861" s="1439"/>
      <c r="X2861" s="1439"/>
      <c r="Y2861" s="1439"/>
      <c r="Z2861" s="1439"/>
      <c r="AA2861" s="1439"/>
      <c r="AB2861" s="1439"/>
      <c r="AC2861" s="1439"/>
      <c r="AD2861" s="1439"/>
      <c r="AE2861" s="1439"/>
      <c r="AF2861" s="1439"/>
      <c r="AG2861" s="1439"/>
    </row>
    <row r="2862" spans="1:33" ht="15.75" customHeight="1">
      <c r="A2862" s="1451"/>
      <c r="B2862" s="1456" t="s">
        <v>3486</v>
      </c>
      <c r="C2862" s="1484"/>
      <c r="D2862" s="1484"/>
      <c r="E2862" s="1484"/>
      <c r="F2862" s="1446"/>
      <c r="G2862" s="1446"/>
      <c r="H2862" s="1447"/>
      <c r="I2862" s="1494"/>
      <c r="J2862" s="1492"/>
      <c r="K2862" s="1439"/>
      <c r="L2862" s="1439"/>
      <c r="M2862" s="1439"/>
      <c r="N2862" s="1439"/>
      <c r="O2862" s="1439"/>
      <c r="P2862" s="1439"/>
      <c r="Q2862" s="1439"/>
      <c r="R2862" s="1439"/>
      <c r="S2862" s="1439"/>
      <c r="T2862" s="1439"/>
      <c r="U2862" s="1439"/>
      <c r="V2862" s="1439"/>
      <c r="W2862" s="1439"/>
      <c r="X2862" s="1439"/>
      <c r="Y2862" s="1439"/>
      <c r="Z2862" s="1439"/>
      <c r="AA2862" s="1439"/>
      <c r="AB2862" s="1439"/>
      <c r="AC2862" s="1439"/>
      <c r="AD2862" s="1439"/>
      <c r="AE2862" s="1439"/>
      <c r="AF2862" s="1439"/>
      <c r="AG2862" s="1439"/>
    </row>
    <row r="2863" spans="1:33" ht="15.75" customHeight="1">
      <c r="A2863" s="1451"/>
      <c r="B2863" s="1450" t="s">
        <v>7219</v>
      </c>
      <c r="C2863" s="1484">
        <v>2</v>
      </c>
      <c r="D2863" s="1484" t="s">
        <v>3364</v>
      </c>
      <c r="E2863" s="1484">
        <v>1</v>
      </c>
      <c r="F2863" s="1446"/>
      <c r="G2863" s="1446"/>
      <c r="H2863" s="1447"/>
      <c r="I2863" s="1494">
        <f t="shared" si="106"/>
        <v>2</v>
      </c>
      <c r="J2863" s="1492"/>
      <c r="K2863" s="1439"/>
      <c r="L2863" s="1439"/>
      <c r="M2863" s="1439"/>
      <c r="N2863" s="1439"/>
      <c r="O2863" s="1439"/>
      <c r="P2863" s="1439"/>
      <c r="Q2863" s="1439"/>
      <c r="R2863" s="1439"/>
      <c r="S2863" s="1439"/>
      <c r="T2863" s="1439"/>
      <c r="U2863" s="1439"/>
      <c r="V2863" s="1439"/>
      <c r="W2863" s="1439"/>
      <c r="X2863" s="1439"/>
      <c r="Y2863" s="1439"/>
      <c r="Z2863" s="1439"/>
      <c r="AA2863" s="1439"/>
      <c r="AB2863" s="1439"/>
      <c r="AC2863" s="1439"/>
      <c r="AD2863" s="1439"/>
      <c r="AE2863" s="1439"/>
      <c r="AF2863" s="1439"/>
      <c r="AG2863" s="1439"/>
    </row>
    <row r="2864" spans="1:33" ht="15.75" customHeight="1">
      <c r="A2864" s="1451"/>
      <c r="B2864" s="1450" t="s">
        <v>7220</v>
      </c>
      <c r="C2864" s="1484">
        <v>1</v>
      </c>
      <c r="D2864" s="1484" t="s">
        <v>3364</v>
      </c>
      <c r="E2864" s="1484">
        <v>2</v>
      </c>
      <c r="F2864" s="1446"/>
      <c r="G2864" s="1446"/>
      <c r="H2864" s="1447"/>
      <c r="I2864" s="1494">
        <f t="shared" si="106"/>
        <v>2</v>
      </c>
      <c r="J2864" s="1492"/>
      <c r="K2864" s="1439"/>
      <c r="L2864" s="1439"/>
      <c r="M2864" s="1439"/>
      <c r="N2864" s="1439"/>
      <c r="O2864" s="1439"/>
      <c r="P2864" s="1439"/>
      <c r="Q2864" s="1439"/>
      <c r="R2864" s="1439"/>
      <c r="S2864" s="1439"/>
      <c r="T2864" s="1439"/>
      <c r="U2864" s="1439"/>
      <c r="V2864" s="1439"/>
      <c r="W2864" s="1439"/>
      <c r="X2864" s="1439"/>
      <c r="Y2864" s="1439"/>
      <c r="Z2864" s="1439"/>
      <c r="AA2864" s="1439"/>
      <c r="AB2864" s="1439"/>
      <c r="AC2864" s="1439"/>
      <c r="AD2864" s="1439"/>
      <c r="AE2864" s="1439"/>
      <c r="AF2864" s="1439"/>
      <c r="AG2864" s="1439"/>
    </row>
    <row r="2865" spans="1:33" ht="15.75" customHeight="1">
      <c r="A2865" s="1451"/>
      <c r="B2865" s="1450" t="s">
        <v>7221</v>
      </c>
      <c r="C2865" s="1484">
        <v>1</v>
      </c>
      <c r="D2865" s="1484" t="s">
        <v>3364</v>
      </c>
      <c r="E2865" s="1484">
        <v>2</v>
      </c>
      <c r="F2865" s="1446"/>
      <c r="G2865" s="1446"/>
      <c r="H2865" s="1447"/>
      <c r="I2865" s="1494">
        <f t="shared" si="106"/>
        <v>2</v>
      </c>
      <c r="J2865" s="1492"/>
      <c r="K2865" s="1439"/>
      <c r="L2865" s="1439"/>
      <c r="M2865" s="1439"/>
      <c r="N2865" s="1439"/>
      <c r="O2865" s="1439"/>
      <c r="P2865" s="1439"/>
      <c r="Q2865" s="1439"/>
      <c r="R2865" s="1439"/>
      <c r="S2865" s="1439"/>
      <c r="T2865" s="1439"/>
      <c r="U2865" s="1439"/>
      <c r="V2865" s="1439"/>
      <c r="W2865" s="1439"/>
      <c r="X2865" s="1439"/>
      <c r="Y2865" s="1439"/>
      <c r="Z2865" s="1439"/>
      <c r="AA2865" s="1439"/>
      <c r="AB2865" s="1439"/>
      <c r="AC2865" s="1439"/>
      <c r="AD2865" s="1439"/>
      <c r="AE2865" s="1439"/>
      <c r="AF2865" s="1439"/>
      <c r="AG2865" s="1439"/>
    </row>
    <row r="2866" spans="1:33" ht="15.75" customHeight="1">
      <c r="A2866" s="1451"/>
      <c r="B2866" s="1450" t="s">
        <v>7222</v>
      </c>
      <c r="C2866" s="1484">
        <v>2</v>
      </c>
      <c r="D2866" s="1484" t="s">
        <v>3364</v>
      </c>
      <c r="E2866" s="1484">
        <v>1</v>
      </c>
      <c r="F2866" s="1446"/>
      <c r="G2866" s="1446"/>
      <c r="H2866" s="1447"/>
      <c r="I2866" s="1494">
        <f t="shared" si="106"/>
        <v>2</v>
      </c>
      <c r="J2866" s="1492"/>
      <c r="K2866" s="1439"/>
      <c r="L2866" s="1439"/>
      <c r="M2866" s="1439"/>
      <c r="N2866" s="1439"/>
      <c r="O2866" s="1439"/>
      <c r="P2866" s="1439"/>
      <c r="Q2866" s="1439"/>
      <c r="R2866" s="1439"/>
      <c r="S2866" s="1439"/>
      <c r="T2866" s="1439"/>
      <c r="U2866" s="1439"/>
      <c r="V2866" s="1439"/>
      <c r="W2866" s="1439"/>
      <c r="X2866" s="1439"/>
      <c r="Y2866" s="1439"/>
      <c r="Z2866" s="1439"/>
      <c r="AA2866" s="1439"/>
      <c r="AB2866" s="1439"/>
      <c r="AC2866" s="1439"/>
      <c r="AD2866" s="1439"/>
      <c r="AE2866" s="1439"/>
      <c r="AF2866" s="1439"/>
      <c r="AG2866" s="1439"/>
    </row>
    <row r="2867" spans="1:33" ht="15.75" customHeight="1">
      <c r="A2867" s="1451"/>
      <c r="B2867" s="1450" t="s">
        <v>7223</v>
      </c>
      <c r="C2867" s="1484">
        <v>2</v>
      </c>
      <c r="D2867" s="1484" t="s">
        <v>3364</v>
      </c>
      <c r="E2867" s="1484">
        <v>2</v>
      </c>
      <c r="F2867" s="1446"/>
      <c r="G2867" s="1446"/>
      <c r="H2867" s="1447"/>
      <c r="I2867" s="1494">
        <f t="shared" si="106"/>
        <v>4</v>
      </c>
      <c r="J2867" s="1492"/>
      <c r="K2867" s="1439"/>
      <c r="L2867" s="1439"/>
      <c r="M2867" s="1439"/>
      <c r="N2867" s="1439"/>
      <c r="O2867" s="1439"/>
      <c r="P2867" s="1439"/>
      <c r="Q2867" s="1439"/>
      <c r="R2867" s="1439"/>
      <c r="S2867" s="1439"/>
      <c r="T2867" s="1439"/>
      <c r="U2867" s="1439"/>
      <c r="V2867" s="1439"/>
      <c r="W2867" s="1439"/>
      <c r="X2867" s="1439"/>
      <c r="Y2867" s="1439"/>
      <c r="Z2867" s="1439"/>
      <c r="AA2867" s="1439"/>
      <c r="AB2867" s="1439"/>
      <c r="AC2867" s="1439"/>
      <c r="AD2867" s="1439"/>
      <c r="AE2867" s="1439"/>
      <c r="AF2867" s="1439"/>
      <c r="AG2867" s="1439"/>
    </row>
    <row r="2868" spans="1:33" ht="15.75" customHeight="1">
      <c r="A2868" s="1451"/>
      <c r="B2868" s="1450" t="s">
        <v>7217</v>
      </c>
      <c r="C2868" s="1484">
        <v>2</v>
      </c>
      <c r="D2868" s="1484" t="s">
        <v>3364</v>
      </c>
      <c r="E2868" s="1484">
        <v>1</v>
      </c>
      <c r="F2868" s="1446"/>
      <c r="G2868" s="1446"/>
      <c r="H2868" s="1447"/>
      <c r="I2868" s="1494">
        <f t="shared" si="106"/>
        <v>2</v>
      </c>
      <c r="J2868" s="1492"/>
      <c r="K2868" s="1439"/>
      <c r="L2868" s="1439"/>
      <c r="M2868" s="1439"/>
      <c r="N2868" s="1439"/>
      <c r="O2868" s="1439"/>
      <c r="P2868" s="1439"/>
      <c r="Q2868" s="1439"/>
      <c r="R2868" s="1439"/>
      <c r="S2868" s="1439"/>
      <c r="T2868" s="1439"/>
      <c r="U2868" s="1439"/>
      <c r="V2868" s="1439"/>
      <c r="W2868" s="1439"/>
      <c r="X2868" s="1439"/>
      <c r="Y2868" s="1439"/>
      <c r="Z2868" s="1439"/>
      <c r="AA2868" s="1439"/>
      <c r="AB2868" s="1439"/>
      <c r="AC2868" s="1439"/>
      <c r="AD2868" s="1439"/>
      <c r="AE2868" s="1439"/>
      <c r="AF2868" s="1439"/>
      <c r="AG2868" s="1439"/>
    </row>
    <row r="2869" spans="1:33" ht="15.75" customHeight="1">
      <c r="A2869" s="1451"/>
      <c r="B2869" s="1450" t="s">
        <v>7083</v>
      </c>
      <c r="C2869" s="1484">
        <v>2</v>
      </c>
      <c r="D2869" s="1484" t="s">
        <v>3364</v>
      </c>
      <c r="E2869" s="1484">
        <v>1</v>
      </c>
      <c r="F2869" s="1446"/>
      <c r="G2869" s="1446"/>
      <c r="H2869" s="1447"/>
      <c r="I2869" s="1494">
        <f t="shared" si="106"/>
        <v>2</v>
      </c>
      <c r="J2869" s="1492"/>
      <c r="K2869" s="1439"/>
      <c r="L2869" s="1439"/>
      <c r="M2869" s="1439"/>
      <c r="N2869" s="1439"/>
      <c r="O2869" s="1439"/>
      <c r="P2869" s="1439"/>
      <c r="Q2869" s="1439"/>
      <c r="R2869" s="1439"/>
      <c r="S2869" s="1439"/>
      <c r="T2869" s="1439"/>
      <c r="U2869" s="1439"/>
      <c r="V2869" s="1439"/>
      <c r="W2869" s="1439"/>
      <c r="X2869" s="1439"/>
      <c r="Y2869" s="1439"/>
      <c r="Z2869" s="1439"/>
      <c r="AA2869" s="1439"/>
      <c r="AB2869" s="1439"/>
      <c r="AC2869" s="1439"/>
      <c r="AD2869" s="1439"/>
      <c r="AE2869" s="1439"/>
      <c r="AF2869" s="1439"/>
      <c r="AG2869" s="1439"/>
    </row>
    <row r="2870" spans="1:33" ht="15.75" customHeight="1">
      <c r="A2870" s="1451"/>
      <c r="B2870" s="1456" t="s">
        <v>3488</v>
      </c>
      <c r="C2870" s="1484"/>
      <c r="D2870" s="1484"/>
      <c r="E2870" s="1484"/>
      <c r="F2870" s="1446"/>
      <c r="G2870" s="1446"/>
      <c r="H2870" s="1447"/>
      <c r="I2870" s="1494">
        <f t="shared" si="106"/>
        <v>0</v>
      </c>
      <c r="J2870" s="1492"/>
      <c r="K2870" s="1439"/>
      <c r="L2870" s="1439"/>
      <c r="M2870" s="1439"/>
      <c r="N2870" s="1439"/>
      <c r="O2870" s="1439"/>
      <c r="P2870" s="1439"/>
      <c r="Q2870" s="1439"/>
      <c r="R2870" s="1439"/>
      <c r="S2870" s="1439"/>
      <c r="T2870" s="1439"/>
      <c r="U2870" s="1439"/>
      <c r="V2870" s="1439"/>
      <c r="W2870" s="1439"/>
      <c r="X2870" s="1439"/>
      <c r="Y2870" s="1439"/>
      <c r="Z2870" s="1439"/>
      <c r="AA2870" s="1439"/>
      <c r="AB2870" s="1439"/>
      <c r="AC2870" s="1439"/>
      <c r="AD2870" s="1439"/>
      <c r="AE2870" s="1439"/>
      <c r="AF2870" s="1439"/>
      <c r="AG2870" s="1439"/>
    </row>
    <row r="2871" spans="1:33" ht="15.75" customHeight="1">
      <c r="A2871" s="1451"/>
      <c r="B2871" s="1450" t="s">
        <v>7224</v>
      </c>
      <c r="C2871" s="1484">
        <v>2</v>
      </c>
      <c r="D2871" s="1484" t="s">
        <v>3364</v>
      </c>
      <c r="E2871" s="1484">
        <v>1</v>
      </c>
      <c r="F2871" s="1446"/>
      <c r="G2871" s="1446"/>
      <c r="H2871" s="1447"/>
      <c r="I2871" s="1494">
        <f t="shared" si="106"/>
        <v>2</v>
      </c>
      <c r="J2871" s="1492"/>
      <c r="K2871" s="1439"/>
      <c r="L2871" s="1439"/>
      <c r="M2871" s="1439"/>
      <c r="N2871" s="1439"/>
      <c r="O2871" s="1439"/>
      <c r="P2871" s="1439"/>
      <c r="Q2871" s="1439"/>
      <c r="R2871" s="1439"/>
      <c r="S2871" s="1439"/>
      <c r="T2871" s="1439"/>
      <c r="U2871" s="1439"/>
      <c r="V2871" s="1439"/>
      <c r="W2871" s="1439"/>
      <c r="X2871" s="1439"/>
      <c r="Y2871" s="1439"/>
      <c r="Z2871" s="1439"/>
      <c r="AA2871" s="1439"/>
      <c r="AB2871" s="1439"/>
      <c r="AC2871" s="1439"/>
      <c r="AD2871" s="1439"/>
      <c r="AE2871" s="1439"/>
      <c r="AF2871" s="1439"/>
      <c r="AG2871" s="1439"/>
    </row>
    <row r="2872" spans="1:33" ht="15.75" customHeight="1">
      <c r="A2872" s="1451"/>
      <c r="B2872" s="1450" t="s">
        <v>7221</v>
      </c>
      <c r="C2872" s="1484">
        <v>1</v>
      </c>
      <c r="D2872" s="1484" t="s">
        <v>3364</v>
      </c>
      <c r="E2872" s="1484">
        <v>2</v>
      </c>
      <c r="F2872" s="1446"/>
      <c r="G2872" s="1446"/>
      <c r="H2872" s="1447"/>
      <c r="I2872" s="1494">
        <f t="shared" si="106"/>
        <v>2</v>
      </c>
      <c r="J2872" s="1492"/>
      <c r="K2872" s="1439"/>
      <c r="L2872" s="1439"/>
      <c r="M2872" s="1439"/>
      <c r="N2872" s="1439"/>
      <c r="O2872" s="1439"/>
      <c r="P2872" s="1439"/>
      <c r="Q2872" s="1439"/>
      <c r="R2872" s="1439"/>
      <c r="S2872" s="1439"/>
      <c r="T2872" s="1439"/>
      <c r="U2872" s="1439"/>
      <c r="V2872" s="1439"/>
      <c r="W2872" s="1439"/>
      <c r="X2872" s="1439"/>
      <c r="Y2872" s="1439"/>
      <c r="Z2872" s="1439"/>
      <c r="AA2872" s="1439"/>
      <c r="AB2872" s="1439"/>
      <c r="AC2872" s="1439"/>
      <c r="AD2872" s="1439"/>
      <c r="AE2872" s="1439"/>
      <c r="AF2872" s="1439"/>
      <c r="AG2872" s="1439"/>
    </row>
    <row r="2873" spans="1:33" ht="15.75" customHeight="1">
      <c r="A2873" s="1451"/>
      <c r="B2873" s="1450" t="s">
        <v>7163</v>
      </c>
      <c r="C2873" s="1484">
        <v>1</v>
      </c>
      <c r="D2873" s="1484" t="s">
        <v>3364</v>
      </c>
      <c r="E2873" s="1484">
        <v>4</v>
      </c>
      <c r="F2873" s="1446"/>
      <c r="G2873" s="1446"/>
      <c r="H2873" s="1447"/>
      <c r="I2873" s="1494">
        <f t="shared" si="106"/>
        <v>4</v>
      </c>
      <c r="J2873" s="1492"/>
      <c r="K2873" s="1439"/>
      <c r="L2873" s="1439"/>
      <c r="M2873" s="1439"/>
      <c r="N2873" s="1439"/>
      <c r="O2873" s="1439"/>
      <c r="P2873" s="1439"/>
      <c r="Q2873" s="1439"/>
      <c r="R2873" s="1439"/>
      <c r="S2873" s="1439"/>
      <c r="T2873" s="1439"/>
      <c r="U2873" s="1439"/>
      <c r="V2873" s="1439"/>
      <c r="W2873" s="1439"/>
      <c r="X2873" s="1439"/>
      <c r="Y2873" s="1439"/>
      <c r="Z2873" s="1439"/>
      <c r="AA2873" s="1439"/>
      <c r="AB2873" s="1439"/>
      <c r="AC2873" s="1439"/>
      <c r="AD2873" s="1439"/>
      <c r="AE2873" s="1439"/>
      <c r="AF2873" s="1439"/>
      <c r="AG2873" s="1439"/>
    </row>
    <row r="2874" spans="1:33" ht="15.75" customHeight="1">
      <c r="A2874" s="1451"/>
      <c r="B2874" s="1450" t="s">
        <v>7225</v>
      </c>
      <c r="C2874" s="1484">
        <v>1</v>
      </c>
      <c r="D2874" s="1484" t="s">
        <v>3364</v>
      </c>
      <c r="E2874" s="1484">
        <v>5</v>
      </c>
      <c r="F2874" s="1446"/>
      <c r="G2874" s="1446"/>
      <c r="H2874" s="1447"/>
      <c r="I2874" s="1494">
        <f t="shared" si="106"/>
        <v>5</v>
      </c>
      <c r="J2874" s="1492"/>
      <c r="K2874" s="1439"/>
      <c r="L2874" s="1439"/>
      <c r="M2874" s="1439"/>
      <c r="N2874" s="1439"/>
      <c r="O2874" s="1439"/>
      <c r="P2874" s="1439"/>
      <c r="Q2874" s="1439"/>
      <c r="R2874" s="1439"/>
      <c r="S2874" s="1439"/>
      <c r="T2874" s="1439"/>
      <c r="U2874" s="1439"/>
      <c r="V2874" s="1439"/>
      <c r="W2874" s="1439"/>
      <c r="X2874" s="1439"/>
      <c r="Y2874" s="1439"/>
      <c r="Z2874" s="1439"/>
      <c r="AA2874" s="1439"/>
      <c r="AB2874" s="1439"/>
      <c r="AC2874" s="1439"/>
      <c r="AD2874" s="1439"/>
      <c r="AE2874" s="1439"/>
      <c r="AF2874" s="1439"/>
      <c r="AG2874" s="1439"/>
    </row>
    <row r="2875" spans="1:33" ht="15.75" customHeight="1">
      <c r="A2875" s="1451"/>
      <c r="B2875" s="1450" t="s">
        <v>7226</v>
      </c>
      <c r="C2875" s="1484">
        <v>1</v>
      </c>
      <c r="D2875" s="1484" t="s">
        <v>3364</v>
      </c>
      <c r="E2875" s="1484">
        <v>2</v>
      </c>
      <c r="F2875" s="1446"/>
      <c r="G2875" s="1446"/>
      <c r="H2875" s="1447"/>
      <c r="I2875" s="1494">
        <f t="shared" si="106"/>
        <v>2</v>
      </c>
      <c r="J2875" s="1492"/>
      <c r="K2875" s="1439"/>
      <c r="L2875" s="1439"/>
      <c r="M2875" s="1439"/>
      <c r="N2875" s="1439"/>
      <c r="O2875" s="1439"/>
      <c r="P2875" s="1439"/>
      <c r="Q2875" s="1439"/>
      <c r="R2875" s="1439"/>
      <c r="S2875" s="1439"/>
      <c r="T2875" s="1439"/>
      <c r="U2875" s="1439"/>
      <c r="V2875" s="1439"/>
      <c r="W2875" s="1439"/>
      <c r="X2875" s="1439"/>
      <c r="Y2875" s="1439"/>
      <c r="Z2875" s="1439"/>
      <c r="AA2875" s="1439"/>
      <c r="AB2875" s="1439"/>
      <c r="AC2875" s="1439"/>
      <c r="AD2875" s="1439"/>
      <c r="AE2875" s="1439"/>
      <c r="AF2875" s="1439"/>
      <c r="AG2875" s="1439"/>
    </row>
    <row r="2876" spans="1:33" ht="15.75" customHeight="1">
      <c r="A2876" s="1451"/>
      <c r="B2876" s="1450" t="s">
        <v>7227</v>
      </c>
      <c r="C2876" s="1484">
        <v>1</v>
      </c>
      <c r="D2876" s="1484" t="s">
        <v>3364</v>
      </c>
      <c r="E2876" s="1484">
        <v>4</v>
      </c>
      <c r="F2876" s="1446"/>
      <c r="G2876" s="1446"/>
      <c r="H2876" s="1447"/>
      <c r="I2876" s="1494">
        <f t="shared" si="106"/>
        <v>4</v>
      </c>
      <c r="J2876" s="1492"/>
      <c r="K2876" s="1439"/>
      <c r="L2876" s="1439"/>
      <c r="M2876" s="1439"/>
      <c r="N2876" s="1439"/>
      <c r="O2876" s="1439"/>
      <c r="P2876" s="1439"/>
      <c r="Q2876" s="1439"/>
      <c r="R2876" s="1439"/>
      <c r="S2876" s="1439"/>
      <c r="T2876" s="1439"/>
      <c r="U2876" s="1439"/>
      <c r="V2876" s="1439"/>
      <c r="W2876" s="1439"/>
      <c r="X2876" s="1439"/>
      <c r="Y2876" s="1439"/>
      <c r="Z2876" s="1439"/>
      <c r="AA2876" s="1439"/>
      <c r="AB2876" s="1439"/>
      <c r="AC2876" s="1439"/>
      <c r="AD2876" s="1439"/>
      <c r="AE2876" s="1439"/>
      <c r="AF2876" s="1439"/>
      <c r="AG2876" s="1439"/>
    </row>
    <row r="2877" spans="1:33" ht="15.75" customHeight="1">
      <c r="A2877" s="1451"/>
      <c r="B2877" s="1450" t="s">
        <v>7228</v>
      </c>
      <c r="C2877" s="1484">
        <v>1</v>
      </c>
      <c r="D2877" s="1484" t="s">
        <v>3364</v>
      </c>
      <c r="E2877" s="1484">
        <v>4</v>
      </c>
      <c r="F2877" s="1446"/>
      <c r="G2877" s="1446"/>
      <c r="H2877" s="1447"/>
      <c r="I2877" s="1494">
        <f t="shared" si="106"/>
        <v>4</v>
      </c>
      <c r="J2877" s="1492"/>
      <c r="K2877" s="1439"/>
      <c r="L2877" s="1439"/>
      <c r="M2877" s="1439"/>
      <c r="N2877" s="1439"/>
      <c r="O2877" s="1439"/>
      <c r="P2877" s="1439"/>
      <c r="Q2877" s="1439"/>
      <c r="R2877" s="1439"/>
      <c r="S2877" s="1439"/>
      <c r="T2877" s="1439"/>
      <c r="U2877" s="1439"/>
      <c r="V2877" s="1439"/>
      <c r="W2877" s="1439"/>
      <c r="X2877" s="1439"/>
      <c r="Y2877" s="1439"/>
      <c r="Z2877" s="1439"/>
      <c r="AA2877" s="1439"/>
      <c r="AB2877" s="1439"/>
      <c r="AC2877" s="1439"/>
      <c r="AD2877" s="1439"/>
      <c r="AE2877" s="1439"/>
      <c r="AF2877" s="1439"/>
      <c r="AG2877" s="1439"/>
    </row>
    <row r="2878" spans="1:33" ht="15.75" customHeight="1">
      <c r="A2878" s="1451"/>
      <c r="B2878" s="1450" t="s">
        <v>7229</v>
      </c>
      <c r="C2878" s="1484">
        <v>1</v>
      </c>
      <c r="D2878" s="1484" t="s">
        <v>3364</v>
      </c>
      <c r="E2878" s="1484">
        <v>4</v>
      </c>
      <c r="F2878" s="1446"/>
      <c r="G2878" s="1446"/>
      <c r="H2878" s="1447"/>
      <c r="I2878" s="1494">
        <f t="shared" si="106"/>
        <v>4</v>
      </c>
      <c r="J2878" s="1492"/>
      <c r="K2878" s="1439"/>
      <c r="L2878" s="1439"/>
      <c r="M2878" s="1439"/>
      <c r="N2878" s="1439"/>
      <c r="O2878" s="1439"/>
      <c r="P2878" s="1439"/>
      <c r="Q2878" s="1439"/>
      <c r="R2878" s="1439"/>
      <c r="S2878" s="1439"/>
      <c r="T2878" s="1439"/>
      <c r="U2878" s="1439"/>
      <c r="V2878" s="1439"/>
      <c r="W2878" s="1439"/>
      <c r="X2878" s="1439"/>
      <c r="Y2878" s="1439"/>
      <c r="Z2878" s="1439"/>
      <c r="AA2878" s="1439"/>
      <c r="AB2878" s="1439"/>
      <c r="AC2878" s="1439"/>
      <c r="AD2878" s="1439"/>
      <c r="AE2878" s="1439"/>
      <c r="AF2878" s="1439"/>
      <c r="AG2878" s="1439"/>
    </row>
    <row r="2879" spans="1:33" ht="15.75" customHeight="1">
      <c r="A2879" s="1451"/>
      <c r="B2879" s="1450" t="s">
        <v>7230</v>
      </c>
      <c r="C2879" s="1484">
        <v>3</v>
      </c>
      <c r="D2879" s="1484" t="s">
        <v>3364</v>
      </c>
      <c r="E2879" s="1484">
        <v>4</v>
      </c>
      <c r="F2879" s="1446"/>
      <c r="G2879" s="1446"/>
      <c r="H2879" s="1447"/>
      <c r="I2879" s="1494">
        <f t="shared" si="106"/>
        <v>12</v>
      </c>
      <c r="J2879" s="1492"/>
      <c r="K2879" s="1439"/>
      <c r="L2879" s="1439"/>
      <c r="M2879" s="1439"/>
      <c r="N2879" s="1439"/>
      <c r="O2879" s="1439"/>
      <c r="P2879" s="1439"/>
      <c r="Q2879" s="1439"/>
      <c r="R2879" s="1439"/>
      <c r="S2879" s="1439"/>
      <c r="T2879" s="1439"/>
      <c r="U2879" s="1439"/>
      <c r="V2879" s="1439"/>
      <c r="W2879" s="1439"/>
      <c r="X2879" s="1439"/>
      <c r="Y2879" s="1439"/>
      <c r="Z2879" s="1439"/>
      <c r="AA2879" s="1439"/>
      <c r="AB2879" s="1439"/>
      <c r="AC2879" s="1439"/>
      <c r="AD2879" s="1439"/>
      <c r="AE2879" s="1439"/>
      <c r="AF2879" s="1439"/>
      <c r="AG2879" s="1439"/>
    </row>
    <row r="2880" spans="1:33" ht="15.75" customHeight="1">
      <c r="A2880" s="1451"/>
      <c r="B2880" s="1450" t="s">
        <v>6723</v>
      </c>
      <c r="C2880" s="1484">
        <v>1</v>
      </c>
      <c r="D2880" s="1484" t="s">
        <v>3364</v>
      </c>
      <c r="E2880" s="1484">
        <v>2</v>
      </c>
      <c r="F2880" s="1446"/>
      <c r="G2880" s="1446"/>
      <c r="H2880" s="1447"/>
      <c r="I2880" s="1494">
        <f t="shared" si="106"/>
        <v>2</v>
      </c>
      <c r="J2880" s="1492"/>
      <c r="K2880" s="1439"/>
      <c r="L2880" s="1439"/>
      <c r="M2880" s="1439"/>
      <c r="N2880" s="1439"/>
      <c r="O2880" s="1439"/>
      <c r="P2880" s="1439"/>
      <c r="Q2880" s="1439"/>
      <c r="R2880" s="1439"/>
      <c r="S2880" s="1439"/>
      <c r="T2880" s="1439"/>
      <c r="U2880" s="1439"/>
      <c r="V2880" s="1439"/>
      <c r="W2880" s="1439"/>
      <c r="X2880" s="1439"/>
      <c r="Y2880" s="1439"/>
      <c r="Z2880" s="1439"/>
      <c r="AA2880" s="1439"/>
      <c r="AB2880" s="1439"/>
      <c r="AC2880" s="1439"/>
      <c r="AD2880" s="1439"/>
      <c r="AE2880" s="1439"/>
      <c r="AF2880" s="1439"/>
      <c r="AG2880" s="1439"/>
    </row>
    <row r="2881" spans="1:33" ht="15.75" customHeight="1">
      <c r="A2881" s="1451"/>
      <c r="B2881" s="1450" t="s">
        <v>6933</v>
      </c>
      <c r="C2881" s="1484">
        <v>2</v>
      </c>
      <c r="D2881" s="1484" t="s">
        <v>3364</v>
      </c>
      <c r="E2881" s="1484">
        <v>1</v>
      </c>
      <c r="F2881" s="1446"/>
      <c r="G2881" s="1446"/>
      <c r="H2881" s="1447"/>
      <c r="I2881" s="1494">
        <f t="shared" si="106"/>
        <v>2</v>
      </c>
      <c r="J2881" s="1492"/>
      <c r="K2881" s="1439"/>
      <c r="L2881" s="1439"/>
      <c r="M2881" s="1439"/>
      <c r="N2881" s="1439"/>
      <c r="O2881" s="1439"/>
      <c r="P2881" s="1439"/>
      <c r="Q2881" s="1439"/>
      <c r="R2881" s="1439"/>
      <c r="S2881" s="1439"/>
      <c r="T2881" s="1439"/>
      <c r="U2881" s="1439"/>
      <c r="V2881" s="1439"/>
      <c r="W2881" s="1439"/>
      <c r="X2881" s="1439"/>
      <c r="Y2881" s="1439"/>
      <c r="Z2881" s="1439"/>
      <c r="AA2881" s="1439"/>
      <c r="AB2881" s="1439"/>
      <c r="AC2881" s="1439"/>
      <c r="AD2881" s="1439"/>
      <c r="AE2881" s="1439"/>
      <c r="AF2881" s="1439"/>
      <c r="AG2881" s="1439"/>
    </row>
    <row r="2882" spans="1:33" ht="15.75" customHeight="1">
      <c r="A2882" s="1451"/>
      <c r="B2882" s="1450" t="s">
        <v>7231</v>
      </c>
      <c r="C2882" s="1484">
        <v>1</v>
      </c>
      <c r="D2882" s="1484" t="s">
        <v>3364</v>
      </c>
      <c r="E2882" s="1484">
        <v>5</v>
      </c>
      <c r="F2882" s="1446"/>
      <c r="G2882" s="1446"/>
      <c r="H2882" s="1447"/>
      <c r="I2882" s="1494">
        <f t="shared" si="106"/>
        <v>5</v>
      </c>
      <c r="J2882" s="1492"/>
      <c r="K2882" s="1439"/>
      <c r="L2882" s="1439"/>
      <c r="M2882" s="1439"/>
      <c r="N2882" s="1439"/>
      <c r="O2882" s="1439"/>
      <c r="P2882" s="1439"/>
      <c r="Q2882" s="1439"/>
      <c r="R2882" s="1439"/>
      <c r="S2882" s="1439"/>
      <c r="T2882" s="1439"/>
      <c r="U2882" s="1439"/>
      <c r="V2882" s="1439"/>
      <c r="W2882" s="1439"/>
      <c r="X2882" s="1439"/>
      <c r="Y2882" s="1439"/>
      <c r="Z2882" s="1439"/>
      <c r="AA2882" s="1439"/>
      <c r="AB2882" s="1439"/>
      <c r="AC2882" s="1439"/>
      <c r="AD2882" s="1439"/>
      <c r="AE2882" s="1439"/>
      <c r="AF2882" s="1439"/>
      <c r="AG2882" s="1439"/>
    </row>
    <row r="2883" spans="1:33" ht="15.75" customHeight="1">
      <c r="A2883" s="1451"/>
      <c r="B2883" s="1456" t="s">
        <v>7232</v>
      </c>
      <c r="C2883" s="1484"/>
      <c r="D2883" s="1484"/>
      <c r="E2883" s="1484"/>
      <c r="F2883" s="1446"/>
      <c r="G2883" s="1446"/>
      <c r="H2883" s="1447"/>
      <c r="I2883" s="1494"/>
      <c r="J2883" s="1492"/>
      <c r="K2883" s="1439"/>
      <c r="L2883" s="1439"/>
      <c r="M2883" s="1439"/>
      <c r="N2883" s="1439"/>
      <c r="O2883" s="1439"/>
      <c r="P2883" s="1439"/>
      <c r="Q2883" s="1439"/>
      <c r="R2883" s="1439"/>
      <c r="S2883" s="1439"/>
      <c r="T2883" s="1439"/>
      <c r="U2883" s="1439"/>
      <c r="V2883" s="1439"/>
      <c r="W2883" s="1439"/>
      <c r="X2883" s="1439"/>
      <c r="Y2883" s="1439"/>
      <c r="Z2883" s="1439"/>
      <c r="AA2883" s="1439"/>
      <c r="AB2883" s="1439"/>
      <c r="AC2883" s="1439"/>
      <c r="AD2883" s="1439"/>
      <c r="AE2883" s="1439"/>
      <c r="AF2883" s="1439"/>
      <c r="AG2883" s="1439"/>
    </row>
    <row r="2884" spans="1:33" ht="15.75" customHeight="1">
      <c r="A2884" s="1451"/>
      <c r="B2884" s="1450" t="s">
        <v>7224</v>
      </c>
      <c r="C2884" s="1484">
        <v>2</v>
      </c>
      <c r="D2884" s="1484" t="s">
        <v>3364</v>
      </c>
      <c r="E2884" s="1484">
        <v>1</v>
      </c>
      <c r="F2884" s="1446"/>
      <c r="G2884" s="1446"/>
      <c r="H2884" s="1447"/>
      <c r="I2884" s="1494">
        <f t="shared" si="106"/>
        <v>2</v>
      </c>
      <c r="J2884" s="1492"/>
      <c r="K2884" s="1439"/>
      <c r="L2884" s="1439"/>
      <c r="M2884" s="1439"/>
      <c r="N2884" s="1439"/>
      <c r="O2884" s="1439"/>
      <c r="P2884" s="1439"/>
      <c r="Q2884" s="1439"/>
      <c r="R2884" s="1439"/>
      <c r="S2884" s="1439"/>
      <c r="T2884" s="1439"/>
      <c r="U2884" s="1439"/>
      <c r="V2884" s="1439"/>
      <c r="W2884" s="1439"/>
      <c r="X2884" s="1439"/>
      <c r="Y2884" s="1439"/>
      <c r="Z2884" s="1439"/>
      <c r="AA2884" s="1439"/>
      <c r="AB2884" s="1439"/>
      <c r="AC2884" s="1439"/>
      <c r="AD2884" s="1439"/>
      <c r="AE2884" s="1439"/>
      <c r="AF2884" s="1439"/>
      <c r="AG2884" s="1439"/>
    </row>
    <row r="2885" spans="1:33" ht="15.75" customHeight="1">
      <c r="A2885" s="1451"/>
      <c r="B2885" s="1450" t="s">
        <v>7221</v>
      </c>
      <c r="C2885" s="1484">
        <v>1</v>
      </c>
      <c r="D2885" s="1484" t="s">
        <v>3364</v>
      </c>
      <c r="E2885" s="1484">
        <v>3</v>
      </c>
      <c r="F2885" s="1446"/>
      <c r="G2885" s="1446"/>
      <c r="H2885" s="1447"/>
      <c r="I2885" s="1494">
        <f t="shared" si="106"/>
        <v>3</v>
      </c>
      <c r="J2885" s="1492"/>
      <c r="K2885" s="1439"/>
      <c r="L2885" s="1439"/>
      <c r="M2885" s="1439"/>
      <c r="N2885" s="1439"/>
      <c r="O2885" s="1439"/>
      <c r="P2885" s="1439"/>
      <c r="Q2885" s="1439"/>
      <c r="R2885" s="1439"/>
      <c r="S2885" s="1439"/>
      <c r="T2885" s="1439"/>
      <c r="U2885" s="1439"/>
      <c r="V2885" s="1439"/>
      <c r="W2885" s="1439"/>
      <c r="X2885" s="1439"/>
      <c r="Y2885" s="1439"/>
      <c r="Z2885" s="1439"/>
      <c r="AA2885" s="1439"/>
      <c r="AB2885" s="1439"/>
      <c r="AC2885" s="1439"/>
      <c r="AD2885" s="1439"/>
      <c r="AE2885" s="1439"/>
      <c r="AF2885" s="1439"/>
      <c r="AG2885" s="1439"/>
    </row>
    <row r="2886" spans="1:33" ht="15.75" customHeight="1">
      <c r="A2886" s="1451"/>
      <c r="B2886" s="1450" t="s">
        <v>7233</v>
      </c>
      <c r="C2886" s="1484">
        <v>1</v>
      </c>
      <c r="D2886" s="1484" t="s">
        <v>3364</v>
      </c>
      <c r="E2886" s="1484">
        <v>4</v>
      </c>
      <c r="F2886" s="1446"/>
      <c r="G2886" s="1446"/>
      <c r="H2886" s="1447"/>
      <c r="I2886" s="1494">
        <f t="shared" si="106"/>
        <v>4</v>
      </c>
      <c r="J2886" s="1492"/>
      <c r="K2886" s="1439"/>
      <c r="L2886" s="1439"/>
      <c r="M2886" s="1439"/>
      <c r="N2886" s="1439"/>
      <c r="O2886" s="1439"/>
      <c r="P2886" s="1439"/>
      <c r="Q2886" s="1439"/>
      <c r="R2886" s="1439"/>
      <c r="S2886" s="1439"/>
      <c r="T2886" s="1439"/>
      <c r="U2886" s="1439"/>
      <c r="V2886" s="1439"/>
      <c r="W2886" s="1439"/>
      <c r="X2886" s="1439"/>
      <c r="Y2886" s="1439"/>
      <c r="Z2886" s="1439"/>
      <c r="AA2886" s="1439"/>
      <c r="AB2886" s="1439"/>
      <c r="AC2886" s="1439"/>
      <c r="AD2886" s="1439"/>
      <c r="AE2886" s="1439"/>
      <c r="AF2886" s="1439"/>
      <c r="AG2886" s="1439"/>
    </row>
    <row r="2887" spans="1:33" ht="15.75" customHeight="1">
      <c r="A2887" s="1451"/>
      <c r="B2887" s="1450" t="s">
        <v>7231</v>
      </c>
      <c r="C2887" s="1484">
        <v>1</v>
      </c>
      <c r="D2887" s="1484" t="s">
        <v>3364</v>
      </c>
      <c r="E2887" s="1484">
        <v>2</v>
      </c>
      <c r="F2887" s="1446"/>
      <c r="G2887" s="1446"/>
      <c r="H2887" s="1447"/>
      <c r="I2887" s="1494">
        <f t="shared" si="106"/>
        <v>2</v>
      </c>
      <c r="J2887" s="1492"/>
      <c r="K2887" s="1439"/>
      <c r="L2887" s="1439"/>
      <c r="M2887" s="1439"/>
      <c r="N2887" s="1439"/>
      <c r="O2887" s="1439"/>
      <c r="P2887" s="1439"/>
      <c r="Q2887" s="1439"/>
      <c r="R2887" s="1439"/>
      <c r="S2887" s="1439"/>
      <c r="T2887" s="1439"/>
      <c r="U2887" s="1439"/>
      <c r="V2887" s="1439"/>
      <c r="W2887" s="1439"/>
      <c r="X2887" s="1439"/>
      <c r="Y2887" s="1439"/>
      <c r="Z2887" s="1439"/>
      <c r="AA2887" s="1439"/>
      <c r="AB2887" s="1439"/>
      <c r="AC2887" s="1439"/>
      <c r="AD2887" s="1439"/>
      <c r="AE2887" s="1439"/>
      <c r="AF2887" s="1439"/>
      <c r="AG2887" s="1439"/>
    </row>
    <row r="2888" spans="1:33" ht="15.75" customHeight="1">
      <c r="A2888" s="1451"/>
      <c r="B2888" s="1450" t="s">
        <v>6908</v>
      </c>
      <c r="C2888" s="1484">
        <v>1</v>
      </c>
      <c r="D2888" s="1484" t="s">
        <v>3364</v>
      </c>
      <c r="E2888" s="1484">
        <v>1</v>
      </c>
      <c r="F2888" s="1446"/>
      <c r="G2888" s="1446"/>
      <c r="H2888" s="1447"/>
      <c r="I2888" s="1494">
        <f t="shared" si="106"/>
        <v>1</v>
      </c>
      <c r="J2888" s="1492"/>
      <c r="K2888" s="1439"/>
      <c r="L2888" s="1439"/>
      <c r="M2888" s="1439"/>
      <c r="N2888" s="1439"/>
      <c r="O2888" s="1439"/>
      <c r="P2888" s="1439"/>
      <c r="Q2888" s="1439"/>
      <c r="R2888" s="1439"/>
      <c r="S2888" s="1439"/>
      <c r="T2888" s="1439"/>
      <c r="U2888" s="1439"/>
      <c r="V2888" s="1439"/>
      <c r="W2888" s="1439"/>
      <c r="X2888" s="1439"/>
      <c r="Y2888" s="1439"/>
      <c r="Z2888" s="1439"/>
      <c r="AA2888" s="1439"/>
      <c r="AB2888" s="1439"/>
      <c r="AC2888" s="1439"/>
      <c r="AD2888" s="1439"/>
      <c r="AE2888" s="1439"/>
      <c r="AF2888" s="1439"/>
      <c r="AG2888" s="1439"/>
    </row>
    <row r="2889" spans="1:33" ht="15.75" customHeight="1">
      <c r="A2889" s="1451"/>
      <c r="B2889" s="1450" t="s">
        <v>7138</v>
      </c>
      <c r="C2889" s="1484">
        <v>1</v>
      </c>
      <c r="D2889" s="1484" t="s">
        <v>3364</v>
      </c>
      <c r="E2889" s="1484">
        <v>10</v>
      </c>
      <c r="F2889" s="1446"/>
      <c r="G2889" s="1446"/>
      <c r="H2889" s="1447"/>
      <c r="I2889" s="1494">
        <f t="shared" si="106"/>
        <v>10</v>
      </c>
      <c r="J2889" s="1492"/>
      <c r="K2889" s="1439"/>
      <c r="L2889" s="1439"/>
      <c r="M2889" s="1439"/>
      <c r="N2889" s="1439"/>
      <c r="O2889" s="1439"/>
      <c r="P2889" s="1439"/>
      <c r="Q2889" s="1439"/>
      <c r="R2889" s="1439"/>
      <c r="S2889" s="1439"/>
      <c r="T2889" s="1439"/>
      <c r="U2889" s="1439"/>
      <c r="V2889" s="1439"/>
      <c r="W2889" s="1439"/>
      <c r="X2889" s="1439"/>
      <c r="Y2889" s="1439"/>
      <c r="Z2889" s="1439"/>
      <c r="AA2889" s="1439"/>
      <c r="AB2889" s="1439"/>
      <c r="AC2889" s="1439"/>
      <c r="AD2889" s="1439"/>
      <c r="AE2889" s="1439"/>
      <c r="AF2889" s="1439"/>
      <c r="AG2889" s="1439"/>
    </row>
    <row r="2890" spans="1:33" ht="15.75" customHeight="1">
      <c r="A2890" s="1451"/>
      <c r="B2890" s="1450" t="s">
        <v>6586</v>
      </c>
      <c r="C2890" s="1484">
        <v>1</v>
      </c>
      <c r="D2890" s="1484" t="s">
        <v>3364</v>
      </c>
      <c r="E2890" s="1484">
        <v>1</v>
      </c>
      <c r="F2890" s="1446"/>
      <c r="G2890" s="1446"/>
      <c r="H2890" s="1447"/>
      <c r="I2890" s="1494">
        <f t="shared" si="106"/>
        <v>1</v>
      </c>
      <c r="J2890" s="1492"/>
      <c r="K2890" s="1439"/>
      <c r="L2890" s="1439"/>
      <c r="M2890" s="1439"/>
      <c r="N2890" s="1439"/>
      <c r="O2890" s="1439"/>
      <c r="P2890" s="1439"/>
      <c r="Q2890" s="1439"/>
      <c r="R2890" s="1439"/>
      <c r="S2890" s="1439"/>
      <c r="T2890" s="1439"/>
      <c r="U2890" s="1439"/>
      <c r="V2890" s="1439"/>
      <c r="W2890" s="1439"/>
      <c r="X2890" s="1439"/>
      <c r="Y2890" s="1439"/>
      <c r="Z2890" s="1439"/>
      <c r="AA2890" s="1439"/>
      <c r="AB2890" s="1439"/>
      <c r="AC2890" s="1439"/>
      <c r="AD2890" s="1439"/>
      <c r="AE2890" s="1439"/>
      <c r="AF2890" s="1439"/>
      <c r="AG2890" s="1439"/>
    </row>
    <row r="2891" spans="1:33" ht="15.75" customHeight="1">
      <c r="A2891" s="1451"/>
      <c r="B2891" s="1450" t="s">
        <v>7234</v>
      </c>
      <c r="C2891" s="1484">
        <v>1</v>
      </c>
      <c r="D2891" s="1484" t="s">
        <v>3364</v>
      </c>
      <c r="E2891" s="1484">
        <v>4</v>
      </c>
      <c r="F2891" s="1446"/>
      <c r="G2891" s="1446"/>
      <c r="H2891" s="1447"/>
      <c r="I2891" s="1494">
        <f t="shared" si="106"/>
        <v>4</v>
      </c>
      <c r="J2891" s="1492"/>
      <c r="K2891" s="1439"/>
      <c r="L2891" s="1439"/>
      <c r="M2891" s="1439"/>
      <c r="N2891" s="1439"/>
      <c r="O2891" s="1439"/>
      <c r="P2891" s="1439"/>
      <c r="Q2891" s="1439"/>
      <c r="R2891" s="1439"/>
      <c r="S2891" s="1439"/>
      <c r="T2891" s="1439"/>
      <c r="U2891" s="1439"/>
      <c r="V2891" s="1439"/>
      <c r="W2891" s="1439"/>
      <c r="X2891" s="1439"/>
      <c r="Y2891" s="1439"/>
      <c r="Z2891" s="1439"/>
      <c r="AA2891" s="1439"/>
      <c r="AB2891" s="1439"/>
      <c r="AC2891" s="1439"/>
      <c r="AD2891" s="1439"/>
      <c r="AE2891" s="1439"/>
      <c r="AF2891" s="1439"/>
      <c r="AG2891" s="1439"/>
    </row>
    <row r="2892" spans="1:33" ht="15.75" customHeight="1">
      <c r="A2892" s="1451"/>
      <c r="B2892" s="1450" t="s">
        <v>7141</v>
      </c>
      <c r="C2892" s="1484">
        <v>1</v>
      </c>
      <c r="D2892" s="1484" t="s">
        <v>3364</v>
      </c>
      <c r="E2892" s="1484">
        <v>6</v>
      </c>
      <c r="F2892" s="1446"/>
      <c r="G2892" s="1446"/>
      <c r="H2892" s="1447"/>
      <c r="I2892" s="1494">
        <f t="shared" si="106"/>
        <v>6</v>
      </c>
      <c r="J2892" s="1492"/>
      <c r="K2892" s="1439"/>
      <c r="L2892" s="1439"/>
      <c r="M2892" s="1439"/>
      <c r="N2892" s="1439"/>
      <c r="O2892" s="1439"/>
      <c r="P2892" s="1439"/>
      <c r="Q2892" s="1439"/>
      <c r="R2892" s="1439"/>
      <c r="S2892" s="1439"/>
      <c r="T2892" s="1439"/>
      <c r="U2892" s="1439"/>
      <c r="V2892" s="1439"/>
      <c r="W2892" s="1439"/>
      <c r="X2892" s="1439"/>
      <c r="Y2892" s="1439"/>
      <c r="Z2892" s="1439"/>
      <c r="AA2892" s="1439"/>
      <c r="AB2892" s="1439"/>
      <c r="AC2892" s="1439"/>
      <c r="AD2892" s="1439"/>
      <c r="AE2892" s="1439"/>
      <c r="AF2892" s="1439"/>
      <c r="AG2892" s="1439"/>
    </row>
    <row r="2893" spans="1:33" ht="15.75" customHeight="1">
      <c r="A2893" s="1451"/>
      <c r="B2893" s="1450" t="s">
        <v>7235</v>
      </c>
      <c r="C2893" s="1484">
        <v>1</v>
      </c>
      <c r="D2893" s="1484" t="s">
        <v>3364</v>
      </c>
      <c r="E2893" s="1484">
        <v>3</v>
      </c>
      <c r="F2893" s="1446"/>
      <c r="G2893" s="1446"/>
      <c r="H2893" s="1447"/>
      <c r="I2893" s="1494">
        <f t="shared" si="106"/>
        <v>3</v>
      </c>
      <c r="J2893" s="1492"/>
      <c r="K2893" s="1439"/>
      <c r="L2893" s="1439"/>
      <c r="M2893" s="1439"/>
      <c r="N2893" s="1439"/>
      <c r="O2893" s="1439"/>
      <c r="P2893" s="1439"/>
      <c r="Q2893" s="1439"/>
      <c r="R2893" s="1439"/>
      <c r="S2893" s="1439"/>
      <c r="T2893" s="1439"/>
      <c r="U2893" s="1439"/>
      <c r="V2893" s="1439"/>
      <c r="W2893" s="1439"/>
      <c r="X2893" s="1439"/>
      <c r="Y2893" s="1439"/>
      <c r="Z2893" s="1439"/>
      <c r="AA2893" s="1439"/>
      <c r="AB2893" s="1439"/>
      <c r="AC2893" s="1439"/>
      <c r="AD2893" s="1439"/>
      <c r="AE2893" s="1439"/>
      <c r="AF2893" s="1439"/>
      <c r="AG2893" s="1439"/>
    </row>
    <row r="2894" spans="1:33" ht="15.75" customHeight="1">
      <c r="A2894" s="1451"/>
      <c r="B2894" s="1450" t="s">
        <v>7236</v>
      </c>
      <c r="C2894" s="1484">
        <v>1</v>
      </c>
      <c r="D2894" s="1484" t="s">
        <v>3364</v>
      </c>
      <c r="E2894" s="1484">
        <v>1</v>
      </c>
      <c r="F2894" s="1446"/>
      <c r="G2894" s="1446"/>
      <c r="H2894" s="1447"/>
      <c r="I2894" s="1494">
        <f t="shared" si="106"/>
        <v>1</v>
      </c>
      <c r="J2894" s="1492"/>
      <c r="K2894" s="1439"/>
      <c r="L2894" s="1439"/>
      <c r="M2894" s="1439"/>
      <c r="N2894" s="1439"/>
      <c r="O2894" s="1439"/>
      <c r="P2894" s="1439"/>
      <c r="Q2894" s="1439"/>
      <c r="R2894" s="1439"/>
      <c r="S2894" s="1439"/>
      <c r="T2894" s="1439"/>
      <c r="U2894" s="1439"/>
      <c r="V2894" s="1439"/>
      <c r="W2894" s="1439"/>
      <c r="X2894" s="1439"/>
      <c r="Y2894" s="1439"/>
      <c r="Z2894" s="1439"/>
      <c r="AA2894" s="1439"/>
      <c r="AB2894" s="1439"/>
      <c r="AC2894" s="1439"/>
      <c r="AD2894" s="1439"/>
      <c r="AE2894" s="1439"/>
      <c r="AF2894" s="1439"/>
      <c r="AG2894" s="1439"/>
    </row>
    <row r="2895" spans="1:33" ht="15.75" customHeight="1">
      <c r="A2895" s="1451"/>
      <c r="B2895" s="1450" t="s">
        <v>7237</v>
      </c>
      <c r="C2895" s="1484">
        <v>2</v>
      </c>
      <c r="D2895" s="1484" t="s">
        <v>3364</v>
      </c>
      <c r="E2895" s="1484">
        <v>2</v>
      </c>
      <c r="F2895" s="1446"/>
      <c r="G2895" s="1446"/>
      <c r="H2895" s="1447"/>
      <c r="I2895" s="1494">
        <f t="shared" si="106"/>
        <v>4</v>
      </c>
      <c r="J2895" s="1492"/>
      <c r="K2895" s="1439"/>
      <c r="L2895" s="1439"/>
      <c r="M2895" s="1439"/>
      <c r="N2895" s="1439"/>
      <c r="O2895" s="1439"/>
      <c r="P2895" s="1439"/>
      <c r="Q2895" s="1439"/>
      <c r="R2895" s="1439"/>
      <c r="S2895" s="1439"/>
      <c r="T2895" s="1439"/>
      <c r="U2895" s="1439"/>
      <c r="V2895" s="1439"/>
      <c r="W2895" s="1439"/>
      <c r="X2895" s="1439"/>
      <c r="Y2895" s="1439"/>
      <c r="Z2895" s="1439"/>
      <c r="AA2895" s="1439"/>
      <c r="AB2895" s="1439"/>
      <c r="AC2895" s="1439"/>
      <c r="AD2895" s="1439"/>
      <c r="AE2895" s="1439"/>
      <c r="AF2895" s="1439"/>
      <c r="AG2895" s="1439"/>
    </row>
    <row r="2896" spans="1:33" ht="15.75" customHeight="1">
      <c r="A2896" s="1451"/>
      <c r="B2896" s="1450" t="s">
        <v>6586</v>
      </c>
      <c r="C2896" s="1484">
        <v>1</v>
      </c>
      <c r="D2896" s="1484" t="s">
        <v>3364</v>
      </c>
      <c r="E2896" s="1484">
        <v>1</v>
      </c>
      <c r="F2896" s="1446"/>
      <c r="G2896" s="1446"/>
      <c r="H2896" s="1447"/>
      <c r="I2896" s="1494">
        <f t="shared" si="106"/>
        <v>1</v>
      </c>
      <c r="J2896" s="1492"/>
      <c r="K2896" s="1439"/>
      <c r="L2896" s="1439"/>
      <c r="M2896" s="1439"/>
      <c r="N2896" s="1439"/>
      <c r="O2896" s="1439"/>
      <c r="P2896" s="1439"/>
      <c r="Q2896" s="1439"/>
      <c r="R2896" s="1439"/>
      <c r="S2896" s="1439"/>
      <c r="T2896" s="1439"/>
      <c r="U2896" s="1439"/>
      <c r="V2896" s="1439"/>
      <c r="W2896" s="1439"/>
      <c r="X2896" s="1439"/>
      <c r="Y2896" s="1439"/>
      <c r="Z2896" s="1439"/>
      <c r="AA2896" s="1439"/>
      <c r="AB2896" s="1439"/>
      <c r="AC2896" s="1439"/>
      <c r="AD2896" s="1439"/>
      <c r="AE2896" s="1439"/>
      <c r="AF2896" s="1439"/>
      <c r="AG2896" s="1439"/>
    </row>
    <row r="2897" spans="1:33" ht="15.75" customHeight="1">
      <c r="A2897" s="1451"/>
      <c r="B2897" s="1450" t="s">
        <v>7238</v>
      </c>
      <c r="C2897" s="1484">
        <v>1</v>
      </c>
      <c r="D2897" s="1484" t="s">
        <v>3364</v>
      </c>
      <c r="E2897" s="1484">
        <v>3</v>
      </c>
      <c r="F2897" s="1446"/>
      <c r="G2897" s="1446"/>
      <c r="H2897" s="1447"/>
      <c r="I2897" s="1494">
        <f t="shared" si="106"/>
        <v>3</v>
      </c>
      <c r="J2897" s="1492"/>
      <c r="K2897" s="1439"/>
      <c r="L2897" s="1439"/>
      <c r="M2897" s="1439"/>
      <c r="N2897" s="1439"/>
      <c r="O2897" s="1439"/>
      <c r="P2897" s="1439"/>
      <c r="Q2897" s="1439"/>
      <c r="R2897" s="1439"/>
      <c r="S2897" s="1439"/>
      <c r="T2897" s="1439"/>
      <c r="U2897" s="1439"/>
      <c r="V2897" s="1439"/>
      <c r="W2897" s="1439"/>
      <c r="X2897" s="1439"/>
      <c r="Y2897" s="1439"/>
      <c r="Z2897" s="1439"/>
      <c r="AA2897" s="1439"/>
      <c r="AB2897" s="1439"/>
      <c r="AC2897" s="1439"/>
      <c r="AD2897" s="1439"/>
      <c r="AE2897" s="1439"/>
      <c r="AF2897" s="1439"/>
      <c r="AG2897" s="1439"/>
    </row>
    <row r="2898" spans="1:33" ht="15.75" customHeight="1">
      <c r="A2898" s="1451"/>
      <c r="B2898" s="1450" t="s">
        <v>7239</v>
      </c>
      <c r="C2898" s="1484">
        <v>3</v>
      </c>
      <c r="D2898" s="1484" t="s">
        <v>3364</v>
      </c>
      <c r="E2898" s="1484">
        <v>2</v>
      </c>
      <c r="F2898" s="1446"/>
      <c r="G2898" s="1446"/>
      <c r="H2898" s="1447"/>
      <c r="I2898" s="1494">
        <f t="shared" si="106"/>
        <v>6</v>
      </c>
      <c r="J2898" s="1492"/>
      <c r="K2898" s="1439"/>
      <c r="L2898" s="1439"/>
      <c r="M2898" s="1439"/>
      <c r="N2898" s="1439"/>
      <c r="O2898" s="1439"/>
      <c r="P2898" s="1439"/>
      <c r="Q2898" s="1439"/>
      <c r="R2898" s="1439"/>
      <c r="S2898" s="1439"/>
      <c r="T2898" s="1439"/>
      <c r="U2898" s="1439"/>
      <c r="V2898" s="1439"/>
      <c r="W2898" s="1439"/>
      <c r="X2898" s="1439"/>
      <c r="Y2898" s="1439"/>
      <c r="Z2898" s="1439"/>
      <c r="AA2898" s="1439"/>
      <c r="AB2898" s="1439"/>
      <c r="AC2898" s="1439"/>
      <c r="AD2898" s="1439"/>
      <c r="AE2898" s="1439"/>
      <c r="AF2898" s="1439"/>
      <c r="AG2898" s="1439"/>
    </row>
    <row r="2899" spans="1:33" ht="15.75" customHeight="1">
      <c r="A2899" s="1451"/>
      <c r="B2899" s="1456" t="s">
        <v>7240</v>
      </c>
      <c r="C2899" s="1484"/>
      <c r="D2899" s="1484"/>
      <c r="E2899" s="1484"/>
      <c r="F2899" s="1446"/>
      <c r="G2899" s="1446"/>
      <c r="H2899" s="1447"/>
      <c r="I2899" s="1494"/>
      <c r="J2899" s="1492"/>
      <c r="K2899" s="1439"/>
      <c r="L2899" s="1439"/>
      <c r="M2899" s="1439"/>
      <c r="N2899" s="1439"/>
      <c r="O2899" s="1439"/>
      <c r="P2899" s="1439"/>
      <c r="Q2899" s="1439"/>
      <c r="R2899" s="1439"/>
      <c r="S2899" s="1439"/>
      <c r="T2899" s="1439"/>
      <c r="U2899" s="1439"/>
      <c r="V2899" s="1439"/>
      <c r="W2899" s="1439"/>
      <c r="X2899" s="1439"/>
      <c r="Y2899" s="1439"/>
      <c r="Z2899" s="1439"/>
      <c r="AA2899" s="1439"/>
      <c r="AB2899" s="1439"/>
      <c r="AC2899" s="1439"/>
      <c r="AD2899" s="1439"/>
      <c r="AE2899" s="1439"/>
      <c r="AF2899" s="1439"/>
      <c r="AG2899" s="1439"/>
    </row>
    <row r="2900" spans="1:33" ht="15.75" customHeight="1">
      <c r="A2900" s="1451"/>
      <c r="B2900" s="1450" t="s">
        <v>7224</v>
      </c>
      <c r="C2900" s="1484">
        <v>1</v>
      </c>
      <c r="D2900" s="1484" t="s">
        <v>3364</v>
      </c>
      <c r="E2900" s="1484">
        <v>1</v>
      </c>
      <c r="F2900" s="1446"/>
      <c r="G2900" s="1446"/>
      <c r="H2900" s="1447"/>
      <c r="I2900" s="1494">
        <f t="shared" si="106"/>
        <v>1</v>
      </c>
      <c r="J2900" s="1492"/>
      <c r="K2900" s="1439"/>
      <c r="L2900" s="1439"/>
      <c r="M2900" s="1439"/>
      <c r="N2900" s="1439"/>
      <c r="O2900" s="1439"/>
      <c r="P2900" s="1439"/>
      <c r="Q2900" s="1439"/>
      <c r="R2900" s="1439"/>
      <c r="S2900" s="1439"/>
      <c r="T2900" s="1439"/>
      <c r="U2900" s="1439"/>
      <c r="V2900" s="1439"/>
      <c r="W2900" s="1439"/>
      <c r="X2900" s="1439"/>
      <c r="Y2900" s="1439"/>
      <c r="Z2900" s="1439"/>
      <c r="AA2900" s="1439"/>
      <c r="AB2900" s="1439"/>
      <c r="AC2900" s="1439"/>
      <c r="AD2900" s="1439"/>
      <c r="AE2900" s="1439"/>
      <c r="AF2900" s="1439"/>
      <c r="AG2900" s="1439"/>
    </row>
    <row r="2901" spans="1:33" ht="15.75" customHeight="1">
      <c r="A2901" s="1451"/>
      <c r="B2901" s="1450" t="s">
        <v>7221</v>
      </c>
      <c r="C2901" s="1484">
        <v>1</v>
      </c>
      <c r="D2901" s="1484" t="s">
        <v>3364</v>
      </c>
      <c r="E2901" s="1484">
        <v>3</v>
      </c>
      <c r="F2901" s="1446"/>
      <c r="G2901" s="1446"/>
      <c r="H2901" s="1447"/>
      <c r="I2901" s="1494">
        <f t="shared" si="106"/>
        <v>3</v>
      </c>
      <c r="J2901" s="1492"/>
      <c r="K2901" s="1439"/>
      <c r="L2901" s="1439"/>
      <c r="M2901" s="1439"/>
      <c r="N2901" s="1439"/>
      <c r="O2901" s="1439"/>
      <c r="P2901" s="1439"/>
      <c r="Q2901" s="1439"/>
      <c r="R2901" s="1439"/>
      <c r="S2901" s="1439"/>
      <c r="T2901" s="1439"/>
      <c r="U2901" s="1439"/>
      <c r="V2901" s="1439"/>
      <c r="W2901" s="1439"/>
      <c r="X2901" s="1439"/>
      <c r="Y2901" s="1439"/>
      <c r="Z2901" s="1439"/>
      <c r="AA2901" s="1439"/>
      <c r="AB2901" s="1439"/>
      <c r="AC2901" s="1439"/>
      <c r="AD2901" s="1439"/>
      <c r="AE2901" s="1439"/>
      <c r="AF2901" s="1439"/>
      <c r="AG2901" s="1439"/>
    </row>
    <row r="2902" spans="1:33" ht="15.75" customHeight="1">
      <c r="A2902" s="1451"/>
      <c r="B2902" s="1450" t="s">
        <v>7233</v>
      </c>
      <c r="C2902" s="1484">
        <v>1</v>
      </c>
      <c r="D2902" s="1484" t="s">
        <v>3364</v>
      </c>
      <c r="E2902" s="1484">
        <v>4</v>
      </c>
      <c r="F2902" s="1446"/>
      <c r="G2902" s="1446"/>
      <c r="H2902" s="1447"/>
      <c r="I2902" s="1494">
        <f t="shared" si="106"/>
        <v>4</v>
      </c>
      <c r="J2902" s="1492"/>
      <c r="K2902" s="1439"/>
      <c r="L2902" s="1439"/>
      <c r="M2902" s="1439"/>
      <c r="N2902" s="1439"/>
      <c r="O2902" s="1439"/>
      <c r="P2902" s="1439"/>
      <c r="Q2902" s="1439"/>
      <c r="R2902" s="1439"/>
      <c r="S2902" s="1439"/>
      <c r="T2902" s="1439"/>
      <c r="U2902" s="1439"/>
      <c r="V2902" s="1439"/>
      <c r="W2902" s="1439"/>
      <c r="X2902" s="1439"/>
      <c r="Y2902" s="1439"/>
      <c r="Z2902" s="1439"/>
      <c r="AA2902" s="1439"/>
      <c r="AB2902" s="1439"/>
      <c r="AC2902" s="1439"/>
      <c r="AD2902" s="1439"/>
      <c r="AE2902" s="1439"/>
      <c r="AF2902" s="1439"/>
      <c r="AG2902" s="1439"/>
    </row>
    <row r="2903" spans="1:33" ht="15.75" customHeight="1">
      <c r="A2903" s="1451"/>
      <c r="B2903" s="1450" t="s">
        <v>7231</v>
      </c>
      <c r="C2903" s="1484">
        <v>1</v>
      </c>
      <c r="D2903" s="1484" t="s">
        <v>3364</v>
      </c>
      <c r="E2903" s="1484">
        <v>2</v>
      </c>
      <c r="F2903" s="1446"/>
      <c r="G2903" s="1446"/>
      <c r="H2903" s="1447"/>
      <c r="I2903" s="1494">
        <f t="shared" si="106"/>
        <v>2</v>
      </c>
      <c r="J2903" s="1492"/>
      <c r="K2903" s="1439"/>
      <c r="L2903" s="1439"/>
      <c r="M2903" s="1439"/>
      <c r="N2903" s="1439"/>
      <c r="O2903" s="1439"/>
      <c r="P2903" s="1439"/>
      <c r="Q2903" s="1439"/>
      <c r="R2903" s="1439"/>
      <c r="S2903" s="1439"/>
      <c r="T2903" s="1439"/>
      <c r="U2903" s="1439"/>
      <c r="V2903" s="1439"/>
      <c r="W2903" s="1439"/>
      <c r="X2903" s="1439"/>
      <c r="Y2903" s="1439"/>
      <c r="Z2903" s="1439"/>
      <c r="AA2903" s="1439"/>
      <c r="AB2903" s="1439"/>
      <c r="AC2903" s="1439"/>
      <c r="AD2903" s="1439"/>
      <c r="AE2903" s="1439"/>
      <c r="AF2903" s="1439"/>
      <c r="AG2903" s="1439"/>
    </row>
    <row r="2904" spans="1:33" ht="15.75" customHeight="1">
      <c r="A2904" s="1451"/>
      <c r="B2904" s="1450" t="s">
        <v>6908</v>
      </c>
      <c r="C2904" s="1484">
        <v>1</v>
      </c>
      <c r="D2904" s="1484" t="s">
        <v>3364</v>
      </c>
      <c r="E2904" s="1484">
        <v>1</v>
      </c>
      <c r="F2904" s="1446"/>
      <c r="G2904" s="1446"/>
      <c r="H2904" s="1447"/>
      <c r="I2904" s="1494">
        <f t="shared" si="106"/>
        <v>1</v>
      </c>
      <c r="J2904" s="1492"/>
      <c r="K2904" s="1439"/>
      <c r="L2904" s="1439"/>
      <c r="M2904" s="1439"/>
      <c r="N2904" s="1439"/>
      <c r="O2904" s="1439"/>
      <c r="P2904" s="1439"/>
      <c r="Q2904" s="1439"/>
      <c r="R2904" s="1439"/>
      <c r="S2904" s="1439"/>
      <c r="T2904" s="1439"/>
      <c r="U2904" s="1439"/>
      <c r="V2904" s="1439"/>
      <c r="W2904" s="1439"/>
      <c r="X2904" s="1439"/>
      <c r="Y2904" s="1439"/>
      <c r="Z2904" s="1439"/>
      <c r="AA2904" s="1439"/>
      <c r="AB2904" s="1439"/>
      <c r="AC2904" s="1439"/>
      <c r="AD2904" s="1439"/>
      <c r="AE2904" s="1439"/>
      <c r="AF2904" s="1439"/>
      <c r="AG2904" s="1439"/>
    </row>
    <row r="2905" spans="1:33" ht="15.75" customHeight="1">
      <c r="A2905" s="1451"/>
      <c r="B2905" s="1450" t="s">
        <v>7138</v>
      </c>
      <c r="C2905" s="1484">
        <v>1</v>
      </c>
      <c r="D2905" s="1484" t="s">
        <v>3364</v>
      </c>
      <c r="E2905" s="1484">
        <v>10</v>
      </c>
      <c r="F2905" s="1446"/>
      <c r="G2905" s="1446"/>
      <c r="H2905" s="1447"/>
      <c r="I2905" s="1494">
        <f t="shared" si="106"/>
        <v>10</v>
      </c>
      <c r="J2905" s="1492"/>
      <c r="K2905" s="1439"/>
      <c r="L2905" s="1439"/>
      <c r="M2905" s="1439"/>
      <c r="N2905" s="1439"/>
      <c r="O2905" s="1439"/>
      <c r="P2905" s="1439"/>
      <c r="Q2905" s="1439"/>
      <c r="R2905" s="1439"/>
      <c r="S2905" s="1439"/>
      <c r="T2905" s="1439"/>
      <c r="U2905" s="1439"/>
      <c r="V2905" s="1439"/>
      <c r="W2905" s="1439"/>
      <c r="X2905" s="1439"/>
      <c r="Y2905" s="1439"/>
      <c r="Z2905" s="1439"/>
      <c r="AA2905" s="1439"/>
      <c r="AB2905" s="1439"/>
      <c r="AC2905" s="1439"/>
      <c r="AD2905" s="1439"/>
      <c r="AE2905" s="1439"/>
      <c r="AF2905" s="1439"/>
      <c r="AG2905" s="1439"/>
    </row>
    <row r="2906" spans="1:33" ht="15.75" customHeight="1">
      <c r="A2906" s="1451"/>
      <c r="B2906" s="1450" t="s">
        <v>6586</v>
      </c>
      <c r="C2906" s="1484">
        <v>2</v>
      </c>
      <c r="D2906" s="1484" t="s">
        <v>3364</v>
      </c>
      <c r="E2906" s="1484">
        <v>1</v>
      </c>
      <c r="F2906" s="1446"/>
      <c r="G2906" s="1446"/>
      <c r="H2906" s="1447"/>
      <c r="I2906" s="1494">
        <f t="shared" si="106"/>
        <v>2</v>
      </c>
      <c r="J2906" s="1492"/>
      <c r="K2906" s="1439"/>
      <c r="L2906" s="1439"/>
      <c r="M2906" s="1439"/>
      <c r="N2906" s="1439"/>
      <c r="O2906" s="1439"/>
      <c r="P2906" s="1439"/>
      <c r="Q2906" s="1439"/>
      <c r="R2906" s="1439"/>
      <c r="S2906" s="1439"/>
      <c r="T2906" s="1439"/>
      <c r="U2906" s="1439"/>
      <c r="V2906" s="1439"/>
      <c r="W2906" s="1439"/>
      <c r="X2906" s="1439"/>
      <c r="Y2906" s="1439"/>
      <c r="Z2906" s="1439"/>
      <c r="AA2906" s="1439"/>
      <c r="AB2906" s="1439"/>
      <c r="AC2906" s="1439"/>
      <c r="AD2906" s="1439"/>
      <c r="AE2906" s="1439"/>
      <c r="AF2906" s="1439"/>
      <c r="AG2906" s="1439"/>
    </row>
    <row r="2907" spans="1:33" ht="15.75" customHeight="1">
      <c r="A2907" s="1451"/>
      <c r="B2907" s="1450" t="s">
        <v>7241</v>
      </c>
      <c r="C2907" s="1484">
        <v>1</v>
      </c>
      <c r="D2907" s="1484" t="s">
        <v>3364</v>
      </c>
      <c r="E2907" s="1484">
        <v>4</v>
      </c>
      <c r="F2907" s="1446"/>
      <c r="G2907" s="1446"/>
      <c r="H2907" s="1447"/>
      <c r="I2907" s="1494">
        <f t="shared" si="106"/>
        <v>4</v>
      </c>
      <c r="J2907" s="1492"/>
      <c r="K2907" s="1439"/>
      <c r="L2907" s="1439"/>
      <c r="M2907" s="1439"/>
      <c r="N2907" s="1439"/>
      <c r="O2907" s="1439"/>
      <c r="P2907" s="1439"/>
      <c r="Q2907" s="1439"/>
      <c r="R2907" s="1439"/>
      <c r="S2907" s="1439"/>
      <c r="T2907" s="1439"/>
      <c r="U2907" s="1439"/>
      <c r="V2907" s="1439"/>
      <c r="W2907" s="1439"/>
      <c r="X2907" s="1439"/>
      <c r="Y2907" s="1439"/>
      <c r="Z2907" s="1439"/>
      <c r="AA2907" s="1439"/>
      <c r="AB2907" s="1439"/>
      <c r="AC2907" s="1439"/>
      <c r="AD2907" s="1439"/>
      <c r="AE2907" s="1439"/>
      <c r="AF2907" s="1439"/>
      <c r="AG2907" s="1439"/>
    </row>
    <row r="2908" spans="1:33" ht="15.75" customHeight="1">
      <c r="A2908" s="1451"/>
      <c r="B2908" s="1450" t="s">
        <v>7235</v>
      </c>
      <c r="C2908" s="1484">
        <v>1</v>
      </c>
      <c r="D2908" s="1484" t="s">
        <v>3364</v>
      </c>
      <c r="E2908" s="1484">
        <v>6</v>
      </c>
      <c r="F2908" s="1446"/>
      <c r="G2908" s="1446"/>
      <c r="H2908" s="1447"/>
      <c r="I2908" s="1494">
        <f t="shared" si="106"/>
        <v>6</v>
      </c>
      <c r="J2908" s="1492"/>
      <c r="K2908" s="1439"/>
      <c r="L2908" s="1439"/>
      <c r="M2908" s="1439"/>
      <c r="N2908" s="1439"/>
      <c r="O2908" s="1439"/>
      <c r="P2908" s="1439"/>
      <c r="Q2908" s="1439"/>
      <c r="R2908" s="1439"/>
      <c r="S2908" s="1439"/>
      <c r="T2908" s="1439"/>
      <c r="U2908" s="1439"/>
      <c r="V2908" s="1439"/>
      <c r="W2908" s="1439"/>
      <c r="X2908" s="1439"/>
      <c r="Y2908" s="1439"/>
      <c r="Z2908" s="1439"/>
      <c r="AA2908" s="1439"/>
      <c r="AB2908" s="1439"/>
      <c r="AC2908" s="1439"/>
      <c r="AD2908" s="1439"/>
      <c r="AE2908" s="1439"/>
      <c r="AF2908" s="1439"/>
      <c r="AG2908" s="1439"/>
    </row>
    <row r="2909" spans="1:33" ht="15.75" customHeight="1">
      <c r="A2909" s="1451"/>
      <c r="B2909" s="1450" t="s">
        <v>7236</v>
      </c>
      <c r="C2909" s="1484">
        <v>1</v>
      </c>
      <c r="D2909" s="1484" t="s">
        <v>3364</v>
      </c>
      <c r="E2909" s="1484">
        <v>3</v>
      </c>
      <c r="F2909" s="1446"/>
      <c r="G2909" s="1446"/>
      <c r="H2909" s="1447"/>
      <c r="I2909" s="1494">
        <f t="shared" si="106"/>
        <v>3</v>
      </c>
      <c r="J2909" s="1492"/>
      <c r="K2909" s="1439"/>
      <c r="L2909" s="1439"/>
      <c r="M2909" s="1439"/>
      <c r="N2909" s="1439"/>
      <c r="O2909" s="1439"/>
      <c r="P2909" s="1439"/>
      <c r="Q2909" s="1439"/>
      <c r="R2909" s="1439"/>
      <c r="S2909" s="1439"/>
      <c r="T2909" s="1439"/>
      <c r="U2909" s="1439"/>
      <c r="V2909" s="1439"/>
      <c r="W2909" s="1439"/>
      <c r="X2909" s="1439"/>
      <c r="Y2909" s="1439"/>
      <c r="Z2909" s="1439"/>
      <c r="AA2909" s="1439"/>
      <c r="AB2909" s="1439"/>
      <c r="AC2909" s="1439"/>
      <c r="AD2909" s="1439"/>
      <c r="AE2909" s="1439"/>
      <c r="AF2909" s="1439"/>
      <c r="AG2909" s="1439"/>
    </row>
    <row r="2910" spans="1:33" ht="15.75" customHeight="1">
      <c r="A2910" s="1451"/>
      <c r="B2910" s="1450" t="s">
        <v>7237</v>
      </c>
      <c r="C2910" s="1484">
        <v>2</v>
      </c>
      <c r="D2910" s="1484" t="s">
        <v>3364</v>
      </c>
      <c r="E2910" s="1484">
        <v>1</v>
      </c>
      <c r="F2910" s="1446"/>
      <c r="G2910" s="1446"/>
      <c r="H2910" s="1447"/>
      <c r="I2910" s="1494">
        <f t="shared" si="106"/>
        <v>2</v>
      </c>
      <c r="J2910" s="1492"/>
      <c r="K2910" s="1439"/>
      <c r="L2910" s="1439"/>
      <c r="M2910" s="1439"/>
      <c r="N2910" s="1439"/>
      <c r="O2910" s="1439"/>
      <c r="P2910" s="1439"/>
      <c r="Q2910" s="1439"/>
      <c r="R2910" s="1439"/>
      <c r="S2910" s="1439"/>
      <c r="T2910" s="1439"/>
      <c r="U2910" s="1439"/>
      <c r="V2910" s="1439"/>
      <c r="W2910" s="1439"/>
      <c r="X2910" s="1439"/>
      <c r="Y2910" s="1439"/>
      <c r="Z2910" s="1439"/>
      <c r="AA2910" s="1439"/>
      <c r="AB2910" s="1439"/>
      <c r="AC2910" s="1439"/>
      <c r="AD2910" s="1439"/>
      <c r="AE2910" s="1439"/>
      <c r="AF2910" s="1439"/>
      <c r="AG2910" s="1439"/>
    </row>
    <row r="2911" spans="1:33" ht="15.75" customHeight="1">
      <c r="A2911" s="1451"/>
      <c r="B2911" s="1450" t="s">
        <v>6586</v>
      </c>
      <c r="C2911" s="1484">
        <v>1</v>
      </c>
      <c r="D2911" s="1484" t="s">
        <v>3364</v>
      </c>
      <c r="E2911" s="1484">
        <v>2</v>
      </c>
      <c r="F2911" s="1446"/>
      <c r="G2911" s="1446"/>
      <c r="H2911" s="1447"/>
      <c r="I2911" s="1494">
        <f t="shared" si="106"/>
        <v>2</v>
      </c>
      <c r="J2911" s="1492"/>
      <c r="K2911" s="1439"/>
      <c r="L2911" s="1439"/>
      <c r="M2911" s="1439"/>
      <c r="N2911" s="1439"/>
      <c r="O2911" s="1439"/>
      <c r="P2911" s="1439"/>
      <c r="Q2911" s="1439"/>
      <c r="R2911" s="1439"/>
      <c r="S2911" s="1439"/>
      <c r="T2911" s="1439"/>
      <c r="U2911" s="1439"/>
      <c r="V2911" s="1439"/>
      <c r="W2911" s="1439"/>
      <c r="X2911" s="1439"/>
      <c r="Y2911" s="1439"/>
      <c r="Z2911" s="1439"/>
      <c r="AA2911" s="1439"/>
      <c r="AB2911" s="1439"/>
      <c r="AC2911" s="1439"/>
      <c r="AD2911" s="1439"/>
      <c r="AE2911" s="1439"/>
      <c r="AF2911" s="1439"/>
      <c r="AG2911" s="1439"/>
    </row>
    <row r="2912" spans="1:33" ht="15.75" customHeight="1">
      <c r="A2912" s="1451"/>
      <c r="B2912" s="1450" t="s">
        <v>7238</v>
      </c>
      <c r="C2912" s="1484">
        <v>1</v>
      </c>
      <c r="D2912" s="1484" t="s">
        <v>3364</v>
      </c>
      <c r="E2912" s="1484">
        <v>3</v>
      </c>
      <c r="F2912" s="1446"/>
      <c r="G2912" s="1446"/>
      <c r="H2912" s="1447"/>
      <c r="I2912" s="1494">
        <f t="shared" si="106"/>
        <v>3</v>
      </c>
      <c r="J2912" s="1492"/>
      <c r="K2912" s="1439"/>
      <c r="L2912" s="1439"/>
      <c r="M2912" s="1439"/>
      <c r="N2912" s="1439"/>
      <c r="O2912" s="1439"/>
      <c r="P2912" s="1439"/>
      <c r="Q2912" s="1439"/>
      <c r="R2912" s="1439"/>
      <c r="S2912" s="1439"/>
      <c r="T2912" s="1439"/>
      <c r="U2912" s="1439"/>
      <c r="V2912" s="1439"/>
      <c r="W2912" s="1439"/>
      <c r="X2912" s="1439"/>
      <c r="Y2912" s="1439"/>
      <c r="Z2912" s="1439"/>
      <c r="AA2912" s="1439"/>
      <c r="AB2912" s="1439"/>
      <c r="AC2912" s="1439"/>
      <c r="AD2912" s="1439"/>
      <c r="AE2912" s="1439"/>
      <c r="AF2912" s="1439"/>
      <c r="AG2912" s="1439"/>
    </row>
    <row r="2913" spans="1:33" ht="15.75" customHeight="1">
      <c r="A2913" s="1451"/>
      <c r="B2913" s="1450" t="s">
        <v>7239</v>
      </c>
      <c r="C2913" s="1484">
        <v>1</v>
      </c>
      <c r="D2913" s="1484" t="s">
        <v>3364</v>
      </c>
      <c r="E2913" s="1484">
        <v>2</v>
      </c>
      <c r="F2913" s="1446"/>
      <c r="G2913" s="1446"/>
      <c r="H2913" s="1447"/>
      <c r="I2913" s="1494">
        <f t="shared" si="106"/>
        <v>2</v>
      </c>
      <c r="J2913" s="1492"/>
      <c r="K2913" s="1439"/>
      <c r="L2913" s="1439"/>
      <c r="M2913" s="1439"/>
      <c r="N2913" s="1439"/>
      <c r="O2913" s="1439"/>
      <c r="P2913" s="1439"/>
      <c r="Q2913" s="1439"/>
      <c r="R2913" s="1439"/>
      <c r="S2913" s="1439"/>
      <c r="T2913" s="1439"/>
      <c r="U2913" s="1439"/>
      <c r="V2913" s="1439"/>
      <c r="W2913" s="1439"/>
      <c r="X2913" s="1439"/>
      <c r="Y2913" s="1439"/>
      <c r="Z2913" s="1439"/>
      <c r="AA2913" s="1439"/>
      <c r="AB2913" s="1439"/>
      <c r="AC2913" s="1439"/>
      <c r="AD2913" s="1439"/>
      <c r="AE2913" s="1439"/>
      <c r="AF2913" s="1439"/>
      <c r="AG2913" s="1439"/>
    </row>
    <row r="2914" spans="1:33" ht="15.75" customHeight="1">
      <c r="A2914" s="1470"/>
      <c r="B2914" s="1450"/>
      <c r="C2914" s="1484"/>
      <c r="D2914" s="1484"/>
      <c r="E2914" s="1484"/>
      <c r="F2914" s="1446"/>
      <c r="G2914" s="1458" t="s">
        <v>104</v>
      </c>
      <c r="H2914" s="1447"/>
      <c r="I2914" s="1459">
        <f>SUM(I2854:I2913)</f>
        <v>176</v>
      </c>
      <c r="J2914" s="1475" t="s">
        <v>3471</v>
      </c>
      <c r="K2914" s="1439"/>
      <c r="L2914" s="1439"/>
      <c r="M2914" s="1439"/>
      <c r="N2914" s="1439"/>
      <c r="O2914" s="1439"/>
      <c r="P2914" s="1439"/>
      <c r="Q2914" s="1439"/>
      <c r="R2914" s="1439"/>
      <c r="S2914" s="1439"/>
      <c r="T2914" s="1439"/>
      <c r="U2914" s="1439"/>
      <c r="V2914" s="1439"/>
      <c r="W2914" s="1439"/>
      <c r="X2914" s="1439"/>
      <c r="Y2914" s="1439"/>
      <c r="Z2914" s="1439"/>
      <c r="AA2914" s="1439"/>
      <c r="AB2914" s="1439"/>
      <c r="AC2914" s="1439"/>
      <c r="AD2914" s="1439"/>
      <c r="AE2914" s="1439"/>
      <c r="AF2914" s="1439"/>
      <c r="AG2914" s="1439"/>
    </row>
    <row r="2915" spans="1:33" ht="31.5">
      <c r="A2915" s="1451">
        <v>255.6</v>
      </c>
      <c r="B2915" s="1456" t="s">
        <v>3741</v>
      </c>
      <c r="C2915" s="1484"/>
      <c r="D2915" s="1484"/>
      <c r="E2915" s="1484"/>
      <c r="F2915" s="1446"/>
      <c r="G2915" s="1446"/>
      <c r="H2915" s="1447"/>
      <c r="I2915" s="1448"/>
      <c r="J2915" s="1475"/>
      <c r="K2915" s="1439"/>
      <c r="L2915" s="1439"/>
      <c r="M2915" s="1439"/>
      <c r="N2915" s="1439"/>
      <c r="O2915" s="1439"/>
      <c r="P2915" s="1439"/>
      <c r="Q2915" s="1439"/>
      <c r="R2915" s="1439"/>
      <c r="S2915" s="1439"/>
      <c r="T2915" s="1439"/>
      <c r="U2915" s="1439"/>
      <c r="V2915" s="1439"/>
      <c r="W2915" s="1439"/>
      <c r="X2915" s="1439"/>
      <c r="Y2915" s="1439"/>
      <c r="Z2915" s="1439"/>
      <c r="AA2915" s="1439"/>
      <c r="AB2915" s="1439"/>
      <c r="AC2915" s="1439"/>
      <c r="AD2915" s="1439"/>
      <c r="AE2915" s="1439"/>
      <c r="AF2915" s="1439"/>
      <c r="AG2915" s="1439"/>
    </row>
    <row r="2916" spans="1:33" ht="15.75" customHeight="1">
      <c r="A2916" s="1470"/>
      <c r="B2916" s="1450" t="s">
        <v>3496</v>
      </c>
      <c r="C2916" s="1484">
        <v>2</v>
      </c>
      <c r="D2916" s="1484" t="s">
        <v>3364</v>
      </c>
      <c r="E2916" s="1484">
        <v>2</v>
      </c>
      <c r="F2916" s="1446"/>
      <c r="G2916" s="1446"/>
      <c r="H2916" s="1447"/>
      <c r="I2916" s="1494">
        <f>PRODUCT(C2916:H2916)</f>
        <v>4</v>
      </c>
      <c r="J2916" s="1475"/>
      <c r="K2916" s="1439"/>
      <c r="L2916" s="1439"/>
      <c r="M2916" s="1439"/>
      <c r="N2916" s="1439"/>
      <c r="O2916" s="1439"/>
      <c r="P2916" s="1439"/>
      <c r="Q2916" s="1439"/>
      <c r="R2916" s="1439"/>
      <c r="S2916" s="1439"/>
      <c r="T2916" s="1439"/>
      <c r="U2916" s="1439"/>
      <c r="V2916" s="1439"/>
      <c r="W2916" s="1439"/>
      <c r="X2916" s="1439"/>
      <c r="Y2916" s="1439"/>
      <c r="Z2916" s="1439"/>
      <c r="AA2916" s="1439"/>
      <c r="AB2916" s="1439"/>
      <c r="AC2916" s="1439"/>
      <c r="AD2916" s="1439"/>
      <c r="AE2916" s="1439"/>
      <c r="AF2916" s="1439"/>
      <c r="AG2916" s="1439"/>
    </row>
    <row r="2917" spans="1:33" ht="15.75" customHeight="1">
      <c r="A2917" s="1470"/>
      <c r="B2917" s="1450" t="s">
        <v>3740</v>
      </c>
      <c r="C2917" s="1484">
        <v>1</v>
      </c>
      <c r="D2917" s="1484" t="s">
        <v>3364</v>
      </c>
      <c r="E2917" s="1484">
        <v>5</v>
      </c>
      <c r="F2917" s="1446"/>
      <c r="G2917" s="1446"/>
      <c r="H2917" s="1447"/>
      <c r="I2917" s="1494">
        <f>PRODUCT(C2917:H2917)</f>
        <v>5</v>
      </c>
      <c r="J2917" s="1475"/>
      <c r="K2917" s="1439"/>
      <c r="L2917" s="1439"/>
      <c r="M2917" s="1439"/>
      <c r="N2917" s="1439"/>
      <c r="O2917" s="1439"/>
      <c r="P2917" s="1439"/>
      <c r="Q2917" s="1439"/>
      <c r="R2917" s="1439"/>
      <c r="S2917" s="1439"/>
      <c r="T2917" s="1439"/>
      <c r="U2917" s="1439"/>
      <c r="V2917" s="1439"/>
      <c r="W2917" s="1439"/>
      <c r="X2917" s="1439"/>
      <c r="Y2917" s="1439"/>
      <c r="Z2917" s="1439"/>
      <c r="AA2917" s="1439"/>
      <c r="AB2917" s="1439"/>
      <c r="AC2917" s="1439"/>
      <c r="AD2917" s="1439"/>
      <c r="AE2917" s="1439"/>
      <c r="AF2917" s="1439"/>
      <c r="AG2917" s="1439"/>
    </row>
    <row r="2918" spans="1:33" ht="15.75" customHeight="1">
      <c r="A2918" s="1470"/>
      <c r="B2918" s="1450"/>
      <c r="C2918" s="1484"/>
      <c r="D2918" s="1484"/>
      <c r="E2918" s="1484"/>
      <c r="F2918" s="1446"/>
      <c r="G2918" s="1446" t="s">
        <v>104</v>
      </c>
      <c r="H2918" s="1460"/>
      <c r="I2918" s="1459">
        <f>SUM(I2916:I2917)</f>
        <v>9</v>
      </c>
      <c r="J2918" s="1475" t="s">
        <v>3471</v>
      </c>
      <c r="K2918" s="1439"/>
      <c r="L2918" s="1439"/>
      <c r="M2918" s="1439"/>
      <c r="N2918" s="1439"/>
      <c r="O2918" s="1439"/>
      <c r="P2918" s="1439"/>
      <c r="Q2918" s="1439"/>
      <c r="R2918" s="1439"/>
      <c r="S2918" s="1439"/>
      <c r="T2918" s="1439"/>
      <c r="U2918" s="1439"/>
      <c r="V2918" s="1439"/>
      <c r="W2918" s="1439"/>
      <c r="X2918" s="1439"/>
      <c r="Y2918" s="1439"/>
      <c r="Z2918" s="1439"/>
      <c r="AA2918" s="1439"/>
      <c r="AB2918" s="1439"/>
      <c r="AC2918" s="1439"/>
      <c r="AD2918" s="1439"/>
      <c r="AE2918" s="1439"/>
      <c r="AF2918" s="1439"/>
      <c r="AG2918" s="1439"/>
    </row>
    <row r="2919" spans="1:33" ht="94.5">
      <c r="A2919" s="1566">
        <v>3</v>
      </c>
      <c r="B2919" s="1456" t="s">
        <v>7342</v>
      </c>
      <c r="C2919" s="1566"/>
      <c r="D2919" s="1566"/>
      <c r="E2919" s="1566"/>
      <c r="F2919" s="1566"/>
      <c r="G2919" s="1566"/>
      <c r="H2919" s="1567"/>
      <c r="I2919" s="1566"/>
      <c r="J2919" s="1566"/>
      <c r="K2919" s="1568"/>
      <c r="L2919" s="1568"/>
      <c r="M2919" s="1568"/>
      <c r="N2919" s="1568"/>
      <c r="O2919" s="1568"/>
      <c r="P2919" s="1568"/>
      <c r="Q2919" s="1568"/>
      <c r="R2919" s="1568"/>
      <c r="S2919" s="1568"/>
      <c r="T2919" s="1568"/>
      <c r="U2919" s="1568"/>
      <c r="V2919" s="1568"/>
      <c r="W2919" s="1568"/>
      <c r="X2919" s="1568"/>
      <c r="Y2919" s="1568"/>
      <c r="Z2919" s="1568"/>
      <c r="AA2919" s="1568"/>
      <c r="AB2919" s="1568"/>
      <c r="AC2919" s="1568"/>
      <c r="AD2919" s="1568"/>
      <c r="AE2919" s="1568"/>
      <c r="AF2919" s="1568"/>
      <c r="AG2919" s="1568"/>
    </row>
    <row r="2920" spans="1:33" ht="24" customHeight="1">
      <c r="A2920" s="1566"/>
      <c r="B2920" s="1452" t="s">
        <v>7558</v>
      </c>
      <c r="C2920" s="1566">
        <v>2</v>
      </c>
      <c r="D2920" s="1566" t="s">
        <v>3364</v>
      </c>
      <c r="E2920" s="1566">
        <v>4</v>
      </c>
      <c r="F2920" s="1566"/>
      <c r="G2920" s="1566"/>
      <c r="H2920" s="1567"/>
      <c r="I2920" s="1566">
        <f>PRODUCT(C2920:H2920)</f>
        <v>8</v>
      </c>
      <c r="J2920" s="1566"/>
      <c r="K2920" s="1568"/>
      <c r="L2920" s="1568"/>
      <c r="M2920" s="1568"/>
      <c r="N2920" s="1568"/>
      <c r="O2920" s="1568"/>
      <c r="P2920" s="1568"/>
      <c r="Q2920" s="1568"/>
      <c r="R2920" s="1568"/>
      <c r="S2920" s="1568"/>
      <c r="T2920" s="1568"/>
      <c r="U2920" s="1568"/>
      <c r="V2920" s="1568"/>
      <c r="W2920" s="1568"/>
      <c r="X2920" s="1568"/>
      <c r="Y2920" s="1568"/>
      <c r="Z2920" s="1568"/>
      <c r="AA2920" s="1568"/>
      <c r="AB2920" s="1568"/>
      <c r="AC2920" s="1568"/>
      <c r="AD2920" s="1568"/>
      <c r="AE2920" s="1568"/>
      <c r="AF2920" s="1568"/>
      <c r="AG2920" s="1568"/>
    </row>
    <row r="2921" spans="1:33" ht="24" customHeight="1">
      <c r="A2921" s="1566"/>
      <c r="B2921" s="1450" t="s">
        <v>7343</v>
      </c>
      <c r="C2921" s="1566">
        <v>2</v>
      </c>
      <c r="D2921" s="1566" t="s">
        <v>3364</v>
      </c>
      <c r="E2921" s="1566">
        <v>4</v>
      </c>
      <c r="F2921" s="1566"/>
      <c r="G2921" s="1566"/>
      <c r="H2921" s="1567"/>
      <c r="I2921" s="1566">
        <f>PRODUCT(C2921:H2921)</f>
        <v>8</v>
      </c>
      <c r="J2921" s="1566"/>
      <c r="K2921" s="1568"/>
      <c r="L2921" s="1568"/>
      <c r="M2921" s="1568"/>
      <c r="N2921" s="1568"/>
      <c r="O2921" s="1568"/>
      <c r="P2921" s="1568"/>
      <c r="Q2921" s="1568"/>
      <c r="R2921" s="1568"/>
      <c r="S2921" s="1568"/>
      <c r="T2921" s="1568"/>
      <c r="U2921" s="1568"/>
      <c r="V2921" s="1568"/>
      <c r="W2921" s="1568"/>
      <c r="X2921" s="1568"/>
      <c r="Y2921" s="1568"/>
      <c r="Z2921" s="1568"/>
      <c r="AA2921" s="1568"/>
      <c r="AB2921" s="1568"/>
      <c r="AC2921" s="1568"/>
      <c r="AD2921" s="1568"/>
      <c r="AE2921" s="1568"/>
      <c r="AF2921" s="1568"/>
      <c r="AG2921" s="1568"/>
    </row>
    <row r="2922" spans="1:33" ht="24" customHeight="1">
      <c r="A2922" s="1566"/>
      <c r="B2922" s="1450" t="s">
        <v>6760</v>
      </c>
      <c r="C2922" s="1566">
        <v>1</v>
      </c>
      <c r="D2922" s="1566" t="s">
        <v>3364</v>
      </c>
      <c r="E2922" s="1566">
        <v>8</v>
      </c>
      <c r="F2922" s="1566"/>
      <c r="G2922" s="1566"/>
      <c r="H2922" s="1567"/>
      <c r="I2922" s="1566">
        <f>PRODUCT(C2922:H2922)</f>
        <v>8</v>
      </c>
      <c r="J2922" s="1566"/>
      <c r="K2922" s="1568"/>
      <c r="L2922" s="1568"/>
      <c r="M2922" s="1568"/>
      <c r="N2922" s="1568"/>
      <c r="O2922" s="1568"/>
      <c r="P2922" s="1568"/>
      <c r="Q2922" s="1568"/>
      <c r="R2922" s="1568"/>
      <c r="S2922" s="1568"/>
      <c r="T2922" s="1568"/>
      <c r="U2922" s="1568"/>
      <c r="V2922" s="1568"/>
      <c r="W2922" s="1568"/>
      <c r="X2922" s="1568"/>
      <c r="Y2922" s="1568"/>
      <c r="Z2922" s="1568"/>
      <c r="AA2922" s="1568"/>
      <c r="AB2922" s="1568"/>
      <c r="AC2922" s="1568"/>
      <c r="AD2922" s="1568"/>
      <c r="AE2922" s="1568"/>
      <c r="AF2922" s="1568"/>
      <c r="AG2922" s="1568"/>
    </row>
    <row r="2923" spans="1:33" ht="24" customHeight="1">
      <c r="A2923" s="1566"/>
      <c r="B2923" s="1450"/>
      <c r="C2923" s="1566"/>
      <c r="D2923" s="1566"/>
      <c r="E2923" s="1566"/>
      <c r="F2923" s="1566"/>
      <c r="G2923" s="1566"/>
      <c r="H2923" s="1567"/>
      <c r="I2923" s="1569">
        <f>SUM(I2920:I2922)</f>
        <v>24</v>
      </c>
      <c r="J2923" s="1570" t="s">
        <v>729</v>
      </c>
      <c r="K2923" s="1568"/>
      <c r="L2923" s="1568"/>
      <c r="M2923" s="1568"/>
      <c r="N2923" s="1568"/>
      <c r="O2923" s="1568"/>
      <c r="P2923" s="1568"/>
      <c r="Q2923" s="1568"/>
      <c r="R2923" s="1568"/>
      <c r="S2923" s="1568"/>
      <c r="T2923" s="1568"/>
      <c r="U2923" s="1568"/>
      <c r="V2923" s="1568"/>
      <c r="W2923" s="1568"/>
      <c r="X2923" s="1568"/>
      <c r="Y2923" s="1568"/>
      <c r="Z2923" s="1568"/>
      <c r="AA2923" s="1568"/>
      <c r="AB2923" s="1568"/>
      <c r="AC2923" s="1568"/>
      <c r="AD2923" s="1568"/>
      <c r="AE2923" s="1568"/>
      <c r="AF2923" s="1568"/>
      <c r="AG2923" s="1568"/>
    </row>
    <row r="2924" spans="1:33" ht="18.75" customHeight="1">
      <c r="A2924" s="1566">
        <v>3</v>
      </c>
      <c r="B2924" s="1456" t="s">
        <v>3743</v>
      </c>
      <c r="C2924" s="1566"/>
      <c r="D2924" s="1566"/>
      <c r="E2924" s="1566"/>
      <c r="F2924" s="1566"/>
      <c r="G2924" s="1566"/>
      <c r="H2924" s="1567"/>
      <c r="I2924" s="1566"/>
      <c r="J2924" s="1566"/>
      <c r="K2924" s="1568"/>
      <c r="L2924" s="1568"/>
      <c r="M2924" s="1568"/>
      <c r="N2924" s="1568"/>
      <c r="O2924" s="1568"/>
      <c r="P2924" s="1568"/>
      <c r="Q2924" s="1568"/>
      <c r="R2924" s="1568"/>
      <c r="S2924" s="1568"/>
      <c r="T2924" s="1568"/>
      <c r="U2924" s="1568"/>
      <c r="V2924" s="1568"/>
      <c r="W2924" s="1568"/>
      <c r="X2924" s="1568"/>
      <c r="Y2924" s="1568"/>
      <c r="Z2924" s="1568"/>
      <c r="AA2924" s="1568"/>
      <c r="AB2924" s="1568"/>
      <c r="AC2924" s="1568"/>
      <c r="AD2924" s="1568"/>
      <c r="AE2924" s="1568"/>
      <c r="AF2924" s="1568"/>
      <c r="AG2924" s="1568"/>
    </row>
    <row r="2925" spans="1:33" ht="18.75" customHeight="1">
      <c r="A2925" s="1566"/>
      <c r="B2925" s="1450" t="s">
        <v>7344</v>
      </c>
      <c r="C2925" s="1566">
        <v>1</v>
      </c>
      <c r="D2925" s="1566" t="s">
        <v>3364</v>
      </c>
      <c r="E2925" s="1566">
        <v>12</v>
      </c>
      <c r="F2925" s="1566"/>
      <c r="G2925" s="1566"/>
      <c r="H2925" s="1567"/>
      <c r="I2925" s="1569">
        <f>PRODUCT(C2925:H2925)</f>
        <v>12</v>
      </c>
      <c r="J2925" s="1569" t="s">
        <v>729</v>
      </c>
      <c r="K2925" s="1568"/>
      <c r="L2925" s="1568"/>
      <c r="M2925" s="1568"/>
      <c r="N2925" s="1568"/>
      <c r="O2925" s="1568"/>
      <c r="P2925" s="1568"/>
      <c r="Q2925" s="1568"/>
      <c r="R2925" s="1568"/>
      <c r="S2925" s="1568"/>
      <c r="T2925" s="1568"/>
      <c r="U2925" s="1568"/>
      <c r="V2925" s="1568"/>
      <c r="W2925" s="1568"/>
      <c r="X2925" s="1568"/>
      <c r="Y2925" s="1568"/>
      <c r="Z2925" s="1568"/>
      <c r="AA2925" s="1568"/>
      <c r="AB2925" s="1568"/>
      <c r="AC2925" s="1568"/>
      <c r="AD2925" s="1568"/>
      <c r="AE2925" s="1568"/>
      <c r="AF2925" s="1568"/>
      <c r="AG2925" s="1568"/>
    </row>
    <row r="2926" spans="1:33" ht="18.75" customHeight="1">
      <c r="A2926" s="1566"/>
      <c r="B2926" s="1450"/>
      <c r="C2926" s="1566"/>
      <c r="D2926" s="1566"/>
      <c r="E2926" s="1566"/>
      <c r="F2926" s="1566"/>
      <c r="G2926" s="1566"/>
      <c r="H2926" s="1567"/>
      <c r="I2926" s="1566"/>
      <c r="J2926" s="1566"/>
      <c r="K2926" s="1568"/>
      <c r="L2926" s="1568"/>
      <c r="M2926" s="1568"/>
      <c r="N2926" s="1568"/>
      <c r="O2926" s="1568"/>
      <c r="P2926" s="1568"/>
      <c r="Q2926" s="1568"/>
      <c r="R2926" s="1568"/>
      <c r="S2926" s="1568"/>
      <c r="T2926" s="1568"/>
      <c r="U2926" s="1568"/>
      <c r="V2926" s="1568"/>
      <c r="W2926" s="1568"/>
      <c r="X2926" s="1568"/>
      <c r="Y2926" s="1568"/>
      <c r="Z2926" s="1568"/>
      <c r="AA2926" s="1568"/>
      <c r="AB2926" s="1568"/>
      <c r="AC2926" s="1568"/>
      <c r="AD2926" s="1568"/>
      <c r="AE2926" s="1568"/>
      <c r="AF2926" s="1568"/>
      <c r="AG2926" s="1568"/>
    </row>
    <row r="2927" spans="1:33" ht="16.5" customHeight="1">
      <c r="A2927" s="1571"/>
      <c r="B2927" s="1444" t="s">
        <v>7345</v>
      </c>
      <c r="C2927" s="1572"/>
      <c r="D2927" s="1572"/>
      <c r="E2927" s="1572"/>
      <c r="F2927" s="1572"/>
      <c r="G2927" s="1572"/>
      <c r="H2927" s="1573"/>
      <c r="I2927" s="1574"/>
      <c r="J2927" s="1574"/>
      <c r="K2927" s="1575"/>
      <c r="L2927" s="1575"/>
      <c r="M2927" s="1575"/>
      <c r="N2927" s="1575"/>
      <c r="O2927" s="1575"/>
      <c r="P2927" s="1575"/>
      <c r="Q2927" s="1575"/>
      <c r="R2927" s="1575"/>
      <c r="S2927" s="1575"/>
      <c r="T2927" s="1575"/>
      <c r="U2927" s="1575"/>
      <c r="V2927" s="1575"/>
      <c r="W2927" s="1575"/>
      <c r="X2927" s="1575"/>
      <c r="Y2927" s="1575"/>
      <c r="Z2927" s="1575"/>
      <c r="AA2927" s="1575"/>
      <c r="AB2927" s="1575"/>
      <c r="AC2927" s="1575"/>
      <c r="AD2927" s="1575"/>
      <c r="AE2927" s="1575"/>
      <c r="AF2927" s="1575"/>
      <c r="AG2927" s="1575"/>
    </row>
    <row r="2928" spans="1:33" ht="409.5">
      <c r="A2928" s="1566"/>
      <c r="B2928" s="1462" t="s">
        <v>7346</v>
      </c>
      <c r="C2928" s="1566">
        <v>1</v>
      </c>
      <c r="D2928" s="1570" t="s">
        <v>3364</v>
      </c>
      <c r="E2928" s="1566">
        <v>1</v>
      </c>
      <c r="F2928" s="1566"/>
      <c r="G2928" s="1566"/>
      <c r="H2928" s="1567"/>
      <c r="I2928" s="1566">
        <v>1</v>
      </c>
      <c r="J2928" s="1570" t="s">
        <v>41</v>
      </c>
      <c r="K2928" s="1568"/>
      <c r="L2928" s="1568"/>
      <c r="M2928" s="1568"/>
      <c r="N2928" s="1568"/>
      <c r="O2928" s="1568"/>
      <c r="P2928" s="1568"/>
      <c r="Q2928" s="1568"/>
      <c r="R2928" s="1568"/>
      <c r="S2928" s="1568"/>
      <c r="T2928" s="1568"/>
      <c r="U2928" s="1568"/>
      <c r="V2928" s="1568"/>
      <c r="W2928" s="1568"/>
      <c r="X2928" s="1568"/>
      <c r="Y2928" s="1568"/>
      <c r="Z2928" s="1568"/>
      <c r="AA2928" s="1568"/>
      <c r="AB2928" s="1568"/>
      <c r="AC2928" s="1568"/>
      <c r="AD2928" s="1568"/>
      <c r="AE2928" s="1568"/>
      <c r="AF2928" s="1568"/>
      <c r="AG2928" s="1568"/>
    </row>
    <row r="2929" spans="1:33" ht="126">
      <c r="A2929" s="1566"/>
      <c r="B2929" s="1576" t="s">
        <v>7347</v>
      </c>
      <c r="C2929" s="1566"/>
      <c r="D2929" s="1566"/>
      <c r="E2929" s="1566"/>
      <c r="F2929" s="1566"/>
      <c r="G2929" s="1566"/>
      <c r="H2929" s="1567"/>
      <c r="I2929" s="1566"/>
      <c r="J2929" s="1566"/>
      <c r="K2929" s="1568"/>
      <c r="L2929" s="1568"/>
      <c r="M2929" s="1568"/>
      <c r="N2929" s="1568"/>
      <c r="O2929" s="1568"/>
      <c r="P2929" s="1568"/>
      <c r="Q2929" s="1568"/>
      <c r="R2929" s="1568"/>
      <c r="S2929" s="1568"/>
      <c r="T2929" s="1568"/>
      <c r="U2929" s="1568"/>
      <c r="V2929" s="1568"/>
      <c r="W2929" s="1568"/>
      <c r="X2929" s="1568"/>
      <c r="Y2929" s="1568"/>
      <c r="Z2929" s="1568"/>
      <c r="AA2929" s="1568"/>
      <c r="AB2929" s="1568"/>
      <c r="AC2929" s="1568"/>
      <c r="AD2929" s="1568"/>
      <c r="AE2929" s="1568"/>
      <c r="AF2929" s="1568"/>
      <c r="AG2929" s="1568"/>
    </row>
    <row r="2930" spans="1:33" ht="94.5">
      <c r="A2930" s="1566"/>
      <c r="B2930" s="1576" t="s">
        <v>7348</v>
      </c>
      <c r="C2930" s="1566"/>
      <c r="D2930" s="1566"/>
      <c r="E2930" s="1566"/>
      <c r="F2930" s="1566"/>
      <c r="G2930" s="1566"/>
      <c r="H2930" s="1567"/>
      <c r="I2930" s="1566"/>
      <c r="J2930" s="1566"/>
      <c r="K2930" s="1568"/>
      <c r="L2930" s="1568"/>
      <c r="M2930" s="1568"/>
      <c r="N2930" s="1568"/>
      <c r="O2930" s="1568"/>
      <c r="P2930" s="1568"/>
      <c r="Q2930" s="1568"/>
      <c r="R2930" s="1568"/>
      <c r="S2930" s="1568"/>
      <c r="T2930" s="1568"/>
      <c r="U2930" s="1568"/>
      <c r="V2930" s="1568"/>
      <c r="W2930" s="1568"/>
      <c r="X2930" s="1568"/>
      <c r="Y2930" s="1568"/>
      <c r="Z2930" s="1568"/>
      <c r="AA2930" s="1568"/>
      <c r="AB2930" s="1568"/>
      <c r="AC2930" s="1568"/>
      <c r="AD2930" s="1568"/>
      <c r="AE2930" s="1568"/>
      <c r="AF2930" s="1568"/>
      <c r="AG2930" s="1568"/>
    </row>
    <row r="2931" spans="1:33" ht="110.25">
      <c r="A2931" s="1566"/>
      <c r="B2931" s="1576" t="s">
        <v>7349</v>
      </c>
      <c r="C2931" s="1566"/>
      <c r="D2931" s="1566"/>
      <c r="E2931" s="1566"/>
      <c r="F2931" s="1566"/>
      <c r="G2931" s="1566"/>
      <c r="H2931" s="1567"/>
      <c r="I2931" s="1566"/>
      <c r="J2931" s="1566"/>
      <c r="K2931" s="1568"/>
      <c r="L2931" s="1568"/>
      <c r="M2931" s="1568"/>
      <c r="N2931" s="1568"/>
      <c r="O2931" s="1568"/>
      <c r="P2931" s="1568"/>
      <c r="Q2931" s="1568"/>
      <c r="R2931" s="1568"/>
      <c r="S2931" s="1568"/>
      <c r="T2931" s="1568"/>
      <c r="U2931" s="1568"/>
      <c r="V2931" s="1568"/>
      <c r="W2931" s="1568"/>
      <c r="X2931" s="1568"/>
      <c r="Y2931" s="1568"/>
      <c r="Z2931" s="1568"/>
      <c r="AA2931" s="1568"/>
      <c r="AB2931" s="1568"/>
      <c r="AC2931" s="1568"/>
      <c r="AD2931" s="1568"/>
      <c r="AE2931" s="1568"/>
      <c r="AF2931" s="1568"/>
      <c r="AG2931" s="1568"/>
    </row>
    <row r="2932" spans="1:33">
      <c r="A2932" s="1566"/>
      <c r="B2932" s="1462" t="s">
        <v>7350</v>
      </c>
      <c r="C2932" s="1566"/>
      <c r="D2932" s="1566"/>
      <c r="E2932" s="1566"/>
      <c r="F2932" s="1566"/>
      <c r="G2932" s="1566"/>
      <c r="H2932" s="1567"/>
      <c r="I2932" s="1566"/>
      <c r="J2932" s="1566"/>
      <c r="K2932" s="1568"/>
      <c r="L2932" s="1568"/>
      <c r="M2932" s="1568"/>
      <c r="N2932" s="1568"/>
      <c r="O2932" s="1568"/>
      <c r="P2932" s="1568"/>
      <c r="Q2932" s="1568"/>
      <c r="R2932" s="1568"/>
      <c r="S2932" s="1568"/>
      <c r="T2932" s="1568"/>
      <c r="U2932" s="1568"/>
      <c r="V2932" s="1568"/>
      <c r="W2932" s="1568"/>
      <c r="X2932" s="1568"/>
      <c r="Y2932" s="1568"/>
      <c r="Z2932" s="1568"/>
      <c r="AA2932" s="1568"/>
      <c r="AB2932" s="1568"/>
      <c r="AC2932" s="1568"/>
      <c r="AD2932" s="1568"/>
      <c r="AE2932" s="1568"/>
      <c r="AF2932" s="1568"/>
      <c r="AG2932" s="1568"/>
    </row>
    <row r="2933" spans="1:33" ht="299.25">
      <c r="A2933" s="1566"/>
      <c r="B2933" s="1462" t="s">
        <v>7351</v>
      </c>
      <c r="C2933" s="1566"/>
      <c r="D2933" s="1566"/>
      <c r="E2933" s="1566"/>
      <c r="F2933" s="1566"/>
      <c r="G2933" s="1566"/>
      <c r="H2933" s="1567"/>
      <c r="I2933" s="1566"/>
      <c r="J2933" s="1566"/>
      <c r="K2933" s="1568"/>
      <c r="L2933" s="1568"/>
      <c r="M2933" s="1568"/>
      <c r="N2933" s="1568"/>
      <c r="O2933" s="1568"/>
      <c r="P2933" s="1568"/>
      <c r="Q2933" s="1568"/>
      <c r="R2933" s="1568"/>
      <c r="S2933" s="1568"/>
      <c r="T2933" s="1568"/>
      <c r="U2933" s="1568"/>
      <c r="V2933" s="1568"/>
      <c r="W2933" s="1568"/>
      <c r="X2933" s="1568"/>
      <c r="Y2933" s="1568"/>
      <c r="Z2933" s="1568"/>
      <c r="AA2933" s="1568"/>
      <c r="AB2933" s="1568"/>
      <c r="AC2933" s="1568"/>
      <c r="AD2933" s="1568"/>
      <c r="AE2933" s="1568"/>
      <c r="AF2933" s="1568"/>
      <c r="AG2933" s="1568"/>
    </row>
    <row r="2934" spans="1:33">
      <c r="A2934" s="1566"/>
      <c r="B2934" s="1462" t="s">
        <v>7352</v>
      </c>
      <c r="C2934" s="1484">
        <v>1</v>
      </c>
      <c r="D2934" s="1484" t="s">
        <v>3364</v>
      </c>
      <c r="E2934" s="1484">
        <v>1</v>
      </c>
      <c r="F2934" s="1446"/>
      <c r="G2934" s="1446"/>
      <c r="H2934" s="1447"/>
      <c r="I2934" s="1494">
        <f>PRODUCT(C2934:H2934)</f>
        <v>1</v>
      </c>
      <c r="J2934" s="1475" t="s">
        <v>3471</v>
      </c>
      <c r="K2934" s="1568"/>
      <c r="L2934" s="1568"/>
      <c r="M2934" s="1568"/>
      <c r="N2934" s="1568"/>
      <c r="O2934" s="1568"/>
      <c r="P2934" s="1568"/>
      <c r="Q2934" s="1568"/>
      <c r="R2934" s="1568"/>
      <c r="S2934" s="1568"/>
      <c r="T2934" s="1568"/>
      <c r="U2934" s="1568"/>
      <c r="V2934" s="1568"/>
      <c r="W2934" s="1568"/>
      <c r="X2934" s="1568"/>
      <c r="Y2934" s="1568"/>
      <c r="Z2934" s="1568"/>
      <c r="AA2934" s="1568"/>
      <c r="AB2934" s="1568"/>
      <c r="AC2934" s="1568"/>
      <c r="AD2934" s="1568"/>
      <c r="AE2934" s="1568"/>
      <c r="AF2934" s="1568"/>
      <c r="AG2934" s="1568"/>
    </row>
    <row r="2935" spans="1:33" ht="236.25">
      <c r="A2935" s="1566"/>
      <c r="B2935" s="1462" t="s">
        <v>7353</v>
      </c>
      <c r="C2935" s="1566"/>
      <c r="D2935" s="1566"/>
      <c r="E2935" s="1566"/>
      <c r="F2935" s="1566"/>
      <c r="G2935" s="1566"/>
      <c r="H2935" s="1567"/>
      <c r="I2935" s="1566"/>
      <c r="J2935" s="1566"/>
      <c r="K2935" s="1568"/>
      <c r="L2935" s="1568"/>
      <c r="M2935" s="1568"/>
      <c r="N2935" s="1568"/>
      <c r="O2935" s="1568"/>
      <c r="P2935" s="1568"/>
      <c r="Q2935" s="1568"/>
      <c r="R2935" s="1568"/>
      <c r="S2935" s="1568"/>
      <c r="T2935" s="1568"/>
      <c r="U2935" s="1568"/>
      <c r="V2935" s="1568"/>
      <c r="W2935" s="1568"/>
      <c r="X2935" s="1568"/>
      <c r="Y2935" s="1568"/>
      <c r="Z2935" s="1568"/>
      <c r="AA2935" s="1568"/>
      <c r="AB2935" s="1568"/>
      <c r="AC2935" s="1568"/>
      <c r="AD2935" s="1568"/>
      <c r="AE2935" s="1568"/>
      <c r="AF2935" s="1568"/>
      <c r="AG2935" s="1568"/>
    </row>
    <row r="2936" spans="1:33" ht="15.75" customHeight="1">
      <c r="A2936" s="1566"/>
      <c r="B2936" s="1450" t="s">
        <v>7354</v>
      </c>
      <c r="C2936" s="1484">
        <v>5</v>
      </c>
      <c r="D2936" s="1484" t="s">
        <v>3364</v>
      </c>
      <c r="E2936" s="1484">
        <v>2</v>
      </c>
      <c r="F2936" s="1446"/>
      <c r="G2936" s="1446"/>
      <c r="H2936" s="1447"/>
      <c r="I2936" s="1494">
        <f>PRODUCT(C2936:H2936)</f>
        <v>10</v>
      </c>
      <c r="J2936" s="1475" t="s">
        <v>3471</v>
      </c>
      <c r="K2936" s="1568"/>
      <c r="L2936" s="1568"/>
      <c r="M2936" s="1568"/>
      <c r="N2936" s="1568"/>
      <c r="O2936" s="1568"/>
      <c r="P2936" s="1568"/>
      <c r="Q2936" s="1568"/>
      <c r="R2936" s="1568"/>
      <c r="S2936" s="1568"/>
      <c r="T2936" s="1568"/>
      <c r="U2936" s="1568"/>
      <c r="V2936" s="1568"/>
      <c r="W2936" s="1568"/>
      <c r="X2936" s="1568"/>
      <c r="Y2936" s="1568"/>
      <c r="Z2936" s="1568"/>
      <c r="AA2936" s="1568"/>
      <c r="AB2936" s="1568"/>
      <c r="AC2936" s="1568"/>
      <c r="AD2936" s="1568"/>
      <c r="AE2936" s="1568"/>
      <c r="AF2936" s="1568"/>
      <c r="AG2936" s="1568"/>
    </row>
    <row r="2937" spans="1:33" ht="15.75" customHeight="1">
      <c r="A2937" s="1566"/>
      <c r="B2937" s="1450"/>
      <c r="C2937" s="1484"/>
      <c r="D2937" s="1484"/>
      <c r="E2937" s="1484"/>
      <c r="F2937" s="1446"/>
      <c r="G2937" s="1446"/>
      <c r="H2937" s="1447"/>
      <c r="I2937" s="1494"/>
      <c r="J2937" s="1475"/>
      <c r="K2937" s="1568"/>
      <c r="L2937" s="1568"/>
      <c r="M2937" s="1568"/>
      <c r="N2937" s="1568"/>
      <c r="O2937" s="1568"/>
      <c r="P2937" s="1568"/>
      <c r="Q2937" s="1568"/>
      <c r="R2937" s="1568"/>
      <c r="S2937" s="1568"/>
      <c r="T2937" s="1568"/>
      <c r="U2937" s="1568"/>
      <c r="V2937" s="1568"/>
      <c r="W2937" s="1568"/>
      <c r="X2937" s="1568"/>
      <c r="Y2937" s="1568"/>
      <c r="Z2937" s="1568"/>
      <c r="AA2937" s="1568"/>
      <c r="AB2937" s="1568"/>
      <c r="AC2937" s="1568"/>
      <c r="AD2937" s="1568"/>
      <c r="AE2937" s="1568"/>
      <c r="AF2937" s="1568"/>
      <c r="AG2937" s="1568"/>
    </row>
    <row r="2938" spans="1:33" ht="31.5">
      <c r="A2938" s="1566"/>
      <c r="B2938" s="1462" t="s">
        <v>5776</v>
      </c>
      <c r="C2938" s="1484"/>
      <c r="D2938" s="1484"/>
      <c r="E2938" s="1484"/>
      <c r="F2938" s="1446"/>
      <c r="G2938" s="1446"/>
      <c r="H2938" s="1447"/>
      <c r="I2938" s="1494"/>
      <c r="J2938" s="1475"/>
      <c r="K2938" s="1568"/>
      <c r="L2938" s="1568"/>
      <c r="M2938" s="1568"/>
      <c r="N2938" s="1568"/>
      <c r="O2938" s="1568"/>
      <c r="P2938" s="1568"/>
      <c r="Q2938" s="1568"/>
      <c r="R2938" s="1568"/>
      <c r="S2938" s="1568"/>
      <c r="T2938" s="1568"/>
      <c r="U2938" s="1568"/>
      <c r="V2938" s="1568"/>
      <c r="W2938" s="1568"/>
      <c r="X2938" s="1568"/>
      <c r="Y2938" s="1568"/>
      <c r="Z2938" s="1568"/>
      <c r="AA2938" s="1568"/>
      <c r="AB2938" s="1568"/>
      <c r="AC2938" s="1568"/>
      <c r="AD2938" s="1568"/>
      <c r="AE2938" s="1568"/>
      <c r="AF2938" s="1568"/>
      <c r="AG2938" s="1568"/>
    </row>
    <row r="2939" spans="1:33">
      <c r="A2939" s="1566"/>
      <c r="B2939" s="1487" t="s">
        <v>6894</v>
      </c>
      <c r="C2939" s="1484">
        <v>2</v>
      </c>
      <c r="D2939" s="1488" t="s">
        <v>3364</v>
      </c>
      <c r="E2939" s="1484">
        <v>5</v>
      </c>
      <c r="F2939" s="1446"/>
      <c r="G2939" s="1446"/>
      <c r="H2939" s="1447"/>
      <c r="I2939" s="1494">
        <f>PRODUCT(C2939:H2939)</f>
        <v>10</v>
      </c>
      <c r="J2939" s="1475" t="s">
        <v>3471</v>
      </c>
      <c r="K2939" s="1568"/>
      <c r="L2939" s="1568"/>
      <c r="M2939" s="1568"/>
      <c r="N2939" s="1568"/>
      <c r="O2939" s="1568"/>
      <c r="P2939" s="1568"/>
      <c r="Q2939" s="1568"/>
      <c r="R2939" s="1568"/>
      <c r="S2939" s="1568"/>
      <c r="T2939" s="1568"/>
      <c r="U2939" s="1568"/>
      <c r="V2939" s="1568"/>
      <c r="W2939" s="1568"/>
      <c r="X2939" s="1568"/>
      <c r="Y2939" s="1568"/>
      <c r="Z2939" s="1568"/>
      <c r="AA2939" s="1568"/>
      <c r="AB2939" s="1568"/>
      <c r="AC2939" s="1568"/>
      <c r="AD2939" s="1568"/>
      <c r="AE2939" s="1568"/>
      <c r="AF2939" s="1568"/>
      <c r="AG2939" s="1568"/>
    </row>
    <row r="2940" spans="1:33">
      <c r="A2940" s="1566"/>
      <c r="B2940" s="1462"/>
      <c r="C2940" s="1484"/>
      <c r="D2940" s="1484"/>
      <c r="E2940" s="1484"/>
      <c r="F2940" s="1446"/>
      <c r="G2940" s="1446"/>
      <c r="H2940" s="1447"/>
      <c r="I2940" s="1494"/>
      <c r="J2940" s="1475"/>
      <c r="K2940" s="1568"/>
      <c r="L2940" s="1568"/>
      <c r="M2940" s="1568"/>
      <c r="N2940" s="1568"/>
      <c r="O2940" s="1568"/>
      <c r="P2940" s="1568"/>
      <c r="Q2940" s="1568"/>
      <c r="R2940" s="1568"/>
      <c r="S2940" s="1568"/>
      <c r="T2940" s="1568"/>
      <c r="U2940" s="1568"/>
      <c r="V2940" s="1568"/>
      <c r="W2940" s="1568"/>
      <c r="X2940" s="1568"/>
      <c r="Y2940" s="1568"/>
      <c r="Z2940" s="1568"/>
      <c r="AA2940" s="1568"/>
      <c r="AB2940" s="1568"/>
      <c r="AC2940" s="1568"/>
      <c r="AD2940" s="1568"/>
      <c r="AE2940" s="1568"/>
      <c r="AF2940" s="1568"/>
      <c r="AG2940" s="1568"/>
    </row>
    <row r="2941" spans="1:33" ht="31.5">
      <c r="A2941" s="1566"/>
      <c r="B2941" s="1462" t="s">
        <v>5777</v>
      </c>
      <c r="C2941" s="1484"/>
      <c r="D2941" s="1484"/>
      <c r="E2941" s="1484"/>
      <c r="F2941" s="1446"/>
      <c r="G2941" s="1446"/>
      <c r="H2941" s="1447"/>
      <c r="I2941" s="1494"/>
      <c r="J2941" s="1475"/>
      <c r="K2941" s="1568"/>
      <c r="L2941" s="1568"/>
      <c r="M2941" s="1568"/>
      <c r="N2941" s="1568"/>
      <c r="O2941" s="1568"/>
      <c r="P2941" s="1568"/>
      <c r="Q2941" s="1568"/>
      <c r="R2941" s="1568"/>
      <c r="S2941" s="1568"/>
      <c r="T2941" s="1568"/>
      <c r="U2941" s="1568"/>
      <c r="V2941" s="1568"/>
      <c r="W2941" s="1568"/>
      <c r="X2941" s="1568"/>
      <c r="Y2941" s="1568"/>
      <c r="Z2941" s="1568"/>
      <c r="AA2941" s="1568"/>
      <c r="AB2941" s="1568"/>
      <c r="AC2941" s="1568"/>
      <c r="AD2941" s="1568"/>
      <c r="AE2941" s="1568"/>
      <c r="AF2941" s="1568"/>
      <c r="AG2941" s="1568"/>
    </row>
    <row r="2942" spans="1:33">
      <c r="A2942" s="1566"/>
      <c r="B2942" s="1487" t="s">
        <v>6894</v>
      </c>
      <c r="C2942" s="1484">
        <v>2</v>
      </c>
      <c r="D2942" s="1488" t="s">
        <v>3364</v>
      </c>
      <c r="E2942" s="1484">
        <v>5</v>
      </c>
      <c r="F2942" s="1446"/>
      <c r="G2942" s="1446"/>
      <c r="H2942" s="1447"/>
      <c r="I2942" s="1494">
        <f>PRODUCT(C2942:H2942)</f>
        <v>10</v>
      </c>
      <c r="J2942" s="1475" t="s">
        <v>3471</v>
      </c>
      <c r="K2942" s="1568"/>
      <c r="L2942" s="1568"/>
      <c r="M2942" s="1568"/>
      <c r="N2942" s="1568"/>
      <c r="O2942" s="1568"/>
      <c r="P2942" s="1568"/>
      <c r="Q2942" s="1568"/>
      <c r="R2942" s="1568"/>
      <c r="S2942" s="1568"/>
      <c r="T2942" s="1568"/>
      <c r="U2942" s="1568"/>
      <c r="V2942" s="1568"/>
      <c r="W2942" s="1568"/>
      <c r="X2942" s="1568"/>
      <c r="Y2942" s="1568"/>
      <c r="Z2942" s="1568"/>
      <c r="AA2942" s="1568"/>
      <c r="AB2942" s="1568"/>
      <c r="AC2942" s="1568"/>
      <c r="AD2942" s="1568"/>
      <c r="AE2942" s="1568"/>
      <c r="AF2942" s="1568"/>
      <c r="AG2942" s="1568"/>
    </row>
    <row r="2943" spans="1:33" ht="15.75" customHeight="1">
      <c r="A2943" s="1470"/>
      <c r="B2943" s="1450"/>
      <c r="C2943" s="1484"/>
      <c r="D2943" s="1484"/>
      <c r="E2943" s="1484"/>
      <c r="F2943" s="1446"/>
      <c r="G2943" s="1446"/>
      <c r="H2943" s="1447"/>
      <c r="I2943" s="1448"/>
      <c r="J2943" s="1475"/>
      <c r="K2943" s="1439"/>
      <c r="L2943" s="1439"/>
      <c r="M2943" s="1439"/>
      <c r="N2943" s="1439"/>
      <c r="O2943" s="1439"/>
      <c r="P2943" s="1439"/>
      <c r="Q2943" s="1439"/>
      <c r="R2943" s="1439"/>
      <c r="S2943" s="1439"/>
      <c r="T2943" s="1439"/>
      <c r="U2943" s="1439"/>
      <c r="V2943" s="1439"/>
      <c r="W2943" s="1439"/>
      <c r="X2943" s="1439"/>
      <c r="Y2943" s="1439"/>
      <c r="Z2943" s="1439"/>
      <c r="AA2943" s="1439"/>
      <c r="AB2943" s="1439"/>
      <c r="AC2943" s="1439"/>
      <c r="AD2943" s="1439"/>
      <c r="AE2943" s="1439"/>
      <c r="AF2943" s="1439"/>
      <c r="AG2943" s="1439"/>
    </row>
    <row r="2944" spans="1:33" ht="31.5">
      <c r="A2944" s="1462"/>
      <c r="B2944" s="1462" t="s">
        <v>7355</v>
      </c>
      <c r="C2944" s="1577"/>
      <c r="D2944" s="1577"/>
      <c r="E2944" s="1577"/>
      <c r="F2944" s="1577"/>
      <c r="G2944" s="1577"/>
      <c r="H2944" s="1578"/>
      <c r="I2944" s="1577"/>
      <c r="J2944" s="1579"/>
      <c r="K2944" s="1439"/>
      <c r="L2944" s="1439"/>
      <c r="M2944" s="1439"/>
      <c r="N2944" s="1439"/>
      <c r="O2944" s="1439"/>
      <c r="P2944" s="1439"/>
      <c r="Q2944" s="1439"/>
      <c r="R2944" s="1439"/>
      <c r="S2944" s="1439"/>
      <c r="T2944" s="1439"/>
      <c r="U2944" s="1439"/>
      <c r="V2944" s="1439"/>
      <c r="W2944" s="1439"/>
      <c r="X2944" s="1439"/>
      <c r="Y2944" s="1439"/>
      <c r="Z2944" s="1439"/>
      <c r="AA2944" s="1439"/>
      <c r="AB2944" s="1439"/>
      <c r="AC2944" s="1439"/>
      <c r="AD2944" s="1439"/>
      <c r="AE2944" s="1439"/>
      <c r="AF2944" s="1439"/>
      <c r="AG2944" s="1439"/>
    </row>
    <row r="2945" spans="1:33" ht="15.75" customHeight="1">
      <c r="A2945" s="1462"/>
      <c r="B2945" s="1462" t="s">
        <v>3745</v>
      </c>
      <c r="C2945" s="1577">
        <v>1</v>
      </c>
      <c r="D2945" s="1577" t="s">
        <v>3364</v>
      </c>
      <c r="E2945" s="1577">
        <v>1</v>
      </c>
      <c r="F2945" s="1577"/>
      <c r="G2945" s="1577"/>
      <c r="H2945" s="1578"/>
      <c r="I2945" s="1578">
        <f>PRODUCT(C2945:H2945)</f>
        <v>1</v>
      </c>
      <c r="J2945" s="1526"/>
      <c r="K2945" s="1439"/>
      <c r="L2945" s="1439"/>
      <c r="M2945" s="1439"/>
      <c r="N2945" s="1439"/>
      <c r="O2945" s="1439"/>
      <c r="P2945" s="1439"/>
      <c r="Q2945" s="1439"/>
      <c r="R2945" s="1439"/>
      <c r="S2945" s="1439"/>
      <c r="T2945" s="1439"/>
      <c r="U2945" s="1439"/>
      <c r="V2945" s="1439"/>
      <c r="W2945" s="1439"/>
      <c r="X2945" s="1439"/>
      <c r="Y2945" s="1439"/>
      <c r="Z2945" s="1439"/>
      <c r="AA2945" s="1439"/>
      <c r="AB2945" s="1439"/>
      <c r="AC2945" s="1439"/>
      <c r="AD2945" s="1439"/>
      <c r="AE2945" s="1439"/>
      <c r="AF2945" s="1439"/>
      <c r="AG2945" s="1439"/>
    </row>
    <row r="2946" spans="1:33" ht="15.75" customHeight="1">
      <c r="A2946" s="1462"/>
      <c r="B2946" s="1462"/>
      <c r="C2946" s="1577"/>
      <c r="D2946" s="1577"/>
      <c r="E2946" s="1577"/>
      <c r="F2946" s="1577"/>
      <c r="G2946" s="1577"/>
      <c r="H2946" s="1578" t="s">
        <v>2981</v>
      </c>
      <c r="I2946" s="1578">
        <v>1</v>
      </c>
      <c r="J2946" s="1579" t="s">
        <v>41</v>
      </c>
      <c r="K2946" s="1439"/>
      <c r="L2946" s="1439"/>
      <c r="M2946" s="1439"/>
      <c r="N2946" s="1439"/>
      <c r="O2946" s="1439"/>
      <c r="P2946" s="1439"/>
      <c r="Q2946" s="1439"/>
      <c r="R2946" s="1439"/>
      <c r="S2946" s="1439"/>
      <c r="T2946" s="1439"/>
      <c r="U2946" s="1439"/>
      <c r="V2946" s="1439"/>
      <c r="W2946" s="1439"/>
      <c r="X2946" s="1439"/>
      <c r="Y2946" s="1439"/>
      <c r="Z2946" s="1439"/>
      <c r="AA2946" s="1439"/>
      <c r="AB2946" s="1439"/>
      <c r="AC2946" s="1439"/>
      <c r="AD2946" s="1439"/>
      <c r="AE2946" s="1439"/>
      <c r="AF2946" s="1439"/>
      <c r="AG2946" s="1439"/>
    </row>
    <row r="2947" spans="1:33" ht="31.5">
      <c r="A2947" s="1580"/>
      <c r="B2947" s="1561" t="s">
        <v>7356</v>
      </c>
      <c r="C2947" s="1577"/>
      <c r="D2947" s="1577"/>
      <c r="E2947" s="1577"/>
      <c r="F2947" s="1581"/>
      <c r="G2947" s="1581"/>
      <c r="H2947" s="1578"/>
      <c r="I2947" s="1581"/>
      <c r="J2947" s="1581"/>
      <c r="K2947" s="1582"/>
      <c r="L2947" s="1582"/>
      <c r="M2947" s="1582"/>
      <c r="N2947" s="1582"/>
      <c r="O2947" s="1582"/>
      <c r="P2947" s="1582"/>
      <c r="Q2947" s="1582"/>
      <c r="R2947" s="1582"/>
      <c r="S2947" s="1582"/>
      <c r="T2947" s="1582"/>
      <c r="U2947" s="1582"/>
      <c r="V2947" s="1582"/>
      <c r="W2947" s="1582"/>
      <c r="X2947" s="1582"/>
      <c r="Y2947" s="1582"/>
      <c r="Z2947" s="1582"/>
      <c r="AA2947" s="1582"/>
      <c r="AB2947" s="1582"/>
      <c r="AC2947" s="1582"/>
      <c r="AD2947" s="1582"/>
      <c r="AE2947" s="1582"/>
      <c r="AF2947" s="1582"/>
      <c r="AG2947" s="1582"/>
    </row>
    <row r="2948" spans="1:33" ht="15.75" customHeight="1">
      <c r="A2948" s="1580"/>
      <c r="B2948" s="1561" t="s">
        <v>3751</v>
      </c>
      <c r="C2948" s="1577">
        <v>1</v>
      </c>
      <c r="D2948" s="1577" t="s">
        <v>3364</v>
      </c>
      <c r="E2948" s="1577">
        <v>25</v>
      </c>
      <c r="F2948" s="1581"/>
      <c r="G2948" s="1581"/>
      <c r="H2948" s="1578"/>
      <c r="I2948" s="1581">
        <f>PRODUCT(C2948:H2948)</f>
        <v>25</v>
      </c>
      <c r="J2948" s="1581"/>
      <c r="K2948" s="1582"/>
      <c r="L2948" s="1582"/>
      <c r="M2948" s="1582"/>
      <c r="N2948" s="1582"/>
      <c r="O2948" s="1582"/>
      <c r="P2948" s="1582"/>
      <c r="Q2948" s="1582"/>
      <c r="R2948" s="1582"/>
      <c r="S2948" s="1582"/>
      <c r="T2948" s="1582"/>
      <c r="U2948" s="1582"/>
      <c r="V2948" s="1582"/>
      <c r="W2948" s="1582"/>
      <c r="X2948" s="1582"/>
      <c r="Y2948" s="1582"/>
      <c r="Z2948" s="1582"/>
      <c r="AA2948" s="1582"/>
      <c r="AB2948" s="1582"/>
      <c r="AC2948" s="1582"/>
      <c r="AD2948" s="1582"/>
      <c r="AE2948" s="1582"/>
      <c r="AF2948" s="1582"/>
      <c r="AG2948" s="1582"/>
    </row>
    <row r="2949" spans="1:33" ht="15.75" customHeight="1">
      <c r="A2949" s="1580"/>
      <c r="B2949" s="1561"/>
      <c r="C2949" s="1577"/>
      <c r="D2949" s="1577"/>
      <c r="E2949" s="1577"/>
      <c r="F2949" s="1581"/>
      <c r="G2949" s="1581"/>
      <c r="H2949" s="1578"/>
      <c r="I2949" s="1581">
        <f>SUM(I2948)</f>
        <v>25</v>
      </c>
      <c r="J2949" s="1581" t="s">
        <v>41</v>
      </c>
      <c r="K2949" s="1582"/>
      <c r="L2949" s="1582"/>
      <c r="M2949" s="1582"/>
      <c r="N2949" s="1582"/>
      <c r="O2949" s="1582"/>
      <c r="P2949" s="1582"/>
      <c r="Q2949" s="1582"/>
      <c r="R2949" s="1582"/>
      <c r="S2949" s="1582"/>
      <c r="T2949" s="1582"/>
      <c r="U2949" s="1582"/>
      <c r="V2949" s="1582"/>
      <c r="W2949" s="1582"/>
      <c r="X2949" s="1582"/>
      <c r="Y2949" s="1582"/>
      <c r="Z2949" s="1582"/>
      <c r="AA2949" s="1582"/>
      <c r="AB2949" s="1582"/>
      <c r="AC2949" s="1582"/>
      <c r="AD2949" s="1582"/>
      <c r="AE2949" s="1582"/>
      <c r="AF2949" s="1582"/>
      <c r="AG2949" s="1582"/>
    </row>
    <row r="2950" spans="1:33">
      <c r="A2950" s="1580"/>
      <c r="B2950" s="1561" t="s">
        <v>7357</v>
      </c>
      <c r="C2950" s="1577"/>
      <c r="D2950" s="1577"/>
      <c r="E2950" s="1577"/>
      <c r="F2950" s="1581"/>
      <c r="G2950" s="1581"/>
      <c r="H2950" s="1578"/>
      <c r="I2950" s="1581"/>
      <c r="J2950" s="1581"/>
      <c r="K2950" s="1582"/>
      <c r="L2950" s="1582"/>
      <c r="M2950" s="1582"/>
      <c r="N2950" s="1582"/>
      <c r="O2950" s="1582"/>
      <c r="P2950" s="1582"/>
      <c r="Q2950" s="1582"/>
      <c r="R2950" s="1582"/>
      <c r="S2950" s="1582"/>
      <c r="T2950" s="1582"/>
      <c r="U2950" s="1582"/>
      <c r="V2950" s="1582"/>
      <c r="W2950" s="1582"/>
      <c r="X2950" s="1582"/>
      <c r="Y2950" s="1582"/>
      <c r="Z2950" s="1582"/>
      <c r="AA2950" s="1582"/>
      <c r="AB2950" s="1582"/>
      <c r="AC2950" s="1582"/>
      <c r="AD2950" s="1582"/>
      <c r="AE2950" s="1582"/>
      <c r="AF2950" s="1582"/>
      <c r="AG2950" s="1582"/>
    </row>
    <row r="2951" spans="1:33" ht="15.75" customHeight="1">
      <c r="A2951" s="1580"/>
      <c r="B2951" s="1561" t="s">
        <v>3751</v>
      </c>
      <c r="C2951" s="1577">
        <v>2</v>
      </c>
      <c r="D2951" s="1577" t="s">
        <v>3364</v>
      </c>
      <c r="E2951" s="1577">
        <f>Joineries!K20</f>
        <v>29</v>
      </c>
      <c r="F2951" s="1581"/>
      <c r="G2951" s="1581"/>
      <c r="H2951" s="1578"/>
      <c r="I2951" s="1581">
        <f>PRODUCT(C2951:H2951)</f>
        <v>58</v>
      </c>
      <c r="J2951" s="1581"/>
      <c r="K2951" s="1582"/>
      <c r="L2951" s="1582"/>
      <c r="M2951" s="1582"/>
      <c r="N2951" s="1582"/>
      <c r="O2951" s="1582"/>
      <c r="P2951" s="1582"/>
      <c r="Q2951" s="1582"/>
      <c r="R2951" s="1582"/>
      <c r="S2951" s="1582"/>
      <c r="T2951" s="1582"/>
      <c r="U2951" s="1582"/>
      <c r="V2951" s="1582"/>
      <c r="W2951" s="1582"/>
      <c r="X2951" s="1582"/>
      <c r="Y2951" s="1582"/>
      <c r="Z2951" s="1582"/>
      <c r="AA2951" s="1582"/>
      <c r="AB2951" s="1582"/>
      <c r="AC2951" s="1582"/>
      <c r="AD2951" s="1582"/>
      <c r="AE2951" s="1582"/>
      <c r="AF2951" s="1582"/>
      <c r="AG2951" s="1582"/>
    </row>
    <row r="2952" spans="1:33" ht="15.75" customHeight="1">
      <c r="A2952" s="1580"/>
      <c r="B2952" s="1561"/>
      <c r="C2952" s="1577"/>
      <c r="D2952" s="1577"/>
      <c r="E2952" s="1577"/>
      <c r="F2952" s="1581"/>
      <c r="G2952" s="1581"/>
      <c r="H2952" s="1578"/>
      <c r="I2952" s="1581">
        <f>SUM(I2951)</f>
        <v>58</v>
      </c>
      <c r="J2952" s="1581" t="s">
        <v>41</v>
      </c>
      <c r="K2952" s="1582"/>
      <c r="L2952" s="1582"/>
      <c r="M2952" s="1582"/>
      <c r="N2952" s="1582"/>
      <c r="O2952" s="1582"/>
      <c r="P2952" s="1582"/>
      <c r="Q2952" s="1582"/>
      <c r="R2952" s="1582"/>
      <c r="S2952" s="1582"/>
      <c r="T2952" s="1582"/>
      <c r="U2952" s="1582"/>
      <c r="V2952" s="1582"/>
      <c r="W2952" s="1582"/>
      <c r="X2952" s="1582"/>
      <c r="Y2952" s="1582"/>
      <c r="Z2952" s="1582"/>
      <c r="AA2952" s="1582"/>
      <c r="AB2952" s="1582"/>
      <c r="AC2952" s="1582"/>
      <c r="AD2952" s="1582"/>
      <c r="AE2952" s="1582"/>
      <c r="AF2952" s="1582"/>
      <c r="AG2952" s="1582"/>
    </row>
    <row r="2953" spans="1:33">
      <c r="A2953" s="1580"/>
      <c r="B2953" s="1561" t="s">
        <v>7358</v>
      </c>
      <c r="C2953" s="1577"/>
      <c r="D2953" s="1577"/>
      <c r="E2953" s="1577"/>
      <c r="F2953" s="1581"/>
      <c r="G2953" s="1581"/>
      <c r="H2953" s="1578"/>
      <c r="I2953" s="1581"/>
      <c r="J2953" s="1581"/>
      <c r="K2953" s="1582"/>
      <c r="L2953" s="1582"/>
      <c r="M2953" s="1582"/>
      <c r="N2953" s="1582"/>
      <c r="O2953" s="1582"/>
      <c r="P2953" s="1582"/>
      <c r="Q2953" s="1582"/>
      <c r="R2953" s="1582"/>
      <c r="S2953" s="1582"/>
      <c r="T2953" s="1582"/>
      <c r="U2953" s="1582"/>
      <c r="V2953" s="1582"/>
      <c r="W2953" s="1582"/>
      <c r="X2953" s="1582"/>
      <c r="Y2953" s="1582"/>
      <c r="Z2953" s="1582"/>
      <c r="AA2953" s="1582"/>
      <c r="AB2953" s="1582"/>
      <c r="AC2953" s="1582"/>
      <c r="AD2953" s="1582"/>
      <c r="AE2953" s="1582"/>
      <c r="AF2953" s="1582"/>
      <c r="AG2953" s="1582"/>
    </row>
    <row r="2954" spans="1:33" ht="15.75" customHeight="1">
      <c r="A2954" s="1580"/>
      <c r="B2954" s="1561" t="s">
        <v>3751</v>
      </c>
      <c r="C2954" s="1577">
        <v>2</v>
      </c>
      <c r="D2954" s="1577" t="s">
        <v>3364</v>
      </c>
      <c r="E2954" s="1577">
        <v>22</v>
      </c>
      <c r="F2954" s="1581"/>
      <c r="G2954" s="1581"/>
      <c r="H2954" s="1578"/>
      <c r="I2954" s="1581">
        <f>PRODUCT(C2954:H2954)</f>
        <v>44</v>
      </c>
      <c r="J2954" s="1581"/>
      <c r="K2954" s="1583"/>
      <c r="L2954" s="1583"/>
      <c r="M2954" s="1583"/>
      <c r="N2954" s="1583"/>
      <c r="O2954" s="1583"/>
      <c r="P2954" s="1583"/>
      <c r="Q2954" s="1583"/>
      <c r="R2954" s="1583"/>
      <c r="S2954" s="1583"/>
      <c r="T2954" s="1583"/>
      <c r="U2954" s="1583"/>
      <c r="V2954" s="1583"/>
      <c r="W2954" s="1583"/>
      <c r="X2954" s="1583"/>
      <c r="Y2954" s="1583"/>
      <c r="Z2954" s="1583"/>
      <c r="AA2954" s="1583"/>
      <c r="AB2954" s="1583"/>
      <c r="AC2954" s="1583"/>
      <c r="AD2954" s="1583"/>
      <c r="AE2954" s="1583"/>
      <c r="AF2954" s="1583"/>
      <c r="AG2954" s="1583"/>
    </row>
    <row r="2955" spans="1:33" ht="31.5">
      <c r="A2955" s="1580"/>
      <c r="B2955" s="1584" t="s">
        <v>3749</v>
      </c>
      <c r="C2955" s="1577"/>
      <c r="D2955" s="1577"/>
      <c r="E2955" s="1577"/>
      <c r="F2955" s="1581"/>
      <c r="G2955" s="1581"/>
      <c r="H2955" s="1578"/>
      <c r="I2955" s="1581"/>
      <c r="J2955" s="1472"/>
      <c r="K2955" s="1582"/>
      <c r="L2955" s="1582"/>
      <c r="M2955" s="1582"/>
      <c r="N2955" s="1582"/>
      <c r="O2955" s="1582"/>
      <c r="P2955" s="1582"/>
      <c r="Q2955" s="1582"/>
      <c r="R2955" s="1582"/>
      <c r="S2955" s="1582"/>
      <c r="T2955" s="1582"/>
      <c r="U2955" s="1582"/>
      <c r="V2955" s="1582"/>
      <c r="W2955" s="1582"/>
      <c r="X2955" s="1582"/>
      <c r="Y2955" s="1582"/>
      <c r="Z2955" s="1582"/>
      <c r="AA2955" s="1582"/>
      <c r="AB2955" s="1582"/>
      <c r="AC2955" s="1582"/>
      <c r="AD2955" s="1582"/>
      <c r="AE2955" s="1582"/>
      <c r="AF2955" s="1582"/>
      <c r="AG2955" s="1582"/>
    </row>
    <row r="2956" spans="1:33" ht="15.75" customHeight="1">
      <c r="A2956" s="1580"/>
      <c r="B2956" s="1561" t="s">
        <v>3751</v>
      </c>
      <c r="C2956" s="1577">
        <v>1</v>
      </c>
      <c r="D2956" s="1577" t="s">
        <v>3364</v>
      </c>
      <c r="E2956" s="1577">
        <v>22</v>
      </c>
      <c r="F2956" s="1581"/>
      <c r="G2956" s="1581"/>
      <c r="H2956" s="1578"/>
      <c r="I2956" s="1581">
        <f>PRODUCT(C2956:H2956)</f>
        <v>22</v>
      </c>
      <c r="J2956" s="1581" t="s">
        <v>41</v>
      </c>
      <c r="K2956" s="1583"/>
      <c r="L2956" s="1583"/>
      <c r="M2956" s="1583"/>
      <c r="N2956" s="1583"/>
      <c r="O2956" s="1583"/>
      <c r="P2956" s="1583"/>
      <c r="Q2956" s="1583"/>
      <c r="R2956" s="1583"/>
      <c r="S2956" s="1583"/>
      <c r="T2956" s="1583"/>
      <c r="U2956" s="1583"/>
      <c r="V2956" s="1583"/>
      <c r="W2956" s="1583"/>
      <c r="X2956" s="1583"/>
      <c r="Y2956" s="1583"/>
      <c r="Z2956" s="1583"/>
      <c r="AA2956" s="1583"/>
      <c r="AB2956" s="1583"/>
      <c r="AC2956" s="1583"/>
      <c r="AD2956" s="1583"/>
      <c r="AE2956" s="1583"/>
      <c r="AF2956" s="1583"/>
      <c r="AG2956" s="1583"/>
    </row>
    <row r="2957" spans="1:33" ht="78.75">
      <c r="A2957" s="1580"/>
      <c r="B2957" s="1584" t="s">
        <v>3750</v>
      </c>
      <c r="C2957" s="1577"/>
      <c r="D2957" s="1577"/>
      <c r="E2957" s="1577"/>
      <c r="F2957" s="1581"/>
      <c r="G2957" s="1581"/>
      <c r="H2957" s="1578"/>
      <c r="I2957" s="1581"/>
      <c r="J2957" s="1472"/>
      <c r="K2957" s="1582"/>
      <c r="L2957" s="1582"/>
      <c r="M2957" s="1582"/>
      <c r="N2957" s="1582"/>
      <c r="O2957" s="1582"/>
      <c r="P2957" s="1582"/>
      <c r="Q2957" s="1582"/>
      <c r="R2957" s="1582"/>
      <c r="S2957" s="1582"/>
      <c r="T2957" s="1582"/>
      <c r="U2957" s="1582"/>
      <c r="V2957" s="1582"/>
      <c r="W2957" s="1582"/>
      <c r="X2957" s="1582"/>
      <c r="Y2957" s="1582"/>
      <c r="Z2957" s="1582"/>
      <c r="AA2957" s="1582"/>
      <c r="AB2957" s="1582"/>
      <c r="AC2957" s="1582"/>
      <c r="AD2957" s="1582"/>
      <c r="AE2957" s="1582"/>
      <c r="AF2957" s="1582"/>
      <c r="AG2957" s="1582"/>
    </row>
    <row r="2958" spans="1:33" ht="15.75" customHeight="1">
      <c r="A2958" s="1580"/>
      <c r="B2958" s="1561" t="s">
        <v>3751</v>
      </c>
      <c r="C2958" s="1577">
        <v>2</v>
      </c>
      <c r="D2958" s="1577" t="s">
        <v>3364</v>
      </c>
      <c r="E2958" s="1577">
        <v>8</v>
      </c>
      <c r="F2958" s="1581"/>
      <c r="G2958" s="1581"/>
      <c r="H2958" s="1578"/>
      <c r="I2958" s="1581">
        <f>PRODUCT(C2958:H2958)</f>
        <v>16</v>
      </c>
      <c r="J2958" s="1581" t="s">
        <v>41</v>
      </c>
      <c r="K2958" s="1583"/>
      <c r="L2958" s="1583"/>
      <c r="M2958" s="1583"/>
      <c r="N2958" s="1583"/>
      <c r="O2958" s="1583"/>
      <c r="P2958" s="1583"/>
      <c r="Q2958" s="1583"/>
      <c r="R2958" s="1583"/>
      <c r="S2958" s="1583"/>
      <c r="T2958" s="1583"/>
      <c r="U2958" s="1583"/>
      <c r="V2958" s="1583"/>
      <c r="W2958" s="1583"/>
      <c r="X2958" s="1583"/>
      <c r="Y2958" s="1583"/>
      <c r="Z2958" s="1583"/>
      <c r="AA2958" s="1583"/>
      <c r="AB2958" s="1583"/>
      <c r="AC2958" s="1583"/>
      <c r="AD2958" s="1583"/>
      <c r="AE2958" s="1583"/>
      <c r="AF2958" s="1583"/>
      <c r="AG2958" s="1583"/>
    </row>
    <row r="2959" spans="1:33" ht="20.25">
      <c r="A2959" s="1451"/>
      <c r="B2959" s="1585" t="s">
        <v>7359</v>
      </c>
      <c r="C2959" s="1477"/>
      <c r="D2959" s="1477"/>
      <c r="E2959" s="1477"/>
      <c r="F2959" s="1478"/>
      <c r="G2959" s="1441"/>
      <c r="H2959" s="1500"/>
      <c r="I2959" s="1494"/>
      <c r="J2959" s="1501"/>
      <c r="K2959" s="1439"/>
      <c r="L2959" s="1439"/>
      <c r="M2959" s="1439"/>
      <c r="N2959" s="1439"/>
      <c r="O2959" s="1439"/>
      <c r="P2959" s="1439"/>
      <c r="Q2959" s="1439"/>
      <c r="R2959" s="1439"/>
      <c r="S2959" s="1439"/>
      <c r="T2959" s="1439"/>
      <c r="U2959" s="1439"/>
      <c r="V2959" s="1439"/>
      <c r="W2959" s="1439"/>
      <c r="X2959" s="1439"/>
      <c r="Y2959" s="1439"/>
      <c r="Z2959" s="1439"/>
      <c r="AA2959" s="1439"/>
      <c r="AB2959" s="1439"/>
      <c r="AC2959" s="1439"/>
      <c r="AD2959" s="1439"/>
      <c r="AE2959" s="1439"/>
      <c r="AF2959" s="1439"/>
      <c r="AG2959" s="1439"/>
    </row>
    <row r="2960" spans="1:33" ht="23.25" customHeight="1">
      <c r="A2960" s="1451"/>
      <c r="B2960" s="1450" t="s">
        <v>7360</v>
      </c>
      <c r="C2960" s="1477">
        <v>5</v>
      </c>
      <c r="D2960" s="1477" t="s">
        <v>3364</v>
      </c>
      <c r="E2960" s="1477">
        <v>2</v>
      </c>
      <c r="F2960" s="1478">
        <v>2.1</v>
      </c>
      <c r="G2960" s="1478"/>
      <c r="H2960" s="1500"/>
      <c r="I2960" s="1494">
        <f>PRODUCT(C2960:H2960)</f>
        <v>21</v>
      </c>
      <c r="J2960" s="1501"/>
      <c r="K2960" s="1439"/>
      <c r="L2960" s="1439">
        <v>1</v>
      </c>
      <c r="M2960" s="1439"/>
      <c r="N2960" s="1439"/>
      <c r="O2960" s="1439"/>
      <c r="P2960" s="1439"/>
      <c r="Q2960" s="1439"/>
      <c r="R2960" s="1439"/>
      <c r="S2960" s="1439"/>
      <c r="T2960" s="1439"/>
      <c r="U2960" s="1439"/>
      <c r="V2960" s="1439"/>
      <c r="W2960" s="1439"/>
      <c r="X2960" s="1439"/>
      <c r="Y2960" s="1439"/>
      <c r="Z2960" s="1439"/>
      <c r="AA2960" s="1439"/>
      <c r="AB2960" s="1439"/>
      <c r="AC2960" s="1439"/>
      <c r="AD2960" s="1439"/>
      <c r="AE2960" s="1439"/>
      <c r="AF2960" s="1439"/>
      <c r="AG2960" s="1439"/>
    </row>
    <row r="2961" spans="1:33" ht="23.25" customHeight="1">
      <c r="A2961" s="1451"/>
      <c r="B2961" s="1450" t="s">
        <v>7189</v>
      </c>
      <c r="C2961" s="1477">
        <v>31</v>
      </c>
      <c r="D2961" s="1477" t="s">
        <v>3364</v>
      </c>
      <c r="E2961" s="1477">
        <v>2</v>
      </c>
      <c r="F2961" s="1478">
        <v>1.5</v>
      </c>
      <c r="G2961" s="1478"/>
      <c r="H2961" s="1500"/>
      <c r="I2961" s="1494">
        <f>PRODUCT(C2961:H2961)</f>
        <v>93</v>
      </c>
      <c r="J2961" s="1501"/>
      <c r="K2961" s="1439"/>
      <c r="L2961" s="1439">
        <v>1</v>
      </c>
      <c r="M2961" s="1439"/>
      <c r="N2961" s="1439"/>
      <c r="O2961" s="1439"/>
      <c r="P2961" s="1439"/>
      <c r="Q2961" s="1439"/>
      <c r="R2961" s="1439"/>
      <c r="S2961" s="1439"/>
      <c r="T2961" s="1439"/>
      <c r="U2961" s="1439"/>
      <c r="V2961" s="1439"/>
      <c r="W2961" s="1439"/>
      <c r="X2961" s="1439"/>
      <c r="Y2961" s="1439"/>
      <c r="Z2961" s="1439"/>
      <c r="AA2961" s="1439"/>
      <c r="AB2961" s="1439"/>
      <c r="AC2961" s="1439"/>
      <c r="AD2961" s="1439"/>
      <c r="AE2961" s="1439"/>
      <c r="AF2961" s="1439"/>
      <c r="AG2961" s="1439"/>
    </row>
    <row r="2962" spans="1:33" ht="23.25" customHeight="1">
      <c r="A2962" s="1451"/>
      <c r="B2962" s="1450"/>
      <c r="C2962" s="1477"/>
      <c r="D2962" s="1477"/>
      <c r="E2962" s="1477"/>
      <c r="F2962" s="1478"/>
      <c r="G2962" s="1478"/>
      <c r="H2962" s="1500"/>
      <c r="I2962" s="1494">
        <f>SUM(I2960:I2961)</f>
        <v>114</v>
      </c>
      <c r="J2962" s="1501"/>
      <c r="K2962" s="1439"/>
      <c r="L2962" s="1439"/>
      <c r="M2962" s="1439"/>
      <c r="N2962" s="1439"/>
      <c r="O2962" s="1439"/>
      <c r="P2962" s="1439"/>
      <c r="Q2962" s="1439"/>
      <c r="R2962" s="1439"/>
      <c r="S2962" s="1439"/>
      <c r="T2962" s="1439"/>
      <c r="U2962" s="1439"/>
      <c r="V2962" s="1439"/>
      <c r="W2962" s="1439"/>
      <c r="X2962" s="1439"/>
      <c r="Y2962" s="1439"/>
      <c r="Z2962" s="1439"/>
      <c r="AA2962" s="1439"/>
      <c r="AB2962" s="1439"/>
      <c r="AC2962" s="1439"/>
      <c r="AD2962" s="1439"/>
      <c r="AE2962" s="1439"/>
      <c r="AF2962" s="1439"/>
      <c r="AG2962" s="1439"/>
    </row>
    <row r="2963" spans="1:33" ht="23.25" customHeight="1">
      <c r="A2963" s="1451"/>
      <c r="B2963" s="1450"/>
      <c r="C2963" s="1477"/>
      <c r="D2963" s="1477"/>
      <c r="E2963" s="1477"/>
      <c r="F2963" s="1478"/>
      <c r="G2963" s="1478"/>
      <c r="H2963" s="1442" t="s">
        <v>3473</v>
      </c>
      <c r="I2963" s="1479">
        <f>I2962</f>
        <v>114</v>
      </c>
      <c r="J2963" s="1554" t="s">
        <v>4880</v>
      </c>
      <c r="K2963" s="1439"/>
      <c r="L2963" s="1439"/>
      <c r="M2963" s="1439"/>
      <c r="N2963" s="1439"/>
      <c r="O2963" s="1439"/>
      <c r="P2963" s="1439"/>
      <c r="Q2963" s="1439"/>
      <c r="R2963" s="1439"/>
      <c r="S2963" s="1439"/>
      <c r="T2963" s="1439"/>
      <c r="U2963" s="1439"/>
      <c r="V2963" s="1439"/>
      <c r="W2963" s="1439"/>
      <c r="X2963" s="1439"/>
      <c r="Y2963" s="1439"/>
      <c r="Z2963" s="1439"/>
      <c r="AA2963" s="1439"/>
      <c r="AB2963" s="1439"/>
      <c r="AC2963" s="1439"/>
      <c r="AD2963" s="1439"/>
      <c r="AE2963" s="1439"/>
      <c r="AF2963" s="1439"/>
      <c r="AG2963" s="1439"/>
    </row>
    <row r="2964" spans="1:33" ht="141.75">
      <c r="A2964" s="1462">
        <v>1</v>
      </c>
      <c r="B2964" s="1561" t="s">
        <v>7361</v>
      </c>
      <c r="C2964" s="1586"/>
      <c r="D2964" s="1586"/>
      <c r="E2964" s="1586"/>
      <c r="F2964" s="1587"/>
      <c r="G2964" s="1587"/>
      <c r="H2964" s="1588"/>
      <c r="I2964" s="1587"/>
      <c r="J2964" s="1577"/>
      <c r="K2964" s="1439"/>
      <c r="L2964" s="1439"/>
      <c r="M2964" s="1439"/>
      <c r="N2964" s="1439"/>
      <c r="O2964" s="1439"/>
      <c r="P2964" s="1439"/>
      <c r="Q2964" s="1439"/>
      <c r="R2964" s="1439"/>
      <c r="S2964" s="1439"/>
      <c r="T2964" s="1439"/>
      <c r="U2964" s="1439"/>
      <c r="V2964" s="1439"/>
      <c r="W2964" s="1439"/>
      <c r="X2964" s="1439"/>
      <c r="Y2964" s="1439"/>
      <c r="Z2964" s="1439"/>
      <c r="AA2964" s="1439"/>
      <c r="AB2964" s="1439"/>
      <c r="AC2964" s="1439"/>
      <c r="AD2964" s="1439"/>
      <c r="AE2964" s="1439"/>
      <c r="AF2964" s="1439"/>
      <c r="AG2964" s="1439"/>
    </row>
    <row r="2965" spans="1:33" ht="15.75" customHeight="1">
      <c r="A2965" s="1462"/>
      <c r="B2965" s="1462" t="s">
        <v>3753</v>
      </c>
      <c r="C2965" s="1589">
        <v>1</v>
      </c>
      <c r="D2965" s="1589" t="s">
        <v>3364</v>
      </c>
      <c r="E2965" s="1589">
        <v>1</v>
      </c>
      <c r="F2965" s="1590"/>
      <c r="G2965" s="1590"/>
      <c r="H2965" s="1578"/>
      <c r="I2965" s="1590">
        <f>PRODUCT(C2965:H2965)</f>
        <v>1</v>
      </c>
      <c r="J2965" s="1577" t="s">
        <v>41</v>
      </c>
      <c r="K2965" s="1439"/>
      <c r="L2965" s="1439"/>
      <c r="M2965" s="1439"/>
      <c r="N2965" s="1439"/>
      <c r="O2965" s="1439"/>
      <c r="P2965" s="1439"/>
      <c r="Q2965" s="1439"/>
      <c r="R2965" s="1439"/>
      <c r="S2965" s="1439"/>
      <c r="T2965" s="1439"/>
      <c r="U2965" s="1439"/>
      <c r="V2965" s="1439"/>
      <c r="W2965" s="1439"/>
      <c r="X2965" s="1439"/>
      <c r="Y2965" s="1439"/>
      <c r="Z2965" s="1439"/>
      <c r="AA2965" s="1439"/>
      <c r="AB2965" s="1439"/>
      <c r="AC2965" s="1439"/>
      <c r="AD2965" s="1439"/>
      <c r="AE2965" s="1439"/>
      <c r="AF2965" s="1439"/>
      <c r="AG2965" s="1439"/>
    </row>
    <row r="2966" spans="1:33" ht="15.75" customHeight="1">
      <c r="A2966" s="1462"/>
      <c r="B2966" s="1462"/>
      <c r="C2966" s="1589"/>
      <c r="D2966" s="1589"/>
      <c r="E2966" s="1589"/>
      <c r="F2966" s="1590"/>
      <c r="G2966" s="1590"/>
      <c r="H2966" s="1578"/>
      <c r="I2966" s="1590"/>
      <c r="J2966" s="1577"/>
      <c r="K2966" s="1439"/>
      <c r="L2966" s="1439"/>
      <c r="M2966" s="1439"/>
      <c r="N2966" s="1439"/>
      <c r="O2966" s="1439"/>
      <c r="P2966" s="1439"/>
      <c r="Q2966" s="1439"/>
      <c r="R2966" s="1439"/>
      <c r="S2966" s="1439"/>
      <c r="T2966" s="1439"/>
      <c r="U2966" s="1439"/>
      <c r="V2966" s="1439"/>
      <c r="W2966" s="1439"/>
      <c r="X2966" s="1439"/>
      <c r="Y2966" s="1439"/>
      <c r="Z2966" s="1439"/>
      <c r="AA2966" s="1439"/>
      <c r="AB2966" s="1439"/>
      <c r="AC2966" s="1439"/>
      <c r="AD2966" s="1439"/>
      <c r="AE2966" s="1439"/>
      <c r="AF2966" s="1439"/>
      <c r="AG2966" s="1439"/>
    </row>
    <row r="2967" spans="1:33" ht="126">
      <c r="A2967" s="1462">
        <v>2</v>
      </c>
      <c r="B2967" s="1462" t="s">
        <v>7362</v>
      </c>
      <c r="C2967" s="1589"/>
      <c r="D2967" s="1589"/>
      <c r="E2967" s="1589"/>
      <c r="F2967" s="1590"/>
      <c r="G2967" s="1590"/>
      <c r="H2967" s="1578"/>
      <c r="I2967" s="1590"/>
      <c r="J2967" s="1577"/>
      <c r="K2967" s="1439"/>
      <c r="L2967" s="1439"/>
      <c r="M2967" s="1439"/>
      <c r="N2967" s="1439"/>
      <c r="O2967" s="1439"/>
      <c r="P2967" s="1439"/>
      <c r="Q2967" s="1439"/>
      <c r="R2967" s="1439"/>
      <c r="S2967" s="1439"/>
      <c r="T2967" s="1439"/>
      <c r="U2967" s="1439"/>
      <c r="V2967" s="1439"/>
      <c r="W2967" s="1439"/>
      <c r="X2967" s="1439"/>
      <c r="Y2967" s="1439"/>
      <c r="Z2967" s="1439"/>
      <c r="AA2967" s="1439"/>
      <c r="AB2967" s="1439"/>
      <c r="AC2967" s="1439"/>
      <c r="AD2967" s="1439"/>
      <c r="AE2967" s="1439"/>
      <c r="AF2967" s="1439"/>
      <c r="AG2967" s="1439"/>
    </row>
    <row r="2968" spans="1:33" ht="37.5" customHeight="1">
      <c r="A2968" s="1462"/>
      <c r="B2968" s="1591" t="s">
        <v>7363</v>
      </c>
      <c r="C2968" s="1589">
        <v>1</v>
      </c>
      <c r="D2968" s="1589" t="s">
        <v>3364</v>
      </c>
      <c r="E2968" s="1589">
        <v>20</v>
      </c>
      <c r="F2968" s="1590"/>
      <c r="G2968" s="1590"/>
      <c r="H2968" s="1578"/>
      <c r="I2968" s="1590">
        <f>PRODUCT(C2968:H2968)</f>
        <v>20</v>
      </c>
      <c r="J2968" s="1577" t="s">
        <v>41</v>
      </c>
      <c r="K2968" s="1439"/>
      <c r="L2968" s="1439"/>
      <c r="M2968" s="1439"/>
      <c r="N2968" s="1439"/>
      <c r="O2968" s="1439"/>
      <c r="P2968" s="1439"/>
      <c r="Q2968" s="1439"/>
      <c r="R2968" s="1439"/>
      <c r="S2968" s="1439"/>
      <c r="T2968" s="1439"/>
      <c r="U2968" s="1439"/>
      <c r="V2968" s="1439"/>
      <c r="W2968" s="1439"/>
      <c r="X2968" s="1439"/>
      <c r="Y2968" s="1439"/>
      <c r="Z2968" s="1439"/>
      <c r="AA2968" s="1439"/>
      <c r="AB2968" s="1439"/>
      <c r="AC2968" s="1439"/>
      <c r="AD2968" s="1439"/>
      <c r="AE2968" s="1439"/>
      <c r="AF2968" s="1439"/>
      <c r="AG2968" s="1439"/>
    </row>
    <row r="2969" spans="1:33" ht="15.75" customHeight="1">
      <c r="A2969" s="1462"/>
      <c r="B2969" s="1444"/>
      <c r="C2969" s="1589"/>
      <c r="D2969" s="1589"/>
      <c r="E2969" s="1589"/>
      <c r="F2969" s="1590"/>
      <c r="G2969" s="1590"/>
      <c r="H2969" s="1578"/>
      <c r="I2969" s="1590">
        <f>SUM(I2968)</f>
        <v>20</v>
      </c>
      <c r="J2969" s="1577"/>
      <c r="K2969" s="1439"/>
      <c r="L2969" s="1439"/>
      <c r="M2969" s="1439"/>
      <c r="N2969" s="1439"/>
      <c r="O2969" s="1439"/>
      <c r="P2969" s="1439"/>
      <c r="Q2969" s="1439"/>
      <c r="R2969" s="1439"/>
      <c r="S2969" s="1439"/>
      <c r="T2969" s="1439"/>
      <c r="U2969" s="1439"/>
      <c r="V2969" s="1439"/>
      <c r="W2969" s="1439"/>
      <c r="X2969" s="1439"/>
      <c r="Y2969" s="1439"/>
      <c r="Z2969" s="1439"/>
      <c r="AA2969" s="1439"/>
      <c r="AB2969" s="1439"/>
      <c r="AC2969" s="1439"/>
      <c r="AD2969" s="1439"/>
      <c r="AE2969" s="1439"/>
      <c r="AF2969" s="1439"/>
      <c r="AG2969" s="1439"/>
    </row>
    <row r="2970" spans="1:33" ht="31.5">
      <c r="A2970" s="1462">
        <v>3</v>
      </c>
      <c r="B2970" s="1444" t="s">
        <v>3754</v>
      </c>
      <c r="C2970" s="1589"/>
      <c r="D2970" s="1589"/>
      <c r="E2970" s="1589"/>
      <c r="F2970" s="1590"/>
      <c r="G2970" s="1590"/>
      <c r="H2970" s="1578"/>
      <c r="I2970" s="1590" t="str">
        <f>IF(E2970&gt;0,H2970*G2970*F2970*E2970*C2970,"")</f>
        <v/>
      </c>
      <c r="J2970" s="1577"/>
      <c r="K2970" s="1439"/>
      <c r="L2970" s="1439"/>
      <c r="M2970" s="1439"/>
      <c r="N2970" s="1439"/>
      <c r="O2970" s="1439"/>
      <c r="P2970" s="1439"/>
      <c r="Q2970" s="1439"/>
      <c r="R2970" s="1439"/>
      <c r="S2970" s="1439"/>
      <c r="T2970" s="1439"/>
      <c r="U2970" s="1439"/>
      <c r="V2970" s="1439"/>
      <c r="W2970" s="1439"/>
      <c r="X2970" s="1439"/>
      <c r="Y2970" s="1439"/>
      <c r="Z2970" s="1439"/>
      <c r="AA2970" s="1439"/>
      <c r="AB2970" s="1439"/>
      <c r="AC2970" s="1439"/>
      <c r="AD2970" s="1439"/>
      <c r="AE2970" s="1439"/>
      <c r="AF2970" s="1439"/>
      <c r="AG2970" s="1439"/>
    </row>
    <row r="2971" spans="1:33" ht="18" customHeight="1">
      <c r="A2971" s="1462"/>
      <c r="B2971" s="1592" t="s">
        <v>7364</v>
      </c>
      <c r="C2971" s="1589">
        <v>1</v>
      </c>
      <c r="D2971" s="1589" t="s">
        <v>3364</v>
      </c>
      <c r="E2971" s="1589">
        <v>12</v>
      </c>
      <c r="F2971" s="1590"/>
      <c r="G2971" s="1590"/>
      <c r="H2971" s="1578"/>
      <c r="I2971" s="1590">
        <f>PRODUCT(C2971:H2971)</f>
        <v>12</v>
      </c>
      <c r="J2971" s="1577"/>
      <c r="K2971" s="1439"/>
      <c r="L2971" s="1439"/>
      <c r="M2971" s="1439"/>
      <c r="N2971" s="1439"/>
      <c r="O2971" s="1439"/>
      <c r="P2971" s="1439"/>
      <c r="Q2971" s="1439"/>
      <c r="R2971" s="1439"/>
      <c r="S2971" s="1439"/>
      <c r="T2971" s="1439"/>
      <c r="U2971" s="1439"/>
      <c r="V2971" s="1439"/>
      <c r="W2971" s="1439"/>
      <c r="X2971" s="1439"/>
      <c r="Y2971" s="1439"/>
      <c r="Z2971" s="1439"/>
      <c r="AA2971" s="1439"/>
      <c r="AB2971" s="1439"/>
      <c r="AC2971" s="1439"/>
      <c r="AD2971" s="1439"/>
      <c r="AE2971" s="1439"/>
      <c r="AF2971" s="1439"/>
      <c r="AG2971" s="1439"/>
    </row>
    <row r="2972" spans="1:33" ht="15.75" customHeight="1">
      <c r="A2972" s="1462"/>
      <c r="B2972" s="1592"/>
      <c r="C2972" s="1589"/>
      <c r="D2972" s="1589"/>
      <c r="E2972" s="1589"/>
      <c r="F2972" s="1590"/>
      <c r="G2972" s="1590"/>
      <c r="H2972" s="1578" t="s">
        <v>104</v>
      </c>
      <c r="I2972" s="1590">
        <f>SUM(I2971)</f>
        <v>12</v>
      </c>
      <c r="J2972" s="1577" t="s">
        <v>41</v>
      </c>
      <c r="K2972" s="1439"/>
      <c r="L2972" s="1439"/>
      <c r="M2972" s="1439"/>
      <c r="N2972" s="1439"/>
      <c r="O2972" s="1439"/>
      <c r="P2972" s="1439"/>
      <c r="Q2972" s="1439"/>
      <c r="R2972" s="1439"/>
      <c r="S2972" s="1439"/>
      <c r="T2972" s="1439"/>
      <c r="U2972" s="1439"/>
      <c r="V2972" s="1439"/>
      <c r="W2972" s="1439"/>
      <c r="X2972" s="1439"/>
      <c r="Y2972" s="1439"/>
      <c r="Z2972" s="1439"/>
      <c r="AA2972" s="1439"/>
      <c r="AB2972" s="1439"/>
      <c r="AC2972" s="1439"/>
      <c r="AD2972" s="1439"/>
      <c r="AE2972" s="1439"/>
      <c r="AF2972" s="1439"/>
      <c r="AG2972" s="1439"/>
    </row>
    <row r="2973" spans="1:33" ht="31.5">
      <c r="A2973" s="1444">
        <v>4</v>
      </c>
      <c r="B2973" s="1444" t="s">
        <v>3755</v>
      </c>
      <c r="C2973" s="1589"/>
      <c r="D2973" s="1589"/>
      <c r="E2973" s="1589"/>
      <c r="F2973" s="1590"/>
      <c r="G2973" s="1590"/>
      <c r="H2973" s="1578"/>
      <c r="I2973" s="1590" t="str">
        <f>IF(E2973&gt;0,H2973*G2973*F2973*E2973*C2973,"")</f>
        <v/>
      </c>
      <c r="J2973" s="1577"/>
      <c r="K2973" s="1439"/>
      <c r="L2973" s="1439"/>
      <c r="M2973" s="1439"/>
      <c r="N2973" s="1439"/>
      <c r="O2973" s="1439"/>
      <c r="P2973" s="1439"/>
      <c r="Q2973" s="1439"/>
      <c r="R2973" s="1439"/>
      <c r="S2973" s="1439"/>
      <c r="T2973" s="1439"/>
      <c r="U2973" s="1439"/>
      <c r="V2973" s="1439"/>
      <c r="W2973" s="1439"/>
      <c r="X2973" s="1439"/>
      <c r="Y2973" s="1439"/>
      <c r="Z2973" s="1439"/>
      <c r="AA2973" s="1439"/>
      <c r="AB2973" s="1439"/>
      <c r="AC2973" s="1439"/>
      <c r="AD2973" s="1439"/>
      <c r="AE2973" s="1439"/>
      <c r="AF2973" s="1439"/>
      <c r="AG2973" s="1439"/>
    </row>
    <row r="2974" spans="1:33" ht="15.75" customHeight="1">
      <c r="A2974" s="1462"/>
      <c r="B2974" s="1576" t="s">
        <v>7365</v>
      </c>
      <c r="C2974" s="1589"/>
      <c r="D2974" s="1589"/>
      <c r="E2974" s="1589"/>
      <c r="F2974" s="1590"/>
      <c r="G2974" s="1590"/>
      <c r="H2974" s="1578"/>
      <c r="I2974" s="1590"/>
      <c r="J2974" s="1577"/>
      <c r="K2974" s="1439"/>
      <c r="L2974" s="1439"/>
      <c r="M2974" s="1439"/>
      <c r="N2974" s="1439"/>
      <c r="O2974" s="1439"/>
      <c r="P2974" s="1439"/>
      <c r="Q2974" s="1439"/>
      <c r="R2974" s="1439"/>
      <c r="S2974" s="1439"/>
      <c r="T2974" s="1439"/>
      <c r="U2974" s="1439"/>
      <c r="V2974" s="1439"/>
      <c r="W2974" s="1439"/>
      <c r="X2974" s="1439"/>
      <c r="Y2974" s="1439"/>
      <c r="Z2974" s="1439"/>
      <c r="AA2974" s="1439"/>
      <c r="AB2974" s="1439"/>
      <c r="AC2974" s="1439"/>
      <c r="AD2974" s="1439"/>
      <c r="AE2974" s="1439"/>
      <c r="AF2974" s="1439"/>
      <c r="AG2974" s="1439"/>
    </row>
    <row r="2975" spans="1:33" ht="15.75" customHeight="1">
      <c r="A2975" s="1451"/>
      <c r="B2975" s="1450" t="s">
        <v>7079</v>
      </c>
      <c r="C2975" s="1484">
        <v>1</v>
      </c>
      <c r="D2975" s="1484" t="s">
        <v>3364</v>
      </c>
      <c r="E2975" s="1484">
        <v>1</v>
      </c>
      <c r="F2975" s="1446"/>
      <c r="G2975" s="1446"/>
      <c r="H2975" s="1447"/>
      <c r="I2975" s="1494">
        <f>PRODUCT(C2975:H2975)</f>
        <v>1</v>
      </c>
      <c r="J2975" s="1492"/>
      <c r="K2975" s="1439"/>
      <c r="L2975" s="1439"/>
      <c r="M2975" s="1439"/>
      <c r="N2975" s="1439"/>
      <c r="O2975" s="1439"/>
      <c r="P2975" s="1439"/>
      <c r="Q2975" s="1439"/>
      <c r="R2975" s="1439"/>
      <c r="S2975" s="1439"/>
      <c r="T2975" s="1439"/>
      <c r="U2975" s="1439"/>
      <c r="V2975" s="1439"/>
      <c r="W2975" s="1439"/>
      <c r="X2975" s="1439"/>
      <c r="Y2975" s="1439"/>
      <c r="Z2975" s="1439"/>
      <c r="AA2975" s="1439"/>
      <c r="AB2975" s="1439"/>
      <c r="AC2975" s="1439"/>
      <c r="AD2975" s="1439"/>
      <c r="AE2975" s="1439"/>
      <c r="AF2975" s="1439"/>
      <c r="AG2975" s="1439"/>
    </row>
    <row r="2976" spans="1:33" ht="15.75" customHeight="1">
      <c r="A2976" s="1451"/>
      <c r="B2976" s="1450" t="s">
        <v>7214</v>
      </c>
      <c r="C2976" s="1484">
        <v>1</v>
      </c>
      <c r="D2976" s="1484" t="s">
        <v>3364</v>
      </c>
      <c r="E2976" s="1484">
        <v>1</v>
      </c>
      <c r="F2976" s="1446"/>
      <c r="G2976" s="1446"/>
      <c r="H2976" s="1447"/>
      <c r="I2976" s="1494">
        <f>PRODUCT(C2976:H2976)</f>
        <v>1</v>
      </c>
      <c r="J2976" s="1492"/>
      <c r="K2976" s="1439"/>
      <c r="L2976" s="1439"/>
      <c r="M2976" s="1439"/>
      <c r="N2976" s="1439"/>
      <c r="O2976" s="1439"/>
      <c r="P2976" s="1439"/>
      <c r="Q2976" s="1439"/>
      <c r="R2976" s="1439"/>
      <c r="S2976" s="1439"/>
      <c r="T2976" s="1439"/>
      <c r="U2976" s="1439"/>
      <c r="V2976" s="1439"/>
      <c r="W2976" s="1439"/>
      <c r="X2976" s="1439"/>
      <c r="Y2976" s="1439"/>
      <c r="Z2976" s="1439"/>
      <c r="AA2976" s="1439"/>
      <c r="AB2976" s="1439"/>
      <c r="AC2976" s="1439"/>
      <c r="AD2976" s="1439"/>
      <c r="AE2976" s="1439"/>
      <c r="AF2976" s="1439"/>
      <c r="AG2976" s="1439"/>
    </row>
    <row r="2977" spans="1:33" ht="15.75" customHeight="1">
      <c r="A2977" s="1451"/>
      <c r="B2977" s="1450" t="s">
        <v>7215</v>
      </c>
      <c r="C2977" s="1484">
        <v>1</v>
      </c>
      <c r="D2977" s="1484" t="s">
        <v>3364</v>
      </c>
      <c r="E2977" s="1484">
        <v>1</v>
      </c>
      <c r="F2977" s="1446"/>
      <c r="G2977" s="1446"/>
      <c r="H2977" s="1447"/>
      <c r="I2977" s="1494">
        <f>PRODUCT(C2977:H2977)</f>
        <v>1</v>
      </c>
      <c r="J2977" s="1492"/>
      <c r="K2977" s="1439"/>
      <c r="L2977" s="1439"/>
      <c r="M2977" s="1439"/>
      <c r="N2977" s="1439"/>
      <c r="O2977" s="1439"/>
      <c r="P2977" s="1439"/>
      <c r="Q2977" s="1439"/>
      <c r="R2977" s="1439"/>
      <c r="S2977" s="1439"/>
      <c r="T2977" s="1439"/>
      <c r="U2977" s="1439"/>
      <c r="V2977" s="1439"/>
      <c r="W2977" s="1439"/>
      <c r="X2977" s="1439"/>
      <c r="Y2977" s="1439"/>
      <c r="Z2977" s="1439"/>
      <c r="AA2977" s="1439"/>
      <c r="AB2977" s="1439"/>
      <c r="AC2977" s="1439"/>
      <c r="AD2977" s="1439"/>
      <c r="AE2977" s="1439"/>
      <c r="AF2977" s="1439"/>
      <c r="AG2977" s="1439"/>
    </row>
    <row r="2978" spans="1:33" ht="15.75" customHeight="1">
      <c r="A2978" s="1451"/>
      <c r="B2978" s="1450" t="s">
        <v>7080</v>
      </c>
      <c r="C2978" s="1484">
        <v>1</v>
      </c>
      <c r="D2978" s="1484" t="s">
        <v>3364</v>
      </c>
      <c r="E2978" s="1484">
        <v>1</v>
      </c>
      <c r="F2978" s="1446"/>
      <c r="G2978" s="1446"/>
      <c r="H2978" s="1447"/>
      <c r="I2978" s="1494">
        <f>PRODUCT(C2978:H2978)</f>
        <v>1</v>
      </c>
      <c r="J2978" s="1492"/>
      <c r="K2978" s="1439"/>
      <c r="L2978" s="1439"/>
      <c r="M2978" s="1439"/>
      <c r="N2978" s="1439"/>
      <c r="O2978" s="1439"/>
      <c r="P2978" s="1439"/>
      <c r="Q2978" s="1439"/>
      <c r="R2978" s="1439"/>
      <c r="S2978" s="1439"/>
      <c r="T2978" s="1439"/>
      <c r="U2978" s="1439"/>
      <c r="V2978" s="1439"/>
      <c r="W2978" s="1439"/>
      <c r="X2978" s="1439"/>
      <c r="Y2978" s="1439"/>
      <c r="Z2978" s="1439"/>
      <c r="AA2978" s="1439"/>
      <c r="AB2978" s="1439"/>
      <c r="AC2978" s="1439"/>
      <c r="AD2978" s="1439"/>
      <c r="AE2978" s="1439"/>
      <c r="AF2978" s="1439"/>
      <c r="AG2978" s="1439"/>
    </row>
    <row r="2979" spans="1:33" ht="15.75" customHeight="1">
      <c r="A2979" s="1451"/>
      <c r="B2979" s="1456" t="s">
        <v>3486</v>
      </c>
      <c r="C2979" s="1484"/>
      <c r="D2979" s="1484"/>
      <c r="E2979" s="1484"/>
      <c r="F2979" s="1446"/>
      <c r="G2979" s="1446"/>
      <c r="H2979" s="1447"/>
      <c r="I2979" s="1494"/>
      <c r="J2979" s="1492"/>
      <c r="K2979" s="1439"/>
      <c r="L2979" s="1439"/>
      <c r="M2979" s="1439"/>
      <c r="N2979" s="1439"/>
      <c r="O2979" s="1439"/>
      <c r="P2979" s="1439"/>
      <c r="Q2979" s="1439"/>
      <c r="R2979" s="1439"/>
      <c r="S2979" s="1439"/>
      <c r="T2979" s="1439"/>
      <c r="U2979" s="1439"/>
      <c r="V2979" s="1439"/>
      <c r="W2979" s="1439"/>
      <c r="X2979" s="1439"/>
      <c r="Y2979" s="1439"/>
      <c r="Z2979" s="1439"/>
      <c r="AA2979" s="1439"/>
      <c r="AB2979" s="1439"/>
      <c r="AC2979" s="1439"/>
      <c r="AD2979" s="1439"/>
      <c r="AE2979" s="1439"/>
      <c r="AF2979" s="1439"/>
      <c r="AG2979" s="1439"/>
    </row>
    <row r="2980" spans="1:33" ht="15.75" customHeight="1">
      <c r="A2980" s="1451"/>
      <c r="B2980" s="1450" t="s">
        <v>7219</v>
      </c>
      <c r="C2980" s="1484">
        <v>2</v>
      </c>
      <c r="D2980" s="1484" t="s">
        <v>3364</v>
      </c>
      <c r="E2980" s="1484">
        <v>1</v>
      </c>
      <c r="F2980" s="1446"/>
      <c r="G2980" s="1446"/>
      <c r="H2980" s="1447"/>
      <c r="I2980" s="1494">
        <f t="shared" ref="I2980:I3020" si="107">PRODUCT(C2980:H2980)</f>
        <v>2</v>
      </c>
      <c r="J2980" s="1492"/>
      <c r="K2980" s="1439"/>
      <c r="L2980" s="1439"/>
      <c r="M2980" s="1439"/>
      <c r="N2980" s="1439"/>
      <c r="O2980" s="1439"/>
      <c r="P2980" s="1439"/>
      <c r="Q2980" s="1439"/>
      <c r="R2980" s="1439"/>
      <c r="S2980" s="1439"/>
      <c r="T2980" s="1439"/>
      <c r="U2980" s="1439"/>
      <c r="V2980" s="1439"/>
      <c r="W2980" s="1439"/>
      <c r="X2980" s="1439"/>
      <c r="Y2980" s="1439"/>
      <c r="Z2980" s="1439"/>
      <c r="AA2980" s="1439"/>
      <c r="AB2980" s="1439"/>
      <c r="AC2980" s="1439"/>
      <c r="AD2980" s="1439"/>
      <c r="AE2980" s="1439"/>
      <c r="AF2980" s="1439"/>
      <c r="AG2980" s="1439"/>
    </row>
    <row r="2981" spans="1:33" ht="15.75" customHeight="1">
      <c r="A2981" s="1451"/>
      <c r="B2981" s="1450" t="s">
        <v>7220</v>
      </c>
      <c r="C2981" s="1484">
        <v>1</v>
      </c>
      <c r="D2981" s="1484" t="s">
        <v>3364</v>
      </c>
      <c r="E2981" s="1484">
        <v>2</v>
      </c>
      <c r="F2981" s="1446"/>
      <c r="G2981" s="1446"/>
      <c r="H2981" s="1447"/>
      <c r="I2981" s="1494">
        <f t="shared" si="107"/>
        <v>2</v>
      </c>
      <c r="J2981" s="1492"/>
      <c r="K2981" s="1439"/>
      <c r="L2981" s="1439"/>
      <c r="M2981" s="1439"/>
      <c r="N2981" s="1439"/>
      <c r="O2981" s="1439"/>
      <c r="P2981" s="1439"/>
      <c r="Q2981" s="1439"/>
      <c r="R2981" s="1439"/>
      <c r="S2981" s="1439"/>
      <c r="T2981" s="1439"/>
      <c r="U2981" s="1439"/>
      <c r="V2981" s="1439"/>
      <c r="W2981" s="1439"/>
      <c r="X2981" s="1439"/>
      <c r="Y2981" s="1439"/>
      <c r="Z2981" s="1439"/>
      <c r="AA2981" s="1439"/>
      <c r="AB2981" s="1439"/>
      <c r="AC2981" s="1439"/>
      <c r="AD2981" s="1439"/>
      <c r="AE2981" s="1439"/>
      <c r="AF2981" s="1439"/>
      <c r="AG2981" s="1439"/>
    </row>
    <row r="2982" spans="1:33" ht="15.75" customHeight="1">
      <c r="A2982" s="1451"/>
      <c r="B2982" s="1450" t="s">
        <v>7221</v>
      </c>
      <c r="C2982" s="1484">
        <v>1</v>
      </c>
      <c r="D2982" s="1484" t="s">
        <v>3364</v>
      </c>
      <c r="E2982" s="1484">
        <v>2</v>
      </c>
      <c r="F2982" s="1446"/>
      <c r="G2982" s="1446"/>
      <c r="H2982" s="1447"/>
      <c r="I2982" s="1494">
        <f t="shared" si="107"/>
        <v>2</v>
      </c>
      <c r="J2982" s="1492"/>
      <c r="K2982" s="1439"/>
      <c r="L2982" s="1439"/>
      <c r="M2982" s="1439"/>
      <c r="N2982" s="1439"/>
      <c r="O2982" s="1439"/>
      <c r="P2982" s="1439"/>
      <c r="Q2982" s="1439"/>
      <c r="R2982" s="1439"/>
      <c r="S2982" s="1439"/>
      <c r="T2982" s="1439"/>
      <c r="U2982" s="1439"/>
      <c r="V2982" s="1439"/>
      <c r="W2982" s="1439"/>
      <c r="X2982" s="1439"/>
      <c r="Y2982" s="1439"/>
      <c r="Z2982" s="1439"/>
      <c r="AA2982" s="1439"/>
      <c r="AB2982" s="1439"/>
      <c r="AC2982" s="1439"/>
      <c r="AD2982" s="1439"/>
      <c r="AE2982" s="1439"/>
      <c r="AF2982" s="1439"/>
      <c r="AG2982" s="1439"/>
    </row>
    <row r="2983" spans="1:33" ht="15.75" customHeight="1">
      <c r="A2983" s="1451"/>
      <c r="B2983" s="1456" t="s">
        <v>3488</v>
      </c>
      <c r="C2983" s="1484"/>
      <c r="D2983" s="1484"/>
      <c r="E2983" s="1484"/>
      <c r="F2983" s="1446"/>
      <c r="G2983" s="1446"/>
      <c r="H2983" s="1447"/>
      <c r="I2983" s="1494">
        <f t="shared" si="107"/>
        <v>0</v>
      </c>
      <c r="J2983" s="1492"/>
      <c r="K2983" s="1439"/>
      <c r="L2983" s="1439"/>
      <c r="M2983" s="1439"/>
      <c r="N2983" s="1439"/>
      <c r="O2983" s="1439"/>
      <c r="P2983" s="1439"/>
      <c r="Q2983" s="1439"/>
      <c r="R2983" s="1439"/>
      <c r="S2983" s="1439"/>
      <c r="T2983" s="1439"/>
      <c r="U2983" s="1439"/>
      <c r="V2983" s="1439"/>
      <c r="W2983" s="1439"/>
      <c r="X2983" s="1439"/>
      <c r="Y2983" s="1439"/>
      <c r="Z2983" s="1439"/>
      <c r="AA2983" s="1439"/>
      <c r="AB2983" s="1439"/>
      <c r="AC2983" s="1439"/>
      <c r="AD2983" s="1439"/>
      <c r="AE2983" s="1439"/>
      <c r="AF2983" s="1439"/>
      <c r="AG2983" s="1439"/>
    </row>
    <row r="2984" spans="1:33" ht="15.75" customHeight="1">
      <c r="A2984" s="1451"/>
      <c r="B2984" s="1450" t="s">
        <v>7224</v>
      </c>
      <c r="C2984" s="1484">
        <v>2</v>
      </c>
      <c r="D2984" s="1484" t="s">
        <v>3364</v>
      </c>
      <c r="E2984" s="1484">
        <v>1</v>
      </c>
      <c r="F2984" s="1446"/>
      <c r="G2984" s="1446"/>
      <c r="H2984" s="1447"/>
      <c r="I2984" s="1494">
        <f t="shared" si="107"/>
        <v>2</v>
      </c>
      <c r="J2984" s="1492"/>
      <c r="K2984" s="1439"/>
      <c r="L2984" s="1439"/>
      <c r="M2984" s="1439"/>
      <c r="N2984" s="1439"/>
      <c r="O2984" s="1439"/>
      <c r="P2984" s="1439"/>
      <c r="Q2984" s="1439"/>
      <c r="R2984" s="1439"/>
      <c r="S2984" s="1439"/>
      <c r="T2984" s="1439"/>
      <c r="U2984" s="1439"/>
      <c r="V2984" s="1439"/>
      <c r="W2984" s="1439"/>
      <c r="X2984" s="1439"/>
      <c r="Y2984" s="1439"/>
      <c r="Z2984" s="1439"/>
      <c r="AA2984" s="1439"/>
      <c r="AB2984" s="1439"/>
      <c r="AC2984" s="1439"/>
      <c r="AD2984" s="1439"/>
      <c r="AE2984" s="1439"/>
      <c r="AF2984" s="1439"/>
      <c r="AG2984" s="1439"/>
    </row>
    <row r="2985" spans="1:33" ht="15.75" customHeight="1">
      <c r="A2985" s="1451"/>
      <c r="B2985" s="1450" t="s">
        <v>7221</v>
      </c>
      <c r="C2985" s="1484">
        <v>1</v>
      </c>
      <c r="D2985" s="1484" t="s">
        <v>3364</v>
      </c>
      <c r="E2985" s="1484">
        <v>1</v>
      </c>
      <c r="F2985" s="1446"/>
      <c r="G2985" s="1446"/>
      <c r="H2985" s="1447"/>
      <c r="I2985" s="1494">
        <f t="shared" si="107"/>
        <v>1</v>
      </c>
      <c r="J2985" s="1492"/>
      <c r="K2985" s="1439"/>
      <c r="L2985" s="1439"/>
      <c r="M2985" s="1439"/>
      <c r="N2985" s="1439"/>
      <c r="O2985" s="1439"/>
      <c r="P2985" s="1439"/>
      <c r="Q2985" s="1439"/>
      <c r="R2985" s="1439"/>
      <c r="S2985" s="1439"/>
      <c r="T2985" s="1439"/>
      <c r="U2985" s="1439"/>
      <c r="V2985" s="1439"/>
      <c r="W2985" s="1439"/>
      <c r="X2985" s="1439"/>
      <c r="Y2985" s="1439"/>
      <c r="Z2985" s="1439"/>
      <c r="AA2985" s="1439"/>
      <c r="AB2985" s="1439"/>
      <c r="AC2985" s="1439"/>
      <c r="AD2985" s="1439"/>
      <c r="AE2985" s="1439"/>
      <c r="AF2985" s="1439"/>
      <c r="AG2985" s="1439"/>
    </row>
    <row r="2986" spans="1:33" ht="15.75" customHeight="1">
      <c r="A2986" s="1451"/>
      <c r="B2986" s="1450" t="s">
        <v>7163</v>
      </c>
      <c r="C2986" s="1484">
        <v>1</v>
      </c>
      <c r="D2986" s="1484" t="s">
        <v>3364</v>
      </c>
      <c r="E2986" s="1484">
        <v>1</v>
      </c>
      <c r="F2986" s="1446"/>
      <c r="G2986" s="1446"/>
      <c r="H2986" s="1447"/>
      <c r="I2986" s="1494">
        <f t="shared" si="107"/>
        <v>1</v>
      </c>
      <c r="J2986" s="1492"/>
      <c r="K2986" s="1439"/>
      <c r="L2986" s="1439"/>
      <c r="M2986" s="1439"/>
      <c r="N2986" s="1439"/>
      <c r="O2986" s="1439"/>
      <c r="P2986" s="1439"/>
      <c r="Q2986" s="1439"/>
      <c r="R2986" s="1439"/>
      <c r="S2986" s="1439"/>
      <c r="T2986" s="1439"/>
      <c r="U2986" s="1439"/>
      <c r="V2986" s="1439"/>
      <c r="W2986" s="1439"/>
      <c r="X2986" s="1439"/>
      <c r="Y2986" s="1439"/>
      <c r="Z2986" s="1439"/>
      <c r="AA2986" s="1439"/>
      <c r="AB2986" s="1439"/>
      <c r="AC2986" s="1439"/>
      <c r="AD2986" s="1439"/>
      <c r="AE2986" s="1439"/>
      <c r="AF2986" s="1439"/>
      <c r="AG2986" s="1439"/>
    </row>
    <row r="2987" spans="1:33" ht="15.75" customHeight="1">
      <c r="A2987" s="1451"/>
      <c r="B2987" s="1450" t="s">
        <v>7225</v>
      </c>
      <c r="C2987" s="1484">
        <v>1</v>
      </c>
      <c r="D2987" s="1484" t="s">
        <v>3364</v>
      </c>
      <c r="E2987" s="1484">
        <v>2</v>
      </c>
      <c r="F2987" s="1446"/>
      <c r="G2987" s="1446"/>
      <c r="H2987" s="1447"/>
      <c r="I2987" s="1494">
        <f t="shared" si="107"/>
        <v>2</v>
      </c>
      <c r="J2987" s="1492"/>
      <c r="K2987" s="1439"/>
      <c r="L2987" s="1439"/>
      <c r="M2987" s="1439"/>
      <c r="N2987" s="1439"/>
      <c r="O2987" s="1439"/>
      <c r="P2987" s="1439"/>
      <c r="Q2987" s="1439"/>
      <c r="R2987" s="1439"/>
      <c r="S2987" s="1439"/>
      <c r="T2987" s="1439"/>
      <c r="U2987" s="1439"/>
      <c r="V2987" s="1439"/>
      <c r="W2987" s="1439"/>
      <c r="X2987" s="1439"/>
      <c r="Y2987" s="1439"/>
      <c r="Z2987" s="1439"/>
      <c r="AA2987" s="1439"/>
      <c r="AB2987" s="1439"/>
      <c r="AC2987" s="1439"/>
      <c r="AD2987" s="1439"/>
      <c r="AE2987" s="1439"/>
      <c r="AF2987" s="1439"/>
      <c r="AG2987" s="1439"/>
    </row>
    <row r="2988" spans="1:33" ht="15.75" customHeight="1">
      <c r="A2988" s="1451"/>
      <c r="B2988" s="1450" t="s">
        <v>7226</v>
      </c>
      <c r="C2988" s="1484">
        <v>1</v>
      </c>
      <c r="D2988" s="1484" t="s">
        <v>3364</v>
      </c>
      <c r="E2988" s="1484">
        <v>2</v>
      </c>
      <c r="F2988" s="1446"/>
      <c r="G2988" s="1446"/>
      <c r="H2988" s="1447"/>
      <c r="I2988" s="1494">
        <f t="shared" si="107"/>
        <v>2</v>
      </c>
      <c r="J2988" s="1492"/>
      <c r="K2988" s="1439"/>
      <c r="L2988" s="1439"/>
      <c r="M2988" s="1439"/>
      <c r="N2988" s="1439"/>
      <c r="O2988" s="1439"/>
      <c r="P2988" s="1439"/>
      <c r="Q2988" s="1439"/>
      <c r="R2988" s="1439"/>
      <c r="S2988" s="1439"/>
      <c r="T2988" s="1439"/>
      <c r="U2988" s="1439"/>
      <c r="V2988" s="1439"/>
      <c r="W2988" s="1439"/>
      <c r="X2988" s="1439"/>
      <c r="Y2988" s="1439"/>
      <c r="Z2988" s="1439"/>
      <c r="AA2988" s="1439"/>
      <c r="AB2988" s="1439"/>
      <c r="AC2988" s="1439"/>
      <c r="AD2988" s="1439"/>
      <c r="AE2988" s="1439"/>
      <c r="AF2988" s="1439"/>
      <c r="AG2988" s="1439"/>
    </row>
    <row r="2989" spans="1:33" ht="15.75" customHeight="1">
      <c r="A2989" s="1451"/>
      <c r="B2989" s="1450" t="s">
        <v>7227</v>
      </c>
      <c r="C2989" s="1484">
        <v>1</v>
      </c>
      <c r="D2989" s="1484" t="s">
        <v>3364</v>
      </c>
      <c r="E2989" s="1484">
        <v>2</v>
      </c>
      <c r="F2989" s="1446"/>
      <c r="G2989" s="1446"/>
      <c r="H2989" s="1447"/>
      <c r="I2989" s="1494">
        <f t="shared" si="107"/>
        <v>2</v>
      </c>
      <c r="J2989" s="1492"/>
      <c r="K2989" s="1439"/>
      <c r="L2989" s="1439"/>
      <c r="M2989" s="1439"/>
      <c r="N2989" s="1439"/>
      <c r="O2989" s="1439"/>
      <c r="P2989" s="1439"/>
      <c r="Q2989" s="1439"/>
      <c r="R2989" s="1439"/>
      <c r="S2989" s="1439"/>
      <c r="T2989" s="1439"/>
      <c r="U2989" s="1439"/>
      <c r="V2989" s="1439"/>
      <c r="W2989" s="1439"/>
      <c r="X2989" s="1439"/>
      <c r="Y2989" s="1439"/>
      <c r="Z2989" s="1439"/>
      <c r="AA2989" s="1439"/>
      <c r="AB2989" s="1439"/>
      <c r="AC2989" s="1439"/>
      <c r="AD2989" s="1439"/>
      <c r="AE2989" s="1439"/>
      <c r="AF2989" s="1439"/>
      <c r="AG2989" s="1439"/>
    </row>
    <row r="2990" spans="1:33" ht="15.75" customHeight="1">
      <c r="A2990" s="1451"/>
      <c r="B2990" s="1450" t="s">
        <v>7228</v>
      </c>
      <c r="C2990" s="1484">
        <v>1</v>
      </c>
      <c r="D2990" s="1484" t="s">
        <v>3364</v>
      </c>
      <c r="E2990" s="1484">
        <v>2</v>
      </c>
      <c r="F2990" s="1446"/>
      <c r="G2990" s="1446"/>
      <c r="H2990" s="1447"/>
      <c r="I2990" s="1494">
        <f t="shared" si="107"/>
        <v>2</v>
      </c>
      <c r="J2990" s="1492"/>
      <c r="K2990" s="1439"/>
      <c r="L2990" s="1439"/>
      <c r="M2990" s="1439"/>
      <c r="N2990" s="1439"/>
      <c r="O2990" s="1439"/>
      <c r="P2990" s="1439"/>
      <c r="Q2990" s="1439"/>
      <c r="R2990" s="1439"/>
      <c r="S2990" s="1439"/>
      <c r="T2990" s="1439"/>
      <c r="U2990" s="1439"/>
      <c r="V2990" s="1439"/>
      <c r="W2990" s="1439"/>
      <c r="X2990" s="1439"/>
      <c r="Y2990" s="1439"/>
      <c r="Z2990" s="1439"/>
      <c r="AA2990" s="1439"/>
      <c r="AB2990" s="1439"/>
      <c r="AC2990" s="1439"/>
      <c r="AD2990" s="1439"/>
      <c r="AE2990" s="1439"/>
      <c r="AF2990" s="1439"/>
      <c r="AG2990" s="1439"/>
    </row>
    <row r="2991" spans="1:33" ht="15.75" customHeight="1">
      <c r="A2991" s="1451"/>
      <c r="B2991" s="1450" t="s">
        <v>7229</v>
      </c>
      <c r="C2991" s="1484">
        <v>1</v>
      </c>
      <c r="D2991" s="1484" t="s">
        <v>3364</v>
      </c>
      <c r="E2991" s="1484">
        <v>2</v>
      </c>
      <c r="F2991" s="1446"/>
      <c r="G2991" s="1446"/>
      <c r="H2991" s="1447"/>
      <c r="I2991" s="1494">
        <f t="shared" si="107"/>
        <v>2</v>
      </c>
      <c r="J2991" s="1492"/>
      <c r="K2991" s="1439"/>
      <c r="L2991" s="1439"/>
      <c r="M2991" s="1439"/>
      <c r="N2991" s="1439"/>
      <c r="O2991" s="1439"/>
      <c r="P2991" s="1439"/>
      <c r="Q2991" s="1439"/>
      <c r="R2991" s="1439"/>
      <c r="S2991" s="1439"/>
      <c r="T2991" s="1439"/>
      <c r="U2991" s="1439"/>
      <c r="V2991" s="1439"/>
      <c r="W2991" s="1439"/>
      <c r="X2991" s="1439"/>
      <c r="Y2991" s="1439"/>
      <c r="Z2991" s="1439"/>
      <c r="AA2991" s="1439"/>
      <c r="AB2991" s="1439"/>
      <c r="AC2991" s="1439"/>
      <c r="AD2991" s="1439"/>
      <c r="AE2991" s="1439"/>
      <c r="AF2991" s="1439"/>
      <c r="AG2991" s="1439"/>
    </row>
    <row r="2992" spans="1:33" ht="15.75" customHeight="1">
      <c r="A2992" s="1451"/>
      <c r="B2992" s="1450" t="s">
        <v>7230</v>
      </c>
      <c r="C2992" s="1484">
        <v>3</v>
      </c>
      <c r="D2992" s="1484" t="s">
        <v>3364</v>
      </c>
      <c r="E2992" s="1484">
        <v>2</v>
      </c>
      <c r="F2992" s="1446"/>
      <c r="G2992" s="1446"/>
      <c r="H2992" s="1447"/>
      <c r="I2992" s="1494">
        <f t="shared" si="107"/>
        <v>6</v>
      </c>
      <c r="J2992" s="1492"/>
      <c r="K2992" s="1439"/>
      <c r="L2992" s="1439"/>
      <c r="M2992" s="1439"/>
      <c r="N2992" s="1439"/>
      <c r="O2992" s="1439"/>
      <c r="P2992" s="1439"/>
      <c r="Q2992" s="1439"/>
      <c r="R2992" s="1439"/>
      <c r="S2992" s="1439"/>
      <c r="T2992" s="1439"/>
      <c r="U2992" s="1439"/>
      <c r="V2992" s="1439"/>
      <c r="W2992" s="1439"/>
      <c r="X2992" s="1439"/>
      <c r="Y2992" s="1439"/>
      <c r="Z2992" s="1439"/>
      <c r="AA2992" s="1439"/>
      <c r="AB2992" s="1439"/>
      <c r="AC2992" s="1439"/>
      <c r="AD2992" s="1439"/>
      <c r="AE2992" s="1439"/>
      <c r="AF2992" s="1439"/>
      <c r="AG2992" s="1439"/>
    </row>
    <row r="2993" spans="1:33" ht="15.75" customHeight="1">
      <c r="A2993" s="1451"/>
      <c r="B2993" s="1450" t="s">
        <v>6723</v>
      </c>
      <c r="C2993" s="1484">
        <v>1</v>
      </c>
      <c r="D2993" s="1484" t="s">
        <v>3364</v>
      </c>
      <c r="E2993" s="1484">
        <v>1</v>
      </c>
      <c r="F2993" s="1446"/>
      <c r="G2993" s="1446"/>
      <c r="H2993" s="1447"/>
      <c r="I2993" s="1494">
        <f t="shared" si="107"/>
        <v>1</v>
      </c>
      <c r="J2993" s="1492"/>
      <c r="K2993" s="1439"/>
      <c r="L2993" s="1439"/>
      <c r="M2993" s="1439"/>
      <c r="N2993" s="1439"/>
      <c r="O2993" s="1439"/>
      <c r="P2993" s="1439"/>
      <c r="Q2993" s="1439"/>
      <c r="R2993" s="1439"/>
      <c r="S2993" s="1439"/>
      <c r="T2993" s="1439"/>
      <c r="U2993" s="1439"/>
      <c r="V2993" s="1439"/>
      <c r="W2993" s="1439"/>
      <c r="X2993" s="1439"/>
      <c r="Y2993" s="1439"/>
      <c r="Z2993" s="1439"/>
      <c r="AA2993" s="1439"/>
      <c r="AB2993" s="1439"/>
      <c r="AC2993" s="1439"/>
      <c r="AD2993" s="1439"/>
      <c r="AE2993" s="1439"/>
      <c r="AF2993" s="1439"/>
      <c r="AG2993" s="1439"/>
    </row>
    <row r="2994" spans="1:33" ht="15.75" customHeight="1">
      <c r="A2994" s="1451"/>
      <c r="B2994" s="1450" t="s">
        <v>6933</v>
      </c>
      <c r="C2994" s="1484">
        <v>1</v>
      </c>
      <c r="D2994" s="1484" t="s">
        <v>3364</v>
      </c>
      <c r="E2994" s="1484">
        <v>1</v>
      </c>
      <c r="F2994" s="1446"/>
      <c r="G2994" s="1446"/>
      <c r="H2994" s="1447"/>
      <c r="I2994" s="1494">
        <f t="shared" si="107"/>
        <v>1</v>
      </c>
      <c r="J2994" s="1492"/>
      <c r="K2994" s="1439"/>
      <c r="L2994" s="1439"/>
      <c r="M2994" s="1439"/>
      <c r="N2994" s="1439"/>
      <c r="O2994" s="1439"/>
      <c r="P2994" s="1439"/>
      <c r="Q2994" s="1439"/>
      <c r="R2994" s="1439"/>
      <c r="S2994" s="1439"/>
      <c r="T2994" s="1439"/>
      <c r="U2994" s="1439"/>
      <c r="V2994" s="1439"/>
      <c r="W2994" s="1439"/>
      <c r="X2994" s="1439"/>
      <c r="Y2994" s="1439"/>
      <c r="Z2994" s="1439"/>
      <c r="AA2994" s="1439"/>
      <c r="AB2994" s="1439"/>
      <c r="AC2994" s="1439"/>
      <c r="AD2994" s="1439"/>
      <c r="AE2994" s="1439"/>
      <c r="AF2994" s="1439"/>
      <c r="AG2994" s="1439"/>
    </row>
    <row r="2995" spans="1:33" ht="15.75" customHeight="1">
      <c r="A2995" s="1451"/>
      <c r="B2995" s="1450" t="s">
        <v>7231</v>
      </c>
      <c r="C2995" s="1484">
        <v>1</v>
      </c>
      <c r="D2995" s="1484" t="s">
        <v>3364</v>
      </c>
      <c r="E2995" s="1484">
        <v>1</v>
      </c>
      <c r="F2995" s="1446"/>
      <c r="G2995" s="1446"/>
      <c r="H2995" s="1447"/>
      <c r="I2995" s="1494">
        <f t="shared" si="107"/>
        <v>1</v>
      </c>
      <c r="J2995" s="1492"/>
      <c r="K2995" s="1439"/>
      <c r="L2995" s="1439"/>
      <c r="M2995" s="1439"/>
      <c r="N2995" s="1439"/>
      <c r="O2995" s="1439"/>
      <c r="P2995" s="1439"/>
      <c r="Q2995" s="1439"/>
      <c r="R2995" s="1439"/>
      <c r="S2995" s="1439"/>
      <c r="T2995" s="1439"/>
      <c r="U2995" s="1439"/>
      <c r="V2995" s="1439"/>
      <c r="W2995" s="1439"/>
      <c r="X2995" s="1439"/>
      <c r="Y2995" s="1439"/>
      <c r="Z2995" s="1439"/>
      <c r="AA2995" s="1439"/>
      <c r="AB2995" s="1439"/>
      <c r="AC2995" s="1439"/>
      <c r="AD2995" s="1439"/>
      <c r="AE2995" s="1439"/>
      <c r="AF2995" s="1439"/>
      <c r="AG2995" s="1439"/>
    </row>
    <row r="2996" spans="1:33" ht="15.75" customHeight="1">
      <c r="A2996" s="1451"/>
      <c r="B2996" s="1456" t="s">
        <v>7232</v>
      </c>
      <c r="C2996" s="1484"/>
      <c r="D2996" s="1484"/>
      <c r="E2996" s="1484"/>
      <c r="F2996" s="1446"/>
      <c r="G2996" s="1446"/>
      <c r="H2996" s="1447"/>
      <c r="I2996" s="1494">
        <f t="shared" si="107"/>
        <v>0</v>
      </c>
      <c r="J2996" s="1492"/>
      <c r="K2996" s="1439"/>
      <c r="L2996" s="1439"/>
      <c r="M2996" s="1439"/>
      <c r="N2996" s="1439"/>
      <c r="O2996" s="1439"/>
      <c r="P2996" s="1439"/>
      <c r="Q2996" s="1439"/>
      <c r="R2996" s="1439"/>
      <c r="S2996" s="1439"/>
      <c r="T2996" s="1439"/>
      <c r="U2996" s="1439"/>
      <c r="V2996" s="1439"/>
      <c r="W2996" s="1439"/>
      <c r="X2996" s="1439"/>
      <c r="Y2996" s="1439"/>
      <c r="Z2996" s="1439"/>
      <c r="AA2996" s="1439"/>
      <c r="AB2996" s="1439"/>
      <c r="AC2996" s="1439"/>
      <c r="AD2996" s="1439"/>
      <c r="AE2996" s="1439"/>
      <c r="AF2996" s="1439"/>
      <c r="AG2996" s="1439"/>
    </row>
    <row r="2997" spans="1:33" ht="15.75" customHeight="1">
      <c r="A2997" s="1451"/>
      <c r="B2997" s="1450" t="s">
        <v>7224</v>
      </c>
      <c r="C2997" s="1484">
        <v>2</v>
      </c>
      <c r="D2997" s="1484" t="s">
        <v>3364</v>
      </c>
      <c r="E2997" s="1484">
        <v>1</v>
      </c>
      <c r="F2997" s="1446"/>
      <c r="G2997" s="1446"/>
      <c r="H2997" s="1447"/>
      <c r="I2997" s="1494">
        <f t="shared" si="107"/>
        <v>2</v>
      </c>
      <c r="J2997" s="1492"/>
      <c r="K2997" s="1439"/>
      <c r="L2997" s="1439"/>
      <c r="M2997" s="1439"/>
      <c r="N2997" s="1439"/>
      <c r="O2997" s="1439"/>
      <c r="P2997" s="1439"/>
      <c r="Q2997" s="1439"/>
      <c r="R2997" s="1439"/>
      <c r="S2997" s="1439"/>
      <c r="T2997" s="1439"/>
      <c r="U2997" s="1439"/>
      <c r="V2997" s="1439"/>
      <c r="W2997" s="1439"/>
      <c r="X2997" s="1439"/>
      <c r="Y2997" s="1439"/>
      <c r="Z2997" s="1439"/>
      <c r="AA2997" s="1439"/>
      <c r="AB2997" s="1439"/>
      <c r="AC2997" s="1439"/>
      <c r="AD2997" s="1439"/>
      <c r="AE2997" s="1439"/>
      <c r="AF2997" s="1439"/>
      <c r="AG2997" s="1439"/>
    </row>
    <row r="2998" spans="1:33" ht="15.75" customHeight="1">
      <c r="A2998" s="1451"/>
      <c r="B2998" s="1450" t="s">
        <v>7221</v>
      </c>
      <c r="C2998" s="1484">
        <v>1</v>
      </c>
      <c r="D2998" s="1484" t="s">
        <v>3364</v>
      </c>
      <c r="E2998" s="1484">
        <v>1</v>
      </c>
      <c r="F2998" s="1446"/>
      <c r="G2998" s="1446"/>
      <c r="H2998" s="1447"/>
      <c r="I2998" s="1494">
        <f t="shared" si="107"/>
        <v>1</v>
      </c>
      <c r="J2998" s="1492"/>
      <c r="K2998" s="1439"/>
      <c r="L2998" s="1439"/>
      <c r="M2998" s="1439"/>
      <c r="N2998" s="1439"/>
      <c r="O2998" s="1439"/>
      <c r="P2998" s="1439"/>
      <c r="Q2998" s="1439"/>
      <c r="R2998" s="1439"/>
      <c r="S2998" s="1439"/>
      <c r="T2998" s="1439"/>
      <c r="U2998" s="1439"/>
      <c r="V2998" s="1439"/>
      <c r="W2998" s="1439"/>
      <c r="X2998" s="1439"/>
      <c r="Y2998" s="1439"/>
      <c r="Z2998" s="1439"/>
      <c r="AA2998" s="1439"/>
      <c r="AB2998" s="1439"/>
      <c r="AC2998" s="1439"/>
      <c r="AD2998" s="1439"/>
      <c r="AE2998" s="1439"/>
      <c r="AF2998" s="1439"/>
      <c r="AG2998" s="1439"/>
    </row>
    <row r="2999" spans="1:33" ht="15.75" customHeight="1">
      <c r="A2999" s="1451"/>
      <c r="B2999" s="1450" t="s">
        <v>7233</v>
      </c>
      <c r="C2999" s="1484">
        <v>1</v>
      </c>
      <c r="D2999" s="1484" t="s">
        <v>3364</v>
      </c>
      <c r="E2999" s="1484">
        <v>1</v>
      </c>
      <c r="F2999" s="1446"/>
      <c r="G2999" s="1446"/>
      <c r="H2999" s="1447"/>
      <c r="I2999" s="1494">
        <f t="shared" si="107"/>
        <v>1</v>
      </c>
      <c r="J2999" s="1492"/>
      <c r="K2999" s="1439"/>
      <c r="L2999" s="1439"/>
      <c r="M2999" s="1439"/>
      <c r="N2999" s="1439"/>
      <c r="O2999" s="1439"/>
      <c r="P2999" s="1439"/>
      <c r="Q2999" s="1439"/>
      <c r="R2999" s="1439"/>
      <c r="S2999" s="1439"/>
      <c r="T2999" s="1439"/>
      <c r="U2999" s="1439"/>
      <c r="V2999" s="1439"/>
      <c r="W2999" s="1439"/>
      <c r="X2999" s="1439"/>
      <c r="Y2999" s="1439"/>
      <c r="Z2999" s="1439"/>
      <c r="AA2999" s="1439"/>
      <c r="AB2999" s="1439"/>
      <c r="AC2999" s="1439"/>
      <c r="AD2999" s="1439"/>
      <c r="AE2999" s="1439"/>
      <c r="AF2999" s="1439"/>
      <c r="AG2999" s="1439"/>
    </row>
    <row r="3000" spans="1:33" ht="15.75" customHeight="1">
      <c r="A3000" s="1451"/>
      <c r="B3000" s="1450" t="s">
        <v>7231</v>
      </c>
      <c r="C3000" s="1484">
        <v>1</v>
      </c>
      <c r="D3000" s="1484" t="s">
        <v>3364</v>
      </c>
      <c r="E3000" s="1484">
        <v>1</v>
      </c>
      <c r="F3000" s="1446"/>
      <c r="G3000" s="1446"/>
      <c r="H3000" s="1447"/>
      <c r="I3000" s="1494">
        <f t="shared" si="107"/>
        <v>1</v>
      </c>
      <c r="J3000" s="1492"/>
      <c r="K3000" s="1439"/>
      <c r="L3000" s="1439"/>
      <c r="M3000" s="1439"/>
      <c r="N3000" s="1439"/>
      <c r="O3000" s="1439"/>
      <c r="P3000" s="1439"/>
      <c r="Q3000" s="1439"/>
      <c r="R3000" s="1439"/>
      <c r="S3000" s="1439"/>
      <c r="T3000" s="1439"/>
      <c r="U3000" s="1439"/>
      <c r="V3000" s="1439"/>
      <c r="W3000" s="1439"/>
      <c r="X3000" s="1439"/>
      <c r="Y3000" s="1439"/>
      <c r="Z3000" s="1439"/>
      <c r="AA3000" s="1439"/>
      <c r="AB3000" s="1439"/>
      <c r="AC3000" s="1439"/>
      <c r="AD3000" s="1439"/>
      <c r="AE3000" s="1439"/>
      <c r="AF3000" s="1439"/>
      <c r="AG3000" s="1439"/>
    </row>
    <row r="3001" spans="1:33" ht="15.75" customHeight="1">
      <c r="A3001" s="1451"/>
      <c r="B3001" s="1450" t="s">
        <v>6908</v>
      </c>
      <c r="C3001" s="1484">
        <v>1</v>
      </c>
      <c r="D3001" s="1484" t="s">
        <v>3364</v>
      </c>
      <c r="E3001" s="1484">
        <v>1</v>
      </c>
      <c r="F3001" s="1446"/>
      <c r="G3001" s="1446"/>
      <c r="H3001" s="1447"/>
      <c r="I3001" s="1494">
        <f t="shared" si="107"/>
        <v>1</v>
      </c>
      <c r="J3001" s="1492"/>
      <c r="K3001" s="1439"/>
      <c r="L3001" s="1439"/>
      <c r="M3001" s="1439"/>
      <c r="N3001" s="1439"/>
      <c r="O3001" s="1439"/>
      <c r="P3001" s="1439"/>
      <c r="Q3001" s="1439"/>
      <c r="R3001" s="1439"/>
      <c r="S3001" s="1439"/>
      <c r="T3001" s="1439"/>
      <c r="U3001" s="1439"/>
      <c r="V3001" s="1439"/>
      <c r="W3001" s="1439"/>
      <c r="X3001" s="1439"/>
      <c r="Y3001" s="1439"/>
      <c r="Z3001" s="1439"/>
      <c r="AA3001" s="1439"/>
      <c r="AB3001" s="1439"/>
      <c r="AC3001" s="1439"/>
      <c r="AD3001" s="1439"/>
      <c r="AE3001" s="1439"/>
      <c r="AF3001" s="1439"/>
      <c r="AG3001" s="1439"/>
    </row>
    <row r="3002" spans="1:33" ht="15.75" customHeight="1">
      <c r="A3002" s="1451"/>
      <c r="B3002" s="1450" t="s">
        <v>7138</v>
      </c>
      <c r="C3002" s="1484">
        <v>1</v>
      </c>
      <c r="D3002" s="1484" t="s">
        <v>3364</v>
      </c>
      <c r="E3002" s="1484">
        <v>1</v>
      </c>
      <c r="F3002" s="1446"/>
      <c r="G3002" s="1446"/>
      <c r="H3002" s="1447"/>
      <c r="I3002" s="1494">
        <f t="shared" si="107"/>
        <v>1</v>
      </c>
      <c r="J3002" s="1492"/>
      <c r="K3002" s="1439"/>
      <c r="L3002" s="1439"/>
      <c r="M3002" s="1439"/>
      <c r="N3002" s="1439"/>
      <c r="O3002" s="1439"/>
      <c r="P3002" s="1439"/>
      <c r="Q3002" s="1439"/>
      <c r="R3002" s="1439"/>
      <c r="S3002" s="1439"/>
      <c r="T3002" s="1439"/>
      <c r="U3002" s="1439"/>
      <c r="V3002" s="1439"/>
      <c r="W3002" s="1439"/>
      <c r="X3002" s="1439"/>
      <c r="Y3002" s="1439"/>
      <c r="Z3002" s="1439"/>
      <c r="AA3002" s="1439"/>
      <c r="AB3002" s="1439"/>
      <c r="AC3002" s="1439"/>
      <c r="AD3002" s="1439"/>
      <c r="AE3002" s="1439"/>
      <c r="AF3002" s="1439"/>
      <c r="AG3002" s="1439"/>
    </row>
    <row r="3003" spans="1:33" ht="15.75" customHeight="1">
      <c r="A3003" s="1451"/>
      <c r="B3003" s="1450" t="s">
        <v>6586</v>
      </c>
      <c r="C3003" s="1484">
        <v>1</v>
      </c>
      <c r="D3003" s="1484" t="s">
        <v>3364</v>
      </c>
      <c r="E3003" s="1484">
        <v>1</v>
      </c>
      <c r="F3003" s="1446"/>
      <c r="G3003" s="1446"/>
      <c r="H3003" s="1447"/>
      <c r="I3003" s="1494">
        <f t="shared" si="107"/>
        <v>1</v>
      </c>
      <c r="J3003" s="1492"/>
      <c r="K3003" s="1439"/>
      <c r="L3003" s="1439"/>
      <c r="M3003" s="1439"/>
      <c r="N3003" s="1439"/>
      <c r="O3003" s="1439"/>
      <c r="P3003" s="1439"/>
      <c r="Q3003" s="1439"/>
      <c r="R3003" s="1439"/>
      <c r="S3003" s="1439"/>
      <c r="T3003" s="1439"/>
      <c r="U3003" s="1439"/>
      <c r="V3003" s="1439"/>
      <c r="W3003" s="1439"/>
      <c r="X3003" s="1439"/>
      <c r="Y3003" s="1439"/>
      <c r="Z3003" s="1439"/>
      <c r="AA3003" s="1439"/>
      <c r="AB3003" s="1439"/>
      <c r="AC3003" s="1439"/>
      <c r="AD3003" s="1439"/>
      <c r="AE3003" s="1439"/>
      <c r="AF3003" s="1439"/>
      <c r="AG3003" s="1439"/>
    </row>
    <row r="3004" spans="1:33" ht="15.75" customHeight="1">
      <c r="A3004" s="1451"/>
      <c r="B3004" s="1450" t="s">
        <v>7234</v>
      </c>
      <c r="C3004" s="1484">
        <v>1</v>
      </c>
      <c r="D3004" s="1484" t="s">
        <v>3364</v>
      </c>
      <c r="E3004" s="1484">
        <v>2</v>
      </c>
      <c r="F3004" s="1446"/>
      <c r="G3004" s="1446"/>
      <c r="H3004" s="1447"/>
      <c r="I3004" s="1494">
        <f t="shared" si="107"/>
        <v>2</v>
      </c>
      <c r="J3004" s="1492"/>
      <c r="K3004" s="1439"/>
      <c r="L3004" s="1439"/>
      <c r="M3004" s="1439"/>
      <c r="N3004" s="1439"/>
      <c r="O3004" s="1439"/>
      <c r="P3004" s="1439"/>
      <c r="Q3004" s="1439"/>
      <c r="R3004" s="1439"/>
      <c r="S3004" s="1439"/>
      <c r="T3004" s="1439"/>
      <c r="U3004" s="1439"/>
      <c r="V3004" s="1439"/>
      <c r="W3004" s="1439"/>
      <c r="X3004" s="1439"/>
      <c r="Y3004" s="1439"/>
      <c r="Z3004" s="1439"/>
      <c r="AA3004" s="1439"/>
      <c r="AB3004" s="1439"/>
      <c r="AC3004" s="1439"/>
      <c r="AD3004" s="1439"/>
      <c r="AE3004" s="1439"/>
      <c r="AF3004" s="1439"/>
      <c r="AG3004" s="1439"/>
    </row>
    <row r="3005" spans="1:33" ht="15.75" customHeight="1">
      <c r="A3005" s="1451"/>
      <c r="B3005" s="1450" t="s">
        <v>7141</v>
      </c>
      <c r="C3005" s="1484">
        <v>1</v>
      </c>
      <c r="D3005" s="1484" t="s">
        <v>3364</v>
      </c>
      <c r="E3005" s="1484">
        <v>2</v>
      </c>
      <c r="F3005" s="1446"/>
      <c r="G3005" s="1446"/>
      <c r="H3005" s="1447"/>
      <c r="I3005" s="1494">
        <f t="shared" si="107"/>
        <v>2</v>
      </c>
      <c r="J3005" s="1492"/>
      <c r="K3005" s="1439"/>
      <c r="L3005" s="1439"/>
      <c r="M3005" s="1439"/>
      <c r="N3005" s="1439"/>
      <c r="O3005" s="1439"/>
      <c r="P3005" s="1439"/>
      <c r="Q3005" s="1439"/>
      <c r="R3005" s="1439"/>
      <c r="S3005" s="1439"/>
      <c r="T3005" s="1439"/>
      <c r="U3005" s="1439"/>
      <c r="V3005" s="1439"/>
      <c r="W3005" s="1439"/>
      <c r="X3005" s="1439"/>
      <c r="Y3005" s="1439"/>
      <c r="Z3005" s="1439"/>
      <c r="AA3005" s="1439"/>
      <c r="AB3005" s="1439"/>
      <c r="AC3005" s="1439"/>
      <c r="AD3005" s="1439"/>
      <c r="AE3005" s="1439"/>
      <c r="AF3005" s="1439"/>
      <c r="AG3005" s="1439"/>
    </row>
    <row r="3006" spans="1:33" ht="15.75" customHeight="1">
      <c r="A3006" s="1451"/>
      <c r="B3006" s="1450" t="s">
        <v>7238</v>
      </c>
      <c r="C3006" s="1484">
        <v>1</v>
      </c>
      <c r="D3006" s="1484" t="s">
        <v>3364</v>
      </c>
      <c r="E3006" s="1484">
        <v>2</v>
      </c>
      <c r="F3006" s="1446"/>
      <c r="G3006" s="1446"/>
      <c r="H3006" s="1447"/>
      <c r="I3006" s="1494">
        <f t="shared" si="107"/>
        <v>2</v>
      </c>
      <c r="J3006" s="1492"/>
      <c r="K3006" s="1439"/>
      <c r="L3006" s="1439"/>
      <c r="M3006" s="1439"/>
      <c r="N3006" s="1439"/>
      <c r="O3006" s="1439"/>
      <c r="P3006" s="1439"/>
      <c r="Q3006" s="1439"/>
      <c r="R3006" s="1439"/>
      <c r="S3006" s="1439"/>
      <c r="T3006" s="1439"/>
      <c r="U3006" s="1439"/>
      <c r="V3006" s="1439"/>
      <c r="W3006" s="1439"/>
      <c r="X3006" s="1439"/>
      <c r="Y3006" s="1439"/>
      <c r="Z3006" s="1439"/>
      <c r="AA3006" s="1439"/>
      <c r="AB3006" s="1439"/>
      <c r="AC3006" s="1439"/>
      <c r="AD3006" s="1439"/>
      <c r="AE3006" s="1439"/>
      <c r="AF3006" s="1439"/>
      <c r="AG3006" s="1439"/>
    </row>
    <row r="3007" spans="1:33" ht="15.75" customHeight="1">
      <c r="A3007" s="1451"/>
      <c r="B3007" s="1456" t="s">
        <v>7240</v>
      </c>
      <c r="C3007" s="1484"/>
      <c r="D3007" s="1484"/>
      <c r="E3007" s="1484"/>
      <c r="F3007" s="1446"/>
      <c r="G3007" s="1446"/>
      <c r="H3007" s="1447"/>
      <c r="I3007" s="1494">
        <f t="shared" si="107"/>
        <v>0</v>
      </c>
      <c r="J3007" s="1492"/>
      <c r="K3007" s="1439"/>
      <c r="L3007" s="1439"/>
      <c r="M3007" s="1439"/>
      <c r="N3007" s="1439"/>
      <c r="O3007" s="1439"/>
      <c r="P3007" s="1439"/>
      <c r="Q3007" s="1439"/>
      <c r="R3007" s="1439"/>
      <c r="S3007" s="1439"/>
      <c r="T3007" s="1439"/>
      <c r="U3007" s="1439"/>
      <c r="V3007" s="1439"/>
      <c r="W3007" s="1439"/>
      <c r="X3007" s="1439"/>
      <c r="Y3007" s="1439"/>
      <c r="Z3007" s="1439"/>
      <c r="AA3007" s="1439"/>
      <c r="AB3007" s="1439"/>
      <c r="AC3007" s="1439"/>
      <c r="AD3007" s="1439"/>
      <c r="AE3007" s="1439"/>
      <c r="AF3007" s="1439"/>
      <c r="AG3007" s="1439"/>
    </row>
    <row r="3008" spans="1:33" ht="15.75" customHeight="1">
      <c r="A3008" s="1451"/>
      <c r="B3008" s="1450" t="s">
        <v>7224</v>
      </c>
      <c r="C3008" s="1484">
        <v>1</v>
      </c>
      <c r="D3008" s="1484" t="s">
        <v>3364</v>
      </c>
      <c r="E3008" s="1484">
        <v>1</v>
      </c>
      <c r="F3008" s="1446"/>
      <c r="G3008" s="1446"/>
      <c r="H3008" s="1447"/>
      <c r="I3008" s="1494">
        <f t="shared" si="107"/>
        <v>1</v>
      </c>
      <c r="J3008" s="1492"/>
      <c r="K3008" s="1439"/>
      <c r="L3008" s="1439"/>
      <c r="M3008" s="1439"/>
      <c r="N3008" s="1439"/>
      <c r="O3008" s="1439"/>
      <c r="P3008" s="1439"/>
      <c r="Q3008" s="1439"/>
      <c r="R3008" s="1439"/>
      <c r="S3008" s="1439"/>
      <c r="T3008" s="1439"/>
      <c r="U3008" s="1439"/>
      <c r="V3008" s="1439"/>
      <c r="W3008" s="1439"/>
      <c r="X3008" s="1439"/>
      <c r="Y3008" s="1439"/>
      <c r="Z3008" s="1439"/>
      <c r="AA3008" s="1439"/>
      <c r="AB3008" s="1439"/>
      <c r="AC3008" s="1439"/>
      <c r="AD3008" s="1439"/>
      <c r="AE3008" s="1439"/>
      <c r="AF3008" s="1439"/>
      <c r="AG3008" s="1439"/>
    </row>
    <row r="3009" spans="1:33" ht="15.75" customHeight="1">
      <c r="A3009" s="1451"/>
      <c r="B3009" s="1450" t="s">
        <v>7221</v>
      </c>
      <c r="C3009" s="1484">
        <v>1</v>
      </c>
      <c r="D3009" s="1484" t="s">
        <v>3364</v>
      </c>
      <c r="E3009" s="1484">
        <v>2</v>
      </c>
      <c r="F3009" s="1446"/>
      <c r="G3009" s="1446"/>
      <c r="H3009" s="1447"/>
      <c r="I3009" s="1494">
        <f t="shared" si="107"/>
        <v>2</v>
      </c>
      <c r="J3009" s="1492"/>
      <c r="K3009" s="1439"/>
      <c r="L3009" s="1439"/>
      <c r="M3009" s="1439"/>
      <c r="N3009" s="1439"/>
      <c r="O3009" s="1439"/>
      <c r="P3009" s="1439"/>
      <c r="Q3009" s="1439"/>
      <c r="R3009" s="1439"/>
      <c r="S3009" s="1439"/>
      <c r="T3009" s="1439"/>
      <c r="U3009" s="1439"/>
      <c r="V3009" s="1439"/>
      <c r="W3009" s="1439"/>
      <c r="X3009" s="1439"/>
      <c r="Y3009" s="1439"/>
      <c r="Z3009" s="1439"/>
      <c r="AA3009" s="1439"/>
      <c r="AB3009" s="1439"/>
      <c r="AC3009" s="1439"/>
      <c r="AD3009" s="1439"/>
      <c r="AE3009" s="1439"/>
      <c r="AF3009" s="1439"/>
      <c r="AG3009" s="1439"/>
    </row>
    <row r="3010" spans="1:33" ht="15.75" customHeight="1">
      <c r="A3010" s="1451"/>
      <c r="B3010" s="1450" t="s">
        <v>7233</v>
      </c>
      <c r="C3010" s="1484">
        <v>1</v>
      </c>
      <c r="D3010" s="1484" t="s">
        <v>3364</v>
      </c>
      <c r="E3010" s="1484">
        <v>2</v>
      </c>
      <c r="F3010" s="1446"/>
      <c r="G3010" s="1446"/>
      <c r="H3010" s="1447"/>
      <c r="I3010" s="1494">
        <f t="shared" si="107"/>
        <v>2</v>
      </c>
      <c r="J3010" s="1492"/>
      <c r="K3010" s="1439"/>
      <c r="L3010" s="1439"/>
      <c r="M3010" s="1439"/>
      <c r="N3010" s="1439"/>
      <c r="O3010" s="1439"/>
      <c r="P3010" s="1439"/>
      <c r="Q3010" s="1439"/>
      <c r="R3010" s="1439"/>
      <c r="S3010" s="1439"/>
      <c r="T3010" s="1439"/>
      <c r="U3010" s="1439"/>
      <c r="V3010" s="1439"/>
      <c r="W3010" s="1439"/>
      <c r="X3010" s="1439"/>
      <c r="Y3010" s="1439"/>
      <c r="Z3010" s="1439"/>
      <c r="AA3010" s="1439"/>
      <c r="AB3010" s="1439"/>
      <c r="AC3010" s="1439"/>
      <c r="AD3010" s="1439"/>
      <c r="AE3010" s="1439"/>
      <c r="AF3010" s="1439"/>
      <c r="AG3010" s="1439"/>
    </row>
    <row r="3011" spans="1:33" ht="15.75" customHeight="1">
      <c r="A3011" s="1451"/>
      <c r="B3011" s="1450" t="s">
        <v>7231</v>
      </c>
      <c r="C3011" s="1484">
        <v>1</v>
      </c>
      <c r="D3011" s="1484" t="s">
        <v>3364</v>
      </c>
      <c r="E3011" s="1484">
        <v>2</v>
      </c>
      <c r="F3011" s="1446"/>
      <c r="G3011" s="1446"/>
      <c r="H3011" s="1447"/>
      <c r="I3011" s="1494">
        <f t="shared" si="107"/>
        <v>2</v>
      </c>
      <c r="J3011" s="1492"/>
      <c r="K3011" s="1439"/>
      <c r="L3011" s="1439"/>
      <c r="M3011" s="1439"/>
      <c r="N3011" s="1439"/>
      <c r="O3011" s="1439"/>
      <c r="P3011" s="1439"/>
      <c r="Q3011" s="1439"/>
      <c r="R3011" s="1439"/>
      <c r="S3011" s="1439"/>
      <c r="T3011" s="1439"/>
      <c r="U3011" s="1439"/>
      <c r="V3011" s="1439"/>
      <c r="W3011" s="1439"/>
      <c r="X3011" s="1439"/>
      <c r="Y3011" s="1439"/>
      <c r="Z3011" s="1439"/>
      <c r="AA3011" s="1439"/>
      <c r="AB3011" s="1439"/>
      <c r="AC3011" s="1439"/>
      <c r="AD3011" s="1439"/>
      <c r="AE3011" s="1439"/>
      <c r="AF3011" s="1439"/>
      <c r="AG3011" s="1439"/>
    </row>
    <row r="3012" spans="1:33" ht="15.75" customHeight="1">
      <c r="A3012" s="1451"/>
      <c r="B3012" s="1450" t="s">
        <v>6908</v>
      </c>
      <c r="C3012" s="1484">
        <v>1</v>
      </c>
      <c r="D3012" s="1484" t="s">
        <v>3364</v>
      </c>
      <c r="E3012" s="1484">
        <v>1</v>
      </c>
      <c r="F3012" s="1446"/>
      <c r="G3012" s="1446"/>
      <c r="H3012" s="1447"/>
      <c r="I3012" s="1494">
        <f t="shared" si="107"/>
        <v>1</v>
      </c>
      <c r="J3012" s="1492"/>
      <c r="K3012" s="1439"/>
      <c r="L3012" s="1439"/>
      <c r="M3012" s="1439"/>
      <c r="N3012" s="1439"/>
      <c r="O3012" s="1439"/>
      <c r="P3012" s="1439"/>
      <c r="Q3012" s="1439"/>
      <c r="R3012" s="1439"/>
      <c r="S3012" s="1439"/>
      <c r="T3012" s="1439"/>
      <c r="U3012" s="1439"/>
      <c r="V3012" s="1439"/>
      <c r="W3012" s="1439"/>
      <c r="X3012" s="1439"/>
      <c r="Y3012" s="1439"/>
      <c r="Z3012" s="1439"/>
      <c r="AA3012" s="1439"/>
      <c r="AB3012" s="1439"/>
      <c r="AC3012" s="1439"/>
      <c r="AD3012" s="1439"/>
      <c r="AE3012" s="1439"/>
      <c r="AF3012" s="1439"/>
      <c r="AG3012" s="1439"/>
    </row>
    <row r="3013" spans="1:33" ht="15.75" customHeight="1">
      <c r="A3013" s="1451"/>
      <c r="B3013" s="1450" t="s">
        <v>7138</v>
      </c>
      <c r="C3013" s="1484">
        <v>1</v>
      </c>
      <c r="D3013" s="1484" t="s">
        <v>3364</v>
      </c>
      <c r="E3013" s="1484">
        <v>2</v>
      </c>
      <c r="F3013" s="1446"/>
      <c r="G3013" s="1446"/>
      <c r="H3013" s="1447"/>
      <c r="I3013" s="1494">
        <f t="shared" si="107"/>
        <v>2</v>
      </c>
      <c r="J3013" s="1492"/>
      <c r="K3013" s="1439"/>
      <c r="L3013" s="1439"/>
      <c r="M3013" s="1439"/>
      <c r="N3013" s="1439"/>
      <c r="O3013" s="1439"/>
      <c r="P3013" s="1439"/>
      <c r="Q3013" s="1439"/>
      <c r="R3013" s="1439"/>
      <c r="S3013" s="1439"/>
      <c r="T3013" s="1439"/>
      <c r="U3013" s="1439"/>
      <c r="V3013" s="1439"/>
      <c r="W3013" s="1439"/>
      <c r="X3013" s="1439"/>
      <c r="Y3013" s="1439"/>
      <c r="Z3013" s="1439"/>
      <c r="AA3013" s="1439"/>
      <c r="AB3013" s="1439"/>
      <c r="AC3013" s="1439"/>
      <c r="AD3013" s="1439"/>
      <c r="AE3013" s="1439"/>
      <c r="AF3013" s="1439"/>
      <c r="AG3013" s="1439"/>
    </row>
    <row r="3014" spans="1:33" ht="15.75" customHeight="1">
      <c r="A3014" s="1451"/>
      <c r="B3014" s="1450" t="s">
        <v>6586</v>
      </c>
      <c r="C3014" s="1484">
        <v>2</v>
      </c>
      <c r="D3014" s="1484" t="s">
        <v>3364</v>
      </c>
      <c r="E3014" s="1484">
        <v>1</v>
      </c>
      <c r="F3014" s="1446"/>
      <c r="G3014" s="1446"/>
      <c r="H3014" s="1447"/>
      <c r="I3014" s="1494">
        <f t="shared" si="107"/>
        <v>2</v>
      </c>
      <c r="J3014" s="1492"/>
      <c r="K3014" s="1439"/>
      <c r="L3014" s="1439"/>
      <c r="M3014" s="1439"/>
      <c r="N3014" s="1439"/>
      <c r="O3014" s="1439"/>
      <c r="P3014" s="1439"/>
      <c r="Q3014" s="1439"/>
      <c r="R3014" s="1439"/>
      <c r="S3014" s="1439"/>
      <c r="T3014" s="1439"/>
      <c r="U3014" s="1439"/>
      <c r="V3014" s="1439"/>
      <c r="W3014" s="1439"/>
      <c r="X3014" s="1439"/>
      <c r="Y3014" s="1439"/>
      <c r="Z3014" s="1439"/>
      <c r="AA3014" s="1439"/>
      <c r="AB3014" s="1439"/>
      <c r="AC3014" s="1439"/>
      <c r="AD3014" s="1439"/>
      <c r="AE3014" s="1439"/>
      <c r="AF3014" s="1439"/>
      <c r="AG3014" s="1439"/>
    </row>
    <row r="3015" spans="1:33" ht="15.75" customHeight="1">
      <c r="A3015" s="1451"/>
      <c r="B3015" s="1450" t="s">
        <v>7241</v>
      </c>
      <c r="C3015" s="1484">
        <v>1</v>
      </c>
      <c r="D3015" s="1484" t="s">
        <v>3364</v>
      </c>
      <c r="E3015" s="1484">
        <v>1</v>
      </c>
      <c r="F3015" s="1446"/>
      <c r="G3015" s="1446"/>
      <c r="H3015" s="1447"/>
      <c r="I3015" s="1494">
        <f t="shared" si="107"/>
        <v>1</v>
      </c>
      <c r="J3015" s="1492"/>
      <c r="K3015" s="1439"/>
      <c r="L3015" s="1439"/>
      <c r="M3015" s="1439"/>
      <c r="N3015" s="1439"/>
      <c r="O3015" s="1439"/>
      <c r="P3015" s="1439"/>
      <c r="Q3015" s="1439"/>
      <c r="R3015" s="1439"/>
      <c r="S3015" s="1439"/>
      <c r="T3015" s="1439"/>
      <c r="U3015" s="1439"/>
      <c r="V3015" s="1439"/>
      <c r="W3015" s="1439"/>
      <c r="X3015" s="1439"/>
      <c r="Y3015" s="1439"/>
      <c r="Z3015" s="1439"/>
      <c r="AA3015" s="1439"/>
      <c r="AB3015" s="1439"/>
      <c r="AC3015" s="1439"/>
      <c r="AD3015" s="1439"/>
      <c r="AE3015" s="1439"/>
      <c r="AF3015" s="1439"/>
      <c r="AG3015" s="1439"/>
    </row>
    <row r="3016" spans="1:33" ht="15.75" customHeight="1">
      <c r="A3016" s="1451"/>
      <c r="B3016" s="1450" t="s">
        <v>7235</v>
      </c>
      <c r="C3016" s="1484">
        <v>1</v>
      </c>
      <c r="D3016" s="1484" t="s">
        <v>3364</v>
      </c>
      <c r="E3016" s="1484">
        <v>1</v>
      </c>
      <c r="F3016" s="1446"/>
      <c r="G3016" s="1446"/>
      <c r="H3016" s="1447"/>
      <c r="I3016" s="1494">
        <f t="shared" si="107"/>
        <v>1</v>
      </c>
      <c r="J3016" s="1492"/>
      <c r="K3016" s="1439"/>
      <c r="L3016" s="1439"/>
      <c r="M3016" s="1439"/>
      <c r="N3016" s="1439"/>
      <c r="O3016" s="1439"/>
      <c r="P3016" s="1439"/>
      <c r="Q3016" s="1439"/>
      <c r="R3016" s="1439"/>
      <c r="S3016" s="1439"/>
      <c r="T3016" s="1439"/>
      <c r="U3016" s="1439"/>
      <c r="V3016" s="1439"/>
      <c r="W3016" s="1439"/>
      <c r="X3016" s="1439"/>
      <c r="Y3016" s="1439"/>
      <c r="Z3016" s="1439"/>
      <c r="AA3016" s="1439"/>
      <c r="AB3016" s="1439"/>
      <c r="AC3016" s="1439"/>
      <c r="AD3016" s="1439"/>
      <c r="AE3016" s="1439"/>
      <c r="AF3016" s="1439"/>
      <c r="AG3016" s="1439"/>
    </row>
    <row r="3017" spans="1:33" ht="15.75" customHeight="1">
      <c r="A3017" s="1451"/>
      <c r="B3017" s="1450" t="s">
        <v>7236</v>
      </c>
      <c r="C3017" s="1484">
        <v>1</v>
      </c>
      <c r="D3017" s="1484" t="s">
        <v>3364</v>
      </c>
      <c r="E3017" s="1484">
        <v>3</v>
      </c>
      <c r="F3017" s="1446"/>
      <c r="G3017" s="1446"/>
      <c r="H3017" s="1447"/>
      <c r="I3017" s="1494">
        <f t="shared" si="107"/>
        <v>3</v>
      </c>
      <c r="J3017" s="1492"/>
      <c r="K3017" s="1439"/>
      <c r="L3017" s="1439"/>
      <c r="M3017" s="1439"/>
      <c r="N3017" s="1439"/>
      <c r="O3017" s="1439"/>
      <c r="P3017" s="1439"/>
      <c r="Q3017" s="1439"/>
      <c r="R3017" s="1439"/>
      <c r="S3017" s="1439"/>
      <c r="T3017" s="1439"/>
      <c r="U3017" s="1439"/>
      <c r="V3017" s="1439"/>
      <c r="W3017" s="1439"/>
      <c r="X3017" s="1439"/>
      <c r="Y3017" s="1439"/>
      <c r="Z3017" s="1439"/>
      <c r="AA3017" s="1439"/>
      <c r="AB3017" s="1439"/>
      <c r="AC3017" s="1439"/>
      <c r="AD3017" s="1439"/>
      <c r="AE3017" s="1439"/>
      <c r="AF3017" s="1439"/>
      <c r="AG3017" s="1439"/>
    </row>
    <row r="3018" spans="1:33" ht="15.75" customHeight="1">
      <c r="A3018" s="1451"/>
      <c r="B3018" s="1450" t="s">
        <v>7237</v>
      </c>
      <c r="C3018" s="1484">
        <v>2</v>
      </c>
      <c r="D3018" s="1484" t="s">
        <v>3364</v>
      </c>
      <c r="E3018" s="1484">
        <v>1</v>
      </c>
      <c r="F3018" s="1446"/>
      <c r="G3018" s="1446"/>
      <c r="H3018" s="1447"/>
      <c r="I3018" s="1494">
        <f t="shared" si="107"/>
        <v>2</v>
      </c>
      <c r="J3018" s="1492"/>
      <c r="K3018" s="1439"/>
      <c r="L3018" s="1439"/>
      <c r="M3018" s="1439"/>
      <c r="N3018" s="1439"/>
      <c r="O3018" s="1439"/>
      <c r="P3018" s="1439"/>
      <c r="Q3018" s="1439"/>
      <c r="R3018" s="1439"/>
      <c r="S3018" s="1439"/>
      <c r="T3018" s="1439"/>
      <c r="U3018" s="1439"/>
      <c r="V3018" s="1439"/>
      <c r="W3018" s="1439"/>
      <c r="X3018" s="1439"/>
      <c r="Y3018" s="1439"/>
      <c r="Z3018" s="1439"/>
      <c r="AA3018" s="1439"/>
      <c r="AB3018" s="1439"/>
      <c r="AC3018" s="1439"/>
      <c r="AD3018" s="1439"/>
      <c r="AE3018" s="1439"/>
      <c r="AF3018" s="1439"/>
      <c r="AG3018" s="1439"/>
    </row>
    <row r="3019" spans="1:33" ht="15.75" customHeight="1">
      <c r="A3019" s="1451"/>
      <c r="B3019" s="1450" t="s">
        <v>6586</v>
      </c>
      <c r="C3019" s="1484">
        <v>1</v>
      </c>
      <c r="D3019" s="1484" t="s">
        <v>3364</v>
      </c>
      <c r="E3019" s="1484">
        <v>2</v>
      </c>
      <c r="F3019" s="1446"/>
      <c r="G3019" s="1446"/>
      <c r="H3019" s="1447"/>
      <c r="I3019" s="1494">
        <f t="shared" si="107"/>
        <v>2</v>
      </c>
      <c r="J3019" s="1492"/>
      <c r="K3019" s="1439"/>
      <c r="L3019" s="1439"/>
      <c r="M3019" s="1439"/>
      <c r="N3019" s="1439"/>
      <c r="O3019" s="1439"/>
      <c r="P3019" s="1439"/>
      <c r="Q3019" s="1439"/>
      <c r="R3019" s="1439"/>
      <c r="S3019" s="1439"/>
      <c r="T3019" s="1439"/>
      <c r="U3019" s="1439"/>
      <c r="V3019" s="1439"/>
      <c r="W3019" s="1439"/>
      <c r="X3019" s="1439"/>
      <c r="Y3019" s="1439"/>
      <c r="Z3019" s="1439"/>
      <c r="AA3019" s="1439"/>
      <c r="AB3019" s="1439"/>
      <c r="AC3019" s="1439"/>
      <c r="AD3019" s="1439"/>
      <c r="AE3019" s="1439"/>
      <c r="AF3019" s="1439"/>
      <c r="AG3019" s="1439"/>
    </row>
    <row r="3020" spans="1:33" ht="15.75" customHeight="1">
      <c r="A3020" s="1451"/>
      <c r="B3020" s="1450" t="s">
        <v>7238</v>
      </c>
      <c r="C3020" s="1484">
        <v>1</v>
      </c>
      <c r="D3020" s="1484" t="s">
        <v>3364</v>
      </c>
      <c r="E3020" s="1484">
        <v>3</v>
      </c>
      <c r="F3020" s="1446"/>
      <c r="G3020" s="1446"/>
      <c r="H3020" s="1447"/>
      <c r="I3020" s="1494">
        <f t="shared" si="107"/>
        <v>3</v>
      </c>
      <c r="J3020" s="1492"/>
      <c r="K3020" s="1439"/>
      <c r="L3020" s="1439"/>
      <c r="M3020" s="1439"/>
      <c r="N3020" s="1439"/>
      <c r="O3020" s="1439"/>
      <c r="P3020" s="1439"/>
      <c r="Q3020" s="1439"/>
      <c r="R3020" s="1439"/>
      <c r="S3020" s="1439"/>
      <c r="T3020" s="1439"/>
      <c r="U3020" s="1439"/>
      <c r="V3020" s="1439"/>
      <c r="W3020" s="1439"/>
      <c r="X3020" s="1439"/>
      <c r="Y3020" s="1439"/>
      <c r="Z3020" s="1439"/>
      <c r="AA3020" s="1439"/>
      <c r="AB3020" s="1439"/>
      <c r="AC3020" s="1439"/>
      <c r="AD3020" s="1439"/>
      <c r="AE3020" s="1439"/>
      <c r="AF3020" s="1439"/>
      <c r="AG3020" s="1439"/>
    </row>
    <row r="3021" spans="1:33" ht="15.75" customHeight="1">
      <c r="A3021" s="1462"/>
      <c r="B3021" s="1462"/>
      <c r="C3021" s="1589"/>
      <c r="D3021" s="1589"/>
      <c r="E3021" s="1589"/>
      <c r="F3021" s="1590"/>
      <c r="G3021" s="1590"/>
      <c r="H3021" s="1578"/>
      <c r="I3021" s="1587">
        <f>SUM(I2975:I3020)</f>
        <v>71</v>
      </c>
      <c r="J3021" s="1593" t="s">
        <v>41</v>
      </c>
      <c r="K3021" s="1439"/>
      <c r="L3021" s="1439"/>
      <c r="M3021" s="1439"/>
      <c r="N3021" s="1439"/>
      <c r="O3021" s="1439"/>
      <c r="P3021" s="1439"/>
      <c r="Q3021" s="1439"/>
      <c r="R3021" s="1439"/>
      <c r="S3021" s="1439"/>
      <c r="T3021" s="1439"/>
      <c r="U3021" s="1439"/>
      <c r="V3021" s="1439"/>
      <c r="W3021" s="1439"/>
      <c r="X3021" s="1439"/>
      <c r="Y3021" s="1439"/>
      <c r="Z3021" s="1439"/>
      <c r="AA3021" s="1439"/>
      <c r="AB3021" s="1439"/>
      <c r="AC3021" s="1439"/>
      <c r="AD3021" s="1439"/>
      <c r="AE3021" s="1439"/>
      <c r="AF3021" s="1439"/>
      <c r="AG3021" s="1439"/>
    </row>
    <row r="3022" spans="1:33" ht="94.5">
      <c r="A3022" s="1462">
        <v>5</v>
      </c>
      <c r="B3022" s="1444" t="s">
        <v>3756</v>
      </c>
      <c r="C3022" s="1589"/>
      <c r="D3022" s="1589"/>
      <c r="E3022" s="1589"/>
      <c r="F3022" s="1590"/>
      <c r="G3022" s="1590"/>
      <c r="H3022" s="1578"/>
      <c r="I3022" s="1590"/>
      <c r="J3022" s="1577"/>
      <c r="K3022" s="1439"/>
      <c r="L3022" s="1439"/>
      <c r="M3022" s="1439"/>
      <c r="N3022" s="1439"/>
      <c r="O3022" s="1439"/>
      <c r="P3022" s="1439"/>
      <c r="Q3022" s="1439"/>
      <c r="R3022" s="1439"/>
      <c r="S3022" s="1439"/>
      <c r="T3022" s="1439"/>
      <c r="U3022" s="1439"/>
      <c r="V3022" s="1439"/>
      <c r="W3022" s="1439"/>
      <c r="X3022" s="1439"/>
      <c r="Y3022" s="1439"/>
      <c r="Z3022" s="1439"/>
      <c r="AA3022" s="1439"/>
      <c r="AB3022" s="1439"/>
      <c r="AC3022" s="1439"/>
      <c r="AD3022" s="1439"/>
      <c r="AE3022" s="1439"/>
      <c r="AF3022" s="1439"/>
      <c r="AG3022" s="1439"/>
    </row>
    <row r="3023" spans="1:33" ht="47.25">
      <c r="A3023" s="1462"/>
      <c r="B3023" s="1591" t="s">
        <v>7366</v>
      </c>
      <c r="C3023" s="1462">
        <v>1</v>
      </c>
      <c r="D3023" s="1462" t="s">
        <v>3364</v>
      </c>
      <c r="E3023" s="1462">
        <v>1</v>
      </c>
      <c r="F3023" s="1462"/>
      <c r="G3023" s="1462"/>
      <c r="H3023" s="1474"/>
      <c r="I3023" s="1462">
        <f>PRODUCT(C3023:H3023)</f>
        <v>1</v>
      </c>
      <c r="J3023" s="1462" t="s">
        <v>41</v>
      </c>
      <c r="K3023" s="1439"/>
      <c r="L3023" s="1439"/>
      <c r="M3023" s="1439"/>
      <c r="N3023" s="1439"/>
      <c r="O3023" s="1439"/>
      <c r="P3023" s="1439"/>
      <c r="Q3023" s="1439"/>
      <c r="R3023" s="1439"/>
      <c r="S3023" s="1439"/>
      <c r="T3023" s="1439"/>
      <c r="U3023" s="1439"/>
      <c r="V3023" s="1439"/>
      <c r="W3023" s="1439"/>
      <c r="X3023" s="1439"/>
      <c r="Y3023" s="1439"/>
      <c r="Z3023" s="1439"/>
      <c r="AA3023" s="1439"/>
      <c r="AB3023" s="1439"/>
      <c r="AC3023" s="1439"/>
      <c r="AD3023" s="1439"/>
      <c r="AE3023" s="1439"/>
      <c r="AF3023" s="1439"/>
      <c r="AG3023" s="1439"/>
    </row>
    <row r="3024" spans="1:33" ht="15.75" customHeight="1">
      <c r="A3024" s="1462"/>
      <c r="B3024" s="1444" t="s">
        <v>7367</v>
      </c>
      <c r="C3024" s="1462"/>
      <c r="D3024" s="1462"/>
      <c r="E3024" s="1462"/>
      <c r="F3024" s="1462"/>
      <c r="G3024" s="1462"/>
      <c r="H3024" s="1474"/>
      <c r="I3024" s="1462"/>
      <c r="J3024" s="1462"/>
      <c r="K3024" s="1439"/>
      <c r="L3024" s="1439"/>
      <c r="M3024" s="1439"/>
      <c r="N3024" s="1439"/>
      <c r="O3024" s="1439"/>
      <c r="P3024" s="1439"/>
      <c r="Q3024" s="1439"/>
      <c r="R3024" s="1439"/>
      <c r="S3024" s="1439"/>
      <c r="T3024" s="1439"/>
      <c r="U3024" s="1439"/>
      <c r="V3024" s="1439"/>
      <c r="W3024" s="1439"/>
      <c r="X3024" s="1439"/>
      <c r="Y3024" s="1439"/>
      <c r="Z3024" s="1439"/>
      <c r="AA3024" s="1439"/>
      <c r="AB3024" s="1439"/>
      <c r="AC3024" s="1439"/>
      <c r="AD3024" s="1439"/>
      <c r="AE3024" s="1439"/>
      <c r="AF3024" s="1439"/>
      <c r="AG3024" s="1439"/>
    </row>
    <row r="3025" spans="1:33" ht="15.75" customHeight="1">
      <c r="A3025" s="1462"/>
      <c r="B3025" s="1462" t="s">
        <v>7368</v>
      </c>
      <c r="C3025" s="1462"/>
      <c r="D3025" s="1462"/>
      <c r="E3025" s="1462"/>
      <c r="F3025" s="1462"/>
      <c r="G3025" s="1462"/>
      <c r="H3025" s="1474"/>
      <c r="I3025" s="1462"/>
      <c r="J3025" s="1462"/>
      <c r="K3025" s="1439"/>
      <c r="L3025" s="1439"/>
      <c r="M3025" s="1439"/>
      <c r="N3025" s="1439"/>
      <c r="O3025" s="1439"/>
      <c r="P3025" s="1439"/>
      <c r="Q3025" s="1439"/>
      <c r="R3025" s="1439"/>
      <c r="S3025" s="1439"/>
      <c r="T3025" s="1439"/>
      <c r="U3025" s="1439"/>
      <c r="V3025" s="1439"/>
      <c r="W3025" s="1439"/>
      <c r="X3025" s="1439"/>
      <c r="Y3025" s="1439"/>
      <c r="Z3025" s="1439"/>
      <c r="AA3025" s="1439"/>
      <c r="AB3025" s="1439"/>
      <c r="AC3025" s="1439"/>
      <c r="AD3025" s="1439"/>
      <c r="AE3025" s="1439"/>
      <c r="AF3025" s="1439"/>
      <c r="AG3025" s="1439"/>
    </row>
    <row r="3026" spans="1:33" ht="15.75" customHeight="1">
      <c r="A3026" s="1462"/>
      <c r="B3026" s="1462" t="s">
        <v>3757</v>
      </c>
      <c r="C3026" s="1462">
        <v>1</v>
      </c>
      <c r="D3026" s="1462" t="s">
        <v>3364</v>
      </c>
      <c r="E3026" s="1462">
        <v>1</v>
      </c>
      <c r="F3026" s="1462"/>
      <c r="G3026" s="1462"/>
      <c r="H3026" s="1474"/>
      <c r="I3026" s="1462">
        <f>PRODUCT(C3026:H3026)</f>
        <v>1</v>
      </c>
      <c r="J3026" s="1462" t="s">
        <v>41</v>
      </c>
      <c r="K3026" s="1439"/>
      <c r="L3026" s="1439"/>
      <c r="M3026" s="1439"/>
      <c r="N3026" s="1439"/>
      <c r="O3026" s="1439"/>
      <c r="P3026" s="1439"/>
      <c r="Q3026" s="1439"/>
      <c r="R3026" s="1439"/>
      <c r="S3026" s="1439"/>
      <c r="T3026" s="1439"/>
      <c r="U3026" s="1439"/>
      <c r="V3026" s="1439"/>
      <c r="W3026" s="1439"/>
      <c r="X3026" s="1439"/>
      <c r="Y3026" s="1439"/>
      <c r="Z3026" s="1439"/>
      <c r="AA3026" s="1439"/>
      <c r="AB3026" s="1439"/>
      <c r="AC3026" s="1439"/>
      <c r="AD3026" s="1439"/>
      <c r="AE3026" s="1439"/>
      <c r="AF3026" s="1439"/>
      <c r="AG3026" s="1439"/>
    </row>
    <row r="3027" spans="1:33" ht="15.75" customHeight="1">
      <c r="A3027" s="1462"/>
      <c r="B3027" s="1462" t="s">
        <v>7369</v>
      </c>
      <c r="C3027" s="1462"/>
      <c r="D3027" s="1462"/>
      <c r="E3027" s="1462"/>
      <c r="F3027" s="1462"/>
      <c r="G3027" s="1462"/>
      <c r="H3027" s="1474"/>
      <c r="I3027" s="1462"/>
      <c r="J3027" s="1462"/>
      <c r="K3027" s="1439"/>
      <c r="L3027" s="1439"/>
      <c r="M3027" s="1439"/>
      <c r="N3027" s="1439"/>
      <c r="O3027" s="1439"/>
      <c r="P3027" s="1439"/>
      <c r="Q3027" s="1439"/>
      <c r="R3027" s="1439"/>
      <c r="S3027" s="1439"/>
      <c r="T3027" s="1439"/>
      <c r="U3027" s="1439"/>
      <c r="V3027" s="1439"/>
      <c r="W3027" s="1439"/>
      <c r="X3027" s="1439"/>
      <c r="Y3027" s="1439"/>
      <c r="Z3027" s="1439"/>
      <c r="AA3027" s="1439"/>
      <c r="AB3027" s="1439"/>
      <c r="AC3027" s="1439"/>
      <c r="AD3027" s="1439"/>
      <c r="AE3027" s="1439"/>
      <c r="AF3027" s="1439"/>
      <c r="AG3027" s="1439"/>
    </row>
    <row r="3028" spans="1:33" ht="15.75" customHeight="1">
      <c r="A3028" s="1462"/>
      <c r="B3028" s="1462" t="s">
        <v>7370</v>
      </c>
      <c r="C3028" s="1462">
        <v>1</v>
      </c>
      <c r="D3028" s="1462" t="s">
        <v>3364</v>
      </c>
      <c r="E3028" s="1462">
        <v>10</v>
      </c>
      <c r="F3028" s="1462"/>
      <c r="G3028" s="1462"/>
      <c r="H3028" s="1474"/>
      <c r="I3028" s="1462">
        <f>PRODUCT(C3028:H3028)</f>
        <v>10</v>
      </c>
      <c r="J3028" s="1462" t="s">
        <v>41</v>
      </c>
      <c r="K3028" s="1439"/>
      <c r="L3028" s="1439"/>
      <c r="M3028" s="1439"/>
      <c r="N3028" s="1439"/>
      <c r="O3028" s="1439"/>
      <c r="P3028" s="1439"/>
      <c r="Q3028" s="1439"/>
      <c r="R3028" s="1439"/>
      <c r="S3028" s="1439"/>
      <c r="T3028" s="1439"/>
      <c r="U3028" s="1439"/>
      <c r="V3028" s="1439"/>
      <c r="W3028" s="1439"/>
      <c r="X3028" s="1439"/>
      <c r="Y3028" s="1439"/>
      <c r="Z3028" s="1439"/>
      <c r="AA3028" s="1439"/>
      <c r="AB3028" s="1439"/>
      <c r="AC3028" s="1439"/>
      <c r="AD3028" s="1439"/>
      <c r="AE3028" s="1439"/>
      <c r="AF3028" s="1439"/>
      <c r="AG3028" s="1439"/>
    </row>
    <row r="3029" spans="1:33" ht="15.75" customHeight="1">
      <c r="A3029" s="1470"/>
      <c r="B3029" s="1462" t="s">
        <v>7371</v>
      </c>
      <c r="C3029" s="1484"/>
      <c r="D3029" s="1484"/>
      <c r="E3029" s="1484"/>
      <c r="F3029" s="1446"/>
      <c r="G3029" s="1446"/>
      <c r="H3029" s="1447"/>
      <c r="I3029" s="1448"/>
      <c r="J3029" s="1475"/>
      <c r="K3029" s="1439"/>
      <c r="L3029" s="1439"/>
      <c r="M3029" s="1439"/>
      <c r="N3029" s="1439"/>
      <c r="O3029" s="1439"/>
      <c r="P3029" s="1439"/>
      <c r="Q3029" s="1439"/>
      <c r="R3029" s="1439"/>
      <c r="S3029" s="1439"/>
      <c r="T3029" s="1439"/>
      <c r="U3029" s="1439"/>
      <c r="V3029" s="1439"/>
      <c r="W3029" s="1439"/>
      <c r="X3029" s="1439"/>
      <c r="Y3029" s="1439"/>
      <c r="Z3029" s="1439"/>
      <c r="AA3029" s="1439"/>
      <c r="AB3029" s="1439"/>
      <c r="AC3029" s="1439"/>
      <c r="AD3029" s="1439"/>
      <c r="AE3029" s="1439"/>
      <c r="AF3029" s="1439"/>
      <c r="AG3029" s="1439"/>
    </row>
    <row r="3030" spans="1:33" ht="15.75" customHeight="1">
      <c r="A3030" s="1462"/>
      <c r="B3030" s="1462" t="s">
        <v>7372</v>
      </c>
      <c r="C3030" s="1462">
        <v>5</v>
      </c>
      <c r="D3030" s="1462" t="s">
        <v>3364</v>
      </c>
      <c r="E3030" s="1462">
        <v>7</v>
      </c>
      <c r="F3030" s="1462"/>
      <c r="G3030" s="1462"/>
      <c r="H3030" s="1474"/>
      <c r="I3030" s="1462">
        <f>PRODUCT(C3030:H3030)</f>
        <v>35</v>
      </c>
      <c r="J3030" s="1462" t="s">
        <v>41</v>
      </c>
      <c r="K3030" s="1439"/>
      <c r="L3030" s="1439"/>
      <c r="M3030" s="1439"/>
      <c r="N3030" s="1439"/>
      <c r="O3030" s="1439"/>
      <c r="P3030" s="1439"/>
      <c r="Q3030" s="1439"/>
      <c r="R3030" s="1439"/>
      <c r="S3030" s="1439"/>
      <c r="T3030" s="1439"/>
      <c r="U3030" s="1439"/>
      <c r="V3030" s="1439"/>
      <c r="W3030" s="1439"/>
      <c r="X3030" s="1439"/>
      <c r="Y3030" s="1439"/>
      <c r="Z3030" s="1439"/>
      <c r="AA3030" s="1439"/>
      <c r="AB3030" s="1439"/>
      <c r="AC3030" s="1439"/>
      <c r="AD3030" s="1439"/>
      <c r="AE3030" s="1439"/>
      <c r="AF3030" s="1439"/>
      <c r="AG3030" s="1439"/>
    </row>
    <row r="3031" spans="1:33" ht="31.5">
      <c r="A3031" s="1470"/>
      <c r="B3031" s="1560" t="s">
        <v>3758</v>
      </c>
      <c r="C3031" s="1484"/>
      <c r="D3031" s="1484"/>
      <c r="E3031" s="1484"/>
      <c r="F3031" s="1446"/>
      <c r="G3031" s="1446"/>
      <c r="H3031" s="1447"/>
      <c r="I3031" s="1448"/>
      <c r="J3031" s="1475"/>
      <c r="K3031" s="1594"/>
      <c r="L3031" s="1595"/>
      <c r="M3031" s="1439"/>
      <c r="N3031" s="1439"/>
      <c r="O3031" s="1439"/>
      <c r="P3031" s="1439"/>
      <c r="Q3031" s="1439"/>
      <c r="R3031" s="1439"/>
      <c r="S3031" s="1439"/>
      <c r="T3031" s="1439"/>
      <c r="U3031" s="1439"/>
      <c r="V3031" s="1439"/>
      <c r="W3031" s="1439"/>
      <c r="X3031" s="1439"/>
      <c r="Y3031" s="1439"/>
      <c r="Z3031" s="1439"/>
      <c r="AA3031" s="1439"/>
      <c r="AB3031" s="1439"/>
      <c r="AC3031" s="1439"/>
      <c r="AD3031" s="1439"/>
      <c r="AE3031" s="1439"/>
      <c r="AF3031" s="1439"/>
      <c r="AG3031" s="1439"/>
    </row>
    <row r="3032" spans="1:33" ht="15.75" customHeight="1">
      <c r="A3032" s="1443"/>
      <c r="B3032" s="1450" t="s">
        <v>7373</v>
      </c>
      <c r="C3032" s="1445">
        <v>1</v>
      </c>
      <c r="D3032" s="1445" t="s">
        <v>3364</v>
      </c>
      <c r="E3032" s="1445">
        <v>1</v>
      </c>
      <c r="F3032" s="1446">
        <f>2.33+2.33</f>
        <v>4.66</v>
      </c>
      <c r="G3032" s="1446"/>
      <c r="H3032" s="1447">
        <v>3.2</v>
      </c>
      <c r="I3032" s="1448">
        <f t="shared" ref="I3032:I3040" si="108">PRODUCT(C3032:H3032)</f>
        <v>14.91</v>
      </c>
      <c r="J3032" s="1449"/>
      <c r="K3032" s="1594"/>
      <c r="L3032" s="1595"/>
      <c r="M3032" s="1439"/>
      <c r="N3032" s="1439"/>
      <c r="O3032" s="1439"/>
      <c r="P3032" s="1439"/>
      <c r="Q3032" s="1439"/>
      <c r="R3032" s="1439"/>
      <c r="S3032" s="1439"/>
      <c r="T3032" s="1439"/>
      <c r="U3032" s="1439"/>
      <c r="V3032" s="1439"/>
      <c r="W3032" s="1439"/>
      <c r="X3032" s="1439"/>
      <c r="Y3032" s="1439"/>
      <c r="Z3032" s="1439"/>
      <c r="AA3032" s="1439"/>
      <c r="AB3032" s="1439"/>
      <c r="AC3032" s="1439"/>
      <c r="AD3032" s="1439"/>
      <c r="AE3032" s="1439"/>
      <c r="AF3032" s="1439"/>
      <c r="AG3032" s="1439"/>
    </row>
    <row r="3033" spans="1:33" ht="15.75" customHeight="1">
      <c r="A3033" s="1443"/>
      <c r="B3033" s="1450" t="s">
        <v>3759</v>
      </c>
      <c r="C3033" s="1445">
        <v>1</v>
      </c>
      <c r="D3033" s="1445" t="s">
        <v>3364</v>
      </c>
      <c r="E3033" s="1445">
        <v>1</v>
      </c>
      <c r="F3033" s="1446">
        <v>4.66</v>
      </c>
      <c r="G3033" s="1446"/>
      <c r="H3033" s="1447">
        <v>3.2</v>
      </c>
      <c r="I3033" s="1448">
        <f t="shared" si="108"/>
        <v>14.91</v>
      </c>
      <c r="J3033" s="1449"/>
      <c r="K3033" s="1439"/>
      <c r="L3033" s="1596"/>
      <c r="M3033" s="1439"/>
      <c r="N3033" s="1439"/>
      <c r="O3033" s="1439"/>
      <c r="P3033" s="1439"/>
      <c r="Q3033" s="1439"/>
      <c r="R3033" s="1439"/>
      <c r="S3033" s="1439"/>
      <c r="T3033" s="1439"/>
      <c r="U3033" s="1439"/>
      <c r="V3033" s="1439"/>
      <c r="W3033" s="1439"/>
      <c r="X3033" s="1439"/>
      <c r="Y3033" s="1439"/>
      <c r="Z3033" s="1439"/>
      <c r="AA3033" s="1439"/>
      <c r="AB3033" s="1439"/>
      <c r="AC3033" s="1439"/>
      <c r="AD3033" s="1439"/>
      <c r="AE3033" s="1439"/>
      <c r="AF3033" s="1439"/>
      <c r="AG3033" s="1439"/>
    </row>
    <row r="3034" spans="1:33" ht="15.75" customHeight="1">
      <c r="A3034" s="1443"/>
      <c r="B3034" s="1450" t="s">
        <v>7374</v>
      </c>
      <c r="C3034" s="1445">
        <v>1</v>
      </c>
      <c r="D3034" s="1445" t="s">
        <v>3364</v>
      </c>
      <c r="E3034" s="1445">
        <v>1</v>
      </c>
      <c r="F3034" s="1446">
        <v>4.66</v>
      </c>
      <c r="G3034" s="1446"/>
      <c r="H3034" s="1447">
        <v>3.2</v>
      </c>
      <c r="I3034" s="1448">
        <f t="shared" si="108"/>
        <v>14.91</v>
      </c>
      <c r="J3034" s="1449"/>
      <c r="K3034" s="1439"/>
      <c r="L3034" s="1596"/>
      <c r="M3034" s="1439"/>
      <c r="N3034" s="1439"/>
      <c r="O3034" s="1439"/>
      <c r="P3034" s="1439"/>
      <c r="Q3034" s="1439"/>
      <c r="R3034" s="1439"/>
      <c r="S3034" s="1439"/>
      <c r="T3034" s="1439"/>
      <c r="U3034" s="1439"/>
      <c r="V3034" s="1439"/>
      <c r="W3034" s="1439"/>
      <c r="X3034" s="1439"/>
      <c r="Y3034" s="1439"/>
      <c r="Z3034" s="1439"/>
      <c r="AA3034" s="1439"/>
      <c r="AB3034" s="1439"/>
      <c r="AC3034" s="1439"/>
      <c r="AD3034" s="1439"/>
      <c r="AE3034" s="1439"/>
      <c r="AF3034" s="1439"/>
      <c r="AG3034" s="1439"/>
    </row>
    <row r="3035" spans="1:33" ht="15.75" customHeight="1">
      <c r="A3035" s="1443"/>
      <c r="B3035" s="1450" t="s">
        <v>7375</v>
      </c>
      <c r="C3035" s="1445">
        <v>1</v>
      </c>
      <c r="D3035" s="1445" t="s">
        <v>3364</v>
      </c>
      <c r="E3035" s="1445">
        <v>1</v>
      </c>
      <c r="F3035" s="1446">
        <v>4.66</v>
      </c>
      <c r="G3035" s="1446"/>
      <c r="H3035" s="1447">
        <v>3.2</v>
      </c>
      <c r="I3035" s="1448">
        <f t="shared" si="108"/>
        <v>14.91</v>
      </c>
      <c r="J3035" s="1449"/>
      <c r="K3035" s="1439"/>
      <c r="L3035" s="1439"/>
      <c r="M3035" s="1439"/>
      <c r="N3035" s="1439"/>
      <c r="O3035" s="1439"/>
      <c r="P3035" s="1439"/>
      <c r="Q3035" s="1439"/>
      <c r="R3035" s="1439"/>
      <c r="S3035" s="1439"/>
      <c r="T3035" s="1439"/>
      <c r="U3035" s="1439"/>
      <c r="V3035" s="1439"/>
      <c r="W3035" s="1439"/>
      <c r="X3035" s="1439"/>
      <c r="Y3035" s="1439"/>
      <c r="Z3035" s="1439"/>
      <c r="AA3035" s="1439"/>
      <c r="AB3035" s="1439"/>
      <c r="AC3035" s="1439"/>
      <c r="AD3035" s="1439"/>
      <c r="AE3035" s="1439"/>
      <c r="AF3035" s="1439"/>
      <c r="AG3035" s="1439"/>
    </row>
    <row r="3036" spans="1:33" ht="15.75" customHeight="1">
      <c r="A3036" s="1443"/>
      <c r="B3036" s="1450" t="s">
        <v>7376</v>
      </c>
      <c r="C3036" s="1445">
        <v>1</v>
      </c>
      <c r="D3036" s="1445" t="s">
        <v>3364</v>
      </c>
      <c r="E3036" s="1445">
        <v>2</v>
      </c>
      <c r="F3036" s="1446">
        <v>4</v>
      </c>
      <c r="G3036" s="1446"/>
      <c r="H3036" s="1447">
        <v>3.2</v>
      </c>
      <c r="I3036" s="1448">
        <f t="shared" si="108"/>
        <v>25.6</v>
      </c>
      <c r="J3036" s="1449"/>
      <c r="K3036" s="1439"/>
      <c r="L3036" s="1439"/>
      <c r="M3036" s="1439"/>
      <c r="N3036" s="1439"/>
      <c r="O3036" s="1439"/>
      <c r="P3036" s="1439"/>
      <c r="Q3036" s="1439"/>
      <c r="R3036" s="1439"/>
      <c r="S3036" s="1439"/>
      <c r="T3036" s="1439"/>
      <c r="U3036" s="1439"/>
      <c r="V3036" s="1439"/>
      <c r="W3036" s="1439"/>
      <c r="X3036" s="1439"/>
      <c r="Y3036" s="1439"/>
      <c r="Z3036" s="1439"/>
      <c r="AA3036" s="1439"/>
      <c r="AB3036" s="1439"/>
      <c r="AC3036" s="1439"/>
      <c r="AD3036" s="1439"/>
      <c r="AE3036" s="1439"/>
      <c r="AF3036" s="1439"/>
      <c r="AG3036" s="1439"/>
    </row>
    <row r="3037" spans="1:33" ht="15.75" customHeight="1">
      <c r="A3037" s="1470"/>
      <c r="B3037" s="1450" t="s">
        <v>7377</v>
      </c>
      <c r="C3037" s="1484">
        <v>1</v>
      </c>
      <c r="D3037" s="1484" t="s">
        <v>3364</v>
      </c>
      <c r="E3037" s="1484">
        <v>1</v>
      </c>
      <c r="F3037" s="1446">
        <f>32.215+32.215+4</f>
        <v>68.430000000000007</v>
      </c>
      <c r="G3037" s="1446"/>
      <c r="H3037" s="1447">
        <v>3.2</v>
      </c>
      <c r="I3037" s="1448">
        <f t="shared" si="108"/>
        <v>218.98</v>
      </c>
      <c r="J3037" s="1525"/>
      <c r="K3037" s="1439"/>
      <c r="L3037" s="1439"/>
      <c r="M3037" s="1439"/>
      <c r="N3037" s="1439"/>
      <c r="O3037" s="1439"/>
      <c r="P3037" s="1439"/>
      <c r="Q3037" s="1439"/>
      <c r="R3037" s="1439"/>
      <c r="S3037" s="1439"/>
      <c r="T3037" s="1439"/>
      <c r="U3037" s="1439"/>
      <c r="V3037" s="1439"/>
      <c r="W3037" s="1439"/>
      <c r="X3037" s="1439"/>
      <c r="Y3037" s="1439"/>
      <c r="Z3037" s="1439"/>
      <c r="AA3037" s="1439"/>
      <c r="AB3037" s="1439"/>
      <c r="AC3037" s="1439"/>
      <c r="AD3037" s="1439"/>
      <c r="AE3037" s="1439"/>
      <c r="AF3037" s="1439"/>
      <c r="AG3037" s="1439"/>
    </row>
    <row r="3038" spans="1:33" ht="15.75" customHeight="1">
      <c r="A3038" s="1443"/>
      <c r="B3038" s="1450" t="s">
        <v>7378</v>
      </c>
      <c r="C3038" s="1445">
        <v>1</v>
      </c>
      <c r="D3038" s="1445" t="s">
        <v>3364</v>
      </c>
      <c r="E3038" s="1445">
        <v>2</v>
      </c>
      <c r="F3038" s="1446">
        <v>2.23</v>
      </c>
      <c r="G3038" s="1446"/>
      <c r="H3038" s="1447">
        <v>3.2</v>
      </c>
      <c r="I3038" s="1448">
        <f t="shared" si="108"/>
        <v>14.27</v>
      </c>
      <c r="J3038" s="1449"/>
      <c r="K3038" s="1439"/>
      <c r="L3038" s="1439"/>
      <c r="M3038" s="1439"/>
      <c r="N3038" s="1439"/>
      <c r="O3038" s="1439"/>
      <c r="P3038" s="1439"/>
      <c r="Q3038" s="1439"/>
      <c r="R3038" s="1439"/>
      <c r="S3038" s="1439"/>
      <c r="T3038" s="1439"/>
      <c r="U3038" s="1439"/>
      <c r="V3038" s="1439"/>
      <c r="W3038" s="1439"/>
      <c r="X3038" s="1439"/>
      <c r="Y3038" s="1439"/>
      <c r="Z3038" s="1439"/>
      <c r="AA3038" s="1439"/>
      <c r="AB3038" s="1439"/>
      <c r="AC3038" s="1439"/>
      <c r="AD3038" s="1439"/>
      <c r="AE3038" s="1439"/>
      <c r="AF3038" s="1439"/>
      <c r="AG3038" s="1439"/>
    </row>
    <row r="3039" spans="1:33" ht="15.75" customHeight="1">
      <c r="A3039" s="1443"/>
      <c r="B3039" s="1450" t="s">
        <v>3760</v>
      </c>
      <c r="C3039" s="1445">
        <v>-1</v>
      </c>
      <c r="D3039" s="1445" t="s">
        <v>3364</v>
      </c>
      <c r="E3039" s="1445">
        <v>4</v>
      </c>
      <c r="F3039" s="1446">
        <v>1</v>
      </c>
      <c r="G3039" s="1446"/>
      <c r="H3039" s="1447">
        <v>3.2</v>
      </c>
      <c r="I3039" s="1448">
        <f t="shared" si="108"/>
        <v>-12.8</v>
      </c>
      <c r="J3039" s="1449"/>
      <c r="K3039" s="1439"/>
      <c r="L3039" s="1439"/>
      <c r="M3039" s="1439"/>
      <c r="N3039" s="1439"/>
      <c r="O3039" s="1439"/>
      <c r="P3039" s="1439"/>
      <c r="Q3039" s="1439"/>
      <c r="R3039" s="1439"/>
      <c r="S3039" s="1439"/>
      <c r="T3039" s="1439"/>
      <c r="U3039" s="1439"/>
      <c r="V3039" s="1439"/>
      <c r="W3039" s="1439"/>
      <c r="X3039" s="1439"/>
      <c r="Y3039" s="1439"/>
      <c r="Z3039" s="1439"/>
      <c r="AA3039" s="1439"/>
      <c r="AB3039" s="1439"/>
      <c r="AC3039" s="1439"/>
      <c r="AD3039" s="1439"/>
      <c r="AE3039" s="1439"/>
      <c r="AF3039" s="1439"/>
      <c r="AG3039" s="1439"/>
    </row>
    <row r="3040" spans="1:33" ht="15.75" customHeight="1">
      <c r="A3040" s="1443"/>
      <c r="B3040" s="1450" t="s">
        <v>7379</v>
      </c>
      <c r="C3040" s="1445">
        <v>-1</v>
      </c>
      <c r="D3040" s="1445" t="s">
        <v>3364</v>
      </c>
      <c r="E3040" s="1445">
        <v>20</v>
      </c>
      <c r="F3040" s="1446">
        <v>1</v>
      </c>
      <c r="G3040" s="1446"/>
      <c r="H3040" s="1447">
        <v>2.1</v>
      </c>
      <c r="I3040" s="1448">
        <f t="shared" si="108"/>
        <v>-42</v>
      </c>
      <c r="J3040" s="1449"/>
      <c r="K3040" s="1439"/>
      <c r="L3040" s="1439"/>
      <c r="M3040" s="1439"/>
      <c r="N3040" s="1439"/>
      <c r="O3040" s="1439"/>
      <c r="P3040" s="1439"/>
      <c r="Q3040" s="1439"/>
      <c r="R3040" s="1439"/>
      <c r="S3040" s="1439"/>
      <c r="T3040" s="1439"/>
      <c r="U3040" s="1439"/>
      <c r="V3040" s="1439"/>
      <c r="W3040" s="1439"/>
      <c r="X3040" s="1439"/>
      <c r="Y3040" s="1439"/>
      <c r="Z3040" s="1439"/>
      <c r="AA3040" s="1439"/>
      <c r="AB3040" s="1439"/>
      <c r="AC3040" s="1439"/>
      <c r="AD3040" s="1439"/>
      <c r="AE3040" s="1439"/>
      <c r="AF3040" s="1439"/>
      <c r="AG3040" s="1439"/>
    </row>
    <row r="3041" spans="1:33" ht="15.75" customHeight="1">
      <c r="A3041" s="1470"/>
      <c r="B3041" s="1474"/>
      <c r="C3041" s="1445"/>
      <c r="D3041" s="1445"/>
      <c r="E3041" s="1445"/>
      <c r="F3041" s="1446"/>
      <c r="G3041" s="1458" t="s">
        <v>104</v>
      </c>
      <c r="H3041" s="1460"/>
      <c r="I3041" s="1459">
        <f>SUM(I3032:I3040)</f>
        <v>263.69</v>
      </c>
      <c r="J3041" s="1475"/>
      <c r="K3041" s="1439"/>
      <c r="L3041" s="1439"/>
      <c r="M3041" s="1439"/>
      <c r="N3041" s="1439"/>
      <c r="O3041" s="1439"/>
      <c r="P3041" s="1439"/>
      <c r="Q3041" s="1439"/>
      <c r="R3041" s="1439"/>
      <c r="S3041" s="1439"/>
      <c r="T3041" s="1439"/>
      <c r="U3041" s="1439"/>
      <c r="V3041" s="1439"/>
      <c r="W3041" s="1439"/>
      <c r="X3041" s="1439"/>
      <c r="Y3041" s="1439"/>
      <c r="Z3041" s="1439"/>
      <c r="AA3041" s="1439"/>
      <c r="AB3041" s="1439"/>
      <c r="AC3041" s="1439"/>
      <c r="AD3041" s="1439"/>
      <c r="AE3041" s="1439"/>
      <c r="AF3041" s="1439"/>
      <c r="AG3041" s="1439"/>
    </row>
    <row r="3042" spans="1:33" ht="15.75" customHeight="1">
      <c r="A3042" s="1470"/>
      <c r="B3042" s="1474"/>
      <c r="C3042" s="1445"/>
      <c r="D3042" s="1445"/>
      <c r="E3042" s="1445"/>
      <c r="F3042" s="1446"/>
      <c r="G3042" s="1458"/>
      <c r="H3042" s="1460" t="s">
        <v>2981</v>
      </c>
      <c r="I3042" s="1459">
        <f>CEILING(I3041,0.1)</f>
        <v>263.7</v>
      </c>
      <c r="J3042" s="1449" t="s">
        <v>5</v>
      </c>
      <c r="K3042" s="1439"/>
      <c r="L3042" s="1439"/>
      <c r="M3042" s="1439"/>
      <c r="N3042" s="1439"/>
      <c r="O3042" s="1439"/>
      <c r="P3042" s="1439"/>
      <c r="Q3042" s="1439"/>
      <c r="R3042" s="1439"/>
      <c r="S3042" s="1439"/>
      <c r="T3042" s="1439"/>
      <c r="U3042" s="1439"/>
      <c r="V3042" s="1439"/>
      <c r="W3042" s="1439"/>
      <c r="X3042" s="1439"/>
      <c r="Y3042" s="1439"/>
      <c r="Z3042" s="1439"/>
      <c r="AA3042" s="1439"/>
      <c r="AB3042" s="1439"/>
      <c r="AC3042" s="1439"/>
      <c r="AD3042" s="1439"/>
      <c r="AE3042" s="1439"/>
      <c r="AF3042" s="1439"/>
      <c r="AG3042" s="1439"/>
    </row>
    <row r="3043" spans="1:33" ht="18" customHeight="1">
      <c r="A3043" s="1451">
        <v>38.6</v>
      </c>
      <c r="B3043" s="1455" t="s">
        <v>7380</v>
      </c>
      <c r="C3043" s="1484"/>
      <c r="D3043" s="1484"/>
      <c r="E3043" s="1484"/>
      <c r="F3043" s="1446"/>
      <c r="G3043" s="1446"/>
      <c r="H3043" s="1447"/>
      <c r="I3043" s="1448"/>
      <c r="J3043" s="1475"/>
      <c r="K3043" s="1439"/>
      <c r="L3043" s="1439"/>
      <c r="M3043" s="1439"/>
      <c r="N3043" s="1439"/>
      <c r="O3043" s="1439"/>
      <c r="P3043" s="1439"/>
      <c r="Q3043" s="1439"/>
      <c r="R3043" s="1439"/>
      <c r="S3043" s="1439"/>
      <c r="T3043" s="1439"/>
      <c r="U3043" s="1439"/>
      <c r="V3043" s="1439"/>
      <c r="W3043" s="1439"/>
      <c r="X3043" s="1439"/>
      <c r="Y3043" s="1439"/>
      <c r="Z3043" s="1439"/>
      <c r="AA3043" s="1439"/>
      <c r="AB3043" s="1439"/>
      <c r="AC3043" s="1439"/>
      <c r="AD3043" s="1439"/>
      <c r="AE3043" s="1439"/>
      <c r="AF3043" s="1439"/>
      <c r="AG3043" s="1439"/>
    </row>
    <row r="3044" spans="1:33" ht="15.75" customHeight="1">
      <c r="A3044" s="1451"/>
      <c r="B3044" s="1450" t="s">
        <v>7286</v>
      </c>
      <c r="C3044" s="1484"/>
      <c r="D3044" s="1484"/>
      <c r="E3044" s="1484"/>
      <c r="F3044" s="1459">
        <f>I1038</f>
        <v>4032</v>
      </c>
      <c r="G3044" s="1446"/>
      <c r="H3044" s="1447"/>
      <c r="I3044" s="1547">
        <f>SUM(F3044:G3044)</f>
        <v>4032</v>
      </c>
      <c r="J3044" s="1475" t="s">
        <v>724</v>
      </c>
      <c r="K3044" s="1439"/>
      <c r="L3044" s="1439"/>
      <c r="M3044" s="1439"/>
      <c r="N3044" s="1439"/>
      <c r="O3044" s="1439"/>
      <c r="P3044" s="1439"/>
      <c r="Q3044" s="1439"/>
      <c r="R3044" s="1439"/>
      <c r="S3044" s="1439"/>
      <c r="T3044" s="1439"/>
      <c r="U3044" s="1439"/>
      <c r="V3044" s="1439"/>
      <c r="W3044" s="1439"/>
      <c r="X3044" s="1439"/>
      <c r="Y3044" s="1439"/>
      <c r="Z3044" s="1439"/>
      <c r="AA3044" s="1439"/>
      <c r="AB3044" s="1439"/>
      <c r="AC3044" s="1439"/>
      <c r="AD3044" s="1439"/>
      <c r="AE3044" s="1439"/>
      <c r="AF3044" s="1439"/>
      <c r="AG3044" s="1439"/>
    </row>
    <row r="3045" spans="1:33" ht="15.75" customHeight="1">
      <c r="A3045" s="1470"/>
      <c r="B3045" s="1450"/>
      <c r="C3045" s="1484"/>
      <c r="D3045" s="1484"/>
      <c r="E3045" s="1484"/>
      <c r="F3045" s="1446"/>
      <c r="G3045" s="1446"/>
      <c r="H3045" s="1447"/>
      <c r="I3045" s="1448"/>
      <c r="J3045" s="1475"/>
      <c r="K3045" s="1439"/>
      <c r="L3045" s="1439"/>
      <c r="M3045" s="1439"/>
      <c r="N3045" s="1439"/>
      <c r="O3045" s="1439"/>
      <c r="P3045" s="1439"/>
      <c r="Q3045" s="1439"/>
      <c r="R3045" s="1439"/>
      <c r="S3045" s="1439"/>
      <c r="T3045" s="1439"/>
      <c r="U3045" s="1439"/>
      <c r="V3045" s="1439"/>
      <c r="W3045" s="1439"/>
      <c r="X3045" s="1439"/>
      <c r="Y3045" s="1439"/>
      <c r="Z3045" s="1439"/>
      <c r="AA3045" s="1439"/>
      <c r="AB3045" s="1439"/>
      <c r="AC3045" s="1439"/>
      <c r="AD3045" s="1439"/>
      <c r="AE3045" s="1439"/>
      <c r="AF3045" s="1439"/>
      <c r="AG3045" s="1439"/>
    </row>
    <row r="3046" spans="1:33" ht="19.5">
      <c r="A3046" s="1597">
        <v>73.099999999999994</v>
      </c>
      <c r="B3046" s="1461" t="s">
        <v>5533</v>
      </c>
      <c r="C3046" s="1445"/>
      <c r="D3046" s="1445"/>
      <c r="E3046" s="1445"/>
      <c r="F3046" s="1598"/>
      <c r="G3046" s="1598"/>
      <c r="H3046" s="1599"/>
      <c r="I3046" s="1598"/>
      <c r="J3046" s="1598"/>
    </row>
    <row r="3047" spans="1:33" ht="19.5">
      <c r="A3047" s="1597"/>
      <c r="B3047" s="1461" t="s">
        <v>7571</v>
      </c>
      <c r="C3047" s="1445">
        <v>2</v>
      </c>
      <c r="D3047" s="1445" t="s">
        <v>3364</v>
      </c>
      <c r="E3047" s="1445">
        <v>1</v>
      </c>
      <c r="F3047" s="1598"/>
      <c r="G3047" s="1598"/>
      <c r="H3047" s="1599"/>
      <c r="I3047" s="1600">
        <f>PRODUCT(C3047:H3047)</f>
        <v>2</v>
      </c>
      <c r="J3047" s="1598"/>
    </row>
    <row r="3048" spans="1:33" ht="19.5">
      <c r="A3048" s="1597"/>
      <c r="B3048" s="1461" t="s">
        <v>7572</v>
      </c>
      <c r="C3048" s="1445">
        <v>2</v>
      </c>
      <c r="D3048" s="1445" t="s">
        <v>3364</v>
      </c>
      <c r="E3048" s="1445">
        <v>1</v>
      </c>
      <c r="F3048" s="1598"/>
      <c r="G3048" s="1598"/>
      <c r="H3048" s="1599"/>
      <c r="I3048" s="1600">
        <f>PRODUCT(C3048:H3048)</f>
        <v>2</v>
      </c>
      <c r="J3048" s="1598"/>
    </row>
    <row r="3049" spans="1:33" ht="19.5">
      <c r="A3049" s="1597"/>
      <c r="B3049" s="1461" t="s">
        <v>7573</v>
      </c>
      <c r="C3049" s="1445">
        <v>2</v>
      </c>
      <c r="D3049" s="1445" t="s">
        <v>3364</v>
      </c>
      <c r="E3049" s="1445">
        <v>1</v>
      </c>
      <c r="F3049" s="1598"/>
      <c r="G3049" s="1598"/>
      <c r="H3049" s="1599"/>
      <c r="I3049" s="1600">
        <f>PRODUCT(C3049:H3049)</f>
        <v>2</v>
      </c>
      <c r="J3049" s="1598"/>
    </row>
    <row r="3050" spans="1:33" ht="19.5">
      <c r="A3050" s="1597"/>
      <c r="B3050" s="1461" t="s">
        <v>54</v>
      </c>
      <c r="C3050" s="1445">
        <v>2</v>
      </c>
      <c r="D3050" s="1445" t="s">
        <v>3364</v>
      </c>
      <c r="E3050" s="1445">
        <v>1</v>
      </c>
      <c r="F3050" s="1598"/>
      <c r="G3050" s="1598"/>
      <c r="H3050" s="1599"/>
      <c r="I3050" s="1600">
        <f>PRODUCT(C3050:H3050)</f>
        <v>2</v>
      </c>
      <c r="J3050" s="1598"/>
    </row>
    <row r="3051" spans="1:33" ht="19.5">
      <c r="A3051" s="1597"/>
      <c r="B3051" s="1461"/>
      <c r="C3051" s="1445"/>
      <c r="D3051" s="1445"/>
      <c r="E3051" s="1445"/>
      <c r="F3051" s="1598"/>
      <c r="G3051" s="1601" t="s">
        <v>104</v>
      </c>
      <c r="H3051" s="1602"/>
      <c r="I3051" s="1603">
        <f>SUM(I3047:I3050)</f>
        <v>8</v>
      </c>
      <c r="J3051" s="1598"/>
    </row>
    <row r="3052" spans="1:33" ht="19.5">
      <c r="A3052" s="1597">
        <v>73.2</v>
      </c>
      <c r="B3052" s="1461" t="s">
        <v>5534</v>
      </c>
      <c r="C3052" s="1445"/>
      <c r="D3052" s="1445"/>
      <c r="E3052" s="1445"/>
      <c r="F3052" s="1598"/>
      <c r="G3052" s="1601"/>
      <c r="H3052" s="1602" t="s">
        <v>2981</v>
      </c>
      <c r="I3052" s="1603">
        <f>CEILING(I3051,0.1)</f>
        <v>8</v>
      </c>
      <c r="J3052" s="1598" t="s">
        <v>41</v>
      </c>
    </row>
    <row r="3053" spans="1:33" ht="19.5">
      <c r="A3053" s="1597"/>
      <c r="B3053" s="1461" t="s">
        <v>7570</v>
      </c>
      <c r="C3053" s="1445">
        <v>1</v>
      </c>
      <c r="D3053" s="1445" t="s">
        <v>3364</v>
      </c>
      <c r="E3053" s="1445">
        <v>1</v>
      </c>
      <c r="F3053" s="1598"/>
      <c r="G3053" s="1598"/>
      <c r="H3053" s="1599"/>
      <c r="I3053" s="1600">
        <f>PRODUCT(C3053:H3053)</f>
        <v>1</v>
      </c>
      <c r="J3053" s="1598"/>
    </row>
    <row r="3054" spans="1:33" ht="19.5">
      <c r="A3054" s="1597"/>
      <c r="B3054" s="1461" t="s">
        <v>7571</v>
      </c>
      <c r="C3054" s="1445">
        <v>1</v>
      </c>
      <c r="D3054" s="1445" t="s">
        <v>3364</v>
      </c>
      <c r="E3054" s="1445">
        <v>1</v>
      </c>
      <c r="F3054" s="1598"/>
      <c r="G3054" s="1598"/>
      <c r="H3054" s="1599"/>
      <c r="I3054" s="1600">
        <f>PRODUCT(C3054:H3054)</f>
        <v>1</v>
      </c>
      <c r="J3054" s="1598"/>
    </row>
    <row r="3055" spans="1:33" ht="19.5">
      <c r="A3055" s="1597"/>
      <c r="B3055" s="1461" t="s">
        <v>7572</v>
      </c>
      <c r="C3055" s="1445">
        <v>1</v>
      </c>
      <c r="D3055" s="1445" t="s">
        <v>3364</v>
      </c>
      <c r="E3055" s="1445">
        <v>1</v>
      </c>
      <c r="F3055" s="1598"/>
      <c r="G3055" s="1598"/>
      <c r="H3055" s="1599"/>
      <c r="I3055" s="1600">
        <f>PRODUCT(C3055:H3055)</f>
        <v>1</v>
      </c>
      <c r="J3055" s="1598"/>
    </row>
    <row r="3056" spans="1:33" ht="19.5">
      <c r="A3056" s="1597"/>
      <c r="B3056" s="1461" t="s">
        <v>7573</v>
      </c>
      <c r="C3056" s="1445">
        <v>1</v>
      </c>
      <c r="D3056" s="1445" t="s">
        <v>3364</v>
      </c>
      <c r="E3056" s="1445">
        <v>1</v>
      </c>
      <c r="F3056" s="1598"/>
      <c r="G3056" s="1598"/>
      <c r="H3056" s="1599"/>
      <c r="I3056" s="1600">
        <f>PRODUCT(C3056:H3056)</f>
        <v>1</v>
      </c>
      <c r="J3056" s="1598"/>
    </row>
    <row r="3057" spans="1:10" ht="19.5">
      <c r="A3057" s="1597"/>
      <c r="B3057" s="1461" t="s">
        <v>54</v>
      </c>
      <c r="C3057" s="1445">
        <v>1</v>
      </c>
      <c r="D3057" s="1445" t="s">
        <v>3364</v>
      </c>
      <c r="E3057" s="1445">
        <v>1</v>
      </c>
      <c r="F3057" s="1598"/>
      <c r="G3057" s="1598"/>
      <c r="H3057" s="1599"/>
      <c r="I3057" s="1600">
        <f>PRODUCT(C3057:H3057)</f>
        <v>1</v>
      </c>
      <c r="J3057" s="1598"/>
    </row>
    <row r="3058" spans="1:10" ht="19.5">
      <c r="A3058" s="1597"/>
      <c r="B3058" s="1461"/>
      <c r="C3058" s="1604"/>
      <c r="D3058" s="1604"/>
      <c r="E3058" s="1604"/>
      <c r="F3058" s="1598"/>
      <c r="G3058" s="1601" t="s">
        <v>104</v>
      </c>
      <c r="H3058" s="1602"/>
      <c r="I3058" s="1603">
        <f>SUM(I3053:I3057)</f>
        <v>5</v>
      </c>
      <c r="J3058" s="1598"/>
    </row>
    <row r="3059" spans="1:10" ht="19.5">
      <c r="A3059" s="1597"/>
      <c r="B3059" s="1461"/>
      <c r="C3059" s="1598"/>
      <c r="D3059" s="1598"/>
      <c r="E3059" s="1598"/>
      <c r="F3059" s="1598"/>
      <c r="G3059" s="1601"/>
      <c r="H3059" s="1602" t="s">
        <v>2981</v>
      </c>
      <c r="I3059" s="1603"/>
      <c r="J3059" s="1598" t="s">
        <v>41</v>
      </c>
    </row>
    <row r="3060" spans="1:10">
      <c r="A3060" s="1605"/>
      <c r="B3060" s="1606"/>
      <c r="C3060" s="1605"/>
      <c r="D3060" s="1605"/>
      <c r="E3060" s="1605"/>
      <c r="F3060" s="1605"/>
      <c r="G3060" s="1605"/>
      <c r="H3060" s="1607"/>
      <c r="I3060" s="1605"/>
      <c r="J3060" s="1605"/>
    </row>
    <row r="3061" spans="1:10">
      <c r="A3061" s="1605"/>
      <c r="B3061" s="1606"/>
      <c r="C3061" s="1605"/>
      <c r="D3061" s="1605"/>
      <c r="E3061" s="1605"/>
      <c r="F3061" s="1605"/>
      <c r="G3061" s="1605"/>
      <c r="H3061" s="1607"/>
      <c r="I3061" s="1605"/>
      <c r="J3061" s="1605"/>
    </row>
    <row r="3062" spans="1:10">
      <c r="A3062" s="1605"/>
      <c r="B3062" s="1606"/>
      <c r="C3062" s="1605"/>
      <c r="D3062" s="1605"/>
      <c r="E3062" s="1605"/>
      <c r="F3062" s="1605"/>
      <c r="G3062" s="1605"/>
      <c r="H3062" s="1607"/>
      <c r="I3062" s="1605"/>
      <c r="J3062" s="1605"/>
    </row>
    <row r="3063" spans="1:10">
      <c r="A3063" s="1605"/>
      <c r="B3063" s="1606"/>
      <c r="C3063" s="1605"/>
      <c r="D3063" s="1605"/>
      <c r="E3063" s="1605"/>
      <c r="F3063" s="1605"/>
      <c r="G3063" s="1605"/>
      <c r="H3063" s="1607"/>
      <c r="I3063" s="1605"/>
      <c r="J3063" s="1605"/>
    </row>
    <row r="3064" spans="1:10">
      <c r="A3064" s="1605"/>
      <c r="B3064" s="1606"/>
      <c r="C3064" s="1605"/>
      <c r="D3064" s="1605"/>
      <c r="E3064" s="1605"/>
      <c r="F3064" s="1605"/>
      <c r="G3064" s="1605"/>
      <c r="H3064" s="1607"/>
      <c r="I3064" s="1605"/>
      <c r="J3064" s="1605"/>
    </row>
  </sheetData>
  <mergeCells count="8">
    <mergeCell ref="A1:J1"/>
    <mergeCell ref="A2:J2"/>
    <mergeCell ref="A3:A4"/>
    <mergeCell ref="B3:B4"/>
    <mergeCell ref="C3:E4"/>
    <mergeCell ref="F3:H3"/>
    <mergeCell ref="I3:I4"/>
    <mergeCell ref="J3:J4"/>
  </mergeCells>
  <pageMargins left="0.7" right="0.7" top="0.75" bottom="0.75" header="0.3" footer="0.3"/>
  <pageSetup scale="96" orientation="portrait" r:id="rId1"/>
</worksheet>
</file>

<file path=xl/worksheets/sheet5.xml><?xml version="1.0" encoding="utf-8"?>
<worksheet xmlns="http://schemas.openxmlformats.org/spreadsheetml/2006/main" xmlns:r="http://schemas.openxmlformats.org/officeDocument/2006/relationships">
  <sheetPr codeName="Sheet5"/>
  <dimension ref="A1:J9834"/>
  <sheetViews>
    <sheetView showZeros="0" view="pageBreakPreview" topLeftCell="A1063" zoomScale="90" workbookViewId="0">
      <selection activeCell="I1076" sqref="I1076:J1076"/>
    </sheetView>
  </sheetViews>
  <sheetFormatPr defaultColWidth="6.77734375" defaultRowHeight="15"/>
  <cols>
    <col min="1" max="1" width="8.44140625" style="2" customWidth="1"/>
    <col min="2" max="2" width="7.88671875" style="2" bestFit="1" customWidth="1"/>
    <col min="3" max="3" width="44.88671875" style="2" customWidth="1"/>
    <col min="4" max="4" width="12.109375" style="2" customWidth="1"/>
    <col min="5" max="5" width="10.33203125" style="2" customWidth="1"/>
    <col min="6" max="6" width="13.109375" style="2" customWidth="1"/>
    <col min="7" max="7" width="9.44140625" style="2" bestFit="1" customWidth="1"/>
    <col min="8" max="16384" width="6.77734375" style="2"/>
  </cols>
  <sheetData>
    <row r="1" spans="1:6" s="1225" customFormat="1" ht="17.25" customHeight="1"/>
    <row r="2" spans="1:6" s="1225" customFormat="1" ht="17.25" customHeight="1">
      <c r="A2" s="1225">
        <f>Data!F1</f>
        <v>0</v>
      </c>
      <c r="B2" s="1225">
        <f>Data!G1</f>
        <v>0</v>
      </c>
      <c r="C2" s="1225" t="str">
        <f>Data!H1</f>
        <v>TAMIL NADU POLICE HOUSING CORPORATION</v>
      </c>
      <c r="D2" s="1225">
        <f>Data!I1</f>
        <v>0</v>
      </c>
      <c r="E2" s="1225">
        <f>Data!J1</f>
        <v>0</v>
      </c>
      <c r="F2" s="1225">
        <f>Data!K1</f>
        <v>0</v>
      </c>
    </row>
    <row r="3" spans="1:6" s="1225" customFormat="1" ht="17.25" customHeight="1">
      <c r="A3" s="1225">
        <f>Data!F2</f>
        <v>0</v>
      </c>
      <c r="B3" s="1225">
        <f>Data!G2</f>
        <v>0</v>
      </c>
      <c r="C3" s="1225" t="str">
        <f>Data!H2</f>
        <v>======================================</v>
      </c>
      <c r="D3" s="1225">
        <f>Data!I2</f>
        <v>0</v>
      </c>
      <c r="E3" s="1225">
        <f>Data!J2</f>
        <v>0</v>
      </c>
      <c r="F3" s="1225">
        <f>Data!K2</f>
        <v>0</v>
      </c>
    </row>
    <row r="4" spans="1:6" s="1225" customFormat="1" ht="17.25" customHeight="1">
      <c r="A4" s="1225" t="s">
        <v>91</v>
      </c>
      <c r="B4" s="1225" t="s">
        <v>85</v>
      </c>
      <c r="C4" s="1225" t="s">
        <v>7382</v>
      </c>
      <c r="E4" s="1225" t="s">
        <v>3877</v>
      </c>
    </row>
    <row r="5" spans="1:6" s="1225" customFormat="1" ht="17.25" customHeight="1">
      <c r="A5" s="1225" t="s">
        <v>95</v>
      </c>
      <c r="B5" s="1225" t="s">
        <v>85</v>
      </c>
      <c r="C5" s="1225" t="s">
        <v>96</v>
      </c>
      <c r="D5" s="1225" t="s">
        <v>97</v>
      </c>
      <c r="E5" s="1225" t="s">
        <v>98</v>
      </c>
      <c r="F5" s="1225" t="s">
        <v>99</v>
      </c>
    </row>
    <row r="6" spans="1:6" s="1225" customFormat="1" ht="17.25" customHeight="1">
      <c r="A6" s="1225" t="s">
        <v>52</v>
      </c>
      <c r="B6" s="1225" t="s">
        <v>52</v>
      </c>
      <c r="C6" s="1225" t="s">
        <v>52</v>
      </c>
      <c r="D6" s="1225" t="s">
        <v>52</v>
      </c>
      <c r="E6" s="1225" t="s">
        <v>52</v>
      </c>
      <c r="F6" s="1225" t="s">
        <v>52</v>
      </c>
    </row>
    <row r="7" spans="1:6" s="1225" customFormat="1" ht="17.25" customHeight="1">
      <c r="B7" s="1225" t="s">
        <v>111</v>
      </c>
      <c r="C7" s="1225" t="s">
        <v>112</v>
      </c>
    </row>
    <row r="8" spans="1:6" s="1225" customFormat="1" ht="17.25" customHeight="1">
      <c r="C8" s="1225" t="s">
        <v>52</v>
      </c>
    </row>
    <row r="9" spans="1:6" s="1225" customFormat="1" ht="17.25" customHeight="1">
      <c r="A9" s="1225">
        <v>0.96</v>
      </c>
      <c r="B9" s="1225" t="s">
        <v>122</v>
      </c>
      <c r="C9" s="1225" t="s">
        <v>123</v>
      </c>
      <c r="D9" s="1225">
        <v>6040</v>
      </c>
      <c r="E9" s="1225" t="s">
        <v>122</v>
      </c>
      <c r="F9" s="1225">
        <v>5798.4</v>
      </c>
    </row>
    <row r="10" spans="1:6" s="1225" customFormat="1" ht="17.25" customHeight="1">
      <c r="A10" s="1225">
        <v>1</v>
      </c>
      <c r="B10" s="1225" t="s">
        <v>132</v>
      </c>
      <c r="C10" s="1225" t="s">
        <v>133</v>
      </c>
      <c r="D10" s="1225">
        <v>1642.42</v>
      </c>
      <c r="E10" s="1225" t="s">
        <v>132</v>
      </c>
      <c r="F10" s="1225">
        <v>1642.42</v>
      </c>
    </row>
    <row r="11" spans="1:6" s="1225" customFormat="1" ht="17.25" customHeight="1">
      <c r="A11" s="1225">
        <v>1</v>
      </c>
      <c r="B11" s="1225" t="s">
        <v>132</v>
      </c>
      <c r="C11" s="1225" t="s">
        <v>138</v>
      </c>
      <c r="D11" s="1225">
        <v>121</v>
      </c>
      <c r="E11" s="1225" t="s">
        <v>132</v>
      </c>
      <c r="F11" s="1225">
        <v>121</v>
      </c>
    </row>
    <row r="12" spans="1:6" s="1225" customFormat="1" ht="17.25" customHeight="1">
      <c r="B12" s="1225" t="s">
        <v>145</v>
      </c>
      <c r="C12" s="1225" t="s">
        <v>146</v>
      </c>
      <c r="D12" s="1225" t="s">
        <v>85</v>
      </c>
      <c r="E12" s="1225" t="s">
        <v>145</v>
      </c>
      <c r="F12" s="1225">
        <v>5</v>
      </c>
    </row>
    <row r="13" spans="1:6" s="1225" customFormat="1" ht="17.25" customHeight="1">
      <c r="F13" s="1225" t="s">
        <v>52</v>
      </c>
    </row>
    <row r="14" spans="1:6" s="1225" customFormat="1" ht="17.25" customHeight="1">
      <c r="C14" s="1225" t="s">
        <v>155</v>
      </c>
      <c r="F14" s="1225">
        <v>7566.82</v>
      </c>
    </row>
    <row r="15" spans="1:6" s="1225" customFormat="1" ht="17.25" customHeight="1">
      <c r="F15" s="1225" t="s">
        <v>52</v>
      </c>
    </row>
    <row r="16" spans="1:6" s="1225" customFormat="1" ht="17.25" customHeight="1">
      <c r="B16" s="1225" t="s">
        <v>111</v>
      </c>
      <c r="C16" s="1225" t="s">
        <v>164</v>
      </c>
    </row>
    <row r="17" spans="1:6" s="1225" customFormat="1" ht="17.25" customHeight="1">
      <c r="C17" s="1225" t="s">
        <v>52</v>
      </c>
    </row>
    <row r="18" spans="1:6" s="1225" customFormat="1" ht="17.25" customHeight="1">
      <c r="A18" s="1225">
        <v>0.72</v>
      </c>
      <c r="B18" s="1225" t="s">
        <v>122</v>
      </c>
      <c r="C18" s="1225" t="s">
        <v>123</v>
      </c>
      <c r="D18" s="1225">
        <v>6040</v>
      </c>
      <c r="E18" s="1225" t="s">
        <v>122</v>
      </c>
      <c r="F18" s="1225">
        <v>4348.8</v>
      </c>
    </row>
    <row r="19" spans="1:6" s="1225" customFormat="1" ht="17.25" customHeight="1">
      <c r="A19" s="1225">
        <v>1</v>
      </c>
      <c r="B19" s="1225" t="s">
        <v>132</v>
      </c>
      <c r="C19" s="1225" t="s">
        <v>133</v>
      </c>
      <c r="D19" s="1225">
        <v>1642.42</v>
      </c>
      <c r="E19" s="1225" t="s">
        <v>132</v>
      </c>
      <c r="F19" s="1225">
        <v>1642.42</v>
      </c>
    </row>
    <row r="20" spans="1:6" s="1225" customFormat="1" ht="17.25" customHeight="1">
      <c r="A20" s="1225">
        <v>1</v>
      </c>
      <c r="B20" s="1225" t="s">
        <v>132</v>
      </c>
      <c r="C20" s="1225" t="s">
        <v>138</v>
      </c>
      <c r="D20" s="1225">
        <v>121</v>
      </c>
      <c r="E20" s="1225" t="s">
        <v>132</v>
      </c>
      <c r="F20" s="1225">
        <v>121</v>
      </c>
    </row>
    <row r="21" spans="1:6" s="1225" customFormat="1" ht="17.25" customHeight="1">
      <c r="B21" s="1225" t="s">
        <v>145</v>
      </c>
      <c r="C21" s="1225" t="s">
        <v>146</v>
      </c>
      <c r="D21" s="1225" t="s">
        <v>85</v>
      </c>
      <c r="E21" s="1225" t="s">
        <v>145</v>
      </c>
      <c r="F21" s="1225">
        <v>5</v>
      </c>
    </row>
    <row r="22" spans="1:6" s="1225" customFormat="1" ht="17.25" customHeight="1">
      <c r="F22" s="1225" t="s">
        <v>52</v>
      </c>
    </row>
    <row r="23" spans="1:6" s="1225" customFormat="1" ht="17.25" customHeight="1">
      <c r="C23" s="1225" t="s">
        <v>155</v>
      </c>
      <c r="F23" s="1225">
        <v>6117.22</v>
      </c>
    </row>
    <row r="24" spans="1:6" s="1225" customFormat="1" ht="17.25" customHeight="1">
      <c r="F24" s="1225" t="s">
        <v>52</v>
      </c>
    </row>
    <row r="25" spans="1:6" s="1225" customFormat="1" ht="17.25" customHeight="1">
      <c r="B25" s="1225" t="s">
        <v>111</v>
      </c>
      <c r="C25" s="1225" t="s">
        <v>217</v>
      </c>
    </row>
    <row r="26" spans="1:6" s="1225" customFormat="1" ht="17.25" customHeight="1">
      <c r="C26" s="1225" t="s">
        <v>52</v>
      </c>
    </row>
    <row r="27" spans="1:6" s="1225" customFormat="1" ht="17.25" customHeight="1">
      <c r="A27" s="1225">
        <v>0.48</v>
      </c>
      <c r="B27" s="1225" t="s">
        <v>122</v>
      </c>
      <c r="C27" s="1225" t="s">
        <v>123</v>
      </c>
      <c r="D27" s="1225">
        <v>6040</v>
      </c>
      <c r="E27" s="1225" t="s">
        <v>122</v>
      </c>
      <c r="F27" s="1225">
        <v>2899.2</v>
      </c>
    </row>
    <row r="28" spans="1:6" s="1225" customFormat="1" ht="17.25" customHeight="1">
      <c r="A28" s="1225">
        <v>1</v>
      </c>
      <c r="B28" s="1225" t="s">
        <v>132</v>
      </c>
      <c r="C28" s="1225" t="s">
        <v>133</v>
      </c>
      <c r="D28" s="1225">
        <v>1642.42</v>
      </c>
      <c r="E28" s="1225" t="s">
        <v>132</v>
      </c>
      <c r="F28" s="1225">
        <v>1642.42</v>
      </c>
    </row>
    <row r="29" spans="1:6" s="1225" customFormat="1" ht="17.25" customHeight="1">
      <c r="A29" s="1225">
        <v>1</v>
      </c>
      <c r="B29" s="1225" t="s">
        <v>132</v>
      </c>
      <c r="C29" s="1225" t="s">
        <v>138</v>
      </c>
      <c r="D29" s="1225">
        <v>121</v>
      </c>
      <c r="E29" s="1225" t="s">
        <v>132</v>
      </c>
      <c r="F29" s="1225">
        <v>121</v>
      </c>
    </row>
    <row r="30" spans="1:6" s="1225" customFormat="1" ht="17.25" customHeight="1">
      <c r="B30" s="1225" t="s">
        <v>145</v>
      </c>
      <c r="C30" s="1225" t="s">
        <v>146</v>
      </c>
      <c r="D30" s="1225" t="s">
        <v>85</v>
      </c>
      <c r="E30" s="1225" t="s">
        <v>145</v>
      </c>
      <c r="F30" s="1225">
        <v>5</v>
      </c>
    </row>
    <row r="31" spans="1:6" s="1225" customFormat="1" ht="17.25" customHeight="1">
      <c r="F31" s="1225" t="s">
        <v>52</v>
      </c>
    </row>
    <row r="32" spans="1:6" s="1225" customFormat="1" ht="17.25" customHeight="1">
      <c r="C32" s="1225" t="s">
        <v>155</v>
      </c>
      <c r="F32" s="1225">
        <v>4667.62</v>
      </c>
    </row>
    <row r="33" spans="1:6" s="1225" customFormat="1" ht="17.25" customHeight="1">
      <c r="F33" s="1225" t="s">
        <v>52</v>
      </c>
    </row>
    <row r="34" spans="1:6" s="1225" customFormat="1" ht="17.25" customHeight="1">
      <c r="B34" s="1225" t="s">
        <v>111</v>
      </c>
      <c r="C34" s="1225" t="s">
        <v>259</v>
      </c>
    </row>
    <row r="35" spans="1:6" s="1225" customFormat="1" ht="17.25" customHeight="1">
      <c r="A35" s="1225">
        <v>0.36</v>
      </c>
      <c r="B35" s="1225" t="s">
        <v>122</v>
      </c>
      <c r="C35" s="1225" t="s">
        <v>123</v>
      </c>
      <c r="D35" s="1225">
        <v>6040</v>
      </c>
      <c r="E35" s="1225" t="s">
        <v>122</v>
      </c>
      <c r="F35" s="1225">
        <v>2174.4</v>
      </c>
    </row>
    <row r="36" spans="1:6" s="1225" customFormat="1" ht="17.25" customHeight="1">
      <c r="A36" s="1225">
        <v>1</v>
      </c>
      <c r="B36" s="1225" t="s">
        <v>132</v>
      </c>
      <c r="C36" s="1225" t="s">
        <v>133</v>
      </c>
      <c r="D36" s="1225">
        <v>1642.42</v>
      </c>
      <c r="E36" s="1225" t="s">
        <v>132</v>
      </c>
      <c r="F36" s="1225">
        <v>1642.42</v>
      </c>
    </row>
    <row r="37" spans="1:6" s="1225" customFormat="1" ht="17.25" customHeight="1">
      <c r="A37" s="1225">
        <v>1</v>
      </c>
      <c r="B37" s="1225" t="s">
        <v>132</v>
      </c>
      <c r="C37" s="1225" t="s">
        <v>138</v>
      </c>
      <c r="D37" s="1225">
        <v>121</v>
      </c>
      <c r="E37" s="1225" t="s">
        <v>132</v>
      </c>
      <c r="F37" s="1225">
        <v>121</v>
      </c>
    </row>
    <row r="38" spans="1:6" s="1225" customFormat="1" ht="17.25" customHeight="1">
      <c r="B38" s="1225" t="s">
        <v>145</v>
      </c>
      <c r="C38" s="1225" t="s">
        <v>146</v>
      </c>
      <c r="D38" s="1225" t="s">
        <v>85</v>
      </c>
      <c r="E38" s="1225" t="s">
        <v>145</v>
      </c>
      <c r="F38" s="1225">
        <v>5</v>
      </c>
    </row>
    <row r="39" spans="1:6" s="1225" customFormat="1" ht="17.25" customHeight="1">
      <c r="F39" s="1225" t="s">
        <v>52</v>
      </c>
    </row>
    <row r="40" spans="1:6" s="1225" customFormat="1" ht="17.25" customHeight="1">
      <c r="C40" s="1225" t="s">
        <v>155</v>
      </c>
      <c r="F40" s="1225">
        <v>3942.82</v>
      </c>
    </row>
    <row r="41" spans="1:6" s="1225" customFormat="1" ht="17.25" customHeight="1">
      <c r="F41" s="1225" t="s">
        <v>52</v>
      </c>
    </row>
    <row r="42" spans="1:6" s="1225" customFormat="1" ht="17.25" customHeight="1">
      <c r="B42" s="1225" t="s">
        <v>111</v>
      </c>
      <c r="C42" s="1225" t="s">
        <v>283</v>
      </c>
    </row>
    <row r="43" spans="1:6" s="1225" customFormat="1" ht="17.25" customHeight="1">
      <c r="C43" s="1225" t="s">
        <v>52</v>
      </c>
    </row>
    <row r="44" spans="1:6" s="1225" customFormat="1" ht="17.25" customHeight="1">
      <c r="A44" s="1225">
        <v>0.28799999999999998</v>
      </c>
      <c r="B44" s="1225" t="s">
        <v>122</v>
      </c>
      <c r="C44" s="1225" t="s">
        <v>123</v>
      </c>
      <c r="D44" s="1225">
        <v>6040</v>
      </c>
      <c r="E44" s="1225" t="s">
        <v>122</v>
      </c>
      <c r="F44" s="1225">
        <v>1739.52</v>
      </c>
    </row>
    <row r="45" spans="1:6" s="1225" customFormat="1" ht="17.25" customHeight="1">
      <c r="A45" s="1225">
        <v>1</v>
      </c>
      <c r="B45" s="1225" t="s">
        <v>132</v>
      </c>
      <c r="C45" s="1225" t="s">
        <v>133</v>
      </c>
      <c r="D45" s="1225">
        <v>1642.42</v>
      </c>
      <c r="E45" s="1225" t="s">
        <v>132</v>
      </c>
      <c r="F45" s="1225">
        <v>1642.42</v>
      </c>
    </row>
    <row r="46" spans="1:6" s="1225" customFormat="1" ht="17.25" customHeight="1">
      <c r="A46" s="1225">
        <v>1</v>
      </c>
      <c r="B46" s="1225" t="s">
        <v>132</v>
      </c>
      <c r="C46" s="1225" t="s">
        <v>138</v>
      </c>
      <c r="D46" s="1225">
        <v>121</v>
      </c>
      <c r="E46" s="1225" t="s">
        <v>132</v>
      </c>
      <c r="F46" s="1225">
        <v>121</v>
      </c>
    </row>
    <row r="47" spans="1:6" s="1225" customFormat="1" ht="17.25" customHeight="1">
      <c r="B47" s="1225" t="s">
        <v>145</v>
      </c>
      <c r="C47" s="1225" t="s">
        <v>146</v>
      </c>
      <c r="D47" s="1225" t="s">
        <v>85</v>
      </c>
      <c r="E47" s="1225" t="s">
        <v>145</v>
      </c>
      <c r="F47" s="1225">
        <v>5</v>
      </c>
    </row>
    <row r="48" spans="1:6" s="1225" customFormat="1" ht="17.25" customHeight="1">
      <c r="F48" s="1225" t="s">
        <v>52</v>
      </c>
    </row>
    <row r="49" spans="1:6" s="1225" customFormat="1" ht="17.25" customHeight="1">
      <c r="C49" s="1225" t="s">
        <v>155</v>
      </c>
      <c r="F49" s="1225">
        <v>3507.94</v>
      </c>
    </row>
    <row r="50" spans="1:6" s="1225" customFormat="1" ht="17.25" customHeight="1">
      <c r="F50" s="1225" t="s">
        <v>52</v>
      </c>
    </row>
    <row r="51" spans="1:6" s="1225" customFormat="1" ht="17.25" customHeight="1">
      <c r="B51" s="1225" t="s">
        <v>111</v>
      </c>
      <c r="C51" s="1225" t="s">
        <v>299</v>
      </c>
    </row>
    <row r="52" spans="1:6" s="1225" customFormat="1" ht="17.25" customHeight="1">
      <c r="C52" s="1225" t="s">
        <v>52</v>
      </c>
    </row>
    <row r="53" spans="1:6" s="1225" customFormat="1" ht="17.25" customHeight="1">
      <c r="A53" s="1225">
        <v>0.24</v>
      </c>
      <c r="B53" s="1225" t="s">
        <v>122</v>
      </c>
      <c r="C53" s="1225" t="s">
        <v>123</v>
      </c>
      <c r="D53" s="1225">
        <v>6040</v>
      </c>
      <c r="E53" s="1225" t="s">
        <v>122</v>
      </c>
      <c r="F53" s="1225">
        <v>1449.6</v>
      </c>
    </row>
    <row r="54" spans="1:6" s="1225" customFormat="1" ht="17.25" customHeight="1">
      <c r="A54" s="1225">
        <v>1</v>
      </c>
      <c r="B54" s="1225" t="s">
        <v>132</v>
      </c>
      <c r="C54" s="1225" t="s">
        <v>133</v>
      </c>
      <c r="D54" s="1225">
        <v>1642.42</v>
      </c>
      <c r="E54" s="1225" t="s">
        <v>132</v>
      </c>
      <c r="F54" s="1225">
        <v>1642.42</v>
      </c>
    </row>
    <row r="55" spans="1:6" s="1225" customFormat="1" ht="17.25" customHeight="1">
      <c r="A55" s="1225">
        <v>1</v>
      </c>
      <c r="B55" s="1225" t="s">
        <v>132</v>
      </c>
      <c r="C55" s="1225" t="s">
        <v>138</v>
      </c>
      <c r="D55" s="1225">
        <v>121</v>
      </c>
      <c r="E55" s="1225" t="s">
        <v>132</v>
      </c>
      <c r="F55" s="1225">
        <v>121</v>
      </c>
    </row>
    <row r="56" spans="1:6" s="1225" customFormat="1" ht="17.25" customHeight="1">
      <c r="B56" s="1225" t="s">
        <v>145</v>
      </c>
      <c r="C56" s="1225" t="s">
        <v>146</v>
      </c>
      <c r="D56" s="1225" t="s">
        <v>85</v>
      </c>
      <c r="E56" s="1225" t="s">
        <v>145</v>
      </c>
      <c r="F56" s="1225">
        <v>5</v>
      </c>
    </row>
    <row r="57" spans="1:6" s="1225" customFormat="1" ht="17.25" customHeight="1">
      <c r="F57" s="1225" t="s">
        <v>52</v>
      </c>
    </row>
    <row r="58" spans="1:6" s="1225" customFormat="1" ht="17.25" customHeight="1">
      <c r="C58" s="1225" t="s">
        <v>155</v>
      </c>
      <c r="F58" s="1225">
        <v>3218.02</v>
      </c>
    </row>
    <row r="59" spans="1:6" s="1225" customFormat="1" ht="17.25" customHeight="1">
      <c r="A59" s="1225" t="s">
        <v>85</v>
      </c>
    </row>
    <row r="60" spans="1:6" s="1225" customFormat="1" ht="17.25" customHeight="1">
      <c r="F60" s="1225" t="s">
        <v>52</v>
      </c>
    </row>
    <row r="61" spans="1:6" s="1225" customFormat="1" ht="17.25" customHeight="1">
      <c r="B61" s="1225" t="s">
        <v>111</v>
      </c>
      <c r="C61" s="1225" t="s">
        <v>316</v>
      </c>
    </row>
    <row r="62" spans="1:6" s="1225" customFormat="1" ht="17.25" customHeight="1">
      <c r="C62" s="1225" t="s">
        <v>52</v>
      </c>
    </row>
    <row r="63" spans="1:6" s="1225" customFormat="1" ht="17.25" customHeight="1">
      <c r="A63" s="1225">
        <v>0.20599999999999999</v>
      </c>
      <c r="B63" s="1225" t="s">
        <v>122</v>
      </c>
      <c r="C63" s="1225" t="s">
        <v>123</v>
      </c>
      <c r="D63" s="1225">
        <v>6040</v>
      </c>
      <c r="E63" s="1225" t="s">
        <v>122</v>
      </c>
      <c r="F63" s="1225">
        <v>1244.24</v>
      </c>
    </row>
    <row r="64" spans="1:6" s="1225" customFormat="1" ht="17.25" customHeight="1">
      <c r="A64" s="1225">
        <v>1</v>
      </c>
      <c r="B64" s="1225" t="s">
        <v>132</v>
      </c>
      <c r="C64" s="1225" t="s">
        <v>133</v>
      </c>
      <c r="D64" s="1225">
        <v>1642.42</v>
      </c>
      <c r="E64" s="1225" t="s">
        <v>132</v>
      </c>
      <c r="F64" s="1225">
        <v>1642.42</v>
      </c>
    </row>
    <row r="65" spans="1:6" s="1225" customFormat="1" ht="17.25" customHeight="1">
      <c r="A65" s="1225">
        <v>1</v>
      </c>
      <c r="B65" s="1225" t="s">
        <v>132</v>
      </c>
      <c r="C65" s="1225" t="s">
        <v>138</v>
      </c>
      <c r="D65" s="1225">
        <v>121</v>
      </c>
      <c r="E65" s="1225" t="s">
        <v>132</v>
      </c>
      <c r="F65" s="1225">
        <v>121</v>
      </c>
    </row>
    <row r="66" spans="1:6" s="1225" customFormat="1" ht="17.25" customHeight="1">
      <c r="B66" s="1225" t="s">
        <v>145</v>
      </c>
      <c r="C66" s="1225" t="s">
        <v>146</v>
      </c>
      <c r="D66" s="1225" t="s">
        <v>85</v>
      </c>
      <c r="E66" s="1225" t="s">
        <v>145</v>
      </c>
      <c r="F66" s="1225">
        <v>5</v>
      </c>
    </row>
    <row r="67" spans="1:6" s="1225" customFormat="1" ht="17.25" customHeight="1">
      <c r="F67" s="1225" t="s">
        <v>52</v>
      </c>
    </row>
    <row r="68" spans="1:6" s="1225" customFormat="1" ht="17.25" customHeight="1">
      <c r="C68" s="1225" t="s">
        <v>155</v>
      </c>
      <c r="F68" s="1225">
        <v>3012.66</v>
      </c>
    </row>
    <row r="69" spans="1:6" s="1225" customFormat="1" ht="17.25" customHeight="1">
      <c r="F69" s="1225" t="s">
        <v>52</v>
      </c>
    </row>
    <row r="70" spans="1:6" s="1225" customFormat="1" ht="17.25" customHeight="1">
      <c r="B70" s="1225" t="s">
        <v>111</v>
      </c>
      <c r="C70" s="1225" t="s">
        <v>300</v>
      </c>
    </row>
    <row r="71" spans="1:6" s="1225" customFormat="1" ht="17.25" customHeight="1">
      <c r="C71" s="1225" t="s">
        <v>52</v>
      </c>
    </row>
    <row r="72" spans="1:6" s="1225" customFormat="1" ht="17.25" customHeight="1">
      <c r="A72" s="1225">
        <v>0.18</v>
      </c>
      <c r="B72" s="1225" t="s">
        <v>122</v>
      </c>
      <c r="C72" s="1225" t="s">
        <v>123</v>
      </c>
      <c r="D72" s="1225">
        <v>6040</v>
      </c>
      <c r="E72" s="1225" t="s">
        <v>122</v>
      </c>
      <c r="F72" s="1225">
        <v>1087.2</v>
      </c>
    </row>
    <row r="73" spans="1:6" s="1225" customFormat="1" ht="17.25" customHeight="1">
      <c r="A73" s="1225">
        <v>1</v>
      </c>
      <c r="B73" s="1225" t="s">
        <v>132</v>
      </c>
      <c r="C73" s="1225" t="s">
        <v>133</v>
      </c>
      <c r="D73" s="1225">
        <v>1642.42</v>
      </c>
      <c r="E73" s="1225" t="s">
        <v>132</v>
      </c>
      <c r="F73" s="1225">
        <v>1642.42</v>
      </c>
    </row>
    <row r="74" spans="1:6" s="1225" customFormat="1" ht="17.25" customHeight="1">
      <c r="A74" s="1225">
        <v>1</v>
      </c>
      <c r="B74" s="1225" t="s">
        <v>132</v>
      </c>
      <c r="C74" s="1225" t="s">
        <v>138</v>
      </c>
      <c r="D74" s="1225">
        <v>121</v>
      </c>
      <c r="E74" s="1225" t="s">
        <v>132</v>
      </c>
      <c r="F74" s="1225">
        <v>121</v>
      </c>
    </row>
    <row r="75" spans="1:6" s="1225" customFormat="1" ht="17.25" customHeight="1">
      <c r="B75" s="1225" t="s">
        <v>145</v>
      </c>
      <c r="C75" s="1225" t="s">
        <v>146</v>
      </c>
      <c r="D75" s="1225" t="s">
        <v>85</v>
      </c>
      <c r="E75" s="1225" t="s">
        <v>145</v>
      </c>
      <c r="F75" s="1225">
        <v>5</v>
      </c>
    </row>
    <row r="76" spans="1:6" s="1225" customFormat="1" ht="17.25" customHeight="1">
      <c r="F76" s="1225" t="s">
        <v>52</v>
      </c>
    </row>
    <row r="77" spans="1:6" s="1225" customFormat="1" ht="17.25" customHeight="1">
      <c r="C77" s="1225" t="s">
        <v>155</v>
      </c>
      <c r="F77" s="1225">
        <v>2855.62</v>
      </c>
    </row>
    <row r="78" spans="1:6" s="1225" customFormat="1" ht="17.25" customHeight="1">
      <c r="F78" s="1225" t="s">
        <v>52</v>
      </c>
    </row>
    <row r="79" spans="1:6" s="1225" customFormat="1" ht="17.25" customHeight="1">
      <c r="A79" s="1225">
        <v>1.1000000000000001</v>
      </c>
      <c r="B79" s="1225" t="s">
        <v>85</v>
      </c>
      <c r="C79" s="1225" t="s">
        <v>337</v>
      </c>
    </row>
    <row r="80" spans="1:6" s="1225" customFormat="1" ht="17.25" customHeight="1">
      <c r="A80" s="1225" t="s">
        <v>85</v>
      </c>
      <c r="C80" s="1225" t="s">
        <v>342</v>
      </c>
    </row>
    <row r="81" spans="1:6" s="1225" customFormat="1" ht="17.25" customHeight="1">
      <c r="A81" s="1225">
        <v>10</v>
      </c>
      <c r="B81" s="1225" t="s">
        <v>132</v>
      </c>
      <c r="C81" s="1225" t="s">
        <v>344</v>
      </c>
      <c r="D81" s="1225">
        <v>116.88</v>
      </c>
      <c r="E81" s="1225" t="s">
        <v>132</v>
      </c>
      <c r="F81" s="1225">
        <v>1168.8</v>
      </c>
    </row>
    <row r="82" spans="1:6" s="1225" customFormat="1" ht="17.25" customHeight="1">
      <c r="A82" s="1225">
        <v>10</v>
      </c>
      <c r="B82" s="1225" t="s">
        <v>132</v>
      </c>
      <c r="C82" s="1225" t="s">
        <v>347</v>
      </c>
      <c r="D82" s="1225">
        <v>116.88</v>
      </c>
      <c r="E82" s="1225" t="s">
        <v>132</v>
      </c>
      <c r="F82" s="1225">
        <v>1168.8</v>
      </c>
    </row>
    <row r="83" spans="1:6" s="1225" customFormat="1" ht="17.25" customHeight="1">
      <c r="A83" s="1225">
        <v>10</v>
      </c>
      <c r="B83" s="1225" t="s">
        <v>132</v>
      </c>
      <c r="C83" s="1225" t="s">
        <v>349</v>
      </c>
      <c r="D83" s="1225">
        <v>13.55</v>
      </c>
      <c r="E83" s="1225" t="s">
        <v>132</v>
      </c>
      <c r="F83" s="1225">
        <v>135.5</v>
      </c>
    </row>
    <row r="84" spans="1:6" s="1225" customFormat="1" ht="17.25" customHeight="1">
      <c r="B84" s="1225" t="s">
        <v>145</v>
      </c>
      <c r="C84" s="1225" t="s">
        <v>146</v>
      </c>
      <c r="E84" s="1225" t="s">
        <v>145</v>
      </c>
      <c r="F84" s="1225">
        <v>0</v>
      </c>
    </row>
    <row r="85" spans="1:6" s="1225" customFormat="1" ht="17.25" customHeight="1">
      <c r="F85" s="1225" t="s">
        <v>52</v>
      </c>
    </row>
    <row r="86" spans="1:6" s="1225" customFormat="1" ht="17.25" customHeight="1">
      <c r="C86" s="1225" t="s">
        <v>311</v>
      </c>
      <c r="F86" s="1225">
        <v>2473.1</v>
      </c>
    </row>
    <row r="87" spans="1:6" s="1225" customFormat="1" ht="17.25" customHeight="1">
      <c r="F87" s="1225" t="s">
        <v>52</v>
      </c>
    </row>
    <row r="88" spans="1:6" s="1225" customFormat="1" ht="17.25" customHeight="1">
      <c r="C88" s="1225" t="s">
        <v>354</v>
      </c>
      <c r="D88" s="1225" t="s">
        <v>355</v>
      </c>
      <c r="F88" s="1225">
        <v>247.31</v>
      </c>
    </row>
    <row r="89" spans="1:6" s="1225" customFormat="1" ht="17.25" customHeight="1">
      <c r="D89" s="1225" t="s">
        <v>357</v>
      </c>
      <c r="F89" s="1225">
        <v>258.52999999999997</v>
      </c>
    </row>
    <row r="90" spans="1:6" s="1225" customFormat="1" ht="17.25" customHeight="1">
      <c r="A90" s="1225" t="s">
        <v>374</v>
      </c>
      <c r="B90" s="1225" t="s">
        <v>111</v>
      </c>
      <c r="C90" s="1225" t="s">
        <v>375</v>
      </c>
    </row>
    <row r="91" spans="1:6" s="1225" customFormat="1" ht="17.25" customHeight="1">
      <c r="C91" s="1225" t="s">
        <v>7017</v>
      </c>
    </row>
    <row r="92" spans="1:6" s="1225" customFormat="1" ht="17.25" customHeight="1">
      <c r="C92" s="1225" t="s">
        <v>52</v>
      </c>
    </row>
    <row r="93" spans="1:6" s="1225" customFormat="1" ht="17.25" customHeight="1">
      <c r="A93" s="1225">
        <v>1</v>
      </c>
      <c r="B93" s="1225" t="s">
        <v>132</v>
      </c>
      <c r="C93" s="1225" t="s">
        <v>383</v>
      </c>
      <c r="D93" s="1225">
        <v>1642.42</v>
      </c>
      <c r="E93" s="1225" t="s">
        <v>132</v>
      </c>
      <c r="F93" s="1225">
        <v>1642.42</v>
      </c>
    </row>
    <row r="94" spans="1:6" s="1225" customFormat="1" ht="17.25" customHeight="1">
      <c r="A94" s="1225">
        <v>1</v>
      </c>
      <c r="B94" s="1225" t="s">
        <v>132</v>
      </c>
      <c r="C94" s="1225" t="s">
        <v>218</v>
      </c>
      <c r="D94" s="1225">
        <v>35.700000000000003</v>
      </c>
      <c r="E94" s="1225" t="s">
        <v>132</v>
      </c>
      <c r="F94" s="1225">
        <v>35.700000000000003</v>
      </c>
    </row>
    <row r="95" spans="1:6" s="1225" customFormat="1" ht="17.25" customHeight="1">
      <c r="B95" s="1225" t="s">
        <v>145</v>
      </c>
      <c r="C95" s="1225" t="s">
        <v>146</v>
      </c>
      <c r="D95" s="1225" t="s">
        <v>85</v>
      </c>
      <c r="E95" s="1225" t="s">
        <v>145</v>
      </c>
      <c r="F95" s="1225">
        <v>0</v>
      </c>
    </row>
    <row r="96" spans="1:6" s="1225" customFormat="1" ht="17.25" customHeight="1">
      <c r="F96" s="1225" t="s">
        <v>52</v>
      </c>
    </row>
    <row r="97" spans="1:6" s="1225" customFormat="1" ht="17.25" customHeight="1">
      <c r="C97" s="1225" t="s">
        <v>390</v>
      </c>
      <c r="F97" s="1225">
        <v>1678.12</v>
      </c>
    </row>
    <row r="98" spans="1:6" s="1225" customFormat="1" ht="17.25" customHeight="1"/>
    <row r="99" spans="1:6" s="1225" customFormat="1" ht="17.25" customHeight="1">
      <c r="A99" s="1225" t="s">
        <v>415</v>
      </c>
      <c r="B99" s="1225" t="s">
        <v>111</v>
      </c>
      <c r="C99" s="1225" t="s">
        <v>416</v>
      </c>
    </row>
    <row r="100" spans="1:6" s="1225" customFormat="1" ht="17.25" customHeight="1">
      <c r="C100" s="1225" t="s">
        <v>418</v>
      </c>
    </row>
    <row r="101" spans="1:6" s="1225" customFormat="1" ht="17.25" customHeight="1">
      <c r="C101" s="1225" t="s">
        <v>52</v>
      </c>
    </row>
    <row r="102" spans="1:6" s="1225" customFormat="1" ht="17.25" customHeight="1">
      <c r="A102" s="1225">
        <v>9</v>
      </c>
      <c r="B102" s="1225" t="s">
        <v>132</v>
      </c>
      <c r="C102" s="1225" t="s">
        <v>421</v>
      </c>
      <c r="D102" s="1225">
        <v>1316.98</v>
      </c>
      <c r="E102" s="1225" t="s">
        <v>132</v>
      </c>
      <c r="F102" s="1225">
        <v>11852.82</v>
      </c>
    </row>
    <row r="103" spans="1:6" s="1225" customFormat="1" ht="17.25" customHeight="1">
      <c r="A103" s="1225">
        <v>4.5</v>
      </c>
      <c r="B103" s="1225" t="s">
        <v>132</v>
      </c>
      <c r="C103" s="1225" t="s">
        <v>283</v>
      </c>
      <c r="D103" s="1225">
        <v>3507.94</v>
      </c>
      <c r="E103" s="1225" t="s">
        <v>132</v>
      </c>
      <c r="F103" s="1225">
        <v>15785.73</v>
      </c>
    </row>
    <row r="104" spans="1:6" s="1225" customFormat="1" ht="17.25" customHeight="1">
      <c r="A104" s="1225">
        <v>1.8</v>
      </c>
      <c r="B104" s="1225" t="s">
        <v>131</v>
      </c>
      <c r="C104" s="1225" t="s">
        <v>302</v>
      </c>
      <c r="D104" s="1225">
        <v>972.4</v>
      </c>
      <c r="E104" s="1225" t="s">
        <v>131</v>
      </c>
      <c r="F104" s="1225">
        <v>1750.32</v>
      </c>
    </row>
    <row r="105" spans="1:6" s="1225" customFormat="1" ht="17.25" customHeight="1">
      <c r="A105" s="1225">
        <v>17.7</v>
      </c>
      <c r="B105" s="1225" t="s">
        <v>131</v>
      </c>
      <c r="C105" s="1225" t="s">
        <v>304</v>
      </c>
      <c r="D105" s="1225">
        <v>679.8</v>
      </c>
      <c r="E105" s="1225" t="s">
        <v>131</v>
      </c>
      <c r="F105" s="1225">
        <v>12032.46</v>
      </c>
    </row>
    <row r="106" spans="1:6" s="1225" customFormat="1" ht="17.25" customHeight="1">
      <c r="A106" s="1225">
        <v>14.1</v>
      </c>
      <c r="B106" s="1225" t="s">
        <v>131</v>
      </c>
      <c r="C106" s="1225" t="s">
        <v>306</v>
      </c>
      <c r="D106" s="1225">
        <v>557.70000000000005</v>
      </c>
      <c r="E106" s="1225" t="s">
        <v>131</v>
      </c>
      <c r="F106" s="1225">
        <v>7863.57</v>
      </c>
    </row>
    <row r="107" spans="1:6" s="1225" customFormat="1" ht="17.25" customHeight="1">
      <c r="B107" s="1225" t="s">
        <v>145</v>
      </c>
      <c r="C107" s="1225" t="s">
        <v>146</v>
      </c>
      <c r="E107" s="1225" t="s">
        <v>145</v>
      </c>
      <c r="F107" s="1225">
        <v>0</v>
      </c>
    </row>
    <row r="108" spans="1:6" s="1225" customFormat="1" ht="17.25" customHeight="1">
      <c r="F108" s="1225" t="s">
        <v>52</v>
      </c>
    </row>
    <row r="109" spans="1:6" s="1225" customFormat="1" ht="17.25" customHeight="1">
      <c r="F109" s="1225">
        <v>49284.9</v>
      </c>
    </row>
    <row r="110" spans="1:6" s="1225" customFormat="1" ht="17.25" customHeight="1">
      <c r="C110" s="1225" t="s">
        <v>311</v>
      </c>
      <c r="F110" s="1225" t="s">
        <v>52</v>
      </c>
    </row>
    <row r="111" spans="1:6" s="1225" customFormat="1" ht="17.25" customHeight="1">
      <c r="F111" s="1225">
        <v>4928.49</v>
      </c>
    </row>
    <row r="112" spans="1:6" s="1225" customFormat="1" ht="17.25" customHeight="1"/>
    <row r="113" spans="1:6" s="1225" customFormat="1" ht="17.25" customHeight="1">
      <c r="A113" s="1225" t="s">
        <v>440</v>
      </c>
      <c r="B113" s="1225" t="s">
        <v>111</v>
      </c>
      <c r="C113" s="1225" t="s">
        <v>6415</v>
      </c>
    </row>
    <row r="114" spans="1:6" s="1225" customFormat="1" ht="17.25" customHeight="1">
      <c r="C114" s="1225" t="s">
        <v>320</v>
      </c>
    </row>
    <row r="115" spans="1:6" s="1225" customFormat="1" ht="17.25" customHeight="1">
      <c r="C115" s="1225" t="s">
        <v>52</v>
      </c>
    </row>
    <row r="116" spans="1:6" s="1225" customFormat="1" ht="17.25" customHeight="1">
      <c r="A116" s="1225">
        <v>9</v>
      </c>
      <c r="B116" s="1225" t="s">
        <v>132</v>
      </c>
      <c r="C116" s="1225" t="s">
        <v>445</v>
      </c>
      <c r="D116" s="1225">
        <v>1729.98</v>
      </c>
      <c r="E116" s="1225" t="s">
        <v>132</v>
      </c>
      <c r="F116" s="1225">
        <v>15569.82</v>
      </c>
    </row>
    <row r="117" spans="1:6" s="1225" customFormat="1" ht="17.25" customHeight="1">
      <c r="A117" s="1225">
        <v>4.5</v>
      </c>
      <c r="B117" s="1225" t="s">
        <v>132</v>
      </c>
      <c r="C117" s="1225" t="s">
        <v>164</v>
      </c>
      <c r="D117" s="1225">
        <v>6117.22</v>
      </c>
      <c r="E117" s="1225" t="s">
        <v>132</v>
      </c>
      <c r="F117" s="1225">
        <v>27527.49</v>
      </c>
    </row>
    <row r="118" spans="1:6" s="1225" customFormat="1" ht="17.25" customHeight="1">
      <c r="A118" s="1225">
        <v>1.8</v>
      </c>
      <c r="B118" s="1225" t="s">
        <v>131</v>
      </c>
      <c r="C118" s="1225" t="s">
        <v>302</v>
      </c>
      <c r="D118" s="1225">
        <v>972.4</v>
      </c>
      <c r="E118" s="1225" t="s">
        <v>131</v>
      </c>
      <c r="F118" s="1225">
        <v>1750.32</v>
      </c>
    </row>
    <row r="119" spans="1:6" s="1225" customFormat="1" ht="17.25" customHeight="1">
      <c r="A119" s="1225">
        <v>17.7</v>
      </c>
      <c r="B119" s="1225" t="s">
        <v>131</v>
      </c>
      <c r="C119" s="1225" t="s">
        <v>304</v>
      </c>
      <c r="D119" s="1225">
        <v>679.8</v>
      </c>
      <c r="E119" s="1225" t="s">
        <v>131</v>
      </c>
      <c r="F119" s="1225">
        <v>12032.46</v>
      </c>
    </row>
    <row r="120" spans="1:6" s="1225" customFormat="1" ht="17.25" customHeight="1">
      <c r="A120" s="1225">
        <v>14.1</v>
      </c>
      <c r="B120" s="1225" t="s">
        <v>131</v>
      </c>
      <c r="C120" s="1225" t="s">
        <v>306</v>
      </c>
      <c r="D120" s="1225">
        <v>557.70000000000005</v>
      </c>
      <c r="E120" s="1225" t="s">
        <v>131</v>
      </c>
      <c r="F120" s="1225">
        <v>7863.57</v>
      </c>
    </row>
    <row r="121" spans="1:6" s="1225" customFormat="1" ht="17.25" customHeight="1">
      <c r="B121" s="1225" t="s">
        <v>145</v>
      </c>
      <c r="C121" s="1225" t="s">
        <v>146</v>
      </c>
      <c r="E121" s="1225" t="s">
        <v>145</v>
      </c>
      <c r="F121" s="1225">
        <v>0</v>
      </c>
    </row>
    <row r="122" spans="1:6" s="1225" customFormat="1" ht="17.25" customHeight="1">
      <c r="F122" s="1225" t="s">
        <v>52</v>
      </c>
    </row>
    <row r="123" spans="1:6" s="1225" customFormat="1" ht="17.25" customHeight="1">
      <c r="F123" s="1225">
        <v>64743.66</v>
      </c>
    </row>
    <row r="124" spans="1:6" s="1225" customFormat="1" ht="17.25" customHeight="1">
      <c r="C124" s="1225" t="s">
        <v>311</v>
      </c>
      <c r="F124" s="1225" t="s">
        <v>52</v>
      </c>
    </row>
    <row r="125" spans="1:6" s="1225" customFormat="1" ht="17.25" customHeight="1">
      <c r="F125" s="1225">
        <v>6474.37</v>
      </c>
    </row>
    <row r="126" spans="1:6" s="1225" customFormat="1" ht="17.25" customHeight="1">
      <c r="A126" s="1225">
        <v>6</v>
      </c>
      <c r="B126" s="1225" t="s">
        <v>111</v>
      </c>
      <c r="C126" s="1225" t="s">
        <v>4069</v>
      </c>
    </row>
    <row r="127" spans="1:6" s="1225" customFormat="1" ht="17.25" customHeight="1">
      <c r="C127" s="1225" t="s">
        <v>4071</v>
      </c>
    </row>
    <row r="128" spans="1:6" s="1225" customFormat="1" ht="17.25" customHeight="1">
      <c r="C128" s="1225" t="s">
        <v>52</v>
      </c>
    </row>
    <row r="129" spans="1:6" s="1225" customFormat="1" ht="17.25" customHeight="1">
      <c r="A129" s="1225">
        <v>4240</v>
      </c>
      <c r="B129" s="1225" t="s">
        <v>338</v>
      </c>
      <c r="C129" s="1225" t="s">
        <v>4071</v>
      </c>
      <c r="D129" s="1225">
        <v>7024.8</v>
      </c>
      <c r="E129" s="1225" t="s">
        <v>339</v>
      </c>
      <c r="F129" s="1225">
        <v>29785.15</v>
      </c>
    </row>
    <row r="130" spans="1:6" s="1225" customFormat="1" ht="17.25" customHeight="1">
      <c r="A130" s="1225">
        <v>2</v>
      </c>
      <c r="B130" s="1225" t="s">
        <v>132</v>
      </c>
      <c r="C130" s="1225" t="s">
        <v>283</v>
      </c>
      <c r="D130" s="1225">
        <v>3507.94</v>
      </c>
      <c r="E130" s="1225" t="s">
        <v>132</v>
      </c>
      <c r="F130" s="1225">
        <v>7015.88</v>
      </c>
    </row>
    <row r="131" spans="1:6" s="1225" customFormat="1" ht="17.25" customHeight="1">
      <c r="A131" s="1225">
        <v>3.5</v>
      </c>
      <c r="B131" s="1225" t="s">
        <v>131</v>
      </c>
      <c r="C131" s="1225" t="s">
        <v>345</v>
      </c>
      <c r="D131" s="1225">
        <v>1041.7</v>
      </c>
      <c r="E131" s="1225" t="s">
        <v>131</v>
      </c>
      <c r="F131" s="1225">
        <v>3645.95</v>
      </c>
    </row>
    <row r="132" spans="1:6" s="1225" customFormat="1" ht="17.25" customHeight="1">
      <c r="A132" s="1225">
        <v>10.6</v>
      </c>
      <c r="B132" s="1225" t="s">
        <v>131</v>
      </c>
      <c r="C132" s="1225" t="s">
        <v>302</v>
      </c>
      <c r="D132" s="1225">
        <v>972.4</v>
      </c>
      <c r="E132" s="1225" t="s">
        <v>131</v>
      </c>
      <c r="F132" s="1225">
        <v>10307.44</v>
      </c>
    </row>
    <row r="133" spans="1:6" s="1225" customFormat="1" ht="17.25" customHeight="1">
      <c r="A133" s="1225">
        <v>7.1</v>
      </c>
      <c r="B133" s="1225" t="s">
        <v>131</v>
      </c>
      <c r="C133" s="1225" t="s">
        <v>304</v>
      </c>
      <c r="D133" s="1225">
        <v>679.8</v>
      </c>
      <c r="E133" s="1225" t="s">
        <v>131</v>
      </c>
      <c r="F133" s="1225">
        <v>4826.58</v>
      </c>
    </row>
    <row r="134" spans="1:6" s="1225" customFormat="1" ht="17.25" customHeight="1">
      <c r="A134" s="1225">
        <v>21.2</v>
      </c>
      <c r="B134" s="1225" t="s">
        <v>131</v>
      </c>
      <c r="C134" s="1225" t="s">
        <v>306</v>
      </c>
      <c r="D134" s="1225">
        <v>557.70000000000005</v>
      </c>
      <c r="E134" s="1225" t="s">
        <v>131</v>
      </c>
      <c r="F134" s="1225">
        <v>11823.24</v>
      </c>
    </row>
    <row r="135" spans="1:6" s="1225" customFormat="1" ht="17.25" customHeight="1">
      <c r="B135" s="1225" t="s">
        <v>145</v>
      </c>
      <c r="C135" s="1225" t="s">
        <v>146</v>
      </c>
      <c r="E135" s="1225" t="s">
        <v>145</v>
      </c>
      <c r="F135" s="1225">
        <v>0</v>
      </c>
    </row>
    <row r="136" spans="1:6" s="1225" customFormat="1" ht="17.25" customHeight="1">
      <c r="F136" s="1225" t="s">
        <v>52</v>
      </c>
    </row>
    <row r="137" spans="1:6" s="1225" customFormat="1" ht="17.25" customHeight="1">
      <c r="C137" s="1225" t="s">
        <v>311</v>
      </c>
      <c r="F137" s="1225">
        <v>67404.240000000005</v>
      </c>
    </row>
    <row r="138" spans="1:6" s="1225" customFormat="1" ht="17.25" customHeight="1">
      <c r="F138" s="1225" t="s">
        <v>52</v>
      </c>
    </row>
    <row r="139" spans="1:6" s="1225" customFormat="1" ht="17.25" customHeight="1">
      <c r="C139" s="1225" t="s">
        <v>242</v>
      </c>
      <c r="F139" s="1225">
        <v>6740.42</v>
      </c>
    </row>
    <row r="140" spans="1:6" s="1225" customFormat="1" ht="17.25" customHeight="1"/>
    <row r="141" spans="1:6" s="1225" customFormat="1" ht="17.25" customHeight="1">
      <c r="A141" s="1225" t="s">
        <v>555</v>
      </c>
      <c r="C141" s="1225" t="s">
        <v>6416</v>
      </c>
      <c r="E141" s="1225">
        <v>719</v>
      </c>
      <c r="F141" s="1225" t="s">
        <v>4074</v>
      </c>
    </row>
    <row r="142" spans="1:6" s="1225" customFormat="1" ht="17.25" customHeight="1"/>
    <row r="143" spans="1:6" s="1225" customFormat="1" ht="17.25" customHeight="1">
      <c r="A143" s="1225">
        <v>9</v>
      </c>
      <c r="B143" s="1225" t="s">
        <v>111</v>
      </c>
      <c r="C143" s="1225" t="s">
        <v>4078</v>
      </c>
    </row>
    <row r="144" spans="1:6" s="1225" customFormat="1" ht="17.25" customHeight="1">
      <c r="C144" s="1225" t="s">
        <v>4071</v>
      </c>
    </row>
    <row r="145" spans="1:6" s="1225" customFormat="1" ht="17.25" customHeight="1">
      <c r="C145" s="1225" t="s">
        <v>52</v>
      </c>
    </row>
    <row r="146" spans="1:6" s="1225" customFormat="1" ht="17.25" customHeight="1">
      <c r="A146" s="1225">
        <v>4240</v>
      </c>
      <c r="B146" s="1225" t="s">
        <v>338</v>
      </c>
      <c r="C146" s="1225" t="s">
        <v>4071</v>
      </c>
      <c r="D146" s="1225">
        <v>7024.8</v>
      </c>
      <c r="E146" s="1225" t="s">
        <v>339</v>
      </c>
      <c r="F146" s="1225">
        <v>29785.15</v>
      </c>
    </row>
    <row r="147" spans="1:6" s="1225" customFormat="1" ht="17.25" customHeight="1">
      <c r="A147" s="1225">
        <v>2</v>
      </c>
      <c r="B147" s="1225" t="s">
        <v>132</v>
      </c>
      <c r="C147" s="1225" t="s">
        <v>299</v>
      </c>
      <c r="D147" s="1225">
        <v>3218.02</v>
      </c>
      <c r="E147" s="1225" t="s">
        <v>132</v>
      </c>
      <c r="F147" s="1225">
        <v>6436.04</v>
      </c>
    </row>
    <row r="148" spans="1:6" s="1225" customFormat="1" ht="17.25" customHeight="1">
      <c r="A148" s="1225">
        <v>3.5</v>
      </c>
      <c r="B148" s="1225" t="s">
        <v>131</v>
      </c>
      <c r="C148" s="1225" t="s">
        <v>345</v>
      </c>
      <c r="D148" s="1225">
        <v>1041.7</v>
      </c>
      <c r="E148" s="1225" t="s">
        <v>131</v>
      </c>
      <c r="F148" s="1225">
        <v>3645.95</v>
      </c>
    </row>
    <row r="149" spans="1:6" s="1225" customFormat="1" ht="17.25" customHeight="1">
      <c r="A149" s="1225">
        <v>10.6</v>
      </c>
      <c r="B149" s="1225" t="s">
        <v>131</v>
      </c>
      <c r="C149" s="1225" t="s">
        <v>302</v>
      </c>
      <c r="D149" s="1225">
        <v>972.4</v>
      </c>
      <c r="E149" s="1225" t="s">
        <v>131</v>
      </c>
      <c r="F149" s="1225">
        <v>10307.44</v>
      </c>
    </row>
    <row r="150" spans="1:6" s="1225" customFormat="1" ht="17.25" customHeight="1">
      <c r="A150" s="1225">
        <v>7.1</v>
      </c>
      <c r="B150" s="1225" t="s">
        <v>131</v>
      </c>
      <c r="C150" s="1225" t="s">
        <v>304</v>
      </c>
      <c r="D150" s="1225">
        <v>679.8</v>
      </c>
      <c r="E150" s="1225" t="s">
        <v>131</v>
      </c>
      <c r="F150" s="1225">
        <v>4826.58</v>
      </c>
    </row>
    <row r="151" spans="1:6" s="1225" customFormat="1" ht="17.25" customHeight="1">
      <c r="A151" s="1225">
        <v>21.2</v>
      </c>
      <c r="B151" s="1225" t="s">
        <v>131</v>
      </c>
      <c r="C151" s="1225" t="s">
        <v>306</v>
      </c>
      <c r="D151" s="1225">
        <v>557.70000000000005</v>
      </c>
      <c r="E151" s="1225" t="s">
        <v>131</v>
      </c>
      <c r="F151" s="1225">
        <v>11823.24</v>
      </c>
    </row>
    <row r="152" spans="1:6" s="1225" customFormat="1" ht="17.25" customHeight="1">
      <c r="B152" s="1225" t="s">
        <v>145</v>
      </c>
      <c r="C152" s="1225" t="s">
        <v>146</v>
      </c>
      <c r="E152" s="1225" t="s">
        <v>145</v>
      </c>
      <c r="F152" s="1225">
        <v>0</v>
      </c>
    </row>
    <row r="153" spans="1:6" s="1225" customFormat="1" ht="17.25" customHeight="1">
      <c r="F153" s="1225" t="s">
        <v>52</v>
      </c>
    </row>
    <row r="154" spans="1:6" s="1225" customFormat="1" ht="17.25" customHeight="1">
      <c r="C154" s="1225" t="s">
        <v>311</v>
      </c>
      <c r="F154" s="1225">
        <v>66824.399999999994</v>
      </c>
    </row>
    <row r="155" spans="1:6" s="1225" customFormat="1" ht="17.25" customHeight="1">
      <c r="F155" s="1225" t="s">
        <v>52</v>
      </c>
    </row>
    <row r="156" spans="1:6" s="1225" customFormat="1" ht="17.25" customHeight="1">
      <c r="C156" s="1225" t="s">
        <v>242</v>
      </c>
      <c r="F156" s="1225">
        <v>6682.44</v>
      </c>
    </row>
    <row r="157" spans="1:6" s="1225" customFormat="1" ht="17.25" customHeight="1">
      <c r="F157" s="1225" t="s">
        <v>89</v>
      </c>
    </row>
    <row r="158" spans="1:6" s="1225" customFormat="1" ht="17.25" customHeight="1">
      <c r="C158" s="1225" t="s">
        <v>53</v>
      </c>
      <c r="F158" s="1225">
        <v>6764.72</v>
      </c>
    </row>
    <row r="159" spans="1:6" s="1225" customFormat="1" ht="17.25" customHeight="1">
      <c r="C159" s="1225" t="s">
        <v>54</v>
      </c>
      <c r="F159" s="1225">
        <v>6930.71</v>
      </c>
    </row>
    <row r="160" spans="1:6" s="1225" customFormat="1" ht="17.25" customHeight="1">
      <c r="C160" s="1225" t="s">
        <v>55</v>
      </c>
      <c r="F160" s="1225">
        <v>7096.7</v>
      </c>
    </row>
    <row r="161" spans="1:6" s="1225" customFormat="1" ht="17.25" customHeight="1">
      <c r="C161" s="1225" t="s">
        <v>56</v>
      </c>
      <c r="F161" s="1225">
        <v>7262.69</v>
      </c>
    </row>
    <row r="162" spans="1:6" s="1225" customFormat="1" ht="17.25" customHeight="1">
      <c r="A162" s="1225" t="s">
        <v>85</v>
      </c>
      <c r="C162" s="1225" t="s">
        <v>526</v>
      </c>
      <c r="F162" s="1225">
        <v>7428.68</v>
      </c>
    </row>
    <row r="163" spans="1:6" s="1225" customFormat="1" ht="17.25" customHeight="1">
      <c r="C163" s="1437" t="s">
        <v>7569</v>
      </c>
      <c r="F163" s="1225">
        <v>7594.67</v>
      </c>
    </row>
    <row r="164" spans="1:6" s="1225" customFormat="1" ht="17.25" customHeight="1"/>
    <row r="165" spans="1:6" s="1225" customFormat="1" ht="17.25" customHeight="1">
      <c r="B165" s="1225" t="s">
        <v>483</v>
      </c>
      <c r="C165" s="1225" t="s">
        <v>4093</v>
      </c>
    </row>
    <row r="166" spans="1:6" s="1225" customFormat="1" ht="17.25" customHeight="1">
      <c r="C166" s="1225" t="s">
        <v>52</v>
      </c>
    </row>
    <row r="167" spans="1:6" s="1225" customFormat="1" ht="17.25" customHeight="1">
      <c r="A167" s="1225">
        <v>1.1399999999999999</v>
      </c>
      <c r="B167" s="1225" t="s">
        <v>132</v>
      </c>
      <c r="C167" s="1225" t="s">
        <v>593</v>
      </c>
      <c r="D167" s="1225">
        <v>6563.83</v>
      </c>
      <c r="E167" s="1225" t="s">
        <v>132</v>
      </c>
      <c r="F167" s="1225">
        <v>7482.77</v>
      </c>
    </row>
    <row r="168" spans="1:6" s="1225" customFormat="1" ht="17.25" customHeight="1">
      <c r="A168" s="1225">
        <v>1</v>
      </c>
      <c r="B168" s="1225" t="s">
        <v>237</v>
      </c>
      <c r="C168" s="1225" t="s">
        <v>345</v>
      </c>
      <c r="D168" s="1225">
        <v>1041.7</v>
      </c>
      <c r="E168" s="1225" t="s">
        <v>131</v>
      </c>
      <c r="F168" s="1225">
        <v>1041.7</v>
      </c>
    </row>
    <row r="169" spans="1:6" s="1225" customFormat="1" ht="17.25" customHeight="1">
      <c r="B169" s="1225" t="s">
        <v>145</v>
      </c>
      <c r="C169" s="1225" t="s">
        <v>146</v>
      </c>
      <c r="D169" s="1225" t="s">
        <v>85</v>
      </c>
      <c r="E169" s="1225" t="s">
        <v>145</v>
      </c>
      <c r="F169" s="1225">
        <v>0</v>
      </c>
    </row>
    <row r="170" spans="1:6" s="1225" customFormat="1" ht="17.25" customHeight="1">
      <c r="F170" s="1225" t="s">
        <v>52</v>
      </c>
    </row>
    <row r="171" spans="1:6" s="1225" customFormat="1" ht="17.25" customHeight="1">
      <c r="C171" s="1225" t="s">
        <v>495</v>
      </c>
      <c r="F171" s="1225">
        <v>8524.4699999999993</v>
      </c>
    </row>
    <row r="172" spans="1:6" s="1225" customFormat="1" ht="17.25" customHeight="1">
      <c r="F172" s="1225" t="s">
        <v>52</v>
      </c>
    </row>
    <row r="173" spans="1:6" s="1225" customFormat="1" ht="17.25" customHeight="1">
      <c r="C173" s="1225" t="s">
        <v>460</v>
      </c>
      <c r="F173" s="1225">
        <v>852.45</v>
      </c>
    </row>
    <row r="174" spans="1:6" s="1225" customFormat="1" ht="17.25" customHeight="1">
      <c r="F174" s="1225" t="s">
        <v>89</v>
      </c>
    </row>
    <row r="175" spans="1:6" s="1225" customFormat="1" ht="17.25" customHeight="1">
      <c r="C175" s="1225" t="s">
        <v>53</v>
      </c>
      <c r="E175" s="1225">
        <v>9.3800000000000008</v>
      </c>
      <c r="F175" s="1225">
        <v>861.83</v>
      </c>
    </row>
    <row r="176" spans="1:6" s="1225" customFormat="1" ht="17.25" customHeight="1">
      <c r="C176" s="1225" t="s">
        <v>54</v>
      </c>
      <c r="E176" s="1225">
        <v>18.920000000000002</v>
      </c>
      <c r="F176" s="1225">
        <v>880.75</v>
      </c>
    </row>
    <row r="177" spans="1:6" s="1225" customFormat="1" ht="17.25" customHeight="1">
      <c r="C177" s="1225" t="s">
        <v>55</v>
      </c>
      <c r="E177" s="1225">
        <v>18.920000000000002</v>
      </c>
      <c r="F177" s="1225">
        <v>899.67</v>
      </c>
    </row>
    <row r="178" spans="1:6" s="1225" customFormat="1" ht="17.25" customHeight="1">
      <c r="C178" s="1225" t="s">
        <v>56</v>
      </c>
      <c r="E178" s="1225">
        <v>18.920000000000002</v>
      </c>
      <c r="F178" s="1225">
        <v>918.59</v>
      </c>
    </row>
    <row r="179" spans="1:6" s="1225" customFormat="1" ht="17.25" customHeight="1">
      <c r="C179" s="1225" t="s">
        <v>57</v>
      </c>
      <c r="E179" s="1225">
        <v>18.920000000000002</v>
      </c>
      <c r="F179" s="1225">
        <v>937.51</v>
      </c>
    </row>
    <row r="180" spans="1:6" s="1225" customFormat="1" ht="17.25" customHeight="1">
      <c r="C180" s="1225" t="s">
        <v>4095</v>
      </c>
      <c r="E180" s="1225">
        <v>18.920000000000002</v>
      </c>
      <c r="F180" s="1225">
        <v>956.43</v>
      </c>
    </row>
    <row r="181" spans="1:6" s="1225" customFormat="1" ht="17.25" customHeight="1"/>
    <row r="182" spans="1:6" s="1225" customFormat="1" ht="17.25" customHeight="1">
      <c r="B182" s="1225" t="s">
        <v>607</v>
      </c>
      <c r="C182" s="1225" t="s">
        <v>4108</v>
      </c>
    </row>
    <row r="183" spans="1:6" s="1225" customFormat="1" ht="17.25" customHeight="1">
      <c r="C183" s="1225" t="s">
        <v>52</v>
      </c>
    </row>
    <row r="184" spans="1:6" s="1225" customFormat="1" ht="17.25" customHeight="1">
      <c r="A184" s="1225">
        <v>0.75</v>
      </c>
      <c r="B184" s="1225" t="s">
        <v>132</v>
      </c>
      <c r="C184" s="1225" t="s">
        <v>488</v>
      </c>
      <c r="D184" s="1225">
        <v>6563.83</v>
      </c>
      <c r="E184" s="1225" t="s">
        <v>131</v>
      </c>
      <c r="F184" s="1225">
        <v>4922.87</v>
      </c>
    </row>
    <row r="185" spans="1:6" s="1225" customFormat="1" ht="17.25" customHeight="1">
      <c r="A185" s="1225">
        <v>1</v>
      </c>
      <c r="B185" s="1225" t="s">
        <v>237</v>
      </c>
      <c r="C185" s="1225" t="s">
        <v>345</v>
      </c>
      <c r="D185" s="1225">
        <v>1041.7</v>
      </c>
      <c r="E185" s="1225" t="s">
        <v>131</v>
      </c>
      <c r="F185" s="1225">
        <v>1041.7</v>
      </c>
    </row>
    <row r="186" spans="1:6" s="1225" customFormat="1" ht="17.25" customHeight="1">
      <c r="B186" s="1225" t="s">
        <v>145</v>
      </c>
      <c r="C186" s="1225" t="s">
        <v>146</v>
      </c>
      <c r="D186" s="1225" t="s">
        <v>85</v>
      </c>
      <c r="E186" s="1225" t="s">
        <v>145</v>
      </c>
      <c r="F186" s="1225">
        <v>0</v>
      </c>
    </row>
    <row r="187" spans="1:6" s="1225" customFormat="1" ht="17.25" customHeight="1">
      <c r="F187" s="1225" t="s">
        <v>52</v>
      </c>
    </row>
    <row r="188" spans="1:6" s="1225" customFormat="1" ht="17.25" customHeight="1">
      <c r="C188" s="1225" t="s">
        <v>495</v>
      </c>
      <c r="F188" s="1225">
        <v>5964.57</v>
      </c>
    </row>
    <row r="189" spans="1:6" s="1225" customFormat="1" ht="17.25" customHeight="1">
      <c r="F189" s="1225" t="s">
        <v>52</v>
      </c>
    </row>
    <row r="190" spans="1:6" s="1225" customFormat="1" ht="17.25" customHeight="1">
      <c r="C190" s="1225" t="s">
        <v>460</v>
      </c>
      <c r="F190" s="1225">
        <v>596.46</v>
      </c>
    </row>
    <row r="191" spans="1:6" s="1225" customFormat="1" ht="17.25" customHeight="1">
      <c r="F191" s="1225" t="s">
        <v>89</v>
      </c>
    </row>
    <row r="192" spans="1:6" s="1225" customFormat="1" ht="17.25" customHeight="1">
      <c r="C192" s="1225" t="s">
        <v>53</v>
      </c>
      <c r="E192" s="1225">
        <v>6.17</v>
      </c>
      <c r="F192" s="1225">
        <v>602.63</v>
      </c>
    </row>
    <row r="193" spans="1:6" s="1225" customFormat="1" ht="17.25" customHeight="1">
      <c r="C193" s="1225" t="s">
        <v>54</v>
      </c>
      <c r="E193" s="1225">
        <v>12.45</v>
      </c>
      <c r="F193" s="1225">
        <v>615.08000000000004</v>
      </c>
    </row>
    <row r="194" spans="1:6" s="1225" customFormat="1" ht="17.25" customHeight="1">
      <c r="C194" s="1225" t="s">
        <v>55</v>
      </c>
      <c r="E194" s="1225">
        <v>12.45</v>
      </c>
      <c r="F194" s="1225">
        <v>627.53</v>
      </c>
    </row>
    <row r="195" spans="1:6" s="1225" customFormat="1" ht="17.25" customHeight="1">
      <c r="C195" s="1225" t="s">
        <v>56</v>
      </c>
      <c r="E195" s="1225">
        <v>12.45</v>
      </c>
      <c r="F195" s="1225">
        <v>639.98</v>
      </c>
    </row>
    <row r="196" spans="1:6" s="1225" customFormat="1" ht="17.25" customHeight="1">
      <c r="C196" s="1225" t="s">
        <v>622</v>
      </c>
      <c r="E196" s="1225">
        <v>12.45</v>
      </c>
      <c r="F196" s="1225">
        <v>652.42999999999995</v>
      </c>
    </row>
    <row r="197" spans="1:6" s="1225" customFormat="1" ht="17.25" customHeight="1"/>
    <row r="198" spans="1:6" s="1225" customFormat="1" ht="17.25" customHeight="1">
      <c r="A198" s="1225" t="s">
        <v>648</v>
      </c>
      <c r="B198" s="1225" t="s">
        <v>111</v>
      </c>
      <c r="C198" s="1225" t="s">
        <v>649</v>
      </c>
      <c r="F198" s="1225">
        <v>508.7</v>
      </c>
    </row>
    <row r="199" spans="1:6" s="1225" customFormat="1" ht="17.25" customHeight="1">
      <c r="C199" s="1225" t="s">
        <v>650</v>
      </c>
    </row>
    <row r="200" spans="1:6" s="1225" customFormat="1" ht="17.25" customHeight="1">
      <c r="C200" s="1225" t="s">
        <v>52</v>
      </c>
    </row>
    <row r="201" spans="1:6" s="1225" customFormat="1" ht="17.25" customHeight="1">
      <c r="A201" s="1225">
        <v>1</v>
      </c>
      <c r="B201" s="1225" t="s">
        <v>132</v>
      </c>
      <c r="C201" s="1225" t="s">
        <v>651</v>
      </c>
      <c r="D201" s="1225">
        <v>40.65</v>
      </c>
      <c r="E201" s="1225" t="s">
        <v>132</v>
      </c>
      <c r="F201" s="1225">
        <v>40.65</v>
      </c>
    </row>
    <row r="202" spans="1:6" s="1225" customFormat="1" ht="17.25" customHeight="1"/>
    <row r="203" spans="1:6" s="1225" customFormat="1" ht="17.25" customHeight="1">
      <c r="B203" s="1225" t="s">
        <v>85</v>
      </c>
      <c r="C203" s="1225" t="s">
        <v>707</v>
      </c>
    </row>
    <row r="204" spans="1:6" s="1225" customFormat="1" ht="17.25" customHeight="1">
      <c r="C204" s="1225" t="s">
        <v>709</v>
      </c>
    </row>
    <row r="205" spans="1:6" s="1225" customFormat="1" ht="17.25" customHeight="1">
      <c r="C205" s="1225" t="s">
        <v>710</v>
      </c>
    </row>
    <row r="206" spans="1:6" s="1225" customFormat="1" ht="17.25" customHeight="1">
      <c r="C206" s="1225" t="s">
        <v>712</v>
      </c>
    </row>
    <row r="207" spans="1:6" s="1225" customFormat="1" ht="17.25" customHeight="1">
      <c r="C207" s="1225" t="s">
        <v>713</v>
      </c>
    </row>
    <row r="208" spans="1:6" s="1225" customFormat="1" ht="17.25" customHeight="1">
      <c r="C208" s="1225" t="s">
        <v>714</v>
      </c>
    </row>
    <row r="209" spans="1:6" s="1225" customFormat="1" ht="17.25" customHeight="1">
      <c r="C209" s="1225" t="s">
        <v>4144</v>
      </c>
    </row>
    <row r="210" spans="1:6" s="1225" customFormat="1" ht="17.25" customHeight="1">
      <c r="C210" s="1225" t="s">
        <v>52</v>
      </c>
      <c r="D210" s="1225" t="s">
        <v>52</v>
      </c>
    </row>
    <row r="211" spans="1:6" s="1225" customFormat="1" ht="17.25" customHeight="1">
      <c r="B211" s="1225" t="s">
        <v>443</v>
      </c>
      <c r="C211" s="1225" t="s">
        <v>720</v>
      </c>
    </row>
    <row r="212" spans="1:6" s="1225" customFormat="1" ht="17.25" customHeight="1">
      <c r="C212" s="1225" t="s">
        <v>722</v>
      </c>
    </row>
    <row r="213" spans="1:6" s="1225" customFormat="1" ht="17.25" customHeight="1">
      <c r="A213" s="1225">
        <v>10</v>
      </c>
      <c r="B213" s="1225" t="s">
        <v>724</v>
      </c>
      <c r="C213" s="1225" t="s">
        <v>725</v>
      </c>
      <c r="D213" s="1225">
        <v>376.7</v>
      </c>
      <c r="E213" s="1225" t="s">
        <v>724</v>
      </c>
      <c r="F213" s="1225">
        <v>3767</v>
      </c>
    </row>
    <row r="214" spans="1:6" s="1225" customFormat="1" ht="17.25" customHeight="1">
      <c r="A214" s="1225">
        <v>1</v>
      </c>
      <c r="B214" s="1225" t="s">
        <v>727</v>
      </c>
      <c r="C214" s="1225" t="s">
        <v>728</v>
      </c>
      <c r="D214" s="1225">
        <v>1041.7</v>
      </c>
      <c r="E214" s="1225" t="s">
        <v>729</v>
      </c>
      <c r="F214" s="1225">
        <v>1041.7</v>
      </c>
    </row>
    <row r="215" spans="1:6" s="1225" customFormat="1" ht="17.25" customHeight="1">
      <c r="A215" s="1225">
        <v>1</v>
      </c>
      <c r="B215" s="1225" t="s">
        <v>727</v>
      </c>
      <c r="C215" s="1225" t="s">
        <v>731</v>
      </c>
      <c r="D215" s="1225">
        <v>679.8</v>
      </c>
      <c r="E215" s="1225" t="s">
        <v>729</v>
      </c>
      <c r="F215" s="1225">
        <v>679.8</v>
      </c>
    </row>
    <row r="216" spans="1:6" s="1225" customFormat="1" ht="17.25" customHeight="1">
      <c r="B216" s="1225" t="s">
        <v>145</v>
      </c>
      <c r="C216" s="1225" t="s">
        <v>733</v>
      </c>
      <c r="E216" s="1225" t="s">
        <v>145</v>
      </c>
      <c r="F216" s="1225">
        <v>120</v>
      </c>
    </row>
    <row r="217" spans="1:6" s="1225" customFormat="1" ht="17.25" customHeight="1">
      <c r="C217" s="1225" t="s">
        <v>735</v>
      </c>
      <c r="F217" s="1225" t="s">
        <v>52</v>
      </c>
    </row>
    <row r="218" spans="1:6" s="1225" customFormat="1" ht="17.25" customHeight="1">
      <c r="C218" s="1225" t="s">
        <v>737</v>
      </c>
      <c r="F218" s="1225">
        <v>5608.5</v>
      </c>
    </row>
    <row r="219" spans="1:6" s="1225" customFormat="1" ht="17.25" customHeight="1">
      <c r="F219" s="1225" t="s">
        <v>52</v>
      </c>
    </row>
    <row r="220" spans="1:6" s="1225" customFormat="1" ht="17.25" customHeight="1">
      <c r="C220" s="1225" t="s">
        <v>740</v>
      </c>
      <c r="F220" s="1225">
        <v>560.85</v>
      </c>
    </row>
    <row r="221" spans="1:6" s="1225" customFormat="1" ht="17.25" customHeight="1">
      <c r="C221" s="1225" t="s">
        <v>53</v>
      </c>
      <c r="D221" s="1225">
        <v>560.85</v>
      </c>
      <c r="E221" s="1225">
        <v>2.5</v>
      </c>
      <c r="F221" s="1225">
        <v>563.35</v>
      </c>
    </row>
    <row r="222" spans="1:6" s="1225" customFormat="1" ht="17.25" customHeight="1">
      <c r="C222" s="1225" t="s">
        <v>54</v>
      </c>
      <c r="D222" s="1225">
        <v>563.35</v>
      </c>
      <c r="E222" s="1225">
        <v>4.92</v>
      </c>
      <c r="F222" s="1225">
        <v>568.27</v>
      </c>
    </row>
    <row r="223" spans="1:6" s="1225" customFormat="1" ht="17.25" customHeight="1">
      <c r="C223" s="1225" t="s">
        <v>55</v>
      </c>
      <c r="D223" s="1225">
        <v>568.27</v>
      </c>
      <c r="E223" s="1225">
        <v>4.92</v>
      </c>
      <c r="F223" s="1225">
        <v>573.19000000000005</v>
      </c>
    </row>
    <row r="224" spans="1:6" s="1225" customFormat="1" ht="17.25" customHeight="1">
      <c r="C224" s="1225" t="s">
        <v>56</v>
      </c>
      <c r="D224" s="1225">
        <v>573.19000000000005</v>
      </c>
      <c r="E224" s="1225">
        <v>4.92</v>
      </c>
      <c r="F224" s="1225">
        <v>578.11</v>
      </c>
    </row>
    <row r="225" spans="1:6" s="1225" customFormat="1" ht="17.25" customHeight="1">
      <c r="C225" s="1225" t="s">
        <v>747</v>
      </c>
      <c r="D225" s="1225">
        <v>578.11</v>
      </c>
      <c r="E225" s="1225">
        <v>4.92</v>
      </c>
      <c r="F225" s="1225">
        <v>583.03</v>
      </c>
    </row>
    <row r="226" spans="1:6" s="1225" customFormat="1" ht="17.25" customHeight="1"/>
    <row r="227" spans="1:6" s="1225" customFormat="1" ht="17.25" customHeight="1">
      <c r="B227" s="1225" t="s">
        <v>85</v>
      </c>
      <c r="C227" s="1225" t="s">
        <v>707</v>
      </c>
    </row>
    <row r="228" spans="1:6" s="1225" customFormat="1" ht="17.25" customHeight="1">
      <c r="C228" s="1225" t="s">
        <v>709</v>
      </c>
    </row>
    <row r="229" spans="1:6" s="1225" customFormat="1" ht="17.25" customHeight="1">
      <c r="C229" s="1225" t="s">
        <v>710</v>
      </c>
    </row>
    <row r="230" spans="1:6" s="1225" customFormat="1" ht="17.25" customHeight="1">
      <c r="C230" s="1225" t="s">
        <v>712</v>
      </c>
    </row>
    <row r="231" spans="1:6" s="1225" customFormat="1" ht="17.25" customHeight="1">
      <c r="C231" s="1225" t="s">
        <v>713</v>
      </c>
    </row>
    <row r="232" spans="1:6" s="1225" customFormat="1" ht="17.25" customHeight="1">
      <c r="C232" s="1225" t="s">
        <v>714</v>
      </c>
    </row>
    <row r="233" spans="1:6" s="1225" customFormat="1" ht="17.25" customHeight="1">
      <c r="C233" s="1225" t="s">
        <v>4144</v>
      </c>
    </row>
    <row r="234" spans="1:6" s="1225" customFormat="1" ht="17.25" customHeight="1">
      <c r="C234" s="1225" t="s">
        <v>52</v>
      </c>
      <c r="D234" s="1225" t="s">
        <v>52</v>
      </c>
    </row>
    <row r="235" spans="1:6" s="1225" customFormat="1" ht="17.25" customHeight="1">
      <c r="B235" s="1225" t="s">
        <v>443</v>
      </c>
      <c r="C235" s="1225" t="s">
        <v>4145</v>
      </c>
    </row>
    <row r="236" spans="1:6" s="1225" customFormat="1" ht="17.25" customHeight="1">
      <c r="C236" s="1225" t="s">
        <v>722</v>
      </c>
    </row>
    <row r="237" spans="1:6" s="1225" customFormat="1" ht="17.25" customHeight="1">
      <c r="A237" s="1225">
        <v>10</v>
      </c>
      <c r="B237" s="1225" t="s">
        <v>724</v>
      </c>
      <c r="C237" s="1225" t="s">
        <v>725</v>
      </c>
      <c r="D237" s="1225">
        <v>408</v>
      </c>
      <c r="E237" s="1225" t="s">
        <v>724</v>
      </c>
      <c r="F237" s="1225">
        <v>4080</v>
      </c>
    </row>
    <row r="238" spans="1:6" s="1225" customFormat="1" ht="17.25" customHeight="1">
      <c r="A238" s="1225">
        <v>1</v>
      </c>
      <c r="B238" s="1225" t="s">
        <v>727</v>
      </c>
      <c r="C238" s="1225" t="s">
        <v>728</v>
      </c>
      <c r="D238" s="1225">
        <v>1041.7</v>
      </c>
      <c r="E238" s="1225" t="s">
        <v>729</v>
      </c>
      <c r="F238" s="1225">
        <v>1041.7</v>
      </c>
    </row>
    <row r="239" spans="1:6" s="1225" customFormat="1" ht="17.25" customHeight="1">
      <c r="A239" s="1225">
        <v>1</v>
      </c>
      <c r="B239" s="1225" t="s">
        <v>727</v>
      </c>
      <c r="C239" s="1225" t="s">
        <v>731</v>
      </c>
      <c r="D239" s="1225">
        <v>679.8</v>
      </c>
      <c r="E239" s="1225" t="s">
        <v>729</v>
      </c>
      <c r="F239" s="1225">
        <v>679.8</v>
      </c>
    </row>
    <row r="240" spans="1:6" s="1225" customFormat="1" ht="17.25" customHeight="1">
      <c r="B240" s="1225" t="s">
        <v>145</v>
      </c>
      <c r="C240" s="1225" t="s">
        <v>733</v>
      </c>
      <c r="D240" s="1225">
        <v>0</v>
      </c>
      <c r="E240" s="1225" t="s">
        <v>145</v>
      </c>
      <c r="F240" s="1225">
        <v>120</v>
      </c>
    </row>
    <row r="241" spans="1:6" s="1225" customFormat="1" ht="17.25" customHeight="1">
      <c r="C241" s="1225" t="s">
        <v>735</v>
      </c>
      <c r="F241" s="1225" t="s">
        <v>52</v>
      </c>
    </row>
    <row r="242" spans="1:6" s="1225" customFormat="1" ht="17.25" customHeight="1">
      <c r="C242" s="1225" t="s">
        <v>737</v>
      </c>
      <c r="F242" s="1225">
        <v>5921.5</v>
      </c>
    </row>
    <row r="243" spans="1:6" s="1225" customFormat="1" ht="17.25" customHeight="1">
      <c r="F243" s="1225" t="s">
        <v>52</v>
      </c>
    </row>
    <row r="244" spans="1:6" s="1225" customFormat="1" ht="17.25" customHeight="1">
      <c r="C244" s="1225" t="s">
        <v>740</v>
      </c>
      <c r="F244" s="1225">
        <v>592.15</v>
      </c>
    </row>
    <row r="245" spans="1:6" s="1225" customFormat="1" ht="17.25" customHeight="1">
      <c r="C245" s="1225" t="s">
        <v>53</v>
      </c>
      <c r="D245" s="1225">
        <v>5</v>
      </c>
      <c r="E245" s="1225">
        <v>32.85</v>
      </c>
      <c r="F245" s="1225">
        <v>597.15</v>
      </c>
    </row>
    <row r="246" spans="1:6" s="1225" customFormat="1" ht="17.25" customHeight="1">
      <c r="C246" s="1225" t="s">
        <v>54</v>
      </c>
      <c r="D246" s="1225">
        <v>9.85</v>
      </c>
      <c r="E246" s="1225">
        <v>20.329999999999998</v>
      </c>
      <c r="F246" s="1225">
        <v>607</v>
      </c>
    </row>
    <row r="247" spans="1:6" s="1225" customFormat="1" ht="17.25" customHeight="1">
      <c r="C247" s="1225" t="s">
        <v>55</v>
      </c>
      <c r="D247" s="1225">
        <v>9.85</v>
      </c>
      <c r="E247" s="1225">
        <v>20.329999999999998</v>
      </c>
      <c r="F247" s="1225">
        <v>616.85</v>
      </c>
    </row>
    <row r="248" spans="1:6" s="1225" customFormat="1" ht="17.25" customHeight="1">
      <c r="C248" s="1225" t="s">
        <v>56</v>
      </c>
      <c r="D248" s="1225">
        <v>9.85</v>
      </c>
      <c r="E248" s="1225">
        <v>20.329999999999998</v>
      </c>
      <c r="F248" s="1225">
        <v>626.70000000000005</v>
      </c>
    </row>
    <row r="249" spans="1:6" s="1225" customFormat="1" ht="17.25" customHeight="1">
      <c r="C249" s="1225" t="s">
        <v>747</v>
      </c>
      <c r="D249" s="1225">
        <v>9.85</v>
      </c>
      <c r="E249" s="1225">
        <v>20.329999999999998</v>
      </c>
      <c r="F249" s="1225">
        <v>636.54999999999995</v>
      </c>
    </row>
    <row r="250" spans="1:6" s="1225" customFormat="1" ht="17.25" customHeight="1"/>
    <row r="251" spans="1:6" s="1225" customFormat="1" ht="17.25" customHeight="1">
      <c r="A251" s="1225">
        <v>21.2</v>
      </c>
      <c r="C251" s="1225" t="s">
        <v>1283</v>
      </c>
    </row>
    <row r="252" spans="1:6" s="1225" customFormat="1" ht="17.25" customHeight="1">
      <c r="C252" s="1225" t="s">
        <v>52</v>
      </c>
    </row>
    <row r="253" spans="1:6" s="1225" customFormat="1" ht="17.25" customHeight="1">
      <c r="B253" s="1225" t="s">
        <v>612</v>
      </c>
      <c r="C253" s="1225" t="s">
        <v>1286</v>
      </c>
      <c r="F253" s="1225" t="s">
        <v>85</v>
      </c>
    </row>
    <row r="254" spans="1:6" s="1225" customFormat="1" ht="17.25" customHeight="1">
      <c r="C254" s="1225" t="s">
        <v>52</v>
      </c>
      <c r="F254" s="1225" t="s">
        <v>85</v>
      </c>
    </row>
    <row r="255" spans="1:6" s="1225" customFormat="1" ht="17.25" customHeight="1">
      <c r="A255" s="1225">
        <v>1</v>
      </c>
      <c r="B255" s="1225" t="s">
        <v>132</v>
      </c>
      <c r="C255" s="1225" t="s">
        <v>1289</v>
      </c>
      <c r="D255" s="1225">
        <v>14278</v>
      </c>
      <c r="E255" s="1225" t="s">
        <v>132</v>
      </c>
      <c r="F255" s="1225">
        <v>14278</v>
      </c>
    </row>
    <row r="256" spans="1:6" s="1225" customFormat="1" ht="17.25" customHeight="1">
      <c r="A256" s="1225">
        <v>1</v>
      </c>
      <c r="B256" s="1225" t="s">
        <v>132</v>
      </c>
      <c r="C256" s="1225" t="s">
        <v>1286</v>
      </c>
      <c r="D256" s="1225">
        <v>111600</v>
      </c>
      <c r="E256" s="1225" t="s">
        <v>132</v>
      </c>
      <c r="F256" s="1225">
        <v>111600</v>
      </c>
    </row>
    <row r="257" spans="1:6" s="1225" customFormat="1" ht="17.25" customHeight="1">
      <c r="F257" s="1225" t="s">
        <v>89</v>
      </c>
    </row>
    <row r="258" spans="1:6" s="1225" customFormat="1" ht="17.25" customHeight="1">
      <c r="C258" s="1225" t="s">
        <v>1293</v>
      </c>
      <c r="F258" s="1225">
        <v>125878</v>
      </c>
    </row>
    <row r="259" spans="1:6" s="1225" customFormat="1" ht="17.25" customHeight="1"/>
    <row r="260" spans="1:6" s="1225" customFormat="1" ht="17.25" customHeight="1">
      <c r="F260" s="1225" t="s">
        <v>89</v>
      </c>
    </row>
    <row r="261" spans="1:6" s="1225" customFormat="1" ht="17.25" customHeight="1">
      <c r="B261" s="1225" t="s">
        <v>634</v>
      </c>
      <c r="C261" s="1225" t="s">
        <v>1296</v>
      </c>
      <c r="F261" s="1225" t="s">
        <v>85</v>
      </c>
    </row>
    <row r="262" spans="1:6" s="1225" customFormat="1" ht="17.25" customHeight="1">
      <c r="C262" s="1225" t="s">
        <v>52</v>
      </c>
    </row>
    <row r="263" spans="1:6" s="1225" customFormat="1" ht="17.25" customHeight="1">
      <c r="A263" s="1225">
        <v>1</v>
      </c>
      <c r="B263" s="1225" t="s">
        <v>132</v>
      </c>
      <c r="C263" s="1225" t="s">
        <v>1289</v>
      </c>
      <c r="D263" s="1225">
        <v>14278</v>
      </c>
      <c r="E263" s="1225" t="s">
        <v>132</v>
      </c>
      <c r="F263" s="1225">
        <v>14278</v>
      </c>
    </row>
    <row r="264" spans="1:6" s="1225" customFormat="1" ht="17.25" customHeight="1">
      <c r="A264" s="1225">
        <v>1</v>
      </c>
      <c r="B264" s="1225" t="s">
        <v>132</v>
      </c>
      <c r="C264" s="1225" t="s">
        <v>1286</v>
      </c>
      <c r="D264" s="1225">
        <v>99400</v>
      </c>
      <c r="E264" s="1225" t="s">
        <v>132</v>
      </c>
      <c r="F264" s="1225">
        <v>99400</v>
      </c>
    </row>
    <row r="265" spans="1:6" s="1225" customFormat="1" ht="17.25" customHeight="1">
      <c r="F265" s="1225" t="s">
        <v>89</v>
      </c>
    </row>
    <row r="266" spans="1:6" s="1225" customFormat="1" ht="17.25" customHeight="1">
      <c r="C266" s="1225" t="s">
        <v>1302</v>
      </c>
      <c r="F266" s="1225">
        <v>113678</v>
      </c>
    </row>
    <row r="267" spans="1:6" s="1225" customFormat="1" ht="17.25" customHeight="1"/>
    <row r="268" spans="1:6" s="1225" customFormat="1" ht="17.25" customHeight="1">
      <c r="A268" s="1225" t="s">
        <v>1306</v>
      </c>
      <c r="B268" s="1225" t="s">
        <v>111</v>
      </c>
      <c r="C268" s="1225" t="s">
        <v>1307</v>
      </c>
    </row>
    <row r="269" spans="1:6" s="1225" customFormat="1" ht="17.25" customHeight="1">
      <c r="C269" s="1225" t="s">
        <v>1309</v>
      </c>
    </row>
    <row r="270" spans="1:6" s="1225" customFormat="1" ht="17.25" customHeight="1">
      <c r="C270" s="1225" t="s">
        <v>1311</v>
      </c>
    </row>
    <row r="271" spans="1:6" s="1225" customFormat="1" ht="17.25" customHeight="1">
      <c r="C271" s="1225" t="s">
        <v>52</v>
      </c>
    </row>
    <row r="272" spans="1:6" s="1225" customFormat="1" ht="17.25" customHeight="1">
      <c r="C272" s="1225" t="s">
        <v>1314</v>
      </c>
    </row>
    <row r="273" spans="1:6" s="1225" customFormat="1" ht="17.25" customHeight="1">
      <c r="C273" s="1225" t="s">
        <v>1316</v>
      </c>
    </row>
    <row r="274" spans="1:6" s="1225" customFormat="1" ht="17.25" customHeight="1">
      <c r="E274" s="1225" t="s">
        <v>52</v>
      </c>
    </row>
    <row r="275" spans="1:6" s="1225" customFormat="1" ht="17.25" customHeight="1">
      <c r="C275" s="1225" t="s">
        <v>1319</v>
      </c>
    </row>
    <row r="276" spans="1:6" s="1225" customFormat="1" ht="17.25" customHeight="1">
      <c r="C276" s="1225" t="s">
        <v>1321</v>
      </c>
      <c r="F276" s="1225">
        <v>2.4299999999999999E-2</v>
      </c>
    </row>
    <row r="277" spans="1:6" s="1225" customFormat="1" ht="17.25" customHeight="1">
      <c r="E277" s="1225" t="s">
        <v>85</v>
      </c>
      <c r="F277" s="1225" t="s">
        <v>52</v>
      </c>
    </row>
    <row r="278" spans="1:6" s="1225" customFormat="1" ht="17.25" customHeight="1">
      <c r="C278" s="1225" t="s">
        <v>1324</v>
      </c>
      <c r="E278" s="1225" t="s">
        <v>85</v>
      </c>
      <c r="F278" s="1225">
        <v>1.47E-2</v>
      </c>
    </row>
    <row r="279" spans="1:6" s="1225" customFormat="1" ht="17.25" customHeight="1">
      <c r="C279" s="1225" t="s">
        <v>1326</v>
      </c>
      <c r="E279" s="1225" t="s">
        <v>85</v>
      </c>
      <c r="F279" s="1225">
        <v>4.5999999999999999E-3</v>
      </c>
    </row>
    <row r="280" spans="1:6" s="1225" customFormat="1" ht="17.25" customHeight="1">
      <c r="F280" s="1225" t="s">
        <v>52</v>
      </c>
    </row>
    <row r="281" spans="1:6" s="1225" customFormat="1" ht="17.25" customHeight="1">
      <c r="F281" s="1225">
        <v>1.9300000000000001E-2</v>
      </c>
    </row>
    <row r="282" spans="1:6" s="1225" customFormat="1" ht="17.25" customHeight="1">
      <c r="F282" s="1225" t="s">
        <v>52</v>
      </c>
    </row>
    <row r="283" spans="1:6" s="1225" customFormat="1" ht="17.25" customHeight="1"/>
    <row r="284" spans="1:6" s="1225" customFormat="1" ht="17.25" customHeight="1"/>
    <row r="285" spans="1:6" s="1225" customFormat="1" ht="17.25" customHeight="1">
      <c r="A285" s="1225">
        <v>1.14E-2</v>
      </c>
      <c r="B285" s="1225" t="s">
        <v>132</v>
      </c>
      <c r="C285" s="1225" t="s">
        <v>1332</v>
      </c>
      <c r="D285" s="1225">
        <v>111600</v>
      </c>
      <c r="E285" s="1225" t="s">
        <v>132</v>
      </c>
      <c r="F285" s="1225">
        <v>1272.24</v>
      </c>
    </row>
    <row r="286" spans="1:6" s="1225" customFormat="1" ht="17.25" customHeight="1">
      <c r="A286" s="1225">
        <v>2.4299999999999999E-2</v>
      </c>
      <c r="B286" s="1225" t="s">
        <v>132</v>
      </c>
      <c r="C286" s="1225" t="s">
        <v>1334</v>
      </c>
      <c r="D286" s="1225">
        <v>99400</v>
      </c>
      <c r="E286" s="1225" t="s">
        <v>132</v>
      </c>
      <c r="F286" s="1225">
        <v>2415.42</v>
      </c>
    </row>
    <row r="287" spans="1:6" s="1225" customFormat="1" ht="17.25" customHeight="1">
      <c r="A287" s="1225">
        <v>1.9300000000000001E-2</v>
      </c>
      <c r="B287" s="1225" t="s">
        <v>132</v>
      </c>
      <c r="C287" s="1225" t="s">
        <v>1336</v>
      </c>
      <c r="D287" s="1225">
        <v>95000</v>
      </c>
      <c r="E287" s="1225" t="s">
        <v>132</v>
      </c>
      <c r="F287" s="1225">
        <v>1833.5</v>
      </c>
    </row>
    <row r="288" spans="1:6" s="1225" customFormat="1" ht="17.25" customHeight="1">
      <c r="C288" s="1225" t="s">
        <v>1338</v>
      </c>
      <c r="D288" s="1225" t="s">
        <v>85</v>
      </c>
      <c r="F288" s="1225" t="s">
        <v>85</v>
      </c>
    </row>
    <row r="289" spans="1:6" s="1225" customFormat="1" ht="17.25" customHeight="1">
      <c r="A289" s="1225">
        <v>1.823</v>
      </c>
      <c r="B289" s="1225" t="s">
        <v>425</v>
      </c>
      <c r="C289" s="1225" t="s">
        <v>1340</v>
      </c>
      <c r="D289" s="1225">
        <v>1602.7</v>
      </c>
      <c r="E289" s="1225" t="s">
        <v>425</v>
      </c>
      <c r="F289" s="1225">
        <v>2921.72</v>
      </c>
    </row>
    <row r="290" spans="1:6" s="1225" customFormat="1" ht="17.25" customHeight="1">
      <c r="A290" s="1225">
        <v>1</v>
      </c>
      <c r="B290" s="1225" t="s">
        <v>237</v>
      </c>
      <c r="C290" s="1225" t="s">
        <v>4238</v>
      </c>
      <c r="D290" s="1225">
        <v>57.65</v>
      </c>
      <c r="E290" s="1225" t="s">
        <v>131</v>
      </c>
      <c r="F290" s="1225">
        <v>57.65</v>
      </c>
    </row>
    <row r="291" spans="1:6" s="1225" customFormat="1" ht="17.25" customHeight="1">
      <c r="A291" s="1225">
        <v>3</v>
      </c>
      <c r="B291" s="1225" t="s">
        <v>131</v>
      </c>
      <c r="C291" s="1225" t="s">
        <v>1344</v>
      </c>
      <c r="D291" s="1225">
        <v>89.6</v>
      </c>
      <c r="E291" s="1225" t="s">
        <v>131</v>
      </c>
      <c r="F291" s="1225">
        <v>268.8</v>
      </c>
    </row>
    <row r="292" spans="1:6" s="1225" customFormat="1" ht="17.25" customHeight="1">
      <c r="A292" s="1225">
        <v>2</v>
      </c>
      <c r="B292" s="1225" t="s">
        <v>131</v>
      </c>
      <c r="C292" s="1225" t="s">
        <v>1346</v>
      </c>
      <c r="D292" s="1225">
        <v>64.8</v>
      </c>
      <c r="E292" s="1225" t="s">
        <v>131</v>
      </c>
      <c r="F292" s="1225">
        <v>129.6</v>
      </c>
    </row>
    <row r="293" spans="1:6" s="1225" customFormat="1" ht="17.25" customHeight="1">
      <c r="A293" s="1225">
        <v>1</v>
      </c>
      <c r="B293" s="1225" t="s">
        <v>131</v>
      </c>
      <c r="C293" s="1225" t="s">
        <v>1348</v>
      </c>
      <c r="D293" s="1225">
        <v>181</v>
      </c>
      <c r="E293" s="1225" t="s">
        <v>131</v>
      </c>
      <c r="F293" s="1225">
        <v>181</v>
      </c>
    </row>
    <row r="294" spans="1:6" s="1225" customFormat="1" ht="17.25" customHeight="1">
      <c r="A294" s="1225">
        <v>1</v>
      </c>
      <c r="B294" s="1225" t="s">
        <v>131</v>
      </c>
      <c r="C294" s="1225" t="s">
        <v>1350</v>
      </c>
      <c r="D294" s="1225">
        <v>7.3</v>
      </c>
      <c r="E294" s="1225" t="s">
        <v>131</v>
      </c>
      <c r="F294" s="1225">
        <v>7.3</v>
      </c>
    </row>
    <row r="295" spans="1:6" s="1225" customFormat="1" ht="17.25" customHeight="1">
      <c r="A295" s="1225">
        <v>1</v>
      </c>
      <c r="B295" s="1225" t="s">
        <v>131</v>
      </c>
      <c r="C295" s="1225" t="s">
        <v>455</v>
      </c>
      <c r="D295" s="1225">
        <v>49.55</v>
      </c>
      <c r="E295" s="1225" t="s">
        <v>131</v>
      </c>
      <c r="F295" s="1225">
        <v>49.55</v>
      </c>
    </row>
    <row r="296" spans="1:6" s="1225" customFormat="1" ht="17.25" customHeight="1">
      <c r="A296" s="1225">
        <v>64</v>
      </c>
      <c r="B296" s="1225" t="s">
        <v>3081</v>
      </c>
      <c r="C296" s="1225" t="s">
        <v>4239</v>
      </c>
      <c r="D296" s="1225">
        <v>2.41</v>
      </c>
      <c r="E296" s="1225" t="s">
        <v>4240</v>
      </c>
      <c r="F296" s="1225">
        <v>154.24</v>
      </c>
    </row>
    <row r="297" spans="1:6" s="1225" customFormat="1" ht="17.25" customHeight="1">
      <c r="C297" s="1225" t="s">
        <v>1354</v>
      </c>
      <c r="F297" s="1225">
        <v>9291.02</v>
      </c>
    </row>
    <row r="298" spans="1:6" s="1225" customFormat="1" ht="17.25" customHeight="1">
      <c r="F298" s="1225" t="s">
        <v>52</v>
      </c>
    </row>
    <row r="299" spans="1:6" s="1225" customFormat="1" ht="17.25" customHeight="1">
      <c r="C299" s="1225" t="s">
        <v>460</v>
      </c>
      <c r="F299" s="1225">
        <v>5096.5600000000004</v>
      </c>
    </row>
    <row r="300" spans="1:6" s="1225" customFormat="1" ht="17.25" customHeight="1"/>
    <row r="301" spans="1:6" s="1225" customFormat="1" ht="17.25" customHeight="1">
      <c r="A301" s="1225">
        <v>23.3</v>
      </c>
      <c r="C301" s="1225" t="s">
        <v>1549</v>
      </c>
      <c r="D301" s="1225" t="s">
        <v>3986</v>
      </c>
      <c r="F301" s="1225">
        <v>52</v>
      </c>
    </row>
    <row r="302" spans="1:6" s="1225" customFormat="1" ht="17.25" customHeight="1"/>
    <row r="303" spans="1:6" s="1225" customFormat="1" ht="17.25" customHeight="1">
      <c r="A303" s="1225" t="s">
        <v>255</v>
      </c>
      <c r="B303" s="1225" t="s">
        <v>111</v>
      </c>
      <c r="C303" s="1225" t="s">
        <v>4288</v>
      </c>
      <c r="D303" s="1225" t="s">
        <v>85</v>
      </c>
      <c r="E303" s="1225" t="s">
        <v>972</v>
      </c>
      <c r="F303" s="1225">
        <v>9.6</v>
      </c>
    </row>
    <row r="304" spans="1:6" s="1225" customFormat="1" ht="17.25" customHeight="1"/>
    <row r="305" spans="1:6" s="1225" customFormat="1" ht="17.25" customHeight="1">
      <c r="A305" s="1225" t="s">
        <v>415</v>
      </c>
      <c r="B305" s="1225" t="s">
        <v>111</v>
      </c>
      <c r="C305" s="1225" t="s">
        <v>416</v>
      </c>
    </row>
    <row r="306" spans="1:6" s="1225" customFormat="1" ht="17.25" customHeight="1">
      <c r="C306" s="1225" t="s">
        <v>418</v>
      </c>
    </row>
    <row r="307" spans="1:6" s="1225" customFormat="1" ht="17.25" customHeight="1">
      <c r="C307" s="1225" t="s">
        <v>52</v>
      </c>
    </row>
    <row r="308" spans="1:6" s="1225" customFormat="1" ht="17.25" customHeight="1">
      <c r="A308" s="1225">
        <v>9</v>
      </c>
      <c r="B308" s="1225" t="s">
        <v>132</v>
      </c>
      <c r="C308" s="1225" t="s">
        <v>421</v>
      </c>
      <c r="D308" s="1225">
        <v>1316.98</v>
      </c>
      <c r="E308" s="1225" t="s">
        <v>132</v>
      </c>
      <c r="F308" s="1225">
        <v>11852.82</v>
      </c>
    </row>
    <row r="309" spans="1:6" s="1225" customFormat="1" ht="17.25" customHeight="1">
      <c r="A309" s="1225">
        <v>4.5</v>
      </c>
      <c r="B309" s="1225" t="s">
        <v>132</v>
      </c>
      <c r="C309" s="1225" t="s">
        <v>283</v>
      </c>
      <c r="D309" s="1225">
        <v>3507.94</v>
      </c>
      <c r="E309" s="1225" t="s">
        <v>132</v>
      </c>
      <c r="F309" s="1225">
        <v>15785.73</v>
      </c>
    </row>
    <row r="310" spans="1:6" s="1225" customFormat="1" ht="17.25" customHeight="1">
      <c r="A310" s="1225">
        <v>1.8</v>
      </c>
      <c r="B310" s="1225" t="s">
        <v>131</v>
      </c>
      <c r="C310" s="1225" t="s">
        <v>302</v>
      </c>
      <c r="D310" s="1225">
        <v>972.4</v>
      </c>
      <c r="E310" s="1225" t="s">
        <v>131</v>
      </c>
      <c r="F310" s="1225">
        <v>1750.32</v>
      </c>
    </row>
    <row r="311" spans="1:6" s="1225" customFormat="1" ht="17.25" customHeight="1">
      <c r="A311" s="1225">
        <v>17.7</v>
      </c>
      <c r="B311" s="1225" t="s">
        <v>131</v>
      </c>
      <c r="C311" s="1225" t="s">
        <v>304</v>
      </c>
      <c r="D311" s="1225">
        <v>679.8</v>
      </c>
      <c r="E311" s="1225" t="s">
        <v>131</v>
      </c>
      <c r="F311" s="1225">
        <v>12032.46</v>
      </c>
    </row>
    <row r="312" spans="1:6" s="1225" customFormat="1" ht="17.25" customHeight="1">
      <c r="A312" s="1225">
        <v>14.1</v>
      </c>
      <c r="B312" s="1225" t="s">
        <v>131</v>
      </c>
      <c r="C312" s="1225" t="s">
        <v>306</v>
      </c>
      <c r="D312" s="1225">
        <v>557.70000000000005</v>
      </c>
      <c r="E312" s="1225" t="s">
        <v>131</v>
      </c>
      <c r="F312" s="1225">
        <v>7863.57</v>
      </c>
    </row>
    <row r="313" spans="1:6" s="1225" customFormat="1" ht="17.25" customHeight="1">
      <c r="B313" s="1225" t="s">
        <v>145</v>
      </c>
      <c r="C313" s="1225" t="s">
        <v>146</v>
      </c>
      <c r="E313" s="1225" t="s">
        <v>145</v>
      </c>
      <c r="F313" s="1225">
        <v>0</v>
      </c>
    </row>
    <row r="314" spans="1:6" s="1225" customFormat="1" ht="17.25" customHeight="1">
      <c r="F314" s="1225" t="s">
        <v>52</v>
      </c>
    </row>
    <row r="315" spans="1:6" s="1225" customFormat="1" ht="17.25" customHeight="1">
      <c r="F315" s="1225">
        <v>49284.9</v>
      </c>
    </row>
    <row r="316" spans="1:6" s="1225" customFormat="1" ht="17.25" customHeight="1">
      <c r="C316" s="1225" t="s">
        <v>311</v>
      </c>
      <c r="F316" s="1225" t="s">
        <v>52</v>
      </c>
    </row>
    <row r="317" spans="1:6" s="1225" customFormat="1" ht="17.25" customHeight="1">
      <c r="F317" s="1225">
        <v>4928.49</v>
      </c>
    </row>
    <row r="318" spans="1:6" s="1225" customFormat="1" ht="17.25" customHeight="1"/>
    <row r="319" spans="1:6" s="1225" customFormat="1" ht="17.25" customHeight="1">
      <c r="A319" s="1225" t="s">
        <v>268</v>
      </c>
      <c r="B319" s="1225" t="s">
        <v>111</v>
      </c>
      <c r="C319" s="1225" t="s">
        <v>1566</v>
      </c>
    </row>
    <row r="320" spans="1:6" s="1225" customFormat="1" ht="17.25" customHeight="1">
      <c r="C320" s="1225" t="s">
        <v>1567</v>
      </c>
    </row>
    <row r="321" spans="1:6" s="1225" customFormat="1" ht="17.25" customHeight="1">
      <c r="C321" s="1225" t="s">
        <v>52</v>
      </c>
    </row>
    <row r="322" spans="1:6" s="1225" customFormat="1" ht="17.25" customHeight="1">
      <c r="A322" s="1225">
        <v>0.22</v>
      </c>
      <c r="B322" s="1225" t="s">
        <v>132</v>
      </c>
      <c r="C322" s="1225" t="s">
        <v>259</v>
      </c>
      <c r="D322" s="1225">
        <v>3937.82</v>
      </c>
      <c r="E322" s="1225" t="s">
        <v>132</v>
      </c>
      <c r="F322" s="1225">
        <v>866.32</v>
      </c>
    </row>
    <row r="323" spans="1:6" s="1225" customFormat="1" ht="17.25" customHeight="1">
      <c r="A323" s="1225">
        <v>2.2000000000000002</v>
      </c>
      <c r="B323" s="1225" t="s">
        <v>237</v>
      </c>
      <c r="C323" s="1225" t="s">
        <v>345</v>
      </c>
      <c r="D323" s="1225">
        <v>1041.7</v>
      </c>
      <c r="E323" s="1225" t="s">
        <v>237</v>
      </c>
      <c r="F323" s="1225">
        <v>2291.7399999999998</v>
      </c>
    </row>
    <row r="324" spans="1:6" s="1225" customFormat="1" ht="17.25" customHeight="1">
      <c r="A324" s="1225">
        <v>0.5</v>
      </c>
      <c r="B324" s="1225" t="s">
        <v>237</v>
      </c>
      <c r="C324" s="1225" t="s">
        <v>1568</v>
      </c>
      <c r="D324" s="1225">
        <v>679.8</v>
      </c>
      <c r="E324" s="1225" t="s">
        <v>237</v>
      </c>
      <c r="F324" s="1225">
        <v>339.9</v>
      </c>
    </row>
    <row r="325" spans="1:6" s="1225" customFormat="1" ht="17.25" customHeight="1">
      <c r="A325" s="1225">
        <v>3.2</v>
      </c>
      <c r="B325" s="1225" t="s">
        <v>237</v>
      </c>
      <c r="C325" s="1225" t="s">
        <v>306</v>
      </c>
      <c r="D325" s="1225">
        <v>557.70000000000005</v>
      </c>
      <c r="E325" s="1225" t="s">
        <v>237</v>
      </c>
      <c r="F325" s="1225">
        <v>1784.64</v>
      </c>
    </row>
    <row r="326" spans="1:6" s="1225" customFormat="1" ht="17.25" customHeight="1"/>
    <row r="327" spans="1:6" s="1225" customFormat="1" ht="17.25" customHeight="1"/>
    <row r="328" spans="1:6" s="1225" customFormat="1" ht="17.25" customHeight="1">
      <c r="B328" s="1225" t="s">
        <v>145</v>
      </c>
      <c r="C328" s="1225" t="s">
        <v>146</v>
      </c>
      <c r="D328" s="1225" t="s">
        <v>85</v>
      </c>
      <c r="E328" s="1225" t="s">
        <v>145</v>
      </c>
    </row>
    <row r="329" spans="1:6" s="1225" customFormat="1" ht="17.25" customHeight="1">
      <c r="F329" s="1225" t="s">
        <v>52</v>
      </c>
    </row>
    <row r="330" spans="1:6" s="1225" customFormat="1" ht="17.25" customHeight="1">
      <c r="C330" s="1225" t="s">
        <v>495</v>
      </c>
      <c r="F330" s="1225">
        <v>5282.6</v>
      </c>
    </row>
    <row r="331" spans="1:6" s="1225" customFormat="1" ht="17.25" customHeight="1">
      <c r="A331" s="1225" t="s">
        <v>85</v>
      </c>
      <c r="F331" s="1225" t="s">
        <v>52</v>
      </c>
    </row>
    <row r="332" spans="1:6" s="1225" customFormat="1" ht="17.25" customHeight="1">
      <c r="C332" s="1225" t="s">
        <v>460</v>
      </c>
      <c r="F332" s="1225">
        <v>528.26</v>
      </c>
    </row>
    <row r="333" spans="1:6" s="1225" customFormat="1" ht="17.25" customHeight="1"/>
    <row r="334" spans="1:6" s="1225" customFormat="1" ht="17.25" customHeight="1">
      <c r="A334" s="1225" t="s">
        <v>275</v>
      </c>
      <c r="B334" s="1225" t="s">
        <v>111</v>
      </c>
      <c r="C334" s="1225" t="s">
        <v>1566</v>
      </c>
    </row>
    <row r="335" spans="1:6" s="1225" customFormat="1" ht="17.25" customHeight="1">
      <c r="C335" s="1225" t="s">
        <v>4322</v>
      </c>
    </row>
    <row r="336" spans="1:6" s="1225" customFormat="1" ht="17.25" customHeight="1">
      <c r="C336" s="1225" t="s">
        <v>1595</v>
      </c>
    </row>
    <row r="337" spans="1:6" s="1225" customFormat="1" ht="17.25" customHeight="1">
      <c r="C337" s="1225" t="s">
        <v>6417</v>
      </c>
    </row>
    <row r="338" spans="1:6" s="1225" customFormat="1" ht="17.25" customHeight="1">
      <c r="C338" s="1225" t="s">
        <v>52</v>
      </c>
    </row>
    <row r="339" spans="1:6" s="1225" customFormat="1" ht="17.25" customHeight="1">
      <c r="A339" s="1225">
        <v>0.24</v>
      </c>
      <c r="B339" s="1225" t="s">
        <v>132</v>
      </c>
      <c r="C339" s="1225" t="s">
        <v>1597</v>
      </c>
      <c r="D339" s="1225">
        <v>1025.31</v>
      </c>
      <c r="E339" s="1225" t="s">
        <v>132</v>
      </c>
      <c r="F339" s="1225">
        <v>246.07</v>
      </c>
    </row>
    <row r="340" spans="1:6" s="1225" customFormat="1" ht="17.25" customHeight="1">
      <c r="A340" s="1225">
        <v>0.11700000000000001</v>
      </c>
      <c r="B340" s="1225" t="s">
        <v>122</v>
      </c>
      <c r="C340" s="1225" t="s">
        <v>123</v>
      </c>
      <c r="D340" s="1225">
        <v>6040</v>
      </c>
      <c r="E340" s="1225" t="s">
        <v>122</v>
      </c>
      <c r="F340" s="1225">
        <v>706.68</v>
      </c>
    </row>
    <row r="341" spans="1:6" s="1225" customFormat="1" ht="17.25" customHeight="1">
      <c r="A341" s="1225">
        <v>0.5</v>
      </c>
      <c r="B341" s="1225" t="s">
        <v>237</v>
      </c>
      <c r="C341" s="1225" t="s">
        <v>345</v>
      </c>
      <c r="D341" s="1225">
        <v>1041.7</v>
      </c>
      <c r="E341" s="1225" t="s">
        <v>237</v>
      </c>
      <c r="F341" s="1225">
        <v>520.85</v>
      </c>
    </row>
    <row r="342" spans="1:6" s="1225" customFormat="1" ht="17.25" customHeight="1">
      <c r="A342" s="1225">
        <v>1.1000000000000001</v>
      </c>
      <c r="B342" s="1225" t="s">
        <v>237</v>
      </c>
      <c r="C342" s="1225" t="s">
        <v>1568</v>
      </c>
      <c r="D342" s="1225">
        <v>679.8</v>
      </c>
      <c r="E342" s="1225" t="s">
        <v>237</v>
      </c>
      <c r="F342" s="1225">
        <v>747.78</v>
      </c>
    </row>
    <row r="343" spans="1:6" s="1225" customFormat="1" ht="17.25" customHeight="1">
      <c r="A343" s="1225">
        <v>4.3</v>
      </c>
      <c r="B343" s="1225" t="s">
        <v>237</v>
      </c>
      <c r="C343" s="1225" t="s">
        <v>306</v>
      </c>
      <c r="D343" s="1225">
        <v>557.70000000000005</v>
      </c>
      <c r="E343" s="1225" t="s">
        <v>237</v>
      </c>
      <c r="F343" s="1225">
        <v>2398.11</v>
      </c>
    </row>
    <row r="344" spans="1:6" s="1225" customFormat="1" ht="17.25" customHeight="1">
      <c r="B344" s="1225" t="s">
        <v>145</v>
      </c>
      <c r="C344" s="1225" t="s">
        <v>146</v>
      </c>
      <c r="E344" s="1225" t="s">
        <v>145</v>
      </c>
      <c r="F344" s="1225">
        <v>0</v>
      </c>
    </row>
    <row r="345" spans="1:6" s="1225" customFormat="1" ht="17.25" customHeight="1">
      <c r="F345" s="1225" t="s">
        <v>52</v>
      </c>
    </row>
    <row r="346" spans="1:6" s="1225" customFormat="1" ht="17.25" customHeight="1">
      <c r="C346" s="1225" t="s">
        <v>495</v>
      </c>
      <c r="F346" s="1225">
        <v>4619.49</v>
      </c>
    </row>
    <row r="347" spans="1:6" s="1225" customFormat="1" ht="17.25" customHeight="1">
      <c r="F347" s="1225" t="s">
        <v>52</v>
      </c>
    </row>
    <row r="348" spans="1:6" s="1225" customFormat="1" ht="17.25" customHeight="1">
      <c r="C348" s="1225" t="s">
        <v>460</v>
      </c>
      <c r="F348" s="1225">
        <v>461.95</v>
      </c>
    </row>
    <row r="349" spans="1:6" s="1225" customFormat="1" ht="17.25" customHeight="1"/>
    <row r="350" spans="1:6" s="1225" customFormat="1" ht="17.25" customHeight="1">
      <c r="A350" s="1225" t="s">
        <v>1598</v>
      </c>
      <c r="B350" s="1225" t="s">
        <v>111</v>
      </c>
      <c r="C350" s="1225" t="s">
        <v>6418</v>
      </c>
    </row>
    <row r="351" spans="1:6" s="1225" customFormat="1" ht="17.25" customHeight="1">
      <c r="C351" s="1225" t="s">
        <v>1600</v>
      </c>
    </row>
    <row r="352" spans="1:6" s="1225" customFormat="1" ht="17.25" customHeight="1">
      <c r="C352" s="1225" t="s">
        <v>1601</v>
      </c>
    </row>
    <row r="353" spans="1:6" s="1225" customFormat="1" ht="17.25" customHeight="1">
      <c r="C353" s="1225" t="s">
        <v>1602</v>
      </c>
    </row>
    <row r="354" spans="1:6" s="1225" customFormat="1" ht="17.25" customHeight="1">
      <c r="C354" s="1225" t="s">
        <v>1603</v>
      </c>
    </row>
    <row r="355" spans="1:6" s="1225" customFormat="1" ht="17.25" customHeight="1">
      <c r="C355" s="1225" t="s">
        <v>52</v>
      </c>
    </row>
    <row r="356" spans="1:6" s="1225" customFormat="1" ht="17.25" customHeight="1">
      <c r="A356" s="1225">
        <v>12.8</v>
      </c>
      <c r="B356" s="1225" t="s">
        <v>132</v>
      </c>
      <c r="C356" s="1225" t="s">
        <v>1604</v>
      </c>
      <c r="D356" s="1225">
        <v>898.25</v>
      </c>
      <c r="E356" s="1225" t="s">
        <v>132</v>
      </c>
      <c r="F356" s="1225">
        <v>11497.6</v>
      </c>
    </row>
    <row r="357" spans="1:6" s="1225" customFormat="1" ht="17.25" customHeight="1">
      <c r="A357" s="1225">
        <v>5</v>
      </c>
      <c r="B357" s="1225" t="s">
        <v>132</v>
      </c>
      <c r="C357" s="1225" t="s">
        <v>1605</v>
      </c>
      <c r="D357" s="1225">
        <v>1016.58</v>
      </c>
      <c r="E357" s="1225" t="s">
        <v>132</v>
      </c>
      <c r="F357" s="1225">
        <v>5082.8999999999996</v>
      </c>
    </row>
    <row r="358" spans="1:6" s="1225" customFormat="1" ht="17.25" customHeight="1">
      <c r="A358" s="1225">
        <v>1.8</v>
      </c>
      <c r="B358" s="1225" t="s">
        <v>237</v>
      </c>
      <c r="C358" s="1225" t="s">
        <v>345</v>
      </c>
      <c r="D358" s="1225">
        <v>1041.7</v>
      </c>
      <c r="E358" s="1225" t="s">
        <v>237</v>
      </c>
      <c r="F358" s="1225">
        <v>1875.06</v>
      </c>
    </row>
    <row r="359" spans="1:6" s="1225" customFormat="1" ht="17.25" customHeight="1">
      <c r="A359" s="1225">
        <v>17.7</v>
      </c>
      <c r="B359" s="1225" t="s">
        <v>237</v>
      </c>
      <c r="C359" s="1225" t="s">
        <v>1568</v>
      </c>
      <c r="D359" s="1225">
        <v>679.8</v>
      </c>
      <c r="E359" s="1225" t="s">
        <v>237</v>
      </c>
      <c r="F359" s="1225">
        <v>12032.46</v>
      </c>
    </row>
    <row r="360" spans="1:6" s="1225" customFormat="1" ht="17.25" customHeight="1">
      <c r="A360" s="1225">
        <v>14.1</v>
      </c>
      <c r="B360" s="1225" t="s">
        <v>237</v>
      </c>
      <c r="C360" s="1225" t="s">
        <v>306</v>
      </c>
      <c r="D360" s="1225">
        <v>557.70000000000005</v>
      </c>
      <c r="E360" s="1225" t="s">
        <v>237</v>
      </c>
      <c r="F360" s="1225">
        <v>7863.57</v>
      </c>
    </row>
    <row r="361" spans="1:6" s="1225" customFormat="1" ht="17.25" customHeight="1">
      <c r="B361" s="1225" t="s">
        <v>145</v>
      </c>
      <c r="C361" s="1225" t="s">
        <v>146</v>
      </c>
      <c r="E361" s="1225" t="s">
        <v>145</v>
      </c>
      <c r="F361" s="1225">
        <v>0</v>
      </c>
    </row>
    <row r="362" spans="1:6" s="1225" customFormat="1" ht="17.25" customHeight="1">
      <c r="F362" s="1225" t="s">
        <v>52</v>
      </c>
    </row>
    <row r="363" spans="1:6" s="1225" customFormat="1" ht="17.25" customHeight="1">
      <c r="C363" s="1225" t="s">
        <v>311</v>
      </c>
      <c r="F363" s="1225">
        <v>38351.589999999997</v>
      </c>
    </row>
    <row r="364" spans="1:6" s="1225" customFormat="1" ht="17.25" customHeight="1">
      <c r="F364" s="1225" t="s">
        <v>52</v>
      </c>
    </row>
    <row r="365" spans="1:6" s="1225" customFormat="1" ht="17.25" customHeight="1">
      <c r="C365" s="1225" t="s">
        <v>242</v>
      </c>
      <c r="F365" s="1225">
        <v>3835.16</v>
      </c>
    </row>
    <row r="366" spans="1:6" s="1225" customFormat="1" ht="17.25" customHeight="1"/>
    <row r="367" spans="1:6" s="1225" customFormat="1" ht="17.25" customHeight="1"/>
    <row r="368" spans="1:6" s="1225" customFormat="1" ht="17.25" customHeight="1">
      <c r="A368" s="1225">
        <v>32.1</v>
      </c>
      <c r="B368" s="1225" t="s">
        <v>111</v>
      </c>
      <c r="C368" s="1225" t="s">
        <v>1609</v>
      </c>
    </row>
    <row r="369" spans="1:6" s="1225" customFormat="1" ht="17.25" customHeight="1">
      <c r="C369" s="1225" t="s">
        <v>1610</v>
      </c>
    </row>
    <row r="370" spans="1:6" s="1225" customFormat="1" ht="17.25" customHeight="1">
      <c r="C370" s="1225" t="s">
        <v>1611</v>
      </c>
    </row>
    <row r="371" spans="1:6" s="1225" customFormat="1" ht="17.25" customHeight="1">
      <c r="C371" s="1225" t="s">
        <v>4347</v>
      </c>
    </row>
    <row r="372" spans="1:6" s="1225" customFormat="1" ht="17.25" customHeight="1">
      <c r="C372" s="1225" t="s">
        <v>1613</v>
      </c>
    </row>
    <row r="373" spans="1:6" s="1225" customFormat="1" ht="17.25" customHeight="1">
      <c r="C373" s="1225" t="s">
        <v>52</v>
      </c>
    </row>
    <row r="374" spans="1:6" s="1225" customFormat="1" ht="17.25" customHeight="1">
      <c r="A374" s="1225">
        <v>190</v>
      </c>
      <c r="B374" s="1225" t="s">
        <v>1572</v>
      </c>
      <c r="C374" s="1225" t="s">
        <v>4350</v>
      </c>
      <c r="D374" s="1225">
        <v>16106</v>
      </c>
      <c r="E374" s="1225" t="s">
        <v>341</v>
      </c>
      <c r="F374" s="1225">
        <v>3060.14</v>
      </c>
    </row>
    <row r="375" spans="1:6" s="1225" customFormat="1" ht="17.25" customHeight="1">
      <c r="A375" s="1225">
        <v>0.12</v>
      </c>
      <c r="B375" s="1225" t="s">
        <v>132</v>
      </c>
      <c r="C375" s="1225" t="s">
        <v>1575</v>
      </c>
      <c r="D375" s="1225">
        <v>4667.62</v>
      </c>
      <c r="E375" s="1225" t="s">
        <v>132</v>
      </c>
      <c r="F375" s="1225">
        <v>560.11</v>
      </c>
    </row>
    <row r="376" spans="1:6" s="1225" customFormat="1" ht="17.25" customHeight="1">
      <c r="A376" s="1225">
        <v>10</v>
      </c>
      <c r="B376" s="1225" t="s">
        <v>425</v>
      </c>
      <c r="C376" s="1225" t="s">
        <v>1614</v>
      </c>
      <c r="D376" s="1225">
        <v>327.94</v>
      </c>
      <c r="E376" s="1225" t="s">
        <v>425</v>
      </c>
      <c r="F376" s="1225">
        <v>3279.4</v>
      </c>
    </row>
    <row r="377" spans="1:6" s="1225" customFormat="1" ht="17.25" customHeight="1">
      <c r="A377" s="1225">
        <v>1.54</v>
      </c>
      <c r="B377" s="1225" t="s">
        <v>39</v>
      </c>
      <c r="C377" s="1225" t="s">
        <v>1615</v>
      </c>
      <c r="D377" s="1225">
        <v>42.7</v>
      </c>
      <c r="E377" s="1225" t="s">
        <v>39</v>
      </c>
      <c r="F377" s="1225">
        <v>65.760000000000005</v>
      </c>
    </row>
    <row r="378" spans="1:6" s="1225" customFormat="1" ht="17.25" customHeight="1">
      <c r="A378" s="1225">
        <v>1.1000000000000001</v>
      </c>
      <c r="B378" s="1225" t="s">
        <v>237</v>
      </c>
      <c r="C378" s="1225" t="s">
        <v>345</v>
      </c>
      <c r="D378" s="1225">
        <v>1041.7</v>
      </c>
      <c r="E378" s="1225" t="s">
        <v>237</v>
      </c>
      <c r="F378" s="1225">
        <v>1145.8699999999999</v>
      </c>
    </row>
    <row r="379" spans="1:6" s="1225" customFormat="1" ht="17.25" customHeight="1">
      <c r="A379" s="1225">
        <v>2.1</v>
      </c>
      <c r="B379" s="1225" t="s">
        <v>237</v>
      </c>
      <c r="C379" s="1225" t="s">
        <v>302</v>
      </c>
      <c r="D379" s="1225">
        <v>972.4</v>
      </c>
      <c r="E379" s="1225" t="s">
        <v>237</v>
      </c>
      <c r="F379" s="1225">
        <v>2042.04</v>
      </c>
    </row>
    <row r="380" spans="1:6" s="1225" customFormat="1" ht="17.25" customHeight="1">
      <c r="A380" s="1225">
        <v>2.2000000000000002</v>
      </c>
      <c r="B380" s="1225" t="s">
        <v>237</v>
      </c>
      <c r="C380" s="1225" t="s">
        <v>304</v>
      </c>
      <c r="D380" s="1225">
        <v>679.8</v>
      </c>
      <c r="E380" s="1225" t="s">
        <v>237</v>
      </c>
      <c r="F380" s="1225">
        <v>1495.56</v>
      </c>
    </row>
    <row r="381" spans="1:6" s="1225" customFormat="1" ht="17.25" customHeight="1">
      <c r="A381" s="1225">
        <v>1.1000000000000001</v>
      </c>
      <c r="B381" s="1225" t="s">
        <v>237</v>
      </c>
      <c r="C381" s="1225" t="s">
        <v>306</v>
      </c>
      <c r="D381" s="1225">
        <v>557.70000000000005</v>
      </c>
      <c r="E381" s="1225" t="s">
        <v>237</v>
      </c>
      <c r="F381" s="1225">
        <v>613.47</v>
      </c>
    </row>
    <row r="382" spans="1:6" s="1225" customFormat="1" ht="17.25" customHeight="1">
      <c r="B382" s="1225" t="s">
        <v>145</v>
      </c>
      <c r="C382" s="1225" t="s">
        <v>146</v>
      </c>
      <c r="E382" s="1225" t="s">
        <v>145</v>
      </c>
      <c r="F382" s="1225">
        <v>0</v>
      </c>
    </row>
    <row r="383" spans="1:6" s="1225" customFormat="1" ht="17.25" customHeight="1">
      <c r="F383" s="1225" t="s">
        <v>52</v>
      </c>
    </row>
    <row r="384" spans="1:6" s="1225" customFormat="1" ht="17.25" customHeight="1">
      <c r="C384" s="1225" t="s">
        <v>495</v>
      </c>
      <c r="F384" s="1225">
        <v>12262.35</v>
      </c>
    </row>
    <row r="385" spans="1:6" s="1225" customFormat="1" ht="17.25" customHeight="1">
      <c r="F385" s="1225" t="s">
        <v>52</v>
      </c>
    </row>
    <row r="386" spans="1:6" s="1225" customFormat="1" ht="17.25" customHeight="1">
      <c r="C386" s="1225" t="s">
        <v>460</v>
      </c>
      <c r="F386" s="1225">
        <v>1226.24</v>
      </c>
    </row>
    <row r="387" spans="1:6" s="1225" customFormat="1" ht="17.25" customHeight="1"/>
    <row r="388" spans="1:6" s="1225" customFormat="1" ht="17.25" customHeight="1">
      <c r="A388" s="1225" t="s">
        <v>1617</v>
      </c>
      <c r="B388" s="1225" t="s">
        <v>111</v>
      </c>
      <c r="C388" s="1225" t="s">
        <v>1618</v>
      </c>
    </row>
    <row r="389" spans="1:6" s="1225" customFormat="1" ht="17.25" customHeight="1">
      <c r="C389" s="1225" t="s">
        <v>52</v>
      </c>
    </row>
    <row r="390" spans="1:6" s="1225" customFormat="1" ht="17.25" customHeight="1">
      <c r="A390" s="1225">
        <v>0.14000000000000001</v>
      </c>
      <c r="B390" s="1225" t="s">
        <v>132</v>
      </c>
      <c r="C390" s="1225" t="s">
        <v>283</v>
      </c>
      <c r="D390" s="1225">
        <v>3502.94</v>
      </c>
      <c r="E390" s="1225" t="s">
        <v>132</v>
      </c>
      <c r="F390" s="1225">
        <v>490.41</v>
      </c>
    </row>
    <row r="391" spans="1:6" s="1225" customFormat="1" ht="17.25" customHeight="1">
      <c r="A391" s="1225">
        <v>1.1000000000000001</v>
      </c>
      <c r="B391" s="1225" t="s">
        <v>131</v>
      </c>
      <c r="C391" s="1225" t="s">
        <v>345</v>
      </c>
      <c r="D391" s="1225">
        <v>1041.7</v>
      </c>
      <c r="E391" s="1225" t="s">
        <v>131</v>
      </c>
      <c r="F391" s="1225">
        <v>1145.8699999999999</v>
      </c>
    </row>
    <row r="392" spans="1:6" s="1225" customFormat="1" ht="17.25" customHeight="1">
      <c r="A392" s="1225">
        <v>0.5</v>
      </c>
      <c r="B392" s="1225" t="s">
        <v>131</v>
      </c>
      <c r="C392" s="1225" t="s">
        <v>304</v>
      </c>
      <c r="D392" s="1225">
        <v>679.8</v>
      </c>
      <c r="E392" s="1225" t="s">
        <v>131</v>
      </c>
      <c r="F392" s="1225">
        <v>339.9</v>
      </c>
    </row>
    <row r="393" spans="1:6" s="1225" customFormat="1" ht="17.25" customHeight="1">
      <c r="A393" s="1225">
        <v>1.1000000000000001</v>
      </c>
      <c r="B393" s="1225" t="s">
        <v>131</v>
      </c>
      <c r="C393" s="1225" t="s">
        <v>306</v>
      </c>
      <c r="D393" s="1225">
        <v>557.70000000000005</v>
      </c>
      <c r="E393" s="1225" t="s">
        <v>131</v>
      </c>
      <c r="F393" s="1225">
        <v>613.47</v>
      </c>
    </row>
    <row r="394" spans="1:6" s="1225" customFormat="1" ht="17.25" customHeight="1">
      <c r="B394" s="1225" t="s">
        <v>145</v>
      </c>
      <c r="C394" s="1225" t="s">
        <v>146</v>
      </c>
      <c r="D394" s="1225" t="s">
        <v>85</v>
      </c>
      <c r="E394" s="1225" t="s">
        <v>145</v>
      </c>
    </row>
    <row r="395" spans="1:6" s="1225" customFormat="1" ht="17.25" customHeight="1">
      <c r="F395" s="1225" t="s">
        <v>52</v>
      </c>
    </row>
    <row r="396" spans="1:6" s="1225" customFormat="1" ht="17.25" customHeight="1">
      <c r="C396" s="1225" t="s">
        <v>495</v>
      </c>
      <c r="F396" s="1225">
        <v>2589.65</v>
      </c>
    </row>
    <row r="397" spans="1:6" s="1225" customFormat="1" ht="17.25" customHeight="1">
      <c r="F397" s="1225" t="s">
        <v>52</v>
      </c>
    </row>
    <row r="398" spans="1:6" s="1225" customFormat="1" ht="17.25" customHeight="1">
      <c r="C398" s="1225" t="s">
        <v>460</v>
      </c>
      <c r="F398" s="1225">
        <v>258.97000000000003</v>
      </c>
    </row>
    <row r="399" spans="1:6" s="1225" customFormat="1" ht="17.25" customHeight="1"/>
    <row r="400" spans="1:6" s="1225" customFormat="1" ht="17.25" customHeight="1">
      <c r="A400" s="1225" t="s">
        <v>1619</v>
      </c>
      <c r="B400" s="1225" t="s">
        <v>111</v>
      </c>
      <c r="C400" s="1225" t="s">
        <v>1620</v>
      </c>
    </row>
    <row r="401" spans="1:6" s="1225" customFormat="1" ht="17.25" customHeight="1">
      <c r="C401" s="1225" t="s">
        <v>52</v>
      </c>
    </row>
    <row r="402" spans="1:6" s="1225" customFormat="1" ht="17.25" customHeight="1">
      <c r="A402" s="1225">
        <v>0.14000000000000001</v>
      </c>
      <c r="B402" s="1225" t="s">
        <v>132</v>
      </c>
      <c r="C402" s="1225" t="s">
        <v>259</v>
      </c>
      <c r="D402" s="1225">
        <v>3937.82</v>
      </c>
      <c r="E402" s="1225" t="s">
        <v>132</v>
      </c>
      <c r="F402" s="1225">
        <v>551.29</v>
      </c>
    </row>
    <row r="403" spans="1:6" s="1225" customFormat="1" ht="17.25" customHeight="1">
      <c r="A403" s="1225">
        <v>1.1000000000000001</v>
      </c>
      <c r="B403" s="1225" t="s">
        <v>131</v>
      </c>
      <c r="C403" s="1225" t="s">
        <v>345</v>
      </c>
      <c r="D403" s="1225">
        <v>1041.7</v>
      </c>
      <c r="E403" s="1225" t="s">
        <v>131</v>
      </c>
      <c r="F403" s="1225">
        <v>1145.8699999999999</v>
      </c>
    </row>
    <row r="404" spans="1:6" s="1225" customFormat="1" ht="17.25" customHeight="1">
      <c r="A404" s="1225">
        <v>0.5</v>
      </c>
      <c r="B404" s="1225" t="s">
        <v>131</v>
      </c>
      <c r="C404" s="1225" t="s">
        <v>304</v>
      </c>
      <c r="D404" s="1225">
        <v>679.8</v>
      </c>
      <c r="E404" s="1225" t="s">
        <v>131</v>
      </c>
      <c r="F404" s="1225">
        <v>339.9</v>
      </c>
    </row>
    <row r="405" spans="1:6" s="1225" customFormat="1" ht="17.25" customHeight="1">
      <c r="A405" s="1225">
        <v>1.1000000000000001</v>
      </c>
      <c r="B405" s="1225" t="s">
        <v>131</v>
      </c>
      <c r="C405" s="1225" t="s">
        <v>306</v>
      </c>
      <c r="D405" s="1225">
        <v>557.70000000000005</v>
      </c>
      <c r="E405" s="1225" t="s">
        <v>131</v>
      </c>
      <c r="F405" s="1225">
        <v>613.47</v>
      </c>
    </row>
    <row r="406" spans="1:6" s="1225" customFormat="1" ht="17.25" customHeight="1">
      <c r="B406" s="1225" t="s">
        <v>145</v>
      </c>
      <c r="C406" s="1225" t="s">
        <v>146</v>
      </c>
      <c r="D406" s="1225" t="s">
        <v>85</v>
      </c>
      <c r="E406" s="1225" t="s">
        <v>145</v>
      </c>
    </row>
    <row r="407" spans="1:6" s="1225" customFormat="1" ht="17.25" customHeight="1"/>
    <row r="408" spans="1:6" s="1225" customFormat="1" ht="17.25" customHeight="1">
      <c r="F408" s="1225" t="s">
        <v>52</v>
      </c>
    </row>
    <row r="409" spans="1:6" s="1225" customFormat="1" ht="17.25" customHeight="1">
      <c r="C409" s="1225" t="s">
        <v>495</v>
      </c>
      <c r="F409" s="1225">
        <v>2650.53</v>
      </c>
    </row>
    <row r="410" spans="1:6" s="1225" customFormat="1" ht="17.25" customHeight="1">
      <c r="F410" s="1225" t="s">
        <v>52</v>
      </c>
    </row>
    <row r="411" spans="1:6" s="1225" customFormat="1" ht="17.25" customHeight="1">
      <c r="C411" s="1225" t="s">
        <v>460</v>
      </c>
      <c r="F411" s="1225">
        <v>265.05</v>
      </c>
    </row>
    <row r="412" spans="1:6" s="1225" customFormat="1" ht="17.25" customHeight="1"/>
    <row r="413" spans="1:6" s="1225" customFormat="1" ht="17.25" customHeight="1">
      <c r="A413" s="1225" t="s">
        <v>1621</v>
      </c>
      <c r="B413" s="1225" t="s">
        <v>111</v>
      </c>
      <c r="C413" s="1225" t="s">
        <v>1622</v>
      </c>
    </row>
    <row r="414" spans="1:6" s="1225" customFormat="1" ht="17.25" customHeight="1">
      <c r="C414" s="1225" t="s">
        <v>52</v>
      </c>
    </row>
    <row r="415" spans="1:6" s="1225" customFormat="1" ht="17.25" customHeight="1">
      <c r="A415" s="1225">
        <v>0.1</v>
      </c>
      <c r="B415" s="1225" t="s">
        <v>132</v>
      </c>
      <c r="C415" s="1225" t="s">
        <v>217</v>
      </c>
      <c r="D415" s="1225">
        <v>4667.62</v>
      </c>
      <c r="E415" s="1225" t="s">
        <v>132</v>
      </c>
      <c r="F415" s="1225">
        <v>466.76</v>
      </c>
    </row>
    <row r="416" spans="1:6" s="1225" customFormat="1" ht="17.25" customHeight="1">
      <c r="A416" s="1225">
        <v>1.1000000000000001</v>
      </c>
      <c r="B416" s="1225" t="s">
        <v>131</v>
      </c>
      <c r="C416" s="1225" t="s">
        <v>345</v>
      </c>
      <c r="D416" s="1225">
        <v>1041.7</v>
      </c>
      <c r="E416" s="1225" t="s">
        <v>131</v>
      </c>
      <c r="F416" s="1225">
        <v>1145.8699999999999</v>
      </c>
    </row>
    <row r="417" spans="1:6" s="1225" customFormat="1" ht="17.25" customHeight="1">
      <c r="A417" s="1225">
        <v>1.1000000000000001</v>
      </c>
      <c r="B417" s="1225" t="s">
        <v>131</v>
      </c>
      <c r="C417" s="1225" t="s">
        <v>304</v>
      </c>
      <c r="D417" s="1225">
        <v>679.8</v>
      </c>
      <c r="E417" s="1225" t="s">
        <v>131</v>
      </c>
      <c r="F417" s="1225">
        <v>747.78</v>
      </c>
    </row>
    <row r="418" spans="1:6" s="1225" customFormat="1" ht="17.25" customHeight="1">
      <c r="A418" s="1225">
        <v>1.1000000000000001</v>
      </c>
      <c r="B418" s="1225" t="s">
        <v>131</v>
      </c>
      <c r="C418" s="1225" t="s">
        <v>306</v>
      </c>
      <c r="D418" s="1225">
        <v>557.70000000000005</v>
      </c>
      <c r="E418" s="1225" t="s">
        <v>131</v>
      </c>
      <c r="F418" s="1225">
        <v>613.47</v>
      </c>
    </row>
    <row r="419" spans="1:6" s="1225" customFormat="1" ht="17.25" customHeight="1">
      <c r="B419" s="1225" t="s">
        <v>145</v>
      </c>
      <c r="C419" s="1225" t="s">
        <v>146</v>
      </c>
      <c r="D419" s="1225" t="s">
        <v>85</v>
      </c>
      <c r="E419" s="1225" t="s">
        <v>145</v>
      </c>
    </row>
    <row r="420" spans="1:6" s="1225" customFormat="1" ht="17.25" customHeight="1">
      <c r="F420" s="1225" t="s">
        <v>52</v>
      </c>
    </row>
    <row r="421" spans="1:6" s="1225" customFormat="1" ht="17.25" customHeight="1">
      <c r="C421" s="1225" t="s">
        <v>495</v>
      </c>
      <c r="F421" s="1225">
        <v>2973.88</v>
      </c>
    </row>
    <row r="422" spans="1:6" s="1225" customFormat="1" ht="17.25" customHeight="1">
      <c r="F422" s="1225" t="s">
        <v>52</v>
      </c>
    </row>
    <row r="423" spans="1:6" s="1225" customFormat="1" ht="17.25" customHeight="1">
      <c r="C423" s="1225" t="s">
        <v>460</v>
      </c>
      <c r="F423" s="1225">
        <v>297.39</v>
      </c>
    </row>
    <row r="424" spans="1:6" s="1225" customFormat="1" ht="17.25" customHeight="1"/>
    <row r="425" spans="1:6" s="1225" customFormat="1" ht="17.25" customHeight="1"/>
    <row r="426" spans="1:6" s="1225" customFormat="1" ht="17.25" customHeight="1">
      <c r="A426" s="1225" t="s">
        <v>1627</v>
      </c>
      <c r="B426" s="1225" t="s">
        <v>111</v>
      </c>
      <c r="C426" s="1225" t="s">
        <v>1628</v>
      </c>
    </row>
    <row r="427" spans="1:6" s="1225" customFormat="1" ht="17.25" customHeight="1">
      <c r="C427" s="1225" t="s">
        <v>1629</v>
      </c>
    </row>
    <row r="428" spans="1:6" s="1225" customFormat="1" ht="17.25" customHeight="1">
      <c r="C428" s="1225" t="s">
        <v>1630</v>
      </c>
    </row>
    <row r="429" spans="1:6" s="1225" customFormat="1" ht="17.25" customHeight="1">
      <c r="C429" s="1225" t="s">
        <v>1631</v>
      </c>
    </row>
    <row r="430" spans="1:6" s="1225" customFormat="1" ht="17.25" customHeight="1">
      <c r="C430" s="1225" t="s">
        <v>52</v>
      </c>
      <c r="D430" s="1225" t="s">
        <v>52</v>
      </c>
    </row>
    <row r="431" spans="1:6" s="1225" customFormat="1" ht="17.25" customHeight="1">
      <c r="B431" s="1225" t="s">
        <v>956</v>
      </c>
      <c r="C431" s="1225" t="s">
        <v>1632</v>
      </c>
    </row>
    <row r="432" spans="1:6" s="1225" customFormat="1" ht="17.25" customHeight="1">
      <c r="B432" s="1225" t="s">
        <v>52</v>
      </c>
      <c r="C432" s="1225" t="s">
        <v>52</v>
      </c>
    </row>
    <row r="433" spans="1:6" s="1225" customFormat="1" ht="17.25" customHeight="1">
      <c r="A433" s="1225">
        <v>1.4E-2</v>
      </c>
      <c r="B433" s="1225" t="s">
        <v>5</v>
      </c>
      <c r="C433" s="1225" t="s">
        <v>1633</v>
      </c>
      <c r="D433" s="1225">
        <v>3507.94</v>
      </c>
      <c r="E433" s="1225" t="s">
        <v>5</v>
      </c>
      <c r="F433" s="1225">
        <v>49.11</v>
      </c>
    </row>
    <row r="434" spans="1:6" s="1225" customFormat="1" ht="17.25" customHeight="1">
      <c r="A434" s="1225">
        <v>0.3</v>
      </c>
      <c r="B434" s="1225" t="s">
        <v>727</v>
      </c>
      <c r="C434" s="1225" t="s">
        <v>1634</v>
      </c>
      <c r="D434" s="1225">
        <v>1041.7</v>
      </c>
      <c r="E434" s="1225" t="s">
        <v>727</v>
      </c>
      <c r="F434" s="1225">
        <v>312.51</v>
      </c>
    </row>
    <row r="435" spans="1:6" s="1225" customFormat="1" ht="17.25" customHeight="1">
      <c r="A435" s="1225">
        <v>0.3</v>
      </c>
      <c r="B435" s="1225" t="s">
        <v>727</v>
      </c>
      <c r="C435" s="1225" t="s">
        <v>731</v>
      </c>
      <c r="D435" s="1225">
        <v>679.8</v>
      </c>
      <c r="E435" s="1225" t="s">
        <v>727</v>
      </c>
      <c r="F435" s="1225">
        <v>203.94</v>
      </c>
    </row>
    <row r="436" spans="1:6" s="1225" customFormat="1" ht="17.25" customHeight="1">
      <c r="B436" s="1225" t="s">
        <v>145</v>
      </c>
      <c r="C436" s="1225" t="s">
        <v>1557</v>
      </c>
      <c r="E436" s="1225" t="s">
        <v>145</v>
      </c>
      <c r="F436" s="1225">
        <v>0</v>
      </c>
    </row>
    <row r="437" spans="1:6" s="1225" customFormat="1" ht="17.25" customHeight="1">
      <c r="F437" s="1225" t="s">
        <v>52</v>
      </c>
    </row>
    <row r="438" spans="1:6" s="1225" customFormat="1" ht="17.25" customHeight="1">
      <c r="C438" s="1225" t="s">
        <v>1635</v>
      </c>
      <c r="F438" s="1225">
        <v>565.55999999999995</v>
      </c>
    </row>
    <row r="439" spans="1:6" s="1225" customFormat="1" ht="17.25" customHeight="1">
      <c r="F439" s="1225" t="s">
        <v>52</v>
      </c>
    </row>
    <row r="440" spans="1:6" s="1225" customFormat="1" ht="17.25" customHeight="1">
      <c r="C440" s="1225" t="s">
        <v>1636</v>
      </c>
      <c r="F440" s="1225">
        <v>83.54</v>
      </c>
    </row>
    <row r="441" spans="1:6" s="1225" customFormat="1" ht="17.25" customHeight="1">
      <c r="A441" s="1225" t="s">
        <v>85</v>
      </c>
    </row>
    <row r="442" spans="1:6" s="1225" customFormat="1" ht="17.25" customHeight="1">
      <c r="F442" s="1225" t="s">
        <v>89</v>
      </c>
    </row>
    <row r="443" spans="1:6" s="1225" customFormat="1" ht="17.25" customHeight="1">
      <c r="B443" s="1225" t="s">
        <v>986</v>
      </c>
      <c r="C443" s="1225" t="s">
        <v>1637</v>
      </c>
    </row>
    <row r="444" spans="1:6" s="1225" customFormat="1" ht="17.25" customHeight="1">
      <c r="B444" s="1225" t="s">
        <v>52</v>
      </c>
      <c r="C444" s="1225" t="s">
        <v>52</v>
      </c>
    </row>
    <row r="445" spans="1:6" s="1225" customFormat="1" ht="17.25" customHeight="1">
      <c r="A445" s="1225">
        <v>7.0000000000000001E-3</v>
      </c>
      <c r="B445" s="1225" t="s">
        <v>5</v>
      </c>
      <c r="C445" s="1225" t="s">
        <v>1633</v>
      </c>
      <c r="D445" s="1225">
        <v>3507.94</v>
      </c>
      <c r="E445" s="1225" t="s">
        <v>5</v>
      </c>
      <c r="F445" s="1225">
        <v>24.56</v>
      </c>
    </row>
    <row r="446" spans="1:6" s="1225" customFormat="1" ht="17.25" customHeight="1">
      <c r="A446" s="1225">
        <v>0.2</v>
      </c>
      <c r="B446" s="1225" t="s">
        <v>727</v>
      </c>
      <c r="C446" s="1225" t="s">
        <v>1634</v>
      </c>
      <c r="D446" s="1225">
        <v>1041.7</v>
      </c>
      <c r="E446" s="1225" t="s">
        <v>727</v>
      </c>
      <c r="F446" s="1225">
        <v>208.34</v>
      </c>
    </row>
    <row r="447" spans="1:6" s="1225" customFormat="1" ht="17.25" customHeight="1">
      <c r="A447" s="1225">
        <v>0.2</v>
      </c>
      <c r="B447" s="1225" t="s">
        <v>727</v>
      </c>
      <c r="C447" s="1225" t="s">
        <v>731</v>
      </c>
      <c r="D447" s="1225">
        <v>679.8</v>
      </c>
      <c r="E447" s="1225" t="s">
        <v>727</v>
      </c>
      <c r="F447" s="1225">
        <v>135.96</v>
      </c>
    </row>
    <row r="448" spans="1:6" s="1225" customFormat="1" ht="17.25" customHeight="1">
      <c r="C448" s="1225" t="s">
        <v>1557</v>
      </c>
      <c r="F448" s="1225">
        <v>0</v>
      </c>
    </row>
    <row r="449" spans="1:6" s="1225" customFormat="1" ht="17.25" customHeight="1">
      <c r="F449" s="1225" t="s">
        <v>52</v>
      </c>
    </row>
    <row r="450" spans="1:6" s="1225" customFormat="1" ht="17.25" customHeight="1">
      <c r="C450" s="1225" t="s">
        <v>1635</v>
      </c>
      <c r="F450" s="1225">
        <v>368.86</v>
      </c>
    </row>
    <row r="451" spans="1:6" s="1225" customFormat="1" ht="17.25" customHeight="1">
      <c r="F451" s="1225" t="s">
        <v>52</v>
      </c>
    </row>
    <row r="452" spans="1:6" s="1225" customFormat="1" ht="17.25" customHeight="1">
      <c r="C452" s="1225" t="s">
        <v>1636</v>
      </c>
      <c r="F452" s="1225">
        <v>54.48</v>
      </c>
    </row>
    <row r="453" spans="1:6" s="1225" customFormat="1" ht="17.25" customHeight="1">
      <c r="F453" s="1225" t="s">
        <v>89</v>
      </c>
    </row>
    <row r="454" spans="1:6" s="1225" customFormat="1" ht="17.25" customHeight="1"/>
    <row r="455" spans="1:6" s="1225" customFormat="1" ht="17.25" customHeight="1"/>
    <row r="456" spans="1:6" s="1225" customFormat="1" ht="17.25" customHeight="1">
      <c r="B456" s="1225" t="s">
        <v>1018</v>
      </c>
      <c r="C456" s="1225" t="s">
        <v>1638</v>
      </c>
    </row>
    <row r="457" spans="1:6" s="1225" customFormat="1" ht="17.25" customHeight="1">
      <c r="B457" s="1225" t="s">
        <v>52</v>
      </c>
      <c r="C457" s="1225" t="s">
        <v>52</v>
      </c>
    </row>
    <row r="458" spans="1:6" s="1225" customFormat="1" ht="17.25" customHeight="1">
      <c r="A458" s="1225">
        <v>4.7000000000000002E-3</v>
      </c>
      <c r="B458" s="1225" t="s">
        <v>5</v>
      </c>
      <c r="C458" s="1225" t="s">
        <v>1633</v>
      </c>
      <c r="D458" s="1225">
        <v>3507.94</v>
      </c>
      <c r="E458" s="1225" t="s">
        <v>5</v>
      </c>
      <c r="F458" s="1225">
        <v>16.489999999999998</v>
      </c>
    </row>
    <row r="459" spans="1:6" s="1225" customFormat="1" ht="17.25" customHeight="1">
      <c r="A459" s="1225">
        <v>0.15</v>
      </c>
      <c r="B459" s="1225" t="s">
        <v>727</v>
      </c>
      <c r="C459" s="1225" t="s">
        <v>1634</v>
      </c>
      <c r="D459" s="1225">
        <v>1041.7</v>
      </c>
      <c r="E459" s="1225" t="s">
        <v>727</v>
      </c>
      <c r="F459" s="1225">
        <v>156.26</v>
      </c>
    </row>
    <row r="460" spans="1:6" s="1225" customFormat="1" ht="17.25" customHeight="1">
      <c r="A460" s="1225">
        <v>0.15</v>
      </c>
      <c r="B460" s="1225" t="s">
        <v>727</v>
      </c>
      <c r="C460" s="1225" t="s">
        <v>731</v>
      </c>
      <c r="D460" s="1225">
        <v>679.8</v>
      </c>
      <c r="E460" s="1225" t="s">
        <v>727</v>
      </c>
      <c r="F460" s="1225">
        <v>101.97</v>
      </c>
    </row>
    <row r="461" spans="1:6" s="1225" customFormat="1" ht="17.25" customHeight="1">
      <c r="C461" s="1225" t="s">
        <v>1557</v>
      </c>
      <c r="F461" s="1225">
        <v>0</v>
      </c>
    </row>
    <row r="462" spans="1:6" s="1225" customFormat="1" ht="17.25" customHeight="1">
      <c r="F462" s="1225" t="s">
        <v>52</v>
      </c>
    </row>
    <row r="463" spans="1:6" s="1225" customFormat="1" ht="17.25" customHeight="1">
      <c r="C463" s="1225" t="s">
        <v>1635</v>
      </c>
      <c r="F463" s="1225">
        <v>274.72000000000003</v>
      </c>
    </row>
    <row r="464" spans="1:6" s="1225" customFormat="1" ht="17.25" customHeight="1">
      <c r="F464" s="1225" t="s">
        <v>52</v>
      </c>
    </row>
    <row r="465" spans="1:6" s="1225" customFormat="1" ht="17.25" customHeight="1">
      <c r="C465" s="1225" t="s">
        <v>1636</v>
      </c>
      <c r="F465" s="1225">
        <v>40.58</v>
      </c>
    </row>
    <row r="466" spans="1:6" s="1225" customFormat="1" ht="17.25" customHeight="1"/>
    <row r="467" spans="1:6" s="1225" customFormat="1" ht="17.25" customHeight="1">
      <c r="A467" s="1225">
        <v>37.1</v>
      </c>
      <c r="B467" s="1225" t="s">
        <v>111</v>
      </c>
      <c r="C467" s="1225" t="s">
        <v>1639</v>
      </c>
    </row>
    <row r="468" spans="1:6" s="1225" customFormat="1" ht="17.25" customHeight="1">
      <c r="C468" s="1225" t="s">
        <v>52</v>
      </c>
    </row>
    <row r="469" spans="1:6" s="1225" customFormat="1" ht="17.25" customHeight="1">
      <c r="A469" s="1225">
        <v>0.09</v>
      </c>
      <c r="B469" s="1225" t="s">
        <v>132</v>
      </c>
      <c r="C469" s="1225" t="s">
        <v>202</v>
      </c>
      <c r="D469" s="1225">
        <v>1348</v>
      </c>
      <c r="E469" s="1225" t="s">
        <v>132</v>
      </c>
      <c r="F469" s="1225">
        <v>121.32</v>
      </c>
    </row>
    <row r="470" spans="1:6" s="1225" customFormat="1" ht="17.25" customHeight="1">
      <c r="A470" s="1225">
        <v>2.2000000000000002</v>
      </c>
      <c r="B470" s="1225" t="s">
        <v>131</v>
      </c>
      <c r="C470" s="1225" t="s">
        <v>302</v>
      </c>
      <c r="D470" s="1225">
        <v>972.4</v>
      </c>
      <c r="E470" s="1225" t="s">
        <v>131</v>
      </c>
      <c r="F470" s="1225">
        <v>2139.2800000000002</v>
      </c>
    </row>
    <row r="471" spans="1:6" s="1225" customFormat="1" ht="17.25" customHeight="1">
      <c r="A471" s="1225">
        <v>0.5</v>
      </c>
      <c r="B471" s="1225" t="s">
        <v>131</v>
      </c>
      <c r="C471" s="1225" t="s">
        <v>304</v>
      </c>
      <c r="D471" s="1225">
        <v>679.8</v>
      </c>
      <c r="E471" s="1225" t="s">
        <v>131</v>
      </c>
      <c r="F471" s="1225">
        <v>339.9</v>
      </c>
    </row>
    <row r="472" spans="1:6" s="1225" customFormat="1" ht="17.25" customHeight="1">
      <c r="A472" s="1225">
        <v>3.8</v>
      </c>
      <c r="B472" s="1225" t="s">
        <v>131</v>
      </c>
      <c r="C472" s="1225" t="s">
        <v>306</v>
      </c>
      <c r="D472" s="1225">
        <v>557.70000000000005</v>
      </c>
      <c r="E472" s="1225" t="s">
        <v>131</v>
      </c>
      <c r="F472" s="1225">
        <v>2119.2600000000002</v>
      </c>
    </row>
    <row r="473" spans="1:6" s="1225" customFormat="1" ht="17.25" customHeight="1">
      <c r="B473" s="1225" t="s">
        <v>145</v>
      </c>
      <c r="C473" s="1225" t="s">
        <v>1640</v>
      </c>
      <c r="D473" s="1225" t="s">
        <v>85</v>
      </c>
      <c r="E473" s="1225" t="s">
        <v>145</v>
      </c>
      <c r="F473" s="1225">
        <v>1.5</v>
      </c>
    </row>
    <row r="474" spans="1:6" s="1225" customFormat="1" ht="17.25" customHeight="1">
      <c r="F474" s="1225" t="s">
        <v>52</v>
      </c>
    </row>
    <row r="475" spans="1:6" s="1225" customFormat="1" ht="17.25" customHeight="1">
      <c r="C475" s="1225" t="s">
        <v>584</v>
      </c>
      <c r="F475" s="1225">
        <v>4721.26</v>
      </c>
    </row>
    <row r="476" spans="1:6" s="1225" customFormat="1" ht="17.25" customHeight="1">
      <c r="F476" s="1225" t="s">
        <v>52</v>
      </c>
    </row>
    <row r="477" spans="1:6" s="1225" customFormat="1" ht="17.25" customHeight="1">
      <c r="C477" s="1225" t="s">
        <v>460</v>
      </c>
      <c r="F477" s="1225">
        <v>47.21</v>
      </c>
    </row>
    <row r="478" spans="1:6" s="1225" customFormat="1" ht="17.25" customHeight="1"/>
    <row r="479" spans="1:6" s="1225" customFormat="1" ht="33">
      <c r="A479" s="1225">
        <v>39</v>
      </c>
      <c r="C479" s="1225" t="s">
        <v>4287</v>
      </c>
      <c r="D479" s="1225">
        <v>70.150000000000006</v>
      </c>
      <c r="E479" s="1225" t="s">
        <v>39</v>
      </c>
    </row>
    <row r="480" spans="1:6" s="1225" customFormat="1" ht="17.25" customHeight="1"/>
    <row r="481" spans="1:6" s="1225" customFormat="1" ht="17.25" customHeight="1">
      <c r="A481" s="1225" t="s">
        <v>1654</v>
      </c>
      <c r="B481" s="1225" t="s">
        <v>111</v>
      </c>
      <c r="C481" s="1225" t="s">
        <v>4400</v>
      </c>
    </row>
    <row r="482" spans="1:6" s="1225" customFormat="1" ht="17.25" customHeight="1">
      <c r="C482" s="1225" t="s">
        <v>1656</v>
      </c>
    </row>
    <row r="483" spans="1:6" s="1225" customFormat="1" ht="17.25" customHeight="1">
      <c r="C483" s="1225" t="s">
        <v>4401</v>
      </c>
    </row>
    <row r="484" spans="1:6" s="1225" customFormat="1" ht="17.25" customHeight="1">
      <c r="C484" s="1225" t="s">
        <v>52</v>
      </c>
    </row>
    <row r="485" spans="1:6" s="1225" customFormat="1" ht="17.25" customHeight="1">
      <c r="A485" s="1225">
        <v>1.44</v>
      </c>
      <c r="B485" s="1225" t="s">
        <v>1658</v>
      </c>
      <c r="C485" s="1225" t="s">
        <v>1659</v>
      </c>
      <c r="D485" s="1225">
        <v>147.5</v>
      </c>
      <c r="E485" s="1225" t="s">
        <v>1658</v>
      </c>
      <c r="F485" s="1225">
        <v>212.4</v>
      </c>
    </row>
    <row r="486" spans="1:6" s="1225" customFormat="1" ht="17.25" customHeight="1">
      <c r="A486" s="1225">
        <v>0.7</v>
      </c>
      <c r="B486" s="1225" t="s">
        <v>237</v>
      </c>
      <c r="C486" s="1225" t="s">
        <v>1660</v>
      </c>
      <c r="D486" s="1225">
        <v>831.6</v>
      </c>
      <c r="E486" s="1225" t="s">
        <v>237</v>
      </c>
      <c r="F486" s="1225">
        <v>582.12</v>
      </c>
    </row>
    <row r="487" spans="1:6" s="1225" customFormat="1" ht="17.25" customHeight="1">
      <c r="A487" s="1225">
        <v>2.5499999999999998</v>
      </c>
      <c r="B487" s="1225" t="s">
        <v>1658</v>
      </c>
      <c r="C487" s="1225" t="s">
        <v>1661</v>
      </c>
      <c r="D487" s="1225">
        <v>238.9</v>
      </c>
      <c r="E487" s="1225" t="s">
        <v>1658</v>
      </c>
      <c r="F487" s="1225">
        <v>609.20000000000005</v>
      </c>
    </row>
    <row r="488" spans="1:6" s="1225" customFormat="1" ht="17.25" customHeight="1">
      <c r="A488" s="1225">
        <v>1.2</v>
      </c>
      <c r="B488" s="1225" t="s">
        <v>237</v>
      </c>
      <c r="C488" s="1225" t="s">
        <v>1660</v>
      </c>
      <c r="D488" s="1225">
        <v>831.6</v>
      </c>
      <c r="E488" s="1225" t="s">
        <v>237</v>
      </c>
      <c r="F488" s="1225">
        <v>997.92</v>
      </c>
    </row>
    <row r="489" spans="1:6" s="1225" customFormat="1" ht="17.25" customHeight="1">
      <c r="B489" s="1225" t="s">
        <v>145</v>
      </c>
      <c r="C489" s="1225" t="s">
        <v>1546</v>
      </c>
      <c r="D489" s="1225" t="s">
        <v>85</v>
      </c>
      <c r="E489" s="1225" t="s">
        <v>145</v>
      </c>
      <c r="F489" s="1225">
        <v>1.5</v>
      </c>
    </row>
    <row r="490" spans="1:6" s="1225" customFormat="1" ht="17.25" customHeight="1">
      <c r="F490" s="1225" t="s">
        <v>52</v>
      </c>
    </row>
    <row r="491" spans="1:6" s="1225" customFormat="1" ht="17.25" customHeight="1">
      <c r="C491" s="1225" t="s">
        <v>495</v>
      </c>
      <c r="F491" s="1225">
        <v>2403.14</v>
      </c>
    </row>
    <row r="492" spans="1:6" s="1225" customFormat="1" ht="17.25" customHeight="1">
      <c r="F492" s="1225" t="s">
        <v>52</v>
      </c>
    </row>
    <row r="493" spans="1:6" s="1225" customFormat="1" ht="17.25" customHeight="1">
      <c r="C493" s="1225" t="s">
        <v>460</v>
      </c>
      <c r="F493" s="1225">
        <v>240.31</v>
      </c>
    </row>
    <row r="494" spans="1:6" s="1225" customFormat="1" ht="17.25" customHeight="1"/>
    <row r="495" spans="1:6" s="1225" customFormat="1" ht="17.25" customHeight="1">
      <c r="A495" s="1225">
        <v>41</v>
      </c>
      <c r="B495" s="1225" t="s">
        <v>111</v>
      </c>
      <c r="C495" s="1225" t="s">
        <v>1655</v>
      </c>
    </row>
    <row r="496" spans="1:6" s="1225" customFormat="1" ht="17.25" customHeight="1">
      <c r="C496" s="1225" t="s">
        <v>1662</v>
      </c>
    </row>
    <row r="497" spans="1:6" s="1225" customFormat="1" ht="17.25" customHeight="1">
      <c r="C497" s="1225" t="s">
        <v>1657</v>
      </c>
    </row>
    <row r="498" spans="1:6" s="1225" customFormat="1" ht="17.25" customHeight="1">
      <c r="C498" s="1225" t="s">
        <v>52</v>
      </c>
    </row>
    <row r="499" spans="1:6" s="1225" customFormat="1" ht="17.25" customHeight="1">
      <c r="A499" s="1225">
        <v>2.2200000000000002</v>
      </c>
      <c r="B499" s="1225" t="s">
        <v>1658</v>
      </c>
      <c r="C499" s="1225" t="s">
        <v>1661</v>
      </c>
      <c r="D499" s="1225">
        <v>227.6</v>
      </c>
      <c r="E499" s="1225" t="s">
        <v>1658</v>
      </c>
      <c r="F499" s="1225">
        <v>505.27</v>
      </c>
    </row>
    <row r="500" spans="1:6" s="1225" customFormat="1" ht="17.25" customHeight="1">
      <c r="A500" s="1225">
        <v>1.1000000000000001</v>
      </c>
      <c r="B500" s="1225" t="s">
        <v>237</v>
      </c>
      <c r="C500" s="1225" t="s">
        <v>1660</v>
      </c>
      <c r="D500" s="1225">
        <v>831.6</v>
      </c>
      <c r="E500" s="1225" t="s">
        <v>237</v>
      </c>
      <c r="F500" s="1225">
        <v>914.76</v>
      </c>
    </row>
    <row r="501" spans="1:6" s="1225" customFormat="1" ht="17.25" customHeight="1">
      <c r="B501" s="1225" t="s">
        <v>145</v>
      </c>
      <c r="C501" s="1225" t="s">
        <v>1546</v>
      </c>
      <c r="D501" s="1225" t="s">
        <v>85</v>
      </c>
      <c r="E501" s="1225" t="s">
        <v>145</v>
      </c>
      <c r="F501" s="1225">
        <v>1.5</v>
      </c>
    </row>
    <row r="502" spans="1:6" s="1225" customFormat="1" ht="17.25" customHeight="1">
      <c r="F502" s="1225" t="s">
        <v>52</v>
      </c>
    </row>
    <row r="503" spans="1:6" s="1225" customFormat="1" ht="17.25" customHeight="1">
      <c r="C503" s="1225" t="s">
        <v>495</v>
      </c>
      <c r="F503" s="1225">
        <v>1421.53</v>
      </c>
    </row>
    <row r="504" spans="1:6" s="1225" customFormat="1" ht="17.25" customHeight="1">
      <c r="F504" s="1225" t="s">
        <v>52</v>
      </c>
    </row>
    <row r="505" spans="1:6" s="1225" customFormat="1" ht="17.25" customHeight="1">
      <c r="C505" s="1225" t="s">
        <v>460</v>
      </c>
      <c r="F505" s="1225">
        <v>142.15</v>
      </c>
    </row>
    <row r="506" spans="1:6" s="1225" customFormat="1" ht="17.25" customHeight="1"/>
    <row r="507" spans="1:6" s="1225" customFormat="1" ht="17.25" customHeight="1">
      <c r="A507" s="1225" t="s">
        <v>1704</v>
      </c>
      <c r="B507" s="1225" t="s">
        <v>111</v>
      </c>
      <c r="C507" s="1225" t="s">
        <v>1705</v>
      </c>
    </row>
    <row r="508" spans="1:6" s="1225" customFormat="1" ht="17.25" customHeight="1">
      <c r="C508" s="1225" t="s">
        <v>1706</v>
      </c>
    </row>
    <row r="509" spans="1:6" s="1225" customFormat="1" ht="17.25" customHeight="1">
      <c r="C509" s="1225" t="s">
        <v>1707</v>
      </c>
      <c r="E509" s="1225" t="s">
        <v>85</v>
      </c>
    </row>
    <row r="510" spans="1:6" s="1225" customFormat="1" ht="17.25" customHeight="1">
      <c r="C510" s="1225" t="s">
        <v>1708</v>
      </c>
    </row>
    <row r="511" spans="1:6" s="1225" customFormat="1" ht="17.25" customHeight="1">
      <c r="C511" s="1225" t="s">
        <v>1709</v>
      </c>
    </row>
    <row r="512" spans="1:6" s="1225" customFormat="1" ht="17.25" customHeight="1">
      <c r="C512" s="1225" t="s">
        <v>1710</v>
      </c>
    </row>
    <row r="513" spans="1:6" s="1225" customFormat="1" ht="17.25" customHeight="1">
      <c r="C513" s="1225" t="s">
        <v>1711</v>
      </c>
    </row>
    <row r="514" spans="1:6" s="1225" customFormat="1" ht="17.25" customHeight="1">
      <c r="C514" s="1225" t="s">
        <v>1712</v>
      </c>
    </row>
    <row r="515" spans="1:6" s="1225" customFormat="1" ht="17.25" customHeight="1">
      <c r="C515" s="1225" t="s">
        <v>1713</v>
      </c>
    </row>
    <row r="516" spans="1:6" s="1225" customFormat="1" ht="17.25" customHeight="1">
      <c r="C516" s="1225" t="s">
        <v>89</v>
      </c>
    </row>
    <row r="517" spans="1:6" s="1225" customFormat="1" ht="17.25" customHeight="1"/>
    <row r="518" spans="1:6" s="1225" customFormat="1" ht="17.25" customHeight="1">
      <c r="A518" s="1225">
        <v>1</v>
      </c>
      <c r="B518" s="1225" t="s">
        <v>13</v>
      </c>
      <c r="C518" s="1225" t="s">
        <v>4414</v>
      </c>
      <c r="D518" s="1225">
        <v>45.72</v>
      </c>
      <c r="E518" s="1225" t="s">
        <v>13</v>
      </c>
      <c r="F518" s="1225">
        <v>45.72</v>
      </c>
    </row>
    <row r="519" spans="1:6" s="1225" customFormat="1" ht="17.25" customHeight="1">
      <c r="A519" s="1225">
        <v>1</v>
      </c>
      <c r="B519" s="1225" t="s">
        <v>1715</v>
      </c>
      <c r="C519" s="1225" t="s">
        <v>1716</v>
      </c>
      <c r="D519" s="1225">
        <v>5</v>
      </c>
      <c r="E519" s="1225" t="s">
        <v>1715</v>
      </c>
      <c r="F519" s="1225">
        <v>5</v>
      </c>
    </row>
    <row r="520" spans="1:6" s="1225" customFormat="1" ht="17.25" customHeight="1">
      <c r="B520" s="1225" t="s">
        <v>145</v>
      </c>
      <c r="C520" s="1225" t="s">
        <v>1717</v>
      </c>
      <c r="E520" s="1225" t="s">
        <v>145</v>
      </c>
      <c r="F520" s="1225">
        <v>7.28</v>
      </c>
    </row>
    <row r="521" spans="1:6" s="1225" customFormat="1" ht="17.25" customHeight="1">
      <c r="F521" s="1225" t="s">
        <v>52</v>
      </c>
    </row>
    <row r="522" spans="1:6" s="1225" customFormat="1" ht="17.25" customHeight="1">
      <c r="C522" s="1225" t="s">
        <v>16</v>
      </c>
      <c r="F522" s="1225">
        <v>58</v>
      </c>
    </row>
    <row r="523" spans="1:6" s="1225" customFormat="1" ht="17.25" customHeight="1"/>
    <row r="524" spans="1:6" s="1225" customFormat="1" ht="17.25" customHeight="1">
      <c r="A524" s="1225" t="s">
        <v>1718</v>
      </c>
      <c r="B524" s="1225" t="s">
        <v>111</v>
      </c>
      <c r="C524" s="1225" t="s">
        <v>6420</v>
      </c>
    </row>
    <row r="525" spans="1:6" s="1225" customFormat="1" ht="17.25" customHeight="1">
      <c r="C525" s="1225" t="s">
        <v>1720</v>
      </c>
    </row>
    <row r="526" spans="1:6" s="1225" customFormat="1" ht="17.25" customHeight="1">
      <c r="C526" s="1225" t="s">
        <v>1721</v>
      </c>
    </row>
    <row r="527" spans="1:6" s="1225" customFormat="1" ht="17.25" customHeight="1">
      <c r="C527" s="1225" t="s">
        <v>1722</v>
      </c>
    </row>
    <row r="528" spans="1:6" s="1225" customFormat="1" ht="17.25" customHeight="1">
      <c r="C528" s="1225" t="s">
        <v>1723</v>
      </c>
    </row>
    <row r="529" spans="1:6" s="1225" customFormat="1" ht="17.25" customHeight="1">
      <c r="C529" s="1225" t="s">
        <v>52</v>
      </c>
      <c r="D529" s="1225" t="s">
        <v>52</v>
      </c>
    </row>
    <row r="530" spans="1:6" s="1225" customFormat="1" ht="17.25" customHeight="1">
      <c r="A530" s="1225">
        <v>1</v>
      </c>
      <c r="B530" s="1225" t="s">
        <v>1724</v>
      </c>
      <c r="C530" s="1225" t="s">
        <v>1725</v>
      </c>
      <c r="D530" s="1225">
        <v>85</v>
      </c>
      <c r="E530" s="1225" t="s">
        <v>729</v>
      </c>
      <c r="F530" s="1225">
        <v>85</v>
      </c>
    </row>
    <row r="531" spans="1:6" s="1225" customFormat="1" ht="17.25" customHeight="1">
      <c r="B531" s="1225" t="s">
        <v>145</v>
      </c>
      <c r="C531" s="1225" t="s">
        <v>1726</v>
      </c>
      <c r="E531" s="1225" t="s">
        <v>145</v>
      </c>
      <c r="F531" s="1225">
        <v>7.5</v>
      </c>
    </row>
    <row r="532" spans="1:6" s="1225" customFormat="1" ht="17.25" customHeight="1">
      <c r="B532" s="1225" t="s">
        <v>145</v>
      </c>
      <c r="C532" s="1225" t="s">
        <v>1727</v>
      </c>
      <c r="E532" s="1225" t="s">
        <v>145</v>
      </c>
      <c r="F532" s="1225">
        <v>2.5</v>
      </c>
    </row>
    <row r="533" spans="1:6" s="1225" customFormat="1" ht="17.25" customHeight="1">
      <c r="C533" s="1225" t="s">
        <v>1728</v>
      </c>
      <c r="F533" s="1225" t="s">
        <v>52</v>
      </c>
    </row>
    <row r="534" spans="1:6" s="1225" customFormat="1" ht="17.25" customHeight="1">
      <c r="C534" s="1225" t="s">
        <v>16</v>
      </c>
      <c r="F534" s="1225">
        <v>95</v>
      </c>
    </row>
    <row r="535" spans="1:6" s="1225" customFormat="1" ht="17.25" customHeight="1"/>
    <row r="536" spans="1:6" s="1225" customFormat="1" ht="17.25" customHeight="1">
      <c r="A536" s="1225" t="s">
        <v>1729</v>
      </c>
      <c r="B536" s="1225" t="s">
        <v>111</v>
      </c>
      <c r="C536" s="1225" t="s">
        <v>6421</v>
      </c>
    </row>
    <row r="537" spans="1:6" s="1225" customFormat="1" ht="17.25" customHeight="1">
      <c r="C537" s="1225" t="s">
        <v>1731</v>
      </c>
      <c r="F537" s="1225" t="s">
        <v>85</v>
      </c>
    </row>
    <row r="538" spans="1:6" s="1225" customFormat="1" ht="17.25" customHeight="1">
      <c r="C538" s="1225" t="s">
        <v>52</v>
      </c>
    </row>
    <row r="539" spans="1:6" s="1225" customFormat="1" ht="17.25" customHeight="1">
      <c r="A539" s="1225">
        <v>1</v>
      </c>
      <c r="B539" s="1225" t="s">
        <v>1724</v>
      </c>
      <c r="C539" s="1225" t="s">
        <v>1732</v>
      </c>
      <c r="D539" s="1225">
        <v>50</v>
      </c>
      <c r="E539" s="1225" t="s">
        <v>729</v>
      </c>
      <c r="F539" s="1225">
        <v>50</v>
      </c>
    </row>
    <row r="540" spans="1:6" s="1225" customFormat="1" ht="17.25" customHeight="1">
      <c r="B540" s="1225" t="s">
        <v>145</v>
      </c>
      <c r="C540" s="1225" t="s">
        <v>1733</v>
      </c>
      <c r="E540" s="1225" t="s">
        <v>145</v>
      </c>
      <c r="F540" s="1225">
        <v>5</v>
      </c>
    </row>
    <row r="541" spans="1:6" s="1225" customFormat="1" ht="17.25" customHeight="1">
      <c r="F541" s="1225" t="s">
        <v>52</v>
      </c>
    </row>
    <row r="542" spans="1:6" s="1225" customFormat="1" ht="17.25" customHeight="1">
      <c r="C542" s="1225" t="s">
        <v>1734</v>
      </c>
      <c r="F542" s="1225">
        <v>55</v>
      </c>
    </row>
    <row r="543" spans="1:6" s="1225" customFormat="1" ht="17.25" customHeight="1"/>
    <row r="544" spans="1:6" s="1225" customFormat="1" ht="17.25" customHeight="1">
      <c r="F544" s="1225" t="s">
        <v>89</v>
      </c>
    </row>
    <row r="545" spans="1:6" s="1225" customFormat="1" ht="17.25" customHeight="1">
      <c r="A545" s="1225" t="s">
        <v>1735</v>
      </c>
      <c r="B545" s="1225" t="s">
        <v>111</v>
      </c>
      <c r="C545" s="1225" t="s">
        <v>6422</v>
      </c>
    </row>
    <row r="546" spans="1:6" s="1225" customFormat="1" ht="17.25" customHeight="1">
      <c r="C546" s="1225" t="s">
        <v>52</v>
      </c>
      <c r="D546" s="1225" t="s">
        <v>52</v>
      </c>
    </row>
    <row r="547" spans="1:6" s="1225" customFormat="1" ht="17.25" customHeight="1">
      <c r="A547" s="1225">
        <v>1</v>
      </c>
      <c r="B547" s="1225" t="s">
        <v>1724</v>
      </c>
      <c r="C547" s="1225" t="s">
        <v>1737</v>
      </c>
      <c r="D547" s="1225">
        <v>1.2</v>
      </c>
      <c r="E547" s="1225" t="s">
        <v>729</v>
      </c>
      <c r="F547" s="1225">
        <v>1.2</v>
      </c>
    </row>
    <row r="548" spans="1:6" s="1225" customFormat="1" ht="17.25" customHeight="1">
      <c r="B548" s="1225" t="s">
        <v>145</v>
      </c>
      <c r="C548" s="1225" t="s">
        <v>1733</v>
      </c>
      <c r="E548" s="1225" t="s">
        <v>145</v>
      </c>
      <c r="F548" s="1225">
        <v>0.3</v>
      </c>
    </row>
    <row r="549" spans="1:6" s="1225" customFormat="1" ht="17.25" customHeight="1">
      <c r="F549" s="1225" t="s">
        <v>52</v>
      </c>
    </row>
    <row r="550" spans="1:6" s="1225" customFormat="1" ht="17.25" customHeight="1">
      <c r="C550" s="1225" t="s">
        <v>1734</v>
      </c>
      <c r="F550" s="1225">
        <v>1.5</v>
      </c>
    </row>
    <row r="551" spans="1:6" s="1225" customFormat="1" ht="17.25" customHeight="1"/>
    <row r="552" spans="1:6" s="1225" customFormat="1" ht="17.25" customHeight="1">
      <c r="A552" s="1225" t="s">
        <v>1760</v>
      </c>
      <c r="B552" s="1225" t="s">
        <v>483</v>
      </c>
      <c r="C552" s="1225" t="s">
        <v>1748</v>
      </c>
    </row>
    <row r="553" spans="1:6" s="1225" customFormat="1" ht="17.25" customHeight="1">
      <c r="C553" s="1225" t="s">
        <v>6423</v>
      </c>
    </row>
    <row r="554" spans="1:6" s="1225" customFormat="1" ht="17.25" customHeight="1">
      <c r="C554" s="1225" t="s">
        <v>52</v>
      </c>
      <c r="D554" s="1225" t="s">
        <v>52</v>
      </c>
    </row>
    <row r="555" spans="1:6" s="1225" customFormat="1" ht="17.25" customHeight="1">
      <c r="A555" s="1225">
        <v>0.40500000000000003</v>
      </c>
      <c r="B555" s="1225" t="s">
        <v>5</v>
      </c>
      <c r="C555" s="1225" t="s">
        <v>1750</v>
      </c>
      <c r="D555" s="1225">
        <v>5942</v>
      </c>
      <c r="E555" s="1225" t="s">
        <v>5</v>
      </c>
      <c r="F555" s="1225">
        <v>2406.5100000000002</v>
      </c>
    </row>
    <row r="556" spans="1:6" s="1225" customFormat="1" ht="17.25" customHeight="1">
      <c r="A556" s="1225" t="s">
        <v>85</v>
      </c>
      <c r="B556" s="1225" t="s">
        <v>85</v>
      </c>
      <c r="C556" s="1225" t="s">
        <v>1762</v>
      </c>
      <c r="D556" s="1225" t="s">
        <v>49</v>
      </c>
      <c r="F556" s="1225" t="s">
        <v>85</v>
      </c>
    </row>
    <row r="557" spans="1:6" s="1225" customFormat="1" ht="17.25" customHeight="1">
      <c r="F557" s="1225" t="s">
        <v>52</v>
      </c>
    </row>
    <row r="558" spans="1:6" s="1225" customFormat="1" ht="17.25" customHeight="1">
      <c r="C558" s="1225" t="s">
        <v>1763</v>
      </c>
      <c r="F558" s="1225">
        <v>2406.5100000000002</v>
      </c>
    </row>
    <row r="559" spans="1:6" s="1225" customFormat="1" ht="17.25" customHeight="1">
      <c r="F559" s="1225" t="s">
        <v>52</v>
      </c>
    </row>
    <row r="560" spans="1:6" s="1225" customFormat="1" ht="17.25" customHeight="1">
      <c r="C560" s="1225" t="s">
        <v>1764</v>
      </c>
      <c r="F560" s="1225">
        <v>267.39</v>
      </c>
    </row>
    <row r="561" spans="1:6" s="1225" customFormat="1" ht="17.25" customHeight="1"/>
    <row r="562" spans="1:6" s="1225" customFormat="1" ht="17.25" customHeight="1">
      <c r="A562" s="1225" t="s">
        <v>1765</v>
      </c>
      <c r="C562" s="1225" t="s">
        <v>1766</v>
      </c>
    </row>
    <row r="563" spans="1:6" s="1225" customFormat="1" ht="17.25" customHeight="1">
      <c r="C563" s="1225" t="s">
        <v>52</v>
      </c>
    </row>
    <row r="564" spans="1:6" s="1225" customFormat="1" ht="17.25" customHeight="1">
      <c r="A564" s="1225">
        <v>4.32</v>
      </c>
      <c r="B564" s="1225" t="s">
        <v>132</v>
      </c>
      <c r="C564" s="1225" t="s">
        <v>1767</v>
      </c>
      <c r="D564" s="1225">
        <v>116.88</v>
      </c>
      <c r="E564" s="1225" t="s">
        <v>132</v>
      </c>
      <c r="F564" s="1225">
        <v>504.92</v>
      </c>
    </row>
    <row r="565" spans="1:6" s="1225" customFormat="1" ht="17.25" customHeight="1">
      <c r="A565" s="1225">
        <v>1.44</v>
      </c>
      <c r="B565" s="1225" t="s">
        <v>132</v>
      </c>
      <c r="C565" s="1225" t="s">
        <v>1768</v>
      </c>
      <c r="D565" s="1225">
        <v>69.099999999999994</v>
      </c>
      <c r="E565" s="1225" t="s">
        <v>132</v>
      </c>
      <c r="F565" s="1225">
        <v>99.5</v>
      </c>
    </row>
    <row r="566" spans="1:6" s="1225" customFormat="1" ht="17.25" customHeight="1">
      <c r="A566" s="1225">
        <v>1.44</v>
      </c>
      <c r="B566" s="1225" t="s">
        <v>132</v>
      </c>
      <c r="C566" s="1225" t="s">
        <v>1769</v>
      </c>
      <c r="D566" s="1225">
        <v>356.78</v>
      </c>
      <c r="E566" s="1225" t="s">
        <v>132</v>
      </c>
      <c r="F566" s="1225">
        <v>513.76</v>
      </c>
    </row>
    <row r="567" spans="1:6" s="1225" customFormat="1" ht="17.25" customHeight="1">
      <c r="A567" s="1225">
        <v>1.44</v>
      </c>
      <c r="B567" s="1225" t="s">
        <v>132</v>
      </c>
      <c r="C567" s="1225" t="s">
        <v>1770</v>
      </c>
      <c r="D567" s="1225">
        <v>1642.42</v>
      </c>
      <c r="E567" s="1225" t="s">
        <v>132</v>
      </c>
      <c r="F567" s="1225">
        <v>2365.08</v>
      </c>
    </row>
    <row r="568" spans="1:6" s="1225" customFormat="1" ht="17.25" customHeight="1">
      <c r="A568" s="1225">
        <v>2.88</v>
      </c>
      <c r="B568" s="1225" t="s">
        <v>132</v>
      </c>
      <c r="C568" s="1225" t="s">
        <v>1771</v>
      </c>
      <c r="D568" s="1225">
        <v>10</v>
      </c>
      <c r="E568" s="1225" t="s">
        <v>132</v>
      </c>
      <c r="F568" s="1225">
        <v>28.8</v>
      </c>
    </row>
    <row r="569" spans="1:6" s="1225" customFormat="1" ht="17.25" customHeight="1">
      <c r="A569" s="1225">
        <v>20</v>
      </c>
      <c r="B569" s="1225" t="s">
        <v>1772</v>
      </c>
      <c r="C569" s="1225" t="s">
        <v>1773</v>
      </c>
      <c r="D569" s="1225">
        <v>46.1</v>
      </c>
      <c r="E569" s="1225" t="s">
        <v>1772</v>
      </c>
      <c r="F569" s="1225">
        <v>922</v>
      </c>
    </row>
    <row r="570" spans="1:6" s="1225" customFormat="1" ht="17.25" customHeight="1">
      <c r="A570" s="1225">
        <v>42</v>
      </c>
      <c r="B570" s="1225" t="s">
        <v>1774</v>
      </c>
      <c r="C570" s="1225" t="s">
        <v>4421</v>
      </c>
      <c r="D570" s="1225">
        <v>17.5</v>
      </c>
      <c r="E570" s="1225" t="s">
        <v>1774</v>
      </c>
      <c r="F570" s="1225">
        <v>735</v>
      </c>
    </row>
    <row r="571" spans="1:6" s="1225" customFormat="1" ht="17.25" customHeight="1">
      <c r="A571" s="1225">
        <v>4.32</v>
      </c>
      <c r="B571" s="1225" t="s">
        <v>132</v>
      </c>
      <c r="C571" s="1225" t="s">
        <v>1776</v>
      </c>
      <c r="D571" s="1225">
        <v>40.65</v>
      </c>
      <c r="E571" s="1225" t="s">
        <v>132</v>
      </c>
      <c r="F571" s="1225">
        <v>175.61</v>
      </c>
    </row>
    <row r="572" spans="1:6" s="1225" customFormat="1" ht="17.25" customHeight="1">
      <c r="A572" s="1225" t="s">
        <v>1777</v>
      </c>
      <c r="C572" s="1225" t="s">
        <v>1778</v>
      </c>
      <c r="F572" s="1225">
        <v>2000</v>
      </c>
    </row>
    <row r="573" spans="1:6" s="1225" customFormat="1" ht="17.25" customHeight="1">
      <c r="F573" s="1225" t="s">
        <v>52</v>
      </c>
    </row>
    <row r="574" spans="1:6" s="1225" customFormat="1" ht="17.25" customHeight="1">
      <c r="C574" s="1225" t="s">
        <v>1779</v>
      </c>
      <c r="F574" s="1225">
        <v>7344.67</v>
      </c>
    </row>
    <row r="575" spans="1:6" s="1225" customFormat="1" ht="17.25" customHeight="1">
      <c r="F575" s="1225" t="s">
        <v>52</v>
      </c>
    </row>
    <row r="576" spans="1:6" s="1225" customFormat="1" ht="17.25" customHeight="1">
      <c r="C576" s="1225" t="s">
        <v>1780</v>
      </c>
      <c r="F576" s="1225">
        <v>367.23</v>
      </c>
    </row>
    <row r="577" spans="1:6" s="1225" customFormat="1" ht="17.25" customHeight="1"/>
    <row r="578" spans="1:6" s="1225" customFormat="1" ht="17.25" customHeight="1">
      <c r="A578" s="1225" t="s">
        <v>1781</v>
      </c>
      <c r="C578" s="1225" t="s">
        <v>1782</v>
      </c>
    </row>
    <row r="579" spans="1:6" s="1225" customFormat="1" ht="17.25" customHeight="1">
      <c r="C579" s="1225" t="s">
        <v>52</v>
      </c>
    </row>
    <row r="580" spans="1:6" s="1225" customFormat="1" ht="17.25" customHeight="1">
      <c r="A580" s="1225">
        <v>0.1</v>
      </c>
      <c r="B580" s="1225" t="s">
        <v>132</v>
      </c>
      <c r="C580" s="1225" t="s">
        <v>1767</v>
      </c>
      <c r="D580" s="1225">
        <v>233.76</v>
      </c>
      <c r="E580" s="1225" t="s">
        <v>132</v>
      </c>
      <c r="F580" s="1225">
        <v>23.38</v>
      </c>
    </row>
    <row r="581" spans="1:6" s="1225" customFormat="1" ht="17.25" customHeight="1">
      <c r="A581" s="1225">
        <v>6.3</v>
      </c>
      <c r="B581" s="1225" t="s">
        <v>1774</v>
      </c>
      <c r="C581" s="1225" t="s">
        <v>4422</v>
      </c>
      <c r="D581" s="1225">
        <v>34.6</v>
      </c>
      <c r="E581" s="1225" t="s">
        <v>1774</v>
      </c>
      <c r="F581" s="1225">
        <v>217.98</v>
      </c>
    </row>
    <row r="582" spans="1:6" s="1225" customFormat="1" ht="17.25" customHeight="1">
      <c r="A582" s="1225">
        <v>6.3</v>
      </c>
      <c r="B582" s="1225" t="s">
        <v>1774</v>
      </c>
      <c r="C582" s="1225" t="s">
        <v>4423</v>
      </c>
      <c r="D582" s="1225">
        <v>17.5</v>
      </c>
      <c r="E582" s="1225" t="s">
        <v>1774</v>
      </c>
      <c r="F582" s="1225">
        <v>110.25</v>
      </c>
    </row>
    <row r="583" spans="1:6" s="1225" customFormat="1" ht="17.25" customHeight="1">
      <c r="A583" s="1225">
        <v>3.15</v>
      </c>
      <c r="B583" s="1225" t="s">
        <v>468</v>
      </c>
      <c r="C583" s="1225" t="s">
        <v>1784</v>
      </c>
      <c r="D583" s="1225">
        <v>40.65</v>
      </c>
      <c r="E583" s="1225" t="s">
        <v>468</v>
      </c>
      <c r="F583" s="1225">
        <v>128.05000000000001</v>
      </c>
    </row>
    <row r="584" spans="1:6" s="1225" customFormat="1" ht="17.25" customHeight="1">
      <c r="A584" s="1225">
        <v>0.25</v>
      </c>
      <c r="B584" s="1225" t="s">
        <v>1724</v>
      </c>
      <c r="C584" s="1225" t="s">
        <v>1785</v>
      </c>
      <c r="D584" s="1225">
        <v>972.4</v>
      </c>
      <c r="E584" s="1225" t="s">
        <v>1724</v>
      </c>
      <c r="F584" s="1225">
        <v>243.1</v>
      </c>
    </row>
    <row r="585" spans="1:6" s="1225" customFormat="1" ht="17.25" customHeight="1">
      <c r="A585" s="1225">
        <v>0.2</v>
      </c>
      <c r="B585" s="1225" t="s">
        <v>1724</v>
      </c>
      <c r="C585" s="1225" t="s">
        <v>1786</v>
      </c>
      <c r="D585" s="1225">
        <v>903.1</v>
      </c>
      <c r="E585" s="1225" t="s">
        <v>1724</v>
      </c>
      <c r="F585" s="1225">
        <v>180.62</v>
      </c>
    </row>
    <row r="586" spans="1:6" s="1225" customFormat="1" ht="17.25" customHeight="1">
      <c r="C586" s="1225" t="s">
        <v>1787</v>
      </c>
      <c r="D586" s="1225" t="s">
        <v>85</v>
      </c>
      <c r="E586" s="1225" t="s">
        <v>85</v>
      </c>
      <c r="F586" s="1225">
        <v>0</v>
      </c>
    </row>
    <row r="587" spans="1:6" s="1225" customFormat="1" ht="17.25" customHeight="1">
      <c r="E587" s="1225" t="s">
        <v>85</v>
      </c>
      <c r="F587" s="1225" t="s">
        <v>52</v>
      </c>
    </row>
    <row r="588" spans="1:6" s="1225" customFormat="1" ht="17.25" customHeight="1">
      <c r="A588" s="1225" t="s">
        <v>85</v>
      </c>
      <c r="B588" s="1225" t="s">
        <v>85</v>
      </c>
      <c r="C588" s="1225" t="s">
        <v>1780</v>
      </c>
      <c r="F588" s="1225">
        <v>903.38</v>
      </c>
    </row>
    <row r="589" spans="1:6" s="1225" customFormat="1" ht="17.25" customHeight="1"/>
    <row r="590" spans="1:6" s="1225" customFormat="1" ht="17.25" customHeight="1">
      <c r="A590" s="1225" t="s">
        <v>1788</v>
      </c>
      <c r="C590" s="1225" t="s">
        <v>1789</v>
      </c>
    </row>
    <row r="591" spans="1:6" s="1225" customFormat="1" ht="17.25" customHeight="1">
      <c r="C591" s="1225" t="s">
        <v>52</v>
      </c>
    </row>
    <row r="592" spans="1:6" s="1225" customFormat="1" ht="17.25" customHeight="1">
      <c r="A592" s="1225">
        <v>0.48599999999999999</v>
      </c>
      <c r="B592" s="1225" t="s">
        <v>34</v>
      </c>
      <c r="C592" s="1225" t="s">
        <v>1767</v>
      </c>
      <c r="D592" s="1225">
        <v>116.88</v>
      </c>
      <c r="E592" s="1225" t="s">
        <v>34</v>
      </c>
      <c r="F592" s="1225">
        <v>56.8</v>
      </c>
    </row>
    <row r="593" spans="1:6" s="1225" customFormat="1" ht="17.25" customHeight="1">
      <c r="A593" s="1225">
        <v>0.48599999999999999</v>
      </c>
      <c r="B593" s="1225" t="s">
        <v>34</v>
      </c>
      <c r="C593" s="1225" t="s">
        <v>1790</v>
      </c>
      <c r="D593" s="1225">
        <v>4928.49</v>
      </c>
      <c r="E593" s="1225" t="s">
        <v>34</v>
      </c>
      <c r="F593" s="1225">
        <v>2395.25</v>
      </c>
    </row>
    <row r="594" spans="1:6" s="1225" customFormat="1" ht="17.25" customHeight="1">
      <c r="A594" s="1225">
        <v>81.75</v>
      </c>
      <c r="B594" s="1225" t="s">
        <v>1791</v>
      </c>
      <c r="C594" s="1225" t="s">
        <v>1792</v>
      </c>
      <c r="D594" s="1225">
        <v>53</v>
      </c>
      <c r="E594" s="1225" t="s">
        <v>1791</v>
      </c>
      <c r="F594" s="1225">
        <v>4332.75</v>
      </c>
    </row>
    <row r="595" spans="1:6" s="1225" customFormat="1" ht="17.25" customHeight="1">
      <c r="A595" s="1225">
        <v>7.2</v>
      </c>
      <c r="B595" s="1225" t="s">
        <v>1791</v>
      </c>
      <c r="C595" s="1225" t="s">
        <v>1793</v>
      </c>
      <c r="D595" s="1225">
        <v>53</v>
      </c>
      <c r="E595" s="1225" t="s">
        <v>1791</v>
      </c>
      <c r="F595" s="1225">
        <v>381.6</v>
      </c>
    </row>
    <row r="596" spans="1:6" s="1225" customFormat="1" ht="17.25" customHeight="1">
      <c r="A596" s="1225">
        <v>43.68</v>
      </c>
      <c r="B596" s="1225" t="s">
        <v>1791</v>
      </c>
      <c r="C596" s="1225" t="s">
        <v>1794</v>
      </c>
      <c r="D596" s="1225">
        <v>53</v>
      </c>
      <c r="E596" s="1225" t="s">
        <v>1791</v>
      </c>
      <c r="F596" s="1225">
        <v>2315.04</v>
      </c>
    </row>
    <row r="597" spans="1:6" s="1225" customFormat="1" ht="17.25" customHeight="1">
      <c r="A597" s="1225">
        <v>132.63</v>
      </c>
      <c r="B597" s="1225" t="s">
        <v>1791</v>
      </c>
      <c r="C597" s="1225" t="s">
        <v>1795</v>
      </c>
      <c r="D597" s="1225">
        <v>57.75</v>
      </c>
      <c r="E597" s="1225" t="s">
        <v>1791</v>
      </c>
      <c r="F597" s="1225">
        <v>7659.38</v>
      </c>
    </row>
    <row r="598" spans="1:6" s="1225" customFormat="1" ht="17.25" customHeight="1">
      <c r="A598" s="1225">
        <v>2.2000000000000002</v>
      </c>
      <c r="B598" s="1225" t="s">
        <v>468</v>
      </c>
      <c r="C598" s="1225" t="s">
        <v>6424</v>
      </c>
      <c r="D598" s="1225">
        <v>970</v>
      </c>
      <c r="E598" s="1225" t="s">
        <v>468</v>
      </c>
      <c r="F598" s="1225">
        <v>2134</v>
      </c>
    </row>
    <row r="599" spans="1:6" s="1225" customFormat="1" ht="17.25" customHeight="1">
      <c r="A599" s="1225" t="s">
        <v>49</v>
      </c>
      <c r="C599" s="1225" t="s">
        <v>1797</v>
      </c>
      <c r="D599" s="1225" t="s">
        <v>49</v>
      </c>
      <c r="F599" s="1225">
        <v>250</v>
      </c>
    </row>
    <row r="600" spans="1:6" s="1225" customFormat="1" ht="17.25" customHeight="1">
      <c r="A600" s="1225" t="s">
        <v>49</v>
      </c>
      <c r="C600" s="1225" t="s">
        <v>1798</v>
      </c>
      <c r="D600" s="1225" t="s">
        <v>49</v>
      </c>
      <c r="F600" s="1225">
        <v>20.47</v>
      </c>
    </row>
    <row r="601" spans="1:6" s="1225" customFormat="1" ht="17.25" customHeight="1">
      <c r="F601" s="1225" t="s">
        <v>52</v>
      </c>
    </row>
    <row r="602" spans="1:6" s="1225" customFormat="1" ht="17.25" customHeight="1">
      <c r="F602" s="1225">
        <v>19545.29</v>
      </c>
    </row>
    <row r="603" spans="1:6" s="1225" customFormat="1" ht="17.25" customHeight="1"/>
    <row r="604" spans="1:6" s="1225" customFormat="1" ht="17.25" customHeight="1">
      <c r="A604" s="1225">
        <v>52</v>
      </c>
      <c r="B604" s="1225" t="s">
        <v>111</v>
      </c>
      <c r="C604" s="1225" t="s">
        <v>1810</v>
      </c>
    </row>
    <row r="605" spans="1:6" s="1225" customFormat="1" ht="17.25" customHeight="1">
      <c r="C605" s="1225" t="s">
        <v>1811</v>
      </c>
    </row>
    <row r="606" spans="1:6" s="1225" customFormat="1" ht="17.25" customHeight="1">
      <c r="C606" s="1225" t="s">
        <v>1812</v>
      </c>
    </row>
    <row r="607" spans="1:6" s="1225" customFormat="1" ht="17.25" customHeight="1">
      <c r="C607" s="1225" t="s">
        <v>1813</v>
      </c>
    </row>
    <row r="608" spans="1:6" s="1225" customFormat="1" ht="17.25" customHeight="1">
      <c r="C608" s="1225" t="s">
        <v>1814</v>
      </c>
    </row>
    <row r="609" spans="1:6" s="1225" customFormat="1" ht="17.25" customHeight="1">
      <c r="C609" s="1225" t="s">
        <v>1815</v>
      </c>
    </row>
    <row r="610" spans="1:6" s="1225" customFormat="1" ht="17.25" customHeight="1">
      <c r="C610" s="1225" t="s">
        <v>1816</v>
      </c>
    </row>
    <row r="611" spans="1:6" s="1225" customFormat="1" ht="17.25" customHeight="1">
      <c r="C611" s="1225" t="s">
        <v>1817</v>
      </c>
    </row>
    <row r="612" spans="1:6" s="1225" customFormat="1" ht="17.25" customHeight="1">
      <c r="C612" s="1225" t="s">
        <v>89</v>
      </c>
      <c r="D612" s="1225" t="s">
        <v>89</v>
      </c>
    </row>
    <row r="613" spans="1:6" s="1225" customFormat="1" ht="17.25" customHeight="1">
      <c r="B613" s="1225" t="s">
        <v>111</v>
      </c>
      <c r="C613" s="1225" t="s">
        <v>1818</v>
      </c>
    </row>
    <row r="614" spans="1:6" s="1225" customFormat="1" ht="17.25" customHeight="1">
      <c r="C614" s="1225" t="s">
        <v>1819</v>
      </c>
    </row>
    <row r="615" spans="1:6" s="1225" customFormat="1" ht="17.25" customHeight="1">
      <c r="B615" s="1225" t="s">
        <v>1018</v>
      </c>
      <c r="C615" s="1225" t="s">
        <v>1820</v>
      </c>
    </row>
    <row r="616" spans="1:6" s="1225" customFormat="1" ht="17.25" customHeight="1">
      <c r="C616" s="1225" t="s">
        <v>52</v>
      </c>
    </row>
    <row r="617" spans="1:6" s="1225" customFormat="1" ht="17.25" customHeight="1">
      <c r="A617" s="1225">
        <v>1</v>
      </c>
      <c r="B617" s="1225" t="s">
        <v>13</v>
      </c>
      <c r="C617" s="1225" t="s">
        <v>1821</v>
      </c>
      <c r="D617" s="1225">
        <v>26</v>
      </c>
      <c r="E617" s="1225" t="s">
        <v>13</v>
      </c>
      <c r="F617" s="1225">
        <v>26</v>
      </c>
    </row>
    <row r="618" spans="1:6" s="1225" customFormat="1" ht="17.25" customHeight="1">
      <c r="A618" s="1225">
        <v>1</v>
      </c>
      <c r="B618" s="1225" t="s">
        <v>145</v>
      </c>
      <c r="C618" s="1225" t="s">
        <v>1822</v>
      </c>
      <c r="D618" s="1225">
        <v>18.2</v>
      </c>
      <c r="E618" s="1225" t="s">
        <v>145</v>
      </c>
      <c r="F618" s="1225">
        <v>18.2</v>
      </c>
    </row>
    <row r="619" spans="1:6" s="1225" customFormat="1" ht="17.25" customHeight="1">
      <c r="A619" s="1225">
        <v>1</v>
      </c>
      <c r="B619" s="1225" t="s">
        <v>13</v>
      </c>
      <c r="C619" s="1225" t="s">
        <v>1823</v>
      </c>
      <c r="D619" s="1225">
        <v>191.75</v>
      </c>
      <c r="E619" s="1225" t="s">
        <v>13</v>
      </c>
      <c r="F619" s="1225">
        <v>191.75</v>
      </c>
    </row>
    <row r="620" spans="1:6" s="1225" customFormat="1" ht="17.25" customHeight="1">
      <c r="D620" s="1225" t="s">
        <v>85</v>
      </c>
      <c r="F620" s="1225" t="s">
        <v>52</v>
      </c>
    </row>
    <row r="621" spans="1:6" s="1225" customFormat="1" ht="17.25" customHeight="1">
      <c r="C621" s="1225" t="s">
        <v>1824</v>
      </c>
      <c r="F621" s="1225">
        <v>235.95</v>
      </c>
    </row>
    <row r="622" spans="1:6" s="1225" customFormat="1" ht="17.25" customHeight="1">
      <c r="C622" s="1225" t="s">
        <v>85</v>
      </c>
      <c r="D622" s="1225" t="s">
        <v>85</v>
      </c>
      <c r="F622" s="1225" t="s">
        <v>89</v>
      </c>
    </row>
    <row r="623" spans="1:6" s="1225" customFormat="1" ht="17.25" customHeight="1">
      <c r="B623" s="1225" t="s">
        <v>986</v>
      </c>
      <c r="C623" s="1225" t="s">
        <v>1825</v>
      </c>
    </row>
    <row r="624" spans="1:6" s="1225" customFormat="1" ht="17.25" customHeight="1">
      <c r="C624" s="1225" t="s">
        <v>52</v>
      </c>
    </row>
    <row r="625" spans="1:6" s="1225" customFormat="1" ht="17.25" customHeight="1">
      <c r="A625" s="1225">
        <v>1</v>
      </c>
      <c r="B625" s="1225" t="s">
        <v>13</v>
      </c>
      <c r="C625" s="1225" t="s">
        <v>1826</v>
      </c>
      <c r="D625" s="1225">
        <v>35</v>
      </c>
      <c r="E625" s="1225" t="s">
        <v>13</v>
      </c>
      <c r="F625" s="1225">
        <v>35</v>
      </c>
    </row>
    <row r="626" spans="1:6" s="1225" customFormat="1" ht="17.25" customHeight="1">
      <c r="A626" s="1225">
        <v>1</v>
      </c>
      <c r="B626" s="1225" t="s">
        <v>145</v>
      </c>
      <c r="C626" s="1225" t="s">
        <v>1827</v>
      </c>
      <c r="D626" s="1225">
        <v>14</v>
      </c>
      <c r="E626" s="1225" t="s">
        <v>145</v>
      </c>
      <c r="F626" s="1225">
        <v>14</v>
      </c>
    </row>
    <row r="627" spans="1:6" s="1225" customFormat="1" ht="17.25" customHeight="1">
      <c r="A627" s="1225">
        <v>1</v>
      </c>
      <c r="B627" s="1225" t="s">
        <v>13</v>
      </c>
      <c r="C627" s="1225" t="s">
        <v>1823</v>
      </c>
      <c r="D627" s="1225">
        <v>191.73</v>
      </c>
      <c r="E627" s="1225" t="s">
        <v>13</v>
      </c>
      <c r="F627" s="1225">
        <v>191.73</v>
      </c>
    </row>
    <row r="628" spans="1:6" s="1225" customFormat="1" ht="17.25" customHeight="1">
      <c r="D628" s="1225" t="s">
        <v>85</v>
      </c>
      <c r="F628" s="1225" t="s">
        <v>52</v>
      </c>
    </row>
    <row r="629" spans="1:6" s="1225" customFormat="1" ht="17.25" customHeight="1">
      <c r="C629" s="1225" t="s">
        <v>1824</v>
      </c>
      <c r="F629" s="1225">
        <v>240.73</v>
      </c>
    </row>
    <row r="630" spans="1:6" s="1225" customFormat="1" ht="17.25" customHeight="1">
      <c r="D630" s="1225" t="s">
        <v>85</v>
      </c>
      <c r="F630" s="1225" t="s">
        <v>89</v>
      </c>
    </row>
    <row r="631" spans="1:6" s="1225" customFormat="1" ht="17.25" customHeight="1">
      <c r="B631" s="1225" t="s">
        <v>956</v>
      </c>
      <c r="C631" s="1225" t="s">
        <v>1828</v>
      </c>
    </row>
    <row r="632" spans="1:6" s="1225" customFormat="1" ht="17.25" customHeight="1">
      <c r="C632" s="1225" t="s">
        <v>52</v>
      </c>
    </row>
    <row r="633" spans="1:6" s="1225" customFormat="1" ht="17.25" customHeight="1">
      <c r="A633" s="1225">
        <v>1</v>
      </c>
      <c r="B633" s="1225" t="s">
        <v>13</v>
      </c>
      <c r="C633" s="1225" t="s">
        <v>1829</v>
      </c>
      <c r="D633" s="1225">
        <v>52</v>
      </c>
      <c r="E633" s="1225" t="s">
        <v>13</v>
      </c>
      <c r="F633" s="1225">
        <v>52</v>
      </c>
    </row>
    <row r="634" spans="1:6" s="1225" customFormat="1" ht="17.25" customHeight="1">
      <c r="A634" s="1225">
        <v>1</v>
      </c>
      <c r="B634" s="1225" t="s">
        <v>145</v>
      </c>
      <c r="C634" s="1225" t="s">
        <v>1830</v>
      </c>
      <c r="D634" s="1225">
        <v>10.4</v>
      </c>
      <c r="E634" s="1225" t="s">
        <v>145</v>
      </c>
      <c r="F634" s="1225">
        <v>10.4</v>
      </c>
    </row>
    <row r="635" spans="1:6" s="1225" customFormat="1" ht="17.25" customHeight="1">
      <c r="A635" s="1225">
        <v>1</v>
      </c>
      <c r="B635" s="1225" t="s">
        <v>13</v>
      </c>
      <c r="C635" s="1225" t="s">
        <v>1823</v>
      </c>
      <c r="D635" s="1225">
        <v>195.94</v>
      </c>
      <c r="E635" s="1225" t="s">
        <v>13</v>
      </c>
      <c r="F635" s="1225">
        <v>195.94</v>
      </c>
    </row>
    <row r="636" spans="1:6" s="1225" customFormat="1" ht="17.25" customHeight="1">
      <c r="D636" s="1225" t="s">
        <v>85</v>
      </c>
      <c r="F636" s="1225" t="s">
        <v>52</v>
      </c>
    </row>
    <row r="637" spans="1:6" s="1225" customFormat="1" ht="17.25" customHeight="1">
      <c r="C637" s="1225" t="s">
        <v>1824</v>
      </c>
      <c r="F637" s="1225">
        <v>258.33999999999997</v>
      </c>
    </row>
    <row r="638" spans="1:6" s="1225" customFormat="1" ht="17.25" customHeight="1"/>
    <row r="639" spans="1:6" s="1225" customFormat="1" ht="17.25" customHeight="1">
      <c r="C639" s="1225" t="s">
        <v>1834</v>
      </c>
    </row>
    <row r="640" spans="1:6" s="1225" customFormat="1" ht="17.25" customHeight="1">
      <c r="C640" s="1225" t="s">
        <v>52</v>
      </c>
    </row>
    <row r="641" spans="1:6" s="1225" customFormat="1" ht="17.25" customHeight="1">
      <c r="A641" s="1225">
        <v>1</v>
      </c>
      <c r="B641" s="1225" t="s">
        <v>13</v>
      </c>
      <c r="C641" s="1225" t="s">
        <v>1835</v>
      </c>
      <c r="D641" s="1225">
        <v>98.6</v>
      </c>
      <c r="E641" s="1225" t="s">
        <v>13</v>
      </c>
      <c r="F641" s="1225">
        <v>98.6</v>
      </c>
    </row>
    <row r="642" spans="1:6" s="1225" customFormat="1" ht="17.25" customHeight="1">
      <c r="A642" s="1225">
        <v>1</v>
      </c>
      <c r="B642" s="1225" t="s">
        <v>145</v>
      </c>
      <c r="C642" s="1225" t="s">
        <v>1836</v>
      </c>
      <c r="D642" s="1225">
        <v>19.72</v>
      </c>
      <c r="E642" s="1225" t="s">
        <v>145</v>
      </c>
      <c r="F642" s="1225">
        <v>19.72</v>
      </c>
    </row>
    <row r="643" spans="1:6" s="1225" customFormat="1" ht="17.25" customHeight="1">
      <c r="A643" s="1225">
        <v>1</v>
      </c>
      <c r="B643" s="1225" t="s">
        <v>13</v>
      </c>
      <c r="C643" s="1225" t="s">
        <v>1823</v>
      </c>
      <c r="D643" s="1225">
        <v>198.73</v>
      </c>
      <c r="E643" s="1225" t="s">
        <v>13</v>
      </c>
      <c r="F643" s="1225">
        <v>198.73</v>
      </c>
    </row>
    <row r="644" spans="1:6" s="1225" customFormat="1" ht="17.25" customHeight="1">
      <c r="C644" s="1225" t="s">
        <v>1837</v>
      </c>
      <c r="E644" s="1225" t="s">
        <v>145</v>
      </c>
      <c r="F644" s="1225">
        <v>1.72</v>
      </c>
    </row>
    <row r="645" spans="1:6" s="1225" customFormat="1" ht="17.25" customHeight="1">
      <c r="F645" s="1225" t="s">
        <v>52</v>
      </c>
    </row>
    <row r="646" spans="1:6" s="1225" customFormat="1" ht="17.25" customHeight="1">
      <c r="C646" s="1225" t="s">
        <v>1824</v>
      </c>
      <c r="F646" s="1225">
        <v>318.77</v>
      </c>
    </row>
    <row r="647" spans="1:6" s="1225" customFormat="1" ht="17.25" customHeight="1"/>
    <row r="648" spans="1:6" s="1225" customFormat="1" ht="17.25" customHeight="1">
      <c r="A648" s="1225">
        <v>53.1</v>
      </c>
      <c r="B648" s="1225" t="s">
        <v>111</v>
      </c>
      <c r="C648" s="1225" t="s">
        <v>1838</v>
      </c>
    </row>
    <row r="649" spans="1:6" s="1225" customFormat="1" ht="17.25" customHeight="1">
      <c r="C649" s="1225" t="s">
        <v>7019</v>
      </c>
    </row>
    <row r="650" spans="1:6" s="1225" customFormat="1" ht="17.25" customHeight="1">
      <c r="C650" s="1225" t="s">
        <v>1840</v>
      </c>
    </row>
    <row r="651" spans="1:6" s="1225" customFormat="1" ht="17.25" customHeight="1">
      <c r="C651" s="1225" t="s">
        <v>1841</v>
      </c>
    </row>
    <row r="652" spans="1:6" s="1225" customFormat="1" ht="17.25" customHeight="1">
      <c r="C652" s="1225" t="s">
        <v>52</v>
      </c>
    </row>
    <row r="653" spans="1:6" s="1225" customFormat="1" ht="17.25" customHeight="1">
      <c r="A653" s="1225">
        <v>1</v>
      </c>
      <c r="B653" s="1225" t="s">
        <v>131</v>
      </c>
      <c r="C653" s="1225" t="s">
        <v>4441</v>
      </c>
      <c r="D653" s="1225">
        <v>1672</v>
      </c>
      <c r="E653" s="1225" t="s">
        <v>131</v>
      </c>
      <c r="F653" s="1225">
        <v>1672</v>
      </c>
    </row>
    <row r="654" spans="1:6" s="1225" customFormat="1" ht="17.25" customHeight="1"/>
    <row r="655" spans="1:6" s="1225" customFormat="1" ht="17.25" customHeight="1"/>
    <row r="656" spans="1:6" s="1225" customFormat="1" ht="17.25" customHeight="1">
      <c r="A656" s="1225">
        <v>1</v>
      </c>
      <c r="B656" s="1225" t="s">
        <v>131</v>
      </c>
      <c r="C656" s="1225" t="s">
        <v>7018</v>
      </c>
      <c r="D656" s="1225">
        <v>-168</v>
      </c>
      <c r="E656" s="1225" t="s">
        <v>131</v>
      </c>
      <c r="F656" s="1225">
        <v>-168</v>
      </c>
    </row>
    <row r="657" spans="1:6" s="1225" customFormat="1" ht="17.25" customHeight="1"/>
    <row r="658" spans="1:6" s="1225" customFormat="1" ht="17.25" customHeight="1">
      <c r="A658" s="1225">
        <v>1</v>
      </c>
      <c r="B658" s="1225" t="s">
        <v>131</v>
      </c>
      <c r="C658" s="1225" t="s">
        <v>4443</v>
      </c>
      <c r="D658" s="1225">
        <v>250</v>
      </c>
      <c r="E658" s="1225" t="s">
        <v>131</v>
      </c>
      <c r="F658" s="1225">
        <v>250</v>
      </c>
    </row>
    <row r="659" spans="1:6" s="1225" customFormat="1" ht="17.25" customHeight="1"/>
    <row r="660" spans="1:6" s="1225" customFormat="1" ht="17.25" customHeight="1">
      <c r="A660" s="1225">
        <v>0.5</v>
      </c>
      <c r="B660" s="1225" t="s">
        <v>131</v>
      </c>
      <c r="C660" s="1225" t="s">
        <v>1695</v>
      </c>
      <c r="D660" s="1225">
        <v>903.1</v>
      </c>
      <c r="E660" s="1225" t="s">
        <v>131</v>
      </c>
      <c r="F660" s="1225">
        <v>451.55</v>
      </c>
    </row>
    <row r="661" spans="1:6" s="1225" customFormat="1" ht="17.25" customHeight="1">
      <c r="A661" s="1225">
        <v>1</v>
      </c>
      <c r="B661" s="1225" t="s">
        <v>131</v>
      </c>
      <c r="C661" s="1225" t="s">
        <v>304</v>
      </c>
      <c r="D661" s="1225">
        <v>679.8</v>
      </c>
      <c r="E661" s="1225" t="s">
        <v>131</v>
      </c>
      <c r="F661" s="1225">
        <v>679.8</v>
      </c>
    </row>
    <row r="662" spans="1:6" s="1225" customFormat="1" ht="17.25" customHeight="1">
      <c r="A662" s="1225">
        <v>0.5</v>
      </c>
      <c r="B662" s="1225" t="s">
        <v>131</v>
      </c>
      <c r="C662" s="1225" t="s">
        <v>345</v>
      </c>
      <c r="D662" s="1225">
        <v>1041.7</v>
      </c>
      <c r="E662" s="1225" t="s">
        <v>131</v>
      </c>
      <c r="F662" s="1225">
        <v>520.85</v>
      </c>
    </row>
    <row r="663" spans="1:6" s="1225" customFormat="1" ht="17.25" customHeight="1">
      <c r="B663" s="1225" t="s">
        <v>145</v>
      </c>
      <c r="C663" s="1225" t="s">
        <v>1843</v>
      </c>
      <c r="E663" s="1225" t="s">
        <v>145</v>
      </c>
      <c r="F663" s="1225">
        <v>0.82</v>
      </c>
    </row>
    <row r="664" spans="1:6" s="1225" customFormat="1" ht="17.25" customHeight="1">
      <c r="F664" s="1225" t="s">
        <v>52</v>
      </c>
    </row>
    <row r="665" spans="1:6" s="1225" customFormat="1" ht="17.25" customHeight="1">
      <c r="C665" s="1225" t="s">
        <v>767</v>
      </c>
      <c r="F665" s="1225">
        <v>3407.02</v>
      </c>
    </row>
    <row r="666" spans="1:6" s="1225" customFormat="1" ht="17.25" customHeight="1"/>
    <row r="667" spans="1:6" s="1225" customFormat="1" ht="17.25" customHeight="1">
      <c r="A667" s="1225" t="s">
        <v>1847</v>
      </c>
      <c r="C667" s="1225" t="s">
        <v>4445</v>
      </c>
      <c r="E667" s="1225" t="s">
        <v>729</v>
      </c>
      <c r="F667" s="1225">
        <v>30</v>
      </c>
    </row>
    <row r="668" spans="1:6" s="1225" customFormat="1" ht="17.25" customHeight="1"/>
    <row r="669" spans="1:6" s="1225" customFormat="1" ht="17.25" customHeight="1">
      <c r="A669" s="1225" t="s">
        <v>1877</v>
      </c>
      <c r="B669" s="1225" t="s">
        <v>111</v>
      </c>
      <c r="C669" s="1225" t="s">
        <v>1878</v>
      </c>
    </row>
    <row r="670" spans="1:6" s="1225" customFormat="1" ht="17.25" customHeight="1">
      <c r="C670" s="1225" t="s">
        <v>1879</v>
      </c>
    </row>
    <row r="671" spans="1:6" s="1225" customFormat="1" ht="17.25" customHeight="1">
      <c r="C671" s="1225" t="s">
        <v>52</v>
      </c>
    </row>
    <row r="672" spans="1:6" s="1225" customFormat="1" ht="17.25" customHeight="1">
      <c r="B672" s="1225" t="s">
        <v>443</v>
      </c>
      <c r="C672" s="1225" t="s">
        <v>1880</v>
      </c>
    </row>
    <row r="673" spans="1:6" s="1225" customFormat="1" ht="17.25" customHeight="1">
      <c r="C673" s="1225" t="s">
        <v>6438</v>
      </c>
    </row>
    <row r="674" spans="1:6" s="1225" customFormat="1" ht="17.25" customHeight="1">
      <c r="C674" s="1225" t="s">
        <v>1882</v>
      </c>
    </row>
    <row r="675" spans="1:6" s="1225" customFormat="1" ht="17.25" customHeight="1">
      <c r="C675" s="1225" t="s">
        <v>1883</v>
      </c>
    </row>
    <row r="676" spans="1:6" s="1225" customFormat="1" ht="17.25" customHeight="1">
      <c r="C676" s="1225" t="s">
        <v>1884</v>
      </c>
    </row>
    <row r="677" spans="1:6" s="1225" customFormat="1" ht="17.25" customHeight="1">
      <c r="C677" s="1225" t="s">
        <v>1885</v>
      </c>
    </row>
    <row r="678" spans="1:6" s="1225" customFormat="1" ht="17.25" customHeight="1">
      <c r="C678" s="1225" t="s">
        <v>4455</v>
      </c>
    </row>
    <row r="679" spans="1:6" s="1225" customFormat="1" ht="17.25" customHeight="1">
      <c r="C679" s="1225" t="s">
        <v>52</v>
      </c>
    </row>
    <row r="680" spans="1:6" s="1225" customFormat="1" ht="17.25" customHeight="1">
      <c r="A680" s="1225">
        <v>3</v>
      </c>
      <c r="B680" s="1225" t="s">
        <v>282</v>
      </c>
      <c r="C680" s="1225" t="s">
        <v>1887</v>
      </c>
      <c r="D680" s="1225">
        <v>193.05</v>
      </c>
      <c r="E680" s="1225" t="s">
        <v>282</v>
      </c>
      <c r="F680" s="1225">
        <v>579.15</v>
      </c>
    </row>
    <row r="681" spans="1:6" s="1225" customFormat="1" ht="17.25" customHeight="1">
      <c r="A681" s="1225">
        <v>1</v>
      </c>
      <c r="B681" s="1225" t="s">
        <v>237</v>
      </c>
      <c r="C681" s="1225" t="s">
        <v>1888</v>
      </c>
      <c r="D681" s="1225">
        <v>76</v>
      </c>
      <c r="E681" s="1225" t="s">
        <v>972</v>
      </c>
      <c r="F681" s="1225">
        <v>76</v>
      </c>
    </row>
    <row r="682" spans="1:6" s="1225" customFormat="1" ht="17.25" customHeight="1">
      <c r="A682" s="1225">
        <v>1</v>
      </c>
      <c r="B682" s="1225" t="s">
        <v>237</v>
      </c>
      <c r="C682" s="1225" t="s">
        <v>1889</v>
      </c>
      <c r="D682" s="1225">
        <v>82.3</v>
      </c>
      <c r="E682" s="1225" t="s">
        <v>972</v>
      </c>
      <c r="F682" s="1225">
        <v>82.3</v>
      </c>
    </row>
    <row r="683" spans="1:6" s="1225" customFormat="1" ht="17.25" customHeight="1">
      <c r="A683" s="1225">
        <v>1</v>
      </c>
      <c r="B683" s="1225" t="s">
        <v>237</v>
      </c>
      <c r="C683" s="1225" t="s">
        <v>4460</v>
      </c>
      <c r="D683" s="1225">
        <v>187.8</v>
      </c>
      <c r="E683" s="1225" t="s">
        <v>972</v>
      </c>
      <c r="F683" s="1225">
        <v>187.8</v>
      </c>
    </row>
    <row r="684" spans="1:6" s="1225" customFormat="1" ht="17.25" customHeight="1">
      <c r="A684" s="1225">
        <v>0.5</v>
      </c>
      <c r="B684" s="1225" t="s">
        <v>131</v>
      </c>
      <c r="C684" s="1225" t="s">
        <v>1695</v>
      </c>
      <c r="D684" s="1225">
        <v>903.1</v>
      </c>
      <c r="E684" s="1225" t="s">
        <v>972</v>
      </c>
      <c r="F684" s="1225">
        <v>451.55</v>
      </c>
    </row>
    <row r="685" spans="1:6" s="1225" customFormat="1" ht="17.25" customHeight="1">
      <c r="A685" s="1225">
        <v>0.5</v>
      </c>
      <c r="B685" s="1225" t="s">
        <v>131</v>
      </c>
      <c r="C685" s="1225" t="s">
        <v>302</v>
      </c>
      <c r="D685" s="1225">
        <v>972.4</v>
      </c>
      <c r="E685" s="1225" t="s">
        <v>972</v>
      </c>
      <c r="F685" s="1225">
        <v>486.2</v>
      </c>
    </row>
    <row r="686" spans="1:6" s="1225" customFormat="1" ht="17.25" customHeight="1">
      <c r="A686" s="1225">
        <v>0.5</v>
      </c>
      <c r="B686" s="1225" t="s">
        <v>131</v>
      </c>
      <c r="C686" s="1225" t="s">
        <v>304</v>
      </c>
      <c r="D686" s="1225">
        <v>679.8</v>
      </c>
      <c r="E686" s="1225" t="s">
        <v>972</v>
      </c>
      <c r="F686" s="1225">
        <v>339.9</v>
      </c>
    </row>
    <row r="687" spans="1:6" s="1225" customFormat="1" ht="17.25" customHeight="1">
      <c r="B687" s="1225" t="s">
        <v>145</v>
      </c>
      <c r="C687" s="1225" t="s">
        <v>1891</v>
      </c>
      <c r="D687" s="1225">
        <v>2.79</v>
      </c>
      <c r="E687" s="1225" t="s">
        <v>145</v>
      </c>
      <c r="F687" s="1225">
        <v>2.79</v>
      </c>
    </row>
    <row r="688" spans="1:6" s="1225" customFormat="1" ht="17.25" customHeight="1">
      <c r="C688" s="1225" t="s">
        <v>1892</v>
      </c>
    </row>
    <row r="689" spans="1:6" s="1225" customFormat="1" ht="17.25" customHeight="1">
      <c r="C689" s="1225" t="s">
        <v>1893</v>
      </c>
    </row>
    <row r="690" spans="1:6" s="1225" customFormat="1" ht="17.25" customHeight="1">
      <c r="C690" s="1225" t="s">
        <v>1894</v>
      </c>
      <c r="E690" s="1225" t="s">
        <v>145</v>
      </c>
      <c r="F690" s="1225">
        <v>0.12</v>
      </c>
    </row>
    <row r="691" spans="1:6" s="1225" customFormat="1" ht="17.25" customHeight="1">
      <c r="F691" s="1225" t="s">
        <v>52</v>
      </c>
    </row>
    <row r="692" spans="1:6" s="1225" customFormat="1" ht="17.25" customHeight="1">
      <c r="C692" s="1225" t="s">
        <v>1698</v>
      </c>
      <c r="F692" s="1225">
        <v>2205.81</v>
      </c>
    </row>
    <row r="693" spans="1:6" s="1225" customFormat="1" ht="17.25" customHeight="1">
      <c r="F693" s="1225" t="s">
        <v>52</v>
      </c>
    </row>
    <row r="694" spans="1:6" s="1225" customFormat="1" ht="17.25" customHeight="1">
      <c r="C694" s="1225" t="s">
        <v>632</v>
      </c>
      <c r="F694" s="1225">
        <v>735.27</v>
      </c>
    </row>
    <row r="695" spans="1:6" s="1225" customFormat="1" ht="17.25" customHeight="1">
      <c r="F695" s="1225" t="s">
        <v>52</v>
      </c>
    </row>
    <row r="696" spans="1:6" s="1225" customFormat="1" ht="17.25" customHeight="1">
      <c r="A696" s="1225" t="s">
        <v>1895</v>
      </c>
      <c r="B696" s="1225" t="s">
        <v>1896</v>
      </c>
      <c r="C696" s="1225" t="s">
        <v>1897</v>
      </c>
    </row>
    <row r="697" spans="1:6" s="1225" customFormat="1" ht="17.25" customHeight="1">
      <c r="C697" s="1225" t="s">
        <v>6439</v>
      </c>
    </row>
    <row r="698" spans="1:6" s="1225" customFormat="1" ht="17.25" customHeight="1">
      <c r="C698" s="1225" t="s">
        <v>1882</v>
      </c>
    </row>
    <row r="699" spans="1:6" s="1225" customFormat="1" ht="17.25" customHeight="1">
      <c r="C699" s="1225" t="s">
        <v>1899</v>
      </c>
    </row>
    <row r="700" spans="1:6" s="1225" customFormat="1" ht="17.25" customHeight="1">
      <c r="C700" s="1225" t="s">
        <v>1900</v>
      </c>
    </row>
    <row r="701" spans="1:6" s="1225" customFormat="1" ht="17.25" customHeight="1">
      <c r="C701" s="1225" t="s">
        <v>1885</v>
      </c>
    </row>
    <row r="702" spans="1:6" s="1225" customFormat="1" ht="17.25" customHeight="1">
      <c r="C702" s="1225" t="s">
        <v>4455</v>
      </c>
    </row>
    <row r="703" spans="1:6" s="1225" customFormat="1" ht="17.25" customHeight="1">
      <c r="C703" s="1225" t="s">
        <v>52</v>
      </c>
    </row>
    <row r="704" spans="1:6" s="1225" customFormat="1" ht="17.25" customHeight="1">
      <c r="A704" s="1225">
        <v>3</v>
      </c>
      <c r="B704" s="1225" t="s">
        <v>282</v>
      </c>
      <c r="C704" s="1225" t="s">
        <v>1901</v>
      </c>
      <c r="D704" s="1225">
        <v>115.85</v>
      </c>
      <c r="E704" s="1225" t="s">
        <v>282</v>
      </c>
      <c r="F704" s="1225">
        <v>347.55</v>
      </c>
    </row>
    <row r="705" spans="1:6" s="1225" customFormat="1" ht="17.25" customHeight="1">
      <c r="A705" s="1225">
        <v>1</v>
      </c>
      <c r="B705" s="1225" t="s">
        <v>237</v>
      </c>
      <c r="C705" s="1225" t="s">
        <v>1902</v>
      </c>
      <c r="D705" s="1225">
        <v>45</v>
      </c>
      <c r="E705" s="1225" t="s">
        <v>972</v>
      </c>
      <c r="F705" s="1225">
        <v>45</v>
      </c>
    </row>
    <row r="706" spans="1:6" s="1225" customFormat="1" ht="17.25" customHeight="1">
      <c r="A706" s="1225">
        <v>1</v>
      </c>
      <c r="B706" s="1225" t="s">
        <v>237</v>
      </c>
      <c r="C706" s="1225" t="s">
        <v>1903</v>
      </c>
      <c r="D706" s="1225">
        <v>55.5</v>
      </c>
      <c r="E706" s="1225" t="s">
        <v>972</v>
      </c>
      <c r="F706" s="1225">
        <v>55.5</v>
      </c>
    </row>
    <row r="707" spans="1:6" s="1225" customFormat="1" ht="17.25" customHeight="1">
      <c r="A707" s="1225">
        <v>1</v>
      </c>
      <c r="B707" s="1225" t="s">
        <v>237</v>
      </c>
      <c r="C707" s="1225" t="s">
        <v>1904</v>
      </c>
      <c r="D707" s="1225">
        <v>125.2</v>
      </c>
      <c r="E707" s="1225" t="s">
        <v>972</v>
      </c>
      <c r="F707" s="1225">
        <v>125.2</v>
      </c>
    </row>
    <row r="708" spans="1:6" s="1225" customFormat="1" ht="17.25" customHeight="1">
      <c r="A708" s="1225">
        <v>0.5</v>
      </c>
      <c r="B708" s="1225" t="s">
        <v>131</v>
      </c>
      <c r="C708" s="1225" t="s">
        <v>1695</v>
      </c>
      <c r="D708" s="1225">
        <v>903.1</v>
      </c>
      <c r="E708" s="1225" t="s">
        <v>972</v>
      </c>
      <c r="F708" s="1225">
        <v>451.55</v>
      </c>
    </row>
    <row r="709" spans="1:6" s="1225" customFormat="1" ht="17.25" customHeight="1">
      <c r="A709" s="1225">
        <v>0.5</v>
      </c>
      <c r="B709" s="1225" t="s">
        <v>131</v>
      </c>
      <c r="C709" s="1225" t="s">
        <v>302</v>
      </c>
      <c r="D709" s="1225">
        <v>972.4</v>
      </c>
      <c r="E709" s="1225" t="s">
        <v>972</v>
      </c>
      <c r="F709" s="1225">
        <v>486.2</v>
      </c>
    </row>
    <row r="710" spans="1:6" s="1225" customFormat="1" ht="17.25" customHeight="1">
      <c r="A710" s="1225">
        <v>0.5</v>
      </c>
      <c r="B710" s="1225" t="s">
        <v>131</v>
      </c>
      <c r="C710" s="1225" t="s">
        <v>304</v>
      </c>
      <c r="D710" s="1225">
        <v>679.8</v>
      </c>
      <c r="E710" s="1225" t="s">
        <v>972</v>
      </c>
      <c r="F710" s="1225">
        <v>339.9</v>
      </c>
    </row>
    <row r="711" spans="1:6" s="1225" customFormat="1" ht="17.25" customHeight="1">
      <c r="B711" s="1225" t="s">
        <v>145</v>
      </c>
      <c r="C711" s="1225" t="s">
        <v>1891</v>
      </c>
      <c r="D711" s="1225" t="s">
        <v>85</v>
      </c>
      <c r="E711" s="1225" t="s">
        <v>145</v>
      </c>
      <c r="F711" s="1225">
        <v>2.73</v>
      </c>
    </row>
    <row r="712" spans="1:6" s="1225" customFormat="1" ht="17.25" customHeight="1">
      <c r="C712" s="1225" t="s">
        <v>1892</v>
      </c>
    </row>
    <row r="713" spans="1:6" s="1225" customFormat="1" ht="17.25" customHeight="1">
      <c r="C713" s="1225" t="s">
        <v>1893</v>
      </c>
    </row>
    <row r="714" spans="1:6" s="1225" customFormat="1" ht="17.25" customHeight="1">
      <c r="C714" s="1225" t="s">
        <v>1894</v>
      </c>
      <c r="E714" s="1225" t="s">
        <v>145</v>
      </c>
      <c r="F714" s="1225">
        <v>0.27</v>
      </c>
    </row>
    <row r="715" spans="1:6" s="1225" customFormat="1" ht="17.25" customHeight="1">
      <c r="F715" s="1225" t="s">
        <v>52</v>
      </c>
    </row>
    <row r="716" spans="1:6" s="1225" customFormat="1" ht="17.25" customHeight="1">
      <c r="C716" s="1225" t="s">
        <v>1698</v>
      </c>
      <c r="F716" s="1225">
        <v>1853.9</v>
      </c>
    </row>
    <row r="717" spans="1:6" s="1225" customFormat="1" ht="17.25" customHeight="1">
      <c r="F717" s="1225" t="s">
        <v>52</v>
      </c>
    </row>
    <row r="718" spans="1:6" s="1225" customFormat="1" ht="17.25" customHeight="1">
      <c r="C718" s="1225" t="s">
        <v>632</v>
      </c>
      <c r="F718" s="1225">
        <v>617.97</v>
      </c>
    </row>
    <row r="719" spans="1:6" s="1225" customFormat="1" ht="17.25" customHeight="1"/>
    <row r="720" spans="1:6" s="1225" customFormat="1" ht="17.25" customHeight="1">
      <c r="A720" s="1225" t="s">
        <v>1914</v>
      </c>
      <c r="B720" s="1225" t="s">
        <v>111</v>
      </c>
      <c r="C720" s="1225" t="s">
        <v>1915</v>
      </c>
    </row>
    <row r="721" spans="1:6" s="1225" customFormat="1" ht="17.25" customHeight="1">
      <c r="C721" s="1225" t="s">
        <v>1916</v>
      </c>
    </row>
    <row r="722" spans="1:6" s="1225" customFormat="1" ht="17.25" customHeight="1">
      <c r="C722" s="1225" t="s">
        <v>52</v>
      </c>
    </row>
    <row r="723" spans="1:6" s="1225" customFormat="1" ht="17.25" customHeight="1">
      <c r="A723" s="1225">
        <v>1</v>
      </c>
      <c r="B723" s="1225" t="s">
        <v>131</v>
      </c>
      <c r="C723" s="1225" t="s">
        <v>1916</v>
      </c>
      <c r="D723" s="1225">
        <v>170.35</v>
      </c>
      <c r="E723" s="1225" t="s">
        <v>131</v>
      </c>
      <c r="F723" s="1225">
        <v>170.35</v>
      </c>
    </row>
    <row r="724" spans="1:6" s="1225" customFormat="1" ht="17.25" customHeight="1">
      <c r="A724" s="1225">
        <v>0.05</v>
      </c>
      <c r="B724" s="1225" t="s">
        <v>132</v>
      </c>
      <c r="C724" s="1225" t="s">
        <v>1917</v>
      </c>
      <c r="D724" s="1225">
        <v>4185.1899999999996</v>
      </c>
      <c r="E724" s="1225" t="s">
        <v>132</v>
      </c>
      <c r="F724" s="1225">
        <v>209.26</v>
      </c>
    </row>
    <row r="725" spans="1:6" s="1225" customFormat="1" ht="17.25" customHeight="1">
      <c r="A725" s="1225">
        <v>0.5</v>
      </c>
      <c r="B725" s="1225" t="s">
        <v>131</v>
      </c>
      <c r="C725" s="1225" t="s">
        <v>1695</v>
      </c>
      <c r="D725" s="1225">
        <v>903.1</v>
      </c>
      <c r="E725" s="1225" t="s">
        <v>131</v>
      </c>
      <c r="F725" s="1225">
        <v>451.55</v>
      </c>
    </row>
    <row r="726" spans="1:6" s="1225" customFormat="1" ht="17.25" customHeight="1">
      <c r="A726" s="1225">
        <v>1</v>
      </c>
      <c r="B726" s="1225" t="s">
        <v>131</v>
      </c>
      <c r="C726" s="1225" t="s">
        <v>304</v>
      </c>
      <c r="D726" s="1225">
        <v>679.8</v>
      </c>
      <c r="E726" s="1225" t="s">
        <v>131</v>
      </c>
      <c r="F726" s="1225">
        <v>679.8</v>
      </c>
    </row>
    <row r="727" spans="1:6" s="1225" customFormat="1" ht="17.25" customHeight="1">
      <c r="A727" s="1225">
        <v>1</v>
      </c>
      <c r="B727" s="1225" t="s">
        <v>131</v>
      </c>
      <c r="C727" s="1225" t="s">
        <v>306</v>
      </c>
      <c r="D727" s="1225">
        <v>557.70000000000005</v>
      </c>
      <c r="E727" s="1225" t="s">
        <v>131</v>
      </c>
      <c r="F727" s="1225">
        <v>557.70000000000005</v>
      </c>
    </row>
    <row r="728" spans="1:6" s="1225" customFormat="1" ht="17.25" customHeight="1">
      <c r="B728" s="1225" t="s">
        <v>145</v>
      </c>
      <c r="C728" s="1225" t="s">
        <v>146</v>
      </c>
      <c r="D728" s="1225" t="s">
        <v>85</v>
      </c>
      <c r="E728" s="1225" t="s">
        <v>145</v>
      </c>
      <c r="F728" s="1225">
        <v>0.54</v>
      </c>
    </row>
    <row r="729" spans="1:6" s="1225" customFormat="1" ht="17.25" customHeight="1">
      <c r="C729" s="1225" t="s">
        <v>85</v>
      </c>
      <c r="F729" s="1225" t="s">
        <v>52</v>
      </c>
    </row>
    <row r="730" spans="1:6" s="1225" customFormat="1" ht="17.25" customHeight="1">
      <c r="C730" s="1225" t="s">
        <v>767</v>
      </c>
      <c r="F730" s="1225">
        <v>2069.1999999999998</v>
      </c>
    </row>
    <row r="731" spans="1:6" s="1225" customFormat="1" ht="17.25" customHeight="1"/>
    <row r="732" spans="1:6" s="1225" customFormat="1" ht="17.25" customHeight="1">
      <c r="A732" s="1225" t="s">
        <v>1918</v>
      </c>
      <c r="B732" s="1225" t="s">
        <v>111</v>
      </c>
      <c r="C732" s="1225" t="s">
        <v>1919</v>
      </c>
    </row>
    <row r="733" spans="1:6" s="1225" customFormat="1" ht="17.25" customHeight="1">
      <c r="C733" s="1225" t="s">
        <v>4485</v>
      </c>
    </row>
    <row r="734" spans="1:6" s="1225" customFormat="1" ht="17.25" customHeight="1">
      <c r="C734" s="1225" t="s">
        <v>52</v>
      </c>
    </row>
    <row r="735" spans="1:6" s="1225" customFormat="1" ht="17.25" customHeight="1">
      <c r="A735" s="1225">
        <v>1</v>
      </c>
      <c r="B735" s="1225" t="s">
        <v>131</v>
      </c>
      <c r="C735" s="1225" t="s">
        <v>1921</v>
      </c>
      <c r="D735" s="1225">
        <v>156</v>
      </c>
      <c r="E735" s="1225" t="s">
        <v>131</v>
      </c>
      <c r="F735" s="1225">
        <v>156</v>
      </c>
    </row>
    <row r="736" spans="1:6" s="1225" customFormat="1" ht="17.25" customHeight="1">
      <c r="B736" s="1225" t="s">
        <v>145</v>
      </c>
      <c r="C736" s="1225" t="s">
        <v>1922</v>
      </c>
      <c r="E736" s="1225" t="s">
        <v>145</v>
      </c>
      <c r="F736" s="1225">
        <v>4</v>
      </c>
    </row>
    <row r="737" spans="1:6" s="1225" customFormat="1" ht="17.25" customHeight="1">
      <c r="E737" s="1225" t="s">
        <v>85</v>
      </c>
      <c r="F737" s="1225" t="s">
        <v>52</v>
      </c>
    </row>
    <row r="738" spans="1:6" s="1225" customFormat="1" ht="17.25" customHeight="1">
      <c r="C738" s="1225" t="s">
        <v>767</v>
      </c>
      <c r="F738" s="1225">
        <v>160</v>
      </c>
    </row>
    <row r="739" spans="1:6" s="1225" customFormat="1" ht="17.25" customHeight="1"/>
    <row r="740" spans="1:6" s="1225" customFormat="1" ht="17.25" customHeight="1">
      <c r="A740" s="1225">
        <v>72</v>
      </c>
      <c r="C740" s="1225" t="s">
        <v>1995</v>
      </c>
      <c r="F740" s="1225">
        <v>33.9</v>
      </c>
    </row>
    <row r="741" spans="1:6" s="1225" customFormat="1" ht="17.25" customHeight="1"/>
    <row r="742" spans="1:6" s="1225" customFormat="1" ht="17.25" customHeight="1">
      <c r="C742" s="1225" t="s">
        <v>2501</v>
      </c>
    </row>
    <row r="743" spans="1:6" s="1225" customFormat="1" ht="17.25" customHeight="1"/>
    <row r="744" spans="1:6" s="1225" customFormat="1" ht="17.25" customHeight="1">
      <c r="C744" s="1225" t="s">
        <v>2502</v>
      </c>
    </row>
    <row r="745" spans="1:6" s="1225" customFormat="1" ht="17.25" customHeight="1"/>
    <row r="746" spans="1:6" s="1225" customFormat="1" ht="17.25" customHeight="1">
      <c r="C746" s="1225" t="s">
        <v>2503</v>
      </c>
      <c r="F746" s="1225">
        <v>3430</v>
      </c>
    </row>
    <row r="747" spans="1:6" s="1225" customFormat="1" ht="17.25" customHeight="1">
      <c r="A747" s="1225">
        <v>1</v>
      </c>
      <c r="B747" s="1225" t="s">
        <v>1034</v>
      </c>
      <c r="C747" s="1225" t="s">
        <v>2897</v>
      </c>
      <c r="D747" s="1225">
        <v>3093</v>
      </c>
      <c r="E747" s="1225" t="s">
        <v>1034</v>
      </c>
      <c r="F747" s="1225">
        <v>3093</v>
      </c>
    </row>
    <row r="748" spans="1:6" s="1225" customFormat="1" ht="17.25" customHeight="1">
      <c r="A748" s="1225">
        <v>1</v>
      </c>
      <c r="B748" s="1225" t="s">
        <v>1034</v>
      </c>
      <c r="C748" s="1225" t="s">
        <v>2898</v>
      </c>
      <c r="D748" s="1225">
        <v>2311</v>
      </c>
      <c r="E748" s="1225" t="s">
        <v>1034</v>
      </c>
      <c r="F748" s="1225">
        <v>2311</v>
      </c>
    </row>
    <row r="749" spans="1:6" s="1225" customFormat="1" ht="17.25" customHeight="1">
      <c r="C749" s="1225" t="s">
        <v>1557</v>
      </c>
    </row>
    <row r="750" spans="1:6" s="1225" customFormat="1" ht="17.25" customHeight="1">
      <c r="C750" s="1225" t="s">
        <v>2400</v>
      </c>
      <c r="F750" s="1225">
        <v>4212</v>
      </c>
    </row>
    <row r="751" spans="1:6" s="1225" customFormat="1" ht="17.25" customHeight="1"/>
    <row r="752" spans="1:6" s="1225" customFormat="1" ht="17.25" customHeight="1">
      <c r="C752" s="1225" t="s">
        <v>2493</v>
      </c>
    </row>
    <row r="753" spans="1:6" s="1225" customFormat="1" ht="17.25" customHeight="1"/>
    <row r="754" spans="1:6" s="1225" customFormat="1" ht="17.25" customHeight="1">
      <c r="C754" s="1225" t="s">
        <v>2494</v>
      </c>
    </row>
    <row r="755" spans="1:6" s="1225" customFormat="1" ht="17.25" customHeight="1">
      <c r="C755" s="1225" t="s">
        <v>2495</v>
      </c>
    </row>
    <row r="756" spans="1:6" s="1225" customFormat="1" ht="17.25" customHeight="1"/>
    <row r="757" spans="1:6" s="1225" customFormat="1" ht="17.25" customHeight="1">
      <c r="A757" s="1225">
        <v>1</v>
      </c>
      <c r="B757" s="1225" t="s">
        <v>1034</v>
      </c>
      <c r="C757" s="1225" t="s">
        <v>2895</v>
      </c>
      <c r="D757" s="1225">
        <v>2311</v>
      </c>
      <c r="E757" s="1225" t="s">
        <v>1034</v>
      </c>
      <c r="F757" s="1225">
        <v>2311</v>
      </c>
    </row>
    <row r="758" spans="1:6" s="1225" customFormat="1" ht="17.25" customHeight="1">
      <c r="A758" s="1225">
        <v>1</v>
      </c>
      <c r="B758" s="1225" t="s">
        <v>1034</v>
      </c>
      <c r="C758" s="1225" t="s">
        <v>2497</v>
      </c>
      <c r="D758" s="1225">
        <v>422.33</v>
      </c>
      <c r="E758" s="1225" t="s">
        <v>1034</v>
      </c>
      <c r="F758" s="1225">
        <v>422.33</v>
      </c>
    </row>
    <row r="759" spans="1:6" s="1225" customFormat="1" ht="17.25" customHeight="1">
      <c r="C759" s="1225" t="s">
        <v>2498</v>
      </c>
      <c r="F759" s="1225">
        <v>28.34</v>
      </c>
    </row>
    <row r="760" spans="1:6" s="1225" customFormat="1" ht="17.25" customHeight="1">
      <c r="C760" s="1225" t="s">
        <v>478</v>
      </c>
      <c r="F760" s="1225">
        <v>668.33</v>
      </c>
    </row>
    <row r="761" spans="1:6" s="1225" customFormat="1" ht="17.25" customHeight="1">
      <c r="C761" s="1225" t="s">
        <v>2400</v>
      </c>
      <c r="F761" s="1225">
        <v>3430</v>
      </c>
    </row>
    <row r="762" spans="1:6" s="1225" customFormat="1" ht="17.25" customHeight="1"/>
    <row r="763" spans="1:6" s="1225" customFormat="1" ht="17.25" customHeight="1">
      <c r="C763" s="1225" t="s">
        <v>2500</v>
      </c>
    </row>
    <row r="764" spans="1:6" s="1225" customFormat="1" ht="17.25" customHeight="1">
      <c r="C764" s="1225" t="s">
        <v>2522</v>
      </c>
    </row>
    <row r="765" spans="1:6" s="1225" customFormat="1" ht="17.25" customHeight="1"/>
    <row r="766" spans="1:6" s="1225" customFormat="1" ht="17.25" customHeight="1">
      <c r="A766" s="1225">
        <v>1</v>
      </c>
      <c r="B766" s="1225" t="s">
        <v>13</v>
      </c>
      <c r="C766" s="1225" t="s">
        <v>2509</v>
      </c>
      <c r="D766" s="1225">
        <v>914.1</v>
      </c>
      <c r="E766" s="1225" t="s">
        <v>2523</v>
      </c>
      <c r="F766" s="1225">
        <v>9.14</v>
      </c>
    </row>
    <row r="767" spans="1:6" s="1225" customFormat="1" ht="17.25" customHeight="1">
      <c r="C767" s="1225" t="s">
        <v>1978</v>
      </c>
      <c r="F767" s="1225">
        <v>556.6</v>
      </c>
    </row>
    <row r="768" spans="1:6" s="1225" customFormat="1" ht="17.25" customHeight="1">
      <c r="C768" s="1225" t="s">
        <v>2161</v>
      </c>
      <c r="F768" s="1225">
        <v>5.26</v>
      </c>
    </row>
    <row r="769" spans="1:6" s="1225" customFormat="1" ht="17.25" customHeight="1">
      <c r="C769" s="1225" t="s">
        <v>2524</v>
      </c>
      <c r="D769" s="1225" t="s">
        <v>2400</v>
      </c>
      <c r="F769" s="1225">
        <v>571</v>
      </c>
    </row>
    <row r="770" spans="1:6" s="1225" customFormat="1" ht="17.25" customHeight="1"/>
    <row r="771" spans="1:6" s="1225" customFormat="1" ht="17.25" customHeight="1"/>
    <row r="772" spans="1:6" s="1225" customFormat="1" ht="17.25" customHeight="1"/>
    <row r="773" spans="1:6" s="1225" customFormat="1" ht="17.25" customHeight="1">
      <c r="C773" s="1225" t="s">
        <v>2527</v>
      </c>
    </row>
    <row r="774" spans="1:6" s="1225" customFormat="1" ht="17.25" customHeight="1">
      <c r="C774" s="1225" t="s">
        <v>2528</v>
      </c>
    </row>
    <row r="775" spans="1:6" s="1225" customFormat="1" ht="17.25" customHeight="1">
      <c r="C775" s="1225" t="s">
        <v>2529</v>
      </c>
    </row>
    <row r="776" spans="1:6" s="1225" customFormat="1" ht="17.25" customHeight="1">
      <c r="C776" s="1225" t="s">
        <v>2530</v>
      </c>
    </row>
    <row r="777" spans="1:6" s="1225" customFormat="1" ht="17.25" customHeight="1"/>
    <row r="778" spans="1:6" s="1225" customFormat="1" ht="17.25" customHeight="1">
      <c r="A778" s="1225">
        <v>9.5</v>
      </c>
      <c r="B778" s="1225" t="s">
        <v>39</v>
      </c>
      <c r="C778" s="1225" t="s">
        <v>2907</v>
      </c>
      <c r="D778" s="1225">
        <v>101.5</v>
      </c>
      <c r="E778" s="1225" t="s">
        <v>39</v>
      </c>
      <c r="F778" s="1225">
        <v>964.25</v>
      </c>
    </row>
    <row r="779" spans="1:6" s="1225" customFormat="1" ht="17.25" customHeight="1">
      <c r="A779" s="1225">
        <v>0.5</v>
      </c>
      <c r="B779" s="1225" t="s">
        <v>39</v>
      </c>
      <c r="C779" s="1225" t="s">
        <v>2908</v>
      </c>
      <c r="D779" s="1225">
        <v>21.1</v>
      </c>
      <c r="F779" s="1225">
        <v>10.55</v>
      </c>
    </row>
    <row r="780" spans="1:6" s="1225" customFormat="1" ht="17.25" customHeight="1">
      <c r="C780" s="1225" t="s">
        <v>2234</v>
      </c>
      <c r="F780" s="1225">
        <v>1389</v>
      </c>
    </row>
    <row r="781" spans="1:6" s="1225" customFormat="1" ht="17.25" customHeight="1">
      <c r="C781" s="1225" t="s">
        <v>1557</v>
      </c>
      <c r="F781" s="1225">
        <v>3.2</v>
      </c>
    </row>
    <row r="782" spans="1:6" s="1225" customFormat="1" ht="17.25" customHeight="1">
      <c r="C782" s="1225" t="s">
        <v>2533</v>
      </c>
      <c r="F782" s="1225">
        <v>2367</v>
      </c>
    </row>
    <row r="783" spans="1:6" s="1225" customFormat="1" ht="17.25" customHeight="1">
      <c r="C783" s="1225" t="s">
        <v>2534</v>
      </c>
      <c r="F783" s="1225">
        <v>26.3</v>
      </c>
    </row>
    <row r="784" spans="1:6" s="1225" customFormat="1" ht="17.25" customHeight="1"/>
    <row r="785" spans="1:6" s="1225" customFormat="1" ht="17.25" customHeight="1">
      <c r="C785" s="1225" t="s">
        <v>2718</v>
      </c>
    </row>
    <row r="786" spans="1:6" s="1225" customFormat="1" ht="17.25" customHeight="1"/>
    <row r="787" spans="1:6" s="1225" customFormat="1" ht="17.25" customHeight="1">
      <c r="C787" s="1225" t="s">
        <v>6425</v>
      </c>
    </row>
    <row r="788" spans="1:6" s="1225" customFormat="1" ht="17.25" customHeight="1"/>
    <row r="789" spans="1:6" s="1225" customFormat="1" ht="17.25" customHeight="1">
      <c r="A789" s="1225">
        <v>1</v>
      </c>
      <c r="B789" s="1225" t="s">
        <v>1034</v>
      </c>
      <c r="C789" s="1225" t="s">
        <v>2992</v>
      </c>
      <c r="D789" s="1225">
        <v>13.8</v>
      </c>
      <c r="E789" s="1225" t="s">
        <v>1034</v>
      </c>
      <c r="F789" s="1225">
        <v>13.8</v>
      </c>
    </row>
    <row r="790" spans="1:6" s="1225" customFormat="1" ht="17.25" customHeight="1">
      <c r="A790" s="1225">
        <v>0.01</v>
      </c>
      <c r="B790" s="1225" t="s">
        <v>2720</v>
      </c>
      <c r="C790" s="1225" t="s">
        <v>2716</v>
      </c>
      <c r="D790" s="1225">
        <v>661</v>
      </c>
      <c r="E790" s="1225" t="s">
        <v>724</v>
      </c>
      <c r="F790" s="1225">
        <v>6.61</v>
      </c>
    </row>
    <row r="791" spans="1:6" s="1225" customFormat="1" ht="17.25" customHeight="1">
      <c r="A791" s="1225">
        <v>1</v>
      </c>
      <c r="B791" s="1225" t="s">
        <v>1034</v>
      </c>
      <c r="C791" s="1225" t="s">
        <v>2721</v>
      </c>
      <c r="D791" s="1225">
        <v>49.5</v>
      </c>
      <c r="E791" s="1225" t="s">
        <v>1034</v>
      </c>
      <c r="F791" s="1225">
        <v>49.5</v>
      </c>
    </row>
    <row r="792" spans="1:6" s="1225" customFormat="1" ht="17.25" customHeight="1">
      <c r="C792" s="1225" t="s">
        <v>2722</v>
      </c>
      <c r="D792" s="1225" t="s">
        <v>49</v>
      </c>
      <c r="F792" s="1225">
        <v>7.1</v>
      </c>
    </row>
    <row r="793" spans="1:6" s="1225" customFormat="1" ht="17.25" customHeight="1">
      <c r="C793" s="1225" t="s">
        <v>2723</v>
      </c>
      <c r="F793" s="1225">
        <v>77.010000000000005</v>
      </c>
    </row>
    <row r="794" spans="1:6" s="1225" customFormat="1" ht="17.25" customHeight="1"/>
    <row r="795" spans="1:6" s="1225" customFormat="1" ht="17.25" customHeight="1">
      <c r="A795" s="1225">
        <v>77.400000000000006</v>
      </c>
      <c r="C795" s="1225" t="s">
        <v>2006</v>
      </c>
    </row>
    <row r="796" spans="1:6" s="1225" customFormat="1" ht="17.25" customHeight="1">
      <c r="C796" s="1225" t="s">
        <v>1982</v>
      </c>
    </row>
    <row r="797" spans="1:6" s="1225" customFormat="1" ht="17.25" customHeight="1">
      <c r="A797" s="1225">
        <v>90</v>
      </c>
      <c r="B797" s="1225" t="s">
        <v>2007</v>
      </c>
      <c r="C797" s="1225" t="s">
        <v>4495</v>
      </c>
      <c r="D797" s="1225">
        <v>20</v>
      </c>
      <c r="E797" s="1225" t="s">
        <v>2007</v>
      </c>
      <c r="F797" s="1225">
        <v>1800</v>
      </c>
    </row>
    <row r="798" spans="1:6" s="1225" customFormat="1" ht="17.25" customHeight="1">
      <c r="A798" s="1225">
        <v>0.15</v>
      </c>
      <c r="B798" s="1225" t="s">
        <v>11</v>
      </c>
      <c r="C798" s="1225" t="s">
        <v>123</v>
      </c>
      <c r="D798" s="1225">
        <v>6040</v>
      </c>
      <c r="E798" s="1225" t="s">
        <v>11</v>
      </c>
      <c r="F798" s="1225">
        <v>906</v>
      </c>
    </row>
    <row r="799" spans="1:6" s="1225" customFormat="1" ht="17.25" customHeight="1">
      <c r="A799" s="1225">
        <v>1</v>
      </c>
      <c r="B799" s="1225" t="s">
        <v>237</v>
      </c>
      <c r="C799" s="1225" t="s">
        <v>2009</v>
      </c>
      <c r="D799" s="1225">
        <v>783</v>
      </c>
      <c r="E799" s="1225" t="s">
        <v>237</v>
      </c>
      <c r="F799" s="1225">
        <v>783</v>
      </c>
    </row>
    <row r="800" spans="1:6" s="1225" customFormat="1" ht="17.25" customHeight="1">
      <c r="A800" s="1225">
        <v>2</v>
      </c>
      <c r="B800" s="1225" t="s">
        <v>237</v>
      </c>
      <c r="C800" s="1225" t="s">
        <v>302</v>
      </c>
      <c r="D800" s="1225">
        <v>972.4</v>
      </c>
      <c r="E800" s="1225" t="s">
        <v>237</v>
      </c>
      <c r="F800" s="1225">
        <v>1944.8</v>
      </c>
    </row>
    <row r="801" spans="1:6" s="1225" customFormat="1" ht="17.25" customHeight="1">
      <c r="A801" s="1225">
        <v>4</v>
      </c>
      <c r="B801" s="1225" t="s">
        <v>237</v>
      </c>
      <c r="C801" s="1225" t="s">
        <v>4220</v>
      </c>
      <c r="D801" s="1225">
        <v>611</v>
      </c>
      <c r="E801" s="1225" t="s">
        <v>237</v>
      </c>
      <c r="F801" s="1225">
        <v>2444</v>
      </c>
    </row>
    <row r="802" spans="1:6" s="1225" customFormat="1" ht="17.25" customHeight="1">
      <c r="C802" s="1225" t="s">
        <v>2010</v>
      </c>
      <c r="F802" s="1225">
        <v>11.5</v>
      </c>
    </row>
    <row r="803" spans="1:6" s="1225" customFormat="1" ht="17.25" customHeight="1">
      <c r="F803" s="1225" t="s">
        <v>52</v>
      </c>
    </row>
    <row r="804" spans="1:6" s="1225" customFormat="1" ht="17.25" customHeight="1">
      <c r="C804" s="1225" t="s">
        <v>2011</v>
      </c>
      <c r="F804" s="1225">
        <v>7889.3</v>
      </c>
    </row>
    <row r="805" spans="1:6" s="1225" customFormat="1" ht="17.25" customHeight="1">
      <c r="F805" s="1225" t="s">
        <v>52</v>
      </c>
    </row>
    <row r="806" spans="1:6" s="1225" customFormat="1" ht="17.25" customHeight="1">
      <c r="C806" s="1225" t="s">
        <v>1932</v>
      </c>
      <c r="F806" s="1225">
        <v>87.66</v>
      </c>
    </row>
    <row r="807" spans="1:6" s="1225" customFormat="1" ht="17.25" customHeight="1"/>
    <row r="808" spans="1:6" s="1225" customFormat="1" ht="17.25" customHeight="1">
      <c r="C808" s="1225" t="s">
        <v>2593</v>
      </c>
    </row>
    <row r="809" spans="1:6" s="1225" customFormat="1" ht="17.25" customHeight="1"/>
    <row r="810" spans="1:6" s="1225" customFormat="1" ht="17.25" customHeight="1">
      <c r="C810" s="1225" t="s">
        <v>2594</v>
      </c>
    </row>
    <row r="811" spans="1:6" s="1225" customFormat="1" ht="17.25" customHeight="1"/>
    <row r="812" spans="1:6" s="1225" customFormat="1" ht="17.25" customHeight="1">
      <c r="C812" s="1225" t="s">
        <v>2595</v>
      </c>
    </row>
    <row r="813" spans="1:6" s="1225" customFormat="1" ht="17.25" customHeight="1"/>
    <row r="814" spans="1:6" s="1225" customFormat="1" ht="17.25" customHeight="1">
      <c r="A814" s="1225">
        <v>1</v>
      </c>
      <c r="B814" s="1225" t="s">
        <v>1034</v>
      </c>
      <c r="C814" s="1225" t="s">
        <v>2927</v>
      </c>
      <c r="D814" s="1225">
        <v>48.05</v>
      </c>
      <c r="E814" s="1225" t="s">
        <v>1034</v>
      </c>
      <c r="F814" s="1225">
        <v>48.05</v>
      </c>
    </row>
    <row r="815" spans="1:6" s="1225" customFormat="1" ht="17.25" customHeight="1">
      <c r="A815" s="1225">
        <v>1</v>
      </c>
      <c r="B815" s="1225" t="s">
        <v>1034</v>
      </c>
      <c r="C815" s="1225" t="s">
        <v>2597</v>
      </c>
      <c r="D815" s="1225">
        <v>234.63</v>
      </c>
      <c r="E815" s="1225" t="s">
        <v>1034</v>
      </c>
      <c r="F815" s="1225">
        <v>234.63</v>
      </c>
    </row>
    <row r="816" spans="1:6" s="1225" customFormat="1" ht="17.25" customHeight="1">
      <c r="A816" s="1225">
        <v>1</v>
      </c>
      <c r="B816" s="1225" t="s">
        <v>1034</v>
      </c>
      <c r="C816" s="1225" t="s">
        <v>2598</v>
      </c>
      <c r="D816" s="1225">
        <v>25</v>
      </c>
      <c r="E816" s="1225" t="s">
        <v>2599</v>
      </c>
      <c r="F816" s="1225">
        <v>25</v>
      </c>
    </row>
    <row r="817" spans="1:6" s="1225" customFormat="1" ht="17.25" customHeight="1">
      <c r="C817" s="1225" t="s">
        <v>1978</v>
      </c>
      <c r="F817" s="1225">
        <v>501.25</v>
      </c>
    </row>
    <row r="818" spans="1:6" s="1225" customFormat="1" ht="17.25" customHeight="1">
      <c r="C818" s="1225" t="s">
        <v>2600</v>
      </c>
      <c r="F818" s="1225">
        <v>9.82</v>
      </c>
    </row>
    <row r="819" spans="1:6" s="1225" customFormat="1" ht="17.25" customHeight="1">
      <c r="C819" s="1225" t="s">
        <v>2601</v>
      </c>
      <c r="F819" s="1225">
        <v>818.75</v>
      </c>
    </row>
    <row r="820" spans="1:6" s="1225" customFormat="1" ht="17.25" customHeight="1"/>
    <row r="821" spans="1:6" s="1225" customFormat="1" ht="17.25" customHeight="1">
      <c r="C821" s="1225" t="s">
        <v>2686</v>
      </c>
      <c r="D821" s="1225">
        <v>104280</v>
      </c>
      <c r="E821" s="1225">
        <v>2.9999999999999997E-4</v>
      </c>
      <c r="F821" s="1225">
        <v>31.28</v>
      </c>
    </row>
    <row r="822" spans="1:6" s="1225" customFormat="1" ht="17.25" customHeight="1"/>
    <row r="823" spans="1:6" s="1225" customFormat="1" ht="17.25" customHeight="1">
      <c r="C823" s="1225" t="s">
        <v>2603</v>
      </c>
    </row>
    <row r="824" spans="1:6" s="1225" customFormat="1" ht="17.25" customHeight="1"/>
    <row r="825" spans="1:6" s="1225" customFormat="1" ht="17.25" customHeight="1">
      <c r="C825" s="1225" t="s">
        <v>2687</v>
      </c>
    </row>
    <row r="826" spans="1:6" s="1225" customFormat="1" ht="17.25" customHeight="1"/>
    <row r="827" spans="1:6" s="1225" customFormat="1" ht="17.25" customHeight="1">
      <c r="A827" s="1225">
        <v>1</v>
      </c>
      <c r="B827" s="1225" t="s">
        <v>1034</v>
      </c>
      <c r="C827" s="1225" t="s">
        <v>2956</v>
      </c>
      <c r="D827" s="1225">
        <v>648</v>
      </c>
      <c r="E827" s="1225" t="s">
        <v>1034</v>
      </c>
      <c r="F827" s="1225">
        <v>648</v>
      </c>
    </row>
    <row r="828" spans="1:6" s="1225" customFormat="1" ht="17.25" customHeight="1">
      <c r="A828" s="1225">
        <v>1</v>
      </c>
      <c r="B828" s="1225" t="s">
        <v>1034</v>
      </c>
      <c r="C828" s="1225" t="s">
        <v>2957</v>
      </c>
      <c r="D828" s="1225">
        <v>36.200000000000003</v>
      </c>
      <c r="E828" s="1225" t="s">
        <v>1034</v>
      </c>
      <c r="F828" s="1225">
        <v>36.200000000000003</v>
      </c>
    </row>
    <row r="829" spans="1:6" s="1225" customFormat="1" ht="17.25" customHeight="1">
      <c r="A829" s="1225">
        <v>1</v>
      </c>
      <c r="B829" s="1225" t="s">
        <v>1034</v>
      </c>
      <c r="C829" s="1225" t="s">
        <v>478</v>
      </c>
      <c r="D829" s="1225">
        <v>2258.33</v>
      </c>
      <c r="E829" s="1225" t="s">
        <v>1034</v>
      </c>
      <c r="F829" s="1225">
        <v>2258.33</v>
      </c>
    </row>
    <row r="830" spans="1:6" s="1225" customFormat="1" ht="17.25" customHeight="1">
      <c r="C830" s="1225" t="s">
        <v>1557</v>
      </c>
      <c r="F830" s="1225">
        <v>3.47</v>
      </c>
    </row>
    <row r="831" spans="1:6" s="1225" customFormat="1" ht="17.25" customHeight="1">
      <c r="C831" s="1225" t="s">
        <v>2400</v>
      </c>
      <c r="F831" s="1225">
        <v>2946</v>
      </c>
    </row>
    <row r="832" spans="1:6" s="1225" customFormat="1" ht="17.25" customHeight="1"/>
    <row r="833" spans="1:6" s="1225" customFormat="1" ht="17.25" customHeight="1">
      <c r="C833" s="1225" t="s">
        <v>2603</v>
      </c>
    </row>
    <row r="834" spans="1:6" s="1225" customFormat="1" ht="17.25" customHeight="1">
      <c r="C834" s="1225" t="s">
        <v>2604</v>
      </c>
    </row>
    <row r="835" spans="1:6" s="1225" customFormat="1" ht="17.25" customHeight="1">
      <c r="C835" s="1225" t="s">
        <v>85</v>
      </c>
    </row>
    <row r="836" spans="1:6" s="1225" customFormat="1" ht="17.25" customHeight="1">
      <c r="A836" s="1225">
        <v>1</v>
      </c>
      <c r="B836" s="1225" t="s">
        <v>1034</v>
      </c>
      <c r="C836" s="1225" t="s">
        <v>7020</v>
      </c>
      <c r="D836" s="1225">
        <v>1771</v>
      </c>
      <c r="E836" s="1225" t="s">
        <v>1034</v>
      </c>
      <c r="F836" s="1225">
        <v>1771</v>
      </c>
    </row>
    <row r="837" spans="1:6" s="1225" customFormat="1" ht="17.25" customHeight="1">
      <c r="A837" s="1225">
        <v>3</v>
      </c>
      <c r="B837" s="1225" t="s">
        <v>1034</v>
      </c>
      <c r="C837" s="1225" t="s">
        <v>2929</v>
      </c>
      <c r="D837" s="1225">
        <v>128</v>
      </c>
      <c r="E837" s="1225" t="s">
        <v>1034</v>
      </c>
      <c r="F837" s="1225">
        <v>384</v>
      </c>
    </row>
    <row r="838" spans="1:6" s="1225" customFormat="1" ht="17.25" customHeight="1">
      <c r="C838" s="1225" t="s">
        <v>2606</v>
      </c>
      <c r="F838" s="1225">
        <v>789.5</v>
      </c>
    </row>
    <row r="839" spans="1:6" s="1225" customFormat="1" ht="17.25" customHeight="1">
      <c r="C839" s="1225" t="s">
        <v>1557</v>
      </c>
      <c r="F839" s="1225">
        <v>2</v>
      </c>
    </row>
    <row r="840" spans="1:6" s="1225" customFormat="1" ht="17.25" customHeight="1">
      <c r="C840" s="1225" t="s">
        <v>2607</v>
      </c>
      <c r="F840" s="1225">
        <v>2946.5</v>
      </c>
    </row>
    <row r="841" spans="1:6" s="1225" customFormat="1" ht="17.25" customHeight="1"/>
    <row r="842" spans="1:6" s="1225" customFormat="1" ht="17.25" customHeight="1"/>
    <row r="843" spans="1:6" s="1225" customFormat="1" ht="17.25" customHeight="1">
      <c r="C843" s="1225" t="s">
        <v>2732</v>
      </c>
    </row>
    <row r="844" spans="1:6" s="1225" customFormat="1" ht="17.25" customHeight="1"/>
    <row r="845" spans="1:6" s="1225" customFormat="1" ht="17.25" customHeight="1">
      <c r="C845" s="1225" t="s">
        <v>2997</v>
      </c>
    </row>
    <row r="846" spans="1:6" s="1225" customFormat="1" ht="17.25" customHeight="1"/>
    <row r="847" spans="1:6" s="1225" customFormat="1" ht="17.25" customHeight="1">
      <c r="A847" s="1225">
        <v>1</v>
      </c>
      <c r="B847" s="1225" t="s">
        <v>1034</v>
      </c>
      <c r="C847" s="1225" t="s">
        <v>2998</v>
      </c>
      <c r="D847" s="1225">
        <v>1447</v>
      </c>
      <c r="E847" s="1225" t="s">
        <v>1034</v>
      </c>
      <c r="F847" s="1225">
        <v>1447</v>
      </c>
    </row>
    <row r="848" spans="1:6" s="1225" customFormat="1" ht="17.25" customHeight="1">
      <c r="C848" s="1225" t="s">
        <v>2277</v>
      </c>
      <c r="D848" s="1225">
        <v>337.6</v>
      </c>
      <c r="E848" s="1225" t="s">
        <v>1034</v>
      </c>
      <c r="F848" s="1225">
        <v>337.6</v>
      </c>
    </row>
    <row r="849" spans="1:6" s="1225" customFormat="1" ht="17.25" customHeight="1">
      <c r="C849" s="1225" t="s">
        <v>6426</v>
      </c>
      <c r="F849" s="1225">
        <v>31.6</v>
      </c>
    </row>
    <row r="850" spans="1:6" s="1225" customFormat="1" ht="17.25" customHeight="1">
      <c r="C850" s="1225" t="s">
        <v>2736</v>
      </c>
      <c r="E850" s="1225">
        <v>1816.2</v>
      </c>
      <c r="F850" s="1225">
        <v>18.55</v>
      </c>
    </row>
    <row r="851" spans="1:6" s="1225" customFormat="1" ht="17.25" customHeight="1">
      <c r="C851" s="1225" t="s">
        <v>2737</v>
      </c>
      <c r="F851" s="1225">
        <v>501.25</v>
      </c>
    </row>
    <row r="852" spans="1:6" s="1225" customFormat="1" ht="17.25" customHeight="1">
      <c r="C852" s="1225" t="s">
        <v>2738</v>
      </c>
      <c r="F852" s="1225">
        <v>2336</v>
      </c>
    </row>
    <row r="853" spans="1:6" s="1225" customFormat="1" ht="17.25" customHeight="1"/>
    <row r="854" spans="1:6" s="1225" customFormat="1" ht="17.25" customHeight="1">
      <c r="A854" s="1225">
        <v>238</v>
      </c>
      <c r="B854" s="1225" t="s">
        <v>111</v>
      </c>
      <c r="C854" s="1225" t="s">
        <v>1663</v>
      </c>
    </row>
    <row r="855" spans="1:6" s="1225" customFormat="1" ht="17.25" customHeight="1">
      <c r="C855" s="1225" t="s">
        <v>4408</v>
      </c>
    </row>
    <row r="856" spans="1:6" s="1225" customFormat="1" ht="17.25" customHeight="1">
      <c r="C856" s="1225" t="s">
        <v>52</v>
      </c>
    </row>
    <row r="857" spans="1:6" s="1225" customFormat="1" ht="17.25" customHeight="1">
      <c r="A857" s="1225">
        <v>20</v>
      </c>
      <c r="B857" s="1225" t="s">
        <v>1658</v>
      </c>
      <c r="C857" s="1225" t="s">
        <v>6419</v>
      </c>
      <c r="D857" s="1225">
        <v>116.2</v>
      </c>
      <c r="E857" s="1225" t="s">
        <v>1658</v>
      </c>
      <c r="F857" s="1225">
        <v>2324</v>
      </c>
    </row>
    <row r="858" spans="1:6" s="1225" customFormat="1" ht="17.25" customHeight="1">
      <c r="C858" s="1225" t="s">
        <v>1666</v>
      </c>
      <c r="F858" s="1225" t="s">
        <v>85</v>
      </c>
    </row>
    <row r="859" spans="1:6" s="1225" customFormat="1" ht="17.25" customHeight="1">
      <c r="A859" s="1225">
        <v>50</v>
      </c>
      <c r="B859" s="1225" t="s">
        <v>39</v>
      </c>
      <c r="C859" s="1225" t="s">
        <v>123</v>
      </c>
      <c r="D859" s="1225">
        <v>6.04</v>
      </c>
      <c r="E859" s="1225" t="s">
        <v>39</v>
      </c>
      <c r="F859" s="1225">
        <v>302</v>
      </c>
    </row>
    <row r="860" spans="1:6" s="1225" customFormat="1" ht="17.25" customHeight="1">
      <c r="A860" s="1225">
        <v>1</v>
      </c>
      <c r="B860" s="1225" t="s">
        <v>145</v>
      </c>
      <c r="C860" s="1225" t="s">
        <v>1667</v>
      </c>
      <c r="D860" s="1225">
        <v>75</v>
      </c>
      <c r="E860" s="1225" t="s">
        <v>145</v>
      </c>
      <c r="F860" s="1225">
        <v>75</v>
      </c>
    </row>
    <row r="861" spans="1:6" s="1225" customFormat="1" ht="17.25" customHeight="1">
      <c r="A861" s="1225">
        <v>1</v>
      </c>
      <c r="B861" s="1225" t="s">
        <v>145</v>
      </c>
      <c r="C861" s="1225" t="s">
        <v>1668</v>
      </c>
      <c r="D861" s="1225">
        <v>40</v>
      </c>
      <c r="E861" s="1225" t="s">
        <v>145</v>
      </c>
      <c r="F861" s="1225">
        <v>40</v>
      </c>
    </row>
    <row r="862" spans="1:6" s="1225" customFormat="1" ht="17.25" customHeight="1">
      <c r="A862" s="1225">
        <v>2.5</v>
      </c>
      <c r="B862" s="1225" t="s">
        <v>145</v>
      </c>
      <c r="C862" s="1225" t="s">
        <v>1669</v>
      </c>
      <c r="D862" s="1225">
        <v>805.2</v>
      </c>
      <c r="E862" s="1225" t="s">
        <v>145</v>
      </c>
      <c r="F862" s="1225">
        <v>2013</v>
      </c>
    </row>
    <row r="863" spans="1:6" s="1225" customFormat="1" ht="17.25" customHeight="1">
      <c r="B863" s="1225" t="s">
        <v>145</v>
      </c>
      <c r="C863" s="1225" t="s">
        <v>1670</v>
      </c>
      <c r="E863" s="1225" t="s">
        <v>145</v>
      </c>
      <c r="F863" s="1225">
        <v>1.5</v>
      </c>
    </row>
    <row r="864" spans="1:6" s="1225" customFormat="1" ht="17.25" customHeight="1">
      <c r="F864" s="1225" t="s">
        <v>52</v>
      </c>
    </row>
    <row r="865" spans="1:6" s="1225" customFormat="1" ht="17.25" customHeight="1">
      <c r="C865" s="1225" t="s">
        <v>1671</v>
      </c>
      <c r="F865" s="1225">
        <v>4755.5</v>
      </c>
    </row>
    <row r="866" spans="1:6" s="1225" customFormat="1" ht="17.25" customHeight="1"/>
    <row r="867" spans="1:6" s="1225" customFormat="1" ht="17.25" customHeight="1">
      <c r="C867" s="1225" t="s">
        <v>5234</v>
      </c>
    </row>
    <row r="868" spans="1:6" s="1225" customFormat="1" ht="17.25" customHeight="1"/>
    <row r="869" spans="1:6" s="1225" customFormat="1" ht="17.25" customHeight="1">
      <c r="C869" s="1225" t="s">
        <v>6452</v>
      </c>
    </row>
    <row r="870" spans="1:6" s="1225" customFormat="1" ht="17.25" customHeight="1"/>
    <row r="871" spans="1:6" s="1225" customFormat="1" ht="17.25" customHeight="1">
      <c r="C871" s="1225" t="s">
        <v>5236</v>
      </c>
    </row>
    <row r="872" spans="1:6" s="1225" customFormat="1" ht="17.25" customHeight="1">
      <c r="A872" s="1225">
        <v>5</v>
      </c>
      <c r="B872" s="1225" t="s">
        <v>39</v>
      </c>
      <c r="C872" s="1225" t="s">
        <v>5237</v>
      </c>
      <c r="D872" s="1225">
        <v>27.45</v>
      </c>
      <c r="E872" s="1225" t="s">
        <v>39</v>
      </c>
      <c r="F872" s="1225">
        <v>137.25</v>
      </c>
    </row>
    <row r="873" spans="1:6" s="1225" customFormat="1" ht="17.25" customHeight="1">
      <c r="A873" s="1225">
        <v>1</v>
      </c>
      <c r="B873" s="1225" t="s">
        <v>1034</v>
      </c>
      <c r="C873" s="1225" t="s">
        <v>5238</v>
      </c>
      <c r="D873" s="1225">
        <v>831.6</v>
      </c>
      <c r="E873" s="1225" t="s">
        <v>1034</v>
      </c>
      <c r="F873" s="1225">
        <v>831.6</v>
      </c>
    </row>
    <row r="874" spans="1:6" s="1225" customFormat="1" ht="17.25" customHeight="1">
      <c r="B874" s="1225" t="s">
        <v>49</v>
      </c>
      <c r="C874" s="1225" t="s">
        <v>4918</v>
      </c>
      <c r="E874" s="1225" t="s">
        <v>49</v>
      </c>
      <c r="F874" s="1225">
        <v>17.670000000000002</v>
      </c>
    </row>
    <row r="875" spans="1:6" s="1225" customFormat="1" ht="17.25" customHeight="1">
      <c r="C875" s="1225" t="s">
        <v>4554</v>
      </c>
      <c r="F875" s="1225">
        <v>986.52</v>
      </c>
    </row>
    <row r="876" spans="1:6" s="1225" customFormat="1" ht="17.25" customHeight="1">
      <c r="C876" s="1225" t="s">
        <v>2137</v>
      </c>
      <c r="F876" s="1225">
        <v>98.65</v>
      </c>
    </row>
    <row r="877" spans="1:6" s="1225" customFormat="1" ht="17.25" customHeight="1"/>
    <row r="878" spans="1:6" s="1225" customFormat="1" ht="17.25" customHeight="1">
      <c r="B878" s="1225" t="s">
        <v>7021</v>
      </c>
    </row>
    <row r="879" spans="1:6" s="1225" customFormat="1" ht="17.25" customHeight="1"/>
    <row r="880" spans="1:6" s="1225" customFormat="1" ht="17.25" customHeight="1">
      <c r="A880" s="1225">
        <v>1.8</v>
      </c>
      <c r="B880" s="1225" t="s">
        <v>132</v>
      </c>
      <c r="C880" s="1225" t="s">
        <v>5048</v>
      </c>
      <c r="D880" s="1225">
        <v>806.98</v>
      </c>
      <c r="E880" s="1225" t="s">
        <v>132</v>
      </c>
      <c r="F880" s="1225">
        <v>1452.56</v>
      </c>
    </row>
    <row r="881" spans="1:6" s="1225" customFormat="1" ht="17.25" customHeight="1"/>
    <row r="882" spans="1:6" s="1225" customFormat="1" ht="17.25" customHeight="1">
      <c r="A882" s="1225">
        <v>1.2</v>
      </c>
      <c r="B882" s="1225" t="s">
        <v>132</v>
      </c>
      <c r="C882" s="1225" t="s">
        <v>5049</v>
      </c>
      <c r="D882" s="1225">
        <v>1420.98</v>
      </c>
      <c r="E882" s="1225" t="s">
        <v>132</v>
      </c>
      <c r="F882" s="1225">
        <v>1705.18</v>
      </c>
    </row>
    <row r="883" spans="1:6" s="1225" customFormat="1" ht="17.25" customHeight="1"/>
    <row r="884" spans="1:6" s="1225" customFormat="1" ht="17.25" customHeight="1">
      <c r="A884" s="1225">
        <v>0.6</v>
      </c>
      <c r="B884" s="1225" t="s">
        <v>132</v>
      </c>
      <c r="C884" s="1225" t="s">
        <v>5050</v>
      </c>
      <c r="D884" s="1225">
        <v>1642.42</v>
      </c>
      <c r="E884" s="1225" t="s">
        <v>132</v>
      </c>
      <c r="F884" s="1225">
        <v>985.45</v>
      </c>
    </row>
    <row r="885" spans="1:6" s="1225" customFormat="1" ht="17.25" customHeight="1"/>
    <row r="886" spans="1:6" s="1225" customFormat="1" ht="17.25" customHeight="1">
      <c r="A886" s="1225">
        <v>3</v>
      </c>
      <c r="B886" s="1225" t="s">
        <v>132</v>
      </c>
      <c r="C886" s="1225" t="s">
        <v>5052</v>
      </c>
      <c r="D886" s="1225">
        <v>2164.64</v>
      </c>
      <c r="E886" s="1225" t="s">
        <v>132</v>
      </c>
      <c r="F886" s="1225">
        <v>6493.92</v>
      </c>
    </row>
    <row r="887" spans="1:6" s="1225" customFormat="1" ht="17.25" customHeight="1"/>
    <row r="888" spans="1:6" s="1225" customFormat="1" ht="17.25" customHeight="1">
      <c r="A888" s="1225">
        <v>3</v>
      </c>
      <c r="B888" s="1225" t="s">
        <v>132</v>
      </c>
      <c r="C888" s="1225" t="s">
        <v>5053</v>
      </c>
      <c r="D888" s="1225">
        <v>32.229999999999997</v>
      </c>
      <c r="E888" s="1225" t="s">
        <v>132</v>
      </c>
      <c r="F888" s="1225">
        <v>96.69</v>
      </c>
    </row>
    <row r="889" spans="1:6" s="1225" customFormat="1" ht="17.25" customHeight="1"/>
    <row r="890" spans="1:6" s="1225" customFormat="1" ht="17.25" customHeight="1">
      <c r="A890" s="1225">
        <v>3</v>
      </c>
      <c r="B890" s="1225" t="s">
        <v>132</v>
      </c>
      <c r="C890" s="1225" t="s">
        <v>5055</v>
      </c>
      <c r="D890" s="1225">
        <v>72.819999999999993</v>
      </c>
      <c r="E890" s="1225" t="s">
        <v>132</v>
      </c>
      <c r="F890" s="1225">
        <v>218.46</v>
      </c>
    </row>
    <row r="891" spans="1:6" s="1225" customFormat="1" ht="17.25" customHeight="1"/>
    <row r="892" spans="1:6" s="1225" customFormat="1" ht="17.25" customHeight="1">
      <c r="C892" s="1225" t="s">
        <v>5057</v>
      </c>
      <c r="E892" s="1225" t="s">
        <v>145</v>
      </c>
      <c r="F892" s="1225">
        <v>1.84</v>
      </c>
    </row>
    <row r="893" spans="1:6" s="1225" customFormat="1" ht="17.25" customHeight="1"/>
    <row r="894" spans="1:6" s="1225" customFormat="1" ht="17.25" customHeight="1">
      <c r="C894" s="1225" t="s">
        <v>7022</v>
      </c>
      <c r="F894" s="1225">
        <v>10954.1</v>
      </c>
    </row>
    <row r="895" spans="1:6" s="1225" customFormat="1" ht="17.25" customHeight="1">
      <c r="C895" s="1225" t="s">
        <v>5061</v>
      </c>
      <c r="F895" s="1225">
        <v>3651.37</v>
      </c>
    </row>
    <row r="896" spans="1:6" s="1225" customFormat="1" ht="17.25" customHeight="1"/>
    <row r="897" spans="1:6" s="1225" customFormat="1" ht="17.25" customHeight="1">
      <c r="A897" s="1225" t="s">
        <v>374</v>
      </c>
      <c r="B897" s="1225" t="s">
        <v>111</v>
      </c>
      <c r="C897" s="1225" t="s">
        <v>375</v>
      </c>
    </row>
    <row r="898" spans="1:6" s="1225" customFormat="1" ht="17.25" customHeight="1">
      <c r="C898" s="1225" t="s">
        <v>6428</v>
      </c>
    </row>
    <row r="899" spans="1:6" s="1225" customFormat="1" ht="17.25" customHeight="1">
      <c r="C899" s="1225" t="s">
        <v>52</v>
      </c>
    </row>
    <row r="900" spans="1:6" s="1225" customFormat="1" ht="17.25" customHeight="1">
      <c r="A900" s="1225">
        <v>1</v>
      </c>
      <c r="B900" s="1225" t="s">
        <v>132</v>
      </c>
      <c r="C900" s="1225" t="s">
        <v>4017</v>
      </c>
      <c r="D900" s="1225">
        <v>304.39999999999998</v>
      </c>
      <c r="E900" s="1225" t="s">
        <v>132</v>
      </c>
      <c r="F900" s="1225">
        <v>304.39999999999998</v>
      </c>
    </row>
    <row r="901" spans="1:6" s="1225" customFormat="1" ht="17.25" customHeight="1">
      <c r="A901" s="1225">
        <v>1</v>
      </c>
      <c r="B901" s="1225" t="s">
        <v>132</v>
      </c>
      <c r="C901" s="1225" t="s">
        <v>218</v>
      </c>
      <c r="D901" s="1225">
        <v>40.65</v>
      </c>
      <c r="E901" s="1225" t="s">
        <v>132</v>
      </c>
      <c r="F901" s="1225">
        <v>40.65</v>
      </c>
    </row>
    <row r="902" spans="1:6" s="1225" customFormat="1" ht="17.25" customHeight="1">
      <c r="B902" s="1225" t="s">
        <v>145</v>
      </c>
      <c r="C902" s="1225" t="s">
        <v>146</v>
      </c>
      <c r="D902" s="1225" t="s">
        <v>85</v>
      </c>
      <c r="E902" s="1225" t="s">
        <v>145</v>
      </c>
      <c r="F902" s="1225">
        <v>0</v>
      </c>
    </row>
    <row r="903" spans="1:6" s="1225" customFormat="1" ht="17.25" customHeight="1">
      <c r="F903" s="1225" t="s">
        <v>52</v>
      </c>
    </row>
    <row r="904" spans="1:6" s="1225" customFormat="1" ht="17.25" customHeight="1">
      <c r="C904" s="1225" t="s">
        <v>155</v>
      </c>
      <c r="F904" s="1225">
        <v>345.05</v>
      </c>
    </row>
    <row r="905" spans="1:6" s="1225" customFormat="1" ht="17.25" customHeight="1"/>
    <row r="906" spans="1:6" s="1225" customFormat="1" ht="17.25" customHeight="1">
      <c r="B906" s="1225" t="s">
        <v>111</v>
      </c>
      <c r="C906" s="1225" t="s">
        <v>1623</v>
      </c>
    </row>
    <row r="907" spans="1:6" s="1225" customFormat="1" ht="17.25" customHeight="1">
      <c r="C907" s="1225" t="s">
        <v>1624</v>
      </c>
    </row>
    <row r="908" spans="1:6" s="1225" customFormat="1" ht="17.25" customHeight="1">
      <c r="C908" s="1225" t="s">
        <v>1625</v>
      </c>
    </row>
    <row r="909" spans="1:6" s="1225" customFormat="1" ht="17.25" customHeight="1">
      <c r="C909" s="1225" t="s">
        <v>52</v>
      </c>
    </row>
    <row r="910" spans="1:6" s="1225" customFormat="1" ht="17.25" customHeight="1">
      <c r="A910" s="1225">
        <v>0.14000000000000001</v>
      </c>
      <c r="B910" s="1225" t="s">
        <v>132</v>
      </c>
      <c r="C910" s="1225" t="s">
        <v>217</v>
      </c>
      <c r="D910" s="1225">
        <v>4667.62</v>
      </c>
      <c r="E910" s="1225" t="s">
        <v>132</v>
      </c>
      <c r="F910" s="1225">
        <v>653.47</v>
      </c>
    </row>
    <row r="911" spans="1:6" s="1225" customFormat="1" ht="17.25" customHeight="1">
      <c r="A911" s="1225">
        <v>1.1000000000000001</v>
      </c>
      <c r="B911" s="1225" t="s">
        <v>131</v>
      </c>
      <c r="C911" s="1225" t="s">
        <v>345</v>
      </c>
      <c r="D911" s="1225">
        <v>1041.7</v>
      </c>
      <c r="E911" s="1225" t="s">
        <v>131</v>
      </c>
      <c r="F911" s="1225">
        <v>1145.8699999999999</v>
      </c>
    </row>
    <row r="912" spans="1:6" s="1225" customFormat="1" ht="17.25" customHeight="1">
      <c r="A912" s="1225">
        <v>0.5</v>
      </c>
      <c r="B912" s="1225" t="s">
        <v>131</v>
      </c>
      <c r="C912" s="1225" t="s">
        <v>304</v>
      </c>
      <c r="D912" s="1225">
        <v>679.8</v>
      </c>
      <c r="E912" s="1225" t="s">
        <v>131</v>
      </c>
      <c r="F912" s="1225">
        <v>339.9</v>
      </c>
    </row>
    <row r="913" spans="1:6" s="1225" customFormat="1" ht="17.25" customHeight="1">
      <c r="A913" s="1225">
        <v>1.1000000000000001</v>
      </c>
      <c r="B913" s="1225" t="s">
        <v>131</v>
      </c>
      <c r="C913" s="1225" t="s">
        <v>306</v>
      </c>
      <c r="D913" s="1225">
        <v>557.70000000000005</v>
      </c>
      <c r="E913" s="1225" t="s">
        <v>131</v>
      </c>
      <c r="F913" s="1225">
        <v>613.47</v>
      </c>
    </row>
    <row r="914" spans="1:6" s="1225" customFormat="1" ht="17.25" customHeight="1">
      <c r="A914" s="1225">
        <v>2</v>
      </c>
      <c r="B914" s="1225" t="s">
        <v>39</v>
      </c>
      <c r="C914" s="1225" t="s">
        <v>1626</v>
      </c>
      <c r="D914" s="1225">
        <v>42.7</v>
      </c>
      <c r="E914" s="1225" t="s">
        <v>39</v>
      </c>
      <c r="F914" s="1225">
        <v>85.4</v>
      </c>
    </row>
    <row r="915" spans="1:6" s="1225" customFormat="1" ht="17.25" customHeight="1">
      <c r="B915" s="1225" t="s">
        <v>145</v>
      </c>
      <c r="C915" s="1225" t="s">
        <v>146</v>
      </c>
      <c r="D915" s="1225" t="s">
        <v>85</v>
      </c>
      <c r="E915" s="1225" t="s">
        <v>145</v>
      </c>
    </row>
    <row r="916" spans="1:6" s="1225" customFormat="1" ht="17.25" customHeight="1">
      <c r="F916" s="1225" t="s">
        <v>52</v>
      </c>
    </row>
    <row r="917" spans="1:6" s="1225" customFormat="1" ht="17.25" customHeight="1">
      <c r="A917" s="1225" t="s">
        <v>85</v>
      </c>
      <c r="C917" s="1225" t="s">
        <v>495</v>
      </c>
      <c r="F917" s="1225">
        <v>2838.11</v>
      </c>
    </row>
    <row r="918" spans="1:6" s="1225" customFormat="1" ht="17.25" customHeight="1">
      <c r="F918" s="1225" t="s">
        <v>52</v>
      </c>
    </row>
    <row r="919" spans="1:6" s="1225" customFormat="1" ht="17.25" customHeight="1">
      <c r="C919" s="1225" t="s">
        <v>460</v>
      </c>
      <c r="F919" s="1225">
        <v>283.81</v>
      </c>
    </row>
    <row r="920" spans="1:6" s="1225" customFormat="1" ht="17.25" customHeight="1"/>
    <row r="921" spans="1:6" s="1225" customFormat="1" ht="17.25" customHeight="1">
      <c r="B921" s="1225">
        <v>4.2</v>
      </c>
      <c r="C921" s="1225" t="s">
        <v>66</v>
      </c>
    </row>
    <row r="922" spans="1:6" s="1225" customFormat="1" ht="17.25" customHeight="1">
      <c r="A922" s="1225">
        <v>5</v>
      </c>
      <c r="B922" s="1225" t="s">
        <v>34</v>
      </c>
      <c r="C922" s="1225" t="s">
        <v>6429</v>
      </c>
      <c r="D922" s="1225">
        <v>1729.98</v>
      </c>
      <c r="F922" s="1225">
        <v>8649.9</v>
      </c>
    </row>
    <row r="923" spans="1:6" s="1225" customFormat="1" ht="17.25" customHeight="1">
      <c r="A923" s="1225">
        <v>3.3</v>
      </c>
      <c r="B923" s="1225" t="s">
        <v>34</v>
      </c>
      <c r="C923" s="1225" t="s">
        <v>6430</v>
      </c>
      <c r="D923" s="1225">
        <v>1444.48</v>
      </c>
      <c r="F923" s="1225">
        <v>4766.78</v>
      </c>
    </row>
    <row r="924" spans="1:6" s="1225" customFormat="1" ht="17.25" customHeight="1">
      <c r="A924" s="1225">
        <v>4.79</v>
      </c>
      <c r="B924" s="1225" t="s">
        <v>34</v>
      </c>
      <c r="C924" s="1225" t="s">
        <v>6431</v>
      </c>
      <c r="D924" s="1225">
        <v>1642.42</v>
      </c>
      <c r="F924" s="1225">
        <v>7867.19</v>
      </c>
    </row>
    <row r="925" spans="1:6" s="1225" customFormat="1" ht="17.25" customHeight="1">
      <c r="A925" s="1225">
        <v>4</v>
      </c>
      <c r="B925" s="1225" t="s">
        <v>11</v>
      </c>
      <c r="C925" s="1225" t="s">
        <v>38</v>
      </c>
      <c r="D925" s="1225">
        <v>6040</v>
      </c>
      <c r="F925" s="1225">
        <v>24160</v>
      </c>
    </row>
    <row r="926" spans="1:6" s="1225" customFormat="1" ht="17.25" customHeight="1">
      <c r="A926" s="1225">
        <v>40</v>
      </c>
      <c r="B926" s="1225" t="s">
        <v>39</v>
      </c>
      <c r="C926" s="1225" t="s">
        <v>67</v>
      </c>
      <c r="D926" s="1225">
        <v>43.2</v>
      </c>
      <c r="F926" s="1225">
        <v>1728</v>
      </c>
    </row>
    <row r="927" spans="1:6" s="1225" customFormat="1" ht="17.25" customHeight="1">
      <c r="A927" s="1225">
        <v>3.5</v>
      </c>
      <c r="B927" s="1225" t="s">
        <v>41</v>
      </c>
      <c r="C927" s="1225" t="s">
        <v>42</v>
      </c>
      <c r="D927" s="1225">
        <v>972.4</v>
      </c>
      <c r="F927" s="1225">
        <v>3403.4</v>
      </c>
    </row>
    <row r="928" spans="1:6" s="1225" customFormat="1" ht="17.25" customHeight="1">
      <c r="A928" s="1225">
        <v>21.2</v>
      </c>
      <c r="B928" s="1225" t="s">
        <v>41</v>
      </c>
      <c r="C928" s="1225" t="s">
        <v>43</v>
      </c>
      <c r="D928" s="1225">
        <v>679.8</v>
      </c>
      <c r="F928" s="1225">
        <v>14411.76</v>
      </c>
    </row>
    <row r="929" spans="1:6" s="1225" customFormat="1" ht="17.25" customHeight="1">
      <c r="A929" s="1225">
        <v>35.299999999999997</v>
      </c>
      <c r="B929" s="1225" t="s">
        <v>41</v>
      </c>
      <c r="C929" s="1225" t="s">
        <v>44</v>
      </c>
      <c r="D929" s="1225">
        <v>557.70000000000005</v>
      </c>
      <c r="F929" s="1225">
        <v>19686.810000000001</v>
      </c>
    </row>
    <row r="930" spans="1:6" s="1225" customFormat="1" ht="17.25" customHeight="1">
      <c r="C930" s="1225" t="s">
        <v>45</v>
      </c>
      <c r="F930" s="1225">
        <v>84673.84</v>
      </c>
    </row>
    <row r="931" spans="1:6" s="1225" customFormat="1" ht="17.25" customHeight="1">
      <c r="C931" s="1225" t="s">
        <v>46</v>
      </c>
      <c r="F931" s="1225">
        <v>8467.3799999999992</v>
      </c>
    </row>
    <row r="932" spans="1:6" s="1225" customFormat="1" ht="17.25" customHeight="1">
      <c r="A932" s="1225">
        <v>1</v>
      </c>
      <c r="B932" s="1225" t="s">
        <v>34</v>
      </c>
      <c r="C932" s="1225" t="s">
        <v>47</v>
      </c>
      <c r="D932" s="1225">
        <v>98.34</v>
      </c>
      <c r="F932" s="1225">
        <v>98.34</v>
      </c>
    </row>
    <row r="933" spans="1:6" s="1225" customFormat="1" ht="17.25" customHeight="1">
      <c r="C933" s="1225" t="s">
        <v>48</v>
      </c>
      <c r="F933" s="1225">
        <v>8565.7199999999993</v>
      </c>
    </row>
    <row r="934" spans="1:6" s="1225" customFormat="1" ht="17.25" customHeight="1">
      <c r="A934" s="1225" t="s">
        <v>49</v>
      </c>
      <c r="C934" s="1225" t="s">
        <v>50</v>
      </c>
      <c r="D934" s="1225" t="s">
        <v>49</v>
      </c>
      <c r="F934" s="1225">
        <v>42.83</v>
      </c>
    </row>
    <row r="935" spans="1:6" s="1225" customFormat="1" ht="17.25" customHeight="1">
      <c r="C935" s="1225" t="s">
        <v>51</v>
      </c>
      <c r="F935" s="1225">
        <v>8608.5499999999993</v>
      </c>
    </row>
    <row r="936" spans="1:6" s="1225" customFormat="1" ht="17.25" customHeight="1">
      <c r="F936" s="1225" t="s">
        <v>52</v>
      </c>
    </row>
    <row r="937" spans="1:6" s="1225" customFormat="1" ht="17.25" customHeight="1">
      <c r="C937" s="1225" t="s">
        <v>53</v>
      </c>
      <c r="F937" s="1225">
        <v>8733.51</v>
      </c>
    </row>
    <row r="938" spans="1:6" s="1225" customFormat="1" ht="17.25" customHeight="1">
      <c r="C938" s="1225" t="s">
        <v>54</v>
      </c>
      <c r="F938" s="1225">
        <v>8979.69</v>
      </c>
    </row>
    <row r="939" spans="1:6" s="1225" customFormat="1" ht="17.25" customHeight="1">
      <c r="C939" s="1225" t="s">
        <v>55</v>
      </c>
      <c r="F939" s="1225">
        <v>9225.8700000000008</v>
      </c>
    </row>
    <row r="940" spans="1:6" s="1225" customFormat="1" ht="17.25" customHeight="1">
      <c r="C940" s="1225" t="s">
        <v>56</v>
      </c>
      <c r="F940" s="1225">
        <v>9472.0499999999993</v>
      </c>
    </row>
    <row r="941" spans="1:6" s="1225" customFormat="1" ht="17.25" customHeight="1">
      <c r="C941" s="1225" t="s">
        <v>57</v>
      </c>
      <c r="F941" s="1225">
        <v>9718.23</v>
      </c>
    </row>
    <row r="942" spans="1:6" s="1225" customFormat="1" ht="17.25" customHeight="1">
      <c r="F942" s="1225">
        <v>9964.41</v>
      </c>
    </row>
    <row r="943" spans="1:6" s="1225" customFormat="1" ht="17.25" customHeight="1"/>
    <row r="944" spans="1:6" s="1225" customFormat="1" ht="17.25" customHeight="1">
      <c r="B944" s="1225" t="s">
        <v>4533</v>
      </c>
      <c r="C944" s="1225" t="s">
        <v>4534</v>
      </c>
      <c r="D944" s="1225">
        <v>881.39</v>
      </c>
    </row>
    <row r="945" spans="1:4" s="1225" customFormat="1" ht="17.25" customHeight="1"/>
    <row r="946" spans="1:4" s="1225" customFormat="1" ht="17.25" customHeight="1">
      <c r="B946" s="1225" t="s">
        <v>986</v>
      </c>
      <c r="C946" s="1225" t="s">
        <v>4535</v>
      </c>
      <c r="D946" s="1225">
        <v>982.08</v>
      </c>
    </row>
    <row r="947" spans="1:4" s="1225" customFormat="1" ht="17.25" customHeight="1"/>
    <row r="948" spans="1:4" s="1225" customFormat="1" ht="17.25" customHeight="1">
      <c r="B948" s="1225" t="s">
        <v>1018</v>
      </c>
      <c r="C948" s="1225" t="s">
        <v>4536</v>
      </c>
      <c r="D948" s="1225">
        <v>1178.5</v>
      </c>
    </row>
    <row r="949" spans="1:4" s="1225" customFormat="1" ht="17.25" customHeight="1"/>
    <row r="950" spans="1:4" s="1225" customFormat="1" ht="17.25" customHeight="1">
      <c r="B950" s="1225" t="s">
        <v>4538</v>
      </c>
      <c r="C950" s="1225" t="s">
        <v>4539</v>
      </c>
      <c r="D950" s="1225">
        <v>1080.29</v>
      </c>
    </row>
    <row r="951" spans="1:4" s="1225" customFormat="1" ht="17.25" customHeight="1"/>
    <row r="952" spans="1:4" s="1225" customFormat="1" ht="17.25" customHeight="1"/>
    <row r="953" spans="1:4" s="1225" customFormat="1" ht="17.25" customHeight="1"/>
    <row r="954" spans="1:4" s="1225" customFormat="1" ht="17.25" customHeight="1">
      <c r="A954" s="1225" t="s">
        <v>1164</v>
      </c>
      <c r="B954" s="1225" t="s">
        <v>111</v>
      </c>
      <c r="C954" s="1225" t="s">
        <v>1165</v>
      </c>
    </row>
    <row r="955" spans="1:4" s="1225" customFormat="1" ht="17.25" customHeight="1">
      <c r="C955" s="1225" t="s">
        <v>1167</v>
      </c>
    </row>
    <row r="956" spans="1:4" s="1225" customFormat="1" ht="17.25" customHeight="1">
      <c r="C956" s="1225" t="s">
        <v>1169</v>
      </c>
    </row>
    <row r="957" spans="1:4" s="1225" customFormat="1" ht="17.25" customHeight="1">
      <c r="C957" s="1225" t="s">
        <v>1171</v>
      </c>
    </row>
    <row r="958" spans="1:4" s="1225" customFormat="1" ht="17.25" customHeight="1">
      <c r="C958" s="1225" t="s">
        <v>1173</v>
      </c>
    </row>
    <row r="959" spans="1:4" s="1225" customFormat="1" ht="17.25" customHeight="1">
      <c r="C959" s="1225" t="s">
        <v>1175</v>
      </c>
    </row>
    <row r="960" spans="1:4" s="1225" customFormat="1" ht="17.25" customHeight="1">
      <c r="C960" s="1225" t="s">
        <v>1178</v>
      </c>
    </row>
    <row r="961" spans="1:6" s="1225" customFormat="1" ht="17.25" customHeight="1">
      <c r="C961" s="1225" t="s">
        <v>1180</v>
      </c>
    </row>
    <row r="962" spans="1:6" s="1225" customFormat="1" ht="17.25" customHeight="1">
      <c r="C962" s="1225" t="s">
        <v>1182</v>
      </c>
    </row>
    <row r="963" spans="1:6" s="1225" customFormat="1" ht="17.25" customHeight="1">
      <c r="C963" s="1225" t="s">
        <v>1184</v>
      </c>
    </row>
    <row r="964" spans="1:6" s="1225" customFormat="1" ht="17.25" customHeight="1">
      <c r="C964" s="1225" t="s">
        <v>1186</v>
      </c>
    </row>
    <row r="965" spans="1:6" s="1225" customFormat="1" ht="17.25" customHeight="1">
      <c r="C965" s="1225" t="s">
        <v>1188</v>
      </c>
    </row>
    <row r="966" spans="1:6" s="1225" customFormat="1" ht="17.25" customHeight="1">
      <c r="C966" s="1225" t="s">
        <v>1190</v>
      </c>
    </row>
    <row r="967" spans="1:6" s="1225" customFormat="1" ht="17.25" customHeight="1">
      <c r="C967" s="1225" t="s">
        <v>1192</v>
      </c>
    </row>
    <row r="968" spans="1:6" s="1225" customFormat="1" ht="17.25" customHeight="1"/>
    <row r="969" spans="1:6" s="1225" customFormat="1" ht="17.25" customHeight="1"/>
    <row r="970" spans="1:6" s="1225" customFormat="1" ht="17.25" customHeight="1">
      <c r="B970" s="1225" t="s">
        <v>1018</v>
      </c>
      <c r="C970" s="1225" t="s">
        <v>1197</v>
      </c>
    </row>
    <row r="971" spans="1:6" s="1225" customFormat="1" ht="17.25" customHeight="1">
      <c r="C971" s="1225" t="s">
        <v>1199</v>
      </c>
    </row>
    <row r="972" spans="1:6" s="1225" customFormat="1" ht="17.25" customHeight="1">
      <c r="A972" s="1225">
        <v>3.8100000000000002E-2</v>
      </c>
      <c r="B972" s="1225" t="s">
        <v>132</v>
      </c>
      <c r="C972" s="1225" t="s">
        <v>1201</v>
      </c>
      <c r="D972" s="1225">
        <v>7965.45</v>
      </c>
      <c r="E972" s="1225" t="s">
        <v>132</v>
      </c>
      <c r="F972" s="1225">
        <v>303.48</v>
      </c>
    </row>
    <row r="973" spans="1:6" s="1225" customFormat="1" ht="17.25" customHeight="1">
      <c r="A973" s="1225">
        <v>5.01</v>
      </c>
      <c r="B973" s="1225" t="s">
        <v>39</v>
      </c>
      <c r="C973" s="1225" t="s">
        <v>1203</v>
      </c>
      <c r="D973" s="1225">
        <v>90172</v>
      </c>
      <c r="E973" s="1225" t="s">
        <v>122</v>
      </c>
      <c r="F973" s="1225">
        <v>451.76</v>
      </c>
    </row>
    <row r="974" spans="1:6" s="1225" customFormat="1" ht="17.25" customHeight="1">
      <c r="A974" s="1225">
        <v>3</v>
      </c>
      <c r="B974" s="1225" t="s">
        <v>131</v>
      </c>
      <c r="C974" s="1225" t="s">
        <v>1205</v>
      </c>
      <c r="D974" s="1225">
        <v>14.8</v>
      </c>
      <c r="E974" s="1225" t="s">
        <v>131</v>
      </c>
      <c r="F974" s="1225">
        <v>44.4</v>
      </c>
    </row>
    <row r="975" spans="1:6" s="1225" customFormat="1" ht="17.25" customHeight="1">
      <c r="A975" s="1225">
        <v>12</v>
      </c>
      <c r="B975" s="1225" t="s">
        <v>131</v>
      </c>
      <c r="C975" s="1225" t="s">
        <v>1207</v>
      </c>
      <c r="D975" s="1225">
        <v>2</v>
      </c>
      <c r="E975" s="1225" t="s">
        <v>131</v>
      </c>
      <c r="F975" s="1225">
        <v>24</v>
      </c>
    </row>
    <row r="976" spans="1:6" s="1225" customFormat="1" ht="17.25" customHeight="1">
      <c r="A976" s="1225">
        <v>2</v>
      </c>
      <c r="B976" s="1225" t="s">
        <v>131</v>
      </c>
      <c r="C976" s="1225" t="s">
        <v>1209</v>
      </c>
      <c r="D976" s="1225">
        <v>4.9000000000000004</v>
      </c>
      <c r="E976" s="1225" t="s">
        <v>131</v>
      </c>
      <c r="F976" s="1225">
        <v>9.8000000000000007</v>
      </c>
    </row>
    <row r="977" spans="1:6" s="1225" customFormat="1" ht="17.25" customHeight="1">
      <c r="A977" s="1225">
        <v>6</v>
      </c>
      <c r="B977" s="1225" t="s">
        <v>131</v>
      </c>
      <c r="C977" s="1225" t="s">
        <v>1211</v>
      </c>
      <c r="D977" s="1225">
        <v>4.45</v>
      </c>
      <c r="E977" s="1225" t="s">
        <v>131</v>
      </c>
      <c r="F977" s="1225">
        <v>26.7</v>
      </c>
    </row>
    <row r="978" spans="1:6" s="1225" customFormat="1" ht="17.25" customHeight="1">
      <c r="A978" s="1225">
        <v>1</v>
      </c>
      <c r="B978" s="1225" t="s">
        <v>131</v>
      </c>
      <c r="C978" s="1225" t="s">
        <v>1213</v>
      </c>
      <c r="D978" s="1225">
        <v>1041.7</v>
      </c>
      <c r="E978" s="1225" t="s">
        <v>131</v>
      </c>
      <c r="F978" s="1225">
        <v>1041.7</v>
      </c>
    </row>
    <row r="979" spans="1:6" s="1225" customFormat="1" ht="17.25" customHeight="1">
      <c r="A979" s="1225">
        <v>1</v>
      </c>
      <c r="B979" s="1225" t="s">
        <v>131</v>
      </c>
      <c r="C979" s="1225" t="s">
        <v>1215</v>
      </c>
      <c r="D979" s="1225">
        <v>679.8</v>
      </c>
      <c r="E979" s="1225" t="s">
        <v>131</v>
      </c>
      <c r="F979" s="1225">
        <v>679.8</v>
      </c>
    </row>
    <row r="980" spans="1:6" s="1225" customFormat="1" ht="17.25" customHeight="1">
      <c r="A980" s="1225">
        <v>1</v>
      </c>
      <c r="B980" s="1225" t="s">
        <v>131</v>
      </c>
      <c r="C980" s="1225" t="s">
        <v>1217</v>
      </c>
      <c r="D980" s="1225">
        <v>25</v>
      </c>
      <c r="E980" s="1225" t="s">
        <v>131</v>
      </c>
      <c r="F980" s="1225">
        <v>25</v>
      </c>
    </row>
    <row r="981" spans="1:6" s="1225" customFormat="1" ht="17.25" customHeight="1">
      <c r="A981" s="1225">
        <v>0.5</v>
      </c>
      <c r="B981" s="1225" t="s">
        <v>131</v>
      </c>
      <c r="C981" s="1225" t="s">
        <v>1219</v>
      </c>
      <c r="D981" s="1225">
        <v>557.70000000000005</v>
      </c>
      <c r="E981" s="1225" t="s">
        <v>131</v>
      </c>
      <c r="F981" s="1225">
        <v>278.85000000000002</v>
      </c>
    </row>
    <row r="982" spans="1:6" s="1225" customFormat="1" ht="17.25" customHeight="1">
      <c r="B982" s="1225" t="s">
        <v>145</v>
      </c>
      <c r="C982" s="1225" t="s">
        <v>1221</v>
      </c>
      <c r="E982" s="1225" t="s">
        <v>145</v>
      </c>
      <c r="F982" s="1225">
        <v>1.1299999999999999</v>
      </c>
    </row>
    <row r="983" spans="1:6" s="1225" customFormat="1" ht="17.25" customHeight="1">
      <c r="F983" s="1225" t="s">
        <v>52</v>
      </c>
    </row>
    <row r="984" spans="1:6" s="1225" customFormat="1" ht="17.25" customHeight="1">
      <c r="C984" s="1225" t="s">
        <v>1224</v>
      </c>
      <c r="F984" s="1225">
        <v>2886.62</v>
      </c>
    </row>
    <row r="985" spans="1:6" s="1225" customFormat="1" ht="17.25" customHeight="1"/>
    <row r="986" spans="1:6" s="1225" customFormat="1" ht="17.25" customHeight="1">
      <c r="B986" s="1225" t="s">
        <v>956</v>
      </c>
      <c r="C986" s="1225" t="s">
        <v>1227</v>
      </c>
    </row>
    <row r="987" spans="1:6" s="1225" customFormat="1" ht="17.25" customHeight="1">
      <c r="C987" s="1225" t="s">
        <v>1199</v>
      </c>
    </row>
    <row r="988" spans="1:6" s="1225" customFormat="1" ht="17.25" customHeight="1">
      <c r="A988" s="1225">
        <v>3.6799999999999999E-2</v>
      </c>
      <c r="B988" s="1225" t="s">
        <v>132</v>
      </c>
      <c r="C988" s="1225" t="s">
        <v>6434</v>
      </c>
      <c r="D988" s="1225">
        <v>7965.45</v>
      </c>
      <c r="E988" s="1225" t="s">
        <v>132</v>
      </c>
      <c r="F988" s="1225">
        <v>293.13</v>
      </c>
    </row>
    <row r="989" spans="1:6" s="1225" customFormat="1" ht="17.25" customHeight="1">
      <c r="A989" s="1225">
        <v>4.87</v>
      </c>
      <c r="B989" s="1225" t="s">
        <v>39</v>
      </c>
      <c r="C989" s="1225" t="s">
        <v>1203</v>
      </c>
      <c r="D989" s="1225">
        <v>90172</v>
      </c>
      <c r="E989" s="1225" t="s">
        <v>122</v>
      </c>
      <c r="F989" s="1225">
        <v>439.14</v>
      </c>
    </row>
    <row r="990" spans="1:6" s="1225" customFormat="1" ht="17.25" customHeight="1">
      <c r="A990" s="1225">
        <v>3</v>
      </c>
      <c r="B990" s="1225" t="s">
        <v>131</v>
      </c>
      <c r="C990" s="1225" t="s">
        <v>1205</v>
      </c>
      <c r="D990" s="1225">
        <v>14.8</v>
      </c>
      <c r="E990" s="1225" t="s">
        <v>131</v>
      </c>
      <c r="F990" s="1225">
        <v>44.4</v>
      </c>
    </row>
    <row r="991" spans="1:6" s="1225" customFormat="1" ht="17.25" customHeight="1">
      <c r="A991" s="1225">
        <v>12</v>
      </c>
      <c r="B991" s="1225" t="s">
        <v>131</v>
      </c>
      <c r="C991" s="1225" t="s">
        <v>1207</v>
      </c>
      <c r="D991" s="1225">
        <v>2</v>
      </c>
      <c r="E991" s="1225" t="s">
        <v>131</v>
      </c>
      <c r="F991" s="1225">
        <v>24</v>
      </c>
    </row>
    <row r="992" spans="1:6" s="1225" customFormat="1" ht="17.25" customHeight="1">
      <c r="A992" s="1225">
        <v>2</v>
      </c>
      <c r="B992" s="1225" t="s">
        <v>131</v>
      </c>
      <c r="C992" s="1225" t="s">
        <v>1209</v>
      </c>
      <c r="D992" s="1225">
        <v>4.9000000000000004</v>
      </c>
      <c r="E992" s="1225" t="s">
        <v>131</v>
      </c>
      <c r="F992" s="1225">
        <v>9.8000000000000007</v>
      </c>
    </row>
    <row r="993" spans="1:6" s="1225" customFormat="1" ht="17.25" customHeight="1">
      <c r="A993" s="1225">
        <v>6</v>
      </c>
      <c r="B993" s="1225" t="s">
        <v>131</v>
      </c>
      <c r="C993" s="1225" t="s">
        <v>1211</v>
      </c>
      <c r="D993" s="1225">
        <v>4.45</v>
      </c>
      <c r="E993" s="1225" t="s">
        <v>131</v>
      </c>
      <c r="F993" s="1225">
        <v>26.7</v>
      </c>
    </row>
    <row r="994" spans="1:6" s="1225" customFormat="1" ht="17.25" customHeight="1">
      <c r="A994" s="1225">
        <v>1</v>
      </c>
      <c r="B994" s="1225" t="s">
        <v>131</v>
      </c>
      <c r="C994" s="1225" t="s">
        <v>1213</v>
      </c>
      <c r="D994" s="1225">
        <v>1041.7</v>
      </c>
      <c r="E994" s="1225" t="s">
        <v>131</v>
      </c>
      <c r="F994" s="1225">
        <v>1041.7</v>
      </c>
    </row>
    <row r="995" spans="1:6" s="1225" customFormat="1" ht="17.25" customHeight="1">
      <c r="A995" s="1225">
        <v>1</v>
      </c>
      <c r="B995" s="1225" t="s">
        <v>131</v>
      </c>
      <c r="C995" s="1225" t="s">
        <v>1215</v>
      </c>
      <c r="D995" s="1225">
        <v>679.8</v>
      </c>
      <c r="E995" s="1225" t="s">
        <v>131</v>
      </c>
      <c r="F995" s="1225">
        <v>679.8</v>
      </c>
    </row>
    <row r="996" spans="1:6" s="1225" customFormat="1" ht="17.25" customHeight="1">
      <c r="A996" s="1225">
        <v>1</v>
      </c>
      <c r="B996" s="1225" t="s">
        <v>131</v>
      </c>
      <c r="C996" s="1225" t="s">
        <v>1217</v>
      </c>
      <c r="D996" s="1225">
        <v>25</v>
      </c>
      <c r="E996" s="1225" t="s">
        <v>131</v>
      </c>
      <c r="F996" s="1225">
        <v>25</v>
      </c>
    </row>
    <row r="997" spans="1:6" s="1225" customFormat="1" ht="17.25" customHeight="1">
      <c r="A997" s="1225">
        <v>0.5</v>
      </c>
      <c r="B997" s="1225" t="s">
        <v>131</v>
      </c>
      <c r="C997" s="1225" t="s">
        <v>1219</v>
      </c>
      <c r="D997" s="1225">
        <v>557.70000000000005</v>
      </c>
      <c r="E997" s="1225" t="s">
        <v>131</v>
      </c>
      <c r="F997" s="1225">
        <v>278.85000000000002</v>
      </c>
    </row>
    <row r="998" spans="1:6" s="1225" customFormat="1" ht="17.25" customHeight="1">
      <c r="B998" s="1225" t="s">
        <v>145</v>
      </c>
      <c r="C998" s="1225" t="s">
        <v>1221</v>
      </c>
      <c r="E998" s="1225" t="s">
        <v>145</v>
      </c>
      <c r="F998" s="1225">
        <v>1.98</v>
      </c>
    </row>
    <row r="999" spans="1:6" s="1225" customFormat="1" ht="17.25" customHeight="1">
      <c r="F999" s="1225" t="s">
        <v>52</v>
      </c>
    </row>
    <row r="1000" spans="1:6" s="1225" customFormat="1" ht="17.25" customHeight="1">
      <c r="C1000" s="1225" t="s">
        <v>1224</v>
      </c>
      <c r="F1000" s="1225">
        <v>2864.5</v>
      </c>
    </row>
    <row r="1001" spans="1:6" s="1225" customFormat="1" ht="17.25" customHeight="1"/>
    <row r="1002" spans="1:6" s="1225" customFormat="1" ht="17.25" customHeight="1">
      <c r="C1002" s="1225" t="s">
        <v>4227</v>
      </c>
    </row>
    <row r="1003" spans="1:6" s="1225" customFormat="1" ht="17.25" customHeight="1"/>
    <row r="1004" spans="1:6" s="1225" customFormat="1" ht="17.25" customHeight="1">
      <c r="A1004" s="1225">
        <v>6.5000000000000002E-2</v>
      </c>
      <c r="B1004" s="1225" t="s">
        <v>132</v>
      </c>
      <c r="C1004" s="1225" t="s">
        <v>1201</v>
      </c>
      <c r="D1004" s="1225">
        <v>7965.45</v>
      </c>
      <c r="E1004" s="1225" t="s">
        <v>132</v>
      </c>
      <c r="F1004" s="1225">
        <v>517.75</v>
      </c>
    </row>
    <row r="1005" spans="1:6" s="1225" customFormat="1" ht="17.25" customHeight="1">
      <c r="A1005" s="1225">
        <v>8.4499999999999993</v>
      </c>
      <c r="B1005" s="1225" t="s">
        <v>39</v>
      </c>
      <c r="C1005" s="1225" t="s">
        <v>1203</v>
      </c>
      <c r="D1005" s="1225">
        <v>90172</v>
      </c>
      <c r="E1005" s="1225" t="s">
        <v>122</v>
      </c>
      <c r="F1005" s="1225">
        <v>761.95</v>
      </c>
    </row>
    <row r="1006" spans="1:6" s="1225" customFormat="1" ht="17.25" customHeight="1">
      <c r="A1006" s="1225">
        <v>3</v>
      </c>
      <c r="B1006" s="1225" t="s">
        <v>131</v>
      </c>
      <c r="C1006" s="1225" t="s">
        <v>1205</v>
      </c>
      <c r="D1006" s="1225">
        <v>14.8</v>
      </c>
      <c r="E1006" s="1225" t="s">
        <v>131</v>
      </c>
      <c r="F1006" s="1225">
        <v>44.4</v>
      </c>
    </row>
    <row r="1007" spans="1:6" s="1225" customFormat="1" ht="17.25" customHeight="1">
      <c r="A1007" s="1225">
        <v>12</v>
      </c>
      <c r="B1007" s="1225" t="s">
        <v>131</v>
      </c>
      <c r="C1007" s="1225" t="s">
        <v>1207</v>
      </c>
      <c r="D1007" s="1225">
        <v>2</v>
      </c>
      <c r="E1007" s="1225" t="s">
        <v>131</v>
      </c>
      <c r="F1007" s="1225">
        <v>24</v>
      </c>
    </row>
    <row r="1008" spans="1:6" s="1225" customFormat="1" ht="17.25" customHeight="1">
      <c r="A1008" s="1225">
        <v>2</v>
      </c>
      <c r="B1008" s="1225" t="s">
        <v>131</v>
      </c>
      <c r="C1008" s="1225" t="s">
        <v>1209</v>
      </c>
      <c r="D1008" s="1225">
        <v>4.9000000000000004</v>
      </c>
      <c r="E1008" s="1225" t="s">
        <v>131</v>
      </c>
      <c r="F1008" s="1225">
        <v>9.8000000000000007</v>
      </c>
    </row>
    <row r="1009" spans="1:6" s="1225" customFormat="1" ht="17.25" customHeight="1">
      <c r="A1009" s="1225">
        <v>6</v>
      </c>
      <c r="B1009" s="1225" t="s">
        <v>131</v>
      </c>
      <c r="C1009" s="1225" t="s">
        <v>1211</v>
      </c>
      <c r="D1009" s="1225">
        <v>4.45</v>
      </c>
      <c r="E1009" s="1225" t="s">
        <v>131</v>
      </c>
      <c r="F1009" s="1225">
        <v>26.7</v>
      </c>
    </row>
    <row r="1010" spans="1:6" s="1225" customFormat="1" ht="17.25" customHeight="1">
      <c r="A1010" s="1225">
        <v>1</v>
      </c>
      <c r="B1010" s="1225" t="s">
        <v>131</v>
      </c>
      <c r="C1010" s="1225" t="s">
        <v>1213</v>
      </c>
      <c r="D1010" s="1225">
        <v>1041.7</v>
      </c>
      <c r="E1010" s="1225" t="s">
        <v>131</v>
      </c>
      <c r="F1010" s="1225">
        <v>1041.7</v>
      </c>
    </row>
    <row r="1011" spans="1:6" s="1225" customFormat="1" ht="17.25" customHeight="1">
      <c r="A1011" s="1225">
        <v>1</v>
      </c>
      <c r="B1011" s="1225" t="s">
        <v>131</v>
      </c>
      <c r="C1011" s="1225" t="s">
        <v>1215</v>
      </c>
      <c r="D1011" s="1225">
        <v>679.8</v>
      </c>
      <c r="E1011" s="1225" t="s">
        <v>131</v>
      </c>
      <c r="F1011" s="1225">
        <v>679.8</v>
      </c>
    </row>
    <row r="1012" spans="1:6" s="1225" customFormat="1" ht="17.25" customHeight="1">
      <c r="A1012" s="1225">
        <v>1</v>
      </c>
      <c r="B1012" s="1225" t="s">
        <v>131</v>
      </c>
      <c r="C1012" s="1225" t="s">
        <v>1217</v>
      </c>
      <c r="D1012" s="1225">
        <v>25</v>
      </c>
      <c r="E1012" s="1225" t="s">
        <v>131</v>
      </c>
      <c r="F1012" s="1225">
        <v>25</v>
      </c>
    </row>
    <row r="1013" spans="1:6" s="1225" customFormat="1" ht="17.25" customHeight="1">
      <c r="A1013" s="1225">
        <v>0.5</v>
      </c>
      <c r="B1013" s="1225" t="s">
        <v>131</v>
      </c>
      <c r="C1013" s="1225" t="s">
        <v>1219</v>
      </c>
      <c r="D1013" s="1225">
        <v>557.70000000000005</v>
      </c>
      <c r="E1013" s="1225" t="s">
        <v>131</v>
      </c>
      <c r="F1013" s="1225">
        <v>278.85000000000002</v>
      </c>
    </row>
    <row r="1014" spans="1:6" s="1225" customFormat="1" ht="17.25" customHeight="1">
      <c r="B1014" s="1225" t="s">
        <v>145</v>
      </c>
      <c r="C1014" s="1225" t="s">
        <v>1221</v>
      </c>
      <c r="D1014" s="1225">
        <v>0</v>
      </c>
      <c r="E1014" s="1225" t="s">
        <v>145</v>
      </c>
      <c r="F1014" s="1225">
        <v>2.1</v>
      </c>
    </row>
    <row r="1015" spans="1:6" s="1225" customFormat="1" ht="17.25" customHeight="1">
      <c r="F1015" s="1225" t="s">
        <v>52</v>
      </c>
    </row>
    <row r="1016" spans="1:6" s="1225" customFormat="1" ht="17.25" customHeight="1">
      <c r="C1016" s="1225" t="s">
        <v>1224</v>
      </c>
      <c r="F1016" s="1225">
        <v>3412.05</v>
      </c>
    </row>
    <row r="1017" spans="1:6" s="1225" customFormat="1" ht="17.25" customHeight="1"/>
    <row r="1018" spans="1:6" s="1225" customFormat="1" ht="17.25" customHeight="1">
      <c r="A1018" s="1225" t="s">
        <v>3554</v>
      </c>
      <c r="C1018" s="1225" t="s">
        <v>4850</v>
      </c>
    </row>
    <row r="1019" spans="1:6" s="1225" customFormat="1" ht="17.25" customHeight="1">
      <c r="C1019" s="1225" t="s">
        <v>52</v>
      </c>
      <c r="D1019" s="1225" t="s">
        <v>52</v>
      </c>
      <c r="E1019" s="1225" t="s">
        <v>52</v>
      </c>
    </row>
    <row r="1020" spans="1:6" s="1225" customFormat="1" ht="17.25" customHeight="1"/>
    <row r="1021" spans="1:6" s="1225" customFormat="1" ht="17.25" customHeight="1">
      <c r="C1021" s="1225" t="s">
        <v>1526</v>
      </c>
    </row>
    <row r="1022" spans="1:6" s="1225" customFormat="1" ht="17.25" customHeight="1"/>
    <row r="1023" spans="1:6" s="1225" customFormat="1" ht="17.25" customHeight="1">
      <c r="C1023" s="1225" t="s">
        <v>1527</v>
      </c>
    </row>
    <row r="1024" spans="1:6" s="1225" customFormat="1" ht="17.25" customHeight="1">
      <c r="C1024" s="1225" t="s">
        <v>1528</v>
      </c>
    </row>
    <row r="1025" spans="1:6" s="1225" customFormat="1" ht="17.25" customHeight="1">
      <c r="C1025" s="1225" t="s">
        <v>1529</v>
      </c>
    </row>
    <row r="1026" spans="1:6" s="1225" customFormat="1" ht="17.25" customHeight="1">
      <c r="C1026" s="1225" t="s">
        <v>1530</v>
      </c>
    </row>
    <row r="1027" spans="1:6" s="1225" customFormat="1" ht="17.25" customHeight="1">
      <c r="C1027" s="1225" t="s">
        <v>2214</v>
      </c>
      <c r="E1027" s="1225" t="s">
        <v>85</v>
      </c>
      <c r="F1027" s="1225">
        <v>3.7699999999999997E-2</v>
      </c>
    </row>
    <row r="1028" spans="1:6" s="1225" customFormat="1" ht="17.25" customHeight="1">
      <c r="C1028" s="1225" t="s">
        <v>4851</v>
      </c>
      <c r="E1028" s="1225" t="s">
        <v>85</v>
      </c>
      <c r="F1028" s="1225" t="s">
        <v>85</v>
      </c>
    </row>
    <row r="1029" spans="1:6" s="1225" customFormat="1" ht="17.25" customHeight="1">
      <c r="C1029" s="1225" t="s">
        <v>1532</v>
      </c>
      <c r="F1029" s="1225" t="s">
        <v>85</v>
      </c>
    </row>
    <row r="1030" spans="1:6" s="1225" customFormat="1" ht="17.25" customHeight="1"/>
    <row r="1031" spans="1:6" s="1225" customFormat="1" ht="17.25" customHeight="1">
      <c r="A1031" s="1225">
        <v>1.18E-2</v>
      </c>
      <c r="B1031" s="1225" t="s">
        <v>132</v>
      </c>
      <c r="C1031" s="1225" t="s">
        <v>446</v>
      </c>
      <c r="D1031" s="1225">
        <v>111600</v>
      </c>
      <c r="E1031" s="1225" t="s">
        <v>132</v>
      </c>
      <c r="F1031" s="1225">
        <v>1316.88</v>
      </c>
    </row>
    <row r="1032" spans="1:6" s="1225" customFormat="1" ht="17.25" customHeight="1">
      <c r="A1032" s="1225">
        <v>3.7699999999999997E-2</v>
      </c>
      <c r="B1032" s="1225" t="s">
        <v>132</v>
      </c>
      <c r="C1032" s="1225" t="s">
        <v>447</v>
      </c>
      <c r="D1032" s="1225">
        <v>99400</v>
      </c>
      <c r="E1032" s="1225" t="s">
        <v>132</v>
      </c>
      <c r="F1032" s="1225">
        <v>3747.38</v>
      </c>
    </row>
    <row r="1033" spans="1:6" s="1225" customFormat="1" ht="17.25" customHeight="1">
      <c r="A1033" s="1225">
        <v>1.8550000000000001E-2</v>
      </c>
      <c r="B1033" s="1225" t="s">
        <v>132</v>
      </c>
      <c r="C1033" s="1225" t="s">
        <v>1533</v>
      </c>
      <c r="D1033" s="1225">
        <v>14278</v>
      </c>
      <c r="E1033" s="1225" t="s">
        <v>132</v>
      </c>
      <c r="F1033" s="1225">
        <v>264.86</v>
      </c>
    </row>
    <row r="1034" spans="1:6" s="1225" customFormat="1" ht="17.25" customHeight="1">
      <c r="A1034" s="1225">
        <v>1.36</v>
      </c>
      <c r="B1034" s="1225" t="s">
        <v>425</v>
      </c>
      <c r="C1034" s="1225" t="s">
        <v>4857</v>
      </c>
      <c r="D1034" s="1225">
        <v>387.4</v>
      </c>
      <c r="E1034" s="1225" t="s">
        <v>425</v>
      </c>
      <c r="F1034" s="1225">
        <v>526.86</v>
      </c>
    </row>
    <row r="1035" spans="1:6" s="1225" customFormat="1" ht="17.25" customHeight="1">
      <c r="A1035" s="1225">
        <v>2.0499999999999998</v>
      </c>
      <c r="B1035" s="1225" t="s">
        <v>425</v>
      </c>
      <c r="C1035" s="1225" t="s">
        <v>1535</v>
      </c>
      <c r="D1035" s="1225">
        <v>1336.5</v>
      </c>
      <c r="E1035" s="1225" t="s">
        <v>425</v>
      </c>
      <c r="F1035" s="1225">
        <v>2739.83</v>
      </c>
    </row>
    <row r="1036" spans="1:6" s="1225" customFormat="1" ht="17.25" customHeight="1">
      <c r="A1036" s="1225">
        <v>2</v>
      </c>
      <c r="B1036" s="1225" t="s">
        <v>131</v>
      </c>
      <c r="C1036" s="1225" t="s">
        <v>4860</v>
      </c>
      <c r="D1036" s="1225">
        <v>57</v>
      </c>
      <c r="E1036" s="1225" t="s">
        <v>131</v>
      </c>
      <c r="F1036" s="1225">
        <v>114</v>
      </c>
    </row>
    <row r="1037" spans="1:6" s="1225" customFormat="1" ht="17.25" customHeight="1">
      <c r="A1037" s="1225">
        <v>6</v>
      </c>
      <c r="B1037" s="1225" t="s">
        <v>131</v>
      </c>
      <c r="C1037" s="1225" t="s">
        <v>1502</v>
      </c>
      <c r="D1037" s="1225">
        <v>49.35</v>
      </c>
      <c r="E1037" s="1225" t="s">
        <v>131</v>
      </c>
      <c r="F1037" s="1225">
        <v>296.10000000000002</v>
      </c>
    </row>
    <row r="1038" spans="1:6" s="1225" customFormat="1" ht="17.25" customHeight="1">
      <c r="A1038" s="1225">
        <v>2</v>
      </c>
      <c r="B1038" s="1225" t="s">
        <v>131</v>
      </c>
      <c r="C1038" s="1225" t="s">
        <v>2216</v>
      </c>
      <c r="D1038" s="1225">
        <v>60.9</v>
      </c>
      <c r="E1038" s="1225" t="s">
        <v>131</v>
      </c>
      <c r="F1038" s="1225">
        <v>121.8</v>
      </c>
    </row>
    <row r="1039" spans="1:6" s="1225" customFormat="1" ht="17.25" customHeight="1">
      <c r="A1039" s="1225">
        <v>1</v>
      </c>
      <c r="B1039" s="1225" t="s">
        <v>131</v>
      </c>
      <c r="C1039" s="1225" t="s">
        <v>1538</v>
      </c>
      <c r="D1039" s="1225">
        <v>63.2</v>
      </c>
      <c r="E1039" s="1225" t="s">
        <v>131</v>
      </c>
      <c r="F1039" s="1225">
        <v>63.2</v>
      </c>
    </row>
    <row r="1040" spans="1:6" s="1225" customFormat="1" ht="17.25" customHeight="1">
      <c r="A1040" s="1225">
        <v>6.55</v>
      </c>
      <c r="B1040" s="1225" t="s">
        <v>425</v>
      </c>
      <c r="C1040" s="1225" t="s">
        <v>4870</v>
      </c>
      <c r="D1040" s="1225">
        <v>240.31</v>
      </c>
      <c r="E1040" s="1225" t="s">
        <v>425</v>
      </c>
      <c r="F1040" s="1225">
        <v>1574.03</v>
      </c>
    </row>
    <row r="1041" spans="1:6" s="1225" customFormat="1" ht="17.25" customHeight="1">
      <c r="A1041" s="1225">
        <v>50</v>
      </c>
      <c r="B1041" s="1225" t="s">
        <v>41</v>
      </c>
      <c r="C1041" s="1225" t="s">
        <v>4872</v>
      </c>
      <c r="D1041" s="1225">
        <v>2.41</v>
      </c>
      <c r="F1041" s="1225">
        <v>120.5</v>
      </c>
    </row>
    <row r="1042" spans="1:6" s="1225" customFormat="1" ht="17.25" customHeight="1">
      <c r="F1042" s="1225" t="s">
        <v>52</v>
      </c>
    </row>
    <row r="1043" spans="1:6" s="1225" customFormat="1" ht="17.25" customHeight="1">
      <c r="C1043" s="1225" t="s">
        <v>1541</v>
      </c>
      <c r="F1043" s="1225">
        <v>10885.44</v>
      </c>
    </row>
    <row r="1044" spans="1:6" s="1225" customFormat="1" ht="17.25" customHeight="1">
      <c r="B1044" s="1225" t="s">
        <v>85</v>
      </c>
      <c r="F1044" s="1225" t="s">
        <v>52</v>
      </c>
    </row>
    <row r="1045" spans="1:6" s="1225" customFormat="1" ht="17.25" customHeight="1">
      <c r="C1045" s="1225" t="s">
        <v>460</v>
      </c>
      <c r="F1045" s="1225">
        <v>4319.62</v>
      </c>
    </row>
    <row r="1046" spans="1:6" s="1225" customFormat="1" ht="17.25" customHeight="1"/>
    <row r="1047" spans="1:6" s="1225" customFormat="1" ht="33">
      <c r="C1047" s="1225" t="s">
        <v>4195</v>
      </c>
      <c r="D1047" s="1225">
        <v>3325</v>
      </c>
      <c r="E1047" s="1225" t="s">
        <v>425</v>
      </c>
    </row>
    <row r="1048" spans="1:6" s="1225" customFormat="1" ht="17.25" customHeight="1"/>
    <row r="1049" spans="1:6" s="1225" customFormat="1" ht="17.25" customHeight="1">
      <c r="A1049" s="1225">
        <v>29.4</v>
      </c>
      <c r="B1049" s="1225" t="s">
        <v>111</v>
      </c>
      <c r="C1049" s="1225" t="s">
        <v>1588</v>
      </c>
    </row>
    <row r="1050" spans="1:6" s="1225" customFormat="1" ht="17.25" customHeight="1">
      <c r="C1050" s="1225" t="s">
        <v>1589</v>
      </c>
    </row>
    <row r="1051" spans="1:6" s="1225" customFormat="1" ht="17.25" customHeight="1">
      <c r="C1051" s="1225" t="s">
        <v>52</v>
      </c>
    </row>
    <row r="1052" spans="1:6" s="1225" customFormat="1" ht="17.25" customHeight="1">
      <c r="A1052" s="1225">
        <v>1.86</v>
      </c>
      <c r="B1052" s="1225" t="s">
        <v>425</v>
      </c>
      <c r="C1052" s="1225" t="s">
        <v>1590</v>
      </c>
      <c r="D1052" s="1225">
        <v>415</v>
      </c>
      <c r="E1052" s="1225" t="s">
        <v>425</v>
      </c>
      <c r="F1052" s="1225">
        <v>771.9</v>
      </c>
    </row>
    <row r="1053" spans="1:6" s="1225" customFormat="1" ht="17.25" customHeight="1">
      <c r="A1053" s="1225">
        <v>0.4</v>
      </c>
      <c r="B1053" s="1225" t="s">
        <v>39</v>
      </c>
      <c r="C1053" s="1225" t="s">
        <v>4296</v>
      </c>
      <c r="D1053" s="1225">
        <v>36.1</v>
      </c>
      <c r="E1053" s="1225" t="s">
        <v>39</v>
      </c>
      <c r="F1053" s="1225">
        <v>14.44</v>
      </c>
    </row>
    <row r="1054" spans="1:6" s="1225" customFormat="1" ht="17.25" customHeight="1">
      <c r="A1054" s="1225">
        <v>0.02</v>
      </c>
      <c r="B1054" s="1225" t="s">
        <v>132</v>
      </c>
      <c r="C1054" s="1225" t="s">
        <v>1592</v>
      </c>
      <c r="D1054" s="1225">
        <v>6117.22</v>
      </c>
      <c r="E1054" s="1225" t="s">
        <v>132</v>
      </c>
      <c r="F1054" s="1225">
        <v>122.34</v>
      </c>
    </row>
    <row r="1055" spans="1:6" s="1225" customFormat="1" ht="17.25" customHeight="1">
      <c r="A1055" s="1225">
        <v>1</v>
      </c>
      <c r="B1055" s="1225" t="s">
        <v>237</v>
      </c>
      <c r="C1055" s="1225" t="s">
        <v>345</v>
      </c>
      <c r="D1055" s="1225">
        <v>1041.7</v>
      </c>
      <c r="E1055" s="1225" t="s">
        <v>237</v>
      </c>
      <c r="F1055" s="1225">
        <v>1041.7</v>
      </c>
    </row>
    <row r="1056" spans="1:6" s="1225" customFormat="1" ht="17.25" customHeight="1">
      <c r="A1056" s="1225">
        <v>1</v>
      </c>
      <c r="B1056" s="1225" t="s">
        <v>237</v>
      </c>
      <c r="C1056" s="1225" t="s">
        <v>1593</v>
      </c>
      <c r="D1056" s="1225">
        <v>679.8</v>
      </c>
      <c r="E1056" s="1225" t="s">
        <v>237</v>
      </c>
      <c r="F1056" s="1225">
        <v>679.8</v>
      </c>
    </row>
    <row r="1057" spans="1:7" s="1225" customFormat="1" ht="17.25" customHeight="1">
      <c r="B1057" s="1225" t="s">
        <v>145</v>
      </c>
      <c r="C1057" s="1225" t="s">
        <v>146</v>
      </c>
      <c r="E1057" s="1225" t="s">
        <v>145</v>
      </c>
    </row>
    <row r="1058" spans="1:7" s="1225" customFormat="1" ht="17.25" customHeight="1">
      <c r="F1058" s="1225" t="s">
        <v>52</v>
      </c>
    </row>
    <row r="1059" spans="1:7" s="1225" customFormat="1" ht="17.25" customHeight="1">
      <c r="C1059" s="1225" t="s">
        <v>1594</v>
      </c>
      <c r="F1059" s="1225">
        <v>2630.18</v>
      </c>
    </row>
    <row r="1060" spans="1:7" s="1225" customFormat="1" ht="17.25" customHeight="1">
      <c r="F1060" s="1225" t="s">
        <v>52</v>
      </c>
    </row>
    <row r="1061" spans="1:7" s="1225" customFormat="1" ht="17.25" customHeight="1">
      <c r="C1061" s="1225" t="s">
        <v>460</v>
      </c>
      <c r="F1061" s="1225">
        <v>1414.08</v>
      </c>
    </row>
    <row r="1062" spans="1:7" s="1225" customFormat="1" ht="17.25" customHeight="1"/>
    <row r="1063" spans="1:7" s="1225" customFormat="1" ht="31.5" customHeight="1">
      <c r="A1063" s="1225">
        <v>29.5</v>
      </c>
      <c r="B1063" s="1225" t="s">
        <v>111</v>
      </c>
      <c r="C1063" s="1631" t="s">
        <v>1583</v>
      </c>
    </row>
    <row r="1064" spans="1:7" s="1225" customFormat="1" ht="17.25" customHeight="1">
      <c r="C1064" s="1225" t="s">
        <v>1584</v>
      </c>
    </row>
    <row r="1065" spans="1:7" s="1225" customFormat="1" ht="17.25" customHeight="1">
      <c r="C1065" s="1225" t="s">
        <v>1585</v>
      </c>
    </row>
    <row r="1066" spans="1:7" s="1225" customFormat="1" ht="17.25" customHeight="1">
      <c r="C1066" s="1225" t="s">
        <v>52</v>
      </c>
      <c r="D1066" s="1225" t="s">
        <v>52</v>
      </c>
    </row>
    <row r="1067" spans="1:7" s="1225" customFormat="1" ht="17.25" customHeight="1">
      <c r="A1067" s="1225">
        <v>10</v>
      </c>
      <c r="B1067" s="1225" t="s">
        <v>425</v>
      </c>
      <c r="C1067" s="1225" t="s">
        <v>1586</v>
      </c>
      <c r="D1067" s="1225">
        <v>526.74</v>
      </c>
      <c r="E1067" s="1225" t="s">
        <v>425</v>
      </c>
      <c r="F1067" s="1225">
        <v>5267.4</v>
      </c>
      <c r="G1067" s="1225">
        <f>Data!K1248</f>
        <v>3778.6</v>
      </c>
    </row>
    <row r="1068" spans="1:7" s="1225" customFormat="1" ht="17.25" customHeight="1">
      <c r="A1068" s="1225">
        <v>0.21</v>
      </c>
      <c r="B1068" s="1225" t="s">
        <v>132</v>
      </c>
      <c r="C1068" s="1225" t="s">
        <v>1575</v>
      </c>
      <c r="D1068" s="1225">
        <v>4667.62</v>
      </c>
      <c r="E1068" s="1225" t="s">
        <v>132</v>
      </c>
      <c r="F1068" s="1225">
        <v>980.2</v>
      </c>
      <c r="G1068" s="1225">
        <f>Data!K1249</f>
        <v>979.15</v>
      </c>
    </row>
    <row r="1069" spans="1:7" s="1225" customFormat="1" ht="17.25" customHeight="1">
      <c r="C1069" s="1225" t="s">
        <v>1576</v>
      </c>
      <c r="D1069" s="1225" t="s">
        <v>85</v>
      </c>
      <c r="F1069" s="1225" t="s">
        <v>85</v>
      </c>
      <c r="G1069" s="1225" t="str">
        <f>Data!K1250</f>
        <v xml:space="preserve"> </v>
      </c>
    </row>
    <row r="1070" spans="1:7" s="1225" customFormat="1" ht="17.25" customHeight="1">
      <c r="A1070" s="1225">
        <v>1.1000000000000001</v>
      </c>
      <c r="B1070" s="1225" t="s">
        <v>237</v>
      </c>
      <c r="C1070" s="1225" t="s">
        <v>345</v>
      </c>
      <c r="D1070" s="1225">
        <v>1041.7</v>
      </c>
      <c r="E1070" s="1225" t="s">
        <v>237</v>
      </c>
      <c r="F1070" s="1225">
        <v>1145.8699999999999</v>
      </c>
      <c r="G1070" s="1225">
        <f>Data!K1251</f>
        <v>1145.8699999999999</v>
      </c>
    </row>
    <row r="1071" spans="1:7" s="1225" customFormat="1" ht="17.25" customHeight="1">
      <c r="A1071" s="1225">
        <v>1.1000000000000001</v>
      </c>
      <c r="B1071" s="1225" t="s">
        <v>237</v>
      </c>
      <c r="C1071" s="1225" t="s">
        <v>302</v>
      </c>
      <c r="D1071" s="1225">
        <v>972.4</v>
      </c>
      <c r="E1071" s="1225" t="s">
        <v>237</v>
      </c>
      <c r="F1071" s="1225">
        <v>1069.6400000000001</v>
      </c>
      <c r="G1071" s="1225">
        <f>Data!K1252</f>
        <v>1069.6400000000001</v>
      </c>
    </row>
    <row r="1072" spans="1:7" s="1225" customFormat="1" ht="17.25" customHeight="1">
      <c r="A1072" s="1225">
        <v>2.2000000000000002</v>
      </c>
      <c r="B1072" s="1225" t="s">
        <v>237</v>
      </c>
      <c r="C1072" s="1225" t="s">
        <v>304</v>
      </c>
      <c r="D1072" s="1225">
        <v>679.8</v>
      </c>
      <c r="E1072" s="1225" t="s">
        <v>237</v>
      </c>
      <c r="F1072" s="1225">
        <v>1495.56</v>
      </c>
      <c r="G1072" s="1225">
        <f>Data!K1253</f>
        <v>1495.56</v>
      </c>
    </row>
    <row r="1073" spans="1:7" s="1225" customFormat="1" ht="17.25" customHeight="1">
      <c r="A1073" s="1225">
        <v>2.2000000000000002</v>
      </c>
      <c r="B1073" s="1225" t="s">
        <v>237</v>
      </c>
      <c r="C1073" s="1225" t="s">
        <v>306</v>
      </c>
      <c r="D1073" s="1225">
        <v>557.70000000000005</v>
      </c>
      <c r="E1073" s="1225" t="s">
        <v>237</v>
      </c>
      <c r="F1073" s="1225">
        <v>1226.94</v>
      </c>
      <c r="G1073" s="1225">
        <f>Data!K1254</f>
        <v>1226.94</v>
      </c>
    </row>
    <row r="1074" spans="1:7" s="1225" customFormat="1" ht="17.25" customHeight="1">
      <c r="A1074" s="1225">
        <v>20</v>
      </c>
      <c r="B1074" s="1225" t="s">
        <v>39</v>
      </c>
      <c r="C1074" s="1225" t="s">
        <v>123</v>
      </c>
      <c r="D1074" s="1225">
        <v>6040</v>
      </c>
      <c r="E1074" s="1225" t="s">
        <v>122</v>
      </c>
      <c r="F1074" s="1225">
        <v>120.8</v>
      </c>
      <c r="G1074" s="1225">
        <f>Data!K1255</f>
        <v>120.8</v>
      </c>
    </row>
    <row r="1075" spans="1:7" s="1225" customFormat="1" ht="17.25" customHeight="1">
      <c r="A1075" s="1225">
        <v>2</v>
      </c>
      <c r="B1075" s="1225" t="s">
        <v>39</v>
      </c>
      <c r="C1075" s="1225" t="s">
        <v>4307</v>
      </c>
      <c r="D1075" s="1225">
        <v>36.1</v>
      </c>
      <c r="E1075" s="1225" t="s">
        <v>39</v>
      </c>
      <c r="F1075" s="1225">
        <v>72.2</v>
      </c>
      <c r="G1075" s="1225">
        <f>Data!K1256</f>
        <v>72.2</v>
      </c>
    </row>
    <row r="1076" spans="1:7" s="1225" customFormat="1" ht="17.25" customHeight="1">
      <c r="A1076" s="1225">
        <v>1.6</v>
      </c>
      <c r="B1076" s="1225" t="s">
        <v>237</v>
      </c>
      <c r="C1076" s="1225" t="s">
        <v>302</v>
      </c>
      <c r="D1076" s="1225">
        <v>972.4</v>
      </c>
      <c r="E1076" s="1225" t="s">
        <v>237</v>
      </c>
      <c r="F1076" s="1225">
        <v>1555.84</v>
      </c>
      <c r="G1076" s="1225">
        <f>Data!K1257</f>
        <v>1555.84</v>
      </c>
    </row>
    <row r="1077" spans="1:7" s="1225" customFormat="1" ht="17.25" customHeight="1">
      <c r="A1077" s="1225">
        <v>0.5</v>
      </c>
      <c r="B1077" s="1225" t="s">
        <v>237</v>
      </c>
      <c r="C1077" s="1225" t="s">
        <v>304</v>
      </c>
      <c r="D1077" s="1225">
        <v>679.8</v>
      </c>
      <c r="E1077" s="1225" t="s">
        <v>237</v>
      </c>
      <c r="F1077" s="1225">
        <v>339.9</v>
      </c>
      <c r="G1077" s="1225">
        <f>Data!K1258</f>
        <v>339.9</v>
      </c>
    </row>
    <row r="1078" spans="1:7" s="1225" customFormat="1" ht="17.25" customHeight="1">
      <c r="A1078" s="1225">
        <v>1.1000000000000001</v>
      </c>
      <c r="B1078" s="1225" t="s">
        <v>237</v>
      </c>
      <c r="C1078" s="1225" t="s">
        <v>306</v>
      </c>
      <c r="D1078" s="1225">
        <v>557.70000000000005</v>
      </c>
      <c r="E1078" s="1225" t="s">
        <v>237</v>
      </c>
      <c r="F1078" s="1225">
        <v>613.47</v>
      </c>
      <c r="G1078" s="1225">
        <f>Data!K1259</f>
        <v>613.47</v>
      </c>
    </row>
    <row r="1079" spans="1:7" s="1225" customFormat="1" ht="17.25" customHeight="1">
      <c r="B1079" s="1225" t="s">
        <v>145</v>
      </c>
      <c r="C1079" s="1225" t="s">
        <v>146</v>
      </c>
      <c r="E1079" s="1225" t="s">
        <v>145</v>
      </c>
      <c r="F1079" s="1225">
        <v>0</v>
      </c>
    </row>
    <row r="1080" spans="1:7" s="1225" customFormat="1" ht="17.25" customHeight="1">
      <c r="F1080" s="1225" t="s">
        <v>52</v>
      </c>
    </row>
    <row r="1081" spans="1:7" s="1225" customFormat="1" ht="17.25" customHeight="1">
      <c r="C1081" s="1225" t="s">
        <v>495</v>
      </c>
      <c r="F1081" s="1225">
        <v>13887.82</v>
      </c>
    </row>
    <row r="1082" spans="1:7" s="1225" customFormat="1" ht="17.25" customHeight="1">
      <c r="F1082" s="1225" t="s">
        <v>52</v>
      </c>
    </row>
    <row r="1083" spans="1:7" s="1225" customFormat="1" ht="17.25" customHeight="1">
      <c r="C1083" s="1225" t="s">
        <v>460</v>
      </c>
      <c r="F1083" s="1225">
        <v>1388.78</v>
      </c>
    </row>
    <row r="1084" spans="1:7" s="1225" customFormat="1" ht="17.25" customHeight="1"/>
    <row r="1085" spans="1:7" s="1225" customFormat="1" ht="17.25" customHeight="1">
      <c r="A1085" s="1225" t="s">
        <v>1641</v>
      </c>
      <c r="B1085" s="1225" t="s">
        <v>111</v>
      </c>
      <c r="C1085" s="1225" t="s">
        <v>1642</v>
      </c>
    </row>
    <row r="1086" spans="1:7" s="1225" customFormat="1" ht="17.25" customHeight="1">
      <c r="C1086" s="1225" t="s">
        <v>1643</v>
      </c>
    </row>
    <row r="1087" spans="1:7" s="1225" customFormat="1" ht="17.25" customHeight="1">
      <c r="C1087" s="1225" t="s">
        <v>1644</v>
      </c>
    </row>
    <row r="1088" spans="1:7" s="1225" customFormat="1" ht="17.25" customHeight="1">
      <c r="C1088" s="1225" t="s">
        <v>1645</v>
      </c>
    </row>
    <row r="1089" spans="1:6" s="1225" customFormat="1" ht="17.25" customHeight="1">
      <c r="C1089" s="1225" t="s">
        <v>52</v>
      </c>
    </row>
    <row r="1090" spans="1:6" s="1225" customFormat="1" ht="17.25" customHeight="1">
      <c r="A1090" s="1225">
        <v>1.8</v>
      </c>
      <c r="B1090" s="1225" t="s">
        <v>39</v>
      </c>
      <c r="C1090" s="1225" t="s">
        <v>4725</v>
      </c>
      <c r="D1090" s="1225">
        <v>22.6</v>
      </c>
      <c r="E1090" s="1225" t="s">
        <v>39</v>
      </c>
      <c r="F1090" s="1225">
        <v>40.68</v>
      </c>
    </row>
    <row r="1091" spans="1:6" s="1225" customFormat="1" ht="17.25" customHeight="1">
      <c r="A1091" s="1225">
        <v>0.25</v>
      </c>
      <c r="B1091" s="1225" t="s">
        <v>131</v>
      </c>
      <c r="C1091" s="1225" t="s">
        <v>1646</v>
      </c>
      <c r="D1091" s="1225">
        <v>831.6</v>
      </c>
      <c r="E1091" s="1225" t="s">
        <v>131</v>
      </c>
      <c r="F1091" s="1225">
        <v>207.9</v>
      </c>
    </row>
    <row r="1092" spans="1:6" s="1225" customFormat="1" ht="17.25" customHeight="1">
      <c r="A1092" s="1225">
        <v>0.25</v>
      </c>
      <c r="B1092" s="1225" t="s">
        <v>131</v>
      </c>
      <c r="C1092" s="1225" t="s">
        <v>1568</v>
      </c>
      <c r="D1092" s="1225">
        <v>679.8</v>
      </c>
      <c r="E1092" s="1225" t="s">
        <v>131</v>
      </c>
      <c r="F1092" s="1225">
        <v>169.95</v>
      </c>
    </row>
    <row r="1093" spans="1:6" s="1225" customFormat="1" ht="17.25" customHeight="1">
      <c r="A1093" s="1225">
        <v>0.4</v>
      </c>
      <c r="B1093" s="1225" t="s">
        <v>131</v>
      </c>
      <c r="C1093" s="1225" t="s">
        <v>306</v>
      </c>
      <c r="D1093" s="1225">
        <v>557.70000000000005</v>
      </c>
      <c r="E1093" s="1225" t="s">
        <v>131</v>
      </c>
      <c r="F1093" s="1225">
        <v>223.08</v>
      </c>
    </row>
    <row r="1094" spans="1:6" s="1225" customFormat="1" ht="17.25" customHeight="1">
      <c r="D1094" s="1225" t="s">
        <v>85</v>
      </c>
      <c r="F1094" s="1225">
        <v>641.61</v>
      </c>
    </row>
    <row r="1095" spans="1:6" s="1225" customFormat="1" ht="17.25" customHeight="1">
      <c r="F1095" s="1225">
        <v>64.16</v>
      </c>
    </row>
    <row r="1096" spans="1:6" s="1225" customFormat="1" ht="17.25" customHeight="1"/>
    <row r="1097" spans="1:6" s="1225" customFormat="1" ht="17.25" customHeight="1">
      <c r="A1097" s="1225">
        <v>44.1</v>
      </c>
      <c r="B1097" s="1225" t="s">
        <v>111</v>
      </c>
      <c r="C1097" s="1225" t="s">
        <v>1687</v>
      </c>
    </row>
    <row r="1098" spans="1:6" s="1225" customFormat="1" ht="17.25" customHeight="1">
      <c r="C1098" s="1225" t="s">
        <v>1688</v>
      </c>
    </row>
    <row r="1099" spans="1:6" s="1225" customFormat="1" ht="17.25" customHeight="1">
      <c r="C1099" s="1225" t="s">
        <v>6436</v>
      </c>
    </row>
    <row r="1100" spans="1:6" s="1225" customFormat="1" ht="17.25" customHeight="1">
      <c r="C1100" s="1225" t="s">
        <v>52</v>
      </c>
    </row>
    <row r="1101" spans="1:6" s="1225" customFormat="1" ht="17.25" customHeight="1">
      <c r="A1101" s="1225">
        <v>3</v>
      </c>
      <c r="B1101" s="1225" t="s">
        <v>282</v>
      </c>
      <c r="C1101" s="1225" t="s">
        <v>1690</v>
      </c>
      <c r="D1101" s="1225">
        <v>120.54</v>
      </c>
      <c r="E1101" s="1225" t="s">
        <v>282</v>
      </c>
      <c r="F1101" s="1225">
        <v>361.62</v>
      </c>
    </row>
    <row r="1102" spans="1:6" s="1225" customFormat="1" ht="17.25" customHeight="1">
      <c r="A1102" s="1225">
        <v>1</v>
      </c>
      <c r="B1102" s="1225" t="s">
        <v>131</v>
      </c>
      <c r="C1102" s="1225" t="s">
        <v>1691</v>
      </c>
      <c r="D1102" s="1225">
        <v>76</v>
      </c>
      <c r="E1102" s="1225" t="s">
        <v>131</v>
      </c>
      <c r="F1102" s="1225">
        <v>76</v>
      </c>
    </row>
    <row r="1103" spans="1:6" s="1225" customFormat="1" ht="17.25" customHeight="1">
      <c r="A1103" s="1225">
        <v>1</v>
      </c>
      <c r="B1103" s="1225" t="s">
        <v>131</v>
      </c>
      <c r="C1103" s="1225" t="s">
        <v>1692</v>
      </c>
      <c r="D1103" s="1225">
        <v>83.4</v>
      </c>
      <c r="E1103" s="1225" t="s">
        <v>131</v>
      </c>
      <c r="F1103" s="1225">
        <v>83.4</v>
      </c>
    </row>
    <row r="1104" spans="1:6" s="1225" customFormat="1" ht="17.25" customHeight="1">
      <c r="A1104" s="1225">
        <v>2</v>
      </c>
      <c r="B1104" s="1225" t="s">
        <v>131</v>
      </c>
      <c r="C1104" s="1225" t="s">
        <v>1693</v>
      </c>
      <c r="D1104" s="1225">
        <v>21.6</v>
      </c>
      <c r="E1104" s="1225" t="s">
        <v>131</v>
      </c>
      <c r="F1104" s="1225">
        <v>43.2</v>
      </c>
    </row>
    <row r="1105" spans="1:6" s="1225" customFormat="1" ht="17.25" customHeight="1">
      <c r="A1105" s="1225">
        <v>1</v>
      </c>
      <c r="B1105" s="1225" t="s">
        <v>131</v>
      </c>
      <c r="C1105" s="1225" t="s">
        <v>1694</v>
      </c>
      <c r="D1105" s="1225">
        <v>32.1</v>
      </c>
      <c r="E1105" s="1225" t="s">
        <v>131</v>
      </c>
      <c r="F1105" s="1225">
        <v>32.1</v>
      </c>
    </row>
    <row r="1106" spans="1:6" s="1225" customFormat="1" ht="17.25" customHeight="1">
      <c r="A1106" s="1225">
        <v>0.5</v>
      </c>
      <c r="B1106" s="1225" t="s">
        <v>131</v>
      </c>
      <c r="C1106" s="1225" t="s">
        <v>1695</v>
      </c>
      <c r="D1106" s="1225">
        <v>903.1</v>
      </c>
      <c r="E1106" s="1225" t="s">
        <v>131</v>
      </c>
      <c r="F1106" s="1225">
        <v>451.55</v>
      </c>
    </row>
    <row r="1107" spans="1:6" s="1225" customFormat="1" ht="17.25" customHeight="1">
      <c r="B1107" s="1225" t="s">
        <v>145</v>
      </c>
      <c r="C1107" s="1225" t="s">
        <v>1696</v>
      </c>
      <c r="E1107" s="1225" t="s">
        <v>145</v>
      </c>
    </row>
    <row r="1108" spans="1:6" s="1225" customFormat="1" ht="17.25" customHeight="1">
      <c r="C1108" s="1225" t="s">
        <v>1697</v>
      </c>
    </row>
    <row r="1109" spans="1:6" s="1225" customFormat="1" ht="17.25" customHeight="1">
      <c r="F1109" s="1225" t="s">
        <v>52</v>
      </c>
    </row>
    <row r="1110" spans="1:6" s="1225" customFormat="1" ht="17.25" customHeight="1">
      <c r="C1110" s="1225" t="s">
        <v>1698</v>
      </c>
      <c r="F1110" s="1225">
        <v>1047.8699999999999</v>
      </c>
    </row>
    <row r="1111" spans="1:6" s="1225" customFormat="1" ht="17.25" customHeight="1">
      <c r="A1111" s="1225" t="s">
        <v>85</v>
      </c>
    </row>
    <row r="1112" spans="1:6" s="1225" customFormat="1" ht="17.25" customHeight="1">
      <c r="F1112" s="1225" t="s">
        <v>52</v>
      </c>
    </row>
    <row r="1113" spans="1:6" s="1225" customFormat="1" ht="17.25" customHeight="1">
      <c r="C1113" s="1225" t="s">
        <v>632</v>
      </c>
      <c r="F1113" s="1225">
        <v>349.29</v>
      </c>
    </row>
    <row r="1114" spans="1:6" s="1225" customFormat="1" ht="17.25" customHeight="1"/>
    <row r="1115" spans="1:6" s="1225" customFormat="1" ht="17.25" customHeight="1"/>
    <row r="1116" spans="1:6" s="1225" customFormat="1" ht="17.25" customHeight="1">
      <c r="A1116" s="1225">
        <v>52</v>
      </c>
      <c r="B1116" s="1225" t="s">
        <v>111</v>
      </c>
      <c r="C1116" s="1225" t="s">
        <v>1810</v>
      </c>
    </row>
    <row r="1117" spans="1:6" s="1225" customFormat="1" ht="17.25" customHeight="1">
      <c r="C1117" s="1225" t="s">
        <v>1811</v>
      </c>
    </row>
    <row r="1118" spans="1:6" s="1225" customFormat="1" ht="17.25" customHeight="1">
      <c r="C1118" s="1225" t="s">
        <v>1812</v>
      </c>
    </row>
    <row r="1119" spans="1:6" s="1225" customFormat="1" ht="17.25" customHeight="1">
      <c r="C1119" s="1225" t="s">
        <v>1813</v>
      </c>
    </row>
    <row r="1120" spans="1:6" s="1225" customFormat="1" ht="17.25" customHeight="1">
      <c r="C1120" s="1225" t="s">
        <v>1814</v>
      </c>
    </row>
    <row r="1121" spans="1:6" s="1225" customFormat="1" ht="17.25" customHeight="1">
      <c r="C1121" s="1225" t="s">
        <v>4728</v>
      </c>
    </row>
    <row r="1122" spans="1:6" s="1225" customFormat="1" ht="17.25" customHeight="1">
      <c r="C1122" s="1225" t="s">
        <v>1816</v>
      </c>
    </row>
    <row r="1123" spans="1:6" s="1225" customFormat="1" ht="17.25" customHeight="1">
      <c r="C1123" s="1225" t="s">
        <v>1817</v>
      </c>
    </row>
    <row r="1124" spans="1:6" s="1225" customFormat="1" ht="17.25" customHeight="1">
      <c r="C1124" s="1225" t="s">
        <v>89</v>
      </c>
      <c r="D1124" s="1225" t="s">
        <v>89</v>
      </c>
    </row>
    <row r="1125" spans="1:6" s="1225" customFormat="1" ht="17.25" customHeight="1">
      <c r="B1125" s="1225" t="s">
        <v>111</v>
      </c>
      <c r="C1125" s="1225" t="s">
        <v>1818</v>
      </c>
    </row>
    <row r="1126" spans="1:6" s="1225" customFormat="1" ht="17.25" customHeight="1">
      <c r="C1126" s="1225" t="s">
        <v>1819</v>
      </c>
    </row>
    <row r="1127" spans="1:6" s="1225" customFormat="1" ht="17.25" customHeight="1">
      <c r="B1127" s="1225" t="s">
        <v>1018</v>
      </c>
      <c r="C1127" s="1225" t="s">
        <v>1820</v>
      </c>
    </row>
    <row r="1128" spans="1:6" s="1225" customFormat="1" ht="17.25" customHeight="1">
      <c r="C1128" s="1225" t="s">
        <v>52</v>
      </c>
    </row>
    <row r="1129" spans="1:6" s="1225" customFormat="1" ht="17.25" customHeight="1">
      <c r="A1129" s="1225">
        <v>1</v>
      </c>
      <c r="B1129" s="1225" t="s">
        <v>13</v>
      </c>
      <c r="C1129" s="1225" t="s">
        <v>1821</v>
      </c>
      <c r="D1129" s="1225">
        <v>26</v>
      </c>
      <c r="E1129" s="1225" t="s">
        <v>13</v>
      </c>
      <c r="F1129" s="1225">
        <v>26</v>
      </c>
    </row>
    <row r="1130" spans="1:6" s="1225" customFormat="1" ht="17.25" customHeight="1">
      <c r="A1130" s="1225">
        <v>1</v>
      </c>
      <c r="B1130" s="1225" t="s">
        <v>145</v>
      </c>
      <c r="C1130" s="1225" t="s">
        <v>1822</v>
      </c>
      <c r="D1130" s="1225">
        <v>18.2</v>
      </c>
      <c r="E1130" s="1225" t="s">
        <v>145</v>
      </c>
      <c r="F1130" s="1225">
        <v>18.2</v>
      </c>
    </row>
    <row r="1131" spans="1:6" s="1225" customFormat="1" ht="17.25" customHeight="1">
      <c r="A1131" s="1225">
        <v>1</v>
      </c>
      <c r="B1131" s="1225" t="s">
        <v>13</v>
      </c>
      <c r="C1131" s="1225" t="s">
        <v>1823</v>
      </c>
      <c r="D1131" s="1225">
        <v>193.74</v>
      </c>
      <c r="E1131" s="1225" t="s">
        <v>13</v>
      </c>
      <c r="F1131" s="1225">
        <v>193.74</v>
      </c>
    </row>
    <row r="1132" spans="1:6" s="1225" customFormat="1" ht="17.25" customHeight="1">
      <c r="D1132" s="1225" t="s">
        <v>85</v>
      </c>
    </row>
    <row r="1133" spans="1:6" s="1225" customFormat="1" ht="17.25" customHeight="1">
      <c r="C1133" s="1225" t="s">
        <v>1824</v>
      </c>
      <c r="F1133" s="1225">
        <v>237.94</v>
      </c>
    </row>
    <row r="1134" spans="1:6" s="1225" customFormat="1" ht="17.25" customHeight="1"/>
    <row r="1135" spans="1:6" s="1225" customFormat="1" ht="17.25" customHeight="1">
      <c r="A1135" s="1225" t="s">
        <v>1844</v>
      </c>
      <c r="C1135" s="1225" t="s">
        <v>1845</v>
      </c>
      <c r="E1135" s="1225" t="s">
        <v>729</v>
      </c>
      <c r="F1135" s="1225">
        <v>967.5</v>
      </c>
    </row>
    <row r="1136" spans="1:6" s="1225" customFormat="1" ht="17.25" customHeight="1">
      <c r="C1136" s="1225" t="s">
        <v>4444</v>
      </c>
      <c r="E1136" s="1225" t="s">
        <v>729</v>
      </c>
      <c r="F1136" s="1225">
        <v>1864</v>
      </c>
    </row>
    <row r="1137" spans="1:6" s="1225" customFormat="1" ht="17.25" customHeight="1"/>
    <row r="1138" spans="1:6" s="1225" customFormat="1" ht="17.25" customHeight="1">
      <c r="C1138" s="1225" t="s">
        <v>4792</v>
      </c>
    </row>
    <row r="1139" spans="1:6" s="1225" customFormat="1" ht="17.25" customHeight="1">
      <c r="C1139" s="1225" t="s">
        <v>4793</v>
      </c>
    </row>
    <row r="1140" spans="1:6" s="1225" customFormat="1" ht="17.25" customHeight="1"/>
    <row r="1141" spans="1:6" s="1225" customFormat="1" ht="17.25" customHeight="1">
      <c r="A1141" s="1225">
        <v>2</v>
      </c>
      <c r="B1141" s="1225" t="s">
        <v>13</v>
      </c>
      <c r="C1141" s="1225" t="s">
        <v>4794</v>
      </c>
      <c r="D1141" s="1225">
        <v>101.4</v>
      </c>
      <c r="E1141" s="1225" t="s">
        <v>13</v>
      </c>
      <c r="F1141" s="1225">
        <v>202.8</v>
      </c>
    </row>
    <row r="1142" spans="1:6" s="1225" customFormat="1" ht="17.25" customHeight="1">
      <c r="A1142" s="1225">
        <v>1</v>
      </c>
      <c r="B1142" s="1225" t="s">
        <v>727</v>
      </c>
      <c r="C1142" s="1225" t="s">
        <v>4795</v>
      </c>
      <c r="D1142" s="1225">
        <v>34.299999999999997</v>
      </c>
      <c r="E1142" s="1225" t="s">
        <v>729</v>
      </c>
      <c r="F1142" s="1225">
        <v>34.299999999999997</v>
      </c>
    </row>
    <row r="1143" spans="1:6" s="1225" customFormat="1" ht="17.25" customHeight="1">
      <c r="C1143" s="1225" t="s">
        <v>4796</v>
      </c>
      <c r="E1143" s="1225" t="s">
        <v>145</v>
      </c>
      <c r="F1143" s="1225">
        <v>1.4</v>
      </c>
    </row>
    <row r="1144" spans="1:6" s="1225" customFormat="1" ht="17.25" customHeight="1">
      <c r="C1144" s="1225" t="s">
        <v>4797</v>
      </c>
      <c r="F1144" s="1225">
        <v>238.5</v>
      </c>
    </row>
    <row r="1145" spans="1:6" s="1225" customFormat="1" ht="17.25" customHeight="1"/>
    <row r="1146" spans="1:6" s="1225" customFormat="1" ht="17.25" customHeight="1">
      <c r="C1146" s="1225" t="s">
        <v>4798</v>
      </c>
      <c r="F1146" s="1225">
        <v>119.25</v>
      </c>
    </row>
    <row r="1147" spans="1:6" s="1225" customFormat="1" ht="17.25" customHeight="1"/>
    <row r="1148" spans="1:6" s="1225" customFormat="1" ht="17.25" customHeight="1">
      <c r="C1148" s="1225" t="s">
        <v>2740</v>
      </c>
    </row>
    <row r="1149" spans="1:6" s="1225" customFormat="1" ht="17.25" customHeight="1"/>
    <row r="1150" spans="1:6" s="1225" customFormat="1" ht="17.25" customHeight="1">
      <c r="C1150" s="1225" t="s">
        <v>2741</v>
      </c>
    </row>
    <row r="1151" spans="1:6" s="1225" customFormat="1" ht="17.25" customHeight="1"/>
    <row r="1152" spans="1:6" s="1225" customFormat="1" ht="17.25" customHeight="1">
      <c r="C1152" s="1225" t="s">
        <v>3000</v>
      </c>
      <c r="D1152" s="1225">
        <v>1265</v>
      </c>
      <c r="E1152" s="1225" t="s">
        <v>1034</v>
      </c>
      <c r="F1152" s="1225">
        <v>1265</v>
      </c>
    </row>
    <row r="1153" spans="1:6" s="1225" customFormat="1" ht="17.25" customHeight="1">
      <c r="C1153" s="1225" t="s">
        <v>2277</v>
      </c>
      <c r="D1153" s="1225">
        <v>337.6</v>
      </c>
      <c r="E1153" s="1225" t="s">
        <v>1034</v>
      </c>
      <c r="F1153" s="1225">
        <v>337.6</v>
      </c>
    </row>
    <row r="1154" spans="1:6" s="1225" customFormat="1" ht="17.25" customHeight="1">
      <c r="C1154" s="1225" t="s">
        <v>6426</v>
      </c>
      <c r="F1154" s="1225">
        <v>31.6</v>
      </c>
    </row>
    <row r="1155" spans="1:6" s="1225" customFormat="1" ht="17.25" customHeight="1">
      <c r="C1155" s="1225" t="s">
        <v>2736</v>
      </c>
      <c r="F1155" s="1225">
        <v>13.7</v>
      </c>
    </row>
    <row r="1156" spans="1:6" s="1225" customFormat="1" ht="17.25" customHeight="1">
      <c r="C1156" s="1225" t="s">
        <v>2737</v>
      </c>
      <c r="F1156" s="1225">
        <v>501.25</v>
      </c>
    </row>
    <row r="1157" spans="1:6" s="1225" customFormat="1" ht="17.25" customHeight="1">
      <c r="C1157" s="1225" t="s">
        <v>2738</v>
      </c>
      <c r="F1157" s="1225">
        <v>2149.15</v>
      </c>
    </row>
    <row r="1158" spans="1:6" s="1225" customFormat="1" ht="17.25" customHeight="1"/>
    <row r="1159" spans="1:6" s="1225" customFormat="1" ht="17.25" customHeight="1">
      <c r="C1159" s="1225" t="s">
        <v>2744</v>
      </c>
    </row>
    <row r="1160" spans="1:6" s="1225" customFormat="1" ht="17.25" customHeight="1">
      <c r="A1160" s="1225">
        <v>1</v>
      </c>
      <c r="B1160" s="1225" t="s">
        <v>1034</v>
      </c>
      <c r="C1160" s="1225" t="s">
        <v>3001</v>
      </c>
      <c r="D1160" s="1225">
        <v>1366</v>
      </c>
      <c r="E1160" s="1225" t="s">
        <v>1034</v>
      </c>
      <c r="F1160" s="1225">
        <v>1366</v>
      </c>
    </row>
    <row r="1161" spans="1:6" s="1225" customFormat="1" ht="17.25" customHeight="1">
      <c r="A1161" s="1225">
        <v>1</v>
      </c>
      <c r="B1161" s="1225" t="s">
        <v>1034</v>
      </c>
      <c r="C1161" s="1225" t="s">
        <v>3002</v>
      </c>
      <c r="D1161" s="1225">
        <v>185.9</v>
      </c>
      <c r="E1161" s="1225" t="s">
        <v>1034</v>
      </c>
      <c r="F1161" s="1225">
        <v>185.9</v>
      </c>
    </row>
    <row r="1162" spans="1:6" s="1225" customFormat="1" ht="17.25" customHeight="1">
      <c r="C1162" s="1225" t="s">
        <v>2738</v>
      </c>
      <c r="F1162" s="1225">
        <v>1552.7</v>
      </c>
    </row>
    <row r="1163" spans="1:6" s="1225" customFormat="1" ht="17.25" customHeight="1"/>
    <row r="1164" spans="1:6" s="1225" customFormat="1" ht="17.25" customHeight="1"/>
    <row r="1165" spans="1:6" s="1225" customFormat="1" ht="17.25" customHeight="1">
      <c r="C1165" s="1225" t="s">
        <v>2425</v>
      </c>
    </row>
    <row r="1166" spans="1:6" s="1225" customFormat="1" ht="17.25" customHeight="1">
      <c r="C1166" s="1225" t="s">
        <v>2441</v>
      </c>
    </row>
    <row r="1167" spans="1:6" s="1225" customFormat="1" ht="17.25" customHeight="1"/>
    <row r="1168" spans="1:6" s="1225" customFormat="1" ht="17.25" customHeight="1">
      <c r="C1168" s="1225" t="s">
        <v>2429</v>
      </c>
    </row>
    <row r="1169" spans="1:6" s="1225" customFormat="1" ht="17.25" customHeight="1">
      <c r="A1169" s="1225">
        <v>180</v>
      </c>
      <c r="B1169" s="1225" t="s">
        <v>13</v>
      </c>
      <c r="C1169" s="1225" t="s">
        <v>2872</v>
      </c>
      <c r="D1169" s="1225">
        <v>40.950000000000003</v>
      </c>
      <c r="E1169" s="1225" t="s">
        <v>2306</v>
      </c>
      <c r="F1169" s="1225">
        <v>7371</v>
      </c>
    </row>
    <row r="1170" spans="1:6" s="1225" customFormat="1" ht="17.25" customHeight="1">
      <c r="A1170" s="1225">
        <v>90</v>
      </c>
      <c r="B1170" s="1225" t="s">
        <v>13</v>
      </c>
      <c r="C1170" s="1225" t="s">
        <v>2313</v>
      </c>
      <c r="D1170" s="1225">
        <v>20</v>
      </c>
      <c r="E1170" s="1225" t="s">
        <v>13</v>
      </c>
      <c r="F1170" s="1225">
        <v>1800</v>
      </c>
    </row>
    <row r="1171" spans="1:6" s="1225" customFormat="1" ht="17.25" customHeight="1">
      <c r="A1171" s="1225">
        <v>3</v>
      </c>
      <c r="B1171" s="1225" t="s">
        <v>2324</v>
      </c>
      <c r="C1171" s="1225" t="s">
        <v>38</v>
      </c>
      <c r="D1171" s="1225">
        <v>302</v>
      </c>
      <c r="E1171" s="1225" t="s">
        <v>2324</v>
      </c>
      <c r="F1171" s="1225">
        <v>906</v>
      </c>
    </row>
    <row r="1172" spans="1:6" s="1225" customFormat="1" ht="17.25" customHeight="1">
      <c r="A1172" s="1225">
        <v>90</v>
      </c>
      <c r="B1172" s="1225" t="s">
        <v>13</v>
      </c>
      <c r="C1172" s="1225" t="s">
        <v>2873</v>
      </c>
      <c r="D1172" s="1225">
        <v>25.75</v>
      </c>
      <c r="E1172" s="1225" t="s">
        <v>2306</v>
      </c>
      <c r="F1172" s="1225">
        <v>2317.5</v>
      </c>
    </row>
    <row r="1173" spans="1:6" s="1225" customFormat="1" ht="17.25" customHeight="1">
      <c r="C1173" s="1225" t="s">
        <v>478</v>
      </c>
      <c r="F1173" s="1225">
        <v>11454</v>
      </c>
    </row>
    <row r="1174" spans="1:6" s="1225" customFormat="1" ht="17.25" customHeight="1">
      <c r="C1174" s="1225" t="s">
        <v>1557</v>
      </c>
      <c r="F1174" s="1225">
        <v>106</v>
      </c>
    </row>
    <row r="1175" spans="1:6" s="1225" customFormat="1" ht="17.25" customHeight="1">
      <c r="C1175" s="1225" t="s">
        <v>2432</v>
      </c>
      <c r="F1175" s="1225">
        <v>23954.5</v>
      </c>
    </row>
    <row r="1176" spans="1:6" s="1225" customFormat="1" ht="17.25" customHeight="1">
      <c r="C1176" s="1225" t="s">
        <v>2433</v>
      </c>
      <c r="F1176" s="1225">
        <v>266.16000000000003</v>
      </c>
    </row>
    <row r="1177" spans="1:6" s="1225" customFormat="1" ht="17.25" customHeight="1"/>
    <row r="1178" spans="1:6" s="1225" customFormat="1" ht="17.25" customHeight="1"/>
    <row r="1179" spans="1:6" s="1225" customFormat="1" ht="17.25" customHeight="1"/>
    <row r="1180" spans="1:6" s="1225" customFormat="1" ht="17.25" customHeight="1">
      <c r="C1180" s="1225" t="s">
        <v>2424</v>
      </c>
    </row>
    <row r="1181" spans="1:6" s="1225" customFormat="1" ht="17.25" customHeight="1">
      <c r="C1181" s="1225" t="s">
        <v>2426</v>
      </c>
    </row>
    <row r="1182" spans="1:6" s="1225" customFormat="1" ht="17.25" customHeight="1"/>
    <row r="1183" spans="1:6" s="1225" customFormat="1" ht="17.25" customHeight="1">
      <c r="C1183" s="1225" t="s">
        <v>2428</v>
      </c>
    </row>
    <row r="1184" spans="1:6" s="1225" customFormat="1" ht="17.25" customHeight="1"/>
    <row r="1185" spans="1:6" s="1225" customFormat="1" ht="17.25" customHeight="1">
      <c r="A1185" s="1225">
        <v>180</v>
      </c>
      <c r="B1185" s="1225" t="s">
        <v>13</v>
      </c>
      <c r="C1185" s="1225" t="s">
        <v>2311</v>
      </c>
      <c r="D1185" s="1225">
        <v>16.55</v>
      </c>
      <c r="E1185" s="1225" t="s">
        <v>13</v>
      </c>
      <c r="F1185" s="1225">
        <v>2979</v>
      </c>
    </row>
    <row r="1186" spans="1:6" s="1225" customFormat="1" ht="17.25" customHeight="1">
      <c r="A1186" s="1225">
        <v>90</v>
      </c>
      <c r="B1186" s="1225" t="s">
        <v>13</v>
      </c>
      <c r="C1186" s="1225" t="s">
        <v>2313</v>
      </c>
      <c r="D1186" s="1225">
        <v>20</v>
      </c>
      <c r="E1186" s="1225" t="s">
        <v>13</v>
      </c>
      <c r="F1186" s="1225">
        <v>1800</v>
      </c>
    </row>
    <row r="1187" spans="1:6" s="1225" customFormat="1" ht="17.25" customHeight="1">
      <c r="A1187" s="1225">
        <v>3</v>
      </c>
      <c r="B1187" s="1225" t="s">
        <v>2324</v>
      </c>
      <c r="C1187" s="1225" t="s">
        <v>38</v>
      </c>
      <c r="D1187" s="1225">
        <v>302</v>
      </c>
      <c r="E1187" s="1225" t="s">
        <v>2324</v>
      </c>
      <c r="F1187" s="1225">
        <v>906</v>
      </c>
    </row>
    <row r="1188" spans="1:6" s="1225" customFormat="1" ht="17.25" customHeight="1">
      <c r="A1188" s="1225">
        <v>90</v>
      </c>
      <c r="B1188" s="1225" t="s">
        <v>13</v>
      </c>
      <c r="C1188" s="1225" t="s">
        <v>2333</v>
      </c>
      <c r="D1188" s="1225">
        <v>16.55</v>
      </c>
      <c r="E1188" s="1225" t="s">
        <v>2306</v>
      </c>
      <c r="F1188" s="1225">
        <v>1489.5</v>
      </c>
    </row>
    <row r="1189" spans="1:6" s="1225" customFormat="1" ht="17.25" customHeight="1">
      <c r="C1189" s="1225" t="s">
        <v>478</v>
      </c>
      <c r="F1189" s="1225">
        <v>11454</v>
      </c>
    </row>
    <row r="1190" spans="1:6" s="1225" customFormat="1" ht="17.25" customHeight="1">
      <c r="F1190" s="1225">
        <v>18628.5</v>
      </c>
    </row>
    <row r="1191" spans="1:6" s="1225" customFormat="1" ht="17.25" customHeight="1">
      <c r="C1191" s="1225" t="s">
        <v>1557</v>
      </c>
      <c r="F1191" s="1225">
        <v>115</v>
      </c>
    </row>
    <row r="1192" spans="1:6" s="1225" customFormat="1" ht="17.25" customHeight="1">
      <c r="C1192" s="1225" t="s">
        <v>2432</v>
      </c>
      <c r="F1192" s="1225">
        <v>18743.5</v>
      </c>
    </row>
    <row r="1193" spans="1:6" s="1225" customFormat="1" ht="17.25" customHeight="1">
      <c r="C1193" s="1225" t="s">
        <v>2433</v>
      </c>
      <c r="F1193" s="1225">
        <v>208.26</v>
      </c>
    </row>
    <row r="1194" spans="1:6" s="1225" customFormat="1" ht="17.25" customHeight="1"/>
    <row r="1195" spans="1:6" s="1225" customFormat="1" ht="17.25" customHeight="1">
      <c r="C1195" s="1225" t="s">
        <v>2434</v>
      </c>
    </row>
    <row r="1196" spans="1:6" s="1225" customFormat="1" ht="17.25" customHeight="1">
      <c r="C1196" s="1225" t="s">
        <v>2435</v>
      </c>
    </row>
    <row r="1197" spans="1:6" s="1225" customFormat="1" ht="17.25" customHeight="1"/>
    <row r="1198" spans="1:6" s="1225" customFormat="1" ht="17.25" customHeight="1">
      <c r="C1198" s="1225" t="s">
        <v>2436</v>
      </c>
    </row>
    <row r="1199" spans="1:6" s="1225" customFormat="1" ht="17.25" customHeight="1"/>
    <row r="1200" spans="1:6" s="1225" customFormat="1" ht="17.25" customHeight="1">
      <c r="C1200" s="1225" t="s">
        <v>2437</v>
      </c>
      <c r="F1200" s="1225">
        <v>18628.5</v>
      </c>
    </row>
    <row r="1201" spans="1:6" s="1225" customFormat="1" ht="17.25" customHeight="1">
      <c r="A1201" s="1225">
        <v>180</v>
      </c>
      <c r="B1201" s="1225" t="s">
        <v>13</v>
      </c>
      <c r="C1201" s="1225" t="s">
        <v>2871</v>
      </c>
      <c r="D1201" s="1225">
        <v>25.75</v>
      </c>
      <c r="E1201" s="1225" t="s">
        <v>13</v>
      </c>
      <c r="F1201" s="1225">
        <v>4635</v>
      </c>
    </row>
    <row r="1202" spans="1:6" s="1225" customFormat="1" ht="17.25" customHeight="1">
      <c r="A1202" s="1225">
        <v>180</v>
      </c>
      <c r="B1202" s="1225" t="s">
        <v>13</v>
      </c>
      <c r="C1202" s="1225" t="s">
        <v>2439</v>
      </c>
      <c r="D1202" s="1225">
        <v>16.55</v>
      </c>
      <c r="E1202" s="1225" t="s">
        <v>2306</v>
      </c>
      <c r="F1202" s="1225">
        <v>2979</v>
      </c>
    </row>
    <row r="1203" spans="1:6" s="1225" customFormat="1" ht="17.25" customHeight="1">
      <c r="C1203" s="1225" t="s">
        <v>1557</v>
      </c>
      <c r="F1203" s="1225">
        <v>115</v>
      </c>
    </row>
    <row r="1204" spans="1:6" s="1225" customFormat="1" ht="17.25" customHeight="1">
      <c r="C1204" s="1225" t="s">
        <v>2440</v>
      </c>
      <c r="F1204" s="1225">
        <v>20399.5</v>
      </c>
    </row>
    <row r="1205" spans="1:6" s="1225" customFormat="1" ht="17.25" customHeight="1">
      <c r="C1205" s="1225" t="s">
        <v>2433</v>
      </c>
      <c r="F1205" s="1225">
        <v>226.66</v>
      </c>
    </row>
    <row r="1206" spans="1:6" s="1225" customFormat="1" ht="17.25" customHeight="1"/>
    <row r="1207" spans="1:6" s="1225" customFormat="1" ht="17.25" customHeight="1">
      <c r="C1207" s="1225" t="s">
        <v>2443</v>
      </c>
    </row>
    <row r="1208" spans="1:6" s="1225" customFormat="1" ht="17.25" customHeight="1">
      <c r="C1208" s="1225" t="s">
        <v>2445</v>
      </c>
    </row>
    <row r="1209" spans="1:6" s="1225" customFormat="1" ht="17.25" customHeight="1"/>
    <row r="1210" spans="1:6" s="1225" customFormat="1" ht="17.25" customHeight="1">
      <c r="C1210" s="1225" t="s">
        <v>2447</v>
      </c>
    </row>
    <row r="1211" spans="1:6" s="1225" customFormat="1" ht="17.25" customHeight="1">
      <c r="A1211" s="1225">
        <v>360</v>
      </c>
      <c r="C1211" s="1225" t="s">
        <v>2875</v>
      </c>
      <c r="D1211" s="1225">
        <v>56.7</v>
      </c>
      <c r="E1211" s="1225" t="s">
        <v>2306</v>
      </c>
      <c r="F1211" s="1225">
        <v>20412</v>
      </c>
    </row>
    <row r="1212" spans="1:6" s="1225" customFormat="1" ht="17.25" customHeight="1">
      <c r="A1212" s="1225">
        <v>90</v>
      </c>
      <c r="C1212" s="1225" t="s">
        <v>2877</v>
      </c>
      <c r="D1212" s="1225">
        <v>29.8</v>
      </c>
      <c r="E1212" s="1225" t="s">
        <v>13</v>
      </c>
      <c r="F1212" s="1225">
        <v>2682</v>
      </c>
    </row>
    <row r="1213" spans="1:6" s="1225" customFormat="1" ht="17.25" customHeight="1">
      <c r="A1213" s="1225">
        <v>3</v>
      </c>
      <c r="C1213" s="1225" t="s">
        <v>38</v>
      </c>
      <c r="D1213" s="1225">
        <v>302</v>
      </c>
      <c r="E1213" s="1225" t="s">
        <v>2324</v>
      </c>
      <c r="F1213" s="1225">
        <v>906</v>
      </c>
    </row>
    <row r="1214" spans="1:6" s="1225" customFormat="1" ht="17.25" customHeight="1">
      <c r="A1214" s="1225">
        <v>90</v>
      </c>
      <c r="C1214" s="1225" t="s">
        <v>2879</v>
      </c>
      <c r="D1214" s="1225">
        <v>38.299999999999997</v>
      </c>
      <c r="E1214" s="1225" t="s">
        <v>2306</v>
      </c>
      <c r="F1214" s="1225">
        <v>3447</v>
      </c>
    </row>
    <row r="1215" spans="1:6" s="1225" customFormat="1" ht="17.25" customHeight="1">
      <c r="C1215" s="1225" t="s">
        <v>478</v>
      </c>
      <c r="F1215" s="1225">
        <v>15075</v>
      </c>
    </row>
    <row r="1216" spans="1:6" s="1225" customFormat="1" ht="17.25" customHeight="1">
      <c r="C1216" s="1225" t="s">
        <v>1557</v>
      </c>
      <c r="F1216" s="1225">
        <v>195.27</v>
      </c>
    </row>
    <row r="1217" spans="1:6" s="1225" customFormat="1" ht="17.25" customHeight="1">
      <c r="C1217" s="1225" t="s">
        <v>2432</v>
      </c>
      <c r="F1217" s="1225">
        <v>42717.27</v>
      </c>
    </row>
    <row r="1218" spans="1:6" s="1225" customFormat="1" ht="17.25" customHeight="1">
      <c r="C1218" s="1225" t="s">
        <v>2433</v>
      </c>
      <c r="F1218" s="1225">
        <v>474.64</v>
      </c>
    </row>
    <row r="1219" spans="1:6" s="1225" customFormat="1" ht="17.25" customHeight="1"/>
    <row r="1220" spans="1:6" s="1225" customFormat="1" ht="17.25" customHeight="1">
      <c r="C1220" s="1225" t="s">
        <v>2443</v>
      </c>
    </row>
    <row r="1221" spans="1:6" s="1225" customFormat="1" ht="17.25" customHeight="1">
      <c r="C1221" s="1225" t="s">
        <v>2453</v>
      </c>
    </row>
    <row r="1222" spans="1:6" s="1225" customFormat="1" ht="17.25" customHeight="1"/>
    <row r="1223" spans="1:6" s="1225" customFormat="1" ht="17.25" customHeight="1">
      <c r="C1223" s="1225" t="s">
        <v>2455</v>
      </c>
    </row>
    <row r="1224" spans="1:6" s="1225" customFormat="1" ht="17.25" customHeight="1">
      <c r="A1224" s="1225">
        <v>360</v>
      </c>
      <c r="C1224" s="1225" t="s">
        <v>2881</v>
      </c>
      <c r="D1224" s="1225">
        <v>91.25</v>
      </c>
      <c r="E1224" s="1225" t="s">
        <v>2306</v>
      </c>
      <c r="F1224" s="1225">
        <v>32850</v>
      </c>
    </row>
    <row r="1225" spans="1:6" s="1225" customFormat="1" ht="17.25" customHeight="1">
      <c r="A1225" s="1225">
        <v>90</v>
      </c>
      <c r="C1225" s="1225" t="s">
        <v>2882</v>
      </c>
      <c r="D1225" s="1225">
        <v>29.8</v>
      </c>
      <c r="E1225" s="1225" t="s">
        <v>13</v>
      </c>
      <c r="F1225" s="1225">
        <v>2682</v>
      </c>
    </row>
    <row r="1226" spans="1:6" s="1225" customFormat="1" ht="17.25" customHeight="1">
      <c r="A1226" s="1225">
        <v>3</v>
      </c>
      <c r="C1226" s="1225" t="s">
        <v>38</v>
      </c>
      <c r="D1226" s="1225">
        <v>302</v>
      </c>
      <c r="E1226" s="1225" t="s">
        <v>2324</v>
      </c>
      <c r="F1226" s="1225">
        <v>906</v>
      </c>
    </row>
    <row r="1227" spans="1:6" s="1225" customFormat="1" ht="17.25" customHeight="1">
      <c r="A1227" s="1225">
        <v>90</v>
      </c>
      <c r="C1227" s="1225" t="s">
        <v>2884</v>
      </c>
      <c r="D1227" s="1225">
        <v>60.65</v>
      </c>
      <c r="E1227" s="1225" t="s">
        <v>2306</v>
      </c>
      <c r="F1227" s="1225">
        <v>5458.5</v>
      </c>
    </row>
    <row r="1228" spans="1:6" s="1225" customFormat="1" ht="17.25" customHeight="1">
      <c r="C1228" s="1225" t="s">
        <v>478</v>
      </c>
      <c r="F1228" s="1225">
        <v>15075</v>
      </c>
    </row>
    <row r="1229" spans="1:6" s="1225" customFormat="1" ht="17.25" customHeight="1">
      <c r="C1229" s="1225" t="s">
        <v>1557</v>
      </c>
      <c r="F1229" s="1225">
        <v>60.5</v>
      </c>
    </row>
    <row r="1230" spans="1:6" s="1225" customFormat="1" ht="17.25" customHeight="1">
      <c r="C1230" s="1225" t="s">
        <v>2432</v>
      </c>
      <c r="F1230" s="1225">
        <v>57032</v>
      </c>
    </row>
    <row r="1231" spans="1:6" s="1225" customFormat="1" ht="17.25" customHeight="1">
      <c r="C1231" s="1225" t="s">
        <v>2433</v>
      </c>
      <c r="F1231" s="1225">
        <v>633.69000000000005</v>
      </c>
    </row>
    <row r="1232" spans="1:6" s="1225" customFormat="1" ht="17.25" customHeight="1"/>
    <row r="1233" spans="1:6" s="1225" customFormat="1" ht="17.25" customHeight="1">
      <c r="C1233" s="1225" t="s">
        <v>4523</v>
      </c>
    </row>
    <row r="1234" spans="1:6" s="1225" customFormat="1" ht="17.25" customHeight="1">
      <c r="A1234" s="1225">
        <v>0.47</v>
      </c>
      <c r="B1234" s="1225" t="s">
        <v>5</v>
      </c>
      <c r="C1234" s="1225" t="s">
        <v>1767</v>
      </c>
      <c r="D1234" s="1225">
        <v>233.76</v>
      </c>
      <c r="E1234" s="1225" t="s">
        <v>729</v>
      </c>
      <c r="F1234" s="1225">
        <v>109.87</v>
      </c>
    </row>
    <row r="1235" spans="1:6" s="1225" customFormat="1" ht="17.25" customHeight="1">
      <c r="A1235" s="1225">
        <v>2</v>
      </c>
      <c r="F1235" s="1225">
        <v>0</v>
      </c>
    </row>
    <row r="1236" spans="1:6" s="1225" customFormat="1" ht="17.25" customHeight="1">
      <c r="A1236" s="1225">
        <v>0.24</v>
      </c>
      <c r="B1236" s="1225" t="s">
        <v>5</v>
      </c>
      <c r="C1236" s="1225" t="s">
        <v>2195</v>
      </c>
      <c r="D1236" s="1225">
        <v>1316.98</v>
      </c>
      <c r="E1236" s="1225" t="s">
        <v>729</v>
      </c>
      <c r="F1236" s="1225">
        <v>316.08</v>
      </c>
    </row>
    <row r="1237" spans="1:6" s="1225" customFormat="1" ht="17.25" customHeight="1">
      <c r="A1237" s="1225">
        <v>0.79</v>
      </c>
      <c r="B1237" s="1225" t="s">
        <v>724</v>
      </c>
      <c r="C1237" s="1225" t="s">
        <v>4526</v>
      </c>
      <c r="D1237" s="1225">
        <v>1688.92</v>
      </c>
      <c r="E1237" s="1225" t="s">
        <v>145</v>
      </c>
      <c r="F1237" s="1225">
        <v>1334.25</v>
      </c>
    </row>
    <row r="1238" spans="1:6" s="1225" customFormat="1" ht="17.25" customHeight="1">
      <c r="A1238" s="1225">
        <v>0.24</v>
      </c>
      <c r="B1238" s="1225" t="s">
        <v>5</v>
      </c>
      <c r="C1238" s="1225" t="s">
        <v>475</v>
      </c>
      <c r="D1238" s="1225">
        <v>1642.42</v>
      </c>
      <c r="F1238" s="1225">
        <v>394.18</v>
      </c>
    </row>
    <row r="1239" spans="1:6" s="1225" customFormat="1" ht="17.25" customHeight="1">
      <c r="C1239" s="1225" t="s">
        <v>1557</v>
      </c>
      <c r="F1239" s="1225" t="s">
        <v>4527</v>
      </c>
    </row>
    <row r="1240" spans="1:6" s="1225" customFormat="1" ht="17.25" customHeight="1">
      <c r="F1240" s="1225">
        <v>2154.38</v>
      </c>
    </row>
    <row r="1241" spans="1:6" s="1225" customFormat="1" ht="17.25" customHeight="1">
      <c r="F1241" s="1225" t="s">
        <v>3617</v>
      </c>
    </row>
    <row r="1242" spans="1:6" s="1225" customFormat="1" ht="17.25" customHeight="1">
      <c r="F1242" s="1225">
        <v>0</v>
      </c>
    </row>
    <row r="1243" spans="1:6" s="1225" customFormat="1" ht="17.25" customHeight="1">
      <c r="C1243" s="1225" t="s">
        <v>4532</v>
      </c>
    </row>
    <row r="1244" spans="1:6" s="1225" customFormat="1" ht="17.25" customHeight="1">
      <c r="A1244" s="1225">
        <v>1</v>
      </c>
      <c r="B1244" s="1225" t="s">
        <v>5</v>
      </c>
      <c r="C1244" s="1225" t="s">
        <v>478</v>
      </c>
      <c r="D1244" s="1225">
        <v>416.06</v>
      </c>
      <c r="E1244" s="1225" t="s">
        <v>729</v>
      </c>
      <c r="F1244" s="1225">
        <v>416.06</v>
      </c>
    </row>
    <row r="1245" spans="1:6" s="1225" customFormat="1" ht="17.25" customHeight="1">
      <c r="A1245" s="1225">
        <v>7.0000000000000007E-2</v>
      </c>
      <c r="B1245" s="1225" t="s">
        <v>5</v>
      </c>
      <c r="C1245" s="1225" t="s">
        <v>2195</v>
      </c>
      <c r="D1245" s="1225">
        <v>1316.98</v>
      </c>
      <c r="E1245" s="1225" t="s">
        <v>729</v>
      </c>
      <c r="F1245" s="1225">
        <v>93.51</v>
      </c>
    </row>
    <row r="1246" spans="1:6" s="1225" customFormat="1" ht="17.25" customHeight="1">
      <c r="F1246" s="1225" t="s">
        <v>4527</v>
      </c>
    </row>
    <row r="1247" spans="1:6" s="1225" customFormat="1" ht="17.25" customHeight="1">
      <c r="F1247" s="1225">
        <v>509.57</v>
      </c>
    </row>
    <row r="1248" spans="1:6" s="1225" customFormat="1" ht="17.25" customHeight="1"/>
    <row r="1249" spans="1:6" s="1225" customFormat="1" ht="33">
      <c r="C1249" s="1225" t="s">
        <v>4831</v>
      </c>
      <c r="D1249" s="1225">
        <v>398.3</v>
      </c>
      <c r="E1249" s="1225" t="s">
        <v>2847</v>
      </c>
    </row>
    <row r="1250" spans="1:6" s="1225" customFormat="1" ht="17.25" customHeight="1"/>
    <row r="1251" spans="1:6" s="1225" customFormat="1" ht="17.25" customHeight="1"/>
    <row r="1252" spans="1:6" s="1225" customFormat="1" ht="17.25" customHeight="1">
      <c r="B1252" s="1225" t="s">
        <v>4730</v>
      </c>
    </row>
    <row r="1253" spans="1:6" s="1225" customFormat="1" ht="17.25" customHeight="1"/>
    <row r="1254" spans="1:6" s="1225" customFormat="1" ht="17.25" customHeight="1">
      <c r="A1254" s="1225">
        <v>5</v>
      </c>
      <c r="B1254" s="1225" t="s">
        <v>4732</v>
      </c>
      <c r="C1254" s="1225" t="s">
        <v>4733</v>
      </c>
      <c r="D1254" s="1225">
        <v>160</v>
      </c>
      <c r="E1254" s="1225" t="s">
        <v>4734</v>
      </c>
      <c r="F1254" s="1225">
        <v>800</v>
      </c>
    </row>
    <row r="1255" spans="1:6" s="1225" customFormat="1" ht="17.25" customHeight="1">
      <c r="A1255" s="1225">
        <v>1</v>
      </c>
      <c r="B1255" s="1225" t="s">
        <v>1034</v>
      </c>
      <c r="C1255" s="1225" t="s">
        <v>4736</v>
      </c>
      <c r="D1255" s="1225">
        <v>75</v>
      </c>
      <c r="E1255" s="1225" t="s">
        <v>729</v>
      </c>
      <c r="F1255" s="1225">
        <v>75</v>
      </c>
    </row>
    <row r="1256" spans="1:6" s="1225" customFormat="1" ht="17.25" customHeight="1">
      <c r="A1256" s="1225">
        <v>2.5</v>
      </c>
      <c r="B1256" s="1225" t="s">
        <v>1034</v>
      </c>
      <c r="C1256" s="1225" t="s">
        <v>4737</v>
      </c>
      <c r="D1256" s="1225">
        <v>831.6</v>
      </c>
      <c r="E1256" s="1225" t="s">
        <v>1034</v>
      </c>
      <c r="F1256" s="1225">
        <v>2079</v>
      </c>
    </row>
    <row r="1257" spans="1:6" s="1225" customFormat="1" ht="17.25" customHeight="1">
      <c r="C1257" s="1225" t="s">
        <v>1557</v>
      </c>
      <c r="D1257" s="1225" t="s">
        <v>145</v>
      </c>
      <c r="F1257" s="1225">
        <v>0.25</v>
      </c>
    </row>
    <row r="1258" spans="1:6" s="1225" customFormat="1" ht="17.25" customHeight="1">
      <c r="F1258" s="1225" t="s">
        <v>89</v>
      </c>
    </row>
    <row r="1259" spans="1:6" s="1225" customFormat="1" ht="17.25" customHeight="1">
      <c r="D1259" s="1225" t="s">
        <v>4740</v>
      </c>
      <c r="E1259" s="1225" t="s">
        <v>89</v>
      </c>
      <c r="F1259" s="1225">
        <v>2954.25</v>
      </c>
    </row>
    <row r="1260" spans="1:6" s="1225" customFormat="1" ht="17.25" customHeight="1"/>
    <row r="1261" spans="1:6" s="1225" customFormat="1" ht="17.25" customHeight="1">
      <c r="A1261" s="1225" t="s">
        <v>1654</v>
      </c>
      <c r="B1261" s="1225" t="s">
        <v>111</v>
      </c>
      <c r="C1261" s="1225" t="s">
        <v>6444</v>
      </c>
    </row>
    <row r="1262" spans="1:6" s="1225" customFormat="1" ht="17.25" customHeight="1">
      <c r="C1262" s="1225" t="s">
        <v>4319</v>
      </c>
    </row>
    <row r="1263" spans="1:6" s="1225" customFormat="1" ht="17.25" customHeight="1">
      <c r="C1263" s="1225" t="s">
        <v>4334</v>
      </c>
    </row>
    <row r="1264" spans="1:6" s="1225" customFormat="1" ht="17.25" customHeight="1">
      <c r="C1264" s="1225" t="s">
        <v>52</v>
      </c>
    </row>
    <row r="1265" spans="1:6" s="1225" customFormat="1" ht="17.25" customHeight="1">
      <c r="A1265" s="1225">
        <v>1.4</v>
      </c>
      <c r="B1265" s="1225" t="s">
        <v>1658</v>
      </c>
      <c r="C1265" s="1225" t="s">
        <v>4336</v>
      </c>
      <c r="D1265" s="1225">
        <v>295.60000000000002</v>
      </c>
      <c r="E1265" s="1225" t="s">
        <v>1658</v>
      </c>
      <c r="F1265" s="1225">
        <v>413.84</v>
      </c>
    </row>
    <row r="1266" spans="1:6" s="1225" customFormat="1" ht="17.25" customHeight="1">
      <c r="A1266" s="1225">
        <v>0.98</v>
      </c>
      <c r="B1266" s="1225" t="s">
        <v>1658</v>
      </c>
      <c r="C1266" s="1225" t="s">
        <v>4337</v>
      </c>
      <c r="D1266" s="1225">
        <v>147.5</v>
      </c>
      <c r="E1266" s="1225" t="s">
        <v>1658</v>
      </c>
      <c r="F1266" s="1225">
        <v>144.55000000000001</v>
      </c>
    </row>
    <row r="1267" spans="1:6" s="1225" customFormat="1" ht="17.25" customHeight="1">
      <c r="A1267" s="1225">
        <v>2.2000000000000002</v>
      </c>
      <c r="B1267" s="1225" t="s">
        <v>237</v>
      </c>
      <c r="C1267" s="1225" t="s">
        <v>1660</v>
      </c>
      <c r="D1267" s="1225">
        <v>831.6</v>
      </c>
      <c r="E1267" s="1225" t="s">
        <v>237</v>
      </c>
      <c r="F1267" s="1225">
        <v>1829.52</v>
      </c>
    </row>
    <row r="1268" spans="1:6" s="1225" customFormat="1" ht="17.25" customHeight="1">
      <c r="B1268" s="1225" t="s">
        <v>145</v>
      </c>
      <c r="C1268" s="1225" t="s">
        <v>1546</v>
      </c>
      <c r="D1268" s="1225" t="s">
        <v>85</v>
      </c>
      <c r="E1268" s="1225" t="s">
        <v>145</v>
      </c>
      <c r="F1268" s="1225">
        <v>2.5499999999999998</v>
      </c>
    </row>
    <row r="1269" spans="1:6" s="1225" customFormat="1" ht="17.25" customHeight="1"/>
    <row r="1270" spans="1:6" s="1225" customFormat="1" ht="17.25" customHeight="1">
      <c r="C1270" s="1225" t="s">
        <v>495</v>
      </c>
      <c r="F1270" s="1225">
        <v>2390.46</v>
      </c>
    </row>
    <row r="1271" spans="1:6" s="1225" customFormat="1" ht="17.25" customHeight="1">
      <c r="F1271" s="1225" t="s">
        <v>52</v>
      </c>
    </row>
    <row r="1272" spans="1:6" s="1225" customFormat="1" ht="17.25" customHeight="1">
      <c r="C1272" s="1225" t="s">
        <v>460</v>
      </c>
      <c r="F1272" s="1225">
        <v>239.05</v>
      </c>
    </row>
    <row r="1273" spans="1:6" s="1225" customFormat="1" ht="17.25" customHeight="1"/>
    <row r="1274" spans="1:6" s="1225" customFormat="1" ht="17.25" customHeight="1">
      <c r="B1274" s="1225" t="s">
        <v>111</v>
      </c>
      <c r="C1274" s="1225" t="s">
        <v>6445</v>
      </c>
    </row>
    <row r="1275" spans="1:6" s="1225" customFormat="1" ht="17.25" customHeight="1">
      <c r="C1275" s="1225" t="s">
        <v>4319</v>
      </c>
    </row>
    <row r="1276" spans="1:6" s="1225" customFormat="1" ht="17.25" customHeight="1">
      <c r="C1276" s="1225" t="s">
        <v>4996</v>
      </c>
    </row>
    <row r="1277" spans="1:6" s="1225" customFormat="1" ht="17.25" customHeight="1">
      <c r="C1277" s="1225" t="s">
        <v>52</v>
      </c>
    </row>
    <row r="1278" spans="1:6" s="1225" customFormat="1" ht="17.25" customHeight="1">
      <c r="A1278" s="1225">
        <v>1.34</v>
      </c>
      <c r="B1278" s="1225" t="s">
        <v>39</v>
      </c>
      <c r="C1278" s="1225" t="s">
        <v>4997</v>
      </c>
      <c r="D1278" s="1225">
        <v>73.8</v>
      </c>
      <c r="E1278" s="1225" t="s">
        <v>39</v>
      </c>
      <c r="F1278" s="1225">
        <v>98.89</v>
      </c>
    </row>
    <row r="1279" spans="1:6" s="1225" customFormat="1" ht="17.25" customHeight="1">
      <c r="A1279" s="1225">
        <v>0.5</v>
      </c>
      <c r="B1279" s="1225" t="s">
        <v>237</v>
      </c>
      <c r="C1279" s="1225" t="s">
        <v>1660</v>
      </c>
      <c r="D1279" s="1225">
        <v>831.6</v>
      </c>
      <c r="E1279" s="1225" t="s">
        <v>237</v>
      </c>
      <c r="F1279" s="1225">
        <v>415.8</v>
      </c>
    </row>
    <row r="1280" spans="1:6" s="1225" customFormat="1" ht="17.25" customHeight="1">
      <c r="A1280" s="1225">
        <v>0.5</v>
      </c>
      <c r="B1280" s="1225" t="s">
        <v>237</v>
      </c>
      <c r="C1280" s="1225" t="s">
        <v>304</v>
      </c>
      <c r="D1280" s="1225">
        <v>679.8</v>
      </c>
      <c r="E1280" s="1225" t="s">
        <v>237</v>
      </c>
      <c r="F1280" s="1225">
        <v>339.9</v>
      </c>
    </row>
    <row r="1281" spans="1:6" s="1225" customFormat="1" ht="17.25" customHeight="1">
      <c r="A1281" s="1225">
        <v>0.8</v>
      </c>
      <c r="B1281" s="1225" t="s">
        <v>237</v>
      </c>
      <c r="C1281" s="1225" t="s">
        <v>306</v>
      </c>
      <c r="D1281" s="1225">
        <v>557.70000000000005</v>
      </c>
      <c r="E1281" s="1225" t="s">
        <v>237</v>
      </c>
      <c r="F1281" s="1225">
        <v>446.16</v>
      </c>
    </row>
    <row r="1282" spans="1:6" s="1225" customFormat="1" ht="17.25" customHeight="1">
      <c r="B1282" s="1225" t="s">
        <v>145</v>
      </c>
      <c r="C1282" s="1225" t="s">
        <v>1546</v>
      </c>
      <c r="D1282" s="1225" t="s">
        <v>85</v>
      </c>
      <c r="E1282" s="1225" t="s">
        <v>145</v>
      </c>
      <c r="F1282" s="1225">
        <v>2.6</v>
      </c>
    </row>
    <row r="1283" spans="1:6" s="1225" customFormat="1" ht="17.25" customHeight="1">
      <c r="F1283" s="1225" t="s">
        <v>52</v>
      </c>
    </row>
    <row r="1284" spans="1:6" s="1225" customFormat="1" ht="17.25" customHeight="1">
      <c r="C1284" s="1225" t="s">
        <v>495</v>
      </c>
      <c r="F1284" s="1225">
        <v>1303.3499999999999</v>
      </c>
    </row>
    <row r="1285" spans="1:6" s="1225" customFormat="1" ht="17.25" customHeight="1">
      <c r="F1285" s="1225" t="s">
        <v>52</v>
      </c>
    </row>
    <row r="1286" spans="1:6" s="1225" customFormat="1" ht="17.25" customHeight="1">
      <c r="C1286" s="1225" t="s">
        <v>460</v>
      </c>
      <c r="F1286" s="1225">
        <v>130.34</v>
      </c>
    </row>
    <row r="1287" spans="1:6" s="1225" customFormat="1" ht="17.25" customHeight="1"/>
    <row r="1288" spans="1:6" s="1225" customFormat="1" ht="17.25" customHeight="1">
      <c r="C1288" s="1225" t="s">
        <v>4882</v>
      </c>
    </row>
    <row r="1289" spans="1:6" s="1225" customFormat="1" ht="17.25" customHeight="1">
      <c r="A1289" s="1225">
        <v>1</v>
      </c>
      <c r="C1289" s="1225" t="s">
        <v>4884</v>
      </c>
      <c r="D1289" s="1225">
        <v>17.2</v>
      </c>
      <c r="E1289" s="1225" t="s">
        <v>729</v>
      </c>
      <c r="F1289" s="1225">
        <v>17.2</v>
      </c>
    </row>
    <row r="1290" spans="1:6" s="1225" customFormat="1" ht="17.25" customHeight="1">
      <c r="A1290" s="1225">
        <v>1</v>
      </c>
      <c r="C1290" s="1225" t="s">
        <v>4886</v>
      </c>
      <c r="D1290" s="1225">
        <v>8.5</v>
      </c>
      <c r="E1290" s="1225" t="s">
        <v>729</v>
      </c>
      <c r="F1290" s="1225">
        <v>8.5</v>
      </c>
    </row>
    <row r="1291" spans="1:6" s="1225" customFormat="1" ht="17.25" customHeight="1">
      <c r="A1291" s="1225">
        <v>0.125</v>
      </c>
      <c r="C1291" s="1225" t="s">
        <v>4887</v>
      </c>
      <c r="D1291" s="1225">
        <v>903.1</v>
      </c>
      <c r="E1291" s="1225" t="s">
        <v>729</v>
      </c>
      <c r="F1291" s="1225">
        <v>112.89</v>
      </c>
    </row>
    <row r="1292" spans="1:6" s="1225" customFormat="1" ht="17.25" customHeight="1">
      <c r="C1292" s="1225" t="s">
        <v>1557</v>
      </c>
      <c r="F1292" s="1225">
        <v>4.37</v>
      </c>
    </row>
    <row r="1293" spans="1:6" s="1225" customFormat="1" ht="17.25" customHeight="1">
      <c r="C1293" s="1225" t="s">
        <v>1557</v>
      </c>
      <c r="F1293" s="1225">
        <v>142.96</v>
      </c>
    </row>
    <row r="1294" spans="1:6" s="1225" customFormat="1" ht="17.25" customHeight="1"/>
    <row r="1295" spans="1:6" s="1225" customFormat="1" ht="17.25" customHeight="1"/>
    <row r="1296" spans="1:6" s="1225" customFormat="1" ht="17.25" customHeight="1"/>
    <row r="1297" spans="1:6" s="1225" customFormat="1" ht="17.25" customHeight="1">
      <c r="A1297" s="1225">
        <v>29.5</v>
      </c>
      <c r="B1297" s="1225" t="s">
        <v>111</v>
      </c>
      <c r="C1297" s="1225" t="s">
        <v>4302</v>
      </c>
    </row>
    <row r="1298" spans="1:6" s="1225" customFormat="1" ht="17.25" customHeight="1"/>
    <row r="1299" spans="1:6" s="1225" customFormat="1" ht="17.25" customHeight="1"/>
    <row r="1300" spans="1:6" s="1225" customFormat="1" ht="17.25" customHeight="1">
      <c r="C1300" s="1225" t="s">
        <v>52</v>
      </c>
      <c r="D1300" s="1225" t="s">
        <v>52</v>
      </c>
    </row>
    <row r="1301" spans="1:6" s="1225" customFormat="1" ht="17.25" customHeight="1">
      <c r="A1301" s="1225">
        <v>10</v>
      </c>
      <c r="B1301" s="1225" t="s">
        <v>425</v>
      </c>
      <c r="C1301" s="1225" t="s">
        <v>4304</v>
      </c>
      <c r="D1301" s="1225">
        <v>793</v>
      </c>
      <c r="E1301" s="1225" t="s">
        <v>425</v>
      </c>
      <c r="F1301" s="1225">
        <v>7930</v>
      </c>
    </row>
    <row r="1302" spans="1:6" s="1225" customFormat="1" ht="17.25" customHeight="1">
      <c r="A1302" s="1225">
        <v>0.21</v>
      </c>
      <c r="B1302" s="1225" t="s">
        <v>132</v>
      </c>
      <c r="C1302" s="1225" t="s">
        <v>1575</v>
      </c>
      <c r="D1302" s="1225">
        <v>4667.62</v>
      </c>
      <c r="E1302" s="1225" t="s">
        <v>132</v>
      </c>
      <c r="F1302" s="1225">
        <v>980.2</v>
      </c>
    </row>
    <row r="1303" spans="1:6" s="1225" customFormat="1" ht="17.25" customHeight="1">
      <c r="C1303" s="1225" t="s">
        <v>1576</v>
      </c>
      <c r="D1303" s="1225" t="s">
        <v>85</v>
      </c>
      <c r="F1303" s="1225" t="s">
        <v>85</v>
      </c>
    </row>
    <row r="1304" spans="1:6" s="1225" customFormat="1" ht="17.25" customHeight="1">
      <c r="A1304" s="1225">
        <v>1.1000000000000001</v>
      </c>
      <c r="B1304" s="1225" t="s">
        <v>237</v>
      </c>
      <c r="C1304" s="1225" t="s">
        <v>345</v>
      </c>
      <c r="D1304" s="1225">
        <v>1041.7</v>
      </c>
      <c r="E1304" s="1225" t="s">
        <v>237</v>
      </c>
      <c r="F1304" s="1225">
        <v>1145.8699999999999</v>
      </c>
    </row>
    <row r="1305" spans="1:6" s="1225" customFormat="1" ht="17.25" customHeight="1">
      <c r="A1305" s="1225">
        <v>1.1000000000000001</v>
      </c>
      <c r="B1305" s="1225" t="s">
        <v>237</v>
      </c>
      <c r="C1305" s="1225" t="s">
        <v>302</v>
      </c>
      <c r="D1305" s="1225">
        <v>972.4</v>
      </c>
      <c r="E1305" s="1225" t="s">
        <v>237</v>
      </c>
      <c r="F1305" s="1225">
        <v>1069.6400000000001</v>
      </c>
    </row>
    <row r="1306" spans="1:6" s="1225" customFormat="1" ht="17.25" customHeight="1">
      <c r="A1306" s="1225">
        <v>2.2000000000000002</v>
      </c>
      <c r="B1306" s="1225" t="s">
        <v>237</v>
      </c>
      <c r="C1306" s="1225" t="s">
        <v>304</v>
      </c>
      <c r="D1306" s="1225">
        <v>679.8</v>
      </c>
      <c r="E1306" s="1225" t="s">
        <v>237</v>
      </c>
      <c r="F1306" s="1225">
        <v>1495.56</v>
      </c>
    </row>
    <row r="1307" spans="1:6" s="1225" customFormat="1" ht="17.25" customHeight="1">
      <c r="A1307" s="1225">
        <v>2.2000000000000002</v>
      </c>
      <c r="B1307" s="1225" t="s">
        <v>237</v>
      </c>
      <c r="C1307" s="1225" t="s">
        <v>306</v>
      </c>
      <c r="D1307" s="1225">
        <v>557.70000000000005</v>
      </c>
      <c r="E1307" s="1225" t="s">
        <v>237</v>
      </c>
      <c r="F1307" s="1225">
        <v>1226.94</v>
      </c>
    </row>
    <row r="1308" spans="1:6" s="1225" customFormat="1" ht="17.25" customHeight="1">
      <c r="A1308" s="1225">
        <v>20</v>
      </c>
      <c r="B1308" s="1225" t="s">
        <v>39</v>
      </c>
      <c r="C1308" s="1225" t="s">
        <v>123</v>
      </c>
      <c r="D1308" s="1225">
        <v>6040</v>
      </c>
      <c r="E1308" s="1225" t="s">
        <v>122</v>
      </c>
      <c r="F1308" s="1225">
        <v>120.8</v>
      </c>
    </row>
    <row r="1309" spans="1:6" s="1225" customFormat="1" ht="17.25" customHeight="1">
      <c r="A1309" s="1225">
        <v>2</v>
      </c>
      <c r="B1309" s="1225" t="s">
        <v>39</v>
      </c>
      <c r="C1309" s="1225" t="s">
        <v>4296</v>
      </c>
      <c r="D1309" s="1225">
        <v>36.1</v>
      </c>
      <c r="E1309" s="1225" t="s">
        <v>39</v>
      </c>
      <c r="F1309" s="1225">
        <v>72.2</v>
      </c>
    </row>
    <row r="1310" spans="1:6" s="1225" customFormat="1" ht="17.25" customHeight="1">
      <c r="A1310" s="1225">
        <v>1.6</v>
      </c>
      <c r="B1310" s="1225" t="s">
        <v>237</v>
      </c>
      <c r="C1310" s="1225" t="s">
        <v>302</v>
      </c>
      <c r="D1310" s="1225">
        <v>972.4</v>
      </c>
      <c r="E1310" s="1225" t="s">
        <v>237</v>
      </c>
      <c r="F1310" s="1225">
        <v>1555.84</v>
      </c>
    </row>
    <row r="1311" spans="1:6" s="1225" customFormat="1" ht="17.25" customHeight="1">
      <c r="A1311" s="1225">
        <v>0.5</v>
      </c>
      <c r="B1311" s="1225" t="s">
        <v>237</v>
      </c>
      <c r="C1311" s="1225" t="s">
        <v>304</v>
      </c>
      <c r="D1311" s="1225">
        <v>679.8</v>
      </c>
      <c r="E1311" s="1225" t="s">
        <v>237</v>
      </c>
      <c r="F1311" s="1225">
        <v>339.9</v>
      </c>
    </row>
    <row r="1312" spans="1:6" s="1225" customFormat="1" ht="17.25" customHeight="1">
      <c r="A1312" s="1225">
        <v>1.1000000000000001</v>
      </c>
      <c r="B1312" s="1225" t="s">
        <v>237</v>
      </c>
      <c r="C1312" s="1225" t="s">
        <v>306</v>
      </c>
      <c r="D1312" s="1225">
        <v>557.70000000000005</v>
      </c>
      <c r="E1312" s="1225" t="s">
        <v>237</v>
      </c>
      <c r="F1312" s="1225">
        <v>613.47</v>
      </c>
    </row>
    <row r="1313" spans="1:6" s="1225" customFormat="1" ht="17.25" customHeight="1">
      <c r="B1313" s="1225" t="s">
        <v>145</v>
      </c>
      <c r="C1313" s="1225" t="s">
        <v>146</v>
      </c>
      <c r="D1313" s="1225">
        <v>0</v>
      </c>
      <c r="E1313" s="1225" t="s">
        <v>145</v>
      </c>
      <c r="F1313" s="1225">
        <v>0</v>
      </c>
    </row>
    <row r="1314" spans="1:6" s="1225" customFormat="1" ht="17.25" customHeight="1">
      <c r="F1314" s="1225" t="s">
        <v>52</v>
      </c>
    </row>
    <row r="1315" spans="1:6" s="1225" customFormat="1" ht="17.25" customHeight="1">
      <c r="C1315" s="1225" t="s">
        <v>495</v>
      </c>
      <c r="F1315" s="1225">
        <v>16550.419999999998</v>
      </c>
    </row>
    <row r="1316" spans="1:6" s="1225" customFormat="1" ht="17.25" customHeight="1">
      <c r="F1316" s="1225" t="s">
        <v>52</v>
      </c>
    </row>
    <row r="1317" spans="1:6" s="1225" customFormat="1" ht="17.25" customHeight="1">
      <c r="C1317" s="1225" t="s">
        <v>460</v>
      </c>
      <c r="F1317" s="1225">
        <v>1655.04</v>
      </c>
    </row>
    <row r="1318" spans="1:6" s="1225" customFormat="1" ht="17.25" customHeight="1"/>
    <row r="1319" spans="1:6" s="1225" customFormat="1" ht="17.25" customHeight="1">
      <c r="A1319" s="1225">
        <v>29.4</v>
      </c>
      <c r="B1319" s="1225" t="s">
        <v>111</v>
      </c>
      <c r="C1319" s="1225" t="s">
        <v>4310</v>
      </c>
    </row>
    <row r="1320" spans="1:6" s="1225" customFormat="1" ht="17.25" customHeight="1">
      <c r="C1320" s="1225" t="s">
        <v>4311</v>
      </c>
    </row>
    <row r="1321" spans="1:6" s="1225" customFormat="1" ht="17.25" customHeight="1">
      <c r="C1321" s="1225" t="s">
        <v>52</v>
      </c>
    </row>
    <row r="1322" spans="1:6" s="1225" customFormat="1" ht="17.25" customHeight="1">
      <c r="A1322" s="1225">
        <v>1.86</v>
      </c>
      <c r="B1322" s="1225" t="s">
        <v>425</v>
      </c>
      <c r="C1322" s="1225" t="s">
        <v>4312</v>
      </c>
      <c r="D1322" s="1225">
        <v>793</v>
      </c>
      <c r="E1322" s="1225" t="s">
        <v>425</v>
      </c>
      <c r="F1322" s="1225">
        <v>1474.98</v>
      </c>
    </row>
    <row r="1323" spans="1:6" s="1225" customFormat="1" ht="17.25" customHeight="1">
      <c r="A1323" s="1225">
        <v>0.4</v>
      </c>
      <c r="B1323" s="1225" t="s">
        <v>39</v>
      </c>
      <c r="C1323" s="1225" t="s">
        <v>4296</v>
      </c>
      <c r="D1323" s="1225">
        <v>36.1</v>
      </c>
      <c r="E1323" s="1225" t="s">
        <v>39</v>
      </c>
      <c r="F1323" s="1225">
        <v>14.44</v>
      </c>
    </row>
    <row r="1324" spans="1:6" s="1225" customFormat="1" ht="17.25" customHeight="1">
      <c r="A1324" s="1225">
        <v>0.02</v>
      </c>
      <c r="B1324" s="1225" t="s">
        <v>132</v>
      </c>
      <c r="C1324" s="1225" t="s">
        <v>1592</v>
      </c>
      <c r="D1324" s="1225">
        <v>6117.22</v>
      </c>
      <c r="E1324" s="1225" t="s">
        <v>132</v>
      </c>
      <c r="F1324" s="1225">
        <v>122.34</v>
      </c>
    </row>
    <row r="1325" spans="1:6" s="1225" customFormat="1" ht="17.25" customHeight="1">
      <c r="A1325" s="1225">
        <v>1</v>
      </c>
      <c r="B1325" s="1225" t="s">
        <v>237</v>
      </c>
      <c r="C1325" s="1225" t="s">
        <v>345</v>
      </c>
      <c r="D1325" s="1225">
        <v>1041.7</v>
      </c>
      <c r="E1325" s="1225" t="s">
        <v>237</v>
      </c>
      <c r="F1325" s="1225">
        <v>1041.7</v>
      </c>
    </row>
    <row r="1326" spans="1:6" s="1225" customFormat="1" ht="17.25" customHeight="1">
      <c r="A1326" s="1225">
        <v>1</v>
      </c>
      <c r="B1326" s="1225" t="s">
        <v>237</v>
      </c>
      <c r="C1326" s="1225" t="s">
        <v>1593</v>
      </c>
      <c r="D1326" s="1225">
        <v>679.8</v>
      </c>
      <c r="E1326" s="1225" t="s">
        <v>237</v>
      </c>
      <c r="F1326" s="1225">
        <v>679.8</v>
      </c>
    </row>
    <row r="1327" spans="1:6" s="1225" customFormat="1" ht="17.25" customHeight="1">
      <c r="B1327" s="1225" t="s">
        <v>145</v>
      </c>
      <c r="C1327" s="1225" t="s">
        <v>146</v>
      </c>
      <c r="E1327" s="1225" t="s">
        <v>145</v>
      </c>
      <c r="F1327" s="1225">
        <v>0</v>
      </c>
    </row>
    <row r="1328" spans="1:6" s="1225" customFormat="1" ht="17.25" customHeight="1">
      <c r="F1328" s="1225" t="s">
        <v>52</v>
      </c>
    </row>
    <row r="1329" spans="1:6" s="1225" customFormat="1" ht="17.25" customHeight="1">
      <c r="C1329" s="1225" t="s">
        <v>1594</v>
      </c>
      <c r="F1329" s="1225">
        <v>3333.26</v>
      </c>
    </row>
    <row r="1330" spans="1:6" s="1225" customFormat="1" ht="17.25" customHeight="1">
      <c r="F1330" s="1225" t="s">
        <v>52</v>
      </c>
    </row>
    <row r="1331" spans="1:6" s="1225" customFormat="1" ht="17.25" customHeight="1">
      <c r="C1331" s="1225" t="s">
        <v>460</v>
      </c>
      <c r="F1331" s="1225">
        <v>1792.08</v>
      </c>
    </row>
    <row r="1332" spans="1:6" s="1225" customFormat="1" ht="17.25" customHeight="1"/>
    <row r="1333" spans="1:6" s="1225" customFormat="1" ht="17.25" customHeight="1">
      <c r="C1333" s="1225" t="s">
        <v>6446</v>
      </c>
    </row>
    <row r="1334" spans="1:6" s="1225" customFormat="1" ht="17.25" customHeight="1">
      <c r="C1334" s="1225" t="s">
        <v>4564</v>
      </c>
    </row>
    <row r="1335" spans="1:6" s="1225" customFormat="1" ht="17.25" customHeight="1">
      <c r="C1335" s="1225" t="s">
        <v>4566</v>
      </c>
    </row>
    <row r="1336" spans="1:6" s="1225" customFormat="1" ht="17.25" customHeight="1">
      <c r="C1336" s="1225" t="s">
        <v>4567</v>
      </c>
    </row>
    <row r="1337" spans="1:6" s="1225" customFormat="1" ht="17.25" customHeight="1">
      <c r="C1337" s="1225" t="s">
        <v>52</v>
      </c>
      <c r="D1337" s="1225" t="s">
        <v>52</v>
      </c>
    </row>
    <row r="1338" spans="1:6" s="1225" customFormat="1" ht="17.25" customHeight="1">
      <c r="A1338" s="1225">
        <v>8</v>
      </c>
      <c r="B1338" s="1225" t="s">
        <v>1572</v>
      </c>
      <c r="C1338" s="1225" t="s">
        <v>4569</v>
      </c>
      <c r="D1338" s="1225">
        <v>4.0999999999999996</v>
      </c>
      <c r="E1338" s="1225" t="s">
        <v>729</v>
      </c>
      <c r="F1338" s="1225">
        <v>32.799999999999997</v>
      </c>
    </row>
    <row r="1339" spans="1:6" s="1225" customFormat="1" ht="17.25" customHeight="1">
      <c r="A1339" s="1225">
        <v>8</v>
      </c>
      <c r="B1339" s="1225" t="s">
        <v>1572</v>
      </c>
      <c r="C1339" s="1225" t="s">
        <v>4570</v>
      </c>
      <c r="D1339" s="1225">
        <v>3.69</v>
      </c>
      <c r="E1339" s="1225" t="s">
        <v>729</v>
      </c>
      <c r="F1339" s="1225">
        <v>29.52</v>
      </c>
    </row>
    <row r="1340" spans="1:6" s="1225" customFormat="1" ht="17.25" customHeight="1">
      <c r="A1340" s="1225">
        <v>8</v>
      </c>
      <c r="B1340" s="1225" t="s">
        <v>1572</v>
      </c>
      <c r="C1340" s="1225" t="s">
        <v>4571</v>
      </c>
      <c r="D1340" s="1225">
        <v>4.0999999999999996</v>
      </c>
      <c r="E1340" s="1225" t="s">
        <v>729</v>
      </c>
      <c r="F1340" s="1225">
        <v>32.799999999999997</v>
      </c>
    </row>
    <row r="1341" spans="1:6" s="1225" customFormat="1" ht="17.25" customHeight="1">
      <c r="A1341" s="1225">
        <v>0.75</v>
      </c>
      <c r="B1341" s="1225" t="s">
        <v>39</v>
      </c>
      <c r="C1341" s="1225" t="s">
        <v>4572</v>
      </c>
      <c r="D1341" s="1225">
        <v>176.4</v>
      </c>
      <c r="E1341" s="1225" t="s">
        <v>729</v>
      </c>
      <c r="F1341" s="1225">
        <v>132.30000000000001</v>
      </c>
    </row>
    <row r="1342" spans="1:6" s="1225" customFormat="1" ht="17.25" customHeight="1">
      <c r="A1342" s="1225">
        <v>2.25</v>
      </c>
      <c r="B1342" s="1225" t="s">
        <v>4573</v>
      </c>
      <c r="C1342" s="1225" t="s">
        <v>4574</v>
      </c>
      <c r="D1342" s="1225">
        <v>140.41</v>
      </c>
      <c r="E1342" s="1225" t="s">
        <v>4573</v>
      </c>
      <c r="F1342" s="1225">
        <v>315.92</v>
      </c>
    </row>
    <row r="1343" spans="1:6" s="1225" customFormat="1" ht="17.25" customHeight="1">
      <c r="A1343" s="1225">
        <v>4.5</v>
      </c>
      <c r="B1343" s="1225" t="s">
        <v>4573</v>
      </c>
      <c r="C1343" s="1225" t="s">
        <v>4575</v>
      </c>
      <c r="D1343" s="1225">
        <v>65</v>
      </c>
      <c r="E1343" s="1225" t="s">
        <v>4573</v>
      </c>
      <c r="F1343" s="1225">
        <v>292.5</v>
      </c>
    </row>
    <row r="1344" spans="1:6" s="1225" customFormat="1" ht="17.25" customHeight="1">
      <c r="A1344" s="1225">
        <v>6</v>
      </c>
      <c r="B1344" s="1225" t="s">
        <v>1572</v>
      </c>
      <c r="C1344" s="1225" t="s">
        <v>4577</v>
      </c>
      <c r="D1344" s="1225">
        <v>8</v>
      </c>
      <c r="E1344" s="1225" t="s">
        <v>729</v>
      </c>
      <c r="F1344" s="1225">
        <v>48</v>
      </c>
    </row>
    <row r="1345" spans="1:6" s="1225" customFormat="1" ht="17.25" customHeight="1">
      <c r="A1345" s="1225">
        <v>6</v>
      </c>
      <c r="B1345" s="1225" t="s">
        <v>1572</v>
      </c>
      <c r="C1345" s="1225" t="s">
        <v>4578</v>
      </c>
      <c r="D1345" s="1225">
        <v>8.61</v>
      </c>
      <c r="E1345" s="1225" t="s">
        <v>729</v>
      </c>
      <c r="F1345" s="1225">
        <v>51.66</v>
      </c>
    </row>
    <row r="1346" spans="1:6" s="1225" customFormat="1" ht="17.25" customHeight="1">
      <c r="A1346" s="1225">
        <v>4</v>
      </c>
      <c r="B1346" s="1225" t="s">
        <v>1572</v>
      </c>
      <c r="C1346" s="1225" t="s">
        <v>4579</v>
      </c>
      <c r="D1346" s="1225">
        <v>8.61</v>
      </c>
      <c r="E1346" s="1225" t="s">
        <v>729</v>
      </c>
      <c r="F1346" s="1225">
        <v>34.44</v>
      </c>
    </row>
    <row r="1347" spans="1:6" s="1225" customFormat="1" ht="17.25" customHeight="1">
      <c r="A1347" s="1225">
        <v>300</v>
      </c>
      <c r="B1347" s="1225" t="s">
        <v>4580</v>
      </c>
      <c r="C1347" s="1225" t="s">
        <v>4581</v>
      </c>
      <c r="D1347" s="1225">
        <v>30</v>
      </c>
      <c r="E1347" s="1225" t="s">
        <v>4582</v>
      </c>
      <c r="F1347" s="1225">
        <v>90</v>
      </c>
    </row>
    <row r="1348" spans="1:6" s="1225" customFormat="1" ht="17.25" customHeight="1">
      <c r="A1348" s="1225">
        <v>300</v>
      </c>
      <c r="B1348" s="1225" t="s">
        <v>4580</v>
      </c>
      <c r="C1348" s="1225" t="s">
        <v>4583</v>
      </c>
      <c r="D1348" s="1225">
        <v>44.99</v>
      </c>
      <c r="E1348" s="1225" t="s">
        <v>4584</v>
      </c>
      <c r="F1348" s="1225">
        <v>26.99</v>
      </c>
    </row>
    <row r="1349" spans="1:6" s="1225" customFormat="1" ht="17.25" customHeight="1">
      <c r="A1349" s="1225">
        <v>1.5</v>
      </c>
      <c r="B1349" s="1225" t="s">
        <v>39</v>
      </c>
      <c r="C1349" s="1225" t="s">
        <v>4585</v>
      </c>
      <c r="D1349" s="1225">
        <v>20.95</v>
      </c>
      <c r="E1349" s="1225" t="s">
        <v>39</v>
      </c>
      <c r="F1349" s="1225">
        <v>31.43</v>
      </c>
    </row>
    <row r="1350" spans="1:6" s="1225" customFormat="1" ht="17.25" customHeight="1">
      <c r="A1350" s="1225">
        <v>2.25</v>
      </c>
      <c r="B1350" s="1225" t="s">
        <v>4573</v>
      </c>
      <c r="C1350" s="1225" t="s">
        <v>4586</v>
      </c>
      <c r="D1350" s="1225">
        <v>212.41</v>
      </c>
      <c r="E1350" s="1225" t="s">
        <v>4573</v>
      </c>
      <c r="F1350" s="1225">
        <v>477.92</v>
      </c>
    </row>
    <row r="1351" spans="1:6" s="1225" customFormat="1" ht="17.25" customHeight="1">
      <c r="A1351" s="1225">
        <v>0.75</v>
      </c>
      <c r="B1351" s="1225" t="s">
        <v>4573</v>
      </c>
      <c r="C1351" s="1225" t="s">
        <v>4587</v>
      </c>
      <c r="D1351" s="1225">
        <v>205.21</v>
      </c>
      <c r="E1351" s="1225" t="s">
        <v>4573</v>
      </c>
      <c r="F1351" s="1225">
        <v>153.91</v>
      </c>
    </row>
    <row r="1352" spans="1:6" s="1225" customFormat="1" ht="17.25" customHeight="1">
      <c r="A1352" s="1225">
        <v>2.25</v>
      </c>
      <c r="B1352" s="1225" t="s">
        <v>4573</v>
      </c>
      <c r="C1352" s="1225" t="s">
        <v>4588</v>
      </c>
      <c r="D1352" s="1225">
        <v>185.21</v>
      </c>
      <c r="E1352" s="1225" t="s">
        <v>4573</v>
      </c>
      <c r="F1352" s="1225">
        <v>416.72</v>
      </c>
    </row>
    <row r="1353" spans="1:6" s="1225" customFormat="1" ht="17.25" customHeight="1">
      <c r="A1353" s="1225">
        <v>500</v>
      </c>
      <c r="B1353" s="1225" t="s">
        <v>4580</v>
      </c>
      <c r="C1353" s="1225" t="s">
        <v>4589</v>
      </c>
      <c r="D1353" s="1225">
        <v>52.25</v>
      </c>
      <c r="E1353" s="1225" t="s">
        <v>39</v>
      </c>
      <c r="F1353" s="1225">
        <v>26.13</v>
      </c>
    </row>
    <row r="1354" spans="1:6" s="1225" customFormat="1" ht="17.25" customHeight="1">
      <c r="A1354" s="1225">
        <v>1</v>
      </c>
      <c r="B1354" s="1225" t="s">
        <v>1572</v>
      </c>
      <c r="C1354" s="1225" t="s">
        <v>4591</v>
      </c>
      <c r="D1354" s="1225">
        <v>131.21</v>
      </c>
      <c r="E1354" s="1225" t="s">
        <v>4592</v>
      </c>
      <c r="F1354" s="1225">
        <v>131.21</v>
      </c>
    </row>
    <row r="1355" spans="1:6" s="1225" customFormat="1" ht="17.25" customHeight="1">
      <c r="A1355" s="1225">
        <v>1</v>
      </c>
      <c r="B1355" s="1225" t="s">
        <v>1572</v>
      </c>
      <c r="C1355" s="1225" t="s">
        <v>4594</v>
      </c>
      <c r="D1355" s="1225">
        <v>12.3</v>
      </c>
      <c r="E1355" s="1225" t="s">
        <v>4592</v>
      </c>
      <c r="F1355" s="1225">
        <v>12.3</v>
      </c>
    </row>
    <row r="1356" spans="1:6" s="1225" customFormat="1" ht="17.25" customHeight="1">
      <c r="A1356" s="1225">
        <v>4</v>
      </c>
      <c r="B1356" s="1225" t="s">
        <v>1572</v>
      </c>
      <c r="C1356" s="1225" t="s">
        <v>4595</v>
      </c>
      <c r="D1356" s="1225">
        <v>831.6</v>
      </c>
      <c r="E1356" s="1225" t="s">
        <v>729</v>
      </c>
      <c r="F1356" s="1225">
        <v>3326.4</v>
      </c>
    </row>
    <row r="1357" spans="1:6" s="1225" customFormat="1" ht="17.25" customHeight="1">
      <c r="A1357" s="1225">
        <v>2</v>
      </c>
      <c r="B1357" s="1225" t="s">
        <v>1572</v>
      </c>
      <c r="C1357" s="1225" t="s">
        <v>4596</v>
      </c>
      <c r="D1357" s="1225">
        <v>805.2</v>
      </c>
      <c r="E1357" s="1225" t="s">
        <v>729</v>
      </c>
      <c r="F1357" s="1225">
        <v>1610.4</v>
      </c>
    </row>
    <row r="1358" spans="1:6" s="1225" customFormat="1" ht="17.25" customHeight="1">
      <c r="A1358" s="1225">
        <v>2</v>
      </c>
      <c r="B1358" s="1225" t="s">
        <v>1572</v>
      </c>
      <c r="C1358" s="1225" t="s">
        <v>4597</v>
      </c>
      <c r="D1358" s="1225">
        <v>557.70000000000005</v>
      </c>
      <c r="E1358" s="1225" t="s">
        <v>729</v>
      </c>
      <c r="F1358" s="1225">
        <v>1115.4000000000001</v>
      </c>
    </row>
    <row r="1359" spans="1:6" s="1225" customFormat="1" ht="17.25" customHeight="1">
      <c r="C1359" s="1225" t="s">
        <v>4599</v>
      </c>
      <c r="F1359" s="1225">
        <v>20</v>
      </c>
    </row>
    <row r="1360" spans="1:6" s="1225" customFormat="1" ht="17.25" customHeight="1">
      <c r="F1360" s="1225" t="s">
        <v>4600</v>
      </c>
    </row>
    <row r="1361" spans="1:6" s="1225" customFormat="1" ht="17.25" customHeight="1">
      <c r="C1361" s="1225" t="s">
        <v>6447</v>
      </c>
      <c r="F1361" s="1225">
        <v>8408.75</v>
      </c>
    </row>
    <row r="1362" spans="1:6" s="1225" customFormat="1" ht="17.25" customHeight="1">
      <c r="F1362" s="1225" t="s">
        <v>89</v>
      </c>
    </row>
    <row r="1363" spans="1:6" s="1225" customFormat="1" ht="17.25" customHeight="1">
      <c r="C1363" s="1225" t="s">
        <v>2137</v>
      </c>
      <c r="F1363" s="1225">
        <v>1483.02</v>
      </c>
    </row>
    <row r="1364" spans="1:6" s="1225" customFormat="1" ht="17.25" customHeight="1"/>
    <row r="1365" spans="1:6" s="1225" customFormat="1" ht="17.25" customHeight="1">
      <c r="C1365" s="1225" t="s">
        <v>4305</v>
      </c>
      <c r="E1365" s="1225" t="s">
        <v>4306</v>
      </c>
    </row>
    <row r="1366" spans="1:6" s="1225" customFormat="1" ht="17.25" customHeight="1"/>
    <row r="1367" spans="1:6" s="1225" customFormat="1" ht="17.25" customHeight="1"/>
    <row r="1368" spans="1:6" s="1225" customFormat="1" ht="17.25" customHeight="1">
      <c r="A1368" s="1225">
        <v>10</v>
      </c>
      <c r="B1368" s="1225" t="s">
        <v>425</v>
      </c>
      <c r="C1368" s="1225" t="s">
        <v>6448</v>
      </c>
      <c r="D1368" s="1225">
        <v>421.3</v>
      </c>
      <c r="E1368" s="1225" t="s">
        <v>425</v>
      </c>
      <c r="F1368" s="1225">
        <v>4213</v>
      </c>
    </row>
    <row r="1369" spans="1:6" s="1225" customFormat="1" ht="17.25" customHeight="1">
      <c r="A1369" s="1225">
        <v>0.21</v>
      </c>
      <c r="B1369" s="1225" t="s">
        <v>132</v>
      </c>
      <c r="C1369" s="1225" t="s">
        <v>1575</v>
      </c>
      <c r="D1369" s="1225">
        <v>4667.62</v>
      </c>
      <c r="E1369" s="1225" t="s">
        <v>132</v>
      </c>
      <c r="F1369" s="1225">
        <v>980.2</v>
      </c>
    </row>
    <row r="1370" spans="1:6" s="1225" customFormat="1" ht="17.25" customHeight="1">
      <c r="A1370" s="1225">
        <v>1.1000000000000001</v>
      </c>
      <c r="B1370" s="1225" t="s">
        <v>237</v>
      </c>
      <c r="C1370" s="1225" t="s">
        <v>345</v>
      </c>
      <c r="D1370" s="1225">
        <v>1041.7</v>
      </c>
      <c r="E1370" s="1225" t="s">
        <v>237</v>
      </c>
      <c r="F1370" s="1225">
        <v>1145.8699999999999</v>
      </c>
    </row>
    <row r="1371" spans="1:6" s="1225" customFormat="1" ht="17.25" customHeight="1">
      <c r="A1371" s="1225">
        <v>1.1000000000000001</v>
      </c>
      <c r="B1371" s="1225" t="s">
        <v>237</v>
      </c>
      <c r="C1371" s="1225" t="s">
        <v>302</v>
      </c>
      <c r="D1371" s="1225">
        <v>972.4</v>
      </c>
      <c r="E1371" s="1225" t="s">
        <v>237</v>
      </c>
      <c r="F1371" s="1225">
        <v>1069.6400000000001</v>
      </c>
    </row>
    <row r="1372" spans="1:6" s="1225" customFormat="1" ht="17.25" customHeight="1">
      <c r="A1372" s="1225">
        <v>2.2000000000000002</v>
      </c>
      <c r="B1372" s="1225" t="s">
        <v>237</v>
      </c>
      <c r="C1372" s="1225" t="s">
        <v>304</v>
      </c>
      <c r="D1372" s="1225">
        <v>679.8</v>
      </c>
      <c r="E1372" s="1225" t="s">
        <v>237</v>
      </c>
      <c r="F1372" s="1225">
        <v>1495.56</v>
      </c>
    </row>
    <row r="1373" spans="1:6" s="1225" customFormat="1" ht="17.25" customHeight="1">
      <c r="A1373" s="1225">
        <v>2.2000000000000002</v>
      </c>
      <c r="B1373" s="1225" t="s">
        <v>237</v>
      </c>
      <c r="C1373" s="1225" t="s">
        <v>306</v>
      </c>
      <c r="D1373" s="1225">
        <v>557.70000000000005</v>
      </c>
      <c r="E1373" s="1225" t="s">
        <v>237</v>
      </c>
      <c r="F1373" s="1225">
        <v>1226.94</v>
      </c>
    </row>
    <row r="1374" spans="1:6" s="1225" customFormat="1" ht="17.25" customHeight="1">
      <c r="A1374" s="1225">
        <v>20</v>
      </c>
      <c r="B1374" s="1225" t="s">
        <v>39</v>
      </c>
      <c r="C1374" s="1225" t="s">
        <v>123</v>
      </c>
      <c r="D1374" s="1225">
        <v>6040</v>
      </c>
      <c r="E1374" s="1225" t="s">
        <v>122</v>
      </c>
      <c r="F1374" s="1225">
        <v>120.8</v>
      </c>
    </row>
    <row r="1375" spans="1:6" s="1225" customFormat="1" ht="17.25" customHeight="1">
      <c r="A1375" s="1225">
        <v>2</v>
      </c>
      <c r="B1375" s="1225" t="s">
        <v>39</v>
      </c>
      <c r="C1375" s="1225" t="s">
        <v>4303</v>
      </c>
      <c r="D1375" s="1225">
        <v>36.1</v>
      </c>
      <c r="E1375" s="1225" t="s">
        <v>39</v>
      </c>
      <c r="F1375" s="1225">
        <v>72.2</v>
      </c>
    </row>
    <row r="1376" spans="1:6" s="1225" customFormat="1" ht="17.25" customHeight="1">
      <c r="A1376" s="1225">
        <v>1.6</v>
      </c>
      <c r="B1376" s="1225" t="s">
        <v>237</v>
      </c>
      <c r="C1376" s="1225" t="s">
        <v>302</v>
      </c>
      <c r="D1376" s="1225">
        <v>972.4</v>
      </c>
      <c r="E1376" s="1225" t="s">
        <v>237</v>
      </c>
      <c r="F1376" s="1225">
        <v>1555.84</v>
      </c>
    </row>
    <row r="1377" spans="1:6" s="1225" customFormat="1" ht="17.25" customHeight="1">
      <c r="A1377" s="1225">
        <v>0.5</v>
      </c>
      <c r="B1377" s="1225" t="s">
        <v>237</v>
      </c>
      <c r="C1377" s="1225" t="s">
        <v>304</v>
      </c>
      <c r="D1377" s="1225">
        <v>679.8</v>
      </c>
      <c r="E1377" s="1225" t="s">
        <v>237</v>
      </c>
      <c r="F1377" s="1225">
        <v>339.9</v>
      </c>
    </row>
    <row r="1378" spans="1:6" s="1225" customFormat="1" ht="17.25" customHeight="1">
      <c r="A1378" s="1225">
        <v>1.1000000000000001</v>
      </c>
      <c r="B1378" s="1225" t="s">
        <v>237</v>
      </c>
      <c r="C1378" s="1225" t="s">
        <v>306</v>
      </c>
      <c r="D1378" s="1225">
        <v>557.70000000000005</v>
      </c>
      <c r="E1378" s="1225" t="s">
        <v>237</v>
      </c>
      <c r="F1378" s="1225">
        <v>613.47</v>
      </c>
    </row>
    <row r="1379" spans="1:6" s="1225" customFormat="1" ht="17.25" customHeight="1">
      <c r="B1379" s="1225" t="s">
        <v>145</v>
      </c>
      <c r="C1379" s="1225" t="s">
        <v>146</v>
      </c>
      <c r="E1379" s="1225" t="s">
        <v>145</v>
      </c>
      <c r="F1379" s="1225">
        <v>0</v>
      </c>
    </row>
    <row r="1380" spans="1:6" s="1225" customFormat="1" ht="17.25" customHeight="1">
      <c r="A1380" s="1225">
        <v>465</v>
      </c>
    </row>
    <row r="1381" spans="1:6" s="1225" customFormat="1" ht="17.25" customHeight="1">
      <c r="C1381" s="1225" t="s">
        <v>495</v>
      </c>
      <c r="F1381" s="1225">
        <v>12833.42</v>
      </c>
    </row>
    <row r="1382" spans="1:6" s="1225" customFormat="1" ht="17.25" customHeight="1">
      <c r="F1382" s="1225" t="s">
        <v>52</v>
      </c>
    </row>
    <row r="1383" spans="1:6" s="1225" customFormat="1" ht="17.25" customHeight="1">
      <c r="C1383" s="1225" t="s">
        <v>460</v>
      </c>
      <c r="F1383" s="1225">
        <v>1283.3399999999999</v>
      </c>
    </row>
    <row r="1384" spans="1:6" s="1225" customFormat="1" ht="17.25" customHeight="1"/>
    <row r="1385" spans="1:6" s="1225" customFormat="1" ht="17.25" customHeight="1"/>
    <row r="1386" spans="1:6" s="1225" customFormat="1" ht="17.25" customHeight="1">
      <c r="C1386" s="1225" t="s">
        <v>4292</v>
      </c>
    </row>
    <row r="1387" spans="1:6" s="1225" customFormat="1" ht="17.25" customHeight="1"/>
    <row r="1388" spans="1:6" s="1225" customFormat="1" ht="17.25" customHeight="1"/>
    <row r="1389" spans="1:6" s="1225" customFormat="1" ht="17.25" customHeight="1">
      <c r="A1389" s="1225">
        <v>10</v>
      </c>
      <c r="B1389" s="1225" t="s">
        <v>425</v>
      </c>
      <c r="C1389" s="1225" t="s">
        <v>6449</v>
      </c>
      <c r="D1389" s="1225">
        <v>653</v>
      </c>
      <c r="E1389" s="1225" t="s">
        <v>425</v>
      </c>
      <c r="F1389" s="1225">
        <v>6530</v>
      </c>
    </row>
    <row r="1390" spans="1:6" s="1225" customFormat="1" ht="17.25" customHeight="1">
      <c r="A1390" s="1225">
        <v>0.21</v>
      </c>
      <c r="B1390" s="1225" t="s">
        <v>132</v>
      </c>
      <c r="C1390" s="1225" t="s">
        <v>1575</v>
      </c>
      <c r="D1390" s="1225">
        <v>4667.62</v>
      </c>
      <c r="E1390" s="1225" t="s">
        <v>132</v>
      </c>
      <c r="F1390" s="1225">
        <v>980.2</v>
      </c>
    </row>
    <row r="1391" spans="1:6" s="1225" customFormat="1" ht="17.25" customHeight="1">
      <c r="A1391" s="1225">
        <v>1.1000000000000001</v>
      </c>
      <c r="B1391" s="1225" t="s">
        <v>237</v>
      </c>
      <c r="C1391" s="1225" t="s">
        <v>345</v>
      </c>
      <c r="D1391" s="1225">
        <v>1041.7</v>
      </c>
      <c r="E1391" s="1225" t="s">
        <v>237</v>
      </c>
      <c r="F1391" s="1225">
        <v>1145.8699999999999</v>
      </c>
    </row>
    <row r="1392" spans="1:6" s="1225" customFormat="1" ht="17.25" customHeight="1">
      <c r="A1392" s="1225">
        <v>1.1000000000000001</v>
      </c>
      <c r="B1392" s="1225" t="s">
        <v>237</v>
      </c>
      <c r="C1392" s="1225" t="s">
        <v>302</v>
      </c>
      <c r="D1392" s="1225">
        <v>972.4</v>
      </c>
      <c r="E1392" s="1225" t="s">
        <v>237</v>
      </c>
      <c r="F1392" s="1225">
        <v>1069.6400000000001</v>
      </c>
    </row>
    <row r="1393" spans="1:6" s="1225" customFormat="1" ht="17.25" customHeight="1">
      <c r="A1393" s="1225">
        <v>2.2000000000000002</v>
      </c>
      <c r="B1393" s="1225" t="s">
        <v>237</v>
      </c>
      <c r="C1393" s="1225" t="s">
        <v>304</v>
      </c>
      <c r="D1393" s="1225">
        <v>679.8</v>
      </c>
      <c r="E1393" s="1225" t="s">
        <v>237</v>
      </c>
      <c r="F1393" s="1225">
        <v>1495.56</v>
      </c>
    </row>
    <row r="1394" spans="1:6" s="1225" customFormat="1" ht="17.25" customHeight="1">
      <c r="A1394" s="1225">
        <v>2.2000000000000002</v>
      </c>
      <c r="B1394" s="1225" t="s">
        <v>237</v>
      </c>
      <c r="C1394" s="1225" t="s">
        <v>306</v>
      </c>
      <c r="D1394" s="1225">
        <v>557.70000000000005</v>
      </c>
      <c r="E1394" s="1225" t="s">
        <v>237</v>
      </c>
      <c r="F1394" s="1225">
        <v>1226.94</v>
      </c>
    </row>
    <row r="1395" spans="1:6" s="1225" customFormat="1" ht="17.25" customHeight="1">
      <c r="A1395" s="1225">
        <v>20</v>
      </c>
      <c r="B1395" s="1225" t="s">
        <v>39</v>
      </c>
      <c r="C1395" s="1225" t="s">
        <v>123</v>
      </c>
      <c r="D1395" s="1225">
        <v>6040</v>
      </c>
      <c r="E1395" s="1225" t="s">
        <v>122</v>
      </c>
      <c r="F1395" s="1225">
        <v>120.8</v>
      </c>
    </row>
    <row r="1396" spans="1:6" s="1225" customFormat="1" ht="17.25" customHeight="1">
      <c r="A1396" s="1225">
        <v>2</v>
      </c>
      <c r="B1396" s="1225" t="s">
        <v>39</v>
      </c>
      <c r="C1396" s="1225" t="s">
        <v>4297</v>
      </c>
      <c r="D1396" s="1225">
        <v>24.93</v>
      </c>
      <c r="E1396" s="1225" t="s">
        <v>39</v>
      </c>
      <c r="F1396" s="1225">
        <v>49.86</v>
      </c>
    </row>
    <row r="1397" spans="1:6" s="1225" customFormat="1" ht="17.25" customHeight="1">
      <c r="A1397" s="1225">
        <v>1.6</v>
      </c>
      <c r="B1397" s="1225" t="s">
        <v>237</v>
      </c>
      <c r="C1397" s="1225" t="s">
        <v>302</v>
      </c>
      <c r="D1397" s="1225">
        <v>972.4</v>
      </c>
      <c r="E1397" s="1225" t="s">
        <v>237</v>
      </c>
      <c r="F1397" s="1225">
        <v>1555.84</v>
      </c>
    </row>
    <row r="1398" spans="1:6" s="1225" customFormat="1" ht="17.25" customHeight="1">
      <c r="A1398" s="1225">
        <v>0.5</v>
      </c>
      <c r="B1398" s="1225" t="s">
        <v>237</v>
      </c>
      <c r="C1398" s="1225" t="s">
        <v>304</v>
      </c>
      <c r="D1398" s="1225">
        <v>679.8</v>
      </c>
      <c r="E1398" s="1225" t="s">
        <v>237</v>
      </c>
      <c r="F1398" s="1225">
        <v>339.9</v>
      </c>
    </row>
    <row r="1399" spans="1:6" s="1225" customFormat="1" ht="17.25" customHeight="1">
      <c r="A1399" s="1225">
        <v>1.1000000000000001</v>
      </c>
      <c r="B1399" s="1225" t="s">
        <v>237</v>
      </c>
      <c r="C1399" s="1225" t="s">
        <v>306</v>
      </c>
      <c r="D1399" s="1225">
        <v>557.70000000000005</v>
      </c>
      <c r="E1399" s="1225" t="s">
        <v>237</v>
      </c>
      <c r="F1399" s="1225">
        <v>613.47</v>
      </c>
    </row>
    <row r="1400" spans="1:6" s="1225" customFormat="1" ht="17.25" customHeight="1">
      <c r="B1400" s="1225" t="s">
        <v>145</v>
      </c>
      <c r="C1400" s="1225" t="s">
        <v>146</v>
      </c>
      <c r="E1400" s="1225" t="s">
        <v>145</v>
      </c>
      <c r="F1400" s="1225">
        <v>4.5999999999999996</v>
      </c>
    </row>
    <row r="1401" spans="1:6" s="1225" customFormat="1" ht="17.25" customHeight="1">
      <c r="F1401" s="1225" t="s">
        <v>52</v>
      </c>
    </row>
    <row r="1402" spans="1:6" s="1225" customFormat="1" ht="17.25" customHeight="1">
      <c r="C1402" s="1225" t="s">
        <v>495</v>
      </c>
      <c r="F1402" s="1225">
        <v>15132.68</v>
      </c>
    </row>
    <row r="1403" spans="1:6" s="1225" customFormat="1" ht="17.25" customHeight="1">
      <c r="F1403" s="1225" t="s">
        <v>52</v>
      </c>
    </row>
    <row r="1404" spans="1:6" s="1225" customFormat="1" ht="17.25" customHeight="1">
      <c r="C1404" s="1225" t="s">
        <v>460</v>
      </c>
      <c r="F1404" s="1225">
        <v>1513.27</v>
      </c>
    </row>
    <row r="1405" spans="1:6" s="1225" customFormat="1" ht="17.25" customHeight="1"/>
    <row r="1406" spans="1:6" s="1225" customFormat="1" ht="17.25" customHeight="1">
      <c r="C1406" s="1225" t="s">
        <v>3980</v>
      </c>
      <c r="D1406" s="1225" t="s">
        <v>3981</v>
      </c>
      <c r="E1406" s="1225">
        <v>8106</v>
      </c>
    </row>
    <row r="1407" spans="1:6" s="1225" customFormat="1" ht="17.25" customHeight="1">
      <c r="C1407" s="1225" t="s">
        <v>3983</v>
      </c>
      <c r="D1407" s="1225" t="s">
        <v>3981</v>
      </c>
      <c r="E1407" s="1225">
        <v>7482</v>
      </c>
    </row>
    <row r="1408" spans="1:6" s="1225" customFormat="1" ht="17.25" customHeight="1"/>
    <row r="1409" spans="1:6" s="1225" customFormat="1" ht="17.25" customHeight="1">
      <c r="C1409" s="1225" t="s">
        <v>5155</v>
      </c>
    </row>
    <row r="1410" spans="1:6" s="1225" customFormat="1" ht="17.25" customHeight="1">
      <c r="C1410" s="1225" t="s">
        <v>5156</v>
      </c>
      <c r="E1410" s="1225">
        <v>2.23</v>
      </c>
    </row>
    <row r="1411" spans="1:6" s="1225" customFormat="1" ht="17.25" customHeight="1">
      <c r="A1411" s="1225">
        <v>2.23</v>
      </c>
      <c r="B1411" s="1225" t="s">
        <v>425</v>
      </c>
      <c r="C1411" s="1225" t="s">
        <v>5065</v>
      </c>
      <c r="D1411" s="1225">
        <v>2255</v>
      </c>
      <c r="E1411" s="1225" t="s">
        <v>425</v>
      </c>
      <c r="F1411" s="1225">
        <v>5028.6499999999996</v>
      </c>
    </row>
    <row r="1412" spans="1:6" s="1225" customFormat="1" ht="17.25" customHeight="1">
      <c r="A1412" s="1225">
        <v>2.23</v>
      </c>
      <c r="B1412" s="1225" t="s">
        <v>425</v>
      </c>
      <c r="C1412" s="1225" t="s">
        <v>5066</v>
      </c>
      <c r="D1412" s="1225">
        <v>344.3</v>
      </c>
      <c r="E1412" s="1225" t="s">
        <v>425</v>
      </c>
      <c r="F1412" s="1225">
        <v>767.79</v>
      </c>
    </row>
    <row r="1413" spans="1:6" s="1225" customFormat="1" ht="17.25" customHeight="1">
      <c r="A1413" s="1225">
        <v>4</v>
      </c>
      <c r="B1413" s="1225" t="s">
        <v>237</v>
      </c>
      <c r="C1413" s="1225" t="s">
        <v>5068</v>
      </c>
      <c r="D1413" s="1225">
        <v>57.65</v>
      </c>
      <c r="E1413" s="1225" t="s">
        <v>237</v>
      </c>
      <c r="F1413" s="1225">
        <v>230.6</v>
      </c>
    </row>
    <row r="1414" spans="1:6" s="1225" customFormat="1" ht="17.25" customHeight="1">
      <c r="A1414" s="1225">
        <v>6</v>
      </c>
      <c r="B1414" s="1225" t="s">
        <v>237</v>
      </c>
      <c r="C1414" s="1225" t="s">
        <v>5071</v>
      </c>
      <c r="D1414" s="1225">
        <v>89.6</v>
      </c>
      <c r="E1414" s="1225" t="s">
        <v>237</v>
      </c>
      <c r="F1414" s="1225">
        <v>537.6</v>
      </c>
    </row>
    <row r="1415" spans="1:6" s="1225" customFormat="1" ht="17.25" customHeight="1">
      <c r="A1415" s="1225">
        <v>4</v>
      </c>
      <c r="B1415" s="1225" t="s">
        <v>237</v>
      </c>
      <c r="C1415" s="1225" t="s">
        <v>5073</v>
      </c>
      <c r="D1415" s="1225">
        <v>64.8</v>
      </c>
      <c r="E1415" s="1225" t="s">
        <v>237</v>
      </c>
      <c r="F1415" s="1225">
        <v>259.2</v>
      </c>
    </row>
    <row r="1416" spans="1:6" s="1225" customFormat="1" ht="17.25" customHeight="1">
      <c r="A1416" s="1225">
        <v>1</v>
      </c>
      <c r="B1416" s="1225" t="s">
        <v>237</v>
      </c>
      <c r="C1416" s="1225" t="s">
        <v>5041</v>
      </c>
      <c r="D1416" s="1225">
        <v>181</v>
      </c>
      <c r="E1416" s="1225" t="s">
        <v>237</v>
      </c>
      <c r="F1416" s="1225">
        <v>181</v>
      </c>
    </row>
    <row r="1417" spans="1:6" s="1225" customFormat="1" ht="17.25" customHeight="1">
      <c r="A1417" s="1225">
        <v>118</v>
      </c>
      <c r="B1417" s="1225" t="s">
        <v>237</v>
      </c>
      <c r="C1417" s="1225" t="s">
        <v>5077</v>
      </c>
      <c r="D1417" s="1225">
        <v>2.41</v>
      </c>
      <c r="E1417" s="1225" t="s">
        <v>237</v>
      </c>
      <c r="F1417" s="1225">
        <v>284.38</v>
      </c>
    </row>
    <row r="1418" spans="1:6" s="1225" customFormat="1" ht="17.25" customHeight="1">
      <c r="A1418" s="1225">
        <v>2</v>
      </c>
      <c r="B1418" s="1225" t="s">
        <v>237</v>
      </c>
      <c r="C1418" s="1225" t="s">
        <v>5080</v>
      </c>
      <c r="D1418" s="1225">
        <v>23.1</v>
      </c>
      <c r="E1418" s="1225" t="s">
        <v>237</v>
      </c>
      <c r="F1418" s="1225">
        <v>46.2</v>
      </c>
    </row>
    <row r="1419" spans="1:6" s="1225" customFormat="1" ht="17.25" customHeight="1">
      <c r="A1419" s="1225">
        <v>2</v>
      </c>
      <c r="B1419" s="1225" t="s">
        <v>237</v>
      </c>
      <c r="C1419" s="1225" t="s">
        <v>5083</v>
      </c>
      <c r="D1419" s="1225">
        <v>49.55</v>
      </c>
      <c r="E1419" s="1225" t="s">
        <v>237</v>
      </c>
      <c r="F1419" s="1225">
        <v>99.1</v>
      </c>
    </row>
    <row r="1420" spans="1:6" s="1225" customFormat="1" ht="17.25" customHeight="1">
      <c r="B1420" s="1225" t="s">
        <v>425</v>
      </c>
      <c r="E1420" s="1225" t="s">
        <v>425</v>
      </c>
      <c r="F1420" s="1225">
        <v>0</v>
      </c>
    </row>
    <row r="1421" spans="1:6" s="1225" customFormat="1" ht="17.25" customHeight="1">
      <c r="C1421" s="1225" t="s">
        <v>5160</v>
      </c>
      <c r="F1421" s="1225">
        <v>7434.52</v>
      </c>
    </row>
    <row r="1422" spans="1:6" s="1225" customFormat="1" ht="17.25" customHeight="1">
      <c r="C1422" s="1225" t="s">
        <v>2137</v>
      </c>
      <c r="F1422" s="1225">
        <v>3333.87</v>
      </c>
    </row>
    <row r="1423" spans="1:6" s="1225" customFormat="1" ht="17.25" customHeight="1"/>
    <row r="1424" spans="1:6" s="1225" customFormat="1" ht="17.25" customHeight="1"/>
    <row r="1425" spans="1:6" s="1225" customFormat="1" ht="17.25" customHeight="1">
      <c r="C1425" s="1225" t="s">
        <v>5091</v>
      </c>
    </row>
    <row r="1426" spans="1:6" s="1225" customFormat="1" ht="17.25" customHeight="1">
      <c r="C1426" s="1225" t="s">
        <v>5094</v>
      </c>
      <c r="D1426" s="1225">
        <v>1.82</v>
      </c>
    </row>
    <row r="1427" spans="1:6" s="1225" customFormat="1" ht="17.25" customHeight="1">
      <c r="A1427" s="1225">
        <v>1.82</v>
      </c>
      <c r="B1427" s="1225" t="s">
        <v>425</v>
      </c>
      <c r="C1427" s="1225" t="s">
        <v>5065</v>
      </c>
      <c r="D1427" s="1225">
        <v>2255</v>
      </c>
      <c r="E1427" s="1225" t="s">
        <v>425</v>
      </c>
      <c r="F1427" s="1225">
        <v>4104.1000000000004</v>
      </c>
    </row>
    <row r="1428" spans="1:6" s="1225" customFormat="1" ht="17.25" customHeight="1">
      <c r="A1428" s="1225">
        <v>1.82</v>
      </c>
      <c r="B1428" s="1225" t="s">
        <v>425</v>
      </c>
      <c r="C1428" s="1225" t="s">
        <v>5098</v>
      </c>
      <c r="D1428" s="1225">
        <v>223.3</v>
      </c>
      <c r="E1428" s="1225" t="s">
        <v>425</v>
      </c>
      <c r="F1428" s="1225">
        <v>406.41</v>
      </c>
    </row>
    <row r="1429" spans="1:6" s="1225" customFormat="1" ht="17.25" customHeight="1">
      <c r="A1429" s="1225">
        <v>2</v>
      </c>
      <c r="B1429" s="1225" t="s">
        <v>237</v>
      </c>
      <c r="C1429" s="1225" t="s">
        <v>5068</v>
      </c>
      <c r="D1429" s="1225">
        <v>57.65</v>
      </c>
      <c r="E1429" s="1225" t="s">
        <v>237</v>
      </c>
      <c r="F1429" s="1225">
        <v>115.3</v>
      </c>
    </row>
    <row r="1430" spans="1:6" s="1225" customFormat="1" ht="17.25" customHeight="1">
      <c r="A1430" s="1225">
        <v>3</v>
      </c>
      <c r="B1430" s="1225" t="s">
        <v>237</v>
      </c>
      <c r="C1430" s="1225" t="s">
        <v>5071</v>
      </c>
      <c r="D1430" s="1225">
        <v>89.6</v>
      </c>
      <c r="E1430" s="1225" t="s">
        <v>237</v>
      </c>
      <c r="F1430" s="1225">
        <v>268.8</v>
      </c>
    </row>
    <row r="1431" spans="1:6" s="1225" customFormat="1" ht="17.25" customHeight="1">
      <c r="A1431" s="1225">
        <v>2</v>
      </c>
      <c r="B1431" s="1225" t="s">
        <v>237</v>
      </c>
      <c r="C1431" s="1225" t="s">
        <v>5073</v>
      </c>
      <c r="D1431" s="1225">
        <v>64.8</v>
      </c>
      <c r="E1431" s="1225" t="s">
        <v>237</v>
      </c>
      <c r="F1431" s="1225">
        <v>129.6</v>
      </c>
    </row>
    <row r="1432" spans="1:6" s="1225" customFormat="1" ht="17.25" customHeight="1">
      <c r="A1432" s="1225">
        <v>1</v>
      </c>
      <c r="B1432" s="1225" t="s">
        <v>237</v>
      </c>
      <c r="C1432" s="1225" t="s">
        <v>5041</v>
      </c>
      <c r="D1432" s="1225">
        <v>181</v>
      </c>
      <c r="E1432" s="1225" t="s">
        <v>237</v>
      </c>
      <c r="F1432" s="1225">
        <v>181</v>
      </c>
    </row>
    <row r="1433" spans="1:6" s="1225" customFormat="1" ht="17.25" customHeight="1">
      <c r="A1433" s="1225">
        <v>92</v>
      </c>
      <c r="B1433" s="1225" t="s">
        <v>237</v>
      </c>
      <c r="C1433" s="1225" t="s">
        <v>5077</v>
      </c>
      <c r="D1433" s="1225">
        <v>2.41</v>
      </c>
      <c r="E1433" s="1225" t="s">
        <v>237</v>
      </c>
      <c r="F1433" s="1225">
        <v>221.72</v>
      </c>
    </row>
    <row r="1434" spans="1:6" s="1225" customFormat="1" ht="17.25" customHeight="1">
      <c r="A1434" s="1225">
        <v>1</v>
      </c>
      <c r="B1434" s="1225" t="s">
        <v>237</v>
      </c>
      <c r="C1434" s="1225" t="s">
        <v>5080</v>
      </c>
      <c r="D1434" s="1225">
        <v>23.1</v>
      </c>
      <c r="E1434" s="1225" t="s">
        <v>237</v>
      </c>
      <c r="F1434" s="1225">
        <v>23.1</v>
      </c>
    </row>
    <row r="1435" spans="1:6" s="1225" customFormat="1" ht="17.25" customHeight="1">
      <c r="A1435" s="1225">
        <v>1</v>
      </c>
      <c r="B1435" s="1225" t="s">
        <v>237</v>
      </c>
      <c r="C1435" s="1225" t="s">
        <v>5083</v>
      </c>
      <c r="D1435" s="1225">
        <v>49.55</v>
      </c>
      <c r="E1435" s="1225" t="s">
        <v>237</v>
      </c>
      <c r="F1435" s="1225">
        <v>49.55</v>
      </c>
    </row>
    <row r="1436" spans="1:6" s="1225" customFormat="1" ht="17.25" customHeight="1">
      <c r="A1436" s="1225">
        <v>0.35</v>
      </c>
      <c r="B1436" s="1225" t="s">
        <v>425</v>
      </c>
      <c r="C1436" s="1225" t="s">
        <v>5086</v>
      </c>
      <c r="D1436" s="1225">
        <v>240.31</v>
      </c>
      <c r="E1436" s="1225" t="s">
        <v>425</v>
      </c>
    </row>
    <row r="1437" spans="1:6" s="1225" customFormat="1" ht="17.25" customHeight="1">
      <c r="C1437" s="1225" t="s">
        <v>5103</v>
      </c>
      <c r="F1437" s="1225">
        <v>5499.58</v>
      </c>
    </row>
    <row r="1438" spans="1:6" s="1225" customFormat="1" ht="17.25" customHeight="1">
      <c r="C1438" s="1225" t="s">
        <v>2137</v>
      </c>
      <c r="F1438" s="1225">
        <v>3021.75</v>
      </c>
    </row>
    <row r="1439" spans="1:6" s="1225" customFormat="1" ht="17.25" customHeight="1"/>
    <row r="1440" spans="1:6" s="1225" customFormat="1" ht="17.25" customHeight="1">
      <c r="C1440" s="1225" t="s">
        <v>5093</v>
      </c>
    </row>
    <row r="1441" spans="1:6" s="1225" customFormat="1" ht="17.25" customHeight="1">
      <c r="C1441" s="1225" t="s">
        <v>5096</v>
      </c>
      <c r="D1441" s="1225">
        <v>1.62</v>
      </c>
    </row>
    <row r="1442" spans="1:6" s="1225" customFormat="1" ht="17.25" customHeight="1">
      <c r="A1442" s="1225">
        <v>1.62</v>
      </c>
      <c r="B1442" s="1225" t="s">
        <v>425</v>
      </c>
      <c r="C1442" s="1225" t="s">
        <v>5097</v>
      </c>
      <c r="D1442" s="1225">
        <v>2255</v>
      </c>
      <c r="E1442" s="1225" t="s">
        <v>425</v>
      </c>
      <c r="F1442" s="1225">
        <v>3653.1</v>
      </c>
    </row>
    <row r="1443" spans="1:6" s="1225" customFormat="1" ht="17.25" customHeight="1">
      <c r="A1443" s="1225">
        <v>1.62</v>
      </c>
      <c r="B1443" s="1225" t="s">
        <v>425</v>
      </c>
      <c r="C1443" s="1225" t="s">
        <v>5099</v>
      </c>
      <c r="D1443" s="1225">
        <v>223.3</v>
      </c>
      <c r="E1443" s="1225" t="s">
        <v>425</v>
      </c>
      <c r="F1443" s="1225">
        <v>361.75</v>
      </c>
    </row>
    <row r="1444" spans="1:6" s="1225" customFormat="1" ht="17.25" customHeight="1">
      <c r="A1444" s="1225">
        <v>2</v>
      </c>
      <c r="B1444" s="1225" t="s">
        <v>237</v>
      </c>
      <c r="C1444" s="1225" t="s">
        <v>5068</v>
      </c>
      <c r="D1444" s="1225">
        <v>57.65</v>
      </c>
      <c r="E1444" s="1225" t="s">
        <v>237</v>
      </c>
      <c r="F1444" s="1225">
        <v>115.3</v>
      </c>
    </row>
    <row r="1445" spans="1:6" s="1225" customFormat="1" ht="17.25" customHeight="1">
      <c r="A1445" s="1225">
        <v>3</v>
      </c>
      <c r="B1445" s="1225" t="s">
        <v>237</v>
      </c>
      <c r="C1445" s="1225" t="s">
        <v>5071</v>
      </c>
      <c r="D1445" s="1225">
        <v>89.6</v>
      </c>
      <c r="E1445" s="1225" t="s">
        <v>237</v>
      </c>
      <c r="F1445" s="1225">
        <v>268.8</v>
      </c>
    </row>
    <row r="1446" spans="1:6" s="1225" customFormat="1" ht="17.25" customHeight="1">
      <c r="A1446" s="1225">
        <v>2</v>
      </c>
      <c r="B1446" s="1225" t="s">
        <v>237</v>
      </c>
      <c r="C1446" s="1225" t="s">
        <v>5073</v>
      </c>
      <c r="D1446" s="1225">
        <v>64.8</v>
      </c>
      <c r="E1446" s="1225" t="s">
        <v>237</v>
      </c>
      <c r="F1446" s="1225">
        <v>129.6</v>
      </c>
    </row>
    <row r="1447" spans="1:6" s="1225" customFormat="1" ht="17.25" customHeight="1">
      <c r="A1447" s="1225">
        <v>1</v>
      </c>
      <c r="B1447" s="1225" t="s">
        <v>237</v>
      </c>
      <c r="C1447" s="1225" t="s">
        <v>5041</v>
      </c>
      <c r="D1447" s="1225">
        <v>181</v>
      </c>
      <c r="E1447" s="1225" t="s">
        <v>237</v>
      </c>
      <c r="F1447" s="1225">
        <v>181</v>
      </c>
    </row>
    <row r="1448" spans="1:6" s="1225" customFormat="1" ht="17.25" customHeight="1">
      <c r="A1448" s="1225">
        <v>92</v>
      </c>
      <c r="B1448" s="1225" t="s">
        <v>237</v>
      </c>
      <c r="C1448" s="1225" t="s">
        <v>5077</v>
      </c>
      <c r="D1448" s="1225">
        <v>2.41</v>
      </c>
      <c r="E1448" s="1225" t="s">
        <v>237</v>
      </c>
      <c r="F1448" s="1225">
        <v>221.72</v>
      </c>
    </row>
    <row r="1449" spans="1:6" s="1225" customFormat="1" ht="17.25" customHeight="1">
      <c r="A1449" s="1225">
        <v>1</v>
      </c>
      <c r="B1449" s="1225" t="s">
        <v>237</v>
      </c>
      <c r="C1449" s="1225" t="s">
        <v>5080</v>
      </c>
      <c r="D1449" s="1225">
        <v>23.1</v>
      </c>
      <c r="E1449" s="1225" t="s">
        <v>237</v>
      </c>
      <c r="F1449" s="1225">
        <v>23.1</v>
      </c>
    </row>
    <row r="1450" spans="1:6" s="1225" customFormat="1" ht="17.25" customHeight="1">
      <c r="A1450" s="1225">
        <v>1</v>
      </c>
      <c r="B1450" s="1225" t="s">
        <v>237</v>
      </c>
      <c r="C1450" s="1225" t="s">
        <v>5083</v>
      </c>
      <c r="D1450" s="1225">
        <v>49.55</v>
      </c>
      <c r="E1450" s="1225" t="s">
        <v>237</v>
      </c>
      <c r="F1450" s="1225">
        <v>49.55</v>
      </c>
    </row>
    <row r="1451" spans="1:6" s="1225" customFormat="1" ht="17.25" customHeight="1">
      <c r="A1451" s="1225">
        <v>0.35</v>
      </c>
      <c r="B1451" s="1225" t="s">
        <v>425</v>
      </c>
      <c r="C1451" s="1225" t="s">
        <v>5086</v>
      </c>
      <c r="D1451" s="1225">
        <v>240.31</v>
      </c>
      <c r="E1451" s="1225" t="s">
        <v>425</v>
      </c>
    </row>
    <row r="1452" spans="1:6" s="1225" customFormat="1" ht="17.25" customHeight="1">
      <c r="C1452" s="1225" t="s">
        <v>5104</v>
      </c>
      <c r="F1452" s="1225">
        <v>5003.92</v>
      </c>
    </row>
    <row r="1453" spans="1:6" s="1225" customFormat="1" ht="17.25" customHeight="1">
      <c r="C1453" s="1225" t="s">
        <v>2137</v>
      </c>
      <c r="F1453" s="1225">
        <v>3088.84</v>
      </c>
    </row>
    <row r="1454" spans="1:6" s="1225" customFormat="1" ht="17.25" customHeight="1"/>
    <row r="1455" spans="1:6" s="1225" customFormat="1" ht="17.25" customHeight="1"/>
    <row r="1456" spans="1:6" s="1225" customFormat="1" ht="17.25" customHeight="1">
      <c r="C1456" s="1225" t="s">
        <v>4856</v>
      </c>
    </row>
    <row r="1457" spans="1:6" s="1225" customFormat="1" ht="17.25" customHeight="1">
      <c r="C1457" s="1225" t="s">
        <v>2138</v>
      </c>
    </row>
    <row r="1458" spans="1:6" s="1225" customFormat="1" ht="17.25" customHeight="1">
      <c r="A1458" s="1225">
        <v>0.1</v>
      </c>
      <c r="B1458" s="1225" t="s">
        <v>41</v>
      </c>
      <c r="C1458" s="1225" t="s">
        <v>4859</v>
      </c>
    </row>
    <row r="1459" spans="1:6" s="1225" customFormat="1" ht="17.25" customHeight="1">
      <c r="A1459" s="1225">
        <v>0.1</v>
      </c>
      <c r="B1459" s="1225" t="s">
        <v>4861</v>
      </c>
      <c r="C1459" s="1225" t="s">
        <v>4501</v>
      </c>
      <c r="D1459" s="1225">
        <v>919.6</v>
      </c>
      <c r="E1459" s="1225" t="s">
        <v>729</v>
      </c>
      <c r="F1459" s="1225">
        <v>91.96</v>
      </c>
    </row>
    <row r="1460" spans="1:6" s="1225" customFormat="1" ht="17.25" customHeight="1">
      <c r="A1460" s="1225">
        <v>10</v>
      </c>
      <c r="B1460" s="1225" t="s">
        <v>4863</v>
      </c>
      <c r="C1460" s="1225" t="s">
        <v>2199</v>
      </c>
      <c r="D1460" s="1225">
        <v>679.8</v>
      </c>
      <c r="E1460" s="1225" t="s">
        <v>729</v>
      </c>
      <c r="F1460" s="1225">
        <v>67.98</v>
      </c>
    </row>
    <row r="1461" spans="1:6" s="1225" customFormat="1" ht="17.25" customHeight="1">
      <c r="A1461" s="1225">
        <v>0.25</v>
      </c>
      <c r="B1461" s="1225" t="s">
        <v>41</v>
      </c>
      <c r="C1461" s="1225" t="s">
        <v>4866</v>
      </c>
      <c r="D1461" s="1225">
        <v>18.45</v>
      </c>
      <c r="E1461" s="1225" t="s">
        <v>4865</v>
      </c>
      <c r="F1461" s="1225">
        <v>1.85</v>
      </c>
    </row>
    <row r="1462" spans="1:6" s="1225" customFormat="1" ht="17.25" customHeight="1">
      <c r="C1462" s="1225" t="s">
        <v>4869</v>
      </c>
      <c r="D1462" s="1225">
        <v>3.6</v>
      </c>
      <c r="E1462" s="1225" t="s">
        <v>729</v>
      </c>
      <c r="F1462" s="1225">
        <v>0.9</v>
      </c>
    </row>
    <row r="1463" spans="1:6" s="1225" customFormat="1" ht="17.25" customHeight="1">
      <c r="D1463" s="1225" t="s">
        <v>4871</v>
      </c>
      <c r="F1463" s="1225">
        <v>162.69</v>
      </c>
    </row>
    <row r="1464" spans="1:6" s="1225" customFormat="1" ht="17.25" customHeight="1"/>
    <row r="1465" spans="1:6" s="1225" customFormat="1" ht="17.25" customHeight="1">
      <c r="C1465" s="1225" t="s">
        <v>4749</v>
      </c>
      <c r="D1465" s="1225" t="s">
        <v>4873</v>
      </c>
      <c r="E1465" s="1225" t="s">
        <v>4874</v>
      </c>
    </row>
    <row r="1466" spans="1:6" s="1225" customFormat="1" ht="17.25" customHeight="1"/>
    <row r="1467" spans="1:6" s="1225" customFormat="1" ht="17.25" customHeight="1">
      <c r="C1467" s="1225" t="s">
        <v>4876</v>
      </c>
      <c r="D1467" s="1225">
        <v>96</v>
      </c>
      <c r="E1467" s="1225">
        <v>85</v>
      </c>
      <c r="F1467" s="1225">
        <v>85</v>
      </c>
    </row>
    <row r="1468" spans="1:6" s="1225" customFormat="1" ht="17.25" customHeight="1">
      <c r="C1468" s="1225" t="s">
        <v>2234</v>
      </c>
      <c r="D1468" s="1225">
        <v>162.69</v>
      </c>
      <c r="E1468" s="1225">
        <v>162.69</v>
      </c>
    </row>
    <row r="1469" spans="1:6" s="1225" customFormat="1" ht="17.25" customHeight="1">
      <c r="D1469" s="1225">
        <v>258.69</v>
      </c>
      <c r="E1469" s="1225">
        <v>247.69</v>
      </c>
    </row>
    <row r="1470" spans="1:6" s="1225" customFormat="1" ht="17.25" customHeight="1">
      <c r="D1470" s="1225">
        <v>259</v>
      </c>
      <c r="E1470" s="1225">
        <v>248</v>
      </c>
    </row>
    <row r="1471" spans="1:6" s="1225" customFormat="1" ht="17.25" customHeight="1">
      <c r="B1471" s="1225" t="s">
        <v>4338</v>
      </c>
    </row>
    <row r="1472" spans="1:6" s="1225" customFormat="1" ht="17.25" customHeight="1">
      <c r="A1472" s="1225">
        <v>10</v>
      </c>
      <c r="B1472" s="1225" t="s">
        <v>425</v>
      </c>
      <c r="C1472" s="1225" t="s">
        <v>4339</v>
      </c>
      <c r="D1472" s="1225">
        <v>506</v>
      </c>
      <c r="E1472" s="1225" t="s">
        <v>425</v>
      </c>
      <c r="F1472" s="1225">
        <v>5060</v>
      </c>
    </row>
    <row r="1473" spans="1:6" s="1225" customFormat="1" ht="17.25" customHeight="1">
      <c r="A1473" s="1225">
        <v>0.21</v>
      </c>
      <c r="B1473" s="1225" t="s">
        <v>132</v>
      </c>
      <c r="C1473" s="1225" t="s">
        <v>1575</v>
      </c>
      <c r="D1473" s="1225">
        <v>4667.62</v>
      </c>
      <c r="E1473" s="1225" t="s">
        <v>132</v>
      </c>
      <c r="F1473" s="1225">
        <v>980.2</v>
      </c>
    </row>
    <row r="1474" spans="1:6" s="1225" customFormat="1" ht="17.25" customHeight="1">
      <c r="A1474" s="1225">
        <v>10</v>
      </c>
      <c r="C1474" s="1225" t="s">
        <v>4342</v>
      </c>
      <c r="D1474" s="1225">
        <v>327.94</v>
      </c>
      <c r="F1474" s="1225">
        <v>3279.4</v>
      </c>
    </row>
    <row r="1475" spans="1:6" s="1225" customFormat="1" ht="17.25" customHeight="1">
      <c r="A1475" s="1225">
        <v>1.1000000000000001</v>
      </c>
      <c r="B1475" s="1225" t="s">
        <v>237</v>
      </c>
      <c r="C1475" s="1225" t="s">
        <v>345</v>
      </c>
      <c r="D1475" s="1225">
        <v>1041.7</v>
      </c>
      <c r="E1475" s="1225" t="s">
        <v>237</v>
      </c>
      <c r="F1475" s="1225">
        <v>1145.8699999999999</v>
      </c>
    </row>
    <row r="1476" spans="1:6" s="1225" customFormat="1" ht="17.25" customHeight="1">
      <c r="A1476" s="1225">
        <v>2.1</v>
      </c>
      <c r="B1476" s="1225" t="s">
        <v>237</v>
      </c>
      <c r="C1476" s="1225" t="s">
        <v>302</v>
      </c>
      <c r="D1476" s="1225">
        <v>972.4</v>
      </c>
      <c r="E1476" s="1225" t="s">
        <v>237</v>
      </c>
      <c r="F1476" s="1225">
        <v>2042.04</v>
      </c>
    </row>
    <row r="1477" spans="1:6" s="1225" customFormat="1" ht="17.25" customHeight="1">
      <c r="A1477" s="1225">
        <v>2.2000000000000002</v>
      </c>
      <c r="B1477" s="1225" t="s">
        <v>237</v>
      </c>
      <c r="C1477" s="1225" t="s">
        <v>304</v>
      </c>
      <c r="D1477" s="1225">
        <v>679.8</v>
      </c>
      <c r="E1477" s="1225" t="s">
        <v>237</v>
      </c>
      <c r="F1477" s="1225">
        <v>1495.56</v>
      </c>
    </row>
    <row r="1478" spans="1:6" s="1225" customFormat="1" ht="17.25" customHeight="1">
      <c r="A1478" s="1225">
        <v>1.1000000000000001</v>
      </c>
      <c r="B1478" s="1225" t="s">
        <v>237</v>
      </c>
      <c r="C1478" s="1225" t="s">
        <v>306</v>
      </c>
      <c r="D1478" s="1225">
        <v>557.70000000000005</v>
      </c>
      <c r="E1478" s="1225" t="s">
        <v>237</v>
      </c>
      <c r="F1478" s="1225">
        <v>613.47</v>
      </c>
    </row>
    <row r="1479" spans="1:6" s="1225" customFormat="1" ht="17.25" customHeight="1">
      <c r="A1479" s="1225">
        <v>6.5</v>
      </c>
      <c r="B1479" s="1225" t="s">
        <v>39</v>
      </c>
      <c r="C1479" s="1225" t="s">
        <v>4343</v>
      </c>
      <c r="D1479" s="1225">
        <v>17.18</v>
      </c>
      <c r="E1479" s="1225" t="s">
        <v>122</v>
      </c>
      <c r="F1479" s="1225">
        <v>111.67</v>
      </c>
    </row>
    <row r="1480" spans="1:6" s="1225" customFormat="1" ht="17.25" customHeight="1">
      <c r="A1480" s="1225">
        <v>3</v>
      </c>
      <c r="B1480" s="1225" t="s">
        <v>39</v>
      </c>
      <c r="C1480" s="1225" t="s">
        <v>4344</v>
      </c>
      <c r="D1480" s="1225">
        <v>27.25</v>
      </c>
      <c r="E1480" s="1225" t="s">
        <v>39</v>
      </c>
      <c r="F1480" s="1225">
        <v>81.75</v>
      </c>
    </row>
    <row r="1481" spans="1:6" s="1225" customFormat="1" ht="17.25" customHeight="1">
      <c r="A1481" s="1225">
        <v>2.15</v>
      </c>
      <c r="B1481" s="1225" t="s">
        <v>237</v>
      </c>
      <c r="C1481" s="1225" t="s">
        <v>4345</v>
      </c>
      <c r="D1481" s="1225">
        <v>45.8</v>
      </c>
      <c r="E1481" s="1225" t="s">
        <v>237</v>
      </c>
      <c r="F1481" s="1225">
        <v>98.47</v>
      </c>
    </row>
    <row r="1482" spans="1:6" s="1225" customFormat="1" ht="17.25" customHeight="1">
      <c r="A1482" s="1225">
        <v>0.4</v>
      </c>
      <c r="B1482" s="1225" t="s">
        <v>237</v>
      </c>
      <c r="C1482" s="1225" t="s">
        <v>4346</v>
      </c>
      <c r="D1482" s="1225">
        <v>5909.17</v>
      </c>
      <c r="E1482" s="1225" t="s">
        <v>237</v>
      </c>
      <c r="F1482" s="1225">
        <v>2363.67</v>
      </c>
    </row>
    <row r="1483" spans="1:6" s="1225" customFormat="1" ht="17.25" customHeight="1">
      <c r="E1483" s="1225" t="s">
        <v>237</v>
      </c>
      <c r="F1483" s="1225">
        <v>0</v>
      </c>
    </row>
    <row r="1484" spans="1:6" s="1225" customFormat="1" ht="17.25" customHeight="1">
      <c r="B1484" s="1225" t="s">
        <v>145</v>
      </c>
      <c r="C1484" s="1225" t="s">
        <v>146</v>
      </c>
      <c r="E1484" s="1225" t="s">
        <v>145</v>
      </c>
      <c r="F1484" s="1225">
        <v>0.8</v>
      </c>
    </row>
    <row r="1485" spans="1:6" s="1225" customFormat="1" ht="17.25" customHeight="1">
      <c r="F1485" s="1225" t="s">
        <v>52</v>
      </c>
    </row>
    <row r="1486" spans="1:6" s="1225" customFormat="1" ht="17.25" customHeight="1">
      <c r="C1486" s="1225" t="s">
        <v>495</v>
      </c>
      <c r="F1486" s="1225">
        <v>17272.900000000001</v>
      </c>
    </row>
    <row r="1487" spans="1:6" s="1225" customFormat="1" ht="17.25" customHeight="1">
      <c r="F1487" s="1225" t="s">
        <v>52</v>
      </c>
    </row>
    <row r="1488" spans="1:6" s="1225" customFormat="1" ht="17.25" customHeight="1">
      <c r="C1488" s="1225" t="s">
        <v>460</v>
      </c>
      <c r="F1488" s="1225">
        <v>1727.29</v>
      </c>
    </row>
    <row r="1489" spans="1:6" s="1225" customFormat="1" ht="17.25" customHeight="1"/>
    <row r="1490" spans="1:6" s="1225" customFormat="1" ht="17.25" customHeight="1">
      <c r="C1490" s="1225" t="s">
        <v>52</v>
      </c>
    </row>
    <row r="1491" spans="1:6" s="1225" customFormat="1" ht="17.25" customHeight="1">
      <c r="B1491" s="1225" t="s">
        <v>111</v>
      </c>
      <c r="C1491" s="1225" t="s">
        <v>5169</v>
      </c>
    </row>
    <row r="1492" spans="1:6" s="1225" customFormat="1" ht="17.25" customHeight="1">
      <c r="C1492" s="1225" t="s">
        <v>5171</v>
      </c>
    </row>
    <row r="1493" spans="1:6" s="1225" customFormat="1" ht="17.25" customHeight="1">
      <c r="C1493" s="1225" t="s">
        <v>611</v>
      </c>
    </row>
    <row r="1494" spans="1:6" s="1225" customFormat="1" ht="17.25" customHeight="1">
      <c r="C1494" s="1225" t="s">
        <v>52</v>
      </c>
    </row>
    <row r="1495" spans="1:6" s="1225" customFormat="1" ht="17.25" customHeight="1">
      <c r="B1495" s="1225" t="s">
        <v>612</v>
      </c>
      <c r="C1495" s="1225" t="s">
        <v>5175</v>
      </c>
    </row>
    <row r="1496" spans="1:6" s="1225" customFormat="1" ht="17.25" customHeight="1">
      <c r="C1496" s="1225" t="s">
        <v>52</v>
      </c>
    </row>
    <row r="1497" spans="1:6" s="1225" customFormat="1" ht="17.25" customHeight="1">
      <c r="A1497" s="1225">
        <v>18.899999999999999</v>
      </c>
      <c r="B1497" s="1225" t="s">
        <v>132</v>
      </c>
      <c r="C1497" s="1225" t="s">
        <v>615</v>
      </c>
      <c r="D1497" s="1225">
        <v>233.76</v>
      </c>
      <c r="E1497" s="1225" t="s">
        <v>132</v>
      </c>
      <c r="F1497" s="1225">
        <v>4418.0600000000004</v>
      </c>
    </row>
    <row r="1498" spans="1:6" s="1225" customFormat="1" ht="17.25" customHeight="1">
      <c r="A1498" s="1225">
        <v>18.63</v>
      </c>
      <c r="B1498" s="1225" t="s">
        <v>132</v>
      </c>
      <c r="C1498" s="1225" t="s">
        <v>616</v>
      </c>
      <c r="D1498" s="1225">
        <v>40.65</v>
      </c>
      <c r="E1498" s="1225" t="s">
        <v>132</v>
      </c>
      <c r="F1498" s="1225">
        <v>757.31</v>
      </c>
    </row>
    <row r="1499" spans="1:6" s="1225" customFormat="1" ht="17.25" customHeight="1">
      <c r="A1499" s="1225">
        <v>30</v>
      </c>
      <c r="B1499" s="1225" t="s">
        <v>282</v>
      </c>
      <c r="C1499" s="1225" t="s">
        <v>5182</v>
      </c>
      <c r="D1499" s="1225">
        <v>277</v>
      </c>
      <c r="E1499" s="1225" t="s">
        <v>282</v>
      </c>
      <c r="F1499" s="1225">
        <v>8310</v>
      </c>
    </row>
    <row r="1500" spans="1:6" s="1225" customFormat="1" ht="17.25" customHeight="1"/>
    <row r="1501" spans="1:6" s="1225" customFormat="1" ht="17.25" customHeight="1">
      <c r="A1501" s="1225">
        <v>30</v>
      </c>
      <c r="B1501" s="1225" t="s">
        <v>282</v>
      </c>
      <c r="C1501" s="1225" t="s">
        <v>617</v>
      </c>
      <c r="D1501" s="1225">
        <v>17.399999999999999</v>
      </c>
      <c r="E1501" s="1225" t="s">
        <v>282</v>
      </c>
      <c r="F1501" s="1225">
        <v>522</v>
      </c>
    </row>
    <row r="1502" spans="1:6" s="1225" customFormat="1" ht="17.25" customHeight="1">
      <c r="C1502" s="1225" t="s">
        <v>618</v>
      </c>
    </row>
    <row r="1503" spans="1:6" s="1225" customFormat="1" ht="17.25" customHeight="1">
      <c r="C1503" s="1225" t="s">
        <v>619</v>
      </c>
    </row>
    <row r="1504" spans="1:6" s="1225" customFormat="1" ht="17.25" customHeight="1">
      <c r="C1504" s="1225" t="s">
        <v>620</v>
      </c>
    </row>
    <row r="1505" spans="1:6" s="1225" customFormat="1" ht="17.25" customHeight="1">
      <c r="C1505" s="1225" t="s">
        <v>5184</v>
      </c>
    </row>
    <row r="1506" spans="1:6" s="1225" customFormat="1" ht="17.25" customHeight="1"/>
    <row r="1507" spans="1:6" s="1225" customFormat="1" ht="17.25" customHeight="1">
      <c r="A1507" s="1225">
        <v>5</v>
      </c>
      <c r="B1507" s="1225" t="s">
        <v>237</v>
      </c>
      <c r="C1507" s="1225" t="s">
        <v>5185</v>
      </c>
      <c r="D1507" s="1225">
        <v>44.9</v>
      </c>
      <c r="E1507" s="1225" t="s">
        <v>237</v>
      </c>
      <c r="F1507" s="1225">
        <v>224.5</v>
      </c>
    </row>
    <row r="1508" spans="1:6" s="1225" customFormat="1" ht="17.25" customHeight="1">
      <c r="A1508" s="1225">
        <v>1</v>
      </c>
      <c r="B1508" s="1225" t="s">
        <v>145</v>
      </c>
      <c r="C1508" s="1225" t="s">
        <v>629</v>
      </c>
      <c r="D1508" s="1225">
        <v>12.1</v>
      </c>
      <c r="E1508" s="1225" t="s">
        <v>145</v>
      </c>
      <c r="F1508" s="1225">
        <v>12.1</v>
      </c>
    </row>
    <row r="1509" spans="1:6" s="1225" customFormat="1" ht="17.25" customHeight="1">
      <c r="B1509" s="1225" t="s">
        <v>145</v>
      </c>
      <c r="C1509" s="1225" t="s">
        <v>146</v>
      </c>
      <c r="E1509" s="1225" t="s">
        <v>145</v>
      </c>
      <c r="F1509" s="1225">
        <v>17.100000000000001</v>
      </c>
    </row>
    <row r="1510" spans="1:6" s="1225" customFormat="1" ht="17.25" customHeight="1"/>
    <row r="1511" spans="1:6" s="1225" customFormat="1" ht="17.25" customHeight="1">
      <c r="F1511" s="1225" t="s">
        <v>52</v>
      </c>
    </row>
    <row r="1512" spans="1:6" s="1225" customFormat="1" ht="17.25" customHeight="1">
      <c r="C1512" s="1225" t="s">
        <v>631</v>
      </c>
      <c r="F1512" s="1225">
        <v>14261.07</v>
      </c>
    </row>
    <row r="1513" spans="1:6" s="1225" customFormat="1" ht="17.25" customHeight="1">
      <c r="F1513" s="1225" t="s">
        <v>52</v>
      </c>
    </row>
    <row r="1514" spans="1:6" s="1225" customFormat="1" ht="17.25" customHeight="1">
      <c r="C1514" s="1225" t="s">
        <v>632</v>
      </c>
      <c r="F1514" s="1225">
        <v>475.37</v>
      </c>
    </row>
    <row r="1515" spans="1:6" s="1225" customFormat="1" ht="17.25" customHeight="1">
      <c r="F1515" s="1225" t="s">
        <v>52</v>
      </c>
    </row>
    <row r="1516" spans="1:6" s="1225" customFormat="1" ht="17.25" customHeight="1">
      <c r="B1516" s="1225" t="s">
        <v>634</v>
      </c>
      <c r="C1516" s="1225" t="s">
        <v>5186</v>
      </c>
    </row>
    <row r="1517" spans="1:6" s="1225" customFormat="1" ht="17.25" customHeight="1">
      <c r="C1517" s="1225" t="s">
        <v>52</v>
      </c>
    </row>
    <row r="1518" spans="1:6" s="1225" customFormat="1" ht="17.25" customHeight="1">
      <c r="A1518" s="1225">
        <v>18.899999999999999</v>
      </c>
      <c r="B1518" s="1225" t="s">
        <v>132</v>
      </c>
      <c r="C1518" s="1225" t="s">
        <v>615</v>
      </c>
      <c r="D1518" s="1225">
        <v>233.76</v>
      </c>
      <c r="E1518" s="1225" t="s">
        <v>132</v>
      </c>
      <c r="F1518" s="1225">
        <v>4418.0600000000004</v>
      </c>
    </row>
    <row r="1519" spans="1:6" s="1225" customFormat="1" ht="17.25" customHeight="1">
      <c r="A1519" s="1225">
        <v>18.3</v>
      </c>
      <c r="B1519" s="1225" t="s">
        <v>132</v>
      </c>
      <c r="C1519" s="1225" t="s">
        <v>616</v>
      </c>
      <c r="D1519" s="1225">
        <v>40.65</v>
      </c>
      <c r="E1519" s="1225" t="s">
        <v>132</v>
      </c>
      <c r="F1519" s="1225">
        <v>743.9</v>
      </c>
    </row>
    <row r="1520" spans="1:6" s="1225" customFormat="1" ht="17.25" customHeight="1">
      <c r="A1520" s="1225">
        <v>30</v>
      </c>
      <c r="B1520" s="1225" t="s">
        <v>282</v>
      </c>
      <c r="C1520" s="1225" t="s">
        <v>5188</v>
      </c>
      <c r="D1520" s="1225">
        <v>581</v>
      </c>
      <c r="E1520" s="1225" t="s">
        <v>282</v>
      </c>
      <c r="F1520" s="1225">
        <v>17430</v>
      </c>
    </row>
    <row r="1521" spans="1:6" s="1225" customFormat="1" ht="17.25" customHeight="1"/>
    <row r="1522" spans="1:6" s="1225" customFormat="1" ht="17.25" customHeight="1">
      <c r="A1522" s="1225">
        <v>30</v>
      </c>
      <c r="C1522" s="1225" t="s">
        <v>617</v>
      </c>
      <c r="D1522" s="1225">
        <v>24.6</v>
      </c>
      <c r="E1522" s="1225" t="s">
        <v>282</v>
      </c>
      <c r="F1522" s="1225">
        <v>738</v>
      </c>
    </row>
    <row r="1523" spans="1:6" s="1225" customFormat="1" ht="17.25" customHeight="1">
      <c r="C1523" s="1225" t="s">
        <v>618</v>
      </c>
    </row>
    <row r="1524" spans="1:6" s="1225" customFormat="1" ht="17.25" customHeight="1">
      <c r="C1524" s="1225" t="s">
        <v>619</v>
      </c>
    </row>
    <row r="1525" spans="1:6" s="1225" customFormat="1" ht="17.25" customHeight="1">
      <c r="C1525" s="1225" t="s">
        <v>620</v>
      </c>
    </row>
    <row r="1526" spans="1:6" s="1225" customFormat="1" ht="17.25" customHeight="1">
      <c r="C1526" s="1225" t="s">
        <v>5184</v>
      </c>
    </row>
    <row r="1527" spans="1:6" s="1225" customFormat="1" ht="17.25" customHeight="1"/>
    <row r="1528" spans="1:6" s="1225" customFormat="1" ht="17.25" customHeight="1">
      <c r="A1528" s="1225">
        <v>5</v>
      </c>
      <c r="B1528" s="1225" t="s">
        <v>145</v>
      </c>
      <c r="C1528" s="1225" t="s">
        <v>5185</v>
      </c>
      <c r="D1528" s="1225">
        <v>44.9</v>
      </c>
      <c r="E1528" s="1225" t="s">
        <v>237</v>
      </c>
      <c r="F1528" s="1225">
        <v>224.5</v>
      </c>
    </row>
    <row r="1529" spans="1:6" s="1225" customFormat="1" ht="17.25" customHeight="1">
      <c r="A1529" s="1225">
        <v>1</v>
      </c>
      <c r="C1529" s="1225" t="s">
        <v>629</v>
      </c>
      <c r="D1529" s="1225">
        <v>12.1</v>
      </c>
      <c r="E1529" s="1225" t="s">
        <v>145</v>
      </c>
      <c r="F1529" s="1225">
        <v>12.1</v>
      </c>
    </row>
    <row r="1530" spans="1:6" s="1225" customFormat="1" ht="17.25" customHeight="1">
      <c r="C1530" s="1225" t="s">
        <v>146</v>
      </c>
      <c r="E1530" s="1225" t="s">
        <v>145</v>
      </c>
      <c r="F1530" s="1225">
        <v>24.3</v>
      </c>
    </row>
    <row r="1531" spans="1:6" s="1225" customFormat="1" ht="17.25" customHeight="1"/>
    <row r="1532" spans="1:6" s="1225" customFormat="1" ht="17.25" customHeight="1">
      <c r="C1532" s="1225" t="s">
        <v>631</v>
      </c>
      <c r="F1532" s="1225">
        <v>23590.86</v>
      </c>
    </row>
    <row r="1533" spans="1:6" s="1225" customFormat="1" ht="17.25" customHeight="1">
      <c r="F1533" s="1225" t="s">
        <v>52</v>
      </c>
    </row>
    <row r="1534" spans="1:6" s="1225" customFormat="1" ht="17.25" customHeight="1">
      <c r="C1534" s="1225" t="s">
        <v>632</v>
      </c>
      <c r="F1534" s="1225">
        <v>786.36</v>
      </c>
    </row>
    <row r="1535" spans="1:6" s="1225" customFormat="1" ht="17.25" customHeight="1"/>
    <row r="1536" spans="1:6" s="1225" customFormat="1" ht="17.25" customHeight="1">
      <c r="A1536" s="1225" t="s">
        <v>1853</v>
      </c>
      <c r="B1536" s="1225" t="s">
        <v>111</v>
      </c>
      <c r="C1536" s="1225" t="s">
        <v>1854</v>
      </c>
    </row>
    <row r="1537" spans="1:6" s="1225" customFormat="1" ht="17.25" customHeight="1">
      <c r="C1537" s="1225" t="s">
        <v>1855</v>
      </c>
    </row>
    <row r="1538" spans="1:6" s="1225" customFormat="1" ht="17.25" customHeight="1">
      <c r="C1538" s="1225" t="s">
        <v>1856</v>
      </c>
    </row>
    <row r="1539" spans="1:6" s="1225" customFormat="1" ht="17.25" customHeight="1">
      <c r="C1539" s="1225" t="s">
        <v>1857</v>
      </c>
    </row>
    <row r="1540" spans="1:6" s="1225" customFormat="1" ht="17.25" customHeight="1">
      <c r="C1540" s="1225" t="s">
        <v>52</v>
      </c>
    </row>
    <row r="1541" spans="1:6" s="1225" customFormat="1" ht="17.25" customHeight="1">
      <c r="A1541" s="1225">
        <v>1</v>
      </c>
      <c r="B1541" s="1225" t="s">
        <v>131</v>
      </c>
      <c r="C1541" s="1225" t="s">
        <v>1858</v>
      </c>
      <c r="D1541" s="1225">
        <v>1201</v>
      </c>
      <c r="E1541" s="1225" t="s">
        <v>131</v>
      </c>
      <c r="F1541" s="1225">
        <v>1201</v>
      </c>
    </row>
    <row r="1542" spans="1:6" s="1225" customFormat="1" ht="17.25" customHeight="1">
      <c r="A1542" s="1225">
        <v>0.65</v>
      </c>
      <c r="B1542" s="1225" t="s">
        <v>132</v>
      </c>
      <c r="C1542" s="1225" t="s">
        <v>1859</v>
      </c>
      <c r="D1542" s="1225">
        <v>233.76</v>
      </c>
      <c r="E1542" s="1225" t="s">
        <v>132</v>
      </c>
      <c r="F1542" s="1225">
        <v>151.94</v>
      </c>
    </row>
    <row r="1543" spans="1:6" s="1225" customFormat="1" ht="17.25" customHeight="1">
      <c r="A1543" s="1225">
        <v>0.56999999999999995</v>
      </c>
      <c r="B1543" s="1225" t="s">
        <v>132</v>
      </c>
      <c r="C1543" s="1225" t="s">
        <v>1860</v>
      </c>
      <c r="D1543" s="1225">
        <v>40.65</v>
      </c>
      <c r="E1543" s="1225" t="s">
        <v>132</v>
      </c>
      <c r="F1543" s="1225">
        <v>23.17</v>
      </c>
    </row>
    <row r="1544" spans="1:6" s="1225" customFormat="1" ht="17.25" customHeight="1">
      <c r="A1544" s="1225">
        <v>8.1000000000000003E-2</v>
      </c>
      <c r="B1544" s="1225" t="s">
        <v>132</v>
      </c>
      <c r="C1544" s="1225" t="s">
        <v>1861</v>
      </c>
      <c r="D1544" s="1225">
        <v>4185.1899999999996</v>
      </c>
      <c r="E1544" s="1225" t="s">
        <v>132</v>
      </c>
      <c r="F1544" s="1225">
        <v>339</v>
      </c>
    </row>
    <row r="1545" spans="1:6" s="1225" customFormat="1" ht="17.25" customHeight="1">
      <c r="A1545" s="1225">
        <v>1</v>
      </c>
      <c r="B1545" s="1225" t="s">
        <v>131</v>
      </c>
      <c r="C1545" s="1225" t="s">
        <v>1695</v>
      </c>
      <c r="D1545" s="1225">
        <v>903.1</v>
      </c>
      <c r="E1545" s="1225" t="s">
        <v>131</v>
      </c>
      <c r="F1545" s="1225">
        <v>903.1</v>
      </c>
    </row>
    <row r="1546" spans="1:6" s="1225" customFormat="1" ht="17.25" customHeight="1">
      <c r="A1546" s="1225">
        <v>0.5</v>
      </c>
      <c r="B1546" s="1225" t="s">
        <v>131</v>
      </c>
      <c r="C1546" s="1225" t="s">
        <v>302</v>
      </c>
      <c r="D1546" s="1225">
        <v>972.4</v>
      </c>
      <c r="E1546" s="1225" t="s">
        <v>131</v>
      </c>
      <c r="F1546" s="1225">
        <v>486.2</v>
      </c>
    </row>
    <row r="1547" spans="1:6" s="1225" customFormat="1" ht="17.25" customHeight="1">
      <c r="A1547" s="1225">
        <v>0.5</v>
      </c>
      <c r="B1547" s="1225" t="s">
        <v>131</v>
      </c>
      <c r="C1547" s="1225" t="s">
        <v>304</v>
      </c>
      <c r="D1547" s="1225">
        <v>679.8</v>
      </c>
      <c r="E1547" s="1225" t="s">
        <v>131</v>
      </c>
      <c r="F1547" s="1225">
        <v>339.9</v>
      </c>
    </row>
    <row r="1548" spans="1:6" s="1225" customFormat="1" ht="17.25" customHeight="1">
      <c r="C1548" s="1225" t="s">
        <v>4447</v>
      </c>
      <c r="D1548" s="1225" t="s">
        <v>85</v>
      </c>
      <c r="F1548" s="1225">
        <v>-164</v>
      </c>
    </row>
    <row r="1549" spans="1:6" s="1225" customFormat="1" ht="17.25" customHeight="1">
      <c r="C1549" s="1225" t="s">
        <v>4448</v>
      </c>
      <c r="F1549" s="1225">
        <v>134.1</v>
      </c>
    </row>
    <row r="1550" spans="1:6" s="1225" customFormat="1" ht="17.25" customHeight="1">
      <c r="B1550" s="1225" t="s">
        <v>49</v>
      </c>
      <c r="C1550" s="1225" t="s">
        <v>1557</v>
      </c>
      <c r="F1550" s="1225">
        <v>0.39</v>
      </c>
    </row>
    <row r="1551" spans="1:6" s="1225" customFormat="1" ht="17.25" customHeight="1">
      <c r="C1551" s="1225" t="s">
        <v>767</v>
      </c>
      <c r="F1551" s="1225">
        <v>3414.8</v>
      </c>
    </row>
    <row r="1552" spans="1:6" s="1225" customFormat="1" ht="17.25" customHeight="1"/>
    <row r="1553" spans="1:6" s="1225" customFormat="1" ht="17.25" customHeight="1"/>
    <row r="1554" spans="1:6" s="1225" customFormat="1" ht="17.25" customHeight="1">
      <c r="A1554" s="1225" t="s">
        <v>1862</v>
      </c>
      <c r="B1554" s="1225" t="s">
        <v>111</v>
      </c>
      <c r="C1554" s="1225" t="s">
        <v>1854</v>
      </c>
    </row>
    <row r="1555" spans="1:6" s="1225" customFormat="1" ht="17.25" customHeight="1">
      <c r="C1555" s="1225" t="s">
        <v>1855</v>
      </c>
    </row>
    <row r="1556" spans="1:6" s="1225" customFormat="1" ht="17.25" customHeight="1">
      <c r="C1556" s="1225" t="s">
        <v>1856</v>
      </c>
    </row>
    <row r="1557" spans="1:6" s="1225" customFormat="1" ht="17.25" customHeight="1">
      <c r="C1557" s="1225" t="s">
        <v>1863</v>
      </c>
    </row>
    <row r="1558" spans="1:6" s="1225" customFormat="1" ht="17.25" customHeight="1">
      <c r="C1558" s="1225" t="s">
        <v>52</v>
      </c>
    </row>
    <row r="1559" spans="1:6" s="1225" customFormat="1" ht="17.25" customHeight="1">
      <c r="A1559" s="1225">
        <v>1</v>
      </c>
      <c r="B1559" s="1225" t="s">
        <v>131</v>
      </c>
      <c r="C1559" s="1225" t="s">
        <v>1858</v>
      </c>
      <c r="D1559" s="1225">
        <v>1201</v>
      </c>
      <c r="E1559" s="1225" t="s">
        <v>131</v>
      </c>
      <c r="F1559" s="1225">
        <v>1201</v>
      </c>
    </row>
    <row r="1560" spans="1:6" s="1225" customFormat="1" ht="17.25" customHeight="1">
      <c r="A1560" s="1225">
        <v>0.40500000000000003</v>
      </c>
      <c r="B1560" s="1225" t="s">
        <v>132</v>
      </c>
      <c r="C1560" s="1225" t="s">
        <v>4449</v>
      </c>
      <c r="D1560" s="1225">
        <v>3835.16</v>
      </c>
      <c r="E1560" s="1225" t="s">
        <v>132</v>
      </c>
      <c r="F1560" s="1225">
        <v>1553.24</v>
      </c>
    </row>
    <row r="1561" spans="1:6" s="1225" customFormat="1" ht="17.25" customHeight="1">
      <c r="C1561" s="1225" t="s">
        <v>1865</v>
      </c>
      <c r="D1561" s="1225" t="s">
        <v>85</v>
      </c>
      <c r="F1561" s="1225" t="s">
        <v>85</v>
      </c>
    </row>
    <row r="1562" spans="1:6" s="1225" customFormat="1" ht="17.25" customHeight="1">
      <c r="A1562" s="1225">
        <v>1.89</v>
      </c>
      <c r="B1562" s="1225" t="s">
        <v>425</v>
      </c>
      <c r="C1562" s="1225" t="s">
        <v>1866</v>
      </c>
      <c r="D1562" s="1225">
        <v>284.31</v>
      </c>
      <c r="E1562" s="1225" t="s">
        <v>425</v>
      </c>
      <c r="F1562" s="1225">
        <v>537.35</v>
      </c>
    </row>
    <row r="1563" spans="1:6" s="1225" customFormat="1" ht="17.25" customHeight="1">
      <c r="C1563" s="1225" t="s">
        <v>1867</v>
      </c>
      <c r="D1563" s="1225" t="s">
        <v>85</v>
      </c>
      <c r="F1563" s="1225" t="s">
        <v>85</v>
      </c>
    </row>
    <row r="1564" spans="1:6" s="1225" customFormat="1" ht="17.25" customHeight="1">
      <c r="A1564" s="1225">
        <v>0.08</v>
      </c>
      <c r="B1564" s="1225" t="s">
        <v>132</v>
      </c>
      <c r="C1564" s="1225" t="s">
        <v>1868</v>
      </c>
      <c r="D1564" s="1225">
        <v>4185.1899999999996</v>
      </c>
      <c r="E1564" s="1225" t="s">
        <v>132</v>
      </c>
      <c r="F1564" s="1225">
        <v>339</v>
      </c>
    </row>
    <row r="1565" spans="1:6" s="1225" customFormat="1" ht="17.25" customHeight="1">
      <c r="C1565" s="1225" t="s">
        <v>1869</v>
      </c>
    </row>
    <row r="1566" spans="1:6" s="1225" customFormat="1" ht="17.25" customHeight="1">
      <c r="A1566" s="1225">
        <v>1</v>
      </c>
      <c r="B1566" s="1225" t="s">
        <v>237</v>
      </c>
      <c r="C1566" s="1225" t="s">
        <v>1695</v>
      </c>
      <c r="D1566" s="1225">
        <v>903.1</v>
      </c>
      <c r="E1566" s="1225" t="s">
        <v>237</v>
      </c>
      <c r="F1566" s="1225">
        <v>903.1</v>
      </c>
    </row>
    <row r="1567" spans="1:6" s="1225" customFormat="1" ht="17.25" customHeight="1">
      <c r="A1567" s="1225">
        <v>0.5</v>
      </c>
      <c r="B1567" s="1225" t="s">
        <v>131</v>
      </c>
      <c r="C1567" s="1225" t="s">
        <v>302</v>
      </c>
      <c r="D1567" s="1225">
        <v>972.4</v>
      </c>
      <c r="E1567" s="1225" t="s">
        <v>131</v>
      </c>
      <c r="F1567" s="1225">
        <v>486.2</v>
      </c>
    </row>
    <row r="1568" spans="1:6" s="1225" customFormat="1" ht="17.25" customHeight="1">
      <c r="A1568" s="1225">
        <v>0.5</v>
      </c>
      <c r="B1568" s="1225" t="s">
        <v>131</v>
      </c>
      <c r="C1568" s="1225" t="s">
        <v>304</v>
      </c>
      <c r="D1568" s="1225">
        <v>679.8</v>
      </c>
      <c r="E1568" s="1225" t="s">
        <v>131</v>
      </c>
      <c r="F1568" s="1225">
        <v>339.9</v>
      </c>
    </row>
    <row r="1569" spans="1:6" s="1225" customFormat="1" ht="17.25" customHeight="1">
      <c r="C1569" s="1225" t="s">
        <v>4447</v>
      </c>
      <c r="D1569" s="1225" t="s">
        <v>85</v>
      </c>
      <c r="F1569" s="1225">
        <v>-164</v>
      </c>
    </row>
    <row r="1570" spans="1:6" s="1225" customFormat="1" ht="17.25" customHeight="1">
      <c r="C1570" s="1225" t="s">
        <v>4448</v>
      </c>
      <c r="F1570" s="1225">
        <v>134.1</v>
      </c>
    </row>
    <row r="1571" spans="1:6" s="1225" customFormat="1" ht="17.25" customHeight="1">
      <c r="B1571" s="1225" t="s">
        <v>49</v>
      </c>
      <c r="C1571" s="1225" t="s">
        <v>1557</v>
      </c>
      <c r="F1571" s="1225">
        <v>0.47</v>
      </c>
    </row>
    <row r="1572" spans="1:6" s="1225" customFormat="1" ht="17.25" customHeight="1">
      <c r="C1572" s="1225" t="s">
        <v>767</v>
      </c>
      <c r="F1572" s="1225">
        <v>5330.36</v>
      </c>
    </row>
    <row r="1573" spans="1:6" s="1225" customFormat="1" ht="17.25" customHeight="1"/>
    <row r="1574" spans="1:6" s="1225" customFormat="1" ht="17.25" customHeight="1"/>
    <row r="1575" spans="1:6" s="1225" customFormat="1" ht="17.25" customHeight="1">
      <c r="A1575" s="1225">
        <v>57</v>
      </c>
      <c r="B1575" s="1225" t="s">
        <v>111</v>
      </c>
      <c r="C1575" s="1225" t="s">
        <v>6450</v>
      </c>
    </row>
    <row r="1576" spans="1:6" s="1225" customFormat="1" ht="17.25" customHeight="1">
      <c r="C1576" s="1225" t="s">
        <v>1871</v>
      </c>
    </row>
    <row r="1577" spans="1:6" s="1225" customFormat="1" ht="17.25" customHeight="1">
      <c r="C1577" s="1225" t="s">
        <v>1872</v>
      </c>
    </row>
    <row r="1578" spans="1:6" s="1225" customFormat="1" ht="17.25" customHeight="1">
      <c r="C1578" s="1225" t="s">
        <v>52</v>
      </c>
    </row>
    <row r="1579" spans="1:6" s="1225" customFormat="1" ht="17.25" customHeight="1">
      <c r="A1579" s="1225">
        <v>1</v>
      </c>
      <c r="B1579" s="1225" t="s">
        <v>781</v>
      </c>
      <c r="C1579" s="1225" t="s">
        <v>1873</v>
      </c>
      <c r="D1579" s="1225">
        <v>3090</v>
      </c>
      <c r="E1579" s="1225" t="s">
        <v>781</v>
      </c>
      <c r="F1579" s="1225">
        <v>3090</v>
      </c>
    </row>
    <row r="1580" spans="1:6" s="1225" customFormat="1" ht="17.25" customHeight="1">
      <c r="C1580" s="1225" t="s">
        <v>1874</v>
      </c>
    </row>
    <row r="1581" spans="1:6" s="1225" customFormat="1" ht="17.25" customHeight="1">
      <c r="A1581" s="1225">
        <v>1</v>
      </c>
      <c r="B1581" s="1225" t="s">
        <v>131</v>
      </c>
      <c r="C1581" s="1225" t="s">
        <v>345</v>
      </c>
      <c r="D1581" s="1225">
        <v>1041.7</v>
      </c>
      <c r="E1581" s="1225" t="s">
        <v>131</v>
      </c>
      <c r="F1581" s="1225">
        <v>1041.7</v>
      </c>
    </row>
    <row r="1582" spans="1:6" s="1225" customFormat="1" ht="17.25" customHeight="1">
      <c r="A1582" s="1225">
        <v>2</v>
      </c>
      <c r="B1582" s="1225" t="s">
        <v>131</v>
      </c>
      <c r="C1582" s="1225" t="s">
        <v>1695</v>
      </c>
      <c r="D1582" s="1225">
        <v>903.1</v>
      </c>
      <c r="E1582" s="1225" t="s">
        <v>131</v>
      </c>
      <c r="F1582" s="1225">
        <v>1806.2</v>
      </c>
    </row>
    <row r="1583" spans="1:6" s="1225" customFormat="1" ht="17.25" customHeight="1">
      <c r="A1583" s="1225">
        <v>1</v>
      </c>
      <c r="B1583" s="1225" t="s">
        <v>131</v>
      </c>
      <c r="C1583" s="1225" t="s">
        <v>306</v>
      </c>
      <c r="D1583" s="1225">
        <v>557.70000000000005</v>
      </c>
      <c r="E1583" s="1225" t="s">
        <v>131</v>
      </c>
      <c r="F1583" s="1225">
        <v>557.70000000000005</v>
      </c>
    </row>
    <row r="1584" spans="1:6" s="1225" customFormat="1" ht="17.25" customHeight="1">
      <c r="C1584" s="1225" t="s">
        <v>1875</v>
      </c>
    </row>
    <row r="1585" spans="1:6" s="1225" customFormat="1" ht="17.25" customHeight="1">
      <c r="A1585" s="1225">
        <v>0.5</v>
      </c>
      <c r="B1585" s="1225" t="s">
        <v>131</v>
      </c>
      <c r="C1585" s="1225" t="s">
        <v>1695</v>
      </c>
      <c r="D1585" s="1225">
        <v>903.1</v>
      </c>
      <c r="E1585" s="1225" t="s">
        <v>131</v>
      </c>
      <c r="F1585" s="1225">
        <v>451.55</v>
      </c>
    </row>
    <row r="1586" spans="1:6" s="1225" customFormat="1" ht="17.25" customHeight="1">
      <c r="A1586" s="1225">
        <v>0.5</v>
      </c>
      <c r="B1586" s="1225" t="s">
        <v>131</v>
      </c>
      <c r="C1586" s="1225" t="s">
        <v>304</v>
      </c>
      <c r="D1586" s="1225">
        <v>679.8</v>
      </c>
      <c r="E1586" s="1225" t="s">
        <v>131</v>
      </c>
      <c r="F1586" s="1225">
        <v>339.9</v>
      </c>
    </row>
    <row r="1587" spans="1:6" s="1225" customFormat="1" ht="17.25" customHeight="1">
      <c r="C1587" s="1225" t="s">
        <v>4447</v>
      </c>
      <c r="D1587" s="1225">
        <v>0</v>
      </c>
      <c r="F1587" s="1225">
        <v>-164</v>
      </c>
    </row>
    <row r="1588" spans="1:6" s="1225" customFormat="1" ht="17.25" customHeight="1">
      <c r="C1588" s="1225" t="s">
        <v>4448</v>
      </c>
      <c r="F1588" s="1225">
        <v>134.1</v>
      </c>
    </row>
    <row r="1589" spans="1:6" s="1225" customFormat="1" ht="17.25" customHeight="1">
      <c r="B1589" s="1225" t="s">
        <v>145</v>
      </c>
      <c r="C1589" s="1225" t="s">
        <v>146</v>
      </c>
      <c r="E1589" s="1225" t="s">
        <v>145</v>
      </c>
      <c r="F1589" s="1225">
        <v>0.7</v>
      </c>
    </row>
    <row r="1590" spans="1:6" s="1225" customFormat="1" ht="17.25" customHeight="1">
      <c r="C1590" s="1225" t="s">
        <v>767</v>
      </c>
    </row>
    <row r="1591" spans="1:6" s="1225" customFormat="1" ht="17.25" customHeight="1">
      <c r="F1591" s="1225">
        <v>7257.85</v>
      </c>
    </row>
    <row r="1592" spans="1:6" s="1225" customFormat="1" ht="17.25" customHeight="1"/>
    <row r="1593" spans="1:6" s="1225" customFormat="1" ht="17.25" customHeight="1">
      <c r="C1593" s="1225" t="s">
        <v>2299</v>
      </c>
    </row>
    <row r="1594" spans="1:6" s="1225" customFormat="1" ht="17.25" customHeight="1">
      <c r="C1594" s="1225" t="s">
        <v>2301</v>
      </c>
    </row>
    <row r="1595" spans="1:6" s="1225" customFormat="1" ht="17.25" customHeight="1"/>
    <row r="1596" spans="1:6" s="1225" customFormat="1" ht="17.25" customHeight="1">
      <c r="C1596" s="1225" t="s">
        <v>2302</v>
      </c>
    </row>
    <row r="1597" spans="1:6" s="1225" customFormat="1" ht="17.25" customHeight="1"/>
    <row r="1598" spans="1:6" s="1225" customFormat="1" ht="17.25" customHeight="1">
      <c r="C1598" s="1225" t="s">
        <v>2303</v>
      </c>
    </row>
    <row r="1599" spans="1:6" s="1225" customFormat="1" ht="17.25" customHeight="1">
      <c r="A1599" s="1225">
        <v>90</v>
      </c>
      <c r="B1599" s="1225" t="s">
        <v>13</v>
      </c>
      <c r="C1599" s="1225" t="s">
        <v>2305</v>
      </c>
      <c r="D1599" s="1225">
        <v>16.55</v>
      </c>
      <c r="E1599" s="1225" t="s">
        <v>2306</v>
      </c>
      <c r="F1599" s="1225">
        <v>1489.5</v>
      </c>
    </row>
    <row r="1600" spans="1:6" s="1225" customFormat="1" ht="17.25" customHeight="1">
      <c r="A1600" s="1225">
        <v>45</v>
      </c>
      <c r="B1600" s="1225" t="s">
        <v>13</v>
      </c>
      <c r="C1600" s="1225" t="s">
        <v>2307</v>
      </c>
      <c r="D1600" s="1225">
        <v>20</v>
      </c>
      <c r="E1600" s="1225" t="s">
        <v>2308</v>
      </c>
      <c r="F1600" s="1225">
        <v>900</v>
      </c>
    </row>
    <row r="1601" spans="1:6" s="1225" customFormat="1" ht="17.25" customHeight="1">
      <c r="A1601" s="1225">
        <v>20</v>
      </c>
      <c r="B1601" s="1225" t="s">
        <v>1034</v>
      </c>
      <c r="C1601" s="1225" t="s">
        <v>2309</v>
      </c>
      <c r="D1601" s="1225">
        <v>3.15</v>
      </c>
      <c r="E1601" s="1225" t="s">
        <v>1034</v>
      </c>
      <c r="F1601" s="1225">
        <v>63</v>
      </c>
    </row>
    <row r="1602" spans="1:6" s="1225" customFormat="1" ht="17.25" customHeight="1">
      <c r="A1602" s="1225">
        <v>10</v>
      </c>
      <c r="B1602" s="1225" t="s">
        <v>1034</v>
      </c>
      <c r="C1602" s="1225" t="s">
        <v>2310</v>
      </c>
      <c r="D1602" s="1225">
        <v>1.34</v>
      </c>
      <c r="E1602" s="1225" t="s">
        <v>1034</v>
      </c>
      <c r="F1602" s="1225">
        <v>13.4</v>
      </c>
    </row>
    <row r="1603" spans="1:6" s="1225" customFormat="1" ht="17.25" customHeight="1">
      <c r="A1603" s="1225">
        <v>1</v>
      </c>
      <c r="B1603" s="1225" t="s">
        <v>1034</v>
      </c>
      <c r="C1603" s="1225" t="s">
        <v>2312</v>
      </c>
      <c r="D1603" s="1225">
        <v>58</v>
      </c>
      <c r="E1603" s="1225" t="s">
        <v>1034</v>
      </c>
      <c r="F1603" s="1225">
        <v>58</v>
      </c>
    </row>
    <row r="1604" spans="1:6" s="1225" customFormat="1" ht="17.25" customHeight="1"/>
    <row r="1605" spans="1:6" s="1225" customFormat="1" ht="17.25" customHeight="1">
      <c r="A1605" s="1225">
        <v>1.4999999999999999E-2</v>
      </c>
      <c r="B1605" s="1225" t="s">
        <v>724</v>
      </c>
      <c r="C1605" s="1225" t="s">
        <v>2316</v>
      </c>
      <c r="D1605" s="1225">
        <v>661</v>
      </c>
      <c r="E1605" s="1225" t="s">
        <v>724</v>
      </c>
      <c r="F1605" s="1225">
        <v>9.92</v>
      </c>
    </row>
    <row r="1606" spans="1:6" s="1225" customFormat="1" ht="17.25" customHeight="1">
      <c r="A1606" s="1225">
        <v>10</v>
      </c>
      <c r="B1606" s="1225" t="s">
        <v>1034</v>
      </c>
      <c r="C1606" s="1225" t="s">
        <v>2318</v>
      </c>
      <c r="D1606" s="1225">
        <v>16.21</v>
      </c>
      <c r="E1606" s="1225" t="s">
        <v>1034</v>
      </c>
      <c r="F1606" s="1225">
        <v>162.1</v>
      </c>
    </row>
    <row r="1607" spans="1:6" s="1225" customFormat="1" ht="17.25" customHeight="1">
      <c r="A1607" s="1225">
        <v>10</v>
      </c>
      <c r="B1607" s="1225" t="s">
        <v>1034</v>
      </c>
      <c r="C1607" s="1225" t="s">
        <v>2320</v>
      </c>
      <c r="D1607" s="1225">
        <v>13.8</v>
      </c>
      <c r="E1607" s="1225" t="s">
        <v>1034</v>
      </c>
      <c r="F1607" s="1225">
        <v>138</v>
      </c>
    </row>
    <row r="1608" spans="1:6" s="1225" customFormat="1" ht="17.25" customHeight="1">
      <c r="A1608" s="1225">
        <v>10</v>
      </c>
      <c r="B1608" s="1225" t="s">
        <v>1034</v>
      </c>
      <c r="C1608" s="1225" t="s">
        <v>2322</v>
      </c>
      <c r="D1608" s="1225">
        <v>3.6</v>
      </c>
      <c r="E1608" s="1225" t="s">
        <v>1034</v>
      </c>
      <c r="F1608" s="1225">
        <v>36</v>
      </c>
    </row>
    <row r="1609" spans="1:6" s="1225" customFormat="1" ht="17.25" customHeight="1">
      <c r="A1609" s="1225">
        <v>1.25</v>
      </c>
      <c r="B1609" s="1225" t="s">
        <v>2324</v>
      </c>
      <c r="C1609" s="1225" t="s">
        <v>38</v>
      </c>
      <c r="D1609" s="1225">
        <v>302</v>
      </c>
      <c r="E1609" s="1225" t="s">
        <v>2324</v>
      </c>
      <c r="F1609" s="1225">
        <v>377.5</v>
      </c>
    </row>
    <row r="1610" spans="1:6" s="1225" customFormat="1" ht="17.25" customHeight="1">
      <c r="A1610" s="1225">
        <v>10</v>
      </c>
      <c r="B1610" s="1225" t="s">
        <v>1034</v>
      </c>
      <c r="C1610" s="1225" t="s">
        <v>2312</v>
      </c>
      <c r="D1610" s="1225">
        <v>58</v>
      </c>
      <c r="E1610" s="1225" t="s">
        <v>1034</v>
      </c>
      <c r="F1610" s="1225">
        <v>580</v>
      </c>
    </row>
    <row r="1611" spans="1:6" s="1225" customFormat="1" ht="17.25" customHeight="1">
      <c r="A1611" s="1225">
        <v>0.15</v>
      </c>
      <c r="B1611" s="1225" t="s">
        <v>724</v>
      </c>
      <c r="C1611" s="1225" t="s">
        <v>2316</v>
      </c>
      <c r="D1611" s="1225">
        <v>661</v>
      </c>
      <c r="E1611" s="1225" t="s">
        <v>724</v>
      </c>
      <c r="F1611" s="1225">
        <v>99.15</v>
      </c>
    </row>
    <row r="1612" spans="1:6" s="1225" customFormat="1" ht="17.25" customHeight="1">
      <c r="A1612" s="1225">
        <v>45</v>
      </c>
      <c r="B1612" s="1225" t="s">
        <v>13</v>
      </c>
      <c r="C1612" s="1225" t="s">
        <v>2329</v>
      </c>
      <c r="D1612" s="1225">
        <v>16.55</v>
      </c>
      <c r="E1612" s="1225" t="s">
        <v>2330</v>
      </c>
      <c r="F1612" s="1225">
        <v>744.75</v>
      </c>
    </row>
    <row r="1613" spans="1:6" s="1225" customFormat="1" ht="17.25" customHeight="1">
      <c r="A1613" s="1225" t="s">
        <v>49</v>
      </c>
      <c r="C1613" s="1225" t="s">
        <v>478</v>
      </c>
      <c r="E1613" s="1225" t="s">
        <v>49</v>
      </c>
      <c r="F1613" s="1225">
        <v>11454</v>
      </c>
    </row>
    <row r="1614" spans="1:6" s="1225" customFormat="1" ht="17.25" customHeight="1">
      <c r="A1614" s="1225" t="s">
        <v>49</v>
      </c>
      <c r="C1614" s="1225" t="s">
        <v>1557</v>
      </c>
      <c r="E1614" s="1225" t="s">
        <v>49</v>
      </c>
      <c r="F1614" s="1225">
        <v>40.6</v>
      </c>
    </row>
    <row r="1615" spans="1:6" s="1225" customFormat="1" ht="17.25" customHeight="1">
      <c r="C1615" s="1225" t="s">
        <v>2334</v>
      </c>
      <c r="F1615" s="1225">
        <v>16165.92</v>
      </c>
    </row>
    <row r="1616" spans="1:6" s="1225" customFormat="1" ht="17.25" customHeight="1">
      <c r="C1616" s="1225" t="s">
        <v>2336</v>
      </c>
      <c r="F1616" s="1225">
        <v>1616.59</v>
      </c>
    </row>
    <row r="1617" spans="3:5" s="1225" customFormat="1" ht="17.25" customHeight="1"/>
    <row r="1618" spans="3:5" s="1225" customFormat="1" ht="17.25" customHeight="1">
      <c r="C1618" s="1225" t="s">
        <v>2345</v>
      </c>
    </row>
    <row r="1619" spans="3:5" s="1225" customFormat="1" ht="17.25" customHeight="1">
      <c r="C1619" s="1225" t="s">
        <v>2347</v>
      </c>
    </row>
    <row r="1620" spans="3:5" s="1225" customFormat="1" ht="17.25" customHeight="1"/>
    <row r="1621" spans="3:5" s="1225" customFormat="1" ht="17.25" customHeight="1">
      <c r="C1621" s="1225" t="s">
        <v>2349</v>
      </c>
    </row>
    <row r="1622" spans="3:5" s="1225" customFormat="1" ht="17.25" customHeight="1">
      <c r="C1622" s="1225" t="s">
        <v>2351</v>
      </c>
      <c r="E1622" s="1225">
        <v>16125.32</v>
      </c>
    </row>
    <row r="1623" spans="3:5" s="1225" customFormat="1" ht="17.25" customHeight="1">
      <c r="C1623" s="1225" t="s">
        <v>2352</v>
      </c>
      <c r="E1623" s="1225">
        <v>138</v>
      </c>
    </row>
    <row r="1624" spans="3:5" s="1225" customFormat="1" ht="17.25" customHeight="1">
      <c r="C1624" s="1225" t="s">
        <v>2353</v>
      </c>
      <c r="E1624" s="1225">
        <v>166.5</v>
      </c>
    </row>
    <row r="1625" spans="3:5" s="1225" customFormat="1" ht="17.25" customHeight="1">
      <c r="C1625" s="1225" t="s">
        <v>1557</v>
      </c>
      <c r="E1625" s="1225">
        <v>43.1</v>
      </c>
    </row>
    <row r="1626" spans="3:5" s="1225" customFormat="1" ht="17.25" customHeight="1">
      <c r="C1626" s="1225" t="s">
        <v>2355</v>
      </c>
      <c r="E1626" s="1225">
        <v>16196.92</v>
      </c>
    </row>
    <row r="1627" spans="3:5" s="1225" customFormat="1" ht="17.25" customHeight="1">
      <c r="C1627" s="1225" t="s">
        <v>2356</v>
      </c>
      <c r="E1627" s="1225">
        <v>1619.69</v>
      </c>
    </row>
    <row r="1628" spans="3:5" s="1225" customFormat="1" ht="17.25" customHeight="1"/>
    <row r="1629" spans="3:5" s="1225" customFormat="1" ht="17.25" customHeight="1"/>
    <row r="1630" spans="3:5" s="1225" customFormat="1" ht="17.25" customHeight="1">
      <c r="C1630" s="1225" t="s">
        <v>2357</v>
      </c>
    </row>
    <row r="1631" spans="3:5" s="1225" customFormat="1" ht="17.25" customHeight="1">
      <c r="C1631" s="1225" t="s">
        <v>2358</v>
      </c>
    </row>
    <row r="1632" spans="3:5" s="1225" customFormat="1" ht="17.25" customHeight="1"/>
    <row r="1633" spans="3:6" s="1225" customFormat="1" ht="17.25" customHeight="1">
      <c r="C1633" s="1225" t="s">
        <v>2359</v>
      </c>
    </row>
    <row r="1634" spans="3:6" s="1225" customFormat="1" ht="17.25" customHeight="1">
      <c r="C1634" s="1225" t="s">
        <v>2361</v>
      </c>
      <c r="F1634" s="1225">
        <v>16125.32</v>
      </c>
    </row>
    <row r="1635" spans="3:6" s="1225" customFormat="1" ht="17.25" customHeight="1">
      <c r="C1635" s="1225" t="s">
        <v>2362</v>
      </c>
      <c r="F1635" s="1225">
        <v>138</v>
      </c>
    </row>
    <row r="1636" spans="3:6" s="1225" customFormat="1" ht="17.25" customHeight="1">
      <c r="C1636" s="1225" t="s">
        <v>2363</v>
      </c>
      <c r="F1636" s="1225">
        <v>36</v>
      </c>
    </row>
    <row r="1637" spans="3:6" s="1225" customFormat="1" ht="17.25" customHeight="1">
      <c r="C1637" s="1225" t="s">
        <v>2364</v>
      </c>
      <c r="F1637" s="1225">
        <v>162.1</v>
      </c>
    </row>
    <row r="1638" spans="3:6" s="1225" customFormat="1" ht="17.25" customHeight="1">
      <c r="C1638" s="1225" t="s">
        <v>2365</v>
      </c>
      <c r="F1638" s="1225">
        <v>417</v>
      </c>
    </row>
    <row r="1639" spans="3:6" s="1225" customFormat="1" ht="17.25" customHeight="1">
      <c r="C1639" s="1225" t="s">
        <v>2366</v>
      </c>
      <c r="F1639" s="1225">
        <v>90</v>
      </c>
    </row>
    <row r="1640" spans="3:6" s="1225" customFormat="1" ht="17.25" customHeight="1">
      <c r="C1640" s="1225" t="s">
        <v>2367</v>
      </c>
      <c r="F1640" s="1225">
        <v>165</v>
      </c>
    </row>
    <row r="1641" spans="3:6" s="1225" customFormat="1" ht="17.25" customHeight="1">
      <c r="C1641" s="1225" t="s">
        <v>1557</v>
      </c>
      <c r="F1641" s="1225">
        <v>32.200000000000003</v>
      </c>
    </row>
    <row r="1642" spans="3:6" s="1225" customFormat="1" ht="17.25" customHeight="1">
      <c r="C1642" s="1225" t="s">
        <v>2355</v>
      </c>
      <c r="F1642" s="1225">
        <v>16493.419999999998</v>
      </c>
    </row>
    <row r="1643" spans="3:6" s="1225" customFormat="1" ht="17.25" customHeight="1">
      <c r="C1643" s="1225" t="s">
        <v>2368</v>
      </c>
      <c r="F1643" s="1225">
        <v>1649.34</v>
      </c>
    </row>
    <row r="1644" spans="3:6" s="1225" customFormat="1" ht="17.25" customHeight="1"/>
    <row r="1645" spans="3:6" s="1225" customFormat="1" ht="17.25" customHeight="1"/>
    <row r="1646" spans="3:6" s="1225" customFormat="1" ht="17.25" customHeight="1">
      <c r="C1646" s="1225" t="s">
        <v>2369</v>
      </c>
    </row>
    <row r="1647" spans="3:6" s="1225" customFormat="1" ht="17.25" customHeight="1">
      <c r="C1647" s="1225" t="s">
        <v>2370</v>
      </c>
    </row>
    <row r="1648" spans="3:6" s="1225" customFormat="1" ht="17.25" customHeight="1">
      <c r="C1648" s="1225" t="s">
        <v>2371</v>
      </c>
    </row>
    <row r="1649" spans="1:6" s="1225" customFormat="1" ht="17.25" customHeight="1"/>
    <row r="1650" spans="1:6" s="1225" customFormat="1" ht="17.25" customHeight="1">
      <c r="A1650" s="1225">
        <v>90</v>
      </c>
      <c r="B1650" s="1225" t="s">
        <v>13</v>
      </c>
      <c r="C1650" s="1225" t="s">
        <v>2305</v>
      </c>
      <c r="D1650" s="1225">
        <v>16.55</v>
      </c>
      <c r="E1650" s="1225" t="s">
        <v>2330</v>
      </c>
      <c r="F1650" s="1225">
        <v>1489.5</v>
      </c>
    </row>
    <row r="1651" spans="1:6" s="1225" customFormat="1" ht="17.25" customHeight="1">
      <c r="A1651" s="1225">
        <v>45</v>
      </c>
      <c r="B1651" s="1225" t="s">
        <v>13</v>
      </c>
      <c r="C1651" s="1225" t="s">
        <v>2307</v>
      </c>
      <c r="D1651" s="1225">
        <v>20</v>
      </c>
      <c r="E1651" s="1225" t="s">
        <v>13</v>
      </c>
      <c r="F1651" s="1225">
        <v>900</v>
      </c>
    </row>
    <row r="1652" spans="1:6" s="1225" customFormat="1" ht="17.25" customHeight="1">
      <c r="A1652" s="1225">
        <v>20</v>
      </c>
      <c r="B1652" s="1225" t="s">
        <v>1034</v>
      </c>
      <c r="C1652" s="1225" t="s">
        <v>2309</v>
      </c>
      <c r="D1652" s="1225">
        <v>3.15</v>
      </c>
      <c r="E1652" s="1225" t="s">
        <v>1034</v>
      </c>
      <c r="F1652" s="1225">
        <v>63</v>
      </c>
    </row>
    <row r="1653" spans="1:6" s="1225" customFormat="1" ht="17.25" customHeight="1">
      <c r="A1653" s="1225">
        <v>10</v>
      </c>
      <c r="B1653" s="1225" t="s">
        <v>1034</v>
      </c>
      <c r="C1653" s="1225" t="s">
        <v>2310</v>
      </c>
      <c r="D1653" s="1225">
        <v>1.34</v>
      </c>
      <c r="E1653" s="1225" t="s">
        <v>1034</v>
      </c>
      <c r="F1653" s="1225">
        <v>13.4</v>
      </c>
    </row>
    <row r="1654" spans="1:6" s="1225" customFormat="1" ht="17.25" customHeight="1">
      <c r="A1654" s="1225">
        <v>10</v>
      </c>
      <c r="B1654" s="1225" t="s">
        <v>1034</v>
      </c>
      <c r="C1654" s="1225" t="s">
        <v>2322</v>
      </c>
      <c r="D1654" s="1225">
        <v>3.6</v>
      </c>
      <c r="E1654" s="1225" t="s">
        <v>1034</v>
      </c>
      <c r="F1654" s="1225">
        <v>36</v>
      </c>
    </row>
    <row r="1655" spans="1:6" s="1225" customFormat="1" ht="17.25" customHeight="1">
      <c r="A1655" s="1225">
        <v>10</v>
      </c>
      <c r="B1655" s="1225" t="s">
        <v>1034</v>
      </c>
      <c r="C1655" s="1225" t="s">
        <v>2320</v>
      </c>
      <c r="D1655" s="1225">
        <v>13.8</v>
      </c>
      <c r="E1655" s="1225" t="s">
        <v>1034</v>
      </c>
      <c r="F1655" s="1225">
        <v>138</v>
      </c>
    </row>
    <row r="1656" spans="1:6" s="1225" customFormat="1" ht="17.25" customHeight="1">
      <c r="A1656" s="1225">
        <v>10</v>
      </c>
      <c r="B1656" s="1225" t="s">
        <v>1034</v>
      </c>
      <c r="C1656" s="1225" t="s">
        <v>2318</v>
      </c>
      <c r="D1656" s="1225">
        <v>16.21</v>
      </c>
      <c r="E1656" s="1225" t="s">
        <v>1034</v>
      </c>
      <c r="F1656" s="1225">
        <v>162.1</v>
      </c>
    </row>
    <row r="1657" spans="1:6" s="1225" customFormat="1" ht="17.25" customHeight="1">
      <c r="A1657" s="1225">
        <v>10</v>
      </c>
      <c r="B1657" s="1225" t="s">
        <v>1034</v>
      </c>
      <c r="C1657" s="1225" t="s">
        <v>2372</v>
      </c>
      <c r="D1657" s="1225">
        <v>85</v>
      </c>
      <c r="E1657" s="1225" t="s">
        <v>1034</v>
      </c>
      <c r="F1657" s="1225">
        <v>850</v>
      </c>
    </row>
    <row r="1658" spans="1:6" s="1225" customFormat="1" ht="17.25" customHeight="1">
      <c r="A1658" s="1225">
        <v>0.6</v>
      </c>
      <c r="B1658" s="1225" t="s">
        <v>724</v>
      </c>
      <c r="C1658" s="1225" t="s">
        <v>2373</v>
      </c>
      <c r="D1658" s="1225">
        <v>661</v>
      </c>
      <c r="E1658" s="1225" t="s">
        <v>724</v>
      </c>
      <c r="F1658" s="1225">
        <v>396.6</v>
      </c>
    </row>
    <row r="1659" spans="1:6" s="1225" customFormat="1" ht="17.25" customHeight="1">
      <c r="A1659" s="1225">
        <v>1</v>
      </c>
      <c r="B1659" s="1225" t="s">
        <v>1034</v>
      </c>
      <c r="C1659" s="1225" t="s">
        <v>2312</v>
      </c>
      <c r="D1659" s="1225">
        <v>58</v>
      </c>
      <c r="E1659" s="1225" t="s">
        <v>1034</v>
      </c>
      <c r="F1659" s="1225">
        <v>58</v>
      </c>
    </row>
    <row r="1660" spans="1:6" s="1225" customFormat="1" ht="17.25" customHeight="1">
      <c r="A1660" s="1225">
        <v>1.4999999999999999E-2</v>
      </c>
      <c r="B1660" s="1225" t="s">
        <v>724</v>
      </c>
      <c r="C1660" s="1225" t="s">
        <v>2316</v>
      </c>
      <c r="D1660" s="1225">
        <v>661</v>
      </c>
      <c r="E1660" s="1225" t="s">
        <v>724</v>
      </c>
      <c r="F1660" s="1225">
        <v>9.92</v>
      </c>
    </row>
    <row r="1661" spans="1:6" s="1225" customFormat="1" ht="17.25" customHeight="1">
      <c r="A1661" s="1225">
        <v>1.25</v>
      </c>
      <c r="B1661" s="1225" t="s">
        <v>2324</v>
      </c>
      <c r="C1661" s="1225" t="s">
        <v>38</v>
      </c>
      <c r="D1661" s="1225">
        <v>302</v>
      </c>
      <c r="E1661" s="1225" t="s">
        <v>2324</v>
      </c>
      <c r="F1661" s="1225">
        <v>377.5</v>
      </c>
    </row>
    <row r="1662" spans="1:6" s="1225" customFormat="1" ht="17.25" customHeight="1">
      <c r="A1662" s="1225">
        <v>45</v>
      </c>
      <c r="B1662" s="1225" t="s">
        <v>13</v>
      </c>
      <c r="C1662" s="1225" t="s">
        <v>2329</v>
      </c>
      <c r="D1662" s="1225">
        <v>16.55</v>
      </c>
      <c r="E1662" s="1225" t="s">
        <v>2330</v>
      </c>
      <c r="F1662" s="1225">
        <v>744.75</v>
      </c>
    </row>
    <row r="1663" spans="1:6" s="1225" customFormat="1" ht="17.25" customHeight="1">
      <c r="A1663" s="1225" t="s">
        <v>49</v>
      </c>
      <c r="C1663" s="1225" t="s">
        <v>478</v>
      </c>
      <c r="F1663" s="1225">
        <v>11454</v>
      </c>
    </row>
    <row r="1664" spans="1:6" s="1225" customFormat="1" ht="17.25" customHeight="1">
      <c r="A1664" s="1225" t="s">
        <v>49</v>
      </c>
      <c r="C1664" s="1225" t="s">
        <v>1557</v>
      </c>
      <c r="F1664" s="1225">
        <v>27.25</v>
      </c>
    </row>
    <row r="1665" spans="1:6" s="1225" customFormat="1" ht="17.25" customHeight="1">
      <c r="C1665" s="1225" t="s">
        <v>2355</v>
      </c>
      <c r="F1665" s="1225">
        <v>16720.02</v>
      </c>
    </row>
    <row r="1666" spans="1:6" s="1225" customFormat="1" ht="17.25" customHeight="1">
      <c r="C1666" s="1225" t="s">
        <v>2368</v>
      </c>
      <c r="F1666" s="1225">
        <v>1672</v>
      </c>
    </row>
    <row r="1667" spans="1:6" s="1225" customFormat="1" ht="17.25" customHeight="1"/>
    <row r="1668" spans="1:6" s="1225" customFormat="1" ht="17.25" customHeight="1">
      <c r="C1668" s="1225" t="s">
        <v>2378</v>
      </c>
    </row>
    <row r="1669" spans="1:6" s="1225" customFormat="1" ht="17.25" customHeight="1">
      <c r="C1669" s="1225" t="s">
        <v>2379</v>
      </c>
    </row>
    <row r="1670" spans="1:6" s="1225" customFormat="1" ht="17.25" customHeight="1">
      <c r="C1670" s="1225" t="s">
        <v>2380</v>
      </c>
    </row>
    <row r="1671" spans="1:6" s="1225" customFormat="1" ht="17.25" customHeight="1">
      <c r="A1671" s="1225">
        <v>90</v>
      </c>
      <c r="B1671" s="1225" t="s">
        <v>13</v>
      </c>
      <c r="C1671" s="1225" t="s">
        <v>2305</v>
      </c>
      <c r="D1671" s="1225">
        <v>16.55</v>
      </c>
      <c r="E1671" s="1225" t="s">
        <v>2306</v>
      </c>
      <c r="F1671" s="1225">
        <v>1489.5</v>
      </c>
    </row>
    <row r="1672" spans="1:6" s="1225" customFormat="1" ht="17.25" customHeight="1">
      <c r="A1672" s="1225">
        <v>30</v>
      </c>
      <c r="B1672" s="1225" t="s">
        <v>13</v>
      </c>
      <c r="C1672" s="1225" t="s">
        <v>2307</v>
      </c>
      <c r="D1672" s="1225">
        <v>20</v>
      </c>
      <c r="E1672" s="1225" t="s">
        <v>13</v>
      </c>
      <c r="F1672" s="1225">
        <v>600</v>
      </c>
    </row>
    <row r="1673" spans="1:6" s="1225" customFormat="1" ht="17.25" customHeight="1">
      <c r="A1673" s="1225">
        <v>10</v>
      </c>
      <c r="B1673" s="1225" t="s">
        <v>1034</v>
      </c>
      <c r="C1673" s="1225" t="s">
        <v>2309</v>
      </c>
      <c r="D1673" s="1225">
        <v>3.15</v>
      </c>
      <c r="E1673" s="1225" t="s">
        <v>1034</v>
      </c>
      <c r="F1673" s="1225">
        <v>31.5</v>
      </c>
    </row>
    <row r="1674" spans="1:6" s="1225" customFormat="1" ht="17.25" customHeight="1">
      <c r="A1674" s="1225">
        <v>5</v>
      </c>
      <c r="B1674" s="1225" t="s">
        <v>1034</v>
      </c>
      <c r="C1674" s="1225" t="s">
        <v>2310</v>
      </c>
      <c r="D1674" s="1225">
        <v>1.34</v>
      </c>
      <c r="E1674" s="1225" t="s">
        <v>1034</v>
      </c>
      <c r="F1674" s="1225">
        <v>6.7</v>
      </c>
    </row>
    <row r="1675" spans="1:6" s="1225" customFormat="1" ht="17.25" customHeight="1">
      <c r="A1675" s="1225">
        <v>10</v>
      </c>
      <c r="B1675" s="1225" t="s">
        <v>1034</v>
      </c>
      <c r="C1675" s="1225" t="s">
        <v>2381</v>
      </c>
      <c r="D1675" s="1225">
        <v>19.75</v>
      </c>
      <c r="E1675" s="1225" t="s">
        <v>1034</v>
      </c>
      <c r="F1675" s="1225">
        <v>197.5</v>
      </c>
    </row>
    <row r="1676" spans="1:6" s="1225" customFormat="1" ht="17.25" customHeight="1">
      <c r="A1676" s="1225">
        <v>5</v>
      </c>
      <c r="B1676" s="1225" t="s">
        <v>1034</v>
      </c>
      <c r="C1676" s="1225" t="s">
        <v>2320</v>
      </c>
      <c r="D1676" s="1225">
        <v>13.8</v>
      </c>
      <c r="E1676" s="1225" t="s">
        <v>1034</v>
      </c>
      <c r="F1676" s="1225">
        <v>69</v>
      </c>
    </row>
    <row r="1677" spans="1:6" s="1225" customFormat="1" ht="17.25" customHeight="1">
      <c r="A1677" s="1225">
        <v>5</v>
      </c>
      <c r="B1677" s="1225" t="s">
        <v>1034</v>
      </c>
      <c r="C1677" s="1225" t="s">
        <v>2322</v>
      </c>
      <c r="D1677" s="1225">
        <v>3.6</v>
      </c>
      <c r="E1677" s="1225" t="s">
        <v>1034</v>
      </c>
      <c r="F1677" s="1225">
        <v>18</v>
      </c>
    </row>
    <row r="1678" spans="1:6" s="1225" customFormat="1" ht="17.25" customHeight="1">
      <c r="A1678" s="1225">
        <v>6</v>
      </c>
      <c r="B1678" s="1225" t="s">
        <v>1034</v>
      </c>
      <c r="C1678" s="1225" t="s">
        <v>2312</v>
      </c>
      <c r="D1678" s="1225">
        <v>58</v>
      </c>
      <c r="E1678" s="1225" t="s">
        <v>1034</v>
      </c>
      <c r="F1678" s="1225">
        <v>348</v>
      </c>
    </row>
    <row r="1679" spans="1:6" s="1225" customFormat="1" ht="17.25" customHeight="1">
      <c r="A1679" s="1225">
        <v>0.09</v>
      </c>
      <c r="B1679" s="1225" t="s">
        <v>724</v>
      </c>
      <c r="C1679" s="1225" t="s">
        <v>2316</v>
      </c>
      <c r="D1679" s="1225">
        <v>661</v>
      </c>
      <c r="E1679" s="1225" t="s">
        <v>724</v>
      </c>
      <c r="F1679" s="1225">
        <v>59.49</v>
      </c>
    </row>
    <row r="1680" spans="1:6" s="1225" customFormat="1" ht="17.25" customHeight="1">
      <c r="A1680" s="1225">
        <v>1.25</v>
      </c>
      <c r="B1680" s="1225" t="s">
        <v>2324</v>
      </c>
      <c r="C1680" s="1225" t="s">
        <v>38</v>
      </c>
      <c r="D1680" s="1225">
        <v>302</v>
      </c>
      <c r="E1680" s="1225" t="s">
        <v>2324</v>
      </c>
      <c r="F1680" s="1225">
        <v>377.5</v>
      </c>
    </row>
    <row r="1681" spans="1:6" s="1225" customFormat="1" ht="17.25" customHeight="1">
      <c r="A1681" s="1225">
        <v>30</v>
      </c>
      <c r="B1681" s="1225" t="s">
        <v>13</v>
      </c>
      <c r="C1681" s="1225" t="s">
        <v>2329</v>
      </c>
      <c r="D1681" s="1225">
        <v>16.55</v>
      </c>
      <c r="E1681" s="1225" t="s">
        <v>2330</v>
      </c>
      <c r="F1681" s="1225">
        <v>496.5</v>
      </c>
    </row>
    <row r="1682" spans="1:6" s="1225" customFormat="1" ht="17.25" customHeight="1">
      <c r="C1682" s="1225" t="s">
        <v>478</v>
      </c>
      <c r="F1682" s="1225">
        <v>11454</v>
      </c>
    </row>
    <row r="1683" spans="1:6" s="1225" customFormat="1" ht="17.25" customHeight="1">
      <c r="C1683" s="1225" t="s">
        <v>1557</v>
      </c>
      <c r="F1683" s="1225">
        <v>24.28</v>
      </c>
    </row>
    <row r="1684" spans="1:6" s="1225" customFormat="1" ht="17.25" customHeight="1">
      <c r="C1684" s="1225" t="s">
        <v>2382</v>
      </c>
      <c r="F1684" s="1225">
        <v>15171.97</v>
      </c>
    </row>
    <row r="1685" spans="1:6" s="1225" customFormat="1" ht="17.25" customHeight="1">
      <c r="C1685" s="1225" t="s">
        <v>2368</v>
      </c>
      <c r="F1685" s="1225">
        <v>3034.39</v>
      </c>
    </row>
    <row r="1686" spans="1:6" s="1225" customFormat="1" ht="17.25" customHeight="1"/>
    <row r="1687" spans="1:6" s="1225" customFormat="1" ht="17.25" customHeight="1"/>
    <row r="1688" spans="1:6" s="1225" customFormat="1" ht="17.25" customHeight="1">
      <c r="C1688" s="1225" t="s">
        <v>2390</v>
      </c>
    </row>
    <row r="1689" spans="1:6" s="1225" customFormat="1" ht="17.25" customHeight="1">
      <c r="C1689" s="1225" t="s">
        <v>2391</v>
      </c>
    </row>
    <row r="1690" spans="1:6" s="1225" customFormat="1" ht="17.25" customHeight="1"/>
    <row r="1691" spans="1:6" s="1225" customFormat="1" ht="17.25" customHeight="1">
      <c r="C1691" s="1225" t="s">
        <v>2392</v>
      </c>
    </row>
    <row r="1692" spans="1:6" s="1225" customFormat="1" ht="17.25" customHeight="1"/>
    <row r="1693" spans="1:6" s="1225" customFormat="1" ht="17.25" customHeight="1">
      <c r="A1693" s="1225">
        <v>5</v>
      </c>
      <c r="B1693" s="1225" t="s">
        <v>13</v>
      </c>
      <c r="C1693" s="1225" t="s">
        <v>2311</v>
      </c>
      <c r="D1693" s="1225">
        <v>16.55</v>
      </c>
      <c r="E1693" s="1225" t="s">
        <v>2308</v>
      </c>
      <c r="F1693" s="1225">
        <v>82.75</v>
      </c>
    </row>
    <row r="1694" spans="1:6" s="1225" customFormat="1" ht="17.25" customHeight="1">
      <c r="A1694" s="1225">
        <v>2.5</v>
      </c>
      <c r="B1694" s="1225" t="s">
        <v>13</v>
      </c>
      <c r="C1694" s="1225" t="s">
        <v>2313</v>
      </c>
      <c r="D1694" s="1225">
        <v>20</v>
      </c>
      <c r="E1694" s="1225" t="s">
        <v>13</v>
      </c>
      <c r="F1694" s="1225">
        <v>50</v>
      </c>
    </row>
    <row r="1695" spans="1:6" s="1225" customFormat="1" ht="17.25" customHeight="1">
      <c r="A1695" s="1225">
        <v>1</v>
      </c>
      <c r="B1695" s="1225" t="s">
        <v>1034</v>
      </c>
      <c r="C1695" s="1225" t="s">
        <v>2393</v>
      </c>
      <c r="D1695" s="1225">
        <v>40.31</v>
      </c>
      <c r="E1695" s="1225" t="s">
        <v>1034</v>
      </c>
      <c r="F1695" s="1225">
        <v>40.31</v>
      </c>
    </row>
    <row r="1696" spans="1:6" s="1225" customFormat="1" ht="17.25" customHeight="1">
      <c r="C1696" s="1225" t="s">
        <v>478</v>
      </c>
      <c r="F1696" s="1225">
        <v>636.33000000000004</v>
      </c>
    </row>
    <row r="1697" spans="1:10" s="1225" customFormat="1" ht="17.25" customHeight="1">
      <c r="C1697" s="1225" t="s">
        <v>1557</v>
      </c>
      <c r="F1697" s="1225">
        <v>20.77</v>
      </c>
    </row>
    <row r="1698" spans="1:10" s="1225" customFormat="1" ht="17.25" customHeight="1">
      <c r="C1698" s="1225" t="s">
        <v>2368</v>
      </c>
      <c r="F1698" s="1225">
        <v>830.16</v>
      </c>
    </row>
    <row r="1699" spans="1:10" s="1225" customFormat="1" ht="17.25" customHeight="1"/>
    <row r="1700" spans="1:10" s="1225" customFormat="1" ht="17.25" customHeight="1">
      <c r="C1700" s="1225" t="s">
        <v>2383</v>
      </c>
    </row>
    <row r="1701" spans="1:10" s="1225" customFormat="1" ht="17.25" customHeight="1">
      <c r="C1701" s="1225" t="s">
        <v>2384</v>
      </c>
    </row>
    <row r="1702" spans="1:10" s="1225" customFormat="1" ht="17.25" customHeight="1"/>
    <row r="1703" spans="1:10" s="1225" customFormat="1" ht="17.25" customHeight="1">
      <c r="C1703" s="1225" t="s">
        <v>2385</v>
      </c>
    </row>
    <row r="1704" spans="1:10" s="1225" customFormat="1" ht="17.25" customHeight="1">
      <c r="A1704" s="1225">
        <v>90</v>
      </c>
      <c r="B1704" s="1225" t="s">
        <v>13</v>
      </c>
      <c r="C1704" s="1225" t="s">
        <v>2311</v>
      </c>
      <c r="D1704" s="1225">
        <v>16.55</v>
      </c>
      <c r="E1704" s="1225" t="s">
        <v>2330</v>
      </c>
      <c r="F1704" s="1225">
        <v>1489.5</v>
      </c>
    </row>
    <row r="1705" spans="1:10" s="1225" customFormat="1" ht="17.25" customHeight="1">
      <c r="A1705" s="1225">
        <v>45</v>
      </c>
      <c r="B1705" s="1225" t="s">
        <v>13</v>
      </c>
      <c r="C1705" s="1225" t="s">
        <v>2313</v>
      </c>
      <c r="D1705" s="1225">
        <v>20</v>
      </c>
      <c r="E1705" s="1225" t="s">
        <v>13</v>
      </c>
      <c r="F1705" s="1225">
        <v>900</v>
      </c>
    </row>
    <row r="1706" spans="1:10" s="1225" customFormat="1" ht="17.25" customHeight="1">
      <c r="A1706" s="1225">
        <v>20</v>
      </c>
      <c r="B1706" s="1225" t="s">
        <v>1034</v>
      </c>
      <c r="C1706" s="1225" t="s">
        <v>2317</v>
      </c>
      <c r="D1706" s="1225">
        <v>3.15</v>
      </c>
      <c r="E1706" s="1225" t="s">
        <v>2315</v>
      </c>
      <c r="F1706" s="1225">
        <v>63</v>
      </c>
    </row>
    <row r="1707" spans="1:10" s="1225" customFormat="1" ht="17.25" customHeight="1">
      <c r="A1707" s="1225">
        <v>10</v>
      </c>
      <c r="B1707" s="1225" t="s">
        <v>1034</v>
      </c>
      <c r="C1707" s="1225" t="s">
        <v>2319</v>
      </c>
      <c r="D1707" s="1225">
        <v>1.34</v>
      </c>
      <c r="E1707" s="1225" t="s">
        <v>2315</v>
      </c>
      <c r="F1707" s="1225">
        <v>13.4</v>
      </c>
    </row>
    <row r="1708" spans="1:10" s="1225" customFormat="1" ht="17.25" customHeight="1">
      <c r="A1708" s="1225">
        <v>1</v>
      </c>
      <c r="B1708" s="1225" t="s">
        <v>1034</v>
      </c>
      <c r="C1708" s="1225" t="s">
        <v>2312</v>
      </c>
      <c r="D1708" s="1225">
        <v>58</v>
      </c>
      <c r="E1708" s="1225" t="s">
        <v>1034</v>
      </c>
      <c r="F1708" s="1225">
        <v>58</v>
      </c>
    </row>
    <row r="1709" spans="1:10" s="1225" customFormat="1" ht="17.25" customHeight="1">
      <c r="A1709" s="1225">
        <v>1.4999999999999999E-2</v>
      </c>
      <c r="B1709" s="1225" t="s">
        <v>724</v>
      </c>
      <c r="C1709" s="1225" t="s">
        <v>2386</v>
      </c>
      <c r="D1709" s="1225">
        <v>661</v>
      </c>
      <c r="E1709" s="1225" t="s">
        <v>724</v>
      </c>
      <c r="F1709" s="1225">
        <v>9.92</v>
      </c>
    </row>
    <row r="1710" spans="1:10" s="1225" customFormat="1" ht="17.25" customHeight="1">
      <c r="A1710" s="1225">
        <v>15</v>
      </c>
      <c r="B1710" s="1225" t="s">
        <v>1034</v>
      </c>
      <c r="C1710" s="1225" t="s">
        <v>2387</v>
      </c>
      <c r="D1710" s="1225">
        <v>40.31</v>
      </c>
      <c r="E1710" s="1225" t="s">
        <v>1034</v>
      </c>
      <c r="F1710" s="1225">
        <v>604.65</v>
      </c>
    </row>
    <row r="1711" spans="1:10" s="1225" customFormat="1" ht="17.25" customHeight="1">
      <c r="A1711" s="2">
        <v>15</v>
      </c>
      <c r="B1711" s="2" t="s">
        <v>1034</v>
      </c>
      <c r="C1711" s="2" t="s">
        <v>2312</v>
      </c>
      <c r="D1711" s="2">
        <v>58</v>
      </c>
      <c r="E1711" s="2" t="s">
        <v>1034</v>
      </c>
      <c r="F1711" s="2">
        <v>870</v>
      </c>
      <c r="G1711" s="2"/>
      <c r="H1711" s="2"/>
      <c r="I1711" s="2"/>
      <c r="J1711" s="2"/>
    </row>
    <row r="1712" spans="1:10">
      <c r="A1712" s="2">
        <v>0.22500000000000001</v>
      </c>
      <c r="B1712" s="2" t="s">
        <v>724</v>
      </c>
      <c r="C1712" s="2" t="s">
        <v>2316</v>
      </c>
      <c r="D1712" s="2">
        <v>661</v>
      </c>
      <c r="E1712" s="2" t="s">
        <v>2388</v>
      </c>
      <c r="F1712" s="2">
        <v>148.72999999999999</v>
      </c>
    </row>
    <row r="1713" spans="1:6">
      <c r="A1713" s="2">
        <v>1.25</v>
      </c>
      <c r="B1713" s="2" t="s">
        <v>2324</v>
      </c>
      <c r="C1713" s="2" t="s">
        <v>38</v>
      </c>
      <c r="D1713" s="2">
        <v>302</v>
      </c>
      <c r="E1713" s="2" t="s">
        <v>2324</v>
      </c>
      <c r="F1713" s="2">
        <v>377.5</v>
      </c>
    </row>
    <row r="1714" spans="1:6" ht="30">
      <c r="A1714" s="2">
        <v>45</v>
      </c>
      <c r="B1714" s="2" t="s">
        <v>724</v>
      </c>
      <c r="C1714" s="2" t="s">
        <v>2329</v>
      </c>
      <c r="D1714" s="2">
        <v>16.55</v>
      </c>
      <c r="E1714" s="2" t="s">
        <v>2330</v>
      </c>
      <c r="F1714" s="2">
        <v>744.75</v>
      </c>
    </row>
    <row r="1715" spans="1:6">
      <c r="C1715" s="2" t="s">
        <v>478</v>
      </c>
      <c r="F1715" s="2">
        <v>11454</v>
      </c>
    </row>
    <row r="1716" spans="1:6">
      <c r="C1716" s="2" t="s">
        <v>1557</v>
      </c>
      <c r="F1716" s="2">
        <v>65.12</v>
      </c>
    </row>
    <row r="1717" spans="1:6">
      <c r="C1717" s="2" t="s">
        <v>2389</v>
      </c>
      <c r="F1717" s="2">
        <v>16798.57</v>
      </c>
    </row>
    <row r="1718" spans="1:6">
      <c r="C1718" s="2" t="s">
        <v>2368</v>
      </c>
      <c r="F1718" s="2">
        <v>1119.9000000000001</v>
      </c>
    </row>
    <row r="1721" spans="1:6">
      <c r="C1721" s="2" t="s">
        <v>2394</v>
      </c>
    </row>
    <row r="1722" spans="1:6">
      <c r="C1722" s="2" t="s">
        <v>2395</v>
      </c>
    </row>
    <row r="1724" spans="1:6" ht="60">
      <c r="C1724" s="2" t="s">
        <v>6442</v>
      </c>
    </row>
    <row r="1726" spans="1:6">
      <c r="A1726" s="2">
        <v>1</v>
      </c>
      <c r="B1726" s="2" t="s">
        <v>1034</v>
      </c>
      <c r="C1726" s="2" t="s">
        <v>2397</v>
      </c>
      <c r="D1726" s="2">
        <v>54.5</v>
      </c>
      <c r="E1726" s="2" t="s">
        <v>1034</v>
      </c>
      <c r="F1726" s="2">
        <v>54.5</v>
      </c>
    </row>
    <row r="1727" spans="1:6">
      <c r="A1727" s="2">
        <v>1</v>
      </c>
      <c r="B1727" s="2" t="s">
        <v>1034</v>
      </c>
      <c r="C1727" s="2" t="s">
        <v>2312</v>
      </c>
      <c r="D1727" s="2">
        <v>58</v>
      </c>
      <c r="E1727" s="2" t="s">
        <v>1034</v>
      </c>
      <c r="F1727" s="2">
        <v>58</v>
      </c>
    </row>
    <row r="1728" spans="1:6">
      <c r="A1728" s="2">
        <v>1.4999999999999999E-2</v>
      </c>
      <c r="B1728" s="2" t="s">
        <v>724</v>
      </c>
      <c r="C1728" s="2" t="s">
        <v>2398</v>
      </c>
      <c r="D1728" s="2">
        <v>661</v>
      </c>
      <c r="E1728" s="2" t="s">
        <v>724</v>
      </c>
      <c r="F1728" s="2">
        <v>9.92</v>
      </c>
    </row>
    <row r="1729" spans="1:7" ht="30">
      <c r="A1729" s="2" t="s">
        <v>49</v>
      </c>
      <c r="C1729" s="2" t="s">
        <v>2399</v>
      </c>
      <c r="F1729" s="2">
        <v>12.05</v>
      </c>
    </row>
    <row r="1730" spans="1:7">
      <c r="C1730" s="2" t="s">
        <v>2400</v>
      </c>
      <c r="F1730" s="2">
        <v>134.47</v>
      </c>
    </row>
    <row r="1733" spans="1:7">
      <c r="C1733" s="2" t="s">
        <v>4410</v>
      </c>
    </row>
    <row r="1734" spans="1:7">
      <c r="A1734" s="2" t="s">
        <v>1684</v>
      </c>
      <c r="B1734" s="2" t="s">
        <v>956</v>
      </c>
      <c r="C1734" s="2" t="s">
        <v>1673</v>
      </c>
    </row>
    <row r="1735" spans="1:7" ht="30">
      <c r="C1735" s="2" t="s">
        <v>1685</v>
      </c>
    </row>
    <row r="1736" spans="1:7">
      <c r="A1736" s="2">
        <v>393.72</v>
      </c>
      <c r="D1736" s="2" t="s">
        <v>52</v>
      </c>
    </row>
    <row r="1737" spans="1:7">
      <c r="A1737" s="2">
        <v>131.24</v>
      </c>
      <c r="B1737" s="2">
        <v>1</v>
      </c>
      <c r="C1737" s="2" t="s">
        <v>1676</v>
      </c>
      <c r="D1737" s="2">
        <v>58000</v>
      </c>
      <c r="E1737" s="2" t="s">
        <v>11</v>
      </c>
      <c r="F1737" s="2">
        <v>5800</v>
      </c>
    </row>
    <row r="1738" spans="1:7">
      <c r="A1738" s="2">
        <v>0.01</v>
      </c>
      <c r="B1738" s="2" t="s">
        <v>1675</v>
      </c>
      <c r="C1738" s="2" t="s">
        <v>4411</v>
      </c>
      <c r="D1738" s="2">
        <v>71428.570000000007</v>
      </c>
      <c r="E1738" s="2" t="s">
        <v>11</v>
      </c>
      <c r="F1738" s="2">
        <v>71.430000000000007</v>
      </c>
    </row>
    <row r="1739" spans="1:7">
      <c r="A1739" s="2">
        <v>3.5</v>
      </c>
      <c r="B1739" s="2" t="s">
        <v>237</v>
      </c>
      <c r="C1739" s="2" t="s">
        <v>1677</v>
      </c>
      <c r="D1739" s="2">
        <v>903.1</v>
      </c>
      <c r="E1739" s="2" t="s">
        <v>237</v>
      </c>
      <c r="F1739" s="2">
        <v>3160.85</v>
      </c>
    </row>
    <row r="1740" spans="1:7">
      <c r="B1740" s="2" t="s">
        <v>145</v>
      </c>
      <c r="C1740" s="2" t="s">
        <v>146</v>
      </c>
      <c r="E1740" s="2" t="s">
        <v>145</v>
      </c>
      <c r="F1740" s="2">
        <v>0</v>
      </c>
    </row>
    <row r="1741" spans="1:7">
      <c r="F1741" s="2" t="s">
        <v>52</v>
      </c>
    </row>
    <row r="1742" spans="1:7">
      <c r="C1742" s="2" t="s">
        <v>1680</v>
      </c>
      <c r="F1742" s="2">
        <v>9032.2800000000007</v>
      </c>
    </row>
    <row r="1743" spans="1:7">
      <c r="G1743" s="2" t="s">
        <v>52</v>
      </c>
    </row>
    <row r="1744" spans="1:7">
      <c r="C1744" s="2" t="s">
        <v>1681</v>
      </c>
      <c r="F1744" s="2">
        <v>90322.8</v>
      </c>
    </row>
    <row r="1746" spans="1:6">
      <c r="A1746" s="2">
        <v>44.1</v>
      </c>
      <c r="B1746" s="2" t="s">
        <v>111</v>
      </c>
      <c r="C1746" s="2" t="s">
        <v>1687</v>
      </c>
    </row>
    <row r="1747" spans="1:6">
      <c r="C1747" s="2" t="s">
        <v>1688</v>
      </c>
    </row>
    <row r="1748" spans="1:6">
      <c r="C1748" s="2" t="s">
        <v>6436</v>
      </c>
    </row>
    <row r="1749" spans="1:6">
      <c r="C1749" s="2" t="s">
        <v>52</v>
      </c>
    </row>
    <row r="1750" spans="1:6">
      <c r="A1750" s="2">
        <v>3</v>
      </c>
      <c r="B1750" s="2" t="s">
        <v>282</v>
      </c>
      <c r="C1750" s="2" t="s">
        <v>1690</v>
      </c>
      <c r="D1750" s="2">
        <v>120.54</v>
      </c>
      <c r="E1750" s="2" t="s">
        <v>131</v>
      </c>
      <c r="F1750" s="2">
        <v>361.62</v>
      </c>
    </row>
    <row r="1751" spans="1:6">
      <c r="A1751" s="2">
        <v>1</v>
      </c>
      <c r="B1751" s="2" t="s">
        <v>131</v>
      </c>
      <c r="C1751" s="2" t="s">
        <v>1691</v>
      </c>
      <c r="D1751" s="2">
        <v>76.78</v>
      </c>
      <c r="E1751" s="2" t="s">
        <v>131</v>
      </c>
      <c r="F1751" s="2">
        <v>76.78</v>
      </c>
    </row>
    <row r="1752" spans="1:6">
      <c r="A1752" s="2">
        <v>1</v>
      </c>
      <c r="B1752" s="2" t="s">
        <v>131</v>
      </c>
      <c r="C1752" s="2" t="s">
        <v>1692</v>
      </c>
      <c r="D1752" s="2">
        <v>83.4</v>
      </c>
      <c r="E1752" s="2" t="s">
        <v>131</v>
      </c>
      <c r="F1752" s="2">
        <v>83.4</v>
      </c>
    </row>
    <row r="1753" spans="1:6">
      <c r="A1753" s="2">
        <v>2</v>
      </c>
      <c r="B1753" s="2" t="s">
        <v>3081</v>
      </c>
      <c r="C1753" s="2" t="s">
        <v>4413</v>
      </c>
      <c r="D1753" s="2">
        <v>12</v>
      </c>
      <c r="E1753" s="2" t="s">
        <v>131</v>
      </c>
      <c r="F1753" s="2">
        <v>24</v>
      </c>
    </row>
    <row r="1754" spans="1:6">
      <c r="A1754" s="2">
        <v>1</v>
      </c>
      <c r="B1754" s="2" t="s">
        <v>3081</v>
      </c>
      <c r="C1754" s="2" t="s">
        <v>1694</v>
      </c>
      <c r="D1754" s="2">
        <v>32.1</v>
      </c>
      <c r="E1754" s="2" t="s">
        <v>145</v>
      </c>
      <c r="F1754" s="2">
        <v>32.1</v>
      </c>
    </row>
    <row r="1755" spans="1:6">
      <c r="A1755" s="2">
        <v>0.5</v>
      </c>
      <c r="B1755" s="2" t="s">
        <v>3081</v>
      </c>
      <c r="C1755" s="2" t="s">
        <v>1695</v>
      </c>
      <c r="D1755" s="2">
        <v>903.1</v>
      </c>
      <c r="F1755" s="2">
        <v>451.55</v>
      </c>
    </row>
    <row r="1756" spans="1:6">
      <c r="B1756" s="2" t="s">
        <v>3081</v>
      </c>
      <c r="C1756" s="2" t="s">
        <v>1696</v>
      </c>
      <c r="D1756" s="2">
        <v>0</v>
      </c>
    </row>
    <row r="1757" spans="1:6">
      <c r="C1757" s="2" t="s">
        <v>1697</v>
      </c>
      <c r="F1757" s="2">
        <v>31.68</v>
      </c>
    </row>
    <row r="1759" spans="1:6">
      <c r="C1759" s="2" t="s">
        <v>1698</v>
      </c>
      <c r="F1759" s="2">
        <v>1061.1300000000001</v>
      </c>
    </row>
    <row r="1761" spans="1:6">
      <c r="F1761" s="2" t="s">
        <v>52</v>
      </c>
    </row>
    <row r="1762" spans="1:6">
      <c r="C1762" s="2" t="s">
        <v>632</v>
      </c>
      <c r="F1762" s="2">
        <v>353.71</v>
      </c>
    </row>
    <row r="1765" spans="1:6" ht="60">
      <c r="A1765" s="2">
        <v>45</v>
      </c>
      <c r="C1765" s="2" t="s">
        <v>5161</v>
      </c>
    </row>
    <row r="1768" spans="1:6" ht="30">
      <c r="A1768" s="2">
        <v>0.15</v>
      </c>
      <c r="B1768" s="2" t="s">
        <v>132</v>
      </c>
      <c r="C1768" s="2" t="s">
        <v>5162</v>
      </c>
      <c r="D1768" s="2">
        <v>2573.4499999999998</v>
      </c>
      <c r="E1768" s="2" t="s">
        <v>132</v>
      </c>
      <c r="F1768" s="2">
        <v>386.02</v>
      </c>
    </row>
    <row r="1769" spans="1:6">
      <c r="A1769" s="2">
        <v>7.1999999999999995E-2</v>
      </c>
      <c r="B1769" s="2" t="s">
        <v>122</v>
      </c>
      <c r="C1769" s="2" t="s">
        <v>123</v>
      </c>
      <c r="D1769" s="2">
        <v>6040</v>
      </c>
      <c r="E1769" s="2" t="s">
        <v>122</v>
      </c>
      <c r="F1769" s="2">
        <v>434.88</v>
      </c>
    </row>
    <row r="1770" spans="1:6">
      <c r="A1770" s="2">
        <v>1.6</v>
      </c>
      <c r="B1770" s="2" t="s">
        <v>237</v>
      </c>
      <c r="C1770" s="2" t="s">
        <v>345</v>
      </c>
      <c r="D1770" s="2">
        <v>1041.7</v>
      </c>
      <c r="E1770" s="2" t="s">
        <v>237</v>
      </c>
      <c r="F1770" s="2">
        <v>1666.72</v>
      </c>
    </row>
    <row r="1771" spans="1:6">
      <c r="A1771" s="2">
        <v>0.5</v>
      </c>
      <c r="B1771" s="2" t="s">
        <v>237</v>
      </c>
      <c r="C1771" s="2" t="s">
        <v>304</v>
      </c>
      <c r="D1771" s="2">
        <v>679.8</v>
      </c>
      <c r="E1771" s="2" t="s">
        <v>237</v>
      </c>
      <c r="F1771" s="2">
        <v>339.9</v>
      </c>
    </row>
    <row r="1772" spans="1:6">
      <c r="A1772" s="2">
        <v>1.1000000000000001</v>
      </c>
      <c r="B1772" s="2" t="s">
        <v>237</v>
      </c>
      <c r="C1772" s="2" t="s">
        <v>306</v>
      </c>
      <c r="D1772" s="2">
        <v>557.70000000000005</v>
      </c>
      <c r="E1772" s="2" t="s">
        <v>237</v>
      </c>
      <c r="F1772" s="2">
        <v>613.47</v>
      </c>
    </row>
    <row r="1773" spans="1:6">
      <c r="A1773" s="2">
        <v>14.5</v>
      </c>
      <c r="B1773" s="2" t="s">
        <v>1791</v>
      </c>
      <c r="C1773" s="2" t="s">
        <v>5163</v>
      </c>
      <c r="D1773" s="2">
        <v>24.93</v>
      </c>
      <c r="E1773" s="2" t="s">
        <v>1791</v>
      </c>
      <c r="F1773" s="2">
        <v>361.49</v>
      </c>
    </row>
    <row r="1774" spans="1:6">
      <c r="B1774" s="2" t="s">
        <v>49</v>
      </c>
      <c r="C1774" s="2" t="s">
        <v>146</v>
      </c>
      <c r="E1774" s="2" t="s">
        <v>49</v>
      </c>
      <c r="F1774" s="2">
        <v>7</v>
      </c>
    </row>
    <row r="1776" spans="1:6">
      <c r="C1776" s="2" t="s">
        <v>495</v>
      </c>
      <c r="F1776" s="2">
        <v>3809.48</v>
      </c>
    </row>
    <row r="1777" spans="1:6">
      <c r="C1777" s="2" t="s">
        <v>460</v>
      </c>
      <c r="F1777" s="2">
        <v>380.95</v>
      </c>
    </row>
    <row r="1779" spans="1:6" ht="105">
      <c r="A1779" s="2" t="s">
        <v>2960</v>
      </c>
    </row>
    <row r="1780" spans="1:6">
      <c r="A1780" s="2">
        <v>1</v>
      </c>
      <c r="B1780" s="2" t="s">
        <v>1034</v>
      </c>
      <c r="C1780" s="2" t="s">
        <v>2961</v>
      </c>
      <c r="D1780" s="2">
        <v>7000</v>
      </c>
      <c r="E1780" s="2" t="s">
        <v>2962</v>
      </c>
      <c r="F1780" s="2">
        <v>7000</v>
      </c>
    </row>
    <row r="1781" spans="1:6">
      <c r="A1781" s="2">
        <v>2</v>
      </c>
      <c r="B1781" s="2" t="s">
        <v>1521</v>
      </c>
      <c r="C1781" s="2" t="s">
        <v>2678</v>
      </c>
      <c r="D1781" s="2">
        <v>35</v>
      </c>
      <c r="E1781" s="2" t="s">
        <v>1521</v>
      </c>
      <c r="F1781" s="2">
        <v>70</v>
      </c>
    </row>
    <row r="1782" spans="1:6" ht="45">
      <c r="A1782" s="2">
        <v>1</v>
      </c>
      <c r="B1782" s="2" t="s">
        <v>1034</v>
      </c>
      <c r="C1782" s="2" t="s">
        <v>2683</v>
      </c>
      <c r="D1782" s="2">
        <v>1690</v>
      </c>
      <c r="E1782" s="2" t="s">
        <v>729</v>
      </c>
      <c r="F1782" s="2">
        <v>1690</v>
      </c>
    </row>
    <row r="1783" spans="1:6" ht="30">
      <c r="C1783" s="2" t="s">
        <v>2684</v>
      </c>
      <c r="D1783" s="2" t="s">
        <v>49</v>
      </c>
      <c r="F1783" s="2">
        <v>17.329999999999998</v>
      </c>
    </row>
    <row r="1784" spans="1:6">
      <c r="C1784" s="2" t="s">
        <v>2058</v>
      </c>
      <c r="F1784" s="2">
        <v>8777.33</v>
      </c>
    </row>
    <row r="4048" s="1" customFormat="1" ht="15.75"/>
    <row r="9701" spans="3:3" ht="15.75">
      <c r="C9701" s="1"/>
    </row>
    <row r="9702" spans="3:3" ht="15.75">
      <c r="C9702" s="1"/>
    </row>
    <row r="9703" spans="3:3" ht="15.75">
      <c r="C9703" s="1"/>
    </row>
    <row r="9815" spans="1:7">
      <c r="A9815" s="1735"/>
      <c r="B9815" s="1735"/>
      <c r="C9815" s="1735"/>
      <c r="D9815" s="1735"/>
      <c r="E9815" s="1735"/>
      <c r="F9815" s="1735"/>
      <c r="G9815" s="1735"/>
    </row>
    <row r="9817" spans="1:7">
      <c r="A9817" s="1735"/>
      <c r="B9817" s="1735"/>
      <c r="C9817" s="1735"/>
      <c r="D9817" s="1735"/>
      <c r="E9817" s="1735"/>
      <c r="F9817" s="1735"/>
      <c r="G9817" s="1735"/>
    </row>
    <row r="9834" spans="1:7">
      <c r="A9834" s="2">
        <f>'pile data '!A265</f>
        <v>0</v>
      </c>
      <c r="B9834" s="2">
        <f>'pile data '!B265</f>
        <v>0</v>
      </c>
      <c r="C9834" s="2">
        <f>'pile data '!C265</f>
        <v>0</v>
      </c>
      <c r="D9834" s="2">
        <f>'pile data '!D265</f>
        <v>0</v>
      </c>
      <c r="E9834" s="2">
        <f>'pile data '!E265</f>
        <v>0</v>
      </c>
      <c r="F9834" s="2">
        <f>'pile data '!F265</f>
        <v>0</v>
      </c>
      <c r="G9834" s="2">
        <f>'pile data '!G265</f>
        <v>0</v>
      </c>
    </row>
  </sheetData>
  <mergeCells count="2">
    <mergeCell ref="A9815:G9815"/>
    <mergeCell ref="A9817:G9817"/>
  </mergeCells>
  <printOptions horizontalCentered="1"/>
  <pageMargins left="0.5" right="0.5" top="0.5" bottom="0.5" header="0.3" footer="0.3"/>
  <pageSetup paperSize="9" scale="70" orientation="portrait" r:id="rId1"/>
</worksheet>
</file>

<file path=xl/worksheets/sheet6.xml><?xml version="1.0" encoding="utf-8"?>
<worksheet xmlns="http://schemas.openxmlformats.org/spreadsheetml/2006/main" xmlns:r="http://schemas.openxmlformats.org/officeDocument/2006/relationships">
  <sheetPr codeName="Sheet6"/>
  <dimension ref="A1:R280"/>
  <sheetViews>
    <sheetView view="pageBreakPreview" zoomScale="80" workbookViewId="0">
      <selection activeCell="F17" sqref="A1:F17"/>
    </sheetView>
  </sheetViews>
  <sheetFormatPr defaultColWidth="9.21875" defaultRowHeight="15.75"/>
  <cols>
    <col min="1" max="1" width="12.77734375" style="115" customWidth="1"/>
    <col min="2" max="2" width="8.77734375" style="115" customWidth="1"/>
    <col min="3" max="3" width="51.6640625" style="115" customWidth="1"/>
    <col min="4" max="4" width="8.44140625" style="115" customWidth="1"/>
    <col min="5" max="5" width="7.33203125" style="115" customWidth="1"/>
    <col min="6" max="6" width="12.77734375" style="115" customWidth="1"/>
    <col min="7" max="7" width="9.109375" style="115" customWidth="1"/>
    <col min="8" max="8" width="9" style="115" bestFit="1" customWidth="1"/>
    <col min="9" max="9" width="16.88671875" style="115" customWidth="1"/>
    <col min="10" max="13" width="9.21875" style="115"/>
    <col min="14" max="14" width="33.88671875" style="115" customWidth="1"/>
    <col min="15" max="15" width="12.6640625" style="115" customWidth="1"/>
    <col min="16" max="16384" width="9.21875" style="115"/>
  </cols>
  <sheetData>
    <row r="1" spans="1:18" ht="16.5">
      <c r="A1" s="1759" t="s">
        <v>0</v>
      </c>
      <c r="B1" s="1759"/>
      <c r="C1" s="1759"/>
      <c r="D1" s="1759"/>
      <c r="E1" s="1759"/>
      <c r="F1" s="1759"/>
    </row>
    <row r="2" spans="1:18" ht="16.5">
      <c r="A2" s="1759" t="s">
        <v>1</v>
      </c>
      <c r="B2" s="1759"/>
      <c r="C2" s="1759"/>
      <c r="D2" s="1759"/>
      <c r="E2" s="1759"/>
      <c r="F2" s="1759"/>
    </row>
    <row r="3" spans="1:18" ht="31.5" customHeight="1">
      <c r="A3" s="1760" t="s">
        <v>2</v>
      </c>
      <c r="B3" s="1760"/>
      <c r="C3" s="1760"/>
      <c r="D3" s="1760"/>
      <c r="E3" s="1760"/>
      <c r="F3" s="1760"/>
    </row>
    <row r="4" spans="1:18" ht="16.5">
      <c r="A4" s="1761" t="s">
        <v>3</v>
      </c>
      <c r="B4" s="1761"/>
      <c r="C4" s="1761"/>
      <c r="D4" s="1761"/>
      <c r="E4" s="1761"/>
      <c r="F4" s="1133"/>
    </row>
    <row r="5" spans="1:18" ht="6" customHeight="1">
      <c r="A5" s="1133"/>
      <c r="B5" s="1133"/>
      <c r="C5" s="1133"/>
      <c r="D5" s="1133"/>
      <c r="E5" s="1133"/>
      <c r="F5" s="1133"/>
    </row>
    <row r="6" spans="1:18" ht="45.75" customHeight="1">
      <c r="B6" s="1134"/>
      <c r="C6" s="1762" t="s">
        <v>4</v>
      </c>
      <c r="D6" s="1762"/>
      <c r="E6" s="1762"/>
      <c r="F6" s="1134"/>
      <c r="G6" s="119" t="s">
        <v>5</v>
      </c>
    </row>
    <row r="7" spans="1:18" ht="24" customHeight="1">
      <c r="A7" s="1135"/>
      <c r="B7" s="1763" t="s">
        <v>6</v>
      </c>
      <c r="C7" s="1763"/>
      <c r="D7" s="1763"/>
      <c r="E7" s="1763"/>
      <c r="F7" s="1763"/>
      <c r="G7" s="118">
        <v>1.57</v>
      </c>
      <c r="L7" s="1135"/>
      <c r="M7" s="1763" t="s">
        <v>7</v>
      </c>
      <c r="N7" s="1763"/>
      <c r="O7" s="1763"/>
      <c r="P7" s="1763"/>
      <c r="Q7" s="1763"/>
      <c r="R7" s="118">
        <f>3.14*0.9*0.9*8/4</f>
        <v>5.0869999999999997</v>
      </c>
    </row>
    <row r="8" spans="1:18" ht="28.5" customHeight="1">
      <c r="A8" s="164"/>
      <c r="B8" s="164"/>
      <c r="C8" s="1136" t="s">
        <v>8</v>
      </c>
      <c r="D8" s="164"/>
      <c r="E8" s="164"/>
      <c r="F8" s="164"/>
      <c r="L8" s="164"/>
      <c r="M8" s="164"/>
      <c r="N8" s="1136" t="s">
        <v>9</v>
      </c>
      <c r="O8" s="164"/>
      <c r="P8" s="164"/>
      <c r="Q8" s="164"/>
    </row>
    <row r="9" spans="1:18" ht="30.75" customHeight="1">
      <c r="A9" s="1137">
        <f>G7</f>
        <v>1.57</v>
      </c>
      <c r="B9" s="164" t="s">
        <v>5</v>
      </c>
      <c r="C9" s="164" t="s">
        <v>10</v>
      </c>
      <c r="D9" s="1133"/>
      <c r="E9" s="1138">
        <f>Data!Y688</f>
        <v>8509.7199999999993</v>
      </c>
      <c r="F9" s="1138">
        <f>A9*E9</f>
        <v>13360.26</v>
      </c>
      <c r="L9" s="1137">
        <f>R7</f>
        <v>5.0869999999999997</v>
      </c>
      <c r="M9" s="164" t="s">
        <v>5</v>
      </c>
      <c r="N9" s="164" t="s">
        <v>10</v>
      </c>
      <c r="O9" s="1133"/>
      <c r="P9" s="1138">
        <f>E9</f>
        <v>8509.7199999999993</v>
      </c>
      <c r="Q9" s="1138">
        <f>L9*P9</f>
        <v>43288.95</v>
      </c>
    </row>
    <row r="10" spans="1:18" ht="30.75" customHeight="1">
      <c r="A10" s="1139">
        <f>A9*10/100</f>
        <v>0.157</v>
      </c>
      <c r="B10" s="164" t="s">
        <v>11</v>
      </c>
      <c r="C10" s="164" t="s">
        <v>12</v>
      </c>
      <c r="D10" s="1133"/>
      <c r="E10" s="1138">
        <f>6.05*1000</f>
        <v>6050</v>
      </c>
      <c r="F10" s="1138">
        <f>A10*E10</f>
        <v>949.85</v>
      </c>
      <c r="L10" s="1139">
        <f>L9*10/100</f>
        <v>0.50870000000000004</v>
      </c>
      <c r="M10" s="164" t="s">
        <v>11</v>
      </c>
      <c r="N10" s="164" t="s">
        <v>12</v>
      </c>
      <c r="O10" s="1133"/>
      <c r="P10" s="1138">
        <v>6000</v>
      </c>
      <c r="Q10" s="1138">
        <f>L10*P10</f>
        <v>3052.2</v>
      </c>
    </row>
    <row r="11" spans="1:18" ht="30.75" customHeight="1">
      <c r="A11" s="1138">
        <v>8</v>
      </c>
      <c r="B11" s="164" t="s">
        <v>13</v>
      </c>
      <c r="C11" s="164" t="s">
        <v>14</v>
      </c>
      <c r="D11" s="1133"/>
      <c r="E11" s="1140">
        <v>960</v>
      </c>
      <c r="F11" s="1138">
        <f>A11*E11</f>
        <v>7680</v>
      </c>
      <c r="L11" s="1138">
        <v>8</v>
      </c>
      <c r="M11" s="164" t="s">
        <v>13</v>
      </c>
      <c r="N11" s="164" t="s">
        <v>14</v>
      </c>
      <c r="O11" s="1133"/>
      <c r="P11" s="1140">
        <v>960</v>
      </c>
      <c r="Q11" s="1138">
        <f>L11*P11</f>
        <v>7680</v>
      </c>
    </row>
    <row r="12" spans="1:18" ht="21" customHeight="1">
      <c r="A12" s="164"/>
      <c r="B12" s="164"/>
      <c r="C12" s="164"/>
      <c r="D12" s="1133"/>
      <c r="E12" s="164"/>
      <c r="F12" s="164"/>
      <c r="L12" s="164"/>
      <c r="M12" s="164"/>
      <c r="N12" s="164"/>
      <c r="O12" s="1133"/>
      <c r="P12" s="164"/>
      <c r="Q12" s="164"/>
    </row>
    <row r="13" spans="1:18" ht="21" customHeight="1">
      <c r="A13" s="164"/>
      <c r="B13" s="164"/>
      <c r="C13" s="164" t="s">
        <v>15</v>
      </c>
      <c r="D13" s="1133"/>
      <c r="E13" s="164"/>
      <c r="F13" s="1138">
        <f>SUM(F9:F12)</f>
        <v>21990.11</v>
      </c>
      <c r="L13" s="164"/>
      <c r="M13" s="164"/>
      <c r="N13" s="164" t="s">
        <v>15</v>
      </c>
      <c r="O13" s="1133"/>
      <c r="P13" s="164"/>
      <c r="Q13" s="1138">
        <f>SUM(Q9:Q12)</f>
        <v>54021.15</v>
      </c>
    </row>
    <row r="14" spans="1:18" ht="21" customHeight="1">
      <c r="A14" s="164"/>
      <c r="B14" s="164"/>
      <c r="C14" s="164" t="s">
        <v>16</v>
      </c>
      <c r="D14" s="1133"/>
      <c r="E14" s="164"/>
      <c r="F14" s="1138">
        <f>F13/8</f>
        <v>2748.76</v>
      </c>
      <c r="L14" s="164"/>
      <c r="M14" s="164"/>
      <c r="N14" s="164" t="s">
        <v>16</v>
      </c>
      <c r="O14" s="1133"/>
      <c r="P14" s="164"/>
      <c r="Q14" s="1138">
        <f>Q13/7</f>
        <v>7717.31</v>
      </c>
    </row>
    <row r="15" spans="1:18" ht="21" customHeight="1">
      <c r="A15" s="164"/>
      <c r="B15" s="164"/>
      <c r="C15" s="164" t="s">
        <v>17</v>
      </c>
      <c r="D15" s="1133"/>
      <c r="E15" s="164"/>
      <c r="F15" s="164">
        <f>1000/8</f>
        <v>125</v>
      </c>
      <c r="L15" s="164"/>
      <c r="M15" s="164"/>
      <c r="N15" s="164" t="s">
        <v>17</v>
      </c>
      <c r="O15" s="1133"/>
      <c r="P15" s="164"/>
      <c r="Q15" s="164">
        <f>1000/8</f>
        <v>125</v>
      </c>
    </row>
    <row r="16" spans="1:18" ht="21" customHeight="1">
      <c r="A16" s="164"/>
      <c r="B16" s="164"/>
      <c r="C16" s="164"/>
      <c r="D16" s="1133"/>
      <c r="E16" s="164"/>
      <c r="F16" s="164"/>
      <c r="L16" s="164"/>
      <c r="M16" s="164"/>
      <c r="N16" s="164"/>
      <c r="O16" s="1133"/>
      <c r="P16" s="164"/>
      <c r="Q16" s="164"/>
    </row>
    <row r="17" spans="1:18" ht="21" customHeight="1">
      <c r="A17" s="164"/>
      <c r="B17" s="164"/>
      <c r="C17" s="164" t="s">
        <v>16</v>
      </c>
      <c r="D17" s="1133"/>
      <c r="E17" s="164"/>
      <c r="F17" s="1141">
        <f>SUM(F14:F16)</f>
        <v>2873.76</v>
      </c>
      <c r="L17" s="164"/>
      <c r="M17" s="164"/>
      <c r="N17" s="164" t="s">
        <v>16</v>
      </c>
      <c r="O17" s="1133"/>
      <c r="P17" s="164"/>
      <c r="Q17" s="1141">
        <f>SUM(Q14:Q16)</f>
        <v>7842.31</v>
      </c>
    </row>
    <row r="18" spans="1:18" ht="21" customHeight="1">
      <c r="A18" s="164"/>
      <c r="B18" s="164"/>
      <c r="C18" s="164" t="s">
        <v>18</v>
      </c>
      <c r="D18" s="164"/>
      <c r="E18" s="164"/>
      <c r="F18" s="164"/>
      <c r="L18" s="164"/>
      <c r="M18" s="164"/>
      <c r="N18" s="164" t="s">
        <v>18</v>
      </c>
      <c r="O18" s="164"/>
      <c r="P18" s="164"/>
      <c r="Q18" s="164"/>
    </row>
    <row r="19" spans="1:18" ht="21" customHeight="1">
      <c r="A19" s="164"/>
      <c r="B19" s="164"/>
      <c r="C19" s="164"/>
      <c r="D19" s="164"/>
      <c r="E19" s="164"/>
      <c r="F19" s="164"/>
      <c r="L19" s="164"/>
      <c r="M19" s="164"/>
      <c r="N19" s="164"/>
      <c r="O19" s="164"/>
      <c r="P19" s="164"/>
      <c r="Q19" s="164"/>
    </row>
    <row r="20" spans="1:18" ht="12.75" customHeight="1">
      <c r="A20" s="164"/>
      <c r="B20" s="164"/>
      <c r="C20" s="164"/>
      <c r="D20" s="164"/>
      <c r="E20" s="164"/>
      <c r="F20" s="164"/>
      <c r="L20" s="164"/>
      <c r="M20" s="164"/>
      <c r="N20" s="164"/>
      <c r="O20" s="164"/>
      <c r="P20" s="164"/>
      <c r="Q20" s="164"/>
    </row>
    <row r="21" spans="1:18" s="114" customFormat="1" ht="42" customHeight="1">
      <c r="A21" s="1142"/>
      <c r="B21" s="1142"/>
      <c r="C21" s="1764" t="s">
        <v>19</v>
      </c>
      <c r="D21" s="1764"/>
      <c r="E21" s="1764"/>
      <c r="F21" s="1142"/>
      <c r="L21" s="1142"/>
      <c r="M21" s="1142"/>
      <c r="N21" s="1764" t="s">
        <v>19</v>
      </c>
      <c r="O21" s="1764"/>
      <c r="P21" s="1764"/>
      <c r="Q21" s="1142"/>
    </row>
    <row r="22" spans="1:18" ht="30.75" customHeight="1">
      <c r="A22" s="1143"/>
      <c r="B22" s="1763" t="s">
        <v>20</v>
      </c>
      <c r="C22" s="1763"/>
      <c r="D22" s="1763"/>
      <c r="E22" s="1763"/>
      <c r="F22" s="1763"/>
      <c r="G22" s="118">
        <v>0.442</v>
      </c>
      <c r="L22" s="1143"/>
      <c r="M22" s="1763" t="s">
        <v>20</v>
      </c>
      <c r="N22" s="1763"/>
      <c r="O22" s="1763"/>
      <c r="P22" s="1763"/>
      <c r="Q22" s="1763"/>
      <c r="R22" s="118">
        <f>3.14*0.9*0.9/4</f>
        <v>0.63600000000000001</v>
      </c>
    </row>
    <row r="23" spans="1:18" ht="30.75" customHeight="1">
      <c r="A23" s="164"/>
      <c r="B23" s="164"/>
      <c r="C23" s="1144" t="s">
        <v>21</v>
      </c>
      <c r="D23" s="164"/>
      <c r="E23" s="164"/>
      <c r="F23" s="164"/>
      <c r="L23" s="164"/>
      <c r="M23" s="164"/>
      <c r="N23" s="1144" t="s">
        <v>22</v>
      </c>
      <c r="O23" s="164"/>
      <c r="P23" s="164"/>
      <c r="Q23" s="164"/>
    </row>
    <row r="24" spans="1:18" ht="30.75" customHeight="1">
      <c r="A24" s="1138">
        <f>G22</f>
        <v>0.44</v>
      </c>
      <c r="B24" s="164" t="s">
        <v>5</v>
      </c>
      <c r="C24" s="164" t="s">
        <v>23</v>
      </c>
      <c r="D24" s="1133"/>
      <c r="E24" s="1138">
        <f>Data!AE62</f>
        <v>7018</v>
      </c>
      <c r="F24" s="1138">
        <f>A24*E24</f>
        <v>3087.92</v>
      </c>
      <c r="L24" s="1138">
        <f>R22</f>
        <v>0.64</v>
      </c>
      <c r="M24" s="164" t="s">
        <v>5</v>
      </c>
      <c r="N24" s="164" t="s">
        <v>23</v>
      </c>
      <c r="O24" s="1133"/>
      <c r="P24" s="1138">
        <f>5800*1.1</f>
        <v>6380</v>
      </c>
      <c r="Q24" s="1138">
        <f>L24*P24</f>
        <v>4083.2</v>
      </c>
    </row>
    <row r="25" spans="1:18" ht="42.75" customHeight="1">
      <c r="A25" s="1138">
        <f>+A24</f>
        <v>0.44</v>
      </c>
      <c r="B25" s="164" t="s">
        <v>5</v>
      </c>
      <c r="C25" s="1765" t="s">
        <v>24</v>
      </c>
      <c r="D25" s="1765"/>
      <c r="E25" s="1138">
        <f>Data!AE63*3</f>
        <v>37.799999999999997</v>
      </c>
      <c r="F25" s="1138">
        <f>E25*A25</f>
        <v>16.63</v>
      </c>
      <c r="G25" s="213" t="s">
        <v>25</v>
      </c>
      <c r="I25" s="115">
        <f>8.69*0.125</f>
        <v>1.0900000000000001</v>
      </c>
      <c r="L25" s="1138">
        <f>+L24</f>
        <v>0.64</v>
      </c>
      <c r="M25" s="164" t="s">
        <v>5</v>
      </c>
      <c r="N25" s="1765" t="s">
        <v>24</v>
      </c>
      <c r="O25" s="1765"/>
      <c r="P25" s="1138">
        <f>11.13*5</f>
        <v>55.65</v>
      </c>
      <c r="Q25" s="1138">
        <f>P25*L25</f>
        <v>35.619999999999997</v>
      </c>
      <c r="R25" s="213" t="s">
        <v>25</v>
      </c>
    </row>
    <row r="26" spans="1:18" ht="36" customHeight="1">
      <c r="A26" s="1138">
        <f>+A25</f>
        <v>0.44</v>
      </c>
      <c r="B26" s="164" t="s">
        <v>5</v>
      </c>
      <c r="C26" s="164" t="s">
        <v>26</v>
      </c>
      <c r="D26" s="1133"/>
      <c r="E26" s="1138">
        <f>Data!AE64</f>
        <v>48.68</v>
      </c>
      <c r="F26" s="1138">
        <f>A26*E26</f>
        <v>21.42</v>
      </c>
      <c r="I26" s="114">
        <f>0.125*26.3</f>
        <v>3.29</v>
      </c>
      <c r="L26" s="1138">
        <f>+L25</f>
        <v>0.64</v>
      </c>
      <c r="M26" s="164" t="s">
        <v>5</v>
      </c>
      <c r="N26" s="164" t="s">
        <v>26</v>
      </c>
      <c r="O26" s="1133"/>
      <c r="P26" s="1138">
        <v>42.55</v>
      </c>
      <c r="Q26" s="1138">
        <f>L26*P26</f>
        <v>27.23</v>
      </c>
    </row>
    <row r="27" spans="1:18" ht="16.5">
      <c r="A27" s="1138"/>
      <c r="B27" s="164"/>
      <c r="C27" s="164"/>
      <c r="D27" s="1133"/>
      <c r="E27" s="1138"/>
      <c r="F27" s="1138"/>
      <c r="I27" s="115">
        <f>26.58/3</f>
        <v>8.86</v>
      </c>
      <c r="L27" s="1138"/>
      <c r="M27" s="164"/>
      <c r="N27" s="164"/>
      <c r="O27" s="1133"/>
      <c r="P27" s="1138"/>
      <c r="Q27" s="1138"/>
    </row>
    <row r="28" spans="1:18" ht="16.5">
      <c r="A28" s="164"/>
      <c r="B28" s="164"/>
      <c r="C28" s="164" t="s">
        <v>16</v>
      </c>
      <c r="D28" s="1133"/>
      <c r="E28" s="164"/>
      <c r="F28" s="1141">
        <f>SUM(F24:F27)</f>
        <v>3125.97</v>
      </c>
      <c r="L28" s="164"/>
      <c r="M28" s="164"/>
      <c r="N28" s="164" t="s">
        <v>16</v>
      </c>
      <c r="O28" s="1133"/>
      <c r="P28" s="164"/>
      <c r="Q28" s="1141">
        <f>SUM(Q24:Q27)</f>
        <v>4146.05</v>
      </c>
    </row>
    <row r="29" spans="1:18" ht="16.5">
      <c r="A29" s="1133"/>
      <c r="B29" s="1133"/>
      <c r="C29" s="1133"/>
      <c r="D29" s="1133"/>
      <c r="E29" s="1133"/>
      <c r="F29" s="1133"/>
      <c r="L29" s="1133"/>
      <c r="M29" s="1133"/>
      <c r="N29" s="1133"/>
      <c r="O29" s="1133"/>
      <c r="P29" s="1133"/>
      <c r="Q29" s="1133"/>
    </row>
    <row r="30" spans="1:18" ht="51" customHeight="1">
      <c r="B30" s="1145"/>
      <c r="C30" s="1766" t="s">
        <v>27</v>
      </c>
      <c r="D30" s="1766"/>
      <c r="E30" s="1766"/>
      <c r="F30" s="1145"/>
      <c r="M30" s="1145"/>
      <c r="N30" s="1766" t="s">
        <v>27</v>
      </c>
      <c r="O30" s="1766"/>
      <c r="P30" s="1766"/>
      <c r="Q30" s="1145"/>
    </row>
    <row r="31" spans="1:18" ht="16.5">
      <c r="A31" s="1133"/>
      <c r="B31" s="1133"/>
      <c r="C31" s="1133"/>
      <c r="D31" s="1133"/>
      <c r="E31" s="1133"/>
      <c r="F31" s="1133"/>
      <c r="L31" s="1133"/>
      <c r="M31" s="1133"/>
      <c r="N31" s="1133"/>
      <c r="O31" s="1133"/>
      <c r="P31" s="1133"/>
      <c r="Q31" s="1133"/>
    </row>
    <row r="32" spans="1:18" ht="60" customHeight="1">
      <c r="A32" s="1146" t="s">
        <v>28</v>
      </c>
      <c r="B32" s="1146">
        <v>3</v>
      </c>
      <c r="C32" s="1147" t="s">
        <v>29</v>
      </c>
      <c r="E32" s="1138">
        <v>11.13</v>
      </c>
      <c r="F32" s="1138"/>
      <c r="G32" s="1146">
        <f>E32*B32</f>
        <v>33.39</v>
      </c>
      <c r="L32" s="1146" t="s">
        <v>28</v>
      </c>
      <c r="M32" s="1146">
        <v>3</v>
      </c>
      <c r="N32" s="1147" t="s">
        <v>29</v>
      </c>
      <c r="P32" s="1138">
        <v>11.13</v>
      </c>
      <c r="Q32" s="1138"/>
      <c r="R32" s="1146">
        <f>P32*M32</f>
        <v>33.39</v>
      </c>
    </row>
    <row r="33" spans="1:18" ht="21.75" customHeight="1">
      <c r="A33" s="1146" t="s">
        <v>28</v>
      </c>
      <c r="B33" s="1146">
        <v>3</v>
      </c>
      <c r="C33" s="1148" t="s">
        <v>30</v>
      </c>
      <c r="E33" s="1138">
        <f>E26</f>
        <v>48.68</v>
      </c>
      <c r="F33" s="1138"/>
      <c r="G33" s="1146">
        <f>E33*B33</f>
        <v>146.04</v>
      </c>
      <c r="J33" s="115" t="s">
        <v>31</v>
      </c>
      <c r="L33" s="1146" t="s">
        <v>28</v>
      </c>
      <c r="M33" s="1146">
        <v>3</v>
      </c>
      <c r="N33" s="1148" t="s">
        <v>30</v>
      </c>
      <c r="P33" s="1138">
        <f>P26</f>
        <v>42.55</v>
      </c>
      <c r="Q33" s="1138"/>
      <c r="R33" s="1146">
        <f>P33*M33</f>
        <v>127.65</v>
      </c>
    </row>
    <row r="34" spans="1:18" ht="16.5">
      <c r="A34" s="1146"/>
      <c r="B34" s="1146"/>
      <c r="C34" s="1149"/>
      <c r="E34" s="1138"/>
      <c r="F34" s="1138"/>
      <c r="G34" s="1146"/>
      <c r="L34" s="1146"/>
      <c r="M34" s="1146"/>
      <c r="N34" s="1149"/>
      <c r="P34" s="1138"/>
      <c r="Q34" s="1138"/>
      <c r="R34" s="1146"/>
    </row>
    <row r="35" spans="1:18" ht="16.5">
      <c r="A35" s="1146"/>
      <c r="B35" s="1146"/>
      <c r="C35" s="1149" t="s">
        <v>32</v>
      </c>
      <c r="E35" s="1146"/>
      <c r="F35" s="1146"/>
      <c r="G35" s="1150">
        <f>SUM(G32:G34)</f>
        <v>179.43</v>
      </c>
      <c r="L35" s="1146"/>
      <c r="M35" s="1146"/>
      <c r="N35" s="1149" t="s">
        <v>32</v>
      </c>
      <c r="P35" s="1146"/>
      <c r="Q35" s="1146"/>
      <c r="R35" s="1150">
        <f>SUM(R32:R34)</f>
        <v>161.04</v>
      </c>
    </row>
    <row r="36" spans="1:18" ht="16.5">
      <c r="A36" s="1133"/>
      <c r="B36" s="1133"/>
      <c r="C36" s="1133"/>
      <c r="E36" s="1133"/>
      <c r="F36" s="1133"/>
      <c r="G36" s="1133"/>
      <c r="L36" s="1133"/>
      <c r="M36" s="1133"/>
      <c r="N36" s="1133"/>
      <c r="P36" s="1133"/>
      <c r="Q36" s="1133"/>
      <c r="R36" s="1133"/>
    </row>
    <row r="37" spans="1:18" ht="16.5" hidden="1">
      <c r="A37" s="1133"/>
      <c r="B37" s="1133"/>
      <c r="C37" s="1133"/>
      <c r="E37" s="1133"/>
      <c r="F37" s="1133"/>
      <c r="G37" s="1133"/>
    </row>
    <row r="38" spans="1:18" ht="16.5" hidden="1">
      <c r="A38" s="1133"/>
      <c r="B38" s="1133"/>
      <c r="C38" s="1133"/>
      <c r="E38" s="1133"/>
      <c r="F38" s="1133"/>
      <c r="G38" s="1133"/>
    </row>
    <row r="39" spans="1:18" ht="3" customHeight="1">
      <c r="A39" s="1151"/>
      <c r="B39" s="1133"/>
      <c r="C39" s="1151"/>
      <c r="E39" s="1133"/>
      <c r="F39" s="1133"/>
      <c r="G39" s="1133"/>
    </row>
    <row r="40" spans="1:18" ht="24" customHeight="1">
      <c r="A40" s="118"/>
      <c r="C40" s="114" t="s">
        <v>33</v>
      </c>
    </row>
    <row r="41" spans="1:18" ht="24" customHeight="1">
      <c r="A41" s="118">
        <v>5</v>
      </c>
      <c r="B41" s="115" t="s">
        <v>34</v>
      </c>
      <c r="C41" s="115" t="s">
        <v>35</v>
      </c>
      <c r="D41" s="115">
        <f>Data!V705</f>
        <v>1729.98</v>
      </c>
      <c r="F41" s="115">
        <f>D41*A41</f>
        <v>8649.9</v>
      </c>
      <c r="H41" s="115">
        <f>F41</f>
        <v>8649.9</v>
      </c>
    </row>
    <row r="42" spans="1:18" ht="24" customHeight="1">
      <c r="A42" s="118">
        <v>3.3</v>
      </c>
      <c r="B42" s="115" t="s">
        <v>34</v>
      </c>
      <c r="C42" s="115" t="s">
        <v>36</v>
      </c>
      <c r="D42" s="115">
        <f>Data!V706</f>
        <v>1444.48</v>
      </c>
      <c r="F42" s="115">
        <f t="shared" ref="F42:F48" si="0">D42*A42</f>
        <v>4766.78</v>
      </c>
      <c r="H42" s="115">
        <f t="shared" ref="H42:H50" si="1">F42</f>
        <v>4766.78</v>
      </c>
    </row>
    <row r="43" spans="1:18" ht="24" customHeight="1">
      <c r="A43" s="118">
        <v>4.79</v>
      </c>
      <c r="B43" s="115" t="s">
        <v>34</v>
      </c>
      <c r="C43" s="115" t="s">
        <v>37</v>
      </c>
      <c r="D43" s="115">
        <f>Data!V707</f>
        <v>1642.42</v>
      </c>
      <c r="F43" s="115">
        <f t="shared" si="0"/>
        <v>7867.19</v>
      </c>
      <c r="H43" s="115">
        <f t="shared" si="1"/>
        <v>7867.19</v>
      </c>
    </row>
    <row r="44" spans="1:18" ht="24" customHeight="1">
      <c r="A44" s="118">
        <v>3.25</v>
      </c>
      <c r="B44" s="115" t="s">
        <v>11</v>
      </c>
      <c r="C44" s="115" t="s">
        <v>38</v>
      </c>
      <c r="D44" s="115">
        <f>Data!V708</f>
        <v>6040</v>
      </c>
      <c r="F44" s="115">
        <f t="shared" si="0"/>
        <v>19630</v>
      </c>
      <c r="H44" s="115">
        <f t="shared" si="1"/>
        <v>19630</v>
      </c>
    </row>
    <row r="45" spans="1:18" ht="35.25" customHeight="1">
      <c r="A45" s="118">
        <f>3250*0.6%</f>
        <v>19.5</v>
      </c>
      <c r="B45" s="115" t="s">
        <v>39</v>
      </c>
      <c r="C45" s="184" t="s">
        <v>40</v>
      </c>
      <c r="D45" s="115">
        <f>Data!V709</f>
        <v>43.2</v>
      </c>
      <c r="F45" s="115">
        <f t="shared" si="0"/>
        <v>842.4</v>
      </c>
      <c r="H45" s="115">
        <f t="shared" si="1"/>
        <v>842.4</v>
      </c>
    </row>
    <row r="46" spans="1:18" ht="24" customHeight="1">
      <c r="A46" s="118">
        <v>3.5</v>
      </c>
      <c r="B46" s="115" t="s">
        <v>41</v>
      </c>
      <c r="C46" s="115" t="s">
        <v>42</v>
      </c>
      <c r="D46" s="115">
        <f>Data!V710</f>
        <v>972.4</v>
      </c>
      <c r="F46" s="115">
        <f t="shared" si="0"/>
        <v>3403.4</v>
      </c>
      <c r="H46" s="115">
        <f t="shared" si="1"/>
        <v>3403.4</v>
      </c>
    </row>
    <row r="47" spans="1:18" ht="24" customHeight="1">
      <c r="A47" s="118">
        <v>21.2</v>
      </c>
      <c r="B47" s="115" t="s">
        <v>41</v>
      </c>
      <c r="C47" s="115" t="s">
        <v>43</v>
      </c>
      <c r="D47" s="115">
        <f>Data!V711</f>
        <v>679.8</v>
      </c>
      <c r="F47" s="115">
        <f t="shared" si="0"/>
        <v>14411.76</v>
      </c>
      <c r="H47" s="115">
        <f t="shared" si="1"/>
        <v>14411.76</v>
      </c>
    </row>
    <row r="48" spans="1:18" ht="24" customHeight="1">
      <c r="A48" s="118">
        <v>35.299999999999997</v>
      </c>
      <c r="B48" s="115" t="s">
        <v>41</v>
      </c>
      <c r="C48" s="115" t="s">
        <v>44</v>
      </c>
      <c r="D48" s="115">
        <f>Data!V712</f>
        <v>557.70000000000005</v>
      </c>
      <c r="F48" s="115">
        <f t="shared" si="0"/>
        <v>19686.810000000001</v>
      </c>
      <c r="H48" s="115">
        <f t="shared" si="1"/>
        <v>19686.810000000001</v>
      </c>
    </row>
    <row r="49" spans="1:8" ht="24" customHeight="1">
      <c r="A49" s="118"/>
      <c r="C49" s="115" t="s">
        <v>45</v>
      </c>
      <c r="D49" s="115">
        <f>Data!V713</f>
        <v>0</v>
      </c>
      <c r="F49" s="114">
        <f>SUM(F41:F48)</f>
        <v>79258.240000000005</v>
      </c>
      <c r="H49" s="115">
        <f t="shared" si="1"/>
        <v>79258.240000000005</v>
      </c>
    </row>
    <row r="50" spans="1:8" ht="24" customHeight="1">
      <c r="A50" s="118"/>
      <c r="C50" s="115" t="s">
        <v>46</v>
      </c>
      <c r="D50" s="115">
        <f>Data!V714</f>
        <v>0</v>
      </c>
      <c r="F50" s="114">
        <f>F49/10</f>
        <v>7925.82</v>
      </c>
      <c r="H50" s="115">
        <f t="shared" si="1"/>
        <v>7925.82</v>
      </c>
    </row>
    <row r="51" spans="1:8" ht="24" customHeight="1">
      <c r="A51" s="118">
        <v>1</v>
      </c>
      <c r="B51" s="115" t="s">
        <v>34</v>
      </c>
      <c r="C51" s="115" t="s">
        <v>47</v>
      </c>
      <c r="D51" s="115">
        <f>Data!V715</f>
        <v>98.34</v>
      </c>
      <c r="F51" s="115">
        <f>D51*A51</f>
        <v>98.34</v>
      </c>
    </row>
    <row r="52" spans="1:8" ht="24" customHeight="1">
      <c r="A52" s="118"/>
      <c r="C52" s="115" t="s">
        <v>48</v>
      </c>
      <c r="D52" s="115">
        <f>Data!V716</f>
        <v>0</v>
      </c>
      <c r="F52" s="114">
        <f>SUM(F50:F51)</f>
        <v>8024.16</v>
      </c>
      <c r="H52" s="115">
        <f>H50</f>
        <v>7925.82</v>
      </c>
    </row>
    <row r="53" spans="1:8">
      <c r="A53" s="241" t="s">
        <v>49</v>
      </c>
      <c r="C53" s="115" t="s">
        <v>50</v>
      </c>
      <c r="D53" s="115" t="str">
        <f>Data!V717</f>
        <v>LS</v>
      </c>
      <c r="F53" s="115">
        <f>F52*0.5%</f>
        <v>40.119999999999997</v>
      </c>
      <c r="H53" s="115">
        <f>H52*0.5/100</f>
        <v>39.630000000000003</v>
      </c>
    </row>
    <row r="54" spans="1:8">
      <c r="A54" s="118"/>
      <c r="B54" s="116"/>
      <c r="C54" s="114" t="s">
        <v>51</v>
      </c>
      <c r="E54" s="117"/>
      <c r="F54" s="127">
        <f>SUM(F52:F53)</f>
        <v>8064.28</v>
      </c>
      <c r="H54" s="114">
        <f>SUM(H52:H53)</f>
        <v>7965.45</v>
      </c>
    </row>
    <row r="55" spans="1:8">
      <c r="A55" s="118"/>
      <c r="B55" s="116"/>
      <c r="E55" s="117"/>
      <c r="F55" s="123" t="s">
        <v>52</v>
      </c>
    </row>
    <row r="56" spans="1:8">
      <c r="A56" s="118"/>
      <c r="B56" s="116"/>
      <c r="C56" s="120" t="s">
        <v>53</v>
      </c>
      <c r="E56" s="117"/>
      <c r="F56" s="127">
        <f>F54+Data!C23</f>
        <v>8310.4599999999991</v>
      </c>
    </row>
    <row r="57" spans="1:8">
      <c r="A57" s="118"/>
      <c r="B57" s="116"/>
      <c r="C57" s="120" t="s">
        <v>54</v>
      </c>
      <c r="E57" s="117"/>
      <c r="F57" s="1152"/>
    </row>
    <row r="58" spans="1:8">
      <c r="A58" s="118"/>
      <c r="B58" s="116"/>
      <c r="C58" s="120" t="s">
        <v>55</v>
      </c>
      <c r="E58" s="117"/>
      <c r="F58" s="127">
        <f>F56+Data!C25</f>
        <v>8408.7999999999993</v>
      </c>
    </row>
    <row r="59" spans="1:8">
      <c r="A59" s="118"/>
      <c r="B59" s="116"/>
      <c r="C59" s="120" t="s">
        <v>56</v>
      </c>
      <c r="E59" s="117"/>
      <c r="F59" s="127"/>
    </row>
    <row r="60" spans="1:8">
      <c r="A60" s="118"/>
      <c r="B60" s="116"/>
      <c r="C60" s="120" t="s">
        <v>57</v>
      </c>
      <c r="E60" s="117"/>
      <c r="F60" s="127">
        <f>F58+Data!C27</f>
        <v>8444.5</v>
      </c>
    </row>
    <row r="61" spans="1:8" ht="16.5">
      <c r="A61" s="1133"/>
      <c r="B61" s="1133"/>
      <c r="C61" s="1133"/>
      <c r="E61" s="1133"/>
      <c r="F61" s="1133"/>
      <c r="G61" s="1133"/>
    </row>
    <row r="62" spans="1:8" ht="7.5" customHeight="1">
      <c r="A62" s="1133"/>
      <c r="B62" s="1133"/>
      <c r="C62" s="1133"/>
      <c r="E62" s="1133"/>
      <c r="F62" s="1133"/>
      <c r="G62" s="1133"/>
    </row>
    <row r="63" spans="1:8" ht="16.5" hidden="1">
      <c r="A63" s="1133"/>
      <c r="B63" s="1133"/>
      <c r="C63" s="1133"/>
      <c r="E63" s="1133"/>
      <c r="F63" s="1133"/>
      <c r="G63" s="1133"/>
    </row>
    <row r="64" spans="1:8" ht="16.5" hidden="1">
      <c r="A64" s="1133"/>
      <c r="B64" s="1133"/>
      <c r="C64" s="1133"/>
      <c r="E64" s="1133"/>
      <c r="F64" s="1133"/>
      <c r="G64" s="1133"/>
    </row>
    <row r="65" spans="1:7" ht="16.5">
      <c r="A65" s="1759" t="s">
        <v>0</v>
      </c>
      <c r="B65" s="1759"/>
      <c r="C65" s="1759"/>
      <c r="D65" s="1759"/>
      <c r="E65" s="1759"/>
      <c r="F65" s="1759"/>
    </row>
    <row r="66" spans="1:7" ht="16.5">
      <c r="A66" s="1759" t="s">
        <v>1</v>
      </c>
      <c r="B66" s="1759"/>
      <c r="C66" s="1759"/>
      <c r="D66" s="1759"/>
      <c r="E66" s="1759"/>
      <c r="F66" s="1759"/>
    </row>
    <row r="67" spans="1:7" ht="16.5">
      <c r="A67" s="1760" t="s">
        <v>2</v>
      </c>
      <c r="B67" s="1760"/>
      <c r="C67" s="1760"/>
      <c r="D67" s="1760"/>
      <c r="E67" s="1760"/>
      <c r="F67" s="1760"/>
    </row>
    <row r="68" spans="1:7" ht="16.5">
      <c r="A68" s="1761" t="s">
        <v>58</v>
      </c>
      <c r="B68" s="1761"/>
      <c r="C68" s="1761"/>
      <c r="D68" s="1761"/>
      <c r="E68" s="1761"/>
      <c r="F68" s="1133"/>
    </row>
    <row r="69" spans="1:7" ht="16.5">
      <c r="A69" s="1133"/>
      <c r="B69" s="1133"/>
      <c r="C69" s="1133"/>
      <c r="D69" s="1133"/>
      <c r="E69" s="1133"/>
      <c r="F69" s="1133"/>
    </row>
    <row r="70" spans="1:7" ht="19.5">
      <c r="B70" s="1134"/>
      <c r="C70" s="1762" t="s">
        <v>59</v>
      </c>
      <c r="D70" s="1762"/>
      <c r="E70" s="1762"/>
      <c r="F70" s="1134"/>
      <c r="G70" s="119" t="s">
        <v>5</v>
      </c>
    </row>
    <row r="71" spans="1:7" ht="20.25">
      <c r="A71" s="1135"/>
      <c r="B71" s="1763" t="s">
        <v>60</v>
      </c>
      <c r="C71" s="1763"/>
      <c r="D71" s="1763"/>
      <c r="E71" s="1763"/>
      <c r="F71" s="1763"/>
      <c r="G71" s="118">
        <v>2.2599999999999998</v>
      </c>
    </row>
    <row r="72" spans="1:7" ht="31.5" customHeight="1">
      <c r="A72" s="164"/>
      <c r="B72" s="164"/>
      <c r="C72" s="1153" t="s">
        <v>61</v>
      </c>
      <c r="D72" s="164"/>
      <c r="E72" s="164"/>
      <c r="F72" s="164"/>
    </row>
    <row r="73" spans="1:7" ht="36.75" customHeight="1">
      <c r="A73" s="1137">
        <f>G71</f>
        <v>2.2599999999999998</v>
      </c>
      <c r="B73" s="164" t="s">
        <v>5</v>
      </c>
      <c r="C73" s="164" t="s">
        <v>62</v>
      </c>
      <c r="D73" s="1133"/>
      <c r="E73" s="1138">
        <f>E9</f>
        <v>8509.7199999999993</v>
      </c>
      <c r="F73" s="1138">
        <f>A73*E73</f>
        <v>19231.97</v>
      </c>
    </row>
    <row r="74" spans="1:7" ht="16.5">
      <c r="A74" s="1139">
        <f>A73*10/100</f>
        <v>0.22600000000000001</v>
      </c>
      <c r="B74" s="164" t="s">
        <v>11</v>
      </c>
      <c r="C74" s="164" t="s">
        <v>63</v>
      </c>
      <c r="D74" s="1133"/>
      <c r="E74" s="1138">
        <v>4000</v>
      </c>
      <c r="F74" s="1138">
        <f>A74*E74</f>
        <v>904</v>
      </c>
    </row>
    <row r="75" spans="1:7" ht="16.5">
      <c r="A75" s="1138">
        <v>8</v>
      </c>
      <c r="B75" s="164" t="s">
        <v>13</v>
      </c>
      <c r="C75" s="164" t="s">
        <v>14</v>
      </c>
      <c r="D75" s="1133"/>
      <c r="E75" s="1138">
        <v>960</v>
      </c>
      <c r="F75" s="1138">
        <f>A75*E75</f>
        <v>7680</v>
      </c>
    </row>
    <row r="76" spans="1:7" ht="16.5">
      <c r="A76" s="164"/>
      <c r="B76" s="164"/>
      <c r="C76" s="164"/>
      <c r="D76" s="1133"/>
      <c r="E76" s="164"/>
      <c r="F76" s="164"/>
    </row>
    <row r="77" spans="1:7" ht="16.5">
      <c r="A77" s="164"/>
      <c r="B77" s="164"/>
      <c r="C77" s="164" t="s">
        <v>15</v>
      </c>
      <c r="D77" s="1133"/>
      <c r="E77" s="164"/>
      <c r="F77" s="1138">
        <f>SUM(F73:F76)</f>
        <v>27815.97</v>
      </c>
    </row>
    <row r="78" spans="1:7" ht="16.5">
      <c r="A78" s="164"/>
      <c r="B78" s="164"/>
      <c r="C78" s="164" t="s">
        <v>16</v>
      </c>
      <c r="D78" s="1133"/>
      <c r="E78" s="164"/>
      <c r="F78" s="1138">
        <f>F77/8</f>
        <v>3477</v>
      </c>
    </row>
    <row r="79" spans="1:7" ht="16.5">
      <c r="A79" s="164"/>
      <c r="B79" s="164"/>
      <c r="C79" s="164" t="s">
        <v>17</v>
      </c>
      <c r="D79" s="1133"/>
      <c r="E79" s="164"/>
      <c r="F79" s="164">
        <f>1000/8</f>
        <v>125</v>
      </c>
    </row>
    <row r="80" spans="1:7" ht="16.5">
      <c r="A80" s="164"/>
      <c r="B80" s="164"/>
      <c r="C80" s="164"/>
      <c r="D80" s="1133"/>
      <c r="E80" s="164"/>
      <c r="F80" s="164"/>
    </row>
    <row r="81" spans="1:7" ht="16.5">
      <c r="A81" s="164"/>
      <c r="B81" s="164"/>
      <c r="C81" s="164" t="s">
        <v>16</v>
      </c>
      <c r="D81" s="1133"/>
      <c r="E81" s="164"/>
      <c r="F81" s="1141">
        <f>SUM(F78:F80)</f>
        <v>3602</v>
      </c>
    </row>
    <row r="82" spans="1:7" ht="16.5">
      <c r="A82" s="164"/>
      <c r="B82" s="164"/>
      <c r="C82" s="164" t="s">
        <v>18</v>
      </c>
      <c r="D82" s="164"/>
      <c r="E82" s="164"/>
      <c r="F82" s="164"/>
    </row>
    <row r="83" spans="1:7" ht="16.5">
      <c r="A83" s="164"/>
      <c r="B83" s="164"/>
      <c r="C83" s="164"/>
      <c r="D83" s="164"/>
      <c r="E83" s="164"/>
      <c r="F83" s="164"/>
    </row>
    <row r="84" spans="1:7" ht="16.5">
      <c r="A84" s="164"/>
      <c r="B84" s="164"/>
      <c r="C84" s="164"/>
      <c r="D84" s="164"/>
      <c r="E84" s="164"/>
      <c r="F84" s="164"/>
    </row>
    <row r="85" spans="1:7" ht="16.5">
      <c r="A85" s="1142"/>
      <c r="B85" s="1142"/>
      <c r="C85" s="1764" t="s">
        <v>19</v>
      </c>
      <c r="D85" s="1764"/>
      <c r="E85" s="1764"/>
      <c r="F85" s="1142"/>
      <c r="G85" s="114"/>
    </row>
    <row r="86" spans="1:7" ht="20.25">
      <c r="A86" s="1143"/>
      <c r="B86" s="1763" t="s">
        <v>64</v>
      </c>
      <c r="C86" s="1763"/>
      <c r="D86" s="1763"/>
      <c r="E86" s="1763"/>
      <c r="F86" s="1763"/>
      <c r="G86" s="115">
        <f>3.14*0.6*0.6/4</f>
        <v>0.28000000000000003</v>
      </c>
    </row>
    <row r="87" spans="1:7" ht="39.75" customHeight="1">
      <c r="A87" s="164"/>
      <c r="B87" s="164"/>
      <c r="C87" s="1144" t="s">
        <v>21</v>
      </c>
      <c r="D87" s="164"/>
      <c r="E87" s="164"/>
      <c r="F87" s="164"/>
    </row>
    <row r="88" spans="1:7" ht="16.5">
      <c r="A88" s="1137">
        <f>G86</f>
        <v>0.28000000000000003</v>
      </c>
      <c r="B88" s="164" t="s">
        <v>5</v>
      </c>
      <c r="C88" s="164" t="s">
        <v>65</v>
      </c>
      <c r="D88" s="1133"/>
      <c r="E88" s="1138">
        <f>E24</f>
        <v>7018</v>
      </c>
      <c r="F88" s="1138">
        <f>A88*E88</f>
        <v>1965.04</v>
      </c>
    </row>
    <row r="89" spans="1:7" ht="16.5">
      <c r="A89" s="1137">
        <f>+A88</f>
        <v>0.28000000000000003</v>
      </c>
      <c r="B89" s="164" t="s">
        <v>5</v>
      </c>
      <c r="C89" s="1765" t="s">
        <v>24</v>
      </c>
      <c r="D89" s="1765"/>
      <c r="E89" s="1138">
        <f>E25</f>
        <v>37.799999999999997</v>
      </c>
      <c r="F89" s="1138">
        <f>E89*A89</f>
        <v>10.58</v>
      </c>
    </row>
    <row r="90" spans="1:7" ht="16.5">
      <c r="A90" s="1137">
        <f>+A89</f>
        <v>0.28000000000000003</v>
      </c>
      <c r="B90" s="164" t="s">
        <v>5</v>
      </c>
      <c r="C90" s="164" t="s">
        <v>26</v>
      </c>
      <c r="D90" s="1133"/>
      <c r="E90" s="1138">
        <f>E26</f>
        <v>48.68</v>
      </c>
      <c r="F90" s="1138">
        <f>A90*E90</f>
        <v>13.63</v>
      </c>
    </row>
    <row r="91" spans="1:7" ht="16.5">
      <c r="A91" s="1138"/>
      <c r="B91" s="164"/>
      <c r="C91" s="164"/>
      <c r="D91" s="1133"/>
      <c r="E91" s="1138"/>
      <c r="F91" s="1138"/>
    </row>
    <row r="92" spans="1:7" ht="16.5">
      <c r="A92" s="164"/>
      <c r="B92" s="164"/>
      <c r="C92" s="164" t="s">
        <v>16</v>
      </c>
      <c r="D92" s="1133"/>
      <c r="E92" s="164"/>
      <c r="F92" s="1141">
        <f>SUM(F88:F91)</f>
        <v>1989.25</v>
      </c>
    </row>
    <row r="93" spans="1:7" ht="16.5">
      <c r="A93" s="1133"/>
      <c r="B93" s="1133"/>
      <c r="C93" s="1133"/>
      <c r="D93" s="1133"/>
      <c r="E93" s="1133"/>
      <c r="F93" s="1133"/>
    </row>
    <row r="94" spans="1:7" ht="16.5">
      <c r="B94" s="1145"/>
      <c r="C94" s="1766" t="s">
        <v>27</v>
      </c>
      <c r="D94" s="1766"/>
      <c r="E94" s="1766"/>
      <c r="F94" s="1145"/>
    </row>
    <row r="95" spans="1:7" ht="16.5">
      <c r="A95" s="1133"/>
      <c r="B95" s="1133"/>
      <c r="C95" s="1133"/>
      <c r="D95" s="1133"/>
      <c r="E95" s="1133"/>
      <c r="F95" s="1133"/>
    </row>
    <row r="96" spans="1:7" ht="33">
      <c r="A96" s="1146" t="s">
        <v>28</v>
      </c>
      <c r="B96" s="1146">
        <v>3</v>
      </c>
      <c r="C96" s="1147" t="s">
        <v>29</v>
      </c>
      <c r="E96" s="1146">
        <f>E32</f>
        <v>11.13</v>
      </c>
      <c r="F96" s="1146" t="s">
        <v>34</v>
      </c>
      <c r="G96" s="1146">
        <f>E96*B96</f>
        <v>33.39</v>
      </c>
    </row>
    <row r="97" spans="1:7" ht="16.5">
      <c r="A97" s="1146" t="s">
        <v>28</v>
      </c>
      <c r="B97" s="1146">
        <v>3</v>
      </c>
      <c r="C97" s="1148" t="s">
        <v>30</v>
      </c>
      <c r="E97" s="1146">
        <f>E90</f>
        <v>48.68</v>
      </c>
      <c r="F97" s="1146" t="s">
        <v>34</v>
      </c>
      <c r="G97" s="1146">
        <f>E97*B97</f>
        <v>146.04</v>
      </c>
    </row>
    <row r="98" spans="1:7" ht="16.5">
      <c r="A98" s="1146"/>
      <c r="B98" s="1146"/>
      <c r="C98" s="1149"/>
      <c r="E98" s="1146"/>
      <c r="F98" s="1146"/>
      <c r="G98" s="1146"/>
    </row>
    <row r="99" spans="1:7" ht="16.5">
      <c r="A99" s="1146"/>
      <c r="B99" s="1146"/>
      <c r="C99" s="1149" t="s">
        <v>32</v>
      </c>
      <c r="E99" s="1146"/>
      <c r="F99" s="1146"/>
      <c r="G99" s="1150">
        <f>SUM(G96:G98)</f>
        <v>179.43</v>
      </c>
    </row>
    <row r="100" spans="1:7" ht="16.5">
      <c r="A100" s="1133"/>
      <c r="B100" s="1133"/>
      <c r="C100" s="1133"/>
      <c r="E100" s="1133"/>
      <c r="F100" s="1133"/>
      <c r="G100" s="1133"/>
    </row>
    <row r="101" spans="1:7" ht="23.25" hidden="1" customHeight="1">
      <c r="A101" s="1133"/>
      <c r="B101" s="1133"/>
      <c r="C101" s="1133"/>
      <c r="E101" s="1133"/>
      <c r="F101" s="1133"/>
      <c r="G101" s="1133"/>
    </row>
    <row r="102" spans="1:7" ht="23.25" hidden="1" customHeight="1">
      <c r="A102" s="1133"/>
      <c r="B102" s="1133"/>
      <c r="C102" s="1133"/>
      <c r="E102" s="1133"/>
      <c r="F102" s="1133"/>
      <c r="G102" s="1133"/>
    </row>
    <row r="103" spans="1:7" ht="29.25" hidden="1" customHeight="1">
      <c r="A103" s="118"/>
      <c r="B103" s="114">
        <v>4.2</v>
      </c>
      <c r="C103" s="114" t="s">
        <v>66</v>
      </c>
    </row>
    <row r="104" spans="1:7" ht="30" hidden="1" customHeight="1">
      <c r="A104" s="118">
        <v>5</v>
      </c>
      <c r="B104" s="115" t="s">
        <v>34</v>
      </c>
      <c r="C104" s="115" t="s">
        <v>35</v>
      </c>
      <c r="D104" s="115">
        <f>D41</f>
        <v>1729.98</v>
      </c>
      <c r="F104" s="115">
        <f>D104*A104</f>
        <v>8649.9</v>
      </c>
    </row>
    <row r="105" spans="1:7" ht="30" hidden="1" customHeight="1">
      <c r="A105" s="118">
        <v>3.3</v>
      </c>
      <c r="B105" s="115" t="s">
        <v>34</v>
      </c>
      <c r="C105" s="115" t="s">
        <v>36</v>
      </c>
      <c r="D105" s="115">
        <f t="shared" ref="D105:D116" si="2">D42</f>
        <v>1444.48</v>
      </c>
      <c r="F105" s="115">
        <f t="shared" ref="F105:F111" si="3">D105*A105</f>
        <v>4766.78</v>
      </c>
    </row>
    <row r="106" spans="1:7" ht="30" hidden="1" customHeight="1">
      <c r="A106" s="118">
        <v>4.79</v>
      </c>
      <c r="B106" s="115" t="s">
        <v>34</v>
      </c>
      <c r="C106" s="115" t="s">
        <v>37</v>
      </c>
      <c r="D106" s="115">
        <f t="shared" si="2"/>
        <v>1642.42</v>
      </c>
      <c r="F106" s="115">
        <f t="shared" si="3"/>
        <v>7867.19</v>
      </c>
    </row>
    <row r="107" spans="1:7" ht="30" hidden="1" customHeight="1">
      <c r="A107" s="118">
        <v>4</v>
      </c>
      <c r="B107" s="115" t="s">
        <v>11</v>
      </c>
      <c r="C107" s="115" t="s">
        <v>38</v>
      </c>
      <c r="D107" s="115">
        <f t="shared" si="2"/>
        <v>6040</v>
      </c>
      <c r="F107" s="115">
        <f t="shared" si="3"/>
        <v>24160</v>
      </c>
    </row>
    <row r="108" spans="1:7" ht="30" hidden="1" customHeight="1">
      <c r="A108" s="118">
        <v>40</v>
      </c>
      <c r="B108" s="115" t="s">
        <v>39</v>
      </c>
      <c r="C108" s="115" t="s">
        <v>67</v>
      </c>
      <c r="D108" s="115">
        <f t="shared" si="2"/>
        <v>43.2</v>
      </c>
      <c r="F108" s="115">
        <f t="shared" si="3"/>
        <v>1728</v>
      </c>
    </row>
    <row r="109" spans="1:7" ht="30" hidden="1" customHeight="1">
      <c r="A109" s="118">
        <v>3.5</v>
      </c>
      <c r="B109" s="115" t="s">
        <v>41</v>
      </c>
      <c r="C109" s="115" t="s">
        <v>42</v>
      </c>
      <c r="D109" s="115">
        <f t="shared" si="2"/>
        <v>972.4</v>
      </c>
      <c r="F109" s="115">
        <f t="shared" si="3"/>
        <v>3403.4</v>
      </c>
    </row>
    <row r="110" spans="1:7" ht="30" hidden="1" customHeight="1">
      <c r="A110" s="118">
        <v>21.2</v>
      </c>
      <c r="B110" s="115" t="s">
        <v>41</v>
      </c>
      <c r="C110" s="115" t="s">
        <v>43</v>
      </c>
      <c r="D110" s="115">
        <f t="shared" si="2"/>
        <v>679.8</v>
      </c>
      <c r="F110" s="115">
        <f t="shared" si="3"/>
        <v>14411.76</v>
      </c>
    </row>
    <row r="111" spans="1:7" ht="30" hidden="1" customHeight="1">
      <c r="A111" s="118">
        <v>35.299999999999997</v>
      </c>
      <c r="B111" s="115" t="s">
        <v>41</v>
      </c>
      <c r="C111" s="115" t="s">
        <v>44</v>
      </c>
      <c r="D111" s="115">
        <f t="shared" si="2"/>
        <v>557.70000000000005</v>
      </c>
      <c r="F111" s="115">
        <f t="shared" si="3"/>
        <v>19686.810000000001</v>
      </c>
    </row>
    <row r="112" spans="1:7" ht="30" hidden="1" customHeight="1">
      <c r="A112" s="118"/>
      <c r="C112" s="114" t="s">
        <v>45</v>
      </c>
      <c r="D112" s="115">
        <f t="shared" si="2"/>
        <v>0</v>
      </c>
      <c r="F112" s="114">
        <f>SUM(F104:F111)</f>
        <v>84673.84</v>
      </c>
    </row>
    <row r="113" spans="1:7" ht="30" hidden="1" customHeight="1">
      <c r="A113" s="118"/>
      <c r="C113" s="114" t="s">
        <v>46</v>
      </c>
      <c r="D113" s="115">
        <f t="shared" si="2"/>
        <v>0</v>
      </c>
      <c r="F113" s="114">
        <f>F112/10</f>
        <v>8467.3799999999992</v>
      </c>
      <c r="G113" s="115">
        <f>F113</f>
        <v>8467.3799999999992</v>
      </c>
    </row>
    <row r="114" spans="1:7" ht="30" hidden="1" customHeight="1">
      <c r="A114" s="118">
        <v>1</v>
      </c>
      <c r="B114" s="115" t="s">
        <v>34</v>
      </c>
      <c r="C114" s="115" t="s">
        <v>68</v>
      </c>
      <c r="D114" s="115">
        <f t="shared" si="2"/>
        <v>98.34</v>
      </c>
      <c r="F114" s="115">
        <f>D114</f>
        <v>98.34</v>
      </c>
    </row>
    <row r="115" spans="1:7" ht="30" hidden="1" customHeight="1">
      <c r="A115" s="118"/>
      <c r="C115" s="115" t="s">
        <v>48</v>
      </c>
      <c r="D115" s="115">
        <f t="shared" si="2"/>
        <v>0</v>
      </c>
      <c r="F115" s="114">
        <f>SUM(F113:F114)</f>
        <v>8565.7199999999993</v>
      </c>
      <c r="G115" s="115">
        <f>SUM(G113:G114)</f>
        <v>8467.3799999999992</v>
      </c>
    </row>
    <row r="116" spans="1:7" ht="30" hidden="1" customHeight="1">
      <c r="A116" s="241" t="s">
        <v>49</v>
      </c>
      <c r="C116" s="115" t="s">
        <v>50</v>
      </c>
      <c r="D116" s="115" t="str">
        <f t="shared" si="2"/>
        <v>LS</v>
      </c>
      <c r="F116" s="115">
        <f>F115*0.5%</f>
        <v>42.83</v>
      </c>
      <c r="G116" s="115">
        <f>G115*0.5/100</f>
        <v>42.34</v>
      </c>
    </row>
    <row r="117" spans="1:7" ht="30" hidden="1" customHeight="1">
      <c r="A117" s="118"/>
      <c r="B117" s="116"/>
      <c r="C117" s="114" t="s">
        <v>51</v>
      </c>
      <c r="E117" s="117"/>
      <c r="F117" s="127">
        <f>SUM(F115:F116)</f>
        <v>8608.5499999999993</v>
      </c>
      <c r="G117" s="114">
        <f>SUM(G115:G116)</f>
        <v>8509.7199999999993</v>
      </c>
    </row>
    <row r="118" spans="1:7" ht="16.5" hidden="1">
      <c r="A118" s="1133"/>
      <c r="B118" s="1133"/>
      <c r="C118" s="1133"/>
      <c r="E118" s="1133"/>
      <c r="F118" s="1133"/>
      <c r="G118" s="1133"/>
    </row>
    <row r="119" spans="1:7" ht="16.5" hidden="1">
      <c r="A119" s="1133"/>
      <c r="B119" s="1133"/>
      <c r="C119" s="1133"/>
      <c r="E119" s="1133"/>
      <c r="F119" s="1133"/>
      <c r="G119" s="1133"/>
    </row>
    <row r="120" spans="1:7" ht="16.5" hidden="1">
      <c r="A120" s="1133"/>
      <c r="B120" s="1133"/>
      <c r="C120" s="1133"/>
      <c r="E120" s="1133"/>
      <c r="F120" s="1133"/>
      <c r="G120" s="1133"/>
    </row>
    <row r="121" spans="1:7" ht="16.5" hidden="1">
      <c r="A121" s="1133"/>
      <c r="B121" s="1133"/>
      <c r="C121" s="1133"/>
      <c r="E121" s="1133"/>
      <c r="F121" s="1133"/>
      <c r="G121" s="1151"/>
    </row>
    <row r="122" spans="1:7" ht="16.5" hidden="1">
      <c r="A122" s="1133"/>
      <c r="B122" s="1133"/>
      <c r="C122" s="1133"/>
      <c r="E122" s="1133"/>
      <c r="F122" s="1133"/>
      <c r="G122" s="1133"/>
    </row>
    <row r="123" spans="1:7" ht="16.5" hidden="1">
      <c r="A123" s="1133"/>
      <c r="B123" s="1133"/>
      <c r="C123" s="1133"/>
      <c r="E123" s="1133"/>
      <c r="F123" s="1133"/>
      <c r="G123" s="1133"/>
    </row>
    <row r="124" spans="1:7" ht="16.5" hidden="1">
      <c r="A124" s="1133"/>
      <c r="B124" s="1133"/>
      <c r="C124" s="1133"/>
      <c r="E124" s="1133"/>
      <c r="F124" s="1133"/>
      <c r="G124" s="1133"/>
    </row>
    <row r="125" spans="1:7" ht="16.5">
      <c r="A125" s="1759" t="s">
        <v>0</v>
      </c>
      <c r="B125" s="1759"/>
      <c r="C125" s="1759"/>
      <c r="D125" s="1759"/>
      <c r="E125" s="1759"/>
      <c r="F125" s="1759"/>
    </row>
    <row r="126" spans="1:7" ht="16.5">
      <c r="A126" s="1759" t="s">
        <v>1</v>
      </c>
      <c r="B126" s="1759"/>
      <c r="C126" s="1759"/>
      <c r="D126" s="1759"/>
      <c r="E126" s="1759"/>
      <c r="F126" s="1759"/>
    </row>
    <row r="127" spans="1:7" ht="16.5">
      <c r="A127" s="1760" t="s">
        <v>2</v>
      </c>
      <c r="B127" s="1760"/>
      <c r="C127" s="1760"/>
      <c r="D127" s="1760"/>
      <c r="E127" s="1760"/>
      <c r="F127" s="1760"/>
    </row>
    <row r="128" spans="1:7" ht="16.5">
      <c r="A128" s="1761" t="s">
        <v>58</v>
      </c>
      <c r="B128" s="1761"/>
      <c r="C128" s="1761"/>
      <c r="D128" s="1761"/>
      <c r="E128" s="1761"/>
      <c r="F128" s="1133"/>
    </row>
    <row r="129" spans="1:7" ht="16.5">
      <c r="A129" s="1133"/>
      <c r="B129" s="1133"/>
      <c r="C129" s="1133"/>
      <c r="D129" s="1133"/>
      <c r="E129" s="1133"/>
      <c r="F129" s="1133"/>
    </row>
    <row r="130" spans="1:7" ht="19.5">
      <c r="B130" s="1134"/>
      <c r="C130" s="1762" t="s">
        <v>69</v>
      </c>
      <c r="D130" s="1762"/>
      <c r="E130" s="1762"/>
      <c r="F130" s="1134"/>
      <c r="G130" s="119" t="s">
        <v>5</v>
      </c>
    </row>
    <row r="131" spans="1:7" ht="20.25">
      <c r="A131" s="1135"/>
      <c r="B131" s="1763" t="s">
        <v>70</v>
      </c>
      <c r="C131" s="1763"/>
      <c r="D131" s="1763"/>
      <c r="E131" s="1763"/>
      <c r="F131" s="1763"/>
      <c r="G131" s="118">
        <f>3.14*0.4*0.4*8/4</f>
        <v>1.0049999999999999</v>
      </c>
    </row>
    <row r="132" spans="1:7" ht="34.5" customHeight="1">
      <c r="A132" s="164"/>
      <c r="B132" s="164"/>
      <c r="C132" s="1154" t="s">
        <v>71</v>
      </c>
      <c r="D132" s="164"/>
      <c r="E132" s="164"/>
      <c r="F132" s="164"/>
    </row>
    <row r="133" spans="1:7" ht="16.5">
      <c r="A133" s="1137">
        <f>G131</f>
        <v>1.0049999999999999</v>
      </c>
      <c r="B133" s="164" t="s">
        <v>5</v>
      </c>
      <c r="C133" s="164" t="s">
        <v>72</v>
      </c>
      <c r="D133" s="1133"/>
      <c r="E133" s="1138">
        <f>E73</f>
        <v>8509.7199999999993</v>
      </c>
      <c r="F133" s="1138">
        <f>A133*E133</f>
        <v>8552.27</v>
      </c>
    </row>
    <row r="134" spans="1:7" ht="16.5">
      <c r="A134" s="1139">
        <f>A133*10/100</f>
        <v>0.10050000000000001</v>
      </c>
      <c r="B134" s="164" t="s">
        <v>11</v>
      </c>
      <c r="C134" s="164" t="s">
        <v>63</v>
      </c>
      <c r="D134" s="1133"/>
      <c r="E134" s="1138">
        <v>4000</v>
      </c>
      <c r="F134" s="1138">
        <f>A134*E134</f>
        <v>402</v>
      </c>
    </row>
    <row r="135" spans="1:7" ht="16.5">
      <c r="A135" s="1138">
        <v>8</v>
      </c>
      <c r="B135" s="164" t="s">
        <v>13</v>
      </c>
      <c r="C135" s="164" t="s">
        <v>14</v>
      </c>
      <c r="D135" s="1133"/>
      <c r="E135" s="1138">
        <v>960</v>
      </c>
      <c r="F135" s="1138">
        <f>A135*E135</f>
        <v>7680</v>
      </c>
    </row>
    <row r="136" spans="1:7" ht="16.5">
      <c r="A136" s="164"/>
      <c r="B136" s="164"/>
      <c r="C136" s="164"/>
      <c r="D136" s="1133"/>
      <c r="E136" s="164"/>
      <c r="F136" s="164"/>
    </row>
    <row r="137" spans="1:7" ht="16.5">
      <c r="A137" s="164"/>
      <c r="B137" s="164"/>
      <c r="C137" s="164" t="s">
        <v>15</v>
      </c>
      <c r="D137" s="1133"/>
      <c r="E137" s="164"/>
      <c r="F137" s="1138">
        <f>SUM(F133:F136)</f>
        <v>16634.27</v>
      </c>
    </row>
    <row r="138" spans="1:7" ht="16.5">
      <c r="A138" s="164"/>
      <c r="B138" s="164"/>
      <c r="C138" s="164" t="s">
        <v>16</v>
      </c>
      <c r="D138" s="1133"/>
      <c r="E138" s="164"/>
      <c r="F138" s="1138">
        <f>F137/7</f>
        <v>2376.3200000000002</v>
      </c>
    </row>
    <row r="139" spans="1:7" ht="16.5">
      <c r="A139" s="164"/>
      <c r="B139" s="164"/>
      <c r="C139" s="164" t="s">
        <v>17</v>
      </c>
      <c r="D139" s="1133"/>
      <c r="E139" s="164"/>
      <c r="F139" s="164">
        <f>1000/8</f>
        <v>125</v>
      </c>
    </row>
    <row r="140" spans="1:7" ht="16.5">
      <c r="A140" s="164"/>
      <c r="B140" s="164"/>
      <c r="C140" s="164"/>
      <c r="D140" s="1133"/>
      <c r="E140" s="164"/>
      <c r="F140" s="164"/>
    </row>
    <row r="141" spans="1:7" ht="16.5">
      <c r="A141" s="164"/>
      <c r="B141" s="164"/>
      <c r="C141" s="164" t="s">
        <v>16</v>
      </c>
      <c r="D141" s="1133"/>
      <c r="E141" s="164"/>
      <c r="F141" s="1141">
        <f>SUM(F138:F140)</f>
        <v>2501.3200000000002</v>
      </c>
    </row>
    <row r="142" spans="1:7" ht="16.5">
      <c r="A142" s="164"/>
      <c r="B142" s="164"/>
      <c r="C142" s="164" t="s">
        <v>18</v>
      </c>
      <c r="D142" s="164"/>
      <c r="E142" s="164"/>
      <c r="F142" s="164"/>
    </row>
    <row r="143" spans="1:7" ht="16.5">
      <c r="A143" s="164"/>
      <c r="B143" s="164"/>
      <c r="C143" s="164"/>
      <c r="D143" s="164"/>
      <c r="E143" s="164"/>
      <c r="F143" s="164"/>
    </row>
    <row r="144" spans="1:7" ht="16.5">
      <c r="A144" s="164"/>
      <c r="B144" s="164"/>
      <c r="C144" s="164"/>
      <c r="D144" s="164"/>
      <c r="E144" s="164"/>
      <c r="F144" s="164"/>
    </row>
    <row r="145" spans="1:7" ht="16.5">
      <c r="A145" s="1142"/>
      <c r="B145" s="1142"/>
      <c r="C145" s="1764" t="s">
        <v>19</v>
      </c>
      <c r="D145" s="1764"/>
      <c r="E145" s="1764"/>
      <c r="F145" s="1142"/>
      <c r="G145" s="114"/>
    </row>
    <row r="146" spans="1:7" ht="20.25">
      <c r="A146" s="1143"/>
      <c r="B146" s="1763" t="s">
        <v>73</v>
      </c>
      <c r="C146" s="1763"/>
      <c r="D146" s="1763"/>
      <c r="E146" s="1763"/>
      <c r="F146" s="1763"/>
      <c r="G146" s="118">
        <f>3.14*0.4*0.4/4</f>
        <v>0.126</v>
      </c>
    </row>
    <row r="147" spans="1:7" ht="16.5">
      <c r="A147" s="164"/>
      <c r="B147" s="164"/>
      <c r="C147" s="1144" t="s">
        <v>74</v>
      </c>
      <c r="D147" s="164"/>
      <c r="E147" s="164"/>
      <c r="F147" s="164"/>
    </row>
    <row r="148" spans="1:7" ht="16.5">
      <c r="A148" s="1137">
        <f>G146</f>
        <v>0.126</v>
      </c>
      <c r="B148" s="164" t="s">
        <v>5</v>
      </c>
      <c r="C148" s="164" t="s">
        <v>75</v>
      </c>
      <c r="D148" s="1133"/>
      <c r="E148" s="1138">
        <f>E88</f>
        <v>7018</v>
      </c>
      <c r="F148" s="1138">
        <f>A148*E148</f>
        <v>884.27</v>
      </c>
    </row>
    <row r="149" spans="1:7" ht="16.5">
      <c r="A149" s="1137">
        <f>+A148</f>
        <v>0.126</v>
      </c>
      <c r="B149" s="164" t="s">
        <v>5</v>
      </c>
      <c r="C149" s="1765" t="s">
        <v>76</v>
      </c>
      <c r="D149" s="1765"/>
      <c r="E149" s="1138">
        <f>E89</f>
        <v>37.799999999999997</v>
      </c>
      <c r="F149" s="1138">
        <f>E149*A149</f>
        <v>4.76</v>
      </c>
    </row>
    <row r="150" spans="1:7" ht="16.5">
      <c r="A150" s="1137">
        <f>+A149</f>
        <v>0.126</v>
      </c>
      <c r="B150" s="164" t="s">
        <v>5</v>
      </c>
      <c r="C150" s="164" t="s">
        <v>30</v>
      </c>
      <c r="D150" s="1133"/>
      <c r="E150" s="1138">
        <f>E90</f>
        <v>48.68</v>
      </c>
      <c r="F150" s="1138">
        <f>A150*E150</f>
        <v>6.13</v>
      </c>
    </row>
    <row r="151" spans="1:7" ht="16.5">
      <c r="A151" s="1138"/>
      <c r="B151" s="164"/>
      <c r="C151" s="164"/>
      <c r="D151" s="1133"/>
      <c r="E151" s="1138"/>
      <c r="F151" s="1138"/>
    </row>
    <row r="152" spans="1:7" ht="16.5">
      <c r="A152" s="164"/>
      <c r="B152" s="164"/>
      <c r="C152" s="164" t="s">
        <v>16</v>
      </c>
      <c r="D152" s="1133"/>
      <c r="E152" s="164"/>
      <c r="F152" s="1141">
        <f>SUM(F148:F151)</f>
        <v>895.16</v>
      </c>
    </row>
    <row r="153" spans="1:7" ht="16.5">
      <c r="A153" s="1133"/>
      <c r="B153" s="1133"/>
      <c r="C153" s="1133"/>
      <c r="D153" s="1133"/>
      <c r="E153" s="1133"/>
      <c r="F153" s="1133"/>
    </row>
    <row r="154" spans="1:7" ht="16.5">
      <c r="B154" s="1145"/>
      <c r="C154" s="1766" t="s">
        <v>27</v>
      </c>
      <c r="D154" s="1766"/>
      <c r="E154" s="1766"/>
      <c r="F154" s="1145"/>
    </row>
    <row r="155" spans="1:7" ht="16.5">
      <c r="A155" s="1133"/>
      <c r="B155" s="1133"/>
      <c r="C155" s="1133"/>
      <c r="D155" s="1133"/>
      <c r="E155" s="1133"/>
      <c r="F155" s="1133"/>
    </row>
    <row r="156" spans="1:7" ht="33">
      <c r="A156" s="1146" t="s">
        <v>28</v>
      </c>
      <c r="B156" s="1146">
        <v>3</v>
      </c>
      <c r="C156" s="1147" t="s">
        <v>29</v>
      </c>
      <c r="E156" s="1146">
        <f>E96</f>
        <v>11.13</v>
      </c>
      <c r="F156" s="1146" t="s">
        <v>34</v>
      </c>
      <c r="G156" s="1146">
        <f>E156*B156</f>
        <v>33.39</v>
      </c>
    </row>
    <row r="157" spans="1:7" ht="16.5">
      <c r="A157" s="1146" t="s">
        <v>28</v>
      </c>
      <c r="B157" s="1146">
        <v>3</v>
      </c>
      <c r="C157" s="1148" t="s">
        <v>30</v>
      </c>
      <c r="E157" s="1146">
        <f>E97</f>
        <v>48.68</v>
      </c>
      <c r="F157" s="1146" t="s">
        <v>34</v>
      </c>
      <c r="G157" s="1146">
        <f>E157*B157</f>
        <v>146.04</v>
      </c>
    </row>
    <row r="158" spans="1:7" ht="16.5">
      <c r="A158" s="1146"/>
      <c r="B158" s="1146"/>
      <c r="C158" s="1149"/>
      <c r="E158" s="1146"/>
      <c r="F158" s="1146"/>
      <c r="G158" s="1146"/>
    </row>
    <row r="159" spans="1:7" ht="16.5">
      <c r="A159" s="1146"/>
      <c r="B159" s="1146"/>
      <c r="C159" s="1149" t="s">
        <v>32</v>
      </c>
      <c r="E159" s="1146"/>
      <c r="F159" s="1146"/>
      <c r="G159" s="1150">
        <f>SUM(G156:G158)</f>
        <v>179.43</v>
      </c>
    </row>
    <row r="160" spans="1:7" ht="16.5">
      <c r="A160" s="1133"/>
      <c r="B160" s="1133"/>
      <c r="C160" s="1133"/>
      <c r="E160" s="1133"/>
      <c r="F160" s="1133"/>
      <c r="G160" s="1133"/>
    </row>
    <row r="161" spans="1:7" ht="16.5">
      <c r="A161" s="1133"/>
      <c r="B161" s="1133"/>
      <c r="C161" s="1133"/>
      <c r="E161" s="1133"/>
      <c r="F161" s="1133"/>
      <c r="G161" s="1133"/>
    </row>
    <row r="162" spans="1:7">
      <c r="A162" s="167"/>
      <c r="B162" s="126"/>
      <c r="C162" s="120"/>
    </row>
    <row r="163" spans="1:7">
      <c r="B163" s="116"/>
      <c r="C163" s="120"/>
    </row>
    <row r="164" spans="1:7">
      <c r="B164" s="116"/>
      <c r="C164" s="120"/>
    </row>
    <row r="165" spans="1:7" ht="16.5">
      <c r="A165" s="1759" t="s">
        <v>0</v>
      </c>
      <c r="B165" s="1759"/>
      <c r="C165" s="1759"/>
      <c r="D165" s="1759"/>
      <c r="E165" s="1759"/>
      <c r="F165" s="1759"/>
    </row>
    <row r="166" spans="1:7" ht="16.5">
      <c r="A166" s="1759"/>
      <c r="B166" s="1759"/>
      <c r="C166" s="1759"/>
      <c r="D166" s="1759"/>
      <c r="E166" s="1759"/>
      <c r="F166" s="1759"/>
    </row>
    <row r="167" spans="1:7" ht="16.5">
      <c r="A167" s="1760" t="s">
        <v>2</v>
      </c>
      <c r="B167" s="1760"/>
      <c r="C167" s="1760"/>
      <c r="D167" s="1760"/>
      <c r="E167" s="1760"/>
      <c r="F167" s="1760"/>
    </row>
    <row r="168" spans="1:7" ht="16.5">
      <c r="A168" s="1761" t="s">
        <v>58</v>
      </c>
      <c r="B168" s="1761"/>
      <c r="C168" s="1761"/>
      <c r="D168" s="1761"/>
      <c r="E168" s="1761"/>
      <c r="F168" s="1133"/>
    </row>
    <row r="169" spans="1:7" ht="16.5">
      <c r="A169" s="1133"/>
      <c r="B169" s="1133"/>
      <c r="C169" s="1133"/>
      <c r="D169" s="1133"/>
      <c r="E169" s="1133"/>
      <c r="F169" s="1133"/>
    </row>
    <row r="170" spans="1:7" ht="19.5">
      <c r="B170" s="1134"/>
      <c r="C170" s="1762" t="s">
        <v>69</v>
      </c>
      <c r="D170" s="1762"/>
      <c r="E170" s="1762"/>
      <c r="F170" s="1134"/>
      <c r="G170" s="119" t="s">
        <v>5</v>
      </c>
    </row>
    <row r="171" spans="1:7" ht="20.25">
      <c r="A171" s="1135"/>
      <c r="B171" s="1763" t="s">
        <v>77</v>
      </c>
      <c r="C171" s="1763"/>
      <c r="D171" s="1763"/>
      <c r="E171" s="1763"/>
      <c r="F171" s="1763"/>
      <c r="G171" s="118">
        <f>3.14*0.45*0.45*8/4</f>
        <v>1.272</v>
      </c>
    </row>
    <row r="172" spans="1:7" ht="16.5">
      <c r="A172" s="164"/>
      <c r="B172" s="164"/>
      <c r="C172" s="1136" t="s">
        <v>78</v>
      </c>
      <c r="D172" s="164"/>
      <c r="E172" s="164"/>
      <c r="F172" s="164"/>
    </row>
    <row r="173" spans="1:7" ht="16.5">
      <c r="A173" s="1137">
        <f>G171</f>
        <v>1.272</v>
      </c>
      <c r="B173" s="164" t="s">
        <v>5</v>
      </c>
      <c r="C173" s="164" t="str">
        <f>C9</f>
        <v>Standardised concrete  mix using M 30 Grade concrete in (F&amp;B)</v>
      </c>
      <c r="D173" s="1133"/>
      <c r="E173" s="1138">
        <f>E9</f>
        <v>8509.7199999999993</v>
      </c>
      <c r="F173" s="1138">
        <f>A173*E173</f>
        <v>10824.36</v>
      </c>
    </row>
    <row r="174" spans="1:7" ht="16.5">
      <c r="A174" s="1139">
        <f>A173*10/100</f>
        <v>0.12720000000000001</v>
      </c>
      <c r="B174" s="164" t="s">
        <v>11</v>
      </c>
      <c r="C174" s="164" t="str">
        <f>C10</f>
        <v>Bentonite (10% concrete volume)(PWD SR 2021-22,p-37)</v>
      </c>
      <c r="D174" s="1133"/>
      <c r="E174" s="1138">
        <f>E10</f>
        <v>6050</v>
      </c>
      <c r="F174" s="1138">
        <f>A174*E174</f>
        <v>769.56</v>
      </c>
    </row>
    <row r="175" spans="1:7" ht="16.5">
      <c r="A175" s="1138">
        <v>8</v>
      </c>
      <c r="B175" s="164" t="s">
        <v>13</v>
      </c>
      <c r="C175" s="164" t="s">
        <v>14</v>
      </c>
      <c r="D175" s="1133"/>
      <c r="E175" s="1138">
        <v>960</v>
      </c>
      <c r="F175" s="1138">
        <f>A175*E175</f>
        <v>7680</v>
      </c>
    </row>
    <row r="176" spans="1:7" ht="16.5">
      <c r="A176" s="164"/>
      <c r="B176" s="164"/>
      <c r="C176" s="164"/>
      <c r="D176" s="1133"/>
      <c r="E176" s="164"/>
      <c r="F176" s="164"/>
    </row>
    <row r="177" spans="1:7" ht="16.5">
      <c r="A177" s="164"/>
      <c r="B177" s="164"/>
      <c r="C177" s="164" t="s">
        <v>15</v>
      </c>
      <c r="D177" s="1133"/>
      <c r="E177" s="164"/>
      <c r="F177" s="1138">
        <f>SUM(F173:F176)</f>
        <v>19273.919999999998</v>
      </c>
    </row>
    <row r="178" spans="1:7" ht="16.5">
      <c r="A178" s="164"/>
      <c r="B178" s="164"/>
      <c r="C178" s="164" t="s">
        <v>16</v>
      </c>
      <c r="D178" s="1133"/>
      <c r="E178" s="164"/>
      <c r="F178" s="1138">
        <f>F177/7</f>
        <v>2753.42</v>
      </c>
    </row>
    <row r="179" spans="1:7" ht="16.5">
      <c r="A179" s="164"/>
      <c r="B179" s="164"/>
      <c r="C179" s="164" t="s">
        <v>17</v>
      </c>
      <c r="D179" s="1133"/>
      <c r="E179" s="164"/>
      <c r="F179" s="164">
        <f>1000/8</f>
        <v>125</v>
      </c>
    </row>
    <row r="180" spans="1:7" ht="16.5">
      <c r="A180" s="164"/>
      <c r="B180" s="164"/>
      <c r="C180" s="164"/>
      <c r="D180" s="1133"/>
      <c r="E180" s="164"/>
      <c r="F180" s="164"/>
    </row>
    <row r="181" spans="1:7" ht="16.5">
      <c r="A181" s="164"/>
      <c r="B181" s="164"/>
      <c r="C181" s="164" t="s">
        <v>16</v>
      </c>
      <c r="D181" s="1133"/>
      <c r="E181" s="164"/>
      <c r="F181" s="1141">
        <f>SUM(F178:F180)</f>
        <v>2878.42</v>
      </c>
    </row>
    <row r="182" spans="1:7" ht="16.5">
      <c r="A182" s="164"/>
      <c r="B182" s="164"/>
      <c r="C182" s="164" t="s">
        <v>18</v>
      </c>
      <c r="D182" s="164"/>
      <c r="E182" s="164"/>
      <c r="F182" s="164"/>
    </row>
    <row r="183" spans="1:7" ht="16.5">
      <c r="A183" s="164"/>
      <c r="B183" s="164"/>
      <c r="C183" s="164"/>
      <c r="D183" s="164"/>
      <c r="E183" s="164"/>
      <c r="F183" s="164"/>
    </row>
    <row r="184" spans="1:7" ht="16.5">
      <c r="A184" s="164"/>
      <c r="B184" s="164"/>
      <c r="C184" s="164"/>
      <c r="D184" s="164"/>
      <c r="E184" s="164"/>
      <c r="F184" s="164"/>
    </row>
    <row r="185" spans="1:7" ht="16.5">
      <c r="A185" s="1142"/>
      <c r="B185" s="1142"/>
      <c r="C185" s="1764" t="s">
        <v>19</v>
      </c>
      <c r="D185" s="1764"/>
      <c r="E185" s="1764"/>
      <c r="F185" s="1142"/>
      <c r="G185" s="114"/>
    </row>
    <row r="186" spans="1:7" ht="20.25">
      <c r="A186" s="1143"/>
      <c r="B186" s="1763" t="s">
        <v>79</v>
      </c>
      <c r="C186" s="1763"/>
      <c r="D186" s="1763"/>
      <c r="E186" s="1763"/>
      <c r="F186" s="1763"/>
      <c r="G186" s="118">
        <f>3.14*0.45*0.45/4</f>
        <v>0.159</v>
      </c>
    </row>
    <row r="187" spans="1:7" ht="16.5">
      <c r="A187" s="164"/>
      <c r="B187" s="164"/>
      <c r="C187" s="1144" t="s">
        <v>80</v>
      </c>
      <c r="D187" s="164"/>
      <c r="E187" s="164"/>
      <c r="F187" s="164"/>
    </row>
    <row r="188" spans="1:7" ht="16.5">
      <c r="A188" s="1137">
        <f>G186</f>
        <v>0.159</v>
      </c>
      <c r="B188" s="164" t="s">
        <v>5</v>
      </c>
      <c r="C188" s="164" t="s">
        <v>75</v>
      </c>
      <c r="D188" s="1133"/>
      <c r="E188" s="1138">
        <f>E24</f>
        <v>7018</v>
      </c>
      <c r="F188" s="1138">
        <f>A188*E188</f>
        <v>1115.8599999999999</v>
      </c>
    </row>
    <row r="189" spans="1:7" ht="16.5">
      <c r="A189" s="1137">
        <f>+A188</f>
        <v>0.159</v>
      </c>
      <c r="B189" s="164" t="s">
        <v>5</v>
      </c>
      <c r="C189" s="1765" t="s">
        <v>76</v>
      </c>
      <c r="D189" s="1765"/>
      <c r="E189" s="1138">
        <f>E25</f>
        <v>37.799999999999997</v>
      </c>
      <c r="F189" s="1138">
        <f>E189*A189</f>
        <v>6.01</v>
      </c>
    </row>
    <row r="190" spans="1:7" ht="16.5">
      <c r="A190" s="1137">
        <f>+A189</f>
        <v>0.159</v>
      </c>
      <c r="B190" s="164" t="s">
        <v>5</v>
      </c>
      <c r="C190" s="164" t="s">
        <v>30</v>
      </c>
      <c r="D190" s="1133"/>
      <c r="E190" s="1138">
        <f>E26</f>
        <v>48.68</v>
      </c>
      <c r="F190" s="1138">
        <f>A190*E190</f>
        <v>7.74</v>
      </c>
    </row>
    <row r="191" spans="1:7" ht="16.5">
      <c r="A191" s="1138"/>
      <c r="B191" s="164"/>
      <c r="C191" s="164"/>
      <c r="D191" s="1133"/>
      <c r="E191" s="1138"/>
      <c r="F191" s="1138"/>
    </row>
    <row r="192" spans="1:7" ht="16.5">
      <c r="A192" s="164"/>
      <c r="B192" s="164"/>
      <c r="C192" s="164" t="s">
        <v>16</v>
      </c>
      <c r="D192" s="1133"/>
      <c r="E192" s="164"/>
      <c r="F192" s="1141">
        <f>SUM(F188:F191)</f>
        <v>1129.6099999999999</v>
      </c>
    </row>
    <row r="193" spans="1:7" ht="16.5">
      <c r="A193" s="1133"/>
      <c r="B193" s="1133"/>
      <c r="C193" s="1133"/>
      <c r="D193" s="1133"/>
      <c r="E193" s="1133"/>
      <c r="F193" s="1133"/>
    </row>
    <row r="194" spans="1:7" ht="16.5">
      <c r="B194" s="1145"/>
      <c r="C194" s="1766" t="s">
        <v>27</v>
      </c>
      <c r="D194" s="1766"/>
      <c r="E194" s="1766"/>
      <c r="F194" s="1145"/>
    </row>
    <row r="195" spans="1:7" ht="16.5">
      <c r="A195" s="1133"/>
      <c r="B195" s="1133"/>
      <c r="C195" s="1133"/>
      <c r="D195" s="1133"/>
      <c r="E195" s="1133"/>
      <c r="F195" s="1133"/>
    </row>
    <row r="196" spans="1:7" ht="33">
      <c r="A196" s="1146" t="s">
        <v>28</v>
      </c>
      <c r="B196" s="1146">
        <v>3</v>
      </c>
      <c r="C196" s="1147" t="s">
        <v>29</v>
      </c>
      <c r="D196" s="1146">
        <f>E32</f>
        <v>11.13</v>
      </c>
      <c r="E196" s="1146" t="s">
        <v>34</v>
      </c>
      <c r="F196" s="1146">
        <f>D196*B196</f>
        <v>33.39</v>
      </c>
    </row>
    <row r="197" spans="1:7" ht="16.5">
      <c r="A197" s="1146" t="s">
        <v>28</v>
      </c>
      <c r="B197" s="1146">
        <v>3</v>
      </c>
      <c r="C197" s="1148" t="s">
        <v>30</v>
      </c>
      <c r="D197" s="1146">
        <f>E33</f>
        <v>48.68</v>
      </c>
      <c r="E197" s="1146" t="s">
        <v>34</v>
      </c>
      <c r="F197" s="1146">
        <f>D197*B197</f>
        <v>146.04</v>
      </c>
    </row>
    <row r="198" spans="1:7" ht="16.5">
      <c r="A198" s="1146"/>
      <c r="B198" s="1146"/>
      <c r="C198" s="1149"/>
      <c r="D198" s="1146"/>
      <c r="E198" s="1146"/>
      <c r="F198" s="1146"/>
    </row>
    <row r="199" spans="1:7" ht="16.5">
      <c r="A199" s="1146"/>
      <c r="B199" s="1146"/>
      <c r="C199" s="1149" t="s">
        <v>32</v>
      </c>
      <c r="D199" s="1146"/>
      <c r="E199" s="1146"/>
      <c r="F199" s="1150">
        <f>SUM(F196:F198)</f>
        <v>179.43</v>
      </c>
    </row>
    <row r="200" spans="1:7" ht="16.5">
      <c r="A200" s="1133"/>
      <c r="B200" s="1133"/>
      <c r="C200" s="1133"/>
      <c r="E200" s="1133"/>
      <c r="F200" s="1133"/>
      <c r="G200" s="1133"/>
    </row>
    <row r="201" spans="1:7" ht="16.5">
      <c r="A201" s="1133"/>
      <c r="B201" s="1133"/>
      <c r="C201" s="1133"/>
      <c r="E201" s="1133"/>
      <c r="F201" s="1133"/>
      <c r="G201" s="1133"/>
    </row>
    <row r="202" spans="1:7">
      <c r="A202" s="167"/>
      <c r="B202" s="126"/>
      <c r="C202" s="120"/>
    </row>
    <row r="203" spans="1:7" ht="16.5">
      <c r="A203" s="1759" t="s">
        <v>0</v>
      </c>
      <c r="B203" s="1759"/>
      <c r="C203" s="1759"/>
      <c r="D203" s="1759"/>
      <c r="E203" s="1759"/>
      <c r="F203" s="1759"/>
    </row>
    <row r="204" spans="1:7" ht="16.5">
      <c r="A204" s="1759"/>
      <c r="B204" s="1759"/>
      <c r="C204" s="1759"/>
      <c r="D204" s="1759"/>
      <c r="E204" s="1759"/>
      <c r="F204" s="1759"/>
    </row>
    <row r="205" spans="1:7" ht="16.5">
      <c r="A205" s="1760" t="s">
        <v>2</v>
      </c>
      <c r="B205" s="1760"/>
      <c r="C205" s="1760"/>
      <c r="D205" s="1760"/>
      <c r="E205" s="1760"/>
      <c r="F205" s="1760"/>
    </row>
    <row r="206" spans="1:7" ht="16.5">
      <c r="A206" s="1761" t="s">
        <v>58</v>
      </c>
      <c r="B206" s="1761"/>
      <c r="C206" s="1761"/>
      <c r="D206" s="1761"/>
      <c r="E206" s="1761"/>
      <c r="F206" s="1133"/>
    </row>
    <row r="207" spans="1:7" ht="16.5">
      <c r="A207" s="1133"/>
      <c r="B207" s="1133"/>
      <c r="C207" s="1133"/>
      <c r="D207" s="1133"/>
      <c r="E207" s="1133"/>
      <c r="F207" s="1133"/>
    </row>
    <row r="208" spans="1:7" ht="19.5">
      <c r="B208" s="1134"/>
      <c r="C208" s="1762" t="s">
        <v>69</v>
      </c>
      <c r="D208" s="1762"/>
      <c r="E208" s="1762"/>
      <c r="F208" s="1134"/>
      <c r="G208" s="119" t="s">
        <v>5</v>
      </c>
    </row>
    <row r="209" spans="1:13" ht="20.25">
      <c r="A209" s="1135"/>
      <c r="B209" s="1763" t="s">
        <v>81</v>
      </c>
      <c r="C209" s="1763"/>
      <c r="D209" s="1763"/>
      <c r="E209" s="1763"/>
      <c r="F209" s="1763"/>
      <c r="G209" s="118">
        <f>3.14*0.23*0.23*2.5/4</f>
        <v>0.104</v>
      </c>
    </row>
    <row r="210" spans="1:13" ht="16.5">
      <c r="A210" s="164"/>
      <c r="B210" s="164"/>
      <c r="C210" s="1136" t="s">
        <v>82</v>
      </c>
      <c r="D210" s="164"/>
      <c r="E210" s="164"/>
      <c r="F210" s="164"/>
    </row>
    <row r="211" spans="1:13" ht="16.5">
      <c r="A211" s="1137">
        <f>G209</f>
        <v>0.104</v>
      </c>
      <c r="B211" s="164" t="s">
        <v>5</v>
      </c>
      <c r="C211" s="164" t="str">
        <f>C173</f>
        <v>Standardised concrete  mix using M 30 Grade concrete in (F&amp;B)</v>
      </c>
      <c r="D211" s="1133"/>
      <c r="E211" s="1138">
        <f>E173</f>
        <v>8509.7199999999993</v>
      </c>
      <c r="F211" s="1138">
        <f>A211*E211</f>
        <v>885.01</v>
      </c>
    </row>
    <row r="212" spans="1:13" ht="16.5">
      <c r="A212" s="1139">
        <f>A211*10/100</f>
        <v>1.04E-2</v>
      </c>
      <c r="B212" s="164" t="s">
        <v>11</v>
      </c>
      <c r="C212" s="164" t="str">
        <f>C174</f>
        <v>Bentonite (10% concrete volume)(PWD SR 2021-22,p-37)</v>
      </c>
      <c r="D212" s="1133"/>
      <c r="E212" s="1138">
        <v>4000</v>
      </c>
      <c r="F212" s="1138">
        <f>A212*E212</f>
        <v>41.6</v>
      </c>
      <c r="J212" s="114"/>
    </row>
    <row r="213" spans="1:13" ht="16.5">
      <c r="A213" s="1138">
        <v>8</v>
      </c>
      <c r="B213" s="164" t="s">
        <v>13</v>
      </c>
      <c r="C213" s="164" t="s">
        <v>14</v>
      </c>
      <c r="D213" s="1133"/>
      <c r="E213" s="1138">
        <f>E175</f>
        <v>960</v>
      </c>
      <c r="F213" s="1138">
        <f>A213*E213</f>
        <v>7680</v>
      </c>
      <c r="J213" s="114"/>
    </row>
    <row r="214" spans="1:13" ht="16.5">
      <c r="A214" s="164"/>
      <c r="B214" s="164"/>
      <c r="C214" s="164"/>
      <c r="D214" s="1133"/>
      <c r="E214" s="164"/>
      <c r="F214" s="164"/>
    </row>
    <row r="215" spans="1:13" ht="16.5">
      <c r="A215" s="164"/>
      <c r="B215" s="164"/>
      <c r="C215" s="164" t="s">
        <v>15</v>
      </c>
      <c r="D215" s="1133"/>
      <c r="E215" s="164"/>
      <c r="F215" s="1138">
        <f>SUM(F211:F214)</f>
        <v>8606.61</v>
      </c>
    </row>
    <row r="216" spans="1:13" ht="16.5">
      <c r="A216" s="164"/>
      <c r="B216" s="164"/>
      <c r="C216" s="164" t="s">
        <v>16</v>
      </c>
      <c r="D216" s="1133"/>
      <c r="E216" s="164"/>
      <c r="F216" s="1138">
        <f>F215/8</f>
        <v>1075.83</v>
      </c>
    </row>
    <row r="217" spans="1:13" ht="16.5">
      <c r="A217" s="164"/>
      <c r="B217" s="164"/>
      <c r="C217" s="164" t="s">
        <v>17</v>
      </c>
      <c r="D217" s="1133"/>
      <c r="E217" s="164"/>
      <c r="F217" s="164">
        <f>1000/8</f>
        <v>125</v>
      </c>
    </row>
    <row r="218" spans="1:13" ht="16.5">
      <c r="A218" s="164"/>
      <c r="B218" s="164"/>
      <c r="C218" s="164"/>
      <c r="D218" s="1133"/>
      <c r="E218" s="164"/>
      <c r="F218" s="164"/>
    </row>
    <row r="219" spans="1:13" ht="16.5">
      <c r="A219" s="164"/>
      <c r="B219" s="164"/>
      <c r="C219" s="164" t="s">
        <v>16</v>
      </c>
      <c r="D219" s="1133"/>
      <c r="E219" s="164"/>
      <c r="F219" s="1141">
        <f>SUM(F216:F218)</f>
        <v>1200.83</v>
      </c>
      <c r="M219" s="114"/>
    </row>
    <row r="220" spans="1:13" ht="16.5">
      <c r="A220" s="164"/>
      <c r="B220" s="164"/>
      <c r="C220" s="164" t="s">
        <v>18</v>
      </c>
      <c r="D220" s="164"/>
      <c r="E220" s="164"/>
      <c r="F220" s="164"/>
    </row>
    <row r="221" spans="1:13" ht="16.5">
      <c r="A221" s="164"/>
      <c r="B221" s="164"/>
      <c r="C221" s="164"/>
      <c r="D221" s="164"/>
      <c r="E221" s="164"/>
      <c r="F221" s="164"/>
      <c r="J221" s="495"/>
      <c r="L221" s="1155"/>
      <c r="M221" s="1155"/>
    </row>
    <row r="222" spans="1:13" ht="16.5">
      <c r="A222" s="164"/>
      <c r="B222" s="164"/>
      <c r="C222" s="164"/>
      <c r="D222" s="164"/>
      <c r="E222" s="164"/>
      <c r="F222" s="164"/>
      <c r="J222" s="496"/>
      <c r="K222" s="114"/>
      <c r="L222" s="114"/>
      <c r="M222" s="114"/>
    </row>
    <row r="223" spans="1:13" ht="16.5">
      <c r="A223" s="1142"/>
      <c r="B223" s="1142"/>
      <c r="C223" s="1764" t="s">
        <v>19</v>
      </c>
      <c r="D223" s="1764"/>
      <c r="E223" s="1764"/>
      <c r="F223" s="1142"/>
      <c r="G223" s="114"/>
      <c r="J223" s="495"/>
      <c r="L223" s="495"/>
      <c r="M223" s="495"/>
    </row>
    <row r="224" spans="1:13" ht="20.25">
      <c r="A224" s="1143"/>
      <c r="B224" s="1763" t="s">
        <v>79</v>
      </c>
      <c r="C224" s="1763"/>
      <c r="D224" s="1763"/>
      <c r="E224" s="1763"/>
      <c r="F224" s="1763"/>
      <c r="G224" s="118">
        <f>3.14*0.23*0.23/4</f>
        <v>4.2000000000000003E-2</v>
      </c>
      <c r="L224" s="495"/>
      <c r="M224" s="495"/>
    </row>
    <row r="225" spans="1:13" ht="16.5">
      <c r="A225" s="164"/>
      <c r="B225" s="164"/>
      <c r="C225" s="1144" t="s">
        <v>80</v>
      </c>
      <c r="D225" s="164"/>
      <c r="E225" s="164"/>
      <c r="F225" s="164"/>
      <c r="J225" s="495"/>
      <c r="L225" s="114"/>
      <c r="M225" s="114"/>
    </row>
    <row r="226" spans="1:13" ht="16.5">
      <c r="A226" s="1137">
        <f>G224</f>
        <v>4.2000000000000003E-2</v>
      </c>
      <c r="B226" s="164" t="s">
        <v>5</v>
      </c>
      <c r="C226" s="164" t="s">
        <v>75</v>
      </c>
      <c r="D226" s="1133"/>
      <c r="E226" s="1138">
        <f>E188</f>
        <v>7018</v>
      </c>
      <c r="F226" s="1138">
        <f>A226*E226</f>
        <v>294.76</v>
      </c>
    </row>
    <row r="227" spans="1:13" ht="16.5">
      <c r="A227" s="1137">
        <f>+A226</f>
        <v>4.2000000000000003E-2</v>
      </c>
      <c r="B227" s="164" t="s">
        <v>5</v>
      </c>
      <c r="C227" s="1765" t="s">
        <v>76</v>
      </c>
      <c r="D227" s="1765"/>
      <c r="E227" s="1138">
        <f>E189</f>
        <v>37.799999999999997</v>
      </c>
      <c r="F227" s="1138">
        <f>E227*A227</f>
        <v>1.59</v>
      </c>
    </row>
    <row r="228" spans="1:13" ht="16.5">
      <c r="A228" s="1137">
        <f>+A227</f>
        <v>4.2000000000000003E-2</v>
      </c>
      <c r="B228" s="164" t="s">
        <v>5</v>
      </c>
      <c r="C228" s="164" t="s">
        <v>30</v>
      </c>
      <c r="D228" s="1133"/>
      <c r="E228" s="1138">
        <f>E190</f>
        <v>48.68</v>
      </c>
      <c r="F228" s="1138">
        <f>A228*E228</f>
        <v>2.04</v>
      </c>
    </row>
    <row r="229" spans="1:13" ht="16.5">
      <c r="A229" s="1138"/>
      <c r="B229" s="164"/>
      <c r="C229" s="164"/>
      <c r="D229" s="1133"/>
      <c r="E229" s="1138"/>
      <c r="F229" s="1138"/>
    </row>
    <row r="230" spans="1:13" ht="16.5">
      <c r="A230" s="164"/>
      <c r="B230" s="164"/>
      <c r="C230" s="164" t="s">
        <v>16</v>
      </c>
      <c r="D230" s="1133"/>
      <c r="E230" s="164"/>
      <c r="F230" s="1141">
        <f>SUM(F226:F229)</f>
        <v>298.39</v>
      </c>
    </row>
    <row r="231" spans="1:13" ht="16.5">
      <c r="A231" s="1133"/>
      <c r="B231" s="1133"/>
      <c r="C231" s="1133"/>
      <c r="D231" s="1133"/>
      <c r="E231" s="1133"/>
      <c r="F231" s="1133"/>
    </row>
    <row r="232" spans="1:13" ht="16.5">
      <c r="B232" s="1145"/>
      <c r="C232" s="1766" t="s">
        <v>27</v>
      </c>
      <c r="D232" s="1766"/>
      <c r="E232" s="1766"/>
      <c r="F232" s="1145"/>
    </row>
    <row r="233" spans="1:13" ht="16.5">
      <c r="A233" s="1133"/>
      <c r="B233" s="1133"/>
      <c r="C233" s="1133"/>
      <c r="D233" s="1133"/>
      <c r="E233" s="1133"/>
      <c r="F233" s="1133"/>
    </row>
    <row r="234" spans="1:13" ht="33">
      <c r="A234" s="1146" t="s">
        <v>28</v>
      </c>
      <c r="B234" s="1146">
        <v>3</v>
      </c>
      <c r="C234" s="1147" t="s">
        <v>29</v>
      </c>
      <c r="D234" s="1146">
        <f>D196</f>
        <v>11.13</v>
      </c>
      <c r="E234" s="1146" t="s">
        <v>34</v>
      </c>
      <c r="F234" s="1146">
        <f>D234*B234</f>
        <v>33.39</v>
      </c>
    </row>
    <row r="235" spans="1:13" ht="16.5">
      <c r="A235" s="1146" t="s">
        <v>28</v>
      </c>
      <c r="B235" s="1146">
        <v>3</v>
      </c>
      <c r="C235" s="1148" t="s">
        <v>30</v>
      </c>
      <c r="D235" s="1146">
        <f>D197</f>
        <v>48.68</v>
      </c>
      <c r="E235" s="1146" t="s">
        <v>34</v>
      </c>
      <c r="F235" s="1146">
        <f>D235*B235</f>
        <v>146.04</v>
      </c>
    </row>
    <row r="236" spans="1:13" ht="16.5">
      <c r="A236" s="1146"/>
      <c r="B236" s="1146"/>
      <c r="C236" s="1149"/>
      <c r="D236" s="1146"/>
      <c r="E236" s="1146"/>
      <c r="F236" s="1146"/>
    </row>
    <row r="237" spans="1:13" ht="16.5">
      <c r="A237" s="1146"/>
      <c r="B237" s="1146"/>
      <c r="C237" s="1149" t="s">
        <v>32</v>
      </c>
      <c r="D237" s="1146"/>
      <c r="E237" s="1146"/>
      <c r="F237" s="1150">
        <f>SUM(F234:F236)</f>
        <v>179.43</v>
      </c>
    </row>
    <row r="245" spans="1:7">
      <c r="B245" s="116"/>
      <c r="C245" s="120"/>
    </row>
    <row r="246" spans="1:7" ht="16.5">
      <c r="A246" s="1759" t="s">
        <v>0</v>
      </c>
      <c r="B246" s="1759"/>
      <c r="C246" s="1759"/>
      <c r="D246" s="1759"/>
      <c r="E246" s="1759"/>
      <c r="F246" s="1759"/>
    </row>
    <row r="247" spans="1:7" ht="16.5">
      <c r="A247" s="1759"/>
      <c r="B247" s="1759"/>
      <c r="C247" s="1759"/>
      <c r="D247" s="1759"/>
      <c r="E247" s="1759"/>
      <c r="F247" s="1759"/>
    </row>
    <row r="248" spans="1:7" ht="16.5">
      <c r="A248" s="1760" t="s">
        <v>2</v>
      </c>
      <c r="B248" s="1760"/>
      <c r="C248" s="1760"/>
      <c r="D248" s="1760"/>
      <c r="E248" s="1760"/>
      <c r="F248" s="1760"/>
    </row>
    <row r="249" spans="1:7" ht="16.5">
      <c r="A249" s="1761" t="s">
        <v>58</v>
      </c>
      <c r="B249" s="1761"/>
      <c r="C249" s="1761"/>
      <c r="D249" s="1761"/>
      <c r="E249" s="1761"/>
      <c r="F249" s="1133"/>
    </row>
    <row r="250" spans="1:7" ht="16.5">
      <c r="A250" s="1133"/>
      <c r="B250" s="1133"/>
      <c r="C250" s="1133"/>
      <c r="D250" s="1133"/>
      <c r="E250" s="1133"/>
      <c r="F250" s="1133"/>
    </row>
    <row r="251" spans="1:7" ht="19.5">
      <c r="B251" s="1134"/>
      <c r="C251" s="1762" t="s">
        <v>69</v>
      </c>
      <c r="D251" s="1762"/>
      <c r="E251" s="1762"/>
      <c r="F251" s="1134"/>
      <c r="G251" s="119" t="s">
        <v>5</v>
      </c>
    </row>
    <row r="252" spans="1:7" ht="20.25">
      <c r="A252" s="1135"/>
      <c r="B252" s="1763" t="s">
        <v>83</v>
      </c>
      <c r="C252" s="1763"/>
      <c r="D252" s="1763"/>
      <c r="E252" s="1763"/>
      <c r="F252" s="1763"/>
      <c r="G252" s="118">
        <f>3.14*0.3*0.3*8/4</f>
        <v>0.56499999999999995</v>
      </c>
    </row>
    <row r="253" spans="1:7" ht="16.5">
      <c r="A253" s="164"/>
      <c r="B253" s="164"/>
      <c r="C253" s="1136" t="s">
        <v>78</v>
      </c>
      <c r="D253" s="164"/>
      <c r="E253" s="164"/>
      <c r="F253" s="164"/>
    </row>
    <row r="254" spans="1:7" ht="16.5">
      <c r="A254" s="1137">
        <f>G252</f>
        <v>0.56499999999999995</v>
      </c>
      <c r="B254" s="164" t="s">
        <v>5</v>
      </c>
      <c r="C254" s="1138" t="str">
        <f>C173</f>
        <v>Standardised concrete  mix using M 30 Grade concrete in (F&amp;B)</v>
      </c>
      <c r="D254" s="1138"/>
      <c r="E254" s="1138">
        <f>E173</f>
        <v>8509.7199999999993</v>
      </c>
      <c r="F254" s="1138">
        <f>A254*E254</f>
        <v>4807.99</v>
      </c>
    </row>
    <row r="255" spans="1:7" ht="16.5">
      <c r="A255" s="1139">
        <f>A254*10/100</f>
        <v>5.6500000000000002E-2</v>
      </c>
      <c r="B255" s="164" t="s">
        <v>11</v>
      </c>
      <c r="C255" s="1138" t="str">
        <f>C174</f>
        <v>Bentonite (10% concrete volume)(PWD SR 2021-22,p-37)</v>
      </c>
      <c r="D255" s="1138"/>
      <c r="E255" s="1138">
        <f>E174</f>
        <v>6050</v>
      </c>
      <c r="F255" s="1138">
        <f>A255*E255</f>
        <v>341.83</v>
      </c>
    </row>
    <row r="256" spans="1:7" ht="16.5">
      <c r="A256" s="1138">
        <v>8</v>
      </c>
      <c r="B256" s="164" t="s">
        <v>13</v>
      </c>
      <c r="C256" s="1138" t="str">
        <f>C175</f>
        <v xml:space="preserve">Labour charges </v>
      </c>
      <c r="D256" s="1138"/>
      <c r="E256" s="1138">
        <f>E175</f>
        <v>960</v>
      </c>
      <c r="F256" s="1138">
        <f>A256*E256</f>
        <v>7680</v>
      </c>
    </row>
    <row r="257" spans="1:7" ht="16.5">
      <c r="A257" s="164"/>
      <c r="B257" s="164"/>
      <c r="C257" s="164"/>
      <c r="D257" s="1133"/>
      <c r="E257" s="1138"/>
      <c r="F257" s="164"/>
    </row>
    <row r="258" spans="1:7" ht="16.5">
      <c r="A258" s="164"/>
      <c r="B258" s="164"/>
      <c r="C258" s="164" t="s">
        <v>15</v>
      </c>
      <c r="D258" s="1133"/>
      <c r="E258" s="1138"/>
      <c r="F258" s="1138">
        <f>SUM(F254:F257)</f>
        <v>12829.82</v>
      </c>
    </row>
    <row r="259" spans="1:7" ht="16.5">
      <c r="A259" s="164"/>
      <c r="B259" s="164"/>
      <c r="C259" s="164" t="s">
        <v>16</v>
      </c>
      <c r="D259" s="1133"/>
      <c r="E259" s="1138"/>
      <c r="F259" s="1138">
        <f>F258/7</f>
        <v>1832.83</v>
      </c>
    </row>
    <row r="260" spans="1:7" ht="16.5">
      <c r="A260" s="164"/>
      <c r="B260" s="164"/>
      <c r="C260" s="164" t="s">
        <v>17</v>
      </c>
      <c r="D260" s="1133"/>
      <c r="E260" s="1138"/>
      <c r="F260" s="164">
        <f>1000/8</f>
        <v>125</v>
      </c>
    </row>
    <row r="261" spans="1:7" ht="16.5">
      <c r="A261" s="164"/>
      <c r="B261" s="164"/>
      <c r="C261" s="164"/>
      <c r="D261" s="1133"/>
      <c r="E261" s="1138"/>
      <c r="F261" s="164"/>
    </row>
    <row r="262" spans="1:7" ht="16.5">
      <c r="A262" s="164"/>
      <c r="B262" s="164"/>
      <c r="C262" s="164" t="s">
        <v>16</v>
      </c>
      <c r="D262" s="1133"/>
      <c r="E262" s="1138"/>
      <c r="F262" s="1141">
        <f>SUM(F259:F261)</f>
        <v>1957.83</v>
      </c>
    </row>
    <row r="263" spans="1:7" ht="16.5">
      <c r="A263" s="164"/>
      <c r="B263" s="164"/>
      <c r="C263" s="164" t="s">
        <v>18</v>
      </c>
      <c r="D263" s="164"/>
      <c r="E263" s="1138"/>
      <c r="F263" s="164"/>
    </row>
    <row r="264" spans="1:7" ht="16.5">
      <c r="A264" s="164"/>
      <c r="B264" s="164"/>
      <c r="C264" s="164"/>
      <c r="D264" s="164"/>
      <c r="E264" s="164"/>
      <c r="F264" s="164"/>
    </row>
    <row r="265" spans="1:7" ht="16.5">
      <c r="A265" s="164"/>
      <c r="B265" s="164"/>
      <c r="C265" s="164"/>
      <c r="D265" s="164"/>
      <c r="E265" s="164"/>
      <c r="F265" s="164"/>
    </row>
    <row r="266" spans="1:7" ht="16.5">
      <c r="A266" s="1142"/>
      <c r="B266" s="1142"/>
      <c r="C266" s="1764" t="s">
        <v>19</v>
      </c>
      <c r="D266" s="1764"/>
      <c r="E266" s="1764"/>
      <c r="F266" s="1142"/>
      <c r="G266" s="114"/>
    </row>
    <row r="267" spans="1:7" ht="20.25">
      <c r="A267" s="1143"/>
      <c r="B267" s="1763" t="s">
        <v>84</v>
      </c>
      <c r="C267" s="1763"/>
      <c r="D267" s="1763"/>
      <c r="E267" s="1763"/>
      <c r="F267" s="1763"/>
      <c r="G267" s="118">
        <f>3.14*0.3*0.3/4</f>
        <v>7.0999999999999994E-2</v>
      </c>
    </row>
    <row r="268" spans="1:7" ht="16.5">
      <c r="A268" s="164"/>
      <c r="B268" s="164"/>
      <c r="C268" s="1144" t="s">
        <v>80</v>
      </c>
      <c r="D268" s="164"/>
      <c r="E268" s="164"/>
      <c r="F268" s="164"/>
    </row>
    <row r="269" spans="1:7" ht="16.5">
      <c r="A269" s="1137">
        <f>G267</f>
        <v>7.0999999999999994E-2</v>
      </c>
      <c r="B269" s="164" t="s">
        <v>5</v>
      </c>
      <c r="C269" s="164" t="s">
        <v>75</v>
      </c>
      <c r="D269" s="1133"/>
      <c r="E269" s="1138">
        <f>E188</f>
        <v>7018</v>
      </c>
      <c r="F269" s="1138">
        <f>A269*E269</f>
        <v>498.28</v>
      </c>
    </row>
    <row r="270" spans="1:7" ht="16.5">
      <c r="A270" s="1137">
        <f>+A269</f>
        <v>7.0999999999999994E-2</v>
      </c>
      <c r="B270" s="164" t="s">
        <v>5</v>
      </c>
      <c r="C270" s="1765" t="s">
        <v>76</v>
      </c>
      <c r="D270" s="1765"/>
      <c r="E270" s="1138">
        <f>E189</f>
        <v>37.799999999999997</v>
      </c>
      <c r="F270" s="1138">
        <f>E270*A270</f>
        <v>2.68</v>
      </c>
    </row>
    <row r="271" spans="1:7" ht="16.5">
      <c r="A271" s="1137">
        <f>+A270</f>
        <v>7.0999999999999994E-2</v>
      </c>
      <c r="B271" s="164" t="s">
        <v>5</v>
      </c>
      <c r="C271" s="164" t="s">
        <v>30</v>
      </c>
      <c r="D271" s="1133"/>
      <c r="E271" s="1138">
        <f>E190</f>
        <v>48.68</v>
      </c>
      <c r="F271" s="1138">
        <f>A271*E271</f>
        <v>3.46</v>
      </c>
    </row>
    <row r="272" spans="1:7" ht="16.5">
      <c r="A272" s="1138"/>
      <c r="B272" s="164"/>
      <c r="C272" s="164"/>
      <c r="D272" s="1133"/>
      <c r="E272" s="1138"/>
      <c r="F272" s="1138"/>
    </row>
    <row r="273" spans="1:6" ht="16.5">
      <c r="A273" s="164"/>
      <c r="B273" s="164"/>
      <c r="C273" s="164" t="s">
        <v>16</v>
      </c>
      <c r="D273" s="1133"/>
      <c r="E273" s="164"/>
      <c r="F273" s="1141">
        <f>SUM(F269:F272)</f>
        <v>504.42</v>
      </c>
    </row>
    <row r="274" spans="1:6" ht="16.5">
      <c r="A274" s="1133"/>
      <c r="B274" s="1133"/>
      <c r="C274" s="1133"/>
      <c r="D274" s="1133"/>
      <c r="E274" s="1133"/>
      <c r="F274" s="1133"/>
    </row>
    <row r="275" spans="1:6" ht="16.5">
      <c r="B275" s="1145"/>
      <c r="C275" s="1766" t="s">
        <v>27</v>
      </c>
      <c r="D275" s="1766"/>
      <c r="E275" s="1766"/>
      <c r="F275" s="1145"/>
    </row>
    <row r="276" spans="1:6" ht="16.5">
      <c r="A276" s="1133"/>
      <c r="B276" s="1133"/>
      <c r="C276" s="1133"/>
      <c r="D276" s="1133"/>
      <c r="E276" s="1133"/>
      <c r="F276" s="1133"/>
    </row>
    <row r="277" spans="1:6" ht="33">
      <c r="A277" s="1146" t="s">
        <v>28</v>
      </c>
      <c r="B277" s="1146">
        <v>3</v>
      </c>
      <c r="C277" s="1147" t="s">
        <v>29</v>
      </c>
      <c r="D277" s="1156">
        <f>D196</f>
        <v>11.13</v>
      </c>
      <c r="E277" s="1146" t="s">
        <v>34</v>
      </c>
      <c r="F277" s="1146">
        <f>D277*B277</f>
        <v>33.39</v>
      </c>
    </row>
    <row r="278" spans="1:6" ht="16.5">
      <c r="A278" s="1146" t="s">
        <v>28</v>
      </c>
      <c r="B278" s="1146">
        <v>3</v>
      </c>
      <c r="C278" s="1148" t="s">
        <v>30</v>
      </c>
      <c r="D278" s="1156">
        <f>D197</f>
        <v>48.68</v>
      </c>
      <c r="E278" s="1146" t="s">
        <v>34</v>
      </c>
      <c r="F278" s="1146">
        <f>D278*B278</f>
        <v>146.04</v>
      </c>
    </row>
    <row r="279" spans="1:6" ht="16.5">
      <c r="A279" s="1146"/>
      <c r="B279" s="1146"/>
      <c r="C279" s="1149"/>
      <c r="D279" s="1156"/>
      <c r="E279" s="1146"/>
      <c r="F279" s="1146"/>
    </row>
    <row r="280" spans="1:6" ht="16.5">
      <c r="A280" s="1146"/>
      <c r="B280" s="1146"/>
      <c r="C280" s="1149" t="s">
        <v>32</v>
      </c>
      <c r="D280" s="1146"/>
      <c r="E280" s="1146"/>
      <c r="F280" s="1150">
        <f>SUM(F277:F279)</f>
        <v>179.43</v>
      </c>
    </row>
  </sheetData>
  <mergeCells count="65">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C266:E266"/>
    <mergeCell ref="A204:F204"/>
    <mergeCell ref="A205:F205"/>
    <mergeCell ref="A206:E206"/>
    <mergeCell ref="C208:E208"/>
    <mergeCell ref="B209:F209"/>
    <mergeCell ref="C185:E185"/>
    <mergeCell ref="B186:F186"/>
    <mergeCell ref="C189:D189"/>
    <mergeCell ref="C194:E194"/>
    <mergeCell ref="A203:F203"/>
    <mergeCell ref="A166:F166"/>
    <mergeCell ref="A167:F167"/>
    <mergeCell ref="A168:E168"/>
    <mergeCell ref="C170:E170"/>
    <mergeCell ref="B171:F171"/>
    <mergeCell ref="C145:E145"/>
    <mergeCell ref="B146:F146"/>
    <mergeCell ref="C149:D149"/>
    <mergeCell ref="C154:E154"/>
    <mergeCell ref="A165:F165"/>
    <mergeCell ref="A126:F126"/>
    <mergeCell ref="A127:F127"/>
    <mergeCell ref="A128:E128"/>
    <mergeCell ref="C130:E130"/>
    <mergeCell ref="B131:F131"/>
    <mergeCell ref="C85:E85"/>
    <mergeCell ref="B86:F86"/>
    <mergeCell ref="C89:D89"/>
    <mergeCell ref="C94:E94"/>
    <mergeCell ref="A125:F125"/>
    <mergeCell ref="A66:F66"/>
    <mergeCell ref="A67:F67"/>
    <mergeCell ref="A68:E68"/>
    <mergeCell ref="C70:E70"/>
    <mergeCell ref="B71:F71"/>
    <mergeCell ref="C25:D25"/>
    <mergeCell ref="N25:O25"/>
    <mergeCell ref="C30:E30"/>
    <mergeCell ref="N30:P30"/>
    <mergeCell ref="A65:F65"/>
    <mergeCell ref="B7:F7"/>
    <mergeCell ref="M7:Q7"/>
    <mergeCell ref="C21:E21"/>
    <mergeCell ref="N21:P21"/>
    <mergeCell ref="B22:F22"/>
    <mergeCell ref="M22:Q22"/>
    <mergeCell ref="A1:F1"/>
    <mergeCell ref="A2:F2"/>
    <mergeCell ref="A3:F3"/>
    <mergeCell ref="A4:E4"/>
    <mergeCell ref="C6:E6"/>
  </mergeCells>
  <pageMargins left="1.0900000000000001" right="0.43000000000000005" top="0.75" bottom="0.52" header="0.3" footer="0.3"/>
  <pageSetup paperSize="9" scale="70" orientation="portrait" verticalDpi="300" r:id="rId1"/>
  <rowBreaks count="1" manualBreakCount="1">
    <brk id="61" max="7" man="1"/>
  </rowBreaks>
</worksheet>
</file>

<file path=xl/worksheets/sheet7.xml><?xml version="1.0" encoding="utf-8"?>
<worksheet xmlns="http://schemas.openxmlformats.org/spreadsheetml/2006/main" xmlns:r="http://schemas.openxmlformats.org/officeDocument/2006/relationships">
  <sheetPr codeName="Sheet7"/>
  <dimension ref="A1:AK8296"/>
  <sheetViews>
    <sheetView view="pageBreakPreview" topLeftCell="F2972" zoomScale="87" zoomScaleNormal="60" workbookViewId="0">
      <selection activeCell="I2986" sqref="I2986"/>
    </sheetView>
  </sheetViews>
  <sheetFormatPr defaultColWidth="7.44140625" defaultRowHeight="15.75"/>
  <cols>
    <col min="1" max="1" width="7.77734375" style="930" hidden="1" customWidth="1"/>
    <col min="2" max="2" width="45.77734375" style="930" hidden="1" customWidth="1"/>
    <col min="3" max="3" width="11.77734375" style="930" hidden="1" customWidth="1"/>
    <col min="4" max="4" width="9.77734375" style="930" hidden="1" customWidth="1"/>
    <col min="5" max="5" width="9.21875" style="930" hidden="1" customWidth="1"/>
    <col min="6" max="6" width="8.88671875" style="930" customWidth="1"/>
    <col min="7" max="7" width="6.5546875" style="931" customWidth="1"/>
    <col min="8" max="8" width="48.6640625" style="930" customWidth="1"/>
    <col min="9" max="9" width="10" style="930" customWidth="1"/>
    <col min="10" max="10" width="11.44140625" style="932" customWidth="1"/>
    <col min="11" max="11" width="11.33203125" style="930" customWidth="1"/>
    <col min="12" max="12" width="9.77734375" style="930" customWidth="1"/>
    <col min="13" max="13" width="9.44140625" style="930" customWidth="1"/>
    <col min="14" max="14" width="10" style="930" bestFit="1" customWidth="1"/>
    <col min="15" max="15" width="32.77734375" style="930" customWidth="1"/>
    <col min="16" max="16" width="12.109375" style="930" customWidth="1"/>
    <col min="17" max="17" width="7.77734375" style="930" customWidth="1"/>
    <col min="18" max="18" width="10.77734375" style="930" customWidth="1"/>
    <col min="19" max="19" width="8.5546875" style="930" bestFit="1" customWidth="1"/>
    <col min="20" max="20" width="7.77734375" style="930" customWidth="1"/>
    <col min="21" max="21" width="49.77734375" style="930" customWidth="1"/>
    <col min="22" max="22" width="7.77734375" style="930" hidden="1" customWidth="1"/>
    <col min="23" max="23" width="16.77734375" style="930" hidden="1" customWidth="1"/>
    <col min="24" max="24" width="9.109375" style="930" customWidth="1"/>
    <col min="25" max="25" width="11.21875" style="930" bestFit="1" customWidth="1"/>
    <col min="26" max="26" width="9.6640625" style="930" customWidth="1"/>
    <col min="27" max="27" width="8.6640625" style="930" customWidth="1"/>
    <col min="28" max="28" width="9.6640625" style="930" customWidth="1"/>
    <col min="29" max="29" width="10.6640625" style="930" customWidth="1"/>
    <col min="30" max="30" width="23.21875" style="930" customWidth="1"/>
    <col min="31" max="31" width="8.77734375" style="930" customWidth="1"/>
    <col min="32" max="32" width="8.109375" style="930" bestFit="1" customWidth="1"/>
    <col min="33" max="33" width="9" style="930" customWidth="1"/>
    <col min="34" max="34" width="8.77734375" style="930" customWidth="1"/>
    <col min="35" max="16384" width="7.44140625" style="930"/>
  </cols>
  <sheetData>
    <row r="1" spans="1:37" ht="19.5" hidden="1">
      <c r="A1" s="933" t="s">
        <v>85</v>
      </c>
      <c r="B1" s="934" t="s">
        <v>86</v>
      </c>
      <c r="E1" s="933" t="s">
        <v>85</v>
      </c>
      <c r="H1" s="933" t="s">
        <v>87</v>
      </c>
      <c r="O1" s="933" t="s">
        <v>87</v>
      </c>
      <c r="U1" s="942" t="s">
        <v>86</v>
      </c>
      <c r="V1" s="933" t="s">
        <v>88</v>
      </c>
      <c r="W1" s="933" t="s">
        <v>85</v>
      </c>
    </row>
    <row r="2" spans="1:37" hidden="1">
      <c r="B2" s="935" t="s">
        <v>89</v>
      </c>
      <c r="E2" s="933" t="s">
        <v>85</v>
      </c>
      <c r="H2" s="934" t="s">
        <v>90</v>
      </c>
      <c r="O2" s="934" t="s">
        <v>90</v>
      </c>
      <c r="U2" s="935" t="s">
        <v>89</v>
      </c>
    </row>
    <row r="3" spans="1:37" hidden="1">
      <c r="A3" s="933" t="s">
        <v>91</v>
      </c>
      <c r="B3" s="936" t="s">
        <v>92</v>
      </c>
      <c r="C3" s="933" t="s">
        <v>93</v>
      </c>
      <c r="E3" s="933" t="s">
        <v>85</v>
      </c>
      <c r="F3" s="937" t="s">
        <v>91</v>
      </c>
      <c r="G3" s="938" t="s">
        <v>85</v>
      </c>
      <c r="H3" s="939" t="str">
        <f>B3</f>
        <v>Madurai TSp VIth Bn under 4000 quarters Scheme.</v>
      </c>
      <c r="J3" s="934" t="str">
        <f>C3</f>
        <v>2006-2007</v>
      </c>
      <c r="M3" s="933" t="s">
        <v>91</v>
      </c>
      <c r="N3" s="933" t="s">
        <v>85</v>
      </c>
      <c r="O3" s="939" t="str">
        <f>B3</f>
        <v>Madurai TSp VIth Bn under 4000 quarters Scheme.</v>
      </c>
      <c r="Q3" s="939" t="str">
        <f>C3</f>
        <v>2006-2007</v>
      </c>
      <c r="T3" s="933" t="s">
        <v>91</v>
      </c>
      <c r="U3" s="939" t="str">
        <f>B3</f>
        <v>Madurai TSp VIth Bn under 4000 quarters Scheme.</v>
      </c>
      <c r="W3" s="943" t="str">
        <f>C3</f>
        <v>2006-2007</v>
      </c>
      <c r="AA3" s="933" t="s">
        <v>85</v>
      </c>
    </row>
    <row r="4" spans="1:37" hidden="1">
      <c r="F4" s="935" t="s">
        <v>52</v>
      </c>
      <c r="G4" s="935" t="s">
        <v>52</v>
      </c>
      <c r="H4" s="935" t="s">
        <v>52</v>
      </c>
      <c r="I4" s="935" t="s">
        <v>52</v>
      </c>
      <c r="J4" s="935" t="s">
        <v>52</v>
      </c>
      <c r="K4" s="935" t="s">
        <v>52</v>
      </c>
      <c r="M4" s="935" t="s">
        <v>52</v>
      </c>
      <c r="N4" s="935" t="s">
        <v>52</v>
      </c>
      <c r="O4" s="935" t="s">
        <v>52</v>
      </c>
      <c r="P4" s="935" t="s">
        <v>52</v>
      </c>
      <c r="Q4" s="935" t="s">
        <v>52</v>
      </c>
      <c r="R4" s="935" t="s">
        <v>52</v>
      </c>
      <c r="U4" s="933" t="s">
        <v>85</v>
      </c>
      <c r="W4" s="933" t="s">
        <v>85</v>
      </c>
      <c r="X4" s="933" t="s">
        <v>88</v>
      </c>
      <c r="Y4" s="933" t="s">
        <v>85</v>
      </c>
      <c r="AC4" s="933" t="s">
        <v>85</v>
      </c>
      <c r="AG4" s="933" t="s">
        <v>94</v>
      </c>
    </row>
    <row r="5" spans="1:37" hidden="1">
      <c r="A5" s="935" t="s">
        <v>52</v>
      </c>
      <c r="B5" s="935" t="s">
        <v>52</v>
      </c>
      <c r="C5" s="935" t="s">
        <v>52</v>
      </c>
      <c r="D5" s="935" t="s">
        <v>52</v>
      </c>
      <c r="E5" s="933" t="s">
        <v>85</v>
      </c>
      <c r="F5" s="937" t="s">
        <v>95</v>
      </c>
      <c r="G5" s="938" t="s">
        <v>85</v>
      </c>
      <c r="H5" s="934" t="s">
        <v>96</v>
      </c>
      <c r="I5" s="934" t="s">
        <v>97</v>
      </c>
      <c r="J5" s="934" t="s">
        <v>98</v>
      </c>
      <c r="K5" s="934" t="s">
        <v>99</v>
      </c>
      <c r="M5" s="934" t="s">
        <v>95</v>
      </c>
      <c r="N5" s="933" t="s">
        <v>85</v>
      </c>
      <c r="O5" s="934" t="s">
        <v>96</v>
      </c>
      <c r="P5" s="934" t="s">
        <v>97</v>
      </c>
      <c r="Q5" s="934" t="s">
        <v>98</v>
      </c>
      <c r="R5" s="934" t="s">
        <v>99</v>
      </c>
      <c r="T5" s="935" t="s">
        <v>52</v>
      </c>
      <c r="U5" s="935" t="s">
        <v>52</v>
      </c>
      <c r="V5" s="935" t="s">
        <v>52</v>
      </c>
      <c r="W5" s="935" t="s">
        <v>52</v>
      </c>
      <c r="X5" s="935" t="s">
        <v>52</v>
      </c>
      <c r="Y5" s="935" t="s">
        <v>52</v>
      </c>
      <c r="Z5" s="935" t="s">
        <v>52</v>
      </c>
      <c r="AA5" s="935" t="s">
        <v>52</v>
      </c>
      <c r="AB5" s="935" t="s">
        <v>52</v>
      </c>
      <c r="AC5" s="935" t="s">
        <v>52</v>
      </c>
      <c r="AD5" s="935" t="s">
        <v>52</v>
      </c>
      <c r="AE5" s="935" t="s">
        <v>52</v>
      </c>
    </row>
    <row r="6" spans="1:37" hidden="1">
      <c r="A6" s="933" t="s">
        <v>100</v>
      </c>
      <c r="B6" s="933" t="s">
        <v>96</v>
      </c>
      <c r="C6" s="933" t="s">
        <v>97</v>
      </c>
      <c r="D6" s="933" t="s">
        <v>98</v>
      </c>
      <c r="F6" s="935" t="s">
        <v>52</v>
      </c>
      <c r="G6" s="935" t="s">
        <v>52</v>
      </c>
      <c r="H6" s="935" t="s">
        <v>52</v>
      </c>
      <c r="I6" s="935" t="s">
        <v>52</v>
      </c>
      <c r="J6" s="935" t="s">
        <v>52</v>
      </c>
      <c r="K6" s="935" t="s">
        <v>52</v>
      </c>
      <c r="M6" s="935" t="s">
        <v>52</v>
      </c>
      <c r="N6" s="935" t="s">
        <v>52</v>
      </c>
      <c r="O6" s="935" t="s">
        <v>52</v>
      </c>
      <c r="P6" s="935" t="s">
        <v>52</v>
      </c>
      <c r="Q6" s="935" t="s">
        <v>52</v>
      </c>
      <c r="R6" s="935" t="s">
        <v>52</v>
      </c>
      <c r="T6" s="934" t="s">
        <v>100</v>
      </c>
      <c r="U6" s="934" t="s">
        <v>101</v>
      </c>
      <c r="V6" s="934" t="s">
        <v>102</v>
      </c>
      <c r="W6" s="934" t="s">
        <v>103</v>
      </c>
      <c r="X6" s="934" t="s">
        <v>104</v>
      </c>
      <c r="Y6" s="934" t="s">
        <v>105</v>
      </c>
      <c r="Z6" s="934" t="s">
        <v>106</v>
      </c>
      <c r="AA6" s="933" t="s">
        <v>107</v>
      </c>
      <c r="AB6" s="933" t="s">
        <v>108</v>
      </c>
      <c r="AC6" s="933" t="s">
        <v>109</v>
      </c>
      <c r="AD6" s="934" t="s">
        <v>110</v>
      </c>
      <c r="AG6" s="930">
        <f>135*1.1</f>
        <v>148.5</v>
      </c>
    </row>
    <row r="7" spans="1:37" hidden="1">
      <c r="A7" s="935" t="s">
        <v>52</v>
      </c>
      <c r="B7" s="935" t="s">
        <v>52</v>
      </c>
      <c r="C7" s="935" t="s">
        <v>52</v>
      </c>
      <c r="D7" s="935" t="s">
        <v>52</v>
      </c>
      <c r="G7" s="938" t="s">
        <v>111</v>
      </c>
      <c r="H7" s="933" t="s">
        <v>112</v>
      </c>
      <c r="O7" s="933" t="s">
        <v>113</v>
      </c>
      <c r="X7" s="934" t="s">
        <v>114</v>
      </c>
      <c r="Y7" s="934" t="s">
        <v>109</v>
      </c>
      <c r="Z7" s="934" t="s">
        <v>115</v>
      </c>
      <c r="AA7" s="933" t="s">
        <v>116</v>
      </c>
      <c r="AB7" s="933" t="s">
        <v>117</v>
      </c>
      <c r="AC7" s="933" t="s">
        <v>118</v>
      </c>
    </row>
    <row r="8" spans="1:37" hidden="1">
      <c r="B8" s="933" t="s">
        <v>119</v>
      </c>
      <c r="C8"/>
      <c r="D8"/>
      <c r="E8"/>
      <c r="H8" s="935" t="s">
        <v>52</v>
      </c>
      <c r="O8" s="935" t="s">
        <v>52</v>
      </c>
      <c r="T8" s="935" t="s">
        <v>52</v>
      </c>
      <c r="U8" s="935" t="s">
        <v>52</v>
      </c>
      <c r="V8" s="935" t="s">
        <v>52</v>
      </c>
      <c r="W8" s="935" t="s">
        <v>52</v>
      </c>
      <c r="X8" s="935" t="s">
        <v>52</v>
      </c>
      <c r="Y8" s="935" t="s">
        <v>52</v>
      </c>
      <c r="Z8" s="935" t="s">
        <v>52</v>
      </c>
      <c r="AA8" s="935" t="s">
        <v>52</v>
      </c>
      <c r="AB8" s="935" t="s">
        <v>52</v>
      </c>
      <c r="AC8" s="935" t="s">
        <v>52</v>
      </c>
      <c r="AD8" s="935" t="s">
        <v>52</v>
      </c>
      <c r="AE8" s="935" t="s">
        <v>52</v>
      </c>
      <c r="AG8" s="933" t="s">
        <v>120</v>
      </c>
      <c r="AI8">
        <v>148.5</v>
      </c>
      <c r="AJ8" s="930">
        <v>1.1000000000000001</v>
      </c>
      <c r="AK8" s="930">
        <f t="shared" ref="AK8:AK36" si="0">AI8*AJ8</f>
        <v>163.35</v>
      </c>
    </row>
    <row r="9" spans="1:37" hidden="1">
      <c r="B9" s="933" t="s">
        <v>121</v>
      </c>
      <c r="C9"/>
      <c r="D9"/>
      <c r="E9"/>
      <c r="F9" s="939">
        <v>0.96</v>
      </c>
      <c r="G9" s="938" t="s">
        <v>122</v>
      </c>
      <c r="H9" s="933" t="s">
        <v>123</v>
      </c>
      <c r="I9" s="744">
        <f>(C67)</f>
        <v>3800</v>
      </c>
      <c r="J9" s="779" t="s">
        <v>122</v>
      </c>
      <c r="K9" s="744">
        <f>(F9*I9)</f>
        <v>3648</v>
      </c>
      <c r="M9" s="939">
        <v>0.5</v>
      </c>
      <c r="N9" s="933" t="s">
        <v>122</v>
      </c>
      <c r="O9" s="933" t="s">
        <v>124</v>
      </c>
      <c r="P9" s="939" t="e">
        <f>(C85)</f>
        <v>#REF!</v>
      </c>
      <c r="Q9" s="933" t="s">
        <v>122</v>
      </c>
      <c r="R9" s="939" t="e">
        <f>(M9*P9)</f>
        <v>#REF!</v>
      </c>
      <c r="T9" s="934" t="s">
        <v>125</v>
      </c>
      <c r="U9" s="933" t="s">
        <v>126</v>
      </c>
      <c r="V9" s="933" t="s">
        <v>127</v>
      </c>
      <c r="W9" s="933" t="s">
        <v>128</v>
      </c>
      <c r="X9" s="939" t="e">
        <f>#REF!</f>
        <v>#REF!</v>
      </c>
      <c r="Y9" s="744">
        <v>200</v>
      </c>
      <c r="Z9" s="939" t="e">
        <f>#REF!</f>
        <v>#REF!</v>
      </c>
      <c r="AA9" s="934">
        <v>0</v>
      </c>
      <c r="AB9" s="933">
        <v>0</v>
      </c>
      <c r="AC9" s="933" t="e">
        <f t="shared" ref="AC9:AC30" si="1">SUM(Y9+Z9+AA9+AB9)</f>
        <v>#REF!</v>
      </c>
      <c r="AD9" s="933" t="s">
        <v>129</v>
      </c>
      <c r="AE9" s="744">
        <v>150</v>
      </c>
      <c r="AF9" s="939"/>
      <c r="AG9" s="939"/>
      <c r="AI9">
        <v>126.5</v>
      </c>
      <c r="AJ9" s="930">
        <v>1.1000000000000001</v>
      </c>
      <c r="AK9" s="930">
        <f t="shared" si="0"/>
        <v>139.15</v>
      </c>
    </row>
    <row r="10" spans="1:37" ht="15" hidden="1" customHeight="1">
      <c r="A10" s="940">
        <v>1</v>
      </c>
      <c r="B10" s="933" t="s">
        <v>130</v>
      </c>
      <c r="C10" s="744">
        <f>AE9</f>
        <v>150</v>
      </c>
      <c r="D10" s="743" t="s">
        <v>131</v>
      </c>
      <c r="E10"/>
      <c r="F10" s="939">
        <v>1</v>
      </c>
      <c r="G10" s="938" t="s">
        <v>132</v>
      </c>
      <c r="H10" s="933" t="s">
        <v>133</v>
      </c>
      <c r="I10" s="744" t="e">
        <f>(C78)</f>
        <v>#REF!</v>
      </c>
      <c r="J10" s="779" t="s">
        <v>132</v>
      </c>
      <c r="K10" s="744" t="e">
        <f>(F10*I10)</f>
        <v>#REF!</v>
      </c>
      <c r="M10" s="939">
        <v>1</v>
      </c>
      <c r="N10" s="933" t="s">
        <v>132</v>
      </c>
      <c r="O10" s="933" t="s">
        <v>133</v>
      </c>
      <c r="P10" s="939" t="e">
        <f>(C78)</f>
        <v>#REF!</v>
      </c>
      <c r="Q10" s="933" t="s">
        <v>132</v>
      </c>
      <c r="R10" s="939" t="e">
        <f>(M10*P10)</f>
        <v>#REF!</v>
      </c>
      <c r="T10" s="934" t="s">
        <v>134</v>
      </c>
      <c r="U10" s="933" t="s">
        <v>135</v>
      </c>
      <c r="V10" s="933" t="s">
        <v>127</v>
      </c>
      <c r="W10" s="939" t="str">
        <f>W9</f>
        <v>Nallambakkam</v>
      </c>
      <c r="X10" s="939" t="e">
        <f>+X9</f>
        <v>#REF!</v>
      </c>
      <c r="Y10" s="744">
        <v>300</v>
      </c>
      <c r="Z10" s="939" t="e">
        <f t="shared" ref="Z10:Z15" si="2">+Z9</f>
        <v>#REF!</v>
      </c>
      <c r="AA10" s="932">
        <v>0</v>
      </c>
      <c r="AB10" s="946">
        <v>0</v>
      </c>
      <c r="AC10" s="933" t="e">
        <f t="shared" si="1"/>
        <v>#REF!</v>
      </c>
      <c r="AD10" s="933" t="s">
        <v>136</v>
      </c>
      <c r="AE10" s="744">
        <v>135</v>
      </c>
      <c r="AF10" s="939"/>
      <c r="AG10" s="939"/>
      <c r="AI10">
        <v>85.5</v>
      </c>
      <c r="AJ10" s="930">
        <v>1.1000000000000001</v>
      </c>
      <c r="AK10" s="930">
        <f t="shared" si="0"/>
        <v>94.05</v>
      </c>
    </row>
    <row r="11" spans="1:37" hidden="1">
      <c r="A11" s="940">
        <f t="shared" ref="A11:A35" si="3">(A10+1)</f>
        <v>2</v>
      </c>
      <c r="B11" s="933" t="s">
        <v>137</v>
      </c>
      <c r="C11" s="744">
        <f>AE10</f>
        <v>135</v>
      </c>
      <c r="D11" s="743" t="s">
        <v>131</v>
      </c>
      <c r="E11"/>
      <c r="F11" s="939">
        <v>1</v>
      </c>
      <c r="G11" s="938" t="s">
        <v>132</v>
      </c>
      <c r="H11" s="933" t="s">
        <v>138</v>
      </c>
      <c r="I11" s="744">
        <f>(C18)</f>
        <v>26</v>
      </c>
      <c r="J11" s="779" t="s">
        <v>132</v>
      </c>
      <c r="K11" s="744">
        <f>(F11*I11)</f>
        <v>26</v>
      </c>
      <c r="M11" s="939">
        <v>1</v>
      </c>
      <c r="N11" s="933" t="s">
        <v>132</v>
      </c>
      <c r="O11" s="933" t="s">
        <v>139</v>
      </c>
      <c r="P11" s="939">
        <f>(C64)</f>
        <v>62.5</v>
      </c>
      <c r="Q11" s="933" t="s">
        <v>132</v>
      </c>
      <c r="R11" s="939">
        <f>(M11*P11)</f>
        <v>62.5</v>
      </c>
      <c r="T11" s="934" t="s">
        <v>140</v>
      </c>
      <c r="U11" s="933" t="s">
        <v>141</v>
      </c>
      <c r="V11" s="933" t="s">
        <v>127</v>
      </c>
      <c r="W11" s="933" t="s">
        <v>142</v>
      </c>
      <c r="X11" s="939" t="e">
        <f>#REF!</f>
        <v>#REF!</v>
      </c>
      <c r="Y11" s="744">
        <v>333.33</v>
      </c>
      <c r="Z11" s="939" t="e">
        <f t="shared" si="2"/>
        <v>#REF!</v>
      </c>
      <c r="AA11" s="934">
        <v>0</v>
      </c>
      <c r="AB11" s="946">
        <v>0</v>
      </c>
      <c r="AC11" s="933" t="e">
        <f t="shared" si="1"/>
        <v>#REF!</v>
      </c>
      <c r="AD11" s="933" t="s">
        <v>143</v>
      </c>
      <c r="AE11" s="744">
        <v>95</v>
      </c>
      <c r="AF11" s="939"/>
      <c r="AG11" s="939"/>
      <c r="AI11">
        <v>80.5</v>
      </c>
      <c r="AJ11" s="930">
        <v>1.1000000000000001</v>
      </c>
      <c r="AK11" s="930">
        <f t="shared" si="0"/>
        <v>88.55</v>
      </c>
    </row>
    <row r="12" spans="1:37" hidden="1">
      <c r="A12" s="940">
        <f t="shared" si="3"/>
        <v>3</v>
      </c>
      <c r="B12" s="933" t="s">
        <v>144</v>
      </c>
      <c r="C12" s="744">
        <f>AE11</f>
        <v>95</v>
      </c>
      <c r="D12" s="743" t="s">
        <v>131</v>
      </c>
      <c r="E12"/>
      <c r="G12" s="938" t="s">
        <v>145</v>
      </c>
      <c r="H12" s="933" t="s">
        <v>146</v>
      </c>
      <c r="I12" s="743" t="s">
        <v>85</v>
      </c>
      <c r="J12" s="779" t="s">
        <v>145</v>
      </c>
      <c r="K12" s="744">
        <v>0</v>
      </c>
      <c r="N12" s="933" t="s">
        <v>145</v>
      </c>
      <c r="O12" s="933" t="s">
        <v>146</v>
      </c>
      <c r="P12" s="933" t="s">
        <v>85</v>
      </c>
      <c r="Q12" s="933" t="s">
        <v>145</v>
      </c>
      <c r="R12" s="939">
        <v>0</v>
      </c>
      <c r="T12" s="934" t="s">
        <v>147</v>
      </c>
      <c r="U12" s="933" t="s">
        <v>148</v>
      </c>
      <c r="V12" s="933" t="s">
        <v>127</v>
      </c>
      <c r="W12" s="939" t="str">
        <f>W11</f>
        <v>Pallavaram</v>
      </c>
      <c r="X12" s="939" t="e">
        <f>+X11</f>
        <v>#REF!</v>
      </c>
      <c r="Y12" s="744">
        <v>425</v>
      </c>
      <c r="Z12" s="939" t="e">
        <f t="shared" si="2"/>
        <v>#REF!</v>
      </c>
      <c r="AA12" s="934">
        <v>0</v>
      </c>
      <c r="AB12" s="946">
        <v>0</v>
      </c>
      <c r="AC12" s="933" t="e">
        <f t="shared" si="1"/>
        <v>#REF!</v>
      </c>
      <c r="AD12" s="933" t="s">
        <v>149</v>
      </c>
      <c r="AE12" s="744">
        <v>85</v>
      </c>
      <c r="AF12" s="939"/>
      <c r="AG12" s="939"/>
      <c r="AI12">
        <v>114.5</v>
      </c>
      <c r="AJ12" s="930">
        <v>1.1000000000000001</v>
      </c>
      <c r="AK12" s="930">
        <f t="shared" si="0"/>
        <v>125.95</v>
      </c>
    </row>
    <row r="13" spans="1:37" hidden="1">
      <c r="A13" s="940">
        <f t="shared" si="3"/>
        <v>4</v>
      </c>
      <c r="B13" s="933" t="s">
        <v>150</v>
      </c>
      <c r="C13" s="744">
        <f>AE12</f>
        <v>85</v>
      </c>
      <c r="D13" s="743" t="s">
        <v>131</v>
      </c>
      <c r="E13"/>
      <c r="I13"/>
      <c r="J13" s="805"/>
      <c r="K13" s="776" t="s">
        <v>52</v>
      </c>
      <c r="R13" s="935" t="s">
        <v>52</v>
      </c>
      <c r="T13" s="934" t="s">
        <v>151</v>
      </c>
      <c r="U13" s="933" t="s">
        <v>152</v>
      </c>
      <c r="V13" s="933" t="s">
        <v>127</v>
      </c>
      <c r="W13" s="939" t="str">
        <f>W11</f>
        <v>Pallavaram</v>
      </c>
      <c r="X13" s="939" t="e">
        <f>+X12</f>
        <v>#REF!</v>
      </c>
      <c r="Y13" s="744">
        <v>630</v>
      </c>
      <c r="Z13" s="939" t="e">
        <f t="shared" si="2"/>
        <v>#REF!</v>
      </c>
      <c r="AA13" s="934">
        <v>0</v>
      </c>
      <c r="AB13" s="946">
        <v>0</v>
      </c>
      <c r="AC13" s="933" t="e">
        <f t="shared" si="1"/>
        <v>#REF!</v>
      </c>
      <c r="AD13" s="933" t="s">
        <v>153</v>
      </c>
      <c r="AE13" s="744">
        <v>120</v>
      </c>
      <c r="AF13" s="939"/>
      <c r="AG13" s="939"/>
      <c r="AI13">
        <v>106.5</v>
      </c>
      <c r="AJ13" s="930">
        <v>1.1000000000000001</v>
      </c>
      <c r="AK13" s="930">
        <f t="shared" si="0"/>
        <v>117.15</v>
      </c>
    </row>
    <row r="14" spans="1:37" hidden="1">
      <c r="A14" s="940">
        <f t="shared" si="3"/>
        <v>5</v>
      </c>
      <c r="B14" s="933" t="s">
        <v>154</v>
      </c>
      <c r="C14" s="744">
        <f>AE13</f>
        <v>120</v>
      </c>
      <c r="D14" s="744">
        <f>AE14</f>
        <v>110</v>
      </c>
      <c r="E14"/>
      <c r="H14" s="933" t="s">
        <v>155</v>
      </c>
      <c r="I14"/>
      <c r="J14" s="805"/>
      <c r="K14" s="744" t="e">
        <f>SUM(K9:K12)</f>
        <v>#REF!</v>
      </c>
      <c r="N14" s="939" t="e">
        <f>SUM(K9:K12)</f>
        <v>#REF!</v>
      </c>
      <c r="O14" s="933" t="s">
        <v>155</v>
      </c>
      <c r="R14" s="939" t="e">
        <f>SUM(R9:R12)</f>
        <v>#REF!</v>
      </c>
      <c r="T14" s="934" t="s">
        <v>156</v>
      </c>
      <c r="U14" s="933" t="s">
        <v>157</v>
      </c>
      <c r="V14" s="933" t="s">
        <v>127</v>
      </c>
      <c r="W14" s="939" t="str">
        <f>W11</f>
        <v>Pallavaram</v>
      </c>
      <c r="X14" s="939" t="e">
        <f>+X13</f>
        <v>#REF!</v>
      </c>
      <c r="Y14" s="744">
        <v>685</v>
      </c>
      <c r="Z14" s="939" t="e">
        <f t="shared" si="2"/>
        <v>#REF!</v>
      </c>
      <c r="AA14" s="934">
        <v>0</v>
      </c>
      <c r="AB14" s="946">
        <v>0</v>
      </c>
      <c r="AC14" s="933" t="e">
        <f t="shared" si="1"/>
        <v>#REF!</v>
      </c>
      <c r="AD14" s="933" t="s">
        <v>158</v>
      </c>
      <c r="AE14" s="744">
        <v>110</v>
      </c>
      <c r="AF14" s="939"/>
      <c r="AG14" s="939"/>
      <c r="AI14">
        <v>116.5</v>
      </c>
      <c r="AJ14" s="930">
        <v>1.1000000000000001</v>
      </c>
      <c r="AK14" s="930">
        <f t="shared" si="0"/>
        <v>128.15</v>
      </c>
    </row>
    <row r="15" spans="1:37" hidden="1">
      <c r="A15" s="940">
        <f t="shared" si="3"/>
        <v>6</v>
      </c>
      <c r="B15" s="933" t="s">
        <v>159</v>
      </c>
      <c r="C15" s="744">
        <f>AE15</f>
        <v>130</v>
      </c>
      <c r="D15" s="743" t="s">
        <v>131</v>
      </c>
      <c r="E15"/>
      <c r="I15"/>
      <c r="J15" s="805"/>
      <c r="K15" s="776" t="s">
        <v>52</v>
      </c>
      <c r="R15" s="935" t="s">
        <v>52</v>
      </c>
      <c r="T15" s="934" t="s">
        <v>160</v>
      </c>
      <c r="U15" s="933" t="s">
        <v>161</v>
      </c>
      <c r="V15" s="933" t="s">
        <v>127</v>
      </c>
      <c r="W15" s="939" t="str">
        <f>W11</f>
        <v>Pallavaram</v>
      </c>
      <c r="X15" s="939" t="e">
        <f>+X14</f>
        <v>#REF!</v>
      </c>
      <c r="Y15" s="744">
        <v>490</v>
      </c>
      <c r="Z15" s="939" t="e">
        <f t="shared" si="2"/>
        <v>#REF!</v>
      </c>
      <c r="AA15" s="934">
        <v>0</v>
      </c>
      <c r="AB15" s="946">
        <v>0</v>
      </c>
      <c r="AC15" s="933" t="e">
        <f t="shared" si="1"/>
        <v>#REF!</v>
      </c>
      <c r="AD15" s="933" t="s">
        <v>162</v>
      </c>
      <c r="AE15" s="744">
        <v>130</v>
      </c>
      <c r="AF15" s="939"/>
      <c r="AG15" s="939"/>
      <c r="AI15">
        <v>106.5</v>
      </c>
      <c r="AJ15" s="930">
        <v>1.1000000000000001</v>
      </c>
      <c r="AK15" s="930">
        <f t="shared" si="0"/>
        <v>117.15</v>
      </c>
    </row>
    <row r="16" spans="1:37" hidden="1">
      <c r="A16" s="940">
        <f t="shared" si="3"/>
        <v>7</v>
      </c>
      <c r="B16" s="933" t="s">
        <v>163</v>
      </c>
      <c r="C16" s="744">
        <f>AE19</f>
        <v>150</v>
      </c>
      <c r="D16" s="744">
        <f>AE20</f>
        <v>135</v>
      </c>
      <c r="E16"/>
      <c r="G16" s="938" t="s">
        <v>111</v>
      </c>
      <c r="H16" s="933" t="s">
        <v>164</v>
      </c>
      <c r="I16"/>
      <c r="J16" s="805"/>
      <c r="K16"/>
      <c r="N16" s="933" t="s">
        <v>111</v>
      </c>
      <c r="O16" s="933" t="s">
        <v>165</v>
      </c>
      <c r="T16" s="934" t="s">
        <v>166</v>
      </c>
      <c r="U16" s="933" t="s">
        <v>167</v>
      </c>
      <c r="V16" s="933" t="s">
        <v>127</v>
      </c>
      <c r="W16" s="933" t="s">
        <v>168</v>
      </c>
      <c r="X16" s="939" t="e">
        <f>#REF!</f>
        <v>#REF!</v>
      </c>
      <c r="Y16" s="744">
        <v>110</v>
      </c>
      <c r="Z16" s="939" t="e">
        <f>#REF!</f>
        <v>#REF!</v>
      </c>
      <c r="AA16" s="934">
        <v>0</v>
      </c>
      <c r="AB16" s="946">
        <v>0</v>
      </c>
      <c r="AC16" s="933" t="e">
        <f t="shared" si="1"/>
        <v>#REF!</v>
      </c>
      <c r="AD16" s="933" t="s">
        <v>169</v>
      </c>
      <c r="AE16" s="744">
        <v>120</v>
      </c>
      <c r="AF16" s="939"/>
      <c r="AG16" s="939"/>
      <c r="AI16">
        <v>106.5</v>
      </c>
      <c r="AJ16" s="930">
        <v>1.1000000000000001</v>
      </c>
      <c r="AK16" s="930">
        <f t="shared" si="0"/>
        <v>117.15</v>
      </c>
    </row>
    <row r="17" spans="1:37" hidden="1">
      <c r="A17" s="940">
        <f t="shared" si="3"/>
        <v>8</v>
      </c>
      <c r="B17" s="933" t="s">
        <v>170</v>
      </c>
      <c r="C17" s="744">
        <f>AE17</f>
        <v>130</v>
      </c>
      <c r="D17" s="744">
        <f>AE18</f>
        <v>120</v>
      </c>
      <c r="E17"/>
      <c r="H17" s="935" t="s">
        <v>52</v>
      </c>
      <c r="I17"/>
      <c r="J17" s="805"/>
      <c r="K17"/>
      <c r="O17" s="933" t="s">
        <v>171</v>
      </c>
      <c r="T17" s="934" t="s">
        <v>172</v>
      </c>
      <c r="U17" s="933" t="s">
        <v>173</v>
      </c>
      <c r="V17" s="933" t="s">
        <v>127</v>
      </c>
      <c r="W17" s="933" t="s">
        <v>174</v>
      </c>
      <c r="X17" s="939" t="e">
        <f>X16</f>
        <v>#REF!</v>
      </c>
      <c r="Y17" s="744">
        <v>110</v>
      </c>
      <c r="Z17" s="939" t="e">
        <f>Z16</f>
        <v>#REF!</v>
      </c>
      <c r="AA17" s="934">
        <v>0</v>
      </c>
      <c r="AB17" s="946">
        <v>0</v>
      </c>
      <c r="AC17" s="933" t="e">
        <f t="shared" si="1"/>
        <v>#REF!</v>
      </c>
      <c r="AD17" s="933" t="s">
        <v>175</v>
      </c>
      <c r="AE17" s="744">
        <v>130</v>
      </c>
      <c r="AF17" s="939"/>
      <c r="AG17" s="939"/>
      <c r="AI17">
        <v>98.5</v>
      </c>
      <c r="AJ17" s="930">
        <v>1.1000000000000001</v>
      </c>
      <c r="AK17" s="930">
        <f t="shared" si="0"/>
        <v>108.35</v>
      </c>
    </row>
    <row r="18" spans="1:37" hidden="1">
      <c r="A18" s="940">
        <f t="shared" si="3"/>
        <v>9</v>
      </c>
      <c r="B18" s="933" t="s">
        <v>176</v>
      </c>
      <c r="C18" s="744">
        <f>AE24</f>
        <v>26</v>
      </c>
      <c r="D18" s="743" t="s">
        <v>177</v>
      </c>
      <c r="E18"/>
      <c r="F18" s="939">
        <v>0.72</v>
      </c>
      <c r="G18" s="938" t="s">
        <v>122</v>
      </c>
      <c r="H18" s="933" t="s">
        <v>123</v>
      </c>
      <c r="I18" s="744">
        <f>(C67)</f>
        <v>3800</v>
      </c>
      <c r="J18" s="779" t="s">
        <v>122</v>
      </c>
      <c r="K18" s="744">
        <f>(F18*I18)</f>
        <v>2736</v>
      </c>
      <c r="O18" s="933" t="s">
        <v>178</v>
      </c>
      <c r="T18" s="934" t="s">
        <v>179</v>
      </c>
      <c r="U18" s="933" t="s">
        <v>180</v>
      </c>
      <c r="V18" s="933" t="s">
        <v>181</v>
      </c>
      <c r="W18" s="933" t="s">
        <v>182</v>
      </c>
      <c r="X18" s="939" t="e">
        <f>#REF!</f>
        <v>#REF!</v>
      </c>
      <c r="Y18" s="744">
        <v>1950</v>
      </c>
      <c r="Z18" s="939" t="e">
        <f>#REF!</f>
        <v>#REF!</v>
      </c>
      <c r="AA18" s="934">
        <v>0</v>
      </c>
      <c r="AB18" s="946">
        <v>0</v>
      </c>
      <c r="AC18" s="933" t="e">
        <f t="shared" si="1"/>
        <v>#REF!</v>
      </c>
      <c r="AD18" s="933" t="s">
        <v>183</v>
      </c>
      <c r="AE18" s="744">
        <v>120</v>
      </c>
      <c r="AF18" s="939"/>
      <c r="AG18" s="939"/>
      <c r="AI18">
        <v>148.5</v>
      </c>
      <c r="AJ18" s="930">
        <v>1.1000000000000001</v>
      </c>
      <c r="AK18" s="930">
        <f t="shared" si="0"/>
        <v>163.35</v>
      </c>
    </row>
    <row r="19" spans="1:37" hidden="1">
      <c r="A19" s="940">
        <f t="shared" si="3"/>
        <v>10</v>
      </c>
      <c r="B19" s="933" t="s">
        <v>184</v>
      </c>
      <c r="C19" s="744">
        <v>17.600000000000001</v>
      </c>
      <c r="D19" s="743" t="s">
        <v>132</v>
      </c>
      <c r="E19"/>
      <c r="F19" s="939">
        <v>1</v>
      </c>
      <c r="G19" s="938" t="s">
        <v>132</v>
      </c>
      <c r="H19" s="933" t="s">
        <v>133</v>
      </c>
      <c r="I19" s="744" t="e">
        <f>(C78)</f>
        <v>#REF!</v>
      </c>
      <c r="J19" s="779" t="s">
        <v>132</v>
      </c>
      <c r="K19" s="744" t="e">
        <f>(F19*I19)</f>
        <v>#REF!</v>
      </c>
      <c r="O19" s="933" t="s">
        <v>185</v>
      </c>
      <c r="T19" s="934" t="s">
        <v>186</v>
      </c>
      <c r="U19" s="933" t="s">
        <v>187</v>
      </c>
      <c r="V19" s="933" t="s">
        <v>132</v>
      </c>
      <c r="W19" s="939" t="str">
        <f>W18</f>
        <v>Nerkundram</v>
      </c>
      <c r="X19" s="939" t="e">
        <f>#REF!</f>
        <v>#REF!</v>
      </c>
      <c r="Y19" s="744">
        <v>260</v>
      </c>
      <c r="Z19" s="939" t="e">
        <f>#REF!</f>
        <v>#REF!</v>
      </c>
      <c r="AA19" s="934">
        <v>0</v>
      </c>
      <c r="AB19" s="946">
        <v>0</v>
      </c>
      <c r="AC19" s="933" t="e">
        <f t="shared" si="1"/>
        <v>#REF!</v>
      </c>
      <c r="AD19" s="933" t="s">
        <v>188</v>
      </c>
      <c r="AE19" s="744">
        <v>150</v>
      </c>
      <c r="AF19" s="939"/>
      <c r="AG19" s="939"/>
      <c r="AI19">
        <v>126.5</v>
      </c>
      <c r="AJ19" s="930">
        <v>1.1000000000000001</v>
      </c>
      <c r="AK19" s="930">
        <f t="shared" si="0"/>
        <v>139.15</v>
      </c>
    </row>
    <row r="20" spans="1:37" hidden="1">
      <c r="A20" s="940">
        <f t="shared" si="3"/>
        <v>11</v>
      </c>
      <c r="B20" s="933" t="s">
        <v>189</v>
      </c>
      <c r="C20" s="744">
        <v>35.200000000000003</v>
      </c>
      <c r="D20" s="743" t="s">
        <v>132</v>
      </c>
      <c r="E20"/>
      <c r="F20" s="939">
        <v>1</v>
      </c>
      <c r="G20" s="938" t="s">
        <v>132</v>
      </c>
      <c r="H20" s="933" t="s">
        <v>138</v>
      </c>
      <c r="I20" s="744">
        <f>(C18)</f>
        <v>26</v>
      </c>
      <c r="J20" s="779" t="s">
        <v>132</v>
      </c>
      <c r="K20" s="744">
        <f>(F20*I20)</f>
        <v>26</v>
      </c>
      <c r="O20" s="933" t="s">
        <v>190</v>
      </c>
      <c r="T20" s="934" t="s">
        <v>191</v>
      </c>
      <c r="U20" s="933" t="s">
        <v>192</v>
      </c>
      <c r="V20" s="933" t="s">
        <v>132</v>
      </c>
      <c r="W20" s="939" t="str">
        <f>W18</f>
        <v>Nerkundram</v>
      </c>
      <c r="X20" s="939" t="e">
        <f>X19</f>
        <v>#REF!</v>
      </c>
      <c r="Y20" s="744">
        <v>280</v>
      </c>
      <c r="Z20" s="939" t="e">
        <f>+Z19</f>
        <v>#REF!</v>
      </c>
      <c r="AA20" s="934">
        <v>0</v>
      </c>
      <c r="AB20" s="946">
        <v>0</v>
      </c>
      <c r="AC20" s="933" t="e">
        <f t="shared" si="1"/>
        <v>#REF!</v>
      </c>
      <c r="AD20" s="933" t="s">
        <v>193</v>
      </c>
      <c r="AE20" s="744">
        <v>135</v>
      </c>
      <c r="AF20" s="939"/>
      <c r="AG20" s="939"/>
      <c r="AI20">
        <v>116.5</v>
      </c>
      <c r="AJ20" s="930">
        <v>1.1000000000000001</v>
      </c>
      <c r="AK20" s="930">
        <f t="shared" si="0"/>
        <v>128.15</v>
      </c>
    </row>
    <row r="21" spans="1:37" hidden="1">
      <c r="A21" s="940">
        <f t="shared" si="3"/>
        <v>12</v>
      </c>
      <c r="B21" s="933" t="s">
        <v>194</v>
      </c>
      <c r="C21" s="744">
        <v>35.200000000000003</v>
      </c>
      <c r="D21" s="743" t="s">
        <v>132</v>
      </c>
      <c r="E21"/>
      <c r="G21" s="938" t="s">
        <v>145</v>
      </c>
      <c r="H21" s="933" t="s">
        <v>146</v>
      </c>
      <c r="I21" s="743" t="s">
        <v>85</v>
      </c>
      <c r="J21" s="779" t="s">
        <v>145</v>
      </c>
      <c r="K21" s="744">
        <v>0</v>
      </c>
      <c r="O21" s="935" t="s">
        <v>52</v>
      </c>
      <c r="T21" s="934" t="s">
        <v>195</v>
      </c>
      <c r="U21" s="933" t="s">
        <v>196</v>
      </c>
      <c r="V21" s="933" t="s">
        <v>181</v>
      </c>
      <c r="W21" s="933" t="s">
        <v>197</v>
      </c>
      <c r="X21" s="939" t="e">
        <f>#REF!</f>
        <v>#REF!</v>
      </c>
      <c r="Y21" s="744">
        <v>4500</v>
      </c>
      <c r="Z21" s="939">
        <v>0</v>
      </c>
      <c r="AA21" s="934">
        <v>0</v>
      </c>
      <c r="AB21" s="946">
        <v>0</v>
      </c>
      <c r="AC21" s="933">
        <f t="shared" si="1"/>
        <v>4500</v>
      </c>
      <c r="AD21" s="933" t="s">
        <v>198</v>
      </c>
      <c r="AE21" s="744">
        <v>120</v>
      </c>
      <c r="AF21" s="939"/>
      <c r="AG21" s="939"/>
      <c r="AI21">
        <v>106.5</v>
      </c>
      <c r="AJ21" s="930">
        <v>1.1000000000000001</v>
      </c>
      <c r="AK21" s="930">
        <f t="shared" si="0"/>
        <v>117.15</v>
      </c>
    </row>
    <row r="22" spans="1:37" hidden="1">
      <c r="A22" s="940">
        <f t="shared" si="3"/>
        <v>13</v>
      </c>
      <c r="B22" s="933" t="s">
        <v>199</v>
      </c>
      <c r="C22" s="744">
        <v>26.45</v>
      </c>
      <c r="D22" s="743" t="s">
        <v>132</v>
      </c>
      <c r="E22"/>
      <c r="I22"/>
      <c r="J22" s="805"/>
      <c r="K22" s="776" t="s">
        <v>52</v>
      </c>
      <c r="M22" s="939">
        <v>1</v>
      </c>
      <c r="N22" s="933" t="s">
        <v>132</v>
      </c>
      <c r="O22" s="933" t="s">
        <v>200</v>
      </c>
      <c r="P22" s="939" t="e">
        <f>C78</f>
        <v>#REF!</v>
      </c>
      <c r="Q22" s="933" t="s">
        <v>132</v>
      </c>
      <c r="R22" s="939" t="e">
        <f>(M22*P22)</f>
        <v>#REF!</v>
      </c>
      <c r="T22" s="934" t="s">
        <v>201</v>
      </c>
      <c r="U22" s="933" t="s">
        <v>202</v>
      </c>
      <c r="V22" s="933" t="s">
        <v>127</v>
      </c>
      <c r="W22" s="933" t="s">
        <v>203</v>
      </c>
      <c r="X22" s="939">
        <v>0</v>
      </c>
      <c r="Y22" s="744">
        <v>773</v>
      </c>
      <c r="Z22" s="939">
        <v>0</v>
      </c>
      <c r="AA22" s="934">
        <v>0</v>
      </c>
      <c r="AB22" s="946">
        <v>0</v>
      </c>
      <c r="AC22" s="933">
        <f t="shared" si="1"/>
        <v>773</v>
      </c>
      <c r="AD22" s="933" t="s">
        <v>204</v>
      </c>
      <c r="AE22" s="744">
        <v>110</v>
      </c>
      <c r="AF22" s="939"/>
      <c r="AG22" s="939"/>
      <c r="AI22">
        <v>106.5</v>
      </c>
      <c r="AJ22" s="930">
        <v>1.1000000000000001</v>
      </c>
      <c r="AK22" s="930">
        <f t="shared" si="0"/>
        <v>117.15</v>
      </c>
    </row>
    <row r="23" spans="1:37" hidden="1">
      <c r="A23" s="940">
        <f t="shared" si="3"/>
        <v>14</v>
      </c>
      <c r="B23" s="933" t="s">
        <v>205</v>
      </c>
      <c r="C23" s="744">
        <v>52.85</v>
      </c>
      <c r="D23" s="743" t="s">
        <v>132</v>
      </c>
      <c r="E23"/>
      <c r="H23" s="933" t="s">
        <v>155</v>
      </c>
      <c r="I23"/>
      <c r="J23" s="805"/>
      <c r="K23" s="744" t="e">
        <f>SUM(K18:K21)</f>
        <v>#REF!</v>
      </c>
      <c r="M23" s="939">
        <v>1</v>
      </c>
      <c r="N23" s="933" t="s">
        <v>132</v>
      </c>
      <c r="O23" s="933" t="s">
        <v>206</v>
      </c>
      <c r="P23" s="939" t="e">
        <f>C85</f>
        <v>#REF!</v>
      </c>
      <c r="Q23" s="933" t="s">
        <v>132</v>
      </c>
      <c r="R23" s="939" t="e">
        <f>(M23*P23)</f>
        <v>#REF!</v>
      </c>
      <c r="T23" s="934" t="s">
        <v>207</v>
      </c>
      <c r="U23" s="933" t="s">
        <v>208</v>
      </c>
      <c r="V23" s="933" t="s">
        <v>127</v>
      </c>
      <c r="W23" s="933" t="s">
        <v>203</v>
      </c>
      <c r="X23" s="939" t="e">
        <f>#REF!</f>
        <v>#REF!</v>
      </c>
      <c r="Y23" s="744">
        <v>565</v>
      </c>
      <c r="Z23" s="939" t="e">
        <f>#REF!</f>
        <v>#REF!</v>
      </c>
      <c r="AA23" s="934">
        <v>0</v>
      </c>
      <c r="AB23" s="946">
        <v>0</v>
      </c>
      <c r="AC23" s="933" t="e">
        <f t="shared" si="1"/>
        <v>#REF!</v>
      </c>
      <c r="AD23" s="933" t="s">
        <v>209</v>
      </c>
      <c r="AE23" s="744">
        <v>120</v>
      </c>
      <c r="AF23" s="939"/>
      <c r="AG23" s="939"/>
      <c r="AI23">
        <v>26</v>
      </c>
      <c r="AJ23" s="930">
        <v>1.1000000000000001</v>
      </c>
      <c r="AK23" s="930">
        <f t="shared" si="0"/>
        <v>28.6</v>
      </c>
    </row>
    <row r="24" spans="1:37" hidden="1">
      <c r="A24" s="940">
        <f t="shared" si="3"/>
        <v>15</v>
      </c>
      <c r="B24" s="933" t="s">
        <v>210</v>
      </c>
      <c r="C24" s="744">
        <v>52.85</v>
      </c>
      <c r="D24" s="743" t="s">
        <v>132</v>
      </c>
      <c r="E24"/>
      <c r="I24"/>
      <c r="J24" s="805"/>
      <c r="K24" s="776" t="s">
        <v>52</v>
      </c>
      <c r="M24" s="939">
        <v>1.5</v>
      </c>
      <c r="N24" s="933" t="s">
        <v>132</v>
      </c>
      <c r="O24" s="933" t="s">
        <v>211</v>
      </c>
      <c r="P24" s="939">
        <f>C18</f>
        <v>26</v>
      </c>
      <c r="Q24" s="933" t="s">
        <v>132</v>
      </c>
      <c r="R24" s="939">
        <f>(M24*P24)</f>
        <v>39</v>
      </c>
      <c r="T24" s="934" t="s">
        <v>212</v>
      </c>
      <c r="U24" s="933" t="s">
        <v>213</v>
      </c>
      <c r="V24" s="933" t="s">
        <v>127</v>
      </c>
      <c r="W24" s="933" t="s">
        <v>214</v>
      </c>
      <c r="X24" s="930">
        <v>0</v>
      </c>
      <c r="Y24" s="744">
        <v>20605</v>
      </c>
      <c r="Z24" s="930">
        <v>0</v>
      </c>
      <c r="AA24" s="932">
        <v>0</v>
      </c>
      <c r="AB24" s="946">
        <v>0</v>
      </c>
      <c r="AC24" s="933">
        <f t="shared" si="1"/>
        <v>20605</v>
      </c>
      <c r="AD24" s="933" t="s">
        <v>215</v>
      </c>
      <c r="AE24" s="744">
        <v>26</v>
      </c>
      <c r="AF24" s="939"/>
      <c r="AG24" s="939"/>
      <c r="AI24">
        <v>20.7</v>
      </c>
      <c r="AJ24" s="930">
        <v>1.1000000000000001</v>
      </c>
      <c r="AK24" s="930">
        <f t="shared" si="0"/>
        <v>22.77</v>
      </c>
    </row>
    <row r="25" spans="1:37" hidden="1">
      <c r="A25" s="940">
        <f t="shared" si="3"/>
        <v>16</v>
      </c>
      <c r="B25" s="933" t="s">
        <v>216</v>
      </c>
      <c r="C25" s="744">
        <f>AE25</f>
        <v>20.7</v>
      </c>
      <c r="D25" s="743" t="s">
        <v>132</v>
      </c>
      <c r="E25"/>
      <c r="G25" s="938" t="s">
        <v>111</v>
      </c>
      <c r="H25" s="933" t="s">
        <v>217</v>
      </c>
      <c r="I25"/>
      <c r="J25" s="805"/>
      <c r="K25"/>
      <c r="M25" s="939">
        <v>1.5</v>
      </c>
      <c r="N25" s="933" t="s">
        <v>132</v>
      </c>
      <c r="O25" s="933" t="s">
        <v>218</v>
      </c>
      <c r="P25" s="939">
        <f>C27</f>
        <v>7.8</v>
      </c>
      <c r="Q25" s="933" t="s">
        <v>132</v>
      </c>
      <c r="R25" s="939">
        <f>(M25*P25)</f>
        <v>11.7</v>
      </c>
      <c r="T25" s="934" t="s">
        <v>219</v>
      </c>
      <c r="U25" s="933" t="s">
        <v>220</v>
      </c>
      <c r="V25" s="933" t="s">
        <v>127</v>
      </c>
      <c r="W25" s="933" t="s">
        <v>214</v>
      </c>
      <c r="X25" s="930">
        <v>0</v>
      </c>
      <c r="Y25" s="744">
        <v>23685</v>
      </c>
      <c r="Z25" s="930">
        <v>0</v>
      </c>
      <c r="AA25" s="932">
        <v>0</v>
      </c>
      <c r="AB25" s="946">
        <v>0</v>
      </c>
      <c r="AC25" s="933">
        <f t="shared" si="1"/>
        <v>23685</v>
      </c>
      <c r="AD25" s="933" t="s">
        <v>221</v>
      </c>
      <c r="AE25" s="744">
        <v>20.7</v>
      </c>
      <c r="AF25" s="939"/>
      <c r="AG25" s="939"/>
      <c r="AI25">
        <v>15.6</v>
      </c>
      <c r="AJ25" s="930">
        <v>1.1000000000000001</v>
      </c>
      <c r="AK25" s="930">
        <f t="shared" si="0"/>
        <v>17.16</v>
      </c>
    </row>
    <row r="26" spans="1:37" hidden="1">
      <c r="A26" s="940">
        <f t="shared" si="3"/>
        <v>17</v>
      </c>
      <c r="B26" s="933" t="s">
        <v>222</v>
      </c>
      <c r="C26" s="744">
        <f>+AE28</f>
        <v>8.8000000000000007</v>
      </c>
      <c r="D26" s="743" t="s">
        <v>223</v>
      </c>
      <c r="E26"/>
      <c r="H26" s="935" t="s">
        <v>52</v>
      </c>
      <c r="I26"/>
      <c r="J26" s="805"/>
      <c r="K26"/>
      <c r="N26" s="933" t="s">
        <v>145</v>
      </c>
      <c r="O26" s="933" t="s">
        <v>146</v>
      </c>
      <c r="P26" s="933" t="s">
        <v>85</v>
      </c>
      <c r="Q26" s="933" t="s">
        <v>145</v>
      </c>
      <c r="R26" s="939">
        <v>0</v>
      </c>
      <c r="T26" s="934" t="s">
        <v>224</v>
      </c>
      <c r="U26" s="933" t="s">
        <v>225</v>
      </c>
      <c r="V26" s="933" t="s">
        <v>127</v>
      </c>
      <c r="W26" s="933" t="s">
        <v>214</v>
      </c>
      <c r="X26" s="930">
        <v>0</v>
      </c>
      <c r="Y26" s="744">
        <v>65420</v>
      </c>
      <c r="Z26" s="930">
        <v>0</v>
      </c>
      <c r="AA26" s="932">
        <v>0</v>
      </c>
      <c r="AB26" s="946">
        <v>0</v>
      </c>
      <c r="AC26" s="933">
        <f t="shared" si="1"/>
        <v>65420</v>
      </c>
      <c r="AD26" s="933" t="s">
        <v>226</v>
      </c>
      <c r="AE26" s="744">
        <v>15.6</v>
      </c>
      <c r="AF26" s="939"/>
      <c r="AG26" s="939"/>
      <c r="AI26">
        <v>7.8</v>
      </c>
      <c r="AJ26" s="930">
        <v>1.1000000000000001</v>
      </c>
      <c r="AK26" s="930">
        <f t="shared" si="0"/>
        <v>8.58</v>
      </c>
    </row>
    <row r="27" spans="1:37" hidden="1">
      <c r="A27" s="940">
        <f t="shared" si="3"/>
        <v>18</v>
      </c>
      <c r="B27" s="933" t="s">
        <v>227</v>
      </c>
      <c r="C27" s="744">
        <f>+AE27</f>
        <v>7.8</v>
      </c>
      <c r="D27" s="743" t="s">
        <v>223</v>
      </c>
      <c r="E27"/>
      <c r="F27" s="939">
        <v>0.48</v>
      </c>
      <c r="G27" s="938" t="s">
        <v>122</v>
      </c>
      <c r="H27" s="933" t="s">
        <v>123</v>
      </c>
      <c r="I27" s="744">
        <f>(C67)</f>
        <v>3800</v>
      </c>
      <c r="J27" s="779" t="s">
        <v>122</v>
      </c>
      <c r="K27" s="744">
        <f>(F27*I27)</f>
        <v>1824</v>
      </c>
      <c r="R27" s="935" t="s">
        <v>52</v>
      </c>
      <c r="T27" s="934" t="s">
        <v>228</v>
      </c>
      <c r="U27" s="933" t="s">
        <v>229</v>
      </c>
      <c r="V27" s="933" t="s">
        <v>127</v>
      </c>
      <c r="W27" s="933" t="s">
        <v>214</v>
      </c>
      <c r="X27" s="930">
        <v>0</v>
      </c>
      <c r="Y27" s="744">
        <v>57165</v>
      </c>
      <c r="Z27" s="930">
        <v>0</v>
      </c>
      <c r="AA27" s="932">
        <v>0</v>
      </c>
      <c r="AB27" s="946">
        <v>0</v>
      </c>
      <c r="AC27" s="933">
        <f t="shared" si="1"/>
        <v>57165</v>
      </c>
      <c r="AD27" s="933" t="s">
        <v>230</v>
      </c>
      <c r="AE27" s="744">
        <v>7.8</v>
      </c>
      <c r="AF27" s="939"/>
      <c r="AG27" s="939"/>
      <c r="AI27">
        <v>8.8000000000000007</v>
      </c>
      <c r="AJ27" s="930">
        <v>1.1000000000000001</v>
      </c>
      <c r="AK27" s="930">
        <f t="shared" si="0"/>
        <v>9.68</v>
      </c>
    </row>
    <row r="28" spans="1:37" hidden="1">
      <c r="A28" s="940">
        <f t="shared" si="3"/>
        <v>19</v>
      </c>
      <c r="B28" s="933" t="s">
        <v>231</v>
      </c>
      <c r="C28" s="744">
        <v>58.33</v>
      </c>
      <c r="D28" s="743" t="s">
        <v>145</v>
      </c>
      <c r="E28"/>
      <c r="F28" s="939">
        <v>1</v>
      </c>
      <c r="G28" s="938" t="s">
        <v>132</v>
      </c>
      <c r="H28" s="933" t="s">
        <v>133</v>
      </c>
      <c r="I28" s="744" t="e">
        <f>(C78)</f>
        <v>#REF!</v>
      </c>
      <c r="J28" s="779" t="s">
        <v>132</v>
      </c>
      <c r="K28" s="744" t="e">
        <f>(F28*I28)</f>
        <v>#REF!</v>
      </c>
      <c r="O28" s="933" t="s">
        <v>232</v>
      </c>
      <c r="R28" s="939" t="e">
        <f>SUM(R22:R26)</f>
        <v>#REF!</v>
      </c>
      <c r="T28" s="934" t="s">
        <v>233</v>
      </c>
      <c r="U28" s="933" t="s">
        <v>234</v>
      </c>
      <c r="V28" s="933" t="s">
        <v>127</v>
      </c>
      <c r="W28" s="933" t="s">
        <v>214</v>
      </c>
      <c r="X28" s="930">
        <v>0</v>
      </c>
      <c r="Y28" s="744">
        <v>63870</v>
      </c>
      <c r="Z28" s="930">
        <v>0</v>
      </c>
      <c r="AA28" s="932">
        <v>0</v>
      </c>
      <c r="AB28" s="946">
        <v>0</v>
      </c>
      <c r="AC28" s="933">
        <f t="shared" si="1"/>
        <v>63870</v>
      </c>
      <c r="AD28" s="933" t="s">
        <v>235</v>
      </c>
      <c r="AE28" s="744">
        <v>8.8000000000000007</v>
      </c>
      <c r="AF28" s="939"/>
      <c r="AG28" s="939"/>
      <c r="AI28">
        <v>25</v>
      </c>
      <c r="AJ28" s="930">
        <v>1.1000000000000001</v>
      </c>
      <c r="AK28" s="930">
        <f t="shared" si="0"/>
        <v>27.5</v>
      </c>
    </row>
    <row r="29" spans="1:37" hidden="1">
      <c r="A29" s="940">
        <f t="shared" si="3"/>
        <v>20</v>
      </c>
      <c r="B29" s="933" t="s">
        <v>236</v>
      </c>
      <c r="C29" s="744">
        <f>AE23</f>
        <v>120</v>
      </c>
      <c r="D29" s="743" t="s">
        <v>237</v>
      </c>
      <c r="E29"/>
      <c r="F29" s="939">
        <v>1</v>
      </c>
      <c r="G29" s="938" t="s">
        <v>132</v>
      </c>
      <c r="H29" s="933" t="s">
        <v>138</v>
      </c>
      <c r="I29" s="744">
        <f>(C18)</f>
        <v>26</v>
      </c>
      <c r="J29" s="779" t="s">
        <v>132</v>
      </c>
      <c r="K29" s="744">
        <f>(F29*I29)</f>
        <v>26</v>
      </c>
      <c r="R29" s="935" t="s">
        <v>52</v>
      </c>
      <c r="T29" s="934" t="s">
        <v>238</v>
      </c>
      <c r="U29" s="933" t="s">
        <v>239</v>
      </c>
      <c r="V29" s="933" t="s">
        <v>181</v>
      </c>
      <c r="W29" s="939" t="str">
        <f>W18</f>
        <v>Nerkundram</v>
      </c>
      <c r="X29" s="939" t="e">
        <f>X18</f>
        <v>#REF!</v>
      </c>
      <c r="Y29" s="744">
        <v>1470</v>
      </c>
      <c r="Z29" s="939" t="e">
        <f>Z18</f>
        <v>#REF!</v>
      </c>
      <c r="AA29" s="932">
        <v>0</v>
      </c>
      <c r="AB29" s="946">
        <v>0</v>
      </c>
      <c r="AC29" s="933" t="e">
        <f t="shared" si="1"/>
        <v>#REF!</v>
      </c>
      <c r="AD29" s="933" t="s">
        <v>240</v>
      </c>
      <c r="AE29" s="744">
        <v>25</v>
      </c>
      <c r="AF29" s="939"/>
      <c r="AG29" s="939"/>
      <c r="AI29">
        <v>342</v>
      </c>
      <c r="AJ29" s="930">
        <v>1.1000000000000001</v>
      </c>
      <c r="AK29" s="930">
        <f t="shared" si="0"/>
        <v>376.2</v>
      </c>
    </row>
    <row r="30" spans="1:37" hidden="1">
      <c r="A30" s="940">
        <f t="shared" si="3"/>
        <v>21</v>
      </c>
      <c r="B30" s="933" t="s">
        <v>241</v>
      </c>
      <c r="C30" s="744">
        <f>AE33</f>
        <v>3035</v>
      </c>
      <c r="D30" s="744">
        <f>AE31</f>
        <v>287</v>
      </c>
      <c r="E30"/>
      <c r="G30" s="938" t="s">
        <v>145</v>
      </c>
      <c r="H30" s="933" t="s">
        <v>146</v>
      </c>
      <c r="I30" s="743" t="s">
        <v>85</v>
      </c>
      <c r="J30" s="779" t="s">
        <v>145</v>
      </c>
      <c r="K30" s="744">
        <v>0</v>
      </c>
      <c r="O30" s="933" t="s">
        <v>242</v>
      </c>
      <c r="R30" s="939" t="e">
        <f>(R28/1.5)</f>
        <v>#REF!</v>
      </c>
      <c r="T30" s="934" t="s">
        <v>243</v>
      </c>
      <c r="U30" s="933" t="s">
        <v>244</v>
      </c>
      <c r="V30" s="933" t="s">
        <v>181</v>
      </c>
      <c r="W30" s="933" t="s">
        <v>214</v>
      </c>
      <c r="X30" s="939">
        <v>0</v>
      </c>
      <c r="Y30" s="744">
        <v>8240</v>
      </c>
      <c r="Z30" s="939">
        <v>0</v>
      </c>
      <c r="AA30" s="934">
        <v>0</v>
      </c>
      <c r="AB30" s="946">
        <v>0</v>
      </c>
      <c r="AC30" s="933">
        <f t="shared" si="1"/>
        <v>8240</v>
      </c>
      <c r="AD30" s="933" t="s">
        <v>245</v>
      </c>
      <c r="AE30" s="744">
        <v>342</v>
      </c>
      <c r="AF30" s="939"/>
      <c r="AG30" s="939"/>
      <c r="AI30">
        <v>287</v>
      </c>
      <c r="AJ30" s="930">
        <v>1.1000000000000001</v>
      </c>
      <c r="AK30" s="930">
        <f t="shared" si="0"/>
        <v>315.7</v>
      </c>
    </row>
    <row r="31" spans="1:37" hidden="1">
      <c r="A31" s="940">
        <f t="shared" si="3"/>
        <v>22</v>
      </c>
      <c r="B31" s="933" t="s">
        <v>246</v>
      </c>
      <c r="C31" s="744">
        <f>AE30</f>
        <v>342</v>
      </c>
      <c r="D31" s="744">
        <f>AE32</f>
        <v>320</v>
      </c>
      <c r="E31"/>
      <c r="I31"/>
      <c r="J31" s="805"/>
      <c r="K31" s="776" t="s">
        <v>52</v>
      </c>
      <c r="O31" s="933" t="s">
        <v>88</v>
      </c>
      <c r="R31" s="935" t="s">
        <v>89</v>
      </c>
      <c r="T31" s="934" t="s">
        <v>247</v>
      </c>
      <c r="U31" s="933" t="s">
        <v>248</v>
      </c>
      <c r="V31" s="933" t="s">
        <v>122</v>
      </c>
      <c r="W31" s="933" t="s">
        <v>214</v>
      </c>
      <c r="X31" s="939">
        <v>0</v>
      </c>
      <c r="Y31" s="744">
        <v>3800</v>
      </c>
      <c r="Z31" s="939">
        <v>0</v>
      </c>
      <c r="AA31" s="934">
        <v>0</v>
      </c>
      <c r="AB31" s="946">
        <v>0</v>
      </c>
      <c r="AC31" s="933">
        <v>3800</v>
      </c>
      <c r="AD31" s="933" t="s">
        <v>249</v>
      </c>
      <c r="AE31" s="744">
        <v>287</v>
      </c>
      <c r="AF31" s="939"/>
      <c r="AG31" s="939"/>
      <c r="AI31">
        <v>320</v>
      </c>
      <c r="AJ31" s="930">
        <v>1.1000000000000001</v>
      </c>
      <c r="AK31" s="930">
        <f t="shared" si="0"/>
        <v>352</v>
      </c>
    </row>
    <row r="32" spans="1:37" hidden="1">
      <c r="A32" s="940">
        <f t="shared" si="3"/>
        <v>23</v>
      </c>
      <c r="B32" s="933" t="s">
        <v>250</v>
      </c>
      <c r="C32" s="744">
        <v>2.5</v>
      </c>
      <c r="D32" s="744">
        <f>AE34</f>
        <v>267</v>
      </c>
      <c r="E32"/>
      <c r="H32" s="933" t="s">
        <v>155</v>
      </c>
      <c r="I32"/>
      <c r="J32" s="805"/>
      <c r="K32" s="744" t="e">
        <f>SUM(K27:K30)</f>
        <v>#REF!</v>
      </c>
      <c r="T32" s="934" t="s">
        <v>251</v>
      </c>
      <c r="U32" s="933" t="s">
        <v>252</v>
      </c>
      <c r="V32" s="933" t="s">
        <v>122</v>
      </c>
      <c r="W32" s="933" t="s">
        <v>197</v>
      </c>
      <c r="X32" s="939">
        <v>0</v>
      </c>
      <c r="Y32" s="744">
        <v>28000</v>
      </c>
      <c r="Z32" s="939">
        <v>0</v>
      </c>
      <c r="AA32" s="934">
        <v>0</v>
      </c>
      <c r="AB32" s="946">
        <v>0</v>
      </c>
      <c r="AC32" s="933">
        <f t="shared" ref="AC32:AC38" si="4">SUM(Y32+Z32+AA32+AB32)</f>
        <v>28000</v>
      </c>
      <c r="AD32" s="933" t="s">
        <v>253</v>
      </c>
      <c r="AE32" s="744">
        <v>320</v>
      </c>
      <c r="AF32" s="939"/>
      <c r="AG32" s="939"/>
      <c r="AI32">
        <v>3035</v>
      </c>
      <c r="AJ32" s="930">
        <v>1.1000000000000001</v>
      </c>
      <c r="AK32" s="930">
        <f t="shared" si="0"/>
        <v>3338.5</v>
      </c>
    </row>
    <row r="33" spans="1:37" hidden="1">
      <c r="A33" s="940">
        <f t="shared" si="3"/>
        <v>24</v>
      </c>
      <c r="B33" s="933" t="s">
        <v>254</v>
      </c>
      <c r="C33" s="744">
        <v>3.64</v>
      </c>
      <c r="D33" s="744">
        <f>AE35</f>
        <v>240</v>
      </c>
      <c r="E33"/>
      <c r="I33"/>
      <c r="J33" s="805"/>
      <c r="K33" s="776" t="s">
        <v>52</v>
      </c>
      <c r="T33" s="944" t="s">
        <v>255</v>
      </c>
      <c r="U33" s="933" t="s">
        <v>256</v>
      </c>
      <c r="V33" s="933" t="s">
        <v>122</v>
      </c>
      <c r="W33" s="933" t="s">
        <v>197</v>
      </c>
      <c r="X33" s="939">
        <v>0</v>
      </c>
      <c r="Y33" s="744">
        <v>26500</v>
      </c>
      <c r="Z33" s="939">
        <v>0</v>
      </c>
      <c r="AA33" s="934">
        <v>0</v>
      </c>
      <c r="AB33" s="946">
        <v>0</v>
      </c>
      <c r="AC33" s="933">
        <f t="shared" si="4"/>
        <v>26500</v>
      </c>
      <c r="AD33" s="933" t="s">
        <v>257</v>
      </c>
      <c r="AE33" s="744">
        <v>3035</v>
      </c>
      <c r="AF33" s="939"/>
      <c r="AG33" s="939"/>
      <c r="AI33">
        <v>267</v>
      </c>
      <c r="AJ33" s="930">
        <v>1.1000000000000001</v>
      </c>
      <c r="AK33" s="930">
        <f t="shared" si="0"/>
        <v>293.7</v>
      </c>
    </row>
    <row r="34" spans="1:37" hidden="1">
      <c r="A34" s="940">
        <f t="shared" si="3"/>
        <v>25</v>
      </c>
      <c r="B34" s="933" t="s">
        <v>258</v>
      </c>
      <c r="C34" s="744">
        <v>30000</v>
      </c>
      <c r="D34" s="744">
        <v>30000</v>
      </c>
      <c r="E34"/>
      <c r="G34" s="938" t="s">
        <v>111</v>
      </c>
      <c r="H34" s="933" t="s">
        <v>259</v>
      </c>
      <c r="I34"/>
      <c r="J34" s="805"/>
      <c r="K34"/>
      <c r="T34" s="944" t="s">
        <v>260</v>
      </c>
      <c r="U34" s="933" t="s">
        <v>261</v>
      </c>
      <c r="V34" s="933" t="s">
        <v>181</v>
      </c>
      <c r="W34" s="939" t="str">
        <f>W18</f>
        <v>Nerkundram</v>
      </c>
      <c r="X34" s="939" t="e">
        <f>X18</f>
        <v>#REF!</v>
      </c>
      <c r="Y34" s="744">
        <f>Y29</f>
        <v>1470</v>
      </c>
      <c r="Z34" s="939" t="e">
        <f>Z29</f>
        <v>#REF!</v>
      </c>
      <c r="AA34" s="934">
        <v>0</v>
      </c>
      <c r="AB34" s="946">
        <v>0</v>
      </c>
      <c r="AC34" s="933" t="e">
        <f t="shared" si="4"/>
        <v>#REF!</v>
      </c>
      <c r="AD34" s="933" t="s">
        <v>262</v>
      </c>
      <c r="AE34" s="744">
        <v>267</v>
      </c>
      <c r="AF34" s="939"/>
      <c r="AG34" s="939"/>
      <c r="AI34">
        <v>240</v>
      </c>
      <c r="AJ34" s="930">
        <v>1.1000000000000001</v>
      </c>
      <c r="AK34" s="930">
        <f t="shared" si="0"/>
        <v>264</v>
      </c>
    </row>
    <row r="35" spans="1:37" hidden="1">
      <c r="A35" s="940">
        <f t="shared" si="3"/>
        <v>26</v>
      </c>
      <c r="B35" s="933" t="s">
        <v>263</v>
      </c>
      <c r="C35" s="744">
        <f>AC38</f>
        <v>169</v>
      </c>
      <c r="D35"/>
      <c r="E35"/>
      <c r="F35" s="939">
        <v>0.36</v>
      </c>
      <c r="G35" s="938" t="s">
        <v>122</v>
      </c>
      <c r="H35" s="933" t="s">
        <v>123</v>
      </c>
      <c r="I35" s="744">
        <f>C67</f>
        <v>3800</v>
      </c>
      <c r="J35" s="779" t="s">
        <v>122</v>
      </c>
      <c r="K35" s="744">
        <f>(F35*I35)</f>
        <v>1368</v>
      </c>
      <c r="T35" s="934" t="s">
        <v>264</v>
      </c>
      <c r="U35" s="933" t="s">
        <v>265</v>
      </c>
      <c r="V35" s="933" t="s">
        <v>127</v>
      </c>
      <c r="W35" s="933" t="str">
        <f>W11</f>
        <v>Pallavaram</v>
      </c>
      <c r="X35" s="939">
        <v>18</v>
      </c>
      <c r="Y35" s="947">
        <v>278</v>
      </c>
      <c r="Z35" s="939" t="e">
        <f>Z11</f>
        <v>#REF!</v>
      </c>
      <c r="AA35" s="934">
        <v>0</v>
      </c>
      <c r="AB35" s="946">
        <v>0</v>
      </c>
      <c r="AC35" s="933" t="e">
        <f t="shared" si="4"/>
        <v>#REF!</v>
      </c>
      <c r="AD35" s="933" t="s">
        <v>266</v>
      </c>
      <c r="AE35" s="744">
        <v>240</v>
      </c>
      <c r="AF35" s="939"/>
      <c r="AG35" s="939"/>
      <c r="AI35">
        <v>37.299999999999997</v>
      </c>
      <c r="AJ35" s="930">
        <v>1.1000000000000001</v>
      </c>
      <c r="AK35" s="930">
        <f t="shared" si="0"/>
        <v>41.03</v>
      </c>
    </row>
    <row r="36" spans="1:37" hidden="1">
      <c r="B36" s="933" t="s">
        <v>267</v>
      </c>
      <c r="C36" s="744">
        <v>2.6</v>
      </c>
      <c r="D36"/>
      <c r="E36"/>
      <c r="F36" s="939">
        <v>1</v>
      </c>
      <c r="G36" s="938" t="s">
        <v>132</v>
      </c>
      <c r="H36" s="933" t="s">
        <v>133</v>
      </c>
      <c r="I36" s="744" t="e">
        <f>C78</f>
        <v>#REF!</v>
      </c>
      <c r="J36" s="779" t="s">
        <v>132</v>
      </c>
      <c r="K36" s="744" t="e">
        <f>(F36*I36)</f>
        <v>#REF!</v>
      </c>
      <c r="T36" s="934" t="s">
        <v>268</v>
      </c>
      <c r="U36" s="933" t="s">
        <v>269</v>
      </c>
      <c r="V36" s="933" t="s">
        <v>127</v>
      </c>
      <c r="W36" s="933" t="str">
        <f>W12</f>
        <v>Pallavaram</v>
      </c>
      <c r="X36" s="939">
        <v>18</v>
      </c>
      <c r="Y36" s="947">
        <v>334.5</v>
      </c>
      <c r="Z36" s="939" t="e">
        <f>Z12</f>
        <v>#REF!</v>
      </c>
      <c r="AA36" s="934">
        <v>0</v>
      </c>
      <c r="AB36" s="946">
        <v>0</v>
      </c>
      <c r="AC36" s="933" t="e">
        <f t="shared" si="4"/>
        <v>#REF!</v>
      </c>
      <c r="AD36" s="933" t="s">
        <v>270</v>
      </c>
      <c r="AE36" s="806">
        <v>37.299999999999997</v>
      </c>
      <c r="AF36" s="937"/>
      <c r="AG36" s="937"/>
      <c r="AI36">
        <v>95.5</v>
      </c>
      <c r="AJ36" s="930">
        <v>1.1000000000000001</v>
      </c>
      <c r="AK36" s="930">
        <f t="shared" si="0"/>
        <v>105.05</v>
      </c>
    </row>
    <row r="37" spans="1:37" hidden="1">
      <c r="C37"/>
      <c r="D37"/>
      <c r="E37"/>
      <c r="F37" s="939">
        <v>1</v>
      </c>
      <c r="G37" s="938" t="s">
        <v>132</v>
      </c>
      <c r="H37" s="933" t="s">
        <v>138</v>
      </c>
      <c r="I37" s="744">
        <f>C18</f>
        <v>26</v>
      </c>
      <c r="J37" s="779" t="s">
        <v>132</v>
      </c>
      <c r="K37" s="744">
        <f>(F37*I37)</f>
        <v>26</v>
      </c>
      <c r="T37" s="934" t="s">
        <v>271</v>
      </c>
      <c r="U37" s="933" t="s">
        <v>272</v>
      </c>
      <c r="V37" s="933" t="s">
        <v>127</v>
      </c>
      <c r="W37" s="933" t="str">
        <f>W13</f>
        <v>Pallavaram</v>
      </c>
      <c r="X37" s="939">
        <v>18</v>
      </c>
      <c r="Y37" s="947">
        <v>278.5</v>
      </c>
      <c r="Z37" s="939" t="e">
        <f>Z13</f>
        <v>#REF!</v>
      </c>
      <c r="AA37" s="934">
        <v>0</v>
      </c>
      <c r="AB37" s="946">
        <v>0</v>
      </c>
      <c r="AC37" s="933" t="e">
        <f t="shared" si="4"/>
        <v>#REF!</v>
      </c>
      <c r="AD37" s="933" t="s">
        <v>273</v>
      </c>
      <c r="AE37" s="744">
        <v>120</v>
      </c>
      <c r="AF37" s="939"/>
      <c r="AG37" s="939"/>
    </row>
    <row r="38" spans="1:37" hidden="1">
      <c r="A38" s="940">
        <f>(A35+1)</f>
        <v>27</v>
      </c>
      <c r="B38" s="933" t="s">
        <v>274</v>
      </c>
      <c r="C38" s="744">
        <v>40</v>
      </c>
      <c r="D38" s="743" t="s">
        <v>131</v>
      </c>
      <c r="E38"/>
      <c r="G38" s="938" t="s">
        <v>145</v>
      </c>
      <c r="H38" s="933" t="s">
        <v>146</v>
      </c>
      <c r="I38" s="743" t="s">
        <v>85</v>
      </c>
      <c r="J38" s="779" t="s">
        <v>145</v>
      </c>
      <c r="K38" s="744">
        <v>0</v>
      </c>
      <c r="T38" s="934" t="s">
        <v>275</v>
      </c>
      <c r="U38" s="933" t="s">
        <v>276</v>
      </c>
      <c r="V38" s="933" t="s">
        <v>127</v>
      </c>
      <c r="W38" s="933" t="s">
        <v>277</v>
      </c>
      <c r="X38" s="939">
        <v>20</v>
      </c>
      <c r="Y38" s="806">
        <v>83</v>
      </c>
      <c r="Z38" s="939">
        <v>86</v>
      </c>
      <c r="AA38" s="934">
        <v>0</v>
      </c>
      <c r="AB38" s="946">
        <v>0</v>
      </c>
      <c r="AC38" s="933">
        <f t="shared" si="4"/>
        <v>169</v>
      </c>
      <c r="AD38" s="933" t="s">
        <v>85</v>
      </c>
      <c r="AE38" s="806"/>
      <c r="AG38" s="933" t="s">
        <v>120</v>
      </c>
    </row>
    <row r="39" spans="1:37" hidden="1">
      <c r="A39" s="940">
        <f t="shared" ref="A39:A58" si="5">(A38+1)</f>
        <v>28</v>
      </c>
      <c r="B39" s="933" t="s">
        <v>278</v>
      </c>
      <c r="C39" s="744">
        <v>41</v>
      </c>
      <c r="D39" s="744">
        <v>500</v>
      </c>
      <c r="E39"/>
      <c r="I39"/>
      <c r="J39" s="805"/>
      <c r="K39" s="776" t="s">
        <v>52</v>
      </c>
      <c r="T39" s="932"/>
      <c r="AA39" s="932"/>
      <c r="AG39" s="933" t="s">
        <v>120</v>
      </c>
    </row>
    <row r="40" spans="1:37" hidden="1">
      <c r="A40" s="940">
        <f t="shared" si="5"/>
        <v>29</v>
      </c>
      <c r="B40" s="933" t="s">
        <v>279</v>
      </c>
      <c r="C40" s="744">
        <v>28</v>
      </c>
      <c r="D40" s="744">
        <f>95+95*0.11</f>
        <v>105.45</v>
      </c>
      <c r="E40"/>
      <c r="H40" s="933" t="s">
        <v>155</v>
      </c>
      <c r="I40"/>
      <c r="J40" s="805"/>
      <c r="K40" s="744" t="e">
        <f>SUM(K35:K38)</f>
        <v>#REF!</v>
      </c>
      <c r="T40" s="935" t="s">
        <v>52</v>
      </c>
      <c r="U40" s="935" t="s">
        <v>52</v>
      </c>
      <c r="V40" s="935" t="s">
        <v>52</v>
      </c>
      <c r="W40" s="935" t="s">
        <v>52</v>
      </c>
      <c r="X40" s="935" t="s">
        <v>52</v>
      </c>
      <c r="Y40" s="935" t="s">
        <v>52</v>
      </c>
      <c r="Z40" s="935" t="s">
        <v>52</v>
      </c>
      <c r="AA40" s="935" t="s">
        <v>52</v>
      </c>
      <c r="AB40" s="935" t="s">
        <v>52</v>
      </c>
      <c r="AC40" s="935" t="s">
        <v>52</v>
      </c>
      <c r="AD40" s="935" t="s">
        <v>52</v>
      </c>
      <c r="AE40" s="935" t="s">
        <v>52</v>
      </c>
      <c r="AF40" s="935"/>
      <c r="AG40" s="933" t="s">
        <v>120</v>
      </c>
    </row>
    <row r="41" spans="1:37" ht="47.25" hidden="1" customHeight="1">
      <c r="A41" s="940">
        <f t="shared" si="5"/>
        <v>30</v>
      </c>
      <c r="B41" s="933" t="s">
        <v>280</v>
      </c>
      <c r="C41" s="744">
        <f>AE22</f>
        <v>110</v>
      </c>
      <c r="D41" s="743" t="s">
        <v>237</v>
      </c>
      <c r="E41"/>
      <c r="I41"/>
      <c r="J41" s="805"/>
      <c r="K41" s="776" t="s">
        <v>52</v>
      </c>
      <c r="U41" s="945"/>
      <c r="Y41" s="933" t="s">
        <v>85</v>
      </c>
      <c r="AG41" s="933" t="s">
        <v>120</v>
      </c>
    </row>
    <row r="42" spans="1:37" hidden="1">
      <c r="A42" s="940">
        <f t="shared" si="5"/>
        <v>31</v>
      </c>
      <c r="B42" s="933" t="s">
        <v>281</v>
      </c>
      <c r="C42" s="744">
        <v>1.75</v>
      </c>
      <c r="D42" s="743" t="s">
        <v>282</v>
      </c>
      <c r="E42"/>
      <c r="G42" s="938" t="s">
        <v>111</v>
      </c>
      <c r="H42" s="933" t="s">
        <v>283</v>
      </c>
      <c r="I42"/>
      <c r="J42" s="805"/>
      <c r="K42"/>
      <c r="U42" s="930" t="s">
        <v>284</v>
      </c>
      <c r="AG42" s="933" t="s">
        <v>120</v>
      </c>
    </row>
    <row r="43" spans="1:37" hidden="1">
      <c r="A43" s="940">
        <f t="shared" si="5"/>
        <v>32</v>
      </c>
      <c r="B43" s="933" t="s">
        <v>285</v>
      </c>
      <c r="C43" s="744">
        <v>2.2000000000000002</v>
      </c>
      <c r="D43" s="743" t="s">
        <v>237</v>
      </c>
      <c r="E43"/>
      <c r="H43" s="935" t="s">
        <v>52</v>
      </c>
      <c r="I43"/>
      <c r="J43" s="805"/>
      <c r="K43"/>
      <c r="AG43" s="933" t="s">
        <v>120</v>
      </c>
    </row>
    <row r="44" spans="1:37" hidden="1">
      <c r="A44" s="940">
        <f t="shared" si="5"/>
        <v>33</v>
      </c>
      <c r="B44" s="933" t="s">
        <v>286</v>
      </c>
      <c r="C44" s="744">
        <v>2.2000000000000002</v>
      </c>
      <c r="D44" s="743" t="s">
        <v>237</v>
      </c>
      <c r="E44"/>
      <c r="F44" s="941">
        <v>0.28799999999999998</v>
      </c>
      <c r="G44" s="938" t="s">
        <v>122</v>
      </c>
      <c r="H44" s="933" t="s">
        <v>123</v>
      </c>
      <c r="I44" s="744">
        <f>(C67)</f>
        <v>3800</v>
      </c>
      <c r="J44" s="779" t="s">
        <v>122</v>
      </c>
      <c r="K44" s="744">
        <f>(F44*I44)</f>
        <v>1094.4000000000001</v>
      </c>
      <c r="AG44" s="933" t="s">
        <v>120</v>
      </c>
    </row>
    <row r="45" spans="1:37" hidden="1">
      <c r="A45" s="940">
        <f t="shared" si="5"/>
        <v>34</v>
      </c>
      <c r="B45" s="933" t="s">
        <v>287</v>
      </c>
      <c r="C45" s="744">
        <v>2.7</v>
      </c>
      <c r="D45" s="743" t="s">
        <v>237</v>
      </c>
      <c r="E45"/>
      <c r="F45" s="939">
        <v>1</v>
      </c>
      <c r="G45" s="938" t="s">
        <v>132</v>
      </c>
      <c r="H45" s="933" t="s">
        <v>133</v>
      </c>
      <c r="I45" s="744" t="e">
        <f>(C78)</f>
        <v>#REF!</v>
      </c>
      <c r="J45" s="779" t="s">
        <v>132</v>
      </c>
      <c r="K45" s="744" t="e">
        <f>(F45*I45)</f>
        <v>#REF!</v>
      </c>
      <c r="AG45" s="933" t="s">
        <v>120</v>
      </c>
    </row>
    <row r="46" spans="1:37" hidden="1">
      <c r="A46" s="940">
        <f t="shared" si="5"/>
        <v>35</v>
      </c>
      <c r="B46" s="933" t="s">
        <v>288</v>
      </c>
      <c r="C46" s="744">
        <v>3.2</v>
      </c>
      <c r="D46" s="743" t="s">
        <v>237</v>
      </c>
      <c r="E46"/>
      <c r="F46" s="939">
        <v>1</v>
      </c>
      <c r="G46" s="938" t="s">
        <v>132</v>
      </c>
      <c r="H46" s="933" t="s">
        <v>138</v>
      </c>
      <c r="I46" s="744">
        <f>(C18)</f>
        <v>26</v>
      </c>
      <c r="J46" s="779" t="s">
        <v>132</v>
      </c>
      <c r="K46" s="744">
        <f>(F46*I46)</f>
        <v>26</v>
      </c>
      <c r="W46" s="933" t="s">
        <v>289</v>
      </c>
      <c r="AA46" s="933" t="s">
        <v>290</v>
      </c>
      <c r="AE46" s="930" t="s">
        <v>291</v>
      </c>
      <c r="AG46" s="933" t="s">
        <v>120</v>
      </c>
    </row>
    <row r="47" spans="1:37" hidden="1">
      <c r="A47" s="940">
        <f t="shared" si="5"/>
        <v>36</v>
      </c>
      <c r="B47" s="933" t="s">
        <v>292</v>
      </c>
      <c r="C47" s="744">
        <v>4.2</v>
      </c>
      <c r="D47" s="743" t="s">
        <v>237</v>
      </c>
      <c r="E47"/>
      <c r="G47" s="938" t="s">
        <v>145</v>
      </c>
      <c r="H47" s="933" t="s">
        <v>146</v>
      </c>
      <c r="I47" s="743" t="s">
        <v>85</v>
      </c>
      <c r="J47" s="779" t="s">
        <v>145</v>
      </c>
      <c r="K47" s="744">
        <v>0</v>
      </c>
      <c r="N47" s="933" t="s">
        <v>111</v>
      </c>
      <c r="O47" s="933" t="s">
        <v>293</v>
      </c>
      <c r="AG47" s="933" t="s">
        <v>120</v>
      </c>
    </row>
    <row r="48" spans="1:37" hidden="1">
      <c r="A48" s="940">
        <f t="shared" si="5"/>
        <v>37</v>
      </c>
      <c r="B48" s="933" t="s">
        <v>294</v>
      </c>
      <c r="C48" s="744">
        <v>5.35</v>
      </c>
      <c r="D48" s="744">
        <v>10.65</v>
      </c>
      <c r="E48"/>
      <c r="I48"/>
      <c r="J48" s="805"/>
      <c r="K48" s="776" t="s">
        <v>52</v>
      </c>
      <c r="O48" s="933" t="s">
        <v>295</v>
      </c>
      <c r="AG48" s="933" t="s">
        <v>120</v>
      </c>
    </row>
    <row r="49" spans="1:33" hidden="1">
      <c r="A49" s="940">
        <f t="shared" si="5"/>
        <v>38</v>
      </c>
      <c r="B49" s="933" t="s">
        <v>296</v>
      </c>
      <c r="C49" s="744">
        <v>5.85</v>
      </c>
      <c r="D49" s="744">
        <v>7.45</v>
      </c>
      <c r="E49"/>
      <c r="H49" s="933" t="s">
        <v>155</v>
      </c>
      <c r="I49"/>
      <c r="J49" s="805"/>
      <c r="K49" s="744" t="e">
        <f>SUM(K44:K47)</f>
        <v>#REF!</v>
      </c>
      <c r="O49" s="935" t="s">
        <v>52</v>
      </c>
      <c r="AG49" s="933" t="s">
        <v>120</v>
      </c>
    </row>
    <row r="50" spans="1:33" hidden="1">
      <c r="A50" s="940">
        <f t="shared" si="5"/>
        <v>39</v>
      </c>
      <c r="B50" s="933" t="s">
        <v>297</v>
      </c>
      <c r="C50" s="744">
        <v>3.2</v>
      </c>
      <c r="D50" s="743" t="s">
        <v>237</v>
      </c>
      <c r="E50"/>
      <c r="I50"/>
      <c r="J50" s="805"/>
      <c r="K50" s="776" t="s">
        <v>52</v>
      </c>
      <c r="M50" s="939">
        <v>9</v>
      </c>
      <c r="N50" s="933" t="s">
        <v>132</v>
      </c>
      <c r="O50" s="933" t="s">
        <v>295</v>
      </c>
      <c r="P50" s="939" t="e">
        <f>(C81)</f>
        <v>#REF!</v>
      </c>
      <c r="Q50" s="933" t="s">
        <v>132</v>
      </c>
      <c r="R50" s="939" t="e">
        <f>(M50*P50)</f>
        <v>#REF!</v>
      </c>
      <c r="AG50" s="933" t="s">
        <v>120</v>
      </c>
    </row>
    <row r="51" spans="1:33" hidden="1">
      <c r="A51" s="940">
        <f t="shared" si="5"/>
        <v>40</v>
      </c>
      <c r="B51" s="933" t="s">
        <v>298</v>
      </c>
      <c r="C51" s="744">
        <v>3.2</v>
      </c>
      <c r="D51" s="743" t="s">
        <v>237</v>
      </c>
      <c r="E51"/>
      <c r="G51" s="938" t="s">
        <v>111</v>
      </c>
      <c r="H51" s="933" t="s">
        <v>299</v>
      </c>
      <c r="I51"/>
      <c r="J51" s="805"/>
      <c r="K51"/>
      <c r="M51" s="939">
        <v>4.5</v>
      </c>
      <c r="N51" s="933" t="s">
        <v>132</v>
      </c>
      <c r="O51" s="933" t="s">
        <v>300</v>
      </c>
      <c r="P51" s="939" t="e">
        <f>(K77)</f>
        <v>#REF!</v>
      </c>
      <c r="Q51" s="933" t="s">
        <v>132</v>
      </c>
      <c r="R51" s="939" t="e">
        <f>(M51*P51)</f>
        <v>#REF!</v>
      </c>
      <c r="AG51" s="933" t="s">
        <v>120</v>
      </c>
    </row>
    <row r="52" spans="1:33" hidden="1">
      <c r="A52" s="940">
        <f t="shared" si="5"/>
        <v>41</v>
      </c>
      <c r="B52" s="933" t="s">
        <v>301</v>
      </c>
      <c r="C52" s="744">
        <v>6.4</v>
      </c>
      <c r="D52" s="743" t="s">
        <v>237</v>
      </c>
      <c r="E52"/>
      <c r="H52" s="935" t="s">
        <v>52</v>
      </c>
      <c r="I52"/>
      <c r="J52" s="805"/>
      <c r="K52"/>
      <c r="M52" s="939">
        <v>1.8</v>
      </c>
      <c r="N52" s="933" t="s">
        <v>131</v>
      </c>
      <c r="O52" s="933" t="s">
        <v>302</v>
      </c>
      <c r="P52" s="939">
        <f>(C11)</f>
        <v>135</v>
      </c>
      <c r="Q52" s="933" t="s">
        <v>131</v>
      </c>
      <c r="R52" s="939">
        <f>(M52*P52)</f>
        <v>243</v>
      </c>
      <c r="AG52" s="933" t="s">
        <v>120</v>
      </c>
    </row>
    <row r="53" spans="1:33" hidden="1">
      <c r="A53" s="940">
        <f t="shared" si="5"/>
        <v>42</v>
      </c>
      <c r="B53" s="933" t="s">
        <v>303</v>
      </c>
      <c r="C53" s="744">
        <v>8.5500000000000007</v>
      </c>
      <c r="D53" s="744">
        <v>21.3</v>
      </c>
      <c r="E53"/>
      <c r="F53" s="939">
        <v>0.24</v>
      </c>
      <c r="G53" s="938" t="s">
        <v>122</v>
      </c>
      <c r="H53" s="933" t="s">
        <v>123</v>
      </c>
      <c r="I53" s="744">
        <f>(C67)</f>
        <v>3800</v>
      </c>
      <c r="J53" s="779" t="s">
        <v>122</v>
      </c>
      <c r="K53" s="744">
        <f>(F53*I53)</f>
        <v>912</v>
      </c>
      <c r="M53" s="939">
        <v>17.7</v>
      </c>
      <c r="N53" s="933" t="s">
        <v>131</v>
      </c>
      <c r="O53" s="933" t="s">
        <v>304</v>
      </c>
      <c r="P53" s="939">
        <f>(C12)</f>
        <v>95</v>
      </c>
      <c r="Q53" s="933" t="s">
        <v>131</v>
      </c>
      <c r="R53" s="939">
        <f>(M53*P53)</f>
        <v>1681.5</v>
      </c>
      <c r="AG53" s="933" t="s">
        <v>120</v>
      </c>
    </row>
    <row r="54" spans="1:33" hidden="1">
      <c r="A54" s="940">
        <f t="shared" si="5"/>
        <v>43</v>
      </c>
      <c r="B54" s="933" t="s">
        <v>305</v>
      </c>
      <c r="C54" s="744">
        <v>9.5500000000000007</v>
      </c>
      <c r="D54" s="744">
        <v>16</v>
      </c>
      <c r="E54"/>
      <c r="F54" s="939">
        <v>1</v>
      </c>
      <c r="G54" s="938" t="s">
        <v>132</v>
      </c>
      <c r="H54" s="933" t="s">
        <v>133</v>
      </c>
      <c r="I54" s="744" t="e">
        <f>(C78)</f>
        <v>#REF!</v>
      </c>
      <c r="J54" s="779" t="s">
        <v>132</v>
      </c>
      <c r="K54" s="744" t="e">
        <f>(F54*I54)</f>
        <v>#REF!</v>
      </c>
      <c r="M54" s="939">
        <v>14.1</v>
      </c>
      <c r="N54" s="933" t="s">
        <v>131</v>
      </c>
      <c r="O54" s="933" t="s">
        <v>306</v>
      </c>
      <c r="P54" s="939">
        <f>(C13)</f>
        <v>85</v>
      </c>
      <c r="Q54" s="933" t="s">
        <v>131</v>
      </c>
      <c r="R54" s="939">
        <f>(M54*P54)</f>
        <v>1198.5</v>
      </c>
      <c r="AG54" s="933" t="s">
        <v>307</v>
      </c>
    </row>
    <row r="55" spans="1:33" hidden="1">
      <c r="A55" s="940">
        <f t="shared" si="5"/>
        <v>44</v>
      </c>
      <c r="B55" s="933" t="s">
        <v>308</v>
      </c>
      <c r="C55" s="744">
        <v>10.65</v>
      </c>
      <c r="D55" s="744">
        <v>12.75</v>
      </c>
      <c r="E55"/>
      <c r="F55" s="939">
        <v>1</v>
      </c>
      <c r="G55" s="938" t="s">
        <v>132</v>
      </c>
      <c r="H55" s="933" t="s">
        <v>138</v>
      </c>
      <c r="I55" s="744">
        <f>(C18)</f>
        <v>26</v>
      </c>
      <c r="J55" s="779" t="s">
        <v>132</v>
      </c>
      <c r="K55" s="744">
        <f>(F55*I55)</f>
        <v>26</v>
      </c>
      <c r="N55" s="933" t="s">
        <v>145</v>
      </c>
      <c r="O55" s="933" t="s">
        <v>146</v>
      </c>
      <c r="Q55" s="933" t="s">
        <v>145</v>
      </c>
      <c r="R55" s="939">
        <v>0</v>
      </c>
    </row>
    <row r="56" spans="1:33" hidden="1">
      <c r="A56" s="940">
        <f t="shared" si="5"/>
        <v>45</v>
      </c>
      <c r="B56" s="933" t="s">
        <v>309</v>
      </c>
      <c r="C56" s="744">
        <v>12.1</v>
      </c>
      <c r="D56" s="743" t="s">
        <v>145</v>
      </c>
      <c r="E56"/>
      <c r="G56" s="938" t="s">
        <v>145</v>
      </c>
      <c r="H56" s="933" t="s">
        <v>146</v>
      </c>
      <c r="I56" s="743" t="s">
        <v>85</v>
      </c>
      <c r="J56" s="779" t="s">
        <v>145</v>
      </c>
      <c r="K56" s="744">
        <v>0</v>
      </c>
      <c r="R56" s="935" t="s">
        <v>52</v>
      </c>
    </row>
    <row r="57" spans="1:33" hidden="1">
      <c r="A57" s="940">
        <f t="shared" si="5"/>
        <v>46</v>
      </c>
      <c r="B57" s="933" t="s">
        <v>310</v>
      </c>
      <c r="C57" s="744">
        <v>35</v>
      </c>
      <c r="D57" s="743" t="s">
        <v>145</v>
      </c>
      <c r="E57"/>
      <c r="I57"/>
      <c r="J57" s="805"/>
      <c r="K57" s="776" t="s">
        <v>52</v>
      </c>
      <c r="O57" s="933" t="s">
        <v>311</v>
      </c>
      <c r="R57" s="939" t="e">
        <f>SUM(R50:R55)</f>
        <v>#REF!</v>
      </c>
      <c r="AG57" s="933" t="s">
        <v>120</v>
      </c>
    </row>
    <row r="58" spans="1:33" hidden="1">
      <c r="A58" s="940">
        <f t="shared" si="5"/>
        <v>47</v>
      </c>
      <c r="B58" s="933" t="s">
        <v>312</v>
      </c>
      <c r="C58" s="744">
        <v>15</v>
      </c>
      <c r="D58" s="743" t="s">
        <v>145</v>
      </c>
      <c r="E58"/>
      <c r="H58" s="933" t="s">
        <v>155</v>
      </c>
      <c r="I58"/>
      <c r="J58" s="805"/>
      <c r="K58" s="744" t="e">
        <f>SUM(K53:K56)</f>
        <v>#REF!</v>
      </c>
      <c r="R58" s="935" t="s">
        <v>52</v>
      </c>
      <c r="AG58" s="933" t="s">
        <v>120</v>
      </c>
    </row>
    <row r="59" spans="1:33" hidden="1">
      <c r="C59"/>
      <c r="D59"/>
      <c r="E59"/>
      <c r="F59" s="933" t="s">
        <v>85</v>
      </c>
      <c r="I59"/>
      <c r="J59" s="805"/>
      <c r="K59"/>
    </row>
    <row r="60" spans="1:33" hidden="1">
      <c r="A60" s="940">
        <f>(A58+1)</f>
        <v>48</v>
      </c>
      <c r="B60" s="933" t="s">
        <v>313</v>
      </c>
      <c r="C60" s="744">
        <v>6.55</v>
      </c>
      <c r="D60" s="743" t="s">
        <v>314</v>
      </c>
      <c r="E60"/>
      <c r="I60"/>
      <c r="J60" s="805"/>
      <c r="K60" s="776" t="s">
        <v>52</v>
      </c>
      <c r="O60" s="933" t="s">
        <v>242</v>
      </c>
      <c r="R60" s="939" t="e">
        <f>(R57/10)</f>
        <v>#REF!</v>
      </c>
      <c r="AG60" s="933" t="s">
        <v>120</v>
      </c>
    </row>
    <row r="61" spans="1:33" hidden="1">
      <c r="A61" s="940">
        <f t="shared" ref="A61:A91" si="6">(A60+1)</f>
        <v>49</v>
      </c>
      <c r="B61" s="933" t="s">
        <v>315</v>
      </c>
      <c r="C61" s="744">
        <f>AE29</f>
        <v>25</v>
      </c>
      <c r="D61" s="744">
        <f>AE36</f>
        <v>37.299999999999997</v>
      </c>
      <c r="E61"/>
      <c r="G61" s="938" t="s">
        <v>111</v>
      </c>
      <c r="H61" s="933" t="s">
        <v>316</v>
      </c>
      <c r="I61"/>
      <c r="J61" s="805"/>
      <c r="K61"/>
      <c r="R61" s="935" t="s">
        <v>89</v>
      </c>
      <c r="AG61" s="933" t="s">
        <v>120</v>
      </c>
    </row>
    <row r="62" spans="1:33" hidden="1">
      <c r="A62" s="940">
        <f t="shared" si="6"/>
        <v>50</v>
      </c>
      <c r="B62" s="933" t="s">
        <v>317</v>
      </c>
      <c r="C62" s="744">
        <v>85.5</v>
      </c>
      <c r="D62" s="743" t="s">
        <v>131</v>
      </c>
      <c r="E62"/>
      <c r="H62" s="935" t="s">
        <v>52</v>
      </c>
      <c r="I62"/>
      <c r="J62" s="805"/>
      <c r="K62"/>
      <c r="N62" s="933" t="s">
        <v>111</v>
      </c>
      <c r="O62" s="933" t="s">
        <v>318</v>
      </c>
      <c r="AG62" s="933" t="s">
        <v>120</v>
      </c>
    </row>
    <row r="63" spans="1:33" hidden="1">
      <c r="A63" s="940">
        <f t="shared" si="6"/>
        <v>51</v>
      </c>
      <c r="B63" s="933" t="s">
        <v>319</v>
      </c>
      <c r="C63" s="744">
        <v>42</v>
      </c>
      <c r="D63" s="743" t="s">
        <v>145</v>
      </c>
      <c r="E63"/>
      <c r="F63" s="941">
        <v>0.20599999999999999</v>
      </c>
      <c r="G63" s="938" t="s">
        <v>122</v>
      </c>
      <c r="H63" s="933" t="s">
        <v>123</v>
      </c>
      <c r="I63" s="744">
        <f>(C67)</f>
        <v>3800</v>
      </c>
      <c r="J63" s="779" t="s">
        <v>122</v>
      </c>
      <c r="K63" s="744">
        <f>(F63*I63)</f>
        <v>782.8</v>
      </c>
      <c r="O63" s="933" t="s">
        <v>320</v>
      </c>
      <c r="AG63" s="933" t="s">
        <v>120</v>
      </c>
    </row>
    <row r="64" spans="1:33" hidden="1">
      <c r="A64" s="940">
        <f t="shared" si="6"/>
        <v>52</v>
      </c>
      <c r="B64" s="933" t="s">
        <v>321</v>
      </c>
      <c r="C64" s="744">
        <v>62.5</v>
      </c>
      <c r="D64" s="743" t="s">
        <v>132</v>
      </c>
      <c r="E64"/>
      <c r="F64" s="939">
        <v>1</v>
      </c>
      <c r="G64" s="938" t="s">
        <v>132</v>
      </c>
      <c r="H64" s="933" t="s">
        <v>133</v>
      </c>
      <c r="I64" s="744" t="e">
        <f>(C78)</f>
        <v>#REF!</v>
      </c>
      <c r="J64" s="779" t="s">
        <v>132</v>
      </c>
      <c r="K64" s="744" t="e">
        <f>(F64*I64)</f>
        <v>#REF!</v>
      </c>
      <c r="O64" s="935" t="s">
        <v>52</v>
      </c>
      <c r="AG64" s="933" t="s">
        <v>120</v>
      </c>
    </row>
    <row r="65" spans="1:33" hidden="1">
      <c r="A65" s="940">
        <f t="shared" si="6"/>
        <v>53</v>
      </c>
      <c r="B65" s="933" t="s">
        <v>322</v>
      </c>
      <c r="C65" s="744">
        <v>303</v>
      </c>
      <c r="D65" s="743" t="s">
        <v>323</v>
      </c>
      <c r="E65"/>
      <c r="F65" s="939">
        <v>1</v>
      </c>
      <c r="G65" s="938" t="s">
        <v>132</v>
      </c>
      <c r="H65" s="933" t="s">
        <v>138</v>
      </c>
      <c r="I65" s="744">
        <f>(C18)</f>
        <v>26</v>
      </c>
      <c r="J65" s="779" t="s">
        <v>132</v>
      </c>
      <c r="K65" s="744">
        <f>(F65*I65)</f>
        <v>26</v>
      </c>
      <c r="M65" s="939">
        <v>9</v>
      </c>
      <c r="N65" s="933" t="s">
        <v>132</v>
      </c>
      <c r="O65" s="933" t="s">
        <v>320</v>
      </c>
      <c r="P65" s="939" t="e">
        <f>(C73)</f>
        <v>#REF!</v>
      </c>
      <c r="Q65" s="933" t="s">
        <v>132</v>
      </c>
      <c r="R65" s="939" t="e">
        <f>(M65*P65)</f>
        <v>#REF!</v>
      </c>
      <c r="AG65" s="933" t="s">
        <v>120</v>
      </c>
    </row>
    <row r="66" spans="1:33" hidden="1">
      <c r="A66" s="940">
        <f t="shared" si="6"/>
        <v>54</v>
      </c>
      <c r="B66" s="933" t="s">
        <v>324</v>
      </c>
      <c r="C66" s="744">
        <f>AE18</f>
        <v>120</v>
      </c>
      <c r="D66" s="743" t="s">
        <v>131</v>
      </c>
      <c r="E66"/>
      <c r="G66" s="938" t="s">
        <v>145</v>
      </c>
      <c r="H66" s="933" t="s">
        <v>146</v>
      </c>
      <c r="I66" s="743" t="s">
        <v>85</v>
      </c>
      <c r="J66" s="779" t="s">
        <v>145</v>
      </c>
      <c r="K66" s="744">
        <v>0</v>
      </c>
      <c r="M66" s="939">
        <v>4.5</v>
      </c>
      <c r="N66" s="933" t="s">
        <v>132</v>
      </c>
      <c r="O66" s="933" t="s">
        <v>164</v>
      </c>
      <c r="P66" s="939" t="e">
        <f>(K23)</f>
        <v>#REF!</v>
      </c>
      <c r="Q66" s="933" t="s">
        <v>132</v>
      </c>
      <c r="R66" s="939" t="e">
        <f>(M66*P66)</f>
        <v>#REF!</v>
      </c>
      <c r="AG66" s="933" t="s">
        <v>120</v>
      </c>
    </row>
    <row r="67" spans="1:33" hidden="1">
      <c r="A67" s="940">
        <f t="shared" si="6"/>
        <v>55</v>
      </c>
      <c r="B67" s="933" t="s">
        <v>123</v>
      </c>
      <c r="C67" s="744">
        <f>AC31</f>
        <v>3800</v>
      </c>
      <c r="D67" s="743" t="s">
        <v>122</v>
      </c>
      <c r="E67"/>
      <c r="I67"/>
      <c r="J67" s="805"/>
      <c r="K67" s="776" t="s">
        <v>52</v>
      </c>
      <c r="M67" s="939">
        <v>1.8</v>
      </c>
      <c r="N67" s="933" t="s">
        <v>131</v>
      </c>
      <c r="O67" s="933" t="s">
        <v>302</v>
      </c>
      <c r="P67" s="939">
        <f>(C11)</f>
        <v>135</v>
      </c>
      <c r="Q67" s="933" t="s">
        <v>131</v>
      </c>
      <c r="R67" s="939">
        <f>(M67*P67)</f>
        <v>243</v>
      </c>
      <c r="AG67" s="933" t="s">
        <v>120</v>
      </c>
    </row>
    <row r="68" spans="1:33" hidden="1">
      <c r="A68" s="940">
        <f t="shared" si="6"/>
        <v>56</v>
      </c>
      <c r="B68" s="933" t="s">
        <v>325</v>
      </c>
      <c r="C68" s="744" t="e">
        <f t="shared" ref="C68:C74" si="7">AC9</f>
        <v>#REF!</v>
      </c>
      <c r="D68" s="743" t="s">
        <v>132</v>
      </c>
      <c r="E68"/>
      <c r="H68" s="933" t="s">
        <v>155</v>
      </c>
      <c r="I68"/>
      <c r="J68" s="805"/>
      <c r="K68" s="744" t="e">
        <f>SUM(K63:K66)</f>
        <v>#REF!</v>
      </c>
      <c r="M68" s="939">
        <v>17.7</v>
      </c>
      <c r="N68" s="933" t="s">
        <v>131</v>
      </c>
      <c r="O68" s="933" t="s">
        <v>304</v>
      </c>
      <c r="P68" s="939">
        <f>(C12)</f>
        <v>95</v>
      </c>
      <c r="Q68" s="933" t="s">
        <v>131</v>
      </c>
      <c r="R68" s="939">
        <f>(M68*P68)</f>
        <v>1681.5</v>
      </c>
      <c r="AG68" s="933" t="s">
        <v>120</v>
      </c>
    </row>
    <row r="69" spans="1:33" hidden="1">
      <c r="A69" s="940">
        <f t="shared" si="6"/>
        <v>57</v>
      </c>
      <c r="B69" s="933" t="s">
        <v>135</v>
      </c>
      <c r="C69" s="744" t="e">
        <f t="shared" si="7"/>
        <v>#REF!</v>
      </c>
      <c r="D69" s="743" t="s">
        <v>132</v>
      </c>
      <c r="E69"/>
      <c r="I69"/>
      <c r="J69" s="805"/>
      <c r="K69" s="776" t="s">
        <v>52</v>
      </c>
      <c r="M69" s="939">
        <v>14.1</v>
      </c>
      <c r="N69" s="933" t="s">
        <v>131</v>
      </c>
      <c r="O69" s="933" t="s">
        <v>306</v>
      </c>
      <c r="P69" s="939">
        <f>(C13)</f>
        <v>85</v>
      </c>
      <c r="Q69" s="933" t="s">
        <v>131</v>
      </c>
      <c r="R69" s="939">
        <f>(M69*P69)</f>
        <v>1198.5</v>
      </c>
      <c r="AG69" s="933" t="s">
        <v>120</v>
      </c>
    </row>
    <row r="70" spans="1:33" hidden="1">
      <c r="A70" s="940">
        <f t="shared" si="6"/>
        <v>58</v>
      </c>
      <c r="B70" s="933" t="s">
        <v>326</v>
      </c>
      <c r="C70" s="744" t="e">
        <f t="shared" si="7"/>
        <v>#REF!</v>
      </c>
      <c r="D70" s="743" t="s">
        <v>132</v>
      </c>
      <c r="E70"/>
      <c r="G70" s="938" t="s">
        <v>111</v>
      </c>
      <c r="H70" s="933" t="s">
        <v>300</v>
      </c>
      <c r="I70"/>
      <c r="J70" s="805"/>
      <c r="K70"/>
      <c r="N70" s="933" t="s">
        <v>145</v>
      </c>
      <c r="O70" s="933" t="s">
        <v>146</v>
      </c>
      <c r="Q70" s="933" t="s">
        <v>145</v>
      </c>
      <c r="R70" s="939">
        <v>0</v>
      </c>
      <c r="AG70" s="933" t="s">
        <v>120</v>
      </c>
    </row>
    <row r="71" spans="1:33" hidden="1">
      <c r="A71" s="940">
        <f t="shared" si="6"/>
        <v>59</v>
      </c>
      <c r="B71" s="933" t="s">
        <v>327</v>
      </c>
      <c r="C71" s="744" t="e">
        <f t="shared" si="7"/>
        <v>#REF!</v>
      </c>
      <c r="D71" s="743" t="s">
        <v>132</v>
      </c>
      <c r="E71"/>
      <c r="H71" s="935" t="s">
        <v>52</v>
      </c>
      <c r="I71"/>
      <c r="J71" s="805"/>
      <c r="K71"/>
      <c r="R71" s="935" t="s">
        <v>52</v>
      </c>
      <c r="AG71" s="933" t="s">
        <v>120</v>
      </c>
    </row>
    <row r="72" spans="1:33" hidden="1">
      <c r="A72" s="940">
        <f t="shared" si="6"/>
        <v>60</v>
      </c>
      <c r="B72" s="933" t="s">
        <v>328</v>
      </c>
      <c r="C72" s="744" t="e">
        <f t="shared" si="7"/>
        <v>#REF!</v>
      </c>
      <c r="D72" s="743" t="s">
        <v>132</v>
      </c>
      <c r="E72"/>
      <c r="F72" s="939">
        <v>0.18</v>
      </c>
      <c r="G72" s="938" t="s">
        <v>122</v>
      </c>
      <c r="H72" s="933" t="s">
        <v>123</v>
      </c>
      <c r="I72" s="744">
        <f>(C67)</f>
        <v>3800</v>
      </c>
      <c r="J72" s="779" t="s">
        <v>122</v>
      </c>
      <c r="K72" s="744">
        <f>(F72*I72)</f>
        <v>684</v>
      </c>
      <c r="O72" s="933" t="s">
        <v>311</v>
      </c>
      <c r="R72" s="939" t="e">
        <f>SUM(R65:R70)</f>
        <v>#REF!</v>
      </c>
      <c r="AG72" s="933" t="s">
        <v>120</v>
      </c>
    </row>
    <row r="73" spans="1:33" hidden="1">
      <c r="A73" s="940">
        <f t="shared" si="6"/>
        <v>61</v>
      </c>
      <c r="B73" s="933" t="s">
        <v>329</v>
      </c>
      <c r="C73" s="744" t="e">
        <f t="shared" si="7"/>
        <v>#REF!</v>
      </c>
      <c r="D73" s="743" t="s">
        <v>132</v>
      </c>
      <c r="E73"/>
      <c r="F73" s="939">
        <v>1</v>
      </c>
      <c r="G73" s="938" t="s">
        <v>132</v>
      </c>
      <c r="H73" s="933" t="s">
        <v>133</v>
      </c>
      <c r="I73" s="744" t="e">
        <f>(C78)</f>
        <v>#REF!</v>
      </c>
      <c r="J73" s="779" t="s">
        <v>132</v>
      </c>
      <c r="K73" s="744" t="e">
        <f>(F73*I73)</f>
        <v>#REF!</v>
      </c>
      <c r="R73" s="935" t="s">
        <v>52</v>
      </c>
      <c r="AG73" s="933" t="s">
        <v>120</v>
      </c>
    </row>
    <row r="74" spans="1:33" hidden="1">
      <c r="A74" s="940">
        <f t="shared" si="6"/>
        <v>62</v>
      </c>
      <c r="B74" s="933" t="s">
        <v>330</v>
      </c>
      <c r="C74" s="744" t="e">
        <f t="shared" si="7"/>
        <v>#REF!</v>
      </c>
      <c r="D74" s="743" t="s">
        <v>132</v>
      </c>
      <c r="E74"/>
      <c r="F74" s="939">
        <v>1</v>
      </c>
      <c r="G74" s="938" t="s">
        <v>132</v>
      </c>
      <c r="H74" s="933" t="s">
        <v>138</v>
      </c>
      <c r="I74" s="744">
        <f>(C18)</f>
        <v>26</v>
      </c>
      <c r="J74" s="779" t="s">
        <v>132</v>
      </c>
      <c r="K74" s="744">
        <f>(F74*I74)</f>
        <v>26</v>
      </c>
      <c r="O74" s="933" t="s">
        <v>242</v>
      </c>
      <c r="R74" s="939" t="e">
        <f>(R72/10)</f>
        <v>#REF!</v>
      </c>
      <c r="AG74" s="933" t="s">
        <v>120</v>
      </c>
    </row>
    <row r="75" spans="1:33" hidden="1">
      <c r="A75" s="940">
        <f t="shared" si="6"/>
        <v>63</v>
      </c>
      <c r="B75" s="933" t="s">
        <v>331</v>
      </c>
      <c r="C75" s="744">
        <v>20</v>
      </c>
      <c r="D75" s="743" t="s">
        <v>111</v>
      </c>
      <c r="E75"/>
      <c r="G75" s="938" t="s">
        <v>145</v>
      </c>
      <c r="H75" s="933" t="s">
        <v>146</v>
      </c>
      <c r="I75" s="743" t="s">
        <v>85</v>
      </c>
      <c r="J75" s="779" t="s">
        <v>145</v>
      </c>
      <c r="K75" s="744">
        <v>0</v>
      </c>
      <c r="R75" s="935" t="s">
        <v>89</v>
      </c>
      <c r="AG75" s="933" t="s">
        <v>120</v>
      </c>
    </row>
    <row r="76" spans="1:33" hidden="1">
      <c r="A76" s="940">
        <f t="shared" si="6"/>
        <v>64</v>
      </c>
      <c r="B76" s="933" t="s">
        <v>332</v>
      </c>
      <c r="C76" s="744">
        <v>514.62</v>
      </c>
      <c r="D76" s="744">
        <v>240</v>
      </c>
      <c r="E76"/>
      <c r="I76"/>
      <c r="J76" s="805"/>
      <c r="K76" s="776" t="s">
        <v>52</v>
      </c>
      <c r="N76" s="933" t="s">
        <v>111</v>
      </c>
      <c r="O76" s="933" t="s">
        <v>333</v>
      </c>
      <c r="AG76" s="933" t="s">
        <v>120</v>
      </c>
    </row>
    <row r="77" spans="1:33" hidden="1">
      <c r="A77" s="940">
        <f t="shared" si="6"/>
        <v>65</v>
      </c>
      <c r="B77" s="933" t="s">
        <v>334</v>
      </c>
      <c r="C77" s="744" t="e">
        <f>AC34</f>
        <v>#REF!</v>
      </c>
      <c r="D77" s="743" t="s">
        <v>132</v>
      </c>
      <c r="E77"/>
      <c r="H77" s="933" t="s">
        <v>155</v>
      </c>
      <c r="I77"/>
      <c r="J77" s="805"/>
      <c r="K77" s="744" t="e">
        <f>SUM(K72:K75)</f>
        <v>#REF!</v>
      </c>
      <c r="O77" s="933" t="s">
        <v>335</v>
      </c>
      <c r="AG77" s="933" t="s">
        <v>120</v>
      </c>
    </row>
    <row r="78" spans="1:33" hidden="1">
      <c r="A78" s="940">
        <f t="shared" si="6"/>
        <v>66</v>
      </c>
      <c r="B78" s="933" t="s">
        <v>336</v>
      </c>
      <c r="C78" s="744" t="e">
        <f t="shared" ref="C78:C91" si="8">AC16</f>
        <v>#REF!</v>
      </c>
      <c r="D78" s="743" t="s">
        <v>132</v>
      </c>
      <c r="E78"/>
      <c r="I78"/>
      <c r="J78" s="805"/>
      <c r="K78" s="776" t="s">
        <v>52</v>
      </c>
      <c r="O78" s="935" t="s">
        <v>52</v>
      </c>
      <c r="AG78" s="933" t="s">
        <v>120</v>
      </c>
    </row>
    <row r="79" spans="1:33" hidden="1">
      <c r="A79" s="940">
        <f t="shared" si="6"/>
        <v>67</v>
      </c>
      <c r="B79" s="933" t="s">
        <v>173</v>
      </c>
      <c r="C79" s="744" t="e">
        <f t="shared" si="8"/>
        <v>#REF!</v>
      </c>
      <c r="D79" s="743" t="s">
        <v>132</v>
      </c>
      <c r="E79"/>
      <c r="F79" s="948">
        <v>1.1000000000000001</v>
      </c>
      <c r="G79" s="938" t="s">
        <v>85</v>
      </c>
      <c r="H79" s="933" t="s">
        <v>337</v>
      </c>
      <c r="I79"/>
      <c r="J79" s="805"/>
      <c r="K79"/>
      <c r="M79" s="939">
        <v>4600</v>
      </c>
      <c r="N79" s="933" t="s">
        <v>338</v>
      </c>
      <c r="O79" s="933" t="s">
        <v>335</v>
      </c>
      <c r="P79" s="939" t="e">
        <f>(C91)</f>
        <v>#REF!</v>
      </c>
      <c r="Q79" s="933" t="s">
        <v>339</v>
      </c>
      <c r="R79" s="939" t="e">
        <f>(M79*P79)/1000</f>
        <v>#REF!</v>
      </c>
      <c r="AG79" s="933" t="s">
        <v>120</v>
      </c>
    </row>
    <row r="80" spans="1:33" hidden="1">
      <c r="A80" s="940">
        <f t="shared" si="6"/>
        <v>68</v>
      </c>
      <c r="B80" s="933" t="s">
        <v>340</v>
      </c>
      <c r="C80" s="744" t="e">
        <f t="shared" si="8"/>
        <v>#REF!</v>
      </c>
      <c r="D80" s="743" t="s">
        <v>341</v>
      </c>
      <c r="E80"/>
      <c r="F80" s="949" t="s">
        <v>85</v>
      </c>
      <c r="H80" s="933" t="s">
        <v>342</v>
      </c>
      <c r="I80"/>
      <c r="J80" s="805"/>
      <c r="K80"/>
      <c r="M80" s="939">
        <v>2.5</v>
      </c>
      <c r="N80" s="933" t="s">
        <v>132</v>
      </c>
      <c r="O80" s="933" t="s">
        <v>283</v>
      </c>
      <c r="P80" s="939" t="e">
        <f>(K49)</f>
        <v>#REF!</v>
      </c>
      <c r="Q80" s="933" t="s">
        <v>132</v>
      </c>
      <c r="R80" s="939" t="e">
        <f>(M80*P80)</f>
        <v>#REF!</v>
      </c>
      <c r="AG80" s="933" t="s">
        <v>120</v>
      </c>
    </row>
    <row r="81" spans="1:33" hidden="1">
      <c r="A81" s="940">
        <f t="shared" si="6"/>
        <v>69</v>
      </c>
      <c r="B81" s="933" t="s">
        <v>343</v>
      </c>
      <c r="C81" s="744" t="e">
        <f t="shared" si="8"/>
        <v>#REF!</v>
      </c>
      <c r="D81" s="743" t="s">
        <v>132</v>
      </c>
      <c r="E81"/>
      <c r="F81" s="939">
        <v>10</v>
      </c>
      <c r="G81" s="938" t="s">
        <v>132</v>
      </c>
      <c r="H81" s="933" t="s">
        <v>344</v>
      </c>
      <c r="I81" s="744">
        <f>(C61)</f>
        <v>25</v>
      </c>
      <c r="J81" s="779" t="s">
        <v>132</v>
      </c>
      <c r="K81" s="744">
        <f>(F81*I81)</f>
        <v>250</v>
      </c>
      <c r="M81" s="939">
        <v>3.5</v>
      </c>
      <c r="N81" s="933" t="s">
        <v>131</v>
      </c>
      <c r="O81" s="933" t="s">
        <v>345</v>
      </c>
      <c r="P81" s="939">
        <f>(C10)</f>
        <v>150</v>
      </c>
      <c r="Q81" s="933" t="s">
        <v>131</v>
      </c>
      <c r="R81" s="939">
        <f>(M81*P81)</f>
        <v>525</v>
      </c>
      <c r="AG81" s="933" t="s">
        <v>120</v>
      </c>
    </row>
    <row r="82" spans="1:33" hidden="1">
      <c r="A82" s="940">
        <f t="shared" si="6"/>
        <v>70</v>
      </c>
      <c r="B82" s="933" t="s">
        <v>346</v>
      </c>
      <c r="C82" s="744" t="e">
        <f t="shared" si="8"/>
        <v>#REF!</v>
      </c>
      <c r="D82" s="743" t="s">
        <v>132</v>
      </c>
      <c r="E82"/>
      <c r="F82" s="939">
        <v>10</v>
      </c>
      <c r="G82" s="938" t="s">
        <v>132</v>
      </c>
      <c r="H82" s="933" t="s">
        <v>347</v>
      </c>
      <c r="I82" s="744">
        <f>(C61)</f>
        <v>25</v>
      </c>
      <c r="J82" s="779" t="s">
        <v>132</v>
      </c>
      <c r="K82" s="744">
        <f>(F82*I82)</f>
        <v>250</v>
      </c>
      <c r="M82" s="939">
        <v>10.6</v>
      </c>
      <c r="N82" s="933" t="s">
        <v>131</v>
      </c>
      <c r="O82" s="933" t="s">
        <v>302</v>
      </c>
      <c r="P82" s="939">
        <f>(C11)</f>
        <v>135</v>
      </c>
      <c r="Q82" s="933" t="s">
        <v>131</v>
      </c>
      <c r="R82" s="939">
        <f>(M82*P82)</f>
        <v>1431</v>
      </c>
      <c r="AG82" s="933" t="s">
        <v>120</v>
      </c>
    </row>
    <row r="83" spans="1:33" hidden="1">
      <c r="A83" s="940">
        <f t="shared" si="6"/>
        <v>71</v>
      </c>
      <c r="B83" s="933" t="s">
        <v>348</v>
      </c>
      <c r="C83" s="744">
        <f t="shared" si="8"/>
        <v>4500</v>
      </c>
      <c r="D83" s="743" t="s">
        <v>341</v>
      </c>
      <c r="E83">
        <v>3550</v>
      </c>
      <c r="F83" s="939">
        <v>10</v>
      </c>
      <c r="G83" s="938" t="s">
        <v>132</v>
      </c>
      <c r="H83" s="933" t="s">
        <v>349</v>
      </c>
      <c r="I83" s="744">
        <f>(C26)/3</f>
        <v>2.93</v>
      </c>
      <c r="J83" s="779" t="s">
        <v>132</v>
      </c>
      <c r="K83" s="744">
        <f>(F83*I83)</f>
        <v>29.3</v>
      </c>
      <c r="M83" s="939">
        <v>7.1</v>
      </c>
      <c r="N83" s="933" t="s">
        <v>131</v>
      </c>
      <c r="O83" s="933" t="s">
        <v>304</v>
      </c>
      <c r="P83" s="939">
        <f>(C12)</f>
        <v>95</v>
      </c>
      <c r="Q83" s="933" t="s">
        <v>131</v>
      </c>
      <c r="R83" s="939">
        <f>(M83*P83)</f>
        <v>674.5</v>
      </c>
      <c r="AG83" s="933" t="s">
        <v>120</v>
      </c>
    </row>
    <row r="84" spans="1:33" hidden="1">
      <c r="A84" s="940">
        <f t="shared" si="6"/>
        <v>72</v>
      </c>
      <c r="B84" s="933" t="s">
        <v>350</v>
      </c>
      <c r="C84" s="744">
        <f t="shared" si="8"/>
        <v>773</v>
      </c>
      <c r="D84" s="743" t="s">
        <v>132</v>
      </c>
      <c r="E84"/>
      <c r="G84" s="938" t="s">
        <v>145</v>
      </c>
      <c r="H84" s="933" t="s">
        <v>146</v>
      </c>
      <c r="I84"/>
      <c r="J84" s="779" t="s">
        <v>145</v>
      </c>
      <c r="K84" s="744">
        <v>0</v>
      </c>
      <c r="M84" s="939">
        <v>21.2</v>
      </c>
      <c r="N84" s="933" t="s">
        <v>131</v>
      </c>
      <c r="O84" s="933" t="s">
        <v>306</v>
      </c>
      <c r="P84" s="939">
        <f>(C13)</f>
        <v>85</v>
      </c>
      <c r="Q84" s="933" t="s">
        <v>131</v>
      </c>
      <c r="R84" s="939">
        <f>(M84*P84)</f>
        <v>1802</v>
      </c>
      <c r="AG84" s="933" t="s">
        <v>120</v>
      </c>
    </row>
    <row r="85" spans="1:33" hidden="1">
      <c r="A85" s="940">
        <f t="shared" si="6"/>
        <v>73</v>
      </c>
      <c r="B85" s="933" t="s">
        <v>202</v>
      </c>
      <c r="C85" s="744" t="e">
        <f t="shared" si="8"/>
        <v>#REF!</v>
      </c>
      <c r="D85" s="743" t="s">
        <v>132</v>
      </c>
      <c r="E85"/>
      <c r="I85"/>
      <c r="J85" s="805"/>
      <c r="K85" s="776" t="s">
        <v>52</v>
      </c>
      <c r="N85" s="933" t="s">
        <v>145</v>
      </c>
      <c r="O85" s="933" t="s">
        <v>146</v>
      </c>
      <c r="Q85" s="933" t="s">
        <v>145</v>
      </c>
      <c r="R85" s="939">
        <v>0</v>
      </c>
      <c r="AG85" s="933" t="s">
        <v>120</v>
      </c>
    </row>
    <row r="86" spans="1:33" hidden="1">
      <c r="A86" s="940">
        <f t="shared" si="6"/>
        <v>74</v>
      </c>
      <c r="B86" s="933" t="s">
        <v>351</v>
      </c>
      <c r="C86" s="744">
        <f t="shared" si="8"/>
        <v>20605</v>
      </c>
      <c r="D86" s="743" t="s">
        <v>132</v>
      </c>
      <c r="E86"/>
      <c r="H86" s="933" t="s">
        <v>311</v>
      </c>
      <c r="I86"/>
      <c r="J86" s="805"/>
      <c r="K86" s="744">
        <f>SUM(K81:K84)</f>
        <v>529.29999999999995</v>
      </c>
      <c r="R86" s="935" t="s">
        <v>52</v>
      </c>
      <c r="AG86" s="933" t="s">
        <v>120</v>
      </c>
    </row>
    <row r="87" spans="1:33" hidden="1">
      <c r="A87" s="940">
        <f t="shared" si="6"/>
        <v>75</v>
      </c>
      <c r="B87" s="933" t="s">
        <v>352</v>
      </c>
      <c r="C87" s="744">
        <f t="shared" si="8"/>
        <v>23685</v>
      </c>
      <c r="D87" s="743" t="s">
        <v>132</v>
      </c>
      <c r="E87"/>
      <c r="I87"/>
      <c r="J87" s="805"/>
      <c r="K87" s="776" t="s">
        <v>52</v>
      </c>
      <c r="O87" s="933" t="s">
        <v>311</v>
      </c>
      <c r="R87" s="939" t="e">
        <f>SUM(R79:R85)</f>
        <v>#REF!</v>
      </c>
      <c r="AG87" s="933" t="s">
        <v>120</v>
      </c>
    </row>
    <row r="88" spans="1:33" hidden="1">
      <c r="A88" s="940">
        <f t="shared" si="6"/>
        <v>76</v>
      </c>
      <c r="B88" s="933" t="s">
        <v>353</v>
      </c>
      <c r="C88" s="744">
        <f t="shared" si="8"/>
        <v>65420</v>
      </c>
      <c r="D88" s="743" t="s">
        <v>132</v>
      </c>
      <c r="E88"/>
      <c r="H88" s="950" t="s">
        <v>354</v>
      </c>
      <c r="I88" s="719" t="s">
        <v>355</v>
      </c>
      <c r="J88" s="710"/>
      <c r="K88" s="780">
        <f>(K86/10)</f>
        <v>52.93</v>
      </c>
      <c r="R88" s="935" t="s">
        <v>52</v>
      </c>
      <c r="AG88" s="933" t="s">
        <v>120</v>
      </c>
    </row>
    <row r="89" spans="1:33" hidden="1">
      <c r="A89" s="940">
        <f t="shared" si="6"/>
        <v>77</v>
      </c>
      <c r="B89" s="933" t="s">
        <v>356</v>
      </c>
      <c r="C89" s="744">
        <f t="shared" si="8"/>
        <v>57165</v>
      </c>
      <c r="D89" s="743" t="s">
        <v>132</v>
      </c>
      <c r="E89"/>
      <c r="I89" s="719" t="s">
        <v>357</v>
      </c>
      <c r="J89" s="710"/>
      <c r="K89" s="956">
        <f>ROUND(K88+C36,2)</f>
        <v>55.53</v>
      </c>
      <c r="O89" s="933" t="s">
        <v>242</v>
      </c>
      <c r="R89" s="939" t="e">
        <f>(R87/10)</f>
        <v>#REF!</v>
      </c>
      <c r="AG89" s="933" t="s">
        <v>120</v>
      </c>
    </row>
    <row r="90" spans="1:33" hidden="1">
      <c r="A90" s="940">
        <f t="shared" si="6"/>
        <v>78</v>
      </c>
      <c r="B90" s="933" t="s">
        <v>358</v>
      </c>
      <c r="C90" s="744">
        <f t="shared" si="8"/>
        <v>63870</v>
      </c>
      <c r="D90" s="743" t="s">
        <v>132</v>
      </c>
      <c r="E90"/>
      <c r="F90" s="944" t="s">
        <v>359</v>
      </c>
      <c r="H90" s="951" t="s">
        <v>360</v>
      </c>
      <c r="I90" s="719" t="s">
        <v>355</v>
      </c>
      <c r="J90" s="710"/>
      <c r="K90" s="780">
        <f>K88-K83/10</f>
        <v>50</v>
      </c>
      <c r="R90" s="935" t="s">
        <v>89</v>
      </c>
      <c r="AG90" s="933" t="s">
        <v>120</v>
      </c>
    </row>
    <row r="91" spans="1:33" hidden="1">
      <c r="A91" s="940">
        <f t="shared" si="6"/>
        <v>79</v>
      </c>
      <c r="B91" s="933" t="s">
        <v>361</v>
      </c>
      <c r="C91" s="744" t="e">
        <f t="shared" si="8"/>
        <v>#REF!</v>
      </c>
      <c r="D91" s="743" t="s">
        <v>341</v>
      </c>
      <c r="E91"/>
      <c r="I91" s="719" t="s">
        <v>357</v>
      </c>
      <c r="J91" s="710"/>
      <c r="K91" s="956">
        <f>ROUND(K90+C36,2)</f>
        <v>52.6</v>
      </c>
      <c r="AG91" s="933" t="s">
        <v>120</v>
      </c>
    </row>
    <row r="92" spans="1:33" hidden="1">
      <c r="C92"/>
      <c r="D92"/>
      <c r="E92"/>
      <c r="F92" s="944" t="s">
        <v>362</v>
      </c>
      <c r="G92" s="938" t="s">
        <v>85</v>
      </c>
      <c r="H92" s="933" t="s">
        <v>363</v>
      </c>
      <c r="I92"/>
      <c r="J92" s="805"/>
      <c r="K92"/>
    </row>
    <row r="93" spans="1:33" hidden="1">
      <c r="C93"/>
      <c r="D93"/>
      <c r="E93"/>
      <c r="F93" s="949" t="s">
        <v>85</v>
      </c>
      <c r="H93" s="935" t="s">
        <v>52</v>
      </c>
      <c r="I93"/>
      <c r="J93" s="805"/>
      <c r="K93"/>
    </row>
    <row r="94" spans="1:33" hidden="1">
      <c r="C94"/>
      <c r="D94"/>
      <c r="E94"/>
      <c r="F94" s="939">
        <v>10</v>
      </c>
      <c r="G94" s="938" t="s">
        <v>132</v>
      </c>
      <c r="H94" s="933" t="s">
        <v>364</v>
      </c>
      <c r="I94" s="744">
        <f>D61</f>
        <v>37.299999999999997</v>
      </c>
      <c r="J94" s="779" t="s">
        <v>132</v>
      </c>
      <c r="K94" s="744">
        <f>(F94*I94)</f>
        <v>373</v>
      </c>
    </row>
    <row r="95" spans="1:33" hidden="1">
      <c r="C95"/>
      <c r="D95"/>
      <c r="E95"/>
      <c r="F95" s="939">
        <v>10</v>
      </c>
      <c r="G95" s="938" t="s">
        <v>132</v>
      </c>
      <c r="H95" s="933" t="s">
        <v>347</v>
      </c>
      <c r="I95" s="744">
        <f>D61</f>
        <v>37.299999999999997</v>
      </c>
      <c r="J95" s="779" t="s">
        <v>132</v>
      </c>
      <c r="K95" s="744">
        <f>(F95*I95)</f>
        <v>373</v>
      </c>
    </row>
    <row r="96" spans="1:33" hidden="1">
      <c r="C96"/>
      <c r="D96"/>
      <c r="E96"/>
      <c r="F96" s="939">
        <v>10</v>
      </c>
      <c r="G96" s="938" t="s">
        <v>132</v>
      </c>
      <c r="H96" s="933" t="s">
        <v>349</v>
      </c>
      <c r="I96" s="744">
        <f>I83</f>
        <v>2.93</v>
      </c>
      <c r="J96" s="779" t="s">
        <v>132</v>
      </c>
      <c r="K96" s="744">
        <f>(F96*I96)</f>
        <v>29.3</v>
      </c>
    </row>
    <row r="97" spans="3:11" hidden="1">
      <c r="C97"/>
      <c r="D97"/>
      <c r="E97"/>
      <c r="G97" s="938" t="s">
        <v>145</v>
      </c>
      <c r="H97" s="933" t="s">
        <v>146</v>
      </c>
      <c r="I97"/>
      <c r="J97" s="779" t="s">
        <v>145</v>
      </c>
      <c r="K97" s="744">
        <v>0</v>
      </c>
    </row>
    <row r="98" spans="3:11" hidden="1">
      <c r="C98"/>
      <c r="D98"/>
      <c r="E98"/>
      <c r="I98"/>
      <c r="J98" s="805"/>
      <c r="K98" s="776" t="s">
        <v>52</v>
      </c>
    </row>
    <row r="99" spans="3:11" hidden="1">
      <c r="C99"/>
      <c r="D99"/>
      <c r="E99"/>
      <c r="H99" s="933" t="s">
        <v>311</v>
      </c>
      <c r="I99"/>
      <c r="J99" s="805"/>
      <c r="K99" s="744">
        <f>SUM(K94:K97)</f>
        <v>775.3</v>
      </c>
    </row>
    <row r="100" spans="3:11" hidden="1">
      <c r="C100"/>
      <c r="D100"/>
      <c r="E100"/>
      <c r="I100"/>
      <c r="J100" s="805"/>
      <c r="K100" s="776" t="s">
        <v>52</v>
      </c>
    </row>
    <row r="101" spans="3:11" hidden="1">
      <c r="C101"/>
      <c r="D101"/>
      <c r="E101"/>
      <c r="H101" s="950" t="s">
        <v>354</v>
      </c>
      <c r="I101" s="719" t="s">
        <v>355</v>
      </c>
      <c r="J101" s="710"/>
      <c r="K101" s="780">
        <f>(K99/10)</f>
        <v>77.53</v>
      </c>
    </row>
    <row r="102" spans="3:11" hidden="1">
      <c r="C102"/>
      <c r="D102"/>
      <c r="E102"/>
      <c r="I102" s="719" t="s">
        <v>357</v>
      </c>
      <c r="J102" s="710"/>
      <c r="K102" s="956">
        <f>ROUND(K101+C36,2)</f>
        <v>80.13</v>
      </c>
    </row>
    <row r="103" spans="3:11" hidden="1">
      <c r="C103"/>
      <c r="D103"/>
      <c r="E103"/>
      <c r="I103" s="719"/>
      <c r="J103" s="710"/>
      <c r="K103" s="957"/>
    </row>
    <row r="104" spans="3:11" hidden="1">
      <c r="C104"/>
      <c r="D104"/>
      <c r="E104"/>
      <c r="F104" s="948">
        <v>1.7</v>
      </c>
      <c r="H104" s="951" t="s">
        <v>365</v>
      </c>
      <c r="I104" s="719" t="s">
        <v>355</v>
      </c>
      <c r="J104" s="710"/>
      <c r="K104" s="956">
        <f>ROUND(K101-K96/10,2)</f>
        <v>74.599999999999994</v>
      </c>
    </row>
    <row r="105" spans="3:11" hidden="1">
      <c r="C105"/>
      <c r="D105"/>
      <c r="E105"/>
      <c r="I105" s="719" t="s">
        <v>357</v>
      </c>
      <c r="J105" s="710"/>
      <c r="K105" s="956">
        <f>ROUND(K104+C36,2)</f>
        <v>77.2</v>
      </c>
    </row>
    <row r="106" spans="3:11" hidden="1">
      <c r="C106"/>
      <c r="D106"/>
      <c r="E106"/>
      <c r="I106"/>
      <c r="J106" s="805"/>
      <c r="K106" s="776"/>
    </row>
    <row r="107" spans="3:11" hidden="1">
      <c r="C107"/>
      <c r="D107"/>
      <c r="E107"/>
      <c r="I107"/>
      <c r="J107" s="805"/>
      <c r="K107" s="776"/>
    </row>
    <row r="108" spans="3:11" ht="31.5" hidden="1">
      <c r="C108"/>
      <c r="D108"/>
      <c r="E108"/>
      <c r="F108" s="948">
        <v>1.5</v>
      </c>
      <c r="G108" s="938" t="s">
        <v>85</v>
      </c>
      <c r="H108" s="952" t="s">
        <v>366</v>
      </c>
      <c r="I108"/>
      <c r="J108" s="805"/>
      <c r="K108"/>
    </row>
    <row r="109" spans="3:11" hidden="1">
      <c r="C109"/>
      <c r="D109"/>
      <c r="E109"/>
      <c r="I109"/>
      <c r="J109" s="805"/>
      <c r="K109"/>
    </row>
    <row r="110" spans="3:11" hidden="1">
      <c r="C110"/>
      <c r="D110"/>
      <c r="E110"/>
      <c r="F110" s="939">
        <v>10</v>
      </c>
      <c r="G110" s="938" t="s">
        <v>132</v>
      </c>
      <c r="H110" s="933" t="s">
        <v>344</v>
      </c>
      <c r="I110" s="744">
        <f>C61</f>
        <v>25</v>
      </c>
      <c r="J110" s="779" t="s">
        <v>132</v>
      </c>
      <c r="K110" s="744">
        <f>(F110*I110)</f>
        <v>250</v>
      </c>
    </row>
    <row r="111" spans="3:11" hidden="1">
      <c r="C111"/>
      <c r="D111"/>
      <c r="E111"/>
      <c r="F111" s="939">
        <v>10</v>
      </c>
      <c r="G111" s="938" t="s">
        <v>132</v>
      </c>
      <c r="H111" s="933" t="s">
        <v>349</v>
      </c>
      <c r="I111" s="744">
        <f>I83</f>
        <v>2.93</v>
      </c>
      <c r="J111" s="779" t="s">
        <v>132</v>
      </c>
      <c r="K111" s="744">
        <f>(F111*I111)</f>
        <v>29.3</v>
      </c>
    </row>
    <row r="112" spans="3:11" hidden="1">
      <c r="C112"/>
      <c r="D112"/>
      <c r="E112"/>
      <c r="G112" s="938" t="s">
        <v>145</v>
      </c>
      <c r="H112" s="933" t="s">
        <v>146</v>
      </c>
      <c r="I112"/>
      <c r="J112" s="779" t="s">
        <v>145</v>
      </c>
      <c r="K112" s="744">
        <v>0</v>
      </c>
    </row>
    <row r="113" spans="3:11" hidden="1">
      <c r="C113"/>
      <c r="D113"/>
      <c r="E113"/>
      <c r="I113"/>
      <c r="J113" s="805"/>
      <c r="K113" s="776" t="s">
        <v>52</v>
      </c>
    </row>
    <row r="114" spans="3:11" hidden="1">
      <c r="C114"/>
      <c r="D114"/>
      <c r="E114"/>
      <c r="H114" s="933" t="s">
        <v>311</v>
      </c>
      <c r="I114"/>
      <c r="J114" s="805"/>
      <c r="K114" s="744">
        <f>SUM(K110:K112)</f>
        <v>279.3</v>
      </c>
    </row>
    <row r="115" spans="3:11" hidden="1">
      <c r="C115"/>
      <c r="D115"/>
      <c r="E115"/>
      <c r="I115"/>
      <c r="J115" s="805"/>
      <c r="K115" s="776" t="s">
        <v>52</v>
      </c>
    </row>
    <row r="116" spans="3:11" hidden="1">
      <c r="C116"/>
      <c r="D116"/>
      <c r="E116"/>
      <c r="H116" s="933"/>
      <c r="I116"/>
      <c r="J116" s="805"/>
      <c r="K116" s="744">
        <f>(K114/10)</f>
        <v>27.93</v>
      </c>
    </row>
    <row r="117" spans="3:11" hidden="1">
      <c r="C117"/>
      <c r="D117"/>
      <c r="E117"/>
      <c r="I117"/>
      <c r="J117" s="805"/>
      <c r="K117" s="776" t="s">
        <v>89</v>
      </c>
    </row>
    <row r="118" spans="3:11" hidden="1">
      <c r="C118"/>
      <c r="D118"/>
      <c r="E118"/>
      <c r="F118" s="944"/>
      <c r="H118" s="933" t="s">
        <v>367</v>
      </c>
      <c r="I118" s="719" t="s">
        <v>355</v>
      </c>
      <c r="J118" s="805"/>
      <c r="K118" s="780">
        <f>K116-K111/10</f>
        <v>25</v>
      </c>
    </row>
    <row r="119" spans="3:11" hidden="1">
      <c r="C119"/>
      <c r="D119"/>
      <c r="E119"/>
      <c r="I119" s="719" t="s">
        <v>357</v>
      </c>
      <c r="J119" s="805"/>
      <c r="K119" s="956">
        <f>ROUND(K118+C36,2)</f>
        <v>27.6</v>
      </c>
    </row>
    <row r="120" spans="3:11" hidden="1">
      <c r="C120"/>
      <c r="D120"/>
      <c r="E120"/>
      <c r="I120"/>
      <c r="J120" s="805"/>
      <c r="K120" s="776"/>
    </row>
    <row r="121" spans="3:11" ht="31.5" hidden="1">
      <c r="C121"/>
      <c r="D121"/>
      <c r="E121"/>
      <c r="F121" s="953">
        <v>1.8</v>
      </c>
      <c r="H121" s="952" t="s">
        <v>368</v>
      </c>
      <c r="I121"/>
      <c r="J121" s="805"/>
      <c r="K121" s="776"/>
    </row>
    <row r="122" spans="3:11" hidden="1">
      <c r="C122"/>
      <c r="D122"/>
      <c r="E122"/>
      <c r="I122"/>
      <c r="J122" s="805"/>
      <c r="K122" s="776"/>
    </row>
    <row r="123" spans="3:11" hidden="1">
      <c r="C123"/>
      <c r="D123"/>
      <c r="E123"/>
      <c r="F123" s="939">
        <v>10</v>
      </c>
      <c r="G123" s="938" t="s">
        <v>132</v>
      </c>
      <c r="H123" s="933" t="s">
        <v>364</v>
      </c>
      <c r="I123">
        <f>D61</f>
        <v>37.299999999999997</v>
      </c>
      <c r="J123" s="779" t="s">
        <v>132</v>
      </c>
      <c r="K123" s="744">
        <f>(F123*I123)</f>
        <v>373</v>
      </c>
    </row>
    <row r="124" spans="3:11" hidden="1">
      <c r="C124"/>
      <c r="D124"/>
      <c r="E124"/>
      <c r="G124" s="931" t="s">
        <v>49</v>
      </c>
      <c r="I124"/>
      <c r="J124" s="805" t="s">
        <v>49</v>
      </c>
      <c r="K124" s="744">
        <v>0</v>
      </c>
    </row>
    <row r="125" spans="3:11" hidden="1">
      <c r="C125"/>
      <c r="D125"/>
      <c r="E125"/>
      <c r="I125"/>
      <c r="J125" s="805"/>
      <c r="K125" s="776" t="s">
        <v>52</v>
      </c>
    </row>
    <row r="126" spans="3:11" hidden="1">
      <c r="C126"/>
      <c r="D126"/>
      <c r="E126"/>
      <c r="H126" s="933" t="s">
        <v>311</v>
      </c>
      <c r="I126"/>
      <c r="J126" s="805"/>
      <c r="K126" s="744">
        <f>SUM(K123:K124)</f>
        <v>373</v>
      </c>
    </row>
    <row r="127" spans="3:11" hidden="1">
      <c r="C127"/>
      <c r="D127"/>
      <c r="E127"/>
      <c r="I127"/>
      <c r="J127" s="805"/>
      <c r="K127" s="776" t="s">
        <v>52</v>
      </c>
    </row>
    <row r="128" spans="3:11" ht="31.5" hidden="1">
      <c r="C128"/>
      <c r="D128"/>
      <c r="E128"/>
      <c r="F128" s="954"/>
      <c r="H128" s="955" t="s">
        <v>369</v>
      </c>
      <c r="I128" s="719" t="s">
        <v>355</v>
      </c>
      <c r="J128" s="805"/>
      <c r="K128" s="956">
        <f>ROUND(K126/10,2)</f>
        <v>37.299999999999997</v>
      </c>
    </row>
    <row r="129" spans="1:33" hidden="1">
      <c r="C129"/>
      <c r="D129"/>
      <c r="E129"/>
      <c r="I129" s="719" t="s">
        <v>357</v>
      </c>
      <c r="J129" s="805"/>
      <c r="K129" s="956">
        <f>ROUND(K128+C36,2)</f>
        <v>39.9</v>
      </c>
    </row>
    <row r="130" spans="1:33" hidden="1">
      <c r="C130"/>
      <c r="D130"/>
      <c r="E130"/>
      <c r="I130" s="719"/>
      <c r="J130" s="805"/>
      <c r="K130" s="776"/>
    </row>
    <row r="131" spans="1:33" hidden="1">
      <c r="C131"/>
      <c r="D131"/>
      <c r="E131"/>
      <c r="F131" s="948">
        <v>1.6</v>
      </c>
      <c r="H131" s="933" t="s">
        <v>370</v>
      </c>
      <c r="I131" s="719"/>
      <c r="J131" s="805"/>
      <c r="K131"/>
    </row>
    <row r="132" spans="1:33" hidden="1">
      <c r="C132"/>
      <c r="D132"/>
      <c r="E132"/>
      <c r="H132" s="933" t="s">
        <v>371</v>
      </c>
      <c r="I132" s="719" t="s">
        <v>355</v>
      </c>
      <c r="J132" s="805"/>
      <c r="K132" s="780">
        <f>C61*1.5</f>
        <v>37.5</v>
      </c>
    </row>
    <row r="133" spans="1:33" hidden="1">
      <c r="C133"/>
      <c r="D133"/>
      <c r="E133"/>
      <c r="F133" s="933" t="s">
        <v>85</v>
      </c>
      <c r="H133" s="933" t="s">
        <v>372</v>
      </c>
      <c r="I133" s="719" t="s">
        <v>357</v>
      </c>
      <c r="J133" s="805"/>
      <c r="K133" s="956">
        <f>ROUND(K132+C36,2)</f>
        <v>40.1</v>
      </c>
    </row>
    <row r="134" spans="1:33" hidden="1">
      <c r="C134"/>
      <c r="D134"/>
      <c r="E134"/>
      <c r="I134"/>
      <c r="J134" s="805"/>
      <c r="K134" s="776" t="s">
        <v>89</v>
      </c>
    </row>
    <row r="135" spans="1:33" hidden="1">
      <c r="C135"/>
      <c r="D135"/>
      <c r="E135"/>
      <c r="I135"/>
      <c r="J135" s="805"/>
      <c r="K135"/>
    </row>
    <row r="136" spans="1:33" hidden="1">
      <c r="A136" s="940">
        <f>(A91+1)</f>
        <v>80</v>
      </c>
      <c r="B136" s="933" t="s">
        <v>373</v>
      </c>
      <c r="C136" s="744">
        <f>AC30</f>
        <v>8240</v>
      </c>
      <c r="D136" s="744">
        <v>13.87</v>
      </c>
      <c r="E136" s="743" t="s">
        <v>85</v>
      </c>
      <c r="F136" s="934" t="s">
        <v>374</v>
      </c>
      <c r="G136" s="938" t="s">
        <v>111</v>
      </c>
      <c r="H136" s="933" t="s">
        <v>375</v>
      </c>
      <c r="I136"/>
      <c r="J136" s="805"/>
      <c r="K136"/>
      <c r="N136" s="933" t="s">
        <v>376</v>
      </c>
      <c r="O136" s="933" t="s">
        <v>53</v>
      </c>
      <c r="R136" s="939" t="e">
        <f>(R89+C19)</f>
        <v>#REF!</v>
      </c>
      <c r="AG136" s="933" t="s">
        <v>120</v>
      </c>
    </row>
    <row r="137" spans="1:33" hidden="1">
      <c r="A137" s="940">
        <f t="shared" ref="A137:A142" si="9">(A136+1)</f>
        <v>81</v>
      </c>
      <c r="B137" s="933" t="s">
        <v>377</v>
      </c>
      <c r="C137" s="744">
        <f>AC33</f>
        <v>26500</v>
      </c>
      <c r="D137" s="743" t="s">
        <v>122</v>
      </c>
      <c r="E137"/>
      <c r="H137" s="933" t="s">
        <v>378</v>
      </c>
      <c r="I137"/>
      <c r="J137" s="805"/>
      <c r="K137"/>
      <c r="N137" s="933" t="s">
        <v>379</v>
      </c>
      <c r="O137" s="933" t="s">
        <v>54</v>
      </c>
      <c r="R137" s="939" t="e">
        <f>(R136+C20)</f>
        <v>#REF!</v>
      </c>
      <c r="AG137" s="933" t="s">
        <v>120</v>
      </c>
    </row>
    <row r="138" spans="1:33" hidden="1">
      <c r="A138" s="940">
        <f t="shared" si="9"/>
        <v>82</v>
      </c>
      <c r="B138" s="933" t="s">
        <v>380</v>
      </c>
      <c r="C138" s="744">
        <f>AC32</f>
        <v>28000</v>
      </c>
      <c r="D138" s="743" t="s">
        <v>122</v>
      </c>
      <c r="E138"/>
      <c r="H138" s="935" t="s">
        <v>52</v>
      </c>
      <c r="I138"/>
      <c r="J138" s="805"/>
      <c r="K138"/>
      <c r="N138" s="933" t="s">
        <v>381</v>
      </c>
      <c r="O138" s="933" t="s">
        <v>55</v>
      </c>
      <c r="R138" s="939" t="e">
        <f>(R137+C21)</f>
        <v>#REF!</v>
      </c>
      <c r="AG138" s="933" t="s">
        <v>120</v>
      </c>
    </row>
    <row r="139" spans="1:33" hidden="1">
      <c r="A139" s="940">
        <f t="shared" si="9"/>
        <v>83</v>
      </c>
      <c r="B139" s="933" t="s">
        <v>382</v>
      </c>
      <c r="C139" s="744">
        <f>AC33</f>
        <v>26500</v>
      </c>
      <c r="D139" s="743" t="s">
        <v>122</v>
      </c>
      <c r="E139"/>
      <c r="F139" s="939">
        <v>1</v>
      </c>
      <c r="G139" s="938" t="s">
        <v>132</v>
      </c>
      <c r="H139" s="933" t="s">
        <v>383</v>
      </c>
      <c r="I139" s="744" t="e">
        <f>C79</f>
        <v>#REF!</v>
      </c>
      <c r="J139" s="779" t="s">
        <v>132</v>
      </c>
      <c r="K139" s="744" t="e">
        <f>(F139*I139)</f>
        <v>#REF!</v>
      </c>
      <c r="N139" s="933" t="s">
        <v>384</v>
      </c>
      <c r="O139" s="933" t="s">
        <v>56</v>
      </c>
      <c r="R139" s="939" t="e">
        <f>(R138+C21)</f>
        <v>#REF!</v>
      </c>
      <c r="AG139" s="933" t="s">
        <v>120</v>
      </c>
    </row>
    <row r="140" spans="1:33" hidden="1">
      <c r="A140" s="940">
        <f t="shared" si="9"/>
        <v>84</v>
      </c>
      <c r="B140" s="933" t="s">
        <v>385</v>
      </c>
      <c r="C140" s="744">
        <f>AC38</f>
        <v>169</v>
      </c>
      <c r="D140" s="743" t="s">
        <v>132</v>
      </c>
      <c r="E140"/>
      <c r="F140" s="939">
        <v>1</v>
      </c>
      <c r="G140" s="938" t="s">
        <v>132</v>
      </c>
      <c r="H140" s="933" t="s">
        <v>218</v>
      </c>
      <c r="I140" s="744">
        <f>C27</f>
        <v>7.8</v>
      </c>
      <c r="J140" s="779" t="s">
        <v>132</v>
      </c>
      <c r="K140" s="744">
        <f>(F140*I140)</f>
        <v>7.8</v>
      </c>
      <c r="O140" s="933" t="s">
        <v>386</v>
      </c>
      <c r="R140" s="939" t="e">
        <f>(R139+C21)</f>
        <v>#REF!</v>
      </c>
      <c r="AG140" s="933" t="s">
        <v>120</v>
      </c>
    </row>
    <row r="141" spans="1:33" hidden="1">
      <c r="A141" s="940">
        <f t="shared" si="9"/>
        <v>85</v>
      </c>
      <c r="B141" s="933" t="s">
        <v>387</v>
      </c>
      <c r="C141" s="744">
        <f>I255</f>
        <v>12224.58</v>
      </c>
      <c r="D141" s="743" t="s">
        <v>122</v>
      </c>
      <c r="E141"/>
      <c r="G141" s="938" t="s">
        <v>145</v>
      </c>
      <c r="H141" s="933" t="s">
        <v>146</v>
      </c>
      <c r="I141" s="743" t="s">
        <v>85</v>
      </c>
      <c r="J141" s="779" t="s">
        <v>145</v>
      </c>
      <c r="K141" s="744">
        <v>0</v>
      </c>
      <c r="N141" s="933" t="s">
        <v>111</v>
      </c>
      <c r="O141" s="933" t="s">
        <v>388</v>
      </c>
      <c r="AG141" s="933" t="s">
        <v>120</v>
      </c>
    </row>
    <row r="142" spans="1:33" hidden="1">
      <c r="A142" s="940">
        <f t="shared" si="9"/>
        <v>86</v>
      </c>
      <c r="B142" s="933" t="s">
        <v>389</v>
      </c>
      <c r="C142" s="744">
        <v>30000</v>
      </c>
      <c r="D142" s="743" t="s">
        <v>122</v>
      </c>
      <c r="E142"/>
      <c r="I142"/>
      <c r="J142" s="805"/>
      <c r="K142" s="776" t="s">
        <v>52</v>
      </c>
      <c r="O142" s="933" t="s">
        <v>335</v>
      </c>
      <c r="AG142" s="933" t="s">
        <v>120</v>
      </c>
    </row>
    <row r="143" spans="1:33" hidden="1">
      <c r="B143" s="933" t="s">
        <v>85</v>
      </c>
      <c r="C143"/>
      <c r="D143"/>
      <c r="E143"/>
      <c r="H143" s="933" t="s">
        <v>390</v>
      </c>
      <c r="I143"/>
      <c r="J143" s="805"/>
      <c r="K143" s="744" t="e">
        <f>SUM(K137:K141)</f>
        <v>#REF!</v>
      </c>
      <c r="O143" s="935" t="s">
        <v>52</v>
      </c>
      <c r="AG143" s="933" t="s">
        <v>120</v>
      </c>
    </row>
    <row r="144" spans="1:33" hidden="1">
      <c r="A144" s="940">
        <f>(A142+1)</f>
        <v>87</v>
      </c>
      <c r="B144" s="933" t="s">
        <v>391</v>
      </c>
      <c r="C144" s="744">
        <v>7.5</v>
      </c>
      <c r="D144" s="743" t="s">
        <v>145</v>
      </c>
      <c r="E144"/>
      <c r="I144"/>
      <c r="J144" s="805"/>
      <c r="K144" s="776" t="s">
        <v>52</v>
      </c>
      <c r="M144" s="939">
        <v>4600</v>
      </c>
      <c r="N144" s="933" t="s">
        <v>338</v>
      </c>
      <c r="O144" s="933" t="s">
        <v>335</v>
      </c>
      <c r="P144" s="939" t="e">
        <f>(C91)</f>
        <v>#REF!</v>
      </c>
      <c r="Q144" s="933" t="s">
        <v>339</v>
      </c>
      <c r="R144" s="939" t="e">
        <f>(M144*P144)/1000</f>
        <v>#REF!</v>
      </c>
      <c r="AG144" s="933" t="s">
        <v>120</v>
      </c>
    </row>
    <row r="145" spans="3:11" hidden="1">
      <c r="C145"/>
      <c r="D145"/>
      <c r="E145"/>
      <c r="F145" s="934" t="s">
        <v>392</v>
      </c>
      <c r="G145" s="938" t="s">
        <v>111</v>
      </c>
      <c r="H145" s="933" t="s">
        <v>393</v>
      </c>
      <c r="I145"/>
      <c r="J145" s="805"/>
      <c r="K145"/>
    </row>
    <row r="146" spans="3:11" hidden="1">
      <c r="C146"/>
      <c r="D146"/>
      <c r="E146"/>
      <c r="H146" s="933" t="s">
        <v>394</v>
      </c>
      <c r="I146"/>
      <c r="J146" s="805"/>
      <c r="K146"/>
    </row>
    <row r="147" spans="3:11" hidden="1">
      <c r="C147"/>
      <c r="D147"/>
      <c r="E147"/>
      <c r="H147" s="933" t="s">
        <v>395</v>
      </c>
      <c r="I147"/>
      <c r="J147" s="805"/>
      <c r="K147"/>
    </row>
    <row r="148" spans="3:11" hidden="1">
      <c r="C148"/>
      <c r="D148"/>
      <c r="E148"/>
      <c r="H148" s="933" t="s">
        <v>396</v>
      </c>
      <c r="I148"/>
      <c r="J148" s="805"/>
      <c r="K148"/>
    </row>
    <row r="149" spans="3:11" hidden="1">
      <c r="C149"/>
      <c r="D149"/>
      <c r="E149"/>
      <c r="H149" s="933" t="s">
        <v>397</v>
      </c>
      <c r="I149"/>
      <c r="J149" s="805"/>
      <c r="K149"/>
    </row>
    <row r="150" spans="3:11" hidden="1">
      <c r="C150"/>
      <c r="D150"/>
      <c r="E150"/>
      <c r="H150" s="935" t="s">
        <v>52</v>
      </c>
      <c r="I150"/>
      <c r="J150" s="805"/>
      <c r="K150"/>
    </row>
    <row r="151" spans="3:11" hidden="1">
      <c r="C151"/>
      <c r="D151"/>
      <c r="E151"/>
      <c r="F151" s="939">
        <v>0.7</v>
      </c>
      <c r="G151" s="938" t="s">
        <v>132</v>
      </c>
      <c r="H151" s="933" t="s">
        <v>200</v>
      </c>
      <c r="I151" s="744" t="e">
        <f>C79</f>
        <v>#REF!</v>
      </c>
      <c r="J151" s="779" t="s">
        <v>132</v>
      </c>
      <c r="K151" s="744" t="e">
        <f t="shared" ref="K151:K156" si="10">(F151*I151)</f>
        <v>#REF!</v>
      </c>
    </row>
    <row r="152" spans="3:11" hidden="1">
      <c r="C152"/>
      <c r="D152"/>
      <c r="E152"/>
      <c r="F152" s="939">
        <v>0.7</v>
      </c>
      <c r="G152" s="938" t="s">
        <v>132</v>
      </c>
      <c r="H152" s="933" t="s">
        <v>398</v>
      </c>
      <c r="I152" s="744">
        <f>C783</f>
        <v>3.05</v>
      </c>
      <c r="J152" s="779" t="s">
        <v>132</v>
      </c>
      <c r="K152" s="744">
        <f t="shared" si="10"/>
        <v>2.14</v>
      </c>
    </row>
    <row r="153" spans="3:11" hidden="1">
      <c r="C153"/>
      <c r="D153"/>
      <c r="E153"/>
      <c r="F153" s="939">
        <v>0.72</v>
      </c>
      <c r="G153" s="938" t="s">
        <v>132</v>
      </c>
      <c r="H153" s="933" t="s">
        <v>399</v>
      </c>
      <c r="I153" s="744">
        <f>C35</f>
        <v>169</v>
      </c>
      <c r="J153" s="779" t="s">
        <v>132</v>
      </c>
      <c r="K153" s="744">
        <f t="shared" si="10"/>
        <v>121.68</v>
      </c>
    </row>
    <row r="154" spans="3:11" hidden="1">
      <c r="C154"/>
      <c r="D154"/>
      <c r="E154"/>
      <c r="F154" s="939">
        <v>0.72</v>
      </c>
      <c r="G154" s="938" t="s">
        <v>132</v>
      </c>
      <c r="H154" s="933" t="s">
        <v>398</v>
      </c>
      <c r="I154" s="744">
        <f>C783</f>
        <v>3.05</v>
      </c>
      <c r="J154" s="779" t="s">
        <v>132</v>
      </c>
      <c r="K154" s="744">
        <f t="shared" si="10"/>
        <v>2.2000000000000002</v>
      </c>
    </row>
    <row r="155" spans="3:11" hidden="1">
      <c r="C155"/>
      <c r="D155"/>
      <c r="E155"/>
      <c r="F155" s="939">
        <v>1</v>
      </c>
      <c r="G155" s="938" t="s">
        <v>132</v>
      </c>
      <c r="H155" s="933" t="s">
        <v>211</v>
      </c>
      <c r="I155" s="744">
        <f>C18</f>
        <v>26</v>
      </c>
      <c r="J155" s="779" t="s">
        <v>132</v>
      </c>
      <c r="K155" s="744">
        <f t="shared" si="10"/>
        <v>26</v>
      </c>
    </row>
    <row r="156" spans="3:11" hidden="1">
      <c r="C156"/>
      <c r="D156"/>
      <c r="E156"/>
      <c r="F156" s="939">
        <v>1</v>
      </c>
      <c r="G156" s="938" t="s">
        <v>132</v>
      </c>
      <c r="H156" s="933" t="s">
        <v>400</v>
      </c>
      <c r="I156" s="744">
        <v>6.05</v>
      </c>
      <c r="J156" s="779" t="s">
        <v>132</v>
      </c>
      <c r="K156" s="744">
        <f t="shared" si="10"/>
        <v>6.05</v>
      </c>
    </row>
    <row r="157" spans="3:11" hidden="1">
      <c r="C157"/>
      <c r="D157"/>
      <c r="E157"/>
      <c r="H157" s="933" t="s">
        <v>401</v>
      </c>
      <c r="I157"/>
      <c r="J157" s="805"/>
      <c r="K157"/>
    </row>
    <row r="158" spans="3:11" hidden="1">
      <c r="C158"/>
      <c r="D158"/>
      <c r="E158"/>
      <c r="G158" s="938" t="s">
        <v>145</v>
      </c>
      <c r="H158" s="933" t="s">
        <v>146</v>
      </c>
      <c r="I158" s="743" t="s">
        <v>85</v>
      </c>
      <c r="J158" s="779" t="s">
        <v>145</v>
      </c>
      <c r="K158" s="744">
        <v>0</v>
      </c>
    </row>
    <row r="159" spans="3:11" hidden="1">
      <c r="C159"/>
      <c r="D159"/>
      <c r="E159"/>
      <c r="I159"/>
      <c r="J159" s="805"/>
      <c r="K159" s="776" t="s">
        <v>52</v>
      </c>
    </row>
    <row r="160" spans="3:11" hidden="1">
      <c r="C160"/>
      <c r="D160"/>
      <c r="E160"/>
      <c r="H160" s="933" t="s">
        <v>390</v>
      </c>
      <c r="I160"/>
      <c r="J160" s="805"/>
      <c r="K160" s="744" t="e">
        <f>SUM(K151:K158)</f>
        <v>#REF!</v>
      </c>
    </row>
    <row r="161" spans="1:11" hidden="1">
      <c r="C161"/>
      <c r="D161"/>
      <c r="E161"/>
      <c r="I161"/>
      <c r="J161" s="805"/>
      <c r="K161" s="776" t="s">
        <v>52</v>
      </c>
    </row>
    <row r="162" spans="1:11" hidden="1">
      <c r="C162"/>
      <c r="D162"/>
      <c r="E162"/>
      <c r="H162" s="933" t="s">
        <v>85</v>
      </c>
      <c r="I162"/>
      <c r="J162" s="805"/>
      <c r="K162" s="743" t="s">
        <v>85</v>
      </c>
    </row>
    <row r="163" spans="1:11" hidden="1">
      <c r="C163"/>
      <c r="D163"/>
      <c r="E163"/>
      <c r="I163"/>
      <c r="J163" s="805"/>
      <c r="K163" s="743" t="s">
        <v>85</v>
      </c>
    </row>
    <row r="164" spans="1:11" hidden="1">
      <c r="A164" s="958">
        <v>2.2999999999999998</v>
      </c>
      <c r="B164" s="933" t="s">
        <v>402</v>
      </c>
      <c r="C164" t="e">
        <f>AC19+I167</f>
        <v>#REF!</v>
      </c>
      <c r="D164"/>
      <c r="E164"/>
      <c r="F164" s="948">
        <v>2.6</v>
      </c>
      <c r="G164" s="938" t="s">
        <v>111</v>
      </c>
      <c r="H164" s="933" t="s">
        <v>403</v>
      </c>
      <c r="I164"/>
      <c r="J164" s="805"/>
      <c r="K164"/>
    </row>
    <row r="165" spans="1:11" hidden="1">
      <c r="A165" s="958">
        <v>2.4</v>
      </c>
      <c r="B165" s="933" t="s">
        <v>404</v>
      </c>
      <c r="C165" t="e">
        <f>AC20+I167</f>
        <v>#REF!</v>
      </c>
      <c r="D165"/>
      <c r="E165"/>
      <c r="H165" s="935" t="s">
        <v>52</v>
      </c>
      <c r="I165"/>
      <c r="J165" s="805"/>
      <c r="K165"/>
    </row>
    <row r="166" spans="1:11" hidden="1">
      <c r="C166"/>
      <c r="D166"/>
      <c r="E166"/>
      <c r="F166" s="939">
        <v>1</v>
      </c>
      <c r="G166" s="938" t="s">
        <v>132</v>
      </c>
      <c r="H166" s="933" t="s">
        <v>405</v>
      </c>
      <c r="I166" s="744" t="e">
        <f>AC15</f>
        <v>#REF!</v>
      </c>
      <c r="J166" s="779" t="s">
        <v>132</v>
      </c>
      <c r="K166" s="744" t="e">
        <f>(F166*I166)</f>
        <v>#REF!</v>
      </c>
    </row>
    <row r="167" spans="1:11" hidden="1">
      <c r="C167"/>
      <c r="D167"/>
      <c r="E167"/>
      <c r="F167" s="939">
        <v>1</v>
      </c>
      <c r="G167" s="938" t="s">
        <v>132</v>
      </c>
      <c r="H167" s="933" t="s">
        <v>218</v>
      </c>
      <c r="I167" s="744">
        <f>C26</f>
        <v>8.8000000000000007</v>
      </c>
      <c r="J167" s="779" t="s">
        <v>132</v>
      </c>
      <c r="K167" s="744">
        <f>(F167*I167)</f>
        <v>8.8000000000000007</v>
      </c>
    </row>
    <row r="168" spans="1:11" hidden="1">
      <c r="C168"/>
      <c r="D168"/>
      <c r="E168"/>
      <c r="G168" s="938" t="s">
        <v>145</v>
      </c>
      <c r="H168" s="933" t="s">
        <v>146</v>
      </c>
      <c r="I168" s="743" t="s">
        <v>85</v>
      </c>
      <c r="J168" s="779" t="s">
        <v>145</v>
      </c>
      <c r="K168" s="744">
        <v>0</v>
      </c>
    </row>
    <row r="169" spans="1:11" hidden="1">
      <c r="C169"/>
      <c r="D169"/>
      <c r="E169"/>
      <c r="I169"/>
      <c r="J169" s="805"/>
      <c r="K169" s="776" t="s">
        <v>52</v>
      </c>
    </row>
    <row r="170" spans="1:11" hidden="1">
      <c r="C170"/>
      <c r="D170"/>
      <c r="E170"/>
      <c r="H170" s="933" t="s">
        <v>390</v>
      </c>
      <c r="I170"/>
      <c r="J170" s="805"/>
      <c r="K170" s="744" t="e">
        <f>SUM(K165:K168)</f>
        <v>#REF!</v>
      </c>
    </row>
    <row r="171" spans="1:11" hidden="1">
      <c r="C171"/>
      <c r="D171"/>
      <c r="E171"/>
      <c r="I171"/>
      <c r="J171" s="805"/>
      <c r="K171" s="776" t="s">
        <v>52</v>
      </c>
    </row>
    <row r="172" spans="1:11" hidden="1">
      <c r="C172"/>
      <c r="D172"/>
      <c r="E172"/>
      <c r="F172" s="948">
        <v>2.7</v>
      </c>
      <c r="G172" s="938" t="s">
        <v>111</v>
      </c>
      <c r="H172" s="933" t="s">
        <v>406</v>
      </c>
      <c r="I172"/>
      <c r="J172" s="805"/>
      <c r="K172"/>
    </row>
    <row r="173" spans="1:11" hidden="1">
      <c r="C173"/>
      <c r="D173"/>
      <c r="E173"/>
      <c r="H173" s="935" t="s">
        <v>52</v>
      </c>
      <c r="I173"/>
      <c r="J173" s="805"/>
      <c r="K173"/>
    </row>
    <row r="174" spans="1:11" hidden="1">
      <c r="C174"/>
      <c r="D174"/>
      <c r="E174"/>
      <c r="F174" s="939">
        <v>1</v>
      </c>
      <c r="G174" s="938" t="s">
        <v>132</v>
      </c>
      <c r="H174" s="933" t="s">
        <v>407</v>
      </c>
      <c r="I174" s="744" t="e">
        <f>AC14</f>
        <v>#REF!</v>
      </c>
      <c r="J174" s="779" t="s">
        <v>132</v>
      </c>
      <c r="K174" s="744" t="e">
        <f>(F174*I174)</f>
        <v>#REF!</v>
      </c>
    </row>
    <row r="175" spans="1:11" hidden="1">
      <c r="C175"/>
      <c r="D175"/>
      <c r="E175"/>
      <c r="F175" s="939">
        <v>1</v>
      </c>
      <c r="G175" s="938" t="s">
        <v>132</v>
      </c>
      <c r="H175" s="933" t="s">
        <v>218</v>
      </c>
      <c r="I175" s="744">
        <f>C26</f>
        <v>8.8000000000000007</v>
      </c>
      <c r="J175" s="779" t="s">
        <v>132</v>
      </c>
      <c r="K175" s="744">
        <f>(F175*I175)</f>
        <v>8.8000000000000007</v>
      </c>
    </row>
    <row r="176" spans="1:11" hidden="1">
      <c r="C176"/>
      <c r="D176"/>
      <c r="E176"/>
      <c r="G176" s="938" t="s">
        <v>145</v>
      </c>
      <c r="H176" s="933" t="s">
        <v>146</v>
      </c>
      <c r="I176" s="743" t="s">
        <v>85</v>
      </c>
      <c r="J176" s="779" t="s">
        <v>145</v>
      </c>
      <c r="K176" s="744">
        <v>0</v>
      </c>
    </row>
    <row r="177" spans="1:33" hidden="1">
      <c r="C177"/>
      <c r="D177"/>
      <c r="E177"/>
      <c r="I177"/>
      <c r="J177" s="805"/>
      <c r="K177" s="776" t="s">
        <v>52</v>
      </c>
    </row>
    <row r="178" spans="1:33" hidden="1">
      <c r="C178"/>
      <c r="D178"/>
      <c r="E178"/>
      <c r="H178" s="933" t="s">
        <v>390</v>
      </c>
      <c r="I178"/>
      <c r="J178" s="805"/>
      <c r="K178" s="744" t="e">
        <f>SUM(K173:K176)</f>
        <v>#REF!</v>
      </c>
    </row>
    <row r="179" spans="1:33" hidden="1">
      <c r="A179" s="940">
        <f>(A144+1)</f>
        <v>88</v>
      </c>
      <c r="B179" s="933" t="s">
        <v>408</v>
      </c>
      <c r="C179" s="744">
        <v>15.25</v>
      </c>
      <c r="D179" s="743" t="s">
        <v>39</v>
      </c>
      <c r="E179"/>
      <c r="I179"/>
      <c r="J179" s="805"/>
      <c r="K179" s="776" t="s">
        <v>52</v>
      </c>
      <c r="M179" s="939">
        <v>2.5</v>
      </c>
      <c r="N179" s="933" t="s">
        <v>132</v>
      </c>
      <c r="O179" s="933" t="s">
        <v>299</v>
      </c>
      <c r="P179" s="939" t="e">
        <f>(K58)</f>
        <v>#REF!</v>
      </c>
      <c r="Q179" s="933" t="s">
        <v>132</v>
      </c>
      <c r="R179" s="939" t="e">
        <f>(M179*P179)</f>
        <v>#REF!</v>
      </c>
      <c r="AG179" s="933" t="s">
        <v>120</v>
      </c>
    </row>
    <row r="180" spans="1:33" hidden="1">
      <c r="A180" s="940">
        <f>(A179+1)</f>
        <v>89</v>
      </c>
      <c r="B180" s="933" t="s">
        <v>409</v>
      </c>
      <c r="C180" s="744">
        <v>110</v>
      </c>
      <c r="D180" s="743" t="s">
        <v>39</v>
      </c>
      <c r="E180"/>
      <c r="H180" s="933" t="s">
        <v>85</v>
      </c>
      <c r="I180"/>
      <c r="J180" s="805"/>
      <c r="K180"/>
      <c r="M180" s="939">
        <v>3.5</v>
      </c>
      <c r="N180" s="933" t="s">
        <v>131</v>
      </c>
      <c r="O180" s="933" t="s">
        <v>345</v>
      </c>
      <c r="P180" s="939">
        <f>(C10)</f>
        <v>150</v>
      </c>
      <c r="Q180" s="933" t="s">
        <v>131</v>
      </c>
      <c r="R180" s="939">
        <f>(M180*P180)</f>
        <v>525</v>
      </c>
      <c r="AG180" s="933" t="s">
        <v>120</v>
      </c>
    </row>
    <row r="181" spans="1:33" hidden="1">
      <c r="C181"/>
      <c r="D181"/>
      <c r="E181"/>
      <c r="F181" s="934" t="s">
        <v>410</v>
      </c>
      <c r="H181" s="933" t="s">
        <v>411</v>
      </c>
      <c r="I181"/>
      <c r="J181" s="805"/>
      <c r="K181"/>
    </row>
    <row r="182" spans="1:33" hidden="1">
      <c r="C182"/>
      <c r="D182"/>
      <c r="E182"/>
      <c r="I182"/>
      <c r="J182" s="805"/>
      <c r="K182"/>
    </row>
    <row r="183" spans="1:33" hidden="1">
      <c r="C183"/>
      <c r="D183"/>
      <c r="E183"/>
      <c r="F183" s="939">
        <v>1</v>
      </c>
      <c r="G183" s="938" t="s">
        <v>132</v>
      </c>
      <c r="H183" s="933" t="s">
        <v>412</v>
      </c>
      <c r="I183" s="744">
        <f>C35</f>
        <v>169</v>
      </c>
      <c r="J183" s="779" t="s">
        <v>132</v>
      </c>
      <c r="K183" s="744">
        <f>(F183*I183)</f>
        <v>169</v>
      </c>
    </row>
    <row r="184" spans="1:33" hidden="1">
      <c r="C184"/>
      <c r="D184"/>
      <c r="E184"/>
      <c r="F184" s="939">
        <v>1</v>
      </c>
      <c r="G184" s="938" t="s">
        <v>132</v>
      </c>
      <c r="H184" s="933" t="s">
        <v>398</v>
      </c>
      <c r="I184" s="744">
        <f>C783</f>
        <v>3.05</v>
      </c>
      <c r="J184" s="779" t="s">
        <v>132</v>
      </c>
      <c r="K184" s="744">
        <f>(F184*I184)</f>
        <v>3.05</v>
      </c>
    </row>
    <row r="185" spans="1:33" hidden="1">
      <c r="C185"/>
      <c r="D185"/>
      <c r="E185"/>
      <c r="F185" s="939">
        <v>1</v>
      </c>
      <c r="G185" s="938" t="s">
        <v>132</v>
      </c>
      <c r="H185" s="933" t="s">
        <v>400</v>
      </c>
      <c r="I185" s="744">
        <v>6.05</v>
      </c>
      <c r="J185" s="779" t="s">
        <v>132</v>
      </c>
      <c r="K185" s="744">
        <f>(F185*I185)</f>
        <v>6.05</v>
      </c>
    </row>
    <row r="186" spans="1:33" hidden="1">
      <c r="C186"/>
      <c r="D186"/>
      <c r="E186"/>
      <c r="H186" s="933" t="s">
        <v>401</v>
      </c>
      <c r="I186"/>
      <c r="J186" s="805"/>
      <c r="K186"/>
    </row>
    <row r="187" spans="1:33" hidden="1">
      <c r="C187"/>
      <c r="D187"/>
      <c r="E187"/>
      <c r="I187"/>
      <c r="J187" s="805"/>
      <c r="K187" s="776" t="s">
        <v>52</v>
      </c>
    </row>
    <row r="188" spans="1:33" hidden="1">
      <c r="C188"/>
      <c r="D188"/>
      <c r="E188"/>
      <c r="H188" s="933" t="s">
        <v>390</v>
      </c>
      <c r="I188"/>
      <c r="J188" s="805"/>
      <c r="K188" s="744">
        <f>SUM(K181:K186)</f>
        <v>178.1</v>
      </c>
    </row>
    <row r="189" spans="1:33" hidden="1">
      <c r="C189"/>
      <c r="D189"/>
      <c r="E189"/>
      <c r="F189" s="933" t="s">
        <v>85</v>
      </c>
      <c r="I189"/>
      <c r="J189" s="805"/>
      <c r="K189" s="776" t="s">
        <v>52</v>
      </c>
    </row>
    <row r="190" spans="1:33" hidden="1">
      <c r="C190"/>
      <c r="D190"/>
      <c r="E190"/>
      <c r="I190"/>
      <c r="J190" s="805"/>
      <c r="K190" s="743" t="s">
        <v>85</v>
      </c>
    </row>
    <row r="191" spans="1:33" hidden="1">
      <c r="A191" s="940">
        <f>(A180+1)</f>
        <v>90</v>
      </c>
      <c r="B191" s="933" t="s">
        <v>413</v>
      </c>
      <c r="C191" s="744">
        <v>65</v>
      </c>
      <c r="D191" s="743" t="s">
        <v>414</v>
      </c>
      <c r="E191"/>
      <c r="F191" s="934" t="s">
        <v>415</v>
      </c>
      <c r="G191" s="938" t="s">
        <v>111</v>
      </c>
      <c r="H191" s="933" t="s">
        <v>416</v>
      </c>
      <c r="I191"/>
      <c r="J191" s="805"/>
      <c r="K191"/>
      <c r="M191" s="939">
        <v>10.6</v>
      </c>
      <c r="N191" s="933" t="s">
        <v>131</v>
      </c>
      <c r="O191" s="933" t="s">
        <v>302</v>
      </c>
      <c r="P191" s="939">
        <f>(C11)</f>
        <v>135</v>
      </c>
      <c r="Q191" s="933" t="s">
        <v>131</v>
      </c>
      <c r="R191" s="939">
        <f>(M191*P191)</f>
        <v>1431</v>
      </c>
      <c r="AG191" s="933" t="s">
        <v>120</v>
      </c>
    </row>
    <row r="192" spans="1:33" hidden="1">
      <c r="A192" s="940">
        <f t="shared" ref="A192:A207" si="11">(A191+1)</f>
        <v>91</v>
      </c>
      <c r="B192" s="933" t="s">
        <v>417</v>
      </c>
      <c r="C192" s="744">
        <v>25</v>
      </c>
      <c r="D192" s="743" t="s">
        <v>414</v>
      </c>
      <c r="E192"/>
      <c r="H192" s="933" t="s">
        <v>418</v>
      </c>
      <c r="I192"/>
      <c r="J192" s="805"/>
      <c r="K192"/>
      <c r="M192" s="939">
        <v>7.1</v>
      </c>
      <c r="N192" s="933" t="s">
        <v>131</v>
      </c>
      <c r="O192" s="933" t="s">
        <v>304</v>
      </c>
      <c r="P192" s="939">
        <f>(C12)</f>
        <v>95</v>
      </c>
      <c r="Q192" s="933" t="s">
        <v>131</v>
      </c>
      <c r="R192" s="939">
        <f>(M192*P192)</f>
        <v>674.5</v>
      </c>
      <c r="AG192" s="933" t="s">
        <v>120</v>
      </c>
    </row>
    <row r="193" spans="1:33" hidden="1">
      <c r="A193" s="940">
        <f t="shared" si="11"/>
        <v>92</v>
      </c>
      <c r="B193" s="933" t="s">
        <v>419</v>
      </c>
      <c r="C193" s="744">
        <v>210</v>
      </c>
      <c r="D193" s="743" t="s">
        <v>414</v>
      </c>
      <c r="E193"/>
      <c r="H193" s="935" t="s">
        <v>52</v>
      </c>
      <c r="I193"/>
      <c r="J193" s="805"/>
      <c r="K193"/>
      <c r="M193" s="939">
        <v>21.2</v>
      </c>
      <c r="N193" s="933" t="s">
        <v>131</v>
      </c>
      <c r="O193" s="933" t="s">
        <v>306</v>
      </c>
      <c r="P193" s="939">
        <f>(C13)</f>
        <v>85</v>
      </c>
      <c r="Q193" s="933" t="s">
        <v>131</v>
      </c>
      <c r="R193" s="939">
        <f>(M193*P193)</f>
        <v>1802</v>
      </c>
      <c r="AG193" s="933" t="s">
        <v>120</v>
      </c>
    </row>
    <row r="194" spans="1:33" hidden="1">
      <c r="A194" s="940">
        <f t="shared" si="11"/>
        <v>93</v>
      </c>
      <c r="B194" s="933" t="s">
        <v>420</v>
      </c>
      <c r="C194" s="744">
        <v>160</v>
      </c>
      <c r="D194" s="744">
        <v>96.11</v>
      </c>
      <c r="E194"/>
      <c r="F194" s="939">
        <v>9</v>
      </c>
      <c r="G194" s="938" t="s">
        <v>132</v>
      </c>
      <c r="H194" s="933" t="s">
        <v>421</v>
      </c>
      <c r="I194" s="744" t="e">
        <f>(C74)</f>
        <v>#REF!</v>
      </c>
      <c r="J194" s="779" t="s">
        <v>132</v>
      </c>
      <c r="K194" s="744" t="e">
        <f>(F194*I194)</f>
        <v>#REF!</v>
      </c>
      <c r="N194" s="933" t="s">
        <v>145</v>
      </c>
      <c r="O194" s="933" t="s">
        <v>146</v>
      </c>
      <c r="Q194" s="933" t="s">
        <v>145</v>
      </c>
      <c r="R194" s="939">
        <v>0</v>
      </c>
      <c r="AG194" s="933" t="s">
        <v>120</v>
      </c>
    </row>
    <row r="195" spans="1:33" hidden="1">
      <c r="A195" s="940">
        <f t="shared" si="11"/>
        <v>94</v>
      </c>
      <c r="B195" s="933" t="s">
        <v>422</v>
      </c>
      <c r="C195" s="744">
        <v>100</v>
      </c>
      <c r="D195" s="743" t="s">
        <v>414</v>
      </c>
      <c r="E195"/>
      <c r="F195" s="939">
        <v>4.5</v>
      </c>
      <c r="G195" s="938" t="s">
        <v>132</v>
      </c>
      <c r="H195" s="933" t="s">
        <v>283</v>
      </c>
      <c r="I195" s="744" t="e">
        <f>(K49)</f>
        <v>#REF!</v>
      </c>
      <c r="J195" s="779" t="s">
        <v>132</v>
      </c>
      <c r="K195" s="744" t="e">
        <f>(F195*I195)</f>
        <v>#REF!</v>
      </c>
      <c r="R195" s="935" t="s">
        <v>52</v>
      </c>
      <c r="AG195" s="933" t="s">
        <v>120</v>
      </c>
    </row>
    <row r="196" spans="1:33" hidden="1">
      <c r="A196" s="940">
        <f t="shared" si="11"/>
        <v>95</v>
      </c>
      <c r="B196" s="933" t="s">
        <v>423</v>
      </c>
      <c r="C196" s="744">
        <v>0.25</v>
      </c>
      <c r="D196" s="743" t="s">
        <v>131</v>
      </c>
      <c r="E196"/>
      <c r="F196" s="939">
        <v>1.8</v>
      </c>
      <c r="G196" s="938" t="s">
        <v>131</v>
      </c>
      <c r="H196" s="933" t="s">
        <v>302</v>
      </c>
      <c r="I196" s="744">
        <f>(C11)</f>
        <v>135</v>
      </c>
      <c r="J196" s="779" t="s">
        <v>131</v>
      </c>
      <c r="K196" s="744">
        <f>(F196*I196)</f>
        <v>243</v>
      </c>
      <c r="O196" s="933" t="s">
        <v>311</v>
      </c>
      <c r="R196" s="939" t="e">
        <f>SUM(R144:R194)</f>
        <v>#REF!</v>
      </c>
      <c r="AG196" s="933" t="s">
        <v>120</v>
      </c>
    </row>
    <row r="197" spans="1:33" hidden="1">
      <c r="A197" s="940">
        <f t="shared" si="11"/>
        <v>96</v>
      </c>
      <c r="B197" s="933" t="s">
        <v>424</v>
      </c>
      <c r="C197" s="744">
        <v>22.6</v>
      </c>
      <c r="D197" s="743" t="s">
        <v>425</v>
      </c>
      <c r="E197"/>
      <c r="F197" s="939">
        <v>17.7</v>
      </c>
      <c r="G197" s="938" t="s">
        <v>131</v>
      </c>
      <c r="H197" s="933" t="s">
        <v>304</v>
      </c>
      <c r="I197" s="744">
        <f>(C12)</f>
        <v>95</v>
      </c>
      <c r="J197" s="779" t="s">
        <v>131</v>
      </c>
      <c r="K197" s="744">
        <f>(F197*I197)</f>
        <v>1681.5</v>
      </c>
      <c r="R197" s="935" t="s">
        <v>52</v>
      </c>
      <c r="AG197" s="933" t="s">
        <v>120</v>
      </c>
    </row>
    <row r="198" spans="1:33" hidden="1">
      <c r="A198" s="940">
        <f t="shared" si="11"/>
        <v>97</v>
      </c>
      <c r="B198" s="933" t="s">
        <v>426</v>
      </c>
      <c r="C198" s="744">
        <v>212</v>
      </c>
      <c r="D198" s="743" t="s">
        <v>425</v>
      </c>
      <c r="E198"/>
      <c r="F198" s="939">
        <v>14.1</v>
      </c>
      <c r="G198" s="938" t="s">
        <v>131</v>
      </c>
      <c r="H198" s="933" t="s">
        <v>306</v>
      </c>
      <c r="I198" s="744">
        <f>(C13)</f>
        <v>85</v>
      </c>
      <c r="J198" s="779" t="s">
        <v>131</v>
      </c>
      <c r="K198" s="744">
        <f>(F198*I198)</f>
        <v>1198.5</v>
      </c>
      <c r="O198" s="933" t="s">
        <v>242</v>
      </c>
      <c r="R198" s="939" t="e">
        <f>(R196/10)</f>
        <v>#REF!</v>
      </c>
      <c r="AG198" s="933" t="s">
        <v>120</v>
      </c>
    </row>
    <row r="199" spans="1:33" hidden="1">
      <c r="A199" s="940">
        <f t="shared" si="11"/>
        <v>98</v>
      </c>
      <c r="B199" s="933" t="s">
        <v>427</v>
      </c>
      <c r="C199" s="744">
        <v>85</v>
      </c>
      <c r="D199" s="743" t="s">
        <v>237</v>
      </c>
      <c r="E199"/>
      <c r="G199" s="938" t="s">
        <v>145</v>
      </c>
      <c r="H199" s="933" t="s">
        <v>146</v>
      </c>
      <c r="I199"/>
      <c r="J199" s="779" t="s">
        <v>145</v>
      </c>
      <c r="K199" s="744">
        <v>0</v>
      </c>
      <c r="R199" s="935" t="s">
        <v>89</v>
      </c>
      <c r="AG199" s="933" t="s">
        <v>120</v>
      </c>
    </row>
    <row r="200" spans="1:33" hidden="1">
      <c r="A200" s="940">
        <f t="shared" si="11"/>
        <v>99</v>
      </c>
      <c r="B200" s="933" t="s">
        <v>428</v>
      </c>
      <c r="C200" s="744">
        <v>750</v>
      </c>
      <c r="D200" s="743" t="s">
        <v>237</v>
      </c>
      <c r="E200"/>
      <c r="I200"/>
      <c r="J200" s="805"/>
      <c r="K200" s="776" t="s">
        <v>52</v>
      </c>
      <c r="AG200" s="933" t="s">
        <v>120</v>
      </c>
    </row>
    <row r="201" spans="1:33" hidden="1">
      <c r="A201" s="940">
        <f t="shared" si="11"/>
        <v>100</v>
      </c>
      <c r="B201" s="933" t="s">
        <v>429</v>
      </c>
      <c r="C201" s="744">
        <v>47.2</v>
      </c>
      <c r="D201" s="743" t="s">
        <v>237</v>
      </c>
      <c r="E201"/>
      <c r="I201"/>
      <c r="J201" s="805"/>
      <c r="K201" s="744" t="e">
        <f>SUM(K194:K199)</f>
        <v>#REF!</v>
      </c>
      <c r="N201" s="933" t="s">
        <v>430</v>
      </c>
      <c r="O201" s="933" t="s">
        <v>53</v>
      </c>
      <c r="R201" s="939" t="e">
        <f>(R198+C19)</f>
        <v>#REF!</v>
      </c>
      <c r="AG201" s="933" t="s">
        <v>120</v>
      </c>
    </row>
    <row r="202" spans="1:33" hidden="1">
      <c r="A202" s="940">
        <f t="shared" si="11"/>
        <v>101</v>
      </c>
      <c r="B202" s="933" t="s">
        <v>431</v>
      </c>
      <c r="C202" s="744">
        <v>75</v>
      </c>
      <c r="D202" s="743" t="s">
        <v>237</v>
      </c>
      <c r="E202"/>
      <c r="H202" s="933" t="s">
        <v>311</v>
      </c>
      <c r="I202"/>
      <c r="J202" s="805"/>
      <c r="K202" s="776" t="s">
        <v>52</v>
      </c>
      <c r="N202" s="933" t="s">
        <v>432</v>
      </c>
      <c r="O202" s="933" t="s">
        <v>54</v>
      </c>
      <c r="R202" s="939" t="e">
        <f>(R201+C20)</f>
        <v>#REF!</v>
      </c>
      <c r="AG202" s="933" t="s">
        <v>307</v>
      </c>
    </row>
    <row r="203" spans="1:33" hidden="1">
      <c r="A203" s="940">
        <f t="shared" si="11"/>
        <v>102</v>
      </c>
      <c r="B203" s="933" t="s">
        <v>433</v>
      </c>
      <c r="C203" s="744">
        <v>40</v>
      </c>
      <c r="D203" s="743" t="s">
        <v>237</v>
      </c>
      <c r="E203"/>
      <c r="I203"/>
      <c r="J203" s="805"/>
      <c r="K203" s="744" t="e">
        <f>(K201/10)</f>
        <v>#REF!</v>
      </c>
      <c r="N203" s="933" t="s">
        <v>434</v>
      </c>
      <c r="O203" s="933" t="s">
        <v>55</v>
      </c>
      <c r="R203" s="939" t="e">
        <f>(R202+C21)</f>
        <v>#REF!</v>
      </c>
    </row>
    <row r="204" spans="1:33" hidden="1">
      <c r="A204" s="940">
        <f t="shared" si="11"/>
        <v>103</v>
      </c>
      <c r="B204" s="933" t="s">
        <v>435</v>
      </c>
      <c r="C204" s="744">
        <v>65</v>
      </c>
      <c r="D204" s="743" t="s">
        <v>237</v>
      </c>
      <c r="E204"/>
      <c r="H204" s="933" t="s">
        <v>242</v>
      </c>
      <c r="I204"/>
      <c r="J204" s="805"/>
      <c r="K204" s="776" t="s">
        <v>89</v>
      </c>
      <c r="N204" s="933" t="s">
        <v>436</v>
      </c>
      <c r="O204" s="933" t="s">
        <v>56</v>
      </c>
      <c r="R204" s="939" t="e">
        <f>(R203+C21)</f>
        <v>#REF!</v>
      </c>
    </row>
    <row r="205" spans="1:33" hidden="1">
      <c r="A205" s="940">
        <f t="shared" si="11"/>
        <v>104</v>
      </c>
      <c r="B205" s="933" t="s">
        <v>437</v>
      </c>
      <c r="C205" s="744">
        <v>65</v>
      </c>
      <c r="D205" s="743" t="s">
        <v>237</v>
      </c>
      <c r="E205"/>
      <c r="I205"/>
      <c r="J205" s="805"/>
      <c r="K205"/>
      <c r="AG205" s="933" t="s">
        <v>120</v>
      </c>
    </row>
    <row r="206" spans="1:33" hidden="1">
      <c r="A206" s="940">
        <f t="shared" si="11"/>
        <v>105</v>
      </c>
      <c r="B206" s="933" t="s">
        <v>438</v>
      </c>
      <c r="C206" s="744">
        <v>150</v>
      </c>
      <c r="D206" s="743" t="s">
        <v>439</v>
      </c>
      <c r="E206"/>
      <c r="F206" s="934" t="s">
        <v>440</v>
      </c>
      <c r="G206" s="938" t="s">
        <v>111</v>
      </c>
      <c r="H206" s="933" t="s">
        <v>441</v>
      </c>
      <c r="I206"/>
      <c r="J206" s="805"/>
      <c r="K206"/>
    </row>
    <row r="207" spans="1:33" hidden="1">
      <c r="A207" s="940">
        <f t="shared" si="11"/>
        <v>106</v>
      </c>
      <c r="B207" s="933" t="s">
        <v>442</v>
      </c>
      <c r="C207" s="744">
        <v>100</v>
      </c>
      <c r="D207" s="743" t="s">
        <v>237</v>
      </c>
      <c r="E207"/>
      <c r="H207" s="933" t="s">
        <v>320</v>
      </c>
      <c r="I207"/>
      <c r="J207" s="805"/>
      <c r="K207"/>
      <c r="N207" s="933" t="s">
        <v>443</v>
      </c>
      <c r="O207" s="933" t="s">
        <v>444</v>
      </c>
    </row>
    <row r="208" spans="1:33" hidden="1">
      <c r="C208"/>
      <c r="D208"/>
      <c r="E208"/>
      <c r="H208" s="935" t="s">
        <v>52</v>
      </c>
      <c r="I208"/>
      <c r="J208" s="805"/>
      <c r="K208"/>
      <c r="O208" s="935" t="s">
        <v>52</v>
      </c>
    </row>
    <row r="209" spans="3:18" hidden="1">
      <c r="C209"/>
      <c r="D209"/>
      <c r="E209"/>
      <c r="F209" s="939">
        <v>9</v>
      </c>
      <c r="G209" s="938" t="s">
        <v>132</v>
      </c>
      <c r="H209" s="933" t="s">
        <v>445</v>
      </c>
      <c r="I209" s="744" t="e">
        <f>C73</f>
        <v>#REF!</v>
      </c>
      <c r="J209" s="779" t="s">
        <v>132</v>
      </c>
      <c r="K209" s="744" t="e">
        <f>(F209*I209)</f>
        <v>#REF!</v>
      </c>
      <c r="M209" s="960">
        <v>1.153E-2</v>
      </c>
      <c r="N209" s="933" t="s">
        <v>132</v>
      </c>
      <c r="O209" s="933" t="s">
        <v>446</v>
      </c>
      <c r="P209" s="939">
        <f>C88</f>
        <v>65420</v>
      </c>
      <c r="Q209" s="933" t="s">
        <v>132</v>
      </c>
      <c r="R209" s="939">
        <f t="shared" ref="R209:R218" si="12">(M209*P209)</f>
        <v>754.29</v>
      </c>
    </row>
    <row r="210" spans="3:18" hidden="1">
      <c r="C210"/>
      <c r="D210"/>
      <c r="E210"/>
      <c r="F210" s="939">
        <v>4.5</v>
      </c>
      <c r="G210" s="938" t="s">
        <v>132</v>
      </c>
      <c r="H210" s="933" t="s">
        <v>164</v>
      </c>
      <c r="I210" s="744" t="e">
        <f>K23</f>
        <v>#REF!</v>
      </c>
      <c r="J210" s="779" t="s">
        <v>132</v>
      </c>
      <c r="K210" s="744" t="e">
        <f>(F210*I210)</f>
        <v>#REF!</v>
      </c>
      <c r="M210" s="960">
        <v>1.013E-2</v>
      </c>
      <c r="N210" s="933" t="s">
        <v>132</v>
      </c>
      <c r="O210" s="933" t="s">
        <v>447</v>
      </c>
      <c r="P210" s="939">
        <f>C89</f>
        <v>57165</v>
      </c>
      <c r="Q210" s="933" t="s">
        <v>132</v>
      </c>
      <c r="R210" s="939">
        <f t="shared" si="12"/>
        <v>579.08000000000004</v>
      </c>
    </row>
    <row r="211" spans="3:18" hidden="1">
      <c r="C211"/>
      <c r="D211"/>
      <c r="E211"/>
      <c r="F211" s="939">
        <v>1.8</v>
      </c>
      <c r="G211" s="938" t="s">
        <v>131</v>
      </c>
      <c r="H211" s="933" t="s">
        <v>302</v>
      </c>
      <c r="I211" s="744">
        <f>C11</f>
        <v>135</v>
      </c>
      <c r="J211" s="779" t="s">
        <v>131</v>
      </c>
      <c r="K211" s="744">
        <f>(F211*I211)</f>
        <v>243</v>
      </c>
      <c r="M211" s="960">
        <v>0.77780000000000005</v>
      </c>
      <c r="N211" s="933" t="s">
        <v>425</v>
      </c>
      <c r="O211" s="933" t="s">
        <v>448</v>
      </c>
      <c r="P211" s="939">
        <f>C753</f>
        <v>381.37</v>
      </c>
      <c r="Q211" s="933" t="s">
        <v>425</v>
      </c>
      <c r="R211" s="939">
        <f t="shared" si="12"/>
        <v>296.63</v>
      </c>
    </row>
    <row r="212" spans="3:18" hidden="1">
      <c r="C212"/>
      <c r="D212"/>
      <c r="E212"/>
      <c r="F212" s="939">
        <v>17.7</v>
      </c>
      <c r="G212" s="938" t="s">
        <v>131</v>
      </c>
      <c r="H212" s="933" t="s">
        <v>304</v>
      </c>
      <c r="I212" s="744">
        <f>C12</f>
        <v>95</v>
      </c>
      <c r="J212" s="779" t="s">
        <v>131</v>
      </c>
      <c r="K212" s="744">
        <f>(F212*I212)</f>
        <v>1681.5</v>
      </c>
      <c r="M212" s="960">
        <v>1.23</v>
      </c>
      <c r="N212" s="933" t="s">
        <v>425</v>
      </c>
      <c r="O212" s="933" t="s">
        <v>449</v>
      </c>
      <c r="P212" s="939">
        <f>D30</f>
        <v>287</v>
      </c>
      <c r="Q212" s="933" t="s">
        <v>425</v>
      </c>
      <c r="R212" s="939">
        <f t="shared" si="12"/>
        <v>353.01</v>
      </c>
    </row>
    <row r="213" spans="3:18" hidden="1">
      <c r="C213"/>
      <c r="D213"/>
      <c r="E213"/>
      <c r="F213" s="939">
        <v>14.1</v>
      </c>
      <c r="G213" s="938" t="s">
        <v>131</v>
      </c>
      <c r="H213" s="933" t="s">
        <v>306</v>
      </c>
      <c r="I213" s="744">
        <f>C13</f>
        <v>85</v>
      </c>
      <c r="J213" s="779" t="s">
        <v>131</v>
      </c>
      <c r="K213" s="744">
        <f>(F213*I213)</f>
        <v>1198.5</v>
      </c>
      <c r="M213" s="939">
        <v>2</v>
      </c>
      <c r="N213" s="933" t="s">
        <v>131</v>
      </c>
      <c r="O213" s="933" t="s">
        <v>450</v>
      </c>
      <c r="P213" s="939">
        <f>C283</f>
        <v>30</v>
      </c>
      <c r="Q213" s="933" t="s">
        <v>131</v>
      </c>
      <c r="R213" s="939">
        <f t="shared" si="12"/>
        <v>60</v>
      </c>
    </row>
    <row r="214" spans="3:18" hidden="1">
      <c r="C214"/>
      <c r="D214"/>
      <c r="E214"/>
      <c r="G214" s="938" t="s">
        <v>145</v>
      </c>
      <c r="H214" s="933" t="s">
        <v>146</v>
      </c>
      <c r="I214"/>
      <c r="J214" s="779" t="s">
        <v>145</v>
      </c>
      <c r="K214" s="744">
        <v>0</v>
      </c>
      <c r="M214" s="939">
        <v>3</v>
      </c>
      <c r="N214" s="933" t="s">
        <v>131</v>
      </c>
      <c r="O214" s="933" t="s">
        <v>451</v>
      </c>
      <c r="P214" s="939">
        <f>C278</f>
        <v>45</v>
      </c>
      <c r="Q214" s="933" t="s">
        <v>131</v>
      </c>
      <c r="R214" s="939">
        <f t="shared" si="12"/>
        <v>135</v>
      </c>
    </row>
    <row r="215" spans="3:18" hidden="1">
      <c r="C215"/>
      <c r="D215"/>
      <c r="E215"/>
      <c r="I215"/>
      <c r="J215" s="805"/>
      <c r="K215" s="776" t="s">
        <v>52</v>
      </c>
      <c r="M215" s="939">
        <v>1</v>
      </c>
      <c r="N215" s="933" t="s">
        <v>131</v>
      </c>
      <c r="O215" s="933" t="s">
        <v>452</v>
      </c>
      <c r="P215" s="939">
        <f>C285</f>
        <v>95</v>
      </c>
      <c r="Q215" s="933" t="s">
        <v>131</v>
      </c>
      <c r="R215" s="939">
        <f t="shared" si="12"/>
        <v>95</v>
      </c>
    </row>
    <row r="216" spans="3:18" hidden="1">
      <c r="C216"/>
      <c r="D216"/>
      <c r="E216"/>
      <c r="I216"/>
      <c r="J216" s="805"/>
      <c r="K216" s="744" t="e">
        <f>SUM(K209:K214)</f>
        <v>#REF!</v>
      </c>
      <c r="M216" s="939">
        <v>1</v>
      </c>
      <c r="N216" s="933" t="s">
        <v>131</v>
      </c>
      <c r="O216" s="933" t="s">
        <v>453</v>
      </c>
      <c r="P216" s="939">
        <f>C287</f>
        <v>8</v>
      </c>
      <c r="Q216" s="933" t="s">
        <v>131</v>
      </c>
      <c r="R216" s="939">
        <f t="shared" si="12"/>
        <v>8</v>
      </c>
    </row>
    <row r="217" spans="3:18" hidden="1">
      <c r="C217"/>
      <c r="D217"/>
      <c r="E217"/>
      <c r="H217" s="933" t="s">
        <v>311</v>
      </c>
      <c r="I217"/>
      <c r="J217" s="805"/>
      <c r="K217" s="776" t="s">
        <v>52</v>
      </c>
      <c r="M217" s="939">
        <v>1</v>
      </c>
      <c r="N217" s="933" t="s">
        <v>131</v>
      </c>
      <c r="O217" s="933" t="s">
        <v>454</v>
      </c>
      <c r="P217" s="939">
        <f>C576</f>
        <v>30</v>
      </c>
      <c r="Q217" s="933" t="s">
        <v>131</v>
      </c>
      <c r="R217" s="939">
        <f t="shared" si="12"/>
        <v>30</v>
      </c>
    </row>
    <row r="218" spans="3:18" hidden="1">
      <c r="C218"/>
      <c r="D218"/>
      <c r="E218"/>
      <c r="I218"/>
      <c r="J218" s="805"/>
      <c r="K218" s="744" t="e">
        <f>(K216/10)</f>
        <v>#REF!</v>
      </c>
      <c r="M218" s="939">
        <v>1</v>
      </c>
      <c r="N218" s="933" t="s">
        <v>131</v>
      </c>
      <c r="O218" s="933" t="s">
        <v>455</v>
      </c>
      <c r="P218" s="939">
        <f>D576</f>
        <v>25</v>
      </c>
      <c r="Q218" s="933" t="s">
        <v>131</v>
      </c>
      <c r="R218" s="939">
        <f t="shared" si="12"/>
        <v>25</v>
      </c>
    </row>
    <row r="219" spans="3:18" hidden="1">
      <c r="C219"/>
      <c r="D219"/>
      <c r="E219"/>
      <c r="H219" s="933" t="s">
        <v>242</v>
      </c>
      <c r="I219"/>
      <c r="J219" s="805"/>
      <c r="K219" s="776" t="s">
        <v>89</v>
      </c>
      <c r="R219" s="935" t="s">
        <v>52</v>
      </c>
    </row>
    <row r="220" spans="3:18" hidden="1">
      <c r="C220"/>
      <c r="D220"/>
      <c r="E220"/>
      <c r="I220"/>
      <c r="J220" s="805"/>
      <c r="K220"/>
      <c r="O220" s="934" t="s">
        <v>456</v>
      </c>
      <c r="R220" s="939">
        <f>SUM(R209:R218)</f>
        <v>2336.0100000000002</v>
      </c>
    </row>
    <row r="221" spans="3:18" hidden="1">
      <c r="C221"/>
      <c r="D221"/>
      <c r="E221"/>
      <c r="F221" s="934" t="s">
        <v>457</v>
      </c>
      <c r="G221" s="938" t="s">
        <v>111</v>
      </c>
      <c r="H221" s="933" t="s">
        <v>458</v>
      </c>
      <c r="I221"/>
      <c r="J221" s="805"/>
      <c r="K221"/>
      <c r="N221" s="933" t="s">
        <v>85</v>
      </c>
      <c r="R221" s="935" t="s">
        <v>52</v>
      </c>
    </row>
    <row r="222" spans="3:18" hidden="1">
      <c r="C222"/>
      <c r="D222"/>
      <c r="E222"/>
      <c r="H222" s="933" t="s">
        <v>459</v>
      </c>
      <c r="I222"/>
      <c r="J222" s="805"/>
      <c r="K222"/>
      <c r="M222" s="933" t="s">
        <v>85</v>
      </c>
    </row>
    <row r="223" spans="3:18" hidden="1">
      <c r="C223"/>
      <c r="D223"/>
      <c r="E223"/>
      <c r="H223" s="935" t="s">
        <v>52</v>
      </c>
      <c r="I223"/>
      <c r="J223" s="805"/>
      <c r="K223"/>
      <c r="O223" s="934" t="s">
        <v>460</v>
      </c>
      <c r="R223" s="939">
        <f>R220/M212</f>
        <v>1899.2</v>
      </c>
    </row>
    <row r="224" spans="3:18" hidden="1">
      <c r="C224"/>
      <c r="D224"/>
      <c r="E224"/>
      <c r="F224" s="939">
        <v>9</v>
      </c>
      <c r="G224" s="938" t="s">
        <v>132</v>
      </c>
      <c r="H224" s="933" t="s">
        <v>461</v>
      </c>
      <c r="I224" s="744" t="e">
        <f>AC20</f>
        <v>#REF!</v>
      </c>
      <c r="J224" s="779" t="s">
        <v>132</v>
      </c>
      <c r="K224" s="744" t="e">
        <f>(F224*I224)</f>
        <v>#REF!</v>
      </c>
      <c r="M224" s="933" t="s">
        <v>307</v>
      </c>
    </row>
    <row r="225" spans="3:11" hidden="1">
      <c r="C225"/>
      <c r="D225"/>
      <c r="E225"/>
      <c r="F225" s="939">
        <v>4.5</v>
      </c>
      <c r="G225" s="938" t="s">
        <v>132</v>
      </c>
      <c r="H225" s="933" t="s">
        <v>300</v>
      </c>
      <c r="I225" s="744" t="e">
        <f>K77</f>
        <v>#REF!</v>
      </c>
      <c r="J225" s="779" t="s">
        <v>132</v>
      </c>
      <c r="K225" s="744" t="e">
        <f>(F225*I225)</f>
        <v>#REF!</v>
      </c>
    </row>
    <row r="226" spans="3:11" hidden="1">
      <c r="C226"/>
      <c r="D226"/>
      <c r="E226"/>
      <c r="F226" s="939">
        <v>1.8</v>
      </c>
      <c r="G226" s="938" t="s">
        <v>131</v>
      </c>
      <c r="H226" s="933" t="s">
        <v>302</v>
      </c>
      <c r="I226" s="744">
        <f>C11</f>
        <v>135</v>
      </c>
      <c r="J226" s="779" t="s">
        <v>131</v>
      </c>
      <c r="K226" s="744">
        <f>(F226*I226)</f>
        <v>243</v>
      </c>
    </row>
    <row r="227" spans="3:11" hidden="1">
      <c r="C227"/>
      <c r="D227"/>
      <c r="E227"/>
      <c r="F227" s="939">
        <v>17.7</v>
      </c>
      <c r="G227" s="938" t="s">
        <v>131</v>
      </c>
      <c r="H227" s="933" t="s">
        <v>304</v>
      </c>
      <c r="I227" s="744">
        <f>C12</f>
        <v>95</v>
      </c>
      <c r="J227" s="779" t="s">
        <v>131</v>
      </c>
      <c r="K227" s="744">
        <f>(F227*I227)</f>
        <v>1681.5</v>
      </c>
    </row>
    <row r="228" spans="3:11" hidden="1">
      <c r="C228"/>
      <c r="D228"/>
      <c r="E228"/>
      <c r="F228" s="939">
        <v>14.1</v>
      </c>
      <c r="G228" s="938" t="s">
        <v>131</v>
      </c>
      <c r="H228" s="933" t="s">
        <v>306</v>
      </c>
      <c r="I228" s="744">
        <f>C13</f>
        <v>85</v>
      </c>
      <c r="J228" s="779" t="s">
        <v>131</v>
      </c>
      <c r="K228" s="744">
        <f>(F228*I228)</f>
        <v>1198.5</v>
      </c>
    </row>
    <row r="229" spans="3:11" hidden="1">
      <c r="C229"/>
      <c r="D229"/>
      <c r="E229"/>
      <c r="G229" s="938" t="s">
        <v>145</v>
      </c>
      <c r="H229" s="933" t="s">
        <v>146</v>
      </c>
      <c r="I229"/>
      <c r="J229" s="779" t="s">
        <v>145</v>
      </c>
      <c r="K229" s="744">
        <v>0</v>
      </c>
    </row>
    <row r="230" spans="3:11" hidden="1">
      <c r="C230"/>
      <c r="D230"/>
      <c r="E230"/>
      <c r="I230"/>
      <c r="J230" s="805"/>
      <c r="K230" s="776" t="s">
        <v>52</v>
      </c>
    </row>
    <row r="231" spans="3:11" hidden="1">
      <c r="C231"/>
      <c r="D231"/>
      <c r="E231"/>
      <c r="I231"/>
      <c r="J231" s="805"/>
      <c r="K231" s="744" t="e">
        <f>SUM(K224:K229)</f>
        <v>#REF!</v>
      </c>
    </row>
    <row r="232" spans="3:11" hidden="1">
      <c r="C232"/>
      <c r="D232"/>
      <c r="E232"/>
      <c r="H232" s="933" t="s">
        <v>311</v>
      </c>
      <c r="I232"/>
      <c r="J232" s="805"/>
      <c r="K232" s="776" t="s">
        <v>52</v>
      </c>
    </row>
    <row r="233" spans="3:11" hidden="1">
      <c r="C233"/>
      <c r="D233"/>
      <c r="E233"/>
      <c r="I233"/>
      <c r="J233" s="805"/>
      <c r="K233" s="744" t="e">
        <f>(K231/10)</f>
        <v>#REF!</v>
      </c>
    </row>
    <row r="234" spans="3:11" hidden="1">
      <c r="C234"/>
      <c r="D234"/>
      <c r="E234"/>
      <c r="H234" s="933" t="s">
        <v>242</v>
      </c>
      <c r="I234"/>
      <c r="J234" s="805"/>
      <c r="K234" s="776" t="s">
        <v>89</v>
      </c>
    </row>
    <row r="235" spans="3:11" hidden="1">
      <c r="C235"/>
      <c r="D235"/>
      <c r="E235"/>
      <c r="I235"/>
      <c r="J235" s="805"/>
      <c r="K235"/>
    </row>
    <row r="236" spans="3:11" hidden="1">
      <c r="C236"/>
      <c r="D236"/>
      <c r="E236"/>
      <c r="I236"/>
      <c r="J236" s="805"/>
      <c r="K236"/>
    </row>
    <row r="237" spans="3:11" hidden="1">
      <c r="C237"/>
      <c r="D237"/>
      <c r="E237"/>
      <c r="F237" s="948">
        <v>3.6</v>
      </c>
      <c r="H237" s="933" t="s">
        <v>462</v>
      </c>
      <c r="I237"/>
      <c r="J237" s="805"/>
      <c r="K237"/>
    </row>
    <row r="238" spans="3:11" hidden="1">
      <c r="C238"/>
      <c r="D238"/>
      <c r="E238"/>
      <c r="H238" s="933" t="s">
        <v>463</v>
      </c>
      <c r="I238"/>
      <c r="J238" s="805"/>
      <c r="K238"/>
    </row>
    <row r="239" spans="3:11" hidden="1">
      <c r="C239"/>
      <c r="D239"/>
      <c r="E239"/>
      <c r="H239" s="935" t="s">
        <v>89</v>
      </c>
      <c r="I239"/>
      <c r="J239" s="805"/>
      <c r="K239"/>
    </row>
    <row r="240" spans="3:11" hidden="1">
      <c r="C240"/>
      <c r="D240"/>
      <c r="E240"/>
      <c r="F240" s="939">
        <v>1.25</v>
      </c>
      <c r="G240" s="938" t="s">
        <v>34</v>
      </c>
      <c r="H240" s="933" t="s">
        <v>464</v>
      </c>
      <c r="I240" s="744">
        <f>C783</f>
        <v>3.05</v>
      </c>
      <c r="J240" s="779" t="s">
        <v>34</v>
      </c>
      <c r="K240" s="744">
        <f>(F240*I240)</f>
        <v>3.81</v>
      </c>
    </row>
    <row r="241" spans="3:11" hidden="1">
      <c r="C241"/>
      <c r="D241"/>
      <c r="E241"/>
      <c r="F241" s="939">
        <v>0.75</v>
      </c>
      <c r="G241" s="938" t="s">
        <v>34</v>
      </c>
      <c r="H241" s="933" t="s">
        <v>465</v>
      </c>
      <c r="I241" s="744" t="e">
        <f>AC37</f>
        <v>#REF!</v>
      </c>
      <c r="J241" s="779" t="s">
        <v>34</v>
      </c>
      <c r="K241" s="744" t="e">
        <f>(F241*I241)</f>
        <v>#REF!</v>
      </c>
    </row>
    <row r="242" spans="3:11" hidden="1">
      <c r="C242"/>
      <c r="D242"/>
      <c r="E242"/>
      <c r="F242" s="939">
        <v>0.5</v>
      </c>
      <c r="G242" s="938" t="s">
        <v>34</v>
      </c>
      <c r="H242" s="933" t="s">
        <v>466</v>
      </c>
      <c r="I242" s="744" t="e">
        <f>AC36</f>
        <v>#REF!</v>
      </c>
      <c r="J242" s="779" t="s">
        <v>34</v>
      </c>
      <c r="K242" s="744" t="e">
        <f>(F242*I242)</f>
        <v>#REF!</v>
      </c>
    </row>
    <row r="243" spans="3:11" hidden="1">
      <c r="C243"/>
      <c r="D243"/>
      <c r="E243"/>
      <c r="F243" s="939">
        <v>0.45</v>
      </c>
      <c r="G243" s="938" t="s">
        <v>34</v>
      </c>
      <c r="H243" s="933" t="s">
        <v>467</v>
      </c>
      <c r="I243" s="744">
        <f>AC38</f>
        <v>169</v>
      </c>
      <c r="J243" s="779" t="s">
        <v>34</v>
      </c>
      <c r="K243" s="744">
        <f>(F243*I243)</f>
        <v>76.05</v>
      </c>
    </row>
    <row r="244" spans="3:11" hidden="1">
      <c r="C244"/>
      <c r="D244"/>
      <c r="E244"/>
      <c r="F244" s="939">
        <v>10</v>
      </c>
      <c r="G244" s="938" t="s">
        <v>468</v>
      </c>
      <c r="H244" s="933" t="s">
        <v>469</v>
      </c>
      <c r="I244" s="744">
        <v>17.82</v>
      </c>
      <c r="J244" s="779" t="s">
        <v>468</v>
      </c>
      <c r="K244" s="744">
        <f>(F244*I244)</f>
        <v>178.2</v>
      </c>
    </row>
    <row r="245" spans="3:11" hidden="1">
      <c r="C245"/>
      <c r="D245"/>
      <c r="E245"/>
      <c r="H245" s="933" t="s">
        <v>470</v>
      </c>
      <c r="I245"/>
      <c r="J245" s="805"/>
      <c r="K245" s="776" t="s">
        <v>52</v>
      </c>
    </row>
    <row r="246" spans="3:11" hidden="1">
      <c r="C246"/>
      <c r="D246"/>
      <c r="E246"/>
      <c r="H246" s="933" t="s">
        <v>471</v>
      </c>
      <c r="I246"/>
      <c r="J246" s="805"/>
      <c r="K246" s="744" t="e">
        <f>SUM(K240:K244)</f>
        <v>#REF!</v>
      </c>
    </row>
    <row r="247" spans="3:11" hidden="1">
      <c r="C247"/>
      <c r="D247"/>
      <c r="E247"/>
      <c r="I247"/>
      <c r="J247" s="805"/>
      <c r="K247" s="776" t="s">
        <v>52</v>
      </c>
    </row>
    <row r="248" spans="3:11" hidden="1">
      <c r="C248"/>
      <c r="D248"/>
      <c r="E248"/>
      <c r="H248" s="933" t="s">
        <v>472</v>
      </c>
      <c r="I248"/>
      <c r="J248" s="805"/>
      <c r="K248" s="744" t="e">
        <f>K246/10</f>
        <v>#REF!</v>
      </c>
    </row>
    <row r="249" spans="3:11" hidden="1">
      <c r="C249"/>
      <c r="D249"/>
      <c r="E249"/>
      <c r="I249"/>
      <c r="J249" s="805"/>
      <c r="K249" s="776" t="s">
        <v>89</v>
      </c>
    </row>
    <row r="250" spans="3:11" hidden="1">
      <c r="C250"/>
      <c r="D250"/>
      <c r="E250"/>
      <c r="I250"/>
      <c r="J250" s="805"/>
      <c r="K250"/>
    </row>
    <row r="251" spans="3:11" hidden="1">
      <c r="C251"/>
      <c r="D251"/>
      <c r="E251"/>
      <c r="F251" s="948">
        <v>3.7</v>
      </c>
      <c r="H251" s="933" t="s">
        <v>473</v>
      </c>
      <c r="I251"/>
      <c r="J251" s="805"/>
      <c r="K251"/>
    </row>
    <row r="252" spans="3:11" hidden="1">
      <c r="C252"/>
      <c r="D252"/>
      <c r="E252"/>
      <c r="H252" s="935" t="s">
        <v>52</v>
      </c>
      <c r="I252"/>
      <c r="J252" s="805"/>
      <c r="K252"/>
    </row>
    <row r="253" spans="3:11" hidden="1">
      <c r="C253"/>
      <c r="D253"/>
      <c r="E253"/>
      <c r="F253" s="939">
        <v>2.7</v>
      </c>
      <c r="G253" s="938" t="s">
        <v>34</v>
      </c>
      <c r="H253" s="933" t="s">
        <v>474</v>
      </c>
      <c r="I253" s="744" t="e">
        <f>AC35</f>
        <v>#REF!</v>
      </c>
      <c r="J253" s="779" t="s">
        <v>34</v>
      </c>
      <c r="K253" s="744" t="e">
        <f>(F253*I253)</f>
        <v>#REF!</v>
      </c>
    </row>
    <row r="254" spans="3:11" hidden="1">
      <c r="C254"/>
      <c r="D254"/>
      <c r="E254"/>
      <c r="F254" s="959">
        <v>0.14499999999999999</v>
      </c>
      <c r="G254" s="938" t="s">
        <v>34</v>
      </c>
      <c r="H254" s="933" t="s">
        <v>475</v>
      </c>
      <c r="I254" s="744" t="e">
        <f>AC17</f>
        <v>#REF!</v>
      </c>
      <c r="J254" s="779" t="s">
        <v>34</v>
      </c>
      <c r="K254" s="744" t="e">
        <f>(F254*I254)</f>
        <v>#REF!</v>
      </c>
    </row>
    <row r="255" spans="3:11" hidden="1">
      <c r="C255"/>
      <c r="D255"/>
      <c r="E255"/>
      <c r="F255" s="939">
        <v>218.8</v>
      </c>
      <c r="G255" s="938" t="s">
        <v>476</v>
      </c>
      <c r="H255" s="933" t="s">
        <v>477</v>
      </c>
      <c r="I255" s="744">
        <v>12224.58</v>
      </c>
      <c r="J255" s="779" t="s">
        <v>476</v>
      </c>
      <c r="K255" s="744">
        <f>(F255*I255)/1000</f>
        <v>2674.74</v>
      </c>
    </row>
    <row r="256" spans="3:11" hidden="1">
      <c r="C256"/>
      <c r="D256"/>
      <c r="E256"/>
      <c r="F256" s="939">
        <v>100</v>
      </c>
      <c r="G256" s="938" t="s">
        <v>468</v>
      </c>
      <c r="H256" s="933" t="s">
        <v>478</v>
      </c>
      <c r="I256" s="744">
        <v>14.3</v>
      </c>
      <c r="J256" s="779" t="s">
        <v>468</v>
      </c>
      <c r="K256" s="744">
        <f>(F256*I256)</f>
        <v>1430</v>
      </c>
    </row>
    <row r="257" spans="1:33" hidden="1">
      <c r="C257"/>
      <c r="D257"/>
      <c r="E257"/>
      <c r="I257"/>
      <c r="J257" s="805"/>
      <c r="K257" s="776" t="s">
        <v>52</v>
      </c>
    </row>
    <row r="258" spans="1:33" hidden="1">
      <c r="C258"/>
      <c r="D258"/>
      <c r="E258"/>
      <c r="H258" s="933" t="s">
        <v>479</v>
      </c>
      <c r="I258"/>
      <c r="J258" s="805"/>
      <c r="K258" s="744" t="e">
        <f>SUM(K253:K256)</f>
        <v>#REF!</v>
      </c>
    </row>
    <row r="259" spans="1:33" hidden="1">
      <c r="C259"/>
      <c r="D259"/>
      <c r="E259"/>
      <c r="I259"/>
      <c r="J259" s="805"/>
      <c r="K259" s="776" t="s">
        <v>52</v>
      </c>
    </row>
    <row r="260" spans="1:33" hidden="1">
      <c r="C260"/>
      <c r="D260"/>
      <c r="E260"/>
      <c r="H260" s="933" t="s">
        <v>472</v>
      </c>
      <c r="I260"/>
      <c r="J260" s="805"/>
      <c r="K260" s="744" t="e">
        <f>K258/100</f>
        <v>#REF!</v>
      </c>
    </row>
    <row r="261" spans="1:33" hidden="1">
      <c r="C261"/>
      <c r="D261"/>
      <c r="E261"/>
      <c r="F261" s="933" t="s">
        <v>85</v>
      </c>
      <c r="G261" s="938" t="s">
        <v>85</v>
      </c>
      <c r="I261"/>
      <c r="J261" s="805"/>
      <c r="K261" s="776" t="s">
        <v>89</v>
      </c>
    </row>
    <row r="262" spans="1:33" hidden="1">
      <c r="C262"/>
      <c r="D262"/>
      <c r="E262"/>
      <c r="I262"/>
      <c r="J262" s="805"/>
      <c r="K262"/>
    </row>
    <row r="263" spans="1:33" hidden="1">
      <c r="C263"/>
      <c r="D263"/>
      <c r="E263"/>
      <c r="I263"/>
      <c r="J263" s="805"/>
      <c r="K263"/>
    </row>
    <row r="264" spans="1:33" hidden="1">
      <c r="A264" s="940">
        <f>(A205+1)</f>
        <v>105</v>
      </c>
      <c r="B264" s="933" t="s">
        <v>480</v>
      </c>
      <c r="C264" s="744">
        <v>50.5</v>
      </c>
      <c r="D264" s="743" t="s">
        <v>237</v>
      </c>
      <c r="E264"/>
      <c r="F264" s="934" t="s">
        <v>481</v>
      </c>
      <c r="H264" s="933" t="s">
        <v>482</v>
      </c>
      <c r="I264"/>
      <c r="J264" s="805"/>
      <c r="K264"/>
      <c r="N264" s="933" t="s">
        <v>483</v>
      </c>
      <c r="O264" s="933" t="s">
        <v>484</v>
      </c>
      <c r="AG264" s="933" t="s">
        <v>120</v>
      </c>
    </row>
    <row r="265" spans="1:33" hidden="1">
      <c r="A265" s="940">
        <f t="shared" ref="A265:A279" si="13">(A264+1)</f>
        <v>106</v>
      </c>
      <c r="B265" s="933" t="s">
        <v>485</v>
      </c>
      <c r="C265" s="744">
        <v>115</v>
      </c>
      <c r="D265" s="743" t="s">
        <v>237</v>
      </c>
      <c r="E265"/>
      <c r="H265" s="935" t="s">
        <v>89</v>
      </c>
      <c r="I265"/>
      <c r="J265" s="805"/>
      <c r="K265"/>
      <c r="O265" s="935" t="s">
        <v>52</v>
      </c>
      <c r="AG265" s="933" t="s">
        <v>120</v>
      </c>
    </row>
    <row r="266" spans="1:33" hidden="1">
      <c r="A266" s="940">
        <f t="shared" si="13"/>
        <v>107</v>
      </c>
      <c r="B266" s="933" t="s">
        <v>486</v>
      </c>
      <c r="C266" s="744">
        <v>63</v>
      </c>
      <c r="D266" s="744">
        <v>90</v>
      </c>
      <c r="E266"/>
      <c r="G266" s="938" t="s">
        <v>111</v>
      </c>
      <c r="H266" s="933" t="s">
        <v>487</v>
      </c>
      <c r="I266"/>
      <c r="J266" s="805"/>
      <c r="K266"/>
      <c r="M266" s="939">
        <v>1.1399999999999999</v>
      </c>
      <c r="N266" s="933" t="s">
        <v>132</v>
      </c>
      <c r="O266" s="933" t="s">
        <v>488</v>
      </c>
      <c r="P266" s="939" t="e">
        <f>(K419)</f>
        <v>#REF!</v>
      </c>
      <c r="Q266" s="933" t="s">
        <v>131</v>
      </c>
      <c r="R266" s="939" t="e">
        <f>(M266*P266)</f>
        <v>#REF!</v>
      </c>
      <c r="AG266" s="933" t="s">
        <v>120</v>
      </c>
    </row>
    <row r="267" spans="1:33" hidden="1">
      <c r="A267" s="940">
        <f t="shared" si="13"/>
        <v>108</v>
      </c>
      <c r="B267" s="933" t="s">
        <v>489</v>
      </c>
      <c r="C267" s="744">
        <v>10705</v>
      </c>
      <c r="D267" s="743" t="s">
        <v>132</v>
      </c>
      <c r="E267"/>
      <c r="H267" s="933" t="s">
        <v>490</v>
      </c>
      <c r="I267"/>
      <c r="J267" s="805"/>
      <c r="K267"/>
      <c r="M267" s="939">
        <v>1</v>
      </c>
      <c r="N267" s="933" t="s">
        <v>237</v>
      </c>
      <c r="O267" s="933" t="s">
        <v>345</v>
      </c>
      <c r="P267" s="939">
        <f>(C10)</f>
        <v>150</v>
      </c>
      <c r="Q267" s="933" t="s">
        <v>131</v>
      </c>
      <c r="R267" s="939">
        <f>(M267*P267)</f>
        <v>150</v>
      </c>
      <c r="AG267" s="933" t="s">
        <v>120</v>
      </c>
    </row>
    <row r="268" spans="1:33" hidden="1">
      <c r="A268" s="940">
        <f t="shared" si="13"/>
        <v>109</v>
      </c>
      <c r="B268" s="933" t="s">
        <v>491</v>
      </c>
      <c r="C268" s="744">
        <v>9395</v>
      </c>
      <c r="D268" s="743" t="s">
        <v>132</v>
      </c>
      <c r="E268"/>
      <c r="H268" s="935" t="s">
        <v>52</v>
      </c>
      <c r="I268"/>
      <c r="J268" s="805"/>
      <c r="K268"/>
      <c r="N268" s="933" t="s">
        <v>145</v>
      </c>
      <c r="O268" s="933" t="s">
        <v>146</v>
      </c>
      <c r="P268" s="933" t="s">
        <v>85</v>
      </c>
      <c r="Q268" s="933" t="s">
        <v>145</v>
      </c>
      <c r="R268" s="939">
        <v>0.05</v>
      </c>
      <c r="AG268" s="933" t="s">
        <v>120</v>
      </c>
    </row>
    <row r="269" spans="1:33" hidden="1">
      <c r="A269" s="940">
        <f t="shared" si="13"/>
        <v>110</v>
      </c>
      <c r="B269" s="933" t="s">
        <v>492</v>
      </c>
      <c r="C269" s="744">
        <v>15</v>
      </c>
      <c r="D269" s="743" t="s">
        <v>237</v>
      </c>
      <c r="E269"/>
      <c r="F269" s="939">
        <v>9</v>
      </c>
      <c r="G269" s="938" t="s">
        <v>132</v>
      </c>
      <c r="H269" s="933" t="s">
        <v>493</v>
      </c>
      <c r="I269" s="744" t="e">
        <f>(C73)</f>
        <v>#REF!</v>
      </c>
      <c r="J269" s="779" t="s">
        <v>132</v>
      </c>
      <c r="K269" s="744" t="e">
        <f t="shared" ref="K269:K274" si="14">(F269*I269)</f>
        <v>#REF!</v>
      </c>
      <c r="R269" s="935" t="s">
        <v>52</v>
      </c>
      <c r="AG269" s="933" t="s">
        <v>120</v>
      </c>
    </row>
    <row r="270" spans="1:33" hidden="1">
      <c r="A270" s="940">
        <f t="shared" si="13"/>
        <v>111</v>
      </c>
      <c r="B270" s="933" t="s">
        <v>494</v>
      </c>
      <c r="C270" s="744">
        <v>35</v>
      </c>
      <c r="D270" s="743" t="s">
        <v>39</v>
      </c>
      <c r="E270" s="961">
        <v>120</v>
      </c>
      <c r="F270" s="941">
        <v>3.2309999999999999</v>
      </c>
      <c r="G270" s="938" t="s">
        <v>122</v>
      </c>
      <c r="H270" s="933" t="s">
        <v>123</v>
      </c>
      <c r="I270" s="744">
        <f>(C67)</f>
        <v>3800</v>
      </c>
      <c r="J270" s="779" t="s">
        <v>122</v>
      </c>
      <c r="K270" s="744">
        <f t="shared" si="14"/>
        <v>12277.8</v>
      </c>
      <c r="O270" s="933" t="s">
        <v>495</v>
      </c>
      <c r="R270" s="939" t="e">
        <f>SUM(R266:R268)</f>
        <v>#REF!</v>
      </c>
      <c r="AG270" s="933" t="s">
        <v>120</v>
      </c>
    </row>
    <row r="271" spans="1:33" hidden="1">
      <c r="A271" s="940">
        <f t="shared" si="13"/>
        <v>112</v>
      </c>
      <c r="B271" s="933" t="s">
        <v>496</v>
      </c>
      <c r="C271" s="744">
        <v>160</v>
      </c>
      <c r="D271" s="744">
        <v>452.09</v>
      </c>
      <c r="E271"/>
      <c r="F271" s="939">
        <v>4.5</v>
      </c>
      <c r="G271" s="938" t="s">
        <v>132</v>
      </c>
      <c r="H271" s="933" t="s">
        <v>133</v>
      </c>
      <c r="I271" s="744" t="e">
        <f>(C78)</f>
        <v>#REF!</v>
      </c>
      <c r="J271" s="779" t="s">
        <v>132</v>
      </c>
      <c r="K271" s="744" t="e">
        <f t="shared" si="14"/>
        <v>#REF!</v>
      </c>
      <c r="R271" s="935" t="s">
        <v>52</v>
      </c>
      <c r="AG271" s="933" t="s">
        <v>120</v>
      </c>
    </row>
    <row r="272" spans="1:33" hidden="1">
      <c r="A272" s="940">
        <f t="shared" si="13"/>
        <v>113</v>
      </c>
      <c r="B272" s="933" t="s">
        <v>497</v>
      </c>
      <c r="C272" s="744">
        <v>13.5</v>
      </c>
      <c r="D272" s="743" t="s">
        <v>282</v>
      </c>
      <c r="E272"/>
      <c r="F272" s="939">
        <v>3.5</v>
      </c>
      <c r="G272" s="938" t="s">
        <v>131</v>
      </c>
      <c r="H272" s="933" t="s">
        <v>302</v>
      </c>
      <c r="I272" s="744">
        <f>(C11)</f>
        <v>135</v>
      </c>
      <c r="J272" s="779" t="s">
        <v>131</v>
      </c>
      <c r="K272" s="744">
        <f t="shared" si="14"/>
        <v>472.5</v>
      </c>
      <c r="O272" s="933" t="s">
        <v>460</v>
      </c>
      <c r="R272" s="939" t="e">
        <f>(R270/10)</f>
        <v>#REF!</v>
      </c>
      <c r="AG272" s="933" t="s">
        <v>120</v>
      </c>
    </row>
    <row r="273" spans="1:33" hidden="1">
      <c r="A273" s="940">
        <f t="shared" si="13"/>
        <v>114</v>
      </c>
      <c r="B273" s="933" t="s">
        <v>498</v>
      </c>
      <c r="C273" s="744">
        <v>18.809999999999999</v>
      </c>
      <c r="D273" s="743" t="s">
        <v>237</v>
      </c>
      <c r="E273"/>
      <c r="F273" s="939">
        <v>21.2</v>
      </c>
      <c r="G273" s="938" t="s">
        <v>131</v>
      </c>
      <c r="H273" s="933" t="s">
        <v>304</v>
      </c>
      <c r="I273" s="744">
        <f>(C12)</f>
        <v>95</v>
      </c>
      <c r="J273" s="779" t="s">
        <v>131</v>
      </c>
      <c r="K273" s="744">
        <f t="shared" si="14"/>
        <v>2014</v>
      </c>
      <c r="R273" s="935" t="s">
        <v>89</v>
      </c>
      <c r="AG273" s="933" t="s">
        <v>120</v>
      </c>
    </row>
    <row r="274" spans="1:33" hidden="1">
      <c r="A274" s="940">
        <f t="shared" si="13"/>
        <v>115</v>
      </c>
      <c r="B274" s="933" t="s">
        <v>499</v>
      </c>
      <c r="C274" s="744">
        <v>14.15</v>
      </c>
      <c r="D274" s="743" t="s">
        <v>237</v>
      </c>
      <c r="E274"/>
      <c r="F274" s="939">
        <v>35.299999999999997</v>
      </c>
      <c r="G274" s="938" t="s">
        <v>131</v>
      </c>
      <c r="H274" s="933" t="s">
        <v>306</v>
      </c>
      <c r="I274" s="744">
        <f>(C13)</f>
        <v>85</v>
      </c>
      <c r="J274" s="779" t="s">
        <v>131</v>
      </c>
      <c r="K274" s="744">
        <f t="shared" si="14"/>
        <v>3000.5</v>
      </c>
      <c r="N274" s="933" t="s">
        <v>500</v>
      </c>
      <c r="O274" s="933" t="s">
        <v>53</v>
      </c>
      <c r="R274" s="939" t="e">
        <f>(R272+C19/10*M266)</f>
        <v>#REF!</v>
      </c>
      <c r="AG274" s="933" t="s">
        <v>120</v>
      </c>
    </row>
    <row r="275" spans="1:33" hidden="1">
      <c r="A275" s="940">
        <f t="shared" si="13"/>
        <v>116</v>
      </c>
      <c r="B275" s="933" t="s">
        <v>501</v>
      </c>
      <c r="C275" s="744">
        <v>16.440000000000001</v>
      </c>
      <c r="D275" s="743" t="s">
        <v>237</v>
      </c>
      <c r="E275"/>
      <c r="G275" s="938" t="s">
        <v>145</v>
      </c>
      <c r="H275" s="933" t="s">
        <v>146</v>
      </c>
      <c r="I275" s="743" t="s">
        <v>85</v>
      </c>
      <c r="J275" s="779" t="s">
        <v>145</v>
      </c>
      <c r="K275" s="744">
        <v>0</v>
      </c>
      <c r="N275" s="933" t="s">
        <v>502</v>
      </c>
      <c r="O275" s="933" t="s">
        <v>54</v>
      </c>
      <c r="R275" s="939" t="e">
        <f>(R274+C20/10*M266)</f>
        <v>#REF!</v>
      </c>
      <c r="AG275" s="933" t="s">
        <v>120</v>
      </c>
    </row>
    <row r="276" spans="1:33" hidden="1">
      <c r="A276" s="940">
        <f t="shared" si="13"/>
        <v>117</v>
      </c>
      <c r="B276" s="933" t="s">
        <v>503</v>
      </c>
      <c r="C276" s="744">
        <v>8</v>
      </c>
      <c r="D276" s="744">
        <v>6.25</v>
      </c>
      <c r="E276"/>
      <c r="I276"/>
      <c r="J276" s="805"/>
      <c r="K276" s="776" t="s">
        <v>52</v>
      </c>
      <c r="N276" s="933" t="s">
        <v>504</v>
      </c>
      <c r="O276" s="933" t="s">
        <v>55</v>
      </c>
      <c r="R276" s="939" t="e">
        <f>(R275+C21/10*M266)</f>
        <v>#REF!</v>
      </c>
      <c r="AG276" s="933" t="s">
        <v>120</v>
      </c>
    </row>
    <row r="277" spans="1:33" hidden="1">
      <c r="A277" s="940">
        <f t="shared" si="13"/>
        <v>118</v>
      </c>
      <c r="B277" s="933" t="s">
        <v>505</v>
      </c>
      <c r="C277" s="744">
        <v>170.39</v>
      </c>
      <c r="D277" s="743" t="s">
        <v>425</v>
      </c>
      <c r="E277"/>
      <c r="H277" s="933" t="s">
        <v>506</v>
      </c>
      <c r="I277"/>
      <c r="J277" s="805"/>
      <c r="K277" s="744" t="e">
        <f>SUM(K269:K275)</f>
        <v>#REF!</v>
      </c>
      <c r="N277" s="933" t="s">
        <v>507</v>
      </c>
      <c r="O277" s="933" t="s">
        <v>56</v>
      </c>
      <c r="R277" s="939" t="e">
        <f>(R276+C21/10*M266)</f>
        <v>#REF!</v>
      </c>
      <c r="AG277" s="933" t="s">
        <v>120</v>
      </c>
    </row>
    <row r="278" spans="1:33" hidden="1">
      <c r="A278" s="940">
        <f t="shared" si="13"/>
        <v>119</v>
      </c>
      <c r="B278" s="933" t="s">
        <v>508</v>
      </c>
      <c r="C278" s="744">
        <v>45</v>
      </c>
      <c r="D278" s="743" t="s">
        <v>237</v>
      </c>
      <c r="E278"/>
      <c r="I278"/>
      <c r="J278" s="805"/>
      <c r="K278" s="776" t="s">
        <v>52</v>
      </c>
      <c r="AG278" s="933" t="s">
        <v>120</v>
      </c>
    </row>
    <row r="279" spans="1:33" hidden="1">
      <c r="A279" s="940">
        <f t="shared" si="13"/>
        <v>120</v>
      </c>
      <c r="B279" s="933" t="s">
        <v>509</v>
      </c>
      <c r="C279" s="744">
        <v>31.24</v>
      </c>
      <c r="D279" s="743" t="s">
        <v>237</v>
      </c>
      <c r="E279"/>
      <c r="H279" s="933" t="s">
        <v>242</v>
      </c>
      <c r="I279"/>
      <c r="J279" s="805"/>
      <c r="K279" s="744" t="e">
        <f>(K277/10)</f>
        <v>#REF!</v>
      </c>
      <c r="N279" s="933" t="s">
        <v>483</v>
      </c>
      <c r="O279" s="933" t="s">
        <v>510</v>
      </c>
      <c r="R279" s="933" t="s">
        <v>85</v>
      </c>
      <c r="AG279" s="933" t="s">
        <v>120</v>
      </c>
    </row>
    <row r="280" spans="1:33" hidden="1">
      <c r="C280"/>
      <c r="D280"/>
      <c r="E280"/>
      <c r="F280" s="933" t="s">
        <v>85</v>
      </c>
      <c r="I280"/>
      <c r="J280" s="805"/>
      <c r="K280"/>
    </row>
    <row r="281" spans="1:33" hidden="1">
      <c r="A281" s="940">
        <f>(A279+1)</f>
        <v>121</v>
      </c>
      <c r="B281" s="933" t="s">
        <v>511</v>
      </c>
      <c r="C281" s="744">
        <v>25</v>
      </c>
      <c r="D281" s="743" t="s">
        <v>237</v>
      </c>
      <c r="E281"/>
      <c r="I281"/>
      <c r="J281" s="805"/>
      <c r="K281"/>
      <c r="O281" s="933" t="s">
        <v>512</v>
      </c>
      <c r="AG281" s="933" t="s">
        <v>120</v>
      </c>
    </row>
    <row r="282" spans="1:33" hidden="1">
      <c r="A282" s="940">
        <f t="shared" ref="A282:A326" si="15">(A281+1)</f>
        <v>122</v>
      </c>
      <c r="B282" s="933" t="s">
        <v>513</v>
      </c>
      <c r="C282" s="744">
        <v>13</v>
      </c>
      <c r="D282" s="743" t="s">
        <v>237</v>
      </c>
      <c r="E282"/>
      <c r="F282" s="939">
        <v>1</v>
      </c>
      <c r="G282" s="938" t="s">
        <v>132</v>
      </c>
      <c r="H282" s="933" t="s">
        <v>514</v>
      </c>
      <c r="I282"/>
      <c r="J282" s="805"/>
      <c r="K282" s="744">
        <f>(C25)</f>
        <v>20.7</v>
      </c>
      <c r="O282" s="935" t="s">
        <v>52</v>
      </c>
      <c r="AG282" s="933" t="s">
        <v>120</v>
      </c>
    </row>
    <row r="283" spans="1:33" hidden="1">
      <c r="A283" s="940">
        <f t="shared" si="15"/>
        <v>123</v>
      </c>
      <c r="B283" s="933" t="s">
        <v>515</v>
      </c>
      <c r="C283" s="744">
        <v>30</v>
      </c>
      <c r="D283" s="743" t="s">
        <v>237</v>
      </c>
      <c r="E283"/>
      <c r="I283"/>
      <c r="J283" s="805"/>
      <c r="K283" s="776" t="s">
        <v>52</v>
      </c>
      <c r="M283" s="939">
        <v>10</v>
      </c>
      <c r="N283" s="933" t="s">
        <v>425</v>
      </c>
      <c r="O283" s="933" t="s">
        <v>516</v>
      </c>
      <c r="P283" s="939" t="e">
        <f>(K1191)</f>
        <v>#REF!</v>
      </c>
      <c r="Q283" s="933" t="s">
        <v>425</v>
      </c>
      <c r="R283" s="939" t="e">
        <f>(M283*P283)</f>
        <v>#REF!</v>
      </c>
      <c r="AG283" s="933" t="s">
        <v>120</v>
      </c>
    </row>
    <row r="284" spans="1:33" hidden="1">
      <c r="A284" s="940">
        <f t="shared" si="15"/>
        <v>124</v>
      </c>
      <c r="B284" s="933" t="s">
        <v>517</v>
      </c>
      <c r="C284" s="744">
        <v>20</v>
      </c>
      <c r="D284" s="743" t="s">
        <v>237</v>
      </c>
      <c r="E284" s="961">
        <v>25</v>
      </c>
      <c r="H284" s="933" t="s">
        <v>518</v>
      </c>
      <c r="I284"/>
      <c r="J284" s="805"/>
      <c r="K284" s="744" t="e">
        <f>SUM(K279:K282)</f>
        <v>#REF!</v>
      </c>
      <c r="M284" s="939">
        <v>1.1000000000000001</v>
      </c>
      <c r="N284" s="933" t="s">
        <v>131</v>
      </c>
      <c r="O284" s="933" t="s">
        <v>302</v>
      </c>
      <c r="P284" s="939">
        <f>(C11)</f>
        <v>135</v>
      </c>
      <c r="Q284" s="933" t="s">
        <v>131</v>
      </c>
      <c r="R284" s="939">
        <f>(M284*P284)</f>
        <v>148.5</v>
      </c>
      <c r="AG284" s="933" t="s">
        <v>120</v>
      </c>
    </row>
    <row r="285" spans="1:33" hidden="1">
      <c r="A285" s="940">
        <f t="shared" si="15"/>
        <v>125</v>
      </c>
      <c r="B285" s="933" t="s">
        <v>519</v>
      </c>
      <c r="C285" s="744">
        <v>95</v>
      </c>
      <c r="D285" s="743" t="s">
        <v>237</v>
      </c>
      <c r="E285"/>
      <c r="I285"/>
      <c r="J285" s="805"/>
      <c r="K285" s="776" t="s">
        <v>52</v>
      </c>
      <c r="M285" s="939">
        <v>1.1000000000000001</v>
      </c>
      <c r="N285" s="933" t="s">
        <v>131</v>
      </c>
      <c r="O285" s="933" t="s">
        <v>304</v>
      </c>
      <c r="P285" s="939">
        <f>(C12)</f>
        <v>95</v>
      </c>
      <c r="Q285" s="933" t="s">
        <v>131</v>
      </c>
      <c r="R285" s="939">
        <f>(M285*P285)</f>
        <v>104.5</v>
      </c>
      <c r="AG285" s="933" t="s">
        <v>120</v>
      </c>
    </row>
    <row r="286" spans="1:33" hidden="1">
      <c r="A286" s="940">
        <f t="shared" si="15"/>
        <v>126</v>
      </c>
      <c r="B286" s="933" t="s">
        <v>520</v>
      </c>
      <c r="C286" s="744">
        <v>80</v>
      </c>
      <c r="D286" s="743" t="s">
        <v>237</v>
      </c>
      <c r="E286"/>
      <c r="H286" s="933" t="s">
        <v>53</v>
      </c>
      <c r="I286"/>
      <c r="J286" s="805"/>
      <c r="K286" s="744" t="e">
        <f>(K284+C22)</f>
        <v>#REF!</v>
      </c>
      <c r="M286" s="939">
        <v>1.1000000000000001</v>
      </c>
      <c r="N286" s="933" t="s">
        <v>131</v>
      </c>
      <c r="O286" s="933" t="s">
        <v>306</v>
      </c>
      <c r="P286" s="939">
        <f>(C13)</f>
        <v>85</v>
      </c>
      <c r="Q286" s="933" t="s">
        <v>131</v>
      </c>
      <c r="R286" s="939">
        <f>(M286*P286)</f>
        <v>93.5</v>
      </c>
      <c r="AG286" s="933" t="s">
        <v>120</v>
      </c>
    </row>
    <row r="287" spans="1:33" hidden="1">
      <c r="A287" s="940">
        <f t="shared" si="15"/>
        <v>127</v>
      </c>
      <c r="B287" s="933" t="s">
        <v>521</v>
      </c>
      <c r="C287" s="744">
        <v>8</v>
      </c>
      <c r="D287" s="743" t="s">
        <v>237</v>
      </c>
      <c r="E287"/>
      <c r="H287" s="933" t="s">
        <v>54</v>
      </c>
      <c r="I287"/>
      <c r="J287" s="805"/>
      <c r="K287" s="744" t="e">
        <f>(K286+C23)</f>
        <v>#REF!</v>
      </c>
      <c r="R287" s="935" t="s">
        <v>52</v>
      </c>
      <c r="AG287" s="933" t="s">
        <v>120</v>
      </c>
    </row>
    <row r="288" spans="1:33" hidden="1">
      <c r="A288" s="940">
        <f t="shared" si="15"/>
        <v>128</v>
      </c>
      <c r="B288" s="933" t="s">
        <v>522</v>
      </c>
      <c r="C288" s="744">
        <v>8</v>
      </c>
      <c r="D288" s="743" t="s">
        <v>237</v>
      </c>
      <c r="E288"/>
      <c r="H288" s="933" t="s">
        <v>55</v>
      </c>
      <c r="I288"/>
      <c r="J288" s="805"/>
      <c r="K288" s="744" t="e">
        <f>(K287+C24)</f>
        <v>#REF!</v>
      </c>
      <c r="O288" s="933" t="s">
        <v>495</v>
      </c>
      <c r="R288" s="939" t="e">
        <f>SUM(R283:R286)</f>
        <v>#REF!</v>
      </c>
      <c r="AG288" s="933" t="s">
        <v>120</v>
      </c>
    </row>
    <row r="289" spans="1:33" hidden="1">
      <c r="A289" s="940">
        <f t="shared" si="15"/>
        <v>129</v>
      </c>
      <c r="B289" s="933" t="s">
        <v>523</v>
      </c>
      <c r="C289" s="744">
        <v>2.9</v>
      </c>
      <c r="D289" s="743" t="s">
        <v>524</v>
      </c>
      <c r="E289"/>
      <c r="H289" s="933" t="s">
        <v>56</v>
      </c>
      <c r="I289"/>
      <c r="J289" s="805"/>
      <c r="K289" s="744" t="e">
        <f>(K288+C24)</f>
        <v>#REF!</v>
      </c>
      <c r="R289" s="935" t="s">
        <v>52</v>
      </c>
      <c r="AG289" s="933" t="s">
        <v>120</v>
      </c>
    </row>
    <row r="290" spans="1:33" hidden="1">
      <c r="A290" s="940">
        <f t="shared" si="15"/>
        <v>130</v>
      </c>
      <c r="B290" s="933" t="s">
        <v>525</v>
      </c>
      <c r="C290" s="744">
        <v>20.6</v>
      </c>
      <c r="D290" s="743" t="s">
        <v>524</v>
      </c>
      <c r="E290"/>
      <c r="H290" s="933" t="s">
        <v>526</v>
      </c>
      <c r="I290"/>
      <c r="J290" s="805"/>
      <c r="K290" s="744" t="e">
        <f>(K289+C24)</f>
        <v>#REF!</v>
      </c>
      <c r="O290" s="933" t="s">
        <v>460</v>
      </c>
      <c r="R290" s="939" t="e">
        <f>(R288/10)</f>
        <v>#REF!</v>
      </c>
      <c r="AG290" s="933" t="s">
        <v>120</v>
      </c>
    </row>
    <row r="291" spans="1:33" hidden="1">
      <c r="A291" s="940">
        <f t="shared" si="15"/>
        <v>131</v>
      </c>
      <c r="B291" s="933" t="s">
        <v>527</v>
      </c>
      <c r="C291" s="744">
        <v>15.6</v>
      </c>
      <c r="D291" s="743" t="s">
        <v>237</v>
      </c>
      <c r="E291"/>
      <c r="I291"/>
      <c r="J291" s="805"/>
      <c r="K291"/>
      <c r="R291" s="935" t="s">
        <v>89</v>
      </c>
      <c r="AG291" s="933" t="s">
        <v>120</v>
      </c>
    </row>
    <row r="292" spans="1:33" hidden="1">
      <c r="A292" s="940">
        <f t="shared" si="15"/>
        <v>132</v>
      </c>
      <c r="B292" s="933" t="s">
        <v>528</v>
      </c>
      <c r="C292" s="744">
        <v>12.6</v>
      </c>
      <c r="D292" s="743" t="s">
        <v>237</v>
      </c>
      <c r="E292"/>
      <c r="F292" s="934" t="s">
        <v>151</v>
      </c>
      <c r="G292" s="938" t="s">
        <v>111</v>
      </c>
      <c r="H292" s="933" t="s">
        <v>529</v>
      </c>
      <c r="I292"/>
      <c r="J292" s="805"/>
      <c r="K292"/>
      <c r="AG292" s="933" t="s">
        <v>120</v>
      </c>
    </row>
    <row r="293" spans="1:33" hidden="1">
      <c r="A293" s="940">
        <f t="shared" si="15"/>
        <v>133</v>
      </c>
      <c r="B293" s="933" t="s">
        <v>530</v>
      </c>
      <c r="C293" s="744">
        <v>5.75</v>
      </c>
      <c r="D293" s="743" t="s">
        <v>237</v>
      </c>
      <c r="E293"/>
      <c r="H293" s="935" t="s">
        <v>89</v>
      </c>
      <c r="I293"/>
      <c r="J293" s="805"/>
      <c r="K293"/>
      <c r="N293" s="933" t="s">
        <v>111</v>
      </c>
      <c r="O293" s="933" t="s">
        <v>531</v>
      </c>
      <c r="AG293" s="933" t="s">
        <v>120</v>
      </c>
    </row>
    <row r="294" spans="1:33" hidden="1">
      <c r="A294" s="940">
        <f t="shared" si="15"/>
        <v>134</v>
      </c>
      <c r="B294" s="933" t="s">
        <v>532</v>
      </c>
      <c r="C294" s="744">
        <v>8.5</v>
      </c>
      <c r="D294" s="743" t="s">
        <v>237</v>
      </c>
      <c r="E294"/>
      <c r="F294" s="939">
        <v>10</v>
      </c>
      <c r="G294" s="938" t="s">
        <v>132</v>
      </c>
      <c r="H294" s="933" t="s">
        <v>126</v>
      </c>
      <c r="I294" s="744" t="e">
        <f>(C68)</f>
        <v>#REF!</v>
      </c>
      <c r="J294" s="779" t="s">
        <v>132</v>
      </c>
      <c r="K294" s="744" t="e">
        <f t="shared" ref="K294:K300" si="16">(F294*I294)</f>
        <v>#REF!</v>
      </c>
      <c r="O294" s="935" t="s">
        <v>52</v>
      </c>
      <c r="AG294" s="933" t="s">
        <v>120</v>
      </c>
    </row>
    <row r="295" spans="1:33" hidden="1">
      <c r="A295" s="940">
        <f t="shared" si="15"/>
        <v>135</v>
      </c>
      <c r="B295" s="933" t="s">
        <v>533</v>
      </c>
      <c r="C295" s="744">
        <v>10</v>
      </c>
      <c r="D295" s="743" t="s">
        <v>237</v>
      </c>
      <c r="E295"/>
      <c r="F295" s="939">
        <v>1</v>
      </c>
      <c r="G295" s="938" t="s">
        <v>132</v>
      </c>
      <c r="H295" s="933" t="s">
        <v>135</v>
      </c>
      <c r="I295" s="744" t="e">
        <f>(C69)</f>
        <v>#REF!</v>
      </c>
      <c r="J295" s="779" t="s">
        <v>132</v>
      </c>
      <c r="K295" s="744" t="e">
        <f t="shared" si="16"/>
        <v>#REF!</v>
      </c>
      <c r="M295" s="939">
        <v>0.14000000000000001</v>
      </c>
      <c r="N295" s="933" t="s">
        <v>132</v>
      </c>
      <c r="O295" s="933" t="s">
        <v>217</v>
      </c>
      <c r="P295" s="939" t="e">
        <f>(K32)</f>
        <v>#REF!</v>
      </c>
      <c r="Q295" s="933" t="s">
        <v>132</v>
      </c>
      <c r="R295" s="939" t="e">
        <f>(M295*P295)</f>
        <v>#REF!</v>
      </c>
      <c r="AG295" s="933" t="s">
        <v>120</v>
      </c>
    </row>
    <row r="296" spans="1:33" hidden="1">
      <c r="A296" s="940">
        <f t="shared" si="15"/>
        <v>136</v>
      </c>
      <c r="B296" s="933" t="s">
        <v>534</v>
      </c>
      <c r="C296" s="744">
        <v>3.25</v>
      </c>
      <c r="D296" s="743" t="s">
        <v>237</v>
      </c>
      <c r="E296"/>
      <c r="F296" s="939">
        <v>3.4</v>
      </c>
      <c r="G296" s="938" t="s">
        <v>132</v>
      </c>
      <c r="H296" s="933" t="s">
        <v>283</v>
      </c>
      <c r="I296" s="744" t="e">
        <f>(K49)</f>
        <v>#REF!</v>
      </c>
      <c r="J296" s="779" t="s">
        <v>132</v>
      </c>
      <c r="K296" s="744" t="e">
        <f t="shared" si="16"/>
        <v>#REF!</v>
      </c>
      <c r="M296" s="939">
        <v>1.1000000000000001</v>
      </c>
      <c r="N296" s="933" t="s">
        <v>131</v>
      </c>
      <c r="O296" s="933" t="s">
        <v>345</v>
      </c>
      <c r="P296" s="939">
        <f>(C10)</f>
        <v>150</v>
      </c>
      <c r="Q296" s="933" t="s">
        <v>131</v>
      </c>
      <c r="R296" s="939">
        <f>(M296*P296)</f>
        <v>165</v>
      </c>
      <c r="AG296" s="933" t="s">
        <v>120</v>
      </c>
    </row>
    <row r="297" spans="1:33" hidden="1">
      <c r="A297" s="940">
        <f t="shared" si="15"/>
        <v>137</v>
      </c>
      <c r="B297" s="933" t="s">
        <v>535</v>
      </c>
      <c r="C297" s="744">
        <v>2.2000000000000002</v>
      </c>
      <c r="D297" s="743" t="s">
        <v>237</v>
      </c>
      <c r="E297"/>
      <c r="F297" s="939">
        <v>7.1</v>
      </c>
      <c r="G297" s="938" t="s">
        <v>131</v>
      </c>
      <c r="H297" s="933" t="s">
        <v>345</v>
      </c>
      <c r="I297" s="744">
        <f>(C10)</f>
        <v>150</v>
      </c>
      <c r="J297" s="779" t="s">
        <v>131</v>
      </c>
      <c r="K297" s="744">
        <f t="shared" si="16"/>
        <v>1065</v>
      </c>
      <c r="M297" s="939">
        <v>0.5</v>
      </c>
      <c r="N297" s="933" t="s">
        <v>131</v>
      </c>
      <c r="O297" s="933" t="s">
        <v>304</v>
      </c>
      <c r="P297" s="939">
        <f>(C12)</f>
        <v>95</v>
      </c>
      <c r="Q297" s="933" t="s">
        <v>131</v>
      </c>
      <c r="R297" s="939">
        <f>(M297*P297)</f>
        <v>47.5</v>
      </c>
      <c r="AG297" s="933" t="s">
        <v>120</v>
      </c>
    </row>
    <row r="298" spans="1:33" hidden="1">
      <c r="A298" s="940">
        <f t="shared" si="15"/>
        <v>138</v>
      </c>
      <c r="B298" s="933" t="s">
        <v>536</v>
      </c>
      <c r="C298" s="744">
        <v>10.5</v>
      </c>
      <c r="D298" s="743" t="s">
        <v>237</v>
      </c>
      <c r="E298"/>
      <c r="F298" s="939">
        <v>10.6</v>
      </c>
      <c r="G298" s="938" t="s">
        <v>131</v>
      </c>
      <c r="H298" s="933" t="s">
        <v>302</v>
      </c>
      <c r="I298" s="744">
        <f>(C11)</f>
        <v>135</v>
      </c>
      <c r="J298" s="779" t="s">
        <v>131</v>
      </c>
      <c r="K298" s="744">
        <f t="shared" si="16"/>
        <v>1431</v>
      </c>
      <c r="M298" s="939">
        <v>1.1000000000000001</v>
      </c>
      <c r="N298" s="933" t="s">
        <v>131</v>
      </c>
      <c r="O298" s="933" t="s">
        <v>306</v>
      </c>
      <c r="P298" s="939">
        <f>(C13)</f>
        <v>85</v>
      </c>
      <c r="Q298" s="933" t="s">
        <v>131</v>
      </c>
      <c r="R298" s="939">
        <f>(M298*P298)</f>
        <v>93.5</v>
      </c>
      <c r="AG298" s="933" t="s">
        <v>120</v>
      </c>
    </row>
    <row r="299" spans="1:33" hidden="1">
      <c r="A299" s="940">
        <f t="shared" si="15"/>
        <v>139</v>
      </c>
      <c r="B299" s="933" t="s">
        <v>537</v>
      </c>
      <c r="C299" s="744">
        <v>5.5</v>
      </c>
      <c r="D299" s="743" t="s">
        <v>237</v>
      </c>
      <c r="E299"/>
      <c r="F299" s="939">
        <v>14.1</v>
      </c>
      <c r="G299" s="938" t="s">
        <v>131</v>
      </c>
      <c r="H299" s="933" t="s">
        <v>304</v>
      </c>
      <c r="I299" s="744">
        <f>(C12)</f>
        <v>95</v>
      </c>
      <c r="J299" s="779" t="s">
        <v>131</v>
      </c>
      <c r="K299" s="744">
        <f t="shared" si="16"/>
        <v>1339.5</v>
      </c>
      <c r="N299" s="933" t="s">
        <v>145</v>
      </c>
      <c r="O299" s="933" t="s">
        <v>146</v>
      </c>
      <c r="P299" s="933" t="s">
        <v>85</v>
      </c>
      <c r="Q299" s="933" t="s">
        <v>145</v>
      </c>
      <c r="R299" s="939">
        <v>0</v>
      </c>
      <c r="AG299" s="933" t="s">
        <v>120</v>
      </c>
    </row>
    <row r="300" spans="1:33" hidden="1">
      <c r="A300" s="940">
        <f t="shared" si="15"/>
        <v>140</v>
      </c>
      <c r="B300" s="933" t="s">
        <v>538</v>
      </c>
      <c r="C300" s="744">
        <v>21</v>
      </c>
      <c r="D300" s="743" t="s">
        <v>237</v>
      </c>
      <c r="E300"/>
      <c r="F300" s="939">
        <v>14.1</v>
      </c>
      <c r="G300" s="938" t="s">
        <v>131</v>
      </c>
      <c r="H300" s="933" t="s">
        <v>306</v>
      </c>
      <c r="I300" s="744">
        <f>(C13)</f>
        <v>85</v>
      </c>
      <c r="J300" s="779" t="s">
        <v>131</v>
      </c>
      <c r="K300" s="744">
        <f t="shared" si="16"/>
        <v>1198.5</v>
      </c>
      <c r="R300" s="935" t="s">
        <v>52</v>
      </c>
      <c r="AG300" s="933" t="s">
        <v>120</v>
      </c>
    </row>
    <row r="301" spans="1:33" hidden="1">
      <c r="A301" s="940">
        <f t="shared" si="15"/>
        <v>141</v>
      </c>
      <c r="B301" s="933" t="s">
        <v>539</v>
      </c>
      <c r="C301" s="744">
        <v>10</v>
      </c>
      <c r="D301" s="743" t="s">
        <v>237</v>
      </c>
      <c r="E301"/>
      <c r="G301" s="938" t="s">
        <v>145</v>
      </c>
      <c r="H301" s="933" t="s">
        <v>146</v>
      </c>
      <c r="I301"/>
      <c r="J301" s="779" t="s">
        <v>145</v>
      </c>
      <c r="K301" s="744">
        <v>0</v>
      </c>
      <c r="O301" s="933" t="s">
        <v>495</v>
      </c>
      <c r="R301" s="939" t="e">
        <f>SUM(R295:R299)</f>
        <v>#REF!</v>
      </c>
      <c r="AG301" s="933" t="s">
        <v>120</v>
      </c>
    </row>
    <row r="302" spans="1:33" hidden="1">
      <c r="A302" s="940">
        <f t="shared" si="15"/>
        <v>142</v>
      </c>
      <c r="B302" s="933" t="s">
        <v>521</v>
      </c>
      <c r="C302" s="744">
        <v>4</v>
      </c>
      <c r="D302" s="743" t="s">
        <v>237</v>
      </c>
      <c r="E302"/>
      <c r="I302"/>
      <c r="J302" s="805"/>
      <c r="K302" s="776" t="s">
        <v>52</v>
      </c>
      <c r="R302" s="935" t="s">
        <v>52</v>
      </c>
      <c r="AG302" s="933" t="s">
        <v>120</v>
      </c>
    </row>
    <row r="303" spans="1:33" hidden="1">
      <c r="A303" s="940">
        <f t="shared" si="15"/>
        <v>143</v>
      </c>
      <c r="B303" s="933" t="s">
        <v>522</v>
      </c>
      <c r="C303" s="744">
        <v>8</v>
      </c>
      <c r="D303" s="743" t="s">
        <v>131</v>
      </c>
      <c r="E303"/>
      <c r="H303" s="933" t="s">
        <v>311</v>
      </c>
      <c r="I303"/>
      <c r="J303" s="805"/>
      <c r="K303" s="744" t="e">
        <f>SUM(K294:K301)</f>
        <v>#REF!</v>
      </c>
      <c r="O303" s="933" t="s">
        <v>460</v>
      </c>
      <c r="R303" s="939" t="e">
        <f>(R301/10)</f>
        <v>#REF!</v>
      </c>
      <c r="AG303" s="933" t="s">
        <v>120</v>
      </c>
    </row>
    <row r="304" spans="1:33" hidden="1">
      <c r="A304" s="940">
        <f t="shared" si="15"/>
        <v>144</v>
      </c>
      <c r="B304" s="933" t="s">
        <v>523</v>
      </c>
      <c r="C304" s="744">
        <v>8.5</v>
      </c>
      <c r="D304" s="743" t="s">
        <v>237</v>
      </c>
      <c r="E304"/>
      <c r="I304"/>
      <c r="J304" s="805"/>
      <c r="K304" s="776" t="s">
        <v>52</v>
      </c>
      <c r="N304" s="933" t="s">
        <v>111</v>
      </c>
      <c r="O304" s="933" t="s">
        <v>540</v>
      </c>
      <c r="R304" s="935" t="s">
        <v>89</v>
      </c>
      <c r="AG304" s="933" t="s">
        <v>120</v>
      </c>
    </row>
    <row r="305" spans="1:33" hidden="1">
      <c r="A305" s="940">
        <f t="shared" si="15"/>
        <v>145</v>
      </c>
      <c r="B305" s="933" t="s">
        <v>541</v>
      </c>
      <c r="C305" s="744">
        <v>20.6</v>
      </c>
      <c r="D305" s="743" t="s">
        <v>237</v>
      </c>
      <c r="E305"/>
      <c r="H305" s="933" t="s">
        <v>242</v>
      </c>
      <c r="I305"/>
      <c r="J305" s="805"/>
      <c r="K305" s="744" t="e">
        <f>(K303/10)</f>
        <v>#REF!</v>
      </c>
      <c r="O305" s="935" t="s">
        <v>52</v>
      </c>
      <c r="AG305" s="933" t="s">
        <v>120</v>
      </c>
    </row>
    <row r="306" spans="1:33" hidden="1">
      <c r="A306" s="940">
        <f t="shared" si="15"/>
        <v>146</v>
      </c>
      <c r="B306" s="933" t="s">
        <v>542</v>
      </c>
      <c r="C306" s="744">
        <v>15.6</v>
      </c>
      <c r="D306" s="743" t="s">
        <v>237</v>
      </c>
      <c r="E306"/>
      <c r="I306"/>
      <c r="J306" s="805"/>
      <c r="K306" s="776" t="s">
        <v>89</v>
      </c>
      <c r="M306" s="939">
        <v>0.14000000000000001</v>
      </c>
      <c r="N306" s="933" t="s">
        <v>132</v>
      </c>
      <c r="O306" s="933" t="s">
        <v>164</v>
      </c>
      <c r="P306" s="939" t="e">
        <f>(K23)</f>
        <v>#REF!</v>
      </c>
      <c r="Q306" s="933" t="s">
        <v>132</v>
      </c>
      <c r="R306" s="939" t="e">
        <f>(M306*P306)</f>
        <v>#REF!</v>
      </c>
      <c r="AG306" s="933" t="s">
        <v>120</v>
      </c>
    </row>
    <row r="307" spans="1:33" hidden="1">
      <c r="A307" s="940">
        <f t="shared" si="15"/>
        <v>147</v>
      </c>
      <c r="B307" s="933" t="s">
        <v>543</v>
      </c>
      <c r="C307" s="744">
        <v>0.9</v>
      </c>
      <c r="D307" s="743" t="s">
        <v>237</v>
      </c>
      <c r="E307"/>
      <c r="F307" s="944">
        <v>6</v>
      </c>
      <c r="G307" s="938" t="s">
        <v>111</v>
      </c>
      <c r="H307" s="933" t="s">
        <v>544</v>
      </c>
      <c r="I307"/>
      <c r="J307" s="805"/>
      <c r="K307"/>
      <c r="M307" s="939">
        <v>1.1000000000000001</v>
      </c>
      <c r="N307" s="933" t="s">
        <v>131</v>
      </c>
      <c r="O307" s="933" t="s">
        <v>345</v>
      </c>
      <c r="P307" s="939">
        <f>(C10)</f>
        <v>150</v>
      </c>
      <c r="Q307" s="933" t="s">
        <v>131</v>
      </c>
      <c r="R307" s="939">
        <f>(M307*P307)</f>
        <v>165</v>
      </c>
      <c r="AG307" s="933" t="s">
        <v>120</v>
      </c>
    </row>
    <row r="308" spans="1:33" hidden="1">
      <c r="A308" s="940">
        <f t="shared" si="15"/>
        <v>148</v>
      </c>
      <c r="B308" s="933" t="s">
        <v>545</v>
      </c>
      <c r="C308" s="743" t="s">
        <v>85</v>
      </c>
      <c r="D308"/>
      <c r="E308"/>
      <c r="H308" s="933" t="s">
        <v>546</v>
      </c>
      <c r="I308"/>
      <c r="J308" s="805"/>
      <c r="K308"/>
      <c r="M308" s="939">
        <v>0.5</v>
      </c>
      <c r="N308" s="933" t="s">
        <v>131</v>
      </c>
      <c r="O308" s="933" t="s">
        <v>304</v>
      </c>
      <c r="P308" s="939">
        <f>(C12)</f>
        <v>95</v>
      </c>
      <c r="Q308" s="933" t="s">
        <v>131</v>
      </c>
      <c r="R308" s="939">
        <f>(M308*P308)</f>
        <v>47.5</v>
      </c>
      <c r="AG308" s="933" t="s">
        <v>120</v>
      </c>
    </row>
    <row r="309" spans="1:33" hidden="1">
      <c r="A309" s="940">
        <f t="shared" si="15"/>
        <v>149</v>
      </c>
      <c r="B309" s="933" t="s">
        <v>547</v>
      </c>
      <c r="C309" s="744">
        <v>66.44</v>
      </c>
      <c r="D309" s="743" t="s">
        <v>282</v>
      </c>
      <c r="E309"/>
      <c r="H309" s="935" t="s">
        <v>52</v>
      </c>
      <c r="I309"/>
      <c r="J309" s="805"/>
      <c r="K309"/>
      <c r="M309" s="939">
        <v>1.1000000000000001</v>
      </c>
      <c r="N309" s="933" t="s">
        <v>131</v>
      </c>
      <c r="O309" s="933" t="s">
        <v>306</v>
      </c>
      <c r="P309" s="939">
        <f>(C13)</f>
        <v>85</v>
      </c>
      <c r="Q309" s="933" t="s">
        <v>131</v>
      </c>
      <c r="R309" s="939">
        <f>(M309*P309)</f>
        <v>93.5</v>
      </c>
      <c r="AG309" s="933" t="s">
        <v>120</v>
      </c>
    </row>
    <row r="310" spans="1:33" hidden="1">
      <c r="A310" s="940">
        <f t="shared" si="15"/>
        <v>150</v>
      </c>
      <c r="B310" s="933" t="s">
        <v>548</v>
      </c>
      <c r="C310" s="744">
        <v>83.5</v>
      </c>
      <c r="D310" s="743" t="s">
        <v>282</v>
      </c>
      <c r="E310"/>
      <c r="F310" s="939">
        <v>4800</v>
      </c>
      <c r="G310" s="938" t="s">
        <v>338</v>
      </c>
      <c r="H310" s="939" t="str">
        <f>H308</f>
        <v>Bricks of size 22x11x7 cm</v>
      </c>
      <c r="I310" s="744" t="e">
        <f>C80</f>
        <v>#REF!</v>
      </c>
      <c r="J310" s="779" t="s">
        <v>339</v>
      </c>
      <c r="K310" s="744" t="e">
        <f>(F310*I310)/1000</f>
        <v>#REF!</v>
      </c>
      <c r="N310" s="933" t="s">
        <v>145</v>
      </c>
      <c r="O310" s="933" t="s">
        <v>146</v>
      </c>
      <c r="P310" s="933" t="s">
        <v>85</v>
      </c>
      <c r="Q310" s="933" t="s">
        <v>145</v>
      </c>
      <c r="R310" s="939">
        <v>0</v>
      </c>
      <c r="AG310" s="933" t="s">
        <v>120</v>
      </c>
    </row>
    <row r="311" spans="1:33" hidden="1">
      <c r="A311" s="940">
        <f t="shared" si="15"/>
        <v>151</v>
      </c>
      <c r="B311" s="933" t="s">
        <v>549</v>
      </c>
      <c r="C311" s="744">
        <v>102.12</v>
      </c>
      <c r="D311" s="743" t="s">
        <v>282</v>
      </c>
      <c r="E311"/>
      <c r="F311" s="939">
        <v>2.5</v>
      </c>
      <c r="G311" s="938" t="s">
        <v>132</v>
      </c>
      <c r="H311" s="933" t="s">
        <v>283</v>
      </c>
      <c r="I311" s="744" t="e">
        <f>K49</f>
        <v>#REF!</v>
      </c>
      <c r="J311" s="779" t="s">
        <v>132</v>
      </c>
      <c r="K311" s="744" t="e">
        <f>(F311*I311)</f>
        <v>#REF!</v>
      </c>
      <c r="R311" s="935" t="s">
        <v>52</v>
      </c>
      <c r="AG311" s="933" t="s">
        <v>120</v>
      </c>
    </row>
    <row r="312" spans="1:33" hidden="1">
      <c r="A312" s="940">
        <f t="shared" si="15"/>
        <v>152</v>
      </c>
      <c r="B312" s="933" t="s">
        <v>550</v>
      </c>
      <c r="C312" s="744">
        <v>182.52</v>
      </c>
      <c r="D312" s="743" t="s">
        <v>282</v>
      </c>
      <c r="E312"/>
      <c r="F312" s="939">
        <v>3.5</v>
      </c>
      <c r="G312" s="938" t="s">
        <v>131</v>
      </c>
      <c r="H312" s="933" t="s">
        <v>345</v>
      </c>
      <c r="I312" s="744">
        <f>C10</f>
        <v>150</v>
      </c>
      <c r="J312" s="779" t="s">
        <v>131</v>
      </c>
      <c r="K312" s="744">
        <f>(F312*I312)</f>
        <v>525</v>
      </c>
      <c r="O312" s="933" t="s">
        <v>495</v>
      </c>
      <c r="R312" s="939" t="e">
        <f>SUM(R306:R310)</f>
        <v>#REF!</v>
      </c>
      <c r="AG312" s="933" t="s">
        <v>120</v>
      </c>
    </row>
    <row r="313" spans="1:33" hidden="1">
      <c r="A313" s="940">
        <f t="shared" si="15"/>
        <v>153</v>
      </c>
      <c r="B313" s="933" t="s">
        <v>551</v>
      </c>
      <c r="C313"/>
      <c r="D313"/>
      <c r="E313"/>
      <c r="F313" s="939">
        <v>10.6</v>
      </c>
      <c r="G313" s="938" t="s">
        <v>131</v>
      </c>
      <c r="H313" s="933" t="s">
        <v>302</v>
      </c>
      <c r="I313" s="744">
        <f>C11</f>
        <v>135</v>
      </c>
      <c r="J313" s="779" t="s">
        <v>131</v>
      </c>
      <c r="K313" s="744">
        <f>(F313*I313)</f>
        <v>1431</v>
      </c>
      <c r="R313" s="935" t="s">
        <v>52</v>
      </c>
      <c r="AG313" s="933" t="s">
        <v>120</v>
      </c>
    </row>
    <row r="314" spans="1:33" hidden="1">
      <c r="A314" s="940">
        <f t="shared" si="15"/>
        <v>154</v>
      </c>
      <c r="B314" s="933" t="s">
        <v>547</v>
      </c>
      <c r="C314" s="744">
        <v>26.62</v>
      </c>
      <c r="D314" s="743" t="s">
        <v>237</v>
      </c>
      <c r="E314"/>
      <c r="F314" s="939">
        <v>7.1</v>
      </c>
      <c r="G314" s="938" t="s">
        <v>131</v>
      </c>
      <c r="H314" s="933" t="s">
        <v>304</v>
      </c>
      <c r="I314" s="744">
        <f>C12</f>
        <v>95</v>
      </c>
      <c r="J314" s="779" t="s">
        <v>131</v>
      </c>
      <c r="K314" s="744">
        <f>(F314*I314)</f>
        <v>674.5</v>
      </c>
      <c r="O314" s="933" t="s">
        <v>460</v>
      </c>
      <c r="R314" s="939" t="e">
        <f>(R312/10)</f>
        <v>#REF!</v>
      </c>
      <c r="AG314" s="933" t="s">
        <v>120</v>
      </c>
    </row>
    <row r="315" spans="1:33" hidden="1">
      <c r="A315" s="940">
        <f t="shared" si="15"/>
        <v>155</v>
      </c>
      <c r="B315" s="933" t="s">
        <v>548</v>
      </c>
      <c r="C315" s="744">
        <v>34.869999999999997</v>
      </c>
      <c r="D315" s="743" t="s">
        <v>237</v>
      </c>
      <c r="E315"/>
      <c r="F315" s="939">
        <v>21.2</v>
      </c>
      <c r="G315" s="938" t="s">
        <v>131</v>
      </c>
      <c r="H315" s="933" t="s">
        <v>306</v>
      </c>
      <c r="I315" s="744">
        <f>C13</f>
        <v>85</v>
      </c>
      <c r="J315" s="779" t="s">
        <v>131</v>
      </c>
      <c r="K315" s="744">
        <f>(F315*I315)</f>
        <v>1802</v>
      </c>
      <c r="R315" s="935" t="s">
        <v>89</v>
      </c>
      <c r="AG315" s="933" t="s">
        <v>120</v>
      </c>
    </row>
    <row r="316" spans="1:33" hidden="1">
      <c r="A316" s="940">
        <f t="shared" si="15"/>
        <v>156</v>
      </c>
      <c r="B316" s="933" t="s">
        <v>549</v>
      </c>
      <c r="C316" s="744">
        <v>45</v>
      </c>
      <c r="D316" s="743" t="s">
        <v>237</v>
      </c>
      <c r="E316"/>
      <c r="G316" s="938" t="s">
        <v>145</v>
      </c>
      <c r="H316" s="933" t="s">
        <v>146</v>
      </c>
      <c r="I316"/>
      <c r="J316" s="779" t="s">
        <v>145</v>
      </c>
      <c r="K316" s="744">
        <v>0</v>
      </c>
      <c r="N316" s="933" t="s">
        <v>111</v>
      </c>
      <c r="O316" s="933" t="s">
        <v>552</v>
      </c>
      <c r="AG316" s="933" t="s">
        <v>120</v>
      </c>
    </row>
    <row r="317" spans="1:33" hidden="1">
      <c r="A317" s="940">
        <f t="shared" si="15"/>
        <v>157</v>
      </c>
      <c r="B317" s="933" t="s">
        <v>550</v>
      </c>
      <c r="C317" s="744">
        <v>99.75</v>
      </c>
      <c r="D317" s="743" t="s">
        <v>237</v>
      </c>
      <c r="E317"/>
      <c r="I317"/>
      <c r="J317" s="805"/>
      <c r="K317" s="776" t="s">
        <v>52</v>
      </c>
      <c r="O317" s="935" t="s">
        <v>52</v>
      </c>
      <c r="AG317" s="933" t="s">
        <v>120</v>
      </c>
    </row>
    <row r="318" spans="1:33" hidden="1">
      <c r="A318" s="940">
        <f t="shared" si="15"/>
        <v>158</v>
      </c>
      <c r="B318" s="933" t="s">
        <v>553</v>
      </c>
      <c r="C318"/>
      <c r="D318"/>
      <c r="E318"/>
      <c r="H318" s="933" t="s">
        <v>311</v>
      </c>
      <c r="I318"/>
      <c r="J318" s="805"/>
      <c r="K318" s="744" t="e">
        <f>SUM(K310:K316)</f>
        <v>#REF!</v>
      </c>
      <c r="M318" s="939">
        <v>0.1</v>
      </c>
      <c r="N318" s="933" t="s">
        <v>132</v>
      </c>
      <c r="O318" s="933" t="s">
        <v>164</v>
      </c>
      <c r="P318" s="939" t="e">
        <f>(K23)</f>
        <v>#REF!</v>
      </c>
      <c r="Q318" s="933" t="s">
        <v>132</v>
      </c>
      <c r="R318" s="939" t="e">
        <f>(M318*P318)</f>
        <v>#REF!</v>
      </c>
      <c r="AG318" s="933" t="s">
        <v>120</v>
      </c>
    </row>
    <row r="319" spans="1:33" hidden="1">
      <c r="A319" s="940">
        <f t="shared" si="15"/>
        <v>159</v>
      </c>
      <c r="B319" s="933" t="s">
        <v>547</v>
      </c>
      <c r="C319" s="744">
        <v>43.47</v>
      </c>
      <c r="D319" s="743" t="s">
        <v>237</v>
      </c>
      <c r="E319"/>
      <c r="I319"/>
      <c r="J319" s="805"/>
      <c r="K319" s="776" t="s">
        <v>52</v>
      </c>
      <c r="M319" s="939">
        <v>1.1000000000000001</v>
      </c>
      <c r="N319" s="933" t="s">
        <v>131</v>
      </c>
      <c r="O319" s="933" t="s">
        <v>345</v>
      </c>
      <c r="P319" s="939">
        <f>(C10)</f>
        <v>150</v>
      </c>
      <c r="Q319" s="933" t="s">
        <v>131</v>
      </c>
      <c r="R319" s="939">
        <f>(M319*P319)</f>
        <v>165</v>
      </c>
      <c r="AG319" s="933" t="s">
        <v>120</v>
      </c>
    </row>
    <row r="320" spans="1:33" hidden="1">
      <c r="A320" s="940">
        <f t="shared" si="15"/>
        <v>160</v>
      </c>
      <c r="B320" s="933" t="s">
        <v>548</v>
      </c>
      <c r="C320" s="744">
        <v>50.34</v>
      </c>
      <c r="D320" s="743" t="s">
        <v>237</v>
      </c>
      <c r="E320"/>
      <c r="H320" s="933" t="s">
        <v>242</v>
      </c>
      <c r="I320"/>
      <c r="J320" s="805"/>
      <c r="K320" s="744" t="e">
        <f>(K318/10)</f>
        <v>#REF!</v>
      </c>
      <c r="M320" s="939">
        <v>1.1000000000000001</v>
      </c>
      <c r="N320" s="933" t="s">
        <v>131</v>
      </c>
      <c r="O320" s="933" t="s">
        <v>304</v>
      </c>
      <c r="P320" s="939">
        <f>(C12)</f>
        <v>95</v>
      </c>
      <c r="Q320" s="933" t="s">
        <v>131</v>
      </c>
      <c r="R320" s="939">
        <f>(M320*P320)</f>
        <v>104.5</v>
      </c>
      <c r="AG320" s="933" t="s">
        <v>307</v>
      </c>
    </row>
    <row r="321" spans="1:33" hidden="1">
      <c r="A321" s="940">
        <f t="shared" si="15"/>
        <v>161</v>
      </c>
      <c r="B321" s="933" t="s">
        <v>549</v>
      </c>
      <c r="C321" s="744">
        <v>65.209999999999994</v>
      </c>
      <c r="D321" s="743" t="s">
        <v>237</v>
      </c>
      <c r="E321"/>
      <c r="I321"/>
      <c r="J321" s="805"/>
      <c r="K321" s="776" t="s">
        <v>89</v>
      </c>
      <c r="M321" s="939">
        <v>1.1000000000000001</v>
      </c>
      <c r="N321" s="933" t="s">
        <v>131</v>
      </c>
      <c r="O321" s="933" t="s">
        <v>306</v>
      </c>
      <c r="P321" s="939">
        <f>(C13)</f>
        <v>85</v>
      </c>
      <c r="Q321" s="933" t="s">
        <v>131</v>
      </c>
      <c r="R321" s="939">
        <f>(M321*P321)</f>
        <v>93.5</v>
      </c>
    </row>
    <row r="322" spans="1:33" hidden="1">
      <c r="A322" s="940">
        <f t="shared" si="15"/>
        <v>162</v>
      </c>
      <c r="B322" s="933" t="s">
        <v>550</v>
      </c>
      <c r="C322" s="744">
        <v>145.29</v>
      </c>
      <c r="D322" s="743" t="s">
        <v>237</v>
      </c>
      <c r="E322"/>
      <c r="H322" s="933" t="s">
        <v>53</v>
      </c>
      <c r="I322"/>
      <c r="J322" s="805"/>
      <c r="K322" s="744" t="e">
        <f>(K320+C19)</f>
        <v>#REF!</v>
      </c>
      <c r="N322" s="933" t="s">
        <v>145</v>
      </c>
      <c r="O322" s="933" t="s">
        <v>146</v>
      </c>
      <c r="P322" s="933" t="s">
        <v>85</v>
      </c>
      <c r="Q322" s="933" t="s">
        <v>145</v>
      </c>
      <c r="R322" s="939">
        <v>0</v>
      </c>
    </row>
    <row r="323" spans="1:33" hidden="1">
      <c r="A323" s="940">
        <f t="shared" si="15"/>
        <v>163</v>
      </c>
      <c r="B323" s="933" t="s">
        <v>554</v>
      </c>
      <c r="C323"/>
      <c r="D323"/>
      <c r="E323"/>
      <c r="H323" s="933" t="s">
        <v>54</v>
      </c>
      <c r="I323"/>
      <c r="J323" s="805"/>
      <c r="K323" s="744" t="e">
        <f>(K322+C20)</f>
        <v>#REF!</v>
      </c>
      <c r="R323" s="935" t="s">
        <v>52</v>
      </c>
      <c r="AG323" s="933" t="s">
        <v>120</v>
      </c>
    </row>
    <row r="324" spans="1:33" hidden="1">
      <c r="A324" s="940">
        <f t="shared" si="15"/>
        <v>164</v>
      </c>
      <c r="B324" s="933" t="s">
        <v>547</v>
      </c>
      <c r="C324" s="744">
        <v>14.91</v>
      </c>
      <c r="D324" s="743" t="s">
        <v>282</v>
      </c>
      <c r="E324"/>
      <c r="H324" s="933" t="s">
        <v>55</v>
      </c>
      <c r="I324"/>
      <c r="J324" s="805"/>
      <c r="K324" s="744" t="e">
        <f>(K323+C21)</f>
        <v>#REF!</v>
      </c>
      <c r="O324" s="933" t="s">
        <v>495</v>
      </c>
      <c r="R324" s="939" t="e">
        <f>SUM(R318:R322)</f>
        <v>#REF!</v>
      </c>
      <c r="AG324" s="933" t="s">
        <v>120</v>
      </c>
    </row>
    <row r="325" spans="1:33" hidden="1">
      <c r="A325" s="940">
        <f t="shared" si="15"/>
        <v>165</v>
      </c>
      <c r="B325" s="933" t="s">
        <v>548</v>
      </c>
      <c r="C325" s="744">
        <v>19.41</v>
      </c>
      <c r="D325" s="743" t="s">
        <v>282</v>
      </c>
      <c r="E325"/>
      <c r="H325" s="933" t="s">
        <v>56</v>
      </c>
      <c r="I325"/>
      <c r="J325" s="805"/>
      <c r="K325" s="744" t="e">
        <f>(K324+C21)</f>
        <v>#REF!</v>
      </c>
      <c r="R325" s="935" t="s">
        <v>52</v>
      </c>
      <c r="AG325" s="933" t="s">
        <v>120</v>
      </c>
    </row>
    <row r="326" spans="1:33" hidden="1">
      <c r="A326" s="940">
        <f t="shared" si="15"/>
        <v>166</v>
      </c>
      <c r="B326" s="933" t="s">
        <v>549</v>
      </c>
      <c r="C326" s="744">
        <v>22.22</v>
      </c>
      <c r="D326" s="743" t="s">
        <v>282</v>
      </c>
      <c r="E326"/>
      <c r="H326" s="933" t="s">
        <v>526</v>
      </c>
      <c r="I326"/>
      <c r="J326" s="805"/>
      <c r="K326" s="744" t="e">
        <f>(K325+C21)</f>
        <v>#REF!</v>
      </c>
      <c r="O326" s="933" t="s">
        <v>460</v>
      </c>
      <c r="R326" s="939" t="e">
        <f>(R324/10)</f>
        <v>#REF!</v>
      </c>
      <c r="AG326" s="933" t="s">
        <v>120</v>
      </c>
    </row>
    <row r="327" spans="1:33" hidden="1">
      <c r="A327" s="940"/>
      <c r="B327" s="933"/>
      <c r="C327" s="744"/>
      <c r="D327" s="743"/>
      <c r="E327"/>
      <c r="H327" s="933"/>
      <c r="I327"/>
      <c r="J327" s="805"/>
      <c r="K327" s="744"/>
      <c r="O327" s="933"/>
      <c r="R327" s="939"/>
      <c r="AG327" s="933"/>
    </row>
    <row r="328" spans="1:33" hidden="1">
      <c r="A328" s="940"/>
      <c r="B328" s="933"/>
      <c r="C328" s="744"/>
      <c r="D328" s="743"/>
      <c r="E328"/>
      <c r="F328" s="934" t="s">
        <v>555</v>
      </c>
      <c r="H328" s="933" t="s">
        <v>556</v>
      </c>
      <c r="I328"/>
      <c r="J328" s="805"/>
      <c r="K328" s="743" t="s">
        <v>557</v>
      </c>
      <c r="O328" s="933"/>
      <c r="R328" s="939"/>
      <c r="AG328" s="933"/>
    </row>
    <row r="329" spans="1:33" hidden="1">
      <c r="A329" s="940"/>
      <c r="B329" s="933"/>
      <c r="C329" s="744"/>
      <c r="D329" s="743"/>
      <c r="E329"/>
      <c r="H329" s="933" t="s">
        <v>558</v>
      </c>
      <c r="I329"/>
      <c r="J329" s="805"/>
      <c r="K329" s="776" t="s">
        <v>89</v>
      </c>
      <c r="O329" s="933"/>
      <c r="R329" s="939"/>
      <c r="AG329" s="933"/>
    </row>
    <row r="330" spans="1:33" hidden="1">
      <c r="A330" s="940"/>
      <c r="B330" s="933"/>
      <c r="C330" s="744"/>
      <c r="D330" s="743"/>
      <c r="E330"/>
      <c r="H330" s="933"/>
      <c r="I330"/>
      <c r="J330" s="805"/>
      <c r="K330" s="744"/>
      <c r="O330" s="933"/>
      <c r="R330" s="939"/>
      <c r="AG330" s="933"/>
    </row>
    <row r="331" spans="1:33" hidden="1">
      <c r="A331" s="940">
        <f>(A326+1)</f>
        <v>167</v>
      </c>
      <c r="B331" s="933" t="s">
        <v>550</v>
      </c>
      <c r="C331" s="744">
        <v>46.42</v>
      </c>
      <c r="D331" s="743" t="s">
        <v>282</v>
      </c>
      <c r="E331"/>
      <c r="F331" s="944">
        <v>9</v>
      </c>
      <c r="G331" s="938" t="s">
        <v>111</v>
      </c>
      <c r="H331" s="933" t="s">
        <v>559</v>
      </c>
      <c r="I331"/>
      <c r="J331" s="805"/>
      <c r="K331"/>
      <c r="R331" s="935" t="s">
        <v>89</v>
      </c>
      <c r="AG331" s="933" t="s">
        <v>120</v>
      </c>
    </row>
    <row r="332" spans="1:33" hidden="1">
      <c r="A332" s="940">
        <f t="shared" ref="A332:A363" si="17">(A331+1)</f>
        <v>168</v>
      </c>
      <c r="B332" s="933" t="s">
        <v>560</v>
      </c>
      <c r="C332"/>
      <c r="D332"/>
      <c r="E332"/>
      <c r="H332" s="939" t="str">
        <f>H308</f>
        <v>Bricks of size 22x11x7 cm</v>
      </c>
      <c r="I332"/>
      <c r="J332" s="805"/>
      <c r="K332"/>
      <c r="AG332" s="933" t="s">
        <v>120</v>
      </c>
    </row>
    <row r="333" spans="1:33" hidden="1">
      <c r="A333" s="940">
        <f t="shared" si="17"/>
        <v>169</v>
      </c>
      <c r="B333" s="933" t="s">
        <v>547</v>
      </c>
      <c r="C333" s="744">
        <v>8.58</v>
      </c>
      <c r="D333" s="743" t="s">
        <v>237</v>
      </c>
      <c r="E333"/>
      <c r="H333" s="935" t="s">
        <v>52</v>
      </c>
      <c r="I333"/>
      <c r="J333" s="805"/>
      <c r="K333"/>
      <c r="N333" s="933" t="s">
        <v>111</v>
      </c>
      <c r="O333" s="933" t="s">
        <v>561</v>
      </c>
      <c r="AG333" s="933" t="s">
        <v>120</v>
      </c>
    </row>
    <row r="334" spans="1:33" hidden="1">
      <c r="A334" s="940">
        <f t="shared" si="17"/>
        <v>170</v>
      </c>
      <c r="B334" s="933" t="s">
        <v>548</v>
      </c>
      <c r="C334" s="744">
        <v>12.26</v>
      </c>
      <c r="D334" s="743" t="s">
        <v>237</v>
      </c>
      <c r="E334"/>
      <c r="F334" s="939">
        <f>F310</f>
        <v>4800</v>
      </c>
      <c r="G334" s="938" t="s">
        <v>338</v>
      </c>
      <c r="H334" s="939" t="str">
        <f>H308</f>
        <v>Bricks of size 22x11x7 cm</v>
      </c>
      <c r="I334" s="744" t="e">
        <f>C80</f>
        <v>#REF!</v>
      </c>
      <c r="J334" s="779" t="s">
        <v>339</v>
      </c>
      <c r="K334" s="744" t="e">
        <f>(F334*I334)/1000</f>
        <v>#REF!</v>
      </c>
      <c r="O334" s="935" t="s">
        <v>52</v>
      </c>
      <c r="AG334" s="933" t="s">
        <v>120</v>
      </c>
    </row>
    <row r="335" spans="1:33" hidden="1">
      <c r="A335" s="940">
        <f t="shared" si="17"/>
        <v>171</v>
      </c>
      <c r="B335" s="933" t="s">
        <v>549</v>
      </c>
      <c r="C335" s="744">
        <v>13.89</v>
      </c>
      <c r="D335" s="743" t="s">
        <v>237</v>
      </c>
      <c r="E335"/>
      <c r="F335" s="939">
        <f>F311</f>
        <v>2.5</v>
      </c>
      <c r="G335" s="938" t="s">
        <v>132</v>
      </c>
      <c r="H335" s="933" t="s">
        <v>299</v>
      </c>
      <c r="I335" s="744" t="e">
        <f>K58</f>
        <v>#REF!</v>
      </c>
      <c r="J335" s="779" t="s">
        <v>132</v>
      </c>
      <c r="K335" s="744" t="e">
        <f>(F335*I335)</f>
        <v>#REF!</v>
      </c>
      <c r="M335" s="939">
        <v>0.22</v>
      </c>
      <c r="N335" s="933" t="s">
        <v>132</v>
      </c>
      <c r="O335" s="933" t="s">
        <v>283</v>
      </c>
      <c r="P335" s="939" t="e">
        <f>(K49)</f>
        <v>#REF!</v>
      </c>
      <c r="Q335" s="933" t="s">
        <v>132</v>
      </c>
      <c r="R335" s="939" t="e">
        <f>(M335*P335)</f>
        <v>#REF!</v>
      </c>
      <c r="AG335" s="933" t="s">
        <v>120</v>
      </c>
    </row>
    <row r="336" spans="1:33" hidden="1">
      <c r="A336" s="940">
        <f t="shared" si="17"/>
        <v>172</v>
      </c>
      <c r="B336" s="933" t="s">
        <v>550</v>
      </c>
      <c r="C336" s="744">
        <v>36.25</v>
      </c>
      <c r="D336" s="743" t="s">
        <v>237</v>
      </c>
      <c r="E336"/>
      <c r="F336" s="939">
        <v>3.5</v>
      </c>
      <c r="G336" s="938" t="s">
        <v>131</v>
      </c>
      <c r="H336" s="933" t="s">
        <v>345</v>
      </c>
      <c r="I336" s="744">
        <f>C10</f>
        <v>150</v>
      </c>
      <c r="J336" s="779" t="s">
        <v>131</v>
      </c>
      <c r="K336" s="744">
        <f>(F336*I336)</f>
        <v>525</v>
      </c>
      <c r="M336" s="939">
        <v>2.2000000000000002</v>
      </c>
      <c r="N336" s="933" t="s">
        <v>131</v>
      </c>
      <c r="O336" s="933" t="s">
        <v>345</v>
      </c>
      <c r="P336" s="939">
        <f>(C10)</f>
        <v>150</v>
      </c>
      <c r="Q336" s="933" t="s">
        <v>131</v>
      </c>
      <c r="R336" s="939">
        <f>(M336*P336)</f>
        <v>330</v>
      </c>
      <c r="AG336" s="933" t="s">
        <v>120</v>
      </c>
    </row>
    <row r="337" spans="1:33" hidden="1">
      <c r="A337" s="940">
        <f t="shared" si="17"/>
        <v>173</v>
      </c>
      <c r="B337" s="933" t="s">
        <v>562</v>
      </c>
      <c r="C337"/>
      <c r="D337"/>
      <c r="E337"/>
      <c r="F337" s="939">
        <v>10.6</v>
      </c>
      <c r="G337" s="938" t="s">
        <v>131</v>
      </c>
      <c r="H337" s="933" t="s">
        <v>302</v>
      </c>
      <c r="I337" s="744">
        <f>C11</f>
        <v>135</v>
      </c>
      <c r="J337" s="779" t="s">
        <v>131</v>
      </c>
      <c r="K337" s="744">
        <f>(F337*I337)</f>
        <v>1431</v>
      </c>
      <c r="M337" s="939">
        <v>0.5</v>
      </c>
      <c r="N337" s="933" t="s">
        <v>131</v>
      </c>
      <c r="O337" s="933" t="s">
        <v>304</v>
      </c>
      <c r="P337" s="939">
        <f>(C12)</f>
        <v>95</v>
      </c>
      <c r="Q337" s="933" t="s">
        <v>131</v>
      </c>
      <c r="R337" s="939">
        <f>(M337*P337)</f>
        <v>47.5</v>
      </c>
      <c r="AG337" s="933" t="s">
        <v>120</v>
      </c>
    </row>
    <row r="338" spans="1:33" hidden="1">
      <c r="A338" s="940">
        <f t="shared" si="17"/>
        <v>174</v>
      </c>
      <c r="B338" s="933" t="s">
        <v>547</v>
      </c>
      <c r="C338" s="744">
        <v>15.7</v>
      </c>
      <c r="D338" s="743" t="s">
        <v>237</v>
      </c>
      <c r="E338"/>
      <c r="F338" s="939">
        <v>7.1</v>
      </c>
      <c r="G338" s="938" t="s">
        <v>131</v>
      </c>
      <c r="H338" s="933" t="s">
        <v>304</v>
      </c>
      <c r="I338" s="744">
        <f>C12</f>
        <v>95</v>
      </c>
      <c r="J338" s="779" t="s">
        <v>131</v>
      </c>
      <c r="K338" s="744">
        <f>(F338*I338)</f>
        <v>674.5</v>
      </c>
      <c r="M338" s="939">
        <v>3.2</v>
      </c>
      <c r="N338" s="933" t="s">
        <v>131</v>
      </c>
      <c r="O338" s="933" t="s">
        <v>306</v>
      </c>
      <c r="P338" s="939">
        <f>(C13)</f>
        <v>85</v>
      </c>
      <c r="Q338" s="933" t="s">
        <v>131</v>
      </c>
      <c r="R338" s="939">
        <f>(M338*P338)</f>
        <v>272</v>
      </c>
      <c r="AG338" s="933" t="s">
        <v>120</v>
      </c>
    </row>
    <row r="339" spans="1:33" hidden="1">
      <c r="A339" s="940">
        <f t="shared" si="17"/>
        <v>175</v>
      </c>
      <c r="B339" s="933" t="s">
        <v>548</v>
      </c>
      <c r="C339" s="744">
        <v>22.31</v>
      </c>
      <c r="D339" s="743" t="s">
        <v>237</v>
      </c>
      <c r="E339"/>
      <c r="F339" s="939">
        <v>21.2</v>
      </c>
      <c r="G339" s="938" t="s">
        <v>131</v>
      </c>
      <c r="H339" s="933" t="s">
        <v>306</v>
      </c>
      <c r="I339" s="744">
        <f>C13</f>
        <v>85</v>
      </c>
      <c r="J339" s="779" t="s">
        <v>131</v>
      </c>
      <c r="K339" s="744">
        <f>(F339*I339)</f>
        <v>1802</v>
      </c>
      <c r="N339" s="933" t="s">
        <v>145</v>
      </c>
      <c r="O339" s="933" t="s">
        <v>146</v>
      </c>
      <c r="P339" s="933" t="s">
        <v>85</v>
      </c>
      <c r="Q339" s="933" t="s">
        <v>145</v>
      </c>
      <c r="R339" s="939">
        <v>0</v>
      </c>
      <c r="AG339" s="933" t="s">
        <v>120</v>
      </c>
    </row>
    <row r="340" spans="1:33" hidden="1">
      <c r="A340" s="940">
        <f t="shared" si="17"/>
        <v>176</v>
      </c>
      <c r="B340" s="933" t="s">
        <v>549</v>
      </c>
      <c r="C340" s="744">
        <v>25.24</v>
      </c>
      <c r="D340" s="743" t="s">
        <v>237</v>
      </c>
      <c r="E340"/>
      <c r="G340" s="938" t="s">
        <v>145</v>
      </c>
      <c r="H340" s="933" t="s">
        <v>146</v>
      </c>
      <c r="I340"/>
      <c r="J340" s="779" t="s">
        <v>145</v>
      </c>
      <c r="K340" s="744">
        <v>0</v>
      </c>
      <c r="R340" s="935" t="s">
        <v>52</v>
      </c>
      <c r="AG340" s="933" t="s">
        <v>120</v>
      </c>
    </row>
    <row r="341" spans="1:33" hidden="1">
      <c r="A341" s="940">
        <f t="shared" si="17"/>
        <v>177</v>
      </c>
      <c r="B341" s="933" t="s">
        <v>550</v>
      </c>
      <c r="C341" s="744">
        <v>52.34</v>
      </c>
      <c r="D341" s="743" t="s">
        <v>237</v>
      </c>
      <c r="E341"/>
      <c r="I341"/>
      <c r="J341" s="805"/>
      <c r="K341" s="776" t="s">
        <v>52</v>
      </c>
      <c r="O341" s="933" t="s">
        <v>495</v>
      </c>
      <c r="R341" s="939" t="e">
        <f>SUM(R335:R339)</f>
        <v>#REF!</v>
      </c>
      <c r="AG341" s="933" t="s">
        <v>120</v>
      </c>
    </row>
    <row r="342" spans="1:33" hidden="1">
      <c r="A342" s="940">
        <f t="shared" si="17"/>
        <v>178</v>
      </c>
      <c r="B342" s="933" t="s">
        <v>563</v>
      </c>
      <c r="C342"/>
      <c r="D342"/>
      <c r="E342"/>
      <c r="H342" s="933" t="s">
        <v>311</v>
      </c>
      <c r="I342"/>
      <c r="J342" s="805"/>
      <c r="K342" s="744" t="e">
        <f>SUM(K334:K340)</f>
        <v>#REF!</v>
      </c>
      <c r="R342" s="935" t="s">
        <v>52</v>
      </c>
      <c r="AG342" s="933" t="s">
        <v>120</v>
      </c>
    </row>
    <row r="343" spans="1:33" hidden="1">
      <c r="A343" s="940">
        <f t="shared" si="17"/>
        <v>179</v>
      </c>
      <c r="B343" s="933" t="s">
        <v>547</v>
      </c>
      <c r="C343" s="744">
        <v>13.73</v>
      </c>
      <c r="D343" s="743" t="s">
        <v>237</v>
      </c>
      <c r="E343"/>
      <c r="I343"/>
      <c r="J343" s="805"/>
      <c r="K343" s="776" t="s">
        <v>52</v>
      </c>
      <c r="O343" s="933" t="s">
        <v>460</v>
      </c>
      <c r="R343" s="939" t="e">
        <f>(R341/10)</f>
        <v>#REF!</v>
      </c>
      <c r="AG343" s="933" t="s">
        <v>120</v>
      </c>
    </row>
    <row r="344" spans="1:33" hidden="1">
      <c r="A344" s="940">
        <f t="shared" si="17"/>
        <v>180</v>
      </c>
      <c r="B344" s="933" t="s">
        <v>548</v>
      </c>
      <c r="C344" s="744">
        <v>20.16</v>
      </c>
      <c r="D344" s="743" t="s">
        <v>237</v>
      </c>
      <c r="E344"/>
      <c r="H344" s="933" t="s">
        <v>242</v>
      </c>
      <c r="I344"/>
      <c r="J344" s="805"/>
      <c r="K344" s="744" t="e">
        <f>(K342/10)</f>
        <v>#REF!</v>
      </c>
      <c r="R344" s="935" t="s">
        <v>89</v>
      </c>
      <c r="AG344" s="933" t="s">
        <v>120</v>
      </c>
    </row>
    <row r="345" spans="1:33" hidden="1">
      <c r="A345" s="940">
        <f t="shared" si="17"/>
        <v>181</v>
      </c>
      <c r="B345" s="933" t="s">
        <v>549</v>
      </c>
      <c r="C345" s="744">
        <v>22.73</v>
      </c>
      <c r="D345" s="743" t="s">
        <v>237</v>
      </c>
      <c r="E345"/>
      <c r="I345"/>
      <c r="J345" s="805"/>
      <c r="K345" s="776" t="s">
        <v>89</v>
      </c>
      <c r="N345" s="933" t="s">
        <v>111</v>
      </c>
      <c r="O345" s="933" t="s">
        <v>564</v>
      </c>
      <c r="AG345" s="933" t="s">
        <v>120</v>
      </c>
    </row>
    <row r="346" spans="1:33" hidden="1">
      <c r="A346" s="940">
        <f t="shared" si="17"/>
        <v>182</v>
      </c>
      <c r="B346" s="933" t="s">
        <v>550</v>
      </c>
      <c r="C346" s="744">
        <v>46.98</v>
      </c>
      <c r="D346" s="743" t="s">
        <v>85</v>
      </c>
      <c r="E346"/>
      <c r="H346" s="933" t="s">
        <v>53</v>
      </c>
      <c r="I346"/>
      <c r="J346" s="805"/>
      <c r="K346" s="744" t="e">
        <f>(K344+C19)</f>
        <v>#REF!</v>
      </c>
      <c r="O346" s="935" t="s">
        <v>52</v>
      </c>
      <c r="AG346" s="933" t="s">
        <v>120</v>
      </c>
    </row>
    <row r="347" spans="1:33" hidden="1">
      <c r="A347" s="940">
        <f t="shared" si="17"/>
        <v>183</v>
      </c>
      <c r="B347" s="933" t="s">
        <v>565</v>
      </c>
      <c r="C347"/>
      <c r="D347"/>
      <c r="E347"/>
      <c r="H347" s="933" t="s">
        <v>54</v>
      </c>
      <c r="I347"/>
      <c r="J347" s="805"/>
      <c r="K347" s="744" t="e">
        <f>(K346+C20)</f>
        <v>#REF!</v>
      </c>
      <c r="M347" s="939">
        <v>0.22</v>
      </c>
      <c r="N347" s="933" t="s">
        <v>132</v>
      </c>
      <c r="O347" s="933" t="s">
        <v>217</v>
      </c>
      <c r="P347" s="939" t="e">
        <f>(K32)</f>
        <v>#REF!</v>
      </c>
      <c r="Q347" s="933" t="s">
        <v>132</v>
      </c>
      <c r="R347" s="939" t="e">
        <f>(M347*P347)</f>
        <v>#REF!</v>
      </c>
      <c r="AG347" s="933" t="s">
        <v>120</v>
      </c>
    </row>
    <row r="348" spans="1:33" hidden="1">
      <c r="A348" s="940">
        <f t="shared" si="17"/>
        <v>184</v>
      </c>
      <c r="B348" s="933" t="s">
        <v>547</v>
      </c>
      <c r="C348" s="744">
        <v>19.3</v>
      </c>
      <c r="D348" s="743" t="s">
        <v>237</v>
      </c>
      <c r="E348"/>
      <c r="H348" s="933" t="s">
        <v>55</v>
      </c>
      <c r="I348"/>
      <c r="J348" s="805"/>
      <c r="K348" s="744" t="e">
        <f>(K347+C21)</f>
        <v>#REF!</v>
      </c>
      <c r="M348" s="939">
        <v>2.2000000000000002</v>
      </c>
      <c r="N348" s="933" t="s">
        <v>131</v>
      </c>
      <c r="O348" s="933" t="s">
        <v>345</v>
      </c>
      <c r="P348" s="939">
        <f>(C10)</f>
        <v>150</v>
      </c>
      <c r="Q348" s="933" t="s">
        <v>131</v>
      </c>
      <c r="R348" s="939">
        <f>(M348*P348)</f>
        <v>330</v>
      </c>
      <c r="AG348" s="933" t="s">
        <v>120</v>
      </c>
    </row>
    <row r="349" spans="1:33" hidden="1">
      <c r="A349" s="940">
        <f t="shared" si="17"/>
        <v>185</v>
      </c>
      <c r="B349" s="933" t="s">
        <v>549</v>
      </c>
      <c r="C349" s="744">
        <v>33.46</v>
      </c>
      <c r="D349" s="743" t="s">
        <v>237</v>
      </c>
      <c r="E349"/>
      <c r="H349" s="933" t="s">
        <v>56</v>
      </c>
      <c r="I349"/>
      <c r="J349" s="805"/>
      <c r="K349" s="744" t="e">
        <f>(K348+C21)</f>
        <v>#REF!</v>
      </c>
      <c r="M349" s="939">
        <v>0.5</v>
      </c>
      <c r="N349" s="933" t="s">
        <v>131</v>
      </c>
      <c r="O349" s="933" t="s">
        <v>304</v>
      </c>
      <c r="P349" s="939">
        <f>(C12)</f>
        <v>95</v>
      </c>
      <c r="Q349" s="933" t="s">
        <v>131</v>
      </c>
      <c r="R349" s="939">
        <f>(M349*P349)</f>
        <v>47.5</v>
      </c>
      <c r="AG349" s="933" t="s">
        <v>120</v>
      </c>
    </row>
    <row r="350" spans="1:33" hidden="1">
      <c r="A350" s="940">
        <f t="shared" si="17"/>
        <v>186</v>
      </c>
      <c r="B350" s="933" t="s">
        <v>550</v>
      </c>
      <c r="C350" s="744">
        <v>53.62</v>
      </c>
      <c r="D350" s="743" t="s">
        <v>237</v>
      </c>
      <c r="E350"/>
      <c r="F350" s="933" t="s">
        <v>85</v>
      </c>
      <c r="H350" s="933" t="s">
        <v>526</v>
      </c>
      <c r="I350"/>
      <c r="J350" s="805"/>
      <c r="K350" s="744" t="e">
        <f>(K349+C21)</f>
        <v>#REF!</v>
      </c>
      <c r="M350" s="939">
        <v>3.2</v>
      </c>
      <c r="N350" s="933" t="s">
        <v>131</v>
      </c>
      <c r="O350" s="933" t="s">
        <v>306</v>
      </c>
      <c r="P350" s="939">
        <f>(C13)</f>
        <v>85</v>
      </c>
      <c r="Q350" s="933" t="s">
        <v>131</v>
      </c>
      <c r="R350" s="939">
        <f>(M350*P350)</f>
        <v>272</v>
      </c>
      <c r="AG350" s="933" t="s">
        <v>120</v>
      </c>
    </row>
    <row r="351" spans="1:33" hidden="1">
      <c r="A351" s="940">
        <f t="shared" si="17"/>
        <v>187</v>
      </c>
      <c r="B351" s="933" t="s">
        <v>566</v>
      </c>
      <c r="C351"/>
      <c r="D351"/>
      <c r="E351"/>
      <c r="F351" s="944">
        <v>27</v>
      </c>
      <c r="G351" s="938" t="s">
        <v>111</v>
      </c>
      <c r="H351" s="933" t="s">
        <v>567</v>
      </c>
      <c r="I351"/>
      <c r="J351" s="805"/>
      <c r="K351"/>
      <c r="N351" s="933" t="s">
        <v>145</v>
      </c>
      <c r="O351" s="933" t="s">
        <v>146</v>
      </c>
      <c r="P351" s="933" t="s">
        <v>85</v>
      </c>
      <c r="Q351" s="933" t="s">
        <v>145</v>
      </c>
      <c r="R351" s="939">
        <v>0</v>
      </c>
      <c r="AG351" s="933" t="s">
        <v>120</v>
      </c>
    </row>
    <row r="352" spans="1:33" hidden="1">
      <c r="A352" s="940">
        <f t="shared" si="17"/>
        <v>188</v>
      </c>
      <c r="B352" s="933" t="s">
        <v>547</v>
      </c>
      <c r="C352" s="744">
        <v>13.73</v>
      </c>
      <c r="D352" s="743" t="s">
        <v>237</v>
      </c>
      <c r="E352"/>
      <c r="H352" s="939" t="str">
        <f>H308</f>
        <v>Bricks of size 22x11x7 cm</v>
      </c>
      <c r="I352"/>
      <c r="J352" s="805"/>
      <c r="K352"/>
      <c r="R352" s="935" t="s">
        <v>52</v>
      </c>
      <c r="AG352" s="933" t="s">
        <v>120</v>
      </c>
    </row>
    <row r="353" spans="1:33" hidden="1">
      <c r="A353" s="940">
        <f t="shared" si="17"/>
        <v>189</v>
      </c>
      <c r="B353" s="933" t="s">
        <v>548</v>
      </c>
      <c r="C353" s="744">
        <v>20.16</v>
      </c>
      <c r="D353" s="743" t="s">
        <v>237</v>
      </c>
      <c r="E353"/>
      <c r="H353" s="935" t="s">
        <v>52</v>
      </c>
      <c r="I353"/>
      <c r="J353" s="805"/>
      <c r="K353"/>
      <c r="O353" s="933" t="s">
        <v>495</v>
      </c>
      <c r="R353" s="939" t="e">
        <f>SUM(R347:R351)</f>
        <v>#REF!</v>
      </c>
      <c r="AG353" s="933" t="s">
        <v>120</v>
      </c>
    </row>
    <row r="354" spans="1:33" hidden="1">
      <c r="A354" s="940">
        <f t="shared" si="17"/>
        <v>190</v>
      </c>
      <c r="B354" s="933" t="s">
        <v>549</v>
      </c>
      <c r="C354" s="744">
        <v>22.73</v>
      </c>
      <c r="D354" s="743" t="s">
        <v>237</v>
      </c>
      <c r="E354"/>
      <c r="F354" s="939">
        <f>F310</f>
        <v>4800</v>
      </c>
      <c r="G354" s="938" t="s">
        <v>338</v>
      </c>
      <c r="H354" s="939" t="str">
        <f>H308</f>
        <v>Bricks of size 22x11x7 cm</v>
      </c>
      <c r="I354" s="744" t="e">
        <f>C80</f>
        <v>#REF!</v>
      </c>
      <c r="J354" s="779" t="s">
        <v>339</v>
      </c>
      <c r="K354" s="744" t="e">
        <f>(F354*I354)/1000</f>
        <v>#REF!</v>
      </c>
      <c r="R354" s="935" t="s">
        <v>52</v>
      </c>
      <c r="AG354" s="933" t="s">
        <v>120</v>
      </c>
    </row>
    <row r="355" spans="1:33" hidden="1">
      <c r="A355" s="940">
        <f t="shared" si="17"/>
        <v>191</v>
      </c>
      <c r="B355" s="933" t="s">
        <v>550</v>
      </c>
      <c r="C355" s="744">
        <v>46.98</v>
      </c>
      <c r="D355" s="743" t="s">
        <v>237</v>
      </c>
      <c r="E355"/>
      <c r="F355" s="939">
        <f>F311</f>
        <v>2.5</v>
      </c>
      <c r="G355" s="938" t="s">
        <v>132</v>
      </c>
      <c r="H355" s="933" t="s">
        <v>259</v>
      </c>
      <c r="I355" s="744" t="e">
        <f>K40</f>
        <v>#REF!</v>
      </c>
      <c r="J355" s="779" t="s">
        <v>132</v>
      </c>
      <c r="K355" s="744" t="e">
        <f>(F355*I355)</f>
        <v>#REF!</v>
      </c>
      <c r="O355" s="933" t="s">
        <v>460</v>
      </c>
      <c r="R355" s="939" t="e">
        <f>(R353/10)</f>
        <v>#REF!</v>
      </c>
      <c r="AG355" s="933" t="s">
        <v>120</v>
      </c>
    </row>
    <row r="356" spans="1:33" hidden="1">
      <c r="A356" s="940">
        <f t="shared" si="17"/>
        <v>192</v>
      </c>
      <c r="B356" s="933" t="s">
        <v>568</v>
      </c>
      <c r="C356"/>
      <c r="D356"/>
      <c r="E356"/>
      <c r="F356" s="939">
        <v>3.5</v>
      </c>
      <c r="G356" s="938" t="s">
        <v>131</v>
      </c>
      <c r="H356" s="933" t="s">
        <v>345</v>
      </c>
      <c r="I356" s="744">
        <f>(C10)</f>
        <v>150</v>
      </c>
      <c r="J356" s="779" t="s">
        <v>131</v>
      </c>
      <c r="K356" s="744">
        <f>(F356*I356)</f>
        <v>525</v>
      </c>
      <c r="R356" s="935" t="s">
        <v>89</v>
      </c>
      <c r="AG356" s="933" t="s">
        <v>120</v>
      </c>
    </row>
    <row r="357" spans="1:33" hidden="1">
      <c r="A357" s="940">
        <f t="shared" si="17"/>
        <v>193</v>
      </c>
      <c r="B357" s="933" t="s">
        <v>547</v>
      </c>
      <c r="C357" s="744">
        <v>19.3</v>
      </c>
      <c r="D357" s="743" t="s">
        <v>237</v>
      </c>
      <c r="E357"/>
      <c r="F357" s="939">
        <v>10.6</v>
      </c>
      <c r="G357" s="938" t="s">
        <v>131</v>
      </c>
      <c r="H357" s="933" t="s">
        <v>302</v>
      </c>
      <c r="I357" s="744">
        <f>(C11)</f>
        <v>135</v>
      </c>
      <c r="J357" s="779" t="s">
        <v>131</v>
      </c>
      <c r="K357" s="744">
        <f>(F357*I357)</f>
        <v>1431</v>
      </c>
      <c r="N357" s="933" t="s">
        <v>111</v>
      </c>
      <c r="O357" s="933" t="s">
        <v>569</v>
      </c>
      <c r="AG357" s="933" t="s">
        <v>120</v>
      </c>
    </row>
    <row r="358" spans="1:33" hidden="1">
      <c r="A358" s="940">
        <f t="shared" si="17"/>
        <v>194</v>
      </c>
      <c r="B358" s="933" t="s">
        <v>548</v>
      </c>
      <c r="C358" s="744">
        <v>25.74</v>
      </c>
      <c r="D358" s="743" t="s">
        <v>237</v>
      </c>
      <c r="E358"/>
      <c r="F358" s="939">
        <v>7.1</v>
      </c>
      <c r="G358" s="938" t="s">
        <v>131</v>
      </c>
      <c r="H358" s="933" t="s">
        <v>304</v>
      </c>
      <c r="I358" s="744">
        <f>(C12)</f>
        <v>95</v>
      </c>
      <c r="J358" s="779" t="s">
        <v>131</v>
      </c>
      <c r="K358" s="744">
        <f>(F358*I358)</f>
        <v>674.5</v>
      </c>
      <c r="O358" s="933" t="s">
        <v>570</v>
      </c>
      <c r="AG358" s="933" t="s">
        <v>120</v>
      </c>
    </row>
    <row r="359" spans="1:33" hidden="1">
      <c r="A359" s="940">
        <f t="shared" si="17"/>
        <v>195</v>
      </c>
      <c r="B359" s="933" t="s">
        <v>549</v>
      </c>
      <c r="C359" s="744">
        <v>33.46</v>
      </c>
      <c r="D359" s="743" t="s">
        <v>237</v>
      </c>
      <c r="E359"/>
      <c r="F359" s="939">
        <v>21.2</v>
      </c>
      <c r="G359" s="938" t="s">
        <v>131</v>
      </c>
      <c r="H359" s="933" t="s">
        <v>306</v>
      </c>
      <c r="I359" s="744">
        <f>(C13)</f>
        <v>85</v>
      </c>
      <c r="J359" s="779" t="s">
        <v>131</v>
      </c>
      <c r="K359" s="744">
        <f>(F359*I359)</f>
        <v>1802</v>
      </c>
      <c r="O359" s="933" t="s">
        <v>571</v>
      </c>
      <c r="AG359" s="933" t="s">
        <v>120</v>
      </c>
    </row>
    <row r="360" spans="1:33" hidden="1">
      <c r="A360" s="940">
        <f t="shared" si="17"/>
        <v>196</v>
      </c>
      <c r="B360" s="933" t="s">
        <v>550</v>
      </c>
      <c r="C360" s="744">
        <v>53.62</v>
      </c>
      <c r="D360" s="743" t="s">
        <v>85</v>
      </c>
      <c r="E360"/>
      <c r="G360" s="938" t="s">
        <v>145</v>
      </c>
      <c r="H360" s="933" t="s">
        <v>146</v>
      </c>
      <c r="I360"/>
      <c r="J360" s="779" t="s">
        <v>145</v>
      </c>
      <c r="K360" s="744">
        <v>0</v>
      </c>
      <c r="O360" s="935" t="s">
        <v>52</v>
      </c>
      <c r="AG360" s="933" t="s">
        <v>120</v>
      </c>
    </row>
    <row r="361" spans="1:33" hidden="1">
      <c r="A361" s="940">
        <f t="shared" si="17"/>
        <v>197</v>
      </c>
      <c r="B361" s="933" t="s">
        <v>572</v>
      </c>
      <c r="C361"/>
      <c r="D361"/>
      <c r="E361"/>
      <c r="I361"/>
      <c r="J361" s="805"/>
      <c r="K361" s="776" t="s">
        <v>52</v>
      </c>
      <c r="M361" s="939">
        <v>0.22</v>
      </c>
      <c r="N361" s="933" t="s">
        <v>132</v>
      </c>
      <c r="O361" s="933" t="s">
        <v>259</v>
      </c>
      <c r="P361" s="939" t="e">
        <f>(K40)</f>
        <v>#REF!</v>
      </c>
      <c r="Q361" s="933" t="s">
        <v>132</v>
      </c>
      <c r="R361" s="939" t="e">
        <f t="shared" ref="R361:R366" si="18">(M361*P361)</f>
        <v>#REF!</v>
      </c>
      <c r="AG361" s="933" t="s">
        <v>120</v>
      </c>
    </row>
    <row r="362" spans="1:33" hidden="1">
      <c r="A362" s="940">
        <f t="shared" si="17"/>
        <v>198</v>
      </c>
      <c r="B362" s="933" t="s">
        <v>547</v>
      </c>
      <c r="C362" s="744">
        <v>26.16</v>
      </c>
      <c r="D362" s="743" t="s">
        <v>237</v>
      </c>
      <c r="E362"/>
      <c r="H362" s="933" t="s">
        <v>311</v>
      </c>
      <c r="I362"/>
      <c r="J362" s="805"/>
      <c r="K362" s="744" t="e">
        <f>SUM(K354:K360)</f>
        <v>#REF!</v>
      </c>
      <c r="M362" s="939">
        <v>2.2000000000000002</v>
      </c>
      <c r="N362" s="933" t="s">
        <v>131</v>
      </c>
      <c r="O362" s="933" t="s">
        <v>345</v>
      </c>
      <c r="P362" s="939">
        <f>(C10)</f>
        <v>150</v>
      </c>
      <c r="Q362" s="933" t="s">
        <v>131</v>
      </c>
      <c r="R362" s="939">
        <f t="shared" si="18"/>
        <v>330</v>
      </c>
      <c r="AG362" s="933" t="s">
        <v>120</v>
      </c>
    </row>
    <row r="363" spans="1:33" hidden="1">
      <c r="A363" s="940">
        <f t="shared" si="17"/>
        <v>199</v>
      </c>
      <c r="B363" s="933" t="s">
        <v>548</v>
      </c>
      <c r="C363" s="744">
        <v>34.32</v>
      </c>
      <c r="D363" s="743" t="s">
        <v>237</v>
      </c>
      <c r="E363"/>
      <c r="I363"/>
      <c r="J363" s="805"/>
      <c r="K363" s="776" t="s">
        <v>52</v>
      </c>
      <c r="M363" s="939">
        <v>0.5</v>
      </c>
      <c r="N363" s="933" t="s">
        <v>131</v>
      </c>
      <c r="O363" s="933" t="s">
        <v>304</v>
      </c>
      <c r="P363" s="939">
        <f>(C12)</f>
        <v>95</v>
      </c>
      <c r="Q363" s="933" t="s">
        <v>131</v>
      </c>
      <c r="R363" s="939">
        <f t="shared" si="18"/>
        <v>47.5</v>
      </c>
      <c r="AG363" s="933" t="s">
        <v>120</v>
      </c>
    </row>
    <row r="364" spans="1:33" hidden="1">
      <c r="A364" s="940">
        <f t="shared" ref="A364:A395" si="19">(A363+1)</f>
        <v>200</v>
      </c>
      <c r="B364" s="933" t="s">
        <v>549</v>
      </c>
      <c r="C364" s="744">
        <v>40.33</v>
      </c>
      <c r="D364" s="743" t="s">
        <v>237</v>
      </c>
      <c r="E364"/>
      <c r="H364" s="933" t="s">
        <v>242</v>
      </c>
      <c r="I364"/>
      <c r="J364" s="805"/>
      <c r="K364" s="744" t="e">
        <f>(K362/10)</f>
        <v>#REF!</v>
      </c>
      <c r="M364" s="939">
        <v>1.1000000000000001</v>
      </c>
      <c r="N364" s="933" t="s">
        <v>573</v>
      </c>
      <c r="O364" s="933" t="s">
        <v>574</v>
      </c>
      <c r="P364" s="939">
        <f>(C10)</f>
        <v>150</v>
      </c>
      <c r="Q364" s="933" t="s">
        <v>131</v>
      </c>
      <c r="R364" s="939">
        <f t="shared" si="18"/>
        <v>165</v>
      </c>
      <c r="AG364" s="933" t="s">
        <v>120</v>
      </c>
    </row>
    <row r="365" spans="1:33" hidden="1">
      <c r="A365" s="940">
        <f t="shared" si="19"/>
        <v>201</v>
      </c>
      <c r="B365" s="933" t="s">
        <v>575</v>
      </c>
      <c r="C365"/>
      <c r="D365" s="743" t="s">
        <v>85</v>
      </c>
      <c r="E365"/>
      <c r="I365"/>
      <c r="J365" s="805"/>
      <c r="K365" s="776" t="s">
        <v>89</v>
      </c>
      <c r="M365" s="939">
        <v>3.2</v>
      </c>
      <c r="N365" s="933" t="s">
        <v>131</v>
      </c>
      <c r="O365" s="933" t="s">
        <v>306</v>
      </c>
      <c r="P365" s="939">
        <f>(C13)</f>
        <v>85</v>
      </c>
      <c r="Q365" s="933" t="s">
        <v>131</v>
      </c>
      <c r="R365" s="939">
        <f t="shared" si="18"/>
        <v>272</v>
      </c>
      <c r="AG365" s="933" t="s">
        <v>120</v>
      </c>
    </row>
    <row r="366" spans="1:33" hidden="1">
      <c r="A366" s="940">
        <f t="shared" si="19"/>
        <v>202</v>
      </c>
      <c r="B366" s="933" t="s">
        <v>547</v>
      </c>
      <c r="C366" s="744">
        <v>20.329999999999998</v>
      </c>
      <c r="D366" s="743" t="s">
        <v>237</v>
      </c>
      <c r="E366"/>
      <c r="H366" s="933" t="s">
        <v>53</v>
      </c>
      <c r="I366"/>
      <c r="J366" s="805"/>
      <c r="K366" s="744" t="e">
        <f>(K364+C19)</f>
        <v>#REF!</v>
      </c>
      <c r="M366" s="939">
        <v>9.8000000000000007</v>
      </c>
      <c r="N366" s="933" t="s">
        <v>39</v>
      </c>
      <c r="O366" s="933" t="s">
        <v>409</v>
      </c>
      <c r="P366" s="939">
        <f>(C180)</f>
        <v>110</v>
      </c>
      <c r="Q366" s="933" t="s">
        <v>39</v>
      </c>
      <c r="R366" s="939">
        <f t="shared" si="18"/>
        <v>1078</v>
      </c>
      <c r="AG366" s="933" t="s">
        <v>120</v>
      </c>
    </row>
    <row r="367" spans="1:33" hidden="1">
      <c r="A367" s="940">
        <f t="shared" si="19"/>
        <v>203</v>
      </c>
      <c r="B367" s="933" t="s">
        <v>548</v>
      </c>
      <c r="C367" s="744">
        <v>26.6</v>
      </c>
      <c r="D367" s="743" t="s">
        <v>237</v>
      </c>
      <c r="E367"/>
      <c r="H367" s="933" t="s">
        <v>54</v>
      </c>
      <c r="I367"/>
      <c r="J367" s="805"/>
      <c r="K367" s="744" t="e">
        <f>(K366+C20)</f>
        <v>#REF!</v>
      </c>
      <c r="N367" s="933" t="s">
        <v>145</v>
      </c>
      <c r="O367" s="933" t="s">
        <v>146</v>
      </c>
      <c r="P367" s="933" t="s">
        <v>85</v>
      </c>
      <c r="Q367" s="933" t="s">
        <v>145</v>
      </c>
      <c r="R367" s="939">
        <v>0</v>
      </c>
      <c r="AG367" s="933" t="s">
        <v>120</v>
      </c>
    </row>
    <row r="368" spans="1:33" hidden="1">
      <c r="A368" s="940">
        <f t="shared" si="19"/>
        <v>204</v>
      </c>
      <c r="B368" s="933" t="s">
        <v>549</v>
      </c>
      <c r="C368" s="744">
        <v>33.89</v>
      </c>
      <c r="D368" s="743" t="s">
        <v>237</v>
      </c>
      <c r="E368"/>
      <c r="H368" s="933" t="s">
        <v>55</v>
      </c>
      <c r="I368"/>
      <c r="J368" s="805"/>
      <c r="K368" s="744" t="e">
        <f>(K367+C21)</f>
        <v>#REF!</v>
      </c>
      <c r="R368" s="935" t="s">
        <v>52</v>
      </c>
      <c r="AG368" s="933" t="s">
        <v>120</v>
      </c>
    </row>
    <row r="369" spans="1:33" hidden="1">
      <c r="A369" s="940">
        <f t="shared" si="19"/>
        <v>205</v>
      </c>
      <c r="B369" s="933" t="s">
        <v>576</v>
      </c>
      <c r="C369"/>
      <c r="D369"/>
      <c r="E369"/>
      <c r="H369" s="933" t="s">
        <v>56</v>
      </c>
      <c r="I369"/>
      <c r="J369" s="805"/>
      <c r="K369" s="744" t="e">
        <f>(K368+C21)</f>
        <v>#REF!</v>
      </c>
      <c r="O369" s="933" t="s">
        <v>495</v>
      </c>
      <c r="R369" s="939" t="e">
        <f>SUM(R361:R367)</f>
        <v>#REF!</v>
      </c>
      <c r="AG369" s="933" t="s">
        <v>120</v>
      </c>
    </row>
    <row r="370" spans="1:33" hidden="1">
      <c r="A370" s="940">
        <f t="shared" si="19"/>
        <v>206</v>
      </c>
      <c r="B370" s="933" t="s">
        <v>547</v>
      </c>
      <c r="C370" s="744">
        <v>13.29</v>
      </c>
      <c r="D370" s="743" t="s">
        <v>237</v>
      </c>
      <c r="E370"/>
      <c r="H370" s="933" t="s">
        <v>526</v>
      </c>
      <c r="I370"/>
      <c r="J370" s="805"/>
      <c r="K370" s="744" t="e">
        <f>(K369+C21)</f>
        <v>#REF!</v>
      </c>
      <c r="R370" s="935" t="s">
        <v>52</v>
      </c>
      <c r="AG370" s="933" t="s">
        <v>120</v>
      </c>
    </row>
    <row r="371" spans="1:33" hidden="1">
      <c r="A371" s="940">
        <f t="shared" si="19"/>
        <v>207</v>
      </c>
      <c r="B371" s="933" t="s">
        <v>548</v>
      </c>
      <c r="C371" s="744">
        <v>18.02</v>
      </c>
      <c r="D371" s="743" t="s">
        <v>237</v>
      </c>
      <c r="E371"/>
      <c r="H371" s="933" t="s">
        <v>577</v>
      </c>
      <c r="I371"/>
      <c r="J371" s="805"/>
      <c r="K371" s="744" t="e">
        <f>(K366+K367+K368)/3</f>
        <v>#REF!</v>
      </c>
      <c r="O371" s="933" t="s">
        <v>460</v>
      </c>
      <c r="R371" s="939" t="e">
        <f>(R369/10)</f>
        <v>#REF!</v>
      </c>
      <c r="AG371" s="933" t="s">
        <v>120</v>
      </c>
    </row>
    <row r="372" spans="1:33" hidden="1">
      <c r="A372" s="940">
        <f t="shared" si="19"/>
        <v>208</v>
      </c>
      <c r="B372" s="933" t="s">
        <v>549</v>
      </c>
      <c r="C372" s="744">
        <v>23.17</v>
      </c>
      <c r="D372" s="743" t="s">
        <v>237</v>
      </c>
      <c r="E372"/>
      <c r="I372"/>
      <c r="J372" s="805"/>
      <c r="K372"/>
      <c r="R372" s="935" t="s">
        <v>89</v>
      </c>
      <c r="AG372" s="933" t="s">
        <v>120</v>
      </c>
    </row>
    <row r="373" spans="1:33" hidden="1">
      <c r="A373" s="940">
        <f t="shared" si="19"/>
        <v>209</v>
      </c>
      <c r="B373" s="933" t="s">
        <v>578</v>
      </c>
      <c r="C373"/>
      <c r="D373" s="743" t="s">
        <v>85</v>
      </c>
      <c r="E373"/>
      <c r="H373" s="934" t="s">
        <v>579</v>
      </c>
      <c r="I373"/>
      <c r="J373" s="805"/>
      <c r="K373"/>
      <c r="N373" s="933" t="s">
        <v>111</v>
      </c>
      <c r="O373" s="933" t="s">
        <v>580</v>
      </c>
      <c r="AG373" s="933" t="s">
        <v>120</v>
      </c>
    </row>
    <row r="374" spans="1:33" hidden="1">
      <c r="A374" s="940">
        <f t="shared" si="19"/>
        <v>210</v>
      </c>
      <c r="B374" s="933" t="s">
        <v>547</v>
      </c>
      <c r="C374" s="744">
        <v>9</v>
      </c>
      <c r="D374" s="743" t="s">
        <v>237</v>
      </c>
      <c r="E374"/>
      <c r="H374" s="935" t="s">
        <v>52</v>
      </c>
      <c r="I374"/>
      <c r="J374" s="805"/>
      <c r="K374"/>
      <c r="O374" s="935" t="s">
        <v>52</v>
      </c>
      <c r="AG374" s="933" t="s">
        <v>120</v>
      </c>
    </row>
    <row r="375" spans="1:33" hidden="1">
      <c r="A375" s="940">
        <f t="shared" si="19"/>
        <v>211</v>
      </c>
      <c r="B375" s="933" t="s">
        <v>548</v>
      </c>
      <c r="C375" s="744">
        <v>11.58</v>
      </c>
      <c r="D375" s="743" t="s">
        <v>237</v>
      </c>
      <c r="E375"/>
      <c r="F375" s="944">
        <v>10</v>
      </c>
      <c r="G375" s="938" t="s">
        <v>111</v>
      </c>
      <c r="H375" s="933" t="s">
        <v>567</v>
      </c>
      <c r="I375"/>
      <c r="J375" s="805"/>
      <c r="K375"/>
      <c r="M375" s="939">
        <v>0.05</v>
      </c>
      <c r="N375" s="933" t="s">
        <v>132</v>
      </c>
      <c r="O375" s="933" t="s">
        <v>202</v>
      </c>
      <c r="P375" s="939">
        <f>(C84)</f>
        <v>773</v>
      </c>
      <c r="Q375" s="933" t="s">
        <v>132</v>
      </c>
      <c r="R375" s="939">
        <f>(M375*P375)</f>
        <v>38.65</v>
      </c>
      <c r="AG375" s="933" t="s">
        <v>120</v>
      </c>
    </row>
    <row r="376" spans="1:33" hidden="1">
      <c r="A376" s="940">
        <f t="shared" si="19"/>
        <v>212</v>
      </c>
      <c r="B376" s="933" t="s">
        <v>549</v>
      </c>
      <c r="C376" s="744">
        <v>14.15</v>
      </c>
      <c r="D376" s="743" t="s">
        <v>237</v>
      </c>
      <c r="E376"/>
      <c r="H376" s="939" t="str">
        <f>H308</f>
        <v>Bricks of size 22x11x7 cm</v>
      </c>
      <c r="I376"/>
      <c r="J376" s="805"/>
      <c r="K376"/>
      <c r="M376" s="939">
        <v>1.1000000000000001</v>
      </c>
      <c r="N376" s="933" t="s">
        <v>131</v>
      </c>
      <c r="O376" s="933" t="s">
        <v>302</v>
      </c>
      <c r="P376" s="939">
        <f>(C11)</f>
        <v>135</v>
      </c>
      <c r="Q376" s="933" t="s">
        <v>131</v>
      </c>
      <c r="R376" s="939">
        <f>(M376*P376)</f>
        <v>148.5</v>
      </c>
      <c r="AG376" s="933" t="s">
        <v>120</v>
      </c>
    </row>
    <row r="377" spans="1:33" hidden="1">
      <c r="A377" s="940">
        <f t="shared" si="19"/>
        <v>213</v>
      </c>
      <c r="B377" s="933" t="s">
        <v>581</v>
      </c>
      <c r="C377"/>
      <c r="D377"/>
      <c r="E377"/>
      <c r="H377" s="935" t="s">
        <v>52</v>
      </c>
      <c r="I377"/>
      <c r="J377" s="805"/>
      <c r="K377"/>
      <c r="M377" s="939">
        <v>0.3</v>
      </c>
      <c r="N377" s="933" t="s">
        <v>131</v>
      </c>
      <c r="O377" s="933" t="s">
        <v>304</v>
      </c>
      <c r="P377" s="939">
        <f>(C12)</f>
        <v>95</v>
      </c>
      <c r="Q377" s="933" t="s">
        <v>131</v>
      </c>
      <c r="R377" s="939">
        <f>(M377*P377)</f>
        <v>28.5</v>
      </c>
      <c r="AG377" s="933" t="s">
        <v>120</v>
      </c>
    </row>
    <row r="378" spans="1:33" hidden="1">
      <c r="A378" s="940">
        <f t="shared" si="19"/>
        <v>214</v>
      </c>
      <c r="B378" s="933" t="s">
        <v>547</v>
      </c>
      <c r="C378" s="744">
        <v>4.29</v>
      </c>
      <c r="D378" s="743" t="s">
        <v>237</v>
      </c>
      <c r="E378"/>
      <c r="F378" s="939">
        <f>F310</f>
        <v>4800</v>
      </c>
      <c r="G378" s="938" t="s">
        <v>338</v>
      </c>
      <c r="H378" s="939" t="str">
        <f>H308</f>
        <v>Bricks of size 22x11x7 cm</v>
      </c>
      <c r="I378" s="744" t="e">
        <f>(C80)</f>
        <v>#REF!</v>
      </c>
      <c r="J378" s="779" t="s">
        <v>339</v>
      </c>
      <c r="K378" s="744" t="e">
        <f>(F378*I378)/1000</f>
        <v>#REF!</v>
      </c>
      <c r="M378" s="939">
        <v>1.9</v>
      </c>
      <c r="N378" s="933" t="s">
        <v>131</v>
      </c>
      <c r="O378" s="933" t="s">
        <v>306</v>
      </c>
      <c r="P378" s="939">
        <f>(C13)</f>
        <v>85</v>
      </c>
      <c r="Q378" s="933" t="s">
        <v>131</v>
      </c>
      <c r="R378" s="939">
        <f>(M378*P378)</f>
        <v>161.5</v>
      </c>
      <c r="AG378" s="933" t="s">
        <v>120</v>
      </c>
    </row>
    <row r="379" spans="1:33" hidden="1">
      <c r="A379" s="940">
        <f t="shared" si="19"/>
        <v>215</v>
      </c>
      <c r="B379" s="933" t="s">
        <v>548</v>
      </c>
      <c r="C379" s="744">
        <v>6.01</v>
      </c>
      <c r="D379" s="743" t="s">
        <v>237</v>
      </c>
      <c r="E379"/>
      <c r="F379" s="939">
        <v>1.59</v>
      </c>
      <c r="G379" s="938" t="s">
        <v>132</v>
      </c>
      <c r="H379" s="933" t="s">
        <v>259</v>
      </c>
      <c r="I379" s="744" t="e">
        <f>(K40)</f>
        <v>#REF!</v>
      </c>
      <c r="J379" s="779" t="s">
        <v>132</v>
      </c>
      <c r="K379" s="744" t="e">
        <f>(F379*I379)</f>
        <v>#REF!</v>
      </c>
      <c r="N379" s="933" t="s">
        <v>145</v>
      </c>
      <c r="O379" s="933" t="s">
        <v>582</v>
      </c>
      <c r="P379" s="933" t="s">
        <v>85</v>
      </c>
      <c r="Q379" s="933" t="s">
        <v>145</v>
      </c>
      <c r="R379" s="939">
        <v>1.46</v>
      </c>
      <c r="AG379" s="933" t="s">
        <v>120</v>
      </c>
    </row>
    <row r="380" spans="1:33" hidden="1">
      <c r="A380" s="940">
        <f t="shared" si="19"/>
        <v>216</v>
      </c>
      <c r="B380" s="933" t="s">
        <v>549</v>
      </c>
      <c r="C380" s="744">
        <v>6.86</v>
      </c>
      <c r="D380" s="743" t="s">
        <v>237</v>
      </c>
      <c r="E380"/>
      <c r="F380" s="939">
        <v>7</v>
      </c>
      <c r="G380" s="938" t="s">
        <v>131</v>
      </c>
      <c r="H380" s="933" t="s">
        <v>345</v>
      </c>
      <c r="I380" s="744">
        <f>(C10)</f>
        <v>150</v>
      </c>
      <c r="J380" s="779" t="s">
        <v>131</v>
      </c>
      <c r="K380" s="744">
        <f>(F380*I380)</f>
        <v>1050</v>
      </c>
      <c r="R380" s="935" t="s">
        <v>52</v>
      </c>
      <c r="AG380" s="933" t="s">
        <v>120</v>
      </c>
    </row>
    <row r="381" spans="1:33" hidden="1">
      <c r="A381" s="940">
        <f t="shared" si="19"/>
        <v>217</v>
      </c>
      <c r="B381" s="933" t="s">
        <v>583</v>
      </c>
      <c r="C381"/>
      <c r="D381" s="743" t="s">
        <v>85</v>
      </c>
      <c r="E381"/>
      <c r="F381" s="939">
        <v>7.1</v>
      </c>
      <c r="G381" s="938" t="s">
        <v>131</v>
      </c>
      <c r="H381" s="933" t="s">
        <v>302</v>
      </c>
      <c r="I381" s="744">
        <f>(C11)</f>
        <v>135</v>
      </c>
      <c r="J381" s="779" t="s">
        <v>131</v>
      </c>
      <c r="K381" s="744">
        <f>(F381*I381)</f>
        <v>958.5</v>
      </c>
      <c r="O381" s="933" t="s">
        <v>584</v>
      </c>
      <c r="R381" s="939">
        <f>SUM(R374:R379)</f>
        <v>378.61</v>
      </c>
      <c r="AG381" s="933" t="s">
        <v>120</v>
      </c>
    </row>
    <row r="382" spans="1:33" hidden="1">
      <c r="A382" s="940">
        <f t="shared" si="19"/>
        <v>218</v>
      </c>
      <c r="B382" s="933" t="s">
        <v>547</v>
      </c>
      <c r="C382" s="744">
        <v>14.91</v>
      </c>
      <c r="D382" s="743" t="s">
        <v>237</v>
      </c>
      <c r="E382"/>
      <c r="F382" s="939">
        <v>7.1</v>
      </c>
      <c r="G382" s="938" t="s">
        <v>131</v>
      </c>
      <c r="H382" s="933" t="s">
        <v>304</v>
      </c>
      <c r="I382" s="744">
        <f>(C12)</f>
        <v>95</v>
      </c>
      <c r="J382" s="779" t="s">
        <v>131</v>
      </c>
      <c r="K382" s="744">
        <f>(F382*I382)</f>
        <v>674.5</v>
      </c>
      <c r="R382" s="935" t="s">
        <v>52</v>
      </c>
      <c r="AG382" s="933" t="s">
        <v>120</v>
      </c>
    </row>
    <row r="383" spans="1:33" hidden="1">
      <c r="A383" s="940">
        <f t="shared" si="19"/>
        <v>219</v>
      </c>
      <c r="B383" s="933" t="s">
        <v>548</v>
      </c>
      <c r="C383" s="744">
        <v>17.579999999999998</v>
      </c>
      <c r="D383" s="743" t="s">
        <v>237</v>
      </c>
      <c r="E383"/>
      <c r="F383" s="939">
        <v>21.2</v>
      </c>
      <c r="G383" s="938" t="s">
        <v>131</v>
      </c>
      <c r="H383" s="933" t="s">
        <v>306</v>
      </c>
      <c r="I383" s="744">
        <f>(C13)</f>
        <v>85</v>
      </c>
      <c r="J383" s="779" t="s">
        <v>131</v>
      </c>
      <c r="K383" s="744">
        <f>(F383*I383)</f>
        <v>1802</v>
      </c>
      <c r="O383" s="933" t="s">
        <v>460</v>
      </c>
      <c r="R383" s="939">
        <f>(R381/100)</f>
        <v>3.79</v>
      </c>
      <c r="AG383" s="933" t="s">
        <v>120</v>
      </c>
    </row>
    <row r="384" spans="1:33" hidden="1">
      <c r="A384" s="940">
        <f t="shared" si="19"/>
        <v>220</v>
      </c>
      <c r="B384" s="933" t="s">
        <v>549</v>
      </c>
      <c r="C384" s="744">
        <v>19.3</v>
      </c>
      <c r="D384" s="743" t="s">
        <v>237</v>
      </c>
      <c r="E384"/>
      <c r="G384" s="938" t="s">
        <v>145</v>
      </c>
      <c r="H384" s="933" t="s">
        <v>146</v>
      </c>
      <c r="I384" s="743" t="s">
        <v>85</v>
      </c>
      <c r="J384" s="779" t="s">
        <v>145</v>
      </c>
      <c r="K384" s="744">
        <v>0</v>
      </c>
      <c r="R384" s="935" t="s">
        <v>89</v>
      </c>
      <c r="AG384" s="933" t="s">
        <v>120</v>
      </c>
    </row>
    <row r="385" spans="1:33" hidden="1">
      <c r="A385" s="940">
        <f t="shared" si="19"/>
        <v>221</v>
      </c>
      <c r="B385" s="933" t="s">
        <v>585</v>
      </c>
      <c r="C385"/>
      <c r="D385"/>
      <c r="E385"/>
      <c r="I385"/>
      <c r="J385" s="805"/>
      <c r="K385" s="776" t="s">
        <v>52</v>
      </c>
      <c r="AG385" s="933" t="s">
        <v>307</v>
      </c>
    </row>
    <row r="386" spans="1:33" hidden="1">
      <c r="A386" s="940">
        <f t="shared" si="19"/>
        <v>222</v>
      </c>
      <c r="B386" s="933" t="s">
        <v>547</v>
      </c>
      <c r="C386" s="744">
        <v>15.87</v>
      </c>
      <c r="D386" s="743" t="s">
        <v>237</v>
      </c>
      <c r="E386"/>
      <c r="H386" s="933" t="s">
        <v>311</v>
      </c>
      <c r="I386"/>
      <c r="J386" s="805"/>
      <c r="K386" s="744" t="e">
        <f>SUM(K378:K384)</f>
        <v>#REF!</v>
      </c>
    </row>
    <row r="387" spans="1:33" hidden="1">
      <c r="A387" s="940">
        <f t="shared" si="19"/>
        <v>223</v>
      </c>
      <c r="B387" s="933" t="s">
        <v>548</v>
      </c>
      <c r="C387" s="744">
        <v>20.16</v>
      </c>
      <c r="D387" s="743" t="s">
        <v>237</v>
      </c>
      <c r="E387"/>
      <c r="I387"/>
      <c r="J387" s="805"/>
      <c r="K387" s="776" t="s">
        <v>52</v>
      </c>
      <c r="N387" s="933" t="s">
        <v>483</v>
      </c>
      <c r="O387" s="933" t="s">
        <v>586</v>
      </c>
    </row>
    <row r="388" spans="1:33" hidden="1">
      <c r="A388" s="940">
        <f t="shared" si="19"/>
        <v>224</v>
      </c>
      <c r="B388" s="933" t="s">
        <v>549</v>
      </c>
      <c r="C388" s="744">
        <v>22.31</v>
      </c>
      <c r="D388" s="743" t="s">
        <v>237</v>
      </c>
      <c r="E388"/>
      <c r="H388" s="933" t="s">
        <v>242</v>
      </c>
      <c r="I388"/>
      <c r="J388" s="805"/>
      <c r="K388" s="744" t="e">
        <f>(K386/10)</f>
        <v>#REF!</v>
      </c>
      <c r="O388" s="935" t="s">
        <v>52</v>
      </c>
      <c r="AG388" s="933" t="s">
        <v>120</v>
      </c>
    </row>
    <row r="389" spans="1:33" hidden="1">
      <c r="A389" s="940">
        <f t="shared" si="19"/>
        <v>225</v>
      </c>
      <c r="B389" s="933" t="s">
        <v>587</v>
      </c>
      <c r="C389"/>
      <c r="D389" s="743" t="s">
        <v>85</v>
      </c>
      <c r="E389"/>
      <c r="I389"/>
      <c r="J389" s="805"/>
      <c r="K389" s="776" t="s">
        <v>89</v>
      </c>
      <c r="M389" s="939">
        <v>7.0000000000000007E-2</v>
      </c>
      <c r="N389" s="933" t="s">
        <v>132</v>
      </c>
      <c r="O389" s="933" t="s">
        <v>202</v>
      </c>
      <c r="P389" s="939">
        <f>(C84)</f>
        <v>773</v>
      </c>
      <c r="Q389" s="933" t="s">
        <v>132</v>
      </c>
      <c r="R389" s="939">
        <f>(M389*P389)</f>
        <v>54.11</v>
      </c>
      <c r="AG389" s="933" t="s">
        <v>120</v>
      </c>
    </row>
    <row r="390" spans="1:33" hidden="1">
      <c r="A390" s="940">
        <f t="shared" si="19"/>
        <v>226</v>
      </c>
      <c r="B390" s="933" t="s">
        <v>588</v>
      </c>
      <c r="C390" s="744">
        <v>26.4</v>
      </c>
      <c r="D390" s="743" t="s">
        <v>282</v>
      </c>
      <c r="E390"/>
      <c r="I390"/>
      <c r="J390" s="805"/>
      <c r="K390"/>
      <c r="M390" s="939">
        <v>1.6</v>
      </c>
      <c r="N390" s="933" t="s">
        <v>131</v>
      </c>
      <c r="O390" s="933" t="s">
        <v>302</v>
      </c>
      <c r="P390" s="939">
        <f>(C11)</f>
        <v>135</v>
      </c>
      <c r="Q390" s="933" t="s">
        <v>131</v>
      </c>
      <c r="R390" s="939">
        <f>(M390*P390)</f>
        <v>216</v>
      </c>
      <c r="AG390" s="933" t="s">
        <v>120</v>
      </c>
    </row>
    <row r="391" spans="1:33" hidden="1">
      <c r="A391" s="940">
        <f t="shared" si="19"/>
        <v>227</v>
      </c>
      <c r="B391" s="933" t="s">
        <v>589</v>
      </c>
      <c r="C391" s="744">
        <v>35.26</v>
      </c>
      <c r="D391" s="743" t="s">
        <v>282</v>
      </c>
      <c r="E391"/>
      <c r="G391" s="938" t="s">
        <v>483</v>
      </c>
      <c r="H391" s="933" t="s">
        <v>590</v>
      </c>
      <c r="I391"/>
      <c r="J391" s="805"/>
      <c r="K391"/>
      <c r="M391" s="939">
        <v>0.5</v>
      </c>
      <c r="N391" s="933" t="s">
        <v>131</v>
      </c>
      <c r="O391" s="933" t="s">
        <v>304</v>
      </c>
      <c r="P391" s="939">
        <f>(C12)</f>
        <v>95</v>
      </c>
      <c r="Q391" s="933" t="s">
        <v>131</v>
      </c>
      <c r="R391" s="939">
        <f>(M391*P391)</f>
        <v>47.5</v>
      </c>
      <c r="AG391" s="933" t="s">
        <v>120</v>
      </c>
    </row>
    <row r="392" spans="1:33" hidden="1">
      <c r="A392" s="940">
        <f t="shared" si="19"/>
        <v>228</v>
      </c>
      <c r="B392" s="933" t="s">
        <v>591</v>
      </c>
      <c r="C392" s="744">
        <v>48.71</v>
      </c>
      <c r="D392" s="743" t="s">
        <v>282</v>
      </c>
      <c r="E392"/>
      <c r="H392" s="935" t="s">
        <v>52</v>
      </c>
      <c r="I392"/>
      <c r="J392" s="805"/>
      <c r="K392"/>
      <c r="M392" s="939">
        <v>2.7</v>
      </c>
      <c r="N392" s="933" t="s">
        <v>131</v>
      </c>
      <c r="O392" s="933" t="s">
        <v>306</v>
      </c>
      <c r="P392" s="939">
        <f>(C13)</f>
        <v>85</v>
      </c>
      <c r="Q392" s="933" t="s">
        <v>131</v>
      </c>
      <c r="R392" s="939">
        <f>(M392*P392)</f>
        <v>229.5</v>
      </c>
      <c r="AG392" s="933" t="s">
        <v>120</v>
      </c>
    </row>
    <row r="393" spans="1:33" hidden="1">
      <c r="A393" s="940">
        <f t="shared" si="19"/>
        <v>229</v>
      </c>
      <c r="B393" s="933" t="s">
        <v>592</v>
      </c>
      <c r="C393" s="744">
        <v>58.75</v>
      </c>
      <c r="D393" s="743" t="s">
        <v>282</v>
      </c>
      <c r="E393"/>
      <c r="F393" s="939">
        <v>1.1000000000000001</v>
      </c>
      <c r="G393" s="938" t="s">
        <v>132</v>
      </c>
      <c r="H393" s="933" t="s">
        <v>593</v>
      </c>
      <c r="I393" s="744" t="e">
        <f>(K388)</f>
        <v>#REF!</v>
      </c>
      <c r="J393" s="779" t="s">
        <v>131</v>
      </c>
      <c r="K393" s="744" t="e">
        <f>(F393*I393)</f>
        <v>#REF!</v>
      </c>
      <c r="N393" s="933" t="s">
        <v>145</v>
      </c>
      <c r="O393" s="933" t="s">
        <v>582</v>
      </c>
      <c r="P393" s="933" t="s">
        <v>85</v>
      </c>
      <c r="Q393" s="933" t="s">
        <v>145</v>
      </c>
      <c r="R393" s="939">
        <v>2.09</v>
      </c>
      <c r="AG393" s="933" t="s">
        <v>120</v>
      </c>
    </row>
    <row r="394" spans="1:33" hidden="1">
      <c r="A394" s="940">
        <f t="shared" si="19"/>
        <v>230</v>
      </c>
      <c r="B394" s="933" t="s">
        <v>594</v>
      </c>
      <c r="C394" s="744">
        <v>70.2</v>
      </c>
      <c r="D394" s="743" t="s">
        <v>282</v>
      </c>
      <c r="E394"/>
      <c r="F394" s="939">
        <v>1</v>
      </c>
      <c r="G394" s="938" t="s">
        <v>237</v>
      </c>
      <c r="H394" s="933" t="s">
        <v>345</v>
      </c>
      <c r="I394" s="744">
        <f>(C10)</f>
        <v>150</v>
      </c>
      <c r="J394" s="779" t="s">
        <v>131</v>
      </c>
      <c r="K394" s="744">
        <f>(F394*I394)</f>
        <v>150</v>
      </c>
      <c r="R394" s="935" t="s">
        <v>52</v>
      </c>
      <c r="AG394" s="933" t="s">
        <v>120</v>
      </c>
    </row>
    <row r="395" spans="1:33" hidden="1">
      <c r="A395" s="940">
        <f t="shared" si="19"/>
        <v>231</v>
      </c>
      <c r="B395" s="933" t="s">
        <v>547</v>
      </c>
      <c r="C395" s="744">
        <v>91.85</v>
      </c>
      <c r="D395" s="743" t="s">
        <v>282</v>
      </c>
      <c r="E395"/>
      <c r="G395" s="938" t="s">
        <v>145</v>
      </c>
      <c r="H395" s="933" t="s">
        <v>146</v>
      </c>
      <c r="I395" s="743" t="s">
        <v>85</v>
      </c>
      <c r="J395" s="779" t="s">
        <v>145</v>
      </c>
      <c r="K395" s="744">
        <v>0</v>
      </c>
      <c r="O395" s="933" t="s">
        <v>584</v>
      </c>
      <c r="R395" s="939">
        <f>SUM(R388:R393)</f>
        <v>549.20000000000005</v>
      </c>
      <c r="AG395" s="933" t="s">
        <v>120</v>
      </c>
    </row>
    <row r="396" spans="1:33" hidden="1">
      <c r="A396" s="940">
        <f t="shared" ref="A396:A420" si="20">(A395+1)</f>
        <v>232</v>
      </c>
      <c r="B396" s="933" t="s">
        <v>595</v>
      </c>
      <c r="C396" s="744">
        <v>128</v>
      </c>
      <c r="D396" s="743" t="s">
        <v>282</v>
      </c>
      <c r="E396"/>
      <c r="I396"/>
      <c r="J396" s="805"/>
      <c r="K396" s="776" t="s">
        <v>52</v>
      </c>
      <c r="R396" s="935" t="s">
        <v>52</v>
      </c>
      <c r="AG396" s="933" t="s">
        <v>120</v>
      </c>
    </row>
    <row r="397" spans="1:33" hidden="1">
      <c r="A397" s="940">
        <f t="shared" si="20"/>
        <v>233</v>
      </c>
      <c r="B397" s="933" t="s">
        <v>596</v>
      </c>
      <c r="C397"/>
      <c r="D397"/>
      <c r="E397"/>
      <c r="H397" s="933" t="s">
        <v>495</v>
      </c>
      <c r="I397"/>
      <c r="J397" s="805"/>
      <c r="K397" s="744" t="e">
        <f>SUM(K393:K395)</f>
        <v>#REF!</v>
      </c>
      <c r="O397" s="933" t="s">
        <v>460</v>
      </c>
      <c r="R397" s="939">
        <f>(R395/100)</f>
        <v>5.49</v>
      </c>
      <c r="AG397" s="933" t="s">
        <v>120</v>
      </c>
    </row>
    <row r="398" spans="1:33" hidden="1">
      <c r="A398" s="940">
        <f t="shared" si="20"/>
        <v>234</v>
      </c>
      <c r="B398" s="933" t="s">
        <v>588</v>
      </c>
      <c r="C398" s="744">
        <v>9</v>
      </c>
      <c r="D398" s="743" t="s">
        <v>131</v>
      </c>
      <c r="E398"/>
      <c r="I398"/>
      <c r="J398" s="805"/>
      <c r="K398" s="776" t="s">
        <v>52</v>
      </c>
      <c r="R398" s="935" t="s">
        <v>89</v>
      </c>
      <c r="AG398" s="933" t="s">
        <v>120</v>
      </c>
    </row>
    <row r="399" spans="1:33" hidden="1">
      <c r="A399" s="940">
        <f t="shared" si="20"/>
        <v>235</v>
      </c>
      <c r="B399" s="933" t="s">
        <v>589</v>
      </c>
      <c r="C399" s="744">
        <v>11</v>
      </c>
      <c r="D399" s="743" t="s">
        <v>131</v>
      </c>
      <c r="E399"/>
      <c r="H399" s="933" t="s">
        <v>460</v>
      </c>
      <c r="I399"/>
      <c r="J399" s="805"/>
      <c r="K399" s="744" t="e">
        <f>(K397/10)</f>
        <v>#REF!</v>
      </c>
      <c r="N399" s="933" t="s">
        <v>483</v>
      </c>
      <c r="O399" s="933" t="s">
        <v>597</v>
      </c>
      <c r="AG399" s="933" t="s">
        <v>120</v>
      </c>
    </row>
    <row r="400" spans="1:33" hidden="1">
      <c r="A400" s="940">
        <f t="shared" si="20"/>
        <v>236</v>
      </c>
      <c r="B400" s="933" t="s">
        <v>591</v>
      </c>
      <c r="C400" s="744">
        <v>18</v>
      </c>
      <c r="D400" s="743" t="s">
        <v>131</v>
      </c>
      <c r="E400"/>
      <c r="I400"/>
      <c r="J400" s="805"/>
      <c r="K400" s="776" t="s">
        <v>89</v>
      </c>
      <c r="O400" s="935" t="s">
        <v>52</v>
      </c>
      <c r="AG400" s="933" t="s">
        <v>120</v>
      </c>
    </row>
    <row r="401" spans="1:33" hidden="1">
      <c r="A401" s="940">
        <f t="shared" si="20"/>
        <v>237</v>
      </c>
      <c r="B401" s="933" t="s">
        <v>592</v>
      </c>
      <c r="C401" s="744">
        <v>24.6</v>
      </c>
      <c r="D401" s="743" t="s">
        <v>131</v>
      </c>
      <c r="E401"/>
      <c r="H401" s="933" t="s">
        <v>53</v>
      </c>
      <c r="I401"/>
      <c r="J401" s="805"/>
      <c r="K401" s="744" t="e">
        <f>(K399+C19/10*F393)</f>
        <v>#REF!</v>
      </c>
      <c r="M401" s="939">
        <v>10</v>
      </c>
      <c r="N401" s="933" t="s">
        <v>425</v>
      </c>
      <c r="O401" s="933" t="s">
        <v>586</v>
      </c>
      <c r="P401" s="939">
        <f>(R397)</f>
        <v>5.49</v>
      </c>
      <c r="Q401" s="933" t="s">
        <v>425</v>
      </c>
      <c r="R401" s="939">
        <f>(M401*P401)</f>
        <v>54.9</v>
      </c>
      <c r="AG401" s="933" t="s">
        <v>120</v>
      </c>
    </row>
    <row r="402" spans="1:33" hidden="1">
      <c r="A402" s="940">
        <f t="shared" si="20"/>
        <v>238</v>
      </c>
      <c r="B402" s="933" t="s">
        <v>594</v>
      </c>
      <c r="C402" s="744">
        <v>31.46</v>
      </c>
      <c r="D402" s="743" t="s">
        <v>131</v>
      </c>
      <c r="E402"/>
      <c r="H402" s="933" t="s">
        <v>54</v>
      </c>
      <c r="I402"/>
      <c r="J402" s="805"/>
      <c r="K402" s="744" t="e">
        <f>(K401+C20/10*F393)</f>
        <v>#REF!</v>
      </c>
      <c r="M402" s="939">
        <v>10</v>
      </c>
      <c r="N402" s="933" t="s">
        <v>425</v>
      </c>
      <c r="O402" s="933" t="s">
        <v>598</v>
      </c>
      <c r="P402" s="939">
        <f>(R397/2)</f>
        <v>2.75</v>
      </c>
      <c r="Q402" s="933" t="s">
        <v>425</v>
      </c>
      <c r="R402" s="939">
        <f>(M402*P402)</f>
        <v>27.5</v>
      </c>
      <c r="AG402" s="933" t="s">
        <v>120</v>
      </c>
    </row>
    <row r="403" spans="1:33" hidden="1">
      <c r="A403" s="940">
        <f t="shared" si="20"/>
        <v>239</v>
      </c>
      <c r="B403" s="933" t="s">
        <v>547</v>
      </c>
      <c r="C403" s="744">
        <v>53.2</v>
      </c>
      <c r="D403" s="743" t="s">
        <v>131</v>
      </c>
      <c r="E403"/>
      <c r="H403" s="933" t="s">
        <v>55</v>
      </c>
      <c r="I403"/>
      <c r="J403" s="805"/>
      <c r="K403" s="744" t="e">
        <f>(K402+C21/10*F393)</f>
        <v>#REF!</v>
      </c>
      <c r="O403" s="933" t="s">
        <v>599</v>
      </c>
      <c r="R403" s="935" t="s">
        <v>52</v>
      </c>
      <c r="AG403" s="933" t="s">
        <v>120</v>
      </c>
    </row>
    <row r="404" spans="1:33" hidden="1">
      <c r="A404" s="940">
        <f t="shared" si="20"/>
        <v>240</v>
      </c>
      <c r="B404" s="933" t="s">
        <v>595</v>
      </c>
      <c r="C404" s="744">
        <v>76.36</v>
      </c>
      <c r="D404" s="743" t="s">
        <v>131</v>
      </c>
      <c r="E404"/>
      <c r="H404" s="933" t="s">
        <v>56</v>
      </c>
      <c r="I404"/>
      <c r="J404" s="805"/>
      <c r="K404" s="744" t="e">
        <f>(K403+C21/10*F393)</f>
        <v>#REF!</v>
      </c>
      <c r="R404" s="939">
        <f>SUM(R401:R402)</f>
        <v>82.4</v>
      </c>
      <c r="AG404" s="933" t="s">
        <v>120</v>
      </c>
    </row>
    <row r="405" spans="1:33" hidden="1">
      <c r="A405" s="940">
        <f t="shared" si="20"/>
        <v>241</v>
      </c>
      <c r="B405" s="933" t="s">
        <v>600</v>
      </c>
      <c r="C405"/>
      <c r="D405" s="743" t="s">
        <v>85</v>
      </c>
      <c r="E405"/>
      <c r="H405" s="933" t="s">
        <v>57</v>
      </c>
      <c r="I405"/>
      <c r="J405" s="805"/>
      <c r="K405" s="744" t="e">
        <f>(K404+C21/10*F393)</f>
        <v>#REF!</v>
      </c>
      <c r="O405" s="933" t="s">
        <v>495</v>
      </c>
      <c r="R405" s="935" t="s">
        <v>52</v>
      </c>
      <c r="AG405" s="933" t="s">
        <v>120</v>
      </c>
    </row>
    <row r="406" spans="1:33" hidden="1">
      <c r="A406" s="940">
        <f t="shared" si="20"/>
        <v>242</v>
      </c>
      <c r="B406" s="933" t="s">
        <v>588</v>
      </c>
      <c r="C406" s="744">
        <v>5.5</v>
      </c>
      <c r="D406" s="743" t="s">
        <v>131</v>
      </c>
      <c r="E406"/>
      <c r="F406" s="944">
        <v>11</v>
      </c>
      <c r="G406" s="938" t="s">
        <v>111</v>
      </c>
      <c r="H406" s="933" t="s">
        <v>567</v>
      </c>
      <c r="I406"/>
      <c r="J406" s="805"/>
      <c r="K406"/>
      <c r="R406" s="939">
        <f>(R404/10)</f>
        <v>8.24</v>
      </c>
      <c r="AG406" s="933" t="s">
        <v>120</v>
      </c>
    </row>
    <row r="407" spans="1:33" hidden="1">
      <c r="A407" s="940">
        <f t="shared" si="20"/>
        <v>243</v>
      </c>
      <c r="B407" s="933" t="s">
        <v>589</v>
      </c>
      <c r="C407" s="744">
        <v>8</v>
      </c>
      <c r="D407" s="743" t="s">
        <v>131</v>
      </c>
      <c r="E407"/>
      <c r="H407" s="939" t="str">
        <f>H308</f>
        <v>Bricks of size 22x11x7 cm</v>
      </c>
      <c r="I407"/>
      <c r="J407" s="805"/>
      <c r="K407"/>
      <c r="O407" s="933" t="s">
        <v>460</v>
      </c>
      <c r="R407" s="935" t="s">
        <v>89</v>
      </c>
      <c r="AG407" s="933" t="s">
        <v>120</v>
      </c>
    </row>
    <row r="408" spans="1:33" hidden="1">
      <c r="A408" s="940">
        <f t="shared" si="20"/>
        <v>244</v>
      </c>
      <c r="B408" s="933" t="s">
        <v>591</v>
      </c>
      <c r="C408" s="744">
        <v>10.4</v>
      </c>
      <c r="D408" s="743" t="s">
        <v>131</v>
      </c>
      <c r="E408"/>
      <c r="H408" s="935" t="s">
        <v>52</v>
      </c>
      <c r="I408"/>
      <c r="J408" s="805"/>
      <c r="K408"/>
      <c r="AG408" s="933" t="s">
        <v>120</v>
      </c>
    </row>
    <row r="409" spans="1:33" hidden="1">
      <c r="A409" s="940">
        <f t="shared" si="20"/>
        <v>245</v>
      </c>
      <c r="B409" s="933" t="s">
        <v>592</v>
      </c>
      <c r="C409" s="744">
        <v>22.06</v>
      </c>
      <c r="D409" s="743" t="s">
        <v>131</v>
      </c>
      <c r="E409"/>
      <c r="F409" s="939">
        <f>F310</f>
        <v>4800</v>
      </c>
      <c r="G409" s="938" t="s">
        <v>338</v>
      </c>
      <c r="H409" s="939" t="str">
        <f>H308</f>
        <v>Bricks of size 22x11x7 cm</v>
      </c>
      <c r="I409" s="744" t="e">
        <f>(C80)</f>
        <v>#REF!</v>
      </c>
      <c r="J409" s="779" t="s">
        <v>601</v>
      </c>
      <c r="K409" s="744" t="e">
        <f>(F409*I409)/1000</f>
        <v>#REF!</v>
      </c>
      <c r="N409" s="933" t="s">
        <v>111</v>
      </c>
      <c r="O409" s="933" t="s">
        <v>602</v>
      </c>
      <c r="AG409" s="933" t="s">
        <v>120</v>
      </c>
    </row>
    <row r="410" spans="1:33" hidden="1">
      <c r="A410" s="940">
        <f t="shared" si="20"/>
        <v>246</v>
      </c>
      <c r="B410" s="933" t="s">
        <v>594</v>
      </c>
      <c r="C410" s="744">
        <v>27.91</v>
      </c>
      <c r="D410" s="743" t="s">
        <v>131</v>
      </c>
      <c r="E410"/>
      <c r="F410" s="939">
        <v>1.59</v>
      </c>
      <c r="G410" s="938" t="s">
        <v>132</v>
      </c>
      <c r="H410" s="933" t="s">
        <v>259</v>
      </c>
      <c r="I410" s="744" t="e">
        <f>(K40)</f>
        <v>#REF!</v>
      </c>
      <c r="J410" s="779" t="s">
        <v>132</v>
      </c>
      <c r="K410" s="744" t="e">
        <f>(F410*I410)</f>
        <v>#REF!</v>
      </c>
      <c r="O410" s="933" t="s">
        <v>603</v>
      </c>
      <c r="AG410" s="933" t="s">
        <v>120</v>
      </c>
    </row>
    <row r="411" spans="1:33" hidden="1">
      <c r="A411" s="940">
        <f t="shared" si="20"/>
        <v>247</v>
      </c>
      <c r="B411" s="933" t="s">
        <v>547</v>
      </c>
      <c r="C411" s="744">
        <v>49.42</v>
      </c>
      <c r="D411" s="743" t="s">
        <v>131</v>
      </c>
      <c r="E411"/>
      <c r="F411" s="939">
        <v>7</v>
      </c>
      <c r="G411" s="938" t="s">
        <v>131</v>
      </c>
      <c r="H411" s="933" t="s">
        <v>345</v>
      </c>
      <c r="I411" s="744">
        <f>(C10)</f>
        <v>150</v>
      </c>
      <c r="J411" s="779" t="s">
        <v>131</v>
      </c>
      <c r="K411" s="744">
        <f>(F411*I411)</f>
        <v>1050</v>
      </c>
      <c r="O411" s="935" t="s">
        <v>52</v>
      </c>
      <c r="AG411" s="933" t="s">
        <v>120</v>
      </c>
    </row>
    <row r="412" spans="1:33" hidden="1">
      <c r="A412" s="940">
        <f t="shared" si="20"/>
        <v>248</v>
      </c>
      <c r="B412" s="933" t="s">
        <v>595</v>
      </c>
      <c r="C412" s="744">
        <v>86.94</v>
      </c>
      <c r="D412" s="743" t="s">
        <v>131</v>
      </c>
      <c r="E412"/>
      <c r="F412" s="939">
        <v>7.1</v>
      </c>
      <c r="G412" s="938" t="s">
        <v>131</v>
      </c>
      <c r="H412" s="933" t="s">
        <v>302</v>
      </c>
      <c r="I412" s="744">
        <f>(C11)</f>
        <v>135</v>
      </c>
      <c r="J412" s="779" t="s">
        <v>131</v>
      </c>
      <c r="K412" s="744">
        <f>(F412*I412)</f>
        <v>958.5</v>
      </c>
      <c r="M412" s="939">
        <v>10</v>
      </c>
      <c r="N412" s="933" t="s">
        <v>425</v>
      </c>
      <c r="O412" s="933" t="s">
        <v>580</v>
      </c>
      <c r="P412" s="939">
        <f>(R383)</f>
        <v>3.79</v>
      </c>
      <c r="Q412" s="933" t="s">
        <v>425</v>
      </c>
      <c r="R412" s="939">
        <f>(M412*P412)</f>
        <v>37.9</v>
      </c>
      <c r="AG412" s="933" t="s">
        <v>120</v>
      </c>
    </row>
    <row r="413" spans="1:33" hidden="1">
      <c r="A413" s="940">
        <f t="shared" si="20"/>
        <v>249</v>
      </c>
      <c r="B413" s="933" t="s">
        <v>604</v>
      </c>
      <c r="C413"/>
      <c r="D413" s="743" t="s">
        <v>85</v>
      </c>
      <c r="E413"/>
      <c r="F413" s="939">
        <v>7.1</v>
      </c>
      <c r="G413" s="938" t="s">
        <v>131</v>
      </c>
      <c r="H413" s="933" t="s">
        <v>304</v>
      </c>
      <c r="I413" s="744">
        <f>(C12)</f>
        <v>95</v>
      </c>
      <c r="J413" s="779" t="s">
        <v>131</v>
      </c>
      <c r="K413" s="744">
        <f>(F413*I413)</f>
        <v>674.5</v>
      </c>
      <c r="M413" s="939">
        <v>10</v>
      </c>
      <c r="N413" s="933" t="s">
        <v>425</v>
      </c>
      <c r="O413" s="933" t="s">
        <v>597</v>
      </c>
      <c r="P413" s="939">
        <f>(R406)</f>
        <v>8.24</v>
      </c>
      <c r="Q413" s="933" t="s">
        <v>425</v>
      </c>
      <c r="R413" s="939">
        <f>(M413*P413)</f>
        <v>82.4</v>
      </c>
      <c r="AG413" s="933" t="s">
        <v>120</v>
      </c>
    </row>
    <row r="414" spans="1:33" hidden="1">
      <c r="A414" s="940">
        <f t="shared" si="20"/>
        <v>250</v>
      </c>
      <c r="B414" s="933" t="s">
        <v>588</v>
      </c>
      <c r="C414" s="744">
        <v>5.75</v>
      </c>
      <c r="D414" s="743" t="s">
        <v>131</v>
      </c>
      <c r="E414"/>
      <c r="F414" s="939">
        <v>21.2</v>
      </c>
      <c r="G414" s="938" t="s">
        <v>131</v>
      </c>
      <c r="H414" s="933" t="s">
        <v>306</v>
      </c>
      <c r="I414" s="744">
        <f>(C13)</f>
        <v>85</v>
      </c>
      <c r="J414" s="779" t="s">
        <v>131</v>
      </c>
      <c r="K414" s="744">
        <f>(F414*I414)</f>
        <v>1802</v>
      </c>
      <c r="O414" s="933" t="s">
        <v>85</v>
      </c>
      <c r="R414" s="935" t="s">
        <v>52</v>
      </c>
      <c r="AG414" s="933" t="s">
        <v>120</v>
      </c>
    </row>
    <row r="415" spans="1:33" hidden="1">
      <c r="A415" s="940">
        <f t="shared" si="20"/>
        <v>251</v>
      </c>
      <c r="B415" s="933" t="s">
        <v>589</v>
      </c>
      <c r="C415" s="744">
        <v>8.5</v>
      </c>
      <c r="D415" s="743" t="s">
        <v>131</v>
      </c>
      <c r="E415"/>
      <c r="G415" s="938" t="s">
        <v>145</v>
      </c>
      <c r="H415" s="933" t="s">
        <v>146</v>
      </c>
      <c r="I415" s="743" t="s">
        <v>85</v>
      </c>
      <c r="J415" s="779" t="s">
        <v>145</v>
      </c>
      <c r="K415" s="744">
        <v>0</v>
      </c>
      <c r="R415" s="939">
        <f>SUM(R412:R413)</f>
        <v>120.3</v>
      </c>
      <c r="AG415" s="933" t="s">
        <v>120</v>
      </c>
    </row>
    <row r="416" spans="1:33" hidden="1">
      <c r="A416" s="940">
        <f t="shared" si="20"/>
        <v>252</v>
      </c>
      <c r="B416" s="933" t="s">
        <v>591</v>
      </c>
      <c r="C416" s="744">
        <v>14</v>
      </c>
      <c r="D416" s="743" t="s">
        <v>131</v>
      </c>
      <c r="E416"/>
      <c r="I416"/>
      <c r="J416" s="805"/>
      <c r="K416" s="776" t="s">
        <v>52</v>
      </c>
      <c r="O416" s="933" t="s">
        <v>495</v>
      </c>
      <c r="R416" s="935" t="s">
        <v>52</v>
      </c>
      <c r="AG416" s="933" t="s">
        <v>120</v>
      </c>
    </row>
    <row r="417" spans="1:33" hidden="1">
      <c r="A417" s="940">
        <f t="shared" si="20"/>
        <v>253</v>
      </c>
      <c r="B417" s="933" t="s">
        <v>592</v>
      </c>
      <c r="C417" s="744">
        <v>30.11</v>
      </c>
      <c r="D417" s="743" t="s">
        <v>131</v>
      </c>
      <c r="E417"/>
      <c r="H417" s="933" t="s">
        <v>311</v>
      </c>
      <c r="I417"/>
      <c r="J417" s="805"/>
      <c r="K417" s="744" t="e">
        <f>SUM(K409:K415)</f>
        <v>#REF!</v>
      </c>
      <c r="R417" s="939">
        <f>(R415/10)</f>
        <v>12.03</v>
      </c>
      <c r="AG417" s="933" t="s">
        <v>120</v>
      </c>
    </row>
    <row r="418" spans="1:33" hidden="1">
      <c r="A418" s="940">
        <f t="shared" si="20"/>
        <v>254</v>
      </c>
      <c r="B418" s="933" t="s">
        <v>594</v>
      </c>
      <c r="C418" s="744">
        <v>47.25</v>
      </c>
      <c r="D418" s="743" t="s">
        <v>131</v>
      </c>
      <c r="E418"/>
      <c r="I418"/>
      <c r="J418" s="805"/>
      <c r="K418" s="776" t="s">
        <v>52</v>
      </c>
      <c r="O418" s="933" t="s">
        <v>460</v>
      </c>
      <c r="R418" s="935" t="s">
        <v>89</v>
      </c>
      <c r="AG418" s="933" t="s">
        <v>120</v>
      </c>
    </row>
    <row r="419" spans="1:33" hidden="1">
      <c r="A419" s="940">
        <f t="shared" si="20"/>
        <v>255</v>
      </c>
      <c r="B419" s="933" t="s">
        <v>547</v>
      </c>
      <c r="C419" s="744">
        <v>71.16</v>
      </c>
      <c r="D419" s="743" t="s">
        <v>131</v>
      </c>
      <c r="E419"/>
      <c r="H419" s="933" t="s">
        <v>242</v>
      </c>
      <c r="I419"/>
      <c r="J419" s="805"/>
      <c r="K419" s="744" t="e">
        <f>(K417/10)</f>
        <v>#REF!</v>
      </c>
      <c r="AG419" s="933" t="s">
        <v>120</v>
      </c>
    </row>
    <row r="420" spans="1:33" hidden="1">
      <c r="A420" s="940">
        <f t="shared" si="20"/>
        <v>256</v>
      </c>
      <c r="B420" s="933" t="s">
        <v>595</v>
      </c>
      <c r="C420" s="744">
        <v>125.84</v>
      </c>
      <c r="D420" s="743" t="s">
        <v>131</v>
      </c>
      <c r="E420"/>
      <c r="I420"/>
      <c r="J420" s="805"/>
      <c r="K420" s="776" t="s">
        <v>89</v>
      </c>
      <c r="AG420" s="933" t="s">
        <v>120</v>
      </c>
    </row>
    <row r="421" spans="1:33" hidden="1">
      <c r="C421"/>
      <c r="D421"/>
      <c r="E421"/>
      <c r="F421" s="933" t="s">
        <v>88</v>
      </c>
      <c r="I421"/>
      <c r="J421" s="805"/>
      <c r="K421"/>
    </row>
    <row r="422" spans="1:33" hidden="1">
      <c r="A422" s="940">
        <f>(A420+1)</f>
        <v>257</v>
      </c>
      <c r="B422" s="933" t="s">
        <v>605</v>
      </c>
      <c r="C422"/>
      <c r="D422" s="743" t="s">
        <v>85</v>
      </c>
      <c r="E422"/>
      <c r="I422"/>
      <c r="J422" s="805"/>
      <c r="K422"/>
      <c r="O422" s="934" t="s">
        <v>606</v>
      </c>
      <c r="AG422" s="933" t="s">
        <v>120</v>
      </c>
    </row>
    <row r="423" spans="1:33" hidden="1">
      <c r="A423" s="940">
        <f t="shared" ref="A423:A436" si="21">(A422+1)</f>
        <v>258</v>
      </c>
      <c r="B423" s="933" t="s">
        <v>588</v>
      </c>
      <c r="C423" s="744">
        <v>17</v>
      </c>
      <c r="D423" s="743" t="s">
        <v>131</v>
      </c>
      <c r="E423"/>
      <c r="G423" s="938" t="s">
        <v>607</v>
      </c>
      <c r="H423" s="933" t="s">
        <v>608</v>
      </c>
      <c r="I423"/>
      <c r="J423" s="805"/>
      <c r="K423"/>
      <c r="O423" s="935" t="s">
        <v>52</v>
      </c>
      <c r="AG423" s="933" t="s">
        <v>120</v>
      </c>
    </row>
    <row r="424" spans="1:33" hidden="1">
      <c r="A424" s="940">
        <f t="shared" si="21"/>
        <v>259</v>
      </c>
      <c r="B424" s="933" t="s">
        <v>589</v>
      </c>
      <c r="C424" s="744">
        <v>23.4</v>
      </c>
      <c r="D424" s="743" t="s">
        <v>131</v>
      </c>
      <c r="E424"/>
      <c r="H424" s="935" t="s">
        <v>52</v>
      </c>
      <c r="I424"/>
      <c r="J424" s="805"/>
      <c r="K424"/>
      <c r="N424" s="933" t="s">
        <v>111</v>
      </c>
      <c r="O424" s="933" t="s">
        <v>609</v>
      </c>
      <c r="AG424" s="933" t="s">
        <v>120</v>
      </c>
    </row>
    <row r="425" spans="1:33" hidden="1">
      <c r="A425" s="940">
        <f t="shared" si="21"/>
        <v>260</v>
      </c>
      <c r="B425" s="933" t="s">
        <v>591</v>
      </c>
      <c r="C425" s="744">
        <v>33</v>
      </c>
      <c r="D425" s="743" t="s">
        <v>131</v>
      </c>
      <c r="E425"/>
      <c r="F425" s="939">
        <v>0.7</v>
      </c>
      <c r="G425" s="938" t="s">
        <v>132</v>
      </c>
      <c r="H425" s="933" t="s">
        <v>488</v>
      </c>
      <c r="I425" s="744" t="e">
        <f>(K419)</f>
        <v>#REF!</v>
      </c>
      <c r="J425" s="779" t="s">
        <v>131</v>
      </c>
      <c r="K425" s="744" t="e">
        <f>(F425*I425)</f>
        <v>#REF!</v>
      </c>
      <c r="O425" s="933" t="s">
        <v>610</v>
      </c>
      <c r="AG425" s="933" t="s">
        <v>120</v>
      </c>
    </row>
    <row r="426" spans="1:33" hidden="1">
      <c r="A426" s="940">
        <f t="shared" si="21"/>
        <v>261</v>
      </c>
      <c r="B426" s="933" t="s">
        <v>592</v>
      </c>
      <c r="C426" s="744">
        <v>34.22</v>
      </c>
      <c r="D426" s="743" t="s">
        <v>131</v>
      </c>
      <c r="E426"/>
      <c r="F426" s="939">
        <v>1</v>
      </c>
      <c r="G426" s="938" t="s">
        <v>237</v>
      </c>
      <c r="H426" s="933" t="s">
        <v>345</v>
      </c>
      <c r="I426" s="744">
        <f>(C10)</f>
        <v>150</v>
      </c>
      <c r="J426" s="779" t="s">
        <v>131</v>
      </c>
      <c r="K426" s="744">
        <f>(F426*I426)</f>
        <v>150</v>
      </c>
      <c r="O426" s="933" t="s">
        <v>611</v>
      </c>
      <c r="AG426" s="933" t="s">
        <v>120</v>
      </c>
    </row>
    <row r="427" spans="1:33" hidden="1">
      <c r="A427" s="940">
        <f t="shared" si="21"/>
        <v>262</v>
      </c>
      <c r="B427" s="933" t="s">
        <v>594</v>
      </c>
      <c r="C427" s="744">
        <v>75.28</v>
      </c>
      <c r="D427" s="743" t="s">
        <v>131</v>
      </c>
      <c r="E427"/>
      <c r="G427" s="938" t="s">
        <v>145</v>
      </c>
      <c r="H427" s="933" t="s">
        <v>146</v>
      </c>
      <c r="I427" s="743" t="s">
        <v>85</v>
      </c>
      <c r="J427" s="779" t="s">
        <v>145</v>
      </c>
      <c r="K427" s="744">
        <v>0</v>
      </c>
      <c r="O427" s="935" t="s">
        <v>52</v>
      </c>
      <c r="AG427" s="933" t="s">
        <v>120</v>
      </c>
    </row>
    <row r="428" spans="1:33" hidden="1">
      <c r="A428" s="940">
        <f t="shared" si="21"/>
        <v>263</v>
      </c>
      <c r="B428" s="933" t="s">
        <v>547</v>
      </c>
      <c r="C428" s="744">
        <v>92.66</v>
      </c>
      <c r="D428" s="743" t="s">
        <v>131</v>
      </c>
      <c r="E428"/>
      <c r="I428"/>
      <c r="J428" s="805"/>
      <c r="K428" s="776" t="s">
        <v>52</v>
      </c>
      <c r="N428" s="933" t="s">
        <v>612</v>
      </c>
      <c r="O428" s="934" t="s">
        <v>613</v>
      </c>
      <c r="AG428" s="933" t="s">
        <v>120</v>
      </c>
    </row>
    <row r="429" spans="1:33" hidden="1">
      <c r="A429" s="940">
        <f t="shared" si="21"/>
        <v>264</v>
      </c>
      <c r="B429" s="933" t="s">
        <v>595</v>
      </c>
      <c r="C429" s="744">
        <v>141.86000000000001</v>
      </c>
      <c r="D429" s="743" t="s">
        <v>131</v>
      </c>
      <c r="E429"/>
      <c r="H429" s="933" t="s">
        <v>495</v>
      </c>
      <c r="I429"/>
      <c r="J429" s="805"/>
      <c r="K429" s="744" t="e">
        <f>SUM(K425:K427)</f>
        <v>#REF!</v>
      </c>
      <c r="O429" s="935" t="s">
        <v>52</v>
      </c>
      <c r="AG429" s="933" t="s">
        <v>120</v>
      </c>
    </row>
    <row r="430" spans="1:33" hidden="1">
      <c r="A430" s="940">
        <f t="shared" si="21"/>
        <v>265</v>
      </c>
      <c r="B430" s="933" t="s">
        <v>614</v>
      </c>
      <c r="C430"/>
      <c r="D430" s="743" t="s">
        <v>85</v>
      </c>
      <c r="E430"/>
      <c r="I430"/>
      <c r="J430" s="805"/>
      <c r="K430" s="776" t="s">
        <v>52</v>
      </c>
      <c r="M430" s="939">
        <v>8.1</v>
      </c>
      <c r="N430" s="933" t="s">
        <v>132</v>
      </c>
      <c r="O430" s="933" t="s">
        <v>615</v>
      </c>
      <c r="P430" s="939">
        <f>(C61)*2</f>
        <v>50</v>
      </c>
      <c r="Q430" s="933" t="s">
        <v>132</v>
      </c>
      <c r="R430" s="939">
        <f>(M430*P430)</f>
        <v>405</v>
      </c>
      <c r="AG430" s="933" t="s">
        <v>120</v>
      </c>
    </row>
    <row r="431" spans="1:33" hidden="1">
      <c r="A431" s="940">
        <f t="shared" si="21"/>
        <v>266</v>
      </c>
      <c r="B431" s="933" t="s">
        <v>588</v>
      </c>
      <c r="C431" s="744">
        <v>1.8</v>
      </c>
      <c r="D431" s="743" t="s">
        <v>131</v>
      </c>
      <c r="E431"/>
      <c r="H431" s="933" t="s">
        <v>460</v>
      </c>
      <c r="I431"/>
      <c r="J431" s="805"/>
      <c r="K431" s="744" t="e">
        <f>(K429/10)</f>
        <v>#REF!</v>
      </c>
      <c r="M431" s="939">
        <v>8.1</v>
      </c>
      <c r="N431" s="933" t="s">
        <v>132</v>
      </c>
      <c r="O431" s="933" t="s">
        <v>616</v>
      </c>
      <c r="P431" s="939">
        <f>(C26)</f>
        <v>8.8000000000000007</v>
      </c>
      <c r="Q431" s="933" t="s">
        <v>132</v>
      </c>
      <c r="R431" s="939">
        <f>(M431*P431)</f>
        <v>71.28</v>
      </c>
      <c r="AG431" s="933" t="s">
        <v>120</v>
      </c>
    </row>
    <row r="432" spans="1:33" hidden="1">
      <c r="A432" s="940">
        <f t="shared" si="21"/>
        <v>267</v>
      </c>
      <c r="B432" s="933" t="s">
        <v>589</v>
      </c>
      <c r="C432" s="744">
        <v>2.9</v>
      </c>
      <c r="D432" s="743" t="s">
        <v>131</v>
      </c>
      <c r="E432"/>
      <c r="I432"/>
      <c r="J432" s="805"/>
      <c r="K432" s="776" t="s">
        <v>89</v>
      </c>
      <c r="M432" s="939">
        <v>30</v>
      </c>
      <c r="N432" s="933" t="s">
        <v>282</v>
      </c>
      <c r="O432" s="933" t="s">
        <v>617</v>
      </c>
      <c r="P432" s="939">
        <f>(C42)</f>
        <v>1.75</v>
      </c>
      <c r="Q432" s="933" t="s">
        <v>282</v>
      </c>
      <c r="R432" s="939">
        <f>(M432*P432)</f>
        <v>52.5</v>
      </c>
      <c r="AG432" s="933" t="s">
        <v>120</v>
      </c>
    </row>
    <row r="433" spans="1:33" hidden="1">
      <c r="A433" s="940">
        <f t="shared" si="21"/>
        <v>268</v>
      </c>
      <c r="B433" s="933" t="s">
        <v>591</v>
      </c>
      <c r="C433" s="744">
        <v>4</v>
      </c>
      <c r="D433" s="743" t="s">
        <v>131</v>
      </c>
      <c r="E433"/>
      <c r="H433" s="933" t="s">
        <v>53</v>
      </c>
      <c r="I433"/>
      <c r="J433" s="805"/>
      <c r="K433" s="744" t="e">
        <f>(K431+C19/10*F425)</f>
        <v>#REF!</v>
      </c>
      <c r="O433" s="933" t="s">
        <v>618</v>
      </c>
      <c r="AG433" s="933" t="s">
        <v>120</v>
      </c>
    </row>
    <row r="434" spans="1:33" hidden="1">
      <c r="A434" s="940">
        <f t="shared" si="21"/>
        <v>269</v>
      </c>
      <c r="B434" s="933" t="s">
        <v>592</v>
      </c>
      <c r="C434" s="744">
        <v>6.86</v>
      </c>
      <c r="D434" s="743" t="s">
        <v>131</v>
      </c>
      <c r="E434"/>
      <c r="H434" s="933" t="s">
        <v>54</v>
      </c>
      <c r="I434"/>
      <c r="J434" s="805"/>
      <c r="K434" s="744" t="e">
        <f>(K433+C20/10*F425)</f>
        <v>#REF!</v>
      </c>
      <c r="O434" s="933" t="s">
        <v>619</v>
      </c>
      <c r="AG434" s="933" t="s">
        <v>120</v>
      </c>
    </row>
    <row r="435" spans="1:33" hidden="1">
      <c r="A435" s="940">
        <f t="shared" si="21"/>
        <v>270</v>
      </c>
      <c r="B435" s="933" t="s">
        <v>594</v>
      </c>
      <c r="C435" s="744">
        <v>9.15</v>
      </c>
      <c r="D435" s="743" t="s">
        <v>131</v>
      </c>
      <c r="E435"/>
      <c r="H435" s="933" t="s">
        <v>55</v>
      </c>
      <c r="I435"/>
      <c r="J435" s="805"/>
      <c r="K435" s="744" t="e">
        <f>(K434+C21/10*F425)</f>
        <v>#REF!</v>
      </c>
      <c r="O435" s="933" t="s">
        <v>620</v>
      </c>
      <c r="AG435" s="933" t="s">
        <v>120</v>
      </c>
    </row>
    <row r="436" spans="1:33" hidden="1">
      <c r="A436" s="940">
        <f t="shared" si="21"/>
        <v>271</v>
      </c>
      <c r="B436" s="933" t="s">
        <v>547</v>
      </c>
      <c r="C436" s="744">
        <v>14.59</v>
      </c>
      <c r="D436" s="743" t="s">
        <v>131</v>
      </c>
      <c r="E436"/>
      <c r="H436" s="933" t="s">
        <v>56</v>
      </c>
      <c r="I436"/>
      <c r="J436" s="805"/>
      <c r="K436" s="744" t="e">
        <f>(K435+C21/10*F425)</f>
        <v>#REF!</v>
      </c>
      <c r="O436" s="933" t="s">
        <v>621</v>
      </c>
      <c r="AG436" s="933" t="s">
        <v>120</v>
      </c>
    </row>
    <row r="437" spans="1:33" hidden="1">
      <c r="A437" s="940"/>
      <c r="B437" s="933"/>
      <c r="C437" s="744"/>
      <c r="D437" s="743"/>
      <c r="E437"/>
      <c r="H437" s="933" t="s">
        <v>622</v>
      </c>
      <c r="I437"/>
      <c r="J437" s="805"/>
      <c r="K437" s="744" t="e">
        <f>(K436+C22/10*F426)</f>
        <v>#REF!</v>
      </c>
      <c r="O437" s="933"/>
      <c r="AG437" s="933"/>
    </row>
    <row r="438" spans="1:33" hidden="1">
      <c r="A438" s="940">
        <f>(A436+1)</f>
        <v>272</v>
      </c>
      <c r="B438" s="933" t="s">
        <v>595</v>
      </c>
      <c r="C438" s="744">
        <v>21.74</v>
      </c>
      <c r="D438" s="743" t="s">
        <v>131</v>
      </c>
      <c r="E438"/>
      <c r="H438" s="934" t="s">
        <v>623</v>
      </c>
      <c r="I438"/>
      <c r="J438" s="805"/>
      <c r="K438"/>
      <c r="M438" s="939">
        <v>8</v>
      </c>
      <c r="N438" s="933" t="s">
        <v>237</v>
      </c>
      <c r="O438" s="933" t="s">
        <v>624</v>
      </c>
      <c r="P438" s="939">
        <f>(C43)</f>
        <v>2.2000000000000002</v>
      </c>
      <c r="Q438" s="933" t="s">
        <v>237</v>
      </c>
      <c r="R438" s="939">
        <f>(M438*P438)</f>
        <v>17.600000000000001</v>
      </c>
      <c r="AG438" s="933" t="s">
        <v>120</v>
      </c>
    </row>
    <row r="439" spans="1:33" hidden="1">
      <c r="A439" s="940">
        <f t="shared" ref="A439:A470" si="22">(A438+1)</f>
        <v>273</v>
      </c>
      <c r="B439" s="933" t="s">
        <v>625</v>
      </c>
      <c r="C439"/>
      <c r="D439" s="743" t="s">
        <v>85</v>
      </c>
      <c r="E439"/>
      <c r="H439" s="934" t="s">
        <v>626</v>
      </c>
      <c r="I439"/>
      <c r="J439" s="805"/>
      <c r="K439"/>
      <c r="M439" s="939">
        <v>8</v>
      </c>
      <c r="N439" s="933" t="s">
        <v>237</v>
      </c>
      <c r="O439" s="933" t="s">
        <v>627</v>
      </c>
      <c r="P439" s="939">
        <f>(C50)</f>
        <v>3.2</v>
      </c>
      <c r="Q439" s="933" t="s">
        <v>237</v>
      </c>
      <c r="R439" s="939">
        <f>(M439*P439)</f>
        <v>25.6</v>
      </c>
      <c r="AG439" s="933" t="s">
        <v>120</v>
      </c>
    </row>
    <row r="440" spans="1:33" hidden="1">
      <c r="A440" s="940">
        <f t="shared" si="22"/>
        <v>274</v>
      </c>
      <c r="B440" s="933" t="s">
        <v>588</v>
      </c>
      <c r="C440" s="744">
        <v>8.85</v>
      </c>
      <c r="D440" s="743" t="s">
        <v>131</v>
      </c>
      <c r="E440"/>
      <c r="F440" s="944">
        <v>12</v>
      </c>
      <c r="G440" s="938" t="s">
        <v>111</v>
      </c>
      <c r="H440" s="933" t="s">
        <v>628</v>
      </c>
      <c r="I440"/>
      <c r="J440" s="805"/>
      <c r="K440"/>
      <c r="M440" s="939">
        <v>1</v>
      </c>
      <c r="N440" s="933" t="s">
        <v>145</v>
      </c>
      <c r="O440" s="933" t="s">
        <v>629</v>
      </c>
      <c r="P440" s="939">
        <f>(C56)</f>
        <v>12.1</v>
      </c>
      <c r="Q440" s="933" t="s">
        <v>145</v>
      </c>
      <c r="R440" s="939">
        <f>(M440*P440)</f>
        <v>12.1</v>
      </c>
      <c r="AG440" s="933" t="s">
        <v>120</v>
      </c>
    </row>
    <row r="441" spans="1:33" hidden="1">
      <c r="A441" s="940">
        <f t="shared" si="22"/>
        <v>275</v>
      </c>
      <c r="B441" s="933" t="s">
        <v>589</v>
      </c>
      <c r="C441" s="744">
        <v>14</v>
      </c>
      <c r="D441" s="743" t="s">
        <v>131</v>
      </c>
      <c r="E441"/>
      <c r="H441" s="933" t="s">
        <v>335</v>
      </c>
      <c r="I441"/>
      <c r="J441" s="805"/>
      <c r="K441"/>
      <c r="M441" s="939">
        <v>1</v>
      </c>
      <c r="N441" s="933" t="s">
        <v>145</v>
      </c>
      <c r="O441" s="933" t="s">
        <v>146</v>
      </c>
      <c r="Q441" s="933" t="s">
        <v>145</v>
      </c>
      <c r="R441" s="939">
        <v>0</v>
      </c>
      <c r="AG441" s="933" t="s">
        <v>120</v>
      </c>
    </row>
    <row r="442" spans="1:33" hidden="1">
      <c r="A442" s="940">
        <f t="shared" si="22"/>
        <v>276</v>
      </c>
      <c r="B442" s="933" t="s">
        <v>591</v>
      </c>
      <c r="C442" s="744">
        <v>20.7</v>
      </c>
      <c r="D442" s="743" t="s">
        <v>131</v>
      </c>
      <c r="E442"/>
      <c r="H442" s="935" t="s">
        <v>52</v>
      </c>
      <c r="I442"/>
      <c r="J442" s="805"/>
      <c r="K442"/>
      <c r="R442" s="935" t="s">
        <v>52</v>
      </c>
      <c r="AG442" s="933" t="s">
        <v>120</v>
      </c>
    </row>
    <row r="443" spans="1:33" hidden="1">
      <c r="A443" s="940">
        <f t="shared" si="22"/>
        <v>277</v>
      </c>
      <c r="B443" s="933" t="s">
        <v>592</v>
      </c>
      <c r="C443" s="744">
        <v>41.82</v>
      </c>
      <c r="D443" s="743" t="s">
        <v>131</v>
      </c>
      <c r="E443"/>
      <c r="F443" s="939">
        <v>6570</v>
      </c>
      <c r="G443" s="938" t="s">
        <v>338</v>
      </c>
      <c r="H443" s="933" t="s">
        <v>630</v>
      </c>
      <c r="I443" s="744" t="e">
        <f>(C77)</f>
        <v>#REF!</v>
      </c>
      <c r="J443" s="779" t="s">
        <v>339</v>
      </c>
      <c r="K443" s="744" t="e">
        <f>(F443*I443)/1000</f>
        <v>#REF!</v>
      </c>
      <c r="O443" s="933" t="s">
        <v>631</v>
      </c>
      <c r="R443" s="939">
        <f>SUM(R430:R441)</f>
        <v>584.08000000000004</v>
      </c>
      <c r="AG443" s="933" t="s">
        <v>307</v>
      </c>
    </row>
    <row r="444" spans="1:33" hidden="1">
      <c r="A444" s="940">
        <f t="shared" si="22"/>
        <v>278</v>
      </c>
      <c r="B444" s="933" t="s">
        <v>594</v>
      </c>
      <c r="C444" s="744">
        <v>61.78</v>
      </c>
      <c r="D444" s="743" t="s">
        <v>131</v>
      </c>
      <c r="E444"/>
      <c r="F444" s="939">
        <v>1.91</v>
      </c>
      <c r="G444" s="938" t="s">
        <v>132</v>
      </c>
      <c r="H444" s="933" t="s">
        <v>259</v>
      </c>
      <c r="I444" s="744" t="e">
        <f>(K40)</f>
        <v>#REF!</v>
      </c>
      <c r="J444" s="779" t="s">
        <v>132</v>
      </c>
      <c r="K444" s="744" t="e">
        <f>(F444*I444)</f>
        <v>#REF!</v>
      </c>
      <c r="R444" s="935" t="s">
        <v>52</v>
      </c>
    </row>
    <row r="445" spans="1:33" hidden="1">
      <c r="A445" s="940">
        <f t="shared" si="22"/>
        <v>279</v>
      </c>
      <c r="B445" s="933" t="s">
        <v>547</v>
      </c>
      <c r="C445" s="744">
        <v>97.93</v>
      </c>
      <c r="D445" s="743" t="s">
        <v>131</v>
      </c>
      <c r="E445"/>
      <c r="F445" s="939">
        <v>7</v>
      </c>
      <c r="G445" s="938" t="s">
        <v>131</v>
      </c>
      <c r="H445" s="933" t="s">
        <v>345</v>
      </c>
      <c r="I445" s="744">
        <f>(C10)</f>
        <v>150</v>
      </c>
      <c r="J445" s="779" t="s">
        <v>131</v>
      </c>
      <c r="K445" s="744">
        <f>(F445*I445)</f>
        <v>1050</v>
      </c>
      <c r="O445" s="933" t="s">
        <v>632</v>
      </c>
      <c r="R445" s="939">
        <f>(R443/30)</f>
        <v>19.47</v>
      </c>
    </row>
    <row r="446" spans="1:33" hidden="1">
      <c r="A446" s="940">
        <f t="shared" si="22"/>
        <v>280</v>
      </c>
      <c r="B446" s="933" t="s">
        <v>595</v>
      </c>
      <c r="C446" s="744">
        <v>156.5</v>
      </c>
      <c r="D446" s="743" t="s">
        <v>131</v>
      </c>
      <c r="E446"/>
      <c r="F446" s="939">
        <v>3.6</v>
      </c>
      <c r="G446" s="938" t="s">
        <v>131</v>
      </c>
      <c r="H446" s="933" t="s">
        <v>302</v>
      </c>
      <c r="I446" s="744">
        <f>(C11)</f>
        <v>135</v>
      </c>
      <c r="J446" s="779" t="s">
        <v>131</v>
      </c>
      <c r="K446" s="744">
        <f>(F446*I446)</f>
        <v>486</v>
      </c>
      <c r="R446" s="935" t="s">
        <v>52</v>
      </c>
      <c r="AG446" s="933" t="s">
        <v>120</v>
      </c>
    </row>
    <row r="447" spans="1:33" hidden="1">
      <c r="A447" s="940">
        <f t="shared" si="22"/>
        <v>281</v>
      </c>
      <c r="B447" s="933" t="s">
        <v>633</v>
      </c>
      <c r="C447"/>
      <c r="D447" s="743" t="s">
        <v>85</v>
      </c>
      <c r="E447"/>
      <c r="F447" s="939">
        <v>7.1</v>
      </c>
      <c r="G447" s="938" t="s">
        <v>131</v>
      </c>
      <c r="H447" s="933" t="s">
        <v>304</v>
      </c>
      <c r="I447" s="744">
        <f>(C12)</f>
        <v>95</v>
      </c>
      <c r="J447" s="779" t="s">
        <v>131</v>
      </c>
      <c r="K447" s="744">
        <f>(F447*I447)</f>
        <v>674.5</v>
      </c>
      <c r="N447" s="933" t="s">
        <v>634</v>
      </c>
      <c r="O447" s="934" t="s">
        <v>635</v>
      </c>
      <c r="AG447" s="933" t="s">
        <v>120</v>
      </c>
    </row>
    <row r="448" spans="1:33" hidden="1">
      <c r="A448" s="940">
        <f t="shared" si="22"/>
        <v>282</v>
      </c>
      <c r="B448" s="933" t="s">
        <v>588</v>
      </c>
      <c r="C448" s="744">
        <v>3.2</v>
      </c>
      <c r="D448" s="743" t="s">
        <v>131</v>
      </c>
      <c r="E448"/>
      <c r="F448" s="939">
        <v>14.1</v>
      </c>
      <c r="G448" s="938" t="s">
        <v>131</v>
      </c>
      <c r="H448" s="933" t="s">
        <v>306</v>
      </c>
      <c r="I448" s="744">
        <f>(C13)</f>
        <v>85</v>
      </c>
      <c r="J448" s="779" t="s">
        <v>131</v>
      </c>
      <c r="K448" s="744">
        <f>(F448*I448)</f>
        <v>1198.5</v>
      </c>
      <c r="O448" s="935" t="s">
        <v>52</v>
      </c>
      <c r="AG448" s="933" t="s">
        <v>120</v>
      </c>
    </row>
    <row r="449" spans="1:33" hidden="1">
      <c r="A449" s="940">
        <f t="shared" si="22"/>
        <v>283</v>
      </c>
      <c r="B449" s="933" t="s">
        <v>589</v>
      </c>
      <c r="C449" s="744">
        <v>4.7</v>
      </c>
      <c r="D449" s="743" t="s">
        <v>131</v>
      </c>
      <c r="E449"/>
      <c r="G449" s="938" t="s">
        <v>145</v>
      </c>
      <c r="H449" s="933" t="s">
        <v>146</v>
      </c>
      <c r="I449" s="743" t="s">
        <v>85</v>
      </c>
      <c r="J449" s="779" t="s">
        <v>145</v>
      </c>
      <c r="K449" s="744">
        <v>0</v>
      </c>
      <c r="M449" s="939">
        <v>8.1</v>
      </c>
      <c r="N449" s="933" t="s">
        <v>132</v>
      </c>
      <c r="O449" s="933" t="s">
        <v>615</v>
      </c>
      <c r="P449" s="939">
        <f>(C61)*2</f>
        <v>50</v>
      </c>
      <c r="Q449" s="933" t="s">
        <v>132</v>
      </c>
      <c r="R449" s="939">
        <f>(M449*P449)</f>
        <v>405</v>
      </c>
      <c r="AG449" s="933" t="s">
        <v>120</v>
      </c>
    </row>
    <row r="450" spans="1:33" hidden="1">
      <c r="A450" s="940">
        <f t="shared" si="22"/>
        <v>284</v>
      </c>
      <c r="B450" s="933" t="s">
        <v>591</v>
      </c>
      <c r="C450" s="744">
        <v>7.65</v>
      </c>
      <c r="D450" s="743" t="s">
        <v>131</v>
      </c>
      <c r="E450"/>
      <c r="I450"/>
      <c r="J450" s="805"/>
      <c r="K450" s="776" t="s">
        <v>52</v>
      </c>
      <c r="M450" s="939">
        <v>8.1</v>
      </c>
      <c r="N450" s="933" t="s">
        <v>132</v>
      </c>
      <c r="O450" s="933" t="s">
        <v>616</v>
      </c>
      <c r="P450" s="939">
        <f>(C26)</f>
        <v>8.8000000000000007</v>
      </c>
      <c r="Q450" s="933" t="s">
        <v>132</v>
      </c>
      <c r="R450" s="939">
        <f>(M450*P450)</f>
        <v>71.28</v>
      </c>
      <c r="AG450" s="933" t="s">
        <v>120</v>
      </c>
    </row>
    <row r="451" spans="1:33" hidden="1">
      <c r="A451" s="940">
        <f t="shared" si="22"/>
        <v>285</v>
      </c>
      <c r="B451" s="933" t="s">
        <v>592</v>
      </c>
      <c r="C451" s="744">
        <v>30.93</v>
      </c>
      <c r="D451" s="743" t="s">
        <v>131</v>
      </c>
      <c r="E451"/>
      <c r="H451" s="933" t="s">
        <v>311</v>
      </c>
      <c r="I451"/>
      <c r="J451" s="805"/>
      <c r="K451" s="744" t="e">
        <f>SUM(K443:K449)</f>
        <v>#REF!</v>
      </c>
      <c r="M451" s="939">
        <v>30</v>
      </c>
      <c r="N451" s="933" t="s">
        <v>282</v>
      </c>
      <c r="O451" s="933" t="s">
        <v>617</v>
      </c>
      <c r="P451" s="939">
        <f>(C42)</f>
        <v>1.75</v>
      </c>
      <c r="Q451" s="933" t="s">
        <v>282</v>
      </c>
      <c r="R451" s="939">
        <f>(M451*P451)</f>
        <v>52.5</v>
      </c>
      <c r="AG451" s="933" t="s">
        <v>120</v>
      </c>
    </row>
    <row r="452" spans="1:33" hidden="1">
      <c r="A452" s="940">
        <f t="shared" si="22"/>
        <v>286</v>
      </c>
      <c r="B452" s="933" t="s">
        <v>594</v>
      </c>
      <c r="C452" s="744">
        <v>39.630000000000003</v>
      </c>
      <c r="D452" s="743" t="s">
        <v>131</v>
      </c>
      <c r="E452"/>
      <c r="I452"/>
      <c r="J452" s="805"/>
      <c r="K452" s="776" t="s">
        <v>52</v>
      </c>
      <c r="O452" s="933" t="s">
        <v>618</v>
      </c>
      <c r="AG452" s="933" t="s">
        <v>120</v>
      </c>
    </row>
    <row r="453" spans="1:33" hidden="1">
      <c r="A453" s="940">
        <f t="shared" si="22"/>
        <v>287</v>
      </c>
      <c r="B453" s="933" t="s">
        <v>547</v>
      </c>
      <c r="C453" s="744">
        <v>70.47</v>
      </c>
      <c r="D453" s="743" t="s">
        <v>131</v>
      </c>
      <c r="E453"/>
      <c r="H453" s="933" t="s">
        <v>242</v>
      </c>
      <c r="I453"/>
      <c r="J453" s="805"/>
      <c r="K453" s="744" t="e">
        <f>(K451/10)</f>
        <v>#REF!</v>
      </c>
      <c r="O453" s="933" t="s">
        <v>619</v>
      </c>
      <c r="AG453" s="933" t="s">
        <v>120</v>
      </c>
    </row>
    <row r="454" spans="1:33" hidden="1">
      <c r="A454" s="940">
        <f t="shared" si="22"/>
        <v>288</v>
      </c>
      <c r="B454" s="933" t="s">
        <v>595</v>
      </c>
      <c r="C454" s="744">
        <v>70.47</v>
      </c>
      <c r="D454" s="743" t="s">
        <v>131</v>
      </c>
      <c r="E454"/>
      <c r="I454"/>
      <c r="J454" s="805"/>
      <c r="K454" s="776" t="s">
        <v>89</v>
      </c>
      <c r="O454" s="933" t="s">
        <v>620</v>
      </c>
      <c r="AG454" s="933" t="s">
        <v>120</v>
      </c>
    </row>
    <row r="455" spans="1:33" hidden="1">
      <c r="A455" s="940">
        <f t="shared" si="22"/>
        <v>289</v>
      </c>
      <c r="B455" s="933" t="s">
        <v>636</v>
      </c>
      <c r="C455"/>
      <c r="D455" s="743" t="s">
        <v>85</v>
      </c>
      <c r="E455"/>
      <c r="I455"/>
      <c r="J455" s="805"/>
      <c r="K455"/>
      <c r="O455" s="933" t="s">
        <v>621</v>
      </c>
      <c r="AG455" s="933" t="s">
        <v>120</v>
      </c>
    </row>
    <row r="456" spans="1:33" hidden="1">
      <c r="A456" s="940">
        <f t="shared" si="22"/>
        <v>290</v>
      </c>
      <c r="B456" s="933" t="s">
        <v>588</v>
      </c>
      <c r="C456" s="744">
        <v>158.91999999999999</v>
      </c>
      <c r="D456" s="743" t="s">
        <v>131</v>
      </c>
      <c r="E456"/>
      <c r="G456" s="938" t="s">
        <v>111</v>
      </c>
      <c r="H456" s="933" t="s">
        <v>637</v>
      </c>
      <c r="I456"/>
      <c r="J456" s="805"/>
      <c r="K456"/>
      <c r="M456" s="939">
        <v>8</v>
      </c>
      <c r="N456" s="933" t="s">
        <v>237</v>
      </c>
      <c r="O456" s="933" t="s">
        <v>624</v>
      </c>
      <c r="P456" s="939">
        <f>(C44)</f>
        <v>2.2000000000000002</v>
      </c>
      <c r="Q456" s="933" t="s">
        <v>237</v>
      </c>
      <c r="R456" s="939">
        <f>(M456*P456)</f>
        <v>17.600000000000001</v>
      </c>
      <c r="AG456" s="933" t="s">
        <v>120</v>
      </c>
    </row>
    <row r="457" spans="1:33" hidden="1">
      <c r="A457" s="940">
        <f t="shared" si="22"/>
        <v>291</v>
      </c>
      <c r="B457" s="933" t="s">
        <v>589</v>
      </c>
      <c r="C457" s="744">
        <v>263.04000000000002</v>
      </c>
      <c r="D457" s="743" t="s">
        <v>131</v>
      </c>
      <c r="E457"/>
      <c r="H457" s="935" t="s">
        <v>52</v>
      </c>
      <c r="I457"/>
      <c r="J457" s="805"/>
      <c r="K457"/>
      <c r="M457" s="939">
        <v>8</v>
      </c>
      <c r="N457" s="933" t="s">
        <v>237</v>
      </c>
      <c r="O457" s="933" t="s">
        <v>627</v>
      </c>
      <c r="P457" s="939">
        <f>(C51)</f>
        <v>3.2</v>
      </c>
      <c r="Q457" s="933" t="s">
        <v>237</v>
      </c>
      <c r="R457" s="939">
        <f>(M457*P457)</f>
        <v>25.6</v>
      </c>
      <c r="AG457" s="933" t="s">
        <v>120</v>
      </c>
    </row>
    <row r="458" spans="1:33" hidden="1">
      <c r="A458" s="940">
        <f t="shared" si="22"/>
        <v>292</v>
      </c>
      <c r="B458" s="933" t="s">
        <v>591</v>
      </c>
      <c r="C458"/>
      <c r="D458" s="743" t="s">
        <v>85</v>
      </c>
      <c r="E458"/>
      <c r="F458" s="939">
        <v>0.5</v>
      </c>
      <c r="G458" s="938" t="s">
        <v>132</v>
      </c>
      <c r="H458" s="933" t="s">
        <v>488</v>
      </c>
      <c r="I458" s="744" t="e">
        <f>(K453)</f>
        <v>#REF!</v>
      </c>
      <c r="J458" s="779" t="s">
        <v>131</v>
      </c>
      <c r="K458" s="744" t="e">
        <f>(F458*I458)</f>
        <v>#REF!</v>
      </c>
      <c r="M458" s="939">
        <v>1</v>
      </c>
      <c r="N458" s="933" t="s">
        <v>145</v>
      </c>
      <c r="O458" s="933" t="s">
        <v>629</v>
      </c>
      <c r="P458" s="939">
        <f>(C56)</f>
        <v>12.1</v>
      </c>
      <c r="Q458" s="933" t="s">
        <v>145</v>
      </c>
      <c r="R458" s="939">
        <f>(M458*P458)</f>
        <v>12.1</v>
      </c>
      <c r="AG458" s="933" t="s">
        <v>120</v>
      </c>
    </row>
    <row r="459" spans="1:33" hidden="1">
      <c r="A459" s="940">
        <f t="shared" si="22"/>
        <v>293</v>
      </c>
      <c r="B459" s="933" t="s">
        <v>638</v>
      </c>
      <c r="C459" s="744">
        <v>1.2</v>
      </c>
      <c r="D459" s="743" t="s">
        <v>131</v>
      </c>
      <c r="E459"/>
      <c r="F459" s="939">
        <v>1</v>
      </c>
      <c r="G459" s="938" t="s">
        <v>237</v>
      </c>
      <c r="H459" s="933" t="s">
        <v>345</v>
      </c>
      <c r="I459" s="744">
        <f>(C10)</f>
        <v>150</v>
      </c>
      <c r="J459" s="779" t="s">
        <v>131</v>
      </c>
      <c r="K459" s="744">
        <f>(F459*I459)</f>
        <v>150</v>
      </c>
      <c r="M459" s="939">
        <v>1</v>
      </c>
      <c r="N459" s="933" t="s">
        <v>145</v>
      </c>
      <c r="O459" s="933" t="s">
        <v>146</v>
      </c>
      <c r="Q459" s="933" t="s">
        <v>145</v>
      </c>
      <c r="R459" s="939">
        <v>0</v>
      </c>
      <c r="AG459" s="933" t="s">
        <v>120</v>
      </c>
    </row>
    <row r="460" spans="1:33" hidden="1">
      <c r="A460" s="940">
        <f t="shared" si="22"/>
        <v>294</v>
      </c>
      <c r="B460" s="933" t="s">
        <v>639</v>
      </c>
      <c r="C460" s="744">
        <v>0.85</v>
      </c>
      <c r="D460" s="743" t="s">
        <v>131</v>
      </c>
      <c r="E460"/>
      <c r="G460" s="938" t="s">
        <v>145</v>
      </c>
      <c r="H460" s="933" t="s">
        <v>146</v>
      </c>
      <c r="I460" s="743" t="s">
        <v>85</v>
      </c>
      <c r="J460" s="779" t="s">
        <v>145</v>
      </c>
      <c r="K460" s="744">
        <v>0</v>
      </c>
      <c r="R460" s="935" t="s">
        <v>52</v>
      </c>
      <c r="AG460" s="933" t="s">
        <v>120</v>
      </c>
    </row>
    <row r="461" spans="1:33" hidden="1">
      <c r="A461" s="940">
        <f t="shared" si="22"/>
        <v>295</v>
      </c>
      <c r="B461" s="933" t="s">
        <v>640</v>
      </c>
      <c r="C461" s="744">
        <v>350</v>
      </c>
      <c r="D461" s="744">
        <v>375</v>
      </c>
      <c r="E461"/>
      <c r="I461"/>
      <c r="J461" s="805"/>
      <c r="K461" s="776" t="s">
        <v>52</v>
      </c>
      <c r="O461" s="933" t="s">
        <v>631</v>
      </c>
      <c r="R461" s="939">
        <f>SUM(R449:R459)</f>
        <v>584.08000000000004</v>
      </c>
      <c r="AG461" s="933" t="s">
        <v>120</v>
      </c>
    </row>
    <row r="462" spans="1:33" hidden="1">
      <c r="A462" s="940">
        <f t="shared" si="22"/>
        <v>296</v>
      </c>
      <c r="B462" s="933" t="s">
        <v>641</v>
      </c>
      <c r="C462" s="744">
        <v>400</v>
      </c>
      <c r="D462" s="744">
        <v>425</v>
      </c>
      <c r="E462"/>
      <c r="H462" s="933" t="s">
        <v>495</v>
      </c>
      <c r="I462"/>
      <c r="J462" s="805"/>
      <c r="K462" s="744" t="e">
        <f>SUM(K458:K460)</f>
        <v>#REF!</v>
      </c>
      <c r="R462" s="935" t="s">
        <v>52</v>
      </c>
      <c r="AG462" s="933" t="s">
        <v>120</v>
      </c>
    </row>
    <row r="463" spans="1:33" hidden="1">
      <c r="A463" s="940">
        <f t="shared" si="22"/>
        <v>297</v>
      </c>
      <c r="B463" s="933" t="s">
        <v>642</v>
      </c>
      <c r="C463" s="744">
        <v>450</v>
      </c>
      <c r="D463" s="744">
        <v>500</v>
      </c>
      <c r="E463"/>
      <c r="I463"/>
      <c r="J463" s="805"/>
      <c r="K463" s="776" t="s">
        <v>52</v>
      </c>
      <c r="O463" s="933" t="s">
        <v>632</v>
      </c>
      <c r="R463" s="939">
        <f>(R461/30)</f>
        <v>19.47</v>
      </c>
      <c r="AG463" s="933" t="s">
        <v>120</v>
      </c>
    </row>
    <row r="464" spans="1:33" hidden="1">
      <c r="A464" s="940">
        <f t="shared" si="22"/>
        <v>298</v>
      </c>
      <c r="B464" s="933" t="s">
        <v>643</v>
      </c>
      <c r="C464" s="744">
        <v>77.819999999999993</v>
      </c>
      <c r="D464" s="743" t="s">
        <v>131</v>
      </c>
      <c r="E464"/>
      <c r="H464" s="933" t="s">
        <v>460</v>
      </c>
      <c r="I464"/>
      <c r="J464" s="805"/>
      <c r="K464" s="744" t="e">
        <f>(K462/10)</f>
        <v>#REF!</v>
      </c>
      <c r="R464" s="935" t="s">
        <v>52</v>
      </c>
      <c r="AG464" s="933" t="s">
        <v>120</v>
      </c>
    </row>
    <row r="465" spans="1:33" hidden="1">
      <c r="A465" s="940">
        <f t="shared" si="22"/>
        <v>299</v>
      </c>
      <c r="B465" s="933" t="s">
        <v>644</v>
      </c>
      <c r="C465" s="744">
        <v>99.74</v>
      </c>
      <c r="D465" s="743" t="s">
        <v>131</v>
      </c>
      <c r="E465"/>
      <c r="I465"/>
      <c r="J465" s="805"/>
      <c r="K465" s="776" t="s">
        <v>89</v>
      </c>
      <c r="N465" s="933" t="s">
        <v>645</v>
      </c>
      <c r="O465" s="934" t="s">
        <v>646</v>
      </c>
      <c r="AG465" s="933" t="s">
        <v>120</v>
      </c>
    </row>
    <row r="466" spans="1:33" hidden="1">
      <c r="A466" s="940">
        <f t="shared" si="22"/>
        <v>300</v>
      </c>
      <c r="B466" s="933" t="s">
        <v>591</v>
      </c>
      <c r="C466" s="744">
        <v>165</v>
      </c>
      <c r="D466" s="743" t="s">
        <v>131</v>
      </c>
      <c r="E466"/>
      <c r="H466" s="933" t="s">
        <v>53</v>
      </c>
      <c r="I466"/>
      <c r="J466" s="805"/>
      <c r="K466" s="744" t="e">
        <f>(K464+C19/10*F458)</f>
        <v>#REF!</v>
      </c>
      <c r="O466" s="935" t="s">
        <v>52</v>
      </c>
      <c r="AG466" s="933" t="s">
        <v>120</v>
      </c>
    </row>
    <row r="467" spans="1:33" hidden="1">
      <c r="A467" s="940">
        <f t="shared" si="22"/>
        <v>301</v>
      </c>
      <c r="B467" s="933" t="s">
        <v>592</v>
      </c>
      <c r="C467" s="744">
        <v>258</v>
      </c>
      <c r="D467" s="743" t="s">
        <v>131</v>
      </c>
      <c r="E467"/>
      <c r="H467" s="933" t="s">
        <v>54</v>
      </c>
      <c r="I467"/>
      <c r="J467" s="805"/>
      <c r="K467" s="744" t="e">
        <f>(K466+C20/10*F458)</f>
        <v>#REF!</v>
      </c>
      <c r="M467" s="939">
        <v>8.1</v>
      </c>
      <c r="N467" s="933" t="s">
        <v>132</v>
      </c>
      <c r="O467" s="933" t="s">
        <v>615</v>
      </c>
      <c r="P467" s="939">
        <f>(C61)*2</f>
        <v>50</v>
      </c>
      <c r="Q467" s="933" t="s">
        <v>132</v>
      </c>
      <c r="R467" s="939">
        <f>(M467*P467)</f>
        <v>405</v>
      </c>
      <c r="AG467" s="933" t="s">
        <v>120</v>
      </c>
    </row>
    <row r="468" spans="1:33" hidden="1">
      <c r="A468" s="940">
        <f t="shared" si="22"/>
        <v>302</v>
      </c>
      <c r="B468" s="933" t="s">
        <v>594</v>
      </c>
      <c r="C468" s="744">
        <v>298</v>
      </c>
      <c r="D468" s="743" t="s">
        <v>131</v>
      </c>
      <c r="E468"/>
      <c r="H468" s="933" t="s">
        <v>55</v>
      </c>
      <c r="I468"/>
      <c r="J468" s="805"/>
      <c r="K468" s="744" t="e">
        <f>(K467+C21/10*F458)</f>
        <v>#REF!</v>
      </c>
      <c r="M468" s="939">
        <v>8.1</v>
      </c>
      <c r="N468" s="933" t="s">
        <v>132</v>
      </c>
      <c r="O468" s="933" t="s">
        <v>616</v>
      </c>
      <c r="P468" s="939">
        <f>(C26)</f>
        <v>8.8000000000000007</v>
      </c>
      <c r="Q468" s="933" t="s">
        <v>132</v>
      </c>
      <c r="R468" s="939">
        <f>(M468*P468)</f>
        <v>71.28</v>
      </c>
      <c r="AG468" s="933" t="s">
        <v>120</v>
      </c>
    </row>
    <row r="469" spans="1:33" hidden="1">
      <c r="A469" s="940">
        <f t="shared" si="22"/>
        <v>303</v>
      </c>
      <c r="B469" s="933" t="s">
        <v>547</v>
      </c>
      <c r="C469" s="744">
        <v>398</v>
      </c>
      <c r="D469" s="743" t="s">
        <v>131</v>
      </c>
      <c r="E469"/>
      <c r="H469" s="933" t="s">
        <v>56</v>
      </c>
      <c r="I469"/>
      <c r="J469" s="805"/>
      <c r="K469" s="744" t="e">
        <f>(K468+C21/10*F458)</f>
        <v>#REF!</v>
      </c>
      <c r="M469" s="939">
        <v>30</v>
      </c>
      <c r="N469" s="933" t="s">
        <v>282</v>
      </c>
      <c r="O469" s="933" t="s">
        <v>617</v>
      </c>
      <c r="P469" s="939">
        <f>(C42)</f>
        <v>1.75</v>
      </c>
      <c r="Q469" s="933" t="s">
        <v>282</v>
      </c>
      <c r="R469" s="939">
        <f>(M469*P469)</f>
        <v>52.5</v>
      </c>
      <c r="AG469" s="933" t="s">
        <v>120</v>
      </c>
    </row>
    <row r="470" spans="1:33" hidden="1">
      <c r="A470" s="940">
        <f t="shared" si="22"/>
        <v>304</v>
      </c>
      <c r="B470" s="933" t="s">
        <v>595</v>
      </c>
      <c r="C470"/>
      <c r="D470" s="743" t="s">
        <v>131</v>
      </c>
      <c r="E470"/>
      <c r="H470" s="933" t="s">
        <v>57</v>
      </c>
      <c r="I470"/>
      <c r="J470" s="805"/>
      <c r="K470" s="744" t="e">
        <f>(K469+C22/10*F459)</f>
        <v>#REF!</v>
      </c>
      <c r="O470" s="933" t="s">
        <v>618</v>
      </c>
      <c r="AG470" s="933" t="s">
        <v>120</v>
      </c>
    </row>
    <row r="471" spans="1:33" hidden="1">
      <c r="A471" s="940">
        <f t="shared" ref="A471:A489" si="23">(A470+1)</f>
        <v>305</v>
      </c>
      <c r="B471" s="933" t="s">
        <v>647</v>
      </c>
      <c r="C471"/>
      <c r="D471" s="743" t="s">
        <v>131</v>
      </c>
      <c r="E471"/>
      <c r="F471" s="934" t="s">
        <v>648</v>
      </c>
      <c r="G471" s="938" t="s">
        <v>111</v>
      </c>
      <c r="H471" s="933" t="s">
        <v>649</v>
      </c>
      <c r="I471"/>
      <c r="J471" s="805"/>
      <c r="K471"/>
      <c r="O471" s="933" t="s">
        <v>619</v>
      </c>
      <c r="AG471" s="933" t="s">
        <v>120</v>
      </c>
    </row>
    <row r="472" spans="1:33" hidden="1">
      <c r="A472" s="940">
        <f t="shared" si="23"/>
        <v>306</v>
      </c>
      <c r="B472" s="933" t="s">
        <v>588</v>
      </c>
      <c r="C472" s="744">
        <v>130</v>
      </c>
      <c r="D472" s="743" t="s">
        <v>131</v>
      </c>
      <c r="E472"/>
      <c r="H472" s="933" t="s">
        <v>650</v>
      </c>
      <c r="I472"/>
      <c r="J472" s="805"/>
      <c r="K472"/>
      <c r="O472" s="933" t="s">
        <v>620</v>
      </c>
      <c r="AG472" s="933" t="s">
        <v>120</v>
      </c>
    </row>
    <row r="473" spans="1:33" hidden="1">
      <c r="A473" s="940">
        <f t="shared" si="23"/>
        <v>307</v>
      </c>
      <c r="B473" s="933" t="s">
        <v>589</v>
      </c>
      <c r="C473" s="744">
        <v>178</v>
      </c>
      <c r="D473" s="743" t="s">
        <v>131</v>
      </c>
      <c r="E473"/>
      <c r="H473" s="935" t="s">
        <v>52</v>
      </c>
      <c r="I473"/>
      <c r="J473" s="805"/>
      <c r="K473"/>
      <c r="O473" s="933" t="s">
        <v>621</v>
      </c>
      <c r="AG473" s="933" t="s">
        <v>120</v>
      </c>
    </row>
    <row r="474" spans="1:33" hidden="1">
      <c r="A474" s="940">
        <f t="shared" si="23"/>
        <v>308</v>
      </c>
      <c r="B474" s="933" t="s">
        <v>591</v>
      </c>
      <c r="C474" s="744">
        <v>279</v>
      </c>
      <c r="D474" s="743" t="s">
        <v>131</v>
      </c>
      <c r="E474"/>
      <c r="F474" s="939">
        <v>1</v>
      </c>
      <c r="G474" s="938" t="s">
        <v>132</v>
      </c>
      <c r="H474" s="933" t="s">
        <v>651</v>
      </c>
      <c r="I474" s="744">
        <f>(C26)</f>
        <v>8.8000000000000007</v>
      </c>
      <c r="J474" s="779" t="s">
        <v>132</v>
      </c>
      <c r="K474" s="744">
        <f>(F474*I474)</f>
        <v>8.8000000000000007</v>
      </c>
      <c r="M474" s="939">
        <v>8</v>
      </c>
      <c r="N474" s="933" t="s">
        <v>237</v>
      </c>
      <c r="O474" s="933" t="s">
        <v>624</v>
      </c>
      <c r="P474" s="939">
        <f>(C45)</f>
        <v>2.7</v>
      </c>
      <c r="Q474" s="933" t="s">
        <v>237</v>
      </c>
      <c r="R474" s="939">
        <f>(M474*P474)</f>
        <v>21.6</v>
      </c>
      <c r="AG474" s="933" t="s">
        <v>120</v>
      </c>
    </row>
    <row r="475" spans="1:33" hidden="1">
      <c r="A475" s="940">
        <f t="shared" si="23"/>
        <v>309</v>
      </c>
      <c r="B475" s="933" t="s">
        <v>592</v>
      </c>
      <c r="C475" s="744">
        <v>394</v>
      </c>
      <c r="D475" s="743" t="s">
        <v>131</v>
      </c>
      <c r="E475"/>
      <c r="I475"/>
      <c r="J475" s="805"/>
      <c r="K475" s="776" t="s">
        <v>89</v>
      </c>
      <c r="M475" s="939">
        <v>8</v>
      </c>
      <c r="N475" s="933" t="s">
        <v>237</v>
      </c>
      <c r="O475" s="933" t="s">
        <v>627</v>
      </c>
      <c r="P475" s="939">
        <f>(C52)</f>
        <v>6.4</v>
      </c>
      <c r="Q475" s="933" t="s">
        <v>237</v>
      </c>
      <c r="R475" s="939">
        <f>(M475*P475)</f>
        <v>51.2</v>
      </c>
      <c r="AG475" s="933" t="s">
        <v>120</v>
      </c>
    </row>
    <row r="476" spans="1:33" hidden="1">
      <c r="A476" s="940">
        <f t="shared" si="23"/>
        <v>310</v>
      </c>
      <c r="B476" s="933" t="s">
        <v>594</v>
      </c>
      <c r="C476" s="744">
        <v>508</v>
      </c>
      <c r="D476" s="743" t="s">
        <v>131</v>
      </c>
      <c r="E476"/>
      <c r="F476" s="948">
        <v>7.3</v>
      </c>
      <c r="G476" s="938" t="s">
        <v>111</v>
      </c>
      <c r="H476" s="933" t="s">
        <v>652</v>
      </c>
      <c r="I476"/>
      <c r="J476" s="805"/>
      <c r="K476"/>
      <c r="M476" s="939">
        <v>1</v>
      </c>
      <c r="N476" s="933" t="s">
        <v>145</v>
      </c>
      <c r="O476" s="933" t="s">
        <v>629</v>
      </c>
      <c r="P476" s="939">
        <f>(C56)</f>
        <v>12.1</v>
      </c>
      <c r="Q476" s="933" t="s">
        <v>145</v>
      </c>
      <c r="R476" s="939">
        <f>(M476*P476)</f>
        <v>12.1</v>
      </c>
      <c r="AG476" s="933" t="s">
        <v>120</v>
      </c>
    </row>
    <row r="477" spans="1:33" hidden="1">
      <c r="A477" s="940">
        <f t="shared" si="23"/>
        <v>311</v>
      </c>
      <c r="B477" s="933" t="s">
        <v>547</v>
      </c>
      <c r="C477" s="744">
        <v>709</v>
      </c>
      <c r="D477" s="743" t="s">
        <v>131</v>
      </c>
      <c r="E477"/>
      <c r="F477" s="933" t="s">
        <v>85</v>
      </c>
      <c r="H477" s="933" t="s">
        <v>653</v>
      </c>
      <c r="I477"/>
      <c r="J477" s="805"/>
      <c r="K477"/>
      <c r="M477" s="939">
        <v>1</v>
      </c>
      <c r="N477" s="933" t="s">
        <v>145</v>
      </c>
      <c r="O477" s="933" t="s">
        <v>146</v>
      </c>
      <c r="Q477" s="933" t="s">
        <v>145</v>
      </c>
      <c r="R477" s="939">
        <v>0</v>
      </c>
      <c r="AG477" s="933" t="s">
        <v>120</v>
      </c>
    </row>
    <row r="478" spans="1:33" hidden="1">
      <c r="A478" s="940">
        <f t="shared" si="23"/>
        <v>312</v>
      </c>
      <c r="B478" s="933" t="s">
        <v>595</v>
      </c>
      <c r="C478"/>
      <c r="D478" s="743" t="s">
        <v>131</v>
      </c>
      <c r="E478"/>
      <c r="F478" s="933" t="s">
        <v>85</v>
      </c>
      <c r="H478" s="935" t="s">
        <v>52</v>
      </c>
      <c r="I478"/>
      <c r="J478" s="805"/>
      <c r="K478"/>
      <c r="R478" s="935" t="s">
        <v>52</v>
      </c>
      <c r="AG478" s="933" t="s">
        <v>120</v>
      </c>
    </row>
    <row r="479" spans="1:33" hidden="1">
      <c r="A479" s="940">
        <f t="shared" si="23"/>
        <v>313</v>
      </c>
      <c r="B479" s="933" t="s">
        <v>654</v>
      </c>
      <c r="C479"/>
      <c r="D479" s="743" t="s">
        <v>131</v>
      </c>
      <c r="E479"/>
      <c r="F479" s="939">
        <v>0.13</v>
      </c>
      <c r="G479" s="938" t="s">
        <v>132</v>
      </c>
      <c r="H479" s="933" t="s">
        <v>259</v>
      </c>
      <c r="I479" s="744" t="e">
        <f>(K40)</f>
        <v>#REF!</v>
      </c>
      <c r="J479" s="779" t="s">
        <v>132</v>
      </c>
      <c r="K479" s="744" t="e">
        <f t="shared" ref="K479:K484" si="24">(F479*I479)</f>
        <v>#REF!</v>
      </c>
      <c r="O479" s="933" t="s">
        <v>631</v>
      </c>
      <c r="R479" s="939">
        <f>SUM(R467:R477)</f>
        <v>613.67999999999995</v>
      </c>
      <c r="AG479" s="933" t="s">
        <v>120</v>
      </c>
    </row>
    <row r="480" spans="1:33" hidden="1">
      <c r="A480" s="940">
        <f t="shared" si="23"/>
        <v>314</v>
      </c>
      <c r="B480" s="933" t="s">
        <v>588</v>
      </c>
      <c r="C480" s="744">
        <v>77</v>
      </c>
      <c r="D480" s="743" t="s">
        <v>131</v>
      </c>
      <c r="E480"/>
      <c r="F480" s="939">
        <v>0.7</v>
      </c>
      <c r="G480" s="938" t="s">
        <v>237</v>
      </c>
      <c r="H480" s="933" t="s">
        <v>345</v>
      </c>
      <c r="I480" s="744">
        <f>(C10)</f>
        <v>150</v>
      </c>
      <c r="J480" s="779" t="s">
        <v>237</v>
      </c>
      <c r="K480" s="744">
        <f t="shared" si="24"/>
        <v>105</v>
      </c>
      <c r="R480" s="935" t="s">
        <v>52</v>
      </c>
      <c r="AG480" s="933" t="s">
        <v>120</v>
      </c>
    </row>
    <row r="481" spans="1:33" hidden="1">
      <c r="A481" s="940">
        <f t="shared" si="23"/>
        <v>315</v>
      </c>
      <c r="B481" s="933" t="s">
        <v>589</v>
      </c>
      <c r="C481" s="744">
        <v>119</v>
      </c>
      <c r="D481" s="743" t="s">
        <v>131</v>
      </c>
      <c r="E481"/>
      <c r="F481" s="939">
        <v>0.7</v>
      </c>
      <c r="G481" s="938" t="s">
        <v>237</v>
      </c>
      <c r="H481" s="933" t="s">
        <v>302</v>
      </c>
      <c r="I481" s="744">
        <f>(C11)</f>
        <v>135</v>
      </c>
      <c r="J481" s="779" t="s">
        <v>237</v>
      </c>
      <c r="K481" s="744">
        <f t="shared" si="24"/>
        <v>94.5</v>
      </c>
      <c r="O481" s="933" t="s">
        <v>632</v>
      </c>
      <c r="R481" s="939">
        <f>(R479/30)</f>
        <v>20.46</v>
      </c>
      <c r="AG481" s="933" t="s">
        <v>120</v>
      </c>
    </row>
    <row r="482" spans="1:33" hidden="1">
      <c r="A482" s="940">
        <f t="shared" si="23"/>
        <v>316</v>
      </c>
      <c r="B482" s="933" t="s">
        <v>591</v>
      </c>
      <c r="C482" s="744">
        <v>175</v>
      </c>
      <c r="D482" s="743" t="s">
        <v>131</v>
      </c>
      <c r="E482"/>
      <c r="F482" s="939">
        <v>1.5</v>
      </c>
      <c r="G482" s="938" t="s">
        <v>237</v>
      </c>
      <c r="H482" s="933" t="s">
        <v>304</v>
      </c>
      <c r="I482" s="744">
        <f>(C12)</f>
        <v>95</v>
      </c>
      <c r="J482" s="779" t="s">
        <v>237</v>
      </c>
      <c r="K482" s="744">
        <f t="shared" si="24"/>
        <v>142.5</v>
      </c>
      <c r="R482" s="935" t="s">
        <v>52</v>
      </c>
      <c r="AG482" s="933" t="s">
        <v>120</v>
      </c>
    </row>
    <row r="483" spans="1:33" hidden="1">
      <c r="A483" s="940">
        <f t="shared" si="23"/>
        <v>317</v>
      </c>
      <c r="B483" s="933" t="s">
        <v>592</v>
      </c>
      <c r="C483" s="744">
        <v>277</v>
      </c>
      <c r="D483" s="743" t="s">
        <v>131</v>
      </c>
      <c r="E483"/>
      <c r="F483" s="939">
        <v>0.5</v>
      </c>
      <c r="G483" s="938" t="s">
        <v>237</v>
      </c>
      <c r="H483" s="933" t="s">
        <v>306</v>
      </c>
      <c r="I483" s="744">
        <f>(C13)</f>
        <v>85</v>
      </c>
      <c r="J483" s="779" t="s">
        <v>237</v>
      </c>
      <c r="K483" s="744">
        <f t="shared" si="24"/>
        <v>42.5</v>
      </c>
      <c r="M483" s="933" t="s">
        <v>85</v>
      </c>
      <c r="AG483" s="933" t="s">
        <v>120</v>
      </c>
    </row>
    <row r="484" spans="1:33" hidden="1">
      <c r="A484" s="940">
        <f t="shared" si="23"/>
        <v>318</v>
      </c>
      <c r="B484" s="933" t="s">
        <v>594</v>
      </c>
      <c r="C484" s="744">
        <v>353</v>
      </c>
      <c r="D484" s="743" t="s">
        <v>131</v>
      </c>
      <c r="E484"/>
      <c r="F484" s="939">
        <v>0.94</v>
      </c>
      <c r="G484" s="938" t="s">
        <v>39</v>
      </c>
      <c r="H484" s="933" t="s">
        <v>655</v>
      </c>
      <c r="I484" s="744">
        <f>C631</f>
        <v>30</v>
      </c>
      <c r="J484" s="779" t="s">
        <v>39</v>
      </c>
      <c r="K484" s="744">
        <f t="shared" si="24"/>
        <v>28.2</v>
      </c>
      <c r="N484" s="933" t="s">
        <v>111</v>
      </c>
      <c r="O484" s="933" t="s">
        <v>609</v>
      </c>
      <c r="AG484" s="933" t="s">
        <v>120</v>
      </c>
    </row>
    <row r="485" spans="1:33" hidden="1">
      <c r="A485" s="940">
        <f t="shared" si="23"/>
        <v>319</v>
      </c>
      <c r="B485" s="933" t="s">
        <v>547</v>
      </c>
      <c r="C485" s="744">
        <v>584</v>
      </c>
      <c r="D485" s="743" t="s">
        <v>131</v>
      </c>
      <c r="E485"/>
      <c r="H485" s="933" t="s">
        <v>146</v>
      </c>
      <c r="I485" s="743" t="s">
        <v>85</v>
      </c>
      <c r="J485" s="779" t="s">
        <v>145</v>
      </c>
      <c r="K485" s="744">
        <v>0</v>
      </c>
      <c r="O485" s="933" t="s">
        <v>610</v>
      </c>
      <c r="AG485" s="933" t="s">
        <v>120</v>
      </c>
    </row>
    <row r="486" spans="1:33" hidden="1">
      <c r="A486" s="940">
        <f t="shared" si="23"/>
        <v>320</v>
      </c>
      <c r="B486" s="933" t="s">
        <v>595</v>
      </c>
      <c r="C486"/>
      <c r="D486" s="743" t="s">
        <v>131</v>
      </c>
      <c r="E486"/>
      <c r="I486"/>
      <c r="J486" s="805"/>
      <c r="K486" s="776" t="s">
        <v>52</v>
      </c>
      <c r="O486" s="933" t="s">
        <v>656</v>
      </c>
      <c r="AG486" s="933" t="s">
        <v>120</v>
      </c>
    </row>
    <row r="487" spans="1:33" hidden="1">
      <c r="A487" s="940">
        <f t="shared" si="23"/>
        <v>321</v>
      </c>
      <c r="B487" s="933" t="s">
        <v>657</v>
      </c>
      <c r="C487"/>
      <c r="D487" s="743" t="s">
        <v>131</v>
      </c>
      <c r="E487"/>
      <c r="H487" s="933" t="s">
        <v>311</v>
      </c>
      <c r="I487"/>
      <c r="J487" s="805"/>
      <c r="K487" s="744" t="e">
        <f>SUM(K478:K485)</f>
        <v>#REF!</v>
      </c>
      <c r="O487" s="935" t="s">
        <v>52</v>
      </c>
      <c r="AG487" s="933" t="s">
        <v>120</v>
      </c>
    </row>
    <row r="488" spans="1:33" hidden="1">
      <c r="A488" s="940">
        <f t="shared" si="23"/>
        <v>322</v>
      </c>
      <c r="B488" s="933" t="s">
        <v>658</v>
      </c>
      <c r="C488" s="744">
        <v>8.75</v>
      </c>
      <c r="D488" s="743" t="s">
        <v>131</v>
      </c>
      <c r="E488"/>
      <c r="I488"/>
      <c r="J488" s="805"/>
      <c r="K488" s="776" t="s">
        <v>52</v>
      </c>
      <c r="N488" s="933" t="s">
        <v>612</v>
      </c>
      <c r="O488" s="934" t="s">
        <v>659</v>
      </c>
      <c r="AG488" s="933" t="s">
        <v>120</v>
      </c>
    </row>
    <row r="489" spans="1:33" hidden="1">
      <c r="A489" s="940">
        <f t="shared" si="23"/>
        <v>323</v>
      </c>
      <c r="B489" s="933" t="s">
        <v>660</v>
      </c>
      <c r="C489" s="744">
        <v>11.5</v>
      </c>
      <c r="D489" s="743" t="s">
        <v>131</v>
      </c>
      <c r="E489"/>
      <c r="H489" s="933" t="s">
        <v>242</v>
      </c>
      <c r="I489"/>
      <c r="J489" s="805"/>
      <c r="K489" s="744" t="e">
        <f>(K487/10)</f>
        <v>#REF!</v>
      </c>
      <c r="O489" s="935" t="s">
        <v>52</v>
      </c>
      <c r="AG489" s="933" t="s">
        <v>120</v>
      </c>
    </row>
    <row r="490" spans="1:33" hidden="1">
      <c r="C490"/>
      <c r="D490"/>
      <c r="E490"/>
      <c r="F490" s="933" t="s">
        <v>85</v>
      </c>
      <c r="I490"/>
      <c r="J490" s="805"/>
      <c r="K490"/>
    </row>
    <row r="491" spans="1:33" hidden="1">
      <c r="A491" s="940">
        <f>(A489+1)</f>
        <v>324</v>
      </c>
      <c r="B491" s="933" t="s">
        <v>661</v>
      </c>
      <c r="C491" s="744">
        <v>11.5</v>
      </c>
      <c r="D491" s="743" t="s">
        <v>131</v>
      </c>
      <c r="E491"/>
      <c r="I491"/>
      <c r="J491" s="805"/>
      <c r="K491" s="776" t="s">
        <v>89</v>
      </c>
      <c r="M491" s="939">
        <v>30</v>
      </c>
      <c r="N491" s="933" t="s">
        <v>282</v>
      </c>
      <c r="O491" s="933" t="s">
        <v>662</v>
      </c>
      <c r="P491" s="939">
        <f>(C42)</f>
        <v>1.75</v>
      </c>
      <c r="Q491" s="933" t="s">
        <v>282</v>
      </c>
      <c r="R491" s="939">
        <f>(M491*P491)</f>
        <v>52.5</v>
      </c>
      <c r="AG491" s="933" t="s">
        <v>120</v>
      </c>
    </row>
    <row r="492" spans="1:33" hidden="1">
      <c r="A492" s="940">
        <f t="shared" ref="A492:A523" si="25">(A491+1)</f>
        <v>325</v>
      </c>
      <c r="B492" s="933" t="s">
        <v>663</v>
      </c>
      <c r="C492" s="744">
        <v>56.74</v>
      </c>
      <c r="D492" s="743" t="s">
        <v>131</v>
      </c>
      <c r="E492"/>
      <c r="F492" s="934"/>
      <c r="G492" s="938" t="s">
        <v>111</v>
      </c>
      <c r="H492" s="933" t="s">
        <v>664</v>
      </c>
      <c r="I492"/>
      <c r="J492" s="805"/>
      <c r="K492"/>
      <c r="M492" s="933" t="s">
        <v>85</v>
      </c>
      <c r="O492" s="933" t="s">
        <v>665</v>
      </c>
      <c r="P492" s="933" t="s">
        <v>85</v>
      </c>
      <c r="R492" s="933" t="s">
        <v>85</v>
      </c>
      <c r="AG492" s="933" t="s">
        <v>120</v>
      </c>
    </row>
    <row r="493" spans="1:33" hidden="1">
      <c r="A493" s="940">
        <f t="shared" si="25"/>
        <v>326</v>
      </c>
      <c r="B493" s="933" t="s">
        <v>666</v>
      </c>
      <c r="C493" s="744">
        <v>56.74</v>
      </c>
      <c r="D493" s="743" t="s">
        <v>131</v>
      </c>
      <c r="E493"/>
      <c r="H493" s="933" t="s">
        <v>490</v>
      </c>
      <c r="I493"/>
      <c r="J493" s="805"/>
      <c r="K493"/>
      <c r="M493" s="939">
        <v>8</v>
      </c>
      <c r="N493" s="933" t="s">
        <v>131</v>
      </c>
      <c r="O493" s="933" t="s">
        <v>624</v>
      </c>
      <c r="P493" s="939">
        <f>(C43)</f>
        <v>2.2000000000000002</v>
      </c>
      <c r="Q493" s="933" t="s">
        <v>131</v>
      </c>
      <c r="R493" s="939">
        <f t="shared" ref="R493:R498" si="26">(M493*P493)</f>
        <v>17.600000000000001</v>
      </c>
      <c r="AG493" s="933" t="s">
        <v>120</v>
      </c>
    </row>
    <row r="494" spans="1:33" hidden="1">
      <c r="A494" s="940">
        <f t="shared" si="25"/>
        <v>327</v>
      </c>
      <c r="B494" s="933" t="s">
        <v>667</v>
      </c>
      <c r="C494"/>
      <c r="D494" s="743" t="s">
        <v>85</v>
      </c>
      <c r="E494"/>
      <c r="H494" s="935" t="s">
        <v>52</v>
      </c>
      <c r="I494"/>
      <c r="J494" s="805"/>
      <c r="K494"/>
      <c r="M494" s="939">
        <v>8</v>
      </c>
      <c r="N494" s="933" t="s">
        <v>131</v>
      </c>
      <c r="O494" s="933" t="s">
        <v>627</v>
      </c>
      <c r="P494" s="939">
        <f>(C50)</f>
        <v>3.2</v>
      </c>
      <c r="Q494" s="933" t="s">
        <v>131</v>
      </c>
      <c r="R494" s="939">
        <f t="shared" si="26"/>
        <v>25.6</v>
      </c>
      <c r="AG494" s="933" t="s">
        <v>120</v>
      </c>
    </row>
    <row r="495" spans="1:33" hidden="1">
      <c r="A495" s="940">
        <f t="shared" si="25"/>
        <v>328</v>
      </c>
      <c r="B495" s="933" t="s">
        <v>658</v>
      </c>
      <c r="C495" s="744">
        <v>15.6</v>
      </c>
      <c r="D495" s="743" t="s">
        <v>131</v>
      </c>
      <c r="E495"/>
      <c r="F495" s="939">
        <v>9</v>
      </c>
      <c r="G495" s="938" t="s">
        <v>132</v>
      </c>
      <c r="H495" s="933" t="s">
        <v>668</v>
      </c>
      <c r="I495" s="744" t="e">
        <f>(C70)</f>
        <v>#REF!</v>
      </c>
      <c r="J495" s="779" t="s">
        <v>132</v>
      </c>
      <c r="K495" s="744" t="e">
        <f t="shared" ref="K495:K500" si="27">(F495*I495)</f>
        <v>#REF!</v>
      </c>
      <c r="M495" s="939">
        <v>3</v>
      </c>
      <c r="N495" s="933" t="s">
        <v>131</v>
      </c>
      <c r="O495" s="933" t="s">
        <v>669</v>
      </c>
      <c r="P495" s="939">
        <f>(C41)</f>
        <v>110</v>
      </c>
      <c r="Q495" s="933" t="s">
        <v>131</v>
      </c>
      <c r="R495" s="939">
        <f t="shared" si="26"/>
        <v>330</v>
      </c>
      <c r="AG495" s="933" t="s">
        <v>120</v>
      </c>
    </row>
    <row r="496" spans="1:33" hidden="1">
      <c r="A496" s="940">
        <f t="shared" si="25"/>
        <v>329</v>
      </c>
      <c r="B496" s="933" t="s">
        <v>660</v>
      </c>
      <c r="C496" s="744">
        <v>15.6</v>
      </c>
      <c r="D496" s="743" t="s">
        <v>131</v>
      </c>
      <c r="E496"/>
      <c r="F496" s="941">
        <v>3.2309999999999999</v>
      </c>
      <c r="G496" s="938" t="s">
        <v>122</v>
      </c>
      <c r="H496" s="933" t="s">
        <v>123</v>
      </c>
      <c r="I496" s="744">
        <f>(C67)</f>
        <v>3800</v>
      </c>
      <c r="J496" s="779" t="s">
        <v>122</v>
      </c>
      <c r="K496" s="744">
        <f t="shared" si="27"/>
        <v>12277.8</v>
      </c>
      <c r="M496" s="939">
        <v>1</v>
      </c>
      <c r="N496" s="933" t="s">
        <v>131</v>
      </c>
      <c r="O496" s="933" t="s">
        <v>670</v>
      </c>
      <c r="P496" s="939">
        <f>(C10)</f>
        <v>150</v>
      </c>
      <c r="Q496" s="933" t="s">
        <v>131</v>
      </c>
      <c r="R496" s="939">
        <f t="shared" si="26"/>
        <v>150</v>
      </c>
      <c r="AG496" s="933" t="s">
        <v>120</v>
      </c>
    </row>
    <row r="497" spans="1:33" hidden="1">
      <c r="A497" s="940">
        <f t="shared" si="25"/>
        <v>330</v>
      </c>
      <c r="B497" s="933" t="s">
        <v>661</v>
      </c>
      <c r="C497" s="744">
        <v>15.6</v>
      </c>
      <c r="D497" s="743" t="s">
        <v>131</v>
      </c>
      <c r="E497"/>
      <c r="F497" s="939">
        <v>4.5</v>
      </c>
      <c r="G497" s="938" t="s">
        <v>132</v>
      </c>
      <c r="H497" s="933" t="s">
        <v>133</v>
      </c>
      <c r="I497" s="744" t="e">
        <f>(C78)</f>
        <v>#REF!</v>
      </c>
      <c r="J497" s="779" t="s">
        <v>132</v>
      </c>
      <c r="K497" s="744" t="e">
        <f t="shared" si="27"/>
        <v>#REF!</v>
      </c>
      <c r="M497" s="939">
        <v>2</v>
      </c>
      <c r="N497" s="933" t="s">
        <v>131</v>
      </c>
      <c r="O497" s="933" t="s">
        <v>304</v>
      </c>
      <c r="P497" s="939">
        <f>(C12)</f>
        <v>95</v>
      </c>
      <c r="Q497" s="933" t="s">
        <v>131</v>
      </c>
      <c r="R497" s="939">
        <f t="shared" si="26"/>
        <v>190</v>
      </c>
      <c r="AG497" s="933" t="s">
        <v>120</v>
      </c>
    </row>
    <row r="498" spans="1:33" hidden="1">
      <c r="A498" s="940">
        <f t="shared" si="25"/>
        <v>331</v>
      </c>
      <c r="B498" s="933" t="s">
        <v>663</v>
      </c>
      <c r="C498" s="744">
        <v>100.3</v>
      </c>
      <c r="D498" s="743" t="s">
        <v>131</v>
      </c>
      <c r="E498"/>
      <c r="F498" s="939">
        <v>3.5</v>
      </c>
      <c r="G498" s="938" t="s">
        <v>131</v>
      </c>
      <c r="H498" s="933" t="s">
        <v>302</v>
      </c>
      <c r="I498" s="744">
        <f>(C11)</f>
        <v>135</v>
      </c>
      <c r="J498" s="779" t="s">
        <v>131</v>
      </c>
      <c r="K498" s="744">
        <f t="shared" si="27"/>
        <v>472.5</v>
      </c>
      <c r="M498" s="939">
        <v>1</v>
      </c>
      <c r="N498" s="933" t="s">
        <v>131</v>
      </c>
      <c r="O498" s="933" t="s">
        <v>306</v>
      </c>
      <c r="P498" s="939">
        <f>(C13)</f>
        <v>85</v>
      </c>
      <c r="Q498" s="933" t="s">
        <v>131</v>
      </c>
      <c r="R498" s="939">
        <f t="shared" si="26"/>
        <v>85</v>
      </c>
      <c r="AG498" s="933" t="s">
        <v>307</v>
      </c>
    </row>
    <row r="499" spans="1:33" hidden="1">
      <c r="A499" s="940">
        <f t="shared" si="25"/>
        <v>332</v>
      </c>
      <c r="B499" s="933" t="s">
        <v>666</v>
      </c>
      <c r="C499" s="744">
        <v>100.3</v>
      </c>
      <c r="D499" s="743" t="s">
        <v>131</v>
      </c>
      <c r="E499"/>
      <c r="F499" s="939">
        <v>21.2</v>
      </c>
      <c r="G499" s="938" t="s">
        <v>131</v>
      </c>
      <c r="H499" s="933" t="s">
        <v>304</v>
      </c>
      <c r="I499" s="744">
        <f>(C12)</f>
        <v>95</v>
      </c>
      <c r="J499" s="779" t="s">
        <v>131</v>
      </c>
      <c r="K499" s="744">
        <f t="shared" si="27"/>
        <v>2014</v>
      </c>
      <c r="N499" s="933" t="s">
        <v>145</v>
      </c>
      <c r="O499" s="933" t="s">
        <v>671</v>
      </c>
      <c r="P499" s="933" t="s">
        <v>85</v>
      </c>
      <c r="Q499" s="933" t="s">
        <v>145</v>
      </c>
      <c r="R499" s="939">
        <f>(C56)</f>
        <v>12.1</v>
      </c>
    </row>
    <row r="500" spans="1:33" hidden="1">
      <c r="A500" s="940">
        <f t="shared" si="25"/>
        <v>333</v>
      </c>
      <c r="B500" s="933" t="s">
        <v>672</v>
      </c>
      <c r="C500"/>
      <c r="D500" s="743" t="s">
        <v>85</v>
      </c>
      <c r="E500"/>
      <c r="F500" s="939">
        <v>35.299999999999997</v>
      </c>
      <c r="G500" s="938" t="s">
        <v>131</v>
      </c>
      <c r="H500" s="933" t="s">
        <v>306</v>
      </c>
      <c r="I500" s="744">
        <f>(C13)</f>
        <v>85</v>
      </c>
      <c r="J500" s="779" t="s">
        <v>131</v>
      </c>
      <c r="K500" s="744">
        <f t="shared" si="27"/>
        <v>3000.5</v>
      </c>
      <c r="O500" s="933" t="s">
        <v>673</v>
      </c>
      <c r="P500" s="933" t="s">
        <v>85</v>
      </c>
      <c r="R500" s="933" t="s">
        <v>85</v>
      </c>
    </row>
    <row r="501" spans="1:33" hidden="1">
      <c r="A501" s="940">
        <f t="shared" si="25"/>
        <v>334</v>
      </c>
      <c r="B501" s="933" t="s">
        <v>658</v>
      </c>
      <c r="C501" s="744">
        <v>9.4499999999999993</v>
      </c>
      <c r="D501" s="743" t="s">
        <v>131</v>
      </c>
      <c r="E501"/>
      <c r="G501" s="938" t="s">
        <v>145</v>
      </c>
      <c r="H501" s="933" t="s">
        <v>146</v>
      </c>
      <c r="I501" s="743" t="s">
        <v>85</v>
      </c>
      <c r="J501" s="779" t="s">
        <v>145</v>
      </c>
      <c r="K501" s="744">
        <v>0</v>
      </c>
      <c r="N501" s="933" t="s">
        <v>145</v>
      </c>
      <c r="O501" s="933" t="s">
        <v>146</v>
      </c>
      <c r="Q501" s="933" t="s">
        <v>145</v>
      </c>
      <c r="R501" s="939">
        <v>0</v>
      </c>
      <c r="AG501" s="933" t="s">
        <v>120</v>
      </c>
    </row>
    <row r="502" spans="1:33" hidden="1">
      <c r="A502" s="940">
        <f t="shared" si="25"/>
        <v>335</v>
      </c>
      <c r="B502" s="933" t="s">
        <v>660</v>
      </c>
      <c r="C502" s="744">
        <v>15.6</v>
      </c>
      <c r="D502" s="743" t="s">
        <v>131</v>
      </c>
      <c r="E502"/>
      <c r="I502"/>
      <c r="J502" s="805"/>
      <c r="K502" s="776" t="s">
        <v>52</v>
      </c>
      <c r="R502" s="935" t="s">
        <v>52</v>
      </c>
      <c r="AG502" s="933" t="s">
        <v>120</v>
      </c>
    </row>
    <row r="503" spans="1:33" hidden="1">
      <c r="A503" s="940">
        <f t="shared" si="25"/>
        <v>336</v>
      </c>
      <c r="B503" s="933" t="s">
        <v>661</v>
      </c>
      <c r="C503" s="744">
        <v>15.6</v>
      </c>
      <c r="D503" s="743" t="s">
        <v>131</v>
      </c>
      <c r="E503"/>
      <c r="H503" s="933" t="s">
        <v>506</v>
      </c>
      <c r="I503"/>
      <c r="J503" s="805"/>
      <c r="K503" s="744" t="e">
        <f>SUM(K495:K501)</f>
        <v>#REF!</v>
      </c>
      <c r="O503" s="933" t="s">
        <v>674</v>
      </c>
      <c r="R503" s="939">
        <f>SUM(R491:R501)</f>
        <v>862.8</v>
      </c>
      <c r="AG503" s="933" t="s">
        <v>120</v>
      </c>
    </row>
    <row r="504" spans="1:33" hidden="1">
      <c r="A504" s="940">
        <f t="shared" si="25"/>
        <v>337</v>
      </c>
      <c r="B504" s="933" t="s">
        <v>675</v>
      </c>
      <c r="C504" s="744">
        <v>36.61</v>
      </c>
      <c r="D504" s="743" t="s">
        <v>131</v>
      </c>
      <c r="E504"/>
      <c r="I504"/>
      <c r="J504" s="805"/>
      <c r="K504" s="776" t="s">
        <v>52</v>
      </c>
      <c r="R504" s="935" t="s">
        <v>52</v>
      </c>
      <c r="AG504" s="933" t="s">
        <v>120</v>
      </c>
    </row>
    <row r="505" spans="1:33" hidden="1">
      <c r="A505" s="940">
        <f t="shared" si="25"/>
        <v>338</v>
      </c>
      <c r="B505" s="933" t="s">
        <v>663</v>
      </c>
      <c r="C505" s="744">
        <v>78.709999999999994</v>
      </c>
      <c r="D505" s="743" t="s">
        <v>131</v>
      </c>
      <c r="E505"/>
      <c r="H505" s="933" t="s">
        <v>242</v>
      </c>
      <c r="I505"/>
      <c r="J505" s="805"/>
      <c r="K505" s="744" t="e">
        <f>(K503/10)</f>
        <v>#REF!</v>
      </c>
      <c r="O505" s="933" t="s">
        <v>632</v>
      </c>
      <c r="R505" s="939">
        <f>(R503/30)</f>
        <v>28.76</v>
      </c>
      <c r="AG505" s="933" t="s">
        <v>120</v>
      </c>
    </row>
    <row r="506" spans="1:33" hidden="1">
      <c r="A506" s="940">
        <f t="shared" si="25"/>
        <v>339</v>
      </c>
      <c r="B506" s="933" t="s">
        <v>666</v>
      </c>
      <c r="C506" s="744">
        <v>78.709999999999994</v>
      </c>
      <c r="D506" s="743" t="s">
        <v>131</v>
      </c>
      <c r="E506"/>
      <c r="I506"/>
      <c r="J506" s="805"/>
      <c r="K506"/>
      <c r="R506" s="935" t="s">
        <v>52</v>
      </c>
      <c r="AG506" s="933" t="s">
        <v>120</v>
      </c>
    </row>
    <row r="507" spans="1:33" hidden="1">
      <c r="A507" s="940">
        <f t="shared" si="25"/>
        <v>340</v>
      </c>
      <c r="B507" s="933" t="s">
        <v>676</v>
      </c>
      <c r="C507"/>
      <c r="D507" s="743" t="s">
        <v>677</v>
      </c>
      <c r="E507"/>
      <c r="F507" s="939">
        <v>1</v>
      </c>
      <c r="G507" s="938" t="s">
        <v>132</v>
      </c>
      <c r="H507" s="933" t="s">
        <v>514</v>
      </c>
      <c r="I507"/>
      <c r="J507" s="805"/>
      <c r="K507" s="744">
        <f>(C25)</f>
        <v>20.7</v>
      </c>
      <c r="N507" s="933" t="s">
        <v>634</v>
      </c>
      <c r="O507" s="934" t="s">
        <v>678</v>
      </c>
      <c r="AG507" s="933" t="s">
        <v>120</v>
      </c>
    </row>
    <row r="508" spans="1:33" hidden="1">
      <c r="A508" s="940">
        <f t="shared" si="25"/>
        <v>341</v>
      </c>
      <c r="B508" s="933" t="s">
        <v>679</v>
      </c>
      <c r="C508" s="744">
        <v>20.55</v>
      </c>
      <c r="D508" s="743" t="s">
        <v>282</v>
      </c>
      <c r="E508"/>
      <c r="I508"/>
      <c r="J508" s="805"/>
      <c r="K508" s="776" t="s">
        <v>52</v>
      </c>
      <c r="O508" s="935" t="s">
        <v>52</v>
      </c>
      <c r="AG508" s="933" t="s">
        <v>120</v>
      </c>
    </row>
    <row r="509" spans="1:33" hidden="1">
      <c r="A509" s="940">
        <f t="shared" si="25"/>
        <v>342</v>
      </c>
      <c r="B509" s="933" t="s">
        <v>680</v>
      </c>
      <c r="C509" s="744">
        <v>32.9</v>
      </c>
      <c r="D509" s="743" t="s">
        <v>282</v>
      </c>
      <c r="E509">
        <v>70</v>
      </c>
      <c r="H509" s="933" t="s">
        <v>681</v>
      </c>
      <c r="I509"/>
      <c r="J509" s="805"/>
      <c r="K509" s="744" t="e">
        <f>SUM(K505:K507)</f>
        <v>#REF!</v>
      </c>
      <c r="M509" s="939">
        <v>30</v>
      </c>
      <c r="N509" s="933" t="s">
        <v>282</v>
      </c>
      <c r="O509" s="933" t="s">
        <v>662</v>
      </c>
      <c r="P509" s="939">
        <f>(C42)</f>
        <v>1.75</v>
      </c>
      <c r="Q509" s="933" t="s">
        <v>282</v>
      </c>
      <c r="R509" s="939">
        <f>(M509*P509)</f>
        <v>52.5</v>
      </c>
      <c r="AG509" s="933" t="s">
        <v>120</v>
      </c>
    </row>
    <row r="510" spans="1:33" hidden="1">
      <c r="A510" s="940">
        <f t="shared" si="25"/>
        <v>343</v>
      </c>
      <c r="B510" s="933" t="s">
        <v>682</v>
      </c>
      <c r="C510" s="744">
        <v>48.8</v>
      </c>
      <c r="D510" s="743" t="s">
        <v>282</v>
      </c>
      <c r="E510"/>
      <c r="I510"/>
      <c r="J510" s="805"/>
      <c r="K510" s="776" t="s">
        <v>52</v>
      </c>
      <c r="M510" s="933" t="s">
        <v>85</v>
      </c>
      <c r="O510" s="933" t="s">
        <v>665</v>
      </c>
      <c r="P510" s="933" t="s">
        <v>85</v>
      </c>
      <c r="R510" s="933" t="s">
        <v>85</v>
      </c>
      <c r="AG510" s="933" t="s">
        <v>120</v>
      </c>
    </row>
    <row r="511" spans="1:33" hidden="1">
      <c r="A511" s="940">
        <f t="shared" si="25"/>
        <v>344</v>
      </c>
      <c r="B511" s="933" t="s">
        <v>683</v>
      </c>
      <c r="C511" s="744">
        <v>65.7</v>
      </c>
      <c r="D511" s="743" t="s">
        <v>282</v>
      </c>
      <c r="E511"/>
      <c r="G511" s="938" t="s">
        <v>684</v>
      </c>
      <c r="H511" s="933" t="s">
        <v>53</v>
      </c>
      <c r="I511"/>
      <c r="J511" s="805"/>
      <c r="K511" s="744" t="e">
        <f>(K509+C22)</f>
        <v>#REF!</v>
      </c>
      <c r="M511" s="939">
        <v>8</v>
      </c>
      <c r="N511" s="933" t="s">
        <v>131</v>
      </c>
      <c r="O511" s="933" t="s">
        <v>624</v>
      </c>
      <c r="P511" s="939">
        <f>(C44)</f>
        <v>2.2000000000000002</v>
      </c>
      <c r="Q511" s="933" t="s">
        <v>131</v>
      </c>
      <c r="R511" s="939">
        <f t="shared" ref="R511:R516" si="28">(M511*P511)</f>
        <v>17.600000000000001</v>
      </c>
      <c r="AG511" s="933" t="s">
        <v>120</v>
      </c>
    </row>
    <row r="512" spans="1:33" hidden="1">
      <c r="A512" s="940">
        <f t="shared" si="25"/>
        <v>345</v>
      </c>
      <c r="B512" s="933" t="s">
        <v>685</v>
      </c>
      <c r="C512" s="744">
        <v>69.099999999999994</v>
      </c>
      <c r="D512" s="744">
        <v>21</v>
      </c>
      <c r="E512"/>
      <c r="G512" s="938" t="s">
        <v>686</v>
      </c>
      <c r="H512" s="933" t="s">
        <v>54</v>
      </c>
      <c r="I512"/>
      <c r="J512" s="805"/>
      <c r="K512" s="744" t="e">
        <f>(K511+C23)</f>
        <v>#REF!</v>
      </c>
      <c r="M512" s="939">
        <v>8</v>
      </c>
      <c r="N512" s="933" t="s">
        <v>131</v>
      </c>
      <c r="O512" s="933" t="s">
        <v>627</v>
      </c>
      <c r="P512" s="939">
        <f>(C51)</f>
        <v>3.2</v>
      </c>
      <c r="Q512" s="933" t="s">
        <v>131</v>
      </c>
      <c r="R512" s="939">
        <f t="shared" si="28"/>
        <v>25.6</v>
      </c>
      <c r="AG512" s="933" t="s">
        <v>120</v>
      </c>
    </row>
    <row r="513" spans="1:33" hidden="1">
      <c r="A513" s="940">
        <f t="shared" si="25"/>
        <v>346</v>
      </c>
      <c r="B513" s="933" t="s">
        <v>687</v>
      </c>
      <c r="C513" s="744">
        <v>94.12</v>
      </c>
      <c r="D513" s="744">
        <v>37.15</v>
      </c>
      <c r="E513"/>
      <c r="G513" s="938" t="s">
        <v>688</v>
      </c>
      <c r="H513" s="933" t="s">
        <v>55</v>
      </c>
      <c r="I513"/>
      <c r="J513" s="805"/>
      <c r="K513" s="744" t="e">
        <f>(K512+C24)</f>
        <v>#REF!</v>
      </c>
      <c r="M513" s="939">
        <v>3</v>
      </c>
      <c r="N513" s="933" t="s">
        <v>131</v>
      </c>
      <c r="O513" s="933" t="s">
        <v>669</v>
      </c>
      <c r="P513" s="939">
        <f>(C41)</f>
        <v>110</v>
      </c>
      <c r="Q513" s="933" t="s">
        <v>131</v>
      </c>
      <c r="R513" s="939">
        <f t="shared" si="28"/>
        <v>330</v>
      </c>
      <c r="AG513" s="933" t="s">
        <v>120</v>
      </c>
    </row>
    <row r="514" spans="1:33" hidden="1">
      <c r="A514" s="940">
        <f t="shared" si="25"/>
        <v>347</v>
      </c>
      <c r="B514" s="933" t="s">
        <v>689</v>
      </c>
      <c r="C514"/>
      <c r="D514" s="743" t="s">
        <v>85</v>
      </c>
      <c r="E514"/>
      <c r="G514" s="938" t="s">
        <v>690</v>
      </c>
      <c r="H514" s="933" t="s">
        <v>56</v>
      </c>
      <c r="I514"/>
      <c r="J514" s="805"/>
      <c r="K514" s="744" t="e">
        <f>(K513+C24)</f>
        <v>#REF!</v>
      </c>
      <c r="M514" s="939">
        <v>1</v>
      </c>
      <c r="N514" s="933" t="s">
        <v>131</v>
      </c>
      <c r="O514" s="933" t="s">
        <v>670</v>
      </c>
      <c r="P514" s="939">
        <f>(C10)</f>
        <v>150</v>
      </c>
      <c r="Q514" s="933" t="s">
        <v>131</v>
      </c>
      <c r="R514" s="939">
        <f t="shared" si="28"/>
        <v>150</v>
      </c>
      <c r="AG514" s="933" t="s">
        <v>120</v>
      </c>
    </row>
    <row r="515" spans="1:33" hidden="1">
      <c r="A515" s="940">
        <f t="shared" si="25"/>
        <v>348</v>
      </c>
      <c r="B515" s="933" t="s">
        <v>588</v>
      </c>
      <c r="C515" s="744">
        <v>4.1900000000000004</v>
      </c>
      <c r="D515" s="743" t="s">
        <v>131</v>
      </c>
      <c r="E515"/>
      <c r="I515"/>
      <c r="J515" s="805"/>
      <c r="K515"/>
      <c r="M515" s="939">
        <v>2</v>
      </c>
      <c r="N515" s="933" t="s">
        <v>131</v>
      </c>
      <c r="O515" s="933" t="s">
        <v>304</v>
      </c>
      <c r="P515" s="939">
        <f>(C12)</f>
        <v>95</v>
      </c>
      <c r="Q515" s="933" t="s">
        <v>131</v>
      </c>
      <c r="R515" s="939">
        <f t="shared" si="28"/>
        <v>190</v>
      </c>
      <c r="AG515" s="933" t="s">
        <v>120</v>
      </c>
    </row>
    <row r="516" spans="1:33" hidden="1">
      <c r="A516" s="940">
        <f t="shared" si="25"/>
        <v>349</v>
      </c>
      <c r="B516" s="933" t="s">
        <v>589</v>
      </c>
      <c r="C516" s="744">
        <v>5</v>
      </c>
      <c r="D516" s="743" t="s">
        <v>131</v>
      </c>
      <c r="E516"/>
      <c r="F516" s="934" t="s">
        <v>691</v>
      </c>
      <c r="G516" s="938" t="s">
        <v>111</v>
      </c>
      <c r="H516" s="933" t="s">
        <v>692</v>
      </c>
      <c r="I516"/>
      <c r="J516" s="805"/>
      <c r="K516"/>
      <c r="M516" s="939">
        <v>1</v>
      </c>
      <c r="N516" s="933" t="s">
        <v>131</v>
      </c>
      <c r="O516" s="933" t="s">
        <v>306</v>
      </c>
      <c r="P516" s="939">
        <f>(C13)</f>
        <v>85</v>
      </c>
      <c r="Q516" s="933" t="s">
        <v>131</v>
      </c>
      <c r="R516" s="939">
        <f t="shared" si="28"/>
        <v>85</v>
      </c>
      <c r="AG516" s="933" t="s">
        <v>120</v>
      </c>
    </row>
    <row r="517" spans="1:33" hidden="1">
      <c r="A517" s="940">
        <f t="shared" si="25"/>
        <v>350</v>
      </c>
      <c r="B517" s="933" t="s">
        <v>591</v>
      </c>
      <c r="C517" s="744">
        <v>8.06</v>
      </c>
      <c r="D517" s="743" t="s">
        <v>131</v>
      </c>
      <c r="E517"/>
      <c r="H517" s="935" t="s">
        <v>52</v>
      </c>
      <c r="I517"/>
      <c r="J517" s="805"/>
      <c r="K517"/>
      <c r="N517" s="933" t="s">
        <v>145</v>
      </c>
      <c r="O517" s="933" t="s">
        <v>671</v>
      </c>
      <c r="P517" s="933" t="s">
        <v>85</v>
      </c>
      <c r="Q517" s="933" t="s">
        <v>145</v>
      </c>
      <c r="R517" s="939">
        <f>(C56)</f>
        <v>12.1</v>
      </c>
      <c r="AG517" s="933" t="s">
        <v>120</v>
      </c>
    </row>
    <row r="518" spans="1:33" hidden="1">
      <c r="A518" s="940">
        <f t="shared" si="25"/>
        <v>351</v>
      </c>
      <c r="B518" s="933" t="s">
        <v>592</v>
      </c>
      <c r="C518" s="744">
        <v>11.86</v>
      </c>
      <c r="D518" s="743" t="s">
        <v>131</v>
      </c>
      <c r="E518"/>
      <c r="F518" s="941">
        <v>1.4999999999999999E-2</v>
      </c>
      <c r="G518" s="938" t="s">
        <v>132</v>
      </c>
      <c r="H518" s="933" t="s">
        <v>693</v>
      </c>
      <c r="I518" s="744" t="e">
        <f>(K505)</f>
        <v>#REF!</v>
      </c>
      <c r="J518" s="779" t="s">
        <v>132</v>
      </c>
      <c r="K518" s="744" t="e">
        <f>(F518*I518)</f>
        <v>#REF!</v>
      </c>
      <c r="O518" s="933" t="s">
        <v>673</v>
      </c>
      <c r="P518" s="933" t="s">
        <v>85</v>
      </c>
      <c r="R518" s="933" t="s">
        <v>85</v>
      </c>
      <c r="AG518" s="933" t="s">
        <v>120</v>
      </c>
    </row>
    <row r="519" spans="1:33" hidden="1">
      <c r="A519" s="940">
        <f t="shared" si="25"/>
        <v>352</v>
      </c>
      <c r="B519" s="933" t="s">
        <v>594</v>
      </c>
      <c r="C519" s="744">
        <v>18.88</v>
      </c>
      <c r="D519" s="743" t="s">
        <v>131</v>
      </c>
      <c r="E519"/>
      <c r="F519" s="939">
        <v>0.5</v>
      </c>
      <c r="G519" s="938" t="s">
        <v>237</v>
      </c>
      <c r="H519" s="933" t="s">
        <v>345</v>
      </c>
      <c r="I519" s="744">
        <f>(C10)</f>
        <v>150</v>
      </c>
      <c r="J519" s="779" t="s">
        <v>237</v>
      </c>
      <c r="K519" s="744">
        <f>(F519*I519)</f>
        <v>75</v>
      </c>
      <c r="N519" s="933" t="s">
        <v>145</v>
      </c>
      <c r="O519" s="933" t="s">
        <v>146</v>
      </c>
      <c r="Q519" s="933" t="s">
        <v>145</v>
      </c>
      <c r="R519" s="939">
        <v>0</v>
      </c>
      <c r="AG519" s="933" t="s">
        <v>120</v>
      </c>
    </row>
    <row r="520" spans="1:33" hidden="1">
      <c r="A520" s="940">
        <f t="shared" si="25"/>
        <v>353</v>
      </c>
      <c r="B520" s="933" t="s">
        <v>547</v>
      </c>
      <c r="C520" s="744">
        <v>26</v>
      </c>
      <c r="D520" s="743" t="s">
        <v>131</v>
      </c>
      <c r="E520"/>
      <c r="F520" s="939">
        <v>0.75</v>
      </c>
      <c r="G520" s="938" t="s">
        <v>237</v>
      </c>
      <c r="H520" s="933" t="s">
        <v>304</v>
      </c>
      <c r="I520" s="744">
        <f>(C12)</f>
        <v>95</v>
      </c>
      <c r="J520" s="779" t="s">
        <v>237</v>
      </c>
      <c r="K520" s="744">
        <f>(F520*I520)</f>
        <v>71.25</v>
      </c>
      <c r="R520" s="935" t="s">
        <v>52</v>
      </c>
      <c r="AG520" s="933" t="s">
        <v>120</v>
      </c>
    </row>
    <row r="521" spans="1:33" hidden="1">
      <c r="A521" s="940">
        <f t="shared" si="25"/>
        <v>354</v>
      </c>
      <c r="B521" s="933" t="s">
        <v>694</v>
      </c>
      <c r="C521"/>
      <c r="D521" s="743" t="s">
        <v>85</v>
      </c>
      <c r="E521"/>
      <c r="G521" s="938" t="s">
        <v>145</v>
      </c>
      <c r="H521" s="933" t="s">
        <v>146</v>
      </c>
      <c r="I521"/>
      <c r="J521" s="779" t="s">
        <v>145</v>
      </c>
      <c r="K521" s="744">
        <v>0</v>
      </c>
      <c r="O521" s="933" t="s">
        <v>674</v>
      </c>
      <c r="R521" s="939">
        <f>SUM(R509:R519)</f>
        <v>862.8</v>
      </c>
      <c r="AG521" s="933" t="s">
        <v>120</v>
      </c>
    </row>
    <row r="522" spans="1:33" hidden="1">
      <c r="A522" s="940">
        <f t="shared" si="25"/>
        <v>355</v>
      </c>
      <c r="B522" s="933" t="s">
        <v>588</v>
      </c>
      <c r="C522" s="744">
        <v>4.62</v>
      </c>
      <c r="D522" s="743" t="s">
        <v>131</v>
      </c>
      <c r="E522"/>
      <c r="I522"/>
      <c r="J522" s="805"/>
      <c r="K522" s="776" t="s">
        <v>52</v>
      </c>
      <c r="R522" s="935" t="s">
        <v>52</v>
      </c>
      <c r="AG522" s="933" t="s">
        <v>120</v>
      </c>
    </row>
    <row r="523" spans="1:33" hidden="1">
      <c r="A523" s="940">
        <f t="shared" si="25"/>
        <v>356</v>
      </c>
      <c r="B523" s="933" t="s">
        <v>589</v>
      </c>
      <c r="C523" s="744">
        <v>7.83</v>
      </c>
      <c r="D523" s="743" t="s">
        <v>131</v>
      </c>
      <c r="E523"/>
      <c r="H523" s="933" t="s">
        <v>695</v>
      </c>
      <c r="I523"/>
      <c r="J523" s="805"/>
      <c r="K523" s="744" t="e">
        <f>SUM(K518:K521)</f>
        <v>#REF!</v>
      </c>
      <c r="O523" s="933" t="s">
        <v>632</v>
      </c>
      <c r="R523" s="939">
        <f>(R521/30)</f>
        <v>28.76</v>
      </c>
      <c r="AG523" s="933" t="s">
        <v>120</v>
      </c>
    </row>
    <row r="524" spans="1:33" hidden="1">
      <c r="A524" s="940">
        <f t="shared" ref="A524:A546" si="29">(A523+1)</f>
        <v>357</v>
      </c>
      <c r="B524" s="933" t="s">
        <v>591</v>
      </c>
      <c r="C524" s="744">
        <v>11.38</v>
      </c>
      <c r="D524" s="743" t="s">
        <v>131</v>
      </c>
      <c r="E524"/>
      <c r="I524"/>
      <c r="J524" s="805"/>
      <c r="K524" s="776" t="s">
        <v>52</v>
      </c>
      <c r="R524" s="935" t="s">
        <v>52</v>
      </c>
      <c r="AG524" s="933" t="s">
        <v>120</v>
      </c>
    </row>
    <row r="525" spans="1:33" hidden="1">
      <c r="A525" s="940">
        <f t="shared" si="29"/>
        <v>358</v>
      </c>
      <c r="B525" s="933" t="s">
        <v>592</v>
      </c>
      <c r="C525" s="744">
        <v>18.75</v>
      </c>
      <c r="D525" s="743" t="s">
        <v>131</v>
      </c>
      <c r="E525"/>
      <c r="H525" s="933" t="s">
        <v>460</v>
      </c>
      <c r="I525"/>
      <c r="J525" s="805"/>
      <c r="K525" s="744" t="e">
        <f>(K523/0.743)</f>
        <v>#REF!</v>
      </c>
      <c r="AG525" s="933" t="s">
        <v>120</v>
      </c>
    </row>
    <row r="526" spans="1:33" hidden="1">
      <c r="A526" s="940">
        <f t="shared" si="29"/>
        <v>359</v>
      </c>
      <c r="B526" s="933" t="s">
        <v>594</v>
      </c>
      <c r="C526" s="744">
        <v>35.1</v>
      </c>
      <c r="D526" s="743" t="s">
        <v>131</v>
      </c>
      <c r="E526"/>
      <c r="I526"/>
      <c r="J526" s="805"/>
      <c r="K526" s="776" t="s">
        <v>89</v>
      </c>
      <c r="AG526" s="933" t="s">
        <v>120</v>
      </c>
    </row>
    <row r="527" spans="1:33" hidden="1">
      <c r="A527" s="940">
        <f t="shared" si="29"/>
        <v>360</v>
      </c>
      <c r="B527" s="933" t="s">
        <v>547</v>
      </c>
      <c r="C527" s="744">
        <v>45.57</v>
      </c>
      <c r="D527" s="743" t="s">
        <v>131</v>
      </c>
      <c r="E527"/>
      <c r="H527" s="933" t="s">
        <v>53</v>
      </c>
      <c r="I527" s="744" t="e">
        <f>K525</f>
        <v>#REF!</v>
      </c>
      <c r="J527" s="779">
        <f>C22*0.02</f>
        <v>0.53</v>
      </c>
      <c r="K527" s="744" t="e">
        <f>I527+J527</f>
        <v>#REF!</v>
      </c>
      <c r="N527" s="933" t="s">
        <v>645</v>
      </c>
      <c r="O527" s="934" t="s">
        <v>696</v>
      </c>
      <c r="AG527" s="933" t="s">
        <v>120</v>
      </c>
    </row>
    <row r="528" spans="1:33" hidden="1">
      <c r="A528" s="940">
        <f t="shared" si="29"/>
        <v>361</v>
      </c>
      <c r="B528" s="933" t="s">
        <v>697</v>
      </c>
      <c r="C528"/>
      <c r="D528" s="743" t="s">
        <v>85</v>
      </c>
      <c r="E528"/>
      <c r="H528" s="933" t="s">
        <v>54</v>
      </c>
      <c r="I528" s="744" t="e">
        <f>K527</f>
        <v>#REF!</v>
      </c>
      <c r="J528" s="779">
        <f>C23*0.02</f>
        <v>1.06</v>
      </c>
      <c r="K528" s="744" t="e">
        <f>I528+J528</f>
        <v>#REF!</v>
      </c>
      <c r="O528" s="935" t="s">
        <v>52</v>
      </c>
      <c r="AG528" s="933" t="s">
        <v>120</v>
      </c>
    </row>
    <row r="529" spans="1:33" hidden="1">
      <c r="A529" s="940">
        <f t="shared" si="29"/>
        <v>362</v>
      </c>
      <c r="B529" s="933" t="s">
        <v>588</v>
      </c>
      <c r="C529" s="744">
        <v>7.8</v>
      </c>
      <c r="D529" s="743" t="s">
        <v>131</v>
      </c>
      <c r="E529"/>
      <c r="H529" s="933" t="s">
        <v>55</v>
      </c>
      <c r="I529" s="744" t="e">
        <f>K528</f>
        <v>#REF!</v>
      </c>
      <c r="J529" s="779">
        <f>C23*0.02</f>
        <v>1.06</v>
      </c>
      <c r="K529" s="744" t="e">
        <f>I529+J529</f>
        <v>#REF!</v>
      </c>
      <c r="M529" s="939">
        <v>30</v>
      </c>
      <c r="N529" s="933" t="s">
        <v>282</v>
      </c>
      <c r="O529" s="933" t="s">
        <v>662</v>
      </c>
      <c r="P529" s="939">
        <f>(C42)</f>
        <v>1.75</v>
      </c>
      <c r="Q529" s="933" t="s">
        <v>282</v>
      </c>
      <c r="R529" s="939">
        <f>(M529*P529)</f>
        <v>52.5</v>
      </c>
      <c r="AG529" s="933" t="s">
        <v>120</v>
      </c>
    </row>
    <row r="530" spans="1:33" hidden="1">
      <c r="A530" s="940">
        <f t="shared" si="29"/>
        <v>363</v>
      </c>
      <c r="B530" s="933" t="s">
        <v>589</v>
      </c>
      <c r="C530" s="744">
        <v>9.49</v>
      </c>
      <c r="D530" s="743" t="s">
        <v>131</v>
      </c>
      <c r="E530"/>
      <c r="H530" s="933" t="s">
        <v>56</v>
      </c>
      <c r="I530" s="744" t="e">
        <f>K529</f>
        <v>#REF!</v>
      </c>
      <c r="J530" s="779">
        <f>C23*0.02</f>
        <v>1.06</v>
      </c>
      <c r="K530" s="744" t="e">
        <f>I530+J530</f>
        <v>#REF!</v>
      </c>
      <c r="M530" s="933" t="s">
        <v>85</v>
      </c>
      <c r="O530" s="933" t="s">
        <v>665</v>
      </c>
      <c r="P530" s="933" t="s">
        <v>85</v>
      </c>
      <c r="R530" s="933" t="s">
        <v>85</v>
      </c>
      <c r="AG530" s="933" t="s">
        <v>120</v>
      </c>
    </row>
    <row r="531" spans="1:33" hidden="1">
      <c r="A531" s="940">
        <f t="shared" si="29"/>
        <v>364</v>
      </c>
      <c r="B531" s="933" t="s">
        <v>591</v>
      </c>
      <c r="C531" s="744">
        <v>13.91</v>
      </c>
      <c r="D531" s="743" t="s">
        <v>131</v>
      </c>
      <c r="E531"/>
      <c r="H531" s="933" t="s">
        <v>54</v>
      </c>
      <c r="I531" s="744" t="e">
        <f>K530</f>
        <v>#REF!</v>
      </c>
      <c r="J531" s="779">
        <f>C24*0.02</f>
        <v>1.06</v>
      </c>
      <c r="K531" s="744" t="e">
        <f>I531+J531</f>
        <v>#REF!</v>
      </c>
      <c r="M531" s="939">
        <v>8</v>
      </c>
      <c r="N531" s="933" t="s">
        <v>131</v>
      </c>
      <c r="O531" s="933" t="s">
        <v>624</v>
      </c>
      <c r="P531" s="939">
        <f>(C45)</f>
        <v>2.7</v>
      </c>
      <c r="Q531" s="933" t="s">
        <v>131</v>
      </c>
      <c r="R531" s="939">
        <f t="shared" ref="R531:R536" si="30">(M531*P531)</f>
        <v>21.6</v>
      </c>
      <c r="AG531" s="933" t="s">
        <v>120</v>
      </c>
    </row>
    <row r="532" spans="1:33" hidden="1">
      <c r="A532" s="940">
        <f t="shared" si="29"/>
        <v>365</v>
      </c>
      <c r="B532" s="933" t="s">
        <v>592</v>
      </c>
      <c r="C532" s="744">
        <v>26.59</v>
      </c>
      <c r="D532" s="743" t="s">
        <v>131</v>
      </c>
      <c r="E532"/>
      <c r="F532" s="934" t="s">
        <v>698</v>
      </c>
      <c r="G532" s="938" t="s">
        <v>111</v>
      </c>
      <c r="H532" s="933" t="s">
        <v>699</v>
      </c>
      <c r="I532"/>
      <c r="J532" s="805"/>
      <c r="K532"/>
      <c r="M532" s="939">
        <v>8</v>
      </c>
      <c r="N532" s="933" t="s">
        <v>131</v>
      </c>
      <c r="O532" s="933" t="s">
        <v>627</v>
      </c>
      <c r="P532" s="939">
        <f>(C52)</f>
        <v>6.4</v>
      </c>
      <c r="Q532" s="933" t="s">
        <v>131</v>
      </c>
      <c r="R532" s="939">
        <f t="shared" si="30"/>
        <v>51.2</v>
      </c>
      <c r="AG532" s="933" t="s">
        <v>120</v>
      </c>
    </row>
    <row r="533" spans="1:33" hidden="1">
      <c r="A533" s="940">
        <f t="shared" si="29"/>
        <v>366</v>
      </c>
      <c r="B533" s="933" t="s">
        <v>594</v>
      </c>
      <c r="C533" s="744">
        <v>39.909999999999997</v>
      </c>
      <c r="D533" s="743" t="s">
        <v>131</v>
      </c>
      <c r="E533"/>
      <c r="H533" s="935" t="s">
        <v>52</v>
      </c>
      <c r="I533"/>
      <c r="J533" s="805"/>
      <c r="K533"/>
      <c r="M533" s="939">
        <v>3</v>
      </c>
      <c r="N533" s="933" t="s">
        <v>131</v>
      </c>
      <c r="O533" s="933" t="s">
        <v>669</v>
      </c>
      <c r="P533" s="939">
        <f>(C41)</f>
        <v>110</v>
      </c>
      <c r="Q533" s="933" t="s">
        <v>131</v>
      </c>
      <c r="R533" s="939">
        <f t="shared" si="30"/>
        <v>330</v>
      </c>
      <c r="AG533" s="933" t="s">
        <v>120</v>
      </c>
    </row>
    <row r="534" spans="1:33" hidden="1">
      <c r="A534" s="940">
        <f t="shared" si="29"/>
        <v>367</v>
      </c>
      <c r="B534" s="933" t="s">
        <v>547</v>
      </c>
      <c r="C534" s="744">
        <v>66</v>
      </c>
      <c r="D534" s="743" t="s">
        <v>131</v>
      </c>
      <c r="E534"/>
      <c r="F534" s="939">
        <v>0.03</v>
      </c>
      <c r="G534" s="938" t="s">
        <v>132</v>
      </c>
      <c r="H534" s="933" t="s">
        <v>693</v>
      </c>
      <c r="I534" s="744" t="e">
        <f>(K505)</f>
        <v>#REF!</v>
      </c>
      <c r="J534" s="779" t="s">
        <v>132</v>
      </c>
      <c r="K534" s="744" t="e">
        <f>(F534*I534)</f>
        <v>#REF!</v>
      </c>
      <c r="M534" s="939">
        <v>1</v>
      </c>
      <c r="N534" s="933" t="s">
        <v>131</v>
      </c>
      <c r="O534" s="933" t="s">
        <v>670</v>
      </c>
      <c r="P534" s="939">
        <f>(C10)</f>
        <v>150</v>
      </c>
      <c r="Q534" s="933" t="s">
        <v>131</v>
      </c>
      <c r="R534" s="939">
        <f t="shared" si="30"/>
        <v>150</v>
      </c>
      <c r="AG534" s="933" t="s">
        <v>120</v>
      </c>
    </row>
    <row r="535" spans="1:33" hidden="1">
      <c r="A535" s="940">
        <f t="shared" si="29"/>
        <v>368</v>
      </c>
      <c r="B535" s="933" t="s">
        <v>700</v>
      </c>
      <c r="C535"/>
      <c r="D535" s="743" t="s">
        <v>85</v>
      </c>
      <c r="E535"/>
      <c r="F535" s="939">
        <v>0.5</v>
      </c>
      <c r="G535" s="938" t="s">
        <v>237</v>
      </c>
      <c r="H535" s="933" t="s">
        <v>345</v>
      </c>
      <c r="I535" s="744">
        <f>(C10)</f>
        <v>150</v>
      </c>
      <c r="J535" s="779" t="s">
        <v>237</v>
      </c>
      <c r="K535" s="744">
        <f>(F535*I535)</f>
        <v>75</v>
      </c>
      <c r="M535" s="939">
        <v>2</v>
      </c>
      <c r="N535" s="933" t="s">
        <v>131</v>
      </c>
      <c r="O535" s="933" t="s">
        <v>304</v>
      </c>
      <c r="P535" s="939">
        <f>(C12)</f>
        <v>95</v>
      </c>
      <c r="Q535" s="933" t="s">
        <v>131</v>
      </c>
      <c r="R535" s="939">
        <f t="shared" si="30"/>
        <v>190</v>
      </c>
      <c r="AG535" s="933" t="s">
        <v>120</v>
      </c>
    </row>
    <row r="536" spans="1:33" hidden="1">
      <c r="A536" s="940">
        <f t="shared" si="29"/>
        <v>369</v>
      </c>
      <c r="B536" s="933" t="s">
        <v>658</v>
      </c>
      <c r="C536" s="744">
        <v>4.75</v>
      </c>
      <c r="D536" s="743" t="s">
        <v>131</v>
      </c>
      <c r="E536"/>
      <c r="F536" s="939">
        <v>0.75</v>
      </c>
      <c r="G536" s="938" t="s">
        <v>237</v>
      </c>
      <c r="H536" s="933" t="s">
        <v>304</v>
      </c>
      <c r="I536" s="744">
        <f>(C12)</f>
        <v>95</v>
      </c>
      <c r="J536" s="779" t="s">
        <v>237</v>
      </c>
      <c r="K536" s="744">
        <f>(F536*I536)</f>
        <v>71.25</v>
      </c>
      <c r="M536" s="939">
        <v>1</v>
      </c>
      <c r="N536" s="933" t="s">
        <v>131</v>
      </c>
      <c r="O536" s="933" t="s">
        <v>306</v>
      </c>
      <c r="P536" s="939">
        <f>(C13)</f>
        <v>85</v>
      </c>
      <c r="Q536" s="933" t="s">
        <v>131</v>
      </c>
      <c r="R536" s="939">
        <f t="shared" si="30"/>
        <v>85</v>
      </c>
      <c r="AG536" s="933" t="s">
        <v>120</v>
      </c>
    </row>
    <row r="537" spans="1:33" hidden="1">
      <c r="A537" s="940">
        <f t="shared" si="29"/>
        <v>370</v>
      </c>
      <c r="B537" s="933" t="s">
        <v>660</v>
      </c>
      <c r="C537" s="744">
        <v>6.89</v>
      </c>
      <c r="D537" s="743" t="s">
        <v>131</v>
      </c>
      <c r="E537"/>
      <c r="G537" s="938" t="s">
        <v>145</v>
      </c>
      <c r="H537" s="933" t="s">
        <v>146</v>
      </c>
      <c r="I537"/>
      <c r="J537" s="779" t="s">
        <v>145</v>
      </c>
      <c r="K537" s="744">
        <v>0</v>
      </c>
      <c r="N537" s="933" t="s">
        <v>145</v>
      </c>
      <c r="O537" s="933" t="s">
        <v>671</v>
      </c>
      <c r="P537" s="933" t="s">
        <v>85</v>
      </c>
      <c r="Q537" s="933" t="s">
        <v>145</v>
      </c>
      <c r="R537" s="939">
        <f>(C56)</f>
        <v>12.1</v>
      </c>
      <c r="AG537" s="933" t="s">
        <v>120</v>
      </c>
    </row>
    <row r="538" spans="1:33" hidden="1">
      <c r="A538" s="940">
        <f t="shared" si="29"/>
        <v>371</v>
      </c>
      <c r="B538" s="933" t="s">
        <v>661</v>
      </c>
      <c r="C538" s="744">
        <v>6.18</v>
      </c>
      <c r="D538" s="743" t="s">
        <v>131</v>
      </c>
      <c r="E538"/>
      <c r="I538"/>
      <c r="J538" s="805"/>
      <c r="K538" s="776" t="s">
        <v>52</v>
      </c>
      <c r="O538" s="933" t="s">
        <v>673</v>
      </c>
      <c r="P538" s="933" t="s">
        <v>85</v>
      </c>
      <c r="R538" s="933" t="s">
        <v>85</v>
      </c>
      <c r="AG538" s="933" t="s">
        <v>120</v>
      </c>
    </row>
    <row r="539" spans="1:33" hidden="1">
      <c r="A539" s="940">
        <f t="shared" si="29"/>
        <v>372</v>
      </c>
      <c r="B539" s="933" t="s">
        <v>701</v>
      </c>
      <c r="C539" s="744">
        <v>13.29</v>
      </c>
      <c r="D539" s="743" t="s">
        <v>131</v>
      </c>
      <c r="E539"/>
      <c r="H539" s="933" t="s">
        <v>695</v>
      </c>
      <c r="I539"/>
      <c r="J539" s="805"/>
      <c r="K539" s="744" t="e">
        <f>SUM(K534:K537)</f>
        <v>#REF!</v>
      </c>
      <c r="N539" s="933" t="s">
        <v>145</v>
      </c>
      <c r="O539" s="933" t="s">
        <v>146</v>
      </c>
      <c r="Q539" s="933" t="s">
        <v>145</v>
      </c>
      <c r="R539" s="939">
        <v>0</v>
      </c>
      <c r="AG539" s="933" t="s">
        <v>120</v>
      </c>
    </row>
    <row r="540" spans="1:33" hidden="1">
      <c r="A540" s="940">
        <f t="shared" si="29"/>
        <v>373</v>
      </c>
      <c r="B540" s="933" t="s">
        <v>702</v>
      </c>
      <c r="C540" s="744">
        <v>14.11</v>
      </c>
      <c r="D540" s="743" t="s">
        <v>131</v>
      </c>
      <c r="E540"/>
      <c r="I540"/>
      <c r="J540" s="805"/>
      <c r="K540" s="776" t="s">
        <v>52</v>
      </c>
      <c r="R540" s="935" t="s">
        <v>52</v>
      </c>
      <c r="AG540" s="933" t="s">
        <v>120</v>
      </c>
    </row>
    <row r="541" spans="1:33" hidden="1">
      <c r="A541" s="940">
        <f t="shared" si="29"/>
        <v>374</v>
      </c>
      <c r="B541" s="933" t="s">
        <v>703</v>
      </c>
      <c r="C541" s="744">
        <v>14.69</v>
      </c>
      <c r="D541" s="743" t="s">
        <v>131</v>
      </c>
      <c r="E541"/>
      <c r="H541" s="933" t="s">
        <v>460</v>
      </c>
      <c r="I541"/>
      <c r="J541" s="805"/>
      <c r="K541" s="744" t="e">
        <f>(K539/0.743)</f>
        <v>#REF!</v>
      </c>
      <c r="O541" s="933" t="s">
        <v>674</v>
      </c>
      <c r="R541" s="939">
        <f>SUM(R529:R539)</f>
        <v>892.4</v>
      </c>
      <c r="AG541" s="933" t="s">
        <v>120</v>
      </c>
    </row>
    <row r="542" spans="1:33" hidden="1">
      <c r="A542" s="940">
        <f t="shared" si="29"/>
        <v>375</v>
      </c>
      <c r="B542" s="933" t="s">
        <v>704</v>
      </c>
      <c r="C542"/>
      <c r="D542" s="743" t="s">
        <v>85</v>
      </c>
      <c r="E542"/>
      <c r="I542"/>
      <c r="J542" s="805"/>
      <c r="K542" s="776" t="s">
        <v>89</v>
      </c>
      <c r="R542" s="935" t="s">
        <v>52</v>
      </c>
      <c r="AG542" s="933" t="s">
        <v>120</v>
      </c>
    </row>
    <row r="543" spans="1:33" hidden="1">
      <c r="A543" s="940">
        <f t="shared" si="29"/>
        <v>376</v>
      </c>
      <c r="B543" s="933" t="s">
        <v>658</v>
      </c>
      <c r="C543" s="744">
        <v>10.3</v>
      </c>
      <c r="D543" s="743" t="s">
        <v>131</v>
      </c>
      <c r="E543"/>
      <c r="H543" s="933" t="s">
        <v>53</v>
      </c>
      <c r="I543" s="744" t="e">
        <f>K541</f>
        <v>#REF!</v>
      </c>
      <c r="J543" s="779">
        <f>C22*0.04</f>
        <v>1.06</v>
      </c>
      <c r="K543" s="744" t="e">
        <f>I543+J543</f>
        <v>#REF!</v>
      </c>
      <c r="O543" s="933" t="s">
        <v>632</v>
      </c>
      <c r="R543" s="939">
        <f>(R541/30)</f>
        <v>29.75</v>
      </c>
      <c r="AG543" s="933" t="s">
        <v>120</v>
      </c>
    </row>
    <row r="544" spans="1:33" hidden="1">
      <c r="A544" s="940">
        <f t="shared" si="29"/>
        <v>377</v>
      </c>
      <c r="B544" s="933" t="s">
        <v>660</v>
      </c>
      <c r="C544" s="744">
        <v>19.05</v>
      </c>
      <c r="D544" s="743" t="s">
        <v>131</v>
      </c>
      <c r="E544"/>
      <c r="H544" s="933" t="s">
        <v>54</v>
      </c>
      <c r="I544" s="744" t="e">
        <f>K543</f>
        <v>#REF!</v>
      </c>
      <c r="J544" s="779">
        <f>C23*0.04</f>
        <v>2.11</v>
      </c>
      <c r="K544" s="744" t="e">
        <f>I544+J544</f>
        <v>#REF!</v>
      </c>
      <c r="R544" s="935" t="s">
        <v>52</v>
      </c>
      <c r="AG544" s="933" t="s">
        <v>120</v>
      </c>
    </row>
    <row r="545" spans="1:33" hidden="1">
      <c r="A545" s="940">
        <f t="shared" si="29"/>
        <v>378</v>
      </c>
      <c r="B545" s="933" t="s">
        <v>661</v>
      </c>
      <c r="C545" s="744">
        <v>15.34</v>
      </c>
      <c r="D545" s="743" t="s">
        <v>131</v>
      </c>
      <c r="E545"/>
      <c r="H545" s="933" t="s">
        <v>55</v>
      </c>
      <c r="I545" s="744" t="e">
        <f>K544</f>
        <v>#REF!</v>
      </c>
      <c r="J545" s="779">
        <f>C23*0.04</f>
        <v>2.11</v>
      </c>
      <c r="K545" s="744" t="e">
        <f>I545+J545</f>
        <v>#REF!</v>
      </c>
      <c r="N545" s="933" t="s">
        <v>111</v>
      </c>
      <c r="O545" s="933" t="s">
        <v>609</v>
      </c>
      <c r="AG545" s="933" t="s">
        <v>120</v>
      </c>
    </row>
    <row r="546" spans="1:33" hidden="1">
      <c r="A546" s="940">
        <f t="shared" si="29"/>
        <v>379</v>
      </c>
      <c r="B546" s="933" t="s">
        <v>705</v>
      </c>
      <c r="C546" s="744">
        <v>29.41</v>
      </c>
      <c r="D546" s="743" t="s">
        <v>131</v>
      </c>
      <c r="E546"/>
      <c r="H546" s="933" t="s">
        <v>56</v>
      </c>
      <c r="I546" s="744" t="e">
        <f>K545</f>
        <v>#REF!</v>
      </c>
      <c r="J546" s="779">
        <f>C23*0.04</f>
        <v>2.11</v>
      </c>
      <c r="K546" s="744" t="e">
        <f>I546+J546</f>
        <v>#REF!</v>
      </c>
      <c r="O546" s="933" t="s">
        <v>706</v>
      </c>
      <c r="AG546" s="933" t="s">
        <v>120</v>
      </c>
    </row>
    <row r="547" spans="1:33" hidden="1">
      <c r="C547"/>
      <c r="D547"/>
      <c r="E547"/>
      <c r="F547" s="933" t="s">
        <v>85</v>
      </c>
      <c r="H547" s="933" t="s">
        <v>54</v>
      </c>
      <c r="I547" s="744" t="e">
        <f>K546</f>
        <v>#REF!</v>
      </c>
      <c r="J547" s="779">
        <f>C24*0.04</f>
        <v>2.11</v>
      </c>
      <c r="K547" s="744" t="e">
        <f>I547+J547</f>
        <v>#REF!</v>
      </c>
    </row>
    <row r="548" spans="1:33" hidden="1">
      <c r="A548" s="940">
        <f>(A546+1)</f>
        <v>380</v>
      </c>
      <c r="B548" s="933" t="s">
        <v>702</v>
      </c>
      <c r="C548" s="744">
        <v>38.35</v>
      </c>
      <c r="D548" s="743" t="s">
        <v>131</v>
      </c>
      <c r="E548"/>
      <c r="I548"/>
      <c r="J548" s="805"/>
      <c r="K548"/>
      <c r="O548" s="933" t="s">
        <v>611</v>
      </c>
      <c r="AG548" s="933" t="s">
        <v>120</v>
      </c>
    </row>
    <row r="549" spans="1:33" hidden="1">
      <c r="A549" s="940">
        <f t="shared" ref="A549:A564" si="31">(A548+1)</f>
        <v>381</v>
      </c>
      <c r="B549" s="933" t="s">
        <v>703</v>
      </c>
      <c r="C549" s="744">
        <v>37.96</v>
      </c>
      <c r="D549" s="743" t="s">
        <v>131</v>
      </c>
      <c r="E549"/>
      <c r="F549" s="948"/>
      <c r="G549" s="938" t="s">
        <v>85</v>
      </c>
      <c r="H549" s="933" t="s">
        <v>707</v>
      </c>
      <c r="I549"/>
      <c r="J549" s="805"/>
      <c r="K549"/>
      <c r="O549" s="935" t="s">
        <v>52</v>
      </c>
      <c r="AG549" s="933" t="s">
        <v>120</v>
      </c>
    </row>
    <row r="550" spans="1:33" hidden="1">
      <c r="A550" s="940">
        <f t="shared" si="31"/>
        <v>382</v>
      </c>
      <c r="B550" s="933" t="s">
        <v>708</v>
      </c>
      <c r="C550"/>
      <c r="D550" s="743" t="s">
        <v>85</v>
      </c>
      <c r="E550"/>
      <c r="H550" s="933" t="s">
        <v>709</v>
      </c>
      <c r="I550"/>
      <c r="J550" s="805"/>
      <c r="K550"/>
      <c r="AG550" s="933" t="s">
        <v>120</v>
      </c>
    </row>
    <row r="551" spans="1:33" hidden="1">
      <c r="A551" s="940">
        <f t="shared" si="31"/>
        <v>383</v>
      </c>
      <c r="B551" s="933" t="s">
        <v>658</v>
      </c>
      <c r="C551" s="744">
        <v>6.68</v>
      </c>
      <c r="D551" s="743" t="s">
        <v>131</v>
      </c>
      <c r="E551"/>
      <c r="H551" s="933" t="s">
        <v>710</v>
      </c>
      <c r="I551"/>
      <c r="J551" s="805"/>
      <c r="K551"/>
      <c r="N551" s="933" t="s">
        <v>612</v>
      </c>
      <c r="O551" s="933" t="s">
        <v>711</v>
      </c>
      <c r="AG551" s="933" t="s">
        <v>120</v>
      </c>
    </row>
    <row r="552" spans="1:33" hidden="1">
      <c r="A552" s="940">
        <f t="shared" si="31"/>
        <v>384</v>
      </c>
      <c r="B552" s="933" t="s">
        <v>660</v>
      </c>
      <c r="C552" s="744">
        <v>9.4499999999999993</v>
      </c>
      <c r="D552" s="743" t="s">
        <v>131</v>
      </c>
      <c r="E552"/>
      <c r="H552" s="933" t="s">
        <v>712</v>
      </c>
      <c r="I552"/>
      <c r="J552" s="805"/>
      <c r="K552"/>
      <c r="O552" s="935" t="s">
        <v>52</v>
      </c>
      <c r="AG552" s="933" t="s">
        <v>120</v>
      </c>
    </row>
    <row r="553" spans="1:33" hidden="1">
      <c r="A553" s="940">
        <f t="shared" si="31"/>
        <v>385</v>
      </c>
      <c r="B553" s="933" t="s">
        <v>661</v>
      </c>
      <c r="C553" s="744">
        <v>33.04</v>
      </c>
      <c r="D553" s="743" t="s">
        <v>131</v>
      </c>
      <c r="E553"/>
      <c r="H553" s="933" t="s">
        <v>713</v>
      </c>
      <c r="I553"/>
      <c r="J553" s="805"/>
      <c r="K553"/>
      <c r="M553" s="939">
        <v>8.1</v>
      </c>
      <c r="N553" s="933" t="s">
        <v>132</v>
      </c>
      <c r="O553" s="933" t="s">
        <v>615</v>
      </c>
      <c r="P553" s="939">
        <f>(C61)*2</f>
        <v>50</v>
      </c>
      <c r="Q553" s="933" t="s">
        <v>132</v>
      </c>
      <c r="R553" s="939">
        <f>(M553*P553)</f>
        <v>405</v>
      </c>
      <c r="AG553" s="933" t="s">
        <v>120</v>
      </c>
    </row>
    <row r="554" spans="1:33" hidden="1">
      <c r="A554" s="940">
        <f t="shared" si="31"/>
        <v>386</v>
      </c>
      <c r="B554" s="933" t="s">
        <v>705</v>
      </c>
      <c r="C554" s="744">
        <v>33.04</v>
      </c>
      <c r="D554" s="743" t="s">
        <v>131</v>
      </c>
      <c r="E554"/>
      <c r="H554" s="933" t="s">
        <v>714</v>
      </c>
      <c r="I554"/>
      <c r="J554" s="805"/>
      <c r="K554"/>
      <c r="M554" s="939">
        <v>8.1</v>
      </c>
      <c r="N554" s="933" t="s">
        <v>132</v>
      </c>
      <c r="O554" s="933" t="s">
        <v>616</v>
      </c>
      <c r="P554" s="939">
        <f>(C26)</f>
        <v>8.8000000000000007</v>
      </c>
      <c r="Q554" s="933" t="s">
        <v>132</v>
      </c>
      <c r="R554" s="939">
        <f>(M554*P554)</f>
        <v>71.28</v>
      </c>
      <c r="AG554" s="933" t="s">
        <v>120</v>
      </c>
    </row>
    <row r="555" spans="1:33" hidden="1">
      <c r="A555" s="940">
        <f t="shared" si="31"/>
        <v>387</v>
      </c>
      <c r="B555" s="933" t="s">
        <v>715</v>
      </c>
      <c r="C555" s="744">
        <v>33.04</v>
      </c>
      <c r="D555" s="743" t="s">
        <v>131</v>
      </c>
      <c r="E555"/>
      <c r="H555" s="933" t="s">
        <v>716</v>
      </c>
      <c r="I555"/>
      <c r="J555" s="805"/>
      <c r="K555"/>
      <c r="M555" s="939">
        <v>30</v>
      </c>
      <c r="N555" s="933" t="s">
        <v>282</v>
      </c>
      <c r="O555" s="933" t="s">
        <v>617</v>
      </c>
      <c r="P555" s="939">
        <f>(C639)</f>
        <v>3</v>
      </c>
      <c r="Q555" s="933" t="s">
        <v>282</v>
      </c>
      <c r="R555" s="939">
        <f>(M555*P555)</f>
        <v>90</v>
      </c>
      <c r="AG555" s="933" t="s">
        <v>307</v>
      </c>
    </row>
    <row r="556" spans="1:33" hidden="1">
      <c r="A556" s="940">
        <f t="shared" si="31"/>
        <v>388</v>
      </c>
      <c r="B556" s="933" t="s">
        <v>717</v>
      </c>
      <c r="C556" s="744">
        <v>33.04</v>
      </c>
      <c r="D556" s="743" t="s">
        <v>131</v>
      </c>
      <c r="E556"/>
      <c r="H556" s="935" t="s">
        <v>52</v>
      </c>
      <c r="I556" s="776" t="s">
        <v>52</v>
      </c>
      <c r="J556" s="805"/>
      <c r="K556"/>
      <c r="O556" s="933" t="s">
        <v>718</v>
      </c>
    </row>
    <row r="557" spans="1:33" hidden="1">
      <c r="A557" s="940">
        <f t="shared" si="31"/>
        <v>389</v>
      </c>
      <c r="B557" s="933" t="s">
        <v>719</v>
      </c>
      <c r="C557" s="744">
        <v>538</v>
      </c>
      <c r="D557" s="743" t="s">
        <v>131</v>
      </c>
      <c r="E557"/>
      <c r="G557" s="938" t="s">
        <v>443</v>
      </c>
      <c r="H557" s="933" t="s">
        <v>720</v>
      </c>
      <c r="I557"/>
      <c r="J557" s="805"/>
      <c r="K557"/>
      <c r="O557" s="933" t="s">
        <v>619</v>
      </c>
    </row>
    <row r="558" spans="1:33" hidden="1">
      <c r="A558" s="940">
        <f t="shared" si="31"/>
        <v>390</v>
      </c>
      <c r="B558" s="933" t="s">
        <v>721</v>
      </c>
      <c r="C558" s="744">
        <v>340</v>
      </c>
      <c r="D558" s="743" t="s">
        <v>131</v>
      </c>
      <c r="E558"/>
      <c r="H558" s="933" t="s">
        <v>722</v>
      </c>
      <c r="I558"/>
      <c r="J558" s="805"/>
      <c r="K558"/>
      <c r="O558" s="933" t="s">
        <v>620</v>
      </c>
      <c r="AG558" s="933" t="s">
        <v>120</v>
      </c>
    </row>
    <row r="559" spans="1:33" hidden="1">
      <c r="A559" s="940">
        <f t="shared" si="31"/>
        <v>391</v>
      </c>
      <c r="B559" s="933" t="s">
        <v>723</v>
      </c>
      <c r="C559" s="744">
        <v>1039</v>
      </c>
      <c r="D559" s="743" t="s">
        <v>131</v>
      </c>
      <c r="E559"/>
      <c r="F559" s="939">
        <v>10</v>
      </c>
      <c r="G559" s="938" t="s">
        <v>724</v>
      </c>
      <c r="H559" s="933" t="s">
        <v>725</v>
      </c>
      <c r="I559" s="744">
        <f>C721</f>
        <v>227</v>
      </c>
      <c r="J559" s="779" t="s">
        <v>724</v>
      </c>
      <c r="K559" s="744">
        <f>(F559*I559)</f>
        <v>2270</v>
      </c>
      <c r="O559" s="933" t="s">
        <v>621</v>
      </c>
      <c r="AG559" s="933" t="s">
        <v>120</v>
      </c>
    </row>
    <row r="560" spans="1:33" hidden="1">
      <c r="A560" s="940">
        <f t="shared" si="31"/>
        <v>392</v>
      </c>
      <c r="B560" s="933" t="s">
        <v>726</v>
      </c>
      <c r="C560" s="744">
        <v>100.44</v>
      </c>
      <c r="D560" s="743" t="s">
        <v>131</v>
      </c>
      <c r="E560"/>
      <c r="F560" s="939">
        <v>1</v>
      </c>
      <c r="G560" s="938" t="s">
        <v>727</v>
      </c>
      <c r="H560" s="933" t="s">
        <v>728</v>
      </c>
      <c r="I560" s="744">
        <f>C10</f>
        <v>150</v>
      </c>
      <c r="J560" s="779" t="s">
        <v>729</v>
      </c>
      <c r="K560" s="744">
        <f>(F560*I560)</f>
        <v>150</v>
      </c>
      <c r="M560" s="939">
        <v>8</v>
      </c>
      <c r="N560" s="933" t="s">
        <v>237</v>
      </c>
      <c r="O560" s="933" t="s">
        <v>624</v>
      </c>
      <c r="P560" s="939">
        <f>(C641)</f>
        <v>2.2000000000000002</v>
      </c>
      <c r="Q560" s="933" t="s">
        <v>237</v>
      </c>
      <c r="R560" s="939">
        <f>(M560*P560)</f>
        <v>17.600000000000001</v>
      </c>
      <c r="AG560" s="933" t="s">
        <v>120</v>
      </c>
    </row>
    <row r="561" spans="1:33" hidden="1">
      <c r="A561" s="940">
        <f t="shared" si="31"/>
        <v>393</v>
      </c>
      <c r="B561" s="933" t="s">
        <v>730</v>
      </c>
      <c r="C561" s="744">
        <v>31</v>
      </c>
      <c r="D561" s="743" t="s">
        <v>524</v>
      </c>
      <c r="E561"/>
      <c r="F561" s="939">
        <v>1</v>
      </c>
      <c r="G561" s="938" t="s">
        <v>727</v>
      </c>
      <c r="H561" s="933" t="s">
        <v>731</v>
      </c>
      <c r="I561" s="744">
        <f>C12</f>
        <v>95</v>
      </c>
      <c r="J561" s="779" t="s">
        <v>729</v>
      </c>
      <c r="K561" s="744">
        <f>(F561*I561)</f>
        <v>95</v>
      </c>
      <c r="M561" s="939">
        <v>8</v>
      </c>
      <c r="N561" s="933" t="s">
        <v>237</v>
      </c>
      <c r="O561" s="933" t="s">
        <v>627</v>
      </c>
      <c r="P561" s="939">
        <f>(C642)</f>
        <v>3.2</v>
      </c>
      <c r="Q561" s="933" t="s">
        <v>237</v>
      </c>
      <c r="R561" s="939">
        <f>(M561*P561)</f>
        <v>25.6</v>
      </c>
      <c r="AG561" s="933" t="s">
        <v>120</v>
      </c>
    </row>
    <row r="562" spans="1:33" hidden="1">
      <c r="A562" s="940">
        <f t="shared" si="31"/>
        <v>394</v>
      </c>
      <c r="B562" s="933" t="s">
        <v>732</v>
      </c>
      <c r="C562" s="744">
        <v>71.239999999999995</v>
      </c>
      <c r="D562" s="743" t="s">
        <v>131</v>
      </c>
      <c r="E562"/>
      <c r="G562" s="938" t="s">
        <v>145</v>
      </c>
      <c r="H562" s="933" t="s">
        <v>733</v>
      </c>
      <c r="I562"/>
      <c r="J562" s="779" t="s">
        <v>145</v>
      </c>
      <c r="K562" s="744">
        <v>120</v>
      </c>
      <c r="M562" s="939">
        <v>1</v>
      </c>
      <c r="N562" s="933" t="s">
        <v>145</v>
      </c>
      <c r="O562" s="933" t="s">
        <v>629</v>
      </c>
      <c r="P562" s="939">
        <f>(C643)</f>
        <v>4</v>
      </c>
      <c r="Q562" s="933" t="s">
        <v>145</v>
      </c>
      <c r="R562" s="939">
        <f>(M562*P562)</f>
        <v>4</v>
      </c>
      <c r="AG562" s="933" t="s">
        <v>120</v>
      </c>
    </row>
    <row r="563" spans="1:33" hidden="1">
      <c r="A563" s="940">
        <f t="shared" si="31"/>
        <v>395</v>
      </c>
      <c r="B563" s="933" t="s">
        <v>734</v>
      </c>
      <c r="C563" s="744">
        <v>82.2</v>
      </c>
      <c r="D563" s="743" t="s">
        <v>131</v>
      </c>
      <c r="E563"/>
      <c r="H563" s="933" t="s">
        <v>735</v>
      </c>
      <c r="I563"/>
      <c r="J563" s="805"/>
      <c r="K563" s="776" t="s">
        <v>52</v>
      </c>
      <c r="M563" s="939">
        <v>1</v>
      </c>
      <c r="N563" s="933" t="s">
        <v>145</v>
      </c>
      <c r="O563" s="933" t="s">
        <v>146</v>
      </c>
      <c r="Q563" s="933" t="s">
        <v>145</v>
      </c>
      <c r="R563" s="939">
        <v>0</v>
      </c>
      <c r="AG563" s="933" t="s">
        <v>120</v>
      </c>
    </row>
    <row r="564" spans="1:33" hidden="1">
      <c r="A564" s="940">
        <f t="shared" si="31"/>
        <v>396</v>
      </c>
      <c r="B564" s="933" t="s">
        <v>736</v>
      </c>
      <c r="C564" s="744">
        <v>57.51</v>
      </c>
      <c r="D564" s="743" t="s">
        <v>131</v>
      </c>
      <c r="E564"/>
      <c r="H564" s="934" t="s">
        <v>737</v>
      </c>
      <c r="I564"/>
      <c r="J564" s="805"/>
      <c r="K564" s="744">
        <f>SUM(K559:K562)</f>
        <v>2635</v>
      </c>
      <c r="R564" s="935" t="s">
        <v>52</v>
      </c>
      <c r="AG564" s="933" t="s">
        <v>120</v>
      </c>
    </row>
    <row r="565" spans="1:33" hidden="1">
      <c r="C565"/>
      <c r="D565"/>
      <c r="E565"/>
      <c r="F565" s="933" t="s">
        <v>85</v>
      </c>
      <c r="I565"/>
      <c r="J565" s="805"/>
      <c r="K565"/>
    </row>
    <row r="566" spans="1:33" hidden="1">
      <c r="A566" s="940">
        <f>(A564+1)</f>
        <v>397</v>
      </c>
      <c r="B566" s="933" t="s">
        <v>738</v>
      </c>
      <c r="C566" s="744">
        <v>28.5</v>
      </c>
      <c r="D566" s="743" t="s">
        <v>131</v>
      </c>
      <c r="E566"/>
      <c r="I566"/>
      <c r="J566" s="805"/>
      <c r="K566" s="776" t="s">
        <v>52</v>
      </c>
      <c r="O566" s="933" t="s">
        <v>631</v>
      </c>
      <c r="R566" s="939">
        <f>SUM(R553:R563)</f>
        <v>613.48</v>
      </c>
      <c r="AG566" s="933" t="s">
        <v>120</v>
      </c>
    </row>
    <row r="567" spans="1:33" hidden="1">
      <c r="A567" s="940">
        <f>(A566+1)</f>
        <v>398</v>
      </c>
      <c r="B567" s="933" t="s">
        <v>739</v>
      </c>
      <c r="C567" s="744">
        <v>57.51</v>
      </c>
      <c r="D567" s="743" t="s">
        <v>131</v>
      </c>
      <c r="E567"/>
      <c r="H567" s="934" t="s">
        <v>740</v>
      </c>
      <c r="I567"/>
      <c r="J567" s="805"/>
      <c r="K567" s="744">
        <f>K564/10</f>
        <v>263.5</v>
      </c>
      <c r="R567" s="935" t="s">
        <v>52</v>
      </c>
      <c r="AG567" s="933" t="s">
        <v>120</v>
      </c>
    </row>
    <row r="568" spans="1:33" hidden="1">
      <c r="A568" s="940">
        <f>(A567+1)</f>
        <v>399</v>
      </c>
      <c r="B568" s="933" t="s">
        <v>741</v>
      </c>
      <c r="C568" s="744">
        <v>20</v>
      </c>
      <c r="D568" s="743" t="s">
        <v>131</v>
      </c>
      <c r="E568"/>
      <c r="H568" s="933" t="s">
        <v>53</v>
      </c>
      <c r="I568" s="744">
        <f>K567</f>
        <v>263.5</v>
      </c>
      <c r="J568" s="779">
        <f>C22*0.02</f>
        <v>0.53</v>
      </c>
      <c r="K568" s="744">
        <f>I568+J568</f>
        <v>264.02999999999997</v>
      </c>
      <c r="O568" s="933" t="s">
        <v>632</v>
      </c>
      <c r="R568" s="939">
        <f>(R566/30)</f>
        <v>20.45</v>
      </c>
      <c r="AG568" s="933" t="s">
        <v>120</v>
      </c>
    </row>
    <row r="569" spans="1:33" hidden="1">
      <c r="A569" s="940">
        <f>(A568+1)</f>
        <v>400</v>
      </c>
      <c r="B569" s="933" t="s">
        <v>742</v>
      </c>
      <c r="C569" s="744">
        <v>21.92</v>
      </c>
      <c r="D569" s="743" t="s">
        <v>131</v>
      </c>
      <c r="E569"/>
      <c r="H569" s="933" t="s">
        <v>54</v>
      </c>
      <c r="I569" s="744">
        <f>K568</f>
        <v>264.02999999999997</v>
      </c>
      <c r="J569" s="779">
        <f>C23*0.02</f>
        <v>1.06</v>
      </c>
      <c r="K569" s="744">
        <f>I569+J569</f>
        <v>265.08999999999997</v>
      </c>
      <c r="N569" s="933" t="s">
        <v>111</v>
      </c>
      <c r="O569" s="933" t="s">
        <v>743</v>
      </c>
      <c r="AG569" s="933" t="s">
        <v>120</v>
      </c>
    </row>
    <row r="570" spans="1:33" hidden="1">
      <c r="A570" s="940">
        <f>(A569+1)</f>
        <v>401</v>
      </c>
      <c r="B570" s="933" t="s">
        <v>744</v>
      </c>
      <c r="C570" s="744">
        <v>28.5</v>
      </c>
      <c r="D570" s="743" t="s">
        <v>131</v>
      </c>
      <c r="E570"/>
      <c r="H570" s="933" t="s">
        <v>55</v>
      </c>
      <c r="I570" s="744">
        <f>K569</f>
        <v>265.08999999999997</v>
      </c>
      <c r="J570" s="779">
        <f>C23*0.02</f>
        <v>1.06</v>
      </c>
      <c r="K570" s="744">
        <f>I570+J570</f>
        <v>266.14999999999998</v>
      </c>
      <c r="O570" s="933" t="s">
        <v>745</v>
      </c>
      <c r="AG570" s="933" t="s">
        <v>120</v>
      </c>
    </row>
    <row r="571" spans="1:33" hidden="1">
      <c r="A571" s="940">
        <f>(A570+1)</f>
        <v>402</v>
      </c>
      <c r="B571" s="933" t="s">
        <v>746</v>
      </c>
      <c r="C571" s="744">
        <v>535</v>
      </c>
      <c r="D571" s="743" t="s">
        <v>131</v>
      </c>
      <c r="E571"/>
      <c r="H571" s="933" t="s">
        <v>56</v>
      </c>
      <c r="I571" s="744">
        <f>K570</f>
        <v>266.14999999999998</v>
      </c>
      <c r="J571" s="779">
        <f>C23*0.02</f>
        <v>1.06</v>
      </c>
      <c r="K571" s="744">
        <f>I571+J571</f>
        <v>267.20999999999998</v>
      </c>
      <c r="O571" s="935" t="s">
        <v>52</v>
      </c>
      <c r="AG571" s="933" t="s">
        <v>120</v>
      </c>
    </row>
    <row r="572" spans="1:33" hidden="1">
      <c r="A572" s="940"/>
      <c r="B572" s="933"/>
      <c r="C572" s="744"/>
      <c r="D572" s="743"/>
      <c r="E572"/>
      <c r="H572" s="933" t="s">
        <v>747</v>
      </c>
      <c r="I572" s="744">
        <f>K571</f>
        <v>267.20999999999998</v>
      </c>
      <c r="J572" s="779">
        <f>C24*0.02</f>
        <v>1.06</v>
      </c>
      <c r="K572" s="744">
        <f>I572+J572</f>
        <v>268.27</v>
      </c>
      <c r="O572" s="935"/>
      <c r="AG572" s="933"/>
    </row>
    <row r="573" spans="1:33" hidden="1">
      <c r="A573" s="940">
        <f>(A571+1)</f>
        <v>403</v>
      </c>
      <c r="B573" s="933" t="s">
        <v>748</v>
      </c>
      <c r="C573" s="744">
        <v>21</v>
      </c>
      <c r="D573" s="743" t="s">
        <v>131</v>
      </c>
      <c r="E573"/>
      <c r="F573" s="948">
        <v>15.2</v>
      </c>
      <c r="G573" s="938" t="s">
        <v>443</v>
      </c>
      <c r="H573" s="933" t="s">
        <v>749</v>
      </c>
      <c r="I573"/>
      <c r="J573" s="805"/>
      <c r="K573"/>
      <c r="M573" s="939">
        <v>1.08</v>
      </c>
      <c r="N573" s="933" t="s">
        <v>132</v>
      </c>
      <c r="O573" s="933" t="s">
        <v>750</v>
      </c>
      <c r="P573" s="939">
        <f>(K88)</f>
        <v>52.93</v>
      </c>
      <c r="Q573" s="933" t="s">
        <v>132</v>
      </c>
      <c r="R573" s="939">
        <f>(M573*P573)</f>
        <v>57.16</v>
      </c>
      <c r="AG573" s="933" t="s">
        <v>120</v>
      </c>
    </row>
    <row r="574" spans="1:33" hidden="1">
      <c r="A574" s="940">
        <f t="shared" ref="A574:A586" si="32">(A573+1)</f>
        <v>404</v>
      </c>
      <c r="B574" s="933" t="s">
        <v>751</v>
      </c>
      <c r="C574" s="744">
        <v>150</v>
      </c>
      <c r="D574" s="743" t="s">
        <v>131</v>
      </c>
      <c r="E574"/>
      <c r="H574" s="933" t="s">
        <v>722</v>
      </c>
      <c r="I574"/>
      <c r="J574" s="805"/>
      <c r="K574"/>
      <c r="M574" s="941">
        <v>0.216</v>
      </c>
      <c r="N574" s="933" t="s">
        <v>132</v>
      </c>
      <c r="O574" s="933" t="s">
        <v>752</v>
      </c>
      <c r="P574" s="939" t="e">
        <f>(R60)</f>
        <v>#REF!</v>
      </c>
      <c r="Q574" s="933" t="s">
        <v>132</v>
      </c>
      <c r="R574" s="939" t="e">
        <f>(M574*P574)</f>
        <v>#REF!</v>
      </c>
      <c r="AG574" s="933" t="s">
        <v>120</v>
      </c>
    </row>
    <row r="575" spans="1:33" hidden="1">
      <c r="A575" s="940">
        <f t="shared" si="32"/>
        <v>405</v>
      </c>
      <c r="B575" s="933" t="s">
        <v>753</v>
      </c>
      <c r="C575" s="744">
        <v>16.440000000000001</v>
      </c>
      <c r="D575" s="743" t="s">
        <v>131</v>
      </c>
      <c r="E575"/>
      <c r="F575" s="939">
        <v>1</v>
      </c>
      <c r="G575" s="938" t="s">
        <v>724</v>
      </c>
      <c r="H575" s="933" t="s">
        <v>725</v>
      </c>
      <c r="I575" s="744">
        <f>D721</f>
        <v>247</v>
      </c>
      <c r="J575" s="779" t="s">
        <v>724</v>
      </c>
      <c r="K575" s="744">
        <f>(F575*I575)</f>
        <v>247</v>
      </c>
      <c r="M575" s="941">
        <v>0.48699999999999999</v>
      </c>
      <c r="N575" s="933" t="s">
        <v>132</v>
      </c>
      <c r="O575" s="933" t="s">
        <v>754</v>
      </c>
      <c r="P575" s="939" t="e">
        <f>(R89)</f>
        <v>#REF!</v>
      </c>
      <c r="Q575" s="933" t="s">
        <v>132</v>
      </c>
      <c r="R575" s="939" t="e">
        <f>(M575*P575)</f>
        <v>#REF!</v>
      </c>
      <c r="AG575" s="933" t="s">
        <v>120</v>
      </c>
    </row>
    <row r="576" spans="1:33" hidden="1">
      <c r="A576" s="940">
        <f t="shared" si="32"/>
        <v>406</v>
      </c>
      <c r="B576" s="933" t="s">
        <v>755</v>
      </c>
      <c r="C576" s="744">
        <v>30</v>
      </c>
      <c r="D576" s="744">
        <v>25</v>
      </c>
      <c r="E576"/>
      <c r="F576" s="939">
        <v>0.75</v>
      </c>
      <c r="G576" s="938" t="s">
        <v>727</v>
      </c>
      <c r="H576" s="933" t="s">
        <v>728</v>
      </c>
      <c r="I576" s="744">
        <f>C10</f>
        <v>150</v>
      </c>
      <c r="J576" s="779" t="s">
        <v>729</v>
      </c>
      <c r="K576" s="744">
        <f>(F576*I576)</f>
        <v>112.5</v>
      </c>
      <c r="M576" s="941">
        <v>5.36</v>
      </c>
      <c r="N576" s="933" t="s">
        <v>425</v>
      </c>
      <c r="O576" s="933" t="s">
        <v>756</v>
      </c>
      <c r="P576" s="939" t="e">
        <f>(R303)</f>
        <v>#REF!</v>
      </c>
      <c r="Q576" s="933" t="s">
        <v>425</v>
      </c>
      <c r="R576" s="939" t="e">
        <f>(M576*P576)</f>
        <v>#REF!</v>
      </c>
      <c r="AG576" s="933" t="s">
        <v>120</v>
      </c>
    </row>
    <row r="577" spans="1:33" hidden="1">
      <c r="A577" s="940">
        <f t="shared" si="32"/>
        <v>407</v>
      </c>
      <c r="B577" s="933" t="s">
        <v>757</v>
      </c>
      <c r="C577" s="744">
        <v>208.5</v>
      </c>
      <c r="D577" s="743" t="s">
        <v>131</v>
      </c>
      <c r="E577"/>
      <c r="F577" s="939">
        <v>0.75</v>
      </c>
      <c r="G577" s="938" t="s">
        <v>727</v>
      </c>
      <c r="H577" s="933" t="s">
        <v>731</v>
      </c>
      <c r="I577" s="744">
        <f>C12</f>
        <v>95</v>
      </c>
      <c r="J577" s="779" t="s">
        <v>729</v>
      </c>
      <c r="K577" s="744">
        <f>(F577*I577)</f>
        <v>71.25</v>
      </c>
      <c r="M577" s="941">
        <v>3.2000000000000001E-2</v>
      </c>
      <c r="N577" s="933" t="s">
        <v>132</v>
      </c>
      <c r="O577" s="933" t="s">
        <v>758</v>
      </c>
      <c r="P577" s="939" t="e">
        <f>(K614)</f>
        <v>#REF!</v>
      </c>
      <c r="Q577" s="933" t="s">
        <v>132</v>
      </c>
      <c r="R577" s="939" t="e">
        <f>(M577*P577)</f>
        <v>#REF!</v>
      </c>
      <c r="AG577" s="933" t="s">
        <v>120</v>
      </c>
    </row>
    <row r="578" spans="1:33" hidden="1">
      <c r="A578" s="940">
        <f t="shared" si="32"/>
        <v>408</v>
      </c>
      <c r="B578" s="933" t="s">
        <v>759</v>
      </c>
      <c r="C578" s="744">
        <v>95</v>
      </c>
      <c r="D578" s="743" t="s">
        <v>131</v>
      </c>
      <c r="E578"/>
      <c r="F578" s="939">
        <v>0.5</v>
      </c>
      <c r="G578" s="938" t="s">
        <v>727</v>
      </c>
      <c r="H578" s="933" t="s">
        <v>760</v>
      </c>
      <c r="I578" s="744">
        <f>C41</f>
        <v>110</v>
      </c>
      <c r="J578" s="779" t="s">
        <v>729</v>
      </c>
      <c r="K578" s="744">
        <f>(F578*I578)</f>
        <v>55</v>
      </c>
      <c r="O578" s="933" t="s">
        <v>761</v>
      </c>
      <c r="R578" s="933" t="s">
        <v>85</v>
      </c>
      <c r="AG578" s="933" t="s">
        <v>120</v>
      </c>
    </row>
    <row r="579" spans="1:33" hidden="1">
      <c r="A579" s="940">
        <f t="shared" si="32"/>
        <v>409</v>
      </c>
      <c r="B579" s="933" t="s">
        <v>762</v>
      </c>
      <c r="C579" s="806">
        <v>301</v>
      </c>
      <c r="D579" s="743" t="s">
        <v>425</v>
      </c>
      <c r="E579"/>
      <c r="G579" s="938" t="s">
        <v>145</v>
      </c>
      <c r="H579" s="933" t="s">
        <v>733</v>
      </c>
      <c r="I579"/>
      <c r="J579" s="779" t="s">
        <v>145</v>
      </c>
      <c r="K579" s="744">
        <v>53.5</v>
      </c>
      <c r="N579" s="933" t="s">
        <v>145</v>
      </c>
      <c r="O579" s="933" t="s">
        <v>763</v>
      </c>
      <c r="Q579" s="933" t="s">
        <v>145</v>
      </c>
      <c r="R579" s="939">
        <v>2.92</v>
      </c>
      <c r="AG579" s="933" t="s">
        <v>120</v>
      </c>
    </row>
    <row r="580" spans="1:33" hidden="1">
      <c r="A580" s="940">
        <f t="shared" si="32"/>
        <v>410</v>
      </c>
      <c r="B580" s="933" t="s">
        <v>764</v>
      </c>
      <c r="C580" s="744">
        <v>325</v>
      </c>
      <c r="D580" s="743" t="s">
        <v>425</v>
      </c>
      <c r="E580" s="743" t="s">
        <v>85</v>
      </c>
      <c r="H580" s="933" t="s">
        <v>735</v>
      </c>
      <c r="I580"/>
      <c r="J580" s="805"/>
      <c r="K580" s="776" t="s">
        <v>52</v>
      </c>
      <c r="R580" s="935" t="s">
        <v>52</v>
      </c>
      <c r="AG580" s="933" t="s">
        <v>120</v>
      </c>
    </row>
    <row r="581" spans="1:33" hidden="1">
      <c r="A581" s="940">
        <f t="shared" si="32"/>
        <v>411</v>
      </c>
      <c r="B581" s="933" t="s">
        <v>765</v>
      </c>
      <c r="C581" s="744">
        <v>75</v>
      </c>
      <c r="D581" s="743" t="s">
        <v>131</v>
      </c>
      <c r="E581"/>
      <c r="H581" s="934" t="s">
        <v>766</v>
      </c>
      <c r="I581"/>
      <c r="J581" s="805"/>
      <c r="K581" s="744">
        <f>SUM(K575:K579)</f>
        <v>539.25</v>
      </c>
      <c r="O581" s="933" t="s">
        <v>767</v>
      </c>
      <c r="R581" s="939" t="e">
        <f>SUM(R573:R579)</f>
        <v>#REF!</v>
      </c>
      <c r="AG581" s="933" t="s">
        <v>120</v>
      </c>
    </row>
    <row r="582" spans="1:33" hidden="1">
      <c r="A582" s="940">
        <f t="shared" si="32"/>
        <v>412</v>
      </c>
      <c r="B582" s="933" t="s">
        <v>768</v>
      </c>
      <c r="C582" s="744">
        <v>125</v>
      </c>
      <c r="D582" s="743" t="s">
        <v>131</v>
      </c>
      <c r="E582"/>
      <c r="I582"/>
      <c r="J582" s="805"/>
      <c r="K582" s="776" t="s">
        <v>52</v>
      </c>
      <c r="R582" s="935" t="s">
        <v>52</v>
      </c>
      <c r="AG582" s="933" t="s">
        <v>120</v>
      </c>
    </row>
    <row r="583" spans="1:33" hidden="1">
      <c r="A583" s="940">
        <f t="shared" si="32"/>
        <v>413</v>
      </c>
      <c r="B583" s="933" t="s">
        <v>769</v>
      </c>
      <c r="C583" s="744">
        <v>190</v>
      </c>
      <c r="D583" s="743" t="s">
        <v>131</v>
      </c>
      <c r="E583"/>
      <c r="H583" s="933" t="s">
        <v>53</v>
      </c>
      <c r="I583" s="744">
        <f>K581</f>
        <v>539.25</v>
      </c>
      <c r="J583" s="779">
        <f>C22*0.04</f>
        <v>1.06</v>
      </c>
      <c r="K583" s="744">
        <f>(K581+C22*0.04)</f>
        <v>540.30999999999995</v>
      </c>
      <c r="N583" s="933" t="s">
        <v>111</v>
      </c>
      <c r="O583" s="933" t="s">
        <v>743</v>
      </c>
      <c r="AG583" s="933" t="s">
        <v>120</v>
      </c>
    </row>
    <row r="584" spans="1:33" hidden="1">
      <c r="A584" s="940">
        <f t="shared" si="32"/>
        <v>414</v>
      </c>
      <c r="B584" s="933" t="s">
        <v>770</v>
      </c>
      <c r="C584" s="744">
        <v>16</v>
      </c>
      <c r="D584" s="743" t="s">
        <v>131</v>
      </c>
      <c r="E584"/>
      <c r="H584" s="933" t="s">
        <v>54</v>
      </c>
      <c r="I584" s="744">
        <f>K583</f>
        <v>540.30999999999995</v>
      </c>
      <c r="J584" s="779">
        <f>C23*0.04</f>
        <v>2.11</v>
      </c>
      <c r="K584" s="744">
        <f>(K583+C23*0.04)</f>
        <v>542.41999999999996</v>
      </c>
      <c r="O584" s="933" t="s">
        <v>771</v>
      </c>
      <c r="AG584" s="933" t="s">
        <v>120</v>
      </c>
    </row>
    <row r="585" spans="1:33" hidden="1">
      <c r="A585" s="940">
        <f t="shared" si="32"/>
        <v>415</v>
      </c>
      <c r="B585" s="933" t="s">
        <v>772</v>
      </c>
      <c r="C585" s="744">
        <v>7</v>
      </c>
      <c r="D585" s="743" t="s">
        <v>39</v>
      </c>
      <c r="E585"/>
      <c r="H585" s="933" t="s">
        <v>55</v>
      </c>
      <c r="I585" s="744">
        <f>K584</f>
        <v>542.41999999999996</v>
      </c>
      <c r="J585" s="779">
        <f>C23*0.04</f>
        <v>2.11</v>
      </c>
      <c r="K585" s="744">
        <f>(K584+C24*0.04)</f>
        <v>544.53</v>
      </c>
      <c r="O585" s="935" t="s">
        <v>52</v>
      </c>
      <c r="AG585" s="933" t="s">
        <v>120</v>
      </c>
    </row>
    <row r="586" spans="1:33" hidden="1">
      <c r="A586" s="940">
        <f t="shared" si="32"/>
        <v>416</v>
      </c>
      <c r="B586" s="933" t="s">
        <v>773</v>
      </c>
      <c r="C586" s="744">
        <v>19</v>
      </c>
      <c r="D586" s="743" t="s">
        <v>39</v>
      </c>
      <c r="E586"/>
      <c r="H586" s="933" t="s">
        <v>56</v>
      </c>
      <c r="I586" s="744">
        <f>K585</f>
        <v>544.53</v>
      </c>
      <c r="J586" s="779">
        <f>C23*0.04</f>
        <v>2.11</v>
      </c>
      <c r="K586" s="744">
        <f>(K585+C24*0.04)</f>
        <v>546.64</v>
      </c>
      <c r="M586" s="939">
        <v>1.3</v>
      </c>
      <c r="N586" s="933" t="s">
        <v>132</v>
      </c>
      <c r="O586" s="933" t="s">
        <v>750</v>
      </c>
      <c r="P586" s="939">
        <f>(K88)</f>
        <v>52.93</v>
      </c>
      <c r="Q586" s="933" t="s">
        <v>132</v>
      </c>
      <c r="R586" s="939">
        <f>(M586*P586)</f>
        <v>68.81</v>
      </c>
      <c r="AG586" s="933" t="s">
        <v>120</v>
      </c>
    </row>
    <row r="587" spans="1:33" hidden="1">
      <c r="A587" s="940"/>
      <c r="B587" s="933"/>
      <c r="C587" s="744"/>
      <c r="D587" s="743"/>
      <c r="E587"/>
      <c r="H587" s="933" t="s">
        <v>747</v>
      </c>
      <c r="I587" s="744">
        <f>K586</f>
        <v>546.64</v>
      </c>
      <c r="J587" s="779">
        <f>C24*0.04</f>
        <v>2.11</v>
      </c>
      <c r="K587" s="744">
        <f>(K586+C25*0.04)</f>
        <v>547.47</v>
      </c>
      <c r="M587" s="939"/>
      <c r="N587" s="933"/>
      <c r="O587" s="933"/>
      <c r="P587" s="939"/>
      <c r="Q587" s="933"/>
      <c r="R587" s="939"/>
      <c r="AG587" s="933"/>
    </row>
    <row r="588" spans="1:33" hidden="1">
      <c r="A588" s="940">
        <f>(A586+1)</f>
        <v>417</v>
      </c>
      <c r="B588" s="933" t="s">
        <v>774</v>
      </c>
      <c r="C588" s="744">
        <v>20</v>
      </c>
      <c r="D588" s="743" t="s">
        <v>39</v>
      </c>
      <c r="E588"/>
      <c r="F588" s="962">
        <v>15.1</v>
      </c>
      <c r="G588" s="938" t="s">
        <v>775</v>
      </c>
      <c r="H588" s="933" t="s">
        <v>776</v>
      </c>
      <c r="I588"/>
      <c r="J588" s="805"/>
      <c r="K588"/>
      <c r="M588" s="941">
        <v>0.216</v>
      </c>
      <c r="N588" s="933" t="s">
        <v>132</v>
      </c>
      <c r="O588" s="933" t="s">
        <v>752</v>
      </c>
      <c r="P588" s="939" t="e">
        <f>(R60)</f>
        <v>#REF!</v>
      </c>
      <c r="Q588" s="933" t="s">
        <v>132</v>
      </c>
      <c r="R588" s="939" t="e">
        <f>(M588*P588)</f>
        <v>#REF!</v>
      </c>
      <c r="AG588" s="933" t="s">
        <v>120</v>
      </c>
    </row>
    <row r="589" spans="1:33" hidden="1">
      <c r="A589" s="940">
        <f t="shared" ref="A589:A614" si="33">(A588+1)</f>
        <v>418</v>
      </c>
      <c r="B589" s="933" t="s">
        <v>777</v>
      </c>
      <c r="C589" s="744">
        <v>7.5</v>
      </c>
      <c r="D589" s="743" t="s">
        <v>237</v>
      </c>
      <c r="E589"/>
      <c r="H589" s="933" t="s">
        <v>722</v>
      </c>
      <c r="I589"/>
      <c r="J589" s="805"/>
      <c r="K589"/>
      <c r="M589" s="941">
        <v>0.60099999999999998</v>
      </c>
      <c r="N589" s="933" t="s">
        <v>132</v>
      </c>
      <c r="O589" s="933" t="s">
        <v>754</v>
      </c>
      <c r="P589" s="939" t="e">
        <f>(R89)</f>
        <v>#REF!</v>
      </c>
      <c r="Q589" s="933" t="s">
        <v>132</v>
      </c>
      <c r="R589" s="939" t="e">
        <f>(M589*P589)</f>
        <v>#REF!</v>
      </c>
      <c r="AG589" s="933" t="s">
        <v>120</v>
      </c>
    </row>
    <row r="590" spans="1:33" hidden="1">
      <c r="A590" s="940">
        <f t="shared" si="33"/>
        <v>419</v>
      </c>
      <c r="B590" s="933" t="s">
        <v>778</v>
      </c>
      <c r="C590" s="744">
        <v>16</v>
      </c>
      <c r="D590" s="743" t="s">
        <v>237</v>
      </c>
      <c r="E590" t="s">
        <v>779</v>
      </c>
      <c r="F590" s="939">
        <v>10</v>
      </c>
      <c r="G590" s="938" t="s">
        <v>724</v>
      </c>
      <c r="H590" s="933" t="s">
        <v>725</v>
      </c>
      <c r="I590" s="744">
        <f>C721</f>
        <v>227</v>
      </c>
      <c r="J590" s="779" t="s">
        <v>724</v>
      </c>
      <c r="K590" s="744">
        <f>(F590*I590)</f>
        <v>2270</v>
      </c>
      <c r="M590" s="941">
        <v>6.35</v>
      </c>
      <c r="N590" s="933" t="s">
        <v>425</v>
      </c>
      <c r="O590" s="933" t="s">
        <v>756</v>
      </c>
      <c r="P590" s="939" t="e">
        <f>(R303)</f>
        <v>#REF!</v>
      </c>
      <c r="Q590" s="933" t="s">
        <v>425</v>
      </c>
      <c r="R590" s="939" t="e">
        <f>(M590*P590)</f>
        <v>#REF!</v>
      </c>
      <c r="AG590" s="933" t="s">
        <v>120</v>
      </c>
    </row>
    <row r="591" spans="1:33" hidden="1">
      <c r="A591" s="940">
        <f t="shared" si="33"/>
        <v>420</v>
      </c>
      <c r="B591" s="933" t="s">
        <v>780</v>
      </c>
      <c r="C591" s="744">
        <v>1700</v>
      </c>
      <c r="D591" s="743" t="s">
        <v>781</v>
      </c>
      <c r="E591">
        <v>2000</v>
      </c>
      <c r="F591" s="939">
        <v>0.12</v>
      </c>
      <c r="G591" s="938" t="s">
        <v>132</v>
      </c>
      <c r="H591" s="933" t="s">
        <v>782</v>
      </c>
      <c r="I591" s="744" t="e">
        <f>K32</f>
        <v>#REF!</v>
      </c>
      <c r="J591" s="779" t="s">
        <v>132</v>
      </c>
      <c r="K591" s="744" t="e">
        <f>(F591*I591)</f>
        <v>#REF!</v>
      </c>
      <c r="M591" s="941">
        <v>3.2000000000000001E-2</v>
      </c>
      <c r="N591" s="933" t="s">
        <v>132</v>
      </c>
      <c r="O591" s="933" t="s">
        <v>758</v>
      </c>
      <c r="P591" s="939" t="e">
        <f>(K614)</f>
        <v>#REF!</v>
      </c>
      <c r="Q591" s="933" t="s">
        <v>132</v>
      </c>
      <c r="R591" s="939" t="e">
        <f>(M591*P591)</f>
        <v>#REF!</v>
      </c>
      <c r="AG591" s="933" t="s">
        <v>120</v>
      </c>
    </row>
    <row r="592" spans="1:33" hidden="1">
      <c r="A592" s="940">
        <f t="shared" si="33"/>
        <v>421</v>
      </c>
      <c r="B592" s="933" t="s">
        <v>783</v>
      </c>
      <c r="C592" s="744">
        <v>805</v>
      </c>
      <c r="D592" s="743" t="s">
        <v>781</v>
      </c>
      <c r="E592"/>
      <c r="F592" s="939">
        <v>1</v>
      </c>
      <c r="G592" s="938" t="s">
        <v>727</v>
      </c>
      <c r="H592" s="933" t="s">
        <v>728</v>
      </c>
      <c r="I592" s="744">
        <f>C10</f>
        <v>150</v>
      </c>
      <c r="J592" s="779" t="s">
        <v>729</v>
      </c>
      <c r="K592" s="744">
        <f>(F592*I592)</f>
        <v>150</v>
      </c>
      <c r="O592" s="933" t="s">
        <v>761</v>
      </c>
      <c r="R592" s="933" t="s">
        <v>85</v>
      </c>
      <c r="AG592" s="933" t="s">
        <v>120</v>
      </c>
    </row>
    <row r="593" spans="1:33" hidden="1">
      <c r="A593" s="940">
        <f t="shared" si="33"/>
        <v>422</v>
      </c>
      <c r="B593" s="933" t="s">
        <v>784</v>
      </c>
      <c r="C593" s="744">
        <f>204+53</f>
        <v>257</v>
      </c>
      <c r="D593" s="743" t="s">
        <v>781</v>
      </c>
      <c r="E593"/>
      <c r="F593" s="939">
        <v>1</v>
      </c>
      <c r="G593" s="938" t="s">
        <v>727</v>
      </c>
      <c r="H593" s="933" t="s">
        <v>731</v>
      </c>
      <c r="I593" s="744">
        <f>C12</f>
        <v>95</v>
      </c>
      <c r="J593" s="779" t="s">
        <v>729</v>
      </c>
      <c r="K593" s="744">
        <f>(F593*I593)</f>
        <v>95</v>
      </c>
      <c r="N593" s="933" t="s">
        <v>145</v>
      </c>
      <c r="O593" s="933" t="s">
        <v>763</v>
      </c>
      <c r="Q593" s="933" t="s">
        <v>145</v>
      </c>
      <c r="R593" s="939">
        <v>2.1</v>
      </c>
      <c r="AG593" s="933" t="s">
        <v>120</v>
      </c>
    </row>
    <row r="594" spans="1:33" hidden="1">
      <c r="A594" s="940">
        <f t="shared" si="33"/>
        <v>423</v>
      </c>
      <c r="B594" s="933" t="s">
        <v>785</v>
      </c>
      <c r="C594" s="744">
        <v>53</v>
      </c>
      <c r="D594" s="743" t="s">
        <v>237</v>
      </c>
      <c r="E594"/>
      <c r="G594" s="938" t="s">
        <v>145</v>
      </c>
      <c r="H594" s="933" t="s">
        <v>733</v>
      </c>
      <c r="I594"/>
      <c r="J594" s="779" t="s">
        <v>145</v>
      </c>
      <c r="K594" s="744">
        <v>0.33</v>
      </c>
      <c r="R594" s="935" t="s">
        <v>52</v>
      </c>
      <c r="AG594" s="933" t="s">
        <v>120</v>
      </c>
    </row>
    <row r="595" spans="1:33" hidden="1">
      <c r="A595" s="940">
        <f t="shared" si="33"/>
        <v>424</v>
      </c>
      <c r="B595" s="933" t="s">
        <v>786</v>
      </c>
      <c r="C595" s="744">
        <v>1050</v>
      </c>
      <c r="D595" s="743" t="s">
        <v>237</v>
      </c>
      <c r="E595"/>
      <c r="H595" s="933" t="s">
        <v>735</v>
      </c>
      <c r="I595"/>
      <c r="J595" s="805"/>
      <c r="K595" s="776" t="s">
        <v>52</v>
      </c>
      <c r="O595" s="933" t="s">
        <v>767</v>
      </c>
      <c r="R595" s="939" t="e">
        <f>SUM(R586:R593)</f>
        <v>#REF!</v>
      </c>
      <c r="AG595" s="933" t="s">
        <v>120</v>
      </c>
    </row>
    <row r="596" spans="1:33" hidden="1">
      <c r="A596" s="940">
        <f t="shared" si="33"/>
        <v>425</v>
      </c>
      <c r="B596" s="933" t="s">
        <v>787</v>
      </c>
      <c r="C596" s="744">
        <v>196</v>
      </c>
      <c r="D596" s="743" t="s">
        <v>237</v>
      </c>
      <c r="E596"/>
      <c r="H596" s="934" t="s">
        <v>788</v>
      </c>
      <c r="I596"/>
      <c r="J596" s="805"/>
      <c r="K596" s="744" t="e">
        <f>SUM(K590:K594)</f>
        <v>#REF!</v>
      </c>
      <c r="R596" s="935" t="s">
        <v>52</v>
      </c>
      <c r="AG596" s="933" t="s">
        <v>120</v>
      </c>
    </row>
    <row r="597" spans="1:33" hidden="1">
      <c r="A597" s="940">
        <f t="shared" si="33"/>
        <v>426</v>
      </c>
      <c r="B597" s="933" t="s">
        <v>789</v>
      </c>
      <c r="C597" s="744">
        <v>206.9</v>
      </c>
      <c r="D597" s="743" t="s">
        <v>237</v>
      </c>
      <c r="E597"/>
      <c r="I597"/>
      <c r="J597" s="805"/>
      <c r="K597" s="776" t="s">
        <v>52</v>
      </c>
      <c r="N597" s="933" t="s">
        <v>111</v>
      </c>
      <c r="O597" s="933" t="s">
        <v>790</v>
      </c>
      <c r="AG597" s="933" t="s">
        <v>120</v>
      </c>
    </row>
    <row r="598" spans="1:33" hidden="1">
      <c r="A598" s="940">
        <f t="shared" si="33"/>
        <v>427</v>
      </c>
      <c r="B598" s="933" t="s">
        <v>791</v>
      </c>
      <c r="C598" s="744">
        <v>120</v>
      </c>
      <c r="D598" s="743" t="s">
        <v>282</v>
      </c>
      <c r="E598"/>
      <c r="H598" s="934" t="s">
        <v>792</v>
      </c>
      <c r="I598"/>
      <c r="J598" s="805"/>
      <c r="K598" s="744" t="e">
        <f>K596/10</f>
        <v>#REF!</v>
      </c>
      <c r="O598" s="933" t="s">
        <v>793</v>
      </c>
      <c r="AG598" s="933" t="s">
        <v>120</v>
      </c>
    </row>
    <row r="599" spans="1:33" hidden="1">
      <c r="A599" s="940">
        <f t="shared" si="33"/>
        <v>428</v>
      </c>
      <c r="B599" s="933" t="s">
        <v>794</v>
      </c>
      <c r="C599" s="744">
        <v>80</v>
      </c>
      <c r="D599" s="743" t="s">
        <v>282</v>
      </c>
      <c r="E599"/>
      <c r="H599" s="933" t="s">
        <v>53</v>
      </c>
      <c r="I599"/>
      <c r="J599" s="805"/>
      <c r="K599" s="744" t="e">
        <f>(K598+C22*0.02)</f>
        <v>#REF!</v>
      </c>
      <c r="O599" s="935" t="s">
        <v>52</v>
      </c>
      <c r="AG599" s="933" t="s">
        <v>120</v>
      </c>
    </row>
    <row r="600" spans="1:33" hidden="1">
      <c r="A600" s="940">
        <f t="shared" si="33"/>
        <v>429</v>
      </c>
      <c r="B600" s="933" t="s">
        <v>795</v>
      </c>
      <c r="C600"/>
      <c r="D600" s="743" t="s">
        <v>282</v>
      </c>
      <c r="E600"/>
      <c r="H600" s="933" t="s">
        <v>54</v>
      </c>
      <c r="I600"/>
      <c r="J600" s="805"/>
      <c r="K600" s="744" t="e">
        <f>(K599+C24*0.02)</f>
        <v>#REF!</v>
      </c>
      <c r="M600" s="939">
        <v>10.37</v>
      </c>
      <c r="N600" s="933" t="s">
        <v>132</v>
      </c>
      <c r="O600" s="933" t="s">
        <v>796</v>
      </c>
      <c r="P600" s="939">
        <f>(C61*2)</f>
        <v>50</v>
      </c>
      <c r="Q600" s="933" t="s">
        <v>132</v>
      </c>
      <c r="R600" s="939">
        <f t="shared" ref="R600:R608" si="34">(M600*P600)</f>
        <v>518.5</v>
      </c>
      <c r="AG600" s="933" t="s">
        <v>120</v>
      </c>
    </row>
    <row r="601" spans="1:33" hidden="1">
      <c r="A601" s="940">
        <f t="shared" si="33"/>
        <v>430</v>
      </c>
      <c r="B601" s="933" t="s">
        <v>797</v>
      </c>
      <c r="C601" s="744">
        <v>65</v>
      </c>
      <c r="D601" s="743" t="s">
        <v>131</v>
      </c>
      <c r="E601"/>
      <c r="H601" s="933" t="s">
        <v>55</v>
      </c>
      <c r="I601"/>
      <c r="J601" s="805"/>
      <c r="K601" s="744" t="e">
        <f>(K600+C24*0.02)</f>
        <v>#REF!</v>
      </c>
      <c r="M601" s="939">
        <v>0.65</v>
      </c>
      <c r="N601" s="933" t="s">
        <v>132</v>
      </c>
      <c r="O601" s="933" t="s">
        <v>798</v>
      </c>
      <c r="P601" s="939" t="e">
        <f>R60</f>
        <v>#REF!</v>
      </c>
      <c r="Q601" s="933" t="s">
        <v>132</v>
      </c>
      <c r="R601" s="939" t="e">
        <f t="shared" si="34"/>
        <v>#REF!</v>
      </c>
      <c r="AG601" s="933" t="s">
        <v>120</v>
      </c>
    </row>
    <row r="602" spans="1:33" hidden="1">
      <c r="A602" s="940">
        <f t="shared" si="33"/>
        <v>431</v>
      </c>
      <c r="B602" s="933" t="s">
        <v>799</v>
      </c>
      <c r="C602" s="744">
        <v>40</v>
      </c>
      <c r="D602" s="743" t="s">
        <v>131</v>
      </c>
      <c r="E602"/>
      <c r="H602" s="933" t="s">
        <v>56</v>
      </c>
      <c r="I602"/>
      <c r="J602" s="805"/>
      <c r="K602" s="744" t="e">
        <f>(K601+C24*0.02)</f>
        <v>#REF!</v>
      </c>
      <c r="M602" s="939">
        <v>1.1399999999999999</v>
      </c>
      <c r="N602" s="933" t="s">
        <v>132</v>
      </c>
      <c r="O602" s="933" t="s">
        <v>800</v>
      </c>
      <c r="P602" s="939" t="e">
        <f>K320</f>
        <v>#REF!</v>
      </c>
      <c r="Q602" s="933" t="s">
        <v>132</v>
      </c>
      <c r="R602" s="939" t="e">
        <f t="shared" si="34"/>
        <v>#REF!</v>
      </c>
      <c r="AG602" s="933" t="s">
        <v>120</v>
      </c>
    </row>
    <row r="603" spans="1:33" hidden="1">
      <c r="A603" s="940">
        <f t="shared" si="33"/>
        <v>432</v>
      </c>
      <c r="B603" s="933" t="s">
        <v>801</v>
      </c>
      <c r="C603"/>
      <c r="D603" s="743" t="s">
        <v>131</v>
      </c>
      <c r="E603"/>
      <c r="H603" s="933" t="s">
        <v>747</v>
      </c>
      <c r="I603"/>
      <c r="J603" s="805"/>
      <c r="K603" s="744" t="e">
        <f>(K602+C25*0.02)</f>
        <v>#REF!</v>
      </c>
      <c r="M603" s="939">
        <v>0.85</v>
      </c>
      <c r="N603" s="933" t="s">
        <v>132</v>
      </c>
      <c r="O603" s="933" t="s">
        <v>802</v>
      </c>
      <c r="P603" s="939" t="e">
        <f>K320-K311/10</f>
        <v>#REF!</v>
      </c>
      <c r="Q603" s="933" t="s">
        <v>132</v>
      </c>
      <c r="R603" s="939" t="e">
        <f t="shared" si="34"/>
        <v>#REF!</v>
      </c>
      <c r="AG603" s="933" t="s">
        <v>120</v>
      </c>
    </row>
    <row r="604" spans="1:33" hidden="1">
      <c r="A604" s="940">
        <f t="shared" si="33"/>
        <v>433</v>
      </c>
      <c r="B604" s="933" t="s">
        <v>803</v>
      </c>
      <c r="C604" s="744">
        <v>45</v>
      </c>
      <c r="D604" s="743" t="s">
        <v>131</v>
      </c>
      <c r="E604"/>
      <c r="F604" s="934" t="s">
        <v>804</v>
      </c>
      <c r="G604" s="938" t="s">
        <v>111</v>
      </c>
      <c r="H604" s="933" t="s">
        <v>805</v>
      </c>
      <c r="I604"/>
      <c r="J604" s="805"/>
      <c r="K604"/>
      <c r="M604" s="939">
        <v>0.98</v>
      </c>
      <c r="N604" s="933" t="s">
        <v>132</v>
      </c>
      <c r="O604" s="933" t="s">
        <v>806</v>
      </c>
      <c r="P604" s="939" t="e">
        <f>(C73)</f>
        <v>#REF!</v>
      </c>
      <c r="Q604" s="933" t="s">
        <v>132</v>
      </c>
      <c r="R604" s="939" t="e">
        <f t="shared" si="34"/>
        <v>#REF!</v>
      </c>
      <c r="AG604" s="933" t="s">
        <v>120</v>
      </c>
    </row>
    <row r="605" spans="1:33" hidden="1">
      <c r="A605" s="940">
        <f t="shared" si="33"/>
        <v>434</v>
      </c>
      <c r="B605" s="933" t="s">
        <v>807</v>
      </c>
      <c r="C605" s="744">
        <v>36.520000000000003</v>
      </c>
      <c r="D605" s="743" t="s">
        <v>131</v>
      </c>
      <c r="E605"/>
      <c r="H605" s="933" t="s">
        <v>808</v>
      </c>
      <c r="I605"/>
      <c r="J605" s="805"/>
      <c r="K605"/>
      <c r="M605" s="939">
        <v>2.68</v>
      </c>
      <c r="N605" s="933" t="s">
        <v>132</v>
      </c>
      <c r="O605" s="933" t="s">
        <v>173</v>
      </c>
      <c r="P605" s="939" t="e">
        <f>(C79)</f>
        <v>#REF!</v>
      </c>
      <c r="Q605" s="933" t="s">
        <v>132</v>
      </c>
      <c r="R605" s="939" t="e">
        <f t="shared" si="34"/>
        <v>#REF!</v>
      </c>
      <c r="AG605" s="933" t="s">
        <v>120</v>
      </c>
    </row>
    <row r="606" spans="1:33" hidden="1">
      <c r="A606" s="940">
        <f t="shared" si="33"/>
        <v>435</v>
      </c>
      <c r="B606" s="933" t="s">
        <v>809</v>
      </c>
      <c r="C606"/>
      <c r="D606" s="743" t="s">
        <v>131</v>
      </c>
      <c r="E606"/>
      <c r="H606" s="933" t="s">
        <v>810</v>
      </c>
      <c r="I606"/>
      <c r="J606" s="805"/>
      <c r="K606"/>
      <c r="M606" s="939">
        <v>7.24</v>
      </c>
      <c r="N606" s="933" t="s">
        <v>425</v>
      </c>
      <c r="O606" s="933" t="s">
        <v>811</v>
      </c>
      <c r="P606" s="939" t="e">
        <f>(K1332)</f>
        <v>#REF!</v>
      </c>
      <c r="Q606" s="933" t="s">
        <v>425</v>
      </c>
      <c r="R606" s="939" t="e">
        <f t="shared" si="34"/>
        <v>#REF!</v>
      </c>
      <c r="AG606" s="933" t="s">
        <v>120</v>
      </c>
    </row>
    <row r="607" spans="1:33" hidden="1">
      <c r="A607" s="940">
        <f t="shared" si="33"/>
        <v>436</v>
      </c>
      <c r="B607" s="933" t="s">
        <v>812</v>
      </c>
      <c r="C607" s="744">
        <v>73.48</v>
      </c>
      <c r="D607" s="744">
        <v>93.72</v>
      </c>
      <c r="E607"/>
      <c r="H607" s="935" t="s">
        <v>52</v>
      </c>
      <c r="I607"/>
      <c r="J607" s="805"/>
      <c r="K607"/>
      <c r="M607" s="939">
        <v>1</v>
      </c>
      <c r="N607" s="933" t="s">
        <v>131</v>
      </c>
      <c r="O607" s="933" t="s">
        <v>813</v>
      </c>
      <c r="P607" s="939">
        <f>(C202)</f>
        <v>75</v>
      </c>
      <c r="Q607" s="933" t="s">
        <v>131</v>
      </c>
      <c r="R607" s="939">
        <f t="shared" si="34"/>
        <v>75</v>
      </c>
      <c r="AG607" s="933" t="s">
        <v>120</v>
      </c>
    </row>
    <row r="608" spans="1:33" hidden="1">
      <c r="A608" s="940">
        <f t="shared" si="33"/>
        <v>437</v>
      </c>
      <c r="B608" s="933" t="s">
        <v>814</v>
      </c>
      <c r="C608" s="744">
        <v>43.12</v>
      </c>
      <c r="D608" s="743" t="s">
        <v>131</v>
      </c>
      <c r="E608"/>
      <c r="F608" s="939">
        <v>0.01</v>
      </c>
      <c r="G608" s="938" t="s">
        <v>132</v>
      </c>
      <c r="H608" s="933" t="s">
        <v>815</v>
      </c>
      <c r="I608" s="744" t="e">
        <f>(K279)</f>
        <v>#REF!</v>
      </c>
      <c r="J608" s="779" t="s">
        <v>132</v>
      </c>
      <c r="K608" s="744" t="e">
        <f>(F608*I608)</f>
        <v>#REF!</v>
      </c>
      <c r="M608" s="941">
        <v>0.13600000000000001</v>
      </c>
      <c r="N608" s="933" t="s">
        <v>132</v>
      </c>
      <c r="O608" s="933" t="s">
        <v>816</v>
      </c>
      <c r="P608" s="939" t="e">
        <f>(K614)</f>
        <v>#REF!</v>
      </c>
      <c r="Q608" s="933" t="s">
        <v>132</v>
      </c>
      <c r="R608" s="939" t="e">
        <f t="shared" si="34"/>
        <v>#REF!</v>
      </c>
      <c r="AG608" s="933" t="s">
        <v>120</v>
      </c>
    </row>
    <row r="609" spans="1:33" hidden="1">
      <c r="A609" s="940">
        <f t="shared" si="33"/>
        <v>438</v>
      </c>
      <c r="B609" s="933" t="s">
        <v>817</v>
      </c>
      <c r="C609"/>
      <c r="D609" s="743" t="s">
        <v>131</v>
      </c>
      <c r="E609"/>
      <c r="F609" s="939">
        <v>0.01</v>
      </c>
      <c r="G609" s="938" t="s">
        <v>132</v>
      </c>
      <c r="H609" s="933" t="s">
        <v>818</v>
      </c>
      <c r="I609"/>
      <c r="J609" s="779" t="s">
        <v>145</v>
      </c>
      <c r="K609" s="744">
        <v>1.1499999999999999</v>
      </c>
      <c r="O609" s="933" t="s">
        <v>819</v>
      </c>
      <c r="AG609" s="933" t="s">
        <v>120</v>
      </c>
    </row>
    <row r="610" spans="1:33" hidden="1">
      <c r="A610" s="940">
        <f t="shared" si="33"/>
        <v>439</v>
      </c>
      <c r="B610" s="933" t="s">
        <v>820</v>
      </c>
      <c r="C610" s="744">
        <v>121.88</v>
      </c>
      <c r="D610" s="743" t="s">
        <v>131</v>
      </c>
      <c r="E610"/>
      <c r="H610" s="933" t="s">
        <v>821</v>
      </c>
      <c r="I610"/>
      <c r="J610" s="805"/>
      <c r="K610"/>
      <c r="N610" s="933" t="s">
        <v>145</v>
      </c>
      <c r="O610" s="933" t="s">
        <v>763</v>
      </c>
      <c r="Q610" s="933" t="s">
        <v>145</v>
      </c>
      <c r="R610" s="939">
        <v>1.5</v>
      </c>
      <c r="AG610" s="933" t="s">
        <v>120</v>
      </c>
    </row>
    <row r="611" spans="1:33" hidden="1">
      <c r="A611" s="940">
        <f t="shared" si="33"/>
        <v>440</v>
      </c>
      <c r="B611" s="933" t="s">
        <v>822</v>
      </c>
      <c r="C611" s="744">
        <v>66</v>
      </c>
      <c r="D611" s="743" t="s">
        <v>131</v>
      </c>
      <c r="E611"/>
      <c r="I611"/>
      <c r="J611" s="805"/>
      <c r="K611" s="776" t="s">
        <v>52</v>
      </c>
      <c r="R611" s="935" t="s">
        <v>52</v>
      </c>
      <c r="AG611" s="933" t="s">
        <v>120</v>
      </c>
    </row>
    <row r="612" spans="1:33" hidden="1">
      <c r="A612" s="940">
        <f t="shared" si="33"/>
        <v>441</v>
      </c>
      <c r="B612" s="933" t="s">
        <v>823</v>
      </c>
      <c r="C612"/>
      <c r="D612" s="743" t="s">
        <v>131</v>
      </c>
      <c r="E612"/>
      <c r="H612" s="933" t="s">
        <v>824</v>
      </c>
      <c r="I612"/>
      <c r="J612" s="805"/>
      <c r="K612" s="744" t="e">
        <f>SUM(K608:K610)</f>
        <v>#REF!</v>
      </c>
      <c r="O612" s="933" t="s">
        <v>767</v>
      </c>
      <c r="R612" s="939" t="e">
        <f>SUM(R600:R610)</f>
        <v>#REF!</v>
      </c>
      <c r="AG612" s="933" t="s">
        <v>307</v>
      </c>
    </row>
    <row r="613" spans="1:33" hidden="1">
      <c r="A613" s="940">
        <f t="shared" si="33"/>
        <v>442</v>
      </c>
      <c r="B613" s="933" t="s">
        <v>825</v>
      </c>
      <c r="C613" s="744">
        <v>149.16</v>
      </c>
      <c r="D613" s="743" t="s">
        <v>131</v>
      </c>
      <c r="E613"/>
      <c r="I613"/>
      <c r="J613" s="805"/>
      <c r="K613" s="776" t="s">
        <v>52</v>
      </c>
      <c r="R613" s="935" t="s">
        <v>52</v>
      </c>
    </row>
    <row r="614" spans="1:33" hidden="1">
      <c r="A614" s="940">
        <f t="shared" si="33"/>
        <v>443</v>
      </c>
      <c r="B614" s="933" t="s">
        <v>826</v>
      </c>
      <c r="C614" s="744">
        <v>84.92</v>
      </c>
      <c r="D614" s="743" t="s">
        <v>131</v>
      </c>
      <c r="E614"/>
      <c r="H614" s="933" t="s">
        <v>242</v>
      </c>
      <c r="I614"/>
      <c r="J614" s="805"/>
      <c r="K614" s="744" t="e">
        <f>ROUND(K612*100,0)</f>
        <v>#REF!</v>
      </c>
      <c r="N614" s="933" t="s">
        <v>111</v>
      </c>
      <c r="O614" s="933" t="s">
        <v>827</v>
      </c>
    </row>
    <row r="615" spans="1:33" hidden="1">
      <c r="C615"/>
      <c r="D615"/>
      <c r="E615"/>
      <c r="F615" s="933" t="s">
        <v>85</v>
      </c>
      <c r="I615"/>
      <c r="J615" s="805"/>
      <c r="K615"/>
    </row>
    <row r="616" spans="1:33" hidden="1">
      <c r="A616" s="940">
        <f>(A614+1)</f>
        <v>444</v>
      </c>
      <c r="B616" s="933" t="s">
        <v>828</v>
      </c>
      <c r="C616"/>
      <c r="D616" s="743" t="s">
        <v>131</v>
      </c>
      <c r="E616"/>
      <c r="I616"/>
      <c r="J616" s="805"/>
      <c r="K616" s="776" t="s">
        <v>89</v>
      </c>
      <c r="O616" s="933" t="s">
        <v>829</v>
      </c>
      <c r="AG616" s="933" t="s">
        <v>120</v>
      </c>
    </row>
    <row r="617" spans="1:33" hidden="1">
      <c r="A617" s="940">
        <f t="shared" ref="A617:A648" si="35">(A616+1)</f>
        <v>445</v>
      </c>
      <c r="B617" s="933" t="s">
        <v>830</v>
      </c>
      <c r="C617" s="744">
        <v>195.36</v>
      </c>
      <c r="D617" s="743" t="s">
        <v>131</v>
      </c>
      <c r="E617"/>
      <c r="G617" s="938" t="s">
        <v>483</v>
      </c>
      <c r="H617" s="933" t="s">
        <v>831</v>
      </c>
      <c r="I617"/>
      <c r="J617" s="805"/>
      <c r="K617"/>
      <c r="O617" s="935" t="s">
        <v>52</v>
      </c>
      <c r="AG617" s="933" t="s">
        <v>120</v>
      </c>
    </row>
    <row r="618" spans="1:33" hidden="1">
      <c r="A618" s="940">
        <f t="shared" si="35"/>
        <v>446</v>
      </c>
      <c r="B618" s="933" t="s">
        <v>832</v>
      </c>
      <c r="C618" s="744">
        <v>137.28</v>
      </c>
      <c r="D618" s="743" t="s">
        <v>131</v>
      </c>
      <c r="E618"/>
      <c r="H618" s="933" t="s">
        <v>833</v>
      </c>
      <c r="I618"/>
      <c r="J618" s="805"/>
      <c r="K618"/>
      <c r="M618" s="939">
        <v>3</v>
      </c>
      <c r="N618" s="933" t="s">
        <v>132</v>
      </c>
      <c r="O618" s="933" t="s">
        <v>834</v>
      </c>
      <c r="P618" s="939">
        <f>(C61*2)</f>
        <v>50</v>
      </c>
      <c r="Q618" s="933" t="s">
        <v>132</v>
      </c>
      <c r="R618" s="939">
        <f>(M618*P618)</f>
        <v>150</v>
      </c>
      <c r="AG618" s="933" t="s">
        <v>120</v>
      </c>
    </row>
    <row r="619" spans="1:33" hidden="1">
      <c r="A619" s="940">
        <f t="shared" si="35"/>
        <v>447</v>
      </c>
      <c r="B619" s="933" t="s">
        <v>835</v>
      </c>
      <c r="C619"/>
      <c r="D619" s="743" t="s">
        <v>131</v>
      </c>
      <c r="E619"/>
      <c r="H619" s="935" t="s">
        <v>52</v>
      </c>
      <c r="I619"/>
      <c r="J619" s="805"/>
      <c r="K619"/>
      <c r="M619" s="939">
        <v>2.4</v>
      </c>
      <c r="N619" s="933" t="s">
        <v>132</v>
      </c>
      <c r="O619" s="933" t="s">
        <v>836</v>
      </c>
      <c r="P619" s="939" t="e">
        <f>(C81)</f>
        <v>#REF!</v>
      </c>
      <c r="Q619" s="933" t="s">
        <v>132</v>
      </c>
      <c r="R619" s="939" t="e">
        <f>(M619*P619)</f>
        <v>#REF!</v>
      </c>
      <c r="AG619" s="933" t="s">
        <v>120</v>
      </c>
    </row>
    <row r="620" spans="1:33" hidden="1">
      <c r="A620" s="940">
        <f t="shared" si="35"/>
        <v>448</v>
      </c>
      <c r="B620" s="933" t="s">
        <v>837</v>
      </c>
      <c r="C620" s="744">
        <v>97.68</v>
      </c>
      <c r="D620" s="743" t="s">
        <v>131</v>
      </c>
      <c r="E620"/>
      <c r="F620" s="941">
        <v>1.4E-2</v>
      </c>
      <c r="G620" s="938" t="s">
        <v>132</v>
      </c>
      <c r="H620" s="933" t="s">
        <v>838</v>
      </c>
      <c r="I620" s="744" t="e">
        <f>(K614)</f>
        <v>#REF!</v>
      </c>
      <c r="J620" s="779" t="s">
        <v>132</v>
      </c>
      <c r="K620" s="744" t="e">
        <f>(F620*I620)</f>
        <v>#REF!</v>
      </c>
      <c r="M620" s="939">
        <v>5</v>
      </c>
      <c r="N620" s="933" t="s">
        <v>131</v>
      </c>
      <c r="O620" s="933" t="s">
        <v>839</v>
      </c>
      <c r="P620" s="939">
        <f>(C203)</f>
        <v>40</v>
      </c>
      <c r="Q620" s="933" t="s">
        <v>131</v>
      </c>
      <c r="R620" s="939">
        <f>(M620*P620)</f>
        <v>200</v>
      </c>
      <c r="AG620" s="933" t="s">
        <v>120</v>
      </c>
    </row>
    <row r="621" spans="1:33" hidden="1">
      <c r="A621" s="940">
        <f t="shared" si="35"/>
        <v>449</v>
      </c>
      <c r="B621" s="933" t="s">
        <v>840</v>
      </c>
      <c r="C621" s="744">
        <v>54.12</v>
      </c>
      <c r="D621" s="743" t="s">
        <v>131</v>
      </c>
      <c r="E621"/>
      <c r="F621" s="941"/>
      <c r="H621" s="933" t="s">
        <v>841</v>
      </c>
      <c r="I621"/>
      <c r="J621" s="805"/>
      <c r="K621" s="743" t="s">
        <v>85</v>
      </c>
      <c r="O621" s="933" t="s">
        <v>146</v>
      </c>
      <c r="Q621" s="933" t="s">
        <v>145</v>
      </c>
      <c r="R621" s="939">
        <v>0.08</v>
      </c>
      <c r="AG621" s="933" t="s">
        <v>120</v>
      </c>
    </row>
    <row r="622" spans="1:33" hidden="1">
      <c r="A622" s="940">
        <f t="shared" si="35"/>
        <v>450</v>
      </c>
      <c r="B622" s="933" t="s">
        <v>842</v>
      </c>
      <c r="C622"/>
      <c r="D622" s="743" t="s">
        <v>131</v>
      </c>
      <c r="E622"/>
      <c r="F622" s="939">
        <v>0.5</v>
      </c>
      <c r="G622" s="938" t="s">
        <v>237</v>
      </c>
      <c r="H622" s="933" t="s">
        <v>345</v>
      </c>
      <c r="I622" s="744">
        <f>(C10)</f>
        <v>150</v>
      </c>
      <c r="J622" s="779" t="s">
        <v>237</v>
      </c>
      <c r="K622" s="744">
        <f>(F622*I622)</f>
        <v>75</v>
      </c>
      <c r="R622" s="935" t="s">
        <v>52</v>
      </c>
      <c r="S622" s="933" t="s">
        <v>85</v>
      </c>
      <c r="AG622" s="933" t="s">
        <v>120</v>
      </c>
    </row>
    <row r="623" spans="1:33" hidden="1">
      <c r="A623" s="940">
        <f t="shared" si="35"/>
        <v>451</v>
      </c>
      <c r="B623" s="933" t="s">
        <v>843</v>
      </c>
      <c r="C623" s="744">
        <v>110</v>
      </c>
      <c r="D623" s="743" t="s">
        <v>131</v>
      </c>
      <c r="E623"/>
      <c r="F623" s="939">
        <v>0.75</v>
      </c>
      <c r="G623" s="938" t="s">
        <v>237</v>
      </c>
      <c r="H623" s="933" t="s">
        <v>304</v>
      </c>
      <c r="I623" s="744">
        <f>(C12)</f>
        <v>95</v>
      </c>
      <c r="J623" s="779" t="s">
        <v>237</v>
      </c>
      <c r="K623" s="744">
        <f>(F623*I623)</f>
        <v>71.25</v>
      </c>
      <c r="O623" s="933" t="s">
        <v>767</v>
      </c>
      <c r="R623" s="939" t="e">
        <f>SUM(R618:R621)</f>
        <v>#REF!</v>
      </c>
      <c r="AG623" s="933" t="s">
        <v>120</v>
      </c>
    </row>
    <row r="624" spans="1:33" hidden="1">
      <c r="A624" s="940">
        <f t="shared" si="35"/>
        <v>452</v>
      </c>
      <c r="B624" s="933" t="s">
        <v>844</v>
      </c>
      <c r="C624" s="744">
        <v>70</v>
      </c>
      <c r="D624" s="743" t="s">
        <v>131</v>
      </c>
      <c r="E624"/>
      <c r="G624" s="938" t="s">
        <v>145</v>
      </c>
      <c r="H624" s="933" t="s">
        <v>146</v>
      </c>
      <c r="I624"/>
      <c r="J624" s="779" t="s">
        <v>145</v>
      </c>
      <c r="K624" s="744">
        <v>0</v>
      </c>
      <c r="R624" s="935" t="s">
        <v>52</v>
      </c>
      <c r="AG624" s="933" t="s">
        <v>120</v>
      </c>
    </row>
    <row r="625" spans="1:33" hidden="1">
      <c r="A625" s="940">
        <f t="shared" si="35"/>
        <v>453</v>
      </c>
      <c r="B625" s="933" t="s">
        <v>845</v>
      </c>
      <c r="C625"/>
      <c r="D625" s="743" t="s">
        <v>131</v>
      </c>
      <c r="E625"/>
      <c r="I625"/>
      <c r="J625" s="805"/>
      <c r="K625" s="776" t="s">
        <v>52</v>
      </c>
      <c r="AG625" s="933" t="s">
        <v>120</v>
      </c>
    </row>
    <row r="626" spans="1:33" hidden="1">
      <c r="A626" s="940">
        <f t="shared" si="35"/>
        <v>454</v>
      </c>
      <c r="B626" s="933" t="s">
        <v>846</v>
      </c>
      <c r="C626" s="744">
        <v>12</v>
      </c>
      <c r="D626" s="743" t="s">
        <v>131</v>
      </c>
      <c r="E626"/>
      <c r="H626" s="933" t="s">
        <v>847</v>
      </c>
      <c r="I626"/>
      <c r="J626" s="805"/>
      <c r="K626" s="744" t="e">
        <f>SUM(K620:K624)</f>
        <v>#REF!</v>
      </c>
      <c r="N626" s="933" t="s">
        <v>111</v>
      </c>
      <c r="O626" s="933" t="s">
        <v>848</v>
      </c>
      <c r="AG626" s="933" t="s">
        <v>120</v>
      </c>
    </row>
    <row r="627" spans="1:33" hidden="1">
      <c r="A627" s="940">
        <f t="shared" si="35"/>
        <v>455</v>
      </c>
      <c r="B627" s="933" t="s">
        <v>849</v>
      </c>
      <c r="C627" s="744">
        <v>7.5</v>
      </c>
      <c r="D627" s="743" t="s">
        <v>131</v>
      </c>
      <c r="E627"/>
      <c r="I627"/>
      <c r="J627" s="805"/>
      <c r="K627" s="776" t="s">
        <v>52</v>
      </c>
      <c r="O627" s="933" t="s">
        <v>850</v>
      </c>
      <c r="AG627" s="933" t="s">
        <v>120</v>
      </c>
    </row>
    <row r="628" spans="1:33" hidden="1">
      <c r="A628" s="940">
        <f t="shared" si="35"/>
        <v>456</v>
      </c>
      <c r="B628" s="933" t="s">
        <v>851</v>
      </c>
      <c r="C628"/>
      <c r="D628" s="743" t="s">
        <v>131</v>
      </c>
      <c r="E628"/>
      <c r="H628" s="933" t="s">
        <v>460</v>
      </c>
      <c r="I628"/>
      <c r="J628" s="805"/>
      <c r="K628" s="744" t="e">
        <f>(K626/0.372)</f>
        <v>#REF!</v>
      </c>
      <c r="O628" s="933" t="s">
        <v>852</v>
      </c>
      <c r="AG628" s="933" t="s">
        <v>120</v>
      </c>
    </row>
    <row r="629" spans="1:33" hidden="1">
      <c r="A629" s="940">
        <f t="shared" si="35"/>
        <v>457</v>
      </c>
      <c r="B629" s="933" t="s">
        <v>853</v>
      </c>
      <c r="C629" s="744">
        <v>155.32</v>
      </c>
      <c r="D629" s="743" t="s">
        <v>131</v>
      </c>
      <c r="E629"/>
      <c r="I629"/>
      <c r="J629" s="805"/>
      <c r="K629" s="776" t="s">
        <v>89</v>
      </c>
      <c r="O629" s="935" t="s">
        <v>52</v>
      </c>
      <c r="AG629" s="933" t="s">
        <v>120</v>
      </c>
    </row>
    <row r="630" spans="1:33" hidden="1">
      <c r="A630" s="940">
        <f t="shared" si="35"/>
        <v>458</v>
      </c>
      <c r="B630" s="933" t="s">
        <v>854</v>
      </c>
      <c r="C630" s="744">
        <v>91.08</v>
      </c>
      <c r="D630" s="743" t="s">
        <v>131</v>
      </c>
      <c r="E630"/>
      <c r="H630" s="933" t="s">
        <v>53</v>
      </c>
      <c r="I630"/>
      <c r="J630" s="805"/>
      <c r="K630" s="744" t="e">
        <f>(K628+C22*0.014/0.372)</f>
        <v>#REF!</v>
      </c>
      <c r="M630" s="939">
        <v>9.5</v>
      </c>
      <c r="N630" s="933" t="s">
        <v>132</v>
      </c>
      <c r="O630" s="933" t="s">
        <v>834</v>
      </c>
      <c r="P630" s="939">
        <f>(C61*2)</f>
        <v>50</v>
      </c>
      <c r="Q630" s="933" t="s">
        <v>132</v>
      </c>
      <c r="R630" s="939">
        <f t="shared" ref="R630:R638" si="36">(M630*P630)</f>
        <v>475</v>
      </c>
      <c r="AG630" s="933" t="s">
        <v>120</v>
      </c>
    </row>
    <row r="631" spans="1:33" hidden="1">
      <c r="A631" s="940">
        <f t="shared" si="35"/>
        <v>459</v>
      </c>
      <c r="B631" s="933" t="s">
        <v>855</v>
      </c>
      <c r="C631" s="744">
        <v>30</v>
      </c>
      <c r="D631" s="743" t="s">
        <v>39</v>
      </c>
      <c r="E631"/>
      <c r="H631" s="933" t="s">
        <v>54</v>
      </c>
      <c r="I631"/>
      <c r="J631" s="805"/>
      <c r="K631" s="744" t="e">
        <f>(K630+C23*0.014/0.372)</f>
        <v>#REF!</v>
      </c>
      <c r="M631" s="939">
        <v>0.47</v>
      </c>
      <c r="N631" s="933" t="s">
        <v>132</v>
      </c>
      <c r="O631" s="933" t="s">
        <v>856</v>
      </c>
      <c r="P631" s="939" t="e">
        <f>(R74)</f>
        <v>#REF!</v>
      </c>
      <c r="Q631" s="933" t="s">
        <v>132</v>
      </c>
      <c r="R631" s="939" t="e">
        <f t="shared" si="36"/>
        <v>#REF!</v>
      </c>
      <c r="AG631" s="933" t="s">
        <v>120</v>
      </c>
    </row>
    <row r="632" spans="1:33" hidden="1">
      <c r="A632" s="940">
        <f t="shared" si="35"/>
        <v>460</v>
      </c>
      <c r="B632" s="933" t="s">
        <v>857</v>
      </c>
      <c r="C632" s="744">
        <v>0.3</v>
      </c>
      <c r="D632" s="743" t="s">
        <v>131</v>
      </c>
      <c r="E632"/>
      <c r="H632" s="933" t="s">
        <v>55</v>
      </c>
      <c r="I632"/>
      <c r="J632" s="805"/>
      <c r="K632" s="744" t="e">
        <f>(K631+C24*0.014/0.372)</f>
        <v>#REF!</v>
      </c>
      <c r="M632" s="939">
        <v>1.62</v>
      </c>
      <c r="N632" s="933" t="s">
        <v>132</v>
      </c>
      <c r="O632" s="933" t="s">
        <v>754</v>
      </c>
      <c r="P632" s="939" t="e">
        <f>(R89)</f>
        <v>#REF!</v>
      </c>
      <c r="Q632" s="933" t="s">
        <v>132</v>
      </c>
      <c r="R632" s="939" t="e">
        <f t="shared" si="36"/>
        <v>#REF!</v>
      </c>
      <c r="AG632" s="933" t="s">
        <v>120</v>
      </c>
    </row>
    <row r="633" spans="1:33" hidden="1">
      <c r="A633" s="940">
        <f t="shared" si="35"/>
        <v>461</v>
      </c>
      <c r="B633" s="933" t="s">
        <v>858</v>
      </c>
      <c r="C633" s="744">
        <v>99</v>
      </c>
      <c r="D633" s="743" t="s">
        <v>425</v>
      </c>
      <c r="E633"/>
      <c r="H633" s="933" t="s">
        <v>56</v>
      </c>
      <c r="I633"/>
      <c r="J633" s="805"/>
      <c r="K633" s="744" t="e">
        <f>(K632+C24*0.014/0.372)</f>
        <v>#REF!</v>
      </c>
      <c r="M633" s="939">
        <v>15.22</v>
      </c>
      <c r="N633" s="933" t="s">
        <v>425</v>
      </c>
      <c r="O633" s="933" t="s">
        <v>859</v>
      </c>
      <c r="P633" s="939" t="e">
        <f>(R303)</f>
        <v>#REF!</v>
      </c>
      <c r="Q633" s="933" t="s">
        <v>425</v>
      </c>
      <c r="R633" s="939" t="e">
        <f t="shared" si="36"/>
        <v>#REF!</v>
      </c>
      <c r="AG633" s="933" t="s">
        <v>120</v>
      </c>
    </row>
    <row r="634" spans="1:33" hidden="1">
      <c r="A634" s="940">
        <f t="shared" si="35"/>
        <v>462</v>
      </c>
      <c r="B634" s="933" t="s">
        <v>860</v>
      </c>
      <c r="C634" s="744">
        <v>97.31</v>
      </c>
      <c r="D634" s="743" t="s">
        <v>425</v>
      </c>
      <c r="E634"/>
      <c r="H634" s="933" t="s">
        <v>747</v>
      </c>
      <c r="I634"/>
      <c r="J634" s="805"/>
      <c r="K634" s="744" t="e">
        <f>(K633+C25*0.014/0.372)</f>
        <v>#REF!</v>
      </c>
      <c r="M634" s="939">
        <v>0.18</v>
      </c>
      <c r="N634" s="933" t="s">
        <v>132</v>
      </c>
      <c r="O634" s="933" t="s">
        <v>861</v>
      </c>
      <c r="P634" s="939" t="e">
        <f>(K279)</f>
        <v>#REF!</v>
      </c>
      <c r="Q634" s="933" t="s">
        <v>132</v>
      </c>
      <c r="R634" s="939" t="e">
        <f t="shared" si="36"/>
        <v>#REF!</v>
      </c>
      <c r="AG634" s="933" t="s">
        <v>120</v>
      </c>
    </row>
    <row r="635" spans="1:33" hidden="1">
      <c r="A635" s="940">
        <f t="shared" si="35"/>
        <v>463</v>
      </c>
      <c r="B635" s="933" t="s">
        <v>862</v>
      </c>
      <c r="C635" s="744">
        <v>105.28</v>
      </c>
      <c r="D635" s="743" t="s">
        <v>524</v>
      </c>
      <c r="E635"/>
      <c r="F635" s="934" t="s">
        <v>863</v>
      </c>
      <c r="H635" s="933" t="s">
        <v>864</v>
      </c>
      <c r="I635"/>
      <c r="J635" s="805"/>
      <c r="K635"/>
      <c r="M635" s="939">
        <v>0.36</v>
      </c>
      <c r="N635" s="933" t="s">
        <v>425</v>
      </c>
      <c r="O635" s="933" t="s">
        <v>865</v>
      </c>
      <c r="P635" s="939" t="e">
        <f>(K466)</f>
        <v>#REF!</v>
      </c>
      <c r="Q635" s="933" t="s">
        <v>425</v>
      </c>
      <c r="R635" s="939" t="e">
        <f t="shared" si="36"/>
        <v>#REF!</v>
      </c>
      <c r="AG635" s="933" t="s">
        <v>120</v>
      </c>
    </row>
    <row r="636" spans="1:33" hidden="1">
      <c r="A636" s="940">
        <f t="shared" si="35"/>
        <v>464</v>
      </c>
      <c r="B636" s="933" t="s">
        <v>866</v>
      </c>
      <c r="C636" s="744">
        <v>106.75</v>
      </c>
      <c r="D636" s="743" t="s">
        <v>524</v>
      </c>
      <c r="E636"/>
      <c r="H636" s="933" t="s">
        <v>867</v>
      </c>
      <c r="I636"/>
      <c r="J636" s="805"/>
      <c r="K636"/>
      <c r="M636" s="939">
        <v>1</v>
      </c>
      <c r="N636" s="933" t="s">
        <v>131</v>
      </c>
      <c r="O636" s="933" t="s">
        <v>868</v>
      </c>
      <c r="P636" s="939">
        <f>(C202)</f>
        <v>75</v>
      </c>
      <c r="Q636" s="933" t="s">
        <v>131</v>
      </c>
      <c r="R636" s="939">
        <f t="shared" si="36"/>
        <v>75</v>
      </c>
      <c r="AG636" s="933" t="s">
        <v>120</v>
      </c>
    </row>
    <row r="637" spans="1:33" hidden="1">
      <c r="A637" s="940">
        <f t="shared" si="35"/>
        <v>465</v>
      </c>
      <c r="B637" s="933" t="s">
        <v>869</v>
      </c>
      <c r="C637" s="744">
        <v>1</v>
      </c>
      <c r="D637" s="743" t="s">
        <v>131</v>
      </c>
      <c r="E637" t="s">
        <v>870</v>
      </c>
      <c r="H637" s="933" t="s">
        <v>871</v>
      </c>
      <c r="I637"/>
      <c r="J637" s="805"/>
      <c r="K637"/>
      <c r="M637" s="939">
        <v>1.8</v>
      </c>
      <c r="N637" s="933" t="s">
        <v>872</v>
      </c>
      <c r="O637" s="933" t="s">
        <v>873</v>
      </c>
      <c r="P637" s="939">
        <f>(C324)</f>
        <v>14.91</v>
      </c>
      <c r="Q637" s="933" t="s">
        <v>872</v>
      </c>
      <c r="R637" s="939">
        <f t="shared" si="36"/>
        <v>26.84</v>
      </c>
      <c r="AG637" s="933" t="s">
        <v>120</v>
      </c>
    </row>
    <row r="638" spans="1:33" hidden="1">
      <c r="A638" s="940">
        <f t="shared" si="35"/>
        <v>466</v>
      </c>
      <c r="B638" s="933" t="s">
        <v>874</v>
      </c>
      <c r="C638" s="744">
        <v>37</v>
      </c>
      <c r="D638" s="743" t="s">
        <v>39</v>
      </c>
      <c r="E638"/>
      <c r="H638" s="933" t="s">
        <v>875</v>
      </c>
      <c r="I638"/>
      <c r="J638" s="805"/>
      <c r="K638"/>
      <c r="M638" s="939">
        <v>1</v>
      </c>
      <c r="N638" s="933" t="s">
        <v>131</v>
      </c>
      <c r="O638" s="933" t="s">
        <v>876</v>
      </c>
      <c r="P638" s="939">
        <f>(C370)</f>
        <v>13.29</v>
      </c>
      <c r="Q638" s="933" t="s">
        <v>131</v>
      </c>
      <c r="R638" s="939">
        <f t="shared" si="36"/>
        <v>13.29</v>
      </c>
      <c r="AG638" s="933" t="s">
        <v>120</v>
      </c>
    </row>
    <row r="639" spans="1:33" hidden="1">
      <c r="A639" s="940">
        <f t="shared" si="35"/>
        <v>467</v>
      </c>
      <c r="B639" s="963" t="s">
        <v>877</v>
      </c>
      <c r="C639" s="744">
        <v>3</v>
      </c>
      <c r="D639" s="743" t="s">
        <v>282</v>
      </c>
      <c r="E639">
        <v>5</v>
      </c>
      <c r="H639" s="933" t="s">
        <v>878</v>
      </c>
      <c r="I639"/>
      <c r="J639" s="805"/>
      <c r="K639"/>
      <c r="N639" s="933" t="s">
        <v>145</v>
      </c>
      <c r="O639" s="933" t="s">
        <v>763</v>
      </c>
      <c r="Q639" s="933" t="s">
        <v>145</v>
      </c>
      <c r="R639" s="939">
        <v>1.6</v>
      </c>
      <c r="AG639" s="933" t="s">
        <v>120</v>
      </c>
    </row>
    <row r="640" spans="1:33" hidden="1">
      <c r="A640" s="940">
        <f t="shared" si="35"/>
        <v>468</v>
      </c>
      <c r="B640" s="963" t="s">
        <v>879</v>
      </c>
      <c r="C640" s="744">
        <v>2.2000000000000002</v>
      </c>
      <c r="D640" s="743" t="s">
        <v>282</v>
      </c>
      <c r="E640"/>
      <c r="H640" s="933" t="s">
        <v>880</v>
      </c>
      <c r="I640"/>
      <c r="J640" s="805"/>
      <c r="K640"/>
      <c r="R640" s="933" t="s">
        <v>85</v>
      </c>
      <c r="AG640" s="933" t="s">
        <v>120</v>
      </c>
    </row>
    <row r="641" spans="1:33" hidden="1">
      <c r="A641" s="940">
        <f t="shared" si="35"/>
        <v>469</v>
      </c>
      <c r="B641" s="933" t="s">
        <v>881</v>
      </c>
      <c r="C641" s="744">
        <v>2.2000000000000002</v>
      </c>
      <c r="D641" s="743">
        <v>2.7</v>
      </c>
      <c r="E641">
        <v>2</v>
      </c>
      <c r="H641" s="933" t="s">
        <v>882</v>
      </c>
      <c r="I641"/>
      <c r="J641" s="805"/>
      <c r="K641"/>
      <c r="R641" s="935" t="s">
        <v>52</v>
      </c>
      <c r="AG641" s="933" t="s">
        <v>120</v>
      </c>
    </row>
    <row r="642" spans="1:33" hidden="1">
      <c r="A642" s="940">
        <f t="shared" si="35"/>
        <v>470</v>
      </c>
      <c r="B642" s="933" t="s">
        <v>883</v>
      </c>
      <c r="C642" s="744">
        <v>3.2</v>
      </c>
      <c r="D642" s="744">
        <v>3.2</v>
      </c>
      <c r="E642"/>
      <c r="H642" s="935" t="s">
        <v>52</v>
      </c>
      <c r="I642" s="776" t="s">
        <v>52</v>
      </c>
      <c r="J642" s="805"/>
      <c r="K642"/>
      <c r="O642" s="933" t="s">
        <v>767</v>
      </c>
      <c r="R642" s="939" t="e">
        <f>SUM(R630:R640)</f>
        <v>#REF!</v>
      </c>
      <c r="AG642" s="933" t="s">
        <v>120</v>
      </c>
    </row>
    <row r="643" spans="1:33" hidden="1">
      <c r="A643" s="940">
        <f t="shared" si="35"/>
        <v>471</v>
      </c>
      <c r="B643" s="933" t="s">
        <v>884</v>
      </c>
      <c r="C643" s="744">
        <v>4</v>
      </c>
      <c r="D643" s="743" t="s">
        <v>145</v>
      </c>
      <c r="E643"/>
      <c r="F643" s="939">
        <v>1</v>
      </c>
      <c r="G643" s="938" t="s">
        <v>425</v>
      </c>
      <c r="H643" s="933" t="s">
        <v>885</v>
      </c>
      <c r="I643" s="744">
        <f>D76</f>
        <v>240</v>
      </c>
      <c r="J643" s="779" t="s">
        <v>425</v>
      </c>
      <c r="K643" s="744">
        <f>(F643*I643)</f>
        <v>240</v>
      </c>
      <c r="R643" s="935" t="s">
        <v>52</v>
      </c>
      <c r="AG643" s="933" t="s">
        <v>120</v>
      </c>
    </row>
    <row r="644" spans="1:33" hidden="1">
      <c r="A644" s="940">
        <f t="shared" si="35"/>
        <v>472</v>
      </c>
      <c r="B644" s="933" t="s">
        <v>886</v>
      </c>
      <c r="C644" s="744">
        <v>5</v>
      </c>
      <c r="D644" s="743" t="s">
        <v>145</v>
      </c>
      <c r="E644"/>
      <c r="F644" s="939">
        <v>1</v>
      </c>
      <c r="G644" s="938" t="s">
        <v>425</v>
      </c>
      <c r="H644" s="933" t="s">
        <v>887</v>
      </c>
      <c r="I644" s="744">
        <f>C75</f>
        <v>20</v>
      </c>
      <c r="J644" s="779" t="s">
        <v>425</v>
      </c>
      <c r="K644" s="744">
        <f>(F644*I644)</f>
        <v>20</v>
      </c>
      <c r="O644" s="933" t="s">
        <v>888</v>
      </c>
      <c r="AG644" s="933" t="s">
        <v>120</v>
      </c>
    </row>
    <row r="645" spans="1:33" hidden="1">
      <c r="A645" s="940">
        <f t="shared" si="35"/>
        <v>473</v>
      </c>
      <c r="B645" s="933" t="s">
        <v>889</v>
      </c>
      <c r="C645" s="744">
        <v>96</v>
      </c>
      <c r="D645" s="743" t="s">
        <v>131</v>
      </c>
      <c r="E645"/>
      <c r="F645" s="939">
        <v>1</v>
      </c>
      <c r="G645" s="938" t="s">
        <v>145</v>
      </c>
      <c r="H645" s="933" t="s">
        <v>890</v>
      </c>
      <c r="I645" s="744">
        <v>15</v>
      </c>
      <c r="J645" s="779" t="s">
        <v>145</v>
      </c>
      <c r="K645" s="744">
        <f>(F645*I645)</f>
        <v>15</v>
      </c>
      <c r="N645" s="933" t="s">
        <v>111</v>
      </c>
      <c r="O645" s="933" t="s">
        <v>891</v>
      </c>
      <c r="AG645" s="933" t="s">
        <v>120</v>
      </c>
    </row>
    <row r="646" spans="1:33" hidden="1">
      <c r="A646" s="940">
        <f t="shared" si="35"/>
        <v>474</v>
      </c>
      <c r="B646" s="933" t="s">
        <v>892</v>
      </c>
      <c r="C646" s="744">
        <v>75</v>
      </c>
      <c r="D646" s="743" t="s">
        <v>131</v>
      </c>
      <c r="E646"/>
      <c r="I646"/>
      <c r="J646" s="805"/>
      <c r="K646" s="776" t="s">
        <v>52</v>
      </c>
      <c r="O646" s="933" t="s">
        <v>893</v>
      </c>
      <c r="AG646" s="933" t="s">
        <v>120</v>
      </c>
    </row>
    <row r="647" spans="1:33" hidden="1">
      <c r="A647" s="940">
        <f t="shared" si="35"/>
        <v>475</v>
      </c>
      <c r="B647" s="933" t="s">
        <v>894</v>
      </c>
      <c r="C647" s="744">
        <v>6.4</v>
      </c>
      <c r="D647" s="744">
        <v>12.65</v>
      </c>
      <c r="E647">
        <v>3</v>
      </c>
      <c r="H647" s="933" t="s">
        <v>460</v>
      </c>
      <c r="I647"/>
      <c r="J647" s="805"/>
      <c r="K647" s="744">
        <f>SUM(K641:K645)</f>
        <v>275</v>
      </c>
      <c r="O647" s="935" t="s">
        <v>52</v>
      </c>
      <c r="AG647" s="933" t="s">
        <v>120</v>
      </c>
    </row>
    <row r="648" spans="1:33" hidden="1">
      <c r="A648" s="940">
        <f t="shared" si="35"/>
        <v>476</v>
      </c>
      <c r="B648" s="933" t="s">
        <v>895</v>
      </c>
      <c r="C648" s="744">
        <v>80</v>
      </c>
      <c r="D648" s="743" t="s">
        <v>131</v>
      </c>
      <c r="E648"/>
      <c r="H648" s="933" t="s">
        <v>896</v>
      </c>
      <c r="I648"/>
      <c r="J648" s="805"/>
      <c r="K648" s="776" t="s">
        <v>89</v>
      </c>
      <c r="M648" s="939">
        <v>1</v>
      </c>
      <c r="N648" s="933" t="s">
        <v>131</v>
      </c>
      <c r="O648" s="933" t="s">
        <v>897</v>
      </c>
      <c r="P648" s="939">
        <f>(C382)</f>
        <v>14.91</v>
      </c>
      <c r="Q648" s="933" t="s">
        <v>131</v>
      </c>
      <c r="R648" s="939">
        <f>(M648*P648)</f>
        <v>14.91</v>
      </c>
      <c r="AG648" s="933" t="s">
        <v>120</v>
      </c>
    </row>
    <row r="649" spans="1:33" hidden="1">
      <c r="A649" s="940">
        <f t="shared" ref="A649:A673" si="37">(A648+1)</f>
        <v>477</v>
      </c>
      <c r="B649" s="933" t="s">
        <v>898</v>
      </c>
      <c r="C649" s="744">
        <v>64</v>
      </c>
      <c r="D649" s="743" t="s">
        <v>131</v>
      </c>
      <c r="E649"/>
      <c r="H649" s="933" t="s">
        <v>53</v>
      </c>
      <c r="I649"/>
      <c r="J649" s="805"/>
      <c r="K649" s="744">
        <f>(K647+C19*0.05)</f>
        <v>275.88</v>
      </c>
      <c r="N649" s="933" t="s">
        <v>145</v>
      </c>
      <c r="O649" s="933" t="s">
        <v>899</v>
      </c>
      <c r="Q649" s="933" t="s">
        <v>145</v>
      </c>
      <c r="R649" s="939">
        <v>2.09</v>
      </c>
      <c r="AG649" s="933" t="s">
        <v>120</v>
      </c>
    </row>
    <row r="650" spans="1:33" hidden="1">
      <c r="A650" s="940">
        <f t="shared" si="37"/>
        <v>478</v>
      </c>
      <c r="B650" s="933" t="s">
        <v>900</v>
      </c>
      <c r="C650" s="744">
        <v>40.5</v>
      </c>
      <c r="D650" s="743" t="s">
        <v>131</v>
      </c>
      <c r="E650"/>
      <c r="H650" s="933" t="s">
        <v>54</v>
      </c>
      <c r="I650"/>
      <c r="J650" s="805"/>
      <c r="K650" s="744">
        <f>(K649+C20*0.05)</f>
        <v>277.64</v>
      </c>
      <c r="O650" s="933" t="s">
        <v>901</v>
      </c>
      <c r="R650" s="933" t="s">
        <v>85</v>
      </c>
      <c r="AG650" s="933" t="s">
        <v>120</v>
      </c>
    </row>
    <row r="651" spans="1:33" hidden="1">
      <c r="A651" s="940">
        <f t="shared" si="37"/>
        <v>479</v>
      </c>
      <c r="B651" s="933" t="s">
        <v>902</v>
      </c>
      <c r="C651" s="744">
        <v>92</v>
      </c>
      <c r="D651" s="743" t="s">
        <v>131</v>
      </c>
      <c r="E651"/>
      <c r="H651" s="933" t="s">
        <v>55</v>
      </c>
      <c r="I651"/>
      <c r="J651" s="805"/>
      <c r="K651" s="744">
        <f>(K650+C21*0.05)</f>
        <v>279.39999999999998</v>
      </c>
      <c r="R651" s="935" t="s">
        <v>52</v>
      </c>
      <c r="AG651" s="933" t="s">
        <v>120</v>
      </c>
    </row>
    <row r="652" spans="1:33" hidden="1">
      <c r="A652" s="940">
        <f t="shared" si="37"/>
        <v>480</v>
      </c>
      <c r="B652" s="933" t="s">
        <v>903</v>
      </c>
      <c r="C652" s="744">
        <v>60</v>
      </c>
      <c r="D652" s="743" t="s">
        <v>131</v>
      </c>
      <c r="E652"/>
      <c r="H652" s="933" t="s">
        <v>56</v>
      </c>
      <c r="I652"/>
      <c r="J652" s="805"/>
      <c r="K652" s="744">
        <f>(K651+C21*0.05)</f>
        <v>281.16000000000003</v>
      </c>
      <c r="O652" s="933" t="s">
        <v>904</v>
      </c>
      <c r="R652" s="939">
        <f>SUM(R648:R650)</f>
        <v>17</v>
      </c>
      <c r="AG652" s="933" t="s">
        <v>120</v>
      </c>
    </row>
    <row r="653" spans="1:33" hidden="1">
      <c r="A653" s="940">
        <f t="shared" si="37"/>
        <v>481</v>
      </c>
      <c r="B653" s="933" t="s">
        <v>905</v>
      </c>
      <c r="C653" s="744">
        <v>49.87</v>
      </c>
      <c r="D653" s="743" t="s">
        <v>131</v>
      </c>
      <c r="E653"/>
      <c r="H653" s="933" t="s">
        <v>747</v>
      </c>
      <c r="I653"/>
      <c r="J653" s="805"/>
      <c r="K653" s="744">
        <f>(K652+C21*0.05)</f>
        <v>282.92</v>
      </c>
      <c r="R653" s="935" t="s">
        <v>52</v>
      </c>
      <c r="AG653" s="933" t="s">
        <v>120</v>
      </c>
    </row>
    <row r="654" spans="1:33" hidden="1">
      <c r="A654" s="940">
        <f t="shared" si="37"/>
        <v>482</v>
      </c>
      <c r="B654" s="933" t="s">
        <v>906</v>
      </c>
      <c r="C654" s="744">
        <v>80</v>
      </c>
      <c r="D654" s="743" t="s">
        <v>131</v>
      </c>
      <c r="E654"/>
      <c r="F654" s="934" t="s">
        <v>907</v>
      </c>
      <c r="H654" s="933" t="s">
        <v>864</v>
      </c>
      <c r="I654"/>
      <c r="J654" s="805"/>
      <c r="K654"/>
      <c r="AG654" s="933" t="s">
        <v>120</v>
      </c>
    </row>
    <row r="655" spans="1:33" hidden="1">
      <c r="A655" s="940">
        <f t="shared" si="37"/>
        <v>483</v>
      </c>
      <c r="B655" s="933" t="s">
        <v>908</v>
      </c>
      <c r="C655" s="744">
        <v>52</v>
      </c>
      <c r="D655" s="743" t="s">
        <v>131</v>
      </c>
      <c r="E655"/>
      <c r="H655" s="933" t="s">
        <v>909</v>
      </c>
      <c r="I655"/>
      <c r="J655" s="805"/>
      <c r="K655"/>
      <c r="N655" s="933" t="s">
        <v>111</v>
      </c>
      <c r="O655" s="933" t="s">
        <v>910</v>
      </c>
      <c r="AG655" s="933" t="s">
        <v>120</v>
      </c>
    </row>
    <row r="656" spans="1:33" hidden="1">
      <c r="A656" s="940">
        <f t="shared" si="37"/>
        <v>484</v>
      </c>
      <c r="B656" s="933" t="s">
        <v>911</v>
      </c>
      <c r="C656" s="744">
        <v>39</v>
      </c>
      <c r="D656" s="743" t="s">
        <v>131</v>
      </c>
      <c r="E656"/>
      <c r="H656" s="933" t="s">
        <v>871</v>
      </c>
      <c r="I656"/>
      <c r="J656" s="805"/>
      <c r="K656"/>
      <c r="O656" s="933" t="s">
        <v>893</v>
      </c>
      <c r="AG656" s="933" t="s">
        <v>120</v>
      </c>
    </row>
    <row r="657" spans="1:33" hidden="1">
      <c r="A657" s="940">
        <f t="shared" si="37"/>
        <v>485</v>
      </c>
      <c r="B657" s="933" t="s">
        <v>912</v>
      </c>
      <c r="C657" s="744">
        <v>90</v>
      </c>
      <c r="D657" s="743" t="s">
        <v>131</v>
      </c>
      <c r="E657"/>
      <c r="H657" s="933" t="s">
        <v>875</v>
      </c>
      <c r="I657"/>
      <c r="J657" s="805"/>
      <c r="K657"/>
      <c r="O657" s="935" t="s">
        <v>52</v>
      </c>
      <c r="AG657" s="933" t="s">
        <v>120</v>
      </c>
    </row>
    <row r="658" spans="1:33" hidden="1">
      <c r="A658" s="940">
        <f t="shared" si="37"/>
        <v>486</v>
      </c>
      <c r="B658" s="933" t="s">
        <v>913</v>
      </c>
      <c r="C658" s="744">
        <v>60</v>
      </c>
      <c r="D658" s="743" t="s">
        <v>131</v>
      </c>
      <c r="E658"/>
      <c r="H658" s="933" t="s">
        <v>878</v>
      </c>
      <c r="I658"/>
      <c r="J658" s="805"/>
      <c r="K658"/>
      <c r="M658" s="939">
        <v>1</v>
      </c>
      <c r="N658" s="933" t="s">
        <v>131</v>
      </c>
      <c r="O658" s="933" t="s">
        <v>914</v>
      </c>
      <c r="P658" s="939">
        <f>(C383)</f>
        <v>17.579999999999998</v>
      </c>
      <c r="Q658" s="933" t="s">
        <v>131</v>
      </c>
      <c r="R658" s="939">
        <f>(M658*P658)</f>
        <v>17.579999999999998</v>
      </c>
      <c r="AG658" s="933" t="s">
        <v>120</v>
      </c>
    </row>
    <row r="659" spans="1:33" hidden="1">
      <c r="A659" s="940">
        <f t="shared" si="37"/>
        <v>487</v>
      </c>
      <c r="B659" s="933" t="s">
        <v>915</v>
      </c>
      <c r="C659" s="744">
        <v>43.5</v>
      </c>
      <c r="D659" s="743" t="s">
        <v>131</v>
      </c>
      <c r="E659"/>
      <c r="H659" s="933" t="s">
        <v>880</v>
      </c>
      <c r="I659"/>
      <c r="J659" s="805"/>
      <c r="K659"/>
      <c r="N659" s="933" t="s">
        <v>145</v>
      </c>
      <c r="O659" s="933" t="s">
        <v>899</v>
      </c>
      <c r="Q659" s="933" t="s">
        <v>145</v>
      </c>
      <c r="R659" s="939">
        <v>2.09</v>
      </c>
      <c r="AG659" s="933" t="s">
        <v>120</v>
      </c>
    </row>
    <row r="660" spans="1:33" hidden="1">
      <c r="A660" s="940">
        <f t="shared" si="37"/>
        <v>488</v>
      </c>
      <c r="B660" s="933" t="s">
        <v>916</v>
      </c>
      <c r="C660" s="744">
        <v>75</v>
      </c>
      <c r="D660" s="743" t="s">
        <v>131</v>
      </c>
      <c r="E660"/>
      <c r="H660" s="933" t="s">
        <v>917</v>
      </c>
      <c r="I660"/>
      <c r="J660" s="805"/>
      <c r="K660"/>
      <c r="O660" s="933" t="s">
        <v>901</v>
      </c>
      <c r="R660" s="933" t="s">
        <v>85</v>
      </c>
      <c r="AG660" s="933" t="s">
        <v>120</v>
      </c>
    </row>
    <row r="661" spans="1:33" hidden="1">
      <c r="A661" s="940">
        <f t="shared" si="37"/>
        <v>489</v>
      </c>
      <c r="B661" s="933" t="s">
        <v>918</v>
      </c>
      <c r="C661" s="744">
        <v>52</v>
      </c>
      <c r="D661" s="743" t="s">
        <v>131</v>
      </c>
      <c r="E661"/>
      <c r="H661" s="935" t="s">
        <v>52</v>
      </c>
      <c r="I661" s="776" t="s">
        <v>52</v>
      </c>
      <c r="J661" s="805"/>
      <c r="K661"/>
      <c r="R661" s="935" t="s">
        <v>52</v>
      </c>
      <c r="AG661" s="933" t="s">
        <v>120</v>
      </c>
    </row>
    <row r="662" spans="1:33" hidden="1">
      <c r="A662" s="940">
        <f t="shared" si="37"/>
        <v>490</v>
      </c>
      <c r="B662" s="933" t="s">
        <v>911</v>
      </c>
      <c r="C662" s="744">
        <v>35.25</v>
      </c>
      <c r="D662" s="743" t="s">
        <v>131</v>
      </c>
      <c r="E662"/>
      <c r="F662" s="939">
        <v>1</v>
      </c>
      <c r="G662" s="938" t="s">
        <v>425</v>
      </c>
      <c r="H662" s="933" t="s">
        <v>919</v>
      </c>
      <c r="I662" s="744">
        <f>C76</f>
        <v>514.62</v>
      </c>
      <c r="J662" s="779" t="s">
        <v>425</v>
      </c>
      <c r="K662" s="744">
        <f>(F662*I662)</f>
        <v>514.62</v>
      </c>
      <c r="O662" s="933" t="s">
        <v>904</v>
      </c>
      <c r="R662" s="939">
        <f>SUM(R658:R660)</f>
        <v>19.670000000000002</v>
      </c>
      <c r="AG662" s="933" t="s">
        <v>120</v>
      </c>
    </row>
    <row r="663" spans="1:33" hidden="1">
      <c r="A663" s="940">
        <f t="shared" si="37"/>
        <v>491</v>
      </c>
      <c r="B663" s="933" t="s">
        <v>920</v>
      </c>
      <c r="C663" s="744">
        <v>37.5</v>
      </c>
      <c r="D663" s="743" t="s">
        <v>131</v>
      </c>
      <c r="E663"/>
      <c r="F663" s="939">
        <v>1</v>
      </c>
      <c r="G663" s="938" t="s">
        <v>425</v>
      </c>
      <c r="H663" s="933" t="s">
        <v>887</v>
      </c>
      <c r="I663" s="744">
        <f>C75</f>
        <v>20</v>
      </c>
      <c r="J663" s="779" t="s">
        <v>425</v>
      </c>
      <c r="K663" s="744">
        <f>(F663*I663)</f>
        <v>20</v>
      </c>
      <c r="R663" s="935" t="s">
        <v>52</v>
      </c>
      <c r="AG663" s="933" t="s">
        <v>120</v>
      </c>
    </row>
    <row r="664" spans="1:33" hidden="1">
      <c r="A664" s="940">
        <f t="shared" si="37"/>
        <v>492</v>
      </c>
      <c r="B664" s="933" t="s">
        <v>921</v>
      </c>
      <c r="C664" s="744">
        <v>24</v>
      </c>
      <c r="D664" s="743" t="s">
        <v>131</v>
      </c>
      <c r="E664"/>
      <c r="F664" s="939">
        <v>1</v>
      </c>
      <c r="G664" s="938" t="s">
        <v>145</v>
      </c>
      <c r="H664" s="933" t="s">
        <v>890</v>
      </c>
      <c r="I664" s="744">
        <v>15</v>
      </c>
      <c r="J664" s="779" t="s">
        <v>145</v>
      </c>
      <c r="K664" s="744">
        <f>(F664*I664)</f>
        <v>15</v>
      </c>
      <c r="AG664" s="933" t="s">
        <v>120</v>
      </c>
    </row>
    <row r="665" spans="1:33" hidden="1">
      <c r="A665" s="940">
        <f t="shared" si="37"/>
        <v>493</v>
      </c>
      <c r="B665" s="933" t="s">
        <v>922</v>
      </c>
      <c r="C665" s="744">
        <v>16</v>
      </c>
      <c r="D665" s="743" t="s">
        <v>131</v>
      </c>
      <c r="E665"/>
      <c r="H665" s="933" t="s">
        <v>146</v>
      </c>
      <c r="I665"/>
      <c r="J665" s="779" t="s">
        <v>145</v>
      </c>
      <c r="K665" s="744">
        <v>0</v>
      </c>
      <c r="N665" s="933" t="s">
        <v>111</v>
      </c>
      <c r="O665" s="933" t="s">
        <v>923</v>
      </c>
      <c r="AG665" s="933" t="s">
        <v>120</v>
      </c>
    </row>
    <row r="666" spans="1:33" hidden="1">
      <c r="A666" s="940">
        <f t="shared" si="37"/>
        <v>494</v>
      </c>
      <c r="B666" s="933" t="s">
        <v>924</v>
      </c>
      <c r="C666" s="744">
        <v>18</v>
      </c>
      <c r="D666" s="743" t="s">
        <v>131</v>
      </c>
      <c r="E666"/>
      <c r="I666"/>
      <c r="J666" s="805"/>
      <c r="K666" s="776" t="s">
        <v>52</v>
      </c>
      <c r="O666" s="933" t="s">
        <v>893</v>
      </c>
      <c r="AG666" s="933" t="s">
        <v>120</v>
      </c>
    </row>
    <row r="667" spans="1:33" hidden="1">
      <c r="A667" s="940">
        <f t="shared" si="37"/>
        <v>495</v>
      </c>
      <c r="B667" s="933" t="s">
        <v>925</v>
      </c>
      <c r="C667" s="744">
        <v>6</v>
      </c>
      <c r="D667" s="743" t="s">
        <v>131</v>
      </c>
      <c r="E667"/>
      <c r="H667" s="933" t="s">
        <v>460</v>
      </c>
      <c r="I667"/>
      <c r="J667" s="805"/>
      <c r="K667" s="744">
        <f>SUM(K662:K665)</f>
        <v>549.62</v>
      </c>
      <c r="O667" s="935" t="s">
        <v>52</v>
      </c>
      <c r="AG667" s="933" t="s">
        <v>120</v>
      </c>
    </row>
    <row r="668" spans="1:33" hidden="1">
      <c r="A668" s="940">
        <f t="shared" si="37"/>
        <v>496</v>
      </c>
      <c r="B668" s="933" t="s">
        <v>926</v>
      </c>
      <c r="C668" s="744">
        <v>152.5</v>
      </c>
      <c r="D668" s="743" t="s">
        <v>282</v>
      </c>
      <c r="E668"/>
      <c r="H668" s="933" t="s">
        <v>896</v>
      </c>
      <c r="I668"/>
      <c r="J668" s="805"/>
      <c r="K668" s="776" t="s">
        <v>89</v>
      </c>
      <c r="M668" s="939">
        <v>1</v>
      </c>
      <c r="N668" s="933" t="s">
        <v>131</v>
      </c>
      <c r="O668" s="933" t="s">
        <v>927</v>
      </c>
      <c r="P668" s="939">
        <f>(C384)</f>
        <v>19.3</v>
      </c>
      <c r="Q668" s="933" t="s">
        <v>131</v>
      </c>
      <c r="R668" s="939">
        <f>(M668*P668)</f>
        <v>19.3</v>
      </c>
      <c r="AG668" s="933" t="s">
        <v>120</v>
      </c>
    </row>
    <row r="669" spans="1:33" hidden="1">
      <c r="A669" s="940">
        <f t="shared" si="37"/>
        <v>497</v>
      </c>
      <c r="B669" s="933" t="s">
        <v>928</v>
      </c>
      <c r="C669" s="744">
        <v>108.68</v>
      </c>
      <c r="D669" s="743" t="s">
        <v>131</v>
      </c>
      <c r="E669"/>
      <c r="H669" s="933" t="s">
        <v>53</v>
      </c>
      <c r="I669"/>
      <c r="J669" s="779" t="s">
        <v>85</v>
      </c>
      <c r="K669" s="744">
        <f>(K667+C19*0.11)</f>
        <v>551.55999999999995</v>
      </c>
      <c r="N669" s="933" t="s">
        <v>145</v>
      </c>
      <c r="O669" s="933" t="s">
        <v>899</v>
      </c>
      <c r="Q669" s="933" t="s">
        <v>145</v>
      </c>
      <c r="R669" s="939">
        <v>2.09</v>
      </c>
      <c r="AG669" s="933" t="s">
        <v>120</v>
      </c>
    </row>
    <row r="670" spans="1:33" hidden="1">
      <c r="A670" s="940">
        <f t="shared" si="37"/>
        <v>498</v>
      </c>
      <c r="B670" s="933" t="s">
        <v>929</v>
      </c>
      <c r="C670" s="744">
        <v>119.89</v>
      </c>
      <c r="D670" s="743" t="s">
        <v>131</v>
      </c>
      <c r="E670"/>
      <c r="H670" s="933" t="s">
        <v>54</v>
      </c>
      <c r="I670"/>
      <c r="J670" s="805"/>
      <c r="K670" s="744">
        <f>(K669+C20*0.11)</f>
        <v>555.42999999999995</v>
      </c>
      <c r="O670" s="933" t="s">
        <v>901</v>
      </c>
      <c r="R670" s="933" t="s">
        <v>85</v>
      </c>
      <c r="AG670" s="933" t="s">
        <v>120</v>
      </c>
    </row>
    <row r="671" spans="1:33" hidden="1">
      <c r="A671" s="940">
        <f t="shared" si="37"/>
        <v>499</v>
      </c>
      <c r="B671" s="933" t="s">
        <v>930</v>
      </c>
      <c r="C671" s="744">
        <v>297.44</v>
      </c>
      <c r="D671" s="743" t="s">
        <v>131</v>
      </c>
      <c r="E671"/>
      <c r="H671" s="933" t="s">
        <v>55</v>
      </c>
      <c r="I671"/>
      <c r="J671" s="805"/>
      <c r="K671" s="744">
        <f>(K670+C21*0.11)</f>
        <v>559.29999999999995</v>
      </c>
      <c r="R671" s="935" t="s">
        <v>52</v>
      </c>
      <c r="AG671" s="933" t="s">
        <v>307</v>
      </c>
    </row>
    <row r="672" spans="1:33" hidden="1">
      <c r="A672" s="940">
        <f t="shared" si="37"/>
        <v>500</v>
      </c>
      <c r="B672" s="933" t="s">
        <v>931</v>
      </c>
      <c r="C672" s="744">
        <v>28.6</v>
      </c>
      <c r="D672" s="743" t="s">
        <v>131</v>
      </c>
      <c r="E672"/>
      <c r="H672" s="933" t="s">
        <v>56</v>
      </c>
      <c r="I672"/>
      <c r="J672" s="805"/>
      <c r="K672" s="744">
        <f>(K671+C21*0.11)</f>
        <v>563.16999999999996</v>
      </c>
      <c r="O672" s="933" t="s">
        <v>904</v>
      </c>
      <c r="R672" s="939">
        <f>SUM(R668:R670)</f>
        <v>21.39</v>
      </c>
    </row>
    <row r="673" spans="1:33" hidden="1">
      <c r="A673" s="940">
        <f t="shared" si="37"/>
        <v>501</v>
      </c>
      <c r="B673" s="933" t="s">
        <v>932</v>
      </c>
      <c r="C673" s="744">
        <v>228.86</v>
      </c>
      <c r="D673" s="743" t="s">
        <v>131</v>
      </c>
      <c r="E673"/>
      <c r="H673" s="933" t="s">
        <v>747</v>
      </c>
      <c r="I673"/>
      <c r="J673" s="805"/>
      <c r="K673" s="744">
        <f>(K672+C21*0.11)</f>
        <v>567.04</v>
      </c>
      <c r="R673" s="935" t="s">
        <v>52</v>
      </c>
    </row>
    <row r="674" spans="1:33" hidden="1">
      <c r="C674"/>
      <c r="D674"/>
      <c r="E674"/>
      <c r="F674" s="933" t="s">
        <v>85</v>
      </c>
      <c r="I674"/>
      <c r="J674" s="805"/>
      <c r="K674"/>
    </row>
    <row r="675" spans="1:33" hidden="1">
      <c r="A675" s="940">
        <f>(A673+1)</f>
        <v>502</v>
      </c>
      <c r="B675" s="933" t="s">
        <v>933</v>
      </c>
      <c r="C675" s="744">
        <v>70.47</v>
      </c>
      <c r="D675" s="743" t="s">
        <v>131</v>
      </c>
      <c r="E675"/>
      <c r="I675"/>
      <c r="J675" s="805"/>
      <c r="K675"/>
      <c r="AG675" s="933" t="s">
        <v>120</v>
      </c>
    </row>
    <row r="676" spans="1:33" hidden="1">
      <c r="A676" s="940">
        <f t="shared" ref="A676:A707" si="38">(A675+1)</f>
        <v>503</v>
      </c>
      <c r="B676" s="933" t="s">
        <v>934</v>
      </c>
      <c r="C676" s="744">
        <v>133.62</v>
      </c>
      <c r="D676" s="743" t="s">
        <v>131</v>
      </c>
      <c r="E676"/>
      <c r="F676" s="934" t="s">
        <v>219</v>
      </c>
      <c r="H676" s="933" t="s">
        <v>935</v>
      </c>
      <c r="I676"/>
      <c r="J676" s="805"/>
      <c r="K676"/>
      <c r="N676" s="933" t="s">
        <v>111</v>
      </c>
      <c r="O676" s="933" t="s">
        <v>936</v>
      </c>
      <c r="AG676" s="933" t="s">
        <v>120</v>
      </c>
    </row>
    <row r="677" spans="1:33" hidden="1">
      <c r="A677" s="940">
        <f t="shared" si="38"/>
        <v>504</v>
      </c>
      <c r="B677" s="933" t="s">
        <v>937</v>
      </c>
      <c r="C677" s="744">
        <v>133.62</v>
      </c>
      <c r="D677" s="743" t="s">
        <v>131</v>
      </c>
      <c r="E677"/>
      <c r="H677" s="933" t="s">
        <v>938</v>
      </c>
      <c r="I677"/>
      <c r="J677" s="805"/>
      <c r="K677"/>
      <c r="O677" s="933" t="s">
        <v>939</v>
      </c>
      <c r="AG677" s="933" t="s">
        <v>120</v>
      </c>
    </row>
    <row r="678" spans="1:33" hidden="1">
      <c r="A678" s="940">
        <f t="shared" si="38"/>
        <v>505</v>
      </c>
      <c r="B678" s="933" t="s">
        <v>940</v>
      </c>
      <c r="C678" s="744">
        <v>215</v>
      </c>
      <c r="D678" s="743" t="s">
        <v>131</v>
      </c>
      <c r="E678"/>
      <c r="H678" s="933" t="s">
        <v>941</v>
      </c>
      <c r="I678"/>
      <c r="J678" s="805"/>
      <c r="K678"/>
      <c r="O678" s="935" t="s">
        <v>52</v>
      </c>
      <c r="AG678" s="933" t="s">
        <v>120</v>
      </c>
    </row>
    <row r="679" spans="1:33" hidden="1">
      <c r="A679" s="940">
        <f t="shared" si="38"/>
        <v>506</v>
      </c>
      <c r="B679" s="933" t="s">
        <v>942</v>
      </c>
      <c r="C679" s="744">
        <v>215</v>
      </c>
      <c r="D679" s="743" t="s">
        <v>131</v>
      </c>
      <c r="E679"/>
      <c r="H679" s="935" t="s">
        <v>52</v>
      </c>
      <c r="I679"/>
      <c r="J679" s="805"/>
      <c r="K679"/>
      <c r="M679" s="939">
        <v>1</v>
      </c>
      <c r="N679" s="933" t="s">
        <v>131</v>
      </c>
      <c r="O679" s="933" t="s">
        <v>943</v>
      </c>
      <c r="P679" s="939">
        <f>(C392/1*0.3)</f>
        <v>14.61</v>
      </c>
      <c r="Q679" s="933" t="s">
        <v>131</v>
      </c>
      <c r="R679" s="939">
        <f>(M679*P679)</f>
        <v>14.61</v>
      </c>
      <c r="AG679" s="933" t="s">
        <v>120</v>
      </c>
    </row>
    <row r="680" spans="1:33" hidden="1">
      <c r="A680" s="940">
        <f t="shared" si="38"/>
        <v>507</v>
      </c>
      <c r="B680" s="933" t="s">
        <v>944</v>
      </c>
      <c r="C680" s="744">
        <v>107.64</v>
      </c>
      <c r="D680" s="743" t="s">
        <v>425</v>
      </c>
      <c r="E680"/>
      <c r="F680" s="939">
        <v>0.4</v>
      </c>
      <c r="G680" s="938" t="s">
        <v>132</v>
      </c>
      <c r="H680" s="933" t="s">
        <v>945</v>
      </c>
      <c r="I680" s="744">
        <f>(C267)</f>
        <v>10705</v>
      </c>
      <c r="J680" s="779" t="s">
        <v>132</v>
      </c>
      <c r="K680" s="744">
        <f>(F680*I680)</f>
        <v>4282</v>
      </c>
      <c r="N680" s="933" t="s">
        <v>145</v>
      </c>
      <c r="O680" s="933" t="s">
        <v>899</v>
      </c>
      <c r="Q680" s="933" t="s">
        <v>145</v>
      </c>
      <c r="R680" s="939">
        <v>1.65</v>
      </c>
      <c r="AG680" s="933" t="s">
        <v>120</v>
      </c>
    </row>
    <row r="681" spans="1:33" hidden="1">
      <c r="A681" s="940">
        <f t="shared" si="38"/>
        <v>508</v>
      </c>
      <c r="B681" s="933" t="s">
        <v>946</v>
      </c>
      <c r="C681"/>
      <c r="D681"/>
      <c r="E681"/>
      <c r="F681" s="939">
        <v>0.12</v>
      </c>
      <c r="G681" s="938" t="s">
        <v>132</v>
      </c>
      <c r="H681" s="933" t="s">
        <v>947</v>
      </c>
      <c r="I681" s="744">
        <f>(C268)</f>
        <v>9395</v>
      </c>
      <c r="J681" s="779" t="s">
        <v>132</v>
      </c>
      <c r="K681" s="744">
        <f>(F681*I681)</f>
        <v>1127.4000000000001</v>
      </c>
      <c r="O681" s="933" t="s">
        <v>901</v>
      </c>
      <c r="R681" s="933" t="s">
        <v>85</v>
      </c>
      <c r="AG681" s="933" t="s">
        <v>120</v>
      </c>
    </row>
    <row r="682" spans="1:33" hidden="1">
      <c r="A682" s="940">
        <f t="shared" si="38"/>
        <v>509</v>
      </c>
      <c r="B682" s="933" t="s">
        <v>948</v>
      </c>
      <c r="C682" s="744">
        <v>11.55</v>
      </c>
      <c r="D682" s="743" t="s">
        <v>131</v>
      </c>
      <c r="E682"/>
      <c r="H682" s="933" t="s">
        <v>949</v>
      </c>
      <c r="I682" s="743" t="s">
        <v>85</v>
      </c>
      <c r="J682" s="805"/>
      <c r="K682" s="743" t="s">
        <v>85</v>
      </c>
      <c r="R682" s="935" t="s">
        <v>52</v>
      </c>
      <c r="AG682" s="933" t="s">
        <v>120</v>
      </c>
    </row>
    <row r="683" spans="1:33" hidden="1">
      <c r="A683" s="940">
        <f t="shared" si="38"/>
        <v>510</v>
      </c>
      <c r="B683" s="933" t="s">
        <v>589</v>
      </c>
      <c r="C683" s="744">
        <v>16.399999999999999</v>
      </c>
      <c r="D683" s="743" t="s">
        <v>131</v>
      </c>
      <c r="E683"/>
      <c r="F683" s="939">
        <v>98.5</v>
      </c>
      <c r="G683" s="938" t="s">
        <v>282</v>
      </c>
      <c r="H683" s="933" t="s">
        <v>950</v>
      </c>
      <c r="I683" s="744">
        <f>(C269)</f>
        <v>15</v>
      </c>
      <c r="J683" s="779" t="s">
        <v>282</v>
      </c>
      <c r="K683" s="744">
        <f>(F683*I683)</f>
        <v>1477.5</v>
      </c>
      <c r="O683" s="933" t="s">
        <v>904</v>
      </c>
      <c r="R683" s="939">
        <f>SUM(R679:R681)</f>
        <v>16.260000000000002</v>
      </c>
      <c r="AG683" s="933" t="s">
        <v>120</v>
      </c>
    </row>
    <row r="684" spans="1:33" hidden="1">
      <c r="A684" s="940">
        <f t="shared" si="38"/>
        <v>511</v>
      </c>
      <c r="B684" s="933" t="s">
        <v>591</v>
      </c>
      <c r="C684" s="744">
        <v>27.85</v>
      </c>
      <c r="D684" s="743" t="s">
        <v>131</v>
      </c>
      <c r="E684"/>
      <c r="H684" s="933" t="s">
        <v>951</v>
      </c>
      <c r="I684" s="743" t="s">
        <v>85</v>
      </c>
      <c r="J684" s="805"/>
      <c r="K684" s="743" t="s">
        <v>88</v>
      </c>
      <c r="R684" s="935" t="s">
        <v>52</v>
      </c>
      <c r="AG684" s="933" t="s">
        <v>120</v>
      </c>
    </row>
    <row r="685" spans="1:33" hidden="1">
      <c r="A685" s="940">
        <f t="shared" si="38"/>
        <v>512</v>
      </c>
      <c r="B685" s="933" t="s">
        <v>592</v>
      </c>
      <c r="C685" s="744">
        <v>49.9</v>
      </c>
      <c r="D685" s="743" t="s">
        <v>131</v>
      </c>
      <c r="E685"/>
      <c r="I685"/>
      <c r="J685" s="805"/>
      <c r="K685" s="776" t="s">
        <v>52</v>
      </c>
      <c r="O685" s="934" t="s">
        <v>952</v>
      </c>
      <c r="R685" s="933" t="s">
        <v>85</v>
      </c>
      <c r="AG685" s="933" t="s">
        <v>120</v>
      </c>
    </row>
    <row r="686" spans="1:33" hidden="1">
      <c r="A686" s="940">
        <f t="shared" si="38"/>
        <v>513</v>
      </c>
      <c r="B686" s="933" t="s">
        <v>594</v>
      </c>
      <c r="C686" s="744">
        <v>69.25</v>
      </c>
      <c r="D686" s="743" t="s">
        <v>131</v>
      </c>
      <c r="E686"/>
      <c r="H686" s="933" t="s">
        <v>953</v>
      </c>
      <c r="I686"/>
      <c r="J686" s="805"/>
      <c r="K686" s="744">
        <f>SUM(K680:K684)</f>
        <v>6886.9</v>
      </c>
      <c r="M686" s="959"/>
      <c r="O686" s="934" t="s">
        <v>954</v>
      </c>
      <c r="AG686" s="933" t="s">
        <v>120</v>
      </c>
    </row>
    <row r="687" spans="1:33" hidden="1">
      <c r="A687" s="940">
        <f t="shared" si="38"/>
        <v>514</v>
      </c>
      <c r="B687" s="933" t="s">
        <v>955</v>
      </c>
      <c r="C687"/>
      <c r="D687" s="743" t="s">
        <v>85</v>
      </c>
      <c r="E687"/>
      <c r="H687" s="933" t="s">
        <v>85</v>
      </c>
      <c r="I687"/>
      <c r="J687" s="805"/>
      <c r="K687" s="776" t="s">
        <v>52</v>
      </c>
      <c r="M687" s="934" t="s">
        <v>607</v>
      </c>
      <c r="N687" s="933" t="s">
        <v>956</v>
      </c>
      <c r="O687" s="933" t="s">
        <v>957</v>
      </c>
      <c r="AG687" s="933" t="s">
        <v>120</v>
      </c>
    </row>
    <row r="688" spans="1:33" hidden="1">
      <c r="A688" s="940">
        <f t="shared" si="38"/>
        <v>515</v>
      </c>
      <c r="B688" s="933" t="s">
        <v>548</v>
      </c>
      <c r="C688" s="744">
        <v>20</v>
      </c>
      <c r="D688" s="743" t="s">
        <v>131</v>
      </c>
      <c r="E688"/>
      <c r="F688" s="939">
        <v>10</v>
      </c>
      <c r="G688" s="938" t="s">
        <v>425</v>
      </c>
      <c r="H688" s="933" t="s">
        <v>958</v>
      </c>
      <c r="I688" s="744">
        <f>(K686/50)</f>
        <v>137.74</v>
      </c>
      <c r="J688" s="779" t="s">
        <v>425</v>
      </c>
      <c r="K688" s="744">
        <f>(F688*I688)</f>
        <v>1377.4</v>
      </c>
      <c r="O688" s="935" t="s">
        <v>52</v>
      </c>
      <c r="AG688" s="933" t="s">
        <v>120</v>
      </c>
    </row>
    <row r="689" spans="1:33" hidden="1">
      <c r="A689" s="940">
        <f t="shared" si="38"/>
        <v>516</v>
      </c>
      <c r="B689" s="933" t="s">
        <v>959</v>
      </c>
      <c r="C689" s="744">
        <v>45</v>
      </c>
      <c r="D689" s="743" t="s">
        <v>131</v>
      </c>
      <c r="E689"/>
      <c r="F689" s="939">
        <v>3.8</v>
      </c>
      <c r="G689" s="938" t="s">
        <v>237</v>
      </c>
      <c r="H689" s="933" t="s">
        <v>960</v>
      </c>
      <c r="I689" s="744">
        <f>(C16)</f>
        <v>150</v>
      </c>
      <c r="J689" s="779" t="s">
        <v>237</v>
      </c>
      <c r="K689" s="744">
        <f>(F689*I689)</f>
        <v>570</v>
      </c>
      <c r="M689" s="959">
        <v>2.69E-2</v>
      </c>
      <c r="N689" s="933" t="s">
        <v>132</v>
      </c>
      <c r="O689" s="933" t="s">
        <v>961</v>
      </c>
      <c r="P689" s="939">
        <f>C86+2500</f>
        <v>23105</v>
      </c>
      <c r="Q689" s="933" t="s">
        <v>132</v>
      </c>
      <c r="R689" s="939">
        <f t="shared" ref="R689:R695" si="39">M689*P689</f>
        <v>621.52</v>
      </c>
      <c r="AG689" s="933" t="s">
        <v>120</v>
      </c>
    </row>
    <row r="690" spans="1:33" hidden="1">
      <c r="A690" s="940">
        <f t="shared" si="38"/>
        <v>517</v>
      </c>
      <c r="B690" s="933" t="s">
        <v>962</v>
      </c>
      <c r="C690"/>
      <c r="D690" s="743" t="s">
        <v>88</v>
      </c>
      <c r="E690"/>
      <c r="F690" s="939">
        <v>5.4</v>
      </c>
      <c r="G690" s="938" t="s">
        <v>237</v>
      </c>
      <c r="H690" s="933" t="s">
        <v>304</v>
      </c>
      <c r="I690" s="744">
        <f>(C12)</f>
        <v>95</v>
      </c>
      <c r="J690" s="779" t="s">
        <v>237</v>
      </c>
      <c r="K690" s="744">
        <f>(F690*I690)</f>
        <v>513</v>
      </c>
      <c r="M690" s="959">
        <v>1.2949999999999999</v>
      </c>
      <c r="N690" s="933" t="s">
        <v>425</v>
      </c>
      <c r="O690" s="933" t="s">
        <v>963</v>
      </c>
      <c r="P690" s="939">
        <f>C753</f>
        <v>381.37</v>
      </c>
      <c r="Q690" s="933" t="s">
        <v>425</v>
      </c>
      <c r="R690" s="939">
        <f t="shared" si="39"/>
        <v>493.87</v>
      </c>
      <c r="AG690" s="933" t="s">
        <v>120</v>
      </c>
    </row>
    <row r="691" spans="1:33" hidden="1">
      <c r="A691" s="940">
        <f t="shared" si="38"/>
        <v>518</v>
      </c>
      <c r="B691" s="933" t="s">
        <v>548</v>
      </c>
      <c r="C691" s="744">
        <v>19.09</v>
      </c>
      <c r="D691" s="743" t="s">
        <v>131</v>
      </c>
      <c r="E691"/>
      <c r="G691" s="938" t="s">
        <v>145</v>
      </c>
      <c r="H691" s="933" t="s">
        <v>964</v>
      </c>
      <c r="I691"/>
      <c r="J691" s="779" t="s">
        <v>145</v>
      </c>
      <c r="K691" s="744">
        <v>5</v>
      </c>
      <c r="M691" s="959">
        <v>1.8149999999999999</v>
      </c>
      <c r="N691" s="933" t="s">
        <v>425</v>
      </c>
      <c r="O691" s="933" t="s">
        <v>449</v>
      </c>
      <c r="P691" s="939">
        <f>C31</f>
        <v>342</v>
      </c>
      <c r="Q691" s="933" t="s">
        <v>425</v>
      </c>
      <c r="R691" s="939">
        <f t="shared" si="39"/>
        <v>620.73</v>
      </c>
      <c r="AG691" s="933" t="s">
        <v>120</v>
      </c>
    </row>
    <row r="692" spans="1:33" hidden="1">
      <c r="A692" s="940">
        <f t="shared" si="38"/>
        <v>519</v>
      </c>
      <c r="B692" s="933" t="s">
        <v>959</v>
      </c>
      <c r="C692" s="744">
        <v>50.66</v>
      </c>
      <c r="D692" s="743" t="s">
        <v>131</v>
      </c>
      <c r="E692"/>
      <c r="I692"/>
      <c r="J692" s="805"/>
      <c r="K692" s="776" t="s">
        <v>52</v>
      </c>
      <c r="M692" s="939">
        <v>2</v>
      </c>
      <c r="N692" s="933" t="s">
        <v>131</v>
      </c>
      <c r="O692" s="933" t="s">
        <v>965</v>
      </c>
      <c r="P692" s="939">
        <f>C298</f>
        <v>10.5</v>
      </c>
      <c r="Q692" s="933" t="s">
        <v>131</v>
      </c>
      <c r="R692" s="939">
        <f t="shared" si="39"/>
        <v>21</v>
      </c>
      <c r="AG692" s="933" t="s">
        <v>120</v>
      </c>
    </row>
    <row r="693" spans="1:33" hidden="1">
      <c r="A693" s="940">
        <f t="shared" si="38"/>
        <v>520</v>
      </c>
      <c r="B693" s="933" t="s">
        <v>966</v>
      </c>
      <c r="C693" s="744">
        <v>1183.82</v>
      </c>
      <c r="D693" s="743" t="s">
        <v>425</v>
      </c>
      <c r="E693"/>
      <c r="H693" s="933" t="s">
        <v>495</v>
      </c>
      <c r="I693"/>
      <c r="J693" s="805"/>
      <c r="K693" s="744">
        <f>SUM(K688:K691)</f>
        <v>2465.4</v>
      </c>
      <c r="M693" s="939">
        <v>3</v>
      </c>
      <c r="N693" s="933" t="s">
        <v>131</v>
      </c>
      <c r="O693" s="933" t="s">
        <v>967</v>
      </c>
      <c r="P693" s="939">
        <f>C294</f>
        <v>8.5</v>
      </c>
      <c r="Q693" s="933" t="s">
        <v>131</v>
      </c>
      <c r="R693" s="939">
        <f t="shared" si="39"/>
        <v>25.5</v>
      </c>
      <c r="AG693" s="933" t="s">
        <v>120</v>
      </c>
    </row>
    <row r="694" spans="1:33" hidden="1">
      <c r="A694" s="940">
        <f t="shared" si="38"/>
        <v>521</v>
      </c>
      <c r="B694" s="933" t="s">
        <v>968</v>
      </c>
      <c r="C694" s="744">
        <v>1605</v>
      </c>
      <c r="D694" s="743" t="s">
        <v>425</v>
      </c>
      <c r="E694"/>
      <c r="I694"/>
      <c r="J694" s="805"/>
      <c r="K694" s="776" t="s">
        <v>52</v>
      </c>
      <c r="M694" s="939">
        <v>1</v>
      </c>
      <c r="N694" s="933" t="s">
        <v>131</v>
      </c>
      <c r="O694" s="933" t="s">
        <v>969</v>
      </c>
      <c r="P694" s="939">
        <f>C300</f>
        <v>21</v>
      </c>
      <c r="Q694" s="933" t="s">
        <v>131</v>
      </c>
      <c r="R694" s="939">
        <f t="shared" si="39"/>
        <v>21</v>
      </c>
      <c r="AG694" s="933" t="s">
        <v>120</v>
      </c>
    </row>
    <row r="695" spans="1:33" hidden="1">
      <c r="A695" s="940">
        <f t="shared" si="38"/>
        <v>522</v>
      </c>
      <c r="B695" s="933" t="s">
        <v>970</v>
      </c>
      <c r="C695" s="743" t="s">
        <v>971</v>
      </c>
      <c r="D695" s="743" t="s">
        <v>972</v>
      </c>
      <c r="E695"/>
      <c r="H695" s="933" t="s">
        <v>460</v>
      </c>
      <c r="I695"/>
      <c r="J695" s="805"/>
      <c r="K695" s="744">
        <f>(K693/10)</f>
        <v>246.54</v>
      </c>
      <c r="M695" s="939">
        <v>1</v>
      </c>
      <c r="N695" s="933" t="s">
        <v>131</v>
      </c>
      <c r="O695" s="933" t="s">
        <v>453</v>
      </c>
      <c r="P695" s="939">
        <f>C302</f>
        <v>4</v>
      </c>
      <c r="Q695" s="933" t="s">
        <v>131</v>
      </c>
      <c r="R695" s="939">
        <f t="shared" si="39"/>
        <v>4</v>
      </c>
      <c r="AG695" s="933" t="s">
        <v>120</v>
      </c>
    </row>
    <row r="696" spans="1:33" hidden="1">
      <c r="A696" s="940">
        <f t="shared" si="38"/>
        <v>523</v>
      </c>
      <c r="B696" s="933" t="s">
        <v>973</v>
      </c>
      <c r="C696" s="744">
        <v>147.6</v>
      </c>
      <c r="D696" s="743" t="s">
        <v>282</v>
      </c>
      <c r="E696"/>
      <c r="I696"/>
      <c r="J696" s="805"/>
      <c r="K696" s="776" t="s">
        <v>89</v>
      </c>
      <c r="N696" s="933" t="s">
        <v>145</v>
      </c>
      <c r="O696" s="933" t="s">
        <v>146</v>
      </c>
      <c r="Q696" s="933" t="s">
        <v>145</v>
      </c>
      <c r="R696" s="939">
        <v>0</v>
      </c>
      <c r="AG696" s="933" t="s">
        <v>120</v>
      </c>
    </row>
    <row r="697" spans="1:33" hidden="1">
      <c r="A697" s="940">
        <f t="shared" si="38"/>
        <v>524</v>
      </c>
      <c r="B697" s="933" t="s">
        <v>974</v>
      </c>
      <c r="C697" s="744">
        <v>147.6</v>
      </c>
      <c r="D697" s="743" t="s">
        <v>282</v>
      </c>
      <c r="E697"/>
      <c r="I697"/>
      <c r="J697" s="805"/>
      <c r="K697"/>
      <c r="R697" s="935" t="s">
        <v>52</v>
      </c>
      <c r="AG697" s="933" t="s">
        <v>120</v>
      </c>
    </row>
    <row r="698" spans="1:33" hidden="1">
      <c r="A698" s="940">
        <f t="shared" si="38"/>
        <v>525</v>
      </c>
      <c r="B698" s="933" t="s">
        <v>975</v>
      </c>
      <c r="C698" s="744">
        <v>147.6</v>
      </c>
      <c r="D698" s="743" t="s">
        <v>282</v>
      </c>
      <c r="E698"/>
      <c r="F698" s="934" t="s">
        <v>224</v>
      </c>
      <c r="G698" s="938" t="s">
        <v>111</v>
      </c>
      <c r="H698" s="933" t="s">
        <v>976</v>
      </c>
      <c r="I698"/>
      <c r="J698" s="805"/>
      <c r="K698"/>
      <c r="O698" s="934" t="s">
        <v>977</v>
      </c>
      <c r="R698" s="939">
        <f>SUM(R689:R696)</f>
        <v>1807.62</v>
      </c>
      <c r="AG698" s="933" t="s">
        <v>120</v>
      </c>
    </row>
    <row r="699" spans="1:33" hidden="1">
      <c r="A699" s="940">
        <f t="shared" si="38"/>
        <v>526</v>
      </c>
      <c r="B699" s="933" t="s">
        <v>978</v>
      </c>
      <c r="C699" s="744">
        <v>1250</v>
      </c>
      <c r="D699" s="743" t="s">
        <v>425</v>
      </c>
      <c r="E699"/>
      <c r="H699" s="933" t="s">
        <v>979</v>
      </c>
      <c r="I699"/>
      <c r="J699" s="805"/>
      <c r="K699"/>
      <c r="R699" s="935" t="s">
        <v>52</v>
      </c>
      <c r="AG699" s="933" t="s">
        <v>120</v>
      </c>
    </row>
    <row r="700" spans="1:33" hidden="1">
      <c r="A700" s="940">
        <f t="shared" si="38"/>
        <v>527</v>
      </c>
      <c r="B700" s="933" t="s">
        <v>980</v>
      </c>
      <c r="C700" s="744">
        <v>1250</v>
      </c>
      <c r="D700" s="743" t="s">
        <v>425</v>
      </c>
      <c r="E700"/>
      <c r="H700" s="933" t="s">
        <v>981</v>
      </c>
      <c r="I700"/>
      <c r="J700" s="805"/>
      <c r="K700"/>
      <c r="N700" s="933" t="s">
        <v>85</v>
      </c>
      <c r="O700" s="934" t="s">
        <v>460</v>
      </c>
      <c r="R700" s="939">
        <f>R698/M690</f>
        <v>1395.85</v>
      </c>
      <c r="AG700" s="933" t="s">
        <v>120</v>
      </c>
    </row>
    <row r="701" spans="1:33" hidden="1">
      <c r="A701" s="940">
        <f t="shared" si="38"/>
        <v>528</v>
      </c>
      <c r="B701" s="933" t="s">
        <v>982</v>
      </c>
      <c r="C701" s="744">
        <v>1250</v>
      </c>
      <c r="D701" s="743" t="s">
        <v>425</v>
      </c>
      <c r="E701"/>
      <c r="H701" s="933" t="s">
        <v>983</v>
      </c>
      <c r="I701"/>
      <c r="J701" s="805"/>
      <c r="K701"/>
      <c r="R701" s="935" t="s">
        <v>89</v>
      </c>
      <c r="AG701" s="933" t="s">
        <v>120</v>
      </c>
    </row>
    <row r="702" spans="1:33" hidden="1">
      <c r="A702" s="940">
        <f t="shared" si="38"/>
        <v>529</v>
      </c>
      <c r="B702" s="933" t="s">
        <v>984</v>
      </c>
      <c r="C702" s="744">
        <v>1250</v>
      </c>
      <c r="D702" s="743" t="s">
        <v>425</v>
      </c>
      <c r="E702"/>
      <c r="H702" s="933" t="s">
        <v>985</v>
      </c>
      <c r="I702"/>
      <c r="J702" s="805"/>
      <c r="K702"/>
      <c r="M702" s="934" t="s">
        <v>607</v>
      </c>
      <c r="N702" s="933" t="s">
        <v>986</v>
      </c>
      <c r="O702" s="933" t="s">
        <v>987</v>
      </c>
      <c r="AG702" s="933" t="s">
        <v>120</v>
      </c>
    </row>
    <row r="703" spans="1:33" hidden="1">
      <c r="A703" s="940">
        <f t="shared" si="38"/>
        <v>530</v>
      </c>
      <c r="B703" s="933" t="s">
        <v>988</v>
      </c>
      <c r="C703" s="744">
        <v>1250</v>
      </c>
      <c r="D703" s="743" t="s">
        <v>425</v>
      </c>
      <c r="E703"/>
      <c r="H703" s="933" t="s">
        <v>989</v>
      </c>
      <c r="I703"/>
      <c r="J703" s="805"/>
      <c r="K703"/>
      <c r="O703" s="935" t="s">
        <v>52</v>
      </c>
      <c r="AG703" s="933" t="s">
        <v>120</v>
      </c>
    </row>
    <row r="704" spans="1:33" hidden="1">
      <c r="A704" s="940">
        <f t="shared" si="38"/>
        <v>531</v>
      </c>
      <c r="B704" s="933" t="s">
        <v>990</v>
      </c>
      <c r="C704" s="744">
        <v>1250</v>
      </c>
      <c r="D704" s="743" t="s">
        <v>425</v>
      </c>
      <c r="E704"/>
      <c r="H704" s="933" t="s">
        <v>991</v>
      </c>
      <c r="I704"/>
      <c r="J704" s="805"/>
      <c r="K704"/>
      <c r="M704" s="959">
        <v>2.5499999999999998E-2</v>
      </c>
      <c r="N704" s="933" t="s">
        <v>132</v>
      </c>
      <c r="O704" s="933" t="s">
        <v>961</v>
      </c>
      <c r="P704" s="939">
        <f>C86+2500</f>
        <v>23105</v>
      </c>
      <c r="Q704" s="933" t="s">
        <v>132</v>
      </c>
      <c r="R704" s="939">
        <f t="shared" ref="R704:R710" si="40">M704*P704</f>
        <v>589.17999999999995</v>
      </c>
      <c r="AG704" s="933" t="s">
        <v>120</v>
      </c>
    </row>
    <row r="705" spans="1:33" hidden="1">
      <c r="A705" s="940">
        <f t="shared" si="38"/>
        <v>532</v>
      </c>
      <c r="B705" s="933" t="s">
        <v>992</v>
      </c>
      <c r="C705" s="744">
        <v>1250</v>
      </c>
      <c r="D705" s="743" t="s">
        <v>425</v>
      </c>
      <c r="E705"/>
      <c r="H705" s="935" t="s">
        <v>52</v>
      </c>
      <c r="I705" s="776" t="s">
        <v>52</v>
      </c>
      <c r="J705" s="779" t="s">
        <v>52</v>
      </c>
      <c r="K705"/>
      <c r="M705" s="959">
        <v>1.1299999999999999</v>
      </c>
      <c r="N705" s="933" t="s">
        <v>425</v>
      </c>
      <c r="O705" s="933" t="s">
        <v>963</v>
      </c>
      <c r="P705" s="939">
        <f>C753</f>
        <v>381.37</v>
      </c>
      <c r="Q705" s="933" t="s">
        <v>425</v>
      </c>
      <c r="R705" s="939">
        <f t="shared" si="40"/>
        <v>430.95</v>
      </c>
      <c r="AG705" s="933" t="s">
        <v>120</v>
      </c>
    </row>
    <row r="706" spans="1:33" hidden="1">
      <c r="A706" s="940">
        <f t="shared" si="38"/>
        <v>533</v>
      </c>
      <c r="B706" s="933" t="s">
        <v>993</v>
      </c>
      <c r="C706" s="744">
        <v>1250</v>
      </c>
      <c r="D706" s="743" t="s">
        <v>425</v>
      </c>
      <c r="E706"/>
      <c r="F706" s="939">
        <v>13.46</v>
      </c>
      <c r="G706" s="938" t="s">
        <v>994</v>
      </c>
      <c r="H706" s="933" t="s">
        <v>995</v>
      </c>
      <c r="I706" s="744">
        <f>C34/1000</f>
        <v>30</v>
      </c>
      <c r="J706" s="779" t="s">
        <v>994</v>
      </c>
      <c r="K706" s="744">
        <f>(F706*I706)</f>
        <v>403.8</v>
      </c>
      <c r="M706" s="959">
        <v>1.6191</v>
      </c>
      <c r="N706" s="933" t="s">
        <v>425</v>
      </c>
      <c r="O706" s="933" t="s">
        <v>449</v>
      </c>
      <c r="P706" s="939">
        <f>C31</f>
        <v>342</v>
      </c>
      <c r="Q706" s="933" t="s">
        <v>425</v>
      </c>
      <c r="R706" s="939">
        <f t="shared" si="40"/>
        <v>553.73</v>
      </c>
      <c r="AG706" s="933" t="s">
        <v>120</v>
      </c>
    </row>
    <row r="707" spans="1:33" hidden="1">
      <c r="A707" s="940">
        <f t="shared" si="38"/>
        <v>534</v>
      </c>
      <c r="B707" s="933" t="s">
        <v>996</v>
      </c>
      <c r="C707" s="744">
        <v>1250</v>
      </c>
      <c r="D707" s="743" t="s">
        <v>425</v>
      </c>
      <c r="E707"/>
      <c r="H707" s="933" t="s">
        <v>997</v>
      </c>
      <c r="I707"/>
      <c r="J707" s="805"/>
      <c r="K707"/>
      <c r="M707" s="939">
        <v>2</v>
      </c>
      <c r="N707" s="933" t="s">
        <v>131</v>
      </c>
      <c r="O707" s="933" t="s">
        <v>965</v>
      </c>
      <c r="P707" s="939">
        <f>C298</f>
        <v>10.5</v>
      </c>
      <c r="Q707" s="933" t="s">
        <v>131</v>
      </c>
      <c r="R707" s="939">
        <f t="shared" si="40"/>
        <v>21</v>
      </c>
      <c r="AG707" s="933" t="s">
        <v>120</v>
      </c>
    </row>
    <row r="708" spans="1:33" hidden="1">
      <c r="A708" s="940">
        <f t="shared" ref="A708:A733" si="41">(A707+1)</f>
        <v>535</v>
      </c>
      <c r="B708" s="933" t="s">
        <v>998</v>
      </c>
      <c r="C708" s="744">
        <v>1250</v>
      </c>
      <c r="D708" s="743" t="s">
        <v>425</v>
      </c>
      <c r="E708"/>
      <c r="F708" s="939">
        <v>4</v>
      </c>
      <c r="G708" s="938" t="s">
        <v>994</v>
      </c>
      <c r="H708" s="933" t="s">
        <v>999</v>
      </c>
      <c r="I708" s="744">
        <f>D34/1000</f>
        <v>30</v>
      </c>
      <c r="J708" s="779" t="s">
        <v>994</v>
      </c>
      <c r="K708" s="744">
        <f>(F708*I708)</f>
        <v>120</v>
      </c>
      <c r="M708" s="939">
        <v>3</v>
      </c>
      <c r="N708" s="933" t="s">
        <v>131</v>
      </c>
      <c r="O708" s="933" t="s">
        <v>967</v>
      </c>
      <c r="P708" s="939">
        <f>C294</f>
        <v>8.5</v>
      </c>
      <c r="Q708" s="933" t="s">
        <v>131</v>
      </c>
      <c r="R708" s="939">
        <f t="shared" si="40"/>
        <v>25.5</v>
      </c>
      <c r="AG708" s="933" t="s">
        <v>120</v>
      </c>
    </row>
    <row r="709" spans="1:33" hidden="1">
      <c r="A709" s="940">
        <f t="shared" si="41"/>
        <v>536</v>
      </c>
      <c r="B709" s="933" t="s">
        <v>1000</v>
      </c>
      <c r="C709" s="744">
        <v>1250</v>
      </c>
      <c r="D709" s="743" t="s">
        <v>425</v>
      </c>
      <c r="E709"/>
      <c r="H709" s="933" t="s">
        <v>1001</v>
      </c>
      <c r="I709"/>
      <c r="J709" s="805"/>
      <c r="K709"/>
      <c r="M709" s="939">
        <v>1</v>
      </c>
      <c r="N709" s="933" t="s">
        <v>131</v>
      </c>
      <c r="O709" s="933" t="s">
        <v>969</v>
      </c>
      <c r="P709" s="939">
        <f>C300</f>
        <v>21</v>
      </c>
      <c r="Q709" s="933" t="s">
        <v>131</v>
      </c>
      <c r="R709" s="939">
        <f t="shared" si="40"/>
        <v>21</v>
      </c>
      <c r="AG709" s="933" t="s">
        <v>120</v>
      </c>
    </row>
    <row r="710" spans="1:33" hidden="1">
      <c r="A710" s="940">
        <f t="shared" si="41"/>
        <v>537</v>
      </c>
      <c r="B710" s="933" t="s">
        <v>992</v>
      </c>
      <c r="C710" s="744">
        <v>1250</v>
      </c>
      <c r="D710" s="743" t="s">
        <v>425</v>
      </c>
      <c r="E710"/>
      <c r="F710" s="939"/>
      <c r="G710" s="938" t="s">
        <v>145</v>
      </c>
      <c r="H710" s="933" t="s">
        <v>1002</v>
      </c>
      <c r="I710"/>
      <c r="J710" s="779" t="s">
        <v>145</v>
      </c>
      <c r="K710" s="744">
        <v>40</v>
      </c>
      <c r="M710" s="939">
        <v>1</v>
      </c>
      <c r="N710" s="933" t="s">
        <v>131</v>
      </c>
      <c r="O710" s="933" t="s">
        <v>453</v>
      </c>
      <c r="P710" s="939">
        <f>C302</f>
        <v>4</v>
      </c>
      <c r="Q710" s="933" t="s">
        <v>131</v>
      </c>
      <c r="R710" s="939">
        <f t="shared" si="40"/>
        <v>4</v>
      </c>
      <c r="AG710" s="933" t="s">
        <v>120</v>
      </c>
    </row>
    <row r="711" spans="1:33" hidden="1">
      <c r="A711" s="940">
        <f t="shared" si="41"/>
        <v>538</v>
      </c>
      <c r="B711" s="933" t="s">
        <v>1003</v>
      </c>
      <c r="C711"/>
      <c r="D711" s="743" t="s">
        <v>85</v>
      </c>
      <c r="E711"/>
      <c r="H711" s="933" t="s">
        <v>1004</v>
      </c>
      <c r="I711"/>
      <c r="J711" s="805"/>
      <c r="K711" s="776" t="s">
        <v>52</v>
      </c>
      <c r="N711" s="933" t="s">
        <v>145</v>
      </c>
      <c r="O711" s="933" t="s">
        <v>146</v>
      </c>
      <c r="Q711" s="933" t="s">
        <v>145</v>
      </c>
      <c r="R711" s="939">
        <v>0</v>
      </c>
      <c r="AG711" s="933" t="s">
        <v>120</v>
      </c>
    </row>
    <row r="712" spans="1:33" hidden="1">
      <c r="A712" s="940">
        <f t="shared" si="41"/>
        <v>539</v>
      </c>
      <c r="B712" s="933" t="s">
        <v>1005</v>
      </c>
      <c r="C712" s="744">
        <v>65</v>
      </c>
      <c r="D712" s="743" t="s">
        <v>972</v>
      </c>
      <c r="E712"/>
      <c r="H712" s="934" t="s">
        <v>1006</v>
      </c>
      <c r="I712"/>
      <c r="J712" s="805"/>
      <c r="K712" s="744">
        <f>SUM(K706:K710)</f>
        <v>563.79999999999995</v>
      </c>
      <c r="R712" s="935" t="s">
        <v>52</v>
      </c>
      <c r="AG712" s="933" t="s">
        <v>120</v>
      </c>
    </row>
    <row r="713" spans="1:33" hidden="1">
      <c r="A713" s="940">
        <f t="shared" si="41"/>
        <v>540</v>
      </c>
      <c r="B713" s="933" t="s">
        <v>1007</v>
      </c>
      <c r="C713" s="744">
        <v>64.55</v>
      </c>
      <c r="D713" s="743" t="s">
        <v>972</v>
      </c>
      <c r="E713"/>
      <c r="I713"/>
      <c r="J713" s="805"/>
      <c r="K713" s="776" t="s">
        <v>52</v>
      </c>
      <c r="O713" s="934" t="s">
        <v>1008</v>
      </c>
      <c r="R713" s="939">
        <f>SUM(R704:R711)</f>
        <v>1645.36</v>
      </c>
      <c r="AG713" s="933" t="s">
        <v>120</v>
      </c>
    </row>
    <row r="714" spans="1:33" hidden="1">
      <c r="A714" s="940">
        <f t="shared" si="41"/>
        <v>541</v>
      </c>
      <c r="B714" s="933" t="s">
        <v>1009</v>
      </c>
      <c r="C714" s="744">
        <v>110.95</v>
      </c>
      <c r="D714" s="743" t="s">
        <v>972</v>
      </c>
      <c r="E714"/>
      <c r="H714" s="934" t="s">
        <v>1010</v>
      </c>
      <c r="I714"/>
      <c r="J714" s="805"/>
      <c r="K714" s="744">
        <f>K712/40</f>
        <v>14.1</v>
      </c>
      <c r="R714" s="935" t="s">
        <v>52</v>
      </c>
      <c r="AG714" s="933" t="s">
        <v>120</v>
      </c>
    </row>
    <row r="715" spans="1:33" hidden="1">
      <c r="A715" s="940">
        <f t="shared" si="41"/>
        <v>542</v>
      </c>
      <c r="B715" s="933" t="s">
        <v>1011</v>
      </c>
      <c r="C715" s="744">
        <v>399</v>
      </c>
      <c r="D715" s="743" t="s">
        <v>972</v>
      </c>
      <c r="E715"/>
      <c r="I715"/>
      <c r="J715" s="805"/>
      <c r="K715" s="776" t="s">
        <v>52</v>
      </c>
      <c r="O715" s="934" t="s">
        <v>460</v>
      </c>
      <c r="R715" s="939">
        <f>R713/M706</f>
        <v>1016.22</v>
      </c>
      <c r="AG715" s="933" t="s">
        <v>120</v>
      </c>
    </row>
    <row r="716" spans="1:33" hidden="1">
      <c r="A716" s="940">
        <f t="shared" si="41"/>
        <v>543</v>
      </c>
      <c r="B716" s="933" t="s">
        <v>1012</v>
      </c>
      <c r="C716" s="744">
        <v>92</v>
      </c>
      <c r="D716" s="743" t="s">
        <v>972</v>
      </c>
      <c r="E716"/>
      <c r="H716" s="933" t="s">
        <v>1013</v>
      </c>
      <c r="I716"/>
      <c r="J716" s="805"/>
      <c r="K716"/>
      <c r="R716" s="935" t="s">
        <v>89</v>
      </c>
      <c r="AG716" s="933" t="s">
        <v>120</v>
      </c>
    </row>
    <row r="717" spans="1:33" hidden="1">
      <c r="A717" s="940">
        <f t="shared" si="41"/>
        <v>544</v>
      </c>
      <c r="B717" s="933" t="s">
        <v>1014</v>
      </c>
      <c r="C717" s="744">
        <v>174.24</v>
      </c>
      <c r="D717" s="743" t="s">
        <v>972</v>
      </c>
      <c r="E717"/>
      <c r="H717" s="933" t="s">
        <v>1015</v>
      </c>
      <c r="I717"/>
      <c r="J717" s="805"/>
      <c r="K717"/>
      <c r="AG717" s="933" t="s">
        <v>120</v>
      </c>
    </row>
    <row r="718" spans="1:33" hidden="1">
      <c r="A718" s="940">
        <f t="shared" si="41"/>
        <v>545</v>
      </c>
      <c r="B718" s="933" t="s">
        <v>1016</v>
      </c>
      <c r="C718" s="744">
        <v>215.06</v>
      </c>
      <c r="D718" s="743" t="s">
        <v>972</v>
      </c>
      <c r="E718"/>
      <c r="H718" s="933" t="s">
        <v>1017</v>
      </c>
      <c r="I718"/>
      <c r="J718" s="805"/>
      <c r="K718"/>
      <c r="M718" s="934" t="s">
        <v>607</v>
      </c>
      <c r="N718" s="933" t="s">
        <v>1018</v>
      </c>
      <c r="O718" s="933" t="s">
        <v>1019</v>
      </c>
      <c r="AG718" s="933" t="s">
        <v>120</v>
      </c>
    </row>
    <row r="719" spans="1:33" hidden="1">
      <c r="A719" s="940">
        <f t="shared" si="41"/>
        <v>546</v>
      </c>
      <c r="B719" s="933" t="s">
        <v>1020</v>
      </c>
      <c r="C719" s="744">
        <v>97.24</v>
      </c>
      <c r="D719" s="743" t="s">
        <v>972</v>
      </c>
      <c r="E719"/>
      <c r="I719"/>
      <c r="J719" s="805"/>
      <c r="K719"/>
      <c r="O719" s="935" t="s">
        <v>52</v>
      </c>
      <c r="AG719" s="933" t="s">
        <v>120</v>
      </c>
    </row>
    <row r="720" spans="1:33" hidden="1">
      <c r="A720" s="940">
        <f t="shared" si="41"/>
        <v>547</v>
      </c>
      <c r="B720" s="933" t="s">
        <v>1021</v>
      </c>
      <c r="C720" s="744">
        <v>168.96</v>
      </c>
      <c r="D720" s="743" t="s">
        <v>972</v>
      </c>
      <c r="E720"/>
      <c r="F720" s="939">
        <v>19</v>
      </c>
      <c r="G720" s="938" t="s">
        <v>41</v>
      </c>
      <c r="H720" s="933" t="s">
        <v>1022</v>
      </c>
      <c r="I720" s="744">
        <f>K714</f>
        <v>14.1</v>
      </c>
      <c r="J720" s="779" t="s">
        <v>1023</v>
      </c>
      <c r="K720" s="744">
        <f>(F720*I720)</f>
        <v>267.89999999999998</v>
      </c>
      <c r="M720" s="959">
        <v>2.35E-2</v>
      </c>
      <c r="N720" s="933" t="s">
        <v>132</v>
      </c>
      <c r="O720" s="933" t="s">
        <v>961</v>
      </c>
      <c r="P720" s="939">
        <f>C86+2500</f>
        <v>23105</v>
      </c>
      <c r="Q720" s="933" t="s">
        <v>132</v>
      </c>
      <c r="R720" s="939">
        <f t="shared" ref="R720:R726" si="42">M720*P720</f>
        <v>542.97</v>
      </c>
      <c r="AG720" s="933" t="s">
        <v>120</v>
      </c>
    </row>
    <row r="721" spans="1:33" hidden="1">
      <c r="A721" s="940">
        <f t="shared" si="41"/>
        <v>548</v>
      </c>
      <c r="B721" s="933" t="s">
        <v>1024</v>
      </c>
      <c r="C721" s="744">
        <v>227</v>
      </c>
      <c r="D721" s="744">
        <v>247</v>
      </c>
      <c r="E721"/>
      <c r="H721" s="933" t="s">
        <v>1025</v>
      </c>
      <c r="I721"/>
      <c r="J721" s="805"/>
      <c r="K721"/>
      <c r="M721" s="959">
        <v>0.872</v>
      </c>
      <c r="N721" s="933" t="s">
        <v>425</v>
      </c>
      <c r="O721" s="933" t="s">
        <v>963</v>
      </c>
      <c r="P721" s="939">
        <f>C753</f>
        <v>381.37</v>
      </c>
      <c r="Q721" s="933" t="s">
        <v>425</v>
      </c>
      <c r="R721" s="939">
        <f t="shared" si="42"/>
        <v>332.55</v>
      </c>
      <c r="AG721" s="933" t="s">
        <v>120</v>
      </c>
    </row>
    <row r="722" spans="1:33" hidden="1">
      <c r="A722" s="940">
        <f t="shared" si="41"/>
        <v>549</v>
      </c>
      <c r="B722" s="933" t="s">
        <v>1026</v>
      </c>
      <c r="C722" s="744">
        <v>250</v>
      </c>
      <c r="D722" s="743" t="s">
        <v>972</v>
      </c>
      <c r="E722"/>
      <c r="F722" s="939">
        <v>0.12</v>
      </c>
      <c r="G722" s="938" t="s">
        <v>5</v>
      </c>
      <c r="H722" s="933" t="s">
        <v>1027</v>
      </c>
      <c r="I722" s="744">
        <f>C268/5</f>
        <v>1879</v>
      </c>
      <c r="J722" s="779" t="s">
        <v>1023</v>
      </c>
      <c r="K722" s="744">
        <f t="shared" ref="K722:K729" si="43">(F722*I722)</f>
        <v>225.48</v>
      </c>
      <c r="M722" s="959">
        <v>1.3247</v>
      </c>
      <c r="N722" s="933" t="s">
        <v>425</v>
      </c>
      <c r="O722" s="933" t="s">
        <v>449</v>
      </c>
      <c r="P722" s="939">
        <f>C31</f>
        <v>342</v>
      </c>
      <c r="Q722" s="933" t="s">
        <v>425</v>
      </c>
      <c r="R722" s="939">
        <f t="shared" si="42"/>
        <v>453.05</v>
      </c>
      <c r="AG722" s="933" t="s">
        <v>120</v>
      </c>
    </row>
    <row r="723" spans="1:33" hidden="1">
      <c r="A723" s="940">
        <f t="shared" si="41"/>
        <v>550</v>
      </c>
      <c r="B723" s="933" t="s">
        <v>1028</v>
      </c>
      <c r="C723" s="744">
        <v>210</v>
      </c>
      <c r="D723" s="743" t="s">
        <v>972</v>
      </c>
      <c r="E723"/>
      <c r="F723" s="939">
        <v>98.5</v>
      </c>
      <c r="G723" s="938" t="s">
        <v>13</v>
      </c>
      <c r="H723" s="933" t="s">
        <v>1029</v>
      </c>
      <c r="I723" s="744">
        <f>C269/5</f>
        <v>3</v>
      </c>
      <c r="J723" s="779" t="s">
        <v>1023</v>
      </c>
      <c r="K723" s="744">
        <f t="shared" si="43"/>
        <v>295.5</v>
      </c>
      <c r="M723" s="939">
        <v>1</v>
      </c>
      <c r="N723" s="933" t="s">
        <v>131</v>
      </c>
      <c r="O723" s="933" t="s">
        <v>965</v>
      </c>
      <c r="P723" s="939">
        <f>C298</f>
        <v>10.5</v>
      </c>
      <c r="Q723" s="933" t="s">
        <v>131</v>
      </c>
      <c r="R723" s="939">
        <f t="shared" si="42"/>
        <v>10.5</v>
      </c>
      <c r="AG723" s="933" t="s">
        <v>120</v>
      </c>
    </row>
    <row r="724" spans="1:33" hidden="1">
      <c r="A724" s="940">
        <f t="shared" si="41"/>
        <v>551</v>
      </c>
      <c r="B724" s="933" t="s">
        <v>1030</v>
      </c>
      <c r="C724" s="744">
        <v>1022.58</v>
      </c>
      <c r="D724" s="743" t="s">
        <v>425</v>
      </c>
      <c r="E724"/>
      <c r="F724" s="939">
        <v>1</v>
      </c>
      <c r="G724" s="938" t="s">
        <v>145</v>
      </c>
      <c r="H724" s="933" t="s">
        <v>1031</v>
      </c>
      <c r="I724" s="744">
        <v>11</v>
      </c>
      <c r="J724" s="779" t="s">
        <v>145</v>
      </c>
      <c r="K724" s="744">
        <f t="shared" si="43"/>
        <v>11</v>
      </c>
      <c r="M724" s="939">
        <v>3</v>
      </c>
      <c r="N724" s="933" t="s">
        <v>131</v>
      </c>
      <c r="O724" s="933" t="s">
        <v>1032</v>
      </c>
      <c r="P724" s="939">
        <f>C293</f>
        <v>5.75</v>
      </c>
      <c r="Q724" s="933" t="s">
        <v>131</v>
      </c>
      <c r="R724" s="939">
        <f t="shared" si="42"/>
        <v>17.25</v>
      </c>
      <c r="AG724" s="933" t="s">
        <v>120</v>
      </c>
    </row>
    <row r="725" spans="1:33" hidden="1">
      <c r="A725" s="940">
        <f t="shared" si="41"/>
        <v>552</v>
      </c>
      <c r="B725" s="933" t="s">
        <v>1033</v>
      </c>
      <c r="C725"/>
      <c r="D725" s="743" t="s">
        <v>85</v>
      </c>
      <c r="E725"/>
      <c r="F725" s="939">
        <v>3.8</v>
      </c>
      <c r="G725" s="938" t="s">
        <v>1034</v>
      </c>
      <c r="H725" s="933" t="s">
        <v>1035</v>
      </c>
      <c r="I725" s="744">
        <f>C16</f>
        <v>150</v>
      </c>
      <c r="J725" s="779" t="s">
        <v>729</v>
      </c>
      <c r="K725" s="744">
        <f t="shared" si="43"/>
        <v>570</v>
      </c>
      <c r="M725" s="939">
        <v>1</v>
      </c>
      <c r="N725" s="933" t="s">
        <v>131</v>
      </c>
      <c r="O725" s="933" t="s">
        <v>1036</v>
      </c>
      <c r="P725" s="939">
        <f>C301</f>
        <v>10</v>
      </c>
      <c r="Q725" s="933" t="s">
        <v>131</v>
      </c>
      <c r="R725" s="939">
        <f t="shared" si="42"/>
        <v>10</v>
      </c>
      <c r="AG725" s="933" t="s">
        <v>120</v>
      </c>
    </row>
    <row r="726" spans="1:33" hidden="1">
      <c r="A726" s="940">
        <f t="shared" si="41"/>
        <v>553</v>
      </c>
      <c r="B726" s="933" t="s">
        <v>1037</v>
      </c>
      <c r="C726"/>
      <c r="D726"/>
      <c r="E726"/>
      <c r="F726" s="939">
        <v>5.4</v>
      </c>
      <c r="G726" s="938" t="s">
        <v>1034</v>
      </c>
      <c r="H726" s="933" t="s">
        <v>731</v>
      </c>
      <c r="I726" s="744">
        <f>C12</f>
        <v>95</v>
      </c>
      <c r="J726" s="779" t="s">
        <v>729</v>
      </c>
      <c r="K726" s="744">
        <f t="shared" si="43"/>
        <v>513</v>
      </c>
      <c r="M726" s="939">
        <v>1</v>
      </c>
      <c r="N726" s="933" t="s">
        <v>131</v>
      </c>
      <c r="O726" s="933" t="s">
        <v>453</v>
      </c>
      <c r="P726" s="939">
        <f>C302</f>
        <v>4</v>
      </c>
      <c r="Q726" s="933" t="s">
        <v>131</v>
      </c>
      <c r="R726" s="939">
        <f t="shared" si="42"/>
        <v>4</v>
      </c>
      <c r="AG726" s="933" t="s">
        <v>120</v>
      </c>
    </row>
    <row r="727" spans="1:33" hidden="1">
      <c r="A727" s="940">
        <f t="shared" si="41"/>
        <v>554</v>
      </c>
      <c r="B727" s="933" t="s">
        <v>1038</v>
      </c>
      <c r="C727" s="744">
        <v>300</v>
      </c>
      <c r="D727" s="743" t="s">
        <v>1039</v>
      </c>
      <c r="E727"/>
      <c r="F727" s="939">
        <v>1</v>
      </c>
      <c r="G727" s="938" t="s">
        <v>1034</v>
      </c>
      <c r="H727" s="933" t="s">
        <v>1040</v>
      </c>
      <c r="I727" s="744">
        <f>C66</f>
        <v>120</v>
      </c>
      <c r="J727" s="779" t="s">
        <v>729</v>
      </c>
      <c r="K727" s="744">
        <f t="shared" si="43"/>
        <v>120</v>
      </c>
      <c r="N727" s="933" t="s">
        <v>145</v>
      </c>
      <c r="O727" s="933" t="s">
        <v>146</v>
      </c>
      <c r="Q727" s="933" t="s">
        <v>145</v>
      </c>
      <c r="R727" s="939">
        <v>0</v>
      </c>
      <c r="AG727" s="933" t="s">
        <v>120</v>
      </c>
    </row>
    <row r="728" spans="1:33" hidden="1">
      <c r="A728" s="940">
        <f t="shared" si="41"/>
        <v>555</v>
      </c>
      <c r="B728" s="934" t="s">
        <v>1041</v>
      </c>
      <c r="C728" s="744">
        <v>302</v>
      </c>
      <c r="D728" s="743" t="s">
        <v>1039</v>
      </c>
      <c r="E728"/>
      <c r="F728" s="939">
        <v>1</v>
      </c>
      <c r="G728" s="938" t="s">
        <v>145</v>
      </c>
      <c r="H728" s="933" t="s">
        <v>1042</v>
      </c>
      <c r="I728" s="744">
        <v>10</v>
      </c>
      <c r="J728" s="779" t="s">
        <v>145</v>
      </c>
      <c r="K728" s="744">
        <f t="shared" si="43"/>
        <v>10</v>
      </c>
      <c r="R728" s="935" t="s">
        <v>52</v>
      </c>
      <c r="AG728" s="933" t="s">
        <v>120</v>
      </c>
    </row>
    <row r="729" spans="1:33" hidden="1">
      <c r="A729" s="940">
        <f t="shared" si="41"/>
        <v>556</v>
      </c>
      <c r="B729" s="933" t="s">
        <v>1043</v>
      </c>
      <c r="C729" s="744">
        <v>382</v>
      </c>
      <c r="D729" s="743" t="s">
        <v>1039</v>
      </c>
      <c r="E729"/>
      <c r="F729" s="939">
        <v>19</v>
      </c>
      <c r="G729" s="938" t="s">
        <v>41</v>
      </c>
      <c r="H729" s="933" t="s">
        <v>1044</v>
      </c>
      <c r="I729" s="744">
        <v>2</v>
      </c>
      <c r="J729" s="779" t="s">
        <v>41</v>
      </c>
      <c r="K729" s="744">
        <f t="shared" si="43"/>
        <v>38</v>
      </c>
      <c r="O729" s="934" t="s">
        <v>1045</v>
      </c>
      <c r="R729" s="939">
        <f>SUM(R720:R727)</f>
        <v>1370.32</v>
      </c>
      <c r="AG729" s="933" t="s">
        <v>120</v>
      </c>
    </row>
    <row r="730" spans="1:33" hidden="1">
      <c r="A730" s="940">
        <f t="shared" si="41"/>
        <v>557</v>
      </c>
      <c r="B730" s="933" t="s">
        <v>1046</v>
      </c>
      <c r="C730" s="744">
        <v>140</v>
      </c>
      <c r="D730" s="743" t="s">
        <v>1039</v>
      </c>
      <c r="E730"/>
      <c r="H730" s="933" t="s">
        <v>1047</v>
      </c>
      <c r="I730"/>
      <c r="J730" s="805"/>
      <c r="K730" s="776" t="s">
        <v>52</v>
      </c>
      <c r="R730" s="935" t="s">
        <v>52</v>
      </c>
      <c r="AG730" s="933" t="s">
        <v>307</v>
      </c>
    </row>
    <row r="731" spans="1:33" hidden="1">
      <c r="A731" s="940">
        <f t="shared" si="41"/>
        <v>558</v>
      </c>
      <c r="B731" s="933" t="s">
        <v>1048</v>
      </c>
      <c r="C731" s="744">
        <v>222</v>
      </c>
      <c r="D731" s="743" t="s">
        <v>1039</v>
      </c>
      <c r="E731"/>
      <c r="H731" s="934" t="s">
        <v>495</v>
      </c>
      <c r="I731"/>
      <c r="J731" s="805"/>
      <c r="K731" s="744">
        <f>SUM(K720:K729)</f>
        <v>2050.88</v>
      </c>
      <c r="O731" s="934" t="s">
        <v>460</v>
      </c>
      <c r="R731" s="939">
        <f>R729/1.3247</f>
        <v>1034.44</v>
      </c>
    </row>
    <row r="732" spans="1:33" hidden="1">
      <c r="A732" s="940">
        <f t="shared" si="41"/>
        <v>559</v>
      </c>
      <c r="B732" s="933" t="s">
        <v>1049</v>
      </c>
      <c r="C732" s="744">
        <v>505</v>
      </c>
      <c r="D732" s="743" t="s">
        <v>1039</v>
      </c>
      <c r="E732"/>
      <c r="I732"/>
      <c r="J732" s="805"/>
      <c r="K732" s="776" t="s">
        <v>52</v>
      </c>
      <c r="R732" s="935" t="s">
        <v>89</v>
      </c>
    </row>
    <row r="733" spans="1:33" hidden="1">
      <c r="A733" s="940">
        <f t="shared" si="41"/>
        <v>560</v>
      </c>
      <c r="B733" s="933" t="s">
        <v>1050</v>
      </c>
      <c r="C733" s="744">
        <v>75</v>
      </c>
      <c r="D733" s="743" t="s">
        <v>972</v>
      </c>
      <c r="E733"/>
      <c r="H733" s="934" t="s">
        <v>460</v>
      </c>
      <c r="I733"/>
      <c r="J733" s="805"/>
      <c r="K733" s="744">
        <f>(K731/10)</f>
        <v>205.09</v>
      </c>
      <c r="N733" s="933" t="s">
        <v>111</v>
      </c>
      <c r="O733" s="933" t="s">
        <v>1051</v>
      </c>
      <c r="AG733" s="933" t="s">
        <v>120</v>
      </c>
    </row>
    <row r="734" spans="1:33" hidden="1">
      <c r="C734"/>
      <c r="D734"/>
      <c r="E734"/>
      <c r="F734" s="933" t="s">
        <v>85</v>
      </c>
      <c r="I734"/>
      <c r="J734" s="805"/>
      <c r="K734"/>
    </row>
    <row r="735" spans="1:33" hidden="1">
      <c r="A735" s="940">
        <f>(A733+1)</f>
        <v>561</v>
      </c>
      <c r="B735" s="933" t="s">
        <v>1052</v>
      </c>
      <c r="C735" s="744">
        <v>43.3</v>
      </c>
      <c r="D735" s="743" t="s">
        <v>282</v>
      </c>
      <c r="E735"/>
      <c r="I735"/>
      <c r="J735" s="805"/>
      <c r="K735" s="776" t="s">
        <v>89</v>
      </c>
      <c r="O735" s="933" t="s">
        <v>1053</v>
      </c>
      <c r="AG735" s="933" t="s">
        <v>120</v>
      </c>
    </row>
    <row r="736" spans="1:33" hidden="1">
      <c r="A736" s="940">
        <f t="shared" ref="A736:A753" si="44">(A735+1)</f>
        <v>562</v>
      </c>
      <c r="B736" s="933" t="s">
        <v>1054</v>
      </c>
      <c r="C736" s="744">
        <v>218</v>
      </c>
      <c r="D736" s="743" t="s">
        <v>972</v>
      </c>
      <c r="E736"/>
      <c r="F736" s="934" t="s">
        <v>228</v>
      </c>
      <c r="G736" s="938" t="s">
        <v>111</v>
      </c>
      <c r="H736" s="933" t="s">
        <v>1055</v>
      </c>
      <c r="I736"/>
      <c r="J736" s="805"/>
      <c r="K736"/>
      <c r="O736" s="933" t="s">
        <v>1056</v>
      </c>
      <c r="AG736" s="933" t="s">
        <v>120</v>
      </c>
    </row>
    <row r="737" spans="1:33" hidden="1">
      <c r="A737" s="940">
        <f t="shared" si="44"/>
        <v>563</v>
      </c>
      <c r="B737" s="933" t="s">
        <v>1057</v>
      </c>
      <c r="C737" s="744">
        <v>926</v>
      </c>
      <c r="D737" s="743" t="s">
        <v>972</v>
      </c>
      <c r="E737"/>
      <c r="H737" s="933" t="s">
        <v>1058</v>
      </c>
      <c r="I737"/>
      <c r="J737" s="805"/>
      <c r="K737"/>
      <c r="O737" s="933" t="s">
        <v>1059</v>
      </c>
      <c r="AG737" s="933" t="s">
        <v>120</v>
      </c>
    </row>
    <row r="738" spans="1:33" hidden="1">
      <c r="A738" s="940">
        <f t="shared" si="44"/>
        <v>564</v>
      </c>
      <c r="B738" s="933" t="s">
        <v>1060</v>
      </c>
      <c r="C738" s="744">
        <v>5.15</v>
      </c>
      <c r="D738" s="743" t="s">
        <v>282</v>
      </c>
      <c r="E738"/>
      <c r="H738" s="933" t="s">
        <v>1061</v>
      </c>
      <c r="I738"/>
      <c r="J738" s="805"/>
      <c r="K738"/>
      <c r="O738" s="935" t="s">
        <v>52</v>
      </c>
      <c r="AG738" s="933" t="s">
        <v>120</v>
      </c>
    </row>
    <row r="739" spans="1:33" hidden="1">
      <c r="A739" s="940">
        <f t="shared" si="44"/>
        <v>565</v>
      </c>
      <c r="B739" s="933" t="s">
        <v>1062</v>
      </c>
      <c r="C739" s="744">
        <v>550</v>
      </c>
      <c r="D739" s="743" t="s">
        <v>972</v>
      </c>
      <c r="E739"/>
      <c r="H739" s="935" t="s">
        <v>52</v>
      </c>
      <c r="I739"/>
      <c r="J739" s="805"/>
      <c r="K739"/>
      <c r="AG739" s="933" t="s">
        <v>120</v>
      </c>
    </row>
    <row r="740" spans="1:33" hidden="1">
      <c r="A740" s="940">
        <f t="shared" si="44"/>
        <v>566</v>
      </c>
      <c r="B740" s="933" t="s">
        <v>1063</v>
      </c>
      <c r="C740" s="744">
        <v>286</v>
      </c>
      <c r="D740" s="743" t="s">
        <v>972</v>
      </c>
      <c r="E740"/>
      <c r="F740" s="939">
        <v>10</v>
      </c>
      <c r="G740" s="938" t="s">
        <v>425</v>
      </c>
      <c r="H740" s="933" t="s">
        <v>1064</v>
      </c>
      <c r="I740" s="744">
        <f>(K720)*1.2</f>
        <v>321.48</v>
      </c>
      <c r="J740" s="779" t="s">
        <v>1023</v>
      </c>
      <c r="K740" s="744">
        <f>(F740*I740)/10</f>
        <v>321.48</v>
      </c>
      <c r="O740" s="933" t="s">
        <v>1065</v>
      </c>
      <c r="R740" s="939">
        <f>(C693)</f>
        <v>1183.82</v>
      </c>
      <c r="AG740" s="933" t="s">
        <v>120</v>
      </c>
    </row>
    <row r="741" spans="1:33" hidden="1">
      <c r="A741" s="940">
        <f t="shared" si="44"/>
        <v>567</v>
      </c>
      <c r="B741" s="933" t="s">
        <v>1066</v>
      </c>
      <c r="C741" s="744">
        <v>96.3</v>
      </c>
      <c r="D741" s="743" t="s">
        <v>282</v>
      </c>
      <c r="E741"/>
      <c r="H741" s="933" t="s">
        <v>1067</v>
      </c>
      <c r="I741"/>
      <c r="J741" s="805"/>
      <c r="K741"/>
      <c r="R741" s="935" t="s">
        <v>89</v>
      </c>
      <c r="AG741" s="933" t="s">
        <v>120</v>
      </c>
    </row>
    <row r="742" spans="1:33" hidden="1">
      <c r="A742" s="940">
        <f t="shared" si="44"/>
        <v>568</v>
      </c>
      <c r="B742" s="933" t="s">
        <v>1068</v>
      </c>
      <c r="C742" s="744">
        <v>51</v>
      </c>
      <c r="D742" s="743" t="s">
        <v>972</v>
      </c>
      <c r="E742"/>
      <c r="H742" s="933" t="s">
        <v>1069</v>
      </c>
      <c r="I742"/>
      <c r="J742" s="805"/>
      <c r="K742"/>
      <c r="AG742" s="933" t="s">
        <v>120</v>
      </c>
    </row>
    <row r="743" spans="1:33" hidden="1">
      <c r="A743" s="940">
        <f t="shared" si="44"/>
        <v>569</v>
      </c>
      <c r="B743" s="933" t="s">
        <v>1070</v>
      </c>
      <c r="C743" s="744">
        <v>181</v>
      </c>
      <c r="D743" s="743" t="s">
        <v>781</v>
      </c>
      <c r="E743"/>
      <c r="F743" s="939">
        <v>10</v>
      </c>
      <c r="G743" s="938" t="s">
        <v>425</v>
      </c>
      <c r="H743" s="933" t="s">
        <v>1071</v>
      </c>
      <c r="I743" s="744">
        <f>K722*1.2</f>
        <v>270.58</v>
      </c>
      <c r="J743" s="779" t="s">
        <v>1023</v>
      </c>
      <c r="K743" s="744">
        <f>(F743*I743)/10</f>
        <v>270.58</v>
      </c>
      <c r="N743" s="933" t="s">
        <v>111</v>
      </c>
      <c r="O743" s="933" t="s">
        <v>1072</v>
      </c>
      <c r="AG743" s="933" t="s">
        <v>120</v>
      </c>
    </row>
    <row r="744" spans="1:33" hidden="1">
      <c r="A744" s="940">
        <f t="shared" si="44"/>
        <v>570</v>
      </c>
      <c r="B744" s="933" t="s">
        <v>1073</v>
      </c>
      <c r="C744" s="744">
        <v>36.200000000000003</v>
      </c>
      <c r="D744" s="743" t="s">
        <v>282</v>
      </c>
      <c r="E744"/>
      <c r="H744" s="933" t="s">
        <v>1074</v>
      </c>
      <c r="I744"/>
      <c r="J744" s="805"/>
      <c r="K744"/>
      <c r="O744" s="935" t="s">
        <v>89</v>
      </c>
      <c r="P744" s="935" t="s">
        <v>89</v>
      </c>
      <c r="Q744" s="935" t="s">
        <v>89</v>
      </c>
      <c r="R744" s="933" t="s">
        <v>1075</v>
      </c>
      <c r="AG744" s="933" t="s">
        <v>120</v>
      </c>
    </row>
    <row r="745" spans="1:33" hidden="1">
      <c r="A745" s="940">
        <f t="shared" si="44"/>
        <v>571</v>
      </c>
      <c r="B745" s="933" t="s">
        <v>1076</v>
      </c>
      <c r="C745" s="744">
        <v>98</v>
      </c>
      <c r="D745" s="743" t="s">
        <v>972</v>
      </c>
      <c r="E745"/>
      <c r="H745" s="933" t="s">
        <v>1077</v>
      </c>
      <c r="I745"/>
      <c r="J745" s="805"/>
      <c r="K745"/>
      <c r="O745" s="933" t="s">
        <v>1078</v>
      </c>
      <c r="Q745" s="934" t="s">
        <v>13</v>
      </c>
      <c r="R745" s="939">
        <f>(C696)</f>
        <v>147.6</v>
      </c>
      <c r="AG745" s="933" t="s">
        <v>120</v>
      </c>
    </row>
    <row r="746" spans="1:33" hidden="1">
      <c r="A746" s="940">
        <f t="shared" si="44"/>
        <v>572</v>
      </c>
      <c r="B746" s="933" t="s">
        <v>1079</v>
      </c>
      <c r="C746" s="744">
        <v>92</v>
      </c>
      <c r="D746" s="743" t="s">
        <v>282</v>
      </c>
      <c r="E746"/>
      <c r="F746" s="939">
        <v>98.5</v>
      </c>
      <c r="G746" s="938" t="s">
        <v>13</v>
      </c>
      <c r="H746" s="933" t="s">
        <v>1029</v>
      </c>
      <c r="I746" s="744">
        <f>C269/5</f>
        <v>3</v>
      </c>
      <c r="J746" s="779" t="s">
        <v>1023</v>
      </c>
      <c r="K746" s="744">
        <f t="shared" ref="K746:K752" si="45">(F746*I746)</f>
        <v>295.5</v>
      </c>
      <c r="O746" s="933" t="s">
        <v>1080</v>
      </c>
      <c r="AG746" s="933" t="s">
        <v>120</v>
      </c>
    </row>
    <row r="747" spans="1:33" hidden="1">
      <c r="A747" s="940">
        <f t="shared" si="44"/>
        <v>573</v>
      </c>
      <c r="B747" s="933" t="s">
        <v>1081</v>
      </c>
      <c r="C747" s="744">
        <v>49.42</v>
      </c>
      <c r="D747" s="743" t="s">
        <v>972</v>
      </c>
      <c r="E747"/>
      <c r="F747" s="939">
        <v>3.8</v>
      </c>
      <c r="G747" s="938" t="s">
        <v>237</v>
      </c>
      <c r="H747" s="933" t="s">
        <v>960</v>
      </c>
      <c r="I747" s="744">
        <f>(C16)</f>
        <v>150</v>
      </c>
      <c r="J747" s="779" t="s">
        <v>237</v>
      </c>
      <c r="K747" s="744">
        <f t="shared" si="45"/>
        <v>570</v>
      </c>
      <c r="O747" s="933" t="s">
        <v>1082</v>
      </c>
      <c r="AG747" s="933" t="s">
        <v>120</v>
      </c>
    </row>
    <row r="748" spans="1:33" hidden="1">
      <c r="A748" s="940">
        <f t="shared" si="44"/>
        <v>574</v>
      </c>
      <c r="B748" s="933" t="s">
        <v>1083</v>
      </c>
      <c r="C748" s="744">
        <v>53.2</v>
      </c>
      <c r="D748" s="743" t="s">
        <v>972</v>
      </c>
      <c r="E748"/>
      <c r="F748" s="939">
        <v>5.4</v>
      </c>
      <c r="G748" s="938" t="s">
        <v>237</v>
      </c>
      <c r="H748" s="933" t="s">
        <v>304</v>
      </c>
      <c r="I748" s="744">
        <f>(C12)</f>
        <v>95</v>
      </c>
      <c r="J748" s="779" t="s">
        <v>237</v>
      </c>
      <c r="K748" s="744">
        <f t="shared" si="45"/>
        <v>513</v>
      </c>
      <c r="O748" s="933" t="s">
        <v>1084</v>
      </c>
      <c r="AG748" s="933" t="s">
        <v>120</v>
      </c>
    </row>
    <row r="749" spans="1:33" hidden="1">
      <c r="A749" s="940">
        <f t="shared" si="44"/>
        <v>575</v>
      </c>
      <c r="B749" s="933" t="s">
        <v>1085</v>
      </c>
      <c r="C749" s="744">
        <v>59</v>
      </c>
      <c r="D749" s="743" t="s">
        <v>972</v>
      </c>
      <c r="E749"/>
      <c r="F749" s="939">
        <v>1</v>
      </c>
      <c r="G749" s="938" t="s">
        <v>237</v>
      </c>
      <c r="H749" s="933" t="s">
        <v>1040</v>
      </c>
      <c r="I749" s="744">
        <f>C66</f>
        <v>120</v>
      </c>
      <c r="J749" s="779" t="s">
        <v>729</v>
      </c>
      <c r="K749" s="744">
        <f t="shared" si="45"/>
        <v>120</v>
      </c>
      <c r="O749" s="933" t="s">
        <v>1086</v>
      </c>
      <c r="AG749" s="933" t="s">
        <v>120</v>
      </c>
    </row>
    <row r="750" spans="1:33" hidden="1">
      <c r="A750" s="940">
        <f t="shared" si="44"/>
        <v>576</v>
      </c>
      <c r="B750" s="933" t="s">
        <v>1087</v>
      </c>
      <c r="C750" s="744">
        <v>100</v>
      </c>
      <c r="D750" s="743" t="s">
        <v>972</v>
      </c>
      <c r="E750"/>
      <c r="F750" s="939">
        <v>1</v>
      </c>
      <c r="G750" s="938" t="s">
        <v>145</v>
      </c>
      <c r="H750" s="933" t="s">
        <v>1088</v>
      </c>
      <c r="I750" s="744">
        <v>11</v>
      </c>
      <c r="J750" s="779" t="s">
        <v>729</v>
      </c>
      <c r="K750" s="744">
        <f t="shared" si="45"/>
        <v>11</v>
      </c>
      <c r="O750" s="933" t="s">
        <v>1089</v>
      </c>
      <c r="R750" s="933" t="s">
        <v>85</v>
      </c>
      <c r="AG750" s="933" t="s">
        <v>120</v>
      </c>
    </row>
    <row r="751" spans="1:33" hidden="1">
      <c r="A751" s="940">
        <f t="shared" si="44"/>
        <v>577</v>
      </c>
      <c r="B751" s="933" t="s">
        <v>1090</v>
      </c>
      <c r="C751" s="744">
        <v>49.52</v>
      </c>
      <c r="D751" s="743" t="s">
        <v>282</v>
      </c>
      <c r="E751"/>
      <c r="F751" s="939">
        <v>1</v>
      </c>
      <c r="G751" s="938" t="s">
        <v>145</v>
      </c>
      <c r="H751" s="933" t="s">
        <v>964</v>
      </c>
      <c r="I751" s="744">
        <v>10</v>
      </c>
      <c r="J751" s="779" t="s">
        <v>145</v>
      </c>
      <c r="K751" s="744">
        <f t="shared" si="45"/>
        <v>10</v>
      </c>
      <c r="O751" s="933" t="s">
        <v>85</v>
      </c>
      <c r="AG751" s="933" t="s">
        <v>120</v>
      </c>
    </row>
    <row r="752" spans="1:33" hidden="1">
      <c r="A752" s="940">
        <f t="shared" si="44"/>
        <v>578</v>
      </c>
      <c r="B752" s="933" t="s">
        <v>1091</v>
      </c>
      <c r="C752" s="744">
        <v>1080</v>
      </c>
      <c r="D752" s="743" t="s">
        <v>972</v>
      </c>
      <c r="E752"/>
      <c r="F752" s="939">
        <v>19</v>
      </c>
      <c r="G752" s="938" t="s">
        <v>41</v>
      </c>
      <c r="H752" s="933" t="s">
        <v>1092</v>
      </c>
      <c r="I752" s="744">
        <v>2</v>
      </c>
      <c r="J752" s="805" t="s">
        <v>41</v>
      </c>
      <c r="K752" s="744">
        <f t="shared" si="45"/>
        <v>38</v>
      </c>
      <c r="AG752" s="933" t="s">
        <v>120</v>
      </c>
    </row>
    <row r="753" spans="1:33" hidden="1">
      <c r="A753" s="940">
        <f t="shared" si="44"/>
        <v>579</v>
      </c>
      <c r="B753" s="933" t="s">
        <v>1093</v>
      </c>
      <c r="C753" s="744">
        <v>381.37</v>
      </c>
      <c r="D753" s="743" t="s">
        <v>425</v>
      </c>
      <c r="E753"/>
      <c r="H753" s="933" t="s">
        <v>1094</v>
      </c>
      <c r="I753"/>
      <c r="J753" s="805"/>
      <c r="K753"/>
      <c r="N753" s="933" t="s">
        <v>111</v>
      </c>
      <c r="O753" s="933" t="s">
        <v>1095</v>
      </c>
      <c r="Q753" s="934" t="s">
        <v>724</v>
      </c>
      <c r="R753" s="939">
        <f>(C700)</f>
        <v>1250</v>
      </c>
      <c r="AG753" s="933" t="s">
        <v>120</v>
      </c>
    </row>
    <row r="754" spans="1:33" hidden="1">
      <c r="A754" s="940" t="e">
        <f>(#REF!+1)</f>
        <v>#REF!</v>
      </c>
      <c r="B754" s="933" t="s">
        <v>1037</v>
      </c>
      <c r="C754"/>
      <c r="D754"/>
      <c r="E754"/>
      <c r="I754"/>
      <c r="J754" s="805"/>
      <c r="K754" s="776" t="s">
        <v>52</v>
      </c>
      <c r="O754" s="933" t="s">
        <v>1096</v>
      </c>
      <c r="AG754" s="933" t="s">
        <v>120</v>
      </c>
    </row>
    <row r="755" spans="1:33" hidden="1">
      <c r="A755" s="940"/>
      <c r="B755" s="933" t="s">
        <v>1038</v>
      </c>
      <c r="C755" s="744">
        <v>300</v>
      </c>
      <c r="D755"/>
      <c r="E755"/>
      <c r="H755" s="933" t="s">
        <v>495</v>
      </c>
      <c r="I755"/>
      <c r="J755" s="805"/>
      <c r="K755" s="744">
        <f>SUM(K740:K753)</f>
        <v>2149.56</v>
      </c>
      <c r="O755" s="933" t="s">
        <v>1097</v>
      </c>
      <c r="AG755" s="933" t="s">
        <v>120</v>
      </c>
    </row>
    <row r="756" spans="1:33" hidden="1">
      <c r="A756" s="940"/>
      <c r="B756" s="934" t="s">
        <v>1041</v>
      </c>
      <c r="C756" s="744">
        <v>302</v>
      </c>
      <c r="D756"/>
      <c r="E756"/>
      <c r="I756"/>
      <c r="J756" s="805"/>
      <c r="K756" s="776" t="s">
        <v>52</v>
      </c>
      <c r="O756" s="933" t="s">
        <v>1098</v>
      </c>
      <c r="AG756" s="933" t="s">
        <v>120</v>
      </c>
    </row>
    <row r="757" spans="1:33" hidden="1">
      <c r="A757" s="940"/>
      <c r="B757" s="933" t="s">
        <v>1099</v>
      </c>
      <c r="C757" s="744">
        <v>324</v>
      </c>
      <c r="D757"/>
      <c r="E757"/>
      <c r="H757" s="933" t="s">
        <v>460</v>
      </c>
      <c r="I757"/>
      <c r="J757" s="805"/>
      <c r="K757" s="744">
        <f>(K755/10)</f>
        <v>214.96</v>
      </c>
      <c r="AG757" s="933" t="s">
        <v>120</v>
      </c>
    </row>
    <row r="758" spans="1:33" hidden="1">
      <c r="A758" s="940"/>
      <c r="B758" s="933" t="s">
        <v>1043</v>
      </c>
      <c r="C758" s="744">
        <v>382</v>
      </c>
      <c r="D758"/>
      <c r="E758"/>
      <c r="I758"/>
      <c r="J758" s="805"/>
      <c r="K758" s="776" t="s">
        <v>89</v>
      </c>
      <c r="N758" s="933" t="s">
        <v>111</v>
      </c>
      <c r="O758" s="933" t="s">
        <v>1100</v>
      </c>
      <c r="AG758" s="933" t="s">
        <v>120</v>
      </c>
    </row>
    <row r="759" spans="1:33" hidden="1">
      <c r="A759" s="940"/>
      <c r="B759" s="933" t="s">
        <v>1049</v>
      </c>
      <c r="C759" s="744">
        <v>505</v>
      </c>
      <c r="D759"/>
      <c r="E759"/>
      <c r="I759"/>
      <c r="J759" s="805"/>
      <c r="K759"/>
      <c r="O759" s="933" t="s">
        <v>1101</v>
      </c>
      <c r="R759" s="933" t="s">
        <v>85</v>
      </c>
      <c r="AG759" s="933" t="s">
        <v>120</v>
      </c>
    </row>
    <row r="760" spans="1:33" hidden="1">
      <c r="A760" s="940"/>
      <c r="B760" s="933" t="s">
        <v>1046</v>
      </c>
      <c r="C760" s="744">
        <v>140</v>
      </c>
      <c r="D760"/>
      <c r="E760"/>
      <c r="F760" s="934" t="s">
        <v>233</v>
      </c>
      <c r="G760" s="938" t="s">
        <v>111</v>
      </c>
      <c r="H760" s="933" t="s">
        <v>1055</v>
      </c>
      <c r="I760"/>
      <c r="J760" s="805"/>
      <c r="K760"/>
      <c r="O760" s="933" t="s">
        <v>1102</v>
      </c>
      <c r="AG760" s="933" t="s">
        <v>120</v>
      </c>
    </row>
    <row r="761" spans="1:33" hidden="1">
      <c r="A761" s="940"/>
      <c r="B761" s="933" t="s">
        <v>1048</v>
      </c>
      <c r="C761" s="744">
        <v>222</v>
      </c>
      <c r="D761"/>
      <c r="E761"/>
      <c r="H761" s="933" t="s">
        <v>1058</v>
      </c>
      <c r="I761"/>
      <c r="J761" s="805"/>
      <c r="K761"/>
      <c r="O761" s="935" t="s">
        <v>52</v>
      </c>
      <c r="AG761" s="933" t="s">
        <v>120</v>
      </c>
    </row>
    <row r="762" spans="1:33" hidden="1">
      <c r="A762" s="940"/>
      <c r="B762" s="933" t="s">
        <v>1103</v>
      </c>
      <c r="C762" s="744">
        <v>100</v>
      </c>
      <c r="D762"/>
      <c r="E762"/>
      <c r="H762" s="933" t="s">
        <v>1104</v>
      </c>
      <c r="I762"/>
      <c r="J762" s="805"/>
      <c r="K762"/>
      <c r="N762" s="933" t="s">
        <v>468</v>
      </c>
      <c r="O762" s="933" t="s">
        <v>1105</v>
      </c>
      <c r="P762" s="939">
        <f>(C271)</f>
        <v>160</v>
      </c>
      <c r="Q762" s="933" t="s">
        <v>468</v>
      </c>
      <c r="R762" s="939" t="e">
        <f>(#VALUE!*P762)</f>
        <v>#VALUE!</v>
      </c>
      <c r="AG762" s="933" t="s">
        <v>120</v>
      </c>
    </row>
    <row r="763" spans="1:33" hidden="1">
      <c r="A763" s="940"/>
      <c r="B763" s="933" t="s">
        <v>1106</v>
      </c>
      <c r="C763" s="744">
        <v>75</v>
      </c>
      <c r="D763"/>
      <c r="E763"/>
      <c r="H763" s="935" t="s">
        <v>52</v>
      </c>
      <c r="I763"/>
      <c r="J763" s="805"/>
      <c r="K763"/>
      <c r="AG763" s="933" t="s">
        <v>120</v>
      </c>
    </row>
    <row r="764" spans="1:33" hidden="1">
      <c r="A764" s="940"/>
      <c r="B764" s="933" t="s">
        <v>1107</v>
      </c>
      <c r="C764" s="744">
        <v>218</v>
      </c>
      <c r="D764"/>
      <c r="E764"/>
      <c r="H764" s="933" t="s">
        <v>1108</v>
      </c>
      <c r="I764"/>
      <c r="J764" s="805"/>
      <c r="K764" s="744">
        <f>(K695/2)</f>
        <v>123.27</v>
      </c>
      <c r="N764" s="933" t="s">
        <v>1109</v>
      </c>
      <c r="O764" s="933" t="s">
        <v>1110</v>
      </c>
      <c r="P764" s="939">
        <f>(C16)</f>
        <v>150</v>
      </c>
      <c r="Q764" s="933" t="s">
        <v>1109</v>
      </c>
      <c r="R764" s="939" t="e">
        <f>(#VALUE!*P764)</f>
        <v>#VALUE!</v>
      </c>
      <c r="AG764" s="933" t="s">
        <v>120</v>
      </c>
    </row>
    <row r="765" spans="1:33" hidden="1">
      <c r="A765" s="940"/>
      <c r="B765" s="933" t="s">
        <v>1111</v>
      </c>
      <c r="C765" s="744">
        <v>1854</v>
      </c>
      <c r="D765"/>
      <c r="E765"/>
      <c r="H765" s="933" t="s">
        <v>1112</v>
      </c>
      <c r="I765"/>
      <c r="J765" s="805"/>
      <c r="K765" s="776" t="s">
        <v>89</v>
      </c>
      <c r="AG765" s="933" t="s">
        <v>120</v>
      </c>
    </row>
    <row r="766" spans="1:33" hidden="1">
      <c r="C766"/>
      <c r="D766"/>
      <c r="E766"/>
      <c r="I766"/>
      <c r="J766" s="805"/>
      <c r="K766"/>
    </row>
    <row r="767" spans="1:33" hidden="1">
      <c r="A767" s="940"/>
      <c r="B767" s="933" t="s">
        <v>1113</v>
      </c>
      <c r="C767" s="744">
        <v>51</v>
      </c>
      <c r="D767"/>
      <c r="E767"/>
      <c r="F767" s="934" t="s">
        <v>1114</v>
      </c>
      <c r="G767" s="938" t="s">
        <v>111</v>
      </c>
      <c r="H767" s="933" t="s">
        <v>1115</v>
      </c>
      <c r="I767"/>
      <c r="J767" s="805"/>
      <c r="K767"/>
      <c r="O767" s="933" t="s">
        <v>1116</v>
      </c>
      <c r="P767" s="937" t="s">
        <v>145</v>
      </c>
      <c r="R767" s="939">
        <v>0.64</v>
      </c>
      <c r="AG767" s="933" t="s">
        <v>120</v>
      </c>
    </row>
    <row r="768" spans="1:33" hidden="1">
      <c r="A768" s="940"/>
      <c r="B768" s="933" t="s">
        <v>1117</v>
      </c>
      <c r="C768" s="744">
        <v>915</v>
      </c>
      <c r="D768"/>
      <c r="E768"/>
      <c r="H768" s="933" t="s">
        <v>1118</v>
      </c>
      <c r="I768"/>
      <c r="J768" s="805"/>
      <c r="K768"/>
      <c r="R768" s="935" t="s">
        <v>52</v>
      </c>
      <c r="AG768" s="933" t="s">
        <v>120</v>
      </c>
    </row>
    <row r="769" spans="1:33" hidden="1">
      <c r="A769" s="940"/>
      <c r="B769" s="933" t="s">
        <v>1119</v>
      </c>
      <c r="C769" s="744">
        <v>890</v>
      </c>
      <c r="D769"/>
      <c r="E769"/>
      <c r="H769" s="933" t="s">
        <v>1120</v>
      </c>
      <c r="I769"/>
      <c r="J769" s="805"/>
      <c r="K769"/>
      <c r="O769" s="933" t="s">
        <v>1121</v>
      </c>
      <c r="R769" s="939" t="e">
        <f>SUM(R762:R767)</f>
        <v>#VALUE!</v>
      </c>
      <c r="AG769" s="933" t="s">
        <v>120</v>
      </c>
    </row>
    <row r="770" spans="1:33" hidden="1">
      <c r="A770" s="940"/>
      <c r="B770" s="933" t="s">
        <v>1122</v>
      </c>
      <c r="C770" s="744">
        <v>5.15</v>
      </c>
      <c r="D770"/>
      <c r="E770"/>
      <c r="H770" s="935" t="s">
        <v>52</v>
      </c>
      <c r="I770"/>
      <c r="J770" s="805"/>
      <c r="K770"/>
      <c r="R770" s="935" t="s">
        <v>52</v>
      </c>
      <c r="AG770" s="933" t="s">
        <v>120</v>
      </c>
    </row>
    <row r="771" spans="1:33" hidden="1">
      <c r="A771" s="940"/>
      <c r="B771" s="933" t="s">
        <v>1123</v>
      </c>
      <c r="C771" s="744">
        <v>43.3</v>
      </c>
      <c r="D771"/>
      <c r="E771"/>
      <c r="F771" s="941">
        <v>9</v>
      </c>
      <c r="G771" s="938" t="s">
        <v>132</v>
      </c>
      <c r="H771" s="933" t="s">
        <v>1124</v>
      </c>
      <c r="I771" s="744" t="e">
        <f>C73</f>
        <v>#REF!</v>
      </c>
      <c r="J771" s="779" t="s">
        <v>132</v>
      </c>
      <c r="K771" s="744" t="e">
        <f t="shared" ref="K771:K776" si="46">F771*I771</f>
        <v>#REF!</v>
      </c>
      <c r="O771" s="933" t="s">
        <v>1125</v>
      </c>
      <c r="R771" s="939" t="e">
        <f>(R769/0.4)</f>
        <v>#VALUE!</v>
      </c>
      <c r="AG771" s="933" t="s">
        <v>120</v>
      </c>
    </row>
    <row r="772" spans="1:33" hidden="1">
      <c r="A772" s="940"/>
      <c r="B772" s="933" t="s">
        <v>1126</v>
      </c>
      <c r="C772" s="744">
        <v>920</v>
      </c>
      <c r="D772"/>
      <c r="E772"/>
      <c r="F772" s="941">
        <v>4.3079999999999998</v>
      </c>
      <c r="G772" s="938" t="s">
        <v>122</v>
      </c>
      <c r="H772" s="933" t="s">
        <v>123</v>
      </c>
      <c r="I772" s="744">
        <f>C67</f>
        <v>3800</v>
      </c>
      <c r="J772" s="779" t="s">
        <v>122</v>
      </c>
      <c r="K772" s="744">
        <f t="shared" si="46"/>
        <v>16370.4</v>
      </c>
      <c r="R772" s="935" t="s">
        <v>89</v>
      </c>
      <c r="AG772" s="933" t="s">
        <v>120</v>
      </c>
    </row>
    <row r="773" spans="1:33" hidden="1">
      <c r="A773" s="940"/>
      <c r="B773" s="933" t="s">
        <v>1127</v>
      </c>
      <c r="C773" s="744">
        <v>98</v>
      </c>
      <c r="D773"/>
      <c r="E773"/>
      <c r="F773" s="941">
        <v>4.5</v>
      </c>
      <c r="G773" s="938" t="s">
        <v>132</v>
      </c>
      <c r="H773" s="933" t="s">
        <v>133</v>
      </c>
      <c r="I773" s="744" t="e">
        <f>C78</f>
        <v>#REF!</v>
      </c>
      <c r="J773" s="779" t="s">
        <v>132</v>
      </c>
      <c r="K773" s="744" t="e">
        <f t="shared" si="46"/>
        <v>#REF!</v>
      </c>
      <c r="N773" s="933" t="s">
        <v>111</v>
      </c>
      <c r="O773" s="933" t="s">
        <v>1128</v>
      </c>
      <c r="AG773" s="933" t="s">
        <v>120</v>
      </c>
    </row>
    <row r="774" spans="1:33" hidden="1">
      <c r="A774" s="940"/>
      <c r="B774" s="933" t="s">
        <v>1129</v>
      </c>
      <c r="C774" s="744">
        <v>181</v>
      </c>
      <c r="D774"/>
      <c r="E774"/>
      <c r="F774" s="941">
        <v>3.5</v>
      </c>
      <c r="G774" s="938" t="s">
        <v>131</v>
      </c>
      <c r="H774" s="933" t="s">
        <v>302</v>
      </c>
      <c r="I774" s="744">
        <f>C11</f>
        <v>135</v>
      </c>
      <c r="J774" s="779" t="s">
        <v>131</v>
      </c>
      <c r="K774" s="744">
        <f t="shared" si="46"/>
        <v>472.5</v>
      </c>
      <c r="O774" s="933" t="s">
        <v>1130</v>
      </c>
      <c r="AG774" s="933" t="s">
        <v>120</v>
      </c>
    </row>
    <row r="775" spans="1:33" hidden="1">
      <c r="A775" s="940"/>
      <c r="B775" s="933" t="s">
        <v>1131</v>
      </c>
      <c r="C775" s="744">
        <v>1148.76</v>
      </c>
      <c r="D775"/>
      <c r="E775"/>
      <c r="F775" s="941">
        <v>21.2</v>
      </c>
      <c r="G775" s="938" t="s">
        <v>131</v>
      </c>
      <c r="H775" s="933" t="s">
        <v>304</v>
      </c>
      <c r="I775" s="744">
        <f>C12</f>
        <v>95</v>
      </c>
      <c r="J775" s="779" t="s">
        <v>131</v>
      </c>
      <c r="K775" s="744">
        <f t="shared" si="46"/>
        <v>2014</v>
      </c>
      <c r="O775" s="933" t="s">
        <v>1132</v>
      </c>
      <c r="AG775" s="933" t="s">
        <v>120</v>
      </c>
    </row>
    <row r="776" spans="1:33" hidden="1">
      <c r="A776" s="940"/>
      <c r="B776" s="933" t="s">
        <v>1133</v>
      </c>
      <c r="C776" s="744">
        <v>967</v>
      </c>
      <c r="D776"/>
      <c r="E776"/>
      <c r="F776" s="941">
        <v>35.299999999999997</v>
      </c>
      <c r="G776" s="938" t="s">
        <v>131</v>
      </c>
      <c r="H776" s="933" t="s">
        <v>306</v>
      </c>
      <c r="I776" s="744">
        <f>C13</f>
        <v>85</v>
      </c>
      <c r="J776" s="779" t="s">
        <v>131</v>
      </c>
      <c r="K776" s="744">
        <f t="shared" si="46"/>
        <v>3000.5</v>
      </c>
      <c r="O776" s="935" t="s">
        <v>52</v>
      </c>
      <c r="AG776" s="933" t="s">
        <v>120</v>
      </c>
    </row>
    <row r="777" spans="1:33" hidden="1">
      <c r="A777" s="940"/>
      <c r="B777" s="933" t="s">
        <v>1134</v>
      </c>
      <c r="C777" s="744">
        <v>30</v>
      </c>
      <c r="D777"/>
      <c r="E777"/>
      <c r="F777" s="937" t="s">
        <v>145</v>
      </c>
      <c r="H777" s="933" t="s">
        <v>146</v>
      </c>
      <c r="I777"/>
      <c r="J777" s="779" t="s">
        <v>145</v>
      </c>
      <c r="K777" s="744">
        <v>0</v>
      </c>
      <c r="N777" s="937" t="s">
        <v>956</v>
      </c>
      <c r="O777" s="933" t="s">
        <v>1135</v>
      </c>
      <c r="AG777" s="933" t="s">
        <v>120</v>
      </c>
    </row>
    <row r="778" spans="1:33" hidden="1">
      <c r="A778" s="940"/>
      <c r="B778" s="933" t="s">
        <v>1136</v>
      </c>
      <c r="C778" s="744">
        <v>2107</v>
      </c>
      <c r="D778"/>
      <c r="E778"/>
      <c r="I778"/>
      <c r="J778" s="805"/>
      <c r="K778" s="776" t="s">
        <v>52</v>
      </c>
      <c r="O778" s="933" t="s">
        <v>1137</v>
      </c>
      <c r="AG778" s="933" t="s">
        <v>120</v>
      </c>
    </row>
    <row r="779" spans="1:33" hidden="1">
      <c r="A779" s="940"/>
      <c r="B779" s="933" t="s">
        <v>1138</v>
      </c>
      <c r="C779" s="744">
        <v>650</v>
      </c>
      <c r="D779"/>
      <c r="E779"/>
      <c r="H779" s="934" t="s">
        <v>311</v>
      </c>
      <c r="I779"/>
      <c r="J779" s="805"/>
      <c r="K779" s="744" t="e">
        <f>SUM(K771:K777)</f>
        <v>#REF!</v>
      </c>
      <c r="N779" s="933" t="s">
        <v>994</v>
      </c>
      <c r="O779" s="933" t="s">
        <v>1139</v>
      </c>
      <c r="P779" s="939">
        <v>43</v>
      </c>
      <c r="R779" s="939" t="e">
        <f>(#VALUE!*P779)</f>
        <v>#VALUE!</v>
      </c>
      <c r="AG779" s="933" t="s">
        <v>120</v>
      </c>
    </row>
    <row r="780" spans="1:33" hidden="1">
      <c r="A780" s="940"/>
      <c r="B780" s="933" t="s">
        <v>1140</v>
      </c>
      <c r="C780" s="964">
        <v>160</v>
      </c>
      <c r="D780"/>
      <c r="E780"/>
      <c r="I780"/>
      <c r="J780" s="805"/>
      <c r="K780" s="776" t="s">
        <v>89</v>
      </c>
      <c r="O780" s="933" t="s">
        <v>1141</v>
      </c>
      <c r="AG780" s="933" t="s">
        <v>120</v>
      </c>
    </row>
    <row r="781" spans="1:33" hidden="1">
      <c r="A781" s="940"/>
      <c r="B781" s="933" t="s">
        <v>1142</v>
      </c>
      <c r="C781" s="964">
        <v>110</v>
      </c>
      <c r="D781"/>
      <c r="E781"/>
      <c r="H781" s="933" t="s">
        <v>242</v>
      </c>
      <c r="I781"/>
      <c r="J781" s="805"/>
      <c r="K781" s="744" t="e">
        <f>K779/10</f>
        <v>#REF!</v>
      </c>
      <c r="O781" s="933" t="s">
        <v>1143</v>
      </c>
      <c r="AG781" s="933" t="s">
        <v>120</v>
      </c>
    </row>
    <row r="782" spans="1:33" hidden="1">
      <c r="A782" s="940"/>
      <c r="C782"/>
      <c r="D782"/>
      <c r="E782"/>
      <c r="I782"/>
      <c r="J782" s="805"/>
      <c r="K782"/>
      <c r="N782" s="933" t="s">
        <v>425</v>
      </c>
      <c r="O782" s="933" t="s">
        <v>1144</v>
      </c>
      <c r="P782" s="939">
        <f>C271</f>
        <v>160</v>
      </c>
      <c r="R782" s="939" t="e">
        <f>(#VALUE!*P782)</f>
        <v>#VALUE!</v>
      </c>
      <c r="AG782" s="933" t="s">
        <v>120</v>
      </c>
    </row>
    <row r="783" spans="1:33" hidden="1">
      <c r="A783" s="940"/>
      <c r="C783">
        <v>3.05</v>
      </c>
      <c r="D783"/>
      <c r="E783"/>
      <c r="F783" s="939">
        <v>1</v>
      </c>
      <c r="G783" s="938" t="s">
        <v>132</v>
      </c>
      <c r="H783" s="933" t="s">
        <v>514</v>
      </c>
      <c r="I783" s="744">
        <f>C25</f>
        <v>20.7</v>
      </c>
      <c r="J783" s="805"/>
      <c r="K783" s="744">
        <f>F783*I783</f>
        <v>20.7</v>
      </c>
      <c r="N783" s="933" t="s">
        <v>131</v>
      </c>
      <c r="O783" s="933" t="s">
        <v>1145</v>
      </c>
      <c r="P783" s="939">
        <v>5</v>
      </c>
      <c r="R783" s="939" t="e">
        <f>(#VALUE!*P783)</f>
        <v>#VALUE!</v>
      </c>
      <c r="AG783" s="933" t="s">
        <v>120</v>
      </c>
    </row>
    <row r="784" spans="1:33" hidden="1">
      <c r="A784" s="940"/>
      <c r="C784">
        <v>30</v>
      </c>
      <c r="D784"/>
      <c r="E784"/>
      <c r="I784"/>
      <c r="J784" s="805"/>
      <c r="K784" s="776" t="s">
        <v>52</v>
      </c>
      <c r="N784" s="933" t="s">
        <v>131</v>
      </c>
      <c r="O784" s="933" t="s">
        <v>1146</v>
      </c>
      <c r="P784" s="939">
        <v>10</v>
      </c>
      <c r="R784" s="939" t="e">
        <f>(#VALUE!*P784)</f>
        <v>#VALUE!</v>
      </c>
      <c r="AG784" s="933" t="s">
        <v>120</v>
      </c>
    </row>
    <row r="785" spans="1:33" hidden="1">
      <c r="A785" s="940"/>
      <c r="C785">
        <v>35</v>
      </c>
      <c r="D785"/>
      <c r="E785"/>
      <c r="I785"/>
      <c r="J785" s="805"/>
      <c r="K785" s="744" t="e">
        <f>SUM(K781:K783)</f>
        <v>#REF!</v>
      </c>
      <c r="N785" s="933" t="s">
        <v>131</v>
      </c>
      <c r="O785" s="933" t="s">
        <v>1147</v>
      </c>
      <c r="P785" s="939">
        <v>8</v>
      </c>
      <c r="R785" s="939" t="e">
        <f>(#VALUE!*P785)</f>
        <v>#VALUE!</v>
      </c>
      <c r="AG785" s="933" t="s">
        <v>120</v>
      </c>
    </row>
    <row r="786" spans="1:33" hidden="1">
      <c r="A786" s="940"/>
      <c r="C786">
        <v>125</v>
      </c>
      <c r="D786"/>
      <c r="E786"/>
      <c r="I786"/>
      <c r="J786" s="805"/>
      <c r="K786" s="776" t="s">
        <v>52</v>
      </c>
      <c r="N786" s="933" t="s">
        <v>13</v>
      </c>
      <c r="O786" s="933" t="s">
        <v>1148</v>
      </c>
      <c r="P786" s="939">
        <v>13.66</v>
      </c>
      <c r="R786" s="939" t="e">
        <f>(#VALUE!*P786)</f>
        <v>#VALUE!</v>
      </c>
      <c r="AG786" s="933" t="s">
        <v>120</v>
      </c>
    </row>
    <row r="787" spans="1:33" hidden="1">
      <c r="A787" s="940"/>
      <c r="B787" s="930" t="s">
        <v>1149</v>
      </c>
      <c r="C787" s="961">
        <v>162</v>
      </c>
      <c r="D787" s="961">
        <v>179</v>
      </c>
      <c r="E787"/>
      <c r="I787"/>
      <c r="J787" s="805"/>
      <c r="K787" s="776"/>
      <c r="N787" s="933"/>
      <c r="O787" s="933"/>
      <c r="P787" s="939"/>
      <c r="R787" s="939"/>
      <c r="AG787" s="933"/>
    </row>
    <row r="788" spans="1:33" hidden="1">
      <c r="A788" s="940"/>
      <c r="B788" s="930" t="s">
        <v>1150</v>
      </c>
      <c r="C788" s="965">
        <v>185</v>
      </c>
      <c r="D788"/>
      <c r="E788"/>
      <c r="H788" s="933" t="s">
        <v>53</v>
      </c>
      <c r="I788"/>
      <c r="J788" s="805"/>
      <c r="K788" s="744" t="e">
        <f>(K785+C22)</f>
        <v>#REF!</v>
      </c>
      <c r="N788" s="933" t="s">
        <v>425</v>
      </c>
      <c r="O788" s="933" t="s">
        <v>1151</v>
      </c>
      <c r="P788" s="939">
        <v>25.46</v>
      </c>
      <c r="R788" s="939" t="e">
        <f>(#VALUE!*P788)</f>
        <v>#VALUE!</v>
      </c>
      <c r="AG788" s="933" t="s">
        <v>120</v>
      </c>
    </row>
    <row r="789" spans="1:33" hidden="1">
      <c r="A789" s="940"/>
      <c r="B789" s="930" t="s">
        <v>1152</v>
      </c>
      <c r="C789" s="965">
        <v>170</v>
      </c>
      <c r="D789"/>
      <c r="E789"/>
      <c r="H789" s="933" t="s">
        <v>54</v>
      </c>
      <c r="I789"/>
      <c r="J789" s="805"/>
      <c r="K789" s="744" t="e">
        <f>(K788+C23)</f>
        <v>#REF!</v>
      </c>
      <c r="N789" s="933" t="s">
        <v>131</v>
      </c>
      <c r="O789" s="933" t="s">
        <v>1153</v>
      </c>
      <c r="P789" s="939">
        <v>0.5</v>
      </c>
      <c r="R789" s="939" t="e">
        <f>(#VALUE!*P789)</f>
        <v>#VALUE!</v>
      </c>
      <c r="AG789" s="933" t="s">
        <v>120</v>
      </c>
    </row>
    <row r="790" spans="1:33" hidden="1">
      <c r="A790" s="940"/>
      <c r="B790" s="930" t="s">
        <v>1154</v>
      </c>
      <c r="C790" s="965">
        <v>160</v>
      </c>
      <c r="D790"/>
      <c r="E790"/>
      <c r="H790" s="933" t="s">
        <v>55</v>
      </c>
      <c r="I790"/>
      <c r="J790" s="805"/>
      <c r="K790" s="744" t="e">
        <f>(K789+C24)</f>
        <v>#REF!</v>
      </c>
      <c r="R790" s="939">
        <v>0.54</v>
      </c>
      <c r="AG790" s="933" t="s">
        <v>307</v>
      </c>
    </row>
    <row r="791" spans="1:33" hidden="1">
      <c r="A791" s="940"/>
      <c r="B791" s="966" t="s">
        <v>1142</v>
      </c>
      <c r="C791" s="965">
        <v>121</v>
      </c>
      <c r="D791"/>
      <c r="E791"/>
      <c r="H791" s="933" t="s">
        <v>56</v>
      </c>
      <c r="I791"/>
      <c r="J791" s="805"/>
      <c r="K791" s="744" t="e">
        <f>(K790+C24)</f>
        <v>#REF!</v>
      </c>
      <c r="R791" s="935" t="s">
        <v>52</v>
      </c>
    </row>
    <row r="792" spans="1:33" hidden="1">
      <c r="A792" s="940"/>
      <c r="B792" s="966" t="s">
        <v>1155</v>
      </c>
      <c r="C792" s="961">
        <v>120</v>
      </c>
      <c r="D792"/>
      <c r="E792"/>
      <c r="H792" s="933" t="s">
        <v>57</v>
      </c>
      <c r="I792"/>
      <c r="J792" s="805"/>
      <c r="K792" s="744" t="e">
        <f>(K791+C24)</f>
        <v>#REF!</v>
      </c>
      <c r="O792" s="934" t="s">
        <v>1156</v>
      </c>
      <c r="R792" s="939" t="e">
        <f>SUM(R779:R790)</f>
        <v>#VALUE!</v>
      </c>
    </row>
    <row r="793" spans="1:33" hidden="1">
      <c r="B793" s="966" t="s">
        <v>1157</v>
      </c>
      <c r="C793" s="961">
        <v>70</v>
      </c>
      <c r="D793"/>
      <c r="E793"/>
      <c r="F793" s="933" t="s">
        <v>85</v>
      </c>
      <c r="I793"/>
      <c r="J793" s="805"/>
      <c r="K793"/>
    </row>
    <row r="794" spans="1:33" hidden="1">
      <c r="A794" s="940"/>
      <c r="B794" s="966" t="s">
        <v>1158</v>
      </c>
      <c r="C794">
        <v>35</v>
      </c>
      <c r="D794"/>
      <c r="E794"/>
      <c r="F794" s="933" t="s">
        <v>85</v>
      </c>
      <c r="G794" s="938" t="s">
        <v>111</v>
      </c>
      <c r="H794" s="934" t="s">
        <v>1159</v>
      </c>
      <c r="I794"/>
      <c r="J794" s="805"/>
      <c r="K794"/>
      <c r="R794" s="935" t="s">
        <v>52</v>
      </c>
      <c r="AG794" s="933" t="s">
        <v>120</v>
      </c>
    </row>
    <row r="795" spans="1:33" hidden="1">
      <c r="A795" s="940"/>
      <c r="B795" s="966" t="s">
        <v>1160</v>
      </c>
      <c r="C795">
        <v>90</v>
      </c>
      <c r="D795"/>
      <c r="E795"/>
      <c r="H795" s="935" t="s">
        <v>89</v>
      </c>
      <c r="I795"/>
      <c r="J795" s="805"/>
      <c r="K795"/>
      <c r="AG795" s="933" t="s">
        <v>120</v>
      </c>
    </row>
    <row r="796" spans="1:33" hidden="1">
      <c r="A796" s="940"/>
      <c r="B796" s="966" t="s">
        <v>1161</v>
      </c>
      <c r="C796" s="961">
        <v>140</v>
      </c>
      <c r="D796"/>
      <c r="E796"/>
      <c r="I796"/>
      <c r="J796" s="805"/>
      <c r="K796"/>
      <c r="N796" s="933" t="s">
        <v>986</v>
      </c>
      <c r="O796" s="933" t="s">
        <v>1162</v>
      </c>
      <c r="AG796" s="933" t="s">
        <v>120</v>
      </c>
    </row>
    <row r="797" spans="1:33" ht="31.5" hidden="1">
      <c r="A797" s="967">
        <v>1</v>
      </c>
      <c r="B797" s="968" t="s">
        <v>1163</v>
      </c>
      <c r="C797"/>
      <c r="D797"/>
      <c r="E797"/>
      <c r="F797" s="934" t="s">
        <v>1164</v>
      </c>
      <c r="G797" s="938" t="s">
        <v>111</v>
      </c>
      <c r="H797" s="933" t="s">
        <v>1165</v>
      </c>
      <c r="I797"/>
      <c r="J797" s="805"/>
      <c r="K797"/>
      <c r="O797" s="933" t="s">
        <v>1137</v>
      </c>
      <c r="AG797" s="933" t="s">
        <v>120</v>
      </c>
    </row>
    <row r="798" spans="1:33" hidden="1">
      <c r="A798" s="967"/>
      <c r="B798" s="966" t="s">
        <v>1166</v>
      </c>
      <c r="C798" s="969">
        <v>11</v>
      </c>
      <c r="D798"/>
      <c r="E798"/>
      <c r="H798" s="933" t="s">
        <v>1167</v>
      </c>
      <c r="I798"/>
      <c r="J798" s="805"/>
      <c r="K798"/>
      <c r="N798" s="933" t="s">
        <v>994</v>
      </c>
      <c r="O798" s="933" t="s">
        <v>1139</v>
      </c>
      <c r="P798" s="939">
        <v>43</v>
      </c>
      <c r="R798" s="939" t="e">
        <f>(#VALUE!*P798)</f>
        <v>#VALUE!</v>
      </c>
      <c r="AG798" s="933" t="s">
        <v>120</v>
      </c>
    </row>
    <row r="799" spans="1:33" hidden="1">
      <c r="A799" s="970"/>
      <c r="B799" s="966" t="s">
        <v>1168</v>
      </c>
      <c r="C799" s="969">
        <v>11</v>
      </c>
      <c r="D799"/>
      <c r="E799"/>
      <c r="H799" s="933" t="s">
        <v>1169</v>
      </c>
      <c r="I799"/>
      <c r="J799" s="805"/>
      <c r="K799"/>
      <c r="O799" s="933" t="s">
        <v>1141</v>
      </c>
      <c r="AG799" s="933" t="s">
        <v>120</v>
      </c>
    </row>
    <row r="800" spans="1:33" hidden="1">
      <c r="A800" s="967"/>
      <c r="B800" s="966" t="s">
        <v>1170</v>
      </c>
      <c r="C800" s="969">
        <v>11</v>
      </c>
      <c r="D800"/>
      <c r="E800"/>
      <c r="H800" s="933" t="s">
        <v>1171</v>
      </c>
      <c r="I800"/>
      <c r="J800" s="805"/>
      <c r="K800"/>
      <c r="O800" s="933" t="s">
        <v>1143</v>
      </c>
      <c r="AG800" s="933" t="s">
        <v>120</v>
      </c>
    </row>
    <row r="801" spans="1:33" hidden="1">
      <c r="A801" s="970"/>
      <c r="B801" s="966" t="s">
        <v>1172</v>
      </c>
      <c r="C801" s="969">
        <v>11</v>
      </c>
      <c r="D801"/>
      <c r="E801"/>
      <c r="H801" s="933" t="s">
        <v>1173</v>
      </c>
      <c r="I801"/>
      <c r="J801" s="805"/>
      <c r="K801"/>
      <c r="N801" s="933" t="s">
        <v>425</v>
      </c>
      <c r="O801" s="933" t="s">
        <v>1144</v>
      </c>
      <c r="P801" s="939">
        <f>C271</f>
        <v>160</v>
      </c>
      <c r="R801" s="939" t="e">
        <f t="shared" ref="R801:R807" si="47">(#VALUE!*P801)</f>
        <v>#VALUE!</v>
      </c>
      <c r="AG801" s="933" t="s">
        <v>120</v>
      </c>
    </row>
    <row r="802" spans="1:33" hidden="1">
      <c r="A802" s="967"/>
      <c r="B802" s="966" t="s">
        <v>1174</v>
      </c>
      <c r="C802" s="969">
        <v>12</v>
      </c>
      <c r="D802"/>
      <c r="E802"/>
      <c r="H802" s="933" t="s">
        <v>1175</v>
      </c>
      <c r="I802"/>
      <c r="J802" s="805"/>
      <c r="K802"/>
      <c r="N802" s="933" t="s">
        <v>131</v>
      </c>
      <c r="O802" s="933" t="s">
        <v>1145</v>
      </c>
      <c r="P802" s="939">
        <v>5</v>
      </c>
      <c r="R802" s="939" t="e">
        <f t="shared" si="47"/>
        <v>#VALUE!</v>
      </c>
      <c r="AG802" s="933" t="s">
        <v>120</v>
      </c>
    </row>
    <row r="803" spans="1:33" hidden="1">
      <c r="A803" s="970"/>
      <c r="B803" s="966" t="s">
        <v>1176</v>
      </c>
      <c r="C803" s="971" t="s">
        <v>1177</v>
      </c>
      <c r="D803"/>
      <c r="E803"/>
      <c r="H803" s="933" t="s">
        <v>1178</v>
      </c>
      <c r="I803"/>
      <c r="J803" s="805"/>
      <c r="K803"/>
      <c r="N803" s="933" t="s">
        <v>131</v>
      </c>
      <c r="O803" s="933" t="s">
        <v>1146</v>
      </c>
      <c r="P803" s="939">
        <v>10</v>
      </c>
      <c r="R803" s="939" t="e">
        <f t="shared" si="47"/>
        <v>#VALUE!</v>
      </c>
      <c r="AG803" s="933" t="s">
        <v>120</v>
      </c>
    </row>
    <row r="804" spans="1:33" hidden="1">
      <c r="A804" s="967"/>
      <c r="B804" s="966" t="s">
        <v>1179</v>
      </c>
      <c r="C804" s="961">
        <v>25</v>
      </c>
      <c r="D804"/>
      <c r="E804"/>
      <c r="H804" s="933" t="s">
        <v>1180</v>
      </c>
      <c r="I804"/>
      <c r="J804" s="805"/>
      <c r="K804"/>
      <c r="N804" s="933" t="s">
        <v>131</v>
      </c>
      <c r="O804" s="933" t="s">
        <v>1147</v>
      </c>
      <c r="P804" s="939">
        <v>8</v>
      </c>
      <c r="R804" s="939" t="e">
        <f t="shared" si="47"/>
        <v>#VALUE!</v>
      </c>
      <c r="AG804" s="933" t="s">
        <v>120</v>
      </c>
    </row>
    <row r="805" spans="1:33" hidden="1">
      <c r="A805" s="970"/>
      <c r="B805" s="966" t="s">
        <v>1181</v>
      </c>
      <c r="C805" s="971" t="s">
        <v>1177</v>
      </c>
      <c r="D805"/>
      <c r="E805"/>
      <c r="H805" s="933" t="s">
        <v>1182</v>
      </c>
      <c r="I805"/>
      <c r="J805" s="805"/>
      <c r="K805"/>
      <c r="N805" s="933" t="s">
        <v>13</v>
      </c>
      <c r="O805" s="933" t="s">
        <v>1148</v>
      </c>
      <c r="P805" s="939">
        <v>13.66</v>
      </c>
      <c r="R805" s="939" t="e">
        <f t="shared" si="47"/>
        <v>#VALUE!</v>
      </c>
      <c r="AG805" s="933" t="s">
        <v>120</v>
      </c>
    </row>
    <row r="806" spans="1:33" hidden="1">
      <c r="A806" s="967"/>
      <c r="B806" s="966" t="s">
        <v>1183</v>
      </c>
      <c r="C806" s="971" t="s">
        <v>1177</v>
      </c>
      <c r="D806"/>
      <c r="E806"/>
      <c r="H806" s="933" t="s">
        <v>1184</v>
      </c>
      <c r="I806"/>
      <c r="J806" s="805"/>
      <c r="K806"/>
      <c r="N806" s="933" t="s">
        <v>425</v>
      </c>
      <c r="O806" s="933" t="s">
        <v>1151</v>
      </c>
      <c r="P806" s="939">
        <v>25.46</v>
      </c>
      <c r="R806" s="939" t="e">
        <f t="shared" si="47"/>
        <v>#VALUE!</v>
      </c>
      <c r="AG806" s="933" t="s">
        <v>120</v>
      </c>
    </row>
    <row r="807" spans="1:33" hidden="1">
      <c r="A807" s="970"/>
      <c r="B807" s="966" t="s">
        <v>1185</v>
      </c>
      <c r="C807" s="971" t="s">
        <v>1177</v>
      </c>
      <c r="D807"/>
      <c r="E807"/>
      <c r="H807" s="933" t="s">
        <v>1186</v>
      </c>
      <c r="I807"/>
      <c r="J807" s="805"/>
      <c r="K807"/>
      <c r="N807" s="933" t="s">
        <v>131</v>
      </c>
      <c r="O807" s="933" t="s">
        <v>1153</v>
      </c>
      <c r="P807" s="939">
        <v>0.5</v>
      </c>
      <c r="R807" s="939" t="e">
        <f t="shared" si="47"/>
        <v>#VALUE!</v>
      </c>
      <c r="AG807" s="933" t="s">
        <v>120</v>
      </c>
    </row>
    <row r="808" spans="1:33" ht="31.5" hidden="1">
      <c r="A808" s="967">
        <v>2</v>
      </c>
      <c r="B808" s="968" t="s">
        <v>1187</v>
      </c>
      <c r="C808"/>
      <c r="D808"/>
      <c r="E808"/>
      <c r="H808" s="933" t="s">
        <v>1188</v>
      </c>
      <c r="I808"/>
      <c r="J808" s="805"/>
      <c r="K808"/>
      <c r="R808" s="939">
        <v>0.7</v>
      </c>
      <c r="AG808" s="933" t="s">
        <v>120</v>
      </c>
    </row>
    <row r="809" spans="1:33" hidden="1">
      <c r="A809" s="970"/>
      <c r="B809" s="966" t="s">
        <v>1189</v>
      </c>
      <c r="C809" s="969">
        <v>12.5</v>
      </c>
      <c r="D809"/>
      <c r="E809"/>
      <c r="H809" s="933" t="s">
        <v>1190</v>
      </c>
      <c r="I809"/>
      <c r="J809" s="805"/>
      <c r="K809"/>
      <c r="R809" s="935" t="s">
        <v>52</v>
      </c>
      <c r="AG809" s="933" t="s">
        <v>120</v>
      </c>
    </row>
    <row r="810" spans="1:33" hidden="1">
      <c r="A810" s="967">
        <v>3</v>
      </c>
      <c r="B810" s="966" t="s">
        <v>1191</v>
      </c>
      <c r="C810" s="961">
        <v>242</v>
      </c>
      <c r="D810"/>
      <c r="E810"/>
      <c r="H810" s="933" t="s">
        <v>1192</v>
      </c>
      <c r="I810"/>
      <c r="J810" s="805"/>
      <c r="K810"/>
      <c r="O810" s="934" t="s">
        <v>1156</v>
      </c>
      <c r="R810" s="939" t="e">
        <f>SUM(R798:R808)</f>
        <v>#VALUE!</v>
      </c>
      <c r="AG810" s="933" t="s">
        <v>120</v>
      </c>
    </row>
    <row r="811" spans="1:33" hidden="1">
      <c r="A811" s="970" t="s">
        <v>1193</v>
      </c>
      <c r="B811" s="972" t="s">
        <v>1194</v>
      </c>
      <c r="C811"/>
      <c r="D811"/>
      <c r="E811"/>
      <c r="I811"/>
      <c r="J811" s="805"/>
      <c r="K811"/>
      <c r="R811" s="935" t="s">
        <v>52</v>
      </c>
      <c r="AG811" s="933" t="s">
        <v>120</v>
      </c>
    </row>
    <row r="812" spans="1:33" hidden="1">
      <c r="A812" s="967"/>
      <c r="B812" s="966" t="s">
        <v>1195</v>
      </c>
      <c r="C812" s="973">
        <v>75</v>
      </c>
      <c r="D812"/>
      <c r="E812"/>
      <c r="I812"/>
      <c r="J812" s="805"/>
      <c r="K812"/>
      <c r="R812" s="935"/>
      <c r="AG812" s="933"/>
    </row>
    <row r="813" spans="1:33" hidden="1">
      <c r="A813" s="970"/>
      <c r="B813" s="974" t="s">
        <v>1196</v>
      </c>
      <c r="C813" s="973">
        <v>80</v>
      </c>
      <c r="D813"/>
      <c r="E813"/>
      <c r="G813" s="938" t="s">
        <v>1018</v>
      </c>
      <c r="H813" s="934" t="s">
        <v>1197</v>
      </c>
      <c r="I813"/>
      <c r="J813" s="805"/>
      <c r="K813"/>
      <c r="R813" s="935"/>
      <c r="AG813" s="933"/>
    </row>
    <row r="814" spans="1:33" ht="31.5" hidden="1">
      <c r="A814" s="967">
        <v>4</v>
      </c>
      <c r="B814" s="968" t="s">
        <v>1198</v>
      </c>
      <c r="C814"/>
      <c r="D814"/>
      <c r="E814"/>
      <c r="H814" s="934" t="s">
        <v>1199</v>
      </c>
      <c r="I814"/>
      <c r="J814" s="805"/>
      <c r="K814"/>
      <c r="R814" s="935"/>
      <c r="AG814" s="933"/>
    </row>
    <row r="815" spans="1:33" hidden="1">
      <c r="A815" s="970"/>
      <c r="B815" s="966" t="s">
        <v>1200</v>
      </c>
      <c r="C815" s="961">
        <v>42</v>
      </c>
      <c r="D815"/>
      <c r="E815"/>
      <c r="F815" s="960">
        <v>3.8800000000000001E-2</v>
      </c>
      <c r="G815" s="938" t="s">
        <v>132</v>
      </c>
      <c r="H815" s="933" t="s">
        <v>1201</v>
      </c>
      <c r="I815" s="744" t="e">
        <f>K781</f>
        <v>#REF!</v>
      </c>
      <c r="J815" s="779" t="s">
        <v>132</v>
      </c>
      <c r="K815" s="744" t="e">
        <f>F815*I815</f>
        <v>#REF!</v>
      </c>
      <c r="R815" s="935"/>
      <c r="AG815" s="933"/>
    </row>
    <row r="816" spans="1:33" hidden="1">
      <c r="A816" s="967"/>
      <c r="B816" s="966" t="s">
        <v>1202</v>
      </c>
      <c r="C816" s="961">
        <v>46</v>
      </c>
      <c r="D816"/>
      <c r="E816"/>
      <c r="F816" s="939">
        <v>5.01</v>
      </c>
      <c r="G816" s="938" t="s">
        <v>39</v>
      </c>
      <c r="H816" s="933" t="s">
        <v>1203</v>
      </c>
      <c r="I816" s="744">
        <f>K1513</f>
        <v>33174.400000000001</v>
      </c>
      <c r="J816" s="779" t="s">
        <v>122</v>
      </c>
      <c r="K816" s="744">
        <f>F816*I816/1000</f>
        <v>166.2</v>
      </c>
      <c r="R816" s="935"/>
      <c r="AG816" s="933"/>
    </row>
    <row r="817" spans="1:33" hidden="1">
      <c r="A817" s="970"/>
      <c r="B817" s="966" t="s">
        <v>1204</v>
      </c>
      <c r="C817" s="961">
        <v>42</v>
      </c>
      <c r="D817"/>
      <c r="E817"/>
      <c r="F817" s="939">
        <v>3</v>
      </c>
      <c r="G817" s="938" t="s">
        <v>131</v>
      </c>
      <c r="H817" s="933" t="s">
        <v>1205</v>
      </c>
      <c r="I817" s="744">
        <v>16.5</v>
      </c>
      <c r="J817" s="779" t="s">
        <v>131</v>
      </c>
      <c r="K817" s="744">
        <f t="shared" ref="K817:K824" si="48">F817*I817</f>
        <v>49.5</v>
      </c>
      <c r="R817" s="935"/>
      <c r="AG817" s="933"/>
    </row>
    <row r="818" spans="1:33" ht="31.5" hidden="1">
      <c r="A818" s="967">
        <v>5</v>
      </c>
      <c r="B818" s="968" t="s">
        <v>1206</v>
      </c>
      <c r="C818"/>
      <c r="D818"/>
      <c r="E818"/>
      <c r="F818" s="939">
        <v>12</v>
      </c>
      <c r="G818" s="938" t="s">
        <v>131</v>
      </c>
      <c r="H818" s="933" t="s">
        <v>1207</v>
      </c>
      <c r="I818" s="744">
        <v>3.85</v>
      </c>
      <c r="J818" s="779" t="s">
        <v>131</v>
      </c>
      <c r="K818" s="744">
        <f t="shared" si="48"/>
        <v>46.2</v>
      </c>
      <c r="R818" s="935"/>
      <c r="AG818" s="933"/>
    </row>
    <row r="819" spans="1:33" hidden="1">
      <c r="A819" s="970"/>
      <c r="B819" s="966" t="s">
        <v>1208</v>
      </c>
      <c r="C819" s="961">
        <v>174</v>
      </c>
      <c r="D819"/>
      <c r="E819"/>
      <c r="F819" s="939">
        <v>2</v>
      </c>
      <c r="G819" s="938" t="s">
        <v>131</v>
      </c>
      <c r="H819" s="933" t="s">
        <v>1209</v>
      </c>
      <c r="I819" s="744">
        <v>5</v>
      </c>
      <c r="J819" s="779" t="s">
        <v>131</v>
      </c>
      <c r="K819" s="744">
        <f t="shared" si="48"/>
        <v>10</v>
      </c>
      <c r="R819" s="935"/>
      <c r="AG819" s="933"/>
    </row>
    <row r="820" spans="1:33" hidden="1">
      <c r="A820" s="967"/>
      <c r="B820" s="966" t="s">
        <v>1210</v>
      </c>
      <c r="C820" s="961">
        <v>182</v>
      </c>
      <c r="D820"/>
      <c r="E820"/>
      <c r="F820" s="939">
        <v>6</v>
      </c>
      <c r="G820" s="938" t="s">
        <v>131</v>
      </c>
      <c r="H820" s="933" t="s">
        <v>1211</v>
      </c>
      <c r="I820" s="744">
        <v>3.85</v>
      </c>
      <c r="J820" s="779" t="s">
        <v>131</v>
      </c>
      <c r="K820" s="744">
        <f t="shared" si="48"/>
        <v>23.1</v>
      </c>
      <c r="R820" s="935"/>
      <c r="AG820" s="933"/>
    </row>
    <row r="821" spans="1:33" hidden="1">
      <c r="A821" s="970"/>
      <c r="B821" s="966" t="s">
        <v>1212</v>
      </c>
      <c r="C821" s="961">
        <v>444</v>
      </c>
      <c r="D821"/>
      <c r="E821"/>
      <c r="F821" s="939">
        <v>1</v>
      </c>
      <c r="G821" s="938" t="s">
        <v>131</v>
      </c>
      <c r="H821" s="933" t="s">
        <v>1213</v>
      </c>
      <c r="I821" s="744">
        <f>C10</f>
        <v>150</v>
      </c>
      <c r="J821" s="779" t="s">
        <v>131</v>
      </c>
      <c r="K821" s="744">
        <f t="shared" si="48"/>
        <v>150</v>
      </c>
      <c r="R821" s="935"/>
      <c r="AG821" s="933"/>
    </row>
    <row r="822" spans="1:33" hidden="1">
      <c r="A822" s="967"/>
      <c r="B822" s="966" t="s">
        <v>1214</v>
      </c>
      <c r="C822" s="961">
        <v>626</v>
      </c>
      <c r="D822"/>
      <c r="E822"/>
      <c r="F822" s="939">
        <v>1</v>
      </c>
      <c r="G822" s="938" t="s">
        <v>131</v>
      </c>
      <c r="H822" s="933" t="s">
        <v>1215</v>
      </c>
      <c r="I822" s="744">
        <f>C12</f>
        <v>95</v>
      </c>
      <c r="J822" s="779" t="s">
        <v>131</v>
      </c>
      <c r="K822" s="744">
        <f t="shared" si="48"/>
        <v>95</v>
      </c>
      <c r="R822" s="935"/>
      <c r="AG822" s="933"/>
    </row>
    <row r="823" spans="1:33" ht="47.25" hidden="1">
      <c r="A823" s="970">
        <v>6</v>
      </c>
      <c r="B823" s="968" t="s">
        <v>1216</v>
      </c>
      <c r="C823"/>
      <c r="D823"/>
      <c r="E823"/>
      <c r="F823" s="939">
        <v>1</v>
      </c>
      <c r="G823" s="938" t="s">
        <v>131</v>
      </c>
      <c r="H823" s="933" t="s">
        <v>1217</v>
      </c>
      <c r="I823" s="744">
        <v>25</v>
      </c>
      <c r="J823" s="779" t="s">
        <v>131</v>
      </c>
      <c r="K823" s="744">
        <f t="shared" si="48"/>
        <v>25</v>
      </c>
      <c r="R823" s="935"/>
      <c r="AG823" s="933"/>
    </row>
    <row r="824" spans="1:33" hidden="1">
      <c r="A824" s="967"/>
      <c r="B824" s="966" t="s">
        <v>1218</v>
      </c>
      <c r="C824" s="971" t="s">
        <v>1177</v>
      </c>
      <c r="D824"/>
      <c r="E824"/>
      <c r="F824" s="939">
        <v>0.5</v>
      </c>
      <c r="G824" s="938" t="s">
        <v>131</v>
      </c>
      <c r="H824" s="933" t="s">
        <v>1219</v>
      </c>
      <c r="I824" s="744">
        <f>C13</f>
        <v>85</v>
      </c>
      <c r="J824" s="779" t="s">
        <v>131</v>
      </c>
      <c r="K824" s="744">
        <f t="shared" si="48"/>
        <v>42.5</v>
      </c>
      <c r="R824" s="935"/>
      <c r="AG824" s="933"/>
    </row>
    <row r="825" spans="1:33" hidden="1">
      <c r="A825" s="970"/>
      <c r="B825" s="966" t="s">
        <v>1220</v>
      </c>
      <c r="C825" s="961">
        <v>306</v>
      </c>
      <c r="D825"/>
      <c r="E825"/>
      <c r="G825" s="938" t="s">
        <v>145</v>
      </c>
      <c r="H825" s="933" t="s">
        <v>1221</v>
      </c>
      <c r="I825"/>
      <c r="J825" s="779" t="s">
        <v>145</v>
      </c>
      <c r="K825" s="744">
        <v>0.5</v>
      </c>
      <c r="R825" s="935"/>
      <c r="AG825" s="933"/>
    </row>
    <row r="826" spans="1:33" ht="31.5" hidden="1">
      <c r="A826" s="967"/>
      <c r="B826" s="975" t="s">
        <v>1222</v>
      </c>
      <c r="C826" s="961">
        <v>450</v>
      </c>
      <c r="D826"/>
      <c r="E826"/>
      <c r="I826"/>
      <c r="J826" s="805"/>
      <c r="K826" s="776" t="s">
        <v>52</v>
      </c>
      <c r="R826" s="935"/>
      <c r="AG826" s="933"/>
    </row>
    <row r="827" spans="1:33" ht="47.25" hidden="1">
      <c r="A827" s="970">
        <v>7</v>
      </c>
      <c r="B827" s="968" t="s">
        <v>1223</v>
      </c>
      <c r="C827"/>
      <c r="D827"/>
      <c r="E827"/>
      <c r="H827" s="934" t="s">
        <v>1224</v>
      </c>
      <c r="I827"/>
      <c r="J827" s="805"/>
      <c r="K827" s="744" t="e">
        <f>SUM(K815:K825)</f>
        <v>#REF!</v>
      </c>
      <c r="R827" s="935"/>
      <c r="AG827" s="933"/>
    </row>
    <row r="828" spans="1:33" hidden="1">
      <c r="A828" s="967"/>
      <c r="B828" s="966" t="s">
        <v>1220</v>
      </c>
      <c r="C828" s="961">
        <v>575</v>
      </c>
      <c r="D828"/>
      <c r="E828"/>
      <c r="I828"/>
      <c r="J828" s="805"/>
      <c r="K828" s="776" t="s">
        <v>52</v>
      </c>
      <c r="R828" s="935"/>
      <c r="AG828" s="933"/>
    </row>
    <row r="829" spans="1:33" ht="31.5" hidden="1">
      <c r="A829" s="970"/>
      <c r="B829" s="975" t="s">
        <v>1222</v>
      </c>
      <c r="C829" s="961">
        <v>750</v>
      </c>
      <c r="D829"/>
      <c r="E829"/>
      <c r="I829"/>
      <c r="J829" s="805"/>
      <c r="K829"/>
      <c r="R829" s="935"/>
      <c r="AG829" s="933"/>
    </row>
    <row r="830" spans="1:33" ht="47.25" hidden="1">
      <c r="A830" s="967">
        <v>8</v>
      </c>
      <c r="B830" s="968" t="s">
        <v>1225</v>
      </c>
      <c r="C830"/>
      <c r="D830"/>
      <c r="E830"/>
      <c r="I830"/>
      <c r="J830" s="805"/>
      <c r="K830"/>
      <c r="R830" s="935"/>
      <c r="AG830" s="933"/>
    </row>
    <row r="831" spans="1:33" hidden="1">
      <c r="A831" s="970"/>
      <c r="B831" s="930" t="s">
        <v>1226</v>
      </c>
      <c r="C831" s="961">
        <v>850</v>
      </c>
      <c r="D831"/>
      <c r="E831"/>
      <c r="G831" s="938" t="s">
        <v>956</v>
      </c>
      <c r="H831" s="934" t="s">
        <v>1227</v>
      </c>
      <c r="I831"/>
      <c r="J831" s="805"/>
      <c r="K831"/>
      <c r="R831" s="933" t="s">
        <v>85</v>
      </c>
      <c r="AG831" s="933" t="s">
        <v>120</v>
      </c>
    </row>
    <row r="832" spans="1:33" hidden="1">
      <c r="A832" s="967"/>
      <c r="B832" s="930" t="s">
        <v>1228</v>
      </c>
      <c r="C832" s="961">
        <v>1050</v>
      </c>
      <c r="D832"/>
      <c r="E832"/>
      <c r="H832" s="934" t="s">
        <v>1199</v>
      </c>
      <c r="I832"/>
      <c r="J832" s="805"/>
      <c r="K832"/>
      <c r="N832" s="933" t="s">
        <v>1018</v>
      </c>
      <c r="O832" s="933" t="s">
        <v>1229</v>
      </c>
      <c r="AG832" s="933" t="s">
        <v>120</v>
      </c>
    </row>
    <row r="833" spans="1:33" ht="69" hidden="1" customHeight="1">
      <c r="A833" s="970">
        <v>9</v>
      </c>
      <c r="B833" s="968" t="s">
        <v>1230</v>
      </c>
      <c r="C833"/>
      <c r="D833"/>
      <c r="E833"/>
      <c r="F833" s="960">
        <v>3.7600000000000001E-2</v>
      </c>
      <c r="G833" s="938" t="s">
        <v>132</v>
      </c>
      <c r="H833" s="933" t="s">
        <v>1201</v>
      </c>
      <c r="I833" s="744" t="e">
        <f>K781</f>
        <v>#REF!</v>
      </c>
      <c r="J833" s="779" t="s">
        <v>132</v>
      </c>
      <c r="K833" s="744" t="e">
        <f>F833*I833</f>
        <v>#REF!</v>
      </c>
      <c r="O833" s="933" t="s">
        <v>1137</v>
      </c>
      <c r="AG833" s="933" t="s">
        <v>120</v>
      </c>
    </row>
    <row r="834" spans="1:33" hidden="1">
      <c r="A834" s="967"/>
      <c r="B834" s="930" t="s">
        <v>1231</v>
      </c>
      <c r="C834" s="971" t="s">
        <v>1177</v>
      </c>
      <c r="D834"/>
      <c r="E834"/>
      <c r="F834" s="939">
        <v>4.87</v>
      </c>
      <c r="G834" s="938" t="s">
        <v>39</v>
      </c>
      <c r="H834" s="933" t="s">
        <v>1203</v>
      </c>
      <c r="I834" s="744">
        <f>K1513</f>
        <v>33174.400000000001</v>
      </c>
      <c r="J834" s="779" t="s">
        <v>122</v>
      </c>
      <c r="K834" s="744">
        <f>F834*I834/1000</f>
        <v>161.56</v>
      </c>
      <c r="N834" s="933" t="s">
        <v>994</v>
      </c>
      <c r="O834" s="933" t="s">
        <v>1139</v>
      </c>
      <c r="P834" s="939">
        <v>43</v>
      </c>
      <c r="R834" s="939" t="e">
        <f>(#VALUE!*P834)</f>
        <v>#VALUE!</v>
      </c>
      <c r="AG834" s="933" t="s">
        <v>120</v>
      </c>
    </row>
    <row r="835" spans="1:33" hidden="1">
      <c r="A835" s="970"/>
      <c r="B835" s="966" t="s">
        <v>1232</v>
      </c>
      <c r="C835" s="973" t="s">
        <v>1177</v>
      </c>
      <c r="D835"/>
      <c r="E835"/>
      <c r="F835" s="939">
        <v>3</v>
      </c>
      <c r="G835" s="938" t="s">
        <v>131</v>
      </c>
      <c r="H835" s="933" t="s">
        <v>1205</v>
      </c>
      <c r="I835" s="744">
        <v>16.5</v>
      </c>
      <c r="J835" s="779" t="s">
        <v>131</v>
      </c>
      <c r="K835" s="744">
        <f t="shared" ref="K835:K841" si="49">F835*I835</f>
        <v>49.5</v>
      </c>
      <c r="O835" s="933" t="s">
        <v>1141</v>
      </c>
      <c r="AG835" s="933" t="s">
        <v>120</v>
      </c>
    </row>
    <row r="836" spans="1:33" ht="70.5" hidden="1" customHeight="1">
      <c r="A836" s="967">
        <v>10</v>
      </c>
      <c r="B836" s="968" t="s">
        <v>1233</v>
      </c>
      <c r="C836"/>
      <c r="D836"/>
      <c r="E836"/>
      <c r="F836" s="939">
        <v>12</v>
      </c>
      <c r="G836" s="938" t="s">
        <v>131</v>
      </c>
      <c r="H836" s="933" t="s">
        <v>1207</v>
      </c>
      <c r="I836" s="744">
        <v>3.85</v>
      </c>
      <c r="J836" s="779" t="s">
        <v>131</v>
      </c>
      <c r="K836" s="744">
        <f t="shared" si="49"/>
        <v>46.2</v>
      </c>
      <c r="O836" s="933" t="s">
        <v>1143</v>
      </c>
      <c r="AG836" s="933" t="s">
        <v>120</v>
      </c>
    </row>
    <row r="837" spans="1:33" hidden="1">
      <c r="A837" s="970"/>
      <c r="B837" s="966" t="s">
        <v>1234</v>
      </c>
      <c r="C837" s="961" t="s">
        <v>1177</v>
      </c>
      <c r="D837"/>
      <c r="E837"/>
      <c r="F837" s="939">
        <v>2</v>
      </c>
      <c r="G837" s="938" t="s">
        <v>131</v>
      </c>
      <c r="H837" s="933" t="s">
        <v>1209</v>
      </c>
      <c r="I837" s="744">
        <v>5</v>
      </c>
      <c r="J837" s="779" t="s">
        <v>131</v>
      </c>
      <c r="K837" s="744">
        <f t="shared" si="49"/>
        <v>10</v>
      </c>
      <c r="N837" s="933" t="s">
        <v>425</v>
      </c>
      <c r="O837" s="933" t="s">
        <v>1144</v>
      </c>
      <c r="P837" s="939">
        <f>C271</f>
        <v>160</v>
      </c>
      <c r="R837" s="939" t="e">
        <f>(#VALUE!*P837)</f>
        <v>#VALUE!</v>
      </c>
      <c r="AG837" s="933" t="s">
        <v>120</v>
      </c>
    </row>
    <row r="838" spans="1:33" hidden="1">
      <c r="A838" s="967"/>
      <c r="B838" s="966" t="s">
        <v>1232</v>
      </c>
      <c r="C838" s="961" t="s">
        <v>1177</v>
      </c>
      <c r="D838"/>
      <c r="E838"/>
      <c r="F838" s="939">
        <v>6</v>
      </c>
      <c r="G838" s="938" t="s">
        <v>131</v>
      </c>
      <c r="H838" s="933" t="s">
        <v>1211</v>
      </c>
      <c r="I838" s="744">
        <v>3.85</v>
      </c>
      <c r="J838" s="779" t="s">
        <v>131</v>
      </c>
      <c r="K838" s="744">
        <f t="shared" si="49"/>
        <v>23.1</v>
      </c>
      <c r="N838" s="933" t="s">
        <v>131</v>
      </c>
      <c r="O838" s="933" t="s">
        <v>1145</v>
      </c>
      <c r="P838" s="939">
        <v>5</v>
      </c>
      <c r="R838" s="939" t="e">
        <f>(#VALUE!*P838)</f>
        <v>#VALUE!</v>
      </c>
      <c r="AG838" s="933" t="s">
        <v>120</v>
      </c>
    </row>
    <row r="839" spans="1:33" hidden="1">
      <c r="A839" s="970"/>
      <c r="B839" s="966" t="s">
        <v>1235</v>
      </c>
      <c r="C839" s="961" t="s">
        <v>1177</v>
      </c>
      <c r="D839"/>
      <c r="E839"/>
      <c r="F839" s="939">
        <v>1</v>
      </c>
      <c r="G839" s="938" t="s">
        <v>131</v>
      </c>
      <c r="H839" s="933" t="s">
        <v>1213</v>
      </c>
      <c r="I839" s="744">
        <f>C10</f>
        <v>150</v>
      </c>
      <c r="J839" s="779" t="s">
        <v>131</v>
      </c>
      <c r="K839" s="744">
        <f t="shared" si="49"/>
        <v>150</v>
      </c>
      <c r="N839" s="933" t="s">
        <v>131</v>
      </c>
      <c r="O839" s="933" t="s">
        <v>1146</v>
      </c>
      <c r="P839" s="939">
        <v>10</v>
      </c>
      <c r="R839" s="939" t="e">
        <f>(#VALUE!*P839)</f>
        <v>#VALUE!</v>
      </c>
      <c r="AG839" s="933" t="s">
        <v>120</v>
      </c>
    </row>
    <row r="840" spans="1:33" hidden="1">
      <c r="A840" s="967"/>
      <c r="B840" s="966" t="s">
        <v>1236</v>
      </c>
      <c r="C840" s="971" t="s">
        <v>1177</v>
      </c>
      <c r="D840"/>
      <c r="E840"/>
      <c r="F840" s="939">
        <v>1</v>
      </c>
      <c r="G840" s="938" t="s">
        <v>131</v>
      </c>
      <c r="H840" s="933" t="s">
        <v>1215</v>
      </c>
      <c r="I840" s="744">
        <f>C12</f>
        <v>95</v>
      </c>
      <c r="J840" s="779" t="s">
        <v>131</v>
      </c>
      <c r="K840" s="744">
        <f t="shared" si="49"/>
        <v>95</v>
      </c>
      <c r="N840" s="933" t="s">
        <v>131</v>
      </c>
      <c r="O840" s="933" t="s">
        <v>1147</v>
      </c>
      <c r="P840" s="939">
        <v>8</v>
      </c>
      <c r="R840" s="939" t="e">
        <f>(#VALUE!*P840)</f>
        <v>#VALUE!</v>
      </c>
      <c r="AG840" s="933" t="s">
        <v>120</v>
      </c>
    </row>
    <row r="841" spans="1:33" hidden="1">
      <c r="A841" s="970"/>
      <c r="B841" s="966" t="s">
        <v>1237</v>
      </c>
      <c r="C841" s="961">
        <v>1459</v>
      </c>
      <c r="D841"/>
      <c r="E841"/>
      <c r="F841" s="939">
        <v>1</v>
      </c>
      <c r="G841" s="938" t="s">
        <v>131</v>
      </c>
      <c r="H841" s="933" t="s">
        <v>1217</v>
      </c>
      <c r="I841" s="744">
        <v>25</v>
      </c>
      <c r="J841" s="779" t="s">
        <v>131</v>
      </c>
      <c r="K841" s="744">
        <f t="shared" si="49"/>
        <v>25</v>
      </c>
      <c r="N841" s="933" t="s">
        <v>13</v>
      </c>
      <c r="O841" s="933" t="s">
        <v>1148</v>
      </c>
      <c r="P841" s="939">
        <v>13.66</v>
      </c>
      <c r="R841" s="939" t="e">
        <f>(#VALUE!*P841)</f>
        <v>#VALUE!</v>
      </c>
      <c r="AG841" s="933" t="s">
        <v>120</v>
      </c>
    </row>
    <row r="842" spans="1:33" ht="33" hidden="1" customHeight="1">
      <c r="A842" s="970"/>
      <c r="B842" s="975" t="s">
        <v>1238</v>
      </c>
      <c r="C842" s="961">
        <v>1930</v>
      </c>
      <c r="D842"/>
      <c r="E842"/>
      <c r="F842" s="939"/>
      <c r="G842" s="938"/>
      <c r="H842" s="933"/>
      <c r="I842" s="744"/>
      <c r="J842" s="779"/>
      <c r="K842" s="744"/>
      <c r="N842" s="933"/>
      <c r="O842" s="933"/>
      <c r="P842" s="939"/>
      <c r="R842" s="939"/>
      <c r="AG842" s="933"/>
    </row>
    <row r="843" spans="1:33" ht="37.5" hidden="1" customHeight="1">
      <c r="A843" s="967"/>
      <c r="B843" s="976" t="s">
        <v>1239</v>
      </c>
      <c r="C843" s="961">
        <v>2630</v>
      </c>
      <c r="D843"/>
      <c r="E843"/>
      <c r="F843" s="939">
        <v>0.5</v>
      </c>
      <c r="G843" s="938" t="s">
        <v>131</v>
      </c>
      <c r="H843" s="933" t="s">
        <v>1219</v>
      </c>
      <c r="I843" s="744">
        <f>C13</f>
        <v>85</v>
      </c>
      <c r="J843" s="779" t="s">
        <v>131</v>
      </c>
      <c r="K843" s="744">
        <f>F843*I843</f>
        <v>42.5</v>
      </c>
      <c r="N843" s="933" t="s">
        <v>425</v>
      </c>
      <c r="O843" s="933" t="s">
        <v>1151</v>
      </c>
      <c r="P843" s="939">
        <v>25.46</v>
      </c>
      <c r="R843" s="939" t="e">
        <f>(#VALUE!*P843)</f>
        <v>#VALUE!</v>
      </c>
      <c r="AG843" s="933" t="s">
        <v>120</v>
      </c>
    </row>
    <row r="844" spans="1:33" ht="70.5" hidden="1" customHeight="1">
      <c r="A844" s="970">
        <v>11</v>
      </c>
      <c r="B844" s="968" t="s">
        <v>1240</v>
      </c>
      <c r="C844"/>
      <c r="D844"/>
      <c r="E844"/>
      <c r="G844" s="938" t="s">
        <v>145</v>
      </c>
      <c r="H844" s="933" t="s">
        <v>1221</v>
      </c>
      <c r="I844"/>
      <c r="J844" s="779" t="s">
        <v>145</v>
      </c>
      <c r="K844" s="744">
        <v>0.5</v>
      </c>
      <c r="N844" s="933" t="s">
        <v>131</v>
      </c>
      <c r="O844" s="933" t="s">
        <v>1153</v>
      </c>
      <c r="P844" s="939">
        <v>0.5</v>
      </c>
      <c r="R844" s="939" t="e">
        <f>(#VALUE!*P844)</f>
        <v>#VALUE!</v>
      </c>
      <c r="AG844" s="933" t="s">
        <v>120</v>
      </c>
    </row>
    <row r="845" spans="1:33" hidden="1">
      <c r="A845" s="967"/>
      <c r="B845" s="966" t="s">
        <v>1241</v>
      </c>
      <c r="C845" s="961">
        <v>642</v>
      </c>
      <c r="D845"/>
      <c r="E845"/>
      <c r="I845"/>
      <c r="J845" s="805"/>
      <c r="K845" s="776" t="s">
        <v>52</v>
      </c>
      <c r="R845" s="939">
        <v>0.97</v>
      </c>
      <c r="AG845" s="933" t="s">
        <v>120</v>
      </c>
    </row>
    <row r="846" spans="1:33" ht="70.5" hidden="1" customHeight="1">
      <c r="A846" s="970">
        <v>12</v>
      </c>
      <c r="B846" s="968" t="s">
        <v>1242</v>
      </c>
      <c r="C846"/>
      <c r="D846"/>
      <c r="E846"/>
      <c r="H846" s="934" t="s">
        <v>1224</v>
      </c>
      <c r="I846"/>
      <c r="J846" s="805"/>
      <c r="K846" s="744" t="e">
        <f>SUM(K833:K844)</f>
        <v>#REF!</v>
      </c>
      <c r="R846" s="935" t="s">
        <v>52</v>
      </c>
      <c r="AG846" s="933" t="s">
        <v>120</v>
      </c>
    </row>
    <row r="847" spans="1:33" hidden="1">
      <c r="A847" s="967"/>
      <c r="B847" s="966" t="s">
        <v>1241</v>
      </c>
      <c r="C847" s="961">
        <v>864</v>
      </c>
      <c r="D847"/>
      <c r="E847"/>
      <c r="I847"/>
      <c r="J847" s="805"/>
      <c r="K847" s="776" t="s">
        <v>52</v>
      </c>
      <c r="O847" s="934" t="s">
        <v>1156</v>
      </c>
      <c r="R847" s="939" t="e">
        <f>SUM(R834:R845)</f>
        <v>#VALUE!</v>
      </c>
      <c r="AG847" s="933" t="s">
        <v>120</v>
      </c>
    </row>
    <row r="848" spans="1:33" ht="97.5" hidden="1" customHeight="1">
      <c r="A848" s="970">
        <v>13</v>
      </c>
      <c r="B848" s="968" t="s">
        <v>1243</v>
      </c>
      <c r="C848"/>
      <c r="D848"/>
      <c r="E848"/>
      <c r="F848" s="934"/>
      <c r="G848" s="938" t="s">
        <v>986</v>
      </c>
      <c r="H848" s="934" t="s">
        <v>1244</v>
      </c>
      <c r="I848"/>
      <c r="J848" s="805"/>
      <c r="K848"/>
      <c r="R848" s="935" t="s">
        <v>52</v>
      </c>
      <c r="AG848" s="933" t="s">
        <v>120</v>
      </c>
    </row>
    <row r="849" spans="1:18" hidden="1">
      <c r="A849" s="967"/>
      <c r="B849" s="966" t="s">
        <v>1245</v>
      </c>
      <c r="C849" s="961">
        <v>3100</v>
      </c>
      <c r="D849"/>
      <c r="E849"/>
      <c r="H849" s="934" t="s">
        <v>1199</v>
      </c>
      <c r="I849"/>
      <c r="J849" s="805"/>
      <c r="K849"/>
    </row>
    <row r="850" spans="1:18" hidden="1">
      <c r="A850" s="970"/>
      <c r="B850" s="974" t="s">
        <v>1246</v>
      </c>
      <c r="C850" s="961">
        <v>3267</v>
      </c>
      <c r="D850"/>
      <c r="E850"/>
      <c r="F850" s="960">
        <v>3.5299999999999998E-2</v>
      </c>
      <c r="G850" s="938" t="s">
        <v>132</v>
      </c>
      <c r="H850" s="933" t="s">
        <v>1201</v>
      </c>
      <c r="I850" s="744" t="e">
        <f>K781</f>
        <v>#REF!</v>
      </c>
      <c r="J850" s="779" t="s">
        <v>132</v>
      </c>
      <c r="K850" s="744" t="e">
        <f>F850*I850</f>
        <v>#REF!</v>
      </c>
      <c r="M850" s="934" t="s">
        <v>1247</v>
      </c>
      <c r="N850" s="933" t="s">
        <v>111</v>
      </c>
      <c r="O850" s="933" t="s">
        <v>1248</v>
      </c>
    </row>
    <row r="851" spans="1:18" ht="33" hidden="1" customHeight="1">
      <c r="A851" s="967"/>
      <c r="B851" s="976" t="s">
        <v>1249</v>
      </c>
      <c r="C851" s="961">
        <v>1790</v>
      </c>
      <c r="D851"/>
      <c r="E851"/>
      <c r="F851" s="939">
        <v>4.59</v>
      </c>
      <c r="G851" s="938" t="s">
        <v>39</v>
      </c>
      <c r="H851" s="933" t="s">
        <v>1203</v>
      </c>
      <c r="I851" s="744">
        <f>K1513</f>
        <v>33174.400000000001</v>
      </c>
      <c r="J851" s="779" t="s">
        <v>122</v>
      </c>
      <c r="K851" s="744">
        <f>F851*I851/1000</f>
        <v>152.27000000000001</v>
      </c>
      <c r="O851" s="933" t="s">
        <v>1250</v>
      </c>
    </row>
    <row r="852" spans="1:18" ht="33" hidden="1" customHeight="1">
      <c r="A852" s="970">
        <v>14</v>
      </c>
      <c r="B852" s="977" t="s">
        <v>1251</v>
      </c>
      <c r="C852"/>
      <c r="D852"/>
      <c r="E852"/>
      <c r="F852" s="939"/>
      <c r="G852" s="938"/>
      <c r="H852" s="933"/>
      <c r="I852" s="744"/>
      <c r="J852" s="779"/>
      <c r="K852" s="744"/>
      <c r="O852" s="933"/>
    </row>
    <row r="853" spans="1:18" hidden="1">
      <c r="A853" s="967"/>
      <c r="B853" s="974" t="s">
        <v>1252</v>
      </c>
      <c r="C853" s="971" t="s">
        <v>1177</v>
      </c>
      <c r="D853"/>
      <c r="E853"/>
      <c r="F853" s="939">
        <v>3</v>
      </c>
      <c r="G853" s="938" t="s">
        <v>131</v>
      </c>
      <c r="H853" s="933" t="s">
        <v>1205</v>
      </c>
      <c r="I853" s="744">
        <v>16.5</v>
      </c>
      <c r="J853" s="779" t="s">
        <v>131</v>
      </c>
      <c r="K853" s="744">
        <f t="shared" ref="K853:K860" si="50">F853*I853</f>
        <v>49.5</v>
      </c>
      <c r="O853" s="935" t="s">
        <v>52</v>
      </c>
      <c r="P853" s="935" t="s">
        <v>52</v>
      </c>
    </row>
    <row r="854" spans="1:18" hidden="1">
      <c r="A854" s="970"/>
      <c r="B854" s="930" t="s">
        <v>1253</v>
      </c>
      <c r="C854" s="971" t="s">
        <v>1177</v>
      </c>
      <c r="D854"/>
      <c r="E854"/>
      <c r="F854" s="939">
        <v>12</v>
      </c>
      <c r="G854" s="938" t="s">
        <v>131</v>
      </c>
      <c r="H854" s="933" t="s">
        <v>1207</v>
      </c>
      <c r="I854" s="744">
        <v>3.85</v>
      </c>
      <c r="J854" s="779" t="s">
        <v>131</v>
      </c>
      <c r="K854" s="744">
        <f t="shared" si="50"/>
        <v>46.2</v>
      </c>
      <c r="O854" s="933" t="s">
        <v>1254</v>
      </c>
    </row>
    <row r="855" spans="1:18" hidden="1">
      <c r="A855" s="967"/>
      <c r="B855" s="930" t="s">
        <v>1255</v>
      </c>
      <c r="C855" s="971" t="s">
        <v>1177</v>
      </c>
      <c r="D855"/>
      <c r="E855"/>
      <c r="F855" s="939">
        <v>2</v>
      </c>
      <c r="G855" s="938" t="s">
        <v>131</v>
      </c>
      <c r="H855" s="939" t="str">
        <f>H837</f>
        <v>TOWER BOLT RECEIVER</v>
      </c>
      <c r="I855" s="744">
        <v>5</v>
      </c>
      <c r="J855" s="779" t="s">
        <v>131</v>
      </c>
      <c r="K855" s="744">
        <f t="shared" si="50"/>
        <v>10</v>
      </c>
      <c r="M855" s="939">
        <v>0.5</v>
      </c>
      <c r="N855" s="934" t="s">
        <v>237</v>
      </c>
      <c r="O855" s="933" t="s">
        <v>188</v>
      </c>
      <c r="P855" s="939">
        <f>C16</f>
        <v>150</v>
      </c>
      <c r="Q855" s="934" t="s">
        <v>972</v>
      </c>
      <c r="R855" s="939">
        <f>(M855*P855)</f>
        <v>75</v>
      </c>
    </row>
    <row r="856" spans="1:18" ht="52.5" hidden="1" customHeight="1">
      <c r="A856" s="970">
        <v>15</v>
      </c>
      <c r="B856" s="977" t="s">
        <v>1256</v>
      </c>
      <c r="C856" s="971"/>
      <c r="D856"/>
      <c r="E856"/>
      <c r="F856" s="939">
        <v>6</v>
      </c>
      <c r="G856" s="938" t="s">
        <v>131</v>
      </c>
      <c r="H856" s="933" t="s">
        <v>1211</v>
      </c>
      <c r="I856" s="744">
        <v>3.85</v>
      </c>
      <c r="J856" s="779" t="s">
        <v>131</v>
      </c>
      <c r="K856" s="744">
        <f t="shared" si="50"/>
        <v>23.1</v>
      </c>
      <c r="M856" s="939">
        <v>0.25</v>
      </c>
      <c r="N856" s="934" t="s">
        <v>237</v>
      </c>
      <c r="O856" s="933" t="s">
        <v>143</v>
      </c>
      <c r="P856" s="939">
        <f>C13</f>
        <v>85</v>
      </c>
      <c r="Q856" s="934" t="s">
        <v>972</v>
      </c>
      <c r="R856" s="939">
        <f>(M856*P856)</f>
        <v>21.25</v>
      </c>
    </row>
    <row r="857" spans="1:18" hidden="1">
      <c r="A857" s="967"/>
      <c r="B857" s="930" t="s">
        <v>1257</v>
      </c>
      <c r="C857" s="971" t="s">
        <v>1177</v>
      </c>
      <c r="D857"/>
      <c r="E857"/>
      <c r="F857" s="939">
        <v>1</v>
      </c>
      <c r="G857" s="938" t="s">
        <v>131</v>
      </c>
      <c r="H857" s="933" t="s">
        <v>1213</v>
      </c>
      <c r="I857" s="744">
        <f>C10</f>
        <v>150</v>
      </c>
      <c r="J857" s="779" t="s">
        <v>131</v>
      </c>
      <c r="K857" s="744">
        <f t="shared" si="50"/>
        <v>150</v>
      </c>
      <c r="R857" s="935" t="s">
        <v>52</v>
      </c>
    </row>
    <row r="858" spans="1:18" hidden="1">
      <c r="A858" s="970"/>
      <c r="B858" s="930" t="s">
        <v>1258</v>
      </c>
      <c r="C858" s="971" t="s">
        <v>1177</v>
      </c>
      <c r="D858"/>
      <c r="E858"/>
      <c r="F858" s="939">
        <v>1</v>
      </c>
      <c r="G858" s="938" t="s">
        <v>131</v>
      </c>
      <c r="H858" s="933" t="s">
        <v>1215</v>
      </c>
      <c r="I858" s="744">
        <f>C12</f>
        <v>95</v>
      </c>
      <c r="J858" s="779" t="s">
        <v>131</v>
      </c>
      <c r="K858" s="744">
        <f t="shared" si="50"/>
        <v>95</v>
      </c>
      <c r="O858" s="934" t="s">
        <v>1259</v>
      </c>
      <c r="R858" s="939">
        <f>SUM(R855:R856)</f>
        <v>96.25</v>
      </c>
    </row>
    <row r="859" spans="1:18" hidden="1">
      <c r="A859" s="967"/>
      <c r="B859" s="974" t="s">
        <v>1260</v>
      </c>
      <c r="C859" s="971" t="s">
        <v>1177</v>
      </c>
      <c r="D859"/>
      <c r="E859"/>
      <c r="F859" s="939">
        <v>1</v>
      </c>
      <c r="G859" s="938" t="s">
        <v>131</v>
      </c>
      <c r="H859" s="939" t="str">
        <f>H841</f>
        <v>MOULDING CHARGES</v>
      </c>
      <c r="I859" s="744">
        <v>25</v>
      </c>
      <c r="J859" s="779" t="s">
        <v>131</v>
      </c>
      <c r="K859" s="744">
        <f t="shared" si="50"/>
        <v>25</v>
      </c>
      <c r="R859" s="935" t="s">
        <v>52</v>
      </c>
    </row>
    <row r="860" spans="1:18" hidden="1">
      <c r="A860" s="970">
        <v>16</v>
      </c>
      <c r="B860" s="977" t="s">
        <v>1261</v>
      </c>
      <c r="C860"/>
      <c r="D860"/>
      <c r="E860"/>
      <c r="F860" s="939">
        <v>0.5</v>
      </c>
      <c r="G860" s="938" t="s">
        <v>131</v>
      </c>
      <c r="H860" s="933" t="s">
        <v>1219</v>
      </c>
      <c r="I860" s="744">
        <f>C13</f>
        <v>85</v>
      </c>
      <c r="J860" s="779" t="s">
        <v>131</v>
      </c>
      <c r="K860" s="744">
        <f t="shared" si="50"/>
        <v>42.5</v>
      </c>
      <c r="O860" s="934" t="s">
        <v>1262</v>
      </c>
      <c r="R860" s="939">
        <f>R858/0.0283</f>
        <v>3401.06</v>
      </c>
    </row>
    <row r="861" spans="1:18" hidden="1">
      <c r="A861" s="978"/>
      <c r="B861" s="966" t="s">
        <v>1263</v>
      </c>
      <c r="C861" s="961">
        <v>10</v>
      </c>
      <c r="D861"/>
      <c r="E861"/>
      <c r="G861" s="938" t="s">
        <v>145</v>
      </c>
      <c r="H861" s="933" t="s">
        <v>1221</v>
      </c>
      <c r="I861"/>
      <c r="J861" s="779" t="s">
        <v>145</v>
      </c>
      <c r="K861" s="744">
        <v>0.5</v>
      </c>
      <c r="R861" s="935" t="s">
        <v>52</v>
      </c>
    </row>
    <row r="862" spans="1:18" hidden="1">
      <c r="A862" s="978"/>
      <c r="B862" s="966" t="s">
        <v>1264</v>
      </c>
      <c r="C862" s="961">
        <v>10</v>
      </c>
      <c r="D862"/>
      <c r="E862"/>
      <c r="I862"/>
      <c r="J862" s="805"/>
      <c r="K862" s="776" t="s">
        <v>52</v>
      </c>
    </row>
    <row r="863" spans="1:18" ht="31.5" hidden="1">
      <c r="A863" s="970">
        <v>17</v>
      </c>
      <c r="B863" s="977" t="s">
        <v>1265</v>
      </c>
      <c r="C863"/>
      <c r="D863"/>
      <c r="E863"/>
      <c r="H863" s="934" t="s">
        <v>1224</v>
      </c>
      <c r="I863"/>
      <c r="J863" s="805"/>
      <c r="K863" s="744" t="e">
        <f>SUM(K850:K861)</f>
        <v>#REF!</v>
      </c>
    </row>
    <row r="864" spans="1:18" hidden="1">
      <c r="A864" s="970"/>
      <c r="B864" s="930" t="s">
        <v>1266</v>
      </c>
      <c r="C864" s="961">
        <v>170</v>
      </c>
      <c r="D864"/>
      <c r="E864"/>
      <c r="I864"/>
      <c r="J864" s="805"/>
      <c r="K864" s="776" t="s">
        <v>52</v>
      </c>
    </row>
    <row r="865" spans="1:33" hidden="1">
      <c r="A865" s="970"/>
      <c r="B865" s="966" t="s">
        <v>1267</v>
      </c>
      <c r="C865" s="961">
        <v>170</v>
      </c>
      <c r="D865"/>
      <c r="E865"/>
      <c r="I865"/>
      <c r="J865" s="805"/>
      <c r="K865"/>
    </row>
    <row r="866" spans="1:33" hidden="1">
      <c r="A866" s="970"/>
      <c r="B866" s="966" t="s">
        <v>1268</v>
      </c>
      <c r="C866" s="961">
        <v>295</v>
      </c>
      <c r="D866"/>
      <c r="E866"/>
      <c r="I866"/>
      <c r="J866" s="805"/>
      <c r="K866"/>
    </row>
    <row r="867" spans="1:33" ht="31.5" hidden="1">
      <c r="A867" s="970"/>
      <c r="B867" s="975" t="s">
        <v>1269</v>
      </c>
      <c r="C867" s="961">
        <v>240</v>
      </c>
      <c r="D867"/>
      <c r="E867"/>
      <c r="I867"/>
      <c r="J867" s="805"/>
      <c r="K867"/>
    </row>
    <row r="868" spans="1:33" ht="142.5" hidden="1" customHeight="1">
      <c r="A868" s="970"/>
      <c r="C868"/>
      <c r="D868"/>
      <c r="E868"/>
      <c r="F868" s="979">
        <v>21.3</v>
      </c>
      <c r="G868" s="938" t="s">
        <v>111</v>
      </c>
      <c r="H868" s="980" t="s">
        <v>1270</v>
      </c>
      <c r="I868"/>
      <c r="J868" s="805"/>
      <c r="K868"/>
      <c r="AG868" s="933" t="s">
        <v>120</v>
      </c>
    </row>
    <row r="869" spans="1:33" hidden="1">
      <c r="A869" s="970"/>
      <c r="B869" s="966" t="s">
        <v>1271</v>
      </c>
      <c r="C869" s="971" t="s">
        <v>1272</v>
      </c>
      <c r="D869"/>
      <c r="E869"/>
      <c r="H869" s="933" t="s">
        <v>1273</v>
      </c>
      <c r="I869"/>
      <c r="J869" s="805"/>
      <c r="K869"/>
      <c r="M869" s="939">
        <v>11.64</v>
      </c>
      <c r="N869" s="933" t="s">
        <v>13</v>
      </c>
      <c r="O869" s="933" t="s">
        <v>1148</v>
      </c>
      <c r="P869" s="939">
        <v>13.66</v>
      </c>
      <c r="R869" s="939">
        <f>(M869*P869)</f>
        <v>159</v>
      </c>
      <c r="AG869" s="933" t="s">
        <v>120</v>
      </c>
    </row>
    <row r="870" spans="1:33" hidden="1">
      <c r="A870" s="970"/>
      <c r="B870" s="966" t="s">
        <v>1274</v>
      </c>
      <c r="C870" s="971" t="s">
        <v>1272</v>
      </c>
      <c r="D870"/>
      <c r="E870"/>
      <c r="H870" s="935" t="s">
        <v>52</v>
      </c>
      <c r="I870"/>
      <c r="J870" s="805"/>
      <c r="K870"/>
      <c r="M870" s="959">
        <v>1.62</v>
      </c>
      <c r="N870" s="933" t="s">
        <v>425</v>
      </c>
      <c r="O870" s="933" t="s">
        <v>1151</v>
      </c>
      <c r="P870" s="939">
        <v>25.46</v>
      </c>
      <c r="R870" s="939">
        <f>(M870*P870)</f>
        <v>41.25</v>
      </c>
      <c r="AG870" s="933" t="s">
        <v>120</v>
      </c>
    </row>
    <row r="871" spans="1:33" hidden="1">
      <c r="A871" s="970"/>
      <c r="B871" s="966" t="s">
        <v>1275</v>
      </c>
      <c r="C871" s="971" t="s">
        <v>1272</v>
      </c>
      <c r="D871"/>
      <c r="E871"/>
      <c r="I871"/>
      <c r="J871" s="805"/>
      <c r="K871"/>
      <c r="M871" s="939">
        <v>48</v>
      </c>
      <c r="N871" s="933" t="s">
        <v>131</v>
      </c>
      <c r="O871" s="933" t="s">
        <v>1153</v>
      </c>
      <c r="P871" s="939">
        <v>0.5</v>
      </c>
      <c r="R871" s="939">
        <f>(M871*P871)</f>
        <v>24</v>
      </c>
      <c r="AG871" s="933" t="s">
        <v>120</v>
      </c>
    </row>
    <row r="872" spans="1:33" hidden="1">
      <c r="A872" s="970"/>
      <c r="B872" s="966" t="s">
        <v>1276</v>
      </c>
      <c r="C872" s="971" t="s">
        <v>1272</v>
      </c>
      <c r="D872"/>
      <c r="E872"/>
      <c r="H872" s="933" t="s">
        <v>1273</v>
      </c>
      <c r="I872"/>
      <c r="J872" s="779" t="s">
        <v>425</v>
      </c>
      <c r="K872" s="744">
        <v>1450</v>
      </c>
      <c r="R872" s="939">
        <v>0.23</v>
      </c>
      <c r="AG872" s="933" t="s">
        <v>120</v>
      </c>
    </row>
    <row r="873" spans="1:33" hidden="1">
      <c r="A873" s="970">
        <v>18</v>
      </c>
      <c r="B873" s="972" t="s">
        <v>1277</v>
      </c>
      <c r="C873"/>
      <c r="D873"/>
      <c r="E873"/>
      <c r="F873" s="933" t="s">
        <v>85</v>
      </c>
      <c r="I873"/>
      <c r="J873" s="805"/>
      <c r="K873"/>
    </row>
    <row r="874" spans="1:33" hidden="1">
      <c r="A874" s="970"/>
      <c r="B874" s="966" t="s">
        <v>1278</v>
      </c>
      <c r="C874" s="961">
        <v>113</v>
      </c>
      <c r="D874"/>
      <c r="E874"/>
      <c r="H874" s="934" t="s">
        <v>1279</v>
      </c>
      <c r="I874"/>
      <c r="J874" s="805"/>
      <c r="K874" s="776" t="s">
        <v>89</v>
      </c>
      <c r="R874" s="935" t="s">
        <v>52</v>
      </c>
      <c r="AG874" s="933" t="s">
        <v>120</v>
      </c>
    </row>
    <row r="875" spans="1:33" hidden="1">
      <c r="A875" s="970"/>
      <c r="B875" s="966" t="s">
        <v>1280</v>
      </c>
      <c r="C875" s="961">
        <v>135</v>
      </c>
      <c r="D875"/>
      <c r="E875"/>
      <c r="H875" s="934" t="s">
        <v>1281</v>
      </c>
      <c r="I875"/>
      <c r="J875" s="805"/>
      <c r="K875"/>
      <c r="O875" s="934" t="s">
        <v>1156</v>
      </c>
      <c r="R875" s="939">
        <f>SUM(R869:R872)</f>
        <v>224.48</v>
      </c>
      <c r="AG875" s="933" t="s">
        <v>120</v>
      </c>
    </row>
    <row r="876" spans="1:33" hidden="1">
      <c r="A876" s="970"/>
      <c r="B876" s="966" t="s">
        <v>1282</v>
      </c>
      <c r="C876" s="961">
        <v>180</v>
      </c>
      <c r="D876"/>
      <c r="E876"/>
      <c r="F876" s="962">
        <v>21.2</v>
      </c>
      <c r="H876" s="981" t="s">
        <v>1283</v>
      </c>
      <c r="I876"/>
      <c r="J876" s="805"/>
      <c r="K876"/>
      <c r="AG876" s="933" t="s">
        <v>120</v>
      </c>
    </row>
    <row r="877" spans="1:33" hidden="1">
      <c r="A877" s="970"/>
      <c r="B877" s="966" t="s">
        <v>1284</v>
      </c>
      <c r="C877" s="961">
        <v>248</v>
      </c>
      <c r="D877"/>
      <c r="E877"/>
      <c r="F877" s="962"/>
      <c r="H877" s="935" t="s">
        <v>52</v>
      </c>
      <c r="I877"/>
      <c r="J877" s="805"/>
      <c r="K877"/>
      <c r="AG877" s="933"/>
    </row>
    <row r="878" spans="1:33" hidden="1">
      <c r="A878" s="970">
        <v>19</v>
      </c>
      <c r="B878" s="966" t="s">
        <v>1285</v>
      </c>
      <c r="C878" s="971" t="s">
        <v>1272</v>
      </c>
      <c r="D878"/>
      <c r="E878"/>
      <c r="G878" s="938" t="s">
        <v>612</v>
      </c>
      <c r="H878" s="933" t="s">
        <v>1286</v>
      </c>
      <c r="I878"/>
      <c r="J878" s="805"/>
      <c r="K878" s="743" t="s">
        <v>85</v>
      </c>
      <c r="AG878" s="933" t="s">
        <v>120</v>
      </c>
    </row>
    <row r="879" spans="1:33" hidden="1">
      <c r="A879" s="970"/>
      <c r="B879" s="966" t="s">
        <v>1287</v>
      </c>
      <c r="C879" s="971" t="s">
        <v>1272</v>
      </c>
      <c r="D879"/>
      <c r="E879"/>
      <c r="H879" s="935" t="s">
        <v>52</v>
      </c>
      <c r="I879"/>
      <c r="J879" s="805"/>
      <c r="K879" s="743" t="s">
        <v>85</v>
      </c>
      <c r="AG879" s="933" t="s">
        <v>120</v>
      </c>
    </row>
    <row r="880" spans="1:33" hidden="1">
      <c r="A880" s="970">
        <v>20</v>
      </c>
      <c r="B880" s="966" t="s">
        <v>1288</v>
      </c>
      <c r="C880" s="971" t="s">
        <v>1272</v>
      </c>
      <c r="D880"/>
      <c r="E880"/>
      <c r="F880" s="939">
        <v>1</v>
      </c>
      <c r="G880" s="938" t="s">
        <v>132</v>
      </c>
      <c r="H880" s="933" t="s">
        <v>1289</v>
      </c>
      <c r="I880" s="744">
        <f>C30</f>
        <v>3035</v>
      </c>
      <c r="J880" s="779" t="s">
        <v>132</v>
      </c>
      <c r="K880" s="744">
        <f>(F880*I880)</f>
        <v>3035</v>
      </c>
      <c r="AG880" s="933" t="s">
        <v>120</v>
      </c>
    </row>
    <row r="881" spans="1:33" hidden="1">
      <c r="A881" s="970">
        <v>21</v>
      </c>
      <c r="B881" s="966" t="s">
        <v>1290</v>
      </c>
      <c r="C881" s="973" t="s">
        <v>1272</v>
      </c>
      <c r="D881"/>
      <c r="E881"/>
      <c r="F881" s="939">
        <v>1</v>
      </c>
      <c r="G881" s="938" t="s">
        <v>132</v>
      </c>
      <c r="H881" s="933" t="s">
        <v>1286</v>
      </c>
      <c r="I881" s="744">
        <f>C88</f>
        <v>65420</v>
      </c>
      <c r="J881" s="779" t="s">
        <v>132</v>
      </c>
      <c r="K881" s="744">
        <f>(F881*I881)</f>
        <v>65420</v>
      </c>
      <c r="AG881" s="933" t="s">
        <v>120</v>
      </c>
    </row>
    <row r="882" spans="1:33" hidden="1">
      <c r="A882" s="970">
        <v>22</v>
      </c>
      <c r="B882" s="966" t="s">
        <v>1291</v>
      </c>
      <c r="C882" s="973" t="s">
        <v>1272</v>
      </c>
      <c r="D882"/>
      <c r="E882"/>
      <c r="I882"/>
      <c r="J882" s="805"/>
      <c r="K882" s="776" t="s">
        <v>89</v>
      </c>
      <c r="AG882" s="933" t="s">
        <v>120</v>
      </c>
    </row>
    <row r="883" spans="1:33" hidden="1">
      <c r="A883" s="970">
        <v>23</v>
      </c>
      <c r="B883" s="972" t="s">
        <v>1292</v>
      </c>
      <c r="C883"/>
      <c r="D883"/>
      <c r="E883"/>
      <c r="H883" s="933" t="s">
        <v>1293</v>
      </c>
      <c r="I883"/>
      <c r="J883" s="805"/>
      <c r="K883" s="744">
        <f>SUM(K880:K881)</f>
        <v>68455</v>
      </c>
      <c r="AG883" s="933" t="s">
        <v>120</v>
      </c>
    </row>
    <row r="884" spans="1:33" hidden="1">
      <c r="A884" s="970"/>
      <c r="B884" s="966" t="s">
        <v>1294</v>
      </c>
      <c r="C884" s="971" t="s">
        <v>1272</v>
      </c>
      <c r="D884"/>
      <c r="E884"/>
      <c r="I884"/>
      <c r="J884" s="805"/>
      <c r="K884" s="776" t="s">
        <v>89</v>
      </c>
      <c r="AG884" s="933" t="s">
        <v>120</v>
      </c>
    </row>
    <row r="885" spans="1:33" hidden="1">
      <c r="A885" s="970"/>
      <c r="B885" s="966" t="s">
        <v>1295</v>
      </c>
      <c r="C885" s="971" t="s">
        <v>1272</v>
      </c>
      <c r="D885"/>
      <c r="E885"/>
      <c r="G885" s="938" t="s">
        <v>634</v>
      </c>
      <c r="H885" s="933" t="s">
        <v>1296</v>
      </c>
      <c r="I885"/>
      <c r="J885" s="805"/>
      <c r="K885" s="743" t="s">
        <v>85</v>
      </c>
      <c r="AG885" s="933" t="s">
        <v>120</v>
      </c>
    </row>
    <row r="886" spans="1:33" hidden="1">
      <c r="A886" s="970">
        <v>24</v>
      </c>
      <c r="B886" s="972" t="s">
        <v>1297</v>
      </c>
      <c r="C886" s="961">
        <v>18</v>
      </c>
      <c r="D886"/>
      <c r="E886"/>
      <c r="H886" s="935" t="s">
        <v>52</v>
      </c>
      <c r="I886"/>
      <c r="J886" s="805"/>
      <c r="K886"/>
      <c r="AG886" s="933" t="s">
        <v>120</v>
      </c>
    </row>
    <row r="887" spans="1:33" ht="51" hidden="1" customHeight="1">
      <c r="A887" s="970">
        <v>25</v>
      </c>
      <c r="B887" s="976" t="s">
        <v>1298</v>
      </c>
      <c r="C887" s="961">
        <v>300</v>
      </c>
      <c r="D887"/>
      <c r="E887"/>
      <c r="F887" s="939">
        <v>1</v>
      </c>
      <c r="G887" s="938" t="s">
        <v>132</v>
      </c>
      <c r="H887" s="933" t="s">
        <v>1289</v>
      </c>
      <c r="I887" s="744">
        <f>C30</f>
        <v>3035</v>
      </c>
      <c r="J887" s="779" t="s">
        <v>132</v>
      </c>
      <c r="K887" s="744">
        <f>(F887*I887)</f>
        <v>3035</v>
      </c>
      <c r="AG887" s="933" t="s">
        <v>120</v>
      </c>
    </row>
    <row r="888" spans="1:33" hidden="1">
      <c r="A888" s="970">
        <v>26</v>
      </c>
      <c r="B888" s="930" t="s">
        <v>1299</v>
      </c>
      <c r="C888" s="961">
        <v>15</v>
      </c>
      <c r="D888"/>
      <c r="E888"/>
      <c r="F888" s="939">
        <v>1</v>
      </c>
      <c r="G888" s="938" t="s">
        <v>132</v>
      </c>
      <c r="H888" s="933" t="s">
        <v>1286</v>
      </c>
      <c r="I888" s="744">
        <f>C89</f>
        <v>57165</v>
      </c>
      <c r="J888" s="779" t="s">
        <v>132</v>
      </c>
      <c r="K888" s="744">
        <f>(F888*I888)</f>
        <v>57165</v>
      </c>
      <c r="AG888" s="933" t="s">
        <v>120</v>
      </c>
    </row>
    <row r="889" spans="1:33" ht="36" hidden="1" customHeight="1">
      <c r="A889" s="970">
        <v>27</v>
      </c>
      <c r="B889" s="976" t="s">
        <v>1300</v>
      </c>
      <c r="C889" s="961">
        <v>178</v>
      </c>
      <c r="D889"/>
      <c r="E889"/>
      <c r="I889"/>
      <c r="J889" s="805"/>
      <c r="K889" s="776" t="s">
        <v>89</v>
      </c>
      <c r="AG889" s="933" t="s">
        <v>120</v>
      </c>
    </row>
    <row r="890" spans="1:33" ht="41.25" hidden="1" customHeight="1">
      <c r="A890" s="970"/>
      <c r="B890" s="976" t="s">
        <v>1301</v>
      </c>
      <c r="C890" s="961">
        <v>1120</v>
      </c>
      <c r="D890"/>
      <c r="E890"/>
      <c r="H890" s="933" t="s">
        <v>1302</v>
      </c>
      <c r="I890"/>
      <c r="J890" s="805"/>
      <c r="K890" s="744">
        <f>SUM(K887:K888)</f>
        <v>60200</v>
      </c>
      <c r="AG890" s="933" t="s">
        <v>120</v>
      </c>
    </row>
    <row r="891" spans="1:33" ht="39" hidden="1" customHeight="1">
      <c r="A891" s="970"/>
      <c r="B891" s="977" t="s">
        <v>1303</v>
      </c>
      <c r="C891"/>
      <c r="D891"/>
      <c r="E891"/>
      <c r="I891"/>
      <c r="J891" s="805"/>
      <c r="K891" s="776" t="s">
        <v>89</v>
      </c>
      <c r="AG891" s="933" t="s">
        <v>120</v>
      </c>
    </row>
    <row r="892" spans="1:33" hidden="1">
      <c r="A892" s="970"/>
      <c r="B892" s="976" t="s">
        <v>1304</v>
      </c>
      <c r="C892" s="971" t="s">
        <v>1272</v>
      </c>
      <c r="D892"/>
      <c r="E892"/>
      <c r="I892"/>
      <c r="J892" s="805"/>
      <c r="K892"/>
      <c r="AG892" s="933" t="s">
        <v>120</v>
      </c>
    </row>
    <row r="893" spans="1:33" hidden="1">
      <c r="A893" s="970"/>
      <c r="B893" s="976" t="s">
        <v>1305</v>
      </c>
      <c r="C893" s="971" t="s">
        <v>1272</v>
      </c>
      <c r="D893"/>
      <c r="E893"/>
      <c r="F893" s="934" t="s">
        <v>1306</v>
      </c>
      <c r="G893" s="938" t="s">
        <v>111</v>
      </c>
      <c r="H893" s="933" t="s">
        <v>1307</v>
      </c>
      <c r="I893"/>
      <c r="J893" s="805"/>
      <c r="K893"/>
      <c r="AG893" s="933" t="s">
        <v>120</v>
      </c>
    </row>
    <row r="894" spans="1:33" hidden="1">
      <c r="A894" s="970"/>
      <c r="B894" s="976" t="s">
        <v>1308</v>
      </c>
      <c r="C894" s="971" t="s">
        <v>1272</v>
      </c>
      <c r="D894"/>
      <c r="E894"/>
      <c r="H894" s="933" t="s">
        <v>1309</v>
      </c>
      <c r="I894"/>
      <c r="J894" s="805"/>
      <c r="K894"/>
      <c r="AG894" s="933" t="s">
        <v>120</v>
      </c>
    </row>
    <row r="895" spans="1:33" ht="31.5" hidden="1">
      <c r="A895" s="970"/>
      <c r="B895" s="976" t="s">
        <v>1310</v>
      </c>
      <c r="C895" s="961">
        <v>120</v>
      </c>
      <c r="D895"/>
      <c r="E895"/>
      <c r="H895" s="933" t="s">
        <v>1311</v>
      </c>
      <c r="I895"/>
      <c r="J895" s="805"/>
      <c r="K895"/>
      <c r="AG895" s="933" t="s">
        <v>120</v>
      </c>
    </row>
    <row r="896" spans="1:33" hidden="1">
      <c r="A896" s="970"/>
      <c r="B896" s="977" t="s">
        <v>1312</v>
      </c>
      <c r="C896"/>
      <c r="D896"/>
      <c r="E896"/>
      <c r="H896" s="935" t="s">
        <v>52</v>
      </c>
      <c r="I896"/>
      <c r="J896" s="805"/>
      <c r="K896"/>
      <c r="AG896" s="933" t="s">
        <v>120</v>
      </c>
    </row>
    <row r="897" spans="1:33" hidden="1">
      <c r="A897" s="970"/>
      <c r="B897" s="976" t="s">
        <v>1313</v>
      </c>
      <c r="C897" s="961">
        <v>45</v>
      </c>
      <c r="D897"/>
      <c r="E897"/>
      <c r="H897" s="933" t="s">
        <v>1314</v>
      </c>
      <c r="I897"/>
      <c r="J897" s="805"/>
      <c r="K897"/>
    </row>
    <row r="898" spans="1:33" hidden="1">
      <c r="A898" s="970"/>
      <c r="B898" s="976" t="s">
        <v>1315</v>
      </c>
      <c r="C898" s="961">
        <v>18</v>
      </c>
      <c r="D898"/>
      <c r="E898"/>
      <c r="H898" s="933" t="s">
        <v>1316</v>
      </c>
      <c r="I898"/>
      <c r="J898" s="805"/>
      <c r="K898"/>
    </row>
    <row r="899" spans="1:33" hidden="1">
      <c r="A899" s="970"/>
      <c r="B899" s="976" t="s">
        <v>1317</v>
      </c>
      <c r="C899" s="961">
        <v>450</v>
      </c>
      <c r="D899"/>
      <c r="E899"/>
      <c r="I899"/>
      <c r="J899" s="779" t="s">
        <v>52</v>
      </c>
      <c r="K899"/>
    </row>
    <row r="900" spans="1:33" hidden="1">
      <c r="A900" s="970"/>
      <c r="B900" s="976" t="s">
        <v>1318</v>
      </c>
      <c r="C900" s="961">
        <v>650</v>
      </c>
      <c r="D900"/>
      <c r="E900"/>
      <c r="H900" s="933" t="s">
        <v>1319</v>
      </c>
      <c r="I900"/>
      <c r="J900" s="805"/>
      <c r="K900"/>
    </row>
    <row r="901" spans="1:33" ht="47.25" hidden="1">
      <c r="A901" s="970"/>
      <c r="B901" s="976" t="s">
        <v>1320</v>
      </c>
      <c r="C901" s="961">
        <v>5000</v>
      </c>
      <c r="D901"/>
      <c r="E901"/>
      <c r="H901" s="933" t="s">
        <v>1321</v>
      </c>
      <c r="I901"/>
      <c r="J901" s="805"/>
      <c r="K901" s="982">
        <v>2.4299999999999999E-2</v>
      </c>
    </row>
    <row r="902" spans="1:33" ht="63" hidden="1">
      <c r="A902" s="970"/>
      <c r="B902" s="976" t="s">
        <v>1322</v>
      </c>
      <c r="C902" s="961">
        <v>6750</v>
      </c>
      <c r="D902"/>
      <c r="E902"/>
      <c r="I902"/>
      <c r="J902" s="779" t="s">
        <v>85</v>
      </c>
      <c r="K902" s="776" t="s">
        <v>52</v>
      </c>
    </row>
    <row r="903" spans="1:33" ht="47.25" hidden="1">
      <c r="A903" s="970"/>
      <c r="B903" s="976" t="s">
        <v>1323</v>
      </c>
      <c r="C903" s="961">
        <v>5800</v>
      </c>
      <c r="D903"/>
      <c r="E903"/>
      <c r="H903" s="933" t="s">
        <v>1324</v>
      </c>
      <c r="I903"/>
      <c r="J903" s="983" t="s">
        <v>85</v>
      </c>
      <c r="K903" s="982">
        <v>1.47E-2</v>
      </c>
    </row>
    <row r="904" spans="1:33" hidden="1">
      <c r="A904" s="970"/>
      <c r="B904" s="976" t="s">
        <v>1325</v>
      </c>
      <c r="C904"/>
      <c r="D904"/>
      <c r="E904"/>
      <c r="H904" s="933" t="s">
        <v>1326</v>
      </c>
      <c r="I904"/>
      <c r="J904" s="779" t="s">
        <v>85</v>
      </c>
      <c r="K904" s="982">
        <v>4.5999999999999999E-3</v>
      </c>
    </row>
    <row r="905" spans="1:33" ht="47.25" hidden="1">
      <c r="A905" s="970"/>
      <c r="B905" s="976" t="s">
        <v>1327</v>
      </c>
      <c r="C905"/>
      <c r="D905"/>
      <c r="E905"/>
      <c r="I905"/>
      <c r="J905" s="805"/>
      <c r="K905" s="776" t="s">
        <v>52</v>
      </c>
    </row>
    <row r="906" spans="1:33" ht="47.25" hidden="1">
      <c r="A906" s="970"/>
      <c r="B906" s="976" t="s">
        <v>1327</v>
      </c>
      <c r="C906"/>
      <c r="D906"/>
      <c r="E906"/>
      <c r="I906"/>
      <c r="J906" s="805"/>
      <c r="K906" s="982">
        <v>1.9300000000000001E-2</v>
      </c>
    </row>
    <row r="907" spans="1:33" ht="47.25" hidden="1">
      <c r="A907" s="970"/>
      <c r="B907" s="976" t="s">
        <v>1328</v>
      </c>
      <c r="C907"/>
      <c r="D907"/>
      <c r="E907"/>
      <c r="I907"/>
      <c r="J907" s="805"/>
      <c r="K907" s="776" t="s">
        <v>52</v>
      </c>
    </row>
    <row r="908" spans="1:33" hidden="1">
      <c r="A908" s="970"/>
      <c r="B908" s="976" t="s">
        <v>1329</v>
      </c>
      <c r="C908"/>
      <c r="D908"/>
      <c r="E908"/>
      <c r="I908"/>
      <c r="J908" s="805"/>
      <c r="K908"/>
    </row>
    <row r="909" spans="1:33" hidden="1">
      <c r="A909" s="970"/>
      <c r="B909" s="976" t="s">
        <v>1330</v>
      </c>
      <c r="C909"/>
      <c r="D909"/>
      <c r="E909"/>
      <c r="I909"/>
      <c r="J909" s="805"/>
      <c r="K909"/>
    </row>
    <row r="910" spans="1:33" hidden="1">
      <c r="A910" s="970"/>
      <c r="B910" s="976" t="s">
        <v>1331</v>
      </c>
      <c r="C910"/>
      <c r="D910"/>
      <c r="E910"/>
      <c r="F910" s="960">
        <v>1.14E-2</v>
      </c>
      <c r="G910" s="938" t="s">
        <v>132</v>
      </c>
      <c r="H910" s="933" t="s">
        <v>1332</v>
      </c>
      <c r="I910" s="744">
        <f>C88</f>
        <v>65420</v>
      </c>
      <c r="J910" s="779" t="s">
        <v>132</v>
      </c>
      <c r="K910" s="744">
        <f>(F910*I910)</f>
        <v>745.79</v>
      </c>
      <c r="AG910" s="933" t="s">
        <v>120</v>
      </c>
    </row>
    <row r="911" spans="1:33" hidden="1">
      <c r="A911" s="970"/>
      <c r="B911" s="976" t="s">
        <v>1333</v>
      </c>
      <c r="C911"/>
      <c r="D911"/>
      <c r="E911"/>
      <c r="F911" s="960">
        <v>2.4299999999999999E-2</v>
      </c>
      <c r="G911" s="938" t="s">
        <v>132</v>
      </c>
      <c r="H911" s="933" t="s">
        <v>1334</v>
      </c>
      <c r="I911" s="744">
        <f>C89</f>
        <v>57165</v>
      </c>
      <c r="J911" s="779" t="s">
        <v>132</v>
      </c>
      <c r="K911" s="744">
        <f>(F911*I911)</f>
        <v>1389.11</v>
      </c>
      <c r="AG911" s="933" t="s">
        <v>120</v>
      </c>
    </row>
    <row r="912" spans="1:33" hidden="1">
      <c r="A912" s="970"/>
      <c r="B912" s="976" t="s">
        <v>1335</v>
      </c>
      <c r="C912"/>
      <c r="D912"/>
      <c r="E912"/>
      <c r="F912" s="960">
        <v>1.9300000000000001E-2</v>
      </c>
      <c r="G912" s="938" t="s">
        <v>132</v>
      </c>
      <c r="H912" s="933" t="s">
        <v>1336</v>
      </c>
      <c r="I912" s="744">
        <f>C90</f>
        <v>63870</v>
      </c>
      <c r="J912" s="779" t="s">
        <v>132</v>
      </c>
      <c r="K912" s="744">
        <f>(F912*I912)</f>
        <v>1232.69</v>
      </c>
      <c r="AG912" s="933" t="s">
        <v>120</v>
      </c>
    </row>
    <row r="913" spans="1:33" hidden="1">
      <c r="A913" s="970"/>
      <c r="B913" s="976" t="s">
        <v>1337</v>
      </c>
      <c r="C913"/>
      <c r="D913"/>
      <c r="E913"/>
      <c r="F913" s="959"/>
      <c r="H913" s="933" t="s">
        <v>1338</v>
      </c>
      <c r="I913" s="743" t="s">
        <v>85</v>
      </c>
      <c r="J913" s="805"/>
      <c r="K913" s="743" t="s">
        <v>85</v>
      </c>
      <c r="AG913" s="933" t="s">
        <v>120</v>
      </c>
    </row>
    <row r="914" spans="1:33" hidden="1">
      <c r="A914" s="970"/>
      <c r="B914" s="976" t="s">
        <v>1339</v>
      </c>
      <c r="C914"/>
      <c r="D914"/>
      <c r="E914"/>
      <c r="F914" s="959">
        <v>1.823</v>
      </c>
      <c r="G914" s="938" t="s">
        <v>425</v>
      </c>
      <c r="H914" s="933" t="s">
        <v>1340</v>
      </c>
      <c r="I914" s="744">
        <f>C31</f>
        <v>342</v>
      </c>
      <c r="J914" s="779" t="s">
        <v>425</v>
      </c>
      <c r="K914" s="744">
        <f t="shared" ref="K914:K920" si="51">(F914*I914)</f>
        <v>623.47</v>
      </c>
      <c r="AG914" s="933" t="s">
        <v>120</v>
      </c>
    </row>
    <row r="915" spans="1:33" hidden="1">
      <c r="A915" s="970"/>
      <c r="B915" s="976" t="s">
        <v>1341</v>
      </c>
      <c r="C915"/>
      <c r="D915"/>
      <c r="E915"/>
      <c r="F915" s="939">
        <v>1</v>
      </c>
      <c r="G915" s="938" t="s">
        <v>237</v>
      </c>
      <c r="H915" s="933" t="s">
        <v>1342</v>
      </c>
      <c r="I915" s="744">
        <f>C576</f>
        <v>30</v>
      </c>
      <c r="J915" s="779" t="s">
        <v>131</v>
      </c>
      <c r="K915" s="744">
        <f t="shared" si="51"/>
        <v>30</v>
      </c>
      <c r="AG915" s="933" t="s">
        <v>120</v>
      </c>
    </row>
    <row r="916" spans="1:33" ht="31.5" hidden="1">
      <c r="A916" s="970"/>
      <c r="B916" s="976" t="s">
        <v>1343</v>
      </c>
      <c r="C916"/>
      <c r="D916"/>
      <c r="E916"/>
      <c r="F916" s="939">
        <v>3</v>
      </c>
      <c r="G916" s="938" t="s">
        <v>131</v>
      </c>
      <c r="H916" s="933" t="s">
        <v>1344</v>
      </c>
      <c r="I916" s="744">
        <f>C278</f>
        <v>45</v>
      </c>
      <c r="J916" s="779" t="s">
        <v>131</v>
      </c>
      <c r="K916" s="744">
        <f t="shared" si="51"/>
        <v>135</v>
      </c>
      <c r="AG916" s="933" t="s">
        <v>120</v>
      </c>
    </row>
    <row r="917" spans="1:33" ht="31.5" hidden="1">
      <c r="A917" s="970"/>
      <c r="B917" s="976" t="s">
        <v>1345</v>
      </c>
      <c r="C917"/>
      <c r="D917"/>
      <c r="E917"/>
      <c r="F917" s="939">
        <v>2</v>
      </c>
      <c r="G917" s="938" t="s">
        <v>131</v>
      </c>
      <c r="H917" s="933" t="s">
        <v>1346</v>
      </c>
      <c r="I917" s="744">
        <f>C283</f>
        <v>30</v>
      </c>
      <c r="J917" s="779" t="s">
        <v>131</v>
      </c>
      <c r="K917" s="744">
        <f t="shared" si="51"/>
        <v>60</v>
      </c>
      <c r="AG917" s="933" t="s">
        <v>120</v>
      </c>
    </row>
    <row r="918" spans="1:33" ht="31.5" hidden="1">
      <c r="A918" s="970"/>
      <c r="B918" s="976" t="s">
        <v>1347</v>
      </c>
      <c r="C918"/>
      <c r="D918"/>
      <c r="E918"/>
      <c r="F918" s="939">
        <v>1</v>
      </c>
      <c r="G918" s="938" t="s">
        <v>131</v>
      </c>
      <c r="H918" s="933" t="s">
        <v>1348</v>
      </c>
      <c r="I918" s="744">
        <f>C285</f>
        <v>95</v>
      </c>
      <c r="J918" s="779" t="s">
        <v>131</v>
      </c>
      <c r="K918" s="744">
        <f t="shared" si="51"/>
        <v>95</v>
      </c>
      <c r="AG918" s="933" t="s">
        <v>120</v>
      </c>
    </row>
    <row r="919" spans="1:33" hidden="1">
      <c r="A919" s="970"/>
      <c r="B919" s="976" t="s">
        <v>1349</v>
      </c>
      <c r="C919"/>
      <c r="D919"/>
      <c r="E919"/>
      <c r="F919" s="939">
        <v>1</v>
      </c>
      <c r="G919" s="938" t="s">
        <v>131</v>
      </c>
      <c r="H919" s="933" t="s">
        <v>1350</v>
      </c>
      <c r="I919" s="744">
        <f>C287</f>
        <v>8</v>
      </c>
      <c r="J919" s="779" t="s">
        <v>131</v>
      </c>
      <c r="K919" s="744">
        <f t="shared" si="51"/>
        <v>8</v>
      </c>
      <c r="AG919" s="933" t="s">
        <v>120</v>
      </c>
    </row>
    <row r="920" spans="1:33" hidden="1">
      <c r="A920" s="970"/>
      <c r="B920" s="976" t="s">
        <v>1351</v>
      </c>
      <c r="C920"/>
      <c r="D920"/>
      <c r="E920"/>
      <c r="F920" s="939">
        <v>1</v>
      </c>
      <c r="G920" s="938" t="s">
        <v>131</v>
      </c>
      <c r="H920" s="933" t="s">
        <v>455</v>
      </c>
      <c r="I920" s="744">
        <f>D576</f>
        <v>25</v>
      </c>
      <c r="J920" s="779" t="s">
        <v>131</v>
      </c>
      <c r="K920" s="744">
        <f t="shared" si="51"/>
        <v>25</v>
      </c>
      <c r="AG920" s="933" t="s">
        <v>120</v>
      </c>
    </row>
    <row r="921" spans="1:33" hidden="1">
      <c r="A921" s="970"/>
      <c r="B921" s="976" t="s">
        <v>1352</v>
      </c>
      <c r="C921"/>
      <c r="D921"/>
      <c r="E921"/>
      <c r="I921"/>
      <c r="J921" s="805"/>
      <c r="K921" s="776" t="s">
        <v>52</v>
      </c>
      <c r="AG921" s="933" t="s">
        <v>120</v>
      </c>
    </row>
    <row r="922" spans="1:33" ht="31.5" hidden="1">
      <c r="A922" s="970"/>
      <c r="B922" s="976" t="s">
        <v>1353</v>
      </c>
      <c r="C922"/>
      <c r="D922"/>
      <c r="E922"/>
      <c r="H922" s="933" t="s">
        <v>1354</v>
      </c>
      <c r="I922"/>
      <c r="J922" s="805"/>
      <c r="K922" s="744">
        <f>SUM(K910:K920)</f>
        <v>4344.0600000000004</v>
      </c>
      <c r="AG922" s="933" t="s">
        <v>120</v>
      </c>
    </row>
    <row r="923" spans="1:33" hidden="1">
      <c r="A923" s="970"/>
      <c r="B923" s="976" t="s">
        <v>1355</v>
      </c>
      <c r="C923"/>
      <c r="D923"/>
      <c r="E923"/>
      <c r="I923"/>
      <c r="J923" s="805"/>
      <c r="K923" s="776" t="s">
        <v>52</v>
      </c>
      <c r="AG923" s="933" t="s">
        <v>120</v>
      </c>
    </row>
    <row r="924" spans="1:33" hidden="1">
      <c r="A924" s="970"/>
      <c r="B924" s="976" t="s">
        <v>1356</v>
      </c>
      <c r="C924"/>
      <c r="D924"/>
      <c r="E924"/>
      <c r="H924" s="933" t="s">
        <v>460</v>
      </c>
      <c r="I924"/>
      <c r="J924" s="805"/>
      <c r="K924" s="744">
        <f>K922/F914</f>
        <v>2382.92</v>
      </c>
      <c r="AG924" s="933" t="s">
        <v>120</v>
      </c>
    </row>
    <row r="925" spans="1:33" hidden="1">
      <c r="A925" s="970"/>
      <c r="B925" s="976" t="s">
        <v>1357</v>
      </c>
      <c r="C925"/>
      <c r="D925"/>
      <c r="E925"/>
      <c r="F925" s="933" t="s">
        <v>85</v>
      </c>
      <c r="I925"/>
      <c r="J925" s="805"/>
      <c r="K925"/>
    </row>
    <row r="926" spans="1:33" hidden="1">
      <c r="A926" s="970"/>
      <c r="B926" s="976" t="s">
        <v>1358</v>
      </c>
      <c r="C926"/>
      <c r="D926"/>
      <c r="E926"/>
      <c r="I926"/>
      <c r="J926" s="805"/>
      <c r="K926" s="776" t="s">
        <v>89</v>
      </c>
      <c r="AG926" s="933" t="s">
        <v>120</v>
      </c>
    </row>
    <row r="927" spans="1:33" hidden="1">
      <c r="A927" s="970"/>
      <c r="B927" s="976" t="s">
        <v>1359</v>
      </c>
      <c r="C927"/>
      <c r="D927"/>
      <c r="E927"/>
      <c r="I927"/>
      <c r="J927" s="805"/>
      <c r="K927"/>
    </row>
    <row r="928" spans="1:33" hidden="1">
      <c r="A928" s="970"/>
      <c r="B928" s="976" t="s">
        <v>1360</v>
      </c>
      <c r="C928"/>
      <c r="D928"/>
      <c r="E928"/>
      <c r="I928"/>
      <c r="J928" s="805"/>
      <c r="K928"/>
    </row>
    <row r="929" spans="1:33" hidden="1">
      <c r="A929" s="970"/>
      <c r="B929" s="976" t="s">
        <v>1361</v>
      </c>
      <c r="C929"/>
      <c r="D929"/>
      <c r="E929"/>
      <c r="F929" s="934" t="s">
        <v>1362</v>
      </c>
      <c r="G929" s="938" t="s">
        <v>111</v>
      </c>
      <c r="H929" s="933" t="s">
        <v>1307</v>
      </c>
      <c r="I929"/>
      <c r="J929" s="805"/>
      <c r="K929"/>
      <c r="AG929" s="933" t="s">
        <v>120</v>
      </c>
    </row>
    <row r="930" spans="1:33" ht="16.5" hidden="1" customHeight="1">
      <c r="A930" s="970"/>
      <c r="B930" s="976" t="s">
        <v>1363</v>
      </c>
      <c r="C930"/>
      <c r="D930"/>
      <c r="E930"/>
      <c r="H930" s="933" t="s">
        <v>1309</v>
      </c>
      <c r="I930"/>
      <c r="J930" s="805"/>
      <c r="K930"/>
      <c r="AG930" s="933" t="s">
        <v>120</v>
      </c>
    </row>
    <row r="931" spans="1:33" ht="15.75" hidden="1" customHeight="1">
      <c r="A931" s="970"/>
      <c r="B931" s="976" t="s">
        <v>1364</v>
      </c>
      <c r="C931"/>
      <c r="D931"/>
      <c r="E931"/>
      <c r="H931" s="933" t="s">
        <v>1365</v>
      </c>
      <c r="I931"/>
      <c r="J931" s="805"/>
      <c r="K931"/>
      <c r="AG931" s="933" t="s">
        <v>120</v>
      </c>
    </row>
    <row r="932" spans="1:33" hidden="1">
      <c r="A932" s="970"/>
      <c r="B932" s="976" t="s">
        <v>1366</v>
      </c>
      <c r="C932"/>
      <c r="D932"/>
      <c r="E932"/>
      <c r="H932" s="935" t="s">
        <v>52</v>
      </c>
      <c r="I932"/>
      <c r="J932" s="805"/>
      <c r="K932"/>
      <c r="AG932" s="933" t="s">
        <v>120</v>
      </c>
    </row>
    <row r="933" spans="1:33" hidden="1">
      <c r="A933" s="970"/>
      <c r="B933" s="976" t="s">
        <v>1367</v>
      </c>
      <c r="C933"/>
      <c r="D933"/>
      <c r="E933"/>
      <c r="I933"/>
      <c r="J933" s="805"/>
      <c r="K933"/>
    </row>
    <row r="934" spans="1:33" ht="20.25" hidden="1" customHeight="1">
      <c r="A934" s="970"/>
      <c r="B934" s="976" t="s">
        <v>1368</v>
      </c>
      <c r="C934"/>
      <c r="D934"/>
      <c r="E934"/>
      <c r="H934" s="933" t="s">
        <v>1369</v>
      </c>
      <c r="I934"/>
      <c r="J934" s="805"/>
      <c r="K934"/>
    </row>
    <row r="935" spans="1:33" hidden="1">
      <c r="A935" s="970"/>
      <c r="B935" s="976" t="s">
        <v>1370</v>
      </c>
      <c r="C935"/>
      <c r="D935"/>
      <c r="E935"/>
      <c r="H935" s="933" t="s">
        <v>1371</v>
      </c>
      <c r="I935"/>
      <c r="J935" s="805"/>
      <c r="K935"/>
    </row>
    <row r="936" spans="1:33" hidden="1">
      <c r="A936" s="970"/>
      <c r="B936" s="976" t="s">
        <v>1372</v>
      </c>
      <c r="C936"/>
      <c r="D936"/>
      <c r="E936"/>
      <c r="I936"/>
      <c r="J936" s="779" t="s">
        <v>52</v>
      </c>
      <c r="K936"/>
    </row>
    <row r="937" spans="1:33" hidden="1">
      <c r="A937" s="970"/>
      <c r="B937" s="976" t="s">
        <v>1373</v>
      </c>
      <c r="C937"/>
      <c r="D937"/>
      <c r="E937"/>
      <c r="H937" s="933" t="s">
        <v>1374</v>
      </c>
      <c r="I937"/>
      <c r="J937" s="805"/>
      <c r="K937"/>
    </row>
    <row r="938" spans="1:33" hidden="1">
      <c r="A938" s="970"/>
      <c r="B938" s="976" t="s">
        <v>1375</v>
      </c>
      <c r="C938"/>
      <c r="D938"/>
      <c r="E938"/>
      <c r="H938" s="933" t="s">
        <v>1376</v>
      </c>
      <c r="I938"/>
      <c r="J938" s="805"/>
      <c r="K938" s="982">
        <v>2.1999999999999999E-2</v>
      </c>
    </row>
    <row r="939" spans="1:33" hidden="1">
      <c r="A939" s="970"/>
      <c r="B939" s="976" t="s">
        <v>1377</v>
      </c>
      <c r="C939"/>
      <c r="D939"/>
      <c r="E939"/>
      <c r="I939"/>
      <c r="J939" s="779" t="s">
        <v>85</v>
      </c>
      <c r="K939" s="776" t="s">
        <v>52</v>
      </c>
    </row>
    <row r="940" spans="1:33" ht="31.5" hidden="1">
      <c r="A940" s="970"/>
      <c r="B940" s="976" t="s">
        <v>1378</v>
      </c>
      <c r="C940"/>
      <c r="D940"/>
      <c r="E940"/>
      <c r="H940" s="933" t="s">
        <v>1379</v>
      </c>
      <c r="I940"/>
      <c r="J940" s="983" t="s">
        <v>85</v>
      </c>
      <c r="K940" s="982">
        <v>1.3100000000000001E-2</v>
      </c>
    </row>
    <row r="941" spans="1:33" ht="31.5" hidden="1">
      <c r="A941" s="970"/>
      <c r="B941" s="976" t="s">
        <v>1380</v>
      </c>
      <c r="C941"/>
      <c r="D941"/>
      <c r="E941"/>
      <c r="H941" s="933" t="s">
        <v>1381</v>
      </c>
      <c r="I941"/>
      <c r="J941" s="779" t="s">
        <v>85</v>
      </c>
      <c r="K941" s="982">
        <v>3.3999999999999998E-3</v>
      </c>
    </row>
    <row r="942" spans="1:33" ht="31.5" hidden="1">
      <c r="A942" s="970"/>
      <c r="B942" s="976" t="s">
        <v>1382</v>
      </c>
      <c r="C942"/>
      <c r="D942"/>
      <c r="E942"/>
      <c r="I942"/>
      <c r="J942" s="805"/>
      <c r="K942" s="776" t="s">
        <v>52</v>
      </c>
    </row>
    <row r="943" spans="1:33" ht="31.5" hidden="1">
      <c r="A943" s="970"/>
      <c r="B943" s="976" t="s">
        <v>1383</v>
      </c>
      <c r="C943"/>
      <c r="D943"/>
      <c r="E943"/>
      <c r="I943"/>
      <c r="J943" s="805"/>
      <c r="K943" s="982">
        <v>1.6500000000000001E-2</v>
      </c>
    </row>
    <row r="944" spans="1:33" hidden="1">
      <c r="A944" s="970"/>
      <c r="B944" s="976" t="s">
        <v>1384</v>
      </c>
      <c r="C944"/>
      <c r="D944"/>
      <c r="E944"/>
      <c r="I944"/>
      <c r="J944" s="805"/>
      <c r="K944" s="776" t="s">
        <v>52</v>
      </c>
    </row>
    <row r="945" spans="1:33" hidden="1">
      <c r="A945" s="970"/>
      <c r="B945" s="976" t="s">
        <v>1385</v>
      </c>
      <c r="C945"/>
      <c r="D945"/>
      <c r="E945"/>
      <c r="F945" s="960">
        <v>1.15E-2</v>
      </c>
      <c r="G945" s="938" t="s">
        <v>132</v>
      </c>
      <c r="H945" s="933" t="s">
        <v>1332</v>
      </c>
      <c r="I945" s="744">
        <f>C88</f>
        <v>65420</v>
      </c>
      <c r="J945" s="779" t="s">
        <v>132</v>
      </c>
      <c r="K945" s="744">
        <f>(F945*I945)</f>
        <v>752.33</v>
      </c>
      <c r="AG945" s="933" t="s">
        <v>120</v>
      </c>
    </row>
    <row r="946" spans="1:33" hidden="1">
      <c r="A946" s="970"/>
      <c r="B946" s="976" t="s">
        <v>1386</v>
      </c>
      <c r="C946"/>
      <c r="D946"/>
      <c r="E946"/>
      <c r="F946" s="960">
        <v>2.1999999999999999E-2</v>
      </c>
      <c r="G946" s="938" t="s">
        <v>132</v>
      </c>
      <c r="H946" s="933" t="s">
        <v>1334</v>
      </c>
      <c r="I946" s="744">
        <f>C89</f>
        <v>57165</v>
      </c>
      <c r="J946" s="779" t="s">
        <v>132</v>
      </c>
      <c r="K946" s="744">
        <f>(F946*I946)</f>
        <v>1257.6300000000001</v>
      </c>
      <c r="AG946" s="933" t="s">
        <v>120</v>
      </c>
    </row>
    <row r="947" spans="1:33" hidden="1">
      <c r="A947" s="970"/>
      <c r="B947" s="976" t="s">
        <v>1387</v>
      </c>
      <c r="C947"/>
      <c r="D947"/>
      <c r="E947"/>
      <c r="F947" s="960">
        <v>1.6500000000000001E-2</v>
      </c>
      <c r="G947" s="938" t="s">
        <v>132</v>
      </c>
      <c r="H947" s="933" t="s">
        <v>1336</v>
      </c>
      <c r="I947" s="744">
        <f>C90</f>
        <v>63870</v>
      </c>
      <c r="J947" s="779" t="s">
        <v>132</v>
      </c>
      <c r="K947" s="744">
        <f>(F947*I947)</f>
        <v>1053.8599999999999</v>
      </c>
      <c r="AG947" s="933" t="s">
        <v>120</v>
      </c>
    </row>
    <row r="948" spans="1:33" ht="31.5" hidden="1">
      <c r="A948" s="970"/>
      <c r="B948" s="976" t="s">
        <v>1388</v>
      </c>
      <c r="C948"/>
      <c r="D948"/>
      <c r="E948"/>
      <c r="F948" s="960"/>
      <c r="H948" s="933" t="s">
        <v>1338</v>
      </c>
      <c r="I948" s="743" t="s">
        <v>85</v>
      </c>
      <c r="J948" s="805"/>
      <c r="K948" s="743" t="s">
        <v>85</v>
      </c>
      <c r="AG948" s="933" t="s">
        <v>120</v>
      </c>
    </row>
    <row r="949" spans="1:33" ht="31.5" hidden="1">
      <c r="A949" s="970"/>
      <c r="B949" s="976" t="s">
        <v>1389</v>
      </c>
      <c r="C949"/>
      <c r="D949"/>
      <c r="E949"/>
      <c r="F949" s="960">
        <v>1.64</v>
      </c>
      <c r="G949" s="938" t="s">
        <v>425</v>
      </c>
      <c r="H949" s="933" t="s">
        <v>1340</v>
      </c>
      <c r="I949" s="744">
        <f>C31</f>
        <v>342</v>
      </c>
      <c r="J949" s="779" t="s">
        <v>425</v>
      </c>
      <c r="K949" s="744">
        <f t="shared" ref="K949:K955" si="52">(F949*I949)</f>
        <v>560.88</v>
      </c>
      <c r="AG949" s="933" t="s">
        <v>120</v>
      </c>
    </row>
    <row r="950" spans="1:33" ht="31.5" hidden="1">
      <c r="A950" s="970"/>
      <c r="B950" s="976" t="s">
        <v>1390</v>
      </c>
      <c r="C950"/>
      <c r="D950"/>
      <c r="E950"/>
      <c r="F950" s="939">
        <v>1</v>
      </c>
      <c r="G950" s="938" t="s">
        <v>237</v>
      </c>
      <c r="H950" s="933" t="s">
        <v>1342</v>
      </c>
      <c r="I950" s="744">
        <f>C576</f>
        <v>30</v>
      </c>
      <c r="J950" s="779" t="s">
        <v>131</v>
      </c>
      <c r="K950" s="744">
        <f t="shared" si="52"/>
        <v>30</v>
      </c>
      <c r="AG950" s="933" t="s">
        <v>120</v>
      </c>
    </row>
    <row r="951" spans="1:33" ht="31.5" hidden="1">
      <c r="A951" s="970"/>
      <c r="B951" s="976" t="s">
        <v>1391</v>
      </c>
      <c r="C951"/>
      <c r="D951"/>
      <c r="E951"/>
      <c r="F951" s="939">
        <v>3</v>
      </c>
      <c r="G951" s="938" t="s">
        <v>131</v>
      </c>
      <c r="H951" s="933" t="s">
        <v>1344</v>
      </c>
      <c r="I951" s="744">
        <f>C278</f>
        <v>45</v>
      </c>
      <c r="J951" s="779" t="s">
        <v>131</v>
      </c>
      <c r="K951" s="744">
        <f t="shared" si="52"/>
        <v>135</v>
      </c>
      <c r="AG951" s="933" t="s">
        <v>120</v>
      </c>
    </row>
    <row r="952" spans="1:33" ht="31.5" hidden="1">
      <c r="A952" s="970"/>
      <c r="B952" s="976" t="s">
        <v>1392</v>
      </c>
      <c r="C952"/>
      <c r="D952"/>
      <c r="E952"/>
      <c r="F952" s="939">
        <v>2</v>
      </c>
      <c r="G952" s="938" t="s">
        <v>131</v>
      </c>
      <c r="H952" s="933" t="s">
        <v>1346</v>
      </c>
      <c r="I952" s="744">
        <f>C283</f>
        <v>30</v>
      </c>
      <c r="J952" s="779" t="s">
        <v>131</v>
      </c>
      <c r="K952" s="744">
        <f t="shared" si="52"/>
        <v>60</v>
      </c>
      <c r="AG952" s="933" t="s">
        <v>307</v>
      </c>
    </row>
    <row r="953" spans="1:33" ht="31.5" hidden="1">
      <c r="A953" s="970"/>
      <c r="B953" s="976" t="s">
        <v>1393</v>
      </c>
      <c r="C953"/>
      <c r="D953"/>
      <c r="E953"/>
      <c r="F953" s="939">
        <v>1</v>
      </c>
      <c r="G953" s="938" t="s">
        <v>131</v>
      </c>
      <c r="H953" s="933" t="s">
        <v>1348</v>
      </c>
      <c r="I953" s="744">
        <f>C285</f>
        <v>95</v>
      </c>
      <c r="J953" s="779" t="s">
        <v>131</v>
      </c>
      <c r="K953" s="744">
        <f t="shared" si="52"/>
        <v>95</v>
      </c>
    </row>
    <row r="954" spans="1:33" ht="31.5" hidden="1">
      <c r="A954" s="970"/>
      <c r="B954" s="976" t="s">
        <v>1394</v>
      </c>
      <c r="C954"/>
      <c r="D954"/>
      <c r="E954"/>
      <c r="F954" s="939">
        <v>1</v>
      </c>
      <c r="G954" s="938" t="s">
        <v>131</v>
      </c>
      <c r="H954" s="933" t="s">
        <v>1350</v>
      </c>
      <c r="I954" s="744">
        <f>C287</f>
        <v>8</v>
      </c>
      <c r="J954" s="779" t="s">
        <v>131</v>
      </c>
      <c r="K954" s="744">
        <f t="shared" si="52"/>
        <v>8</v>
      </c>
    </row>
    <row r="955" spans="1:33" ht="31.5" hidden="1">
      <c r="A955" s="970"/>
      <c r="B955" s="976" t="s">
        <v>1395</v>
      </c>
      <c r="C955"/>
      <c r="D955"/>
      <c r="E955"/>
      <c r="F955" s="939">
        <v>1</v>
      </c>
      <c r="G955" s="938" t="s">
        <v>131</v>
      </c>
      <c r="H955" s="933" t="s">
        <v>455</v>
      </c>
      <c r="I955" s="744">
        <f>D576</f>
        <v>25</v>
      </c>
      <c r="J955" s="779" t="s">
        <v>131</v>
      </c>
      <c r="K955" s="744">
        <f t="shared" si="52"/>
        <v>25</v>
      </c>
      <c r="AG955" s="933" t="s">
        <v>120</v>
      </c>
    </row>
    <row r="956" spans="1:33" ht="31.5" hidden="1">
      <c r="A956" s="970"/>
      <c r="B956" s="976" t="s">
        <v>1396</v>
      </c>
      <c r="C956"/>
      <c r="D956"/>
      <c r="E956"/>
      <c r="I956"/>
      <c r="J956" s="805"/>
      <c r="K956" s="776" t="s">
        <v>52</v>
      </c>
      <c r="AG956" s="933" t="s">
        <v>120</v>
      </c>
    </row>
    <row r="957" spans="1:33" ht="31.5" hidden="1">
      <c r="A957" s="970"/>
      <c r="B957" s="976" t="s">
        <v>1397</v>
      </c>
      <c r="C957"/>
      <c r="D957"/>
      <c r="E957"/>
      <c r="H957" s="933" t="s">
        <v>1398</v>
      </c>
      <c r="I957"/>
      <c r="J957" s="805"/>
      <c r="K957" s="744">
        <f>SUM(K945:K955)</f>
        <v>3977.7</v>
      </c>
      <c r="AG957" s="933" t="s">
        <v>120</v>
      </c>
    </row>
    <row r="958" spans="1:33" ht="31.5" hidden="1">
      <c r="A958" s="970"/>
      <c r="B958" s="976" t="s">
        <v>1399</v>
      </c>
      <c r="C958"/>
      <c r="D958"/>
      <c r="E958"/>
      <c r="I958"/>
      <c r="J958" s="805"/>
      <c r="K958" s="776" t="s">
        <v>52</v>
      </c>
      <c r="AG958" s="933" t="s">
        <v>120</v>
      </c>
    </row>
    <row r="959" spans="1:33" ht="31.5" hidden="1">
      <c r="A959" s="970"/>
      <c r="B959" s="976" t="s">
        <v>1400</v>
      </c>
      <c r="C959"/>
      <c r="D959"/>
      <c r="E959"/>
      <c r="H959" s="933" t="s">
        <v>460</v>
      </c>
      <c r="I959"/>
      <c r="J959" s="805"/>
      <c r="K959" s="744">
        <f>K957/F949</f>
        <v>2425.4299999999998</v>
      </c>
      <c r="AG959" s="933" t="s">
        <v>120</v>
      </c>
    </row>
    <row r="960" spans="1:33" ht="31.5" hidden="1">
      <c r="A960" s="970"/>
      <c r="B960" s="976" t="s">
        <v>1401</v>
      </c>
      <c r="C960"/>
      <c r="D960"/>
      <c r="E960"/>
      <c r="I960"/>
      <c r="J960" s="805"/>
      <c r="K960" s="776" t="s">
        <v>89</v>
      </c>
      <c r="AG960" s="933" t="s">
        <v>120</v>
      </c>
    </row>
    <row r="961" spans="1:11" ht="31.5" hidden="1">
      <c r="A961" s="970"/>
      <c r="B961" s="976" t="s">
        <v>1402</v>
      </c>
      <c r="C961"/>
      <c r="D961"/>
      <c r="E961"/>
      <c r="F961" s="934" t="s">
        <v>1403</v>
      </c>
      <c r="G961" s="938" t="s">
        <v>111</v>
      </c>
      <c r="H961" s="933" t="s">
        <v>1307</v>
      </c>
      <c r="I961"/>
      <c r="J961" s="805"/>
      <c r="K961"/>
    </row>
    <row r="962" spans="1:11" ht="31.5" hidden="1">
      <c r="A962" s="970"/>
      <c r="B962" s="976" t="s">
        <v>1404</v>
      </c>
      <c r="C962"/>
      <c r="D962"/>
      <c r="E962"/>
      <c r="H962" s="933" t="s">
        <v>1309</v>
      </c>
      <c r="I962"/>
      <c r="J962" s="805"/>
      <c r="K962"/>
    </row>
    <row r="963" spans="1:11" hidden="1">
      <c r="A963" s="970"/>
      <c r="B963" s="976" t="s">
        <v>1405</v>
      </c>
      <c r="C963"/>
      <c r="D963"/>
      <c r="E963"/>
      <c r="H963" s="933" t="s">
        <v>1406</v>
      </c>
      <c r="I963"/>
      <c r="J963" s="805"/>
      <c r="K963"/>
    </row>
    <row r="964" spans="1:11" hidden="1">
      <c r="A964" s="970"/>
      <c r="B964" s="976" t="s">
        <v>1407</v>
      </c>
      <c r="C964"/>
      <c r="D964"/>
      <c r="E964"/>
      <c r="H964" s="935" t="s">
        <v>52</v>
      </c>
      <c r="I964"/>
      <c r="J964" s="805"/>
      <c r="K964"/>
    </row>
    <row r="965" spans="1:11" hidden="1">
      <c r="A965" s="970"/>
      <c r="B965" s="976" t="s">
        <v>1408</v>
      </c>
      <c r="C965"/>
      <c r="D965"/>
      <c r="E965"/>
      <c r="H965" s="933" t="s">
        <v>1409</v>
      </c>
      <c r="I965"/>
      <c r="J965" s="805"/>
      <c r="K965"/>
    </row>
    <row r="966" spans="1:11" hidden="1">
      <c r="A966" s="970"/>
      <c r="B966" s="976" t="s">
        <v>1410</v>
      </c>
      <c r="C966"/>
      <c r="D966"/>
      <c r="E966"/>
      <c r="H966" s="933" t="s">
        <v>1316</v>
      </c>
      <c r="I966"/>
      <c r="J966" s="805"/>
      <c r="K966"/>
    </row>
    <row r="967" spans="1:11" hidden="1">
      <c r="A967" s="970"/>
      <c r="B967" s="976" t="s">
        <v>1411</v>
      </c>
      <c r="C967"/>
      <c r="D967"/>
      <c r="E967"/>
      <c r="I967"/>
      <c r="J967" s="779" t="s">
        <v>52</v>
      </c>
      <c r="K967"/>
    </row>
    <row r="968" spans="1:11" hidden="1">
      <c r="A968" s="970"/>
      <c r="B968" s="976" t="s">
        <v>1412</v>
      </c>
      <c r="C968"/>
      <c r="D968"/>
      <c r="E968"/>
      <c r="H968" s="933" t="s">
        <v>1413</v>
      </c>
      <c r="I968"/>
      <c r="J968" s="805"/>
      <c r="K968"/>
    </row>
    <row r="969" spans="1:11" hidden="1">
      <c r="A969" s="970"/>
      <c r="B969" s="976" t="s">
        <v>1414</v>
      </c>
      <c r="C969"/>
      <c r="D969"/>
      <c r="E969"/>
      <c r="H969" s="933" t="s">
        <v>1415</v>
      </c>
      <c r="I969"/>
      <c r="J969" s="805"/>
      <c r="K969" s="982">
        <v>1.1900000000000001E-2</v>
      </c>
    </row>
    <row r="970" spans="1:11" ht="31.5" hidden="1">
      <c r="A970" s="970"/>
      <c r="B970" s="976" t="s">
        <v>1416</v>
      </c>
      <c r="C970"/>
      <c r="D970"/>
      <c r="E970"/>
      <c r="I970"/>
      <c r="J970" s="779" t="s">
        <v>85</v>
      </c>
      <c r="K970" s="776" t="s">
        <v>52</v>
      </c>
    </row>
    <row r="971" spans="1:11" ht="31.5" hidden="1">
      <c r="A971" s="970"/>
      <c r="B971" s="976" t="s">
        <v>1417</v>
      </c>
      <c r="C971"/>
      <c r="D971"/>
      <c r="E971"/>
      <c r="H971" s="933" t="s">
        <v>1418</v>
      </c>
      <c r="I971"/>
      <c r="J971" s="983" t="s">
        <v>85</v>
      </c>
      <c r="K971" s="982">
        <v>1.18E-2</v>
      </c>
    </row>
    <row r="972" spans="1:11" ht="31.5" hidden="1">
      <c r="A972" s="970"/>
      <c r="B972" s="976" t="s">
        <v>1419</v>
      </c>
      <c r="C972"/>
      <c r="D972"/>
      <c r="E972"/>
      <c r="H972" s="933" t="s">
        <v>88</v>
      </c>
      <c r="I972"/>
      <c r="J972" s="779" t="s">
        <v>85</v>
      </c>
      <c r="K972" s="985" t="s">
        <v>52</v>
      </c>
    </row>
    <row r="973" spans="1:11" hidden="1">
      <c r="A973" s="970"/>
      <c r="B973" s="976" t="s">
        <v>1420</v>
      </c>
      <c r="C973"/>
      <c r="D973"/>
      <c r="E973"/>
      <c r="I973"/>
      <c r="J973" s="805"/>
      <c r="K973"/>
    </row>
    <row r="974" spans="1:11" hidden="1">
      <c r="A974" s="970"/>
      <c r="B974" s="976" t="s">
        <v>1421</v>
      </c>
      <c r="C974"/>
      <c r="D974"/>
      <c r="E974"/>
      <c r="F974" s="960">
        <v>1.14E-2</v>
      </c>
      <c r="G974" s="938" t="s">
        <v>132</v>
      </c>
      <c r="H974" s="933" t="s">
        <v>1332</v>
      </c>
      <c r="I974" s="744">
        <f>C88</f>
        <v>65420</v>
      </c>
      <c r="J974" s="779" t="s">
        <v>132</v>
      </c>
      <c r="K974" s="744">
        <f>(F974*I974)</f>
        <v>745.79</v>
      </c>
    </row>
    <row r="975" spans="1:11" hidden="1">
      <c r="A975" s="970"/>
      <c r="B975" s="976" t="s">
        <v>1422</v>
      </c>
      <c r="C975"/>
      <c r="D975"/>
      <c r="E975"/>
      <c r="F975" s="960">
        <v>1.1900000000000001E-2</v>
      </c>
      <c r="G975" s="938" t="s">
        <v>132</v>
      </c>
      <c r="H975" s="933" t="s">
        <v>1334</v>
      </c>
      <c r="I975" s="744">
        <f>C89</f>
        <v>57165</v>
      </c>
      <c r="J975" s="779" t="s">
        <v>132</v>
      </c>
      <c r="K975" s="744">
        <f>(F975*I975)</f>
        <v>680.26</v>
      </c>
    </row>
    <row r="976" spans="1:11" hidden="1">
      <c r="A976" s="970"/>
      <c r="B976" s="976" t="s">
        <v>1423</v>
      </c>
      <c r="C976"/>
      <c r="D976"/>
      <c r="E976"/>
      <c r="F976" s="960">
        <v>1.18E-2</v>
      </c>
      <c r="G976" s="938" t="s">
        <v>132</v>
      </c>
      <c r="H976" s="933" t="s">
        <v>1336</v>
      </c>
      <c r="I976" s="744">
        <f>C90</f>
        <v>63870</v>
      </c>
      <c r="J976" s="779" t="s">
        <v>132</v>
      </c>
      <c r="K976" s="744">
        <f>(F976*I976)</f>
        <v>753.67</v>
      </c>
    </row>
    <row r="977" spans="1:33" hidden="1">
      <c r="A977" s="970"/>
      <c r="B977" s="976" t="s">
        <v>1424</v>
      </c>
      <c r="C977"/>
      <c r="D977"/>
      <c r="E977"/>
      <c r="F977" s="960"/>
      <c r="H977" s="933" t="s">
        <v>1338</v>
      </c>
      <c r="I977" s="743" t="s">
        <v>85</v>
      </c>
      <c r="J977" s="805"/>
      <c r="K977" s="743" t="s">
        <v>85</v>
      </c>
    </row>
    <row r="978" spans="1:33" hidden="1">
      <c r="A978" s="970"/>
      <c r="B978" s="976" t="s">
        <v>1425</v>
      </c>
      <c r="C978"/>
      <c r="D978"/>
      <c r="E978"/>
      <c r="F978" s="960">
        <v>1.2150000000000001</v>
      </c>
      <c r="G978" s="938" t="s">
        <v>425</v>
      </c>
      <c r="H978" s="933" t="s">
        <v>1340</v>
      </c>
      <c r="I978" s="744">
        <f>C31</f>
        <v>342</v>
      </c>
      <c r="J978" s="779" t="s">
        <v>425</v>
      </c>
      <c r="K978" s="744">
        <f t="shared" ref="K978:K984" si="53">(F978*I978)</f>
        <v>415.53</v>
      </c>
    </row>
    <row r="979" spans="1:33" hidden="1">
      <c r="A979" s="970"/>
      <c r="B979" s="976" t="s">
        <v>1426</v>
      </c>
      <c r="C979"/>
      <c r="D979"/>
      <c r="E979"/>
      <c r="F979" s="939">
        <v>1</v>
      </c>
      <c r="G979" s="938" t="s">
        <v>237</v>
      </c>
      <c r="H979" s="933" t="s">
        <v>1342</v>
      </c>
      <c r="I979" s="744">
        <f>C576</f>
        <v>30</v>
      </c>
      <c r="J979" s="779" t="s">
        <v>131</v>
      </c>
      <c r="K979" s="744">
        <f t="shared" si="53"/>
        <v>30</v>
      </c>
    </row>
    <row r="980" spans="1:33" hidden="1">
      <c r="A980" s="970"/>
      <c r="B980" s="976" t="s">
        <v>1427</v>
      </c>
      <c r="C980"/>
      <c r="D980"/>
      <c r="E980"/>
      <c r="F980" s="939">
        <v>3</v>
      </c>
      <c r="G980" s="938" t="s">
        <v>131</v>
      </c>
      <c r="H980" s="933" t="s">
        <v>1344</v>
      </c>
      <c r="I980" s="744">
        <f>C278</f>
        <v>45</v>
      </c>
      <c r="J980" s="779" t="s">
        <v>131</v>
      </c>
      <c r="K980" s="744">
        <f t="shared" si="53"/>
        <v>135</v>
      </c>
    </row>
    <row r="981" spans="1:33" hidden="1">
      <c r="A981" s="970"/>
      <c r="B981" s="976" t="s">
        <v>1428</v>
      </c>
      <c r="C981"/>
      <c r="D981"/>
      <c r="E981"/>
      <c r="F981" s="939">
        <v>2</v>
      </c>
      <c r="G981" s="938" t="s">
        <v>131</v>
      </c>
      <c r="H981" s="933" t="s">
        <v>1346</v>
      </c>
      <c r="I981" s="744">
        <f>C283</f>
        <v>30</v>
      </c>
      <c r="J981" s="779" t="s">
        <v>131</v>
      </c>
      <c r="K981" s="744">
        <f t="shared" si="53"/>
        <v>60</v>
      </c>
    </row>
    <row r="982" spans="1:33" hidden="1">
      <c r="A982" s="970"/>
      <c r="B982" s="976" t="s">
        <v>1429</v>
      </c>
      <c r="C982"/>
      <c r="D982"/>
      <c r="E982"/>
      <c r="F982" s="939">
        <v>1</v>
      </c>
      <c r="G982" s="938" t="s">
        <v>131</v>
      </c>
      <c r="H982" s="933" t="s">
        <v>1348</v>
      </c>
      <c r="I982" s="744">
        <f>C285</f>
        <v>95</v>
      </c>
      <c r="J982" s="779" t="s">
        <v>131</v>
      </c>
      <c r="K982" s="744">
        <f t="shared" si="53"/>
        <v>95</v>
      </c>
    </row>
    <row r="983" spans="1:33" ht="31.5" hidden="1">
      <c r="A983" s="970"/>
      <c r="B983" s="976" t="s">
        <v>1430</v>
      </c>
      <c r="C983"/>
      <c r="D983"/>
      <c r="E983"/>
      <c r="F983" s="939">
        <v>1</v>
      </c>
      <c r="G983" s="938" t="s">
        <v>131</v>
      </c>
      <c r="H983" s="933" t="s">
        <v>1350</v>
      </c>
      <c r="I983" s="744">
        <f>C287</f>
        <v>8</v>
      </c>
      <c r="J983" s="779" t="s">
        <v>131</v>
      </c>
      <c r="K983" s="744">
        <f t="shared" si="53"/>
        <v>8</v>
      </c>
    </row>
    <row r="984" spans="1:33" hidden="1">
      <c r="A984" s="970"/>
      <c r="B984" s="976" t="s">
        <v>1431</v>
      </c>
      <c r="C984"/>
      <c r="D984"/>
      <c r="E984"/>
      <c r="F984" s="939">
        <v>1</v>
      </c>
      <c r="G984" s="938" t="s">
        <v>131</v>
      </c>
      <c r="H984" s="933" t="s">
        <v>455</v>
      </c>
      <c r="I984" s="744">
        <f>D576</f>
        <v>25</v>
      </c>
      <c r="J984" s="779" t="s">
        <v>131</v>
      </c>
      <c r="K984" s="744">
        <f t="shared" si="53"/>
        <v>25</v>
      </c>
    </row>
    <row r="985" spans="1:33" hidden="1">
      <c r="A985" s="970"/>
      <c r="B985" s="976" t="s">
        <v>1432</v>
      </c>
      <c r="C985"/>
      <c r="D985"/>
      <c r="E985"/>
      <c r="I985"/>
      <c r="J985" s="805"/>
      <c r="K985" s="776" t="s">
        <v>52</v>
      </c>
    </row>
    <row r="986" spans="1:33" hidden="1">
      <c r="A986" s="970"/>
      <c r="B986" s="976" t="s">
        <v>1433</v>
      </c>
      <c r="C986"/>
      <c r="D986"/>
      <c r="E986"/>
      <c r="H986" s="933" t="s">
        <v>1434</v>
      </c>
      <c r="I986"/>
      <c r="J986" s="805"/>
      <c r="K986" s="744">
        <f>SUM(K974:K984)</f>
        <v>2948.25</v>
      </c>
    </row>
    <row r="987" spans="1:33" hidden="1">
      <c r="A987" s="970"/>
      <c r="B987" s="976" t="s">
        <v>1435</v>
      </c>
      <c r="C987"/>
      <c r="D987"/>
      <c r="E987"/>
      <c r="I987"/>
      <c r="J987" s="805"/>
      <c r="K987" s="776" t="s">
        <v>52</v>
      </c>
    </row>
    <row r="988" spans="1:33" hidden="1">
      <c r="A988" s="970"/>
      <c r="B988" s="976" t="s">
        <v>1436</v>
      </c>
      <c r="C988"/>
      <c r="D988"/>
      <c r="E988"/>
      <c r="H988" s="933" t="s">
        <v>460</v>
      </c>
      <c r="I988"/>
      <c r="J988" s="805"/>
      <c r="K988" s="744">
        <f>K986/F978</f>
        <v>2426.54</v>
      </c>
    </row>
    <row r="989" spans="1:33" ht="31.5" hidden="1">
      <c r="A989" s="970"/>
      <c r="B989" s="976" t="s">
        <v>1437</v>
      </c>
      <c r="C989"/>
      <c r="D989"/>
      <c r="E989"/>
      <c r="I989"/>
      <c r="J989" s="805"/>
      <c r="K989" s="776" t="s">
        <v>89</v>
      </c>
    </row>
    <row r="990" spans="1:33" hidden="1">
      <c r="A990" s="970"/>
      <c r="B990" s="976" t="s">
        <v>1438</v>
      </c>
      <c r="C990"/>
      <c r="D990"/>
      <c r="E990"/>
      <c r="I990"/>
      <c r="J990" s="805"/>
      <c r="K990"/>
    </row>
    <row r="991" spans="1:33" hidden="1">
      <c r="A991" s="970"/>
      <c r="B991" s="976" t="s">
        <v>1439</v>
      </c>
      <c r="C991"/>
      <c r="D991"/>
      <c r="E991"/>
      <c r="F991" s="934" t="s">
        <v>1440</v>
      </c>
      <c r="G991" s="938" t="s">
        <v>111</v>
      </c>
      <c r="H991" s="933" t="s">
        <v>1441</v>
      </c>
      <c r="I991"/>
      <c r="J991" s="805"/>
      <c r="K991"/>
      <c r="AG991" s="933" t="s">
        <v>120</v>
      </c>
    </row>
    <row r="992" spans="1:33" hidden="1">
      <c r="A992" s="970"/>
      <c r="B992" s="976" t="s">
        <v>1442</v>
      </c>
      <c r="C992"/>
      <c r="D992"/>
      <c r="E992"/>
      <c r="H992" s="933" t="s">
        <v>1443</v>
      </c>
      <c r="I992"/>
      <c r="J992" s="805"/>
      <c r="K992"/>
      <c r="AG992" s="933" t="s">
        <v>120</v>
      </c>
    </row>
    <row r="993" spans="1:33" hidden="1">
      <c r="A993" s="970"/>
      <c r="B993" s="976" t="s">
        <v>1444</v>
      </c>
      <c r="C993"/>
      <c r="D993"/>
      <c r="E993"/>
      <c r="H993" s="933" t="s">
        <v>1445</v>
      </c>
      <c r="I993"/>
      <c r="J993" s="805"/>
      <c r="K993"/>
      <c r="AG993" s="933" t="s">
        <v>120</v>
      </c>
    </row>
    <row r="994" spans="1:33" hidden="1">
      <c r="A994" s="970"/>
      <c r="B994" s="976" t="s">
        <v>1446</v>
      </c>
      <c r="C994"/>
      <c r="D994"/>
      <c r="E994"/>
      <c r="H994" s="933" t="s">
        <v>1447</v>
      </c>
      <c r="I994"/>
      <c r="J994" s="805"/>
      <c r="K994"/>
      <c r="AG994" s="933" t="s">
        <v>120</v>
      </c>
    </row>
    <row r="995" spans="1:33" hidden="1">
      <c r="A995" s="970"/>
      <c r="B995" s="976" t="s">
        <v>1448</v>
      </c>
      <c r="C995"/>
      <c r="D995"/>
      <c r="E995"/>
      <c r="H995" s="933" t="s">
        <v>1449</v>
      </c>
      <c r="I995"/>
      <c r="J995" s="805"/>
      <c r="K995"/>
      <c r="AG995" s="933" t="s">
        <v>120</v>
      </c>
    </row>
    <row r="996" spans="1:33" hidden="1">
      <c r="A996" s="970"/>
      <c r="B996" s="976" t="s">
        <v>1450</v>
      </c>
      <c r="C996"/>
      <c r="D996"/>
      <c r="E996"/>
      <c r="H996" s="933" t="s">
        <v>1451</v>
      </c>
      <c r="I996"/>
      <c r="J996" s="805"/>
      <c r="K996"/>
      <c r="AG996" s="933" t="s">
        <v>120</v>
      </c>
    </row>
    <row r="997" spans="1:33" hidden="1">
      <c r="A997" s="970"/>
      <c r="B997" s="976" t="s">
        <v>1452</v>
      </c>
      <c r="C997"/>
      <c r="D997"/>
      <c r="E997"/>
      <c r="H997" s="935" t="s">
        <v>52</v>
      </c>
      <c r="I997"/>
      <c r="J997" s="805"/>
      <c r="K997"/>
      <c r="AG997" s="933" t="s">
        <v>120</v>
      </c>
    </row>
    <row r="998" spans="1:33" hidden="1">
      <c r="A998" s="970"/>
      <c r="B998" s="976" t="s">
        <v>1453</v>
      </c>
      <c r="C998"/>
      <c r="D998"/>
      <c r="E998"/>
      <c r="H998" s="933" t="s">
        <v>1369</v>
      </c>
      <c r="I998"/>
      <c r="J998" s="805"/>
      <c r="K998"/>
      <c r="AG998" s="933" t="s">
        <v>120</v>
      </c>
    </row>
    <row r="999" spans="1:33" ht="31.5" hidden="1">
      <c r="A999" s="970"/>
      <c r="B999" s="976" t="s">
        <v>1454</v>
      </c>
      <c r="C999"/>
      <c r="D999"/>
      <c r="E999"/>
      <c r="H999" s="933" t="s">
        <v>1455</v>
      </c>
      <c r="I999"/>
      <c r="J999" s="805"/>
      <c r="K999"/>
      <c r="AG999" s="933" t="s">
        <v>120</v>
      </c>
    </row>
    <row r="1000" spans="1:33" ht="31.5" hidden="1">
      <c r="A1000" s="970"/>
      <c r="B1000" s="976" t="s">
        <v>1456</v>
      </c>
      <c r="C1000"/>
      <c r="D1000"/>
      <c r="E1000"/>
      <c r="I1000"/>
      <c r="J1000" s="779" t="s">
        <v>52</v>
      </c>
      <c r="K1000"/>
      <c r="AG1000" s="933" t="s">
        <v>120</v>
      </c>
    </row>
    <row r="1001" spans="1:33" ht="31.5" hidden="1">
      <c r="A1001" s="970"/>
      <c r="B1001" s="976" t="s">
        <v>1457</v>
      </c>
      <c r="C1001"/>
      <c r="D1001"/>
      <c r="E1001"/>
      <c r="H1001" s="933" t="s">
        <v>1458</v>
      </c>
      <c r="I1001"/>
      <c r="J1001" s="805"/>
      <c r="K1001"/>
      <c r="AG1001" s="933" t="s">
        <v>120</v>
      </c>
    </row>
    <row r="1002" spans="1:33" ht="47.25" hidden="1">
      <c r="A1002" s="970"/>
      <c r="B1002" s="976" t="s">
        <v>1459</v>
      </c>
      <c r="C1002"/>
      <c r="D1002"/>
      <c r="E1002"/>
      <c r="H1002" s="933" t="s">
        <v>85</v>
      </c>
      <c r="I1002" s="743" t="s">
        <v>85</v>
      </c>
      <c r="J1002" s="805"/>
      <c r="K1002" s="986" t="s">
        <v>85</v>
      </c>
      <c r="AG1002" s="933" t="s">
        <v>120</v>
      </c>
    </row>
    <row r="1003" spans="1:33" hidden="1">
      <c r="A1003" s="970"/>
      <c r="B1003" s="976" t="s">
        <v>1460</v>
      </c>
      <c r="C1003"/>
      <c r="D1003"/>
      <c r="E1003"/>
      <c r="I1003"/>
      <c r="J1003" s="779" t="s">
        <v>85</v>
      </c>
      <c r="K1003" s="743" t="s">
        <v>85</v>
      </c>
      <c r="AG1003" s="933" t="s">
        <v>120</v>
      </c>
    </row>
    <row r="1004" spans="1:33" hidden="1">
      <c r="A1004" s="970"/>
      <c r="B1004" s="976" t="s">
        <v>1461</v>
      </c>
      <c r="C1004"/>
      <c r="D1004"/>
      <c r="E1004"/>
      <c r="H1004" s="933" t="s">
        <v>1462</v>
      </c>
      <c r="I1004"/>
      <c r="J1004" s="983" t="s">
        <v>85</v>
      </c>
      <c r="K1004" s="986" t="s">
        <v>85</v>
      </c>
      <c r="AG1004" s="933" t="s">
        <v>120</v>
      </c>
    </row>
    <row r="1005" spans="1:33" hidden="1">
      <c r="A1005" s="970"/>
      <c r="B1005" s="976" t="s">
        <v>1463</v>
      </c>
      <c r="C1005"/>
      <c r="D1005"/>
      <c r="E1005"/>
      <c r="H1005" s="933" t="s">
        <v>1464</v>
      </c>
      <c r="I1005"/>
      <c r="J1005" s="805"/>
      <c r="K1005" s="986" t="s">
        <v>1465</v>
      </c>
      <c r="AG1005" s="933" t="s">
        <v>120</v>
      </c>
    </row>
    <row r="1006" spans="1:33" hidden="1">
      <c r="A1006" s="970"/>
      <c r="B1006" s="976" t="s">
        <v>1466</v>
      </c>
      <c r="C1006"/>
      <c r="D1006"/>
      <c r="E1006"/>
      <c r="I1006"/>
      <c r="J1006" s="805"/>
      <c r="K1006" s="743" t="s">
        <v>85</v>
      </c>
      <c r="AG1006" s="933" t="s">
        <v>120</v>
      </c>
    </row>
    <row r="1007" spans="1:33" hidden="1">
      <c r="A1007" s="970"/>
      <c r="B1007" s="976" t="s">
        <v>1467</v>
      </c>
      <c r="C1007"/>
      <c r="D1007"/>
      <c r="E1007"/>
      <c r="I1007"/>
      <c r="J1007" s="805"/>
      <c r="K1007" s="986" t="s">
        <v>85</v>
      </c>
      <c r="AG1007" s="933" t="s">
        <v>120</v>
      </c>
    </row>
    <row r="1008" spans="1:33" hidden="1">
      <c r="A1008" s="970"/>
      <c r="B1008" s="976" t="s">
        <v>1468</v>
      </c>
      <c r="C1008"/>
      <c r="D1008"/>
      <c r="E1008"/>
      <c r="I1008"/>
      <c r="J1008" s="805"/>
      <c r="K1008" s="743" t="s">
        <v>85</v>
      </c>
      <c r="AG1008" s="933" t="s">
        <v>120</v>
      </c>
    </row>
    <row r="1009" spans="1:33" hidden="1">
      <c r="A1009" s="970"/>
      <c r="B1009" s="976" t="s">
        <v>1469</v>
      </c>
      <c r="C1009"/>
      <c r="D1009"/>
      <c r="E1009"/>
      <c r="F1009" s="934" t="s">
        <v>1470</v>
      </c>
      <c r="G1009" s="938"/>
      <c r="H1009" s="933" t="s">
        <v>1471</v>
      </c>
      <c r="I1009"/>
      <c r="J1009" s="805"/>
      <c r="K1009" s="743" t="s">
        <v>85</v>
      </c>
      <c r="AG1009" s="933" t="s">
        <v>120</v>
      </c>
    </row>
    <row r="1010" spans="1:33" hidden="1">
      <c r="A1010" s="970"/>
      <c r="B1010" s="976" t="s">
        <v>1472</v>
      </c>
      <c r="C1010"/>
      <c r="D1010"/>
      <c r="E1010"/>
      <c r="H1010" s="935" t="s">
        <v>52</v>
      </c>
      <c r="I1010"/>
      <c r="J1010" s="805"/>
      <c r="K1010"/>
      <c r="AG1010" s="933" t="s">
        <v>120</v>
      </c>
    </row>
    <row r="1011" spans="1:33" hidden="1">
      <c r="A1011" s="978"/>
      <c r="B1011" s="976" t="s">
        <v>1473</v>
      </c>
      <c r="C1011"/>
      <c r="D1011"/>
      <c r="E1011"/>
      <c r="F1011" s="984">
        <v>1.153E-2</v>
      </c>
      <c r="G1011" s="938" t="s">
        <v>132</v>
      </c>
      <c r="H1011" s="933" t="s">
        <v>446</v>
      </c>
      <c r="I1011" s="744">
        <f>C88</f>
        <v>65420</v>
      </c>
      <c r="J1011" s="779" t="s">
        <v>132</v>
      </c>
      <c r="K1011" s="744">
        <f t="shared" ref="K1011:K1020" si="54">(F1011*I1011)</f>
        <v>754.29</v>
      </c>
      <c r="AG1011" s="933" t="s">
        <v>120</v>
      </c>
    </row>
    <row r="1012" spans="1:33" hidden="1">
      <c r="A1012" s="978"/>
      <c r="B1012" s="976" t="s">
        <v>1474</v>
      </c>
      <c r="C1012"/>
      <c r="D1012"/>
      <c r="E1012"/>
      <c r="F1012" s="984">
        <v>1.35E-2</v>
      </c>
      <c r="G1012" s="938" t="s">
        <v>132</v>
      </c>
      <c r="H1012" s="933" t="s">
        <v>447</v>
      </c>
      <c r="I1012" s="744">
        <f>C89</f>
        <v>57165</v>
      </c>
      <c r="J1012" s="779" t="s">
        <v>132</v>
      </c>
      <c r="K1012" s="744">
        <f t="shared" si="54"/>
        <v>771.73</v>
      </c>
      <c r="AG1012" s="933" t="s">
        <v>120</v>
      </c>
    </row>
    <row r="1013" spans="1:33" hidden="1">
      <c r="A1013" s="978"/>
      <c r="B1013" s="976" t="s">
        <v>1475</v>
      </c>
      <c r="C1013"/>
      <c r="D1013"/>
      <c r="E1013"/>
      <c r="F1013" s="984">
        <v>1.016</v>
      </c>
      <c r="G1013" s="938" t="s">
        <v>425</v>
      </c>
      <c r="H1013" s="933" t="s">
        <v>448</v>
      </c>
      <c r="I1013" s="744">
        <f>C753</f>
        <v>381.37</v>
      </c>
      <c r="J1013" s="779" t="s">
        <v>425</v>
      </c>
      <c r="K1013" s="744">
        <f t="shared" si="54"/>
        <v>387.47</v>
      </c>
      <c r="AG1013" s="933" t="s">
        <v>120</v>
      </c>
    </row>
    <row r="1014" spans="1:33" hidden="1">
      <c r="A1014" s="978"/>
      <c r="B1014" s="976" t="s">
        <v>1476</v>
      </c>
      <c r="C1014"/>
      <c r="D1014"/>
      <c r="E1014"/>
      <c r="F1014" s="984">
        <v>1.64</v>
      </c>
      <c r="G1014" s="938" t="s">
        <v>425</v>
      </c>
      <c r="H1014" s="933" t="s">
        <v>449</v>
      </c>
      <c r="I1014" s="744">
        <f>D30</f>
        <v>287</v>
      </c>
      <c r="J1014" s="779" t="s">
        <v>425</v>
      </c>
      <c r="K1014" s="744">
        <f t="shared" si="54"/>
        <v>470.68</v>
      </c>
      <c r="AG1014" s="933" t="s">
        <v>120</v>
      </c>
    </row>
    <row r="1015" spans="1:33" hidden="1">
      <c r="A1015" s="978"/>
      <c r="B1015" s="976" t="s">
        <v>1477</v>
      </c>
      <c r="C1015"/>
      <c r="D1015"/>
      <c r="E1015"/>
      <c r="F1015" s="939">
        <v>2</v>
      </c>
      <c r="G1015" s="938" t="s">
        <v>131</v>
      </c>
      <c r="H1015" s="933" t="s">
        <v>450</v>
      </c>
      <c r="I1015" s="744">
        <f>C283</f>
        <v>30</v>
      </c>
      <c r="J1015" s="779" t="s">
        <v>131</v>
      </c>
      <c r="K1015" s="744">
        <f t="shared" si="54"/>
        <v>60</v>
      </c>
      <c r="AG1015" s="933" t="s">
        <v>120</v>
      </c>
    </row>
    <row r="1016" spans="1:33" hidden="1">
      <c r="A1016" s="978"/>
      <c r="B1016" s="976" t="s">
        <v>1478</v>
      </c>
      <c r="C1016"/>
      <c r="D1016"/>
      <c r="E1016"/>
      <c r="F1016" s="939">
        <v>3</v>
      </c>
      <c r="G1016" s="938" t="s">
        <v>131</v>
      </c>
      <c r="H1016" s="933" t="s">
        <v>1479</v>
      </c>
      <c r="I1016" s="744">
        <f>C278</f>
        <v>45</v>
      </c>
      <c r="J1016" s="779" t="s">
        <v>131</v>
      </c>
      <c r="K1016" s="744">
        <f t="shared" si="54"/>
        <v>135</v>
      </c>
      <c r="AG1016" s="933" t="s">
        <v>120</v>
      </c>
    </row>
    <row r="1017" spans="1:33" hidden="1">
      <c r="A1017" s="978"/>
      <c r="B1017" s="976" t="s">
        <v>1480</v>
      </c>
      <c r="C1017"/>
      <c r="D1017"/>
      <c r="E1017"/>
      <c r="F1017" s="939">
        <v>1</v>
      </c>
      <c r="G1017" s="938" t="s">
        <v>131</v>
      </c>
      <c r="H1017" s="933" t="s">
        <v>452</v>
      </c>
      <c r="I1017" s="744">
        <f>C285</f>
        <v>95</v>
      </c>
      <c r="J1017" s="779" t="s">
        <v>131</v>
      </c>
      <c r="K1017" s="744">
        <f t="shared" si="54"/>
        <v>95</v>
      </c>
      <c r="AG1017" s="933" t="s">
        <v>120</v>
      </c>
    </row>
    <row r="1018" spans="1:33" hidden="1">
      <c r="A1018" s="978"/>
      <c r="B1018" s="976" t="s">
        <v>1481</v>
      </c>
      <c r="C1018"/>
      <c r="D1018"/>
      <c r="E1018"/>
      <c r="F1018" s="939">
        <v>1</v>
      </c>
      <c r="G1018" s="938" t="s">
        <v>131</v>
      </c>
      <c r="H1018" s="933" t="s">
        <v>453</v>
      </c>
      <c r="I1018" s="744">
        <f>C287</f>
        <v>8</v>
      </c>
      <c r="J1018" s="779" t="s">
        <v>131</v>
      </c>
      <c r="K1018" s="744">
        <f t="shared" si="54"/>
        <v>8</v>
      </c>
      <c r="AG1018" s="933" t="s">
        <v>120</v>
      </c>
    </row>
    <row r="1019" spans="1:33" hidden="1">
      <c r="A1019" s="978"/>
      <c r="B1019" s="976" t="s">
        <v>1482</v>
      </c>
      <c r="C1019"/>
      <c r="D1019"/>
      <c r="E1019"/>
      <c r="F1019" s="939">
        <v>1</v>
      </c>
      <c r="G1019" s="938" t="s">
        <v>131</v>
      </c>
      <c r="H1019" s="933" t="s">
        <v>454</v>
      </c>
      <c r="I1019" s="744">
        <f>C576</f>
        <v>30</v>
      </c>
      <c r="J1019" s="779" t="s">
        <v>131</v>
      </c>
      <c r="K1019" s="744">
        <f t="shared" si="54"/>
        <v>30</v>
      </c>
      <c r="AG1019" s="933" t="s">
        <v>120</v>
      </c>
    </row>
    <row r="1020" spans="1:33" hidden="1">
      <c r="A1020" s="978"/>
      <c r="B1020" s="976" t="s">
        <v>1483</v>
      </c>
      <c r="C1020"/>
      <c r="D1020"/>
      <c r="E1020"/>
      <c r="F1020" s="939">
        <v>1</v>
      </c>
      <c r="G1020" s="938" t="s">
        <v>131</v>
      </c>
      <c r="H1020" s="933" t="s">
        <v>455</v>
      </c>
      <c r="I1020" s="744">
        <f>D576</f>
        <v>25</v>
      </c>
      <c r="J1020" s="779" t="s">
        <v>131</v>
      </c>
      <c r="K1020" s="744">
        <f t="shared" si="54"/>
        <v>25</v>
      </c>
      <c r="AG1020" s="933" t="s">
        <v>120</v>
      </c>
    </row>
    <row r="1021" spans="1:33" hidden="1">
      <c r="A1021" s="978"/>
      <c r="B1021" s="976" t="s">
        <v>1484</v>
      </c>
      <c r="C1021"/>
      <c r="D1021"/>
      <c r="E1021"/>
      <c r="I1021"/>
      <c r="J1021" s="805"/>
      <c r="K1021" s="776" t="s">
        <v>52</v>
      </c>
      <c r="AG1021" s="933" t="s">
        <v>120</v>
      </c>
    </row>
    <row r="1022" spans="1:33" hidden="1">
      <c r="A1022" s="978"/>
      <c r="B1022" s="976" t="s">
        <v>1485</v>
      </c>
      <c r="C1022"/>
      <c r="D1022"/>
      <c r="E1022"/>
      <c r="H1022" s="934" t="s">
        <v>1486</v>
      </c>
      <c r="I1022"/>
      <c r="J1022" s="805"/>
      <c r="K1022" s="744">
        <f>SUM(K1011:K1020)</f>
        <v>2737.17</v>
      </c>
      <c r="AG1022" s="933" t="s">
        <v>120</v>
      </c>
    </row>
    <row r="1023" spans="1:33" ht="31.5" hidden="1">
      <c r="A1023" s="978"/>
      <c r="B1023" s="976" t="s">
        <v>1487</v>
      </c>
      <c r="C1023"/>
      <c r="D1023"/>
      <c r="E1023"/>
      <c r="G1023" s="938" t="s">
        <v>85</v>
      </c>
      <c r="I1023"/>
      <c r="J1023" s="805"/>
      <c r="K1023" s="776" t="s">
        <v>52</v>
      </c>
      <c r="AG1023" s="933" t="s">
        <v>120</v>
      </c>
    </row>
    <row r="1024" spans="1:33" hidden="1">
      <c r="A1024" s="978"/>
      <c r="B1024" s="976" t="s">
        <v>1488</v>
      </c>
      <c r="C1024"/>
      <c r="D1024"/>
      <c r="E1024"/>
      <c r="H1024" s="934" t="s">
        <v>460</v>
      </c>
      <c r="I1024"/>
      <c r="J1024" s="805"/>
      <c r="K1024" s="744">
        <f>K1022/F1014</f>
        <v>1669.01</v>
      </c>
      <c r="AG1024" s="933" t="s">
        <v>120</v>
      </c>
    </row>
    <row r="1025" spans="1:33" hidden="1">
      <c r="A1025" s="978"/>
      <c r="B1025" s="976" t="s">
        <v>1489</v>
      </c>
      <c r="C1025"/>
      <c r="D1025"/>
      <c r="E1025"/>
      <c r="I1025"/>
      <c r="J1025" s="805"/>
      <c r="K1025" s="776" t="s">
        <v>89</v>
      </c>
      <c r="AG1025" s="933" t="s">
        <v>120</v>
      </c>
    </row>
    <row r="1026" spans="1:33" hidden="1">
      <c r="A1026" s="978"/>
      <c r="B1026" s="976" t="s">
        <v>1490</v>
      </c>
      <c r="C1026"/>
      <c r="D1026"/>
      <c r="E1026"/>
      <c r="F1026" s="934" t="s">
        <v>1491</v>
      </c>
      <c r="H1026" s="933" t="s">
        <v>1492</v>
      </c>
      <c r="I1026"/>
      <c r="J1026" s="805"/>
      <c r="K1026"/>
    </row>
    <row r="1027" spans="1:33" hidden="1">
      <c r="A1027" s="978"/>
      <c r="B1027" s="976" t="s">
        <v>1493</v>
      </c>
      <c r="C1027"/>
      <c r="D1027"/>
      <c r="E1027"/>
      <c r="H1027" s="933" t="s">
        <v>1494</v>
      </c>
      <c r="I1027"/>
      <c r="J1027" s="805"/>
      <c r="K1027"/>
    </row>
    <row r="1028" spans="1:33" hidden="1">
      <c r="A1028" s="978"/>
      <c r="B1028" s="976" t="s">
        <v>1495</v>
      </c>
      <c r="C1028"/>
      <c r="D1028"/>
      <c r="E1028"/>
      <c r="H1028" s="935" t="s">
        <v>52</v>
      </c>
      <c r="I1028"/>
      <c r="J1028" s="805"/>
      <c r="K1028"/>
    </row>
    <row r="1029" spans="1:33" hidden="1">
      <c r="A1029" s="978"/>
      <c r="B1029" s="976" t="s">
        <v>1496</v>
      </c>
      <c r="C1029"/>
      <c r="D1029"/>
      <c r="E1029"/>
      <c r="F1029" s="984">
        <v>6.6499999999999997E-3</v>
      </c>
      <c r="G1029" s="938" t="s">
        <v>34</v>
      </c>
      <c r="H1029" s="933" t="s">
        <v>1497</v>
      </c>
      <c r="I1029" s="744">
        <f>C89</f>
        <v>57165</v>
      </c>
      <c r="J1029" s="779" t="s">
        <v>132</v>
      </c>
      <c r="K1029" s="744">
        <f t="shared" ref="K1029:K1035" si="55">(F1029*I1029)</f>
        <v>380.15</v>
      </c>
    </row>
    <row r="1030" spans="1:33" hidden="1">
      <c r="A1030" s="978"/>
      <c r="B1030" s="976" t="s">
        <v>1498</v>
      </c>
      <c r="C1030"/>
      <c r="D1030"/>
      <c r="E1030"/>
      <c r="F1030" s="984">
        <v>0.32346000000000003</v>
      </c>
      <c r="G1030" s="938" t="s">
        <v>425</v>
      </c>
      <c r="H1030" s="933" t="s">
        <v>1499</v>
      </c>
      <c r="I1030" s="744">
        <f>C271</f>
        <v>160</v>
      </c>
      <c r="J1030" s="779" t="s">
        <v>132</v>
      </c>
      <c r="K1030" s="744">
        <f t="shared" si="55"/>
        <v>51.75</v>
      </c>
    </row>
    <row r="1031" spans="1:33" ht="31.5" hidden="1">
      <c r="A1031" s="978"/>
      <c r="B1031" s="976" t="s">
        <v>1500</v>
      </c>
      <c r="C1031"/>
      <c r="D1031"/>
      <c r="E1031"/>
      <c r="F1031" s="984">
        <v>0.47660000000000002</v>
      </c>
      <c r="G1031" s="938" t="s">
        <v>425</v>
      </c>
      <c r="H1031" s="933" t="s">
        <v>449</v>
      </c>
      <c r="I1031" s="744">
        <f>D31</f>
        <v>320</v>
      </c>
      <c r="J1031" s="779" t="s">
        <v>425</v>
      </c>
      <c r="K1031" s="744">
        <f t="shared" si="55"/>
        <v>152.51</v>
      </c>
    </row>
    <row r="1032" spans="1:33" ht="21.75" hidden="1" customHeight="1">
      <c r="A1032" s="978"/>
      <c r="B1032" s="976" t="s">
        <v>1501</v>
      </c>
      <c r="C1032"/>
      <c r="D1032"/>
      <c r="E1032"/>
      <c r="F1032" s="939">
        <v>3</v>
      </c>
      <c r="G1032" s="938" t="s">
        <v>131</v>
      </c>
      <c r="H1032" s="933" t="s">
        <v>1502</v>
      </c>
      <c r="I1032" s="744">
        <f>C281</f>
        <v>25</v>
      </c>
      <c r="J1032" s="779" t="s">
        <v>131</v>
      </c>
      <c r="K1032" s="744">
        <f t="shared" si="55"/>
        <v>75</v>
      </c>
    </row>
    <row r="1033" spans="1:33" ht="20.25" hidden="1" customHeight="1">
      <c r="A1033" s="976"/>
      <c r="B1033" s="976" t="s">
        <v>1503</v>
      </c>
      <c r="C1033"/>
      <c r="D1033"/>
      <c r="E1033"/>
      <c r="F1033" s="939">
        <v>2</v>
      </c>
      <c r="G1033" s="938" t="s">
        <v>131</v>
      </c>
      <c r="H1033" s="933" t="s">
        <v>1504</v>
      </c>
      <c r="I1033" s="744">
        <f>C284</f>
        <v>20</v>
      </c>
      <c r="J1033" s="779" t="s">
        <v>131</v>
      </c>
      <c r="K1033" s="744">
        <f t="shared" si="55"/>
        <v>40</v>
      </c>
    </row>
    <row r="1034" spans="1:33" ht="19.5" hidden="1" customHeight="1">
      <c r="A1034" s="978"/>
      <c r="B1034" s="976" t="s">
        <v>1505</v>
      </c>
      <c r="C1034"/>
      <c r="D1034"/>
      <c r="E1034"/>
      <c r="F1034" s="939">
        <v>1</v>
      </c>
      <c r="G1034" s="938" t="s">
        <v>131</v>
      </c>
      <c r="H1034" s="933" t="s">
        <v>1506</v>
      </c>
      <c r="I1034" s="744">
        <f>C303</f>
        <v>8</v>
      </c>
      <c r="J1034" s="779" t="s">
        <v>131</v>
      </c>
      <c r="K1034" s="744">
        <f t="shared" si="55"/>
        <v>8</v>
      </c>
    </row>
    <row r="1035" spans="1:33" ht="18.75" hidden="1" customHeight="1">
      <c r="A1035" s="978"/>
      <c r="B1035" s="976" t="s">
        <v>1507</v>
      </c>
      <c r="C1035"/>
      <c r="D1035"/>
      <c r="E1035"/>
      <c r="F1035" s="939">
        <v>1</v>
      </c>
      <c r="G1035" s="938" t="s">
        <v>131</v>
      </c>
      <c r="H1035" s="933" t="s">
        <v>1508</v>
      </c>
      <c r="I1035" s="744">
        <f>C291</f>
        <v>15.6</v>
      </c>
      <c r="J1035" s="779" t="s">
        <v>131</v>
      </c>
      <c r="K1035" s="744">
        <f t="shared" si="55"/>
        <v>15.6</v>
      </c>
    </row>
    <row r="1036" spans="1:33" ht="18" hidden="1" customHeight="1">
      <c r="A1036" s="978"/>
      <c r="B1036" s="976" t="s">
        <v>1509</v>
      </c>
      <c r="C1036"/>
      <c r="D1036"/>
      <c r="E1036"/>
      <c r="I1036"/>
      <c r="J1036" s="805"/>
      <c r="K1036" s="776" t="s">
        <v>52</v>
      </c>
    </row>
    <row r="1037" spans="1:33" ht="20.25" hidden="1" customHeight="1">
      <c r="A1037" s="978"/>
      <c r="B1037" s="976" t="s">
        <v>1510</v>
      </c>
      <c r="C1037"/>
      <c r="D1037"/>
      <c r="E1037"/>
      <c r="H1037" s="934" t="s">
        <v>1511</v>
      </c>
      <c r="I1037"/>
      <c r="J1037" s="805"/>
      <c r="K1037" s="744">
        <f>SUM(K1025:K1035)</f>
        <v>723.01</v>
      </c>
    </row>
    <row r="1038" spans="1:33" ht="21.75" hidden="1" customHeight="1">
      <c r="A1038" s="978"/>
      <c r="B1038" s="976" t="s">
        <v>1512</v>
      </c>
      <c r="C1038"/>
      <c r="D1038"/>
      <c r="E1038"/>
      <c r="I1038"/>
      <c r="J1038" s="805"/>
      <c r="K1038" s="776" t="s">
        <v>52</v>
      </c>
    </row>
    <row r="1039" spans="1:33" ht="24" hidden="1" customHeight="1">
      <c r="A1039" s="978"/>
      <c r="B1039" s="976" t="s">
        <v>1512</v>
      </c>
      <c r="C1039"/>
      <c r="D1039"/>
      <c r="E1039"/>
      <c r="H1039" s="934" t="s">
        <v>460</v>
      </c>
      <c r="I1039" s="743" t="s">
        <v>85</v>
      </c>
      <c r="J1039" s="805"/>
      <c r="K1039" s="744">
        <f>K1037/F1031</f>
        <v>1517.02</v>
      </c>
    </row>
    <row r="1040" spans="1:33" ht="31.5" hidden="1">
      <c r="A1040" s="978"/>
      <c r="B1040" s="976" t="s">
        <v>1513</v>
      </c>
      <c r="C1040"/>
      <c r="D1040"/>
      <c r="E1040"/>
      <c r="I1040"/>
      <c r="J1040" s="805"/>
      <c r="K1040" s="776" t="s">
        <v>89</v>
      </c>
    </row>
    <row r="1041" spans="1:11" ht="31.5" hidden="1">
      <c r="A1041" s="978"/>
      <c r="B1041" s="976" t="s">
        <v>1514</v>
      </c>
      <c r="C1041"/>
      <c r="D1041"/>
      <c r="E1041"/>
      <c r="F1041" s="934" t="s">
        <v>1515</v>
      </c>
      <c r="G1041" s="938" t="s">
        <v>111</v>
      </c>
      <c r="H1041" s="933" t="s">
        <v>1492</v>
      </c>
      <c r="I1041"/>
      <c r="J1041" s="805"/>
      <c r="K1041"/>
    </row>
    <row r="1042" spans="1:11" hidden="1">
      <c r="A1042" s="978"/>
      <c r="H1042" s="933" t="s">
        <v>1516</v>
      </c>
      <c r="I1042"/>
      <c r="J1042" s="805"/>
      <c r="K1042"/>
    </row>
    <row r="1043" spans="1:11" hidden="1">
      <c r="A1043" s="978"/>
      <c r="H1043" s="935" t="s">
        <v>52</v>
      </c>
      <c r="I1043"/>
      <c r="J1043" s="805"/>
      <c r="K1043"/>
    </row>
    <row r="1044" spans="1:11" hidden="1">
      <c r="A1044" s="978"/>
      <c r="F1044" s="984">
        <v>5.4000000000000003E-3</v>
      </c>
      <c r="G1044" s="938" t="s">
        <v>34</v>
      </c>
      <c r="H1044" s="933" t="s">
        <v>1497</v>
      </c>
      <c r="I1044" s="744">
        <f>C89</f>
        <v>57165</v>
      </c>
      <c r="J1044" s="779" t="s">
        <v>132</v>
      </c>
      <c r="K1044" s="744">
        <f t="shared" ref="K1044:K1050" si="56">(F1044*I1044)</f>
        <v>308.69</v>
      </c>
    </row>
    <row r="1045" spans="1:11" hidden="1">
      <c r="A1045" s="978"/>
      <c r="F1045" s="984">
        <v>0.23871000000000001</v>
      </c>
      <c r="G1045" s="938" t="s">
        <v>425</v>
      </c>
      <c r="H1045" s="933" t="s">
        <v>1499</v>
      </c>
      <c r="I1045" s="744">
        <f>C271</f>
        <v>160</v>
      </c>
      <c r="J1045" s="779" t="s">
        <v>132</v>
      </c>
      <c r="K1045" s="744">
        <f t="shared" si="56"/>
        <v>38.19</v>
      </c>
    </row>
    <row r="1046" spans="1:11" hidden="1">
      <c r="A1046" s="978"/>
      <c r="F1046" s="984">
        <v>0.36199999999999999</v>
      </c>
      <c r="G1046" s="938" t="s">
        <v>425</v>
      </c>
      <c r="H1046" s="933" t="s">
        <v>449</v>
      </c>
      <c r="I1046" s="744">
        <f>D31</f>
        <v>320</v>
      </c>
      <c r="J1046" s="779" t="s">
        <v>425</v>
      </c>
      <c r="K1046" s="744">
        <f t="shared" si="56"/>
        <v>115.84</v>
      </c>
    </row>
    <row r="1047" spans="1:11" hidden="1">
      <c r="A1047" s="978"/>
      <c r="F1047" s="939">
        <v>3</v>
      </c>
      <c r="G1047" s="938" t="s">
        <v>131</v>
      </c>
      <c r="H1047" s="933" t="s">
        <v>1502</v>
      </c>
      <c r="I1047" s="744">
        <f>C281</f>
        <v>25</v>
      </c>
      <c r="J1047" s="779" t="s">
        <v>131</v>
      </c>
      <c r="K1047" s="744">
        <f t="shared" si="56"/>
        <v>75</v>
      </c>
    </row>
    <row r="1048" spans="1:11" hidden="1">
      <c r="A1048" s="978"/>
      <c r="F1048" s="939">
        <v>2</v>
      </c>
      <c r="G1048" s="938" t="s">
        <v>131</v>
      </c>
      <c r="H1048" s="933" t="s">
        <v>1504</v>
      </c>
      <c r="I1048" s="744">
        <f>C284</f>
        <v>20</v>
      </c>
      <c r="J1048" s="779" t="s">
        <v>131</v>
      </c>
      <c r="K1048" s="744">
        <f t="shared" si="56"/>
        <v>40</v>
      </c>
    </row>
    <row r="1049" spans="1:11" hidden="1">
      <c r="A1049" s="978"/>
      <c r="F1049" s="939">
        <v>1</v>
      </c>
      <c r="G1049" s="938" t="s">
        <v>131</v>
      </c>
      <c r="H1049" s="933" t="s">
        <v>1506</v>
      </c>
      <c r="I1049" s="744">
        <f>C303</f>
        <v>8</v>
      </c>
      <c r="J1049" s="779" t="s">
        <v>131</v>
      </c>
      <c r="K1049" s="744">
        <f t="shared" si="56"/>
        <v>8</v>
      </c>
    </row>
    <row r="1050" spans="1:11" hidden="1">
      <c r="A1050" s="978"/>
      <c r="F1050" s="939">
        <v>1</v>
      </c>
      <c r="G1050" s="938" t="s">
        <v>131</v>
      </c>
      <c r="H1050" s="933" t="s">
        <v>1508</v>
      </c>
      <c r="I1050" s="744">
        <f>C291</f>
        <v>15.6</v>
      </c>
      <c r="J1050" s="779" t="s">
        <v>131</v>
      </c>
      <c r="K1050" s="744">
        <f t="shared" si="56"/>
        <v>15.6</v>
      </c>
    </row>
    <row r="1051" spans="1:11" hidden="1">
      <c r="A1051" s="978"/>
      <c r="I1051"/>
      <c r="J1051" s="805"/>
      <c r="K1051" s="776" t="s">
        <v>52</v>
      </c>
    </row>
    <row r="1052" spans="1:11" hidden="1">
      <c r="A1052" s="978"/>
      <c r="H1052" s="934" t="s">
        <v>1517</v>
      </c>
      <c r="I1052"/>
      <c r="J1052" s="805"/>
      <c r="K1052" s="744">
        <f>SUM(K1040:K1050)</f>
        <v>601.32000000000005</v>
      </c>
    </row>
    <row r="1053" spans="1:11" hidden="1">
      <c r="A1053" s="978"/>
      <c r="I1053"/>
      <c r="J1053" s="805"/>
      <c r="K1053" s="776" t="s">
        <v>52</v>
      </c>
    </row>
    <row r="1054" spans="1:11" hidden="1">
      <c r="A1054" s="978"/>
      <c r="H1054" s="934" t="s">
        <v>460</v>
      </c>
      <c r="I1054" s="743" t="s">
        <v>85</v>
      </c>
      <c r="J1054" s="805"/>
      <c r="K1054" s="744">
        <f>K1052/F1046</f>
        <v>1661.1</v>
      </c>
    </row>
    <row r="1055" spans="1:11" hidden="1">
      <c r="A1055" s="978"/>
      <c r="I1055"/>
      <c r="J1055" s="805"/>
      <c r="K1055" s="776" t="s">
        <v>89</v>
      </c>
    </row>
    <row r="1056" spans="1:11" hidden="1">
      <c r="A1056" s="978"/>
      <c r="F1056" s="934" t="s">
        <v>1518</v>
      </c>
      <c r="G1056" s="938" t="s">
        <v>111</v>
      </c>
      <c r="H1056" s="933" t="s">
        <v>1519</v>
      </c>
      <c r="I1056"/>
      <c r="J1056" s="805"/>
      <c r="K1056"/>
    </row>
    <row r="1057" spans="1:11" hidden="1">
      <c r="A1057" s="978"/>
      <c r="H1057" s="933" t="s">
        <v>1520</v>
      </c>
      <c r="I1057"/>
      <c r="J1057" s="805"/>
      <c r="K1057"/>
    </row>
    <row r="1058" spans="1:11" hidden="1">
      <c r="A1058" s="978"/>
      <c r="H1058" s="935" t="s">
        <v>52</v>
      </c>
      <c r="I1058"/>
      <c r="J1058" s="805"/>
      <c r="K1058"/>
    </row>
    <row r="1059" spans="1:11" hidden="1">
      <c r="A1059" s="978"/>
      <c r="F1059" s="984">
        <v>5.3E-3</v>
      </c>
      <c r="G1059" s="938" t="s">
        <v>34</v>
      </c>
      <c r="H1059" s="933" t="s">
        <v>1497</v>
      </c>
      <c r="I1059" s="744">
        <f>C89</f>
        <v>57165</v>
      </c>
      <c r="J1059" s="779" t="s">
        <v>132</v>
      </c>
      <c r="K1059" s="744">
        <f t="shared" ref="K1059:K1064" si="57">(F1059*I1059)</f>
        <v>302.97000000000003</v>
      </c>
    </row>
    <row r="1060" spans="1:11" hidden="1">
      <c r="A1060" s="978"/>
      <c r="F1060" s="984">
        <v>0.27450000000000002</v>
      </c>
      <c r="G1060" s="938" t="s">
        <v>425</v>
      </c>
      <c r="H1060" s="933" t="s">
        <v>1499</v>
      </c>
      <c r="I1060" s="744">
        <f>C271</f>
        <v>160</v>
      </c>
      <c r="J1060" s="779" t="s">
        <v>132</v>
      </c>
      <c r="K1060" s="744">
        <f t="shared" si="57"/>
        <v>43.92</v>
      </c>
    </row>
    <row r="1061" spans="1:11" hidden="1">
      <c r="A1061" s="978"/>
      <c r="F1061" s="984">
        <v>0.4</v>
      </c>
      <c r="G1061" s="938" t="s">
        <v>425</v>
      </c>
      <c r="H1061" s="933" t="s">
        <v>449</v>
      </c>
      <c r="I1061" s="744">
        <f>D32</f>
        <v>267</v>
      </c>
      <c r="J1061" s="779" t="s">
        <v>425</v>
      </c>
      <c r="K1061" s="744">
        <f t="shared" si="57"/>
        <v>106.8</v>
      </c>
    </row>
    <row r="1062" spans="1:11" hidden="1">
      <c r="A1062" s="978"/>
      <c r="F1062" s="939">
        <v>2</v>
      </c>
      <c r="G1062" s="938" t="s">
        <v>1521</v>
      </c>
      <c r="H1062" s="933" t="s">
        <v>1522</v>
      </c>
      <c r="I1062" s="744">
        <f>C304</f>
        <v>8.5</v>
      </c>
      <c r="J1062" s="779" t="s">
        <v>1521</v>
      </c>
      <c r="K1062" s="744">
        <f t="shared" si="57"/>
        <v>17</v>
      </c>
    </row>
    <row r="1063" spans="1:11" hidden="1">
      <c r="A1063" s="978"/>
      <c r="F1063" s="939">
        <v>1</v>
      </c>
      <c r="G1063" s="938" t="s">
        <v>131</v>
      </c>
      <c r="H1063" s="933" t="s">
        <v>1523</v>
      </c>
      <c r="I1063" s="744">
        <f>C292</f>
        <v>12.6</v>
      </c>
      <c r="J1063" s="779" t="s">
        <v>131</v>
      </c>
      <c r="K1063" s="744">
        <f t="shared" si="57"/>
        <v>12.6</v>
      </c>
    </row>
    <row r="1064" spans="1:11" hidden="1">
      <c r="A1064" s="978"/>
      <c r="F1064" s="939">
        <v>1</v>
      </c>
      <c r="G1064" s="938" t="s">
        <v>131</v>
      </c>
      <c r="H1064" s="933" t="s">
        <v>1524</v>
      </c>
      <c r="I1064" s="744">
        <f>C290</f>
        <v>20.6</v>
      </c>
      <c r="J1064" s="779" t="s">
        <v>131</v>
      </c>
      <c r="K1064" s="744">
        <f t="shared" si="57"/>
        <v>20.6</v>
      </c>
    </row>
    <row r="1065" spans="1:11" hidden="1">
      <c r="A1065" s="978"/>
      <c r="I1065"/>
      <c r="J1065" s="805"/>
      <c r="K1065" s="776" t="s">
        <v>52</v>
      </c>
    </row>
    <row r="1066" spans="1:11" hidden="1">
      <c r="A1066" s="978"/>
      <c r="H1066" s="934" t="s">
        <v>1517</v>
      </c>
      <c r="I1066"/>
      <c r="J1066" s="805"/>
      <c r="K1066" s="744">
        <f>SUM(K1055:K1064)</f>
        <v>503.89</v>
      </c>
    </row>
    <row r="1067" spans="1:11" hidden="1">
      <c r="A1067" s="978"/>
      <c r="I1067"/>
      <c r="J1067" s="805"/>
      <c r="K1067" s="776" t="s">
        <v>52</v>
      </c>
    </row>
    <row r="1068" spans="1:11" hidden="1">
      <c r="A1068" s="978"/>
      <c r="H1068" s="934" t="s">
        <v>460</v>
      </c>
      <c r="I1068" s="743" t="s">
        <v>85</v>
      </c>
      <c r="J1068" s="805"/>
      <c r="K1068" s="744">
        <f>K1066/F1061</f>
        <v>1259.73</v>
      </c>
    </row>
    <row r="1069" spans="1:11" hidden="1">
      <c r="A1069" s="978"/>
      <c r="F1069" s="933" t="s">
        <v>85</v>
      </c>
      <c r="I1069"/>
      <c r="J1069" s="805"/>
      <c r="K1069"/>
    </row>
    <row r="1070" spans="1:11" hidden="1">
      <c r="A1070" s="978"/>
      <c r="I1070"/>
      <c r="J1070" s="805"/>
      <c r="K1070" s="776" t="s">
        <v>89</v>
      </c>
    </row>
    <row r="1071" spans="1:11" hidden="1">
      <c r="A1071" s="978"/>
      <c r="F1071" s="948">
        <v>22.3</v>
      </c>
      <c r="H1071" s="933" t="s">
        <v>1525</v>
      </c>
      <c r="I1071"/>
      <c r="J1071" s="805"/>
      <c r="K1071"/>
    </row>
    <row r="1072" spans="1:11" hidden="1">
      <c r="A1072" s="978"/>
      <c r="H1072" s="935" t="s">
        <v>52</v>
      </c>
      <c r="I1072" s="776" t="s">
        <v>52</v>
      </c>
      <c r="J1072" s="779" t="s">
        <v>52</v>
      </c>
      <c r="K1072"/>
    </row>
    <row r="1073" spans="1:12" hidden="1">
      <c r="A1073" s="978"/>
      <c r="I1073"/>
      <c r="J1073" s="805"/>
      <c r="K1073"/>
    </row>
    <row r="1074" spans="1:12" hidden="1">
      <c r="A1074" s="978"/>
      <c r="H1074" s="933" t="s">
        <v>1526</v>
      </c>
      <c r="I1074"/>
      <c r="J1074" s="805"/>
      <c r="K1074"/>
    </row>
    <row r="1075" spans="1:12" hidden="1">
      <c r="A1075" s="978"/>
      <c r="H1075" s="933" t="s">
        <v>1527</v>
      </c>
      <c r="I1075"/>
      <c r="J1075" s="805"/>
      <c r="K1075"/>
    </row>
    <row r="1076" spans="1:12" hidden="1">
      <c r="A1076" s="978"/>
      <c r="H1076" s="933" t="s">
        <v>1528</v>
      </c>
      <c r="I1076"/>
      <c r="J1076" s="805"/>
      <c r="K1076"/>
    </row>
    <row r="1077" spans="1:12" hidden="1">
      <c r="A1077" s="978"/>
      <c r="H1077" s="933" t="s">
        <v>1529</v>
      </c>
      <c r="I1077"/>
      <c r="J1077" s="805"/>
      <c r="K1077"/>
    </row>
    <row r="1078" spans="1:12" hidden="1">
      <c r="A1078" s="978"/>
      <c r="H1078" s="933" t="s">
        <v>1530</v>
      </c>
      <c r="I1078"/>
      <c r="J1078" s="805"/>
      <c r="K1078"/>
      <c r="L1078" s="933" t="s">
        <v>85</v>
      </c>
    </row>
    <row r="1079" spans="1:12" hidden="1">
      <c r="A1079" s="978"/>
      <c r="I1079"/>
      <c r="J1079" s="779" t="s">
        <v>85</v>
      </c>
      <c r="K1079" s="982">
        <v>3.32E-2</v>
      </c>
    </row>
    <row r="1080" spans="1:12" hidden="1">
      <c r="A1080" s="978"/>
      <c r="H1080" s="933" t="s">
        <v>1531</v>
      </c>
      <c r="I1080"/>
      <c r="J1080" s="983" t="s">
        <v>85</v>
      </c>
      <c r="K1080" s="986" t="s">
        <v>85</v>
      </c>
    </row>
    <row r="1081" spans="1:12" hidden="1">
      <c r="A1081" s="978"/>
      <c r="H1081" s="933" t="s">
        <v>1532</v>
      </c>
      <c r="I1081"/>
      <c r="J1081" s="805"/>
      <c r="K1081" s="986" t="s">
        <v>85</v>
      </c>
    </row>
    <row r="1082" spans="1:12" hidden="1">
      <c r="A1082" s="978"/>
      <c r="I1082"/>
      <c r="J1082" s="805"/>
      <c r="K1082"/>
    </row>
    <row r="1083" spans="1:12" hidden="1">
      <c r="A1083" s="978"/>
      <c r="F1083" s="984">
        <v>1.18E-2</v>
      </c>
      <c r="G1083" s="938" t="s">
        <v>132</v>
      </c>
      <c r="H1083" s="933" t="s">
        <v>446</v>
      </c>
      <c r="I1083" s="744">
        <f>C88</f>
        <v>65420</v>
      </c>
      <c r="J1083" s="779" t="s">
        <v>132</v>
      </c>
      <c r="K1083" s="744">
        <f t="shared" ref="K1083:K1092" si="58">(F1083*I1083)</f>
        <v>771.96</v>
      </c>
    </row>
    <row r="1084" spans="1:12" hidden="1">
      <c r="A1084" s="978"/>
      <c r="F1084" s="984">
        <v>3.32E-2</v>
      </c>
      <c r="G1084" s="938" t="s">
        <v>132</v>
      </c>
      <c r="H1084" s="933" t="s">
        <v>447</v>
      </c>
      <c r="I1084" s="744">
        <f>C89</f>
        <v>57165</v>
      </c>
      <c r="J1084" s="779" t="s">
        <v>132</v>
      </c>
      <c r="K1084" s="744">
        <f t="shared" si="58"/>
        <v>1897.88</v>
      </c>
    </row>
    <row r="1085" spans="1:12" hidden="1">
      <c r="A1085" s="978"/>
      <c r="F1085" s="984">
        <v>1.8550000000000001E-2</v>
      </c>
      <c r="G1085" s="938" t="s">
        <v>132</v>
      </c>
      <c r="H1085" s="933" t="s">
        <v>1533</v>
      </c>
      <c r="I1085" s="744">
        <f>C30</f>
        <v>3035</v>
      </c>
      <c r="J1085" s="779" t="s">
        <v>132</v>
      </c>
      <c r="K1085" s="744">
        <f t="shared" si="58"/>
        <v>56.3</v>
      </c>
    </row>
    <row r="1086" spans="1:12" hidden="1">
      <c r="A1086" s="978"/>
      <c r="F1086" s="984">
        <v>1.46</v>
      </c>
      <c r="G1086" s="938" t="s">
        <v>425</v>
      </c>
      <c r="H1086" s="933" t="s">
        <v>1534</v>
      </c>
      <c r="I1086" s="744">
        <v>385.89</v>
      </c>
      <c r="J1086" s="779" t="s">
        <v>425</v>
      </c>
      <c r="K1086" s="744">
        <f t="shared" si="58"/>
        <v>563.4</v>
      </c>
    </row>
    <row r="1087" spans="1:12" hidden="1">
      <c r="A1087" s="978"/>
      <c r="F1087" s="984">
        <v>2.0499999999999998</v>
      </c>
      <c r="G1087" s="938" t="s">
        <v>425</v>
      </c>
      <c r="H1087" s="933" t="s">
        <v>1535</v>
      </c>
      <c r="I1087" s="744">
        <f>D30</f>
        <v>287</v>
      </c>
      <c r="J1087" s="779" t="s">
        <v>425</v>
      </c>
      <c r="K1087" s="744">
        <f t="shared" si="58"/>
        <v>588.35</v>
      </c>
    </row>
    <row r="1088" spans="1:12" hidden="1">
      <c r="A1088" s="978"/>
      <c r="F1088" s="939">
        <v>2</v>
      </c>
      <c r="G1088" s="938" t="s">
        <v>131</v>
      </c>
      <c r="H1088" s="933" t="s">
        <v>1536</v>
      </c>
      <c r="I1088" s="744">
        <v>7.5</v>
      </c>
      <c r="J1088" s="779" t="s">
        <v>131</v>
      </c>
      <c r="K1088" s="744">
        <f t="shared" si="58"/>
        <v>15</v>
      </c>
    </row>
    <row r="1089" spans="1:11" hidden="1">
      <c r="A1089" s="978"/>
      <c r="F1089" s="939">
        <v>6</v>
      </c>
      <c r="G1089" s="938" t="s">
        <v>131</v>
      </c>
      <c r="H1089" s="933" t="s">
        <v>1502</v>
      </c>
      <c r="I1089" s="744">
        <f>C281</f>
        <v>25</v>
      </c>
      <c r="J1089" s="779" t="s">
        <v>131</v>
      </c>
      <c r="K1089" s="744">
        <f t="shared" si="58"/>
        <v>150</v>
      </c>
    </row>
    <row r="1090" spans="1:11" hidden="1">
      <c r="A1090" s="978"/>
      <c r="F1090" s="939">
        <v>2</v>
      </c>
      <c r="G1090" s="938" t="s">
        <v>131</v>
      </c>
      <c r="H1090" s="933" t="s">
        <v>1537</v>
      </c>
      <c r="I1090" s="744">
        <v>50</v>
      </c>
      <c r="J1090" s="779" t="s">
        <v>131</v>
      </c>
      <c r="K1090" s="744">
        <f t="shared" si="58"/>
        <v>100</v>
      </c>
    </row>
    <row r="1091" spans="1:11" hidden="1">
      <c r="A1091" s="978"/>
      <c r="F1091" s="939">
        <v>1</v>
      </c>
      <c r="G1091" s="938" t="s">
        <v>131</v>
      </c>
      <c r="H1091" s="933" t="s">
        <v>1538</v>
      </c>
      <c r="I1091" s="744">
        <v>50</v>
      </c>
      <c r="J1091" s="779" t="s">
        <v>131</v>
      </c>
      <c r="K1091" s="744">
        <f t="shared" si="58"/>
        <v>50</v>
      </c>
    </row>
    <row r="1092" spans="1:11" hidden="1">
      <c r="A1092" s="978"/>
      <c r="F1092" s="939">
        <v>2.52</v>
      </c>
      <c r="G1092" s="938" t="s">
        <v>425</v>
      </c>
      <c r="H1092" s="933" t="s">
        <v>1539</v>
      </c>
      <c r="I1092" s="744">
        <f>K1122</f>
        <v>51.25</v>
      </c>
      <c r="J1092" s="779" t="s">
        <v>425</v>
      </c>
      <c r="K1092" s="744">
        <f t="shared" si="58"/>
        <v>129.15</v>
      </c>
    </row>
    <row r="1093" spans="1:11" hidden="1">
      <c r="A1093" s="978"/>
      <c r="H1093" s="933" t="s">
        <v>1540</v>
      </c>
      <c r="I1093" s="779" t="s">
        <v>145</v>
      </c>
      <c r="J1093" s="805"/>
      <c r="K1093" s="744">
        <v>0.21</v>
      </c>
    </row>
    <row r="1094" spans="1:11" hidden="1">
      <c r="A1094" s="978"/>
      <c r="I1094"/>
      <c r="J1094" s="805"/>
      <c r="K1094" s="776" t="s">
        <v>52</v>
      </c>
    </row>
    <row r="1095" spans="1:11" hidden="1">
      <c r="A1095" s="978"/>
      <c r="H1095" s="934" t="s">
        <v>1541</v>
      </c>
      <c r="I1095"/>
      <c r="J1095" s="805"/>
      <c r="K1095" s="744">
        <f>SUM(K1083:K1093)</f>
        <v>4322.25</v>
      </c>
    </row>
    <row r="1096" spans="1:11" hidden="1">
      <c r="A1096" s="978"/>
      <c r="G1096" s="938" t="s">
        <v>85</v>
      </c>
      <c r="I1096"/>
      <c r="J1096" s="805"/>
      <c r="K1096" s="776" t="s">
        <v>52</v>
      </c>
    </row>
    <row r="1097" spans="1:11" hidden="1">
      <c r="A1097" s="978"/>
      <c r="H1097" s="934" t="s">
        <v>460</v>
      </c>
      <c r="I1097"/>
      <c r="J1097" s="805"/>
      <c r="K1097" s="744">
        <f>K1095/2.52</f>
        <v>1715.18</v>
      </c>
    </row>
    <row r="1098" spans="1:11" hidden="1">
      <c r="A1098" s="978"/>
      <c r="I1098"/>
      <c r="J1098" s="805"/>
      <c r="K1098" s="776" t="s">
        <v>89</v>
      </c>
    </row>
    <row r="1099" spans="1:11" hidden="1">
      <c r="A1099" s="978"/>
      <c r="G1099" s="938" t="s">
        <v>111</v>
      </c>
      <c r="H1099" s="933" t="s">
        <v>1542</v>
      </c>
      <c r="I1099"/>
      <c r="J1099" s="805"/>
      <c r="K1099"/>
    </row>
    <row r="1100" spans="1:11" hidden="1">
      <c r="A1100" s="978"/>
      <c r="H1100" s="935" t="s">
        <v>52</v>
      </c>
      <c r="I1100" s="776" t="s">
        <v>52</v>
      </c>
      <c r="J1100" s="805"/>
      <c r="K1100"/>
    </row>
    <row r="1101" spans="1:11" hidden="1">
      <c r="A1101" s="978"/>
      <c r="F1101" s="939">
        <v>0.77</v>
      </c>
      <c r="G1101" s="938" t="s">
        <v>1543</v>
      </c>
      <c r="H1101" s="933" t="s">
        <v>1544</v>
      </c>
      <c r="I1101" s="744">
        <f>C193</f>
        <v>210</v>
      </c>
      <c r="J1101" s="779" t="s">
        <v>1543</v>
      </c>
      <c r="K1101" s="744">
        <f>(F1101*I1101)</f>
        <v>161.69999999999999</v>
      </c>
    </row>
    <row r="1102" spans="1:11" hidden="1">
      <c r="A1102" s="978"/>
      <c r="F1102" s="939">
        <v>0.61</v>
      </c>
      <c r="G1102" s="938" t="s">
        <v>1543</v>
      </c>
      <c r="H1102" s="933" t="s">
        <v>1545</v>
      </c>
      <c r="I1102" s="744">
        <f>C192</f>
        <v>25</v>
      </c>
      <c r="J1102" s="779" t="s">
        <v>1543</v>
      </c>
      <c r="K1102" s="744">
        <f>(F1102*I1102)</f>
        <v>15.25</v>
      </c>
    </row>
    <row r="1103" spans="1:11" hidden="1">
      <c r="A1103" s="978"/>
      <c r="F1103" s="939">
        <v>0.7</v>
      </c>
      <c r="G1103" s="938" t="s">
        <v>727</v>
      </c>
      <c r="H1103" s="933" t="s">
        <v>153</v>
      </c>
      <c r="I1103" s="744">
        <f>C14</f>
        <v>120</v>
      </c>
      <c r="J1103" s="779" t="s">
        <v>972</v>
      </c>
      <c r="K1103" s="744">
        <f>(F1103*I1103)</f>
        <v>84</v>
      </c>
    </row>
    <row r="1104" spans="1:11" hidden="1">
      <c r="A1104" s="978"/>
      <c r="F1104" s="939">
        <v>0.7</v>
      </c>
      <c r="G1104" s="938" t="s">
        <v>727</v>
      </c>
      <c r="H1104" s="933" t="s">
        <v>143</v>
      </c>
      <c r="I1104" s="744">
        <f>C12</f>
        <v>95</v>
      </c>
      <c r="J1104" s="779" t="s">
        <v>972</v>
      </c>
      <c r="K1104" s="744">
        <f>(F1104*I1104)</f>
        <v>66.5</v>
      </c>
    </row>
    <row r="1105" spans="1:11" hidden="1">
      <c r="A1105" s="978"/>
      <c r="G1105" s="938" t="s">
        <v>145</v>
      </c>
      <c r="H1105" s="933" t="s">
        <v>1546</v>
      </c>
      <c r="I1105"/>
      <c r="J1105" s="779" t="s">
        <v>145</v>
      </c>
      <c r="K1105" s="744">
        <v>1.5</v>
      </c>
    </row>
    <row r="1106" spans="1:11" hidden="1">
      <c r="A1106" s="978"/>
      <c r="I1106"/>
      <c r="J1106" s="805"/>
      <c r="K1106" s="776" t="s">
        <v>52</v>
      </c>
    </row>
    <row r="1107" spans="1:11" hidden="1">
      <c r="A1107" s="978"/>
      <c r="H1107" s="934" t="s">
        <v>1547</v>
      </c>
      <c r="I1107"/>
      <c r="J1107" s="805"/>
      <c r="K1107" s="744">
        <f>SUM(K1101:K1105)</f>
        <v>328.95</v>
      </c>
    </row>
    <row r="1108" spans="1:11" hidden="1">
      <c r="A1108" s="978"/>
      <c r="I1108"/>
      <c r="J1108" s="805"/>
      <c r="K1108" s="776" t="s">
        <v>52</v>
      </c>
    </row>
    <row r="1109" spans="1:11" hidden="1">
      <c r="A1109" s="978"/>
      <c r="H1109" s="934" t="s">
        <v>460</v>
      </c>
      <c r="I1109"/>
      <c r="J1109" s="805"/>
      <c r="K1109" s="744">
        <f>(K1107/10)</f>
        <v>32.9</v>
      </c>
    </row>
    <row r="1110" spans="1:11" hidden="1">
      <c r="A1110" s="978"/>
      <c r="I1110"/>
      <c r="J1110" s="805"/>
      <c r="K1110" s="776" t="s">
        <v>89</v>
      </c>
    </row>
    <row r="1111" spans="1:11" hidden="1">
      <c r="A1111" s="978"/>
      <c r="I1111"/>
      <c r="J1111" s="805"/>
      <c r="K1111"/>
    </row>
    <row r="1112" spans="1:11" hidden="1">
      <c r="A1112" s="978"/>
      <c r="F1112" s="933" t="s">
        <v>85</v>
      </c>
      <c r="G1112" s="938" t="s">
        <v>111</v>
      </c>
      <c r="H1112" s="933" t="s">
        <v>1548</v>
      </c>
      <c r="I1112"/>
      <c r="J1112" s="805"/>
      <c r="K1112"/>
    </row>
    <row r="1113" spans="1:11" hidden="1">
      <c r="A1113" s="978"/>
      <c r="H1113" s="935" t="s">
        <v>52</v>
      </c>
      <c r="I1113" s="776" t="s">
        <v>52</v>
      </c>
      <c r="J1113" s="805"/>
      <c r="K1113"/>
    </row>
    <row r="1114" spans="1:11" hidden="1">
      <c r="A1114" s="978"/>
      <c r="F1114" s="939">
        <v>1.2</v>
      </c>
      <c r="G1114" s="938" t="s">
        <v>1543</v>
      </c>
      <c r="H1114" s="933" t="s">
        <v>1544</v>
      </c>
      <c r="I1114" s="744">
        <f>C193</f>
        <v>210</v>
      </c>
      <c r="J1114" s="779" t="s">
        <v>1543</v>
      </c>
      <c r="K1114" s="744">
        <f>(F1114*I1114)</f>
        <v>252</v>
      </c>
    </row>
    <row r="1115" spans="1:11" hidden="1">
      <c r="A1115" s="978"/>
      <c r="F1115" s="939">
        <v>0.9</v>
      </c>
      <c r="G1115" s="938" t="s">
        <v>1543</v>
      </c>
      <c r="H1115" s="933" t="s">
        <v>1545</v>
      </c>
      <c r="I1115" s="744">
        <f>C192</f>
        <v>25</v>
      </c>
      <c r="J1115" s="779" t="s">
        <v>1543</v>
      </c>
      <c r="K1115" s="744">
        <f>(F1115*I1115)</f>
        <v>22.5</v>
      </c>
    </row>
    <row r="1116" spans="1:11" hidden="1">
      <c r="A1116" s="978"/>
      <c r="F1116" s="939">
        <v>1.1000000000000001</v>
      </c>
      <c r="G1116" s="938" t="s">
        <v>727</v>
      </c>
      <c r="H1116" s="933" t="s">
        <v>153</v>
      </c>
      <c r="I1116" s="744">
        <f>C14</f>
        <v>120</v>
      </c>
      <c r="J1116" s="779" t="s">
        <v>972</v>
      </c>
      <c r="K1116" s="744">
        <f>(F1116*I1116)</f>
        <v>132</v>
      </c>
    </row>
    <row r="1117" spans="1:11" hidden="1">
      <c r="A1117" s="978"/>
      <c r="F1117" s="939">
        <v>1.1000000000000001</v>
      </c>
      <c r="G1117" s="938" t="s">
        <v>727</v>
      </c>
      <c r="H1117" s="933" t="s">
        <v>143</v>
      </c>
      <c r="I1117" s="744">
        <f>C12</f>
        <v>95</v>
      </c>
      <c r="J1117" s="779" t="s">
        <v>972</v>
      </c>
      <c r="K1117" s="744">
        <f>(F1117*I1117)</f>
        <v>104.5</v>
      </c>
    </row>
    <row r="1118" spans="1:11" hidden="1">
      <c r="A1118" s="978"/>
      <c r="G1118" s="938" t="s">
        <v>145</v>
      </c>
      <c r="H1118" s="933" t="s">
        <v>1546</v>
      </c>
      <c r="I1118"/>
      <c r="J1118" s="779" t="s">
        <v>145</v>
      </c>
      <c r="K1118" s="744">
        <v>1.5</v>
      </c>
    </row>
    <row r="1119" spans="1:11" hidden="1">
      <c r="A1119" s="978"/>
      <c r="I1119"/>
      <c r="J1119" s="805"/>
      <c r="K1119" s="776" t="s">
        <v>52</v>
      </c>
    </row>
    <row r="1120" spans="1:11" hidden="1">
      <c r="A1120" s="978"/>
      <c r="H1120" s="934" t="s">
        <v>1547</v>
      </c>
      <c r="I1120"/>
      <c r="J1120" s="805"/>
      <c r="K1120" s="744">
        <f>SUM(K1114:K1118)</f>
        <v>512.5</v>
      </c>
    </row>
    <row r="1121" spans="1:33" hidden="1">
      <c r="A1121" s="978"/>
      <c r="I1121"/>
      <c r="J1121" s="805"/>
      <c r="K1121" s="776" t="s">
        <v>52</v>
      </c>
    </row>
    <row r="1122" spans="1:33" hidden="1">
      <c r="A1122" s="978"/>
      <c r="H1122" s="934" t="s">
        <v>460</v>
      </c>
      <c r="I1122"/>
      <c r="J1122" s="805"/>
      <c r="K1122" s="744">
        <f>(K1120/10)</f>
        <v>51.25</v>
      </c>
    </row>
    <row r="1123" spans="1:33" hidden="1">
      <c r="A1123" s="978"/>
      <c r="I1123"/>
      <c r="J1123" s="805"/>
      <c r="K1123" s="776" t="s">
        <v>89</v>
      </c>
    </row>
    <row r="1124" spans="1:33" hidden="1">
      <c r="A1124" s="978"/>
      <c r="I1124"/>
      <c r="J1124" s="805"/>
      <c r="K1124"/>
    </row>
    <row r="1125" spans="1:33" hidden="1">
      <c r="A1125" s="978"/>
      <c r="F1125" s="962">
        <v>23.3</v>
      </c>
      <c r="H1125" s="930" t="s">
        <v>1549</v>
      </c>
      <c r="I1125"/>
      <c r="J1125" s="805"/>
      <c r="K1125">
        <v>35</v>
      </c>
    </row>
    <row r="1126" spans="1:33" hidden="1">
      <c r="A1126" s="978"/>
      <c r="I1126"/>
      <c r="J1126" s="805"/>
      <c r="K1126"/>
    </row>
    <row r="1127" spans="1:33" hidden="1">
      <c r="A1127" s="978"/>
      <c r="I1127"/>
      <c r="J1127" s="805"/>
      <c r="K1127"/>
    </row>
    <row r="1128" spans="1:33" hidden="1">
      <c r="A1128" s="978"/>
      <c r="F1128" s="934" t="s">
        <v>1550</v>
      </c>
      <c r="G1128" s="938" t="s">
        <v>111</v>
      </c>
      <c r="H1128" s="933" t="s">
        <v>1551</v>
      </c>
      <c r="I1128"/>
      <c r="J1128" s="805"/>
      <c r="K1128"/>
      <c r="AG1128" s="933" t="s">
        <v>120</v>
      </c>
    </row>
    <row r="1129" spans="1:33" hidden="1">
      <c r="A1129" s="978"/>
      <c r="H1129" s="933" t="s">
        <v>1552</v>
      </c>
      <c r="I1129"/>
      <c r="J1129" s="805"/>
      <c r="K1129"/>
      <c r="AG1129" s="933" t="s">
        <v>120</v>
      </c>
    </row>
    <row r="1130" spans="1:33" hidden="1">
      <c r="A1130" s="978"/>
      <c r="H1130" s="935" t="s">
        <v>52</v>
      </c>
      <c r="I1130" s="776" t="s">
        <v>52</v>
      </c>
      <c r="J1130" s="805"/>
      <c r="K1130"/>
      <c r="AG1130" s="933" t="s">
        <v>120</v>
      </c>
    </row>
    <row r="1131" spans="1:33" hidden="1">
      <c r="A1131" s="978"/>
      <c r="F1131" s="959">
        <v>0.53339999999999999</v>
      </c>
      <c r="G1131" s="938" t="s">
        <v>724</v>
      </c>
      <c r="H1131" s="933" t="s">
        <v>1553</v>
      </c>
      <c r="I1131" s="744">
        <f>C271</f>
        <v>160</v>
      </c>
      <c r="J1131" s="779" t="s">
        <v>724</v>
      </c>
      <c r="K1131" s="744">
        <f>(F1131*I1131)</f>
        <v>85.34</v>
      </c>
      <c r="AG1131" s="933" t="s">
        <v>120</v>
      </c>
    </row>
    <row r="1132" spans="1:33" hidden="1">
      <c r="A1132" s="978"/>
      <c r="F1132" s="939">
        <v>4.24</v>
      </c>
      <c r="G1132" s="938" t="s">
        <v>13</v>
      </c>
      <c r="H1132" s="933" t="s">
        <v>1554</v>
      </c>
      <c r="I1132" s="744">
        <v>13.66</v>
      </c>
      <c r="J1132" s="779" t="s">
        <v>13</v>
      </c>
      <c r="K1132" s="744">
        <f>(F1132*I1132)</f>
        <v>57.92</v>
      </c>
      <c r="AG1132" s="933" t="s">
        <v>120</v>
      </c>
    </row>
    <row r="1133" spans="1:33" hidden="1">
      <c r="A1133" s="978"/>
      <c r="F1133" s="939">
        <v>16</v>
      </c>
      <c r="G1133" s="938" t="s">
        <v>727</v>
      </c>
      <c r="H1133" s="933" t="s">
        <v>1555</v>
      </c>
      <c r="I1133" s="744">
        <v>0.5</v>
      </c>
      <c r="J1133" s="779" t="s">
        <v>729</v>
      </c>
      <c r="K1133" s="744">
        <f>(F1133*I1133)</f>
        <v>8</v>
      </c>
      <c r="AG1133" s="933" t="s">
        <v>307</v>
      </c>
    </row>
    <row r="1134" spans="1:33" hidden="1">
      <c r="A1134" s="978"/>
      <c r="F1134" s="959">
        <v>0.53339999999999999</v>
      </c>
      <c r="G1134" s="938" t="s">
        <v>724</v>
      </c>
      <c r="H1134" s="933" t="s">
        <v>1556</v>
      </c>
      <c r="I1134" s="744">
        <f>0.25/1.08*D16</f>
        <v>31.25</v>
      </c>
      <c r="J1134" s="779" t="s">
        <v>724</v>
      </c>
      <c r="K1134" s="744">
        <f>(F1134*I1134)</f>
        <v>16.670000000000002</v>
      </c>
    </row>
    <row r="1135" spans="1:33" hidden="1">
      <c r="A1135" s="978"/>
      <c r="G1135" s="938" t="s">
        <v>145</v>
      </c>
      <c r="H1135" s="933" t="s">
        <v>1557</v>
      </c>
      <c r="I1135"/>
      <c r="J1135" s="779" t="s">
        <v>145</v>
      </c>
      <c r="K1135" s="744">
        <v>0</v>
      </c>
    </row>
    <row r="1136" spans="1:33" hidden="1">
      <c r="A1136" s="978"/>
      <c r="H1136" s="933" t="s">
        <v>1558</v>
      </c>
      <c r="I1136"/>
      <c r="J1136" s="805"/>
      <c r="K1136"/>
      <c r="AG1136" s="933" t="s">
        <v>120</v>
      </c>
    </row>
    <row r="1137" spans="1:33" hidden="1">
      <c r="A1137" s="978"/>
      <c r="I1137"/>
      <c r="J1137" s="805"/>
      <c r="K1137" s="776" t="s">
        <v>52</v>
      </c>
      <c r="AG1137" s="933" t="s">
        <v>120</v>
      </c>
    </row>
    <row r="1138" spans="1:33" hidden="1">
      <c r="A1138" s="978"/>
      <c r="H1138" s="934" t="s">
        <v>1559</v>
      </c>
      <c r="I1138"/>
      <c r="J1138" s="805"/>
      <c r="K1138" s="744">
        <f>SUM(K1131:K1135)</f>
        <v>167.93</v>
      </c>
      <c r="AG1138" s="933" t="s">
        <v>120</v>
      </c>
    </row>
    <row r="1139" spans="1:33" hidden="1">
      <c r="A1139" s="978"/>
      <c r="I1139"/>
      <c r="J1139" s="805"/>
      <c r="K1139" s="776" t="s">
        <v>52</v>
      </c>
      <c r="AG1139" s="933" t="s">
        <v>120</v>
      </c>
    </row>
    <row r="1140" spans="1:33" hidden="1">
      <c r="A1140" s="978"/>
      <c r="H1140" s="934" t="s">
        <v>1560</v>
      </c>
      <c r="I1140"/>
      <c r="J1140" s="805"/>
      <c r="K1140" s="744">
        <f>ROUND(K1138/0.5334,1)</f>
        <v>314.8</v>
      </c>
      <c r="AG1140" s="933" t="s">
        <v>120</v>
      </c>
    </row>
    <row r="1141" spans="1:33" hidden="1">
      <c r="A1141" s="978"/>
      <c r="F1141" s="933" t="s">
        <v>85</v>
      </c>
      <c r="I1141"/>
      <c r="J1141" s="805"/>
      <c r="K1141" s="776" t="s">
        <v>89</v>
      </c>
    </row>
    <row r="1142" spans="1:33" hidden="1">
      <c r="A1142" s="978"/>
      <c r="F1142" s="933" t="s">
        <v>85</v>
      </c>
      <c r="G1142" s="938" t="s">
        <v>85</v>
      </c>
      <c r="H1142" s="933" t="s">
        <v>85</v>
      </c>
      <c r="I1142"/>
      <c r="J1142" s="805"/>
      <c r="K1142"/>
    </row>
    <row r="1143" spans="1:33" hidden="1">
      <c r="A1143" s="978"/>
      <c r="F1143" s="934" t="s">
        <v>251</v>
      </c>
      <c r="G1143" s="938" t="s">
        <v>111</v>
      </c>
      <c r="H1143" s="933" t="s">
        <v>1561</v>
      </c>
      <c r="I1143"/>
      <c r="J1143" s="805"/>
      <c r="K1143"/>
      <c r="AG1143" s="933" t="s">
        <v>120</v>
      </c>
    </row>
    <row r="1144" spans="1:33" hidden="1">
      <c r="A1144" s="978"/>
      <c r="H1144" s="933" t="s">
        <v>1562</v>
      </c>
      <c r="I1144"/>
      <c r="J1144" s="805"/>
      <c r="K1144"/>
      <c r="AG1144" s="933" t="s">
        <v>120</v>
      </c>
    </row>
    <row r="1145" spans="1:33" hidden="1">
      <c r="A1145" s="978"/>
      <c r="H1145" s="935" t="s">
        <v>52</v>
      </c>
      <c r="I1145"/>
      <c r="J1145" s="805"/>
      <c r="K1145"/>
      <c r="AG1145" s="933" t="s">
        <v>120</v>
      </c>
    </row>
    <row r="1146" spans="1:33" hidden="1">
      <c r="A1146" s="978"/>
      <c r="F1146" s="939">
        <v>1</v>
      </c>
      <c r="G1146" s="938" t="s">
        <v>39</v>
      </c>
      <c r="H1146" s="933" t="s">
        <v>1563</v>
      </c>
      <c r="I1146" s="744">
        <f>(C638)</f>
        <v>37</v>
      </c>
      <c r="J1146" s="779" t="s">
        <v>39</v>
      </c>
      <c r="K1146" s="744">
        <f>(F1146*I1146)</f>
        <v>37</v>
      </c>
      <c r="AG1146" s="933" t="s">
        <v>120</v>
      </c>
    </row>
    <row r="1147" spans="1:33" hidden="1">
      <c r="A1147" s="978"/>
      <c r="I1147"/>
      <c r="J1147" s="805"/>
      <c r="K1147" s="776" t="s">
        <v>89</v>
      </c>
      <c r="AG1147" s="933" t="s">
        <v>120</v>
      </c>
    </row>
    <row r="1148" spans="1:33" hidden="1">
      <c r="A1148" s="978"/>
      <c r="I1148"/>
      <c r="J1148" s="805"/>
      <c r="K1148"/>
      <c r="AG1148" s="933" t="s">
        <v>120</v>
      </c>
    </row>
    <row r="1149" spans="1:33" hidden="1">
      <c r="A1149" s="978"/>
      <c r="F1149" s="934" t="s">
        <v>255</v>
      </c>
      <c r="G1149" s="938" t="s">
        <v>111</v>
      </c>
      <c r="H1149" s="933" t="s">
        <v>1564</v>
      </c>
      <c r="I1149" s="743" t="s">
        <v>85</v>
      </c>
      <c r="J1149" s="779" t="s">
        <v>972</v>
      </c>
      <c r="K1149" s="744">
        <v>3.7</v>
      </c>
      <c r="AG1149" s="933" t="s">
        <v>120</v>
      </c>
    </row>
    <row r="1150" spans="1:33" hidden="1">
      <c r="A1150" s="978"/>
      <c r="H1150" s="933" t="s">
        <v>1565</v>
      </c>
      <c r="I1150"/>
      <c r="J1150" s="805"/>
      <c r="K1150" s="776" t="s">
        <v>89</v>
      </c>
      <c r="AG1150" s="933" t="s">
        <v>120</v>
      </c>
    </row>
    <row r="1151" spans="1:33" hidden="1">
      <c r="A1151" s="978"/>
      <c r="I1151"/>
      <c r="J1151" s="805"/>
      <c r="K1151"/>
      <c r="AG1151" s="933" t="s">
        <v>120</v>
      </c>
    </row>
    <row r="1152" spans="1:33" hidden="1">
      <c r="A1152" s="978"/>
      <c r="F1152" s="934" t="s">
        <v>268</v>
      </c>
      <c r="G1152" s="938" t="s">
        <v>111</v>
      </c>
      <c r="H1152" s="933" t="s">
        <v>1566</v>
      </c>
      <c r="I1152"/>
      <c r="J1152" s="805"/>
      <c r="K1152"/>
      <c r="AG1152" s="933" t="s">
        <v>120</v>
      </c>
    </row>
    <row r="1153" spans="1:33" hidden="1">
      <c r="A1153" s="978"/>
      <c r="H1153" s="933" t="s">
        <v>1567</v>
      </c>
      <c r="I1153"/>
      <c r="J1153" s="805"/>
      <c r="K1153"/>
      <c r="AG1153" s="933" t="s">
        <v>120</v>
      </c>
    </row>
    <row r="1154" spans="1:33" hidden="1">
      <c r="A1154" s="978"/>
      <c r="H1154" s="935" t="s">
        <v>52</v>
      </c>
      <c r="I1154"/>
      <c r="J1154" s="805"/>
      <c r="K1154"/>
      <c r="AG1154" s="933" t="s">
        <v>120</v>
      </c>
    </row>
    <row r="1155" spans="1:33" hidden="1">
      <c r="A1155" s="978"/>
      <c r="F1155" s="939">
        <v>0.22</v>
      </c>
      <c r="G1155" s="938" t="s">
        <v>132</v>
      </c>
      <c r="H1155" s="933" t="s">
        <v>259</v>
      </c>
      <c r="I1155" s="744" t="e">
        <f>(K40)</f>
        <v>#REF!</v>
      </c>
      <c r="J1155" s="779" t="s">
        <v>132</v>
      </c>
      <c r="K1155" s="744" t="e">
        <f>(F1155*I1155)</f>
        <v>#REF!</v>
      </c>
      <c r="AG1155" s="933" t="s">
        <v>120</v>
      </c>
    </row>
    <row r="1156" spans="1:33" hidden="1">
      <c r="A1156" s="978"/>
      <c r="F1156" s="939">
        <v>2.2000000000000002</v>
      </c>
      <c r="G1156" s="938" t="s">
        <v>237</v>
      </c>
      <c r="H1156" s="933" t="s">
        <v>345</v>
      </c>
      <c r="I1156" s="744">
        <f>(C10)</f>
        <v>150</v>
      </c>
      <c r="J1156" s="779" t="s">
        <v>237</v>
      </c>
      <c r="K1156" s="744">
        <f>(F1156*I1156)</f>
        <v>330</v>
      </c>
      <c r="AG1156" s="933" t="s">
        <v>120</v>
      </c>
    </row>
    <row r="1157" spans="1:33" hidden="1">
      <c r="A1157" s="978"/>
      <c r="F1157" s="939">
        <v>0.5</v>
      </c>
      <c r="G1157" s="938" t="s">
        <v>237</v>
      </c>
      <c r="H1157" s="933" t="s">
        <v>1568</v>
      </c>
      <c r="I1157" s="744">
        <f>(C12)</f>
        <v>95</v>
      </c>
      <c r="J1157" s="779" t="s">
        <v>237</v>
      </c>
      <c r="K1157" s="744">
        <f>(F1157*I1157)</f>
        <v>47.5</v>
      </c>
      <c r="AG1157" s="933" t="s">
        <v>120</v>
      </c>
    </row>
    <row r="1158" spans="1:33" hidden="1">
      <c r="A1158" s="978"/>
      <c r="F1158" s="939">
        <v>3.2</v>
      </c>
      <c r="G1158" s="938" t="s">
        <v>237</v>
      </c>
      <c r="H1158" s="933" t="s">
        <v>306</v>
      </c>
      <c r="I1158" s="744">
        <f>(C13)</f>
        <v>85</v>
      </c>
      <c r="J1158" s="779" t="s">
        <v>237</v>
      </c>
      <c r="K1158" s="744">
        <f>(F1158*I1158)</f>
        <v>272</v>
      </c>
      <c r="AG1158" s="933" t="s">
        <v>120</v>
      </c>
    </row>
    <row r="1159" spans="1:33" hidden="1">
      <c r="A1159" s="978"/>
      <c r="G1159" s="938" t="s">
        <v>145</v>
      </c>
      <c r="H1159" s="933" t="s">
        <v>146</v>
      </c>
      <c r="I1159" s="743" t="s">
        <v>85</v>
      </c>
      <c r="J1159" s="779" t="s">
        <v>145</v>
      </c>
      <c r="K1159" s="744">
        <v>0</v>
      </c>
      <c r="AG1159" s="933" t="s">
        <v>120</v>
      </c>
    </row>
    <row r="1160" spans="1:33" hidden="1">
      <c r="A1160" s="978"/>
      <c r="I1160"/>
      <c r="J1160" s="805"/>
      <c r="K1160" s="776" t="s">
        <v>52</v>
      </c>
      <c r="AG1160" s="933" t="s">
        <v>120</v>
      </c>
    </row>
    <row r="1161" spans="1:33" hidden="1">
      <c r="A1161" s="978"/>
      <c r="H1161" s="933" t="s">
        <v>495</v>
      </c>
      <c r="I1161"/>
      <c r="J1161" s="805"/>
      <c r="K1161" s="744" t="e">
        <f>SUM(K1155:K1159)</f>
        <v>#REF!</v>
      </c>
      <c r="AG1161" s="933" t="s">
        <v>120</v>
      </c>
    </row>
    <row r="1162" spans="1:33" hidden="1">
      <c r="A1162" s="978"/>
      <c r="I1162"/>
      <c r="J1162" s="805"/>
      <c r="K1162" s="776" t="s">
        <v>52</v>
      </c>
      <c r="AG1162" s="933" t="s">
        <v>120</v>
      </c>
    </row>
    <row r="1163" spans="1:33" hidden="1">
      <c r="A1163" s="978"/>
      <c r="H1163" s="933" t="s">
        <v>460</v>
      </c>
      <c r="I1163"/>
      <c r="J1163" s="805"/>
      <c r="K1163" s="744" t="e">
        <f>(K1161/10)</f>
        <v>#REF!</v>
      </c>
      <c r="AG1163" s="933" t="s">
        <v>120</v>
      </c>
    </row>
    <row r="1164" spans="1:33" hidden="1">
      <c r="A1164" s="978"/>
      <c r="I1164"/>
      <c r="J1164" s="805"/>
      <c r="K1164" s="776" t="s">
        <v>89</v>
      </c>
      <c r="AG1164" s="933" t="s">
        <v>120</v>
      </c>
    </row>
    <row r="1165" spans="1:33" hidden="1">
      <c r="A1165" s="978"/>
      <c r="F1165" s="934" t="s">
        <v>1569</v>
      </c>
      <c r="G1165" s="938" t="s">
        <v>111</v>
      </c>
      <c r="H1165" s="933" t="s">
        <v>1570</v>
      </c>
      <c r="I1165"/>
      <c r="J1165" s="805"/>
      <c r="K1165"/>
      <c r="AG1165" s="933" t="s">
        <v>120</v>
      </c>
    </row>
    <row r="1166" spans="1:33" hidden="1">
      <c r="A1166" s="978"/>
      <c r="H1166" s="933" t="s">
        <v>1571</v>
      </c>
      <c r="I1166"/>
      <c r="J1166" s="805"/>
      <c r="K1166"/>
      <c r="AG1166" s="933" t="s">
        <v>120</v>
      </c>
    </row>
    <row r="1167" spans="1:33" hidden="1">
      <c r="A1167" s="978"/>
      <c r="H1167" s="935" t="s">
        <v>52</v>
      </c>
      <c r="I1167"/>
      <c r="J1167" s="805"/>
      <c r="K1167"/>
      <c r="AG1167" s="933" t="s">
        <v>120</v>
      </c>
    </row>
    <row r="1168" spans="1:33" hidden="1">
      <c r="A1168" s="978"/>
      <c r="F1168" s="939">
        <v>160</v>
      </c>
      <c r="G1168" s="938" t="s">
        <v>1572</v>
      </c>
      <c r="H1168" s="933" t="s">
        <v>1573</v>
      </c>
      <c r="I1168" s="744">
        <f>(C136)</f>
        <v>8240</v>
      </c>
      <c r="J1168" s="779" t="s">
        <v>341</v>
      </c>
      <c r="K1168" s="744">
        <f>(F1168*I1168)/1000</f>
        <v>1318.4</v>
      </c>
      <c r="AG1168" s="933" t="s">
        <v>307</v>
      </c>
    </row>
    <row r="1169" spans="1:33" hidden="1">
      <c r="A1169" s="978"/>
      <c r="H1169" s="933" t="s">
        <v>1574</v>
      </c>
      <c r="I1169" s="743" t="s">
        <v>85</v>
      </c>
      <c r="J1169" s="805"/>
      <c r="K1169" s="743" t="s">
        <v>85</v>
      </c>
    </row>
    <row r="1170" spans="1:33" hidden="1">
      <c r="A1170" s="978"/>
      <c r="F1170" s="939">
        <v>0.21</v>
      </c>
      <c r="G1170" s="938" t="s">
        <v>132</v>
      </c>
      <c r="H1170" s="933" t="s">
        <v>1575</v>
      </c>
      <c r="I1170" s="744" t="e">
        <f>(K32)</f>
        <v>#REF!</v>
      </c>
      <c r="J1170" s="779" t="s">
        <v>132</v>
      </c>
      <c r="K1170" s="744" t="e">
        <f>(F1170*I1170)</f>
        <v>#REF!</v>
      </c>
    </row>
    <row r="1171" spans="1:33" hidden="1">
      <c r="A1171" s="978"/>
      <c r="H1171" s="933" t="s">
        <v>1576</v>
      </c>
      <c r="I1171" s="743" t="s">
        <v>85</v>
      </c>
      <c r="J1171" s="805"/>
      <c r="K1171" s="743" t="s">
        <v>85</v>
      </c>
      <c r="AG1171" s="933" t="s">
        <v>120</v>
      </c>
    </row>
    <row r="1172" spans="1:33" hidden="1">
      <c r="A1172" s="978"/>
      <c r="F1172" s="939">
        <v>1.1000000000000001</v>
      </c>
      <c r="G1172" s="938" t="s">
        <v>237</v>
      </c>
      <c r="H1172" s="933" t="s">
        <v>345</v>
      </c>
      <c r="I1172" s="744">
        <f>(C10)</f>
        <v>150</v>
      </c>
      <c r="J1172" s="779" t="s">
        <v>237</v>
      </c>
      <c r="K1172" s="744">
        <f>(F1172*I1172)</f>
        <v>165</v>
      </c>
      <c r="AG1172" s="933" t="s">
        <v>120</v>
      </c>
    </row>
    <row r="1173" spans="1:33" hidden="1">
      <c r="A1173" s="978"/>
      <c r="F1173" s="939">
        <v>1.1000000000000001</v>
      </c>
      <c r="G1173" s="938" t="s">
        <v>237</v>
      </c>
      <c r="H1173" s="933" t="s">
        <v>302</v>
      </c>
      <c r="I1173" s="744">
        <f>(C11)</f>
        <v>135</v>
      </c>
      <c r="J1173" s="779" t="s">
        <v>237</v>
      </c>
      <c r="K1173" s="744">
        <f>(F1173*I1173)</f>
        <v>148.5</v>
      </c>
      <c r="AG1173" s="933" t="s">
        <v>120</v>
      </c>
    </row>
    <row r="1174" spans="1:33" hidden="1">
      <c r="A1174" s="978"/>
      <c r="F1174" s="939">
        <v>2.2000000000000002</v>
      </c>
      <c r="G1174" s="938" t="s">
        <v>237</v>
      </c>
      <c r="H1174" s="933" t="s">
        <v>304</v>
      </c>
      <c r="I1174" s="744">
        <f>(C12)</f>
        <v>95</v>
      </c>
      <c r="J1174" s="779" t="s">
        <v>237</v>
      </c>
      <c r="K1174" s="744">
        <f>(F1174*I1174)</f>
        <v>209</v>
      </c>
      <c r="AG1174" s="933" t="s">
        <v>120</v>
      </c>
    </row>
    <row r="1175" spans="1:33" hidden="1">
      <c r="A1175" s="978"/>
      <c r="F1175" s="939">
        <v>2.2000000000000002</v>
      </c>
      <c r="G1175" s="938" t="s">
        <v>237</v>
      </c>
      <c r="H1175" s="933" t="s">
        <v>306</v>
      </c>
      <c r="I1175" s="744">
        <f>(C13)</f>
        <v>85</v>
      </c>
      <c r="J1175" s="779" t="s">
        <v>237</v>
      </c>
      <c r="K1175" s="744">
        <f>(F1175*I1175)</f>
        <v>187</v>
      </c>
      <c r="AG1175" s="933" t="s">
        <v>120</v>
      </c>
    </row>
    <row r="1176" spans="1:33" hidden="1">
      <c r="A1176" s="978"/>
      <c r="F1176" s="941">
        <v>22</v>
      </c>
      <c r="G1176" s="938" t="s">
        <v>39</v>
      </c>
      <c r="H1176" s="933" t="s">
        <v>123</v>
      </c>
      <c r="I1176" s="744">
        <f>(C67)</f>
        <v>3800</v>
      </c>
      <c r="J1176" s="779" t="s">
        <v>122</v>
      </c>
      <c r="K1176" s="744">
        <f>(F1176*I1176)/1000</f>
        <v>83.6</v>
      </c>
      <c r="AG1176" s="933" t="s">
        <v>120</v>
      </c>
    </row>
    <row r="1177" spans="1:33" hidden="1">
      <c r="A1177" s="978"/>
      <c r="F1177" s="939">
        <v>1.6</v>
      </c>
      <c r="G1177" s="938" t="s">
        <v>237</v>
      </c>
      <c r="H1177" s="933" t="s">
        <v>302</v>
      </c>
      <c r="I1177" s="744">
        <f>(C11)</f>
        <v>135</v>
      </c>
      <c r="J1177" s="779" t="s">
        <v>237</v>
      </c>
      <c r="K1177" s="744">
        <f>(F1177*I1177)</f>
        <v>216</v>
      </c>
      <c r="AG1177" s="933" t="s">
        <v>120</v>
      </c>
    </row>
    <row r="1178" spans="1:33" hidden="1">
      <c r="A1178" s="978"/>
      <c r="F1178" s="939">
        <v>0.5</v>
      </c>
      <c r="G1178" s="938" t="s">
        <v>237</v>
      </c>
      <c r="H1178" s="933" t="s">
        <v>304</v>
      </c>
      <c r="I1178" s="744">
        <f>(C12)</f>
        <v>95</v>
      </c>
      <c r="J1178" s="779" t="s">
        <v>237</v>
      </c>
      <c r="K1178" s="744">
        <f>(F1178*I1178)</f>
        <v>47.5</v>
      </c>
      <c r="AG1178" s="933" t="s">
        <v>120</v>
      </c>
    </row>
    <row r="1179" spans="1:33" hidden="1">
      <c r="A1179" s="978"/>
      <c r="F1179" s="939">
        <v>1.1000000000000001</v>
      </c>
      <c r="G1179" s="938" t="s">
        <v>237</v>
      </c>
      <c r="H1179" s="933" t="s">
        <v>306</v>
      </c>
      <c r="I1179" s="744">
        <f>(C13)</f>
        <v>85</v>
      </c>
      <c r="J1179" s="779" t="s">
        <v>237</v>
      </c>
      <c r="K1179" s="744">
        <f>(F1179*I1179)</f>
        <v>93.5</v>
      </c>
      <c r="AG1179" s="933" t="s">
        <v>120</v>
      </c>
    </row>
    <row r="1180" spans="1:33" hidden="1">
      <c r="A1180" s="978"/>
      <c r="F1180" s="933" t="s">
        <v>88</v>
      </c>
      <c r="H1180" s="933" t="s">
        <v>1577</v>
      </c>
      <c r="I1180" s="743" t="s">
        <v>85</v>
      </c>
      <c r="J1180" s="805"/>
      <c r="K1180" s="743" t="s">
        <v>85</v>
      </c>
      <c r="AG1180" s="933" t="s">
        <v>120</v>
      </c>
    </row>
    <row r="1181" spans="1:33" hidden="1">
      <c r="A1181" s="978"/>
      <c r="F1181" s="939">
        <v>1</v>
      </c>
      <c r="G1181" s="938" t="s">
        <v>145</v>
      </c>
      <c r="H1181" s="933" t="s">
        <v>1578</v>
      </c>
      <c r="I1181" s="744">
        <f>(C57)</f>
        <v>35</v>
      </c>
      <c r="J1181" s="779" t="s">
        <v>145</v>
      </c>
      <c r="K1181" s="744">
        <f>(F1181*I1181)</f>
        <v>35</v>
      </c>
      <c r="AG1181" s="933" t="s">
        <v>120</v>
      </c>
    </row>
    <row r="1182" spans="1:33" hidden="1">
      <c r="A1182" s="978"/>
      <c r="F1182" s="939">
        <v>1</v>
      </c>
      <c r="G1182" s="938" t="s">
        <v>145</v>
      </c>
      <c r="H1182" s="933" t="s">
        <v>1579</v>
      </c>
      <c r="I1182" s="744">
        <f>(C58)</f>
        <v>15</v>
      </c>
      <c r="J1182" s="779" t="s">
        <v>145</v>
      </c>
      <c r="K1182" s="744">
        <f>(F1182*I1182)</f>
        <v>15</v>
      </c>
      <c r="AG1182" s="933" t="s">
        <v>120</v>
      </c>
    </row>
    <row r="1183" spans="1:33" hidden="1">
      <c r="A1183" s="978"/>
      <c r="F1183" s="939">
        <v>1</v>
      </c>
      <c r="G1183" s="938" t="s">
        <v>145</v>
      </c>
      <c r="H1183" s="933" t="s">
        <v>1580</v>
      </c>
      <c r="I1183" s="744">
        <f>(C28)</f>
        <v>58.33</v>
      </c>
      <c r="J1183" s="779" t="s">
        <v>145</v>
      </c>
      <c r="K1183" s="744">
        <f>(F1183*I1183)</f>
        <v>58.33</v>
      </c>
      <c r="AG1183" s="933" t="s">
        <v>120</v>
      </c>
    </row>
    <row r="1184" spans="1:33" hidden="1">
      <c r="A1184" s="978"/>
      <c r="F1184" s="939">
        <v>1.1000000000000001</v>
      </c>
      <c r="G1184" s="938" t="s">
        <v>237</v>
      </c>
      <c r="H1184" s="933" t="s">
        <v>1581</v>
      </c>
      <c r="I1184" s="744">
        <f>(C29)</f>
        <v>120</v>
      </c>
      <c r="J1184" s="779" t="s">
        <v>237</v>
      </c>
      <c r="K1184" s="744">
        <f>(F1184*I1184)</f>
        <v>132</v>
      </c>
      <c r="AG1184" s="933" t="s">
        <v>120</v>
      </c>
    </row>
    <row r="1185" spans="1:33" hidden="1">
      <c r="A1185" s="978"/>
      <c r="F1185" s="939">
        <v>2.2000000000000002</v>
      </c>
      <c r="G1185" s="938" t="s">
        <v>237</v>
      </c>
      <c r="H1185" s="933" t="s">
        <v>1582</v>
      </c>
      <c r="I1185" s="744">
        <f>(C13)</f>
        <v>85</v>
      </c>
      <c r="J1185" s="779" t="s">
        <v>237</v>
      </c>
      <c r="K1185" s="744">
        <f>(F1185*I1185)</f>
        <v>187</v>
      </c>
      <c r="AG1185" s="933" t="s">
        <v>120</v>
      </c>
    </row>
    <row r="1186" spans="1:33" hidden="1">
      <c r="A1186" s="978"/>
      <c r="G1186" s="938" t="s">
        <v>145</v>
      </c>
      <c r="H1186" s="933" t="s">
        <v>146</v>
      </c>
      <c r="I1186"/>
      <c r="J1186" s="779" t="s">
        <v>145</v>
      </c>
      <c r="K1186" s="744">
        <v>0</v>
      </c>
      <c r="AG1186" s="933" t="s">
        <v>120</v>
      </c>
    </row>
    <row r="1187" spans="1:33" hidden="1">
      <c r="A1187" s="978"/>
      <c r="I1187"/>
      <c r="J1187" s="805"/>
      <c r="K1187" s="776" t="s">
        <v>52</v>
      </c>
      <c r="AG1187" s="933" t="s">
        <v>120</v>
      </c>
    </row>
    <row r="1188" spans="1:33" hidden="1">
      <c r="A1188" s="978"/>
      <c r="H1188" s="933" t="s">
        <v>495</v>
      </c>
      <c r="I1188"/>
      <c r="J1188" s="805"/>
      <c r="K1188" s="744" t="e">
        <f>SUM(K1168:K1186)</f>
        <v>#REF!</v>
      </c>
      <c r="AG1188" s="933" t="s">
        <v>120</v>
      </c>
    </row>
    <row r="1189" spans="1:33" hidden="1">
      <c r="A1189" s="978"/>
      <c r="I1189"/>
      <c r="J1189" s="805"/>
      <c r="K1189" s="776" t="s">
        <v>52</v>
      </c>
      <c r="AG1189" s="933" t="s">
        <v>120</v>
      </c>
    </row>
    <row r="1190" spans="1:33" hidden="1">
      <c r="A1190" s="978"/>
      <c r="F1190" s="933" t="s">
        <v>85</v>
      </c>
      <c r="I1190"/>
      <c r="J1190" s="805"/>
      <c r="K1190"/>
    </row>
    <row r="1191" spans="1:33" hidden="1">
      <c r="A1191" s="978"/>
      <c r="H1191" s="933" t="s">
        <v>460</v>
      </c>
      <c r="I1191"/>
      <c r="J1191" s="805"/>
      <c r="K1191" s="744" t="e">
        <f>(K1188/10)</f>
        <v>#REF!</v>
      </c>
      <c r="AG1191" s="933" t="s">
        <v>120</v>
      </c>
    </row>
    <row r="1192" spans="1:33" hidden="1">
      <c r="A1192" s="978"/>
      <c r="F1192" s="933" t="s">
        <v>85</v>
      </c>
      <c r="I1192"/>
      <c r="J1192" s="805"/>
      <c r="K1192"/>
    </row>
    <row r="1193" spans="1:33" hidden="1">
      <c r="A1193" s="978"/>
      <c r="I1193"/>
      <c r="J1193" s="805"/>
      <c r="K1193" s="776" t="s">
        <v>89</v>
      </c>
      <c r="AG1193" s="933" t="s">
        <v>120</v>
      </c>
    </row>
    <row r="1194" spans="1:33" hidden="1">
      <c r="A1194" s="978"/>
      <c r="F1194" s="948">
        <v>29.5</v>
      </c>
      <c r="G1194" s="938" t="s">
        <v>111</v>
      </c>
      <c r="H1194" s="933" t="s">
        <v>1583</v>
      </c>
      <c r="I1194"/>
      <c r="J1194" s="805"/>
      <c r="K1194"/>
      <c r="AG1194" s="933" t="s">
        <v>120</v>
      </c>
    </row>
    <row r="1195" spans="1:33" hidden="1">
      <c r="A1195" s="978"/>
      <c r="H1195" s="933" t="s">
        <v>1584</v>
      </c>
      <c r="I1195"/>
      <c r="J1195" s="805"/>
      <c r="K1195"/>
      <c r="AG1195" s="933" t="s">
        <v>120</v>
      </c>
    </row>
    <row r="1196" spans="1:33" hidden="1">
      <c r="A1196" s="978"/>
      <c r="H1196" s="933" t="s">
        <v>1585</v>
      </c>
      <c r="I1196"/>
      <c r="J1196" s="805"/>
      <c r="K1196"/>
      <c r="AG1196" s="933" t="s">
        <v>120</v>
      </c>
    </row>
    <row r="1197" spans="1:33" hidden="1">
      <c r="A1197" s="978"/>
      <c r="H1197" s="935" t="s">
        <v>52</v>
      </c>
      <c r="I1197" s="776" t="s">
        <v>52</v>
      </c>
      <c r="J1197" s="805"/>
      <c r="K1197"/>
      <c r="AG1197" s="933" t="s">
        <v>120</v>
      </c>
    </row>
    <row r="1198" spans="1:33" hidden="1">
      <c r="A1198" s="978"/>
      <c r="F1198" s="939">
        <v>10</v>
      </c>
      <c r="G1198" s="938" t="s">
        <v>425</v>
      </c>
      <c r="H1198" s="933" t="s">
        <v>1586</v>
      </c>
      <c r="I1198" s="744">
        <f>(C579)</f>
        <v>301</v>
      </c>
      <c r="J1198" s="779" t="s">
        <v>425</v>
      </c>
      <c r="K1198" s="744">
        <f>(F1198*I1198)</f>
        <v>3010</v>
      </c>
      <c r="AG1198" s="933" t="s">
        <v>120</v>
      </c>
    </row>
    <row r="1199" spans="1:33" hidden="1">
      <c r="A1199" s="978"/>
      <c r="F1199" s="939">
        <v>0.21</v>
      </c>
      <c r="G1199" s="938" t="s">
        <v>132</v>
      </c>
      <c r="H1199" s="933" t="s">
        <v>1575</v>
      </c>
      <c r="I1199" s="744" t="e">
        <f>(K32)</f>
        <v>#REF!</v>
      </c>
      <c r="J1199" s="779" t="s">
        <v>132</v>
      </c>
      <c r="K1199" s="744" t="e">
        <f>(F1199*I1199)</f>
        <v>#REF!</v>
      </c>
      <c r="AG1199" s="933" t="s">
        <v>120</v>
      </c>
    </row>
    <row r="1200" spans="1:33" hidden="1">
      <c r="A1200" s="978"/>
      <c r="H1200" s="933" t="s">
        <v>1576</v>
      </c>
      <c r="I1200" s="743" t="s">
        <v>85</v>
      </c>
      <c r="J1200" s="805"/>
      <c r="K1200" s="743" t="s">
        <v>85</v>
      </c>
      <c r="AG1200" s="933" t="s">
        <v>120</v>
      </c>
    </row>
    <row r="1201" spans="1:33" hidden="1">
      <c r="A1201" s="978"/>
      <c r="F1201" s="939">
        <v>1.1000000000000001</v>
      </c>
      <c r="G1201" s="938" t="s">
        <v>237</v>
      </c>
      <c r="H1201" s="933" t="s">
        <v>345</v>
      </c>
      <c r="I1201" s="744">
        <f>(C10)</f>
        <v>150</v>
      </c>
      <c r="J1201" s="779" t="s">
        <v>237</v>
      </c>
      <c r="K1201" s="744">
        <f>(F1201*I1201)</f>
        <v>165</v>
      </c>
      <c r="AG1201" s="933" t="s">
        <v>120</v>
      </c>
    </row>
    <row r="1202" spans="1:33" hidden="1">
      <c r="A1202" s="978"/>
      <c r="F1202" s="939">
        <v>1.1000000000000001</v>
      </c>
      <c r="G1202" s="938" t="s">
        <v>237</v>
      </c>
      <c r="H1202" s="933" t="s">
        <v>302</v>
      </c>
      <c r="I1202" s="744">
        <f>(C11)</f>
        <v>135</v>
      </c>
      <c r="J1202" s="779" t="s">
        <v>237</v>
      </c>
      <c r="K1202" s="744">
        <f>(F1202*I1202)</f>
        <v>148.5</v>
      </c>
      <c r="AG1202" s="933" t="s">
        <v>120</v>
      </c>
    </row>
    <row r="1203" spans="1:33" hidden="1">
      <c r="A1203" s="978"/>
      <c r="F1203" s="939">
        <v>2.2000000000000002</v>
      </c>
      <c r="G1203" s="938" t="s">
        <v>237</v>
      </c>
      <c r="H1203" s="933" t="s">
        <v>304</v>
      </c>
      <c r="I1203" s="744">
        <f>(C12)</f>
        <v>95</v>
      </c>
      <c r="J1203" s="779" t="s">
        <v>237</v>
      </c>
      <c r="K1203" s="744">
        <f>(F1203*I1203)</f>
        <v>209</v>
      </c>
      <c r="AG1203" s="933" t="s">
        <v>120</v>
      </c>
    </row>
    <row r="1204" spans="1:33" hidden="1">
      <c r="A1204" s="978"/>
      <c r="F1204" s="939">
        <v>2.2000000000000002</v>
      </c>
      <c r="G1204" s="938" t="s">
        <v>237</v>
      </c>
      <c r="H1204" s="933" t="s">
        <v>306</v>
      </c>
      <c r="I1204" s="744">
        <f>(C13)</f>
        <v>85</v>
      </c>
      <c r="J1204" s="779" t="s">
        <v>237</v>
      </c>
      <c r="K1204" s="744">
        <f>(F1204*I1204)</f>
        <v>187</v>
      </c>
    </row>
    <row r="1205" spans="1:33" hidden="1">
      <c r="A1205" s="978"/>
      <c r="F1205" s="941">
        <v>20</v>
      </c>
      <c r="G1205" s="938" t="s">
        <v>39</v>
      </c>
      <c r="H1205" s="933" t="s">
        <v>123</v>
      </c>
      <c r="I1205" s="744">
        <f>(C67)</f>
        <v>3800</v>
      </c>
      <c r="J1205" s="779" t="s">
        <v>122</v>
      </c>
      <c r="K1205" s="744">
        <f>(F1205*I1205)/1000</f>
        <v>76</v>
      </c>
    </row>
    <row r="1206" spans="1:33" hidden="1">
      <c r="A1206" s="978"/>
      <c r="F1206" s="941">
        <v>2</v>
      </c>
      <c r="G1206" s="938" t="s">
        <v>39</v>
      </c>
      <c r="H1206" s="933" t="s">
        <v>1587</v>
      </c>
      <c r="I1206" s="744">
        <f>C586</f>
        <v>19</v>
      </c>
      <c r="J1206" s="779" t="s">
        <v>39</v>
      </c>
      <c r="K1206" s="744">
        <f>(F1206*I1206)</f>
        <v>38</v>
      </c>
      <c r="AG1206" s="933" t="s">
        <v>85</v>
      </c>
    </row>
    <row r="1207" spans="1:33" hidden="1">
      <c r="A1207" s="978"/>
      <c r="F1207" s="939">
        <v>1.6</v>
      </c>
      <c r="G1207" s="938" t="s">
        <v>237</v>
      </c>
      <c r="H1207" s="933" t="s">
        <v>302</v>
      </c>
      <c r="I1207" s="744">
        <f>(C11)</f>
        <v>135</v>
      </c>
      <c r="J1207" s="779" t="s">
        <v>237</v>
      </c>
      <c r="K1207" s="744">
        <f>(F1207*I1207)</f>
        <v>216</v>
      </c>
    </row>
    <row r="1208" spans="1:33" hidden="1">
      <c r="A1208" s="978"/>
      <c r="F1208" s="939">
        <v>0.5</v>
      </c>
      <c r="G1208" s="938" t="s">
        <v>237</v>
      </c>
      <c r="H1208" s="933" t="s">
        <v>304</v>
      </c>
      <c r="I1208" s="744">
        <f>(C12)</f>
        <v>95</v>
      </c>
      <c r="J1208" s="779" t="s">
        <v>237</v>
      </c>
      <c r="K1208" s="744">
        <f>(F1208*I1208)</f>
        <v>47.5</v>
      </c>
    </row>
    <row r="1209" spans="1:33" hidden="1">
      <c r="A1209" s="978"/>
      <c r="F1209" s="939">
        <v>1.1000000000000001</v>
      </c>
      <c r="G1209" s="938" t="s">
        <v>237</v>
      </c>
      <c r="H1209" s="933" t="s">
        <v>306</v>
      </c>
      <c r="I1209" s="744">
        <f>(C13)</f>
        <v>85</v>
      </c>
      <c r="J1209" s="779" t="s">
        <v>237</v>
      </c>
      <c r="K1209" s="744">
        <f>(F1209*I1209)</f>
        <v>93.5</v>
      </c>
    </row>
    <row r="1210" spans="1:33" hidden="1">
      <c r="A1210" s="978"/>
      <c r="G1210" s="938" t="s">
        <v>145</v>
      </c>
      <c r="H1210" s="933" t="s">
        <v>146</v>
      </c>
      <c r="I1210"/>
      <c r="J1210" s="779" t="s">
        <v>145</v>
      </c>
      <c r="K1210" s="744">
        <v>0</v>
      </c>
    </row>
    <row r="1211" spans="1:33" hidden="1">
      <c r="A1211" s="978"/>
      <c r="I1211"/>
      <c r="J1211" s="805"/>
      <c r="K1211" s="776" t="s">
        <v>52</v>
      </c>
    </row>
    <row r="1212" spans="1:33" hidden="1">
      <c r="A1212" s="978"/>
      <c r="H1212" s="933" t="s">
        <v>495</v>
      </c>
      <c r="I1212"/>
      <c r="J1212" s="805"/>
      <c r="K1212" s="744" t="e">
        <f>SUM(K1198:K1210)</f>
        <v>#REF!</v>
      </c>
    </row>
    <row r="1213" spans="1:33" hidden="1">
      <c r="A1213" s="978"/>
      <c r="I1213"/>
      <c r="J1213" s="805"/>
      <c r="K1213" s="776" t="s">
        <v>52</v>
      </c>
    </row>
    <row r="1214" spans="1:33" hidden="1">
      <c r="A1214" s="978"/>
      <c r="H1214" s="933" t="s">
        <v>460</v>
      </c>
      <c r="I1214"/>
      <c r="J1214" s="805"/>
      <c r="K1214" s="744" t="e">
        <f>(K1212/10)</f>
        <v>#REF!</v>
      </c>
    </row>
    <row r="1215" spans="1:33" hidden="1">
      <c r="A1215" s="978"/>
      <c r="I1215"/>
      <c r="J1215" s="805"/>
      <c r="K1215" s="776" t="s">
        <v>89</v>
      </c>
    </row>
    <row r="1216" spans="1:33" hidden="1">
      <c r="A1216" s="978"/>
      <c r="F1216" s="948">
        <v>29.4</v>
      </c>
      <c r="G1216" s="938" t="s">
        <v>111</v>
      </c>
      <c r="H1216" s="933" t="s">
        <v>1588</v>
      </c>
      <c r="I1216"/>
      <c r="J1216" s="805"/>
      <c r="K1216"/>
    </row>
    <row r="1217" spans="1:11" hidden="1">
      <c r="A1217" s="978"/>
      <c r="H1217" s="933" t="s">
        <v>1589</v>
      </c>
      <c r="I1217"/>
      <c r="J1217" s="805"/>
      <c r="K1217"/>
    </row>
    <row r="1218" spans="1:11" hidden="1">
      <c r="A1218" s="978"/>
      <c r="H1218" s="935" t="s">
        <v>52</v>
      </c>
      <c r="I1218"/>
      <c r="J1218" s="805"/>
      <c r="K1218"/>
    </row>
    <row r="1219" spans="1:11" hidden="1">
      <c r="A1219" s="978"/>
      <c r="F1219" s="939">
        <v>1.86</v>
      </c>
      <c r="G1219" s="938" t="s">
        <v>425</v>
      </c>
      <c r="H1219" s="933" t="s">
        <v>1590</v>
      </c>
      <c r="I1219" s="744">
        <f>C580</f>
        <v>325</v>
      </c>
      <c r="J1219" s="779" t="s">
        <v>425</v>
      </c>
      <c r="K1219" s="744">
        <f>(F1219*I1219)</f>
        <v>604.5</v>
      </c>
    </row>
    <row r="1220" spans="1:11" hidden="1">
      <c r="A1220" s="978"/>
      <c r="F1220" s="939">
        <v>0.4</v>
      </c>
      <c r="G1220" s="938" t="s">
        <v>39</v>
      </c>
      <c r="H1220" s="933" t="s">
        <v>1591</v>
      </c>
      <c r="I1220" s="744">
        <f>C586</f>
        <v>19</v>
      </c>
      <c r="J1220" s="779" t="s">
        <v>39</v>
      </c>
      <c r="K1220" s="744">
        <f>(F1220*I1220)</f>
        <v>7.6</v>
      </c>
    </row>
    <row r="1221" spans="1:11" hidden="1">
      <c r="A1221" s="978"/>
      <c r="F1221" s="939">
        <v>0.02</v>
      </c>
      <c r="G1221" s="938" t="s">
        <v>132</v>
      </c>
      <c r="H1221" s="933" t="s">
        <v>1592</v>
      </c>
      <c r="I1221" s="744" t="e">
        <f>K23</f>
        <v>#REF!</v>
      </c>
      <c r="J1221" s="779" t="s">
        <v>132</v>
      </c>
      <c r="K1221" s="744" t="e">
        <f>(F1221*I1221)</f>
        <v>#REF!</v>
      </c>
    </row>
    <row r="1222" spans="1:11" hidden="1">
      <c r="A1222" s="978"/>
      <c r="F1222" s="939">
        <v>1</v>
      </c>
      <c r="G1222" s="938" t="s">
        <v>237</v>
      </c>
      <c r="H1222" s="933" t="s">
        <v>345</v>
      </c>
      <c r="I1222" s="744">
        <f>C10</f>
        <v>150</v>
      </c>
      <c r="J1222" s="779" t="s">
        <v>237</v>
      </c>
      <c r="K1222" s="744">
        <f>(F1222*I1222)</f>
        <v>150</v>
      </c>
    </row>
    <row r="1223" spans="1:11" hidden="1">
      <c r="A1223" s="978"/>
      <c r="F1223" s="939">
        <v>1</v>
      </c>
      <c r="G1223" s="938" t="s">
        <v>237</v>
      </c>
      <c r="H1223" s="933" t="s">
        <v>1593</v>
      </c>
      <c r="I1223" s="744">
        <f>C12</f>
        <v>95</v>
      </c>
      <c r="J1223" s="779" t="s">
        <v>237</v>
      </c>
      <c r="K1223" s="744">
        <f>(F1223*I1223)</f>
        <v>95</v>
      </c>
    </row>
    <row r="1224" spans="1:11" hidden="1">
      <c r="A1224" s="978"/>
      <c r="G1224" s="938" t="s">
        <v>145</v>
      </c>
      <c r="H1224" s="933" t="s">
        <v>146</v>
      </c>
      <c r="I1224"/>
      <c r="J1224" s="779" t="s">
        <v>145</v>
      </c>
      <c r="K1224" s="744">
        <v>0</v>
      </c>
    </row>
    <row r="1225" spans="1:11" hidden="1">
      <c r="A1225" s="978"/>
      <c r="I1225"/>
      <c r="J1225" s="805"/>
      <c r="K1225" s="776" t="s">
        <v>52</v>
      </c>
    </row>
    <row r="1226" spans="1:11" hidden="1">
      <c r="A1226" s="978"/>
      <c r="H1226" s="933" t="s">
        <v>1594</v>
      </c>
      <c r="I1226"/>
      <c r="J1226" s="805"/>
      <c r="K1226" s="744" t="e">
        <f>SUM(K1219:K1224)</f>
        <v>#REF!</v>
      </c>
    </row>
    <row r="1227" spans="1:11" hidden="1">
      <c r="A1227" s="978"/>
      <c r="I1227"/>
      <c r="J1227" s="805"/>
      <c r="K1227" s="776" t="s">
        <v>52</v>
      </c>
    </row>
    <row r="1228" spans="1:11" hidden="1">
      <c r="A1228" s="978"/>
      <c r="H1228" s="933" t="s">
        <v>460</v>
      </c>
      <c r="I1228"/>
      <c r="J1228" s="805"/>
      <c r="K1228" s="744" t="e">
        <f>(K1226/1.86)</f>
        <v>#REF!</v>
      </c>
    </row>
    <row r="1229" spans="1:11" hidden="1">
      <c r="A1229" s="978"/>
      <c r="I1229"/>
      <c r="J1229" s="805"/>
      <c r="K1229" s="776" t="s">
        <v>89</v>
      </c>
    </row>
    <row r="1230" spans="1:11" hidden="1">
      <c r="A1230" s="978"/>
      <c r="F1230" s="934" t="s">
        <v>275</v>
      </c>
      <c r="G1230" s="938" t="s">
        <v>111</v>
      </c>
      <c r="H1230" s="933" t="s">
        <v>1566</v>
      </c>
      <c r="I1230"/>
      <c r="J1230" s="805"/>
      <c r="K1230"/>
    </row>
    <row r="1231" spans="1:11" hidden="1">
      <c r="A1231" s="978"/>
      <c r="H1231" s="933" t="s">
        <v>1567</v>
      </c>
      <c r="I1231"/>
      <c r="J1231" s="805"/>
      <c r="K1231"/>
    </row>
    <row r="1232" spans="1:11" hidden="1">
      <c r="A1232" s="978"/>
      <c r="H1232" s="933" t="s">
        <v>1595</v>
      </c>
      <c r="I1232"/>
      <c r="J1232" s="805"/>
      <c r="K1232"/>
    </row>
    <row r="1233" spans="1:11" hidden="1">
      <c r="A1233" s="978"/>
      <c r="H1233" s="933" t="s">
        <v>1596</v>
      </c>
      <c r="I1233"/>
      <c r="J1233" s="805"/>
      <c r="K1233"/>
    </row>
    <row r="1234" spans="1:11" hidden="1">
      <c r="A1234" s="978"/>
      <c r="H1234" s="935" t="s">
        <v>52</v>
      </c>
      <c r="I1234"/>
      <c r="J1234" s="805"/>
      <c r="K1234"/>
    </row>
    <row r="1235" spans="1:11" hidden="1">
      <c r="A1235" s="978"/>
      <c r="F1235" s="939">
        <v>0.24</v>
      </c>
      <c r="G1235" s="938" t="s">
        <v>132</v>
      </c>
      <c r="H1235" s="933" t="s">
        <v>1597</v>
      </c>
      <c r="I1235" s="744" t="e">
        <f>(C70)</f>
        <v>#REF!</v>
      </c>
      <c r="J1235" s="779" t="s">
        <v>132</v>
      </c>
      <c r="K1235" s="744" t="e">
        <f>(F1235*I1235)</f>
        <v>#REF!</v>
      </c>
    </row>
    <row r="1236" spans="1:11" hidden="1">
      <c r="A1236" s="978"/>
      <c r="F1236" s="941">
        <v>0.11700000000000001</v>
      </c>
      <c r="G1236" s="938" t="s">
        <v>122</v>
      </c>
      <c r="H1236" s="933" t="s">
        <v>123</v>
      </c>
      <c r="I1236" s="744">
        <f>(C67)</f>
        <v>3800</v>
      </c>
      <c r="J1236" s="779" t="s">
        <v>122</v>
      </c>
      <c r="K1236" s="744">
        <f>(F1236*I1236)</f>
        <v>444.6</v>
      </c>
    </row>
    <row r="1237" spans="1:11" hidden="1">
      <c r="A1237" s="978"/>
      <c r="F1237" s="939">
        <v>0.5</v>
      </c>
      <c r="G1237" s="938" t="s">
        <v>237</v>
      </c>
      <c r="H1237" s="933" t="s">
        <v>345</v>
      </c>
      <c r="I1237" s="744">
        <f>(C10)</f>
        <v>150</v>
      </c>
      <c r="J1237" s="779" t="s">
        <v>237</v>
      </c>
      <c r="K1237" s="744">
        <f>(F1237*I1237)</f>
        <v>75</v>
      </c>
    </row>
    <row r="1238" spans="1:11" hidden="1">
      <c r="A1238" s="978"/>
      <c r="F1238" s="939">
        <v>1.1000000000000001</v>
      </c>
      <c r="G1238" s="938" t="s">
        <v>237</v>
      </c>
      <c r="H1238" s="933" t="s">
        <v>1568</v>
      </c>
      <c r="I1238" s="744">
        <f>(C12)</f>
        <v>95</v>
      </c>
      <c r="J1238" s="779" t="s">
        <v>237</v>
      </c>
      <c r="K1238" s="744">
        <f>(F1238*I1238)</f>
        <v>104.5</v>
      </c>
    </row>
    <row r="1239" spans="1:11" hidden="1">
      <c r="A1239" s="978"/>
      <c r="F1239" s="939">
        <v>4.3</v>
      </c>
      <c r="G1239" s="938" t="s">
        <v>237</v>
      </c>
      <c r="H1239" s="933" t="s">
        <v>306</v>
      </c>
      <c r="I1239" s="744">
        <f>(C13)</f>
        <v>85</v>
      </c>
      <c r="J1239" s="779" t="s">
        <v>237</v>
      </c>
      <c r="K1239" s="744">
        <f>(F1239*I1239)</f>
        <v>365.5</v>
      </c>
    </row>
    <row r="1240" spans="1:11" hidden="1">
      <c r="A1240" s="978"/>
      <c r="G1240" s="938" t="s">
        <v>145</v>
      </c>
      <c r="H1240" s="933" t="s">
        <v>146</v>
      </c>
      <c r="I1240"/>
      <c r="J1240" s="779" t="s">
        <v>145</v>
      </c>
      <c r="K1240" s="744">
        <v>0</v>
      </c>
    </row>
    <row r="1241" spans="1:11" hidden="1">
      <c r="A1241" s="978"/>
      <c r="I1241"/>
      <c r="J1241" s="805"/>
      <c r="K1241" s="776" t="s">
        <v>52</v>
      </c>
    </row>
    <row r="1242" spans="1:11" hidden="1">
      <c r="A1242" s="978"/>
      <c r="H1242" s="933" t="s">
        <v>495</v>
      </c>
      <c r="I1242"/>
      <c r="J1242" s="805"/>
      <c r="K1242" s="744" t="e">
        <f>SUM(K1235:K1240)</f>
        <v>#REF!</v>
      </c>
    </row>
    <row r="1243" spans="1:11" hidden="1">
      <c r="A1243" s="978"/>
      <c r="I1243"/>
      <c r="J1243" s="805"/>
      <c r="K1243" s="776" t="s">
        <v>52</v>
      </c>
    </row>
    <row r="1244" spans="1:11" hidden="1">
      <c r="A1244" s="978"/>
      <c r="H1244" s="933" t="s">
        <v>460</v>
      </c>
      <c r="I1244"/>
      <c r="J1244" s="805"/>
      <c r="K1244" s="744" t="e">
        <f>(K1242/10)</f>
        <v>#REF!</v>
      </c>
    </row>
    <row r="1245" spans="1:11" hidden="1">
      <c r="A1245" s="978"/>
      <c r="F1245" s="933" t="s">
        <v>85</v>
      </c>
      <c r="I1245"/>
      <c r="J1245" s="805"/>
      <c r="K1245"/>
    </row>
    <row r="1246" spans="1:11" hidden="1">
      <c r="A1246" s="978"/>
      <c r="I1246"/>
      <c r="J1246" s="805"/>
      <c r="K1246" s="776" t="s">
        <v>89</v>
      </c>
    </row>
    <row r="1247" spans="1:11" hidden="1">
      <c r="A1247" s="978"/>
      <c r="F1247" s="934" t="s">
        <v>1598</v>
      </c>
      <c r="G1247" s="938" t="s">
        <v>111</v>
      </c>
      <c r="H1247" s="950" t="s">
        <v>1599</v>
      </c>
      <c r="I1247"/>
      <c r="J1247" s="805"/>
      <c r="K1247"/>
    </row>
    <row r="1248" spans="1:11" hidden="1">
      <c r="A1248" s="978"/>
      <c r="H1248" s="933" t="s">
        <v>1600</v>
      </c>
      <c r="I1248"/>
      <c r="J1248" s="805"/>
      <c r="K1248"/>
    </row>
    <row r="1249" spans="1:11" hidden="1">
      <c r="A1249" s="978"/>
      <c r="H1249" s="933" t="s">
        <v>1601</v>
      </c>
      <c r="I1249"/>
      <c r="J1249" s="805"/>
      <c r="K1249"/>
    </row>
    <row r="1250" spans="1:11" hidden="1">
      <c r="A1250" s="978"/>
      <c r="H1250" s="933" t="s">
        <v>1602</v>
      </c>
      <c r="I1250"/>
      <c r="J1250" s="805"/>
      <c r="K1250"/>
    </row>
    <row r="1251" spans="1:11" hidden="1">
      <c r="A1251" s="978"/>
      <c r="H1251" s="933" t="s">
        <v>1603</v>
      </c>
      <c r="I1251"/>
      <c r="J1251" s="805"/>
      <c r="K1251"/>
    </row>
    <row r="1252" spans="1:11" hidden="1">
      <c r="A1252" s="978"/>
      <c r="H1252" s="935" t="s">
        <v>52</v>
      </c>
      <c r="I1252"/>
      <c r="J1252" s="805"/>
      <c r="K1252"/>
    </row>
    <row r="1253" spans="1:11" hidden="1">
      <c r="A1253" s="978"/>
      <c r="F1253" s="939">
        <v>12.8</v>
      </c>
      <c r="G1253" s="938" t="s">
        <v>132</v>
      </c>
      <c r="H1253" s="933" t="s">
        <v>1604</v>
      </c>
      <c r="I1253" s="744" t="e">
        <f>(C82)</f>
        <v>#REF!</v>
      </c>
      <c r="J1253" s="779" t="s">
        <v>132</v>
      </c>
      <c r="K1253" s="744" t="e">
        <f>(F1253*I1253)</f>
        <v>#REF!</v>
      </c>
    </row>
    <row r="1254" spans="1:11" hidden="1">
      <c r="A1254" s="978"/>
      <c r="F1254" s="939">
        <v>5</v>
      </c>
      <c r="G1254" s="938" t="s">
        <v>132</v>
      </c>
      <c r="H1254" s="933" t="s">
        <v>1605</v>
      </c>
      <c r="I1254" s="744" t="e">
        <f>(C85)</f>
        <v>#REF!</v>
      </c>
      <c r="J1254" s="779" t="s">
        <v>132</v>
      </c>
      <c r="K1254" s="744" t="e">
        <f>(F1254*I1254)</f>
        <v>#REF!</v>
      </c>
    </row>
    <row r="1255" spans="1:11" hidden="1">
      <c r="A1255" s="978"/>
      <c r="F1255" s="939">
        <v>1.8</v>
      </c>
      <c r="G1255" s="938" t="s">
        <v>237</v>
      </c>
      <c r="H1255" s="933" t="s">
        <v>345</v>
      </c>
      <c r="I1255" s="744">
        <f>(C10)</f>
        <v>150</v>
      </c>
      <c r="J1255" s="779" t="s">
        <v>237</v>
      </c>
      <c r="K1255" s="744">
        <f>(F1255*I1255)</f>
        <v>270</v>
      </c>
    </row>
    <row r="1256" spans="1:11" hidden="1">
      <c r="A1256" s="978"/>
      <c r="F1256" s="939">
        <v>17.7</v>
      </c>
      <c r="G1256" s="938" t="s">
        <v>237</v>
      </c>
      <c r="H1256" s="933" t="s">
        <v>1568</v>
      </c>
      <c r="I1256" s="744">
        <f>(C12)</f>
        <v>95</v>
      </c>
      <c r="J1256" s="779" t="s">
        <v>237</v>
      </c>
      <c r="K1256" s="744">
        <f>(F1256*I1256)</f>
        <v>1681.5</v>
      </c>
    </row>
    <row r="1257" spans="1:11" hidden="1">
      <c r="A1257" s="978"/>
      <c r="F1257" s="939">
        <v>14.1</v>
      </c>
      <c r="G1257" s="938" t="s">
        <v>237</v>
      </c>
      <c r="H1257" s="933" t="s">
        <v>306</v>
      </c>
      <c r="I1257" s="744">
        <f>(C13)</f>
        <v>85</v>
      </c>
      <c r="J1257" s="779" t="s">
        <v>237</v>
      </c>
      <c r="K1257" s="744">
        <f>(F1257*I1257)</f>
        <v>1198.5</v>
      </c>
    </row>
    <row r="1258" spans="1:11" hidden="1">
      <c r="A1258" s="978"/>
      <c r="G1258" s="938" t="s">
        <v>145</v>
      </c>
      <c r="H1258" s="933" t="s">
        <v>146</v>
      </c>
      <c r="I1258"/>
      <c r="J1258" s="779" t="s">
        <v>145</v>
      </c>
      <c r="K1258" s="744">
        <v>0</v>
      </c>
    </row>
    <row r="1259" spans="1:11" hidden="1">
      <c r="A1259" s="978"/>
      <c r="I1259"/>
      <c r="J1259" s="805"/>
      <c r="K1259" s="776" t="s">
        <v>52</v>
      </c>
    </row>
    <row r="1260" spans="1:11" hidden="1">
      <c r="A1260" s="978"/>
      <c r="H1260" s="933" t="s">
        <v>311</v>
      </c>
      <c r="I1260"/>
      <c r="J1260" s="805"/>
      <c r="K1260" s="744" t="e">
        <f>SUM(K1253:K1258)</f>
        <v>#REF!</v>
      </c>
    </row>
    <row r="1261" spans="1:11" hidden="1">
      <c r="A1261" s="978"/>
      <c r="I1261"/>
      <c r="J1261" s="805"/>
      <c r="K1261" s="776" t="s">
        <v>52</v>
      </c>
    </row>
    <row r="1262" spans="1:11" hidden="1">
      <c r="A1262" s="978"/>
      <c r="H1262" s="933" t="s">
        <v>242</v>
      </c>
      <c r="I1262"/>
      <c r="J1262" s="805"/>
      <c r="K1262" s="744" t="e">
        <f>(K1260/10)</f>
        <v>#REF!</v>
      </c>
    </row>
    <row r="1263" spans="1:11" hidden="1">
      <c r="A1263" s="978"/>
      <c r="I1263"/>
      <c r="J1263" s="805"/>
      <c r="K1263" s="776" t="s">
        <v>89</v>
      </c>
    </row>
    <row r="1264" spans="1:11" hidden="1">
      <c r="A1264" s="978"/>
      <c r="I1264"/>
      <c r="J1264" s="805"/>
      <c r="K1264"/>
    </row>
    <row r="1265" spans="1:11" hidden="1">
      <c r="A1265" s="978"/>
      <c r="G1265" s="938" t="s">
        <v>483</v>
      </c>
      <c r="H1265" s="933" t="s">
        <v>1606</v>
      </c>
      <c r="I1265"/>
      <c r="J1265" s="805"/>
      <c r="K1265"/>
    </row>
    <row r="1266" spans="1:11" hidden="1">
      <c r="A1266" s="978"/>
      <c r="H1266" s="933" t="s">
        <v>1607</v>
      </c>
      <c r="I1266"/>
      <c r="J1266" s="805"/>
      <c r="K1266"/>
    </row>
    <row r="1267" spans="1:11" hidden="1">
      <c r="A1267" s="978"/>
      <c r="H1267" s="935" t="s">
        <v>52</v>
      </c>
      <c r="I1267"/>
      <c r="J1267" s="805"/>
      <c r="K1267"/>
    </row>
    <row r="1268" spans="1:11" hidden="1">
      <c r="A1268" s="978"/>
      <c r="F1268" s="939">
        <v>0.04</v>
      </c>
      <c r="G1268" s="938" t="s">
        <v>132</v>
      </c>
      <c r="H1268" s="933" t="s">
        <v>1608</v>
      </c>
      <c r="I1268" s="744" t="e">
        <f>(K32)</f>
        <v>#REF!</v>
      </c>
      <c r="J1268" s="779" t="s">
        <v>132</v>
      </c>
      <c r="K1268" s="744" t="e">
        <f>(F1268*I1268)</f>
        <v>#REF!</v>
      </c>
    </row>
    <row r="1269" spans="1:11" hidden="1">
      <c r="A1269" s="978"/>
      <c r="F1269" s="939">
        <v>2.2000000000000002</v>
      </c>
      <c r="G1269" s="938" t="s">
        <v>237</v>
      </c>
      <c r="H1269" s="933" t="s">
        <v>302</v>
      </c>
      <c r="I1269" s="744">
        <f>(C11)</f>
        <v>135</v>
      </c>
      <c r="J1269" s="779" t="s">
        <v>237</v>
      </c>
      <c r="K1269" s="744">
        <f>(F1269*I1269)</f>
        <v>297</v>
      </c>
    </row>
    <row r="1270" spans="1:11" hidden="1">
      <c r="A1270" s="978"/>
      <c r="F1270" s="939">
        <v>0.5</v>
      </c>
      <c r="G1270" s="938" t="s">
        <v>237</v>
      </c>
      <c r="H1270" s="933" t="s">
        <v>304</v>
      </c>
      <c r="I1270" s="744">
        <f>(C12)</f>
        <v>95</v>
      </c>
      <c r="J1270" s="779" t="s">
        <v>237</v>
      </c>
      <c r="K1270" s="744">
        <f>(F1270*I1270)</f>
        <v>47.5</v>
      </c>
    </row>
    <row r="1271" spans="1:11" hidden="1">
      <c r="A1271" s="978"/>
      <c r="F1271" s="939">
        <v>1.1000000000000001</v>
      </c>
      <c r="G1271" s="938" t="s">
        <v>237</v>
      </c>
      <c r="H1271" s="933" t="s">
        <v>306</v>
      </c>
      <c r="I1271" s="744">
        <f>(C13)</f>
        <v>85</v>
      </c>
      <c r="J1271" s="779" t="s">
        <v>237</v>
      </c>
      <c r="K1271" s="744">
        <f>(F1271*I1271)</f>
        <v>93.5</v>
      </c>
    </row>
    <row r="1272" spans="1:11" hidden="1">
      <c r="A1272" s="978"/>
      <c r="G1272" s="938" t="s">
        <v>145</v>
      </c>
      <c r="H1272" s="933" t="s">
        <v>146</v>
      </c>
      <c r="I1272"/>
      <c r="J1272" s="779" t="s">
        <v>145</v>
      </c>
      <c r="K1272" s="744">
        <v>0</v>
      </c>
    </row>
    <row r="1273" spans="1:11" hidden="1">
      <c r="A1273" s="978"/>
      <c r="I1273"/>
      <c r="J1273" s="805"/>
      <c r="K1273" s="776" t="s">
        <v>52</v>
      </c>
    </row>
    <row r="1274" spans="1:11" hidden="1">
      <c r="A1274" s="978"/>
      <c r="H1274" s="933" t="s">
        <v>495</v>
      </c>
      <c r="I1274"/>
      <c r="J1274" s="805"/>
      <c r="K1274" s="744" t="e">
        <f>SUM(K1268:K1272)</f>
        <v>#REF!</v>
      </c>
    </row>
    <row r="1275" spans="1:11" hidden="1">
      <c r="A1275" s="978"/>
      <c r="I1275"/>
      <c r="J1275" s="805"/>
      <c r="K1275" s="776" t="s">
        <v>52</v>
      </c>
    </row>
    <row r="1276" spans="1:11" hidden="1">
      <c r="A1276" s="978"/>
      <c r="H1276" s="933" t="s">
        <v>460</v>
      </c>
      <c r="I1276"/>
      <c r="J1276" s="805"/>
      <c r="K1276" s="744" t="e">
        <f>(K1274/10)</f>
        <v>#REF!</v>
      </c>
    </row>
    <row r="1277" spans="1:11" hidden="1">
      <c r="A1277" s="978"/>
      <c r="I1277"/>
      <c r="J1277" s="805"/>
      <c r="K1277" s="776" t="s">
        <v>89</v>
      </c>
    </row>
    <row r="1278" spans="1:11" hidden="1">
      <c r="A1278" s="978"/>
      <c r="I1278"/>
      <c r="J1278" s="805"/>
      <c r="K1278"/>
    </row>
    <row r="1279" spans="1:11" hidden="1">
      <c r="A1279" s="978"/>
      <c r="F1279" s="948">
        <v>32.1</v>
      </c>
      <c r="G1279" s="938" t="s">
        <v>111</v>
      </c>
      <c r="H1279" s="933" t="s">
        <v>1609</v>
      </c>
      <c r="I1279"/>
      <c r="J1279" s="805"/>
      <c r="K1279"/>
    </row>
    <row r="1280" spans="1:11" hidden="1">
      <c r="A1280" s="978"/>
      <c r="H1280" s="933" t="s">
        <v>1610</v>
      </c>
      <c r="I1280"/>
      <c r="J1280" s="805"/>
      <c r="K1280"/>
    </row>
    <row r="1281" spans="1:11" hidden="1">
      <c r="A1281" s="978"/>
      <c r="H1281" s="933" t="s">
        <v>1611</v>
      </c>
      <c r="I1281"/>
      <c r="J1281" s="805"/>
      <c r="K1281"/>
    </row>
    <row r="1282" spans="1:11" hidden="1">
      <c r="A1282" s="978"/>
      <c r="H1282" s="933" t="s">
        <v>1612</v>
      </c>
      <c r="I1282"/>
      <c r="J1282" s="805"/>
      <c r="K1282"/>
    </row>
    <row r="1283" spans="1:11" hidden="1">
      <c r="A1283" s="978"/>
      <c r="H1283" s="933" t="s">
        <v>1613</v>
      </c>
      <c r="I1283"/>
      <c r="J1283" s="805"/>
      <c r="K1283"/>
    </row>
    <row r="1284" spans="1:11" hidden="1">
      <c r="A1284" s="978"/>
      <c r="H1284" s="935" t="s">
        <v>52</v>
      </c>
      <c r="I1284"/>
      <c r="J1284" s="805"/>
      <c r="K1284"/>
    </row>
    <row r="1285" spans="1:11" hidden="1">
      <c r="A1285" s="978"/>
      <c r="F1285" s="939">
        <v>190</v>
      </c>
      <c r="G1285" s="938" t="s">
        <v>1572</v>
      </c>
      <c r="H1285" s="933" t="s">
        <v>348</v>
      </c>
      <c r="I1285" s="744">
        <f>(C83)</f>
        <v>4500</v>
      </c>
      <c r="J1285" s="779" t="s">
        <v>341</v>
      </c>
      <c r="K1285" s="744">
        <f>(F1285*I1285)/1000</f>
        <v>855</v>
      </c>
    </row>
    <row r="1286" spans="1:11" hidden="1">
      <c r="A1286" s="978"/>
      <c r="F1286" s="939">
        <v>0.12</v>
      </c>
      <c r="G1286" s="938" t="s">
        <v>132</v>
      </c>
      <c r="H1286" s="933" t="s">
        <v>1575</v>
      </c>
      <c r="I1286" s="744" t="e">
        <f>(K32)</f>
        <v>#REF!</v>
      </c>
      <c r="J1286" s="779" t="s">
        <v>132</v>
      </c>
      <c r="K1286" s="744" t="e">
        <f t="shared" ref="K1286:K1292" si="59">(F1286*I1286)</f>
        <v>#REF!</v>
      </c>
    </row>
    <row r="1287" spans="1:11" hidden="1">
      <c r="A1287" s="978"/>
      <c r="F1287" s="939">
        <v>10</v>
      </c>
      <c r="G1287" s="938" t="s">
        <v>425</v>
      </c>
      <c r="H1287" s="933" t="s">
        <v>1614</v>
      </c>
      <c r="I1287" s="744" t="e">
        <f>(K1276)</f>
        <v>#REF!</v>
      </c>
      <c r="J1287" s="779" t="s">
        <v>425</v>
      </c>
      <c r="K1287" s="744" t="e">
        <f t="shared" si="59"/>
        <v>#REF!</v>
      </c>
    </row>
    <row r="1288" spans="1:11" hidden="1">
      <c r="A1288" s="978"/>
      <c r="F1288" s="939">
        <v>1.54</v>
      </c>
      <c r="G1288" s="938" t="s">
        <v>39</v>
      </c>
      <c r="H1288" s="933" t="s">
        <v>1615</v>
      </c>
      <c r="I1288" s="744">
        <f>C631</f>
        <v>30</v>
      </c>
      <c r="J1288" s="779" t="s">
        <v>39</v>
      </c>
      <c r="K1288" s="744">
        <f t="shared" si="59"/>
        <v>46.2</v>
      </c>
    </row>
    <row r="1289" spans="1:11" hidden="1">
      <c r="A1289" s="978"/>
      <c r="F1289" s="939">
        <v>1.1000000000000001</v>
      </c>
      <c r="G1289" s="938" t="s">
        <v>237</v>
      </c>
      <c r="H1289" s="933" t="s">
        <v>345</v>
      </c>
      <c r="I1289" s="744">
        <f>(C10)</f>
        <v>150</v>
      </c>
      <c r="J1289" s="779" t="s">
        <v>237</v>
      </c>
      <c r="K1289" s="744">
        <f t="shared" si="59"/>
        <v>165</v>
      </c>
    </row>
    <row r="1290" spans="1:11" hidden="1">
      <c r="A1290" s="978"/>
      <c r="F1290" s="939">
        <v>2.1</v>
      </c>
      <c r="G1290" s="938" t="s">
        <v>237</v>
      </c>
      <c r="H1290" s="933" t="s">
        <v>302</v>
      </c>
      <c r="I1290" s="744">
        <f>(C11)</f>
        <v>135</v>
      </c>
      <c r="J1290" s="779" t="s">
        <v>237</v>
      </c>
      <c r="K1290" s="744">
        <f t="shared" si="59"/>
        <v>283.5</v>
      </c>
    </row>
    <row r="1291" spans="1:11" hidden="1">
      <c r="A1291" s="978"/>
      <c r="F1291" s="939">
        <v>2.2000000000000002</v>
      </c>
      <c r="G1291" s="938" t="s">
        <v>237</v>
      </c>
      <c r="H1291" s="933" t="s">
        <v>304</v>
      </c>
      <c r="I1291" s="744">
        <f>(C12)</f>
        <v>95</v>
      </c>
      <c r="J1291" s="779" t="s">
        <v>237</v>
      </c>
      <c r="K1291" s="744">
        <f t="shared" si="59"/>
        <v>209</v>
      </c>
    </row>
    <row r="1292" spans="1:11" hidden="1">
      <c r="A1292" s="978"/>
      <c r="F1292" s="939">
        <v>1.1000000000000001</v>
      </c>
      <c r="G1292" s="938" t="s">
        <v>237</v>
      </c>
      <c r="H1292" s="933" t="s">
        <v>306</v>
      </c>
      <c r="I1292" s="744">
        <f>(C13)</f>
        <v>85</v>
      </c>
      <c r="J1292" s="779" t="s">
        <v>237</v>
      </c>
      <c r="K1292" s="744">
        <f t="shared" si="59"/>
        <v>93.5</v>
      </c>
    </row>
    <row r="1293" spans="1:11" hidden="1">
      <c r="A1293" s="978"/>
      <c r="G1293" s="938" t="s">
        <v>145</v>
      </c>
      <c r="H1293" s="933" t="s">
        <v>146</v>
      </c>
      <c r="I1293"/>
      <c r="J1293" s="779" t="s">
        <v>145</v>
      </c>
      <c r="K1293" s="744">
        <v>0</v>
      </c>
    </row>
    <row r="1294" spans="1:11" hidden="1">
      <c r="A1294" s="978"/>
      <c r="I1294"/>
      <c r="J1294" s="805"/>
      <c r="K1294" s="776" t="s">
        <v>52</v>
      </c>
    </row>
    <row r="1295" spans="1:11" hidden="1">
      <c r="A1295" s="978"/>
      <c r="H1295" s="933" t="s">
        <v>495</v>
      </c>
      <c r="I1295"/>
      <c r="J1295" s="805"/>
      <c r="K1295" s="744" t="e">
        <f>SUM(K1285:K1293)</f>
        <v>#REF!</v>
      </c>
    </row>
    <row r="1296" spans="1:11" hidden="1">
      <c r="A1296" s="978"/>
      <c r="I1296"/>
      <c r="J1296" s="805"/>
      <c r="K1296" s="776" t="s">
        <v>52</v>
      </c>
    </row>
    <row r="1297" spans="1:11" hidden="1">
      <c r="A1297" s="978"/>
      <c r="H1297" s="933" t="s">
        <v>460</v>
      </c>
      <c r="I1297"/>
      <c r="J1297" s="805"/>
      <c r="K1297" s="744" t="e">
        <f>(K1295/10)</f>
        <v>#REF!</v>
      </c>
    </row>
    <row r="1298" spans="1:11" hidden="1">
      <c r="A1298" s="978"/>
      <c r="I1298"/>
      <c r="J1298" s="805"/>
      <c r="K1298" s="776" t="s">
        <v>89</v>
      </c>
    </row>
    <row r="1299" spans="1:11" hidden="1">
      <c r="A1299" s="978"/>
      <c r="I1299"/>
      <c r="J1299" s="805"/>
      <c r="K1299" s="776"/>
    </row>
    <row r="1300" spans="1:11" hidden="1">
      <c r="A1300" s="978"/>
      <c r="I1300"/>
      <c r="J1300" s="805"/>
      <c r="K1300" s="776"/>
    </row>
    <row r="1301" spans="1:11" hidden="1">
      <c r="A1301" s="978"/>
      <c r="F1301" s="948">
        <v>32.200000000000003</v>
      </c>
      <c r="G1301" s="938" t="s">
        <v>111</v>
      </c>
      <c r="H1301" s="933" t="s">
        <v>1609</v>
      </c>
      <c r="I1301"/>
      <c r="J1301" s="805"/>
      <c r="K1301" s="776"/>
    </row>
    <row r="1302" spans="1:11" hidden="1">
      <c r="A1302" s="978"/>
      <c r="H1302" s="933" t="s">
        <v>1610</v>
      </c>
      <c r="I1302"/>
      <c r="J1302" s="805"/>
      <c r="K1302" s="776"/>
    </row>
    <row r="1303" spans="1:11" hidden="1">
      <c r="A1303" s="978"/>
      <c r="H1303" s="933" t="s">
        <v>1611</v>
      </c>
      <c r="I1303"/>
      <c r="J1303" s="805"/>
      <c r="K1303" s="776"/>
    </row>
    <row r="1304" spans="1:11" hidden="1">
      <c r="A1304" s="978"/>
      <c r="H1304" s="933" t="s">
        <v>1612</v>
      </c>
      <c r="I1304"/>
      <c r="J1304" s="805"/>
      <c r="K1304" s="776"/>
    </row>
    <row r="1305" spans="1:11" hidden="1">
      <c r="A1305" s="978"/>
      <c r="H1305" s="933" t="s">
        <v>1613</v>
      </c>
      <c r="I1305"/>
      <c r="J1305" s="805"/>
      <c r="K1305" s="776"/>
    </row>
    <row r="1306" spans="1:11" hidden="1">
      <c r="A1306" s="978"/>
      <c r="H1306" s="935" t="s">
        <v>52</v>
      </c>
      <c r="I1306"/>
      <c r="J1306" s="805"/>
      <c r="K1306" s="776"/>
    </row>
    <row r="1307" spans="1:11" hidden="1">
      <c r="A1307" s="978"/>
      <c r="F1307" s="939">
        <v>190</v>
      </c>
      <c r="G1307" s="938" t="s">
        <v>1572</v>
      </c>
      <c r="H1307" s="933" t="s">
        <v>1616</v>
      </c>
      <c r="I1307">
        <f>E83</f>
        <v>3550</v>
      </c>
      <c r="J1307" s="779" t="s">
        <v>341</v>
      </c>
      <c r="K1307" s="744">
        <f>(F1307*I1307)/1000</f>
        <v>674.5</v>
      </c>
    </row>
    <row r="1308" spans="1:11" hidden="1">
      <c r="A1308" s="978"/>
      <c r="F1308" s="939">
        <v>0.12</v>
      </c>
      <c r="G1308" s="938" t="s">
        <v>132</v>
      </c>
      <c r="H1308" s="933" t="s">
        <v>1575</v>
      </c>
      <c r="I1308" t="e">
        <f>K32</f>
        <v>#REF!</v>
      </c>
      <c r="J1308" s="779" t="s">
        <v>132</v>
      </c>
      <c r="K1308" s="744" t="e">
        <f t="shared" ref="K1308:K1314" si="60">(F1308*I1308)</f>
        <v>#REF!</v>
      </c>
    </row>
    <row r="1309" spans="1:11" hidden="1">
      <c r="A1309" s="978"/>
      <c r="F1309" s="939">
        <v>10</v>
      </c>
      <c r="G1309" s="938" t="s">
        <v>425</v>
      </c>
      <c r="H1309" s="933" t="s">
        <v>1614</v>
      </c>
      <c r="I1309" t="e">
        <f>K1276</f>
        <v>#REF!</v>
      </c>
      <c r="J1309" s="779" t="s">
        <v>425</v>
      </c>
      <c r="K1309" s="744" t="e">
        <f t="shared" si="60"/>
        <v>#REF!</v>
      </c>
    </row>
    <row r="1310" spans="1:11" hidden="1">
      <c r="A1310" s="978"/>
      <c r="F1310" s="939">
        <v>5.8</v>
      </c>
      <c r="G1310" s="938" t="s">
        <v>39</v>
      </c>
      <c r="H1310" s="933" t="s">
        <v>1615</v>
      </c>
      <c r="I1310">
        <f>C631</f>
        <v>30</v>
      </c>
      <c r="J1310" s="779" t="s">
        <v>39</v>
      </c>
      <c r="K1310" s="744">
        <f t="shared" si="60"/>
        <v>174</v>
      </c>
    </row>
    <row r="1311" spans="1:11" hidden="1">
      <c r="A1311" s="978"/>
      <c r="F1311" s="939">
        <v>1.1000000000000001</v>
      </c>
      <c r="G1311" s="938" t="s">
        <v>237</v>
      </c>
      <c r="H1311" s="933" t="s">
        <v>345</v>
      </c>
      <c r="I1311">
        <f>C10</f>
        <v>150</v>
      </c>
      <c r="J1311" s="779" t="s">
        <v>237</v>
      </c>
      <c r="K1311" s="744">
        <f t="shared" si="60"/>
        <v>165</v>
      </c>
    </row>
    <row r="1312" spans="1:11" hidden="1">
      <c r="A1312" s="978"/>
      <c r="F1312" s="939">
        <v>2.1</v>
      </c>
      <c r="G1312" s="938" t="s">
        <v>237</v>
      </c>
      <c r="H1312" s="933" t="s">
        <v>302</v>
      </c>
      <c r="I1312">
        <f>C11</f>
        <v>135</v>
      </c>
      <c r="J1312" s="779" t="s">
        <v>237</v>
      </c>
      <c r="K1312" s="744">
        <f t="shared" si="60"/>
        <v>283.5</v>
      </c>
    </row>
    <row r="1313" spans="1:11" hidden="1">
      <c r="A1313" s="978"/>
      <c r="F1313" s="939">
        <v>2.2000000000000002</v>
      </c>
      <c r="G1313" s="938" t="s">
        <v>237</v>
      </c>
      <c r="H1313" s="933" t="s">
        <v>304</v>
      </c>
      <c r="I1313">
        <f>C12</f>
        <v>95</v>
      </c>
      <c r="J1313" s="779" t="s">
        <v>237</v>
      </c>
      <c r="K1313" s="744">
        <f t="shared" si="60"/>
        <v>209</v>
      </c>
    </row>
    <row r="1314" spans="1:11" hidden="1">
      <c r="A1314" s="978"/>
      <c r="F1314" s="939">
        <v>1.1000000000000001</v>
      </c>
      <c r="G1314" s="938" t="s">
        <v>237</v>
      </c>
      <c r="H1314" s="933" t="s">
        <v>306</v>
      </c>
      <c r="I1314">
        <f>C13</f>
        <v>85</v>
      </c>
      <c r="J1314" s="779" t="s">
        <v>237</v>
      </c>
      <c r="K1314" s="744">
        <f t="shared" si="60"/>
        <v>93.5</v>
      </c>
    </row>
    <row r="1315" spans="1:11" hidden="1">
      <c r="A1315" s="978"/>
      <c r="G1315" s="938" t="s">
        <v>145</v>
      </c>
      <c r="H1315" s="933" t="s">
        <v>146</v>
      </c>
      <c r="I1315"/>
      <c r="J1315" s="779" t="s">
        <v>145</v>
      </c>
      <c r="K1315" s="744">
        <v>0</v>
      </c>
    </row>
    <row r="1316" spans="1:11" hidden="1">
      <c r="A1316" s="978"/>
      <c r="I1316"/>
      <c r="J1316" s="805"/>
      <c r="K1316" s="776" t="s">
        <v>52</v>
      </c>
    </row>
    <row r="1317" spans="1:11" hidden="1">
      <c r="A1317" s="978"/>
      <c r="H1317" s="933" t="s">
        <v>495</v>
      </c>
      <c r="I1317"/>
      <c r="J1317" s="805"/>
      <c r="K1317" s="744" t="e">
        <f>SUM(K1307:K1315)</f>
        <v>#REF!</v>
      </c>
    </row>
    <row r="1318" spans="1:11" hidden="1">
      <c r="A1318" s="978"/>
      <c r="I1318"/>
      <c r="J1318" s="805"/>
      <c r="K1318" s="776" t="s">
        <v>52</v>
      </c>
    </row>
    <row r="1319" spans="1:11" hidden="1">
      <c r="A1319" s="978"/>
      <c r="H1319" s="933" t="s">
        <v>460</v>
      </c>
      <c r="I1319"/>
      <c r="J1319" s="805"/>
      <c r="K1319" s="744" t="e">
        <f>(K1317/10)</f>
        <v>#REF!</v>
      </c>
    </row>
    <row r="1320" spans="1:11" hidden="1">
      <c r="A1320" s="978"/>
      <c r="I1320"/>
      <c r="J1320" s="805"/>
      <c r="K1320" s="776" t="s">
        <v>89</v>
      </c>
    </row>
    <row r="1321" spans="1:11" hidden="1">
      <c r="A1321" s="978"/>
      <c r="I1321"/>
      <c r="J1321" s="805"/>
      <c r="K1321" s="776"/>
    </row>
    <row r="1322" spans="1:11" hidden="1">
      <c r="A1322" s="978"/>
      <c r="F1322" s="934" t="s">
        <v>1617</v>
      </c>
      <c r="G1322" s="938" t="s">
        <v>111</v>
      </c>
      <c r="H1322" s="933" t="s">
        <v>1618</v>
      </c>
      <c r="I1322"/>
      <c r="J1322" s="805"/>
      <c r="K1322"/>
    </row>
    <row r="1323" spans="1:11" hidden="1">
      <c r="A1323" s="978"/>
      <c r="H1323" s="935" t="s">
        <v>52</v>
      </c>
      <c r="I1323"/>
      <c r="J1323" s="805"/>
      <c r="K1323"/>
    </row>
    <row r="1324" spans="1:11" hidden="1">
      <c r="A1324" s="978"/>
      <c r="F1324" s="939">
        <v>0.14000000000000001</v>
      </c>
      <c r="G1324" s="938" t="s">
        <v>132</v>
      </c>
      <c r="H1324" s="933" t="s">
        <v>283</v>
      </c>
      <c r="I1324" s="744" t="e">
        <f>(K49)</f>
        <v>#REF!</v>
      </c>
      <c r="J1324" s="779" t="s">
        <v>132</v>
      </c>
      <c r="K1324" s="744" t="e">
        <f>(F1324*I1324)</f>
        <v>#REF!</v>
      </c>
    </row>
    <row r="1325" spans="1:11" hidden="1">
      <c r="A1325" s="978"/>
      <c r="F1325" s="939">
        <v>1.1000000000000001</v>
      </c>
      <c r="G1325" s="938" t="s">
        <v>131</v>
      </c>
      <c r="H1325" s="933" t="s">
        <v>345</v>
      </c>
      <c r="I1325" s="744">
        <f>(C10)</f>
        <v>150</v>
      </c>
      <c r="J1325" s="779" t="s">
        <v>131</v>
      </c>
      <c r="K1325" s="744">
        <f>(F1325*I1325)</f>
        <v>165</v>
      </c>
    </row>
    <row r="1326" spans="1:11" hidden="1">
      <c r="A1326" s="978"/>
      <c r="F1326" s="939">
        <v>0.5</v>
      </c>
      <c r="G1326" s="938" t="s">
        <v>131</v>
      </c>
      <c r="H1326" s="933" t="s">
        <v>304</v>
      </c>
      <c r="I1326" s="744">
        <f>(C12)</f>
        <v>95</v>
      </c>
      <c r="J1326" s="779" t="s">
        <v>131</v>
      </c>
      <c r="K1326" s="744">
        <f>(F1326*I1326)</f>
        <v>47.5</v>
      </c>
    </row>
    <row r="1327" spans="1:11" hidden="1">
      <c r="A1327" s="978"/>
      <c r="F1327" s="939">
        <v>1.1000000000000001</v>
      </c>
      <c r="G1327" s="938" t="s">
        <v>131</v>
      </c>
      <c r="H1327" s="933" t="s">
        <v>306</v>
      </c>
      <c r="I1327" s="744">
        <f>(C13)</f>
        <v>85</v>
      </c>
      <c r="J1327" s="779" t="s">
        <v>131</v>
      </c>
      <c r="K1327" s="744">
        <f>(F1327*I1327)</f>
        <v>93.5</v>
      </c>
    </row>
    <row r="1328" spans="1:11" hidden="1">
      <c r="A1328" s="978"/>
      <c r="G1328" s="938" t="s">
        <v>145</v>
      </c>
      <c r="H1328" s="933" t="s">
        <v>146</v>
      </c>
      <c r="I1328" s="743" t="s">
        <v>85</v>
      </c>
      <c r="J1328" s="779" t="s">
        <v>145</v>
      </c>
      <c r="K1328" s="744">
        <v>0</v>
      </c>
    </row>
    <row r="1329" spans="1:11" hidden="1">
      <c r="A1329" s="978"/>
      <c r="I1329"/>
      <c r="J1329" s="805"/>
      <c r="K1329" s="776" t="s">
        <v>52</v>
      </c>
    </row>
    <row r="1330" spans="1:11" hidden="1">
      <c r="A1330" s="978"/>
      <c r="H1330" s="933" t="s">
        <v>495</v>
      </c>
      <c r="I1330"/>
      <c r="J1330" s="805"/>
      <c r="K1330" s="744" t="e">
        <f>SUM(K1324:K1328)</f>
        <v>#REF!</v>
      </c>
    </row>
    <row r="1331" spans="1:11" hidden="1">
      <c r="A1331" s="978"/>
      <c r="I1331"/>
      <c r="J1331" s="805"/>
      <c r="K1331" s="776" t="s">
        <v>52</v>
      </c>
    </row>
    <row r="1332" spans="1:11" hidden="1">
      <c r="A1332" s="978"/>
      <c r="H1332" s="933" t="s">
        <v>460</v>
      </c>
      <c r="I1332"/>
      <c r="J1332" s="805"/>
      <c r="K1332" s="744" t="e">
        <f>(K1330/10)</f>
        <v>#REF!</v>
      </c>
    </row>
    <row r="1333" spans="1:11" hidden="1">
      <c r="A1333" s="978"/>
      <c r="F1333" s="933" t="s">
        <v>85</v>
      </c>
      <c r="I1333"/>
      <c r="J1333" s="805"/>
      <c r="K1333"/>
    </row>
    <row r="1334" spans="1:11" hidden="1">
      <c r="A1334" s="978"/>
      <c r="I1334"/>
      <c r="J1334" s="805"/>
      <c r="K1334" s="776" t="s">
        <v>89</v>
      </c>
    </row>
    <row r="1335" spans="1:11" hidden="1">
      <c r="A1335" s="978"/>
      <c r="F1335" s="934" t="s">
        <v>1619</v>
      </c>
      <c r="G1335" s="938" t="s">
        <v>111</v>
      </c>
      <c r="H1335" s="933" t="s">
        <v>1620</v>
      </c>
      <c r="I1335"/>
      <c r="J1335" s="805"/>
      <c r="K1335"/>
    </row>
    <row r="1336" spans="1:11" hidden="1">
      <c r="A1336" s="978"/>
      <c r="H1336" s="935" t="s">
        <v>52</v>
      </c>
      <c r="I1336"/>
      <c r="J1336" s="805"/>
      <c r="K1336"/>
    </row>
    <row r="1337" spans="1:11" hidden="1">
      <c r="A1337" s="978"/>
      <c r="F1337" s="939">
        <v>0.14000000000000001</v>
      </c>
      <c r="G1337" s="938" t="s">
        <v>132</v>
      </c>
      <c r="H1337" s="933" t="s">
        <v>259</v>
      </c>
      <c r="I1337" s="744" t="e">
        <f>(K40)</f>
        <v>#REF!</v>
      </c>
      <c r="J1337" s="779" t="s">
        <v>132</v>
      </c>
      <c r="K1337" s="744" t="e">
        <f>(F1337*I1337)</f>
        <v>#REF!</v>
      </c>
    </row>
    <row r="1338" spans="1:11" hidden="1">
      <c r="A1338" s="978"/>
      <c r="F1338" s="939">
        <v>1.1000000000000001</v>
      </c>
      <c r="G1338" s="938" t="s">
        <v>131</v>
      </c>
      <c r="H1338" s="933" t="s">
        <v>345</v>
      </c>
      <c r="I1338" s="744">
        <f>(C10)</f>
        <v>150</v>
      </c>
      <c r="J1338" s="779" t="s">
        <v>131</v>
      </c>
      <c r="K1338" s="744">
        <f>(F1338*I1338)</f>
        <v>165</v>
      </c>
    </row>
    <row r="1339" spans="1:11" hidden="1">
      <c r="A1339" s="978"/>
      <c r="F1339" s="939">
        <v>0.5</v>
      </c>
      <c r="G1339" s="938" t="s">
        <v>131</v>
      </c>
      <c r="H1339" s="933" t="s">
        <v>304</v>
      </c>
      <c r="I1339" s="744">
        <f>(C12)</f>
        <v>95</v>
      </c>
      <c r="J1339" s="779" t="s">
        <v>131</v>
      </c>
      <c r="K1339" s="744">
        <f>(F1339*I1339)</f>
        <v>47.5</v>
      </c>
    </row>
    <row r="1340" spans="1:11" hidden="1">
      <c r="A1340" s="978"/>
      <c r="F1340" s="939">
        <v>1.1000000000000001</v>
      </c>
      <c r="G1340" s="938" t="s">
        <v>131</v>
      </c>
      <c r="H1340" s="933" t="s">
        <v>306</v>
      </c>
      <c r="I1340" s="744">
        <f>(C13)</f>
        <v>85</v>
      </c>
      <c r="J1340" s="779" t="s">
        <v>131</v>
      </c>
      <c r="K1340" s="744">
        <f>(F1340*I1340)</f>
        <v>93.5</v>
      </c>
    </row>
    <row r="1341" spans="1:11" hidden="1">
      <c r="A1341" s="978"/>
      <c r="G1341" s="938" t="s">
        <v>145</v>
      </c>
      <c r="H1341" s="933" t="s">
        <v>146</v>
      </c>
      <c r="I1341" s="743" t="s">
        <v>85</v>
      </c>
      <c r="J1341" s="779" t="s">
        <v>145</v>
      </c>
      <c r="K1341" s="744">
        <v>0</v>
      </c>
    </row>
    <row r="1342" spans="1:11" hidden="1">
      <c r="A1342" s="978"/>
      <c r="I1342"/>
      <c r="J1342" s="805"/>
      <c r="K1342" s="776" t="s">
        <v>52</v>
      </c>
    </row>
    <row r="1343" spans="1:11" hidden="1">
      <c r="A1343" s="978"/>
      <c r="H1343" s="933" t="s">
        <v>495</v>
      </c>
      <c r="I1343"/>
      <c r="J1343" s="805"/>
      <c r="K1343" s="744" t="e">
        <f>SUM(K1337:K1341)</f>
        <v>#REF!</v>
      </c>
    </row>
    <row r="1344" spans="1:11" hidden="1">
      <c r="A1344" s="978"/>
      <c r="I1344"/>
      <c r="J1344" s="805"/>
      <c r="K1344" s="776" t="s">
        <v>52</v>
      </c>
    </row>
    <row r="1345" spans="1:11" hidden="1">
      <c r="A1345" s="978"/>
      <c r="H1345" s="933" t="s">
        <v>460</v>
      </c>
      <c r="I1345"/>
      <c r="J1345" s="805"/>
      <c r="K1345" s="744" t="e">
        <f>(K1343/10)</f>
        <v>#REF!</v>
      </c>
    </row>
    <row r="1346" spans="1:11" hidden="1">
      <c r="A1346" s="978"/>
      <c r="I1346"/>
      <c r="J1346" s="805"/>
      <c r="K1346" s="776" t="s">
        <v>89</v>
      </c>
    </row>
    <row r="1347" spans="1:11" hidden="1">
      <c r="A1347" s="978"/>
      <c r="F1347" s="934" t="s">
        <v>1621</v>
      </c>
      <c r="G1347" s="938" t="s">
        <v>111</v>
      </c>
      <c r="H1347" s="933" t="s">
        <v>1622</v>
      </c>
      <c r="I1347"/>
      <c r="J1347" s="805"/>
      <c r="K1347"/>
    </row>
    <row r="1348" spans="1:11" hidden="1">
      <c r="A1348" s="978"/>
      <c r="H1348" s="935" t="s">
        <v>52</v>
      </c>
      <c r="I1348"/>
      <c r="J1348" s="805"/>
      <c r="K1348"/>
    </row>
    <row r="1349" spans="1:11" hidden="1">
      <c r="A1349" s="978"/>
      <c r="F1349" s="939">
        <v>0.1</v>
      </c>
      <c r="G1349" s="938" t="s">
        <v>132</v>
      </c>
      <c r="H1349" s="933" t="s">
        <v>217</v>
      </c>
      <c r="I1349" s="744" t="e">
        <f>(K32)</f>
        <v>#REF!</v>
      </c>
      <c r="J1349" s="779" t="s">
        <v>132</v>
      </c>
      <c r="K1349" s="744" t="e">
        <f>(F1349*I1349)</f>
        <v>#REF!</v>
      </c>
    </row>
    <row r="1350" spans="1:11" hidden="1">
      <c r="A1350" s="978"/>
      <c r="F1350" s="939">
        <v>1.1000000000000001</v>
      </c>
      <c r="G1350" s="938" t="s">
        <v>131</v>
      </c>
      <c r="H1350" s="933" t="s">
        <v>345</v>
      </c>
      <c r="I1350" s="744">
        <f>(C10)</f>
        <v>150</v>
      </c>
      <c r="J1350" s="779" t="s">
        <v>131</v>
      </c>
      <c r="K1350" s="744">
        <f>(F1350*I1350)</f>
        <v>165</v>
      </c>
    </row>
    <row r="1351" spans="1:11" hidden="1">
      <c r="A1351" s="978"/>
      <c r="F1351" s="939">
        <v>1.1000000000000001</v>
      </c>
      <c r="G1351" s="938" t="s">
        <v>131</v>
      </c>
      <c r="H1351" s="933" t="s">
        <v>304</v>
      </c>
      <c r="I1351" s="744">
        <f>(C12)</f>
        <v>95</v>
      </c>
      <c r="J1351" s="779" t="s">
        <v>131</v>
      </c>
      <c r="K1351" s="744">
        <f>(F1351*I1351)</f>
        <v>104.5</v>
      </c>
    </row>
    <row r="1352" spans="1:11" hidden="1">
      <c r="A1352" s="978"/>
      <c r="F1352" s="939">
        <v>1.1000000000000001</v>
      </c>
      <c r="G1352" s="938" t="s">
        <v>131</v>
      </c>
      <c r="H1352" s="933" t="s">
        <v>306</v>
      </c>
      <c r="I1352" s="744">
        <f>(C13)</f>
        <v>85</v>
      </c>
      <c r="J1352" s="779" t="s">
        <v>131</v>
      </c>
      <c r="K1352" s="744">
        <f>(F1352*I1352)</f>
        <v>93.5</v>
      </c>
    </row>
    <row r="1353" spans="1:11" hidden="1">
      <c r="A1353" s="978"/>
      <c r="G1353" s="938" t="s">
        <v>145</v>
      </c>
      <c r="H1353" s="933" t="s">
        <v>146</v>
      </c>
      <c r="I1353" s="743" t="s">
        <v>85</v>
      </c>
      <c r="J1353" s="779" t="s">
        <v>145</v>
      </c>
      <c r="K1353" s="744">
        <v>0</v>
      </c>
    </row>
    <row r="1354" spans="1:11" hidden="1">
      <c r="A1354" s="978"/>
      <c r="I1354"/>
      <c r="J1354" s="805"/>
      <c r="K1354" s="776" t="s">
        <v>52</v>
      </c>
    </row>
    <row r="1355" spans="1:11" hidden="1">
      <c r="A1355" s="978"/>
      <c r="H1355" s="933" t="s">
        <v>495</v>
      </c>
      <c r="I1355"/>
      <c r="J1355" s="805"/>
      <c r="K1355" s="744" t="e">
        <f>SUM(K1349:K1353)</f>
        <v>#REF!</v>
      </c>
    </row>
    <row r="1356" spans="1:11" hidden="1">
      <c r="A1356" s="978"/>
      <c r="I1356"/>
      <c r="J1356" s="805"/>
      <c r="K1356" s="776" t="s">
        <v>52</v>
      </c>
    </row>
    <row r="1357" spans="1:11" hidden="1">
      <c r="A1357" s="978"/>
      <c r="H1357" s="933" t="s">
        <v>460</v>
      </c>
      <c r="I1357"/>
      <c r="J1357" s="805"/>
      <c r="K1357" s="744" t="e">
        <f>(K1355/10)</f>
        <v>#REF!</v>
      </c>
    </row>
    <row r="1358" spans="1:11" hidden="1">
      <c r="A1358" s="978"/>
      <c r="I1358"/>
      <c r="J1358" s="805"/>
      <c r="K1358" s="776" t="s">
        <v>89</v>
      </c>
    </row>
    <row r="1359" spans="1:11" hidden="1">
      <c r="A1359" s="978"/>
      <c r="I1359"/>
      <c r="J1359" s="805"/>
      <c r="K1359"/>
    </row>
    <row r="1360" spans="1:11" hidden="1">
      <c r="A1360" s="978"/>
      <c r="G1360" s="938" t="s">
        <v>111</v>
      </c>
      <c r="H1360" s="933" t="s">
        <v>1623</v>
      </c>
      <c r="I1360"/>
      <c r="J1360" s="805"/>
      <c r="K1360"/>
    </row>
    <row r="1361" spans="1:11" hidden="1">
      <c r="A1361" s="978"/>
      <c r="H1361" s="933" t="s">
        <v>1624</v>
      </c>
      <c r="I1361"/>
      <c r="J1361" s="805"/>
      <c r="K1361"/>
    </row>
    <row r="1362" spans="1:11" hidden="1">
      <c r="A1362" s="978"/>
      <c r="H1362" s="933" t="s">
        <v>1625</v>
      </c>
      <c r="I1362"/>
      <c r="J1362" s="805"/>
      <c r="K1362"/>
    </row>
    <row r="1363" spans="1:11" hidden="1">
      <c r="A1363" s="978"/>
      <c r="H1363" s="935" t="s">
        <v>52</v>
      </c>
      <c r="I1363"/>
      <c r="J1363" s="805"/>
      <c r="K1363"/>
    </row>
    <row r="1364" spans="1:11" hidden="1">
      <c r="A1364" s="978"/>
      <c r="F1364" s="939">
        <v>0.14000000000000001</v>
      </c>
      <c r="G1364" s="938" t="s">
        <v>132</v>
      </c>
      <c r="H1364" s="933" t="s">
        <v>217</v>
      </c>
      <c r="I1364" s="744" t="e">
        <f>(K32)</f>
        <v>#REF!</v>
      </c>
      <c r="J1364" s="779" t="s">
        <v>132</v>
      </c>
      <c r="K1364" s="744" t="e">
        <f>(F1364*I1364)</f>
        <v>#REF!</v>
      </c>
    </row>
    <row r="1365" spans="1:11" hidden="1">
      <c r="A1365" s="978"/>
      <c r="F1365" s="939">
        <v>1.1000000000000001</v>
      </c>
      <c r="G1365" s="938" t="s">
        <v>131</v>
      </c>
      <c r="H1365" s="933" t="s">
        <v>345</v>
      </c>
      <c r="I1365" s="744">
        <f>(C10)</f>
        <v>150</v>
      </c>
      <c r="J1365" s="779" t="s">
        <v>131</v>
      </c>
      <c r="K1365" s="744">
        <f>(F1365*I1365)</f>
        <v>165</v>
      </c>
    </row>
    <row r="1366" spans="1:11" hidden="1">
      <c r="A1366" s="978"/>
      <c r="F1366" s="939">
        <v>0.5</v>
      </c>
      <c r="G1366" s="938" t="s">
        <v>131</v>
      </c>
      <c r="H1366" s="933" t="s">
        <v>304</v>
      </c>
      <c r="I1366" s="744">
        <f>(C12)</f>
        <v>95</v>
      </c>
      <c r="J1366" s="779" t="s">
        <v>131</v>
      </c>
      <c r="K1366" s="744">
        <f>(F1366*I1366)</f>
        <v>47.5</v>
      </c>
    </row>
    <row r="1367" spans="1:11" hidden="1">
      <c r="A1367" s="978"/>
      <c r="F1367" s="939">
        <v>1.1000000000000001</v>
      </c>
      <c r="G1367" s="938" t="s">
        <v>131</v>
      </c>
      <c r="H1367" s="933" t="s">
        <v>306</v>
      </c>
      <c r="I1367" s="744">
        <f>(C13)</f>
        <v>85</v>
      </c>
      <c r="J1367" s="779" t="s">
        <v>131</v>
      </c>
      <c r="K1367" s="744">
        <f>(F1367*I1367)</f>
        <v>93.5</v>
      </c>
    </row>
    <row r="1368" spans="1:11" hidden="1">
      <c r="A1368" s="978"/>
      <c r="F1368" s="939">
        <v>2</v>
      </c>
      <c r="G1368" s="938" t="s">
        <v>39</v>
      </c>
      <c r="H1368" s="933" t="s">
        <v>1626</v>
      </c>
      <c r="I1368" s="744">
        <f>(C631)</f>
        <v>30</v>
      </c>
      <c r="J1368" s="779" t="s">
        <v>39</v>
      </c>
      <c r="K1368" s="744">
        <f>(F1368*I1368)</f>
        <v>60</v>
      </c>
    </row>
    <row r="1369" spans="1:11" hidden="1">
      <c r="A1369" s="978"/>
      <c r="G1369" s="938" t="s">
        <v>145</v>
      </c>
      <c r="H1369" s="933" t="s">
        <v>146</v>
      </c>
      <c r="I1369" s="743" t="s">
        <v>85</v>
      </c>
      <c r="J1369" s="779" t="s">
        <v>145</v>
      </c>
      <c r="K1369" s="744">
        <v>0</v>
      </c>
    </row>
    <row r="1370" spans="1:11" hidden="1">
      <c r="A1370" s="978"/>
      <c r="I1370"/>
      <c r="J1370" s="805"/>
      <c r="K1370" s="776" t="s">
        <v>52</v>
      </c>
    </row>
    <row r="1371" spans="1:11" hidden="1">
      <c r="A1371" s="978"/>
      <c r="F1371" s="933" t="s">
        <v>85</v>
      </c>
      <c r="H1371" s="933" t="s">
        <v>495</v>
      </c>
      <c r="I1371"/>
      <c r="J1371" s="805"/>
      <c r="K1371" s="744" t="e">
        <f>SUM(K1364:K1369)</f>
        <v>#REF!</v>
      </c>
    </row>
    <row r="1372" spans="1:11" hidden="1">
      <c r="A1372" s="978"/>
      <c r="I1372"/>
      <c r="J1372" s="805"/>
      <c r="K1372" s="776" t="s">
        <v>52</v>
      </c>
    </row>
    <row r="1373" spans="1:11" hidden="1">
      <c r="A1373" s="978"/>
      <c r="H1373" s="933" t="s">
        <v>460</v>
      </c>
      <c r="I1373"/>
      <c r="J1373" s="805"/>
      <c r="K1373" s="744" t="e">
        <f>(K1371/10)</f>
        <v>#REF!</v>
      </c>
    </row>
    <row r="1374" spans="1:11" hidden="1">
      <c r="A1374" s="978"/>
      <c r="I1374"/>
      <c r="J1374" s="805"/>
      <c r="K1374" s="776" t="s">
        <v>89</v>
      </c>
    </row>
    <row r="1375" spans="1:11" hidden="1">
      <c r="A1375" s="978"/>
      <c r="H1375" s="933" t="s">
        <v>85</v>
      </c>
      <c r="I1375"/>
      <c r="J1375" s="805"/>
      <c r="K1375"/>
    </row>
    <row r="1376" spans="1:11" hidden="1">
      <c r="A1376" s="978"/>
      <c r="I1376"/>
      <c r="J1376" s="805"/>
      <c r="K1376"/>
    </row>
    <row r="1377" spans="1:11" hidden="1">
      <c r="A1377" s="978"/>
      <c r="F1377" s="934" t="s">
        <v>1627</v>
      </c>
      <c r="G1377" s="938" t="s">
        <v>111</v>
      </c>
      <c r="H1377" s="933" t="s">
        <v>1628</v>
      </c>
      <c r="I1377"/>
      <c r="J1377" s="805"/>
      <c r="K1377"/>
    </row>
    <row r="1378" spans="1:11" hidden="1">
      <c r="A1378" s="978"/>
      <c r="H1378" s="933" t="s">
        <v>1629</v>
      </c>
      <c r="I1378"/>
      <c r="J1378" s="805"/>
      <c r="K1378"/>
    </row>
    <row r="1379" spans="1:11" hidden="1">
      <c r="A1379" s="978"/>
      <c r="H1379" s="933" t="s">
        <v>1630</v>
      </c>
      <c r="I1379"/>
      <c r="J1379" s="805"/>
      <c r="K1379"/>
    </row>
    <row r="1380" spans="1:11" hidden="1">
      <c r="A1380" s="978"/>
      <c r="H1380" s="933" t="s">
        <v>1631</v>
      </c>
      <c r="I1380"/>
      <c r="J1380" s="805"/>
      <c r="K1380"/>
    </row>
    <row r="1381" spans="1:11" hidden="1">
      <c r="A1381" s="978"/>
      <c r="H1381" s="935" t="s">
        <v>52</v>
      </c>
      <c r="I1381" s="776" t="s">
        <v>52</v>
      </c>
      <c r="J1381" s="805"/>
      <c r="K1381"/>
    </row>
    <row r="1382" spans="1:11" hidden="1">
      <c r="A1382" s="978"/>
      <c r="G1382" s="938" t="s">
        <v>956</v>
      </c>
      <c r="H1382" s="933" t="s">
        <v>1632</v>
      </c>
      <c r="I1382"/>
      <c r="J1382" s="805"/>
      <c r="K1382"/>
    </row>
    <row r="1383" spans="1:11" hidden="1">
      <c r="A1383" s="978"/>
      <c r="G1383" s="938" t="s">
        <v>52</v>
      </c>
      <c r="H1383" s="935" t="s">
        <v>52</v>
      </c>
      <c r="I1383"/>
      <c r="J1383" s="805"/>
      <c r="K1383"/>
    </row>
    <row r="1384" spans="1:11" hidden="1">
      <c r="A1384" s="978"/>
      <c r="F1384" s="959">
        <v>1.4E-2</v>
      </c>
      <c r="G1384" s="938" t="s">
        <v>5</v>
      </c>
      <c r="H1384" s="933" t="s">
        <v>1633</v>
      </c>
      <c r="I1384" s="744" t="e">
        <f>K49</f>
        <v>#REF!</v>
      </c>
      <c r="J1384" s="779" t="s">
        <v>5</v>
      </c>
      <c r="K1384" s="744" t="e">
        <f>(F1384*I1384)</f>
        <v>#REF!</v>
      </c>
    </row>
    <row r="1385" spans="1:11" hidden="1">
      <c r="A1385" s="978"/>
      <c r="F1385" s="939">
        <v>0.3</v>
      </c>
      <c r="G1385" s="938" t="s">
        <v>727</v>
      </c>
      <c r="H1385" s="933" t="s">
        <v>1634</v>
      </c>
      <c r="I1385" s="744">
        <f>C10</f>
        <v>150</v>
      </c>
      <c r="J1385" s="779" t="s">
        <v>727</v>
      </c>
      <c r="K1385" s="744">
        <f>(F1385*I1385)</f>
        <v>45</v>
      </c>
    </row>
    <row r="1386" spans="1:11" hidden="1">
      <c r="A1386" s="978"/>
      <c r="F1386" s="939">
        <v>0.3</v>
      </c>
      <c r="G1386" s="938" t="s">
        <v>727</v>
      </c>
      <c r="H1386" s="933" t="s">
        <v>731</v>
      </c>
      <c r="I1386" s="744">
        <f>C12</f>
        <v>95</v>
      </c>
      <c r="J1386" s="779" t="s">
        <v>727</v>
      </c>
      <c r="K1386" s="744">
        <f>(F1386*I1386)</f>
        <v>28.5</v>
      </c>
    </row>
    <row r="1387" spans="1:11" hidden="1">
      <c r="A1387" s="978"/>
      <c r="G1387" s="938" t="s">
        <v>145</v>
      </c>
      <c r="H1387" s="933" t="s">
        <v>1557</v>
      </c>
      <c r="I1387"/>
      <c r="J1387" s="779" t="s">
        <v>145</v>
      </c>
      <c r="K1387">
        <v>0</v>
      </c>
    </row>
    <row r="1388" spans="1:11" hidden="1">
      <c r="A1388" s="978"/>
      <c r="I1388"/>
      <c r="J1388" s="805"/>
      <c r="K1388" s="776" t="s">
        <v>52</v>
      </c>
    </row>
    <row r="1389" spans="1:11" hidden="1">
      <c r="A1389" s="978"/>
      <c r="H1389" s="934" t="s">
        <v>1635</v>
      </c>
      <c r="I1389"/>
      <c r="J1389" s="805"/>
      <c r="K1389" s="744" t="e">
        <f>SUM(K1384:K1387)</f>
        <v>#REF!</v>
      </c>
    </row>
    <row r="1390" spans="1:11" hidden="1">
      <c r="A1390" s="978"/>
      <c r="I1390"/>
      <c r="J1390" s="805"/>
      <c r="K1390" s="776" t="s">
        <v>52</v>
      </c>
    </row>
    <row r="1391" spans="1:11" hidden="1">
      <c r="A1391" s="978"/>
      <c r="H1391" s="934" t="s">
        <v>1636</v>
      </c>
      <c r="I1391"/>
      <c r="J1391" s="805"/>
      <c r="K1391" s="744" t="e">
        <f>K1389/6.77</f>
        <v>#REF!</v>
      </c>
    </row>
    <row r="1392" spans="1:11" hidden="1">
      <c r="A1392" s="978"/>
      <c r="F1392" s="933" t="s">
        <v>85</v>
      </c>
      <c r="I1392"/>
      <c r="J1392" s="805"/>
      <c r="K1392"/>
    </row>
    <row r="1393" spans="1:11" hidden="1">
      <c r="A1393" s="978"/>
      <c r="I1393"/>
      <c r="J1393" s="805"/>
      <c r="K1393" s="776" t="s">
        <v>89</v>
      </c>
    </row>
    <row r="1394" spans="1:11" hidden="1">
      <c r="A1394" s="978"/>
      <c r="G1394" s="938" t="s">
        <v>986</v>
      </c>
      <c r="H1394" s="933" t="s">
        <v>1637</v>
      </c>
      <c r="I1394"/>
      <c r="J1394" s="805"/>
      <c r="K1394"/>
    </row>
    <row r="1395" spans="1:11" hidden="1">
      <c r="A1395" s="978"/>
      <c r="G1395" s="938" t="s">
        <v>52</v>
      </c>
      <c r="H1395" s="935" t="s">
        <v>52</v>
      </c>
      <c r="I1395"/>
      <c r="J1395" s="805"/>
      <c r="K1395"/>
    </row>
    <row r="1396" spans="1:11" hidden="1">
      <c r="A1396" s="978"/>
      <c r="F1396" s="959">
        <v>7.0000000000000001E-3</v>
      </c>
      <c r="G1396" s="938" t="s">
        <v>5</v>
      </c>
      <c r="H1396" s="933" t="s">
        <v>1633</v>
      </c>
      <c r="I1396" s="744" t="e">
        <f>K49</f>
        <v>#REF!</v>
      </c>
      <c r="J1396" s="779" t="s">
        <v>5</v>
      </c>
      <c r="K1396" s="744" t="e">
        <f>(F1396*I1396)</f>
        <v>#REF!</v>
      </c>
    </row>
    <row r="1397" spans="1:11" hidden="1">
      <c r="A1397" s="978"/>
      <c r="F1397" s="939">
        <v>0.2</v>
      </c>
      <c r="G1397" s="938" t="s">
        <v>727</v>
      </c>
      <c r="H1397" s="933" t="s">
        <v>1634</v>
      </c>
      <c r="I1397" s="744">
        <f>C10</f>
        <v>150</v>
      </c>
      <c r="J1397" s="779" t="s">
        <v>727</v>
      </c>
      <c r="K1397" s="744">
        <f>(F1397*I1397)</f>
        <v>30</v>
      </c>
    </row>
    <row r="1398" spans="1:11" hidden="1">
      <c r="A1398" s="978"/>
      <c r="F1398" s="939">
        <v>0.2</v>
      </c>
      <c r="G1398" s="938" t="s">
        <v>727</v>
      </c>
      <c r="H1398" s="933" t="s">
        <v>731</v>
      </c>
      <c r="I1398" s="744">
        <f>C12</f>
        <v>95</v>
      </c>
      <c r="J1398" s="779" t="s">
        <v>727</v>
      </c>
      <c r="K1398" s="744">
        <f>(F1398*I1398)</f>
        <v>19</v>
      </c>
    </row>
    <row r="1399" spans="1:11" hidden="1">
      <c r="A1399" s="978"/>
      <c r="H1399" s="933" t="s">
        <v>1557</v>
      </c>
      <c r="I1399"/>
      <c r="J1399" s="805"/>
      <c r="K1399">
        <v>0</v>
      </c>
    </row>
    <row r="1400" spans="1:11" hidden="1">
      <c r="A1400" s="978"/>
      <c r="I1400"/>
      <c r="J1400" s="805"/>
      <c r="K1400" s="776" t="s">
        <v>52</v>
      </c>
    </row>
    <row r="1401" spans="1:11" hidden="1">
      <c r="A1401" s="978"/>
      <c r="H1401" s="934" t="s">
        <v>1635</v>
      </c>
      <c r="I1401"/>
      <c r="J1401" s="805"/>
      <c r="K1401" s="744" t="e">
        <f>SUM(K1396:K1399)</f>
        <v>#REF!</v>
      </c>
    </row>
    <row r="1402" spans="1:11" hidden="1">
      <c r="A1402" s="978"/>
      <c r="I1402"/>
      <c r="J1402" s="805"/>
      <c r="K1402" s="776" t="s">
        <v>52</v>
      </c>
    </row>
    <row r="1403" spans="1:11" hidden="1">
      <c r="A1403" s="978"/>
      <c r="H1403" s="934" t="s">
        <v>1636</v>
      </c>
      <c r="I1403"/>
      <c r="J1403" s="805"/>
      <c r="K1403" s="744" t="e">
        <f>K1401/6.77</f>
        <v>#REF!</v>
      </c>
    </row>
    <row r="1404" spans="1:11" hidden="1">
      <c r="A1404" s="978"/>
      <c r="I1404"/>
      <c r="J1404" s="805"/>
      <c r="K1404" s="776" t="s">
        <v>89</v>
      </c>
    </row>
    <row r="1405" spans="1:11" hidden="1">
      <c r="A1405" s="978"/>
      <c r="I1405"/>
      <c r="J1405" s="805"/>
      <c r="K1405" s="776"/>
    </row>
    <row r="1406" spans="1:11" hidden="1">
      <c r="A1406" s="978"/>
      <c r="I1406"/>
      <c r="J1406" s="805"/>
      <c r="K1406" s="776"/>
    </row>
    <row r="1407" spans="1:11" hidden="1">
      <c r="A1407" s="978"/>
      <c r="G1407" s="938" t="s">
        <v>1018</v>
      </c>
      <c r="H1407" s="933" t="s">
        <v>1638</v>
      </c>
      <c r="I1407"/>
      <c r="J1407" s="805"/>
      <c r="K1407" s="776"/>
    </row>
    <row r="1408" spans="1:11" hidden="1">
      <c r="A1408" s="978"/>
      <c r="G1408" s="938" t="s">
        <v>52</v>
      </c>
      <c r="H1408" s="935" t="s">
        <v>52</v>
      </c>
      <c r="I1408"/>
      <c r="J1408" s="805"/>
      <c r="K1408" s="776"/>
    </row>
    <row r="1409" spans="1:11" hidden="1">
      <c r="A1409" s="978"/>
      <c r="F1409" s="959">
        <v>4.7000000000000002E-3</v>
      </c>
      <c r="G1409" s="938" t="s">
        <v>5</v>
      </c>
      <c r="H1409" s="933" t="s">
        <v>1633</v>
      </c>
      <c r="I1409" t="e">
        <f>K49</f>
        <v>#REF!</v>
      </c>
      <c r="J1409" s="779" t="s">
        <v>5</v>
      </c>
      <c r="K1409" s="744" t="e">
        <f>(F1409*I1409)</f>
        <v>#REF!</v>
      </c>
    </row>
    <row r="1410" spans="1:11" hidden="1">
      <c r="A1410" s="978"/>
      <c r="F1410" s="939">
        <v>0.15</v>
      </c>
      <c r="G1410" s="938" t="s">
        <v>727</v>
      </c>
      <c r="H1410" s="933" t="s">
        <v>1634</v>
      </c>
      <c r="I1410">
        <f>C10</f>
        <v>150</v>
      </c>
      <c r="J1410" s="779" t="s">
        <v>727</v>
      </c>
      <c r="K1410" s="744">
        <f>(F1410*I1410)</f>
        <v>22.5</v>
      </c>
    </row>
    <row r="1411" spans="1:11" hidden="1">
      <c r="A1411" s="978"/>
      <c r="F1411" s="939">
        <v>0.15</v>
      </c>
      <c r="G1411" s="938" t="s">
        <v>727</v>
      </c>
      <c r="H1411" s="933" t="s">
        <v>731</v>
      </c>
      <c r="I1411">
        <f>C12</f>
        <v>95</v>
      </c>
      <c r="J1411" s="779" t="s">
        <v>727</v>
      </c>
      <c r="K1411" s="744">
        <f>(F1411*I1411)</f>
        <v>14.25</v>
      </c>
    </row>
    <row r="1412" spans="1:11" hidden="1">
      <c r="A1412" s="978"/>
      <c r="H1412" s="933" t="s">
        <v>1557</v>
      </c>
      <c r="I1412"/>
      <c r="J1412" s="805"/>
      <c r="K1412">
        <v>0</v>
      </c>
    </row>
    <row r="1413" spans="1:11" hidden="1">
      <c r="A1413" s="978"/>
      <c r="I1413"/>
      <c r="J1413" s="805"/>
      <c r="K1413" s="776" t="s">
        <v>52</v>
      </c>
    </row>
    <row r="1414" spans="1:11" hidden="1">
      <c r="A1414" s="978"/>
      <c r="H1414" s="934" t="s">
        <v>1635</v>
      </c>
      <c r="I1414"/>
      <c r="J1414" s="805"/>
      <c r="K1414" s="744" t="e">
        <f>SUM(K1409:K1412)</f>
        <v>#REF!</v>
      </c>
    </row>
    <row r="1415" spans="1:11" hidden="1">
      <c r="A1415" s="978"/>
      <c r="I1415"/>
      <c r="J1415" s="805"/>
      <c r="K1415" s="776" t="s">
        <v>52</v>
      </c>
    </row>
    <row r="1416" spans="1:11" hidden="1">
      <c r="A1416" s="978"/>
      <c r="H1416" s="934" t="s">
        <v>1636</v>
      </c>
      <c r="I1416"/>
      <c r="J1416" s="805"/>
      <c r="K1416" s="744" t="e">
        <f>K1414/6.77</f>
        <v>#REF!</v>
      </c>
    </row>
    <row r="1417" spans="1:11" hidden="1">
      <c r="A1417" s="978"/>
      <c r="I1417"/>
      <c r="J1417" s="805"/>
      <c r="K1417" s="776" t="s">
        <v>89</v>
      </c>
    </row>
    <row r="1418" spans="1:11" hidden="1">
      <c r="A1418" s="978"/>
      <c r="I1418"/>
      <c r="J1418" s="805"/>
      <c r="K1418" s="776"/>
    </row>
    <row r="1419" spans="1:11" hidden="1">
      <c r="A1419" s="978"/>
      <c r="F1419" s="948">
        <v>37.1</v>
      </c>
      <c r="G1419" s="938" t="s">
        <v>111</v>
      </c>
      <c r="H1419" s="933" t="s">
        <v>1639</v>
      </c>
      <c r="I1419"/>
      <c r="J1419" s="805"/>
      <c r="K1419"/>
    </row>
    <row r="1420" spans="1:11" hidden="1">
      <c r="A1420" s="978"/>
      <c r="H1420" s="935" t="s">
        <v>52</v>
      </c>
      <c r="I1420"/>
      <c r="J1420" s="805"/>
      <c r="K1420"/>
    </row>
    <row r="1421" spans="1:11" hidden="1">
      <c r="A1421" s="978"/>
      <c r="F1421" s="939">
        <v>0.09</v>
      </c>
      <c r="G1421" s="938" t="s">
        <v>132</v>
      </c>
      <c r="H1421" s="933" t="s">
        <v>202</v>
      </c>
      <c r="I1421" s="744">
        <f>(C84)</f>
        <v>773</v>
      </c>
      <c r="J1421" s="779" t="s">
        <v>132</v>
      </c>
      <c r="K1421" s="744">
        <f>(F1421*I1421)</f>
        <v>69.569999999999993</v>
      </c>
    </row>
    <row r="1422" spans="1:11" hidden="1">
      <c r="A1422" s="978"/>
      <c r="F1422" s="939">
        <v>2.2000000000000002</v>
      </c>
      <c r="G1422" s="938" t="s">
        <v>131</v>
      </c>
      <c r="H1422" s="933" t="s">
        <v>302</v>
      </c>
      <c r="I1422" s="744">
        <f>(C11)</f>
        <v>135</v>
      </c>
      <c r="J1422" s="779" t="s">
        <v>131</v>
      </c>
      <c r="K1422" s="744">
        <f>(F1422*I1422)</f>
        <v>297</v>
      </c>
    </row>
    <row r="1423" spans="1:11" hidden="1">
      <c r="A1423" s="978"/>
      <c r="F1423" s="939">
        <v>0.5</v>
      </c>
      <c r="G1423" s="938" t="s">
        <v>131</v>
      </c>
      <c r="H1423" s="933" t="s">
        <v>304</v>
      </c>
      <c r="I1423" s="744">
        <f>(C12)</f>
        <v>95</v>
      </c>
      <c r="J1423" s="779" t="s">
        <v>131</v>
      </c>
      <c r="K1423" s="744">
        <f>(F1423*I1423)</f>
        <v>47.5</v>
      </c>
    </row>
    <row r="1424" spans="1:11" hidden="1">
      <c r="A1424" s="978"/>
      <c r="F1424" s="939">
        <v>3.8</v>
      </c>
      <c r="G1424" s="938" t="s">
        <v>131</v>
      </c>
      <c r="H1424" s="933" t="s">
        <v>306</v>
      </c>
      <c r="I1424" s="744">
        <f>(C13)</f>
        <v>85</v>
      </c>
      <c r="J1424" s="779" t="s">
        <v>131</v>
      </c>
      <c r="K1424" s="744">
        <f>(F1424*I1424)</f>
        <v>323</v>
      </c>
    </row>
    <row r="1425" spans="1:11" hidden="1">
      <c r="A1425" s="978"/>
      <c r="G1425" s="938" t="s">
        <v>145</v>
      </c>
      <c r="H1425" s="933" t="s">
        <v>1640</v>
      </c>
      <c r="I1425" s="743" t="s">
        <v>85</v>
      </c>
      <c r="J1425" s="779" t="s">
        <v>145</v>
      </c>
      <c r="K1425" s="744">
        <v>1.5</v>
      </c>
    </row>
    <row r="1426" spans="1:11" hidden="1">
      <c r="A1426" s="978"/>
      <c r="I1426"/>
      <c r="J1426" s="805"/>
      <c r="K1426" s="776" t="s">
        <v>52</v>
      </c>
    </row>
    <row r="1427" spans="1:11" hidden="1">
      <c r="A1427" s="978"/>
      <c r="H1427" s="933" t="s">
        <v>584</v>
      </c>
      <c r="I1427"/>
      <c r="J1427" s="805"/>
      <c r="K1427" s="744">
        <f>SUM(K1420:K1425)</f>
        <v>738.57</v>
      </c>
    </row>
    <row r="1428" spans="1:11" hidden="1">
      <c r="A1428" s="978"/>
      <c r="I1428"/>
      <c r="J1428" s="805"/>
      <c r="K1428" s="776" t="s">
        <v>52</v>
      </c>
    </row>
    <row r="1429" spans="1:11" hidden="1">
      <c r="A1429" s="978"/>
      <c r="H1429" s="933" t="s">
        <v>460</v>
      </c>
      <c r="I1429"/>
      <c r="J1429" s="805"/>
      <c r="K1429" s="744">
        <f>(K1427/100)</f>
        <v>7.39</v>
      </c>
    </row>
    <row r="1430" spans="1:11" hidden="1">
      <c r="A1430" s="978"/>
      <c r="I1430"/>
      <c r="J1430" s="805"/>
      <c r="K1430" s="776" t="s">
        <v>89</v>
      </c>
    </row>
    <row r="1431" spans="1:11" hidden="1">
      <c r="A1431" s="978"/>
      <c r="F1431" s="934" t="s">
        <v>1641</v>
      </c>
      <c r="G1431" s="938" t="s">
        <v>111</v>
      </c>
      <c r="H1431" s="933" t="s">
        <v>1642</v>
      </c>
      <c r="I1431"/>
      <c r="J1431" s="805"/>
      <c r="K1431"/>
    </row>
    <row r="1432" spans="1:11" hidden="1">
      <c r="A1432" s="978"/>
      <c r="H1432" s="933" t="s">
        <v>1643</v>
      </c>
      <c r="I1432"/>
      <c r="J1432" s="805"/>
      <c r="K1432"/>
    </row>
    <row r="1433" spans="1:11" hidden="1">
      <c r="A1433" s="978"/>
      <c r="H1433" s="933" t="s">
        <v>1644</v>
      </c>
      <c r="I1433"/>
      <c r="J1433" s="805"/>
      <c r="K1433"/>
    </row>
    <row r="1434" spans="1:11" hidden="1">
      <c r="A1434" s="978"/>
      <c r="H1434" s="933" t="s">
        <v>1645</v>
      </c>
      <c r="I1434"/>
      <c r="J1434" s="805"/>
      <c r="K1434"/>
    </row>
    <row r="1435" spans="1:11" hidden="1">
      <c r="A1435" s="978"/>
      <c r="H1435" s="935" t="s">
        <v>52</v>
      </c>
      <c r="I1435"/>
      <c r="J1435" s="805"/>
      <c r="K1435"/>
    </row>
    <row r="1436" spans="1:11" hidden="1">
      <c r="A1436" s="978"/>
      <c r="F1436" s="939">
        <v>4.8</v>
      </c>
      <c r="G1436" s="938" t="s">
        <v>39</v>
      </c>
      <c r="H1436" s="933" t="s">
        <v>494</v>
      </c>
      <c r="I1436" s="744">
        <f>(C270)</f>
        <v>35</v>
      </c>
      <c r="J1436" s="779" t="s">
        <v>39</v>
      </c>
      <c r="K1436" s="744">
        <f>(F1436*I1436)</f>
        <v>168</v>
      </c>
    </row>
    <row r="1437" spans="1:11" hidden="1">
      <c r="A1437" s="978"/>
      <c r="F1437" s="939">
        <v>0.75</v>
      </c>
      <c r="G1437" s="938" t="s">
        <v>131</v>
      </c>
      <c r="H1437" s="933" t="s">
        <v>1646</v>
      </c>
      <c r="I1437" s="744">
        <f>(C14)</f>
        <v>120</v>
      </c>
      <c r="J1437" s="779" t="s">
        <v>131</v>
      </c>
      <c r="K1437" s="744">
        <f>(F1437*I1437)</f>
        <v>90</v>
      </c>
    </row>
    <row r="1438" spans="1:11" hidden="1">
      <c r="A1438" s="978"/>
      <c r="F1438" s="939">
        <v>0.75</v>
      </c>
      <c r="G1438" s="938" t="s">
        <v>131</v>
      </c>
      <c r="H1438" s="933" t="s">
        <v>1568</v>
      </c>
      <c r="I1438" s="744">
        <f>(C12)</f>
        <v>95</v>
      </c>
      <c r="J1438" s="779" t="s">
        <v>131</v>
      </c>
      <c r="K1438" s="744">
        <f>(F1438*I1438)</f>
        <v>71.25</v>
      </c>
    </row>
    <row r="1439" spans="1:11" hidden="1">
      <c r="A1439" s="978"/>
      <c r="F1439" s="939">
        <v>1.2</v>
      </c>
      <c r="G1439" s="938" t="s">
        <v>131</v>
      </c>
      <c r="H1439" s="933" t="s">
        <v>306</v>
      </c>
      <c r="I1439" s="744">
        <f>(C13)</f>
        <v>85</v>
      </c>
      <c r="J1439" s="779" t="s">
        <v>131</v>
      </c>
      <c r="K1439" s="744">
        <f>(F1439*I1439)</f>
        <v>102</v>
      </c>
    </row>
    <row r="1440" spans="1:11" hidden="1">
      <c r="A1440" s="978"/>
      <c r="G1440" s="938" t="s">
        <v>145</v>
      </c>
      <c r="H1440" s="933" t="s">
        <v>582</v>
      </c>
      <c r="I1440" s="743" t="s">
        <v>85</v>
      </c>
      <c r="J1440" s="779" t="s">
        <v>145</v>
      </c>
      <c r="K1440" s="744">
        <v>1.45</v>
      </c>
    </row>
    <row r="1441" spans="1:11" hidden="1">
      <c r="A1441" s="978"/>
      <c r="I1441"/>
      <c r="J1441" s="805"/>
      <c r="K1441" s="776" t="s">
        <v>52</v>
      </c>
    </row>
    <row r="1442" spans="1:11" hidden="1">
      <c r="A1442" s="978"/>
      <c r="H1442" s="933" t="s">
        <v>495</v>
      </c>
      <c r="I1442"/>
      <c r="J1442" s="805"/>
      <c r="K1442" s="744">
        <f>SUM(K1436:K1440)</f>
        <v>432.7</v>
      </c>
    </row>
    <row r="1443" spans="1:11" hidden="1">
      <c r="A1443" s="978"/>
      <c r="I1443"/>
      <c r="J1443" s="805"/>
      <c r="K1443" s="776" t="s">
        <v>52</v>
      </c>
    </row>
    <row r="1444" spans="1:11" hidden="1">
      <c r="A1444" s="978"/>
      <c r="H1444" s="933" t="s">
        <v>460</v>
      </c>
      <c r="I1444"/>
      <c r="J1444" s="805"/>
      <c r="K1444" s="744">
        <f>(K1442/10)</f>
        <v>43.27</v>
      </c>
    </row>
    <row r="1445" spans="1:11" hidden="1">
      <c r="A1445" s="978"/>
      <c r="I1445"/>
      <c r="J1445" s="805"/>
      <c r="K1445" s="776" t="s">
        <v>89</v>
      </c>
    </row>
    <row r="1446" spans="1:11" hidden="1">
      <c r="A1446" s="978"/>
      <c r="F1446" s="934" t="s">
        <v>1647</v>
      </c>
      <c r="G1446" s="938" t="s">
        <v>111</v>
      </c>
      <c r="H1446" s="934" t="s">
        <v>1648</v>
      </c>
      <c r="I1446"/>
      <c r="J1446" s="805"/>
      <c r="K1446"/>
    </row>
    <row r="1447" spans="1:11" hidden="1">
      <c r="A1447" s="978"/>
      <c r="H1447" s="934" t="s">
        <v>1649</v>
      </c>
      <c r="I1447"/>
      <c r="J1447" s="805"/>
      <c r="K1447"/>
    </row>
    <row r="1448" spans="1:11" hidden="1">
      <c r="A1448" s="978"/>
      <c r="F1448" s="939">
        <v>3.08</v>
      </c>
      <c r="G1448" s="938" t="s">
        <v>1650</v>
      </c>
      <c r="H1448" s="933" t="s">
        <v>1648</v>
      </c>
      <c r="I1448" s="744">
        <v>120</v>
      </c>
      <c r="J1448" s="779" t="s">
        <v>1650</v>
      </c>
      <c r="K1448" s="744">
        <f>(F1448*I1448)</f>
        <v>369.6</v>
      </c>
    </row>
    <row r="1449" spans="1:11" hidden="1">
      <c r="A1449" s="978"/>
      <c r="F1449" s="939">
        <v>0.5</v>
      </c>
      <c r="G1449" s="938" t="s">
        <v>727</v>
      </c>
      <c r="H1449" s="933" t="s">
        <v>1651</v>
      </c>
      <c r="I1449" s="744">
        <f>C14</f>
        <v>120</v>
      </c>
      <c r="J1449" s="779" t="s">
        <v>727</v>
      </c>
      <c r="K1449" s="744">
        <f>(F1449*I1449)</f>
        <v>60</v>
      </c>
    </row>
    <row r="1450" spans="1:11" hidden="1">
      <c r="A1450" s="978"/>
      <c r="F1450" s="939">
        <v>0.5</v>
      </c>
      <c r="G1450" s="938" t="s">
        <v>727</v>
      </c>
      <c r="H1450" s="933" t="s">
        <v>731</v>
      </c>
      <c r="I1450" s="744">
        <f>C12</f>
        <v>95</v>
      </c>
      <c r="J1450" s="779" t="s">
        <v>727</v>
      </c>
      <c r="K1450" s="744">
        <f>(F1450*I1450)</f>
        <v>47.5</v>
      </c>
    </row>
    <row r="1451" spans="1:11" hidden="1">
      <c r="A1451" s="978"/>
      <c r="F1451" s="939">
        <v>0.8</v>
      </c>
      <c r="G1451" s="938" t="s">
        <v>727</v>
      </c>
      <c r="H1451" s="933" t="s">
        <v>1652</v>
      </c>
      <c r="I1451" s="744">
        <f>C13</f>
        <v>85</v>
      </c>
      <c r="J1451" s="779" t="s">
        <v>727</v>
      </c>
      <c r="K1451" s="744">
        <f>(F1451*I1451)</f>
        <v>68</v>
      </c>
    </row>
    <row r="1452" spans="1:11" hidden="1">
      <c r="A1452" s="978"/>
      <c r="G1452" s="938" t="s">
        <v>145</v>
      </c>
      <c r="H1452" s="933" t="s">
        <v>582</v>
      </c>
      <c r="I1452"/>
      <c r="J1452" s="779" t="s">
        <v>145</v>
      </c>
      <c r="K1452" s="744">
        <v>1.5</v>
      </c>
    </row>
    <row r="1453" spans="1:11" hidden="1">
      <c r="A1453" s="978"/>
      <c r="I1453"/>
      <c r="J1453" s="805"/>
      <c r="K1453"/>
    </row>
    <row r="1454" spans="1:11" hidden="1">
      <c r="A1454" s="978"/>
      <c r="I1454"/>
      <c r="J1454" s="805"/>
      <c r="K1454" s="776" t="s">
        <v>52</v>
      </c>
    </row>
    <row r="1455" spans="1:11" hidden="1">
      <c r="A1455" s="978"/>
      <c r="H1455" s="934" t="s">
        <v>1653</v>
      </c>
      <c r="I1455"/>
      <c r="J1455" s="805"/>
      <c r="K1455" s="744">
        <f>SUM(K1448:K1452)</f>
        <v>546.6</v>
      </c>
    </row>
    <row r="1456" spans="1:11" hidden="1">
      <c r="A1456" s="978"/>
      <c r="I1456"/>
      <c r="J1456" s="805"/>
      <c r="K1456" s="776" t="s">
        <v>52</v>
      </c>
    </row>
    <row r="1457" spans="1:11" hidden="1">
      <c r="A1457" s="978"/>
      <c r="F1457" s="933" t="s">
        <v>85</v>
      </c>
      <c r="G1457" s="938" t="s">
        <v>85</v>
      </c>
      <c r="H1457" s="934" t="s">
        <v>1560</v>
      </c>
      <c r="I1457" s="743" t="s">
        <v>85</v>
      </c>
      <c r="J1457" s="779" t="s">
        <v>85</v>
      </c>
      <c r="K1457" s="744">
        <f>K1455/10</f>
        <v>54.66</v>
      </c>
    </row>
    <row r="1458" spans="1:11" hidden="1">
      <c r="A1458" s="978"/>
      <c r="I1458"/>
      <c r="J1458" s="805"/>
      <c r="K1458" s="776" t="s">
        <v>89</v>
      </c>
    </row>
    <row r="1459" spans="1:11" hidden="1">
      <c r="A1459" s="978"/>
      <c r="F1459" s="934" t="s">
        <v>1654</v>
      </c>
      <c r="G1459" s="938" t="s">
        <v>111</v>
      </c>
      <c r="H1459" s="933" t="s">
        <v>1655</v>
      </c>
      <c r="I1459"/>
      <c r="J1459" s="805"/>
      <c r="K1459"/>
    </row>
    <row r="1460" spans="1:11" hidden="1">
      <c r="A1460" s="978"/>
      <c r="H1460" s="933" t="s">
        <v>1656</v>
      </c>
      <c r="I1460"/>
      <c r="J1460" s="805"/>
      <c r="K1460"/>
    </row>
    <row r="1461" spans="1:11" hidden="1">
      <c r="A1461" s="978"/>
      <c r="H1461" s="933" t="s">
        <v>1657</v>
      </c>
      <c r="I1461"/>
      <c r="J1461" s="805"/>
      <c r="K1461"/>
    </row>
    <row r="1462" spans="1:11" hidden="1">
      <c r="A1462" s="978"/>
      <c r="H1462" s="935" t="s">
        <v>52</v>
      </c>
      <c r="I1462"/>
      <c r="J1462" s="805"/>
      <c r="K1462"/>
    </row>
    <row r="1463" spans="1:11" hidden="1">
      <c r="A1463" s="978"/>
      <c r="F1463" s="939">
        <v>1.44</v>
      </c>
      <c r="G1463" s="938" t="s">
        <v>1658</v>
      </c>
      <c r="H1463" s="933" t="s">
        <v>1659</v>
      </c>
      <c r="I1463" s="744">
        <f>(C195)</f>
        <v>100</v>
      </c>
      <c r="J1463" s="779" t="s">
        <v>1658</v>
      </c>
      <c r="K1463" s="744">
        <f>(F1463*I1463)</f>
        <v>144</v>
      </c>
    </row>
    <row r="1464" spans="1:11" hidden="1">
      <c r="A1464" s="978"/>
      <c r="F1464" s="939">
        <v>0.7</v>
      </c>
      <c r="G1464" s="938" t="s">
        <v>237</v>
      </c>
      <c r="H1464" s="933" t="s">
        <v>1660</v>
      </c>
      <c r="I1464" s="744">
        <f>(C14)</f>
        <v>120</v>
      </c>
      <c r="J1464" s="779" t="s">
        <v>237</v>
      </c>
      <c r="K1464" s="744">
        <f>(F1464*I1464)</f>
        <v>84</v>
      </c>
    </row>
    <row r="1465" spans="1:11" hidden="1">
      <c r="A1465" s="978"/>
      <c r="F1465" s="939">
        <v>2.5499999999999998</v>
      </c>
      <c r="G1465" s="938" t="s">
        <v>1658</v>
      </c>
      <c r="H1465" s="933" t="s">
        <v>1661</v>
      </c>
      <c r="I1465" s="744">
        <f>(C194)</f>
        <v>160</v>
      </c>
      <c r="J1465" s="779" t="s">
        <v>1658</v>
      </c>
      <c r="K1465" s="744">
        <f>(F1465*I1465)</f>
        <v>408</v>
      </c>
    </row>
    <row r="1466" spans="1:11" hidden="1">
      <c r="A1466" s="978"/>
      <c r="F1466" s="939">
        <v>1.2</v>
      </c>
      <c r="G1466" s="938" t="s">
        <v>237</v>
      </c>
      <c r="H1466" s="933" t="s">
        <v>1660</v>
      </c>
      <c r="I1466" s="744">
        <f>(C14)</f>
        <v>120</v>
      </c>
      <c r="J1466" s="779" t="s">
        <v>237</v>
      </c>
      <c r="K1466" s="744">
        <f>(F1466*I1466)</f>
        <v>144</v>
      </c>
    </row>
    <row r="1467" spans="1:11" hidden="1">
      <c r="A1467" s="978"/>
      <c r="G1467" s="938" t="s">
        <v>145</v>
      </c>
      <c r="H1467" s="933" t="s">
        <v>1546</v>
      </c>
      <c r="I1467" s="743" t="s">
        <v>85</v>
      </c>
      <c r="J1467" s="779" t="s">
        <v>145</v>
      </c>
      <c r="K1467" s="744">
        <v>1.5</v>
      </c>
    </row>
    <row r="1468" spans="1:11" hidden="1">
      <c r="A1468" s="978"/>
      <c r="I1468"/>
      <c r="J1468" s="805"/>
      <c r="K1468" s="776" t="s">
        <v>52</v>
      </c>
    </row>
    <row r="1469" spans="1:11" hidden="1">
      <c r="A1469" s="978"/>
      <c r="H1469" s="933" t="s">
        <v>495</v>
      </c>
      <c r="I1469"/>
      <c r="J1469" s="805"/>
      <c r="K1469" s="744">
        <f>SUM(K1463:K1467)</f>
        <v>781.5</v>
      </c>
    </row>
    <row r="1470" spans="1:11" hidden="1">
      <c r="A1470" s="978"/>
      <c r="I1470"/>
      <c r="J1470" s="805"/>
      <c r="K1470" s="776" t="s">
        <v>52</v>
      </c>
    </row>
    <row r="1471" spans="1:11" hidden="1">
      <c r="A1471" s="978"/>
      <c r="H1471" s="933" t="s">
        <v>460</v>
      </c>
      <c r="I1471"/>
      <c r="J1471" s="805"/>
      <c r="K1471" s="744">
        <f>(K1469/10)</f>
        <v>78.150000000000006</v>
      </c>
    </row>
    <row r="1472" spans="1:11" hidden="1">
      <c r="A1472" s="978"/>
      <c r="F1472" s="933" t="s">
        <v>85</v>
      </c>
      <c r="I1472"/>
      <c r="J1472" s="805"/>
      <c r="K1472"/>
    </row>
    <row r="1473" spans="1:11" hidden="1">
      <c r="A1473" s="978"/>
      <c r="I1473"/>
      <c r="J1473" s="805"/>
      <c r="K1473" s="776" t="s">
        <v>89</v>
      </c>
    </row>
    <row r="1474" spans="1:11" hidden="1">
      <c r="A1474" s="978"/>
      <c r="F1474" s="944">
        <v>41</v>
      </c>
      <c r="G1474" s="938" t="s">
        <v>111</v>
      </c>
      <c r="H1474" s="933" t="s">
        <v>1655</v>
      </c>
      <c r="I1474"/>
      <c r="J1474" s="805"/>
      <c r="K1474"/>
    </row>
    <row r="1475" spans="1:11" hidden="1">
      <c r="A1475" s="978"/>
      <c r="H1475" s="933" t="s">
        <v>1662</v>
      </c>
      <c r="I1475"/>
      <c r="J1475" s="805"/>
      <c r="K1475"/>
    </row>
    <row r="1476" spans="1:11" hidden="1">
      <c r="A1476" s="978"/>
      <c r="H1476" s="933" t="s">
        <v>1657</v>
      </c>
      <c r="I1476"/>
      <c r="J1476" s="805"/>
      <c r="K1476"/>
    </row>
    <row r="1477" spans="1:11" hidden="1">
      <c r="A1477" s="978"/>
      <c r="H1477" s="935" t="s">
        <v>52</v>
      </c>
      <c r="I1477"/>
      <c r="J1477" s="805"/>
      <c r="K1477"/>
    </row>
    <row r="1478" spans="1:11" hidden="1">
      <c r="A1478" s="978"/>
      <c r="F1478" s="939">
        <v>2.2200000000000002</v>
      </c>
      <c r="G1478" s="938" t="s">
        <v>1658</v>
      </c>
      <c r="H1478" s="933" t="s">
        <v>1661</v>
      </c>
      <c r="I1478" s="744">
        <f>(C206)</f>
        <v>150</v>
      </c>
      <c r="J1478" s="779" t="s">
        <v>1658</v>
      </c>
      <c r="K1478" s="744">
        <f>(F1478*I1478)</f>
        <v>333</v>
      </c>
    </row>
    <row r="1479" spans="1:11" hidden="1">
      <c r="A1479" s="978"/>
      <c r="F1479" s="939">
        <v>1.1000000000000001</v>
      </c>
      <c r="G1479" s="938" t="s">
        <v>237</v>
      </c>
      <c r="H1479" s="933" t="s">
        <v>1660</v>
      </c>
      <c r="I1479" s="744">
        <f>(C14)</f>
        <v>120</v>
      </c>
      <c r="J1479" s="779" t="s">
        <v>237</v>
      </c>
      <c r="K1479" s="744">
        <f>(F1479*I1479)</f>
        <v>132</v>
      </c>
    </row>
    <row r="1480" spans="1:11" hidden="1">
      <c r="A1480" s="978"/>
      <c r="G1480" s="938" t="s">
        <v>145</v>
      </c>
      <c r="H1480" s="933" t="s">
        <v>1546</v>
      </c>
      <c r="I1480" s="743" t="s">
        <v>85</v>
      </c>
      <c r="J1480" s="779" t="s">
        <v>145</v>
      </c>
      <c r="K1480" s="744">
        <v>1.5</v>
      </c>
    </row>
    <row r="1481" spans="1:11" hidden="1">
      <c r="A1481" s="978"/>
      <c r="I1481"/>
      <c r="J1481" s="805"/>
      <c r="K1481" s="776" t="s">
        <v>52</v>
      </c>
    </row>
    <row r="1482" spans="1:11" hidden="1">
      <c r="A1482" s="978"/>
      <c r="H1482" s="933" t="s">
        <v>495</v>
      </c>
      <c r="I1482"/>
      <c r="J1482" s="805"/>
      <c r="K1482" s="744">
        <f>SUM(K1478:K1480)</f>
        <v>466.5</v>
      </c>
    </row>
    <row r="1483" spans="1:11" hidden="1">
      <c r="A1483" s="978"/>
      <c r="I1483"/>
      <c r="J1483" s="805"/>
      <c r="K1483" s="776" t="s">
        <v>52</v>
      </c>
    </row>
    <row r="1484" spans="1:11" hidden="1">
      <c r="A1484" s="978"/>
      <c r="H1484" s="933" t="s">
        <v>460</v>
      </c>
      <c r="I1484"/>
      <c r="J1484" s="805"/>
      <c r="K1484" s="744">
        <f>(K1482/10)</f>
        <v>46.65</v>
      </c>
    </row>
    <row r="1485" spans="1:11" hidden="1">
      <c r="A1485" s="978"/>
      <c r="H1485" s="933"/>
      <c r="I1485"/>
      <c r="J1485" s="805"/>
      <c r="K1485" s="744"/>
    </row>
    <row r="1486" spans="1:11" hidden="1">
      <c r="A1486" s="978"/>
      <c r="H1486" s="933"/>
      <c r="I1486"/>
      <c r="J1486" s="805"/>
      <c r="K1486" s="744"/>
    </row>
    <row r="1487" spans="1:11" hidden="1">
      <c r="A1487" s="978"/>
      <c r="F1487" s="944">
        <v>238</v>
      </c>
      <c r="G1487" s="938" t="s">
        <v>111</v>
      </c>
      <c r="H1487" s="933" t="s">
        <v>1663</v>
      </c>
      <c r="I1487"/>
      <c r="J1487" s="805"/>
      <c r="K1487"/>
    </row>
    <row r="1488" spans="1:11" hidden="1">
      <c r="A1488" s="978"/>
      <c r="H1488" s="933" t="s">
        <v>1664</v>
      </c>
      <c r="I1488"/>
      <c r="J1488" s="805"/>
      <c r="K1488"/>
    </row>
    <row r="1489" spans="1:11" hidden="1">
      <c r="A1489" s="978"/>
      <c r="H1489" s="935" t="s">
        <v>52</v>
      </c>
      <c r="I1489"/>
      <c r="J1489" s="805"/>
      <c r="K1489"/>
    </row>
    <row r="1490" spans="1:11" hidden="1">
      <c r="A1490" s="978"/>
      <c r="F1490" s="939">
        <v>20</v>
      </c>
      <c r="G1490" s="938" t="s">
        <v>1658</v>
      </c>
      <c r="H1490" s="933" t="s">
        <v>1665</v>
      </c>
      <c r="I1490" s="744">
        <f>D40</f>
        <v>105.45</v>
      </c>
      <c r="J1490" s="779" t="s">
        <v>1658</v>
      </c>
      <c r="K1490" s="744">
        <f>(F1490*I1490)</f>
        <v>2109</v>
      </c>
    </row>
    <row r="1491" spans="1:11" hidden="1">
      <c r="A1491" s="978"/>
      <c r="H1491" s="933" t="s">
        <v>1666</v>
      </c>
      <c r="I1491"/>
      <c r="J1491" s="805"/>
      <c r="K1491" s="743" t="s">
        <v>85</v>
      </c>
    </row>
    <row r="1492" spans="1:11" hidden="1">
      <c r="A1492" s="978"/>
      <c r="F1492" s="939">
        <v>50</v>
      </c>
      <c r="G1492" s="938" t="s">
        <v>39</v>
      </c>
      <c r="H1492" s="933" t="s">
        <v>123</v>
      </c>
      <c r="I1492" s="744">
        <f>C67/1000</f>
        <v>3.8</v>
      </c>
      <c r="J1492" s="779" t="s">
        <v>39</v>
      </c>
      <c r="K1492" s="744">
        <f>(F1492*I1492)</f>
        <v>190</v>
      </c>
    </row>
    <row r="1493" spans="1:11" hidden="1">
      <c r="A1493" s="978"/>
      <c r="F1493" s="939">
        <v>1</v>
      </c>
      <c r="G1493" s="938" t="s">
        <v>145</v>
      </c>
      <c r="H1493" s="933" t="s">
        <v>1667</v>
      </c>
      <c r="I1493" s="744">
        <v>75</v>
      </c>
      <c r="J1493" s="779" t="s">
        <v>145</v>
      </c>
      <c r="K1493" s="744">
        <f>(F1493*I1493)</f>
        <v>75</v>
      </c>
    </row>
    <row r="1494" spans="1:11" hidden="1">
      <c r="A1494" s="978"/>
      <c r="F1494" s="939">
        <v>1</v>
      </c>
      <c r="G1494" s="938" t="s">
        <v>145</v>
      </c>
      <c r="H1494" s="933" t="s">
        <v>1668</v>
      </c>
      <c r="I1494" s="744">
        <f>C38</f>
        <v>40</v>
      </c>
      <c r="J1494" s="779" t="s">
        <v>145</v>
      </c>
      <c r="K1494" s="744">
        <f>(F1494*I1494)</f>
        <v>40</v>
      </c>
    </row>
    <row r="1495" spans="1:11" hidden="1">
      <c r="A1495" s="978"/>
      <c r="F1495" s="939">
        <v>2.5</v>
      </c>
      <c r="G1495" s="938" t="s">
        <v>145</v>
      </c>
      <c r="H1495" s="933" t="s">
        <v>1669</v>
      </c>
      <c r="I1495" s="744">
        <f>D14</f>
        <v>110</v>
      </c>
      <c r="J1495" s="779" t="s">
        <v>145</v>
      </c>
      <c r="K1495" s="744">
        <f>(F1495*I1495)</f>
        <v>275</v>
      </c>
    </row>
    <row r="1496" spans="1:11" hidden="1">
      <c r="A1496" s="978"/>
      <c r="G1496" s="938" t="s">
        <v>145</v>
      </c>
      <c r="H1496" s="933" t="s">
        <v>1670</v>
      </c>
      <c r="I1496"/>
      <c r="J1496" s="779" t="s">
        <v>145</v>
      </c>
      <c r="K1496" s="806">
        <v>1.5</v>
      </c>
    </row>
    <row r="1497" spans="1:11" hidden="1">
      <c r="A1497" s="978"/>
      <c r="I1497"/>
      <c r="J1497" s="805"/>
      <c r="K1497" s="776" t="s">
        <v>52</v>
      </c>
    </row>
    <row r="1498" spans="1:11" hidden="1">
      <c r="A1498" s="978"/>
      <c r="H1498" s="933" t="s">
        <v>1671</v>
      </c>
      <c r="I1498"/>
      <c r="J1498" s="805"/>
      <c r="K1498" s="744">
        <f>SUM(K1490:K1496)</f>
        <v>2690.5</v>
      </c>
    </row>
    <row r="1499" spans="1:11" hidden="1">
      <c r="A1499" s="978"/>
      <c r="H1499" s="933"/>
      <c r="I1499"/>
      <c r="J1499" s="805"/>
      <c r="K1499" s="776" t="s">
        <v>52</v>
      </c>
    </row>
    <row r="1500" spans="1:11" hidden="1">
      <c r="A1500" s="978"/>
      <c r="I1500"/>
      <c r="J1500" s="805"/>
      <c r="K1500" s="776"/>
    </row>
    <row r="1501" spans="1:11" hidden="1">
      <c r="A1501" s="978"/>
      <c r="F1501" s="934" t="s">
        <v>1672</v>
      </c>
      <c r="G1501" s="938" t="s">
        <v>111</v>
      </c>
      <c r="H1501" s="933" t="s">
        <v>1673</v>
      </c>
      <c r="I1501"/>
      <c r="J1501" s="805"/>
      <c r="K1501"/>
    </row>
    <row r="1502" spans="1:11" hidden="1">
      <c r="A1502" s="978"/>
      <c r="H1502" s="933" t="s">
        <v>1674</v>
      </c>
      <c r="I1502"/>
      <c r="J1502" s="805"/>
      <c r="K1502"/>
    </row>
    <row r="1503" spans="1:11" hidden="1">
      <c r="A1503" s="978"/>
      <c r="H1503" s="935" t="s">
        <v>52</v>
      </c>
      <c r="I1503"/>
      <c r="J1503" s="805"/>
      <c r="K1503"/>
    </row>
    <row r="1504" spans="1:11" hidden="1">
      <c r="A1504" s="978"/>
      <c r="F1504" s="939">
        <v>1</v>
      </c>
      <c r="G1504" s="938" t="s">
        <v>1675</v>
      </c>
      <c r="H1504" s="933" t="s">
        <v>1676</v>
      </c>
      <c r="I1504" s="744">
        <f>(C138)</f>
        <v>28000</v>
      </c>
      <c r="J1504" s="779" t="s">
        <v>11</v>
      </c>
      <c r="K1504" s="744">
        <f>(F1504*I1504)/10</f>
        <v>2800</v>
      </c>
    </row>
    <row r="1505" spans="1:15" hidden="1">
      <c r="A1505" s="978"/>
      <c r="F1505" s="941">
        <v>0.01</v>
      </c>
      <c r="G1505" s="938" t="s">
        <v>1675</v>
      </c>
      <c r="H1505" s="933" t="s">
        <v>389</v>
      </c>
      <c r="I1505" s="744">
        <f>(C142)</f>
        <v>30000</v>
      </c>
      <c r="J1505" s="779" t="s">
        <v>11</v>
      </c>
      <c r="K1505" s="744">
        <f>(F1505*I1505)/10</f>
        <v>30</v>
      </c>
    </row>
    <row r="1506" spans="1:15" hidden="1">
      <c r="A1506" s="978"/>
      <c r="F1506" s="941">
        <v>3.5</v>
      </c>
      <c r="G1506" s="938" t="s">
        <v>237</v>
      </c>
      <c r="H1506" s="933" t="s">
        <v>1677</v>
      </c>
      <c r="I1506" s="744">
        <f>(C17)</f>
        <v>130</v>
      </c>
      <c r="J1506" s="779" t="s">
        <v>729</v>
      </c>
      <c r="K1506" s="744">
        <f>(F1506*I1506)</f>
        <v>455</v>
      </c>
      <c r="O1506" s="930">
        <f>92+18.4</f>
        <v>110.4</v>
      </c>
    </row>
    <row r="1507" spans="1:15" hidden="1">
      <c r="A1507" s="978"/>
      <c r="F1507" s="939">
        <v>1.3</v>
      </c>
      <c r="G1507" s="938" t="s">
        <v>39</v>
      </c>
      <c r="H1507" s="933" t="s">
        <v>1678</v>
      </c>
      <c r="I1507" s="744">
        <f>C67/1000</f>
        <v>3.8</v>
      </c>
      <c r="J1507" s="779" t="s">
        <v>39</v>
      </c>
      <c r="K1507" s="744">
        <f>(F1507*I1507)</f>
        <v>4.9400000000000004</v>
      </c>
      <c r="O1507" s="930">
        <f>95+19</f>
        <v>114</v>
      </c>
    </row>
    <row r="1508" spans="1:15" hidden="1">
      <c r="A1508" s="978"/>
      <c r="F1508" s="939">
        <v>0.25</v>
      </c>
      <c r="G1508" s="938" t="s">
        <v>237</v>
      </c>
      <c r="H1508" s="933" t="s">
        <v>1679</v>
      </c>
      <c r="I1508" s="744">
        <f>D14</f>
        <v>110</v>
      </c>
      <c r="J1508" s="779" t="s">
        <v>729</v>
      </c>
      <c r="K1508" s="744">
        <f>(F1508*I1508)</f>
        <v>27.5</v>
      </c>
    </row>
    <row r="1509" spans="1:15" hidden="1">
      <c r="A1509" s="978"/>
      <c r="F1509" s="941"/>
      <c r="G1509" s="938" t="s">
        <v>145</v>
      </c>
      <c r="H1509" s="933" t="s">
        <v>146</v>
      </c>
      <c r="I1509"/>
      <c r="J1509" s="779" t="s">
        <v>145</v>
      </c>
      <c r="K1509" s="744">
        <f>(F1509*I1509)</f>
        <v>0</v>
      </c>
    </row>
    <row r="1510" spans="1:15" hidden="1">
      <c r="A1510" s="978"/>
      <c r="F1510" s="941"/>
      <c r="I1510"/>
      <c r="J1510" s="805"/>
      <c r="K1510" s="776" t="s">
        <v>52</v>
      </c>
    </row>
    <row r="1511" spans="1:15" hidden="1">
      <c r="A1511" s="978"/>
      <c r="F1511" s="941"/>
      <c r="H1511" s="933" t="s">
        <v>1680</v>
      </c>
      <c r="I1511"/>
      <c r="J1511" s="805"/>
      <c r="K1511" s="744">
        <f>SUM(K1504:K1509)</f>
        <v>3317.44</v>
      </c>
    </row>
    <row r="1512" spans="1:15" hidden="1">
      <c r="A1512" s="978"/>
      <c r="F1512" s="941"/>
      <c r="I1512"/>
      <c r="J1512" s="805"/>
      <c r="K1512" s="776" t="s">
        <v>52</v>
      </c>
    </row>
    <row r="1513" spans="1:15" hidden="1">
      <c r="A1513" s="978"/>
      <c r="F1513" s="941"/>
      <c r="H1513" s="933" t="s">
        <v>1681</v>
      </c>
      <c r="I1513"/>
      <c r="J1513" s="805"/>
      <c r="K1513" s="744">
        <f>(K1511*10)</f>
        <v>33174.400000000001</v>
      </c>
    </row>
    <row r="1514" spans="1:15" hidden="1">
      <c r="A1514" s="978"/>
      <c r="F1514" s="941"/>
      <c r="I1514"/>
      <c r="J1514" s="805"/>
      <c r="K1514" s="776" t="s">
        <v>89</v>
      </c>
    </row>
    <row r="1515" spans="1:15" hidden="1">
      <c r="A1515" s="978"/>
      <c r="F1515" s="941"/>
      <c r="I1515"/>
      <c r="J1515" s="805"/>
      <c r="K1515" s="776"/>
    </row>
    <row r="1516" spans="1:15" hidden="1">
      <c r="A1516" s="978"/>
      <c r="F1516" s="941"/>
      <c r="H1516" s="981" t="s">
        <v>1682</v>
      </c>
      <c r="I1516"/>
      <c r="J1516" s="805"/>
      <c r="K1516" s="776"/>
    </row>
    <row r="1517" spans="1:15" hidden="1">
      <c r="A1517" s="978"/>
      <c r="F1517" s="939">
        <v>1</v>
      </c>
      <c r="G1517" s="938" t="s">
        <v>1675</v>
      </c>
      <c r="H1517" s="933" t="s">
        <v>1683</v>
      </c>
      <c r="I1517">
        <f>C137</f>
        <v>26500</v>
      </c>
      <c r="J1517" s="779" t="s">
        <v>11</v>
      </c>
      <c r="K1517" s="744">
        <f>(F1517*I1517)/10</f>
        <v>2650</v>
      </c>
    </row>
    <row r="1518" spans="1:15" hidden="1">
      <c r="A1518" s="978"/>
      <c r="F1518" s="941">
        <v>0.01</v>
      </c>
      <c r="G1518" s="938" t="s">
        <v>1675</v>
      </c>
      <c r="H1518" s="933" t="s">
        <v>389</v>
      </c>
      <c r="I1518">
        <f>C142</f>
        <v>30000</v>
      </c>
      <c r="J1518" s="779" t="s">
        <v>11</v>
      </c>
      <c r="K1518" s="744">
        <f>(F1518*I1518)/10</f>
        <v>30</v>
      </c>
    </row>
    <row r="1519" spans="1:15" hidden="1">
      <c r="A1519" s="978"/>
      <c r="F1519" s="941">
        <v>3.5</v>
      </c>
      <c r="G1519" s="938" t="s">
        <v>237</v>
      </c>
      <c r="H1519" s="933" t="s">
        <v>1677</v>
      </c>
      <c r="I1519">
        <f>C17</f>
        <v>130</v>
      </c>
      <c r="J1519" s="779" t="s">
        <v>729</v>
      </c>
      <c r="K1519" s="744">
        <f>(F1519*I1519)</f>
        <v>455</v>
      </c>
    </row>
    <row r="1520" spans="1:15" hidden="1">
      <c r="A1520" s="978"/>
      <c r="F1520" s="939">
        <v>1.3</v>
      </c>
      <c r="G1520" s="938" t="s">
        <v>39</v>
      </c>
      <c r="H1520" s="933" t="s">
        <v>1678</v>
      </c>
      <c r="I1520">
        <f>C67/1000</f>
        <v>3.8</v>
      </c>
      <c r="J1520" s="779" t="s">
        <v>39</v>
      </c>
      <c r="K1520" s="744">
        <f>(F1520*I1520)</f>
        <v>4.9400000000000004</v>
      </c>
    </row>
    <row r="1521" spans="1:11" hidden="1">
      <c r="A1521" s="978"/>
      <c r="F1521" s="939">
        <v>0.25</v>
      </c>
      <c r="G1521" s="938" t="s">
        <v>237</v>
      </c>
      <c r="H1521" s="933" t="s">
        <v>1679</v>
      </c>
      <c r="I1521">
        <f>D14</f>
        <v>110</v>
      </c>
      <c r="J1521" s="779" t="s">
        <v>729</v>
      </c>
      <c r="K1521" s="744">
        <f>(F1521*I1521)</f>
        <v>27.5</v>
      </c>
    </row>
    <row r="1522" spans="1:11" hidden="1">
      <c r="A1522" s="978"/>
      <c r="F1522" s="941"/>
      <c r="G1522" s="938" t="s">
        <v>145</v>
      </c>
      <c r="H1522" s="933" t="s">
        <v>146</v>
      </c>
      <c r="I1522"/>
      <c r="J1522" s="779" t="s">
        <v>145</v>
      </c>
      <c r="K1522" s="744">
        <f>(F1522*I1522)</f>
        <v>0</v>
      </c>
    </row>
    <row r="1523" spans="1:11" hidden="1">
      <c r="A1523" s="978"/>
      <c r="F1523" s="941"/>
      <c r="I1523"/>
      <c r="J1523" s="805"/>
      <c r="K1523" s="776" t="s">
        <v>52</v>
      </c>
    </row>
    <row r="1524" spans="1:11" hidden="1">
      <c r="A1524" s="978"/>
      <c r="F1524" s="941"/>
      <c r="H1524" s="933" t="s">
        <v>1680</v>
      </c>
      <c r="I1524"/>
      <c r="J1524" s="805"/>
      <c r="K1524" s="744">
        <f>SUM(K1517:K1522)</f>
        <v>3167.44</v>
      </c>
    </row>
    <row r="1525" spans="1:11" hidden="1">
      <c r="A1525" s="978"/>
      <c r="F1525" s="941"/>
      <c r="I1525"/>
      <c r="J1525" s="805"/>
      <c r="K1525" s="776" t="s">
        <v>52</v>
      </c>
    </row>
    <row r="1526" spans="1:11" hidden="1">
      <c r="A1526" s="978"/>
      <c r="F1526" s="941"/>
      <c r="H1526" s="933" t="s">
        <v>1681</v>
      </c>
      <c r="I1526"/>
      <c r="J1526" s="805"/>
      <c r="K1526" s="744">
        <f>(K1524*10)</f>
        <v>31674.400000000001</v>
      </c>
    </row>
    <row r="1527" spans="1:11" hidden="1">
      <c r="A1527" s="978"/>
      <c r="F1527" s="941"/>
      <c r="I1527"/>
      <c r="J1527" s="805"/>
      <c r="K1527" s="776" t="s">
        <v>89</v>
      </c>
    </row>
    <row r="1528" spans="1:11" hidden="1">
      <c r="A1528" s="978"/>
      <c r="F1528" s="941"/>
      <c r="H1528" s="933" t="s">
        <v>85</v>
      </c>
      <c r="I1528"/>
      <c r="J1528" s="805"/>
      <c r="K1528" s="743" t="s">
        <v>85</v>
      </c>
    </row>
    <row r="1529" spans="1:11" hidden="1">
      <c r="A1529" s="978"/>
      <c r="F1529" s="987" t="s">
        <v>1684</v>
      </c>
      <c r="G1529" s="938" t="s">
        <v>956</v>
      </c>
      <c r="H1529" s="933" t="s">
        <v>1673</v>
      </c>
      <c r="I1529"/>
      <c r="J1529" s="805"/>
      <c r="K1529"/>
    </row>
    <row r="1530" spans="1:11" hidden="1">
      <c r="A1530" s="978"/>
      <c r="F1530" s="941"/>
      <c r="H1530" s="933" t="s">
        <v>1685</v>
      </c>
      <c r="I1530"/>
      <c r="J1530" s="805"/>
      <c r="K1530"/>
    </row>
    <row r="1531" spans="1:11" hidden="1">
      <c r="A1531" s="978"/>
      <c r="F1531" s="941"/>
      <c r="H1531" s="935" t="s">
        <v>52</v>
      </c>
      <c r="I1531"/>
      <c r="J1531" s="805"/>
      <c r="K1531"/>
    </row>
    <row r="1532" spans="1:11" hidden="1">
      <c r="A1532" s="978"/>
      <c r="F1532" s="939">
        <v>1</v>
      </c>
      <c r="G1532" s="938" t="s">
        <v>1675</v>
      </c>
      <c r="H1532" s="933" t="s">
        <v>1676</v>
      </c>
      <c r="I1532" s="744">
        <f>(C138)</f>
        <v>28000</v>
      </c>
      <c r="J1532" s="779" t="s">
        <v>11</v>
      </c>
      <c r="K1532" s="744">
        <f>(F1532*I1532)/10</f>
        <v>2800</v>
      </c>
    </row>
    <row r="1533" spans="1:11" hidden="1">
      <c r="A1533" s="978"/>
      <c r="F1533" s="941">
        <v>0.01</v>
      </c>
      <c r="G1533" s="938" t="s">
        <v>1675</v>
      </c>
      <c r="H1533" s="933" t="s">
        <v>389</v>
      </c>
      <c r="I1533" s="744">
        <f>(C142)</f>
        <v>30000</v>
      </c>
      <c r="J1533" s="779" t="s">
        <v>11</v>
      </c>
      <c r="K1533" s="744">
        <f>(F1533*I1533)/10</f>
        <v>30</v>
      </c>
    </row>
    <row r="1534" spans="1:11" hidden="1">
      <c r="A1534" s="978"/>
      <c r="F1534" s="941">
        <v>3.5</v>
      </c>
      <c r="G1534" s="938" t="s">
        <v>237</v>
      </c>
      <c r="H1534" s="933" t="s">
        <v>1677</v>
      </c>
      <c r="I1534" s="744">
        <f>(C17)</f>
        <v>130</v>
      </c>
      <c r="J1534" s="779" t="s">
        <v>237</v>
      </c>
      <c r="K1534" s="744">
        <f>(F1534*I1534)</f>
        <v>455</v>
      </c>
    </row>
    <row r="1535" spans="1:11" hidden="1">
      <c r="A1535" s="978"/>
      <c r="F1535" s="941"/>
      <c r="G1535" s="938" t="s">
        <v>145</v>
      </c>
      <c r="H1535" s="933" t="s">
        <v>146</v>
      </c>
      <c r="I1535"/>
      <c r="J1535" s="779" t="s">
        <v>145</v>
      </c>
      <c r="K1535" s="744">
        <v>0</v>
      </c>
    </row>
    <row r="1536" spans="1:11" hidden="1">
      <c r="A1536" s="978"/>
      <c r="I1536"/>
      <c r="J1536" s="805"/>
      <c r="K1536" s="776" t="s">
        <v>52</v>
      </c>
    </row>
    <row r="1537" spans="1:11" hidden="1">
      <c r="A1537" s="978"/>
      <c r="H1537" s="933" t="s">
        <v>1680</v>
      </c>
      <c r="I1537"/>
      <c r="J1537" s="805"/>
      <c r="K1537" s="744">
        <f>SUM(K1532:K1535)</f>
        <v>3285</v>
      </c>
    </row>
    <row r="1538" spans="1:11" hidden="1">
      <c r="A1538" s="978"/>
      <c r="I1538"/>
      <c r="J1538" s="805"/>
      <c r="K1538" s="776" t="s">
        <v>52</v>
      </c>
    </row>
    <row r="1539" spans="1:11" hidden="1">
      <c r="A1539" s="978"/>
      <c r="H1539" s="933" t="s">
        <v>1681</v>
      </c>
      <c r="I1539"/>
      <c r="J1539" s="805"/>
      <c r="K1539" s="744">
        <f>(K1537*10)</f>
        <v>32850</v>
      </c>
    </row>
    <row r="1540" spans="1:11" hidden="1">
      <c r="A1540" s="978"/>
      <c r="H1540" s="933" t="s">
        <v>85</v>
      </c>
      <c r="I1540"/>
      <c r="J1540" s="805"/>
      <c r="K1540" s="743" t="s">
        <v>85</v>
      </c>
    </row>
    <row r="1541" spans="1:11" hidden="1">
      <c r="A1541" s="978"/>
      <c r="G1541" s="931" t="s">
        <v>986</v>
      </c>
      <c r="H1541" s="933" t="s">
        <v>1673</v>
      </c>
      <c r="I1541"/>
      <c r="J1541" s="805"/>
      <c r="K1541" s="743"/>
    </row>
    <row r="1542" spans="1:11" hidden="1">
      <c r="A1542" s="978"/>
      <c r="H1542" s="933" t="s">
        <v>1686</v>
      </c>
      <c r="I1542"/>
      <c r="J1542" s="805"/>
      <c r="K1542" s="743"/>
    </row>
    <row r="1543" spans="1:11" hidden="1">
      <c r="A1543" s="978"/>
      <c r="F1543" s="941"/>
      <c r="H1543" s="935" t="s">
        <v>52</v>
      </c>
      <c r="I1543"/>
      <c r="J1543" s="805"/>
      <c r="K1543" s="743"/>
    </row>
    <row r="1544" spans="1:11" hidden="1">
      <c r="A1544" s="978"/>
      <c r="F1544" s="939">
        <v>1</v>
      </c>
      <c r="G1544" s="938" t="s">
        <v>1675</v>
      </c>
      <c r="H1544" s="933" t="s">
        <v>1683</v>
      </c>
      <c r="I1544">
        <f>C137</f>
        <v>26500</v>
      </c>
      <c r="J1544" s="779" t="s">
        <v>11</v>
      </c>
      <c r="K1544" s="744">
        <f>(F1544*I1544)/10</f>
        <v>2650</v>
      </c>
    </row>
    <row r="1545" spans="1:11" hidden="1">
      <c r="A1545" s="978"/>
      <c r="F1545" s="941">
        <v>0.01</v>
      </c>
      <c r="G1545" s="938" t="s">
        <v>1675</v>
      </c>
      <c r="H1545" s="933" t="s">
        <v>389</v>
      </c>
      <c r="I1545">
        <f>C142</f>
        <v>30000</v>
      </c>
      <c r="J1545" s="779" t="s">
        <v>11</v>
      </c>
      <c r="K1545" s="744">
        <f>(F1545*I1545)/10</f>
        <v>30</v>
      </c>
    </row>
    <row r="1546" spans="1:11" hidden="1">
      <c r="A1546" s="978"/>
      <c r="F1546" s="941">
        <v>3.5</v>
      </c>
      <c r="G1546" s="938" t="s">
        <v>237</v>
      </c>
      <c r="H1546" s="933" t="s">
        <v>1677</v>
      </c>
      <c r="I1546">
        <f>C17</f>
        <v>130</v>
      </c>
      <c r="J1546" s="779" t="s">
        <v>237</v>
      </c>
      <c r="K1546" s="744">
        <f>(F1546*I1546)</f>
        <v>455</v>
      </c>
    </row>
    <row r="1547" spans="1:11" hidden="1">
      <c r="A1547" s="978"/>
      <c r="F1547" s="941"/>
      <c r="G1547" s="938" t="s">
        <v>145</v>
      </c>
      <c r="H1547" s="933" t="s">
        <v>146</v>
      </c>
      <c r="I1547"/>
      <c r="J1547" s="779" t="s">
        <v>145</v>
      </c>
      <c r="K1547" s="744">
        <v>0</v>
      </c>
    </row>
    <row r="1548" spans="1:11" hidden="1">
      <c r="A1548" s="978"/>
      <c r="I1548"/>
      <c r="J1548" s="805"/>
      <c r="K1548" s="776" t="s">
        <v>52</v>
      </c>
    </row>
    <row r="1549" spans="1:11" hidden="1">
      <c r="A1549" s="978"/>
      <c r="H1549" s="933" t="s">
        <v>1680</v>
      </c>
      <c r="I1549"/>
      <c r="J1549" s="805"/>
      <c r="K1549" s="744">
        <f>SUM(K1544:K1547)</f>
        <v>3135</v>
      </c>
    </row>
    <row r="1550" spans="1:11" hidden="1">
      <c r="A1550" s="978"/>
      <c r="I1550"/>
      <c r="J1550" s="805"/>
      <c r="K1550" s="776" t="s">
        <v>52</v>
      </c>
    </row>
    <row r="1551" spans="1:11" hidden="1">
      <c r="A1551" s="978"/>
      <c r="H1551" s="933" t="s">
        <v>1681</v>
      </c>
      <c r="I1551"/>
      <c r="J1551" s="805"/>
      <c r="K1551" s="744">
        <f>(K1549*10)</f>
        <v>31350</v>
      </c>
    </row>
    <row r="1552" spans="1:11" hidden="1">
      <c r="A1552" s="978"/>
      <c r="H1552" s="933" t="s">
        <v>85</v>
      </c>
      <c r="I1552"/>
      <c r="J1552" s="805"/>
      <c r="K1552"/>
    </row>
    <row r="1553" spans="1:11" hidden="1">
      <c r="A1553" s="978"/>
      <c r="F1553" s="948">
        <v>44.1</v>
      </c>
      <c r="G1553" s="938" t="s">
        <v>111</v>
      </c>
      <c r="H1553" s="933" t="s">
        <v>1687</v>
      </c>
      <c r="I1553"/>
      <c r="J1553" s="805"/>
      <c r="K1553"/>
    </row>
    <row r="1554" spans="1:11" hidden="1">
      <c r="A1554" s="978"/>
      <c r="H1554" s="933" t="s">
        <v>1688</v>
      </c>
      <c r="I1554"/>
      <c r="J1554" s="805"/>
      <c r="K1554"/>
    </row>
    <row r="1555" spans="1:11" hidden="1">
      <c r="A1555" s="978"/>
      <c r="H1555" s="933" t="s">
        <v>1689</v>
      </c>
      <c r="I1555"/>
      <c r="J1555" s="805"/>
      <c r="K1555"/>
    </row>
    <row r="1556" spans="1:11" hidden="1">
      <c r="A1556" s="978"/>
      <c r="H1556" s="935" t="s">
        <v>52</v>
      </c>
      <c r="I1556"/>
      <c r="J1556" s="805"/>
      <c r="K1556"/>
    </row>
    <row r="1557" spans="1:11" hidden="1">
      <c r="A1557" s="978"/>
      <c r="F1557" s="939">
        <v>3</v>
      </c>
      <c r="G1557" s="938" t="s">
        <v>282</v>
      </c>
      <c r="H1557" s="933" t="s">
        <v>1690</v>
      </c>
      <c r="I1557" s="744">
        <f>(C598)</f>
        <v>120</v>
      </c>
      <c r="J1557" s="779" t="s">
        <v>282</v>
      </c>
      <c r="K1557" s="744">
        <f t="shared" ref="K1557:K1562" si="61">(F1557*I1557)</f>
        <v>360</v>
      </c>
    </row>
    <row r="1558" spans="1:11" hidden="1">
      <c r="A1558" s="978"/>
      <c r="F1558" s="939">
        <v>1</v>
      </c>
      <c r="G1558" s="938" t="s">
        <v>131</v>
      </c>
      <c r="H1558" s="933" t="s">
        <v>1691</v>
      </c>
      <c r="I1558" s="744">
        <f>(C601)</f>
        <v>65</v>
      </c>
      <c r="J1558" s="779" t="s">
        <v>131</v>
      </c>
      <c r="K1558" s="744">
        <f t="shared" si="61"/>
        <v>65</v>
      </c>
    </row>
    <row r="1559" spans="1:11" hidden="1">
      <c r="A1559" s="978"/>
      <c r="F1559" s="939">
        <v>1</v>
      </c>
      <c r="G1559" s="938" t="s">
        <v>131</v>
      </c>
      <c r="H1559" s="933" t="s">
        <v>1692</v>
      </c>
      <c r="I1559" s="744">
        <f>(C604)</f>
        <v>45</v>
      </c>
      <c r="J1559" s="779" t="s">
        <v>131</v>
      </c>
      <c r="K1559" s="744">
        <f t="shared" si="61"/>
        <v>45</v>
      </c>
    </row>
    <row r="1560" spans="1:11" hidden="1">
      <c r="A1560" s="978"/>
      <c r="F1560" s="939">
        <v>2</v>
      </c>
      <c r="G1560" s="938" t="s">
        <v>131</v>
      </c>
      <c r="H1560" s="933" t="s">
        <v>1693</v>
      </c>
      <c r="I1560" s="744">
        <f>C575</f>
        <v>16.440000000000001</v>
      </c>
      <c r="J1560" s="779" t="s">
        <v>131</v>
      </c>
      <c r="K1560" s="744">
        <f t="shared" si="61"/>
        <v>32.880000000000003</v>
      </c>
    </row>
    <row r="1561" spans="1:11" hidden="1">
      <c r="A1561" s="978"/>
      <c r="F1561" s="939">
        <v>1</v>
      </c>
      <c r="G1561" s="938" t="s">
        <v>131</v>
      </c>
      <c r="H1561" s="933" t="s">
        <v>1694</v>
      </c>
      <c r="I1561" s="744">
        <f>(C666)</f>
        <v>18</v>
      </c>
      <c r="J1561" s="779" t="s">
        <v>131</v>
      </c>
      <c r="K1561" s="744">
        <f t="shared" si="61"/>
        <v>18</v>
      </c>
    </row>
    <row r="1562" spans="1:11" hidden="1">
      <c r="A1562" s="978"/>
      <c r="F1562" s="939">
        <v>0.5</v>
      </c>
      <c r="G1562" s="938" t="s">
        <v>131</v>
      </c>
      <c r="H1562" s="933" t="s">
        <v>1695</v>
      </c>
      <c r="I1562" s="744">
        <f>(C15)</f>
        <v>130</v>
      </c>
      <c r="J1562" s="779" t="s">
        <v>131</v>
      </c>
      <c r="K1562" s="744">
        <f t="shared" si="61"/>
        <v>65</v>
      </c>
    </row>
    <row r="1563" spans="1:11" hidden="1">
      <c r="A1563" s="978"/>
      <c r="G1563" s="938" t="s">
        <v>145</v>
      </c>
      <c r="H1563" s="933" t="s">
        <v>1696</v>
      </c>
      <c r="I1563"/>
      <c r="J1563" s="779" t="s">
        <v>145</v>
      </c>
      <c r="K1563" s="744">
        <v>0.75</v>
      </c>
    </row>
    <row r="1564" spans="1:11" hidden="1">
      <c r="A1564" s="978"/>
      <c r="H1564" s="933" t="s">
        <v>1697</v>
      </c>
      <c r="I1564"/>
      <c r="J1564" s="805"/>
      <c r="K1564"/>
    </row>
    <row r="1565" spans="1:11" hidden="1">
      <c r="A1565" s="978"/>
      <c r="I1565"/>
      <c r="J1565" s="805"/>
      <c r="K1565" s="776" t="s">
        <v>52</v>
      </c>
    </row>
    <row r="1566" spans="1:11" hidden="1">
      <c r="A1566" s="978"/>
      <c r="H1566" s="933" t="s">
        <v>1698</v>
      </c>
      <c r="I1566"/>
      <c r="J1566" s="805"/>
      <c r="K1566" s="744">
        <f>SUM(K1557:K1563)</f>
        <v>586.63</v>
      </c>
    </row>
    <row r="1567" spans="1:11" hidden="1">
      <c r="A1567" s="978"/>
      <c r="F1567" s="933" t="s">
        <v>85</v>
      </c>
      <c r="I1567"/>
      <c r="J1567" s="805"/>
      <c r="K1567"/>
    </row>
    <row r="1568" spans="1:11" hidden="1">
      <c r="A1568" s="978"/>
      <c r="I1568"/>
      <c r="J1568" s="805"/>
      <c r="K1568" s="776" t="s">
        <v>52</v>
      </c>
    </row>
    <row r="1569" spans="1:11" hidden="1">
      <c r="A1569" s="978"/>
      <c r="H1569" s="933" t="s">
        <v>632</v>
      </c>
      <c r="I1569"/>
      <c r="J1569" s="805"/>
      <c r="K1569" s="744">
        <f>(K1566/3)</f>
        <v>195.54</v>
      </c>
    </row>
    <row r="1570" spans="1:11" hidden="1">
      <c r="A1570" s="978"/>
      <c r="H1570" s="933"/>
      <c r="I1570"/>
      <c r="J1570" s="805"/>
      <c r="K1570" s="776" t="s">
        <v>89</v>
      </c>
    </row>
    <row r="1571" spans="1:11" hidden="1">
      <c r="A1571" s="978"/>
      <c r="F1571" s="934" t="s">
        <v>1699</v>
      </c>
      <c r="H1571" s="933" t="s">
        <v>1700</v>
      </c>
      <c r="I1571"/>
      <c r="J1571" s="805"/>
      <c r="K1571"/>
    </row>
    <row r="1572" spans="1:11" hidden="1">
      <c r="A1572" s="978"/>
      <c r="H1572" s="933" t="s">
        <v>1701</v>
      </c>
      <c r="I1572"/>
      <c r="J1572" s="805"/>
      <c r="K1572"/>
    </row>
    <row r="1573" spans="1:11" hidden="1">
      <c r="A1573" s="978"/>
      <c r="H1573" s="933" t="s">
        <v>1702</v>
      </c>
      <c r="I1573"/>
      <c r="J1573" s="805"/>
      <c r="K1573"/>
    </row>
    <row r="1574" spans="1:11" hidden="1">
      <c r="A1574" s="978"/>
      <c r="H1574" s="935" t="s">
        <v>52</v>
      </c>
      <c r="I1574"/>
      <c r="J1574" s="805"/>
      <c r="K1574"/>
    </row>
    <row r="1575" spans="1:11" hidden="1">
      <c r="A1575" s="978"/>
      <c r="F1575" s="939">
        <v>0.15</v>
      </c>
      <c r="G1575" s="938" t="s">
        <v>132</v>
      </c>
      <c r="H1575" s="933" t="s">
        <v>1703</v>
      </c>
      <c r="I1575" s="744" t="e">
        <f>(C70)</f>
        <v>#REF!</v>
      </c>
      <c r="J1575" s="779" t="s">
        <v>132</v>
      </c>
      <c r="K1575" s="744" t="e">
        <f>(F1575*I1575)</f>
        <v>#REF!</v>
      </c>
    </row>
    <row r="1576" spans="1:11" hidden="1">
      <c r="A1576" s="978"/>
      <c r="F1576" s="959">
        <v>8.6499999999999994E-2</v>
      </c>
      <c r="G1576" s="938" t="s">
        <v>122</v>
      </c>
      <c r="H1576" s="933" t="s">
        <v>123</v>
      </c>
      <c r="I1576" s="744">
        <f>(C67)</f>
        <v>3800</v>
      </c>
      <c r="J1576" s="779" t="s">
        <v>122</v>
      </c>
      <c r="K1576" s="744">
        <f>(F1576*I1576)</f>
        <v>328.7</v>
      </c>
    </row>
    <row r="1577" spans="1:11" hidden="1">
      <c r="A1577" s="978"/>
      <c r="F1577" s="939">
        <v>1.6</v>
      </c>
      <c r="G1577" s="938" t="s">
        <v>237</v>
      </c>
      <c r="H1577" s="933" t="s">
        <v>345</v>
      </c>
      <c r="I1577" s="744">
        <f>(C10)</f>
        <v>150</v>
      </c>
      <c r="J1577" s="779" t="s">
        <v>237</v>
      </c>
      <c r="K1577" s="744">
        <f>(F1577*I1577)</f>
        <v>240</v>
      </c>
    </row>
    <row r="1578" spans="1:11" hidden="1">
      <c r="A1578" s="978"/>
      <c r="F1578" s="939">
        <v>0.5</v>
      </c>
      <c r="G1578" s="938" t="s">
        <v>237</v>
      </c>
      <c r="H1578" s="933" t="s">
        <v>304</v>
      </c>
      <c r="I1578" s="744">
        <f>(C12)</f>
        <v>95</v>
      </c>
      <c r="J1578" s="779" t="s">
        <v>237</v>
      </c>
      <c r="K1578" s="744">
        <f>(F1578*I1578)</f>
        <v>47.5</v>
      </c>
    </row>
    <row r="1579" spans="1:11" hidden="1">
      <c r="A1579" s="978"/>
      <c r="F1579" s="939">
        <v>1.1000000000000001</v>
      </c>
      <c r="G1579" s="938" t="s">
        <v>237</v>
      </c>
      <c r="H1579" s="933" t="s">
        <v>306</v>
      </c>
      <c r="I1579" s="744">
        <f>(C13)</f>
        <v>85</v>
      </c>
      <c r="J1579" s="779" t="s">
        <v>237</v>
      </c>
      <c r="K1579" s="744">
        <f>(F1579*I1579)</f>
        <v>93.5</v>
      </c>
    </row>
    <row r="1580" spans="1:11" hidden="1">
      <c r="A1580" s="978"/>
      <c r="G1580" s="938" t="s">
        <v>145</v>
      </c>
      <c r="H1580" s="933" t="s">
        <v>146</v>
      </c>
      <c r="I1580" s="743" t="s">
        <v>85</v>
      </c>
      <c r="J1580" s="779" t="s">
        <v>145</v>
      </c>
      <c r="K1580" s="744">
        <v>0</v>
      </c>
    </row>
    <row r="1581" spans="1:11" hidden="1">
      <c r="A1581" s="978"/>
      <c r="I1581"/>
      <c r="J1581" s="805"/>
      <c r="K1581" s="776" t="s">
        <v>52</v>
      </c>
    </row>
    <row r="1582" spans="1:11" hidden="1">
      <c r="A1582" s="978"/>
      <c r="H1582" s="933" t="s">
        <v>495</v>
      </c>
      <c r="I1582"/>
      <c r="J1582" s="805"/>
      <c r="K1582" s="744" t="e">
        <f>SUM(K1575:K1580)</f>
        <v>#REF!</v>
      </c>
    </row>
    <row r="1583" spans="1:11" hidden="1">
      <c r="A1583" s="978"/>
      <c r="I1583"/>
      <c r="J1583" s="805"/>
      <c r="K1583" s="776" t="s">
        <v>52</v>
      </c>
    </row>
    <row r="1584" spans="1:11" hidden="1">
      <c r="A1584" s="978"/>
      <c r="H1584" s="933" t="s">
        <v>460</v>
      </c>
      <c r="I1584"/>
      <c r="J1584" s="805"/>
      <c r="K1584" s="744" t="e">
        <f>(K1582/10)</f>
        <v>#REF!</v>
      </c>
    </row>
    <row r="1585" spans="1:11" hidden="1">
      <c r="A1585" s="978"/>
      <c r="I1585"/>
      <c r="J1585" s="805"/>
      <c r="K1585" s="776" t="s">
        <v>89</v>
      </c>
    </row>
    <row r="1586" spans="1:11" hidden="1">
      <c r="A1586" s="978"/>
      <c r="F1586" s="934" t="s">
        <v>1704</v>
      </c>
      <c r="G1586" s="938" t="s">
        <v>111</v>
      </c>
      <c r="H1586" s="933" t="s">
        <v>1705</v>
      </c>
      <c r="I1586"/>
      <c r="J1586" s="805"/>
      <c r="K1586"/>
    </row>
    <row r="1587" spans="1:11" hidden="1">
      <c r="A1587" s="978"/>
      <c r="H1587" s="933" t="s">
        <v>1706</v>
      </c>
      <c r="I1587"/>
      <c r="J1587" s="805"/>
      <c r="K1587"/>
    </row>
    <row r="1588" spans="1:11" hidden="1">
      <c r="A1588" s="978"/>
      <c r="H1588" s="933" t="s">
        <v>1707</v>
      </c>
      <c r="I1588"/>
      <c r="J1588" s="779" t="s">
        <v>85</v>
      </c>
      <c r="K1588"/>
    </row>
    <row r="1589" spans="1:11" hidden="1">
      <c r="A1589" s="978"/>
      <c r="H1589" s="933" t="s">
        <v>1708</v>
      </c>
      <c r="I1589"/>
      <c r="J1589" s="805"/>
      <c r="K1589"/>
    </row>
    <row r="1590" spans="1:11" hidden="1">
      <c r="A1590" s="978"/>
      <c r="H1590" s="933" t="s">
        <v>1709</v>
      </c>
      <c r="I1590"/>
      <c r="J1590" s="805"/>
      <c r="K1590"/>
    </row>
    <row r="1591" spans="1:11" hidden="1">
      <c r="A1591" s="978"/>
      <c r="H1591" s="933" t="s">
        <v>1710</v>
      </c>
      <c r="I1591"/>
      <c r="J1591" s="805"/>
      <c r="K1591"/>
    </row>
    <row r="1592" spans="1:11" hidden="1">
      <c r="A1592" s="978"/>
      <c r="H1592" s="933" t="s">
        <v>1711</v>
      </c>
      <c r="I1592"/>
      <c r="J1592" s="805"/>
      <c r="K1592"/>
    </row>
    <row r="1593" spans="1:11" hidden="1">
      <c r="A1593" s="978"/>
      <c r="H1593" s="933" t="s">
        <v>1712</v>
      </c>
      <c r="I1593"/>
      <c r="J1593" s="805"/>
      <c r="K1593"/>
    </row>
    <row r="1594" spans="1:11" hidden="1">
      <c r="A1594" s="978"/>
      <c r="H1594" s="933" t="s">
        <v>1713</v>
      </c>
      <c r="I1594"/>
      <c r="J1594" s="805"/>
      <c r="K1594"/>
    </row>
    <row r="1595" spans="1:11" hidden="1">
      <c r="A1595" s="978"/>
      <c r="H1595" s="935" t="s">
        <v>89</v>
      </c>
      <c r="I1595"/>
      <c r="J1595" s="805"/>
      <c r="K1595"/>
    </row>
    <row r="1596" spans="1:11" hidden="1">
      <c r="A1596" s="978"/>
      <c r="I1596"/>
      <c r="J1596" s="805"/>
      <c r="K1596"/>
    </row>
    <row r="1597" spans="1:11" hidden="1">
      <c r="A1597" s="978"/>
      <c r="F1597" s="939">
        <v>1</v>
      </c>
      <c r="G1597" s="938" t="s">
        <v>13</v>
      </c>
      <c r="H1597" s="933" t="s">
        <v>1714</v>
      </c>
      <c r="I1597" s="744">
        <v>50</v>
      </c>
      <c r="J1597" s="779" t="s">
        <v>13</v>
      </c>
      <c r="K1597" s="744">
        <f>(F1597*I1597)</f>
        <v>50</v>
      </c>
    </row>
    <row r="1598" spans="1:11" hidden="1">
      <c r="A1598" s="978"/>
      <c r="F1598" s="939">
        <v>1</v>
      </c>
      <c r="G1598" s="938" t="s">
        <v>1715</v>
      </c>
      <c r="H1598" s="933" t="s">
        <v>1716</v>
      </c>
      <c r="I1598" s="744">
        <v>9</v>
      </c>
      <c r="J1598" s="779" t="s">
        <v>1715</v>
      </c>
      <c r="K1598" s="744">
        <f>(F1598*I1598)</f>
        <v>9</v>
      </c>
    </row>
    <row r="1599" spans="1:11" hidden="1">
      <c r="A1599" s="978"/>
      <c r="G1599" s="938" t="s">
        <v>145</v>
      </c>
      <c r="H1599" s="933" t="s">
        <v>1717</v>
      </c>
      <c r="I1599"/>
      <c r="J1599" s="779" t="s">
        <v>145</v>
      </c>
      <c r="K1599" s="744">
        <v>7</v>
      </c>
    </row>
    <row r="1600" spans="1:11" hidden="1">
      <c r="A1600" s="978"/>
      <c r="I1600"/>
      <c r="J1600" s="805"/>
      <c r="K1600" s="776" t="s">
        <v>52</v>
      </c>
    </row>
    <row r="1601" spans="1:11" hidden="1">
      <c r="A1601" s="978"/>
      <c r="H1601" s="934" t="s">
        <v>16</v>
      </c>
      <c r="I1601"/>
      <c r="J1601" s="805"/>
      <c r="K1601" s="744">
        <f>SUM(K1597:K1599)</f>
        <v>66</v>
      </c>
    </row>
    <row r="1602" spans="1:11" hidden="1">
      <c r="A1602" s="978"/>
      <c r="I1602"/>
      <c r="J1602" s="805"/>
      <c r="K1602" s="776" t="s">
        <v>89</v>
      </c>
    </row>
    <row r="1603" spans="1:11" hidden="1">
      <c r="A1603" s="978"/>
      <c r="F1603" s="934" t="s">
        <v>1718</v>
      </c>
      <c r="G1603" s="938" t="s">
        <v>111</v>
      </c>
      <c r="H1603" s="933" t="s">
        <v>1719</v>
      </c>
      <c r="I1603"/>
      <c r="J1603" s="805"/>
      <c r="K1603"/>
    </row>
    <row r="1604" spans="1:11" hidden="1">
      <c r="A1604" s="978"/>
      <c r="H1604" s="933" t="s">
        <v>1720</v>
      </c>
      <c r="I1604"/>
      <c r="J1604" s="805"/>
      <c r="K1604"/>
    </row>
    <row r="1605" spans="1:11" hidden="1">
      <c r="A1605" s="978"/>
      <c r="H1605" s="933" t="s">
        <v>1721</v>
      </c>
      <c r="I1605"/>
      <c r="J1605" s="805"/>
      <c r="K1605"/>
    </row>
    <row r="1606" spans="1:11" hidden="1">
      <c r="A1606" s="978"/>
      <c r="H1606" s="933" t="s">
        <v>1722</v>
      </c>
      <c r="I1606"/>
      <c r="J1606" s="805"/>
      <c r="K1606"/>
    </row>
    <row r="1607" spans="1:11" hidden="1">
      <c r="A1607" s="978"/>
      <c r="H1607" s="933" t="s">
        <v>1723</v>
      </c>
      <c r="I1607"/>
      <c r="J1607" s="805"/>
      <c r="K1607"/>
    </row>
    <row r="1608" spans="1:11" hidden="1">
      <c r="A1608" s="978"/>
      <c r="H1608" s="935" t="s">
        <v>52</v>
      </c>
      <c r="I1608" s="776" t="s">
        <v>52</v>
      </c>
      <c r="J1608" s="805"/>
      <c r="K1608"/>
    </row>
    <row r="1609" spans="1:11" hidden="1">
      <c r="A1609" s="978"/>
      <c r="F1609" s="939">
        <v>1</v>
      </c>
      <c r="G1609" s="938" t="s">
        <v>1724</v>
      </c>
      <c r="H1609" s="933" t="s">
        <v>1725</v>
      </c>
      <c r="I1609" s="744">
        <v>27.3</v>
      </c>
      <c r="J1609" s="779" t="s">
        <v>729</v>
      </c>
      <c r="K1609" s="744">
        <f>(F1609*I1609)</f>
        <v>27.3</v>
      </c>
    </row>
    <row r="1610" spans="1:11" hidden="1">
      <c r="A1610" s="978"/>
      <c r="G1610" s="938" t="s">
        <v>145</v>
      </c>
      <c r="H1610" s="933" t="s">
        <v>1726</v>
      </c>
      <c r="I1610"/>
      <c r="J1610" s="779" t="s">
        <v>145</v>
      </c>
      <c r="K1610" s="744">
        <v>7.5</v>
      </c>
    </row>
    <row r="1611" spans="1:11" hidden="1">
      <c r="A1611" s="978"/>
      <c r="G1611" s="938" t="s">
        <v>145</v>
      </c>
      <c r="H1611" s="933" t="s">
        <v>1727</v>
      </c>
      <c r="I1611"/>
      <c r="J1611" s="779" t="s">
        <v>145</v>
      </c>
      <c r="K1611" s="744">
        <v>1.2</v>
      </c>
    </row>
    <row r="1612" spans="1:11" hidden="1">
      <c r="A1612" s="978"/>
      <c r="H1612" s="933" t="s">
        <v>1728</v>
      </c>
      <c r="I1612"/>
      <c r="J1612" s="805"/>
      <c r="K1612" s="776" t="s">
        <v>52</v>
      </c>
    </row>
    <row r="1613" spans="1:11" hidden="1">
      <c r="A1613" s="978"/>
      <c r="H1613" s="934" t="s">
        <v>16</v>
      </c>
      <c r="I1613"/>
      <c r="J1613" s="805"/>
      <c r="K1613" s="744">
        <f>SUM(K1609:K1611)</f>
        <v>36</v>
      </c>
    </row>
    <row r="1614" spans="1:11" hidden="1">
      <c r="A1614" s="978"/>
      <c r="I1614"/>
      <c r="J1614" s="805"/>
      <c r="K1614" s="776" t="s">
        <v>89</v>
      </c>
    </row>
    <row r="1615" spans="1:11" hidden="1">
      <c r="A1615" s="978"/>
      <c r="F1615" s="934" t="s">
        <v>1729</v>
      </c>
      <c r="G1615" s="938" t="s">
        <v>111</v>
      </c>
      <c r="H1615" s="933" t="s">
        <v>1730</v>
      </c>
      <c r="I1615"/>
      <c r="J1615" s="805"/>
      <c r="K1615"/>
    </row>
    <row r="1616" spans="1:11" hidden="1">
      <c r="A1616" s="978"/>
      <c r="H1616" s="933" t="s">
        <v>1731</v>
      </c>
      <c r="I1616"/>
      <c r="J1616" s="805"/>
      <c r="K1616" s="743" t="s">
        <v>85</v>
      </c>
    </row>
    <row r="1617" spans="1:11" hidden="1">
      <c r="A1617" s="978"/>
      <c r="H1617" s="935" t="s">
        <v>52</v>
      </c>
      <c r="I1617"/>
      <c r="J1617" s="805"/>
      <c r="K1617"/>
    </row>
    <row r="1618" spans="1:11" hidden="1">
      <c r="A1618" s="978"/>
      <c r="F1618" s="939">
        <v>1</v>
      </c>
      <c r="G1618" s="938" t="s">
        <v>1724</v>
      </c>
      <c r="H1618" s="933" t="s">
        <v>1732</v>
      </c>
      <c r="I1618" s="744">
        <v>20</v>
      </c>
      <c r="J1618" s="779" t="s">
        <v>729</v>
      </c>
      <c r="K1618" s="744">
        <f>(F1618*I1618)</f>
        <v>20</v>
      </c>
    </row>
    <row r="1619" spans="1:11" hidden="1">
      <c r="A1619" s="978"/>
      <c r="G1619" s="938" t="s">
        <v>145</v>
      </c>
      <c r="H1619" s="933" t="s">
        <v>1733</v>
      </c>
      <c r="I1619"/>
      <c r="J1619" s="779" t="s">
        <v>145</v>
      </c>
      <c r="K1619" s="744">
        <v>5</v>
      </c>
    </row>
    <row r="1620" spans="1:11" hidden="1">
      <c r="A1620" s="978"/>
      <c r="I1620"/>
      <c r="J1620" s="805"/>
      <c r="K1620" s="776" t="s">
        <v>52</v>
      </c>
    </row>
    <row r="1621" spans="1:11" hidden="1">
      <c r="A1621" s="978"/>
      <c r="H1621" s="934" t="s">
        <v>1734</v>
      </c>
      <c r="I1621"/>
      <c r="J1621" s="805"/>
      <c r="K1621" s="744">
        <f>SUM(K1617:K1619)</f>
        <v>25</v>
      </c>
    </row>
    <row r="1622" spans="1:11" hidden="1">
      <c r="A1622" s="978"/>
      <c r="I1622"/>
      <c r="J1622" s="805"/>
      <c r="K1622" s="776" t="s">
        <v>89</v>
      </c>
    </row>
    <row r="1623" spans="1:11" hidden="1">
      <c r="A1623" s="978"/>
      <c r="F1623" s="934" t="s">
        <v>1735</v>
      </c>
      <c r="G1623" s="938" t="s">
        <v>111</v>
      </c>
      <c r="H1623" s="933" t="s">
        <v>1736</v>
      </c>
      <c r="I1623"/>
      <c r="J1623" s="805"/>
      <c r="K1623"/>
    </row>
    <row r="1624" spans="1:11" hidden="1">
      <c r="A1624" s="978"/>
      <c r="H1624" s="935" t="s">
        <v>52</v>
      </c>
      <c r="I1624" s="776" t="s">
        <v>52</v>
      </c>
      <c r="J1624" s="805"/>
      <c r="K1624"/>
    </row>
    <row r="1625" spans="1:11" hidden="1">
      <c r="A1625" s="978"/>
      <c r="F1625" s="939">
        <v>1</v>
      </c>
      <c r="G1625" s="938" t="s">
        <v>1724</v>
      </c>
      <c r="H1625" s="933" t="s">
        <v>1737</v>
      </c>
      <c r="I1625" s="744">
        <v>1</v>
      </c>
      <c r="J1625" s="779" t="s">
        <v>729</v>
      </c>
      <c r="K1625" s="744">
        <f>(F1625*I1625)</f>
        <v>1</v>
      </c>
    </row>
    <row r="1626" spans="1:11" hidden="1">
      <c r="A1626" s="978"/>
      <c r="G1626" s="938" t="s">
        <v>145</v>
      </c>
      <c r="H1626" s="933" t="s">
        <v>1733</v>
      </c>
      <c r="I1626"/>
      <c r="J1626" s="779" t="s">
        <v>145</v>
      </c>
      <c r="K1626" s="744">
        <v>0.25</v>
      </c>
    </row>
    <row r="1627" spans="1:11" hidden="1">
      <c r="A1627" s="978"/>
      <c r="I1627"/>
      <c r="J1627" s="805"/>
      <c r="K1627" s="776" t="s">
        <v>52</v>
      </c>
    </row>
    <row r="1628" spans="1:11" hidden="1">
      <c r="A1628" s="978"/>
      <c r="H1628" s="934" t="s">
        <v>1734</v>
      </c>
      <c r="I1628"/>
      <c r="J1628" s="805"/>
      <c r="K1628" s="744">
        <f>SUM(K1623:K1626)</f>
        <v>1.25</v>
      </c>
    </row>
    <row r="1629" spans="1:11" hidden="1">
      <c r="A1629" s="978"/>
      <c r="F1629" s="933" t="s">
        <v>85</v>
      </c>
      <c r="I1629"/>
      <c r="J1629" s="805"/>
      <c r="K1629" s="776" t="s">
        <v>52</v>
      </c>
    </row>
    <row r="1630" spans="1:11" hidden="1">
      <c r="A1630" s="978"/>
      <c r="F1630" s="948">
        <v>50.1</v>
      </c>
      <c r="G1630" s="938" t="s">
        <v>111</v>
      </c>
      <c r="H1630" s="933" t="s">
        <v>1738</v>
      </c>
      <c r="I1630"/>
      <c r="J1630" s="805"/>
      <c r="K1630"/>
    </row>
    <row r="1631" spans="1:11" hidden="1">
      <c r="A1631" s="978"/>
      <c r="H1631" s="933" t="s">
        <v>1739</v>
      </c>
      <c r="I1631"/>
      <c r="J1631" s="805"/>
      <c r="K1631"/>
    </row>
    <row r="1632" spans="1:11" hidden="1">
      <c r="A1632" s="978"/>
      <c r="H1632" s="933" t="s">
        <v>1740</v>
      </c>
      <c r="I1632"/>
      <c r="J1632" s="805"/>
      <c r="K1632"/>
    </row>
    <row r="1633" spans="1:11" hidden="1">
      <c r="A1633" s="978"/>
      <c r="H1633" s="933" t="s">
        <v>1741</v>
      </c>
      <c r="I1633"/>
      <c r="J1633" s="805"/>
      <c r="K1633"/>
    </row>
    <row r="1634" spans="1:11" hidden="1">
      <c r="A1634" s="978"/>
      <c r="H1634" s="933" t="s">
        <v>1742</v>
      </c>
      <c r="I1634"/>
      <c r="J1634" s="805"/>
      <c r="K1634"/>
    </row>
    <row r="1635" spans="1:11" hidden="1">
      <c r="A1635" s="978"/>
      <c r="H1635" s="935" t="s">
        <v>52</v>
      </c>
      <c r="I1635" s="776" t="s">
        <v>52</v>
      </c>
      <c r="J1635" s="805"/>
      <c r="K1635"/>
    </row>
    <row r="1636" spans="1:11" hidden="1">
      <c r="A1636" s="978"/>
      <c r="F1636" s="939">
        <v>9</v>
      </c>
      <c r="G1636" s="938" t="s">
        <v>5</v>
      </c>
      <c r="H1636" s="933" t="s">
        <v>1743</v>
      </c>
      <c r="I1636" s="744" t="e">
        <f>C73</f>
        <v>#REF!</v>
      </c>
      <c r="J1636" s="779" t="s">
        <v>5</v>
      </c>
      <c r="K1636" s="744" t="e">
        <f>(F1636*I1636)</f>
        <v>#REF!</v>
      </c>
    </row>
    <row r="1637" spans="1:11" hidden="1">
      <c r="A1637" s="978"/>
      <c r="F1637" s="939">
        <v>4.5</v>
      </c>
      <c r="G1637" s="938" t="s">
        <v>5</v>
      </c>
      <c r="H1637" s="933" t="s">
        <v>1744</v>
      </c>
      <c r="I1637" s="744" t="e">
        <f>K32</f>
        <v>#REF!</v>
      </c>
      <c r="J1637" s="779" t="s">
        <v>5</v>
      </c>
      <c r="K1637" s="744" t="e">
        <f>(F1637*I1637)</f>
        <v>#REF!</v>
      </c>
    </row>
    <row r="1638" spans="1:11" hidden="1">
      <c r="A1638" s="978"/>
      <c r="F1638" s="939">
        <v>1.8</v>
      </c>
      <c r="G1638" s="938" t="s">
        <v>727</v>
      </c>
      <c r="H1638" s="933" t="s">
        <v>1745</v>
      </c>
      <c r="I1638" s="744">
        <f>C11</f>
        <v>135</v>
      </c>
      <c r="J1638" s="779" t="s">
        <v>729</v>
      </c>
      <c r="K1638" s="744">
        <f>(F1638*I1638)</f>
        <v>243</v>
      </c>
    </row>
    <row r="1639" spans="1:11" hidden="1">
      <c r="A1639" s="978"/>
      <c r="F1639" s="939">
        <v>17.7</v>
      </c>
      <c r="G1639" s="938" t="s">
        <v>727</v>
      </c>
      <c r="H1639" s="933" t="s">
        <v>731</v>
      </c>
      <c r="I1639" s="744">
        <f>C12</f>
        <v>95</v>
      </c>
      <c r="J1639" s="779" t="s">
        <v>729</v>
      </c>
      <c r="K1639" s="744">
        <f>(F1639*I1639)</f>
        <v>1681.5</v>
      </c>
    </row>
    <row r="1640" spans="1:11" hidden="1">
      <c r="A1640" s="978"/>
      <c r="F1640" s="939">
        <v>14.1</v>
      </c>
      <c r="G1640" s="938" t="s">
        <v>727</v>
      </c>
      <c r="H1640" s="933" t="s">
        <v>1652</v>
      </c>
      <c r="I1640" s="744">
        <f>C13</f>
        <v>85</v>
      </c>
      <c r="J1640" s="779" t="s">
        <v>729</v>
      </c>
      <c r="K1640" s="744">
        <f>(F1640*I1640)</f>
        <v>1198.5</v>
      </c>
    </row>
    <row r="1641" spans="1:11" hidden="1">
      <c r="A1641" s="978"/>
      <c r="I1641"/>
      <c r="J1641" s="805"/>
      <c r="K1641" s="776" t="s">
        <v>52</v>
      </c>
    </row>
    <row r="1642" spans="1:11" hidden="1">
      <c r="A1642" s="978"/>
      <c r="H1642" s="934" t="s">
        <v>1746</v>
      </c>
      <c r="I1642"/>
      <c r="J1642" s="805"/>
      <c r="K1642" s="744" t="e">
        <f>SUM(K1636:K1640)</f>
        <v>#REF!</v>
      </c>
    </row>
    <row r="1643" spans="1:11" hidden="1">
      <c r="A1643" s="978"/>
      <c r="I1643"/>
      <c r="J1643" s="805"/>
      <c r="K1643" s="776" t="s">
        <v>52</v>
      </c>
    </row>
    <row r="1644" spans="1:11" hidden="1">
      <c r="A1644" s="978"/>
      <c r="H1644" s="934" t="s">
        <v>1747</v>
      </c>
      <c r="I1644"/>
      <c r="J1644" s="805"/>
      <c r="K1644" s="744" t="e">
        <f>(K1642/10)</f>
        <v>#REF!</v>
      </c>
    </row>
    <row r="1645" spans="1:11" hidden="1">
      <c r="A1645" s="978"/>
      <c r="I1645"/>
      <c r="J1645" s="805"/>
      <c r="K1645" s="776" t="s">
        <v>89</v>
      </c>
    </row>
    <row r="1646" spans="1:11" hidden="1">
      <c r="A1646" s="978"/>
      <c r="I1646"/>
      <c r="J1646" s="805"/>
      <c r="K1646"/>
    </row>
    <row r="1647" spans="1:11" hidden="1">
      <c r="A1647" s="978"/>
      <c r="G1647" s="938" t="s">
        <v>483</v>
      </c>
      <c r="H1647" s="933" t="s">
        <v>1748</v>
      </c>
      <c r="I1647"/>
      <c r="J1647" s="805"/>
      <c r="K1647"/>
    </row>
    <row r="1648" spans="1:11" hidden="1">
      <c r="A1648" s="978"/>
      <c r="H1648" s="933" t="s">
        <v>1749</v>
      </c>
      <c r="I1648"/>
      <c r="J1648" s="805"/>
      <c r="K1648"/>
    </row>
    <row r="1649" spans="1:11" hidden="1">
      <c r="A1649" s="978"/>
      <c r="H1649" s="935" t="s">
        <v>52</v>
      </c>
      <c r="I1649" s="776" t="s">
        <v>52</v>
      </c>
      <c r="J1649" s="805"/>
      <c r="K1649"/>
    </row>
    <row r="1650" spans="1:11" hidden="1">
      <c r="A1650" s="978"/>
      <c r="I1650"/>
      <c r="J1650" s="805"/>
      <c r="K1650"/>
    </row>
    <row r="1651" spans="1:11" hidden="1">
      <c r="A1651" s="978"/>
      <c r="F1651" s="941">
        <v>0.314</v>
      </c>
      <c r="G1651" s="938" t="s">
        <v>5</v>
      </c>
      <c r="H1651" s="933" t="s">
        <v>1750</v>
      </c>
      <c r="I1651" s="744" t="e">
        <f>K1644</f>
        <v>#REF!</v>
      </c>
      <c r="J1651" s="779" t="s">
        <v>5</v>
      </c>
      <c r="K1651" s="744" t="e">
        <f>(F1651*I1651)</f>
        <v>#REF!</v>
      </c>
    </row>
    <row r="1652" spans="1:11" hidden="1">
      <c r="A1652" s="978"/>
      <c r="F1652" s="939">
        <v>18</v>
      </c>
      <c r="G1652" s="938" t="s">
        <v>727</v>
      </c>
      <c r="H1652" s="933" t="s">
        <v>1751</v>
      </c>
      <c r="I1652" s="744">
        <v>2</v>
      </c>
      <c r="J1652" s="779" t="s">
        <v>729</v>
      </c>
      <c r="K1652" s="744">
        <f>(F1652*I1652)</f>
        <v>36</v>
      </c>
    </row>
    <row r="1653" spans="1:11" hidden="1">
      <c r="A1653" s="978"/>
      <c r="F1653" s="939">
        <v>18</v>
      </c>
      <c r="G1653" s="938" t="s">
        <v>727</v>
      </c>
      <c r="H1653" s="933" t="s">
        <v>1752</v>
      </c>
      <c r="I1653" s="744">
        <v>1</v>
      </c>
      <c r="J1653" s="779" t="s">
        <v>729</v>
      </c>
      <c r="K1653" s="744">
        <f>(F1653*I1653)</f>
        <v>18</v>
      </c>
    </row>
    <row r="1654" spans="1:11" hidden="1">
      <c r="A1654" s="978"/>
      <c r="F1654" s="939">
        <v>18</v>
      </c>
      <c r="G1654" s="938" t="s">
        <v>727</v>
      </c>
      <c r="H1654" s="933" t="s">
        <v>1753</v>
      </c>
      <c r="I1654" s="744">
        <v>2</v>
      </c>
      <c r="J1654" s="779" t="s">
        <v>729</v>
      </c>
      <c r="K1654" s="744">
        <f>(F1654*I1654)</f>
        <v>36</v>
      </c>
    </row>
    <row r="1655" spans="1:11" hidden="1">
      <c r="A1655" s="978"/>
      <c r="I1655"/>
      <c r="J1655" s="805"/>
      <c r="K1655" s="776" t="s">
        <v>52</v>
      </c>
    </row>
    <row r="1656" spans="1:11" hidden="1">
      <c r="A1656" s="978"/>
      <c r="H1656" s="934" t="s">
        <v>1754</v>
      </c>
      <c r="I1656"/>
      <c r="J1656" s="805"/>
      <c r="K1656" s="744" t="e">
        <f>SUM(K1650:K1654)</f>
        <v>#REF!</v>
      </c>
    </row>
    <row r="1657" spans="1:11" hidden="1">
      <c r="A1657" s="978"/>
      <c r="I1657"/>
      <c r="J1657" s="805"/>
      <c r="K1657" s="776" t="s">
        <v>52</v>
      </c>
    </row>
    <row r="1658" spans="1:11" hidden="1">
      <c r="A1658" s="978"/>
      <c r="H1658" s="934" t="s">
        <v>1755</v>
      </c>
      <c r="I1658"/>
      <c r="J1658" s="805"/>
      <c r="K1658" s="744" t="e">
        <f>(K1656/6.28)</f>
        <v>#REF!</v>
      </c>
    </row>
    <row r="1659" spans="1:11" hidden="1">
      <c r="A1659" s="978"/>
      <c r="I1659"/>
      <c r="J1659" s="805"/>
      <c r="K1659" s="776" t="s">
        <v>89</v>
      </c>
    </row>
    <row r="1660" spans="1:11" hidden="1">
      <c r="A1660" s="978"/>
      <c r="F1660" s="933" t="s">
        <v>85</v>
      </c>
      <c r="H1660" s="933" t="s">
        <v>1756</v>
      </c>
      <c r="I1660"/>
      <c r="J1660" s="805"/>
      <c r="K1660"/>
    </row>
    <row r="1661" spans="1:11" hidden="1">
      <c r="A1661" s="978"/>
      <c r="H1661" s="935" t="s">
        <v>52</v>
      </c>
      <c r="I1661"/>
      <c r="J1661" s="805"/>
      <c r="K1661"/>
    </row>
    <row r="1662" spans="1:11" hidden="1">
      <c r="A1662" s="978"/>
      <c r="F1662" s="941">
        <v>0.01</v>
      </c>
      <c r="G1662" s="938" t="s">
        <v>5</v>
      </c>
      <c r="H1662" s="933" t="s">
        <v>1750</v>
      </c>
      <c r="I1662" s="744" t="e">
        <f>K1644</f>
        <v>#REF!</v>
      </c>
      <c r="J1662" s="779" t="s">
        <v>5</v>
      </c>
      <c r="K1662" s="744" t="e">
        <f>(F1662*I1662)</f>
        <v>#REF!</v>
      </c>
    </row>
    <row r="1663" spans="1:11" hidden="1">
      <c r="A1663" s="978"/>
      <c r="F1663" s="939">
        <v>0.01</v>
      </c>
      <c r="G1663" s="938" t="s">
        <v>34</v>
      </c>
      <c r="H1663" s="933" t="s">
        <v>1757</v>
      </c>
      <c r="I1663" s="806" t="s">
        <v>49</v>
      </c>
      <c r="J1663" s="805"/>
      <c r="K1663" s="744">
        <v>1.2</v>
      </c>
    </row>
    <row r="1664" spans="1:11" hidden="1">
      <c r="A1664" s="978"/>
      <c r="I1664" s="971"/>
      <c r="J1664" s="805"/>
      <c r="K1664" s="776" t="s">
        <v>52</v>
      </c>
    </row>
    <row r="1665" spans="1:11" hidden="1">
      <c r="A1665" s="978"/>
      <c r="H1665" s="934" t="s">
        <v>1758</v>
      </c>
      <c r="I1665"/>
      <c r="J1665" s="805"/>
      <c r="K1665" s="744" t="e">
        <f>SUM(K1659:K1663)</f>
        <v>#REF!</v>
      </c>
    </row>
    <row r="1666" spans="1:11" hidden="1">
      <c r="A1666" s="978"/>
      <c r="I1666"/>
      <c r="J1666" s="805"/>
      <c r="K1666" s="776" t="s">
        <v>52</v>
      </c>
    </row>
    <row r="1667" spans="1:11" hidden="1">
      <c r="A1667" s="978"/>
      <c r="H1667" s="934" t="s">
        <v>1759</v>
      </c>
      <c r="I1667"/>
      <c r="J1667" s="805"/>
      <c r="K1667" s="744" t="e">
        <f>K1665/0.01</f>
        <v>#REF!</v>
      </c>
    </row>
    <row r="1668" spans="1:11" hidden="1">
      <c r="A1668" s="978"/>
      <c r="I1668"/>
      <c r="J1668" s="805"/>
      <c r="K1668" s="776" t="s">
        <v>89</v>
      </c>
    </row>
    <row r="1669" spans="1:11" hidden="1">
      <c r="A1669" s="978"/>
      <c r="F1669" s="934" t="s">
        <v>1760</v>
      </c>
      <c r="G1669" s="938" t="s">
        <v>483</v>
      </c>
      <c r="H1669" s="933" t="s">
        <v>1748</v>
      </c>
      <c r="I1669"/>
      <c r="J1669" s="805"/>
      <c r="K1669"/>
    </row>
    <row r="1670" spans="1:11" hidden="1">
      <c r="A1670" s="978"/>
      <c r="H1670" s="950" t="s">
        <v>1761</v>
      </c>
      <c r="I1670"/>
      <c r="J1670" s="805"/>
      <c r="K1670"/>
    </row>
    <row r="1671" spans="1:11" hidden="1">
      <c r="A1671" s="978"/>
      <c r="H1671" s="935" t="s">
        <v>52</v>
      </c>
      <c r="I1671" s="776" t="s">
        <v>52</v>
      </c>
      <c r="J1671" s="805"/>
      <c r="K1671"/>
    </row>
    <row r="1672" spans="1:11" hidden="1">
      <c r="A1672" s="978"/>
      <c r="F1672" s="941">
        <v>0.40500000000000003</v>
      </c>
      <c r="G1672" s="938" t="s">
        <v>5</v>
      </c>
      <c r="H1672" s="933" t="s">
        <v>1750</v>
      </c>
      <c r="I1672" s="744" t="e">
        <f>K1667</f>
        <v>#REF!</v>
      </c>
      <c r="J1672" s="779" t="s">
        <v>5</v>
      </c>
      <c r="K1672" s="744" t="e">
        <f>(F1672*I1672)</f>
        <v>#REF!</v>
      </c>
    </row>
    <row r="1673" spans="1:11" hidden="1">
      <c r="A1673" s="978"/>
      <c r="F1673" s="933" t="s">
        <v>85</v>
      </c>
      <c r="G1673" s="938" t="s">
        <v>85</v>
      </c>
      <c r="H1673" s="933" t="s">
        <v>1762</v>
      </c>
      <c r="I1673" s="806" t="s">
        <v>49</v>
      </c>
      <c r="J1673" s="805"/>
      <c r="K1673" s="743" t="s">
        <v>85</v>
      </c>
    </row>
    <row r="1674" spans="1:11" hidden="1">
      <c r="A1674" s="978"/>
      <c r="I1674"/>
      <c r="J1674" s="805"/>
      <c r="K1674" s="776" t="s">
        <v>52</v>
      </c>
    </row>
    <row r="1675" spans="1:11" hidden="1">
      <c r="A1675" s="978"/>
      <c r="H1675" s="934" t="s">
        <v>1763</v>
      </c>
      <c r="I1675"/>
      <c r="J1675" s="805"/>
      <c r="K1675" s="744" t="e">
        <f>SUM(K1669:K1673)</f>
        <v>#REF!</v>
      </c>
    </row>
    <row r="1676" spans="1:11" hidden="1">
      <c r="A1676" s="978"/>
      <c r="I1676"/>
      <c r="J1676" s="805"/>
      <c r="K1676" s="776" t="s">
        <v>52</v>
      </c>
    </row>
    <row r="1677" spans="1:11" hidden="1">
      <c r="A1677" s="978"/>
      <c r="H1677" s="934" t="s">
        <v>1764</v>
      </c>
      <c r="I1677"/>
      <c r="J1677" s="805"/>
      <c r="K1677" s="744" t="e">
        <f>K1675/9</f>
        <v>#REF!</v>
      </c>
    </row>
    <row r="1678" spans="1:11" hidden="1">
      <c r="A1678" s="978"/>
      <c r="I1678"/>
      <c r="J1678" s="805"/>
      <c r="K1678" s="776" t="s">
        <v>89</v>
      </c>
    </row>
    <row r="1679" spans="1:11" hidden="1">
      <c r="A1679" s="978"/>
      <c r="F1679" s="934" t="s">
        <v>1765</v>
      </c>
      <c r="H1679" s="933" t="s">
        <v>1766</v>
      </c>
      <c r="I1679"/>
      <c r="J1679" s="805"/>
      <c r="K1679"/>
    </row>
    <row r="1680" spans="1:11" hidden="1">
      <c r="A1680" s="978"/>
      <c r="H1680" s="935" t="s">
        <v>52</v>
      </c>
      <c r="I1680"/>
      <c r="J1680" s="805"/>
      <c r="K1680"/>
    </row>
    <row r="1681" spans="1:11" hidden="1">
      <c r="A1681" s="978"/>
      <c r="F1681" s="939">
        <v>4.32</v>
      </c>
      <c r="G1681" s="938" t="s">
        <v>132</v>
      </c>
      <c r="H1681" s="933" t="s">
        <v>1767</v>
      </c>
      <c r="I1681" s="744">
        <f>C61</f>
        <v>25</v>
      </c>
      <c r="J1681" s="779" t="s">
        <v>132</v>
      </c>
      <c r="K1681" s="744">
        <f t="shared" ref="K1681:K1688" si="62">(F1681*I1681)</f>
        <v>108</v>
      </c>
    </row>
    <row r="1682" spans="1:11" hidden="1">
      <c r="A1682" s="978"/>
      <c r="F1682" s="939">
        <v>1.44</v>
      </c>
      <c r="G1682" s="938" t="s">
        <v>132</v>
      </c>
      <c r="H1682" s="933" t="s">
        <v>1768</v>
      </c>
      <c r="I1682" s="744">
        <v>60.5</v>
      </c>
      <c r="J1682" s="779" t="s">
        <v>132</v>
      </c>
      <c r="K1682" s="744">
        <f t="shared" si="62"/>
        <v>87.12</v>
      </c>
    </row>
    <row r="1683" spans="1:11" hidden="1">
      <c r="A1683" s="978"/>
      <c r="F1683" s="939">
        <v>1.44</v>
      </c>
      <c r="G1683" s="938" t="s">
        <v>132</v>
      </c>
      <c r="H1683" s="933" t="s">
        <v>1769</v>
      </c>
      <c r="I1683" s="744">
        <f>C35</f>
        <v>169</v>
      </c>
      <c r="J1683" s="779" t="s">
        <v>132</v>
      </c>
      <c r="K1683" s="744">
        <f t="shared" si="62"/>
        <v>243.36</v>
      </c>
    </row>
    <row r="1684" spans="1:11" hidden="1">
      <c r="A1684" s="978"/>
      <c r="F1684" s="939">
        <v>1.44</v>
      </c>
      <c r="G1684" s="938" t="s">
        <v>132</v>
      </c>
      <c r="H1684" s="933" t="s">
        <v>1770</v>
      </c>
      <c r="I1684" s="744" t="e">
        <f>C78</f>
        <v>#REF!</v>
      </c>
      <c r="J1684" s="779" t="s">
        <v>132</v>
      </c>
      <c r="K1684" s="744" t="e">
        <f t="shared" si="62"/>
        <v>#REF!</v>
      </c>
    </row>
    <row r="1685" spans="1:11" hidden="1">
      <c r="A1685" s="978"/>
      <c r="F1685" s="939">
        <v>2.88</v>
      </c>
      <c r="G1685" s="938" t="s">
        <v>132</v>
      </c>
      <c r="H1685" s="933" t="s">
        <v>1771</v>
      </c>
      <c r="I1685" s="744">
        <v>10</v>
      </c>
      <c r="J1685" s="779" t="s">
        <v>132</v>
      </c>
      <c r="K1685" s="744">
        <f t="shared" si="62"/>
        <v>28.8</v>
      </c>
    </row>
    <row r="1686" spans="1:11" hidden="1">
      <c r="A1686" s="978"/>
      <c r="F1686" s="939">
        <v>20</v>
      </c>
      <c r="G1686" s="938" t="s">
        <v>1772</v>
      </c>
      <c r="H1686" s="933" t="s">
        <v>1773</v>
      </c>
      <c r="I1686" s="744">
        <v>40</v>
      </c>
      <c r="J1686" s="779" t="s">
        <v>1772</v>
      </c>
      <c r="K1686" s="744">
        <f t="shared" si="62"/>
        <v>800</v>
      </c>
    </row>
    <row r="1687" spans="1:11" hidden="1">
      <c r="A1687" s="978"/>
      <c r="F1687" s="939">
        <v>42</v>
      </c>
      <c r="G1687" s="938" t="s">
        <v>1774</v>
      </c>
      <c r="H1687" s="933" t="s">
        <v>1775</v>
      </c>
      <c r="I1687" s="744">
        <v>10</v>
      </c>
      <c r="J1687" s="779" t="s">
        <v>1774</v>
      </c>
      <c r="K1687" s="744">
        <f t="shared" si="62"/>
        <v>420</v>
      </c>
    </row>
    <row r="1688" spans="1:11" hidden="1">
      <c r="A1688" s="978"/>
      <c r="F1688" s="939">
        <v>4.32</v>
      </c>
      <c r="G1688" s="938" t="s">
        <v>132</v>
      </c>
      <c r="H1688" s="933" t="s">
        <v>1776</v>
      </c>
      <c r="I1688" s="744">
        <f>C27</f>
        <v>7.8</v>
      </c>
      <c r="J1688" s="779" t="s">
        <v>132</v>
      </c>
      <c r="K1688" s="744">
        <f t="shared" si="62"/>
        <v>33.700000000000003</v>
      </c>
    </row>
    <row r="1689" spans="1:11" hidden="1">
      <c r="A1689" s="978"/>
      <c r="F1689" s="934" t="s">
        <v>1777</v>
      </c>
      <c r="H1689" s="933" t="s">
        <v>1778</v>
      </c>
      <c r="I1689"/>
      <c r="J1689" s="805"/>
      <c r="K1689" s="744">
        <v>2000</v>
      </c>
    </row>
    <row r="1690" spans="1:11" hidden="1">
      <c r="A1690" s="978"/>
      <c r="I1690"/>
      <c r="J1690" s="805"/>
      <c r="K1690" s="776" t="s">
        <v>52</v>
      </c>
    </row>
    <row r="1691" spans="1:11" hidden="1">
      <c r="A1691" s="978"/>
      <c r="H1691" s="933" t="s">
        <v>1779</v>
      </c>
      <c r="I1691"/>
      <c r="J1691" s="805"/>
      <c r="K1691" s="744" t="e">
        <f>SUM(K1681:K1689)</f>
        <v>#REF!</v>
      </c>
    </row>
    <row r="1692" spans="1:11" hidden="1">
      <c r="A1692" s="978"/>
      <c r="I1692"/>
      <c r="J1692" s="805"/>
      <c r="K1692" s="776" t="s">
        <v>52</v>
      </c>
    </row>
    <row r="1693" spans="1:11" hidden="1">
      <c r="A1693" s="978"/>
      <c r="H1693" s="933" t="s">
        <v>1780</v>
      </c>
      <c r="I1693"/>
      <c r="J1693" s="805"/>
      <c r="K1693" s="744" t="e">
        <f>K1691/20</f>
        <v>#REF!</v>
      </c>
    </row>
    <row r="1694" spans="1:11" hidden="1">
      <c r="A1694" s="978"/>
      <c r="I1694"/>
      <c r="J1694" s="805"/>
      <c r="K1694" s="776" t="s">
        <v>89</v>
      </c>
    </row>
    <row r="1695" spans="1:11" hidden="1">
      <c r="A1695" s="978"/>
      <c r="I1695"/>
      <c r="J1695" s="805"/>
      <c r="K1695"/>
    </row>
    <row r="1696" spans="1:11" hidden="1">
      <c r="A1696" s="978"/>
      <c r="F1696" s="934" t="s">
        <v>1781</v>
      </c>
      <c r="H1696" s="933" t="s">
        <v>1782</v>
      </c>
      <c r="I1696"/>
      <c r="J1696" s="805"/>
      <c r="K1696"/>
    </row>
    <row r="1697" spans="1:11" hidden="1">
      <c r="A1697" s="978"/>
      <c r="H1697" s="935" t="s">
        <v>52</v>
      </c>
      <c r="I1697"/>
      <c r="J1697" s="805"/>
      <c r="K1697"/>
    </row>
    <row r="1698" spans="1:11" hidden="1">
      <c r="A1698" s="978"/>
      <c r="F1698" s="939">
        <v>0.1</v>
      </c>
      <c r="G1698" s="938" t="s">
        <v>132</v>
      </c>
      <c r="H1698" s="933" t="s">
        <v>1767</v>
      </c>
      <c r="I1698" s="744">
        <f>K90</f>
        <v>50</v>
      </c>
      <c r="J1698" s="779" t="s">
        <v>132</v>
      </c>
      <c r="K1698" s="744">
        <f t="shared" ref="K1698:K1703" si="63">(F1698*I1698)</f>
        <v>5</v>
      </c>
    </row>
    <row r="1699" spans="1:11" hidden="1">
      <c r="A1699" s="978"/>
      <c r="F1699" s="939">
        <v>6.3</v>
      </c>
      <c r="G1699" s="938" t="s">
        <v>1774</v>
      </c>
      <c r="H1699" s="933" t="s">
        <v>1783</v>
      </c>
      <c r="I1699" s="964">
        <v>21</v>
      </c>
      <c r="J1699" s="779" t="s">
        <v>1774</v>
      </c>
      <c r="K1699" s="744">
        <f t="shared" si="63"/>
        <v>132.30000000000001</v>
      </c>
    </row>
    <row r="1700" spans="1:11" hidden="1">
      <c r="A1700" s="978"/>
      <c r="F1700" s="939">
        <v>6.3</v>
      </c>
      <c r="G1700" s="938" t="s">
        <v>1774</v>
      </c>
      <c r="H1700" s="933" t="s">
        <v>1775</v>
      </c>
      <c r="I1700" s="744">
        <v>10</v>
      </c>
      <c r="J1700" s="779" t="s">
        <v>1774</v>
      </c>
      <c r="K1700" s="744">
        <f t="shared" si="63"/>
        <v>63</v>
      </c>
    </row>
    <row r="1701" spans="1:11" hidden="1">
      <c r="A1701" s="978"/>
      <c r="F1701" s="939">
        <v>3.15</v>
      </c>
      <c r="G1701" s="938" t="s">
        <v>468</v>
      </c>
      <c r="H1701" s="933" t="s">
        <v>1784</v>
      </c>
      <c r="I1701" s="964">
        <v>22.6</v>
      </c>
      <c r="J1701" s="779" t="s">
        <v>468</v>
      </c>
      <c r="K1701" s="744">
        <f t="shared" si="63"/>
        <v>71.19</v>
      </c>
    </row>
    <row r="1702" spans="1:11" hidden="1">
      <c r="A1702" s="978"/>
      <c r="F1702" s="939">
        <v>0.25</v>
      </c>
      <c r="G1702" s="938" t="s">
        <v>1724</v>
      </c>
      <c r="H1702" s="933" t="s">
        <v>1785</v>
      </c>
      <c r="I1702" s="744">
        <f>D16</f>
        <v>135</v>
      </c>
      <c r="J1702" s="779" t="s">
        <v>1724</v>
      </c>
      <c r="K1702" s="744">
        <f t="shared" si="63"/>
        <v>33.75</v>
      </c>
    </row>
    <row r="1703" spans="1:11" hidden="1">
      <c r="A1703" s="978"/>
      <c r="F1703" s="939">
        <v>0.2</v>
      </c>
      <c r="G1703" s="938" t="s">
        <v>1724</v>
      </c>
      <c r="H1703" s="933" t="s">
        <v>1786</v>
      </c>
      <c r="I1703" s="744">
        <f>C17</f>
        <v>130</v>
      </c>
      <c r="J1703" s="779" t="s">
        <v>1724</v>
      </c>
      <c r="K1703" s="744">
        <f t="shared" si="63"/>
        <v>26</v>
      </c>
    </row>
    <row r="1704" spans="1:11" hidden="1">
      <c r="A1704" s="978"/>
      <c r="H1704" s="933" t="s">
        <v>1787</v>
      </c>
      <c r="I1704" s="743" t="s">
        <v>85</v>
      </c>
      <c r="J1704" s="779" t="s">
        <v>85</v>
      </c>
      <c r="K1704" s="744">
        <v>0</v>
      </c>
    </row>
    <row r="1705" spans="1:11" hidden="1">
      <c r="A1705" s="978"/>
      <c r="I1705"/>
      <c r="J1705" s="779" t="s">
        <v>85</v>
      </c>
      <c r="K1705" s="776" t="s">
        <v>52</v>
      </c>
    </row>
    <row r="1706" spans="1:11" hidden="1">
      <c r="A1706" s="978"/>
      <c r="F1706" s="933" t="s">
        <v>85</v>
      </c>
      <c r="G1706" s="938" t="s">
        <v>85</v>
      </c>
      <c r="H1706" s="933" t="s">
        <v>1780</v>
      </c>
      <c r="I1706"/>
      <c r="J1706" s="805"/>
      <c r="K1706" s="744">
        <f>SUM(K1698:K1704)</f>
        <v>331.24</v>
      </c>
    </row>
    <row r="1707" spans="1:11" hidden="1">
      <c r="A1707" s="978"/>
      <c r="H1707" s="933" t="s">
        <v>85</v>
      </c>
      <c r="I1707"/>
      <c r="J1707" s="805"/>
      <c r="K1707" s="776" t="s">
        <v>52</v>
      </c>
    </row>
    <row r="1708" spans="1:11" hidden="1">
      <c r="A1708" s="978"/>
      <c r="I1708"/>
      <c r="J1708" s="805"/>
      <c r="K1708" s="776"/>
    </row>
    <row r="1709" spans="1:11" hidden="1">
      <c r="A1709" s="978"/>
      <c r="F1709" s="934" t="s">
        <v>1788</v>
      </c>
      <c r="H1709" s="933" t="s">
        <v>1789</v>
      </c>
      <c r="I1709"/>
      <c r="J1709" s="805"/>
      <c r="K1709"/>
    </row>
    <row r="1710" spans="1:11" hidden="1">
      <c r="A1710" s="978"/>
      <c r="H1710" s="935" t="s">
        <v>52</v>
      </c>
      <c r="I1710"/>
      <c r="J1710" s="805"/>
      <c r="K1710"/>
    </row>
    <row r="1711" spans="1:11" hidden="1">
      <c r="A1711" s="978"/>
      <c r="F1711" s="959">
        <v>0.48599999999999999</v>
      </c>
      <c r="G1711" s="938" t="s">
        <v>34</v>
      </c>
      <c r="H1711" s="933" t="s">
        <v>1767</v>
      </c>
      <c r="I1711" s="744">
        <f>C61</f>
        <v>25</v>
      </c>
      <c r="J1711" s="779" t="s">
        <v>34</v>
      </c>
      <c r="K1711" s="744">
        <f t="shared" ref="K1711:K1717" si="64">(F1711*I1711)</f>
        <v>12.15</v>
      </c>
    </row>
    <row r="1712" spans="1:11" hidden="1">
      <c r="A1712" s="978"/>
      <c r="F1712" s="959">
        <v>0.48599999999999999</v>
      </c>
      <c r="G1712" s="938" t="s">
        <v>34</v>
      </c>
      <c r="H1712" s="933" t="s">
        <v>1790</v>
      </c>
      <c r="I1712" s="744" t="e">
        <f>K203</f>
        <v>#REF!</v>
      </c>
      <c r="J1712" s="779" t="s">
        <v>34</v>
      </c>
      <c r="K1712" s="744" t="e">
        <f t="shared" si="64"/>
        <v>#REF!</v>
      </c>
    </row>
    <row r="1713" spans="1:11" hidden="1">
      <c r="A1713" s="978"/>
      <c r="F1713" s="939">
        <v>81.75</v>
      </c>
      <c r="G1713" s="938" t="s">
        <v>1791</v>
      </c>
      <c r="H1713" s="933" t="s">
        <v>1792</v>
      </c>
      <c r="I1713" s="744">
        <v>30</v>
      </c>
      <c r="J1713" s="779" t="s">
        <v>1791</v>
      </c>
      <c r="K1713" s="744">
        <f t="shared" si="64"/>
        <v>2452.5</v>
      </c>
    </row>
    <row r="1714" spans="1:11" hidden="1">
      <c r="A1714" s="978"/>
      <c r="F1714" s="939">
        <v>7.2</v>
      </c>
      <c r="G1714" s="938" t="s">
        <v>1791</v>
      </c>
      <c r="H1714" s="933" t="s">
        <v>1793</v>
      </c>
      <c r="I1714" s="744">
        <v>30</v>
      </c>
      <c r="J1714" s="779" t="s">
        <v>1791</v>
      </c>
      <c r="K1714" s="744">
        <f t="shared" si="64"/>
        <v>216</v>
      </c>
    </row>
    <row r="1715" spans="1:11" hidden="1">
      <c r="A1715" s="978"/>
      <c r="F1715" s="939">
        <v>43.68</v>
      </c>
      <c r="G1715" s="938" t="s">
        <v>1791</v>
      </c>
      <c r="H1715" s="933" t="s">
        <v>1794</v>
      </c>
      <c r="I1715" s="744">
        <f>I1713</f>
        <v>30</v>
      </c>
      <c r="J1715" s="779" t="s">
        <v>1791</v>
      </c>
      <c r="K1715" s="744">
        <f t="shared" si="64"/>
        <v>1310.4000000000001</v>
      </c>
    </row>
    <row r="1716" spans="1:11" hidden="1">
      <c r="A1716" s="978"/>
      <c r="F1716" s="939">
        <v>132.63</v>
      </c>
      <c r="G1716" s="938" t="s">
        <v>1791</v>
      </c>
      <c r="H1716" s="933" t="s">
        <v>1795</v>
      </c>
      <c r="I1716" s="964">
        <v>12.3</v>
      </c>
      <c r="J1716" s="779" t="s">
        <v>1791</v>
      </c>
      <c r="K1716" s="744">
        <f t="shared" si="64"/>
        <v>1631.35</v>
      </c>
    </row>
    <row r="1717" spans="1:11" hidden="1">
      <c r="A1717" s="978"/>
      <c r="F1717" s="939">
        <v>2.2000000000000002</v>
      </c>
      <c r="G1717" s="938" t="s">
        <v>468</v>
      </c>
      <c r="H1717" s="933" t="s">
        <v>1796</v>
      </c>
      <c r="I1717" s="744">
        <v>360</v>
      </c>
      <c r="J1717" s="779" t="s">
        <v>468</v>
      </c>
      <c r="K1717" s="744">
        <f t="shared" si="64"/>
        <v>792</v>
      </c>
    </row>
    <row r="1718" spans="1:11" hidden="1">
      <c r="A1718" s="978"/>
      <c r="F1718" s="937" t="s">
        <v>49</v>
      </c>
      <c r="H1718" s="933" t="s">
        <v>1797</v>
      </c>
      <c r="I1718" s="806" t="s">
        <v>49</v>
      </c>
      <c r="J1718" s="805"/>
      <c r="K1718" s="744">
        <v>250</v>
      </c>
    </row>
    <row r="1719" spans="1:11" hidden="1">
      <c r="A1719" s="978"/>
      <c r="F1719" s="937" t="s">
        <v>49</v>
      </c>
      <c r="H1719" s="933" t="s">
        <v>1798</v>
      </c>
      <c r="I1719" s="806" t="s">
        <v>49</v>
      </c>
      <c r="J1719" s="805"/>
      <c r="K1719" s="744">
        <v>20</v>
      </c>
    </row>
    <row r="1720" spans="1:11" hidden="1">
      <c r="A1720" s="978"/>
      <c r="I1720"/>
      <c r="J1720" s="805"/>
      <c r="K1720" s="776" t="s">
        <v>52</v>
      </c>
    </row>
    <row r="1721" spans="1:11" hidden="1">
      <c r="A1721" s="978"/>
      <c r="I1721"/>
      <c r="J1721" s="805"/>
      <c r="K1721" s="744" t="e">
        <f>SUM(K1711:K1720)</f>
        <v>#REF!</v>
      </c>
    </row>
    <row r="1722" spans="1:11" hidden="1">
      <c r="A1722" s="978"/>
      <c r="I1722"/>
      <c r="J1722" s="805"/>
      <c r="K1722" s="776" t="s">
        <v>52</v>
      </c>
    </row>
    <row r="1723" spans="1:11" hidden="1">
      <c r="A1723" s="978"/>
      <c r="I1723"/>
      <c r="J1723" s="805"/>
      <c r="K1723" s="776"/>
    </row>
    <row r="1724" spans="1:11" hidden="1">
      <c r="A1724" s="978"/>
      <c r="F1724" s="944">
        <v>86</v>
      </c>
      <c r="H1724" s="933" t="s">
        <v>1134</v>
      </c>
      <c r="I1724"/>
      <c r="J1724" s="805"/>
      <c r="K1724" s="744">
        <f>C777</f>
        <v>30</v>
      </c>
    </row>
    <row r="1725" spans="1:11" hidden="1">
      <c r="A1725" s="978"/>
      <c r="F1725" s="948"/>
      <c r="H1725" s="933"/>
      <c r="I1725"/>
      <c r="J1725" s="805"/>
      <c r="K1725" s="744"/>
    </row>
    <row r="1726" spans="1:11" hidden="1">
      <c r="A1726" s="978"/>
      <c r="F1726" s="934" t="s">
        <v>1799</v>
      </c>
      <c r="H1726" s="933" t="s">
        <v>1800</v>
      </c>
      <c r="I1726"/>
      <c r="J1726" s="805"/>
      <c r="K1726" s="743">
        <v>3135</v>
      </c>
    </row>
    <row r="1727" spans="1:11" hidden="1">
      <c r="A1727" s="978"/>
      <c r="H1727" s="933" t="s">
        <v>1801</v>
      </c>
      <c r="I1727"/>
      <c r="J1727" s="805"/>
      <c r="K1727">
        <f>K1726</f>
        <v>3135</v>
      </c>
    </row>
    <row r="1728" spans="1:11" hidden="1">
      <c r="A1728" s="978"/>
      <c r="F1728" s="933" t="s">
        <v>85</v>
      </c>
      <c r="I1728"/>
      <c r="J1728" s="805"/>
      <c r="K1728"/>
    </row>
    <row r="1729" spans="1:11" hidden="1">
      <c r="A1729" s="978"/>
      <c r="F1729" s="948"/>
      <c r="G1729" s="938" t="s">
        <v>111</v>
      </c>
      <c r="H1729" s="933" t="s">
        <v>609</v>
      </c>
      <c r="I1729"/>
      <c r="J1729" s="805"/>
      <c r="K1729"/>
    </row>
    <row r="1730" spans="1:11" hidden="1">
      <c r="A1730" s="978"/>
      <c r="H1730" s="933" t="s">
        <v>1802</v>
      </c>
      <c r="I1730"/>
      <c r="J1730" s="805"/>
      <c r="K1730"/>
    </row>
    <row r="1731" spans="1:11" hidden="1">
      <c r="A1731" s="978"/>
      <c r="H1731" s="933" t="s">
        <v>656</v>
      </c>
      <c r="I1731"/>
      <c r="J1731" s="805"/>
      <c r="K1731"/>
    </row>
    <row r="1732" spans="1:11" hidden="1">
      <c r="A1732" s="978"/>
      <c r="H1732" s="935" t="s">
        <v>52</v>
      </c>
      <c r="I1732"/>
      <c r="J1732" s="805"/>
      <c r="K1732"/>
    </row>
    <row r="1733" spans="1:11" hidden="1">
      <c r="A1733" s="978"/>
      <c r="G1733" s="938" t="s">
        <v>1803</v>
      </c>
      <c r="H1733" s="933" t="s">
        <v>656</v>
      </c>
      <c r="I1733"/>
      <c r="J1733" s="805"/>
      <c r="K1733" s="743" t="s">
        <v>1804</v>
      </c>
    </row>
    <row r="1734" spans="1:11" hidden="1">
      <c r="A1734" s="978"/>
      <c r="H1734" s="935" t="s">
        <v>52</v>
      </c>
      <c r="I1734"/>
      <c r="J1734" s="805"/>
      <c r="K1734" s="776" t="s">
        <v>89</v>
      </c>
    </row>
    <row r="1735" spans="1:11" hidden="1">
      <c r="A1735" s="978"/>
      <c r="F1735" s="939">
        <v>30</v>
      </c>
      <c r="G1735" s="938" t="s">
        <v>282</v>
      </c>
      <c r="H1735" s="933" t="s">
        <v>662</v>
      </c>
      <c r="I1735" s="744">
        <f>(C639)</f>
        <v>3</v>
      </c>
      <c r="J1735" s="779" t="s">
        <v>282</v>
      </c>
      <c r="K1735" s="744">
        <f>(F1735*I1735)</f>
        <v>90</v>
      </c>
    </row>
    <row r="1736" spans="1:11" hidden="1">
      <c r="A1736" s="978"/>
      <c r="F1736" s="933" t="s">
        <v>85</v>
      </c>
      <c r="H1736" s="933" t="s">
        <v>665</v>
      </c>
      <c r="I1736" s="743" t="s">
        <v>85</v>
      </c>
      <c r="J1736" s="805"/>
      <c r="K1736" s="743" t="s">
        <v>85</v>
      </c>
    </row>
    <row r="1737" spans="1:11" hidden="1">
      <c r="A1737" s="978"/>
      <c r="F1737" s="939">
        <v>8</v>
      </c>
      <c r="G1737" s="938" t="s">
        <v>131</v>
      </c>
      <c r="H1737" s="933" t="s">
        <v>624</v>
      </c>
      <c r="I1737" s="744">
        <f>(C641)</f>
        <v>2.2000000000000002</v>
      </c>
      <c r="J1737" s="779" t="s">
        <v>131</v>
      </c>
      <c r="K1737" s="744">
        <f t="shared" ref="K1737:K1742" si="65">(F1737*I1737)</f>
        <v>17.600000000000001</v>
      </c>
    </row>
    <row r="1738" spans="1:11" hidden="1">
      <c r="A1738" s="978"/>
      <c r="F1738" s="939">
        <v>8</v>
      </c>
      <c r="G1738" s="938" t="s">
        <v>131</v>
      </c>
      <c r="H1738" s="933" t="s">
        <v>627</v>
      </c>
      <c r="I1738" s="744">
        <f>(C642)</f>
        <v>3.2</v>
      </c>
      <c r="J1738" s="779" t="s">
        <v>131</v>
      </c>
      <c r="K1738" s="744">
        <f t="shared" si="65"/>
        <v>25.6</v>
      </c>
    </row>
    <row r="1739" spans="1:11" hidden="1">
      <c r="A1739" s="978"/>
      <c r="F1739" s="939">
        <v>3</v>
      </c>
      <c r="G1739" s="938" t="s">
        <v>131</v>
      </c>
      <c r="H1739" s="933" t="s">
        <v>669</v>
      </c>
      <c r="I1739" s="744">
        <f>(C41)</f>
        <v>110</v>
      </c>
      <c r="J1739" s="779" t="s">
        <v>131</v>
      </c>
      <c r="K1739" s="744">
        <f t="shared" si="65"/>
        <v>330</v>
      </c>
    </row>
    <row r="1740" spans="1:11" hidden="1">
      <c r="A1740" s="978"/>
      <c r="F1740" s="939">
        <v>1</v>
      </c>
      <c r="G1740" s="938" t="s">
        <v>131</v>
      </c>
      <c r="H1740" s="933" t="s">
        <v>1805</v>
      </c>
      <c r="I1740" s="744">
        <f>(C10)</f>
        <v>150</v>
      </c>
      <c r="J1740" s="779" t="s">
        <v>131</v>
      </c>
      <c r="K1740" s="744">
        <f t="shared" si="65"/>
        <v>150</v>
      </c>
    </row>
    <row r="1741" spans="1:11" hidden="1">
      <c r="A1741" s="978"/>
      <c r="F1741" s="939">
        <v>2</v>
      </c>
      <c r="G1741" s="938" t="s">
        <v>131</v>
      </c>
      <c r="H1741" s="933" t="s">
        <v>304</v>
      </c>
      <c r="I1741" s="744">
        <f>(C12)</f>
        <v>95</v>
      </c>
      <c r="J1741" s="779" t="s">
        <v>131</v>
      </c>
      <c r="K1741" s="744">
        <f t="shared" si="65"/>
        <v>190</v>
      </c>
    </row>
    <row r="1742" spans="1:11" hidden="1">
      <c r="A1742" s="978"/>
      <c r="F1742" s="939">
        <v>1</v>
      </c>
      <c r="G1742" s="938" t="s">
        <v>131</v>
      </c>
      <c r="H1742" s="933" t="s">
        <v>306</v>
      </c>
      <c r="I1742" s="744">
        <f>(C13)</f>
        <v>85</v>
      </c>
      <c r="J1742" s="779" t="s">
        <v>131</v>
      </c>
      <c r="K1742" s="744">
        <f t="shared" si="65"/>
        <v>85</v>
      </c>
    </row>
    <row r="1743" spans="1:11" hidden="1">
      <c r="A1743" s="978"/>
      <c r="G1743" s="938" t="s">
        <v>145</v>
      </c>
      <c r="H1743" s="933" t="s">
        <v>1806</v>
      </c>
      <c r="I1743" s="743" t="s">
        <v>85</v>
      </c>
      <c r="J1743" s="779" t="s">
        <v>145</v>
      </c>
      <c r="K1743" s="744">
        <v>5</v>
      </c>
    </row>
    <row r="1744" spans="1:11" hidden="1">
      <c r="A1744" s="978"/>
      <c r="H1744" s="933" t="s">
        <v>1807</v>
      </c>
      <c r="I1744" s="743" t="s">
        <v>85</v>
      </c>
      <c r="J1744" s="805"/>
      <c r="K1744" s="743" t="s">
        <v>85</v>
      </c>
    </row>
    <row r="1745" spans="1:11" hidden="1">
      <c r="A1745" s="978"/>
      <c r="G1745" s="938" t="s">
        <v>145</v>
      </c>
      <c r="H1745" s="933" t="s">
        <v>146</v>
      </c>
      <c r="I1745"/>
      <c r="J1745" s="779" t="s">
        <v>145</v>
      </c>
      <c r="K1745" s="744">
        <v>0</v>
      </c>
    </row>
    <row r="1746" spans="1:11" hidden="1">
      <c r="A1746" s="978"/>
      <c r="I1746"/>
      <c r="J1746" s="805"/>
      <c r="K1746" s="776" t="s">
        <v>52</v>
      </c>
    </row>
    <row r="1747" spans="1:11" hidden="1">
      <c r="A1747" s="978"/>
      <c r="H1747" s="933" t="s">
        <v>674</v>
      </c>
      <c r="I1747"/>
      <c r="J1747" s="805"/>
      <c r="K1747" s="744">
        <f>SUM(K1735:K1745)</f>
        <v>893.2</v>
      </c>
    </row>
    <row r="1748" spans="1:11" hidden="1">
      <c r="A1748" s="978"/>
      <c r="I1748"/>
      <c r="J1748" s="805"/>
      <c r="K1748" s="776" t="s">
        <v>52</v>
      </c>
    </row>
    <row r="1749" spans="1:11" hidden="1">
      <c r="A1749" s="978"/>
      <c r="H1749" s="933" t="s">
        <v>632</v>
      </c>
      <c r="I1749"/>
      <c r="J1749" s="805"/>
      <c r="K1749" s="744">
        <f>(K1747/30)</f>
        <v>29.77</v>
      </c>
    </row>
    <row r="1750" spans="1:11" hidden="1">
      <c r="A1750" s="978"/>
      <c r="I1750"/>
      <c r="J1750" s="805"/>
      <c r="K1750" s="776" t="s">
        <v>52</v>
      </c>
    </row>
    <row r="1751" spans="1:11" hidden="1">
      <c r="A1751" s="978"/>
      <c r="G1751" s="938" t="s">
        <v>986</v>
      </c>
      <c r="H1751" s="933" t="s">
        <v>656</v>
      </c>
      <c r="I1751"/>
      <c r="J1751" s="805"/>
      <c r="K1751" s="743" t="s">
        <v>1808</v>
      </c>
    </row>
    <row r="1752" spans="1:11" hidden="1">
      <c r="A1752" s="978"/>
      <c r="H1752" s="935" t="s">
        <v>52</v>
      </c>
      <c r="I1752"/>
      <c r="J1752" s="805"/>
      <c r="K1752" s="776" t="s">
        <v>89</v>
      </c>
    </row>
    <row r="1753" spans="1:11" hidden="1">
      <c r="A1753" s="978"/>
      <c r="F1753" s="939">
        <v>30</v>
      </c>
      <c r="G1753" s="938" t="s">
        <v>282</v>
      </c>
      <c r="H1753" s="933" t="s">
        <v>662</v>
      </c>
      <c r="I1753" s="744">
        <f>(C639)</f>
        <v>3</v>
      </c>
      <c r="J1753" s="779" t="s">
        <v>282</v>
      </c>
      <c r="K1753" s="744">
        <f>(F1753*I1753)</f>
        <v>90</v>
      </c>
    </row>
    <row r="1754" spans="1:11" hidden="1">
      <c r="A1754" s="978"/>
      <c r="F1754" s="933" t="s">
        <v>85</v>
      </c>
      <c r="H1754" s="933" t="s">
        <v>665</v>
      </c>
      <c r="I1754" s="743" t="s">
        <v>85</v>
      </c>
      <c r="J1754" s="805"/>
      <c r="K1754" s="743" t="s">
        <v>85</v>
      </c>
    </row>
    <row r="1755" spans="1:11" hidden="1">
      <c r="A1755" s="978"/>
      <c r="F1755" s="939">
        <v>8</v>
      </c>
      <c r="G1755" s="938" t="s">
        <v>131</v>
      </c>
      <c r="H1755" s="933" t="s">
        <v>624</v>
      </c>
      <c r="I1755" s="744">
        <f>(C641)</f>
        <v>2.2000000000000002</v>
      </c>
      <c r="J1755" s="779" t="s">
        <v>131</v>
      </c>
      <c r="K1755" s="744">
        <f t="shared" ref="K1755:K1760" si="66">(F1755*I1755)</f>
        <v>17.600000000000001</v>
      </c>
    </row>
    <row r="1756" spans="1:11" hidden="1">
      <c r="A1756" s="978"/>
      <c r="F1756" s="939">
        <v>8</v>
      </c>
      <c r="G1756" s="938" t="s">
        <v>131</v>
      </c>
      <c r="H1756" s="933" t="s">
        <v>627</v>
      </c>
      <c r="I1756" s="744">
        <f>(D642)</f>
        <v>3.2</v>
      </c>
      <c r="J1756" s="779" t="s">
        <v>131</v>
      </c>
      <c r="K1756" s="744">
        <f t="shared" si="66"/>
        <v>25.6</v>
      </c>
    </row>
    <row r="1757" spans="1:11" hidden="1">
      <c r="A1757" s="978"/>
      <c r="F1757" s="939">
        <v>3</v>
      </c>
      <c r="G1757" s="938" t="s">
        <v>131</v>
      </c>
      <c r="H1757" s="933" t="s">
        <v>669</v>
      </c>
      <c r="I1757" s="744">
        <f>(C41)</f>
        <v>110</v>
      </c>
      <c r="J1757" s="779" t="s">
        <v>131</v>
      </c>
      <c r="K1757" s="744">
        <f t="shared" si="66"/>
        <v>330</v>
      </c>
    </row>
    <row r="1758" spans="1:11" hidden="1">
      <c r="A1758" s="978"/>
      <c r="F1758" s="939">
        <v>1</v>
      </c>
      <c r="G1758" s="938" t="s">
        <v>131</v>
      </c>
      <c r="H1758" s="933" t="s">
        <v>1805</v>
      </c>
      <c r="I1758" s="744">
        <f>(C10)</f>
        <v>150</v>
      </c>
      <c r="J1758" s="779" t="s">
        <v>131</v>
      </c>
      <c r="K1758" s="744">
        <f t="shared" si="66"/>
        <v>150</v>
      </c>
    </row>
    <row r="1759" spans="1:11" hidden="1">
      <c r="A1759" s="978"/>
      <c r="F1759" s="939">
        <v>2</v>
      </c>
      <c r="G1759" s="938" t="s">
        <v>131</v>
      </c>
      <c r="H1759" s="933" t="s">
        <v>304</v>
      </c>
      <c r="I1759" s="744">
        <f>(C12)</f>
        <v>95</v>
      </c>
      <c r="J1759" s="779" t="s">
        <v>131</v>
      </c>
      <c r="K1759" s="744">
        <f t="shared" si="66"/>
        <v>190</v>
      </c>
    </row>
    <row r="1760" spans="1:11" hidden="1">
      <c r="A1760" s="978"/>
      <c r="F1760" s="939">
        <v>1</v>
      </c>
      <c r="G1760" s="938" t="s">
        <v>131</v>
      </c>
      <c r="H1760" s="933" t="s">
        <v>306</v>
      </c>
      <c r="I1760" s="744">
        <f>(C13)</f>
        <v>85</v>
      </c>
      <c r="J1760" s="779" t="s">
        <v>131</v>
      </c>
      <c r="K1760" s="744">
        <f t="shared" si="66"/>
        <v>85</v>
      </c>
    </row>
    <row r="1761" spans="1:11" hidden="1">
      <c r="A1761" s="978"/>
      <c r="G1761" s="938" t="s">
        <v>145</v>
      </c>
      <c r="H1761" s="933" t="s">
        <v>1806</v>
      </c>
      <c r="I1761" s="743" t="s">
        <v>85</v>
      </c>
      <c r="J1761" s="779" t="s">
        <v>145</v>
      </c>
      <c r="K1761" s="744">
        <v>5</v>
      </c>
    </row>
    <row r="1762" spans="1:11" hidden="1">
      <c r="A1762" s="978"/>
      <c r="H1762" s="933" t="s">
        <v>1807</v>
      </c>
      <c r="I1762" s="743" t="s">
        <v>85</v>
      </c>
      <c r="J1762" s="805"/>
      <c r="K1762" s="743" t="s">
        <v>85</v>
      </c>
    </row>
    <row r="1763" spans="1:11" hidden="1">
      <c r="A1763" s="978"/>
      <c r="G1763" s="938" t="s">
        <v>145</v>
      </c>
      <c r="H1763" s="933" t="s">
        <v>146</v>
      </c>
      <c r="I1763"/>
      <c r="J1763" s="779" t="s">
        <v>145</v>
      </c>
      <c r="K1763" s="744">
        <v>0</v>
      </c>
    </row>
    <row r="1764" spans="1:11" hidden="1">
      <c r="A1764" s="978"/>
      <c r="I1764"/>
      <c r="J1764" s="805"/>
      <c r="K1764" s="776" t="s">
        <v>52</v>
      </c>
    </row>
    <row r="1765" spans="1:11" hidden="1">
      <c r="A1765" s="978"/>
      <c r="H1765" s="933" t="s">
        <v>674</v>
      </c>
      <c r="I1765"/>
      <c r="J1765" s="805"/>
      <c r="K1765" s="744">
        <f>SUM(K1753:K1763)</f>
        <v>893.2</v>
      </c>
    </row>
    <row r="1766" spans="1:11" hidden="1">
      <c r="A1766" s="978"/>
      <c r="I1766"/>
      <c r="J1766" s="805"/>
      <c r="K1766" s="776" t="s">
        <v>52</v>
      </c>
    </row>
    <row r="1767" spans="1:11" hidden="1">
      <c r="A1767" s="978"/>
      <c r="H1767" s="933" t="s">
        <v>632</v>
      </c>
      <c r="I1767"/>
      <c r="J1767" s="805"/>
      <c r="K1767" s="744">
        <f>(K1765/30)</f>
        <v>29.77</v>
      </c>
    </row>
    <row r="1768" spans="1:11" hidden="1">
      <c r="A1768" s="978"/>
      <c r="I1768"/>
      <c r="J1768" s="805"/>
      <c r="K1768" s="776" t="s">
        <v>52</v>
      </c>
    </row>
    <row r="1769" spans="1:11" hidden="1">
      <c r="A1769" s="978"/>
      <c r="G1769" s="938" t="s">
        <v>956</v>
      </c>
      <c r="H1769" s="933" t="s">
        <v>656</v>
      </c>
      <c r="I1769"/>
      <c r="J1769" s="805"/>
      <c r="K1769" s="743" t="s">
        <v>1809</v>
      </c>
    </row>
    <row r="1770" spans="1:11" hidden="1">
      <c r="A1770" s="978"/>
      <c r="H1770" s="935" t="s">
        <v>52</v>
      </c>
      <c r="I1770"/>
      <c r="J1770" s="805"/>
      <c r="K1770" s="776" t="s">
        <v>89</v>
      </c>
    </row>
    <row r="1771" spans="1:11" hidden="1">
      <c r="A1771" s="978"/>
      <c r="F1771" s="939">
        <v>30</v>
      </c>
      <c r="G1771" s="938" t="s">
        <v>282</v>
      </c>
      <c r="H1771" s="933" t="s">
        <v>662</v>
      </c>
      <c r="I1771" s="744">
        <f>(C639)</f>
        <v>3</v>
      </c>
      <c r="J1771" s="779" t="s">
        <v>282</v>
      </c>
      <c r="K1771" s="744">
        <f>(F1771*I1771)</f>
        <v>90</v>
      </c>
    </row>
    <row r="1772" spans="1:11" hidden="1">
      <c r="A1772" s="978"/>
      <c r="F1772" s="933" t="s">
        <v>85</v>
      </c>
      <c r="H1772" s="933" t="s">
        <v>665</v>
      </c>
      <c r="I1772" s="743" t="s">
        <v>85</v>
      </c>
      <c r="J1772" s="805"/>
      <c r="K1772" s="743" t="s">
        <v>85</v>
      </c>
    </row>
    <row r="1773" spans="1:11" hidden="1">
      <c r="A1773" s="978"/>
      <c r="F1773" s="939">
        <v>8</v>
      </c>
      <c r="G1773" s="938" t="s">
        <v>131</v>
      </c>
      <c r="H1773" s="933" t="s">
        <v>624</v>
      </c>
      <c r="I1773" s="744">
        <f>(D641)</f>
        <v>2.7</v>
      </c>
      <c r="J1773" s="779" t="s">
        <v>131</v>
      </c>
      <c r="K1773" s="744">
        <f t="shared" ref="K1773:K1778" si="67">(F1773*I1773)</f>
        <v>21.6</v>
      </c>
    </row>
    <row r="1774" spans="1:11" hidden="1">
      <c r="A1774" s="978"/>
      <c r="F1774" s="939">
        <v>8</v>
      </c>
      <c r="G1774" s="938" t="s">
        <v>131</v>
      </c>
      <c r="H1774" s="933" t="s">
        <v>627</v>
      </c>
      <c r="I1774" s="744">
        <f>(C647)</f>
        <v>6.4</v>
      </c>
      <c r="J1774" s="779" t="s">
        <v>131</v>
      </c>
      <c r="K1774" s="744">
        <f t="shared" si="67"/>
        <v>51.2</v>
      </c>
    </row>
    <row r="1775" spans="1:11" hidden="1">
      <c r="A1775" s="978"/>
      <c r="F1775" s="939">
        <v>3</v>
      </c>
      <c r="G1775" s="938" t="s">
        <v>131</v>
      </c>
      <c r="H1775" s="933" t="s">
        <v>669</v>
      </c>
      <c r="I1775" s="744">
        <f>(C41)</f>
        <v>110</v>
      </c>
      <c r="J1775" s="779" t="s">
        <v>131</v>
      </c>
      <c r="K1775" s="744">
        <f t="shared" si="67"/>
        <v>330</v>
      </c>
    </row>
    <row r="1776" spans="1:11" hidden="1">
      <c r="A1776" s="978"/>
      <c r="F1776" s="939">
        <v>1</v>
      </c>
      <c r="G1776" s="938" t="s">
        <v>131</v>
      </c>
      <c r="H1776" s="933" t="s">
        <v>1805</v>
      </c>
      <c r="I1776" s="744">
        <f>(C10)</f>
        <v>150</v>
      </c>
      <c r="J1776" s="779" t="s">
        <v>131</v>
      </c>
      <c r="K1776" s="744">
        <f t="shared" si="67"/>
        <v>150</v>
      </c>
    </row>
    <row r="1777" spans="1:11" hidden="1">
      <c r="A1777" s="978"/>
      <c r="F1777" s="939">
        <v>2</v>
      </c>
      <c r="G1777" s="938" t="s">
        <v>131</v>
      </c>
      <c r="H1777" s="933" t="s">
        <v>304</v>
      </c>
      <c r="I1777" s="744">
        <f>(C12)</f>
        <v>95</v>
      </c>
      <c r="J1777" s="779" t="s">
        <v>131</v>
      </c>
      <c r="K1777" s="744">
        <f t="shared" si="67"/>
        <v>190</v>
      </c>
    </row>
    <row r="1778" spans="1:11" hidden="1">
      <c r="A1778" s="978"/>
      <c r="F1778" s="939">
        <v>1</v>
      </c>
      <c r="G1778" s="938" t="s">
        <v>131</v>
      </c>
      <c r="H1778" s="933" t="s">
        <v>306</v>
      </c>
      <c r="I1778" s="744">
        <f>(C13)</f>
        <v>85</v>
      </c>
      <c r="J1778" s="779" t="s">
        <v>131</v>
      </c>
      <c r="K1778" s="744">
        <f t="shared" si="67"/>
        <v>85</v>
      </c>
    </row>
    <row r="1779" spans="1:11" hidden="1">
      <c r="A1779" s="978"/>
      <c r="G1779" s="938" t="s">
        <v>145</v>
      </c>
      <c r="H1779" s="933" t="s">
        <v>1806</v>
      </c>
      <c r="I1779" s="743" t="s">
        <v>85</v>
      </c>
      <c r="J1779" s="779" t="s">
        <v>145</v>
      </c>
      <c r="K1779" s="744">
        <v>5</v>
      </c>
    </row>
    <row r="1780" spans="1:11" hidden="1">
      <c r="A1780" s="978"/>
      <c r="H1780" s="933" t="s">
        <v>1807</v>
      </c>
      <c r="I1780" s="743" t="s">
        <v>85</v>
      </c>
      <c r="J1780" s="805"/>
      <c r="K1780" s="743" t="s">
        <v>85</v>
      </c>
    </row>
    <row r="1781" spans="1:11" hidden="1">
      <c r="A1781" s="978"/>
      <c r="G1781" s="938" t="s">
        <v>145</v>
      </c>
      <c r="H1781" s="933" t="s">
        <v>146</v>
      </c>
      <c r="I1781"/>
      <c r="J1781" s="779" t="s">
        <v>145</v>
      </c>
      <c r="K1781" s="744">
        <v>0</v>
      </c>
    </row>
    <row r="1782" spans="1:11" hidden="1">
      <c r="A1782" s="978"/>
      <c r="I1782"/>
      <c r="J1782" s="805"/>
      <c r="K1782" s="776" t="s">
        <v>52</v>
      </c>
    </row>
    <row r="1783" spans="1:11" hidden="1">
      <c r="A1783" s="978"/>
      <c r="H1783" s="933" t="s">
        <v>674</v>
      </c>
      <c r="I1783"/>
      <c r="J1783" s="805"/>
      <c r="K1783" s="744">
        <f>SUM(K1771:K1781)</f>
        <v>922.8</v>
      </c>
    </row>
    <row r="1784" spans="1:11" hidden="1">
      <c r="A1784" s="978"/>
      <c r="I1784"/>
      <c r="J1784" s="805"/>
      <c r="K1784" s="776" t="s">
        <v>52</v>
      </c>
    </row>
    <row r="1785" spans="1:11" hidden="1">
      <c r="A1785" s="978"/>
      <c r="H1785" s="933" t="s">
        <v>632</v>
      </c>
      <c r="I1785"/>
      <c r="J1785" s="805"/>
      <c r="K1785" s="744">
        <f>(K1783/30)</f>
        <v>30.76</v>
      </c>
    </row>
    <row r="1786" spans="1:11" hidden="1">
      <c r="A1786" s="978"/>
      <c r="I1786"/>
      <c r="J1786" s="805"/>
      <c r="K1786" s="776" t="s">
        <v>52</v>
      </c>
    </row>
    <row r="1787" spans="1:11" hidden="1">
      <c r="A1787" s="978"/>
      <c r="I1787"/>
      <c r="J1787" s="805"/>
      <c r="K1787"/>
    </row>
    <row r="1788" spans="1:11" hidden="1">
      <c r="A1788" s="978"/>
      <c r="F1788" s="988">
        <v>52</v>
      </c>
      <c r="G1788" s="938" t="s">
        <v>111</v>
      </c>
      <c r="H1788" s="933" t="s">
        <v>1810</v>
      </c>
      <c r="I1788"/>
      <c r="J1788" s="805"/>
      <c r="K1788"/>
    </row>
    <row r="1789" spans="1:11" hidden="1">
      <c r="A1789" s="978"/>
      <c r="H1789" s="933" t="s">
        <v>1811</v>
      </c>
      <c r="I1789"/>
      <c r="J1789" s="805"/>
      <c r="K1789"/>
    </row>
    <row r="1790" spans="1:11" hidden="1">
      <c r="A1790" s="978"/>
      <c r="H1790" s="933" t="s">
        <v>1812</v>
      </c>
      <c r="I1790"/>
      <c r="J1790" s="805"/>
      <c r="K1790"/>
    </row>
    <row r="1791" spans="1:11" hidden="1">
      <c r="A1791" s="978"/>
      <c r="H1791" s="933" t="s">
        <v>1813</v>
      </c>
      <c r="I1791"/>
      <c r="J1791" s="805"/>
      <c r="K1791"/>
    </row>
    <row r="1792" spans="1:11" hidden="1">
      <c r="A1792" s="978"/>
      <c r="H1792" s="933" t="s">
        <v>1814</v>
      </c>
      <c r="I1792"/>
      <c r="J1792" s="805"/>
      <c r="K1792"/>
    </row>
    <row r="1793" spans="1:11" hidden="1">
      <c r="A1793" s="978"/>
      <c r="H1793" s="933" t="s">
        <v>1815</v>
      </c>
      <c r="I1793"/>
      <c r="J1793" s="805"/>
      <c r="K1793"/>
    </row>
    <row r="1794" spans="1:11" hidden="1">
      <c r="A1794" s="978"/>
      <c r="H1794" s="933" t="s">
        <v>1816</v>
      </c>
      <c r="I1794"/>
      <c r="J1794" s="805"/>
      <c r="K1794"/>
    </row>
    <row r="1795" spans="1:11" hidden="1">
      <c r="A1795" s="978"/>
      <c r="H1795" s="933" t="s">
        <v>1817</v>
      </c>
      <c r="I1795"/>
      <c r="J1795" s="805"/>
      <c r="K1795"/>
    </row>
    <row r="1796" spans="1:11" hidden="1">
      <c r="A1796" s="978"/>
      <c r="H1796" s="935" t="s">
        <v>89</v>
      </c>
      <c r="I1796" s="776" t="s">
        <v>89</v>
      </c>
      <c r="J1796" s="805"/>
      <c r="K1796"/>
    </row>
    <row r="1797" spans="1:11" hidden="1">
      <c r="A1797" s="978"/>
      <c r="G1797" s="938" t="s">
        <v>111</v>
      </c>
      <c r="H1797" s="933" t="s">
        <v>1818</v>
      </c>
      <c r="I1797"/>
      <c r="J1797" s="805"/>
      <c r="K1797"/>
    </row>
    <row r="1798" spans="1:11" hidden="1">
      <c r="A1798" s="978"/>
      <c r="H1798" s="933" t="s">
        <v>1819</v>
      </c>
      <c r="I1798"/>
      <c r="J1798" s="805"/>
      <c r="K1798"/>
    </row>
    <row r="1799" spans="1:11" hidden="1">
      <c r="A1799" s="978"/>
      <c r="G1799" s="938" t="s">
        <v>1018</v>
      </c>
      <c r="H1799" s="933" t="s">
        <v>1820</v>
      </c>
      <c r="I1799"/>
      <c r="J1799" s="805"/>
      <c r="K1799"/>
    </row>
    <row r="1800" spans="1:11" hidden="1">
      <c r="A1800" s="978"/>
      <c r="H1800" s="935" t="s">
        <v>52</v>
      </c>
      <c r="I1800"/>
      <c r="J1800" s="805"/>
      <c r="K1800"/>
    </row>
    <row r="1801" spans="1:11" hidden="1">
      <c r="A1801" s="978"/>
      <c r="F1801" s="939">
        <v>1</v>
      </c>
      <c r="G1801" s="938" t="s">
        <v>13</v>
      </c>
      <c r="H1801" s="933" t="s">
        <v>1821</v>
      </c>
      <c r="I1801" s="744">
        <f>C509</f>
        <v>32.9</v>
      </c>
      <c r="J1801" s="779" t="s">
        <v>13</v>
      </c>
      <c r="K1801" s="744">
        <f>(F1801*I1801)</f>
        <v>32.9</v>
      </c>
    </row>
    <row r="1802" spans="1:11" hidden="1">
      <c r="A1802" s="978"/>
      <c r="F1802" s="939">
        <v>1</v>
      </c>
      <c r="G1802" s="938" t="s">
        <v>145</v>
      </c>
      <c r="H1802" s="933" t="s">
        <v>1822</v>
      </c>
      <c r="I1802" s="744">
        <f>I1801*0.7</f>
        <v>23.03</v>
      </c>
      <c r="J1802" s="779" t="s">
        <v>145</v>
      </c>
      <c r="K1802" s="744">
        <f>(F1802*I1802)</f>
        <v>23.03</v>
      </c>
    </row>
    <row r="1803" spans="1:11" hidden="1">
      <c r="A1803" s="978"/>
      <c r="F1803" s="939">
        <v>1</v>
      </c>
      <c r="G1803" s="938" t="s">
        <v>13</v>
      </c>
      <c r="H1803" s="933" t="s">
        <v>1823</v>
      </c>
      <c r="I1803" s="744">
        <f>K1749</f>
        <v>29.77</v>
      </c>
      <c r="J1803" s="779" t="s">
        <v>13</v>
      </c>
      <c r="K1803" s="744">
        <f>(F1803*I1803)</f>
        <v>29.77</v>
      </c>
    </row>
    <row r="1804" spans="1:11" hidden="1">
      <c r="A1804" s="978"/>
      <c r="I1804" s="743" t="s">
        <v>85</v>
      </c>
      <c r="J1804" s="805"/>
      <c r="K1804" s="776" t="s">
        <v>52</v>
      </c>
    </row>
    <row r="1805" spans="1:11" hidden="1">
      <c r="A1805" s="978"/>
      <c r="H1805" s="933" t="s">
        <v>1824</v>
      </c>
      <c r="I1805"/>
      <c r="J1805" s="805"/>
      <c r="K1805" s="744">
        <f>SUM(K1801:K1803)</f>
        <v>85.7</v>
      </c>
    </row>
    <row r="1806" spans="1:11" hidden="1">
      <c r="A1806" s="978"/>
      <c r="H1806" s="933" t="s">
        <v>85</v>
      </c>
      <c r="I1806" s="743" t="s">
        <v>85</v>
      </c>
      <c r="J1806" s="805"/>
      <c r="K1806" s="776" t="s">
        <v>89</v>
      </c>
    </row>
    <row r="1807" spans="1:11" hidden="1">
      <c r="A1807" s="978"/>
      <c r="G1807" s="938" t="s">
        <v>986</v>
      </c>
      <c r="H1807" s="933" t="s">
        <v>1825</v>
      </c>
      <c r="I1807"/>
      <c r="J1807" s="805"/>
      <c r="K1807"/>
    </row>
    <row r="1808" spans="1:11" hidden="1">
      <c r="A1808" s="978"/>
      <c r="H1808" s="935" t="s">
        <v>52</v>
      </c>
      <c r="I1808"/>
      <c r="J1808" s="805"/>
      <c r="K1808"/>
    </row>
    <row r="1809" spans="1:11" hidden="1">
      <c r="A1809" s="978"/>
      <c r="F1809" s="939">
        <v>1</v>
      </c>
      <c r="G1809" s="938" t="s">
        <v>13</v>
      </c>
      <c r="H1809" s="933" t="s">
        <v>1826</v>
      </c>
      <c r="I1809" s="744">
        <f>C510</f>
        <v>48.8</v>
      </c>
      <c r="J1809" s="779" t="s">
        <v>13</v>
      </c>
      <c r="K1809" s="744">
        <f>(F1809*I1809)</f>
        <v>48.8</v>
      </c>
    </row>
    <row r="1810" spans="1:11" hidden="1">
      <c r="A1810" s="978"/>
      <c r="F1810" s="939">
        <v>1</v>
      </c>
      <c r="G1810" s="938" t="s">
        <v>145</v>
      </c>
      <c r="H1810" s="933" t="s">
        <v>1827</v>
      </c>
      <c r="I1810" s="744">
        <f>I1809*0.4</f>
        <v>19.52</v>
      </c>
      <c r="J1810" s="779" t="s">
        <v>145</v>
      </c>
      <c r="K1810" s="744">
        <f>(F1810*I1810)</f>
        <v>19.52</v>
      </c>
    </row>
    <row r="1811" spans="1:11" hidden="1">
      <c r="A1811" s="978"/>
      <c r="F1811" s="939">
        <v>1</v>
      </c>
      <c r="G1811" s="938" t="s">
        <v>13</v>
      </c>
      <c r="H1811" s="933" t="s">
        <v>1823</v>
      </c>
      <c r="I1811" s="744">
        <f>K1767</f>
        <v>29.77</v>
      </c>
      <c r="J1811" s="779" t="s">
        <v>13</v>
      </c>
      <c r="K1811" s="744">
        <f>(F1811*I1811)</f>
        <v>29.77</v>
      </c>
    </row>
    <row r="1812" spans="1:11" hidden="1">
      <c r="A1812" s="978"/>
      <c r="I1812" s="743" t="s">
        <v>85</v>
      </c>
      <c r="J1812" s="805"/>
      <c r="K1812" s="776" t="s">
        <v>52</v>
      </c>
    </row>
    <row r="1813" spans="1:11" hidden="1">
      <c r="A1813" s="978"/>
      <c r="H1813" s="933" t="s">
        <v>1824</v>
      </c>
      <c r="I1813"/>
      <c r="J1813" s="805"/>
      <c r="K1813" s="744">
        <f>SUM(K1809:K1811)</f>
        <v>98.09</v>
      </c>
    </row>
    <row r="1814" spans="1:11" hidden="1">
      <c r="A1814" s="978"/>
      <c r="I1814" s="743" t="s">
        <v>85</v>
      </c>
      <c r="J1814" s="805"/>
      <c r="K1814" s="776" t="s">
        <v>89</v>
      </c>
    </row>
    <row r="1815" spans="1:11" hidden="1">
      <c r="A1815" s="978"/>
      <c r="G1815" s="938" t="s">
        <v>956</v>
      </c>
      <c r="H1815" s="933" t="s">
        <v>1828</v>
      </c>
      <c r="I1815"/>
      <c r="J1815" s="805"/>
      <c r="K1815"/>
    </row>
    <row r="1816" spans="1:11" hidden="1">
      <c r="A1816" s="978"/>
      <c r="H1816" s="935" t="s">
        <v>52</v>
      </c>
      <c r="I1816"/>
      <c r="J1816" s="805"/>
      <c r="K1816"/>
    </row>
    <row r="1817" spans="1:11" hidden="1">
      <c r="A1817" s="978"/>
      <c r="F1817" s="939">
        <v>1</v>
      </c>
      <c r="G1817" s="938" t="s">
        <v>13</v>
      </c>
      <c r="H1817" s="933" t="s">
        <v>1829</v>
      </c>
      <c r="I1817" s="744">
        <f>C511</f>
        <v>65.7</v>
      </c>
      <c r="J1817" s="779" t="s">
        <v>13</v>
      </c>
      <c r="K1817" s="744">
        <f>(F1817*I1817)</f>
        <v>65.7</v>
      </c>
    </row>
    <row r="1818" spans="1:11" hidden="1">
      <c r="A1818" s="978"/>
      <c r="F1818" s="939">
        <v>1</v>
      </c>
      <c r="G1818" s="938" t="s">
        <v>145</v>
      </c>
      <c r="H1818" s="933" t="s">
        <v>1830</v>
      </c>
      <c r="I1818" s="744">
        <f>I1817*0.2</f>
        <v>13.14</v>
      </c>
      <c r="J1818" s="779" t="s">
        <v>145</v>
      </c>
      <c r="K1818" s="744">
        <f>(F1818*I1818)</f>
        <v>13.14</v>
      </c>
    </row>
    <row r="1819" spans="1:11" hidden="1">
      <c r="A1819" s="978"/>
      <c r="F1819" s="939">
        <v>1</v>
      </c>
      <c r="G1819" s="938" t="s">
        <v>13</v>
      </c>
      <c r="H1819" s="933" t="s">
        <v>1823</v>
      </c>
      <c r="I1819" s="744">
        <f>K1785</f>
        <v>30.76</v>
      </c>
      <c r="J1819" s="779" t="s">
        <v>13</v>
      </c>
      <c r="K1819" s="744">
        <f>(F1819*I1819)</f>
        <v>30.76</v>
      </c>
    </row>
    <row r="1820" spans="1:11" hidden="1">
      <c r="A1820" s="978"/>
      <c r="I1820" s="743" t="s">
        <v>85</v>
      </c>
      <c r="J1820" s="805"/>
      <c r="K1820" s="776" t="s">
        <v>52</v>
      </c>
    </row>
    <row r="1821" spans="1:11" hidden="1">
      <c r="A1821" s="978"/>
      <c r="H1821" s="933" t="s">
        <v>1824</v>
      </c>
      <c r="I1821"/>
      <c r="J1821" s="805"/>
      <c r="K1821" s="744">
        <f>SUM(K1817:K1819)</f>
        <v>109.6</v>
      </c>
    </row>
    <row r="1822" spans="1:11" hidden="1">
      <c r="A1822" s="978"/>
      <c r="I1822" s="743" t="s">
        <v>85</v>
      </c>
      <c r="J1822" s="805"/>
      <c r="K1822" s="776" t="s">
        <v>89</v>
      </c>
    </row>
    <row r="1823" spans="1:11" hidden="1">
      <c r="A1823" s="978"/>
      <c r="I1823" s="743"/>
      <c r="J1823" s="805"/>
      <c r="K1823" s="776"/>
    </row>
    <row r="1824" spans="1:11" ht="31.5" hidden="1">
      <c r="A1824" s="978"/>
      <c r="F1824" s="958">
        <v>52.1</v>
      </c>
      <c r="H1824" s="989" t="s">
        <v>1831</v>
      </c>
      <c r="I1824" s="743"/>
      <c r="J1824" s="805"/>
      <c r="K1824" s="776"/>
    </row>
    <row r="1825" spans="1:11" hidden="1">
      <c r="A1825" s="978"/>
      <c r="I1825" s="743"/>
      <c r="J1825" s="805"/>
      <c r="K1825" s="776"/>
    </row>
    <row r="1826" spans="1:11" hidden="1">
      <c r="A1826" s="978"/>
      <c r="F1826" s="934"/>
      <c r="G1826" s="938"/>
      <c r="H1826" s="933" t="s">
        <v>609</v>
      </c>
      <c r="I1826" s="743"/>
      <c r="J1826" s="805"/>
      <c r="K1826" s="776"/>
    </row>
    <row r="1827" spans="1:11" hidden="1">
      <c r="A1827" s="978"/>
      <c r="G1827" s="938"/>
      <c r="H1827" s="933" t="s">
        <v>1832</v>
      </c>
      <c r="I1827" s="743"/>
      <c r="J1827" s="805"/>
      <c r="K1827" s="776"/>
    </row>
    <row r="1828" spans="1:11" hidden="1">
      <c r="A1828" s="978"/>
      <c r="H1828" s="935" t="s">
        <v>52</v>
      </c>
      <c r="I1828" s="743"/>
      <c r="J1828" s="805"/>
      <c r="K1828" s="776"/>
    </row>
    <row r="1829" spans="1:11" hidden="1">
      <c r="A1829" s="978"/>
      <c r="F1829" s="939">
        <v>30</v>
      </c>
      <c r="G1829" s="938" t="s">
        <v>282</v>
      </c>
      <c r="H1829" s="933" t="s">
        <v>1833</v>
      </c>
      <c r="I1829" s="806">
        <f>E639</f>
        <v>5</v>
      </c>
      <c r="J1829" s="779" t="s">
        <v>282</v>
      </c>
      <c r="K1829" s="744">
        <f t="shared" ref="K1829:K1835" si="68">(F1829*I1829)</f>
        <v>150</v>
      </c>
    </row>
    <row r="1830" spans="1:11" hidden="1">
      <c r="A1830" s="978"/>
      <c r="F1830" s="939">
        <v>8</v>
      </c>
      <c r="G1830" s="938" t="s">
        <v>131</v>
      </c>
      <c r="H1830" s="933" t="s">
        <v>624</v>
      </c>
      <c r="I1830" s="806">
        <f>I1737</f>
        <v>2.2000000000000002</v>
      </c>
      <c r="J1830" s="779" t="s">
        <v>131</v>
      </c>
      <c r="K1830" s="744">
        <f t="shared" si="68"/>
        <v>17.600000000000001</v>
      </c>
    </row>
    <row r="1831" spans="1:11" hidden="1">
      <c r="A1831" s="978"/>
      <c r="F1831" s="939">
        <v>8</v>
      </c>
      <c r="G1831" s="938" t="s">
        <v>131</v>
      </c>
      <c r="H1831" s="933" t="s">
        <v>627</v>
      </c>
      <c r="I1831" s="806">
        <f>I1738</f>
        <v>3.2</v>
      </c>
      <c r="J1831" s="779" t="s">
        <v>131</v>
      </c>
      <c r="K1831" s="744">
        <f t="shared" si="68"/>
        <v>25.6</v>
      </c>
    </row>
    <row r="1832" spans="1:11" hidden="1">
      <c r="A1832" s="978"/>
      <c r="F1832" s="939">
        <v>3</v>
      </c>
      <c r="G1832" s="938" t="s">
        <v>131</v>
      </c>
      <c r="H1832" s="933" t="s">
        <v>669</v>
      </c>
      <c r="I1832" s="806">
        <f>C41</f>
        <v>110</v>
      </c>
      <c r="J1832" s="779" t="s">
        <v>131</v>
      </c>
      <c r="K1832" s="744">
        <f t="shared" si="68"/>
        <v>330</v>
      </c>
    </row>
    <row r="1833" spans="1:11" hidden="1">
      <c r="A1833" s="978"/>
      <c r="F1833" s="939">
        <v>1</v>
      </c>
      <c r="G1833" s="938" t="s">
        <v>131</v>
      </c>
      <c r="H1833" s="933" t="s">
        <v>1805</v>
      </c>
      <c r="I1833" s="806">
        <f>C10</f>
        <v>150</v>
      </c>
      <c r="J1833" s="779" t="s">
        <v>131</v>
      </c>
      <c r="K1833" s="744">
        <f t="shared" si="68"/>
        <v>150</v>
      </c>
    </row>
    <row r="1834" spans="1:11" hidden="1">
      <c r="A1834" s="978"/>
      <c r="F1834" s="939">
        <v>2</v>
      </c>
      <c r="G1834" s="938" t="s">
        <v>131</v>
      </c>
      <c r="H1834" s="933" t="s">
        <v>304</v>
      </c>
      <c r="I1834" s="806">
        <f>C12</f>
        <v>95</v>
      </c>
      <c r="J1834" s="779" t="s">
        <v>131</v>
      </c>
      <c r="K1834" s="744">
        <f t="shared" si="68"/>
        <v>190</v>
      </c>
    </row>
    <row r="1835" spans="1:11" hidden="1">
      <c r="A1835" s="978"/>
      <c r="F1835" s="939">
        <v>1</v>
      </c>
      <c r="G1835" s="938" t="s">
        <v>131</v>
      </c>
      <c r="H1835" s="933" t="s">
        <v>306</v>
      </c>
      <c r="I1835" s="806">
        <f>C13</f>
        <v>85</v>
      </c>
      <c r="J1835" s="779" t="s">
        <v>131</v>
      </c>
      <c r="K1835" s="744">
        <f t="shared" si="68"/>
        <v>85</v>
      </c>
    </row>
    <row r="1836" spans="1:11" hidden="1">
      <c r="A1836" s="978"/>
      <c r="I1836"/>
      <c r="J1836" s="805"/>
      <c r="K1836" s="776" t="s">
        <v>52</v>
      </c>
    </row>
    <row r="1837" spans="1:11" hidden="1">
      <c r="A1837" s="978"/>
      <c r="H1837" s="933" t="s">
        <v>674</v>
      </c>
      <c r="I1837"/>
      <c r="J1837" s="805"/>
      <c r="K1837" s="744">
        <f>SUM(K1829:K1835)</f>
        <v>948.2</v>
      </c>
    </row>
    <row r="1838" spans="1:11" hidden="1">
      <c r="A1838" s="978"/>
      <c r="I1838"/>
      <c r="J1838" s="805"/>
      <c r="K1838" s="776" t="s">
        <v>52</v>
      </c>
    </row>
    <row r="1839" spans="1:11" hidden="1">
      <c r="A1839" s="978"/>
      <c r="H1839" s="933" t="s">
        <v>632</v>
      </c>
      <c r="I1839"/>
      <c r="J1839" s="805"/>
      <c r="K1839" s="744">
        <f>(K1837/30)</f>
        <v>31.61</v>
      </c>
    </row>
    <row r="1840" spans="1:11" hidden="1">
      <c r="A1840" s="978"/>
      <c r="I1840"/>
      <c r="J1840" s="805"/>
      <c r="K1840" s="776" t="s">
        <v>52</v>
      </c>
    </row>
    <row r="1841" spans="1:11" hidden="1">
      <c r="A1841" s="978"/>
      <c r="I1841" s="743"/>
      <c r="J1841" s="805"/>
      <c r="K1841" s="776"/>
    </row>
    <row r="1842" spans="1:11" hidden="1">
      <c r="A1842" s="978"/>
      <c r="H1842" s="930" t="s">
        <v>1834</v>
      </c>
      <c r="I1842" s="743"/>
      <c r="J1842" s="805"/>
      <c r="K1842" s="776"/>
    </row>
    <row r="1843" spans="1:11" hidden="1">
      <c r="A1843" s="978"/>
      <c r="H1843" s="935" t="s">
        <v>52</v>
      </c>
      <c r="I1843" s="743"/>
      <c r="J1843" s="805"/>
      <c r="K1843" s="776"/>
    </row>
    <row r="1844" spans="1:11" hidden="1">
      <c r="A1844" s="978"/>
      <c r="F1844" s="939">
        <v>1</v>
      </c>
      <c r="G1844" s="938" t="s">
        <v>13</v>
      </c>
      <c r="H1844" s="933" t="s">
        <v>1835</v>
      </c>
      <c r="I1844" s="806">
        <f>E509</f>
        <v>70</v>
      </c>
      <c r="J1844" s="779" t="s">
        <v>13</v>
      </c>
      <c r="K1844" s="744">
        <f>(F1844*I1844)</f>
        <v>70</v>
      </c>
    </row>
    <row r="1845" spans="1:11" hidden="1">
      <c r="A1845" s="978"/>
      <c r="F1845" s="939">
        <v>1</v>
      </c>
      <c r="G1845" s="938" t="s">
        <v>145</v>
      </c>
      <c r="H1845" s="933" t="s">
        <v>1836</v>
      </c>
      <c r="I1845" s="806">
        <f>I1844*0.2</f>
        <v>14</v>
      </c>
      <c r="J1845" s="779" t="s">
        <v>145</v>
      </c>
      <c r="K1845" s="744">
        <f>(F1845*I1845)</f>
        <v>14</v>
      </c>
    </row>
    <row r="1846" spans="1:11" hidden="1">
      <c r="A1846" s="978"/>
      <c r="F1846" s="939">
        <v>1</v>
      </c>
      <c r="G1846" s="938" t="s">
        <v>13</v>
      </c>
      <c r="H1846" s="933" t="s">
        <v>1823</v>
      </c>
      <c r="I1846" s="806">
        <f>K1839</f>
        <v>31.61</v>
      </c>
      <c r="J1846" s="779" t="s">
        <v>13</v>
      </c>
      <c r="K1846" s="744">
        <f>(F1846*I1846)</f>
        <v>31.61</v>
      </c>
    </row>
    <row r="1847" spans="1:11" ht="31.5" hidden="1">
      <c r="A1847" s="978"/>
      <c r="F1847" s="939"/>
      <c r="G1847" s="938"/>
      <c r="H1847" s="952" t="s">
        <v>1837</v>
      </c>
      <c r="I1847" s="806"/>
      <c r="J1847" s="779" t="s">
        <v>145</v>
      </c>
      <c r="K1847" s="744">
        <v>1.25</v>
      </c>
    </row>
    <row r="1848" spans="1:11" hidden="1">
      <c r="A1848" s="978"/>
      <c r="I1848" s="743"/>
      <c r="J1848" s="805"/>
      <c r="K1848" s="776" t="s">
        <v>52</v>
      </c>
    </row>
    <row r="1849" spans="1:11" hidden="1">
      <c r="A1849" s="978"/>
      <c r="H1849" s="933" t="s">
        <v>1824</v>
      </c>
      <c r="I1849" s="743"/>
      <c r="J1849" s="805"/>
      <c r="K1849" s="744">
        <f>SUM(K1844:K1847)</f>
        <v>116.86</v>
      </c>
    </row>
    <row r="1850" spans="1:11" hidden="1">
      <c r="A1850" s="978"/>
      <c r="I1850" s="743"/>
      <c r="J1850" s="805"/>
      <c r="K1850" s="776" t="s">
        <v>89</v>
      </c>
    </row>
    <row r="1851" spans="1:11" hidden="1">
      <c r="A1851" s="978"/>
      <c r="I1851" s="743"/>
      <c r="J1851" s="805"/>
      <c r="K1851" s="776"/>
    </row>
    <row r="1852" spans="1:11" hidden="1">
      <c r="A1852" s="978"/>
      <c r="I1852" s="743"/>
      <c r="J1852" s="805"/>
      <c r="K1852" s="776"/>
    </row>
    <row r="1853" spans="1:11" hidden="1">
      <c r="A1853" s="978"/>
      <c r="F1853" s="948">
        <v>53.1</v>
      </c>
      <c r="G1853" s="938" t="s">
        <v>111</v>
      </c>
      <c r="H1853" s="933" t="s">
        <v>1838</v>
      </c>
      <c r="I1853"/>
      <c r="J1853" s="805"/>
      <c r="K1853"/>
    </row>
    <row r="1854" spans="1:11" hidden="1">
      <c r="A1854" s="978"/>
      <c r="H1854" s="950" t="s">
        <v>1839</v>
      </c>
      <c r="I1854"/>
      <c r="J1854" s="805"/>
      <c r="K1854"/>
    </row>
    <row r="1855" spans="1:11" hidden="1">
      <c r="A1855" s="978"/>
      <c r="H1855" s="933" t="s">
        <v>1840</v>
      </c>
      <c r="I1855"/>
      <c r="J1855" s="805"/>
      <c r="K1855"/>
    </row>
    <row r="1856" spans="1:11" hidden="1">
      <c r="A1856" s="978"/>
      <c r="H1856" s="933" t="s">
        <v>1841</v>
      </c>
      <c r="I1856"/>
      <c r="J1856" s="805"/>
      <c r="K1856"/>
    </row>
    <row r="1857" spans="1:11" hidden="1">
      <c r="A1857" s="978"/>
      <c r="H1857" s="935" t="s">
        <v>52</v>
      </c>
      <c r="I1857"/>
      <c r="J1857" s="805"/>
      <c r="K1857"/>
    </row>
    <row r="1858" spans="1:11" ht="57" hidden="1" customHeight="1">
      <c r="A1858" s="978"/>
      <c r="F1858" s="990">
        <v>1</v>
      </c>
      <c r="G1858" s="990" t="s">
        <v>131</v>
      </c>
      <c r="H1858" s="952" t="s">
        <v>1842</v>
      </c>
      <c r="I1858" s="991">
        <f>(C595)</f>
        <v>1050</v>
      </c>
      <c r="J1858" s="991" t="s">
        <v>131</v>
      </c>
      <c r="K1858" s="991">
        <f>(F1858*I1858)</f>
        <v>1050</v>
      </c>
    </row>
    <row r="1859" spans="1:11" hidden="1">
      <c r="A1859" s="978"/>
      <c r="F1859" s="939"/>
      <c r="G1859" s="938"/>
      <c r="H1859" s="933"/>
      <c r="I1859" s="744"/>
      <c r="J1859" s="779"/>
      <c r="K1859" s="744"/>
    </row>
    <row r="1860" spans="1:11" hidden="1">
      <c r="A1860" s="978"/>
      <c r="F1860" s="939"/>
      <c r="G1860" s="938"/>
      <c r="H1860" s="933"/>
      <c r="I1860" s="744"/>
      <c r="J1860" s="779"/>
      <c r="K1860" s="744"/>
    </row>
    <row r="1861" spans="1:11" hidden="1">
      <c r="A1861" s="978"/>
      <c r="F1861" s="939"/>
      <c r="G1861" s="938"/>
      <c r="H1861" s="933"/>
      <c r="I1861" s="744"/>
      <c r="J1861" s="779"/>
      <c r="K1861" s="744"/>
    </row>
    <row r="1862" spans="1:11" hidden="1">
      <c r="A1862" s="978"/>
      <c r="F1862" s="939"/>
      <c r="G1862" s="938"/>
      <c r="H1862" s="933"/>
      <c r="I1862" s="744"/>
      <c r="J1862" s="779"/>
      <c r="K1862" s="744"/>
    </row>
    <row r="1863" spans="1:11" hidden="1">
      <c r="A1863" s="978"/>
      <c r="F1863" s="939"/>
      <c r="G1863" s="938"/>
      <c r="H1863" s="933"/>
      <c r="I1863" s="744"/>
      <c r="J1863" s="779"/>
      <c r="K1863" s="744"/>
    </row>
    <row r="1864" spans="1:11" hidden="1">
      <c r="A1864" s="978"/>
      <c r="F1864" s="939"/>
      <c r="G1864" s="938"/>
      <c r="H1864" s="933"/>
      <c r="I1864" s="744"/>
      <c r="J1864" s="779"/>
      <c r="K1864" s="744"/>
    </row>
    <row r="1865" spans="1:11" hidden="1">
      <c r="A1865" s="978"/>
      <c r="F1865" s="939">
        <v>0.5</v>
      </c>
      <c r="G1865" s="938" t="s">
        <v>131</v>
      </c>
      <c r="H1865" s="933" t="s">
        <v>1695</v>
      </c>
      <c r="I1865" s="744">
        <f>(C15)</f>
        <v>130</v>
      </c>
      <c r="J1865" s="779" t="s">
        <v>131</v>
      </c>
      <c r="K1865" s="744">
        <f>(F1865*I1865)</f>
        <v>65</v>
      </c>
    </row>
    <row r="1866" spans="1:11" hidden="1">
      <c r="A1866" s="978"/>
      <c r="F1866" s="939">
        <v>1</v>
      </c>
      <c r="G1866" s="938" t="s">
        <v>131</v>
      </c>
      <c r="H1866" s="933" t="s">
        <v>304</v>
      </c>
      <c r="I1866" s="744">
        <f>(C12)</f>
        <v>95</v>
      </c>
      <c r="J1866" s="779" t="s">
        <v>131</v>
      </c>
      <c r="K1866" s="744">
        <f>(F1866*I1866)</f>
        <v>95</v>
      </c>
    </row>
    <row r="1867" spans="1:11" hidden="1">
      <c r="A1867" s="978"/>
      <c r="F1867" s="939">
        <v>0.5</v>
      </c>
      <c r="G1867" s="938" t="s">
        <v>131</v>
      </c>
      <c r="H1867" s="933" t="s">
        <v>345</v>
      </c>
      <c r="I1867" s="744">
        <f>(C10)</f>
        <v>150</v>
      </c>
      <c r="J1867" s="779" t="s">
        <v>131</v>
      </c>
      <c r="K1867" s="744">
        <f>(F1867*I1867)</f>
        <v>75</v>
      </c>
    </row>
    <row r="1868" spans="1:11" hidden="1">
      <c r="A1868" s="978"/>
      <c r="G1868" s="938" t="s">
        <v>145</v>
      </c>
      <c r="H1868" s="933" t="s">
        <v>1843</v>
      </c>
      <c r="I1868"/>
      <c r="J1868" s="779" t="s">
        <v>145</v>
      </c>
      <c r="K1868" s="744">
        <v>0.5</v>
      </c>
    </row>
    <row r="1869" spans="1:11" hidden="1">
      <c r="A1869" s="978"/>
      <c r="I1869"/>
      <c r="J1869" s="805"/>
      <c r="K1869" s="776" t="s">
        <v>52</v>
      </c>
    </row>
    <row r="1870" spans="1:11" hidden="1">
      <c r="A1870" s="978"/>
      <c r="H1870" s="933" t="s">
        <v>767</v>
      </c>
      <c r="I1870"/>
      <c r="J1870" s="805"/>
      <c r="K1870" s="744">
        <f>SUM(K1858:K1868)</f>
        <v>1285.5</v>
      </c>
    </row>
    <row r="1871" spans="1:11" hidden="1">
      <c r="A1871" s="978"/>
      <c r="I1871"/>
      <c r="J1871" s="805"/>
      <c r="K1871" s="776" t="s">
        <v>52</v>
      </c>
    </row>
    <row r="1872" spans="1:11" hidden="1">
      <c r="A1872" s="978"/>
      <c r="F1872" s="934" t="s">
        <v>1844</v>
      </c>
      <c r="H1872" s="933" t="s">
        <v>1845</v>
      </c>
      <c r="I1872"/>
      <c r="J1872" s="805"/>
      <c r="K1872" s="743" t="s">
        <v>1846</v>
      </c>
    </row>
    <row r="1873" spans="1:11" hidden="1">
      <c r="A1873" s="978"/>
      <c r="I1873"/>
      <c r="J1873" s="805"/>
      <c r="K1873"/>
    </row>
    <row r="1874" spans="1:11" hidden="1">
      <c r="A1874" s="978"/>
      <c r="F1874" s="934" t="s">
        <v>1847</v>
      </c>
      <c r="H1874" s="933" t="s">
        <v>1848</v>
      </c>
      <c r="I1874"/>
      <c r="J1874" s="805"/>
      <c r="K1874" s="743" t="s">
        <v>1849</v>
      </c>
    </row>
    <row r="1875" spans="1:11" hidden="1">
      <c r="A1875" s="978"/>
      <c r="F1875" s="934"/>
      <c r="H1875" s="933"/>
      <c r="I1875"/>
      <c r="J1875" s="805"/>
      <c r="K1875" s="743"/>
    </row>
    <row r="1876" spans="1:11" hidden="1">
      <c r="A1876" s="978"/>
      <c r="F1876" s="944">
        <v>54</v>
      </c>
      <c r="G1876" s="938" t="s">
        <v>111</v>
      </c>
      <c r="H1876" s="933" t="s">
        <v>1850</v>
      </c>
      <c r="I1876"/>
      <c r="J1876" s="779" t="s">
        <v>729</v>
      </c>
      <c r="K1876" s="744">
        <v>140</v>
      </c>
    </row>
    <row r="1877" spans="1:11" hidden="1">
      <c r="A1877" s="978"/>
      <c r="I1877"/>
      <c r="J1877" s="805"/>
      <c r="K1877" s="776" t="s">
        <v>89</v>
      </c>
    </row>
    <row r="1878" spans="1:11" hidden="1">
      <c r="A1878" s="978"/>
      <c r="I1878"/>
      <c r="J1878" s="805"/>
      <c r="K1878"/>
    </row>
    <row r="1879" spans="1:11" hidden="1">
      <c r="A1879" s="978"/>
      <c r="F1879" s="948">
        <v>54.1</v>
      </c>
      <c r="G1879" s="938" t="s">
        <v>111</v>
      </c>
      <c r="H1879" s="933" t="s">
        <v>1851</v>
      </c>
      <c r="I1879"/>
      <c r="J1879" s="779" t="s">
        <v>729</v>
      </c>
      <c r="K1879" s="744">
        <v>240</v>
      </c>
    </row>
    <row r="1880" spans="1:11" hidden="1">
      <c r="A1880" s="978"/>
      <c r="I1880"/>
      <c r="J1880" s="805"/>
      <c r="K1880" s="776" t="s">
        <v>89</v>
      </c>
    </row>
    <row r="1881" spans="1:11" hidden="1">
      <c r="A1881" s="978"/>
      <c r="I1881"/>
      <c r="J1881" s="805"/>
      <c r="K1881"/>
    </row>
    <row r="1882" spans="1:11" hidden="1">
      <c r="A1882" s="978"/>
      <c r="F1882" s="948">
        <v>54.2</v>
      </c>
      <c r="G1882" s="938" t="s">
        <v>111</v>
      </c>
      <c r="H1882" s="933" t="s">
        <v>1852</v>
      </c>
      <c r="I1882"/>
      <c r="J1882" s="779" t="s">
        <v>729</v>
      </c>
      <c r="K1882" s="744">
        <v>270</v>
      </c>
    </row>
    <row r="1883" spans="1:11" hidden="1">
      <c r="A1883" s="978"/>
      <c r="I1883"/>
      <c r="J1883" s="805"/>
      <c r="K1883" s="776" t="s">
        <v>89</v>
      </c>
    </row>
    <row r="1884" spans="1:11" hidden="1">
      <c r="A1884" s="978"/>
      <c r="I1884"/>
      <c r="J1884" s="805"/>
      <c r="K1884"/>
    </row>
    <row r="1885" spans="1:11" hidden="1">
      <c r="A1885" s="978"/>
      <c r="F1885" s="934" t="s">
        <v>1853</v>
      </c>
      <c r="G1885" s="938" t="s">
        <v>111</v>
      </c>
      <c r="H1885" s="933" t="s">
        <v>1854</v>
      </c>
      <c r="I1885"/>
      <c r="J1885" s="805"/>
      <c r="K1885"/>
    </row>
    <row r="1886" spans="1:11" hidden="1">
      <c r="A1886" s="978"/>
      <c r="H1886" s="933" t="s">
        <v>1855</v>
      </c>
      <c r="I1886"/>
      <c r="J1886" s="805"/>
      <c r="K1886"/>
    </row>
    <row r="1887" spans="1:11" hidden="1">
      <c r="A1887" s="978"/>
      <c r="H1887" s="933" t="s">
        <v>1856</v>
      </c>
      <c r="I1887"/>
      <c r="J1887" s="805"/>
      <c r="K1887"/>
    </row>
    <row r="1888" spans="1:11" hidden="1">
      <c r="A1888" s="978"/>
      <c r="H1888" s="933" t="s">
        <v>1857</v>
      </c>
      <c r="I1888"/>
      <c r="J1888" s="805"/>
      <c r="K1888"/>
    </row>
    <row r="1889" spans="1:22" hidden="1">
      <c r="A1889" s="978"/>
      <c r="H1889" s="935" t="s">
        <v>52</v>
      </c>
      <c r="I1889"/>
      <c r="J1889" s="805"/>
      <c r="K1889"/>
    </row>
    <row r="1890" spans="1:22" hidden="1">
      <c r="A1890" s="978"/>
      <c r="F1890" s="939">
        <v>1</v>
      </c>
      <c r="G1890" s="938" t="s">
        <v>131</v>
      </c>
      <c r="H1890" s="933" t="s">
        <v>1858</v>
      </c>
      <c r="I1890" s="744">
        <f>(C200)</f>
        <v>750</v>
      </c>
      <c r="J1890" s="779" t="s">
        <v>131</v>
      </c>
      <c r="K1890" s="744">
        <f t="shared" ref="K1890:K1896" si="69">(F1890*I1890)</f>
        <v>750</v>
      </c>
    </row>
    <row r="1891" spans="1:22" hidden="1">
      <c r="A1891" s="978"/>
      <c r="F1891" s="939">
        <v>0.65</v>
      </c>
      <c r="G1891" s="938" t="s">
        <v>132</v>
      </c>
      <c r="H1891" s="933" t="s">
        <v>1859</v>
      </c>
      <c r="I1891" s="744">
        <f>(C61*2)</f>
        <v>50</v>
      </c>
      <c r="J1891" s="779" t="s">
        <v>132</v>
      </c>
      <c r="K1891" s="744">
        <f t="shared" si="69"/>
        <v>32.5</v>
      </c>
    </row>
    <row r="1892" spans="1:22" hidden="1">
      <c r="A1892" s="978"/>
      <c r="F1892" s="939">
        <v>0.56999999999999995</v>
      </c>
      <c r="G1892" s="938" t="s">
        <v>132</v>
      </c>
      <c r="H1892" s="933" t="s">
        <v>1860</v>
      </c>
      <c r="I1892" s="744">
        <f>(C26)</f>
        <v>8.8000000000000007</v>
      </c>
      <c r="J1892" s="779" t="s">
        <v>132</v>
      </c>
      <c r="K1892" s="744">
        <f t="shared" si="69"/>
        <v>5.0199999999999996</v>
      </c>
    </row>
    <row r="1893" spans="1:22" hidden="1">
      <c r="A1893" s="978"/>
      <c r="F1893" s="941">
        <v>8.1000000000000003E-2</v>
      </c>
      <c r="G1893" s="938" t="s">
        <v>132</v>
      </c>
      <c r="H1893" s="933" t="s">
        <v>1861</v>
      </c>
      <c r="I1893" s="744" t="e">
        <f>(R60)</f>
        <v>#REF!</v>
      </c>
      <c r="J1893" s="779" t="s">
        <v>132</v>
      </c>
      <c r="K1893" s="744" t="e">
        <f t="shared" si="69"/>
        <v>#REF!</v>
      </c>
    </row>
    <row r="1894" spans="1:22" hidden="1">
      <c r="A1894" s="978"/>
      <c r="F1894" s="939">
        <v>1</v>
      </c>
      <c r="G1894" s="938" t="s">
        <v>131</v>
      </c>
      <c r="H1894" s="933" t="s">
        <v>1695</v>
      </c>
      <c r="I1894" s="744">
        <f>(C15)</f>
        <v>130</v>
      </c>
      <c r="J1894" s="779" t="s">
        <v>131</v>
      </c>
      <c r="K1894" s="744">
        <f t="shared" si="69"/>
        <v>130</v>
      </c>
    </row>
    <row r="1895" spans="1:22" hidden="1">
      <c r="A1895" s="978"/>
      <c r="F1895" s="939">
        <v>0.5</v>
      </c>
      <c r="G1895" s="938" t="s">
        <v>131</v>
      </c>
      <c r="H1895" s="933" t="s">
        <v>302</v>
      </c>
      <c r="I1895" s="744">
        <f>(C11)</f>
        <v>135</v>
      </c>
      <c r="J1895" s="779" t="s">
        <v>131</v>
      </c>
      <c r="K1895" s="744">
        <f t="shared" si="69"/>
        <v>67.5</v>
      </c>
    </row>
    <row r="1896" spans="1:22" hidden="1">
      <c r="A1896" s="978"/>
      <c r="F1896" s="939">
        <v>0.5</v>
      </c>
      <c r="G1896" s="938" t="s">
        <v>131</v>
      </c>
      <c r="H1896" s="933" t="s">
        <v>304</v>
      </c>
      <c r="I1896" s="744">
        <f>(C12)</f>
        <v>95</v>
      </c>
      <c r="J1896" s="779" t="s">
        <v>131</v>
      </c>
      <c r="K1896" s="744">
        <f t="shared" si="69"/>
        <v>47.5</v>
      </c>
    </row>
    <row r="1897" spans="1:22" hidden="1">
      <c r="A1897" s="978"/>
      <c r="G1897" s="938" t="s">
        <v>145</v>
      </c>
      <c r="H1897" s="933" t="s">
        <v>146</v>
      </c>
      <c r="I1897" s="743" t="s">
        <v>85</v>
      </c>
      <c r="J1897" s="779" t="s">
        <v>145</v>
      </c>
      <c r="K1897" s="744">
        <v>0</v>
      </c>
    </row>
    <row r="1898" spans="1:22" hidden="1">
      <c r="A1898" s="978"/>
      <c r="I1898"/>
      <c r="J1898" s="805"/>
      <c r="K1898" s="776" t="s">
        <v>52</v>
      </c>
    </row>
    <row r="1899" spans="1:22" hidden="1">
      <c r="A1899" s="978"/>
      <c r="H1899" s="933" t="s">
        <v>767</v>
      </c>
      <c r="I1899"/>
      <c r="J1899" s="805"/>
      <c r="K1899" s="744" t="e">
        <f>SUM(K1890:K1897)</f>
        <v>#REF!</v>
      </c>
    </row>
    <row r="1900" spans="1:22" hidden="1">
      <c r="A1900" s="978"/>
      <c r="I1900"/>
      <c r="J1900" s="805"/>
      <c r="K1900" s="776" t="s">
        <v>89</v>
      </c>
    </row>
    <row r="1901" spans="1:22" hidden="1">
      <c r="A1901" s="978"/>
      <c r="G1901" s="938" t="s">
        <v>85</v>
      </c>
      <c r="H1901" s="933" t="s">
        <v>85</v>
      </c>
      <c r="I1901"/>
      <c r="J1901" s="805"/>
      <c r="K1901" s="743" t="s">
        <v>85</v>
      </c>
    </row>
    <row r="1902" spans="1:22" hidden="1">
      <c r="A1902" s="978"/>
      <c r="I1902"/>
      <c r="J1902" s="779" t="s">
        <v>85</v>
      </c>
      <c r="K1902" s="743" t="s">
        <v>85</v>
      </c>
    </row>
    <row r="1903" spans="1:22" hidden="1">
      <c r="A1903" s="978"/>
      <c r="F1903" s="934" t="s">
        <v>1862</v>
      </c>
      <c r="G1903" s="938" t="s">
        <v>111</v>
      </c>
      <c r="H1903" s="933" t="s">
        <v>1854</v>
      </c>
      <c r="I1903"/>
      <c r="J1903" s="805"/>
      <c r="K1903"/>
    </row>
    <row r="1904" spans="1:22" hidden="1">
      <c r="A1904" s="978"/>
      <c r="H1904" s="933" t="s">
        <v>1855</v>
      </c>
      <c r="I1904"/>
      <c r="J1904" s="805"/>
      <c r="K1904"/>
      <c r="V1904" s="933" t="s">
        <v>1804</v>
      </c>
    </row>
    <row r="1905" spans="1:11" hidden="1">
      <c r="A1905" s="978"/>
      <c r="H1905" s="933" t="s">
        <v>1856</v>
      </c>
      <c r="I1905"/>
      <c r="J1905" s="805"/>
      <c r="K1905"/>
    </row>
    <row r="1906" spans="1:11" hidden="1">
      <c r="A1906" s="978"/>
      <c r="H1906" s="933" t="s">
        <v>1863</v>
      </c>
      <c r="I1906"/>
      <c r="J1906" s="805"/>
      <c r="K1906"/>
    </row>
    <row r="1907" spans="1:11" hidden="1">
      <c r="A1907" s="978"/>
      <c r="H1907" s="935" t="s">
        <v>52</v>
      </c>
      <c r="I1907"/>
      <c r="J1907" s="805"/>
      <c r="K1907"/>
    </row>
    <row r="1908" spans="1:11" hidden="1">
      <c r="A1908" s="978"/>
      <c r="F1908" s="939">
        <v>1</v>
      </c>
      <c r="G1908" s="938" t="s">
        <v>131</v>
      </c>
      <c r="H1908" s="933" t="s">
        <v>1858</v>
      </c>
      <c r="I1908" s="744">
        <f>(C200)</f>
        <v>750</v>
      </c>
      <c r="J1908" s="779" t="s">
        <v>131</v>
      </c>
      <c r="K1908" s="744">
        <f>(F1908*I1908)</f>
        <v>750</v>
      </c>
    </row>
    <row r="1909" spans="1:11" hidden="1">
      <c r="A1909" s="978"/>
      <c r="F1909" s="941">
        <v>0.40500000000000003</v>
      </c>
      <c r="G1909" s="938" t="s">
        <v>132</v>
      </c>
      <c r="H1909" s="933" t="s">
        <v>1864</v>
      </c>
      <c r="I1909" s="744" t="e">
        <f>(K1262)</f>
        <v>#REF!</v>
      </c>
      <c r="J1909" s="779" t="s">
        <v>132</v>
      </c>
      <c r="K1909" s="744" t="e">
        <f>(F1909*I1909)</f>
        <v>#REF!</v>
      </c>
    </row>
    <row r="1910" spans="1:11" hidden="1">
      <c r="A1910" s="978"/>
      <c r="H1910" s="933" t="s">
        <v>1865</v>
      </c>
      <c r="I1910" s="743" t="s">
        <v>85</v>
      </c>
      <c r="J1910" s="805"/>
      <c r="K1910" s="743" t="s">
        <v>85</v>
      </c>
    </row>
    <row r="1911" spans="1:11" hidden="1">
      <c r="A1911" s="978"/>
      <c r="F1911" s="939">
        <v>1.89</v>
      </c>
      <c r="G1911" s="938" t="s">
        <v>425</v>
      </c>
      <c r="H1911" s="933" t="s">
        <v>1866</v>
      </c>
      <c r="I1911" s="744" t="e">
        <f>(K1373)</f>
        <v>#REF!</v>
      </c>
      <c r="J1911" s="779" t="s">
        <v>425</v>
      </c>
      <c r="K1911" s="744" t="e">
        <f>(F1911*I1911)</f>
        <v>#REF!</v>
      </c>
    </row>
    <row r="1912" spans="1:11" hidden="1">
      <c r="A1912" s="978"/>
      <c r="H1912" s="933" t="s">
        <v>1867</v>
      </c>
      <c r="I1912" s="743" t="s">
        <v>85</v>
      </c>
      <c r="J1912" s="805"/>
      <c r="K1912" s="743" t="s">
        <v>85</v>
      </c>
    </row>
    <row r="1913" spans="1:11" hidden="1">
      <c r="A1913" s="978"/>
      <c r="F1913" s="941">
        <v>8.1000000000000003E-2</v>
      </c>
      <c r="G1913" s="938" t="s">
        <v>132</v>
      </c>
      <c r="H1913" s="933" t="s">
        <v>1868</v>
      </c>
      <c r="I1913" s="744" t="e">
        <f>(R60)</f>
        <v>#REF!</v>
      </c>
      <c r="J1913" s="779" t="s">
        <v>132</v>
      </c>
      <c r="K1913" s="744" t="e">
        <f>(F1913*I1913)</f>
        <v>#REF!</v>
      </c>
    </row>
    <row r="1914" spans="1:11" hidden="1">
      <c r="A1914" s="978"/>
      <c r="H1914" s="933" t="s">
        <v>1869</v>
      </c>
      <c r="I1914"/>
      <c r="J1914" s="805"/>
      <c r="K1914"/>
    </row>
    <row r="1915" spans="1:11" hidden="1">
      <c r="A1915" s="978"/>
      <c r="F1915" s="939">
        <v>1</v>
      </c>
      <c r="G1915" s="938" t="s">
        <v>237</v>
      </c>
      <c r="H1915" s="933" t="s">
        <v>1695</v>
      </c>
      <c r="I1915" s="744">
        <f>(C15)</f>
        <v>130</v>
      </c>
      <c r="J1915" s="779" t="s">
        <v>237</v>
      </c>
      <c r="K1915" s="744">
        <f>(F1915*I1915)</f>
        <v>130</v>
      </c>
    </row>
    <row r="1916" spans="1:11" hidden="1">
      <c r="A1916" s="978"/>
      <c r="F1916" s="939">
        <v>0.5</v>
      </c>
      <c r="G1916" s="938" t="s">
        <v>131</v>
      </c>
      <c r="H1916" s="933" t="s">
        <v>302</v>
      </c>
      <c r="I1916" s="744">
        <f>(C11)</f>
        <v>135</v>
      </c>
      <c r="J1916" s="779" t="s">
        <v>131</v>
      </c>
      <c r="K1916" s="744">
        <f>(F1916*I1916)</f>
        <v>67.5</v>
      </c>
    </row>
    <row r="1917" spans="1:11" hidden="1">
      <c r="A1917" s="978"/>
      <c r="F1917" s="939">
        <v>0.5</v>
      </c>
      <c r="G1917" s="938" t="s">
        <v>131</v>
      </c>
      <c r="H1917" s="933" t="s">
        <v>304</v>
      </c>
      <c r="I1917" s="744">
        <f>(C12)</f>
        <v>95</v>
      </c>
      <c r="J1917" s="779" t="s">
        <v>131</v>
      </c>
      <c r="K1917" s="744">
        <f>(F1917*I1917)</f>
        <v>47.5</v>
      </c>
    </row>
    <row r="1918" spans="1:11" hidden="1">
      <c r="A1918" s="978"/>
      <c r="G1918" s="938" t="s">
        <v>145</v>
      </c>
      <c r="H1918" s="933" t="s">
        <v>146</v>
      </c>
      <c r="I1918" s="743" t="s">
        <v>85</v>
      </c>
      <c r="J1918" s="779" t="s">
        <v>145</v>
      </c>
      <c r="K1918" s="744">
        <v>0</v>
      </c>
    </row>
    <row r="1919" spans="1:11" hidden="1">
      <c r="A1919" s="978"/>
      <c r="H1919" s="933" t="s">
        <v>85</v>
      </c>
      <c r="I1919"/>
      <c r="J1919" s="805"/>
      <c r="K1919" s="776" t="s">
        <v>52</v>
      </c>
    </row>
    <row r="1920" spans="1:11" hidden="1">
      <c r="A1920" s="978"/>
      <c r="H1920" s="933" t="s">
        <v>767</v>
      </c>
      <c r="I1920"/>
      <c r="J1920" s="805"/>
      <c r="K1920" s="744" t="e">
        <f>SUM(K1908:K1918)</f>
        <v>#REF!</v>
      </c>
    </row>
    <row r="1921" spans="1:11" hidden="1">
      <c r="A1921" s="978"/>
      <c r="I1921"/>
      <c r="J1921" s="805"/>
      <c r="K1921" s="776" t="s">
        <v>89</v>
      </c>
    </row>
    <row r="1922" spans="1:11" hidden="1">
      <c r="A1922" s="978"/>
      <c r="G1922" s="938" t="s">
        <v>85</v>
      </c>
      <c r="H1922" s="933" t="s">
        <v>85</v>
      </c>
      <c r="I1922"/>
      <c r="J1922" s="805"/>
      <c r="K1922" s="743" t="s">
        <v>85</v>
      </c>
    </row>
    <row r="1923" spans="1:11" hidden="1">
      <c r="A1923" s="978"/>
      <c r="I1923"/>
      <c r="J1923" s="779" t="s">
        <v>85</v>
      </c>
      <c r="K1923" s="743" t="s">
        <v>88</v>
      </c>
    </row>
    <row r="1924" spans="1:11" hidden="1">
      <c r="A1924" s="978"/>
      <c r="F1924" s="944">
        <v>57</v>
      </c>
      <c r="G1924" s="938" t="s">
        <v>111</v>
      </c>
      <c r="H1924" s="933" t="s">
        <v>1870</v>
      </c>
      <c r="I1924"/>
      <c r="J1924" s="805"/>
      <c r="K1924"/>
    </row>
    <row r="1925" spans="1:11" hidden="1">
      <c r="A1925" s="978"/>
      <c r="H1925" s="933" t="s">
        <v>1871</v>
      </c>
      <c r="I1925"/>
      <c r="J1925" s="805"/>
      <c r="K1925"/>
    </row>
    <row r="1926" spans="1:11" hidden="1">
      <c r="A1926" s="978"/>
      <c r="H1926" s="933" t="s">
        <v>1872</v>
      </c>
      <c r="I1926"/>
      <c r="J1926" s="805"/>
      <c r="K1926"/>
    </row>
    <row r="1927" spans="1:11" hidden="1">
      <c r="A1927" s="978"/>
      <c r="H1927" s="935" t="s">
        <v>52</v>
      </c>
      <c r="I1927"/>
      <c r="J1927" s="805"/>
      <c r="K1927"/>
    </row>
    <row r="1928" spans="1:11" ht="95.25" hidden="1" customHeight="1">
      <c r="A1928" s="978"/>
      <c r="F1928" s="990">
        <v>1</v>
      </c>
      <c r="G1928" s="990" t="s">
        <v>781</v>
      </c>
      <c r="H1928" s="952" t="s">
        <v>1873</v>
      </c>
      <c r="I1928" s="991">
        <f>C591</f>
        <v>1700</v>
      </c>
      <c r="J1928" s="992" t="s">
        <v>781</v>
      </c>
      <c r="K1928" s="991">
        <f>(F1928*I1928)</f>
        <v>1700</v>
      </c>
    </row>
    <row r="1929" spans="1:11" hidden="1">
      <c r="A1929" s="978"/>
      <c r="F1929" s="939"/>
      <c r="G1929" s="938"/>
      <c r="H1929" s="950" t="s">
        <v>1874</v>
      </c>
      <c r="I1929" s="744"/>
      <c r="J1929" s="779"/>
      <c r="K1929" s="744"/>
    </row>
    <row r="1930" spans="1:11" hidden="1">
      <c r="A1930" s="978"/>
      <c r="F1930" s="939">
        <v>1</v>
      </c>
      <c r="G1930" s="938" t="s">
        <v>131</v>
      </c>
      <c r="H1930" s="933" t="s">
        <v>345</v>
      </c>
      <c r="I1930" s="744">
        <f>(C10)</f>
        <v>150</v>
      </c>
      <c r="J1930" s="779" t="s">
        <v>131</v>
      </c>
      <c r="K1930" s="744">
        <f>(F1930*I1930)</f>
        <v>150</v>
      </c>
    </row>
    <row r="1931" spans="1:11" hidden="1">
      <c r="A1931" s="978"/>
      <c r="F1931" s="939">
        <v>2</v>
      </c>
      <c r="G1931" s="938" t="s">
        <v>131</v>
      </c>
      <c r="H1931" s="933" t="s">
        <v>1695</v>
      </c>
      <c r="I1931" s="744">
        <f>(C15)</f>
        <v>130</v>
      </c>
      <c r="J1931" s="779" t="s">
        <v>131</v>
      </c>
      <c r="K1931" s="744">
        <f>(F1931*I1931)</f>
        <v>260</v>
      </c>
    </row>
    <row r="1932" spans="1:11" hidden="1">
      <c r="A1932" s="978"/>
      <c r="F1932" s="939">
        <v>1</v>
      </c>
      <c r="G1932" s="938" t="s">
        <v>131</v>
      </c>
      <c r="H1932" s="933" t="s">
        <v>306</v>
      </c>
      <c r="I1932" s="744">
        <f>(C13)</f>
        <v>85</v>
      </c>
      <c r="J1932" s="779" t="s">
        <v>131</v>
      </c>
      <c r="K1932" s="744">
        <f>(F1932*I1932)</f>
        <v>85</v>
      </c>
    </row>
    <row r="1933" spans="1:11" hidden="1">
      <c r="A1933" s="978"/>
      <c r="F1933" s="939"/>
      <c r="G1933" s="938"/>
      <c r="H1933" s="950" t="s">
        <v>1875</v>
      </c>
      <c r="I1933" s="744"/>
      <c r="J1933" s="779"/>
      <c r="K1933" s="744"/>
    </row>
    <row r="1934" spans="1:11" hidden="1">
      <c r="A1934" s="978"/>
      <c r="F1934" s="939">
        <v>0.5</v>
      </c>
      <c r="G1934" s="938" t="s">
        <v>131</v>
      </c>
      <c r="H1934" s="933" t="s">
        <v>1695</v>
      </c>
      <c r="I1934" s="744">
        <f>(C15)</f>
        <v>130</v>
      </c>
      <c r="J1934" s="779" t="s">
        <v>131</v>
      </c>
      <c r="K1934" s="744">
        <f>(F1934*I1934)</f>
        <v>65</v>
      </c>
    </row>
    <row r="1935" spans="1:11" hidden="1">
      <c r="A1935" s="978"/>
      <c r="F1935" s="939">
        <v>0.5</v>
      </c>
      <c r="G1935" s="938" t="s">
        <v>131</v>
      </c>
      <c r="H1935" s="933" t="s">
        <v>304</v>
      </c>
      <c r="I1935" s="744">
        <f>(C12)</f>
        <v>95</v>
      </c>
      <c r="J1935" s="779" t="s">
        <v>131</v>
      </c>
      <c r="K1935" s="744">
        <f>(F1935*I1935)</f>
        <v>47.5</v>
      </c>
    </row>
    <row r="1936" spans="1:11" hidden="1">
      <c r="A1936" s="978"/>
      <c r="G1936" s="938" t="s">
        <v>145</v>
      </c>
      <c r="H1936" s="933" t="s">
        <v>146</v>
      </c>
      <c r="I1936"/>
      <c r="J1936" s="779" t="s">
        <v>145</v>
      </c>
      <c r="K1936" s="744">
        <v>0</v>
      </c>
    </row>
    <row r="1937" spans="1:11" hidden="1">
      <c r="A1937" s="978"/>
      <c r="I1937"/>
      <c r="J1937" s="805"/>
      <c r="K1937" s="776" t="s">
        <v>52</v>
      </c>
    </row>
    <row r="1938" spans="1:11" hidden="1">
      <c r="A1938" s="978"/>
      <c r="H1938" s="933" t="s">
        <v>767</v>
      </c>
      <c r="I1938"/>
      <c r="J1938" s="805"/>
      <c r="K1938" s="744">
        <f>SUM(K1928:K1936)</f>
        <v>2307.5</v>
      </c>
    </row>
    <row r="1939" spans="1:11" hidden="1">
      <c r="A1939" s="978"/>
      <c r="F1939" s="933" t="s">
        <v>85</v>
      </c>
      <c r="I1939"/>
      <c r="J1939" s="805"/>
      <c r="K1939"/>
    </row>
    <row r="1940" spans="1:11" hidden="1">
      <c r="A1940" s="978"/>
      <c r="I1940"/>
      <c r="J1940" s="805"/>
      <c r="K1940" s="776" t="s">
        <v>52</v>
      </c>
    </row>
    <row r="1941" spans="1:11" hidden="1">
      <c r="A1941" s="978"/>
      <c r="G1941" s="938" t="s">
        <v>85</v>
      </c>
      <c r="H1941" s="933" t="s">
        <v>85</v>
      </c>
      <c r="I1941"/>
      <c r="J1941" s="805"/>
      <c r="K1941" s="743" t="s">
        <v>85</v>
      </c>
    </row>
    <row r="1942" spans="1:11" hidden="1">
      <c r="A1942" s="978"/>
      <c r="H1942" s="933" t="s">
        <v>85</v>
      </c>
      <c r="I1942"/>
      <c r="J1942" s="805"/>
      <c r="K1942"/>
    </row>
    <row r="1943" spans="1:11" hidden="1">
      <c r="A1943" s="978"/>
      <c r="F1943" s="948">
        <v>57.1</v>
      </c>
      <c r="G1943" s="938" t="s">
        <v>111</v>
      </c>
      <c r="H1943" s="933" t="s">
        <v>1876</v>
      </c>
      <c r="I1943"/>
      <c r="J1943" s="805"/>
      <c r="K1943"/>
    </row>
    <row r="1944" spans="1:11" hidden="1">
      <c r="A1944" s="978"/>
      <c r="H1944" s="933" t="s">
        <v>1871</v>
      </c>
      <c r="I1944"/>
      <c r="J1944" s="805"/>
      <c r="K1944"/>
    </row>
    <row r="1945" spans="1:11" hidden="1">
      <c r="A1945" s="978"/>
      <c r="H1945" s="933" t="s">
        <v>1872</v>
      </c>
      <c r="I1945"/>
      <c r="J1945" s="805"/>
      <c r="K1945"/>
    </row>
    <row r="1946" spans="1:11" hidden="1">
      <c r="A1946" s="978"/>
      <c r="H1946" s="935" t="s">
        <v>52</v>
      </c>
      <c r="I1946"/>
      <c r="J1946" s="805"/>
      <c r="K1946"/>
    </row>
    <row r="1947" spans="1:11" ht="78.75" hidden="1">
      <c r="A1947" s="978"/>
      <c r="F1947" s="990">
        <v>1</v>
      </c>
      <c r="G1947" s="990" t="s">
        <v>781</v>
      </c>
      <c r="H1947" s="952" t="s">
        <v>1873</v>
      </c>
      <c r="I1947">
        <f>E591</f>
        <v>2000</v>
      </c>
      <c r="J1947" s="992" t="s">
        <v>781</v>
      </c>
      <c r="K1947" s="991">
        <f>(F1947*I1947)</f>
        <v>2000</v>
      </c>
    </row>
    <row r="1948" spans="1:11" hidden="1">
      <c r="A1948" s="978"/>
      <c r="F1948" s="939"/>
      <c r="G1948" s="938"/>
      <c r="H1948" s="950" t="s">
        <v>1874</v>
      </c>
      <c r="I1948"/>
      <c r="J1948" s="779"/>
      <c r="K1948" s="744"/>
    </row>
    <row r="1949" spans="1:11" hidden="1">
      <c r="A1949" s="978"/>
      <c r="F1949" s="939">
        <v>1</v>
      </c>
      <c r="G1949" s="938" t="s">
        <v>131</v>
      </c>
      <c r="H1949" s="933" t="s">
        <v>345</v>
      </c>
      <c r="I1949">
        <f>C10</f>
        <v>150</v>
      </c>
      <c r="J1949" s="779" t="s">
        <v>131</v>
      </c>
      <c r="K1949" s="744">
        <f>(F1949*I1949)</f>
        <v>150</v>
      </c>
    </row>
    <row r="1950" spans="1:11" hidden="1">
      <c r="A1950" s="978"/>
      <c r="F1950" s="939">
        <v>2</v>
      </c>
      <c r="G1950" s="938" t="s">
        <v>131</v>
      </c>
      <c r="H1950" s="933" t="s">
        <v>1695</v>
      </c>
      <c r="I1950">
        <f>C15</f>
        <v>130</v>
      </c>
      <c r="J1950" s="779" t="s">
        <v>131</v>
      </c>
      <c r="K1950" s="744">
        <f>(F1950*I1950)</f>
        <v>260</v>
      </c>
    </row>
    <row r="1951" spans="1:11" hidden="1">
      <c r="A1951" s="978"/>
      <c r="F1951" s="939">
        <v>1</v>
      </c>
      <c r="G1951" s="938" t="s">
        <v>131</v>
      </c>
      <c r="H1951" s="933" t="s">
        <v>306</v>
      </c>
      <c r="I1951">
        <f>C13</f>
        <v>85</v>
      </c>
      <c r="J1951" s="779" t="s">
        <v>131</v>
      </c>
      <c r="K1951" s="744">
        <f>(F1951*I1951)</f>
        <v>85</v>
      </c>
    </row>
    <row r="1952" spans="1:11" hidden="1">
      <c r="A1952" s="978"/>
      <c r="F1952" s="939"/>
      <c r="G1952" s="938"/>
      <c r="H1952" s="950" t="s">
        <v>1875</v>
      </c>
      <c r="I1952"/>
      <c r="J1952" s="779"/>
      <c r="K1952" s="744"/>
    </row>
    <row r="1953" spans="1:11" hidden="1">
      <c r="A1953" s="978"/>
      <c r="F1953" s="939">
        <v>0.5</v>
      </c>
      <c r="G1953" s="938" t="s">
        <v>131</v>
      </c>
      <c r="H1953" s="933" t="s">
        <v>1695</v>
      </c>
      <c r="I1953">
        <f>C15</f>
        <v>130</v>
      </c>
      <c r="J1953" s="779" t="s">
        <v>131</v>
      </c>
      <c r="K1953" s="744">
        <f>(F1953*I1953)</f>
        <v>65</v>
      </c>
    </row>
    <row r="1954" spans="1:11" hidden="1">
      <c r="A1954" s="978"/>
      <c r="F1954" s="939">
        <v>0.5</v>
      </c>
      <c r="G1954" s="938" t="s">
        <v>131</v>
      </c>
      <c r="H1954" s="933" t="s">
        <v>304</v>
      </c>
      <c r="I1954">
        <f>C12</f>
        <v>95</v>
      </c>
      <c r="J1954" s="779" t="s">
        <v>131</v>
      </c>
      <c r="K1954" s="744">
        <f>(F1954*I1954)</f>
        <v>47.5</v>
      </c>
    </row>
    <row r="1955" spans="1:11" hidden="1">
      <c r="A1955" s="978"/>
      <c r="G1955" s="938" t="s">
        <v>145</v>
      </c>
      <c r="H1955" s="933" t="s">
        <v>146</v>
      </c>
      <c r="I1955"/>
      <c r="J1955" s="779" t="s">
        <v>145</v>
      </c>
      <c r="K1955" s="744">
        <v>0</v>
      </c>
    </row>
    <row r="1956" spans="1:11" hidden="1">
      <c r="A1956" s="978"/>
      <c r="I1956"/>
      <c r="J1956" s="805"/>
      <c r="K1956" s="776" t="s">
        <v>52</v>
      </c>
    </row>
    <row r="1957" spans="1:11" hidden="1">
      <c r="A1957" s="978"/>
      <c r="H1957" s="933" t="s">
        <v>767</v>
      </c>
      <c r="I1957"/>
      <c r="J1957" s="805"/>
      <c r="K1957" s="744">
        <f>SUM(K1947:K1955)</f>
        <v>2607.5</v>
      </c>
    </row>
    <row r="1958" spans="1:11" hidden="1">
      <c r="A1958" s="978"/>
      <c r="H1958" s="933"/>
      <c r="I1958"/>
      <c r="J1958" s="805"/>
      <c r="K1958"/>
    </row>
    <row r="1959" spans="1:11" hidden="1">
      <c r="A1959" s="978"/>
      <c r="H1959" s="933"/>
      <c r="I1959"/>
      <c r="J1959" s="805"/>
      <c r="K1959" s="776" t="s">
        <v>52</v>
      </c>
    </row>
    <row r="1960" spans="1:11" hidden="1">
      <c r="A1960" s="978"/>
      <c r="H1960" s="933"/>
      <c r="I1960"/>
      <c r="J1960" s="805"/>
      <c r="K1960"/>
    </row>
    <row r="1961" spans="1:11" hidden="1">
      <c r="A1961" s="978"/>
      <c r="F1961" s="934" t="s">
        <v>1877</v>
      </c>
      <c r="G1961" s="938" t="s">
        <v>111</v>
      </c>
      <c r="H1961" s="933" t="s">
        <v>1878</v>
      </c>
      <c r="I1961"/>
      <c r="J1961" s="805"/>
      <c r="K1961"/>
    </row>
    <row r="1962" spans="1:11" hidden="1">
      <c r="A1962" s="978"/>
      <c r="H1962" s="933" t="s">
        <v>1879</v>
      </c>
      <c r="I1962"/>
      <c r="J1962" s="805"/>
      <c r="K1962"/>
    </row>
    <row r="1963" spans="1:11" hidden="1">
      <c r="A1963" s="978"/>
      <c r="H1963" s="935" t="s">
        <v>52</v>
      </c>
      <c r="I1963"/>
      <c r="J1963" s="805"/>
      <c r="K1963"/>
    </row>
    <row r="1964" spans="1:11" hidden="1">
      <c r="A1964" s="978"/>
      <c r="G1964" s="938" t="s">
        <v>443</v>
      </c>
      <c r="H1964" s="933" t="s">
        <v>1880</v>
      </c>
      <c r="I1964"/>
      <c r="J1964" s="805"/>
      <c r="K1964"/>
    </row>
    <row r="1965" spans="1:11" hidden="1">
      <c r="A1965" s="978"/>
      <c r="H1965" s="933" t="s">
        <v>1881</v>
      </c>
      <c r="I1965"/>
      <c r="J1965" s="805"/>
      <c r="K1965"/>
    </row>
    <row r="1966" spans="1:11" hidden="1">
      <c r="A1966" s="978"/>
      <c r="H1966" s="933" t="s">
        <v>1882</v>
      </c>
      <c r="I1966"/>
      <c r="J1966" s="805"/>
      <c r="K1966"/>
    </row>
    <row r="1967" spans="1:11" hidden="1">
      <c r="A1967" s="978"/>
      <c r="H1967" s="933" t="s">
        <v>1883</v>
      </c>
      <c r="I1967"/>
      <c r="J1967" s="805"/>
      <c r="K1967"/>
    </row>
    <row r="1968" spans="1:11" hidden="1">
      <c r="A1968" s="978"/>
      <c r="H1968" s="933" t="s">
        <v>1884</v>
      </c>
      <c r="I1968"/>
      <c r="J1968" s="805"/>
      <c r="K1968"/>
    </row>
    <row r="1969" spans="1:11" hidden="1">
      <c r="A1969" s="978"/>
      <c r="H1969" s="933" t="s">
        <v>1885</v>
      </c>
      <c r="I1969"/>
      <c r="J1969" s="805"/>
      <c r="K1969"/>
    </row>
    <row r="1970" spans="1:11" hidden="1">
      <c r="A1970" s="978"/>
      <c r="H1970" s="933" t="s">
        <v>1886</v>
      </c>
      <c r="I1970"/>
      <c r="J1970" s="805"/>
      <c r="K1970"/>
    </row>
    <row r="1971" spans="1:11" hidden="1">
      <c r="A1971" s="978"/>
      <c r="H1971" s="935" t="s">
        <v>52</v>
      </c>
      <c r="I1971"/>
      <c r="J1971" s="805"/>
      <c r="K1971"/>
    </row>
    <row r="1972" spans="1:11" hidden="1">
      <c r="A1972" s="978"/>
      <c r="F1972" s="939">
        <v>3</v>
      </c>
      <c r="G1972" s="938" t="s">
        <v>282</v>
      </c>
      <c r="H1972" s="933" t="s">
        <v>1887</v>
      </c>
      <c r="I1972" s="744">
        <f>(C598)</f>
        <v>120</v>
      </c>
      <c r="J1972" s="779" t="s">
        <v>282</v>
      </c>
      <c r="K1972" s="744">
        <f t="shared" ref="K1972:K1978" si="70">(F1972*I1972)</f>
        <v>360</v>
      </c>
    </row>
    <row r="1973" spans="1:11" hidden="1">
      <c r="A1973" s="978"/>
      <c r="F1973" s="939">
        <v>1</v>
      </c>
      <c r="G1973" s="938" t="s">
        <v>237</v>
      </c>
      <c r="H1973" s="933" t="s">
        <v>1888</v>
      </c>
      <c r="I1973" s="744">
        <f>C601</f>
        <v>65</v>
      </c>
      <c r="J1973" s="779" t="s">
        <v>972</v>
      </c>
      <c r="K1973" s="744">
        <f t="shared" si="70"/>
        <v>65</v>
      </c>
    </row>
    <row r="1974" spans="1:11" hidden="1">
      <c r="A1974" s="978"/>
      <c r="F1974" s="939">
        <v>1</v>
      </c>
      <c r="G1974" s="938" t="s">
        <v>237</v>
      </c>
      <c r="H1974" s="933" t="s">
        <v>1889</v>
      </c>
      <c r="I1974" s="744">
        <f>C626</f>
        <v>12</v>
      </c>
      <c r="J1974" s="779" t="s">
        <v>972</v>
      </c>
      <c r="K1974" s="744">
        <f t="shared" si="70"/>
        <v>12</v>
      </c>
    </row>
    <row r="1975" spans="1:11" hidden="1">
      <c r="A1975" s="978"/>
      <c r="F1975" s="939">
        <v>1</v>
      </c>
      <c r="G1975" s="938" t="s">
        <v>237</v>
      </c>
      <c r="H1975" s="933" t="s">
        <v>1890</v>
      </c>
      <c r="I1975" s="744">
        <f>C623</f>
        <v>110</v>
      </c>
      <c r="J1975" s="779" t="s">
        <v>972</v>
      </c>
      <c r="K1975" s="744">
        <f t="shared" si="70"/>
        <v>110</v>
      </c>
    </row>
    <row r="1976" spans="1:11" hidden="1">
      <c r="A1976" s="978"/>
      <c r="F1976" s="939">
        <v>0.5</v>
      </c>
      <c r="G1976" s="938" t="s">
        <v>131</v>
      </c>
      <c r="H1976" s="933" t="s">
        <v>1695</v>
      </c>
      <c r="I1976" s="744">
        <f>(C15)</f>
        <v>130</v>
      </c>
      <c r="J1976" s="779" t="s">
        <v>972</v>
      </c>
      <c r="K1976" s="744">
        <f t="shared" si="70"/>
        <v>65</v>
      </c>
    </row>
    <row r="1977" spans="1:11" hidden="1">
      <c r="A1977" s="978"/>
      <c r="F1977" s="939">
        <v>0.5</v>
      </c>
      <c r="G1977" s="938" t="s">
        <v>131</v>
      </c>
      <c r="H1977" s="933" t="s">
        <v>302</v>
      </c>
      <c r="I1977" s="744">
        <f>(C11)</f>
        <v>135</v>
      </c>
      <c r="J1977" s="779" t="s">
        <v>972</v>
      </c>
      <c r="K1977" s="744">
        <f t="shared" si="70"/>
        <v>67.5</v>
      </c>
    </row>
    <row r="1978" spans="1:11" hidden="1">
      <c r="A1978" s="978"/>
      <c r="F1978" s="939">
        <v>0.5</v>
      </c>
      <c r="G1978" s="938" t="s">
        <v>131</v>
      </c>
      <c r="H1978" s="933" t="s">
        <v>304</v>
      </c>
      <c r="I1978" s="744">
        <f>(C12)</f>
        <v>95</v>
      </c>
      <c r="J1978" s="779" t="s">
        <v>972</v>
      </c>
      <c r="K1978" s="744">
        <f t="shared" si="70"/>
        <v>47.5</v>
      </c>
    </row>
    <row r="1979" spans="1:11" hidden="1">
      <c r="A1979" s="978"/>
      <c r="G1979" s="938" t="s">
        <v>145</v>
      </c>
      <c r="H1979" s="933" t="s">
        <v>1891</v>
      </c>
      <c r="I1979" s="744">
        <v>2.79</v>
      </c>
      <c r="J1979" s="779" t="s">
        <v>145</v>
      </c>
      <c r="K1979" s="744">
        <v>2.79</v>
      </c>
    </row>
    <row r="1980" spans="1:11" hidden="1">
      <c r="A1980" s="978"/>
      <c r="H1980" s="933" t="s">
        <v>1892</v>
      </c>
      <c r="I1980"/>
      <c r="J1980" s="805"/>
      <c r="K1980"/>
    </row>
    <row r="1981" spans="1:11" hidden="1">
      <c r="A1981" s="978"/>
      <c r="H1981" s="933" t="s">
        <v>1893</v>
      </c>
      <c r="I1981"/>
      <c r="J1981" s="805"/>
      <c r="K1981"/>
    </row>
    <row r="1982" spans="1:11" hidden="1">
      <c r="A1982" s="978"/>
      <c r="H1982" s="933" t="s">
        <v>1894</v>
      </c>
      <c r="I1982"/>
      <c r="J1982" s="779" t="s">
        <v>145</v>
      </c>
      <c r="K1982" s="744">
        <v>0</v>
      </c>
    </row>
    <row r="1983" spans="1:11" hidden="1">
      <c r="A1983" s="978"/>
      <c r="I1983"/>
      <c r="J1983" s="805"/>
      <c r="K1983" s="776" t="s">
        <v>52</v>
      </c>
    </row>
    <row r="1984" spans="1:11" hidden="1">
      <c r="A1984" s="978"/>
      <c r="H1984" s="933" t="s">
        <v>1698</v>
      </c>
      <c r="I1984"/>
      <c r="J1984" s="805"/>
      <c r="K1984" s="744">
        <f>SUM(K1972:K1982)</f>
        <v>729.79</v>
      </c>
    </row>
    <row r="1985" spans="1:11" hidden="1">
      <c r="A1985" s="978"/>
      <c r="I1985"/>
      <c r="J1985" s="805"/>
      <c r="K1985" s="776" t="s">
        <v>52</v>
      </c>
    </row>
    <row r="1986" spans="1:11" hidden="1">
      <c r="A1986" s="978"/>
      <c r="H1986" s="933" t="s">
        <v>632</v>
      </c>
      <c r="I1986"/>
      <c r="J1986" s="805"/>
      <c r="K1986" s="744">
        <f>(K1984/3)</f>
        <v>243.26</v>
      </c>
    </row>
    <row r="1987" spans="1:11" hidden="1">
      <c r="A1987" s="978"/>
      <c r="I1987"/>
      <c r="J1987" s="805"/>
      <c r="K1987" s="776" t="s">
        <v>52</v>
      </c>
    </row>
    <row r="1988" spans="1:11" hidden="1">
      <c r="A1988" s="978"/>
      <c r="F1988" s="934" t="s">
        <v>1895</v>
      </c>
      <c r="G1988" s="938" t="s">
        <v>1896</v>
      </c>
      <c r="H1988" s="933" t="s">
        <v>1897</v>
      </c>
      <c r="I1988"/>
      <c r="J1988" s="805"/>
      <c r="K1988"/>
    </row>
    <row r="1989" spans="1:11" hidden="1">
      <c r="A1989" s="978"/>
      <c r="H1989" s="933" t="s">
        <v>1898</v>
      </c>
      <c r="I1989"/>
      <c r="J1989" s="805"/>
      <c r="K1989"/>
    </row>
    <row r="1990" spans="1:11" hidden="1">
      <c r="A1990" s="978"/>
      <c r="H1990" s="933" t="s">
        <v>1882</v>
      </c>
      <c r="I1990"/>
      <c r="J1990" s="805"/>
      <c r="K1990"/>
    </row>
    <row r="1991" spans="1:11" hidden="1">
      <c r="A1991" s="978"/>
      <c r="H1991" s="933" t="s">
        <v>1899</v>
      </c>
      <c r="I1991"/>
      <c r="J1991" s="805"/>
      <c r="K1991"/>
    </row>
    <row r="1992" spans="1:11" hidden="1">
      <c r="A1992" s="978"/>
      <c r="H1992" s="933" t="s">
        <v>1900</v>
      </c>
      <c r="I1992"/>
      <c r="J1992" s="805"/>
      <c r="K1992"/>
    </row>
    <row r="1993" spans="1:11" hidden="1">
      <c r="A1993" s="978"/>
      <c r="H1993" s="933" t="s">
        <v>1885</v>
      </c>
      <c r="I1993"/>
      <c r="J1993" s="805"/>
      <c r="K1993"/>
    </row>
    <row r="1994" spans="1:11" hidden="1">
      <c r="A1994" s="978"/>
      <c r="H1994" s="933" t="s">
        <v>1886</v>
      </c>
      <c r="I1994"/>
      <c r="J1994" s="805"/>
      <c r="K1994"/>
    </row>
    <row r="1995" spans="1:11" hidden="1">
      <c r="A1995" s="978"/>
      <c r="H1995" s="935" t="s">
        <v>52</v>
      </c>
      <c r="I1995"/>
      <c r="J1995" s="805"/>
      <c r="K1995"/>
    </row>
    <row r="1996" spans="1:11" hidden="1">
      <c r="A1996" s="978"/>
      <c r="F1996" s="939">
        <v>3</v>
      </c>
      <c r="G1996" s="938" t="s">
        <v>282</v>
      </c>
      <c r="H1996" s="933" t="s">
        <v>1901</v>
      </c>
      <c r="I1996" s="744">
        <f>(C599)</f>
        <v>80</v>
      </c>
      <c r="J1996" s="779" t="s">
        <v>282</v>
      </c>
      <c r="K1996" s="744">
        <f t="shared" ref="K1996:K2002" si="71">(F1996*I1996)</f>
        <v>240</v>
      </c>
    </row>
    <row r="1997" spans="1:11" hidden="1">
      <c r="A1997" s="978"/>
      <c r="F1997" s="939">
        <v>1</v>
      </c>
      <c r="G1997" s="938" t="s">
        <v>237</v>
      </c>
      <c r="H1997" s="933" t="s">
        <v>1902</v>
      </c>
      <c r="I1997" s="744">
        <f>C602</f>
        <v>40</v>
      </c>
      <c r="J1997" s="805" t="s">
        <v>237</v>
      </c>
      <c r="K1997" s="744">
        <f t="shared" si="71"/>
        <v>40</v>
      </c>
    </row>
    <row r="1998" spans="1:11" hidden="1">
      <c r="A1998" s="978"/>
      <c r="F1998" s="939">
        <v>1</v>
      </c>
      <c r="G1998" s="938" t="s">
        <v>237</v>
      </c>
      <c r="H1998" s="933" t="s">
        <v>1903</v>
      </c>
      <c r="I1998" s="744">
        <f>C627</f>
        <v>7.5</v>
      </c>
      <c r="J1998" s="805" t="s">
        <v>237</v>
      </c>
      <c r="K1998" s="744">
        <f t="shared" si="71"/>
        <v>7.5</v>
      </c>
    </row>
    <row r="1999" spans="1:11" hidden="1">
      <c r="A1999" s="978"/>
      <c r="F1999" s="939">
        <v>1</v>
      </c>
      <c r="G1999" s="938" t="s">
        <v>237</v>
      </c>
      <c r="H1999" s="933" t="s">
        <v>1904</v>
      </c>
      <c r="I1999" s="744">
        <f>C624</f>
        <v>70</v>
      </c>
      <c r="J1999" s="805" t="s">
        <v>237</v>
      </c>
      <c r="K1999" s="744">
        <f t="shared" si="71"/>
        <v>70</v>
      </c>
    </row>
    <row r="2000" spans="1:11" hidden="1">
      <c r="A2000" s="978"/>
      <c r="F2000" s="939">
        <v>0.5</v>
      </c>
      <c r="G2000" s="938" t="s">
        <v>131</v>
      </c>
      <c r="H2000" s="933" t="s">
        <v>1695</v>
      </c>
      <c r="I2000" s="744">
        <f>(C15)</f>
        <v>130</v>
      </c>
      <c r="J2000" s="779" t="s">
        <v>131</v>
      </c>
      <c r="K2000" s="744">
        <f t="shared" si="71"/>
        <v>65</v>
      </c>
    </row>
    <row r="2001" spans="1:11" hidden="1">
      <c r="A2001" s="978"/>
      <c r="F2001" s="939">
        <v>0.5</v>
      </c>
      <c r="G2001" s="938" t="s">
        <v>131</v>
      </c>
      <c r="H2001" s="933" t="s">
        <v>302</v>
      </c>
      <c r="I2001" s="744">
        <f>(C11)</f>
        <v>135</v>
      </c>
      <c r="J2001" s="779" t="s">
        <v>131</v>
      </c>
      <c r="K2001" s="744">
        <f t="shared" si="71"/>
        <v>67.5</v>
      </c>
    </row>
    <row r="2002" spans="1:11" hidden="1">
      <c r="A2002" s="978"/>
      <c r="F2002" s="939">
        <v>0.5</v>
      </c>
      <c r="G2002" s="938" t="s">
        <v>131</v>
      </c>
      <c r="H2002" s="933" t="s">
        <v>304</v>
      </c>
      <c r="I2002" s="744">
        <f>(C12)</f>
        <v>95</v>
      </c>
      <c r="J2002" s="779" t="s">
        <v>131</v>
      </c>
      <c r="K2002" s="744">
        <f t="shared" si="71"/>
        <v>47.5</v>
      </c>
    </row>
    <row r="2003" spans="1:11" hidden="1">
      <c r="A2003" s="978"/>
      <c r="G2003" s="938" t="s">
        <v>145</v>
      </c>
      <c r="H2003" s="933" t="s">
        <v>1891</v>
      </c>
      <c r="I2003" s="743" t="s">
        <v>85</v>
      </c>
      <c r="J2003" s="779" t="s">
        <v>145</v>
      </c>
      <c r="K2003" s="744">
        <v>2.73</v>
      </c>
    </row>
    <row r="2004" spans="1:11" hidden="1">
      <c r="A2004" s="978"/>
      <c r="H2004" s="933" t="s">
        <v>1892</v>
      </c>
      <c r="I2004"/>
      <c r="J2004" s="805"/>
      <c r="K2004"/>
    </row>
    <row r="2005" spans="1:11" hidden="1">
      <c r="A2005" s="978"/>
      <c r="H2005" s="933" t="s">
        <v>1893</v>
      </c>
      <c r="I2005"/>
      <c r="J2005" s="805"/>
      <c r="K2005"/>
    </row>
    <row r="2006" spans="1:11" hidden="1">
      <c r="A2006" s="978"/>
      <c r="H2006" s="933" t="s">
        <v>1894</v>
      </c>
      <c r="I2006"/>
      <c r="J2006" s="779" t="s">
        <v>145</v>
      </c>
      <c r="K2006" s="744">
        <v>0</v>
      </c>
    </row>
    <row r="2007" spans="1:11" hidden="1">
      <c r="A2007" s="978"/>
      <c r="I2007"/>
      <c r="J2007" s="805"/>
      <c r="K2007" s="776" t="s">
        <v>52</v>
      </c>
    </row>
    <row r="2008" spans="1:11" hidden="1">
      <c r="A2008" s="978"/>
      <c r="H2008" s="933" t="s">
        <v>1698</v>
      </c>
      <c r="I2008"/>
      <c r="J2008" s="805"/>
      <c r="K2008" s="744">
        <f>SUM(K1996:K2006)</f>
        <v>540.23</v>
      </c>
    </row>
    <row r="2009" spans="1:11" hidden="1">
      <c r="A2009" s="978"/>
      <c r="I2009"/>
      <c r="J2009" s="805"/>
      <c r="K2009" s="776" t="s">
        <v>52</v>
      </c>
    </row>
    <row r="2010" spans="1:11" hidden="1">
      <c r="A2010" s="978"/>
      <c r="H2010" s="933" t="s">
        <v>632</v>
      </c>
      <c r="I2010"/>
      <c r="J2010" s="805"/>
      <c r="K2010" s="744">
        <f>(K2008/3)</f>
        <v>180.08</v>
      </c>
    </row>
    <row r="2011" spans="1:11" hidden="1">
      <c r="A2011" s="978"/>
      <c r="I2011"/>
      <c r="J2011" s="805"/>
      <c r="K2011" s="776" t="s">
        <v>52</v>
      </c>
    </row>
    <row r="2012" spans="1:11" hidden="1">
      <c r="A2012" s="978"/>
      <c r="F2012" s="934" t="s">
        <v>1905</v>
      </c>
      <c r="H2012" s="933" t="s">
        <v>1906</v>
      </c>
      <c r="I2012"/>
      <c r="J2012" s="805"/>
      <c r="K2012"/>
    </row>
    <row r="2013" spans="1:11" hidden="1">
      <c r="A2013" s="978"/>
      <c r="H2013" s="933" t="s">
        <v>1907</v>
      </c>
      <c r="I2013"/>
      <c r="J2013" s="805"/>
      <c r="K2013"/>
    </row>
    <row r="2014" spans="1:11" hidden="1">
      <c r="A2014" s="978"/>
      <c r="F2014" s="933" t="s">
        <v>85</v>
      </c>
      <c r="H2014" s="933" t="s">
        <v>1908</v>
      </c>
      <c r="I2014"/>
      <c r="J2014" s="805"/>
      <c r="K2014"/>
    </row>
    <row r="2015" spans="1:11" hidden="1">
      <c r="A2015" s="978"/>
      <c r="H2015" s="935" t="s">
        <v>52</v>
      </c>
      <c r="I2015"/>
      <c r="J2015" s="805"/>
      <c r="K2015"/>
    </row>
    <row r="2016" spans="1:11" hidden="1">
      <c r="A2016" s="978"/>
      <c r="F2016" s="939">
        <v>3</v>
      </c>
      <c r="G2016" s="938" t="s">
        <v>1774</v>
      </c>
      <c r="H2016" s="933" t="s">
        <v>1909</v>
      </c>
      <c r="I2016" s="744">
        <v>108</v>
      </c>
      <c r="J2016" s="779" t="s">
        <v>1774</v>
      </c>
      <c r="K2016" s="744">
        <f>(F2016*I2016)</f>
        <v>324</v>
      </c>
    </row>
    <row r="2017" spans="1:11" hidden="1">
      <c r="A2017" s="978"/>
      <c r="F2017" s="939">
        <v>1</v>
      </c>
      <c r="G2017" s="938" t="s">
        <v>1724</v>
      </c>
      <c r="H2017" s="933" t="s">
        <v>1910</v>
      </c>
      <c r="I2017" s="744">
        <v>12</v>
      </c>
      <c r="J2017" s="779" t="s">
        <v>1724</v>
      </c>
      <c r="K2017" s="744">
        <f>(F2017*I2017)</f>
        <v>12</v>
      </c>
    </row>
    <row r="2018" spans="1:11" hidden="1">
      <c r="A2018" s="978"/>
      <c r="F2018" s="939">
        <v>1</v>
      </c>
      <c r="G2018" s="938" t="s">
        <v>1724</v>
      </c>
      <c r="H2018" s="933" t="s">
        <v>1911</v>
      </c>
      <c r="I2018" s="744">
        <v>8</v>
      </c>
      <c r="J2018" s="779" t="s">
        <v>1724</v>
      </c>
      <c r="K2018" s="744">
        <f>(F2018*I2018)</f>
        <v>8</v>
      </c>
    </row>
    <row r="2019" spans="1:11" hidden="1">
      <c r="A2019" s="978"/>
      <c r="F2019" s="934" t="s">
        <v>1777</v>
      </c>
      <c r="H2019" s="933" t="s">
        <v>1912</v>
      </c>
      <c r="I2019" s="779" t="s">
        <v>1777</v>
      </c>
      <c r="J2019" s="805"/>
      <c r="K2019" s="744">
        <v>1.21</v>
      </c>
    </row>
    <row r="2020" spans="1:11" hidden="1">
      <c r="A2020" s="978"/>
      <c r="I2020"/>
      <c r="J2020" s="805"/>
      <c r="K2020" s="776" t="s">
        <v>52</v>
      </c>
    </row>
    <row r="2021" spans="1:11" hidden="1">
      <c r="A2021" s="978"/>
      <c r="H2021" s="933" t="s">
        <v>1913</v>
      </c>
      <c r="I2021"/>
      <c r="J2021" s="805"/>
      <c r="K2021" s="744">
        <f>SUM(K2016:K2019)</f>
        <v>345.21</v>
      </c>
    </row>
    <row r="2022" spans="1:11" hidden="1">
      <c r="A2022" s="978"/>
      <c r="I2022"/>
      <c r="J2022" s="805"/>
      <c r="K2022" s="776" t="s">
        <v>52</v>
      </c>
    </row>
    <row r="2023" spans="1:11" hidden="1">
      <c r="A2023" s="978"/>
      <c r="I2023"/>
      <c r="J2023" s="805"/>
      <c r="K2023"/>
    </row>
    <row r="2024" spans="1:11" hidden="1">
      <c r="A2024" s="978"/>
      <c r="F2024" s="934" t="s">
        <v>1914</v>
      </c>
      <c r="G2024" s="938" t="s">
        <v>111</v>
      </c>
      <c r="H2024" s="933" t="s">
        <v>1915</v>
      </c>
      <c r="I2024"/>
      <c r="J2024" s="805"/>
      <c r="K2024"/>
    </row>
    <row r="2025" spans="1:11" hidden="1">
      <c r="A2025" s="978"/>
      <c r="H2025" s="933" t="s">
        <v>1916</v>
      </c>
      <c r="I2025"/>
      <c r="J2025" s="805"/>
      <c r="K2025"/>
    </row>
    <row r="2026" spans="1:11" hidden="1">
      <c r="A2026" s="978"/>
      <c r="H2026" s="935" t="s">
        <v>52</v>
      </c>
      <c r="I2026"/>
      <c r="J2026" s="805"/>
      <c r="K2026"/>
    </row>
    <row r="2027" spans="1:11" hidden="1">
      <c r="A2027" s="978"/>
      <c r="F2027" s="939">
        <v>1</v>
      </c>
      <c r="G2027" s="938" t="s">
        <v>131</v>
      </c>
      <c r="H2027" s="933" t="s">
        <v>1916</v>
      </c>
      <c r="I2027" s="744">
        <f>(C265)</f>
        <v>115</v>
      </c>
      <c r="J2027" s="779" t="s">
        <v>131</v>
      </c>
      <c r="K2027" s="744">
        <f>(F2027*I2027)</f>
        <v>115</v>
      </c>
    </row>
    <row r="2028" spans="1:11" hidden="1">
      <c r="A2028" s="978"/>
      <c r="F2028" s="939">
        <v>0.05</v>
      </c>
      <c r="G2028" s="938" t="s">
        <v>132</v>
      </c>
      <c r="H2028" s="933" t="s">
        <v>1917</v>
      </c>
      <c r="I2028" s="744" t="e">
        <f>(R60)</f>
        <v>#REF!</v>
      </c>
      <c r="J2028" s="779" t="s">
        <v>132</v>
      </c>
      <c r="K2028" s="744" t="e">
        <f>(F2028*I2028)</f>
        <v>#REF!</v>
      </c>
    </row>
    <row r="2029" spans="1:11" hidden="1">
      <c r="A2029" s="978"/>
      <c r="F2029" s="939">
        <v>0.5</v>
      </c>
      <c r="G2029" s="938" t="s">
        <v>131</v>
      </c>
      <c r="H2029" s="933" t="s">
        <v>1695</v>
      </c>
      <c r="I2029" s="744">
        <f>(C15)</f>
        <v>130</v>
      </c>
      <c r="J2029" s="779" t="s">
        <v>131</v>
      </c>
      <c r="K2029" s="744">
        <f>(F2029*I2029)</f>
        <v>65</v>
      </c>
    </row>
    <row r="2030" spans="1:11" hidden="1">
      <c r="A2030" s="978"/>
      <c r="F2030" s="939">
        <v>1</v>
      </c>
      <c r="G2030" s="938" t="s">
        <v>131</v>
      </c>
      <c r="H2030" s="933" t="s">
        <v>304</v>
      </c>
      <c r="I2030" s="744">
        <f>(C12)</f>
        <v>95</v>
      </c>
      <c r="J2030" s="779" t="s">
        <v>131</v>
      </c>
      <c r="K2030" s="744">
        <f>(F2030*I2030)</f>
        <v>95</v>
      </c>
    </row>
    <row r="2031" spans="1:11" hidden="1">
      <c r="A2031" s="978"/>
      <c r="F2031" s="939">
        <v>1</v>
      </c>
      <c r="G2031" s="938" t="s">
        <v>131</v>
      </c>
      <c r="H2031" s="933" t="s">
        <v>306</v>
      </c>
      <c r="I2031" s="744">
        <f>(C13)</f>
        <v>85</v>
      </c>
      <c r="J2031" s="779" t="s">
        <v>131</v>
      </c>
      <c r="K2031" s="744">
        <f>(F2031*I2031)</f>
        <v>85</v>
      </c>
    </row>
    <row r="2032" spans="1:11" hidden="1">
      <c r="A2032" s="978"/>
      <c r="G2032" s="938" t="s">
        <v>145</v>
      </c>
      <c r="H2032" s="933" t="s">
        <v>146</v>
      </c>
      <c r="I2032" s="743" t="s">
        <v>85</v>
      </c>
      <c r="J2032" s="779" t="s">
        <v>145</v>
      </c>
      <c r="K2032" s="744">
        <v>0</v>
      </c>
    </row>
    <row r="2033" spans="1:11" hidden="1">
      <c r="A2033" s="978"/>
      <c r="H2033" s="933" t="s">
        <v>85</v>
      </c>
      <c r="I2033"/>
      <c r="J2033" s="805"/>
      <c r="K2033" s="776" t="s">
        <v>52</v>
      </c>
    </row>
    <row r="2034" spans="1:11" hidden="1">
      <c r="A2034" s="978"/>
      <c r="H2034" s="933" t="s">
        <v>767</v>
      </c>
      <c r="I2034"/>
      <c r="J2034" s="805"/>
      <c r="K2034" s="744" t="e">
        <f>SUM(K2027:K2032)</f>
        <v>#REF!</v>
      </c>
    </row>
    <row r="2035" spans="1:11" hidden="1">
      <c r="A2035" s="978"/>
      <c r="I2035"/>
      <c r="J2035" s="805"/>
      <c r="K2035" s="776" t="s">
        <v>89</v>
      </c>
    </row>
    <row r="2036" spans="1:11" hidden="1">
      <c r="A2036" s="978"/>
      <c r="F2036" s="934" t="s">
        <v>1918</v>
      </c>
      <c r="G2036" s="938" t="s">
        <v>111</v>
      </c>
      <c r="H2036" s="933" t="s">
        <v>1919</v>
      </c>
      <c r="I2036"/>
      <c r="J2036" s="805"/>
      <c r="K2036"/>
    </row>
    <row r="2037" spans="1:11" hidden="1">
      <c r="A2037" s="978"/>
      <c r="H2037" s="933" t="s">
        <v>1920</v>
      </c>
      <c r="I2037"/>
      <c r="J2037" s="805"/>
      <c r="K2037"/>
    </row>
    <row r="2038" spans="1:11" hidden="1">
      <c r="A2038" s="978"/>
      <c r="H2038" s="935" t="s">
        <v>52</v>
      </c>
      <c r="I2038"/>
      <c r="J2038" s="805"/>
      <c r="K2038"/>
    </row>
    <row r="2039" spans="1:11" hidden="1">
      <c r="A2039" s="978"/>
      <c r="F2039" s="939">
        <v>1</v>
      </c>
      <c r="G2039" s="938" t="s">
        <v>131</v>
      </c>
      <c r="H2039" s="933" t="s">
        <v>1921</v>
      </c>
      <c r="I2039" s="744">
        <f>(D266)</f>
        <v>90</v>
      </c>
      <c r="J2039" s="779" t="s">
        <v>131</v>
      </c>
      <c r="K2039" s="744">
        <f>(F2039*I2039)</f>
        <v>90</v>
      </c>
    </row>
    <row r="2040" spans="1:11" hidden="1">
      <c r="A2040" s="978"/>
      <c r="G2040" s="938" t="s">
        <v>145</v>
      </c>
      <c r="H2040" s="933" t="s">
        <v>1922</v>
      </c>
      <c r="I2040"/>
      <c r="J2040" s="779" t="s">
        <v>145</v>
      </c>
      <c r="K2040" s="744">
        <v>4</v>
      </c>
    </row>
    <row r="2041" spans="1:11" hidden="1">
      <c r="A2041" s="978"/>
      <c r="I2041"/>
      <c r="J2041" s="779" t="s">
        <v>85</v>
      </c>
      <c r="K2041" s="776" t="s">
        <v>52</v>
      </c>
    </row>
    <row r="2042" spans="1:11" hidden="1">
      <c r="A2042" s="978"/>
      <c r="H2042" s="933" t="s">
        <v>767</v>
      </c>
      <c r="I2042"/>
      <c r="J2042" s="805"/>
      <c r="K2042" s="744">
        <f>SUM(K2039:K2041)</f>
        <v>94</v>
      </c>
    </row>
    <row r="2043" spans="1:11" hidden="1">
      <c r="A2043" s="978"/>
      <c r="I2043"/>
      <c r="J2043" s="805"/>
      <c r="K2043" s="776" t="s">
        <v>52</v>
      </c>
    </row>
    <row r="2044" spans="1:11" hidden="1">
      <c r="A2044" s="978"/>
      <c r="F2044" s="934" t="s">
        <v>1923</v>
      </c>
      <c r="G2044" s="938" t="s">
        <v>111</v>
      </c>
      <c r="H2044" s="933" t="s">
        <v>1924</v>
      </c>
      <c r="I2044"/>
      <c r="J2044" s="805"/>
      <c r="K2044"/>
    </row>
    <row r="2045" spans="1:11" hidden="1">
      <c r="A2045" s="978"/>
      <c r="H2045" s="933" t="s">
        <v>1925</v>
      </c>
      <c r="I2045"/>
      <c r="J2045" s="805"/>
      <c r="K2045"/>
    </row>
    <row r="2046" spans="1:11" hidden="1">
      <c r="A2046" s="978"/>
      <c r="H2046" s="935" t="s">
        <v>52</v>
      </c>
      <c r="I2046"/>
      <c r="J2046" s="805"/>
      <c r="K2046"/>
    </row>
    <row r="2047" spans="1:11" hidden="1">
      <c r="A2047" s="978"/>
      <c r="F2047" s="939">
        <v>50</v>
      </c>
      <c r="G2047" s="938" t="s">
        <v>131</v>
      </c>
      <c r="H2047" s="933" t="s">
        <v>1926</v>
      </c>
      <c r="I2047" s="744">
        <f>(C203)</f>
        <v>40</v>
      </c>
      <c r="J2047" s="779" t="s">
        <v>131</v>
      </c>
      <c r="K2047" s="744">
        <f t="shared" ref="K2047:K2056" si="72">(F2047*I2047)</f>
        <v>2000</v>
      </c>
    </row>
    <row r="2048" spans="1:11" hidden="1">
      <c r="A2048" s="978"/>
      <c r="F2048" s="939">
        <v>21.6</v>
      </c>
      <c r="G2048" s="938" t="s">
        <v>132</v>
      </c>
      <c r="H2048" s="933" t="s">
        <v>1927</v>
      </c>
      <c r="I2048" s="744">
        <f>(C61*2)</f>
        <v>50</v>
      </c>
      <c r="J2048" s="779" t="s">
        <v>132</v>
      </c>
      <c r="K2048" s="744">
        <f t="shared" si="72"/>
        <v>1080</v>
      </c>
    </row>
    <row r="2049" spans="1:11" hidden="1">
      <c r="A2049" s="978"/>
      <c r="F2049" s="939">
        <v>21.6</v>
      </c>
      <c r="G2049" s="938" t="s">
        <v>132</v>
      </c>
      <c r="H2049" s="933" t="s">
        <v>1860</v>
      </c>
      <c r="I2049" s="744">
        <f>(C26)</f>
        <v>8.8000000000000007</v>
      </c>
      <c r="J2049" s="779" t="s">
        <v>132</v>
      </c>
      <c r="K2049" s="744">
        <f t="shared" si="72"/>
        <v>190.08</v>
      </c>
    </row>
    <row r="2050" spans="1:11" hidden="1">
      <c r="A2050" s="978"/>
      <c r="F2050" s="939">
        <v>45</v>
      </c>
      <c r="G2050" s="938" t="s">
        <v>39</v>
      </c>
      <c r="H2050" s="933" t="s">
        <v>123</v>
      </c>
      <c r="I2050" s="744">
        <f>(C67/1000)</f>
        <v>3.8</v>
      </c>
      <c r="J2050" s="779" t="s">
        <v>39</v>
      </c>
      <c r="K2050" s="744">
        <f t="shared" si="72"/>
        <v>171</v>
      </c>
    </row>
    <row r="2051" spans="1:11" hidden="1">
      <c r="A2051" s="978"/>
      <c r="F2051" s="939">
        <v>0.04</v>
      </c>
      <c r="G2051" s="938" t="s">
        <v>132</v>
      </c>
      <c r="H2051" s="933" t="s">
        <v>133</v>
      </c>
      <c r="I2051" s="744" t="e">
        <f>(C78)</f>
        <v>#REF!</v>
      </c>
      <c r="J2051" s="779" t="s">
        <v>132</v>
      </c>
      <c r="K2051" s="744" t="e">
        <f t="shared" si="72"/>
        <v>#REF!</v>
      </c>
    </row>
    <row r="2052" spans="1:11" hidden="1">
      <c r="A2052" s="978"/>
      <c r="F2052" s="939">
        <v>3.63</v>
      </c>
      <c r="G2052" s="938" t="s">
        <v>39</v>
      </c>
      <c r="H2052" s="933" t="s">
        <v>1928</v>
      </c>
      <c r="I2052" s="744">
        <f>(C585)</f>
        <v>7</v>
      </c>
      <c r="J2052" s="779" t="s">
        <v>39</v>
      </c>
      <c r="K2052" s="744">
        <f t="shared" si="72"/>
        <v>25.41</v>
      </c>
    </row>
    <row r="2053" spans="1:11" hidden="1">
      <c r="A2053" s="978"/>
      <c r="F2053" s="939">
        <v>2</v>
      </c>
      <c r="G2053" s="938" t="s">
        <v>131</v>
      </c>
      <c r="H2053" s="933" t="s">
        <v>345</v>
      </c>
      <c r="I2053" s="744">
        <f>(C10)</f>
        <v>150</v>
      </c>
      <c r="J2053" s="779" t="s">
        <v>131</v>
      </c>
      <c r="K2053" s="744">
        <f t="shared" si="72"/>
        <v>300</v>
      </c>
    </row>
    <row r="2054" spans="1:11" hidden="1">
      <c r="A2054" s="978"/>
      <c r="F2054" s="939">
        <v>1</v>
      </c>
      <c r="G2054" s="938" t="s">
        <v>131</v>
      </c>
      <c r="H2054" s="933" t="s">
        <v>1929</v>
      </c>
      <c r="I2054" s="744">
        <f>AE37</f>
        <v>120</v>
      </c>
      <c r="J2054" s="779" t="s">
        <v>131</v>
      </c>
      <c r="K2054" s="744">
        <f t="shared" si="72"/>
        <v>120</v>
      </c>
    </row>
    <row r="2055" spans="1:11" hidden="1">
      <c r="A2055" s="978"/>
      <c r="F2055" s="939">
        <v>5</v>
      </c>
      <c r="G2055" s="938" t="s">
        <v>131</v>
      </c>
      <c r="H2055" s="933" t="s">
        <v>304</v>
      </c>
      <c r="I2055" s="744">
        <f>(C12)</f>
        <v>95</v>
      </c>
      <c r="J2055" s="779" t="s">
        <v>131</v>
      </c>
      <c r="K2055" s="744">
        <f t="shared" si="72"/>
        <v>475</v>
      </c>
    </row>
    <row r="2056" spans="1:11" hidden="1">
      <c r="A2056" s="978"/>
      <c r="F2056" s="939">
        <v>2</v>
      </c>
      <c r="G2056" s="938" t="s">
        <v>131</v>
      </c>
      <c r="H2056" s="933" t="s">
        <v>306</v>
      </c>
      <c r="I2056" s="744">
        <f>(C13)</f>
        <v>85</v>
      </c>
      <c r="J2056" s="779" t="s">
        <v>131</v>
      </c>
      <c r="K2056" s="744">
        <f t="shared" si="72"/>
        <v>170</v>
      </c>
    </row>
    <row r="2057" spans="1:11" hidden="1">
      <c r="A2057" s="978"/>
      <c r="G2057" s="938" t="s">
        <v>145</v>
      </c>
      <c r="H2057" s="933" t="s">
        <v>1930</v>
      </c>
      <c r="I2057"/>
      <c r="J2057" s="779" t="s">
        <v>145</v>
      </c>
      <c r="K2057" s="744">
        <f>SUM(K2053:K2056)/10</f>
        <v>106.5</v>
      </c>
    </row>
    <row r="2058" spans="1:11" hidden="1">
      <c r="A2058" s="978"/>
      <c r="I2058"/>
      <c r="J2058" s="805"/>
      <c r="K2058" s="776" t="s">
        <v>52</v>
      </c>
    </row>
    <row r="2059" spans="1:11" hidden="1">
      <c r="A2059" s="978"/>
      <c r="H2059" s="933" t="s">
        <v>1931</v>
      </c>
      <c r="I2059"/>
      <c r="J2059" s="805"/>
      <c r="K2059" s="744" t="e">
        <f>SUM(K2047:K2057)</f>
        <v>#REF!</v>
      </c>
    </row>
    <row r="2060" spans="1:11" hidden="1">
      <c r="A2060" s="978"/>
      <c r="I2060"/>
      <c r="J2060" s="805"/>
      <c r="K2060" s="776" t="s">
        <v>52</v>
      </c>
    </row>
    <row r="2061" spans="1:11" hidden="1">
      <c r="A2061" s="978"/>
      <c r="H2061" s="933" t="s">
        <v>1932</v>
      </c>
      <c r="I2061"/>
      <c r="J2061" s="805"/>
      <c r="K2061" s="744" t="e">
        <f>(K2059/30)</f>
        <v>#REF!</v>
      </c>
    </row>
    <row r="2062" spans="1:11" hidden="1">
      <c r="A2062" s="978"/>
      <c r="I2062"/>
      <c r="J2062" s="805"/>
      <c r="K2062" s="776" t="s">
        <v>89</v>
      </c>
    </row>
    <row r="2063" spans="1:11" hidden="1">
      <c r="A2063" s="978"/>
      <c r="I2063"/>
      <c r="J2063" s="805"/>
      <c r="K2063"/>
    </row>
    <row r="2064" spans="1:11" hidden="1">
      <c r="A2064" s="978"/>
      <c r="F2064" s="934" t="s">
        <v>1933</v>
      </c>
      <c r="G2064" s="938" t="s">
        <v>111</v>
      </c>
      <c r="H2064" s="933" t="s">
        <v>1934</v>
      </c>
      <c r="I2064"/>
      <c r="J2064" s="805"/>
      <c r="K2064"/>
    </row>
    <row r="2065" spans="1:11" hidden="1">
      <c r="A2065" s="978"/>
      <c r="H2065" s="933" t="s">
        <v>1925</v>
      </c>
      <c r="I2065"/>
      <c r="J2065" s="805"/>
      <c r="K2065"/>
    </row>
    <row r="2066" spans="1:11" hidden="1">
      <c r="A2066" s="978"/>
      <c r="H2066" s="935" t="s">
        <v>52</v>
      </c>
      <c r="I2066"/>
      <c r="J2066" s="805"/>
      <c r="K2066"/>
    </row>
    <row r="2067" spans="1:11" hidden="1">
      <c r="A2067" s="978"/>
      <c r="F2067" s="939">
        <v>50</v>
      </c>
      <c r="G2067" s="938" t="s">
        <v>131</v>
      </c>
      <c r="H2067" s="933" t="s">
        <v>1935</v>
      </c>
      <c r="I2067" s="744">
        <f>C204</f>
        <v>65</v>
      </c>
      <c r="J2067" s="779" t="s">
        <v>131</v>
      </c>
      <c r="K2067" s="744">
        <f t="shared" ref="K2067:K2076" si="73">(F2067*I2067)</f>
        <v>3250</v>
      </c>
    </row>
    <row r="2068" spans="1:11" hidden="1">
      <c r="A2068" s="978"/>
      <c r="F2068" s="939">
        <v>21.6</v>
      </c>
      <c r="G2068" s="938" t="s">
        <v>132</v>
      </c>
      <c r="H2068" s="933" t="s">
        <v>1927</v>
      </c>
      <c r="I2068" s="744">
        <f>(C61*2)</f>
        <v>50</v>
      </c>
      <c r="J2068" s="779" t="s">
        <v>132</v>
      </c>
      <c r="K2068" s="744">
        <f t="shared" si="73"/>
        <v>1080</v>
      </c>
    </row>
    <row r="2069" spans="1:11" hidden="1">
      <c r="A2069" s="978"/>
      <c r="F2069" s="939">
        <v>21.6</v>
      </c>
      <c r="G2069" s="938" t="s">
        <v>132</v>
      </c>
      <c r="H2069" s="933" t="s">
        <v>1860</v>
      </c>
      <c r="I2069" s="744">
        <f>(C26)</f>
        <v>8.8000000000000007</v>
      </c>
      <c r="J2069" s="779" t="s">
        <v>132</v>
      </c>
      <c r="K2069" s="744">
        <f t="shared" si="73"/>
        <v>190.08</v>
      </c>
    </row>
    <row r="2070" spans="1:11" hidden="1">
      <c r="A2070" s="978"/>
      <c r="F2070" s="939">
        <v>68</v>
      </c>
      <c r="G2070" s="938" t="s">
        <v>39</v>
      </c>
      <c r="H2070" s="933" t="s">
        <v>123</v>
      </c>
      <c r="I2070" s="744">
        <f>(C67/1000)</f>
        <v>3.8</v>
      </c>
      <c r="J2070" s="779" t="s">
        <v>39</v>
      </c>
      <c r="K2070" s="744">
        <f t="shared" si="73"/>
        <v>258.39999999999998</v>
      </c>
    </row>
    <row r="2071" spans="1:11" hidden="1">
      <c r="A2071" s="978"/>
      <c r="F2071" s="939">
        <v>7.0000000000000007E-2</v>
      </c>
      <c r="G2071" s="938" t="s">
        <v>132</v>
      </c>
      <c r="H2071" s="933" t="s">
        <v>133</v>
      </c>
      <c r="I2071" s="744" t="e">
        <f>(C78)</f>
        <v>#REF!</v>
      </c>
      <c r="J2071" s="779" t="s">
        <v>132</v>
      </c>
      <c r="K2071" s="744" t="e">
        <f t="shared" si="73"/>
        <v>#REF!</v>
      </c>
    </row>
    <row r="2072" spans="1:11" hidden="1">
      <c r="A2072" s="978"/>
      <c r="F2072" s="939">
        <v>5.45</v>
      </c>
      <c r="G2072" s="938" t="s">
        <v>39</v>
      </c>
      <c r="H2072" s="933" t="s">
        <v>1928</v>
      </c>
      <c r="I2072" s="744">
        <f>(C585)</f>
        <v>7</v>
      </c>
      <c r="J2072" s="779" t="s">
        <v>39</v>
      </c>
      <c r="K2072" s="744">
        <f t="shared" si="73"/>
        <v>38.15</v>
      </c>
    </row>
    <row r="2073" spans="1:11" hidden="1">
      <c r="A2073" s="978"/>
      <c r="F2073" s="939">
        <v>3</v>
      </c>
      <c r="G2073" s="938" t="s">
        <v>131</v>
      </c>
      <c r="H2073" s="933" t="s">
        <v>345</v>
      </c>
      <c r="I2073" s="744">
        <f>(C10)</f>
        <v>150</v>
      </c>
      <c r="J2073" s="779" t="s">
        <v>131</v>
      </c>
      <c r="K2073" s="744">
        <f t="shared" si="73"/>
        <v>450</v>
      </c>
    </row>
    <row r="2074" spans="1:11" hidden="1">
      <c r="A2074" s="978"/>
      <c r="F2074" s="939">
        <v>2</v>
      </c>
      <c r="G2074" s="938" t="s">
        <v>131</v>
      </c>
      <c r="H2074" s="933" t="s">
        <v>1929</v>
      </c>
      <c r="I2074" s="744">
        <f>AE37</f>
        <v>120</v>
      </c>
      <c r="J2074" s="779" t="s">
        <v>131</v>
      </c>
      <c r="K2074" s="744">
        <f t="shared" si="73"/>
        <v>240</v>
      </c>
    </row>
    <row r="2075" spans="1:11" hidden="1">
      <c r="A2075" s="978"/>
      <c r="F2075" s="939">
        <v>6</v>
      </c>
      <c r="G2075" s="938" t="s">
        <v>131</v>
      </c>
      <c r="H2075" s="933" t="s">
        <v>304</v>
      </c>
      <c r="I2075" s="744">
        <f>(C12)</f>
        <v>95</v>
      </c>
      <c r="J2075" s="779" t="s">
        <v>131</v>
      </c>
      <c r="K2075" s="744">
        <f t="shared" si="73"/>
        <v>570</v>
      </c>
    </row>
    <row r="2076" spans="1:11" hidden="1">
      <c r="A2076" s="978"/>
      <c r="F2076" s="939">
        <v>3</v>
      </c>
      <c r="G2076" s="938" t="s">
        <v>131</v>
      </c>
      <c r="H2076" s="933" t="s">
        <v>306</v>
      </c>
      <c r="I2076" s="744">
        <f>(C13)</f>
        <v>85</v>
      </c>
      <c r="J2076" s="779" t="s">
        <v>131</v>
      </c>
      <c r="K2076" s="744">
        <f t="shared" si="73"/>
        <v>255</v>
      </c>
    </row>
    <row r="2077" spans="1:11" hidden="1">
      <c r="A2077" s="978"/>
      <c r="G2077" s="938" t="s">
        <v>145</v>
      </c>
      <c r="H2077" s="933" t="s">
        <v>1930</v>
      </c>
      <c r="I2077"/>
      <c r="J2077" s="779" t="s">
        <v>145</v>
      </c>
      <c r="K2077" s="744">
        <f>SUM(K2073:K2076)/10</f>
        <v>151.5</v>
      </c>
    </row>
    <row r="2078" spans="1:11" hidden="1">
      <c r="A2078" s="978"/>
      <c r="I2078"/>
      <c r="J2078" s="805"/>
      <c r="K2078" s="776" t="s">
        <v>52</v>
      </c>
    </row>
    <row r="2079" spans="1:11" hidden="1">
      <c r="A2079" s="978"/>
      <c r="H2079" s="933" t="s">
        <v>1931</v>
      </c>
      <c r="I2079"/>
      <c r="J2079" s="805"/>
      <c r="K2079" s="744" t="e">
        <f>SUM(K2067:K2077)</f>
        <v>#REF!</v>
      </c>
    </row>
    <row r="2080" spans="1:11" hidden="1">
      <c r="A2080" s="978"/>
      <c r="I2080"/>
      <c r="J2080" s="805"/>
      <c r="K2080" s="776" t="s">
        <v>52</v>
      </c>
    </row>
    <row r="2081" spans="1:11" hidden="1">
      <c r="A2081" s="978"/>
      <c r="H2081" s="933" t="s">
        <v>1932</v>
      </c>
      <c r="I2081"/>
      <c r="J2081" s="805"/>
      <c r="K2081" s="744" t="e">
        <f>(K2079/30)</f>
        <v>#REF!</v>
      </c>
    </row>
    <row r="2082" spans="1:11" hidden="1">
      <c r="A2082" s="978"/>
      <c r="I2082"/>
      <c r="J2082" s="805"/>
      <c r="K2082" s="776" t="s">
        <v>89</v>
      </c>
    </row>
    <row r="2083" spans="1:11" hidden="1">
      <c r="A2083" s="978"/>
      <c r="F2083" s="934" t="s">
        <v>1936</v>
      </c>
      <c r="G2083" s="938" t="s">
        <v>111</v>
      </c>
      <c r="H2083" s="933" t="s">
        <v>1924</v>
      </c>
      <c r="I2083"/>
      <c r="J2083" s="805"/>
      <c r="K2083"/>
    </row>
    <row r="2084" spans="1:11" hidden="1">
      <c r="A2084" s="978"/>
      <c r="H2084" s="933" t="s">
        <v>1937</v>
      </c>
      <c r="I2084"/>
      <c r="J2084" s="805"/>
      <c r="K2084"/>
    </row>
    <row r="2085" spans="1:11" hidden="1">
      <c r="A2085" s="978"/>
      <c r="H2085" s="935" t="s">
        <v>52</v>
      </c>
      <c r="I2085"/>
      <c r="J2085" s="805"/>
      <c r="K2085"/>
    </row>
    <row r="2086" spans="1:11" hidden="1">
      <c r="A2086" s="978"/>
      <c r="F2086" s="939">
        <v>50</v>
      </c>
      <c r="G2086" s="938" t="s">
        <v>131</v>
      </c>
      <c r="H2086" s="933" t="s">
        <v>1938</v>
      </c>
      <c r="I2086" s="744">
        <f>C203</f>
        <v>40</v>
      </c>
      <c r="J2086" s="779" t="s">
        <v>131</v>
      </c>
      <c r="K2086" s="744">
        <f>(F2086*I2086)</f>
        <v>2000</v>
      </c>
    </row>
    <row r="2087" spans="1:11" hidden="1">
      <c r="A2087" s="978"/>
      <c r="F2087" s="939">
        <v>1</v>
      </c>
      <c r="G2087" s="938" t="s">
        <v>131</v>
      </c>
      <c r="H2087" s="933" t="s">
        <v>1929</v>
      </c>
      <c r="I2087" s="744">
        <f>AE37</f>
        <v>120</v>
      </c>
      <c r="J2087" s="779" t="s">
        <v>131</v>
      </c>
      <c r="K2087" s="744">
        <f>(F2087*I2087)</f>
        <v>120</v>
      </c>
    </row>
    <row r="2088" spans="1:11" hidden="1">
      <c r="A2088" s="978"/>
      <c r="F2088" s="939">
        <v>5</v>
      </c>
      <c r="G2088" s="938" t="s">
        <v>131</v>
      </c>
      <c r="H2088" s="933" t="s">
        <v>304</v>
      </c>
      <c r="I2088" s="744">
        <f>C12</f>
        <v>95</v>
      </c>
      <c r="J2088" s="779" t="s">
        <v>131</v>
      </c>
      <c r="K2088" s="744">
        <f>(F2088*I2088)</f>
        <v>475</v>
      </c>
    </row>
    <row r="2089" spans="1:11" hidden="1">
      <c r="A2089" s="978"/>
      <c r="I2089"/>
      <c r="J2089" s="805"/>
      <c r="K2089" s="776" t="s">
        <v>52</v>
      </c>
    </row>
    <row r="2090" spans="1:11" hidden="1">
      <c r="A2090" s="978"/>
      <c r="H2090" s="933" t="s">
        <v>1931</v>
      </c>
      <c r="I2090"/>
      <c r="J2090" s="805"/>
      <c r="K2090" s="744">
        <f>SUM(K2086:K2088)</f>
        <v>2595</v>
      </c>
    </row>
    <row r="2091" spans="1:11" hidden="1">
      <c r="A2091" s="978"/>
      <c r="F2091" s="933" t="s">
        <v>85</v>
      </c>
      <c r="I2091"/>
      <c r="J2091" s="805"/>
      <c r="K2091" s="776" t="s">
        <v>52</v>
      </c>
    </row>
    <row r="2092" spans="1:11" hidden="1">
      <c r="A2092" s="978"/>
      <c r="H2092" s="933" t="s">
        <v>1932</v>
      </c>
      <c r="I2092"/>
      <c r="J2092" s="805"/>
      <c r="K2092" s="744">
        <f>(K2090/30)</f>
        <v>86.5</v>
      </c>
    </row>
    <row r="2093" spans="1:11" hidden="1">
      <c r="A2093" s="978"/>
      <c r="F2093" s="933" t="s">
        <v>85</v>
      </c>
      <c r="I2093"/>
      <c r="J2093" s="805"/>
      <c r="K2093"/>
    </row>
    <row r="2094" spans="1:11" hidden="1">
      <c r="A2094" s="978"/>
      <c r="F2094" s="933" t="s">
        <v>85</v>
      </c>
      <c r="I2094"/>
      <c r="J2094" s="805"/>
      <c r="K2094"/>
    </row>
    <row r="2095" spans="1:11" hidden="1">
      <c r="A2095" s="978"/>
      <c r="I2095"/>
      <c r="J2095" s="805"/>
      <c r="K2095" s="776" t="s">
        <v>89</v>
      </c>
    </row>
    <row r="2096" spans="1:11" hidden="1">
      <c r="A2096" s="978"/>
      <c r="F2096" s="934" t="s">
        <v>1933</v>
      </c>
      <c r="G2096" s="938" t="s">
        <v>111</v>
      </c>
      <c r="H2096" s="933" t="s">
        <v>1934</v>
      </c>
      <c r="I2096"/>
      <c r="J2096" s="805"/>
      <c r="K2096"/>
    </row>
    <row r="2097" spans="1:11" hidden="1">
      <c r="A2097" s="978"/>
      <c r="H2097" s="939" t="str">
        <f>H2084</f>
        <v>DIA S.W.PIPE(LOOSE JOINTING)</v>
      </c>
      <c r="I2097"/>
      <c r="J2097" s="805"/>
      <c r="K2097"/>
    </row>
    <row r="2098" spans="1:11" hidden="1">
      <c r="A2098" s="978"/>
      <c r="H2098" s="935" t="s">
        <v>52</v>
      </c>
      <c r="I2098"/>
      <c r="J2098" s="805"/>
      <c r="K2098"/>
    </row>
    <row r="2099" spans="1:11" hidden="1">
      <c r="A2099" s="978"/>
      <c r="F2099" s="939">
        <v>50</v>
      </c>
      <c r="G2099" s="938" t="s">
        <v>131</v>
      </c>
      <c r="H2099" s="933" t="s">
        <v>1939</v>
      </c>
      <c r="I2099" s="744">
        <f>C204</f>
        <v>65</v>
      </c>
      <c r="J2099" s="779" t="s">
        <v>131</v>
      </c>
      <c r="K2099" s="744">
        <f>(F2099*I2099)</f>
        <v>3250</v>
      </c>
    </row>
    <row r="2100" spans="1:11" hidden="1">
      <c r="A2100" s="978"/>
      <c r="F2100" s="939">
        <v>2</v>
      </c>
      <c r="G2100" s="938" t="s">
        <v>131</v>
      </c>
      <c r="H2100" s="933" t="s">
        <v>1929</v>
      </c>
      <c r="I2100" s="744">
        <f>AE37</f>
        <v>120</v>
      </c>
      <c r="J2100" s="779" t="s">
        <v>131</v>
      </c>
      <c r="K2100" s="744">
        <f>(F2100*I2100)</f>
        <v>240</v>
      </c>
    </row>
    <row r="2101" spans="1:11" hidden="1">
      <c r="A2101" s="978"/>
      <c r="F2101" s="939">
        <v>6</v>
      </c>
      <c r="G2101" s="938" t="s">
        <v>131</v>
      </c>
      <c r="H2101" s="933" t="s">
        <v>304</v>
      </c>
      <c r="I2101" s="744">
        <f>C12</f>
        <v>95</v>
      </c>
      <c r="J2101" s="779" t="s">
        <v>131</v>
      </c>
      <c r="K2101" s="744">
        <f>(F2101*I2101)</f>
        <v>570</v>
      </c>
    </row>
    <row r="2102" spans="1:11" hidden="1">
      <c r="A2102" s="978"/>
      <c r="I2102"/>
      <c r="J2102" s="805"/>
      <c r="K2102" s="776" t="s">
        <v>52</v>
      </c>
    </row>
    <row r="2103" spans="1:11" hidden="1">
      <c r="A2103" s="978"/>
      <c r="H2103" s="933" t="s">
        <v>1931</v>
      </c>
      <c r="I2103"/>
      <c r="J2103" s="805"/>
      <c r="K2103" s="744">
        <f>SUM(K2099:K2101)</f>
        <v>4060</v>
      </c>
    </row>
    <row r="2104" spans="1:11" hidden="1">
      <c r="A2104" s="978"/>
      <c r="I2104"/>
      <c r="J2104" s="805"/>
      <c r="K2104" s="776" t="s">
        <v>52</v>
      </c>
    </row>
    <row r="2105" spans="1:11" hidden="1">
      <c r="A2105" s="978"/>
      <c r="H2105" s="933" t="s">
        <v>1932</v>
      </c>
      <c r="I2105"/>
      <c r="J2105" s="805"/>
      <c r="K2105" s="744">
        <f>(K2103/30)</f>
        <v>135.33000000000001</v>
      </c>
    </row>
    <row r="2106" spans="1:11" hidden="1">
      <c r="A2106" s="978"/>
      <c r="I2106"/>
      <c r="J2106" s="805"/>
      <c r="K2106" s="776" t="s">
        <v>89</v>
      </c>
    </row>
    <row r="2107" spans="1:11" hidden="1">
      <c r="A2107" s="978"/>
      <c r="H2107" s="934" t="s">
        <v>1940</v>
      </c>
      <c r="I2107"/>
      <c r="J2107" s="805"/>
      <c r="K2107" s="744">
        <f>SUM(K2104:K2105)</f>
        <v>135.33000000000001</v>
      </c>
    </row>
    <row r="2108" spans="1:11" hidden="1">
      <c r="A2108" s="978"/>
      <c r="I2108"/>
      <c r="J2108" s="805"/>
      <c r="K2108" s="776" t="s">
        <v>89</v>
      </c>
    </row>
    <row r="2109" spans="1:11" hidden="1">
      <c r="A2109" s="978"/>
      <c r="F2109" s="934" t="s">
        <v>1941</v>
      </c>
      <c r="G2109" s="938" t="s">
        <v>111</v>
      </c>
      <c r="H2109" s="933" t="s">
        <v>1924</v>
      </c>
      <c r="I2109"/>
      <c r="J2109" s="805"/>
      <c r="K2109"/>
    </row>
    <row r="2110" spans="1:11" hidden="1">
      <c r="A2110" s="978"/>
      <c r="H2110" s="933" t="s">
        <v>1942</v>
      </c>
      <c r="I2110"/>
      <c r="J2110" s="805"/>
      <c r="K2110"/>
    </row>
    <row r="2111" spans="1:11" hidden="1">
      <c r="A2111" s="978"/>
      <c r="H2111" s="935" t="s">
        <v>52</v>
      </c>
      <c r="I2111"/>
      <c r="J2111" s="805"/>
      <c r="K2111"/>
    </row>
    <row r="2112" spans="1:11" hidden="1">
      <c r="A2112" s="978"/>
      <c r="F2112" s="939">
        <v>1</v>
      </c>
      <c r="G2112" s="938" t="s">
        <v>131</v>
      </c>
      <c r="H2112" s="933" t="s">
        <v>1943</v>
      </c>
      <c r="I2112" s="744">
        <f>C205</f>
        <v>65</v>
      </c>
      <c r="J2112" s="779" t="s">
        <v>131</v>
      </c>
      <c r="K2112" s="744">
        <f>(F2112*I2112)</f>
        <v>65</v>
      </c>
    </row>
    <row r="2113" spans="1:11" hidden="1">
      <c r="A2113" s="978"/>
      <c r="F2113" s="933" t="s">
        <v>85</v>
      </c>
      <c r="H2113" s="933" t="s">
        <v>1944</v>
      </c>
      <c r="I2113"/>
      <c r="J2113" s="805"/>
      <c r="K2113"/>
    </row>
    <row r="2114" spans="1:11" hidden="1">
      <c r="A2114" s="978"/>
      <c r="F2114" s="933" t="s">
        <v>85</v>
      </c>
      <c r="H2114" s="933" t="s">
        <v>1945</v>
      </c>
      <c r="I2114" s="779" t="s">
        <v>145</v>
      </c>
      <c r="J2114" s="805"/>
      <c r="K2114" s="744">
        <v>2.5</v>
      </c>
    </row>
    <row r="2115" spans="1:11" hidden="1">
      <c r="A2115" s="978"/>
      <c r="I2115"/>
      <c r="J2115" s="805"/>
      <c r="K2115" s="776" t="s">
        <v>52</v>
      </c>
    </row>
    <row r="2116" spans="1:11" hidden="1">
      <c r="A2116" s="978"/>
      <c r="H2116" s="933" t="s">
        <v>1931</v>
      </c>
      <c r="I2116"/>
      <c r="J2116" s="805"/>
      <c r="K2116" s="744">
        <f>SUM(K2112:K2114)</f>
        <v>67.5</v>
      </c>
    </row>
    <row r="2117" spans="1:11" hidden="1">
      <c r="A2117" s="978"/>
      <c r="F2117" s="934" t="s">
        <v>1941</v>
      </c>
      <c r="G2117" s="938" t="s">
        <v>111</v>
      </c>
      <c r="H2117" s="933" t="s">
        <v>1934</v>
      </c>
      <c r="I2117"/>
      <c r="J2117" s="805"/>
      <c r="K2117" s="776" t="s">
        <v>52</v>
      </c>
    </row>
    <row r="2118" spans="1:11" hidden="1">
      <c r="A2118" s="978"/>
      <c r="H2118" s="933" t="s">
        <v>1942</v>
      </c>
      <c r="I2118"/>
      <c r="J2118" s="805"/>
      <c r="K2118" s="744"/>
    </row>
    <row r="2119" spans="1:11" hidden="1">
      <c r="A2119" s="978"/>
      <c r="H2119" s="935" t="s">
        <v>52</v>
      </c>
      <c r="I2119"/>
      <c r="J2119" s="805"/>
      <c r="K2119" s="776" t="s">
        <v>52</v>
      </c>
    </row>
    <row r="2120" spans="1:11" hidden="1">
      <c r="A2120" s="978"/>
      <c r="F2120" s="930">
        <v>1</v>
      </c>
      <c r="G2120" s="931" t="s">
        <v>237</v>
      </c>
      <c r="H2120" s="933" t="s">
        <v>1946</v>
      </c>
      <c r="I2120"/>
      <c r="J2120" s="805" t="s">
        <v>1034</v>
      </c>
      <c r="K2120" s="744">
        <v>92.5</v>
      </c>
    </row>
    <row r="2121" spans="1:11" hidden="1">
      <c r="A2121" s="978"/>
      <c r="I2121"/>
      <c r="J2121" s="805"/>
      <c r="K2121" s="776" t="s">
        <v>52</v>
      </c>
    </row>
    <row r="2122" spans="1:11" hidden="1">
      <c r="A2122" s="978"/>
      <c r="F2122" s="934" t="s">
        <v>1947</v>
      </c>
      <c r="G2122" s="938" t="s">
        <v>111</v>
      </c>
      <c r="H2122" s="933" t="s">
        <v>1924</v>
      </c>
      <c r="I2122"/>
      <c r="J2122" s="805"/>
      <c r="K2122"/>
    </row>
    <row r="2123" spans="1:11" hidden="1">
      <c r="A2123" s="978"/>
      <c r="H2123" s="933" t="s">
        <v>1948</v>
      </c>
      <c r="I2123"/>
      <c r="J2123" s="805"/>
      <c r="K2123"/>
    </row>
    <row r="2124" spans="1:11" hidden="1">
      <c r="A2124" s="978"/>
      <c r="H2124" s="935" t="s">
        <v>52</v>
      </c>
      <c r="I2124"/>
      <c r="J2124" s="805"/>
      <c r="K2124"/>
    </row>
    <row r="2125" spans="1:11" hidden="1">
      <c r="A2125" s="978"/>
      <c r="F2125" s="939">
        <v>1</v>
      </c>
      <c r="G2125" s="938" t="s">
        <v>131</v>
      </c>
      <c r="H2125" s="933" t="s">
        <v>1949</v>
      </c>
      <c r="I2125" s="744">
        <f>C202</f>
        <v>75</v>
      </c>
      <c r="J2125" s="779" t="s">
        <v>131</v>
      </c>
      <c r="K2125" s="744">
        <f>(F2125*I2125)</f>
        <v>75</v>
      </c>
    </row>
    <row r="2126" spans="1:11" hidden="1">
      <c r="A2126" s="978"/>
      <c r="F2126" s="933" t="s">
        <v>85</v>
      </c>
      <c r="H2126" s="933" t="s">
        <v>1944</v>
      </c>
      <c r="I2126"/>
      <c r="J2126" s="805"/>
      <c r="K2126"/>
    </row>
    <row r="2127" spans="1:11" hidden="1">
      <c r="A2127" s="978"/>
      <c r="F2127" s="933" t="s">
        <v>85</v>
      </c>
      <c r="H2127" s="933" t="s">
        <v>1945</v>
      </c>
      <c r="I2127" s="779" t="s">
        <v>145</v>
      </c>
      <c r="J2127" s="805"/>
      <c r="K2127" s="744">
        <v>3</v>
      </c>
    </row>
    <row r="2128" spans="1:11" hidden="1">
      <c r="A2128" s="978"/>
      <c r="I2128"/>
      <c r="J2128" s="805"/>
      <c r="K2128" s="776" t="s">
        <v>52</v>
      </c>
    </row>
    <row r="2129" spans="1:11" hidden="1">
      <c r="A2129" s="978"/>
      <c r="H2129" s="933" t="s">
        <v>1931</v>
      </c>
      <c r="I2129"/>
      <c r="J2129" s="805"/>
      <c r="K2129" s="744">
        <f>SUM(K2125:K2127)</f>
        <v>78</v>
      </c>
    </row>
    <row r="2130" spans="1:11" hidden="1">
      <c r="A2130" s="978"/>
      <c r="I2130"/>
      <c r="J2130" s="805"/>
      <c r="K2130" s="776" t="s">
        <v>52</v>
      </c>
    </row>
    <row r="2131" spans="1:11" hidden="1">
      <c r="A2131" s="978"/>
      <c r="I2131"/>
      <c r="J2131" s="805"/>
      <c r="K2131"/>
    </row>
    <row r="2132" spans="1:11" hidden="1">
      <c r="A2132" s="978"/>
      <c r="F2132" s="934" t="s">
        <v>1950</v>
      </c>
      <c r="G2132" s="938" t="s">
        <v>111</v>
      </c>
      <c r="H2132" s="933" t="s">
        <v>1934</v>
      </c>
      <c r="I2132"/>
      <c r="J2132" s="805"/>
      <c r="K2132"/>
    </row>
    <row r="2133" spans="1:11" hidden="1">
      <c r="A2133" s="978"/>
      <c r="H2133" s="933" t="s">
        <v>1948</v>
      </c>
      <c r="I2133"/>
      <c r="J2133" s="805"/>
      <c r="K2133"/>
    </row>
    <row r="2134" spans="1:11" hidden="1">
      <c r="A2134" s="978"/>
      <c r="H2134" s="935" t="s">
        <v>52</v>
      </c>
      <c r="I2134"/>
      <c r="J2134" s="805"/>
      <c r="K2134"/>
    </row>
    <row r="2135" spans="1:11" hidden="1">
      <c r="A2135" s="978"/>
      <c r="F2135" s="939">
        <v>1</v>
      </c>
      <c r="G2135" s="938" t="s">
        <v>131</v>
      </c>
      <c r="H2135" s="933" t="s">
        <v>1951</v>
      </c>
      <c r="I2135" s="744">
        <f>C207</f>
        <v>100</v>
      </c>
      <c r="J2135" s="779" t="s">
        <v>131</v>
      </c>
      <c r="K2135" s="744">
        <f>(F2135*I2135)</f>
        <v>100</v>
      </c>
    </row>
    <row r="2136" spans="1:11" hidden="1">
      <c r="A2136" s="978"/>
      <c r="F2136" s="933" t="s">
        <v>85</v>
      </c>
      <c r="H2136" s="933" t="s">
        <v>1944</v>
      </c>
      <c r="I2136"/>
      <c r="J2136" s="805"/>
      <c r="K2136"/>
    </row>
    <row r="2137" spans="1:11" hidden="1">
      <c r="A2137" s="978"/>
      <c r="F2137" s="933" t="s">
        <v>85</v>
      </c>
      <c r="H2137" s="933" t="s">
        <v>1945</v>
      </c>
      <c r="I2137" s="779" t="s">
        <v>145</v>
      </c>
      <c r="J2137" s="805"/>
      <c r="K2137" s="744">
        <v>3</v>
      </c>
    </row>
    <row r="2138" spans="1:11" hidden="1">
      <c r="A2138" s="978"/>
      <c r="I2138"/>
      <c r="J2138" s="805"/>
      <c r="K2138" s="776" t="s">
        <v>52</v>
      </c>
    </row>
    <row r="2139" spans="1:11" hidden="1">
      <c r="A2139" s="978"/>
      <c r="H2139" s="933" t="s">
        <v>1931</v>
      </c>
      <c r="I2139"/>
      <c r="J2139" s="805"/>
      <c r="K2139" s="744">
        <f>SUM(K2135:K2137)</f>
        <v>103</v>
      </c>
    </row>
    <row r="2140" spans="1:11" hidden="1">
      <c r="A2140" s="978"/>
      <c r="I2140"/>
      <c r="J2140" s="805"/>
      <c r="K2140" s="776" t="s">
        <v>52</v>
      </c>
    </row>
    <row r="2141" spans="1:11" hidden="1">
      <c r="A2141" s="978"/>
      <c r="F2141" s="934" t="s">
        <v>1952</v>
      </c>
      <c r="H2141" s="933" t="s">
        <v>1953</v>
      </c>
      <c r="I2141"/>
      <c r="J2141" s="805"/>
      <c r="K2141"/>
    </row>
    <row r="2142" spans="1:11" hidden="1">
      <c r="A2142" s="978"/>
      <c r="H2142" s="933" t="s">
        <v>1954</v>
      </c>
      <c r="I2142"/>
      <c r="J2142" s="805"/>
      <c r="K2142"/>
    </row>
    <row r="2143" spans="1:11" hidden="1">
      <c r="A2143" s="978"/>
      <c r="H2143" s="935" t="s">
        <v>52</v>
      </c>
      <c r="I2143"/>
      <c r="J2143" s="805"/>
      <c r="K2143"/>
    </row>
    <row r="2144" spans="1:11" hidden="1">
      <c r="A2144" s="978"/>
      <c r="F2144" s="939">
        <v>2.5</v>
      </c>
      <c r="G2144" s="938" t="s">
        <v>1955</v>
      </c>
      <c r="H2144" s="933" t="s">
        <v>1953</v>
      </c>
      <c r="I2144" s="744">
        <f>C566</f>
        <v>28.5</v>
      </c>
      <c r="J2144" s="779">
        <v>2.5</v>
      </c>
      <c r="K2144" s="744">
        <f>(F2144*I2144)/F2144</f>
        <v>28.5</v>
      </c>
    </row>
    <row r="2145" spans="1:11" hidden="1">
      <c r="A2145" s="978"/>
      <c r="H2145" s="933" t="s">
        <v>1956</v>
      </c>
      <c r="I2145"/>
      <c r="J2145" s="779" t="s">
        <v>1955</v>
      </c>
      <c r="K2145"/>
    </row>
    <row r="2146" spans="1:11" hidden="1">
      <c r="A2146" s="978"/>
      <c r="G2146" s="938" t="s">
        <v>145</v>
      </c>
      <c r="H2146" s="933" t="s">
        <v>1957</v>
      </c>
      <c r="I2146"/>
      <c r="J2146" s="779" t="s">
        <v>145</v>
      </c>
      <c r="K2146" s="744">
        <v>1.5</v>
      </c>
    </row>
    <row r="2147" spans="1:11" hidden="1">
      <c r="A2147" s="978"/>
      <c r="I2147"/>
      <c r="J2147" s="805"/>
      <c r="K2147" s="776" t="s">
        <v>52</v>
      </c>
    </row>
    <row r="2148" spans="1:11" hidden="1">
      <c r="A2148" s="978"/>
      <c r="H2148" s="934" t="s">
        <v>1940</v>
      </c>
      <c r="I2148"/>
      <c r="J2148" s="805"/>
      <c r="K2148" s="744">
        <f>SUM(K2144:K2146)</f>
        <v>30</v>
      </c>
    </row>
    <row r="2149" spans="1:11" hidden="1">
      <c r="A2149" s="978"/>
      <c r="I2149"/>
      <c r="J2149" s="805"/>
      <c r="K2149" s="776" t="s">
        <v>89</v>
      </c>
    </row>
    <row r="2150" spans="1:11" hidden="1">
      <c r="A2150" s="978"/>
      <c r="I2150"/>
      <c r="J2150" s="805"/>
      <c r="K2150"/>
    </row>
    <row r="2151" spans="1:11" hidden="1">
      <c r="A2151" s="978"/>
      <c r="F2151" s="934" t="s">
        <v>1958</v>
      </c>
      <c r="G2151" s="938" t="s">
        <v>111</v>
      </c>
      <c r="H2151" s="933" t="s">
        <v>1959</v>
      </c>
      <c r="I2151"/>
      <c r="J2151" s="805"/>
      <c r="K2151"/>
    </row>
    <row r="2152" spans="1:11" hidden="1">
      <c r="A2152" s="978"/>
      <c r="H2152" s="933" t="s">
        <v>1960</v>
      </c>
      <c r="I2152"/>
      <c r="J2152" s="805"/>
      <c r="K2152"/>
    </row>
    <row r="2153" spans="1:11" hidden="1">
      <c r="A2153" s="978"/>
      <c r="H2153" s="933" t="s">
        <v>1961</v>
      </c>
      <c r="I2153"/>
      <c r="J2153" s="805"/>
      <c r="K2153"/>
    </row>
    <row r="2154" spans="1:11" hidden="1">
      <c r="A2154" s="978"/>
      <c r="H2154" s="933" t="s">
        <v>1962</v>
      </c>
      <c r="I2154"/>
      <c r="J2154" s="805"/>
      <c r="K2154"/>
    </row>
    <row r="2155" spans="1:11" hidden="1">
      <c r="A2155" s="978"/>
      <c r="H2155" s="933" t="s">
        <v>1963</v>
      </c>
      <c r="I2155"/>
      <c r="J2155" s="805"/>
      <c r="K2155"/>
    </row>
    <row r="2156" spans="1:11" hidden="1">
      <c r="A2156" s="978"/>
      <c r="H2156" s="933" t="s">
        <v>1964</v>
      </c>
      <c r="I2156"/>
      <c r="J2156" s="805"/>
      <c r="K2156"/>
    </row>
    <row r="2157" spans="1:11" hidden="1">
      <c r="A2157" s="978"/>
      <c r="H2157" s="933" t="s">
        <v>1965</v>
      </c>
      <c r="I2157"/>
      <c r="J2157" s="805"/>
      <c r="K2157"/>
    </row>
    <row r="2158" spans="1:11" hidden="1">
      <c r="A2158" s="978"/>
      <c r="H2158" s="933" t="s">
        <v>1966</v>
      </c>
      <c r="I2158"/>
      <c r="J2158" s="805"/>
      <c r="K2158"/>
    </row>
    <row r="2159" spans="1:11" hidden="1">
      <c r="A2159" s="978"/>
      <c r="H2159" s="933" t="s">
        <v>1967</v>
      </c>
      <c r="I2159"/>
      <c r="J2159" s="805"/>
      <c r="K2159"/>
    </row>
    <row r="2160" spans="1:11" hidden="1">
      <c r="A2160" s="978"/>
      <c r="H2160" s="933" t="s">
        <v>1968</v>
      </c>
      <c r="I2160"/>
      <c r="J2160" s="805"/>
      <c r="K2160"/>
    </row>
    <row r="2161" spans="1:11" hidden="1">
      <c r="A2161" s="978"/>
      <c r="H2161" s="933" t="s">
        <v>1969</v>
      </c>
      <c r="I2161"/>
      <c r="J2161" s="805"/>
      <c r="K2161"/>
    </row>
    <row r="2162" spans="1:11" hidden="1">
      <c r="A2162" s="978"/>
      <c r="H2162" s="933" t="s">
        <v>1970</v>
      </c>
      <c r="I2162"/>
      <c r="J2162" s="805"/>
      <c r="K2162"/>
    </row>
    <row r="2163" spans="1:11" hidden="1">
      <c r="A2163" s="978"/>
      <c r="H2163" s="935" t="s">
        <v>52</v>
      </c>
      <c r="I2163" s="776" t="s">
        <v>52</v>
      </c>
      <c r="J2163" s="805"/>
      <c r="K2163"/>
    </row>
    <row r="2164" spans="1:11" hidden="1">
      <c r="A2164" s="978"/>
      <c r="F2164" s="933" t="s">
        <v>85</v>
      </c>
      <c r="I2164"/>
      <c r="J2164" s="805"/>
      <c r="K2164"/>
    </row>
    <row r="2165" spans="1:11" hidden="1">
      <c r="A2165" s="978"/>
      <c r="F2165" s="959">
        <v>1.7399999999999999E-2</v>
      </c>
      <c r="G2165" s="938" t="s">
        <v>5</v>
      </c>
      <c r="H2165" s="933" t="s">
        <v>1971</v>
      </c>
      <c r="I2165" s="744">
        <f>C86</f>
        <v>20605</v>
      </c>
      <c r="J2165" s="779" t="s">
        <v>5</v>
      </c>
      <c r="K2165" s="744">
        <f t="shared" ref="K2165:K2172" si="74">F2165*I2165</f>
        <v>358.53</v>
      </c>
    </row>
    <row r="2166" spans="1:11" hidden="1">
      <c r="A2166" s="978"/>
      <c r="F2166" s="959">
        <v>2.93E-2</v>
      </c>
      <c r="G2166" s="938" t="s">
        <v>5</v>
      </c>
      <c r="H2166" s="933" t="s">
        <v>1972</v>
      </c>
      <c r="I2166" s="744">
        <f>C87</f>
        <v>23685</v>
      </c>
      <c r="J2166" s="779" t="s">
        <v>5</v>
      </c>
      <c r="K2166" s="744">
        <f t="shared" si="74"/>
        <v>693.97</v>
      </c>
    </row>
    <row r="2167" spans="1:11" hidden="1">
      <c r="A2167" s="978"/>
      <c r="F2167" s="959">
        <v>1.093</v>
      </c>
      <c r="G2167" s="938" t="s">
        <v>724</v>
      </c>
      <c r="H2167" s="933" t="s">
        <v>1973</v>
      </c>
      <c r="I2167" s="964">
        <f>C198</f>
        <v>212</v>
      </c>
      <c r="J2167" s="779" t="s">
        <v>724</v>
      </c>
      <c r="K2167" s="744">
        <f t="shared" si="74"/>
        <v>231.72</v>
      </c>
    </row>
    <row r="2168" spans="1:11" hidden="1">
      <c r="A2168" s="978"/>
      <c r="F2168" s="939">
        <v>6</v>
      </c>
      <c r="G2168" s="938" t="s">
        <v>727</v>
      </c>
      <c r="H2168" s="933" t="s">
        <v>1974</v>
      </c>
      <c r="I2168" s="744">
        <f>C296</f>
        <v>3.25</v>
      </c>
      <c r="J2168" s="779" t="s">
        <v>729</v>
      </c>
      <c r="K2168" s="744">
        <f t="shared" si="74"/>
        <v>19.5</v>
      </c>
    </row>
    <row r="2169" spans="1:11" hidden="1">
      <c r="A2169" s="978"/>
      <c r="F2169" s="939">
        <v>1</v>
      </c>
      <c r="G2169" s="938" t="s">
        <v>727</v>
      </c>
      <c r="H2169" s="933" t="s">
        <v>1975</v>
      </c>
      <c r="I2169" s="744">
        <f>C286</f>
        <v>80</v>
      </c>
      <c r="J2169" s="779" t="s">
        <v>729</v>
      </c>
      <c r="K2169" s="744">
        <f t="shared" si="74"/>
        <v>80</v>
      </c>
    </row>
    <row r="2170" spans="1:11" hidden="1">
      <c r="A2170" s="978"/>
      <c r="F2170" s="939">
        <v>2</v>
      </c>
      <c r="G2170" s="938" t="s">
        <v>727</v>
      </c>
      <c r="H2170" s="933" t="s">
        <v>1976</v>
      </c>
      <c r="I2170" s="744">
        <f>C307</f>
        <v>0.9</v>
      </c>
      <c r="J2170" s="779" t="s">
        <v>729</v>
      </c>
      <c r="K2170" s="744">
        <f t="shared" si="74"/>
        <v>1.8</v>
      </c>
    </row>
    <row r="2171" spans="1:11" hidden="1">
      <c r="A2171" s="978"/>
      <c r="F2171" s="939">
        <v>6</v>
      </c>
      <c r="G2171" s="938" t="s">
        <v>727</v>
      </c>
      <c r="H2171" s="933" t="s">
        <v>1977</v>
      </c>
      <c r="I2171" s="744">
        <v>8</v>
      </c>
      <c r="J2171" s="779" t="s">
        <v>729</v>
      </c>
      <c r="K2171" s="744">
        <f t="shared" si="74"/>
        <v>48</v>
      </c>
    </row>
    <row r="2172" spans="1:11" hidden="1">
      <c r="A2172" s="978"/>
      <c r="F2172" s="941">
        <v>1.62</v>
      </c>
      <c r="G2172" s="938" t="s">
        <v>724</v>
      </c>
      <c r="H2172" s="933" t="s">
        <v>1978</v>
      </c>
      <c r="I2172" s="744">
        <f>D33</f>
        <v>240</v>
      </c>
      <c r="J2172" s="779" t="s">
        <v>724</v>
      </c>
      <c r="K2172" s="744">
        <f t="shared" si="74"/>
        <v>388.8</v>
      </c>
    </row>
    <row r="2173" spans="1:11" hidden="1">
      <c r="A2173" s="978"/>
      <c r="G2173" s="938" t="s">
        <v>145</v>
      </c>
      <c r="H2173" s="933" t="s">
        <v>1979</v>
      </c>
      <c r="I2173"/>
      <c r="J2173" s="779" t="s">
        <v>145</v>
      </c>
      <c r="K2173" s="744">
        <v>0.25</v>
      </c>
    </row>
    <row r="2174" spans="1:11" hidden="1">
      <c r="A2174" s="978"/>
      <c r="I2174"/>
      <c r="J2174" s="805"/>
      <c r="K2174" s="776" t="s">
        <v>52</v>
      </c>
    </row>
    <row r="2175" spans="1:11" hidden="1">
      <c r="A2175" s="978"/>
      <c r="H2175" s="934" t="s">
        <v>1980</v>
      </c>
      <c r="I2175"/>
      <c r="J2175" s="805"/>
      <c r="K2175" s="744">
        <f>SUM(K2165:K2173)</f>
        <v>1822.57</v>
      </c>
    </row>
    <row r="2176" spans="1:11" hidden="1">
      <c r="A2176" s="978"/>
      <c r="I2176"/>
      <c r="J2176" s="805"/>
      <c r="K2176" s="776" t="s">
        <v>52</v>
      </c>
    </row>
    <row r="2177" spans="1:11" hidden="1">
      <c r="A2177" s="978"/>
      <c r="I2177"/>
      <c r="J2177" s="805"/>
      <c r="K2177"/>
    </row>
    <row r="2178" spans="1:11" hidden="1">
      <c r="A2178" s="978"/>
      <c r="H2178" s="934" t="s">
        <v>1981</v>
      </c>
      <c r="I2178" s="743" t="s">
        <v>85</v>
      </c>
      <c r="J2178" s="805"/>
      <c r="K2178" s="744">
        <f>K2175/1.62</f>
        <v>1125.04</v>
      </c>
    </row>
    <row r="2179" spans="1:11" hidden="1">
      <c r="A2179" s="978"/>
      <c r="F2179" s="933" t="s">
        <v>85</v>
      </c>
      <c r="G2179" s="938" t="s">
        <v>85</v>
      </c>
      <c r="H2179" s="933" t="s">
        <v>85</v>
      </c>
      <c r="I2179" s="743" t="s">
        <v>85</v>
      </c>
      <c r="J2179" s="779" t="s">
        <v>85</v>
      </c>
      <c r="K2179"/>
    </row>
    <row r="2180" spans="1:11" hidden="1">
      <c r="A2180" s="978"/>
      <c r="I2180"/>
      <c r="J2180" s="805"/>
      <c r="K2180"/>
    </row>
    <row r="2181" spans="1:11" hidden="1">
      <c r="A2181" s="978"/>
      <c r="G2181" s="938" t="s">
        <v>607</v>
      </c>
      <c r="H2181" s="933" t="s">
        <v>1033</v>
      </c>
      <c r="I2181"/>
      <c r="J2181" s="805"/>
      <c r="K2181"/>
    </row>
    <row r="2182" spans="1:11" hidden="1">
      <c r="A2182" s="978"/>
      <c r="H2182" s="933" t="s">
        <v>1982</v>
      </c>
      <c r="I2182"/>
      <c r="J2182" s="805"/>
      <c r="K2182"/>
    </row>
    <row r="2183" spans="1:11" hidden="1">
      <c r="A2183" s="978"/>
      <c r="F2183" s="933" t="s">
        <v>85</v>
      </c>
      <c r="H2183" s="933" t="s">
        <v>1983</v>
      </c>
      <c r="I2183"/>
      <c r="J2183" s="805"/>
      <c r="K2183"/>
    </row>
    <row r="2184" spans="1:11" hidden="1">
      <c r="A2184" s="978"/>
      <c r="F2184" s="934" t="s">
        <v>1984</v>
      </c>
      <c r="H2184" s="933" t="s">
        <v>1038</v>
      </c>
      <c r="I2184"/>
      <c r="J2184" s="805"/>
      <c r="K2184" s="744">
        <f>K2860</f>
        <v>1617</v>
      </c>
    </row>
    <row r="2185" spans="1:11" hidden="1">
      <c r="A2185" s="978"/>
      <c r="F2185" s="934" t="s">
        <v>1985</v>
      </c>
      <c r="H2185" s="934" t="s">
        <v>1041</v>
      </c>
      <c r="I2185"/>
      <c r="J2185" s="805"/>
      <c r="K2185" s="744">
        <f>K2884</f>
        <v>1620</v>
      </c>
    </row>
    <row r="2186" spans="1:11" hidden="1">
      <c r="A2186" s="978"/>
      <c r="F2186" s="934" t="s">
        <v>1986</v>
      </c>
      <c r="H2186" s="933" t="s">
        <v>1099</v>
      </c>
      <c r="I2186"/>
      <c r="J2186" s="805"/>
      <c r="K2186" s="744">
        <f>K2899</f>
        <v>1649</v>
      </c>
    </row>
    <row r="2187" spans="1:11" hidden="1">
      <c r="A2187" s="978"/>
      <c r="F2187" s="944">
        <v>65</v>
      </c>
      <c r="H2187" s="933" t="s">
        <v>1043</v>
      </c>
      <c r="I2187"/>
      <c r="J2187" s="805"/>
      <c r="K2187" s="744">
        <f>K2921</f>
        <v>1672</v>
      </c>
    </row>
    <row r="2188" spans="1:11" hidden="1">
      <c r="A2188" s="978"/>
      <c r="F2188" s="944">
        <v>66</v>
      </c>
      <c r="H2188" s="933" t="s">
        <v>1049</v>
      </c>
      <c r="I2188"/>
      <c r="J2188" s="805"/>
      <c r="K2188" s="744">
        <f>K2945</f>
        <v>3035</v>
      </c>
    </row>
    <row r="2189" spans="1:11" hidden="1">
      <c r="A2189" s="978"/>
      <c r="F2189" s="944">
        <v>67</v>
      </c>
      <c r="H2189" s="933" t="s">
        <v>1046</v>
      </c>
      <c r="I2189"/>
      <c r="J2189" s="805"/>
      <c r="K2189" s="744">
        <f>K2977</f>
        <v>830</v>
      </c>
    </row>
    <row r="2190" spans="1:11" hidden="1">
      <c r="A2190" s="978"/>
      <c r="F2190" s="944">
        <v>68</v>
      </c>
      <c r="H2190" s="933" t="s">
        <v>1048</v>
      </c>
      <c r="I2190"/>
      <c r="J2190" s="805"/>
      <c r="K2190" s="744">
        <f>K2965</f>
        <v>1120</v>
      </c>
    </row>
    <row r="2191" spans="1:11" hidden="1">
      <c r="A2191" s="978"/>
      <c r="F2191" s="944">
        <v>69</v>
      </c>
      <c r="H2191" s="933" t="s">
        <v>1987</v>
      </c>
      <c r="I2191"/>
      <c r="J2191" s="805"/>
      <c r="K2191" s="744">
        <f>K2988</f>
        <v>134</v>
      </c>
    </row>
    <row r="2192" spans="1:11" hidden="1">
      <c r="A2192" s="978"/>
      <c r="F2192" s="944" t="s">
        <v>1988</v>
      </c>
      <c r="H2192" s="933" t="s">
        <v>1106</v>
      </c>
      <c r="I2192"/>
      <c r="J2192" s="805"/>
      <c r="K2192" s="744">
        <f>K3135</f>
        <v>494.26</v>
      </c>
    </row>
    <row r="2193" spans="1:11" hidden="1">
      <c r="A2193" s="978"/>
      <c r="F2193" s="944" t="s">
        <v>1989</v>
      </c>
      <c r="H2193" s="933" t="s">
        <v>1990</v>
      </c>
      <c r="I2193"/>
      <c r="J2193" s="805"/>
      <c r="K2193" s="744"/>
    </row>
    <row r="2194" spans="1:11" hidden="1">
      <c r="A2194" s="978"/>
      <c r="F2194" s="944" t="s">
        <v>1991</v>
      </c>
      <c r="H2194" s="933" t="s">
        <v>1992</v>
      </c>
      <c r="I2194"/>
      <c r="J2194" s="805"/>
      <c r="K2194" s="744">
        <v>10</v>
      </c>
    </row>
    <row r="2195" spans="1:11" hidden="1">
      <c r="A2195" s="978"/>
      <c r="F2195" s="944" t="s">
        <v>1993</v>
      </c>
      <c r="H2195" s="933" t="s">
        <v>1994</v>
      </c>
      <c r="I2195"/>
      <c r="J2195" s="805"/>
      <c r="K2195" s="744">
        <v>8</v>
      </c>
    </row>
    <row r="2196" spans="1:11" hidden="1">
      <c r="A2196" s="978"/>
      <c r="F2196" s="944">
        <v>71</v>
      </c>
      <c r="H2196" s="933" t="s">
        <v>1107</v>
      </c>
      <c r="I2196"/>
      <c r="J2196" s="805"/>
      <c r="K2196" s="744">
        <f>K3154</f>
        <v>791.75</v>
      </c>
    </row>
    <row r="2197" spans="1:11" hidden="1">
      <c r="A2197" s="978"/>
      <c r="F2197" s="944">
        <v>72</v>
      </c>
      <c r="H2197" s="933" t="s">
        <v>1995</v>
      </c>
      <c r="I2197"/>
      <c r="J2197" s="805"/>
      <c r="K2197" s="744">
        <v>31</v>
      </c>
    </row>
    <row r="2198" spans="1:11" hidden="1">
      <c r="A2198" s="978"/>
      <c r="F2198" s="944" t="s">
        <v>1996</v>
      </c>
      <c r="H2198" s="933" t="s">
        <v>1111</v>
      </c>
      <c r="I2198"/>
      <c r="J2198" s="805"/>
      <c r="K2198" s="744">
        <f>K3233</f>
        <v>4056</v>
      </c>
    </row>
    <row r="2199" spans="1:11" hidden="1">
      <c r="A2199" s="978"/>
      <c r="F2199" s="944" t="s">
        <v>1997</v>
      </c>
      <c r="H2199" s="933" t="s">
        <v>1998</v>
      </c>
      <c r="I2199"/>
      <c r="J2199" s="805"/>
      <c r="K2199" s="744">
        <f>K3221</f>
        <v>3319</v>
      </c>
    </row>
    <row r="2200" spans="1:11" hidden="1">
      <c r="A2200" s="978"/>
      <c r="F2200" s="944">
        <v>74</v>
      </c>
      <c r="H2200" s="933" t="s">
        <v>1113</v>
      </c>
      <c r="I2200"/>
      <c r="J2200" s="805"/>
      <c r="K2200" s="744">
        <f>K3277</f>
        <v>570.6</v>
      </c>
    </row>
    <row r="2201" spans="1:11" hidden="1">
      <c r="A2201" s="978"/>
      <c r="F2201" s="944" t="s">
        <v>1999</v>
      </c>
      <c r="H2201" s="933" t="s">
        <v>1117</v>
      </c>
      <c r="I2201"/>
      <c r="J2201" s="805"/>
      <c r="K2201" s="744">
        <f>K3767</f>
        <v>185.9</v>
      </c>
    </row>
    <row r="2202" spans="1:11" hidden="1">
      <c r="A2202" s="978"/>
      <c r="F2202" s="944" t="s">
        <v>2000</v>
      </c>
      <c r="H2202" s="933" t="s">
        <v>1119</v>
      </c>
      <c r="I2202"/>
      <c r="J2202" s="805"/>
      <c r="K2202" s="744">
        <v>0</v>
      </c>
    </row>
    <row r="2203" spans="1:11" hidden="1">
      <c r="A2203" s="978"/>
      <c r="F2203" s="944">
        <v>112</v>
      </c>
      <c r="H2203" s="933" t="s">
        <v>2001</v>
      </c>
      <c r="I2203"/>
      <c r="J2203" s="805"/>
      <c r="K2203" s="744">
        <f>K3744</f>
        <v>1885.46</v>
      </c>
    </row>
    <row r="2204" spans="1:11" hidden="1">
      <c r="A2204" s="978"/>
      <c r="F2204" s="944">
        <v>76</v>
      </c>
      <c r="H2204" s="933" t="s">
        <v>1122</v>
      </c>
      <c r="I2204"/>
      <c r="J2204" s="805"/>
      <c r="K2204" s="744">
        <f>K3294</f>
        <v>24.09</v>
      </c>
    </row>
    <row r="2205" spans="1:11" hidden="1">
      <c r="A2205" s="978"/>
      <c r="F2205" s="944">
        <v>77</v>
      </c>
      <c r="H2205" s="933" t="s">
        <v>2002</v>
      </c>
      <c r="I2205"/>
      <c r="J2205" s="805"/>
      <c r="K2205" s="744">
        <f>K3080</f>
        <v>207.31</v>
      </c>
    </row>
    <row r="2206" spans="1:11" ht="31.5" hidden="1">
      <c r="A2206" s="978"/>
      <c r="F2206" s="993">
        <v>77.099999999999994</v>
      </c>
      <c r="H2206" s="952" t="s">
        <v>2003</v>
      </c>
      <c r="I2206"/>
      <c r="J2206" s="805"/>
      <c r="K2206" s="995">
        <f>K3105</f>
        <v>242.71</v>
      </c>
    </row>
    <row r="2207" spans="1:11" hidden="1">
      <c r="A2207" s="978"/>
      <c r="F2207" s="948">
        <v>77.2</v>
      </c>
      <c r="H2207" s="933" t="s">
        <v>2004</v>
      </c>
      <c r="I2207"/>
      <c r="J2207" s="805"/>
      <c r="K2207" s="744">
        <v>500</v>
      </c>
    </row>
    <row r="2208" spans="1:11" hidden="1">
      <c r="A2208" s="978"/>
      <c r="F2208" s="948">
        <v>77.3</v>
      </c>
      <c r="H2208" s="933" t="s">
        <v>2005</v>
      </c>
      <c r="I2208"/>
      <c r="J2208" s="805"/>
      <c r="K2208" s="744" t="e">
        <f>K3712</f>
        <v>#VALUE!</v>
      </c>
    </row>
    <row r="2209" spans="1:11" hidden="1">
      <c r="A2209" s="978"/>
      <c r="F2209" s="944">
        <v>78</v>
      </c>
      <c r="H2209" s="933" t="s">
        <v>1126</v>
      </c>
      <c r="I2209"/>
      <c r="J2209" s="805"/>
      <c r="K2209" s="744" t="e">
        <f>K3319</f>
        <v>#VALUE!</v>
      </c>
    </row>
    <row r="2210" spans="1:11" hidden="1">
      <c r="A2210" s="978"/>
      <c r="F2210" s="944">
        <v>80</v>
      </c>
      <c r="H2210" s="933" t="s">
        <v>1129</v>
      </c>
      <c r="I2210"/>
      <c r="J2210" s="805"/>
      <c r="K2210" s="744">
        <f>K3441</f>
        <v>820.75</v>
      </c>
    </row>
    <row r="2211" spans="1:11" hidden="1">
      <c r="A2211" s="978"/>
      <c r="F2211" s="944">
        <v>81</v>
      </c>
      <c r="H2211" s="933" t="s">
        <v>1131</v>
      </c>
      <c r="I2211"/>
      <c r="J2211" s="805"/>
      <c r="K2211" s="744">
        <f>K2178</f>
        <v>1125.04</v>
      </c>
    </row>
    <row r="2212" spans="1:11" hidden="1">
      <c r="A2212" s="978"/>
      <c r="F2212" s="944">
        <v>82</v>
      </c>
      <c r="H2212" s="933" t="s">
        <v>1133</v>
      </c>
      <c r="I2212"/>
      <c r="J2212" s="805"/>
      <c r="K2212" s="744">
        <f>K3638</f>
        <v>4367.9399999999996</v>
      </c>
    </row>
    <row r="2213" spans="1:11" hidden="1">
      <c r="A2213" s="978"/>
      <c r="F2213" s="944">
        <v>87</v>
      </c>
      <c r="H2213" s="933" t="s">
        <v>1136</v>
      </c>
      <c r="I2213"/>
      <c r="J2213" s="805"/>
      <c r="K2213" s="744">
        <f>K3458</f>
        <v>633.54999999999995</v>
      </c>
    </row>
    <row r="2214" spans="1:11" hidden="1">
      <c r="A2214" s="978"/>
      <c r="I2214"/>
      <c r="J2214" s="805"/>
      <c r="K2214"/>
    </row>
    <row r="2215" spans="1:11" hidden="1">
      <c r="A2215" s="978"/>
      <c r="I2215"/>
      <c r="J2215" s="805"/>
      <c r="K2215"/>
    </row>
    <row r="2216" spans="1:11" ht="31.5" hidden="1">
      <c r="A2216" s="978"/>
      <c r="F2216" s="994">
        <v>77.400000000000006</v>
      </c>
      <c r="H2216" s="955" t="s">
        <v>2006</v>
      </c>
      <c r="I2216"/>
      <c r="J2216" s="805"/>
      <c r="K2216"/>
    </row>
    <row r="2217" spans="1:11" hidden="1">
      <c r="A2217" s="978"/>
      <c r="H2217" s="933" t="s">
        <v>1982</v>
      </c>
      <c r="I2217"/>
      <c r="J2217" s="805"/>
      <c r="K2217"/>
    </row>
    <row r="2218" spans="1:11" ht="31.5" hidden="1">
      <c r="A2218" s="978"/>
      <c r="F2218" s="930">
        <v>90</v>
      </c>
      <c r="G2218" s="931" t="s">
        <v>2007</v>
      </c>
      <c r="H2218" s="989" t="s">
        <v>2008</v>
      </c>
      <c r="I2218">
        <v>16.95</v>
      </c>
      <c r="J2218" s="805" t="s">
        <v>2007</v>
      </c>
      <c r="K2218">
        <f>I2218*F2218</f>
        <v>1525.5</v>
      </c>
    </row>
    <row r="2219" spans="1:11" hidden="1">
      <c r="A2219" s="978"/>
      <c r="F2219" s="930">
        <v>0.15</v>
      </c>
      <c r="G2219" s="931" t="s">
        <v>11</v>
      </c>
      <c r="H2219" s="930" t="s">
        <v>123</v>
      </c>
      <c r="I2219">
        <f>AC31</f>
        <v>3800</v>
      </c>
      <c r="J2219" s="805" t="s">
        <v>11</v>
      </c>
      <c r="K2219">
        <f>I2219*F2219</f>
        <v>570</v>
      </c>
    </row>
    <row r="2220" spans="1:11" hidden="1">
      <c r="A2220" s="978"/>
      <c r="F2220" s="930">
        <v>1</v>
      </c>
      <c r="G2220" s="931" t="s">
        <v>237</v>
      </c>
      <c r="H2220" s="930" t="s">
        <v>2009</v>
      </c>
      <c r="I2220">
        <f>C780</f>
        <v>160</v>
      </c>
      <c r="J2220" s="805" t="s">
        <v>237</v>
      </c>
      <c r="K2220">
        <f>I2220*F2220</f>
        <v>160</v>
      </c>
    </row>
    <row r="2221" spans="1:11" hidden="1">
      <c r="A2221" s="978"/>
      <c r="F2221" s="930">
        <v>2</v>
      </c>
      <c r="G2221" s="931" t="s">
        <v>237</v>
      </c>
      <c r="H2221" s="930" t="s">
        <v>302</v>
      </c>
      <c r="I2221">
        <f>AE10</f>
        <v>135</v>
      </c>
      <c r="J2221" s="805" t="s">
        <v>237</v>
      </c>
      <c r="K2221">
        <f>I2221*F2221</f>
        <v>270</v>
      </c>
    </row>
    <row r="2222" spans="1:11" hidden="1">
      <c r="A2222" s="978"/>
      <c r="F2222" s="930">
        <v>4</v>
      </c>
      <c r="G2222" s="931" t="s">
        <v>237</v>
      </c>
      <c r="H2222" s="930" t="s">
        <v>1142</v>
      </c>
      <c r="I2222">
        <f>C781</f>
        <v>110</v>
      </c>
      <c r="J2222" s="805" t="s">
        <v>237</v>
      </c>
      <c r="K2222">
        <f>I2222*F2222</f>
        <v>440</v>
      </c>
    </row>
    <row r="2223" spans="1:11" hidden="1">
      <c r="A2223" s="978"/>
      <c r="H2223" s="930" t="s">
        <v>2010</v>
      </c>
      <c r="I2223"/>
      <c r="J2223" s="805"/>
      <c r="K2223">
        <v>8.5</v>
      </c>
    </row>
    <row r="2224" spans="1:11" hidden="1">
      <c r="A2224" s="978"/>
      <c r="I2224"/>
      <c r="J2224" s="805"/>
      <c r="K2224" s="776" t="s">
        <v>52</v>
      </c>
    </row>
    <row r="2225" spans="1:11" hidden="1">
      <c r="A2225" s="978"/>
      <c r="H2225" s="933" t="s">
        <v>2011</v>
      </c>
      <c r="I2225"/>
      <c r="J2225" s="805"/>
      <c r="K2225" s="744">
        <f>SUM(K2218:K2223)</f>
        <v>2974</v>
      </c>
    </row>
    <row r="2226" spans="1:11" hidden="1">
      <c r="A2226" s="978"/>
      <c r="I2226"/>
      <c r="J2226" s="805"/>
      <c r="K2226" s="776" t="s">
        <v>52</v>
      </c>
    </row>
    <row r="2227" spans="1:11" hidden="1">
      <c r="A2227" s="978"/>
      <c r="H2227" s="933" t="s">
        <v>1932</v>
      </c>
      <c r="I2227"/>
      <c r="J2227" s="805"/>
      <c r="K2227" s="744">
        <f>(K2225/90)</f>
        <v>33.04</v>
      </c>
    </row>
    <row r="2228" spans="1:11" hidden="1">
      <c r="A2228" s="978"/>
      <c r="I2228"/>
      <c r="J2228" s="805"/>
      <c r="K2228" s="776" t="s">
        <v>89</v>
      </c>
    </row>
    <row r="2229" spans="1:11" hidden="1">
      <c r="A2229" s="978"/>
      <c r="I2229"/>
      <c r="J2229" s="805"/>
      <c r="K2229"/>
    </row>
    <row r="2230" spans="1:11" hidden="1">
      <c r="A2230" s="978"/>
      <c r="F2230" s="962">
        <v>78.099999999999994</v>
      </c>
      <c r="H2230" s="933" t="s">
        <v>2012</v>
      </c>
      <c r="I2230"/>
      <c r="J2230" s="805"/>
      <c r="K2230"/>
    </row>
    <row r="2231" spans="1:11" hidden="1">
      <c r="A2231" s="978"/>
      <c r="H2231" s="933" t="s">
        <v>1982</v>
      </c>
      <c r="I2231"/>
      <c r="J2231" s="805"/>
      <c r="K2231"/>
    </row>
    <row r="2232" spans="1:11" hidden="1">
      <c r="A2232" s="978"/>
      <c r="F2232" s="930">
        <v>2.5</v>
      </c>
      <c r="G2232" s="931" t="s">
        <v>237</v>
      </c>
      <c r="H2232" s="930" t="s">
        <v>2013</v>
      </c>
      <c r="I2232">
        <v>120</v>
      </c>
      <c r="J2232" s="805" t="s">
        <v>237</v>
      </c>
      <c r="K2232">
        <f t="shared" ref="K2232:K2237" si="75">I2232*F2232</f>
        <v>300</v>
      </c>
    </row>
    <row r="2233" spans="1:11" hidden="1">
      <c r="A2233" s="978"/>
      <c r="F2233" s="930">
        <v>20</v>
      </c>
      <c r="G2233" s="931" t="s">
        <v>1791</v>
      </c>
      <c r="H2233" s="930" t="s">
        <v>2014</v>
      </c>
      <c r="I2233">
        <v>4</v>
      </c>
      <c r="J2233" s="805" t="s">
        <v>1791</v>
      </c>
      <c r="K2233">
        <f t="shared" si="75"/>
        <v>80</v>
      </c>
    </row>
    <row r="2234" spans="1:11" hidden="1">
      <c r="A2234" s="978"/>
      <c r="F2234" s="930">
        <v>9</v>
      </c>
      <c r="G2234" s="931" t="s">
        <v>1791</v>
      </c>
      <c r="H2234" s="930" t="s">
        <v>2015</v>
      </c>
      <c r="I2234">
        <v>4</v>
      </c>
      <c r="J2234" s="805" t="s">
        <v>1791</v>
      </c>
      <c r="K2234">
        <f t="shared" si="75"/>
        <v>36</v>
      </c>
    </row>
    <row r="2235" spans="1:11" hidden="1">
      <c r="A2235" s="978"/>
      <c r="F2235" s="930">
        <v>0.5</v>
      </c>
      <c r="G2235" s="931" t="s">
        <v>1791</v>
      </c>
      <c r="H2235" s="930" t="s">
        <v>2016</v>
      </c>
      <c r="I2235">
        <v>30</v>
      </c>
      <c r="J2235" s="805" t="s">
        <v>1791</v>
      </c>
      <c r="K2235">
        <f t="shared" si="75"/>
        <v>15</v>
      </c>
    </row>
    <row r="2236" spans="1:11" hidden="1">
      <c r="A2236" s="978"/>
      <c r="F2236" s="930">
        <v>0.5</v>
      </c>
      <c r="G2236" s="931" t="s">
        <v>237</v>
      </c>
      <c r="H2236" s="930" t="s">
        <v>1140</v>
      </c>
      <c r="I2236">
        <f>C780</f>
        <v>160</v>
      </c>
      <c r="J2236" s="805" t="s">
        <v>237</v>
      </c>
      <c r="K2236">
        <f t="shared" si="75"/>
        <v>80</v>
      </c>
    </row>
    <row r="2237" spans="1:11" hidden="1">
      <c r="A2237" s="978"/>
      <c r="F2237" s="930">
        <v>1</v>
      </c>
      <c r="G2237" s="931" t="s">
        <v>237</v>
      </c>
      <c r="H2237" s="930" t="s">
        <v>1142</v>
      </c>
      <c r="I2237">
        <f>C781</f>
        <v>110</v>
      </c>
      <c r="J2237" s="805" t="s">
        <v>237</v>
      </c>
      <c r="K2237">
        <f t="shared" si="75"/>
        <v>110</v>
      </c>
    </row>
    <row r="2238" spans="1:11" ht="31.5" hidden="1">
      <c r="A2238" s="978"/>
      <c r="G2238" s="931" t="s">
        <v>49</v>
      </c>
      <c r="H2238" s="989" t="s">
        <v>2017</v>
      </c>
      <c r="I2238"/>
      <c r="J2238" s="805" t="s">
        <v>49</v>
      </c>
      <c r="K2238">
        <v>165</v>
      </c>
    </row>
    <row r="2239" spans="1:11" hidden="1">
      <c r="A2239" s="978"/>
      <c r="G2239" s="931" t="s">
        <v>49</v>
      </c>
      <c r="H2239" s="930" t="s">
        <v>2018</v>
      </c>
      <c r="I2239"/>
      <c r="J2239" s="805" t="s">
        <v>49</v>
      </c>
      <c r="K2239">
        <v>9.5</v>
      </c>
    </row>
    <row r="2240" spans="1:11" hidden="1">
      <c r="A2240" s="978"/>
      <c r="I2240"/>
      <c r="J2240" s="805"/>
      <c r="K2240" s="776" t="s">
        <v>52</v>
      </c>
    </row>
    <row r="2241" spans="1:11" hidden="1">
      <c r="A2241" s="978"/>
      <c r="H2241" s="930" t="s">
        <v>1224</v>
      </c>
      <c r="I2241"/>
      <c r="J2241" s="805"/>
      <c r="K2241" s="744">
        <f>SUM(K2232:K2239)</f>
        <v>795.5</v>
      </c>
    </row>
    <row r="2242" spans="1:11" hidden="1">
      <c r="A2242" s="978"/>
      <c r="I2242"/>
      <c r="J2242" s="805"/>
      <c r="K2242" s="776" t="s">
        <v>52</v>
      </c>
    </row>
    <row r="2243" spans="1:11" hidden="1">
      <c r="A2243" s="978"/>
    </row>
    <row r="2244" spans="1:11" ht="21.75" hidden="1">
      <c r="A2244" s="978"/>
      <c r="E2244" s="996"/>
      <c r="F2244" s="996"/>
      <c r="G2244" s="997"/>
      <c r="H2244" s="998" t="s">
        <v>2019</v>
      </c>
      <c r="I2244" s="996"/>
      <c r="J2244" s="1003"/>
      <c r="K2244" s="1004"/>
    </row>
    <row r="2245" spans="1:11" ht="17.25" hidden="1">
      <c r="A2245" s="978"/>
      <c r="E2245" s="996"/>
      <c r="F2245" s="997"/>
      <c r="G2245" s="996"/>
      <c r="H2245" s="996"/>
      <c r="I2245" s="1003"/>
      <c r="J2245" s="996"/>
      <c r="K2245" s="996"/>
    </row>
    <row r="2246" spans="1:11" ht="17.25" hidden="1">
      <c r="A2246" s="978"/>
      <c r="E2246" s="996"/>
      <c r="F2246" s="997">
        <v>53.3</v>
      </c>
      <c r="G2246" s="996"/>
      <c r="H2246" s="996" t="s">
        <v>2020</v>
      </c>
      <c r="I2246" s="1003"/>
      <c r="J2246" s="996"/>
      <c r="K2246" s="996">
        <v>957</v>
      </c>
    </row>
    <row r="2247" spans="1:11" ht="17.25" hidden="1">
      <c r="A2247" s="978"/>
      <c r="E2247" s="996"/>
      <c r="F2247" s="997"/>
      <c r="G2247" s="996"/>
      <c r="H2247" s="996"/>
      <c r="I2247" s="1003"/>
      <c r="J2247" s="996"/>
      <c r="K2247" s="996"/>
    </row>
    <row r="2248" spans="1:11" ht="34.5" hidden="1">
      <c r="A2248" s="978"/>
      <c r="E2248" s="996"/>
      <c r="F2248" s="999" t="s">
        <v>2021</v>
      </c>
      <c r="G2248" s="996"/>
      <c r="H2248" s="1000" t="s">
        <v>1525</v>
      </c>
      <c r="I2248" s="1003"/>
      <c r="J2248" s="996"/>
      <c r="K2248" s="996"/>
    </row>
    <row r="2249" spans="1:11" ht="17.25" hidden="1">
      <c r="A2249" s="978"/>
      <c r="E2249" s="996"/>
      <c r="F2249" s="997"/>
      <c r="G2249" s="996"/>
      <c r="H2249" s="1001" t="s">
        <v>52</v>
      </c>
      <c r="I2249" s="1001" t="s">
        <v>52</v>
      </c>
      <c r="J2249" s="1001" t="s">
        <v>52</v>
      </c>
      <c r="K2249" s="996"/>
    </row>
    <row r="2250" spans="1:11" ht="17.25" hidden="1">
      <c r="A2250" s="978"/>
      <c r="E2250" s="996"/>
      <c r="F2250" s="997"/>
      <c r="G2250" s="996"/>
      <c r="H2250" s="996"/>
      <c r="I2250" s="1003"/>
      <c r="J2250" s="996"/>
      <c r="K2250" s="996"/>
    </row>
    <row r="2251" spans="1:11" ht="17.25" hidden="1">
      <c r="A2251" s="978"/>
      <c r="E2251" s="996"/>
      <c r="F2251" s="997"/>
      <c r="G2251" s="996"/>
      <c r="H2251" s="996" t="s">
        <v>1526</v>
      </c>
      <c r="I2251" s="1003"/>
      <c r="J2251" s="996"/>
      <c r="K2251" s="996"/>
    </row>
    <row r="2252" spans="1:11" ht="17.25" hidden="1">
      <c r="A2252" s="978"/>
      <c r="E2252" s="996"/>
      <c r="F2252" s="997"/>
      <c r="G2252" s="996"/>
      <c r="H2252" s="996" t="s">
        <v>1527</v>
      </c>
      <c r="I2252" s="1003"/>
      <c r="J2252" s="996"/>
      <c r="K2252" s="996"/>
    </row>
    <row r="2253" spans="1:11" ht="17.25" hidden="1">
      <c r="A2253" s="978"/>
      <c r="E2253" s="996"/>
      <c r="F2253" s="997"/>
      <c r="G2253" s="996"/>
      <c r="H2253" s="996" t="s">
        <v>1528</v>
      </c>
      <c r="I2253" s="1003"/>
      <c r="J2253" s="996"/>
      <c r="K2253" s="996"/>
    </row>
    <row r="2254" spans="1:11" ht="17.25" hidden="1">
      <c r="A2254" s="978"/>
      <c r="E2254" s="996"/>
      <c r="F2254" s="997"/>
      <c r="G2254" s="996"/>
      <c r="H2254" s="996" t="s">
        <v>1529</v>
      </c>
      <c r="I2254" s="1003"/>
      <c r="J2254" s="996"/>
      <c r="K2254" s="996"/>
    </row>
    <row r="2255" spans="1:11" ht="17.25" hidden="1">
      <c r="A2255" s="978"/>
      <c r="E2255" s="996"/>
      <c r="F2255" s="997"/>
      <c r="G2255" s="996"/>
      <c r="H2255" s="996" t="s">
        <v>1530</v>
      </c>
      <c r="I2255" s="1003"/>
      <c r="J2255" s="996"/>
      <c r="K2255" s="996"/>
    </row>
    <row r="2256" spans="1:11" ht="17.25" hidden="1">
      <c r="A2256" s="978"/>
      <c r="E2256" s="996"/>
      <c r="F2256" s="997"/>
      <c r="G2256" s="996"/>
      <c r="H2256" s="996" t="s">
        <v>2022</v>
      </c>
      <c r="I2256" s="1003"/>
      <c r="J2256" s="996" t="s">
        <v>85</v>
      </c>
      <c r="K2256" s="996">
        <v>3.32E-2</v>
      </c>
    </row>
    <row r="2257" spans="1:11" ht="17.25" hidden="1">
      <c r="A2257" s="978"/>
      <c r="E2257" s="996"/>
      <c r="F2257" s="997"/>
      <c r="G2257" s="996"/>
      <c r="H2257" s="996" t="s">
        <v>2023</v>
      </c>
      <c r="I2257" s="1003"/>
      <c r="J2257" s="996" t="s">
        <v>85</v>
      </c>
      <c r="K2257" s="996" t="s">
        <v>85</v>
      </c>
    </row>
    <row r="2258" spans="1:11" ht="17.25" hidden="1">
      <c r="A2258" s="978"/>
      <c r="E2258" s="996"/>
      <c r="F2258" s="997"/>
      <c r="G2258" s="996"/>
      <c r="H2258" s="996" t="s">
        <v>1532</v>
      </c>
      <c r="I2258" s="1003"/>
      <c r="J2258" s="996"/>
      <c r="K2258" s="996" t="s">
        <v>85</v>
      </c>
    </row>
    <row r="2259" spans="1:11" ht="17.25" hidden="1">
      <c r="A2259" s="978"/>
      <c r="E2259" s="996"/>
      <c r="F2259" s="997"/>
      <c r="G2259" s="996"/>
      <c r="H2259" s="996"/>
      <c r="I2259" s="1003"/>
      <c r="J2259" s="996"/>
      <c r="K2259" s="996"/>
    </row>
    <row r="2260" spans="1:11" ht="17.25" hidden="1">
      <c r="A2260" s="978"/>
      <c r="E2260" s="996"/>
      <c r="F2260" s="1002">
        <v>1.18E-2</v>
      </c>
      <c r="G2260" s="996" t="s">
        <v>132</v>
      </c>
      <c r="H2260" s="996" t="s">
        <v>446</v>
      </c>
      <c r="I2260" s="1003">
        <f>I1083</f>
        <v>65420</v>
      </c>
      <c r="J2260" s="996" t="s">
        <v>132</v>
      </c>
      <c r="K2260" s="996">
        <f t="shared" ref="K2260:K2269" si="76">I2260*F2260</f>
        <v>771.96</v>
      </c>
    </row>
    <row r="2261" spans="1:11" ht="17.25" hidden="1">
      <c r="A2261" s="978"/>
      <c r="E2261" s="996"/>
      <c r="F2261" s="1002">
        <v>3.7699999999999997E-2</v>
      </c>
      <c r="G2261" s="996" t="s">
        <v>132</v>
      </c>
      <c r="H2261" s="996" t="s">
        <v>447</v>
      </c>
      <c r="I2261" s="1003">
        <f>I1084</f>
        <v>57165</v>
      </c>
      <c r="J2261" s="996" t="s">
        <v>132</v>
      </c>
      <c r="K2261" s="996">
        <f t="shared" si="76"/>
        <v>2155.12</v>
      </c>
    </row>
    <row r="2262" spans="1:11" ht="17.25" hidden="1">
      <c r="A2262" s="978"/>
      <c r="E2262" s="996"/>
      <c r="F2262" s="1002">
        <v>1.8550000000000001E-2</v>
      </c>
      <c r="G2262" s="996" t="s">
        <v>132</v>
      </c>
      <c r="H2262" s="996" t="s">
        <v>1533</v>
      </c>
      <c r="I2262" s="1003">
        <f>I1085</f>
        <v>3035</v>
      </c>
      <c r="J2262" s="996" t="s">
        <v>132</v>
      </c>
      <c r="K2262" s="996">
        <f t="shared" si="76"/>
        <v>56.3</v>
      </c>
    </row>
    <row r="2263" spans="1:11" ht="17.25" hidden="1">
      <c r="A2263" s="978"/>
      <c r="E2263" s="996"/>
      <c r="F2263" s="1002">
        <v>1.36</v>
      </c>
      <c r="G2263" s="996" t="s">
        <v>425</v>
      </c>
      <c r="H2263" s="996" t="s">
        <v>1534</v>
      </c>
      <c r="I2263" s="1003">
        <v>385.89</v>
      </c>
      <c r="J2263" s="996" t="s">
        <v>425</v>
      </c>
      <c r="K2263" s="996">
        <f t="shared" si="76"/>
        <v>524.80999999999995</v>
      </c>
    </row>
    <row r="2264" spans="1:11" ht="17.25" hidden="1">
      <c r="A2264" s="978"/>
      <c r="E2264" s="996"/>
      <c r="F2264" s="1002">
        <v>2.0499999999999998</v>
      </c>
      <c r="G2264" s="996" t="s">
        <v>425</v>
      </c>
      <c r="H2264" s="996" t="s">
        <v>1535</v>
      </c>
      <c r="I2264" s="1003">
        <f>I1087</f>
        <v>287</v>
      </c>
      <c r="J2264" s="996" t="s">
        <v>425</v>
      </c>
      <c r="K2264" s="996">
        <f t="shared" si="76"/>
        <v>588.35</v>
      </c>
    </row>
    <row r="2265" spans="1:11" ht="17.25" hidden="1">
      <c r="A2265" s="978"/>
      <c r="E2265" s="996"/>
      <c r="F2265" s="997">
        <v>2</v>
      </c>
      <c r="G2265" s="996" t="s">
        <v>131</v>
      </c>
      <c r="H2265" s="996" t="s">
        <v>2024</v>
      </c>
      <c r="I2265" s="1003">
        <v>25</v>
      </c>
      <c r="J2265" s="996" t="s">
        <v>131</v>
      </c>
      <c r="K2265" s="996">
        <f t="shared" si="76"/>
        <v>50</v>
      </c>
    </row>
    <row r="2266" spans="1:11" ht="17.25" hidden="1">
      <c r="A2266" s="978"/>
      <c r="E2266" s="996"/>
      <c r="F2266" s="997">
        <v>6</v>
      </c>
      <c r="G2266" s="996" t="s">
        <v>131</v>
      </c>
      <c r="H2266" s="996" t="s">
        <v>1502</v>
      </c>
      <c r="I2266" s="1003">
        <v>25</v>
      </c>
      <c r="J2266" s="996" t="s">
        <v>131</v>
      </c>
      <c r="K2266" s="996">
        <f t="shared" si="76"/>
        <v>150</v>
      </c>
    </row>
    <row r="2267" spans="1:11" ht="17.25" hidden="1">
      <c r="A2267" s="978"/>
      <c r="E2267" s="996"/>
      <c r="F2267" s="997">
        <v>2</v>
      </c>
      <c r="G2267" s="996" t="s">
        <v>131</v>
      </c>
      <c r="H2267" s="996" t="s">
        <v>1537</v>
      </c>
      <c r="I2267" s="1003">
        <v>35</v>
      </c>
      <c r="J2267" s="996" t="s">
        <v>131</v>
      </c>
      <c r="K2267" s="996">
        <f t="shared" si="76"/>
        <v>70</v>
      </c>
    </row>
    <row r="2268" spans="1:11" ht="17.25" hidden="1">
      <c r="A2268" s="978"/>
      <c r="E2268" s="996"/>
      <c r="F2268" s="997">
        <v>1</v>
      </c>
      <c r="G2268" s="996" t="s">
        <v>131</v>
      </c>
      <c r="H2268" s="996" t="s">
        <v>1538</v>
      </c>
      <c r="I2268" s="1003">
        <v>60</v>
      </c>
      <c r="J2268" s="996" t="s">
        <v>131</v>
      </c>
      <c r="K2268" s="996">
        <f t="shared" si="76"/>
        <v>60</v>
      </c>
    </row>
    <row r="2269" spans="1:11" ht="17.25" hidden="1">
      <c r="A2269" s="978"/>
      <c r="E2269" s="996"/>
      <c r="F2269" s="1002">
        <v>2.52</v>
      </c>
      <c r="G2269" s="996" t="s">
        <v>425</v>
      </c>
      <c r="H2269" s="996" t="s">
        <v>1539</v>
      </c>
      <c r="I2269" s="1003">
        <f>K1122</f>
        <v>51.25</v>
      </c>
      <c r="J2269" s="996" t="s">
        <v>425</v>
      </c>
      <c r="K2269" s="996">
        <f t="shared" si="76"/>
        <v>129.15</v>
      </c>
    </row>
    <row r="2270" spans="1:11" ht="17.25" hidden="1">
      <c r="A2270" s="978"/>
      <c r="E2270" s="996"/>
      <c r="F2270" s="997"/>
      <c r="G2270" s="996"/>
      <c r="H2270" s="996" t="s">
        <v>1540</v>
      </c>
      <c r="I2270" s="1003" t="s">
        <v>145</v>
      </c>
      <c r="J2270" s="996"/>
      <c r="K2270" s="996">
        <v>0.28000000000000003</v>
      </c>
    </row>
    <row r="2271" spans="1:11" ht="17.25" hidden="1">
      <c r="A2271" s="978"/>
      <c r="E2271" s="996"/>
      <c r="F2271" s="997"/>
      <c r="G2271" s="996"/>
      <c r="H2271" s="996"/>
      <c r="I2271" s="1003"/>
      <c r="J2271" s="996"/>
      <c r="K2271" s="1005" t="s">
        <v>52</v>
      </c>
    </row>
    <row r="2272" spans="1:11" ht="17.25" hidden="1">
      <c r="A2272" s="978"/>
      <c r="E2272" s="996"/>
      <c r="F2272" s="997"/>
      <c r="G2272" s="996"/>
      <c r="H2272" s="996" t="s">
        <v>1541</v>
      </c>
      <c r="I2272" s="1003"/>
      <c r="J2272" s="996"/>
      <c r="K2272" s="996">
        <f>SUM(K2260:K2271)</f>
        <v>4555.97</v>
      </c>
    </row>
    <row r="2273" spans="1:11" ht="17.25" hidden="1">
      <c r="A2273" s="978"/>
      <c r="E2273" s="996"/>
      <c r="F2273" s="997"/>
      <c r="G2273" s="996" t="s">
        <v>85</v>
      </c>
      <c r="H2273" s="996"/>
      <c r="I2273" s="1003"/>
      <c r="J2273" s="996"/>
      <c r="K2273" s="1005" t="s">
        <v>52</v>
      </c>
    </row>
    <row r="2274" spans="1:11" ht="17.25" hidden="1">
      <c r="A2274" s="978"/>
      <c r="E2274" s="996"/>
      <c r="F2274" s="997"/>
      <c r="G2274" s="996"/>
      <c r="H2274" s="996" t="s">
        <v>460</v>
      </c>
      <c r="I2274" s="1003"/>
      <c r="J2274" s="996"/>
      <c r="K2274" s="996">
        <f>K2272/F2269</f>
        <v>1807.92</v>
      </c>
    </row>
    <row r="2275" spans="1:11" ht="17.25" hidden="1">
      <c r="A2275" s="978"/>
      <c r="E2275" s="996"/>
      <c r="F2275" s="997"/>
      <c r="G2275" s="996"/>
      <c r="H2275" s="996"/>
      <c r="I2275" s="1003"/>
      <c r="J2275" s="996"/>
      <c r="K2275" s="996"/>
    </row>
    <row r="2276" spans="1:11" ht="17.25" hidden="1">
      <c r="A2276" s="978"/>
      <c r="E2276" s="996"/>
      <c r="F2276" s="996"/>
      <c r="G2276" s="997"/>
      <c r="H2276" s="996"/>
      <c r="I2276" s="996"/>
      <c r="J2276" s="1003"/>
      <c r="K2276" s="996"/>
    </row>
    <row r="2277" spans="1:11" ht="17.25" hidden="1">
      <c r="A2277" s="978"/>
      <c r="E2277" s="996"/>
      <c r="F2277" s="996"/>
      <c r="G2277" s="997"/>
      <c r="H2277" s="996"/>
      <c r="I2277" s="996"/>
      <c r="J2277" s="1003"/>
      <c r="K2277" s="996"/>
    </row>
    <row r="2278" spans="1:11" ht="51.75" hidden="1">
      <c r="A2278" s="978"/>
      <c r="E2278" s="996"/>
      <c r="F2278" s="996"/>
      <c r="G2278" s="997"/>
      <c r="H2278" s="1001" t="s">
        <v>2025</v>
      </c>
      <c r="I2278" s="996"/>
      <c r="J2278" s="1003" t="s">
        <v>729</v>
      </c>
      <c r="K2278" s="996">
        <v>600</v>
      </c>
    </row>
    <row r="2279" spans="1:11" ht="17.25" hidden="1">
      <c r="A2279" s="978"/>
      <c r="E2279" s="996"/>
      <c r="F2279" s="996"/>
      <c r="G2279" s="997"/>
      <c r="H2279" s="996"/>
      <c r="I2279" s="996"/>
      <c r="J2279" s="1003"/>
      <c r="K2279" s="996"/>
    </row>
    <row r="2280" spans="1:11" ht="17.25" hidden="1">
      <c r="A2280" s="978"/>
      <c r="E2280" s="996"/>
      <c r="F2280" s="996"/>
      <c r="G2280" s="997"/>
      <c r="H2280" s="996"/>
      <c r="I2280" s="996"/>
      <c r="J2280" s="1003"/>
      <c r="K2280" s="996"/>
    </row>
    <row r="2281" spans="1:11" ht="17.25" hidden="1">
      <c r="A2281" s="978"/>
      <c r="E2281" s="996"/>
      <c r="F2281" s="996"/>
      <c r="G2281" s="997"/>
      <c r="H2281" s="1001" t="s">
        <v>2026</v>
      </c>
      <c r="I2281" s="996"/>
      <c r="J2281" s="1003" t="s">
        <v>729</v>
      </c>
      <c r="K2281" s="996">
        <v>300</v>
      </c>
    </row>
    <row r="2282" spans="1:11" ht="17.25" hidden="1">
      <c r="A2282" s="978"/>
      <c r="E2282" s="996"/>
      <c r="F2282" s="996"/>
      <c r="G2282" s="997"/>
      <c r="H2282" s="996"/>
      <c r="I2282" s="996"/>
      <c r="J2282" s="1003"/>
      <c r="K2282" s="996"/>
    </row>
    <row r="2283" spans="1:11" ht="17.25" hidden="1">
      <c r="A2283" s="978"/>
      <c r="E2283" s="996"/>
      <c r="F2283" s="996"/>
      <c r="G2283" s="997"/>
      <c r="H2283" s="996"/>
      <c r="I2283" s="996"/>
      <c r="J2283" s="1003"/>
      <c r="K2283" s="996"/>
    </row>
    <row r="2284" spans="1:11" ht="17.25" hidden="1">
      <c r="A2284" s="978"/>
      <c r="E2284" s="996"/>
      <c r="F2284" s="996"/>
      <c r="G2284" s="997"/>
      <c r="H2284" s="996"/>
      <c r="I2284" s="996"/>
      <c r="J2284" s="1003"/>
      <c r="K2284" s="996"/>
    </row>
    <row r="2285" spans="1:11" ht="17.25" hidden="1">
      <c r="A2285" s="978"/>
      <c r="E2285" s="996"/>
      <c r="F2285" s="996"/>
      <c r="G2285" s="997"/>
      <c r="H2285" s="1001" t="s">
        <v>2027</v>
      </c>
      <c r="I2285" s="996"/>
      <c r="J2285" s="1003" t="s">
        <v>729</v>
      </c>
      <c r="K2285" s="996">
        <v>260</v>
      </c>
    </row>
    <row r="2286" spans="1:11" ht="17.25" hidden="1">
      <c r="A2286" s="978"/>
      <c r="E2286" s="996"/>
      <c r="F2286" s="996"/>
      <c r="G2286" s="997"/>
      <c r="H2286" s="996"/>
      <c r="I2286" s="996"/>
      <c r="J2286" s="1003"/>
      <c r="K2286" s="996"/>
    </row>
    <row r="2287" spans="1:11" ht="17.25" hidden="1">
      <c r="A2287" s="978"/>
      <c r="E2287" s="996"/>
      <c r="F2287" s="996"/>
      <c r="G2287" s="997"/>
      <c r="H2287" s="996"/>
      <c r="I2287" s="996"/>
      <c r="J2287" s="1003"/>
      <c r="K2287" s="996"/>
    </row>
    <row r="2288" spans="1:11" ht="17.25" hidden="1">
      <c r="A2288" s="978"/>
      <c r="E2288" s="996"/>
      <c r="F2288" s="996"/>
      <c r="G2288" s="997"/>
      <c r="H2288" s="996"/>
      <c r="I2288" s="996"/>
      <c r="J2288" s="1003"/>
      <c r="K2288" s="996"/>
    </row>
    <row r="2289" spans="1:11" ht="34.5" hidden="1">
      <c r="A2289" s="978"/>
      <c r="E2289" s="996"/>
      <c r="F2289" s="996"/>
      <c r="G2289" s="997"/>
      <c r="H2289" s="1001" t="s">
        <v>2028</v>
      </c>
      <c r="I2289" s="996"/>
      <c r="J2289" s="1003" t="s">
        <v>729</v>
      </c>
      <c r="K2289" s="996">
        <v>650</v>
      </c>
    </row>
    <row r="2290" spans="1:11" ht="17.25" hidden="1">
      <c r="A2290" s="978"/>
      <c r="E2290" s="996"/>
      <c r="F2290" s="996"/>
      <c r="G2290" s="997"/>
      <c r="H2290" s="996"/>
      <c r="I2290" s="996"/>
      <c r="J2290" s="1003"/>
      <c r="K2290" s="996"/>
    </row>
    <row r="2291" spans="1:11" ht="17.25" hidden="1">
      <c r="A2291" s="978"/>
      <c r="E2291" s="996"/>
      <c r="F2291" s="996"/>
      <c r="G2291" s="997"/>
      <c r="H2291" s="996"/>
      <c r="I2291" s="996"/>
      <c r="J2291" s="1003"/>
      <c r="K2291" s="996"/>
    </row>
    <row r="2292" spans="1:11" ht="17.25" hidden="1">
      <c r="A2292" s="978"/>
      <c r="E2292" s="996"/>
      <c r="F2292" s="996"/>
      <c r="G2292" s="997"/>
      <c r="H2292" s="996" t="s">
        <v>2029</v>
      </c>
      <c r="I2292" s="996"/>
      <c r="J2292" s="1003" t="s">
        <v>729</v>
      </c>
      <c r="K2292" s="996">
        <v>436</v>
      </c>
    </row>
    <row r="2293" spans="1:11" ht="17.25" hidden="1">
      <c r="A2293" s="978"/>
      <c r="E2293" s="996"/>
      <c r="F2293" s="996"/>
      <c r="G2293" s="997"/>
      <c r="H2293" s="996"/>
      <c r="I2293" s="996"/>
      <c r="J2293" s="1003"/>
      <c r="K2293" s="996"/>
    </row>
    <row r="2294" spans="1:11" ht="17.25" hidden="1">
      <c r="A2294" s="978"/>
      <c r="E2294" s="996"/>
      <c r="F2294" s="996"/>
      <c r="G2294" s="997"/>
      <c r="H2294" s="996"/>
      <c r="I2294" s="996"/>
      <c r="J2294" s="1003"/>
      <c r="K2294" s="996"/>
    </row>
    <row r="2295" spans="1:11" ht="17.25" hidden="1">
      <c r="A2295" s="978"/>
      <c r="E2295" s="996"/>
      <c r="F2295" s="996"/>
      <c r="G2295" s="997"/>
      <c r="H2295" s="996" t="s">
        <v>2030</v>
      </c>
      <c r="I2295" s="996"/>
      <c r="J2295" s="1003" t="s">
        <v>729</v>
      </c>
      <c r="K2295" s="996">
        <v>518</v>
      </c>
    </row>
    <row r="2296" spans="1:11" ht="17.25" hidden="1">
      <c r="A2296" s="978"/>
      <c r="E2296" s="996"/>
      <c r="F2296" s="996"/>
      <c r="G2296" s="997"/>
      <c r="H2296" s="996"/>
      <c r="I2296" s="996"/>
      <c r="J2296" s="1003"/>
      <c r="K2296" s="996"/>
    </row>
    <row r="2297" spans="1:11" ht="17.25" hidden="1">
      <c r="A2297" s="978"/>
      <c r="E2297" s="996"/>
      <c r="F2297" s="996"/>
      <c r="G2297" s="997"/>
      <c r="H2297" s="996"/>
      <c r="I2297" s="996"/>
      <c r="J2297" s="1003"/>
      <c r="K2297" s="996"/>
    </row>
    <row r="2298" spans="1:11" ht="17.25" hidden="1">
      <c r="A2298" s="978"/>
      <c r="E2298" s="996"/>
      <c r="F2298" s="996"/>
      <c r="G2298" s="997"/>
      <c r="H2298" s="996"/>
      <c r="I2298" s="996"/>
      <c r="J2298" s="1003"/>
      <c r="K2298" s="996"/>
    </row>
    <row r="2299" spans="1:11" ht="34.5" hidden="1">
      <c r="A2299" s="978"/>
      <c r="E2299" s="996"/>
      <c r="F2299" s="996"/>
      <c r="G2299" s="997"/>
      <c r="H2299" s="1001" t="s">
        <v>2031</v>
      </c>
      <c r="I2299" s="996"/>
      <c r="J2299" s="1003"/>
      <c r="K2299" s="996"/>
    </row>
    <row r="2300" spans="1:11" ht="17.25" hidden="1">
      <c r="A2300" s="978"/>
      <c r="E2300" s="996"/>
      <c r="F2300" s="996"/>
      <c r="G2300" s="997"/>
      <c r="H2300" s="996"/>
      <c r="I2300" s="996"/>
      <c r="J2300" s="1003"/>
      <c r="K2300" s="996"/>
    </row>
    <row r="2301" spans="1:11" ht="17.25" hidden="1">
      <c r="A2301" s="978"/>
      <c r="E2301" s="996"/>
      <c r="F2301" s="996"/>
      <c r="G2301" s="997"/>
      <c r="H2301" s="996" t="s">
        <v>2032</v>
      </c>
      <c r="I2301" s="996"/>
      <c r="J2301" s="1003"/>
      <c r="K2301" s="996"/>
    </row>
    <row r="2302" spans="1:11" ht="17.25" hidden="1">
      <c r="A2302" s="978"/>
      <c r="E2302" s="996"/>
      <c r="F2302" s="996"/>
      <c r="G2302" s="997"/>
      <c r="H2302" s="996" t="s">
        <v>2033</v>
      </c>
      <c r="I2302" s="996"/>
      <c r="J2302" s="1003"/>
      <c r="K2302" s="996"/>
    </row>
    <row r="2303" spans="1:11" ht="17.25" hidden="1">
      <c r="A2303" s="978"/>
      <c r="E2303" s="996"/>
      <c r="F2303" s="996"/>
      <c r="G2303" s="997"/>
      <c r="H2303" s="996"/>
      <c r="I2303" s="996"/>
      <c r="J2303" s="1003"/>
      <c r="K2303" s="996"/>
    </row>
    <row r="2304" spans="1:11" ht="17.25" hidden="1">
      <c r="A2304" s="978"/>
      <c r="E2304" s="996"/>
      <c r="F2304" s="996"/>
      <c r="G2304" s="997"/>
      <c r="H2304" s="996"/>
      <c r="I2304" s="996"/>
      <c r="J2304" s="1003"/>
      <c r="K2304" s="996"/>
    </row>
    <row r="2305" spans="1:11" ht="17.25" hidden="1">
      <c r="A2305" s="978"/>
      <c r="E2305" s="996"/>
      <c r="F2305" s="996"/>
      <c r="G2305" s="997"/>
      <c r="H2305" s="996"/>
      <c r="I2305" s="996"/>
      <c r="J2305" s="1003"/>
      <c r="K2305" s="996"/>
    </row>
    <row r="2306" spans="1:11" ht="17.25" hidden="1">
      <c r="A2306" s="978"/>
      <c r="E2306" s="996"/>
      <c r="F2306" s="996">
        <v>1.96</v>
      </c>
      <c r="G2306" s="997" t="s">
        <v>5</v>
      </c>
      <c r="H2306" s="996" t="s">
        <v>2034</v>
      </c>
      <c r="I2306" s="996" t="e">
        <f>K1644</f>
        <v>#REF!</v>
      </c>
      <c r="J2306" s="1003" t="s">
        <v>5</v>
      </c>
      <c r="K2306" s="996" t="e">
        <f t="shared" ref="K2306:K2311" si="77">I2306*F2306</f>
        <v>#REF!</v>
      </c>
    </row>
    <row r="2307" spans="1:11" ht="17.25" hidden="1">
      <c r="A2307" s="978"/>
      <c r="E2307" s="996"/>
      <c r="F2307" s="996">
        <v>2</v>
      </c>
      <c r="G2307" s="997" t="s">
        <v>1034</v>
      </c>
      <c r="H2307" s="996" t="s">
        <v>2035</v>
      </c>
      <c r="I2307" s="996">
        <f>C10</f>
        <v>150</v>
      </c>
      <c r="J2307" s="1003" t="s">
        <v>1034</v>
      </c>
      <c r="K2307" s="996">
        <f t="shared" si="77"/>
        <v>300</v>
      </c>
    </row>
    <row r="2308" spans="1:11" ht="17.25" hidden="1">
      <c r="A2308" s="978"/>
      <c r="E2308" s="996"/>
      <c r="F2308" s="996">
        <v>2</v>
      </c>
      <c r="G2308" s="997" t="s">
        <v>1034</v>
      </c>
      <c r="H2308" s="996" t="s">
        <v>2036</v>
      </c>
      <c r="I2308" s="996">
        <f>C13</f>
        <v>85</v>
      </c>
      <c r="J2308" s="1003" t="s">
        <v>1034</v>
      </c>
      <c r="K2308" s="996">
        <f t="shared" si="77"/>
        <v>170</v>
      </c>
    </row>
    <row r="2309" spans="1:11" ht="17.25" hidden="1">
      <c r="A2309" s="978"/>
      <c r="E2309" s="996"/>
      <c r="F2309" s="996">
        <v>500</v>
      </c>
      <c r="G2309" s="997" t="s">
        <v>1034</v>
      </c>
      <c r="H2309" s="996" t="s">
        <v>2037</v>
      </c>
      <c r="I2309" s="996">
        <v>2</v>
      </c>
      <c r="J2309" s="1003" t="s">
        <v>1034</v>
      </c>
      <c r="K2309" s="996">
        <f t="shared" si="77"/>
        <v>1000</v>
      </c>
    </row>
    <row r="2310" spans="1:11" ht="17.25" hidden="1">
      <c r="A2310" s="978"/>
      <c r="E2310" s="996"/>
      <c r="F2310" s="996">
        <v>8.5</v>
      </c>
      <c r="G2310" s="997" t="s">
        <v>2038</v>
      </c>
      <c r="H2310" s="996" t="s">
        <v>2039</v>
      </c>
      <c r="I2310" s="996">
        <v>25</v>
      </c>
      <c r="J2310" s="1003" t="s">
        <v>2038</v>
      </c>
      <c r="K2310" s="996">
        <f t="shared" si="77"/>
        <v>212.5</v>
      </c>
    </row>
    <row r="2311" spans="1:11" ht="17.25" hidden="1">
      <c r="A2311" s="978"/>
      <c r="E2311" s="996"/>
      <c r="F2311" s="996">
        <v>0.28000000000000003</v>
      </c>
      <c r="G2311" s="997" t="s">
        <v>724</v>
      </c>
      <c r="H2311" s="996" t="s">
        <v>2040</v>
      </c>
      <c r="I2311" s="996">
        <f>K2448</f>
        <v>168.13</v>
      </c>
      <c r="J2311" s="1003" t="s">
        <v>724</v>
      </c>
      <c r="K2311" s="996">
        <f t="shared" si="77"/>
        <v>47.08</v>
      </c>
    </row>
    <row r="2312" spans="1:11" ht="17.25" hidden="1">
      <c r="A2312" s="978"/>
      <c r="E2312" s="996"/>
      <c r="F2312" s="996"/>
      <c r="G2312" s="997"/>
      <c r="H2312" s="996"/>
      <c r="I2312" s="996"/>
      <c r="J2312" s="1003"/>
      <c r="K2312" s="996" t="s">
        <v>2041</v>
      </c>
    </row>
    <row r="2313" spans="1:11" ht="17.25" hidden="1">
      <c r="A2313" s="978"/>
      <c r="E2313" s="996"/>
      <c r="F2313" s="996"/>
      <c r="G2313" s="997"/>
      <c r="H2313" s="996"/>
      <c r="I2313" s="996" t="s">
        <v>2042</v>
      </c>
      <c r="J2313" s="1003">
        <v>39.200000000000003</v>
      </c>
      <c r="K2313" s="996" t="e">
        <f>SUM(K2306:K2312)</f>
        <v>#REF!</v>
      </c>
    </row>
    <row r="2314" spans="1:11" ht="17.25" hidden="1">
      <c r="A2314" s="978"/>
      <c r="E2314" s="996"/>
      <c r="F2314" s="996"/>
      <c r="G2314" s="997"/>
      <c r="H2314" s="996"/>
      <c r="I2314" s="996"/>
      <c r="J2314" s="1003"/>
      <c r="K2314" s="996" t="s">
        <v>2043</v>
      </c>
    </row>
    <row r="2315" spans="1:11" ht="17.25" hidden="1">
      <c r="A2315" s="978"/>
      <c r="E2315" s="996"/>
      <c r="F2315" s="996"/>
      <c r="G2315" s="997"/>
      <c r="H2315" s="996"/>
      <c r="I2315" s="996"/>
      <c r="J2315" s="1003"/>
      <c r="K2315" s="996"/>
    </row>
    <row r="2316" spans="1:11" ht="17.25" hidden="1">
      <c r="A2316" s="978"/>
      <c r="E2316" s="996"/>
      <c r="F2316" s="996"/>
      <c r="G2316" s="997"/>
      <c r="H2316" s="996"/>
      <c r="I2316" s="996" t="s">
        <v>2044</v>
      </c>
      <c r="J2316" s="1003"/>
      <c r="K2316" s="1023" t="e">
        <f>K2313/J2313</f>
        <v>#REF!</v>
      </c>
    </row>
    <row r="2317" spans="1:11" ht="17.25" hidden="1">
      <c r="A2317" s="978"/>
      <c r="E2317" s="996"/>
      <c r="F2317" s="996"/>
      <c r="G2317" s="997"/>
      <c r="H2317" s="996"/>
      <c r="I2317" s="996"/>
      <c r="J2317" s="1003"/>
      <c r="K2317" s="1005" t="s">
        <v>89</v>
      </c>
    </row>
    <row r="2318" spans="1:11" ht="17.25" hidden="1">
      <c r="A2318" s="978"/>
      <c r="E2318" s="996"/>
      <c r="F2318" s="996"/>
      <c r="G2318" s="997"/>
      <c r="H2318" s="996"/>
      <c r="I2318" s="996"/>
      <c r="J2318" s="1003"/>
      <c r="K2318" s="996"/>
    </row>
    <row r="2319" spans="1:11" ht="34.5" hidden="1">
      <c r="A2319" s="978"/>
      <c r="E2319" s="996"/>
      <c r="F2319" s="996"/>
      <c r="G2319" s="997"/>
      <c r="H2319" s="1001" t="s">
        <v>2045</v>
      </c>
      <c r="I2319" s="996"/>
      <c r="J2319" s="1003"/>
      <c r="K2319" s="996"/>
    </row>
    <row r="2320" spans="1:11" ht="17.25" hidden="1">
      <c r="A2320" s="978"/>
      <c r="E2320" s="996"/>
      <c r="F2320" s="996"/>
      <c r="G2320" s="997"/>
      <c r="H2320" s="996"/>
      <c r="I2320" s="996"/>
      <c r="J2320" s="1003"/>
      <c r="K2320" s="996"/>
    </row>
    <row r="2321" spans="1:11" ht="17.25" hidden="1">
      <c r="A2321" s="978"/>
      <c r="E2321" s="996"/>
      <c r="F2321" s="996">
        <v>4</v>
      </c>
      <c r="G2321" s="997" t="s">
        <v>13</v>
      </c>
      <c r="H2321" s="996" t="s">
        <v>2046</v>
      </c>
      <c r="I2321" s="996">
        <v>110</v>
      </c>
      <c r="J2321" s="1003" t="s">
        <v>13</v>
      </c>
      <c r="K2321" s="996">
        <f t="shared" ref="K2321:K2328" si="78">I2321*F2321</f>
        <v>440</v>
      </c>
    </row>
    <row r="2322" spans="1:11" ht="17.25" hidden="1">
      <c r="A2322" s="978"/>
      <c r="E2322" s="996"/>
      <c r="F2322" s="996">
        <v>2.52</v>
      </c>
      <c r="G2322" s="997" t="s">
        <v>39</v>
      </c>
      <c r="H2322" s="996" t="s">
        <v>2047</v>
      </c>
      <c r="I2322" s="996">
        <v>30</v>
      </c>
      <c r="J2322" s="1003" t="s">
        <v>39</v>
      </c>
      <c r="K2322" s="996">
        <f t="shared" si="78"/>
        <v>75.599999999999994</v>
      </c>
    </row>
    <row r="2323" spans="1:11" ht="17.25" hidden="1">
      <c r="A2323" s="978"/>
      <c r="E2323" s="996"/>
      <c r="F2323" s="996">
        <v>1.1299999999999999</v>
      </c>
      <c r="G2323" s="997" t="s">
        <v>39</v>
      </c>
      <c r="H2323" s="996" t="s">
        <v>2048</v>
      </c>
      <c r="I2323" s="996">
        <v>30</v>
      </c>
      <c r="J2323" s="1003" t="s">
        <v>39</v>
      </c>
      <c r="K2323" s="996">
        <f t="shared" si="78"/>
        <v>33.9</v>
      </c>
    </row>
    <row r="2324" spans="1:11" ht="17.25" hidden="1">
      <c r="A2324" s="978"/>
      <c r="E2324" s="996"/>
      <c r="F2324" s="996">
        <v>0.35</v>
      </c>
      <c r="G2324" s="997" t="s">
        <v>39</v>
      </c>
      <c r="H2324" s="996" t="s">
        <v>2049</v>
      </c>
      <c r="I2324" s="996">
        <v>30</v>
      </c>
      <c r="J2324" s="1003" t="s">
        <v>39</v>
      </c>
      <c r="K2324" s="996">
        <f t="shared" si="78"/>
        <v>10.5</v>
      </c>
    </row>
    <row r="2325" spans="1:11" ht="17.25" hidden="1">
      <c r="A2325" s="978"/>
      <c r="E2325" s="996"/>
      <c r="F2325" s="996">
        <v>4</v>
      </c>
      <c r="G2325" s="997" t="s">
        <v>39</v>
      </c>
      <c r="H2325" s="996" t="s">
        <v>2050</v>
      </c>
      <c r="I2325" s="996">
        <v>12.25</v>
      </c>
      <c r="J2325" s="1003" t="s">
        <v>39</v>
      </c>
      <c r="K2325" s="996">
        <f t="shared" si="78"/>
        <v>49</v>
      </c>
    </row>
    <row r="2326" spans="1:11" ht="17.25" hidden="1">
      <c r="A2326" s="978"/>
      <c r="E2326" s="996"/>
      <c r="F2326" s="996">
        <v>6</v>
      </c>
      <c r="G2326" s="997" t="s">
        <v>41</v>
      </c>
      <c r="H2326" s="996" t="s">
        <v>2051</v>
      </c>
      <c r="I2326" s="996">
        <v>1</v>
      </c>
      <c r="J2326" s="1003" t="s">
        <v>729</v>
      </c>
      <c r="K2326" s="996">
        <f t="shared" si="78"/>
        <v>6</v>
      </c>
    </row>
    <row r="2327" spans="1:11" ht="17.25" hidden="1">
      <c r="A2327" s="978"/>
      <c r="E2327" s="996"/>
      <c r="F2327" s="996">
        <v>0.5</v>
      </c>
      <c r="G2327" s="997" t="s">
        <v>41</v>
      </c>
      <c r="H2327" s="996" t="s">
        <v>2052</v>
      </c>
      <c r="I2327" s="996">
        <f>C12</f>
        <v>95</v>
      </c>
      <c r="J2327" s="1003" t="s">
        <v>729</v>
      </c>
      <c r="K2327" s="996">
        <f t="shared" si="78"/>
        <v>47.5</v>
      </c>
    </row>
    <row r="2328" spans="1:11" ht="17.25" hidden="1">
      <c r="A2328" s="978"/>
      <c r="E2328" s="996"/>
      <c r="F2328" s="996">
        <v>0.5</v>
      </c>
      <c r="G2328" s="997" t="s">
        <v>41</v>
      </c>
      <c r="H2328" s="996" t="s">
        <v>2053</v>
      </c>
      <c r="I2328" s="996">
        <f>C13</f>
        <v>85</v>
      </c>
      <c r="J2328" s="1003" t="s">
        <v>729</v>
      </c>
      <c r="K2328" s="996">
        <f t="shared" si="78"/>
        <v>42.5</v>
      </c>
    </row>
    <row r="2329" spans="1:11" ht="17.25" hidden="1">
      <c r="A2329" s="978"/>
      <c r="E2329" s="996"/>
      <c r="F2329" s="999" t="s">
        <v>145</v>
      </c>
      <c r="G2329" s="997"/>
      <c r="H2329" s="996" t="s">
        <v>2054</v>
      </c>
      <c r="I2329" s="996"/>
      <c r="J2329" s="1003" t="s">
        <v>145</v>
      </c>
      <c r="K2329" s="996">
        <v>19.22</v>
      </c>
    </row>
    <row r="2330" spans="1:11" ht="17.25" hidden="1">
      <c r="A2330" s="978"/>
      <c r="E2330" s="996"/>
      <c r="F2330" s="996"/>
      <c r="G2330" s="997"/>
      <c r="H2330" s="996"/>
      <c r="I2330" s="996"/>
      <c r="J2330" s="1003"/>
      <c r="K2330" s="996"/>
    </row>
    <row r="2331" spans="1:11" ht="17.25" hidden="1">
      <c r="A2331" s="978"/>
      <c r="E2331" s="996"/>
      <c r="F2331" s="996"/>
      <c r="G2331" s="997"/>
      <c r="H2331" s="996"/>
      <c r="I2331" s="996"/>
      <c r="J2331" s="1003"/>
      <c r="K2331" s="996" t="s">
        <v>2055</v>
      </c>
    </row>
    <row r="2332" spans="1:11" ht="17.25" hidden="1">
      <c r="A2332" s="978"/>
      <c r="E2332" s="996"/>
      <c r="F2332" s="996"/>
      <c r="G2332" s="997"/>
      <c r="H2332" s="996"/>
      <c r="I2332" s="996" t="s">
        <v>2056</v>
      </c>
      <c r="J2332" s="1003" t="s">
        <v>2057</v>
      </c>
      <c r="K2332" s="996">
        <f>SUM(K2321:K2331)</f>
        <v>724.22</v>
      </c>
    </row>
    <row r="2333" spans="1:11" ht="17.25" hidden="1">
      <c r="A2333" s="978"/>
      <c r="E2333" s="996"/>
      <c r="F2333" s="996"/>
      <c r="G2333" s="997"/>
      <c r="H2333" s="996"/>
      <c r="I2333" s="996">
        <v>2</v>
      </c>
      <c r="J2333" s="1024" t="s">
        <v>41</v>
      </c>
      <c r="K2333" s="996" t="s">
        <v>2043</v>
      </c>
    </row>
    <row r="2334" spans="1:11" ht="17.25" hidden="1">
      <c r="A2334" s="978"/>
      <c r="E2334" s="996"/>
      <c r="F2334" s="996"/>
      <c r="G2334" s="997"/>
      <c r="H2334" s="996"/>
      <c r="I2334" s="1001"/>
      <c r="J2334" s="1003"/>
      <c r="K2334" s="996"/>
    </row>
    <row r="2335" spans="1:11" ht="17.25" hidden="1">
      <c r="A2335" s="978"/>
      <c r="E2335" s="996"/>
      <c r="F2335" s="996"/>
      <c r="G2335" s="997"/>
      <c r="H2335" s="996"/>
      <c r="I2335" s="996"/>
      <c r="J2335" s="1003"/>
      <c r="K2335" s="996"/>
    </row>
    <row r="2336" spans="1:11" ht="17.25" hidden="1">
      <c r="A2336" s="978"/>
      <c r="E2336" s="996"/>
      <c r="F2336" s="996"/>
      <c r="G2336" s="997"/>
      <c r="H2336" s="996"/>
      <c r="I2336" s="996" t="s">
        <v>2058</v>
      </c>
      <c r="J2336" s="1003"/>
      <c r="K2336" s="1023">
        <f>K2332/I2333</f>
        <v>362.11</v>
      </c>
    </row>
    <row r="2337" spans="1:12" ht="17.25" hidden="1">
      <c r="A2337" s="978"/>
      <c r="E2337" s="996"/>
      <c r="F2337" s="996"/>
      <c r="G2337" s="997"/>
      <c r="H2337" s="996"/>
      <c r="I2337" s="996"/>
      <c r="J2337" s="1003"/>
      <c r="K2337" s="1005" t="s">
        <v>89</v>
      </c>
    </row>
    <row r="2338" spans="1:12" ht="17.25" hidden="1">
      <c r="A2338" s="978"/>
      <c r="E2338" s="996"/>
      <c r="F2338" s="996"/>
      <c r="G2338" s="997"/>
      <c r="H2338" s="996"/>
      <c r="I2338" s="996"/>
      <c r="J2338" s="1003"/>
      <c r="K2338" s="996"/>
    </row>
    <row r="2339" spans="1:12" ht="19.5" hidden="1">
      <c r="A2339" s="978"/>
      <c r="E2339" s="996"/>
      <c r="F2339" s="1006"/>
      <c r="G2339" s="1006"/>
      <c r="H2339" s="1006"/>
      <c r="I2339" s="1006"/>
      <c r="J2339" s="1006"/>
      <c r="K2339" s="1006"/>
      <c r="L2339" s="1007"/>
    </row>
    <row r="2340" spans="1:12" ht="17.25" hidden="1">
      <c r="A2340" s="978"/>
      <c r="E2340" s="996"/>
      <c r="F2340" s="996"/>
      <c r="G2340" s="996"/>
      <c r="H2340" s="996"/>
      <c r="I2340" s="996"/>
      <c r="J2340" s="996"/>
      <c r="K2340" s="996"/>
    </row>
    <row r="2341" spans="1:12" ht="18" hidden="1">
      <c r="A2341" s="978"/>
      <c r="E2341" s="1771" t="s">
        <v>2059</v>
      </c>
      <c r="F2341" s="1771"/>
      <c r="G2341" s="1771"/>
      <c r="H2341" s="1771"/>
      <c r="I2341" s="1771"/>
      <c r="J2341" s="1771"/>
      <c r="K2341" s="1771"/>
      <c r="L2341" s="1010"/>
    </row>
    <row r="2342" spans="1:12" ht="18" hidden="1">
      <c r="A2342" s="978"/>
      <c r="E2342" s="1008"/>
      <c r="F2342" s="1008"/>
      <c r="G2342" s="1008"/>
      <c r="H2342" s="1008"/>
      <c r="I2342" s="1008"/>
      <c r="J2342" s="1008"/>
      <c r="K2342" s="1008"/>
      <c r="L2342" s="1025"/>
    </row>
    <row r="2343" spans="1:12" ht="18" hidden="1">
      <c r="A2343" s="978"/>
      <c r="E2343" s="1009"/>
      <c r="F2343" s="1010" t="s">
        <v>2060</v>
      </c>
      <c r="G2343" s="1007"/>
      <c r="H2343" s="1011" t="s">
        <v>2061</v>
      </c>
      <c r="I2343" s="1010" t="s">
        <v>2062</v>
      </c>
      <c r="J2343" s="1011" t="s">
        <v>2063</v>
      </c>
      <c r="K2343" s="1010" t="s">
        <v>2064</v>
      </c>
      <c r="L2343" s="1015"/>
    </row>
    <row r="2344" spans="1:12" ht="18" hidden="1">
      <c r="A2344" s="978"/>
      <c r="E2344" s="1012">
        <v>18.100000000000001</v>
      </c>
      <c r="F2344" s="1013" t="s">
        <v>2065</v>
      </c>
      <c r="G2344" s="1008"/>
      <c r="H2344" s="1014" t="s">
        <v>2066</v>
      </c>
      <c r="I2344" s="1025"/>
      <c r="J2344" s="1025"/>
      <c r="K2344" s="1025"/>
      <c r="L2344" s="1015"/>
    </row>
    <row r="2345" spans="1:12" ht="18" hidden="1">
      <c r="A2345" s="978"/>
      <c r="E2345" s="1009"/>
      <c r="F2345" s="1015"/>
      <c r="G2345" s="1009"/>
      <c r="H2345" s="1016" t="s">
        <v>2067</v>
      </c>
      <c r="I2345" s="1015"/>
      <c r="J2345" s="1009"/>
      <c r="K2345" s="1015"/>
      <c r="L2345" s="1015"/>
    </row>
    <row r="2346" spans="1:12" ht="21" hidden="1">
      <c r="A2346" s="978"/>
      <c r="E2346" s="1009"/>
      <c r="F2346" s="1015"/>
      <c r="G2346" s="1009"/>
      <c r="H2346" s="1016" t="s">
        <v>2068</v>
      </c>
      <c r="I2346" s="1015"/>
      <c r="J2346" s="1009"/>
      <c r="K2346" s="1015"/>
      <c r="L2346" s="1015"/>
    </row>
    <row r="2347" spans="1:12" ht="21" hidden="1">
      <c r="A2347" s="978"/>
      <c r="E2347" s="1009"/>
      <c r="F2347" s="1015"/>
      <c r="G2347" s="1009"/>
      <c r="H2347" s="1016" t="s">
        <v>2069</v>
      </c>
      <c r="I2347" s="1015"/>
      <c r="J2347" s="1009"/>
      <c r="K2347" s="1015"/>
      <c r="L2347" s="1015"/>
    </row>
    <row r="2348" spans="1:12" ht="18" hidden="1">
      <c r="A2348" s="978"/>
      <c r="E2348" s="1009"/>
      <c r="F2348" s="1015"/>
      <c r="G2348" s="1009"/>
      <c r="H2348" s="1016" t="s">
        <v>2070</v>
      </c>
      <c r="I2348" s="1015"/>
      <c r="J2348" s="1009"/>
      <c r="K2348" s="1015"/>
      <c r="L2348" s="1015"/>
    </row>
    <row r="2349" spans="1:12" ht="39" hidden="1">
      <c r="A2349" s="978"/>
      <c r="E2349" s="1009"/>
      <c r="F2349" s="1015"/>
      <c r="G2349" s="1009"/>
      <c r="H2349" s="1016" t="s">
        <v>2071</v>
      </c>
      <c r="I2349" s="1015"/>
      <c r="J2349" s="1009"/>
      <c r="K2349" s="1015"/>
      <c r="L2349" s="1015"/>
    </row>
    <row r="2350" spans="1:12" ht="72" hidden="1">
      <c r="A2350" s="978"/>
      <c r="E2350" s="1009"/>
      <c r="F2350" s="1015"/>
      <c r="G2350" s="1009"/>
      <c r="H2350" s="1016" t="s">
        <v>2072</v>
      </c>
      <c r="I2350" s="1015"/>
      <c r="J2350" s="1009"/>
      <c r="K2350" s="1015"/>
      <c r="L2350" s="1015"/>
    </row>
    <row r="2351" spans="1:12" ht="36" hidden="1">
      <c r="A2351" s="978"/>
      <c r="E2351" s="1009"/>
      <c r="F2351" s="1015"/>
      <c r="G2351" s="1009"/>
      <c r="H2351" s="1016" t="s">
        <v>2073</v>
      </c>
      <c r="I2351" s="1015"/>
      <c r="J2351" s="1009"/>
      <c r="K2351" s="1015"/>
      <c r="L2351" s="1015"/>
    </row>
    <row r="2352" spans="1:12" ht="39" hidden="1">
      <c r="A2352" s="978"/>
      <c r="E2352" s="1009"/>
      <c r="F2352" s="1015"/>
      <c r="G2352" s="1009"/>
      <c r="H2352" s="1016" t="s">
        <v>2074</v>
      </c>
      <c r="I2352" s="1015"/>
      <c r="J2352" s="1009"/>
      <c r="K2352" s="1015"/>
      <c r="L2352" s="1015"/>
    </row>
    <row r="2353" spans="1:12" ht="18" hidden="1">
      <c r="A2353" s="978"/>
      <c r="E2353" s="1009"/>
      <c r="F2353" s="1015"/>
      <c r="G2353" s="1009"/>
      <c r="H2353" s="1009"/>
      <c r="I2353" s="1015"/>
      <c r="J2353" s="1009"/>
      <c r="K2353" s="1015"/>
      <c r="L2353" s="1015"/>
    </row>
    <row r="2354" spans="1:12" ht="21" hidden="1">
      <c r="A2354" s="978"/>
      <c r="E2354" s="1009"/>
      <c r="F2354" s="1017">
        <v>62</v>
      </c>
      <c r="G2354" s="1018" t="s">
        <v>2075</v>
      </c>
      <c r="H2354" s="1019" t="s">
        <v>2076</v>
      </c>
      <c r="I2354" s="1017">
        <f>K2378</f>
        <v>217.41</v>
      </c>
      <c r="J2354" s="1018" t="s">
        <v>2075</v>
      </c>
      <c r="K2354" s="1015">
        <f>I2354*F2354</f>
        <v>13479.42</v>
      </c>
      <c r="L2354" s="1015"/>
    </row>
    <row r="2355" spans="1:12" ht="21" hidden="1">
      <c r="A2355" s="978"/>
      <c r="E2355" s="1009"/>
      <c r="F2355" s="1017">
        <v>121.64</v>
      </c>
      <c r="G2355" s="1018" t="s">
        <v>2075</v>
      </c>
      <c r="H2355" s="1019" t="s">
        <v>2077</v>
      </c>
      <c r="I2355" s="1017">
        <f>I2383</f>
        <v>168.13</v>
      </c>
      <c r="J2355" s="1018" t="s">
        <v>2078</v>
      </c>
      <c r="K2355" s="1015">
        <f>I2355*F2355</f>
        <v>20451.330000000002</v>
      </c>
      <c r="L2355" s="1026"/>
    </row>
    <row r="2356" spans="1:12" ht="21" hidden="1">
      <c r="A2356" s="978"/>
      <c r="E2356" s="1009"/>
      <c r="F2356" s="1015"/>
      <c r="G2356" s="1009"/>
      <c r="H2356" s="1019" t="s">
        <v>2079</v>
      </c>
      <c r="I2356" s="1015"/>
      <c r="J2356" s="1009"/>
      <c r="K2356" s="1015">
        <f>SUM(K2354:K2355)</f>
        <v>33930.75</v>
      </c>
      <c r="L2356" s="1027"/>
    </row>
    <row r="2357" spans="1:12" ht="21" hidden="1">
      <c r="A2357" s="978"/>
      <c r="E2357" s="1009"/>
      <c r="F2357" s="1015"/>
      <c r="G2357" s="1009"/>
      <c r="H2357" s="1019" t="s">
        <v>2080</v>
      </c>
      <c r="I2357" s="1015"/>
      <c r="J2357" s="1009"/>
      <c r="K2357" s="1026">
        <f>K2356/F2354</f>
        <v>547.27</v>
      </c>
      <c r="L2357" s="1015"/>
    </row>
    <row r="2358" spans="1:12" ht="18" hidden="1">
      <c r="A2358" s="978"/>
      <c r="E2358" s="1009"/>
      <c r="F2358" s="1015"/>
      <c r="G2358" s="1009"/>
      <c r="H2358" s="1018"/>
      <c r="I2358" s="1015"/>
      <c r="J2358" s="1009"/>
      <c r="K2358" s="1027"/>
      <c r="L2358" s="1015"/>
    </row>
    <row r="2359" spans="1:12" ht="36" hidden="1">
      <c r="A2359" s="978"/>
      <c r="E2359" s="1020">
        <v>18.100000000000001</v>
      </c>
      <c r="F2359" s="1013" t="s">
        <v>2081</v>
      </c>
      <c r="G2359" s="1009"/>
      <c r="H2359" s="1021" t="s">
        <v>2082</v>
      </c>
      <c r="I2359" s="1015"/>
      <c r="J2359" s="1009"/>
      <c r="K2359" s="1015"/>
      <c r="L2359" s="1015"/>
    </row>
    <row r="2360" spans="1:12" ht="18" hidden="1">
      <c r="A2360" s="978"/>
      <c r="E2360" s="1009"/>
      <c r="F2360" s="1015"/>
      <c r="G2360" s="1009"/>
      <c r="H2360" s="1009"/>
      <c r="I2360" s="1015"/>
      <c r="J2360" s="1009"/>
      <c r="K2360" s="1015"/>
      <c r="L2360" s="1015"/>
    </row>
    <row r="2361" spans="1:12" ht="18" hidden="1">
      <c r="A2361" s="978"/>
      <c r="E2361" s="1009"/>
      <c r="F2361" s="1017">
        <v>13.46</v>
      </c>
      <c r="G2361" s="1018" t="s">
        <v>39</v>
      </c>
      <c r="H2361" s="1016" t="s">
        <v>2083</v>
      </c>
      <c r="I2361" s="1017">
        <f>I706</f>
        <v>30</v>
      </c>
      <c r="J2361" s="1018" t="s">
        <v>39</v>
      </c>
      <c r="K2361" s="1015">
        <f>I2361*F2361</f>
        <v>403.8</v>
      </c>
      <c r="L2361" s="1015"/>
    </row>
    <row r="2362" spans="1:12" ht="18" hidden="1">
      <c r="A2362" s="978"/>
      <c r="E2362" s="1009"/>
      <c r="F2362" s="1017">
        <v>4</v>
      </c>
      <c r="G2362" s="1018" t="s">
        <v>39</v>
      </c>
      <c r="H2362" s="1016" t="s">
        <v>2084</v>
      </c>
      <c r="I2362" s="1017">
        <f>I708</f>
        <v>30</v>
      </c>
      <c r="J2362" s="1018" t="s">
        <v>39</v>
      </c>
      <c r="K2362" s="1015">
        <f>I2362*F2362</f>
        <v>120</v>
      </c>
      <c r="L2362" s="1028"/>
    </row>
    <row r="2363" spans="1:12" ht="36" hidden="1">
      <c r="A2363" s="978"/>
      <c r="E2363" s="1009"/>
      <c r="F2363" s="1017">
        <v>1</v>
      </c>
      <c r="G2363" s="1018" t="s">
        <v>2085</v>
      </c>
      <c r="H2363" s="1016" t="s">
        <v>2086</v>
      </c>
      <c r="I2363" s="1017">
        <v>40</v>
      </c>
      <c r="J2363" s="1018" t="s">
        <v>145</v>
      </c>
      <c r="K2363" s="1015">
        <f>I2363*F2363</f>
        <v>40</v>
      </c>
      <c r="L2363" s="1015"/>
    </row>
    <row r="2364" spans="1:12" ht="18" hidden="1">
      <c r="A2364" s="978"/>
      <c r="E2364" s="1009"/>
      <c r="F2364" s="1015"/>
      <c r="G2364" s="1009"/>
      <c r="H2364" s="1022" t="s">
        <v>2087</v>
      </c>
      <c r="I2364" s="1015"/>
      <c r="J2364" s="1009"/>
      <c r="K2364" s="1028">
        <f>SUM(K2361:K2363)</f>
        <v>563.79999999999995</v>
      </c>
      <c r="L2364" s="1015"/>
    </row>
    <row r="2365" spans="1:12" ht="18" hidden="1">
      <c r="A2365" s="978"/>
      <c r="E2365" s="1009"/>
      <c r="F2365" s="1015"/>
      <c r="G2365" s="1009"/>
      <c r="H2365" s="1022" t="s">
        <v>2088</v>
      </c>
      <c r="I2365" s="1027">
        <f>K2364/40</f>
        <v>14.1</v>
      </c>
      <c r="J2365" s="1009"/>
      <c r="K2365" s="1015"/>
      <c r="L2365" s="1015"/>
    </row>
    <row r="2366" spans="1:12" ht="18" hidden="1">
      <c r="A2366" s="978"/>
      <c r="E2366" s="1009"/>
      <c r="F2366" s="1015"/>
      <c r="G2366" s="1009"/>
      <c r="H2366" s="1009"/>
      <c r="I2366" s="1015"/>
      <c r="J2366" s="1009"/>
      <c r="K2366" s="1015"/>
      <c r="L2366" s="1015"/>
    </row>
    <row r="2367" spans="1:12" ht="18" hidden="1">
      <c r="A2367" s="978"/>
      <c r="E2367" s="1009"/>
      <c r="F2367" s="1017">
        <v>19</v>
      </c>
      <c r="G2367" s="1018" t="s">
        <v>1034</v>
      </c>
      <c r="H2367" s="1009" t="s">
        <v>2089</v>
      </c>
      <c r="I2367" s="1017">
        <f>I2365</f>
        <v>14.1</v>
      </c>
      <c r="J2367" s="1018" t="s">
        <v>1724</v>
      </c>
      <c r="K2367" s="1015">
        <f>I2367*F2367</f>
        <v>267.89999999999998</v>
      </c>
      <c r="L2367" s="1015"/>
    </row>
    <row r="2368" spans="1:12" ht="18" hidden="1">
      <c r="A2368" s="978"/>
      <c r="E2368" s="1009"/>
      <c r="F2368" s="1017">
        <v>0.12</v>
      </c>
      <c r="G2368" s="1018" t="s">
        <v>2090</v>
      </c>
      <c r="H2368" s="1009" t="s">
        <v>2091</v>
      </c>
      <c r="I2368" s="1017">
        <f>C268/5</f>
        <v>1879</v>
      </c>
      <c r="J2368" s="1018" t="s">
        <v>2090</v>
      </c>
      <c r="K2368" s="1015">
        <f>I2368*F2368</f>
        <v>225.48</v>
      </c>
      <c r="L2368" s="1015"/>
    </row>
    <row r="2369" spans="1:12" ht="18" hidden="1">
      <c r="A2369" s="978"/>
      <c r="E2369" s="1009"/>
      <c r="F2369" s="1017">
        <v>98.5</v>
      </c>
      <c r="G2369" s="1018" t="s">
        <v>2092</v>
      </c>
      <c r="H2369" s="1009" t="s">
        <v>2093</v>
      </c>
      <c r="I2369" s="1017">
        <f>C269/5</f>
        <v>3</v>
      </c>
      <c r="J2369" s="1018" t="s">
        <v>2092</v>
      </c>
      <c r="K2369" s="1015">
        <f>I2369*F2369</f>
        <v>295.5</v>
      </c>
      <c r="L2369" s="1015"/>
    </row>
    <row r="2370" spans="1:12" ht="18" hidden="1">
      <c r="A2370" s="978"/>
      <c r="E2370" s="1009"/>
      <c r="F2370" s="1772" t="s">
        <v>145</v>
      </c>
      <c r="G2370" s="1772"/>
      <c r="H2370" s="1009" t="s">
        <v>2094</v>
      </c>
      <c r="I2370" s="1017">
        <v>11</v>
      </c>
      <c r="J2370" s="1018" t="s">
        <v>145</v>
      </c>
      <c r="K2370" s="1015">
        <f>I2370</f>
        <v>11</v>
      </c>
      <c r="L2370" s="1015"/>
    </row>
    <row r="2371" spans="1:12" ht="21" hidden="1">
      <c r="A2371" s="978"/>
      <c r="E2371" s="1009"/>
      <c r="F2371" s="1017">
        <v>3.8</v>
      </c>
      <c r="G2371" s="1018" t="s">
        <v>1034</v>
      </c>
      <c r="H2371" s="1009" t="s">
        <v>2095</v>
      </c>
      <c r="I2371" s="1017">
        <f>C16</f>
        <v>150</v>
      </c>
      <c r="J2371" s="1018" t="s">
        <v>1034</v>
      </c>
      <c r="K2371" s="1015">
        <f>I2371*F2371</f>
        <v>570</v>
      </c>
      <c r="L2371" s="1015"/>
    </row>
    <row r="2372" spans="1:12" ht="21" hidden="1">
      <c r="A2372" s="978"/>
      <c r="E2372" s="1009"/>
      <c r="F2372" s="1017">
        <v>5.4</v>
      </c>
      <c r="G2372" s="1018" t="s">
        <v>1034</v>
      </c>
      <c r="H2372" s="1009" t="s">
        <v>2096</v>
      </c>
      <c r="I2372" s="1017">
        <f>C12</f>
        <v>95</v>
      </c>
      <c r="J2372" s="1018" t="s">
        <v>1034</v>
      </c>
      <c r="K2372" s="1015">
        <f>I2372*F2372</f>
        <v>513</v>
      </c>
      <c r="L2372" s="1015"/>
    </row>
    <row r="2373" spans="1:12" ht="21" hidden="1">
      <c r="A2373" s="978"/>
      <c r="E2373" s="1009"/>
      <c r="F2373" s="1017">
        <v>1</v>
      </c>
      <c r="G2373" s="1018" t="s">
        <v>1034</v>
      </c>
      <c r="H2373" s="1009" t="s">
        <v>2097</v>
      </c>
      <c r="I2373" s="1017">
        <f>D17</f>
        <v>120</v>
      </c>
      <c r="J2373" s="1018" t="s">
        <v>1034</v>
      </c>
      <c r="K2373" s="1015">
        <f>I2373*F2373</f>
        <v>120</v>
      </c>
      <c r="L2373" s="1037"/>
    </row>
    <row r="2374" spans="1:12" ht="18" hidden="1">
      <c r="A2374" s="978"/>
      <c r="E2374" s="1009"/>
      <c r="F2374" s="1772" t="s">
        <v>145</v>
      </c>
      <c r="G2374" s="1772"/>
      <c r="H2374" s="1009" t="s">
        <v>2098</v>
      </c>
      <c r="I2374" s="1772" t="s">
        <v>145</v>
      </c>
      <c r="J2374" s="1772"/>
      <c r="K2374" s="1015">
        <v>10</v>
      </c>
      <c r="L2374" s="1027"/>
    </row>
    <row r="2375" spans="1:12" ht="18" hidden="1">
      <c r="A2375" s="978"/>
      <c r="E2375" s="1009"/>
      <c r="F2375" s="1017">
        <v>19</v>
      </c>
      <c r="G2375" s="1018" t="s">
        <v>1724</v>
      </c>
      <c r="H2375" s="1009" t="s">
        <v>2099</v>
      </c>
      <c r="I2375" s="1017">
        <v>2</v>
      </c>
      <c r="J2375" s="1018" t="s">
        <v>145</v>
      </c>
      <c r="K2375" s="1037">
        <f>I2375*F2375</f>
        <v>38</v>
      </c>
      <c r="L2375" s="1015"/>
    </row>
    <row r="2376" spans="1:12" ht="18" hidden="1">
      <c r="A2376" s="978"/>
      <c r="E2376" s="1009"/>
      <c r="F2376" s="1015"/>
      <c r="G2376" s="1009"/>
      <c r="H2376" s="1009"/>
      <c r="I2376" s="1015"/>
      <c r="J2376" s="1009"/>
      <c r="K2376" s="1027">
        <f>SUM(K2367:K2375)</f>
        <v>2050.88</v>
      </c>
      <c r="L2376" s="1027"/>
    </row>
    <row r="2377" spans="1:12" ht="21" hidden="1">
      <c r="A2377" s="978"/>
      <c r="E2377" s="1009"/>
      <c r="F2377" s="1015"/>
      <c r="G2377" s="1009"/>
      <c r="H2377" s="1022" t="s">
        <v>2100</v>
      </c>
      <c r="I2377" s="1027">
        <f>K2376/10</f>
        <v>205.09</v>
      </c>
      <c r="J2377" s="1009"/>
      <c r="K2377" s="1015"/>
      <c r="L2377" s="1015"/>
    </row>
    <row r="2378" spans="1:12" ht="18" hidden="1">
      <c r="A2378" s="978"/>
      <c r="E2378" s="1009"/>
      <c r="F2378" s="1015"/>
      <c r="G2378" s="1009"/>
      <c r="H2378" s="1011" t="s">
        <v>2101</v>
      </c>
      <c r="I2378" s="1027">
        <f>I2377</f>
        <v>205.09</v>
      </c>
      <c r="J2378" s="1038">
        <f>I2393</f>
        <v>12.32</v>
      </c>
      <c r="K2378" s="1027">
        <f>I2378+J2378</f>
        <v>217.41</v>
      </c>
      <c r="L2378" s="1015"/>
    </row>
    <row r="2379" spans="1:12" ht="36" hidden="1">
      <c r="A2379" s="978"/>
      <c r="E2379" s="1020">
        <v>18.100000000000001</v>
      </c>
      <c r="F2379" s="1013" t="s">
        <v>2102</v>
      </c>
      <c r="G2379" s="1009"/>
      <c r="H2379" s="1029" t="s">
        <v>2103</v>
      </c>
      <c r="I2379" s="1015"/>
      <c r="J2379" s="1009"/>
      <c r="K2379" s="1015"/>
      <c r="L2379" s="1015"/>
    </row>
    <row r="2380" spans="1:12" ht="18" hidden="1">
      <c r="A2380" s="978"/>
      <c r="E2380" s="1009"/>
      <c r="F2380" s="1015"/>
      <c r="G2380" s="1009"/>
      <c r="H2380" s="1009" t="s">
        <v>2104</v>
      </c>
      <c r="I2380" s="1017">
        <f>K2376</f>
        <v>2050.88</v>
      </c>
      <c r="J2380" s="1009"/>
      <c r="K2380" s="1015"/>
      <c r="L2380" s="1015"/>
    </row>
    <row r="2381" spans="1:12" ht="18" hidden="1">
      <c r="A2381" s="978"/>
      <c r="E2381" s="1009"/>
      <c r="F2381" s="1015"/>
      <c r="G2381" s="1009"/>
      <c r="H2381" s="1009" t="s">
        <v>2093</v>
      </c>
      <c r="I2381" s="1017">
        <f>K2391</f>
        <v>369.6</v>
      </c>
      <c r="J2381" s="1020" t="s">
        <v>2105</v>
      </c>
      <c r="K2381" s="1015"/>
      <c r="L2381" s="1015"/>
    </row>
    <row r="2382" spans="1:12" ht="18" hidden="1">
      <c r="A2382" s="978"/>
      <c r="E2382" s="1009"/>
      <c r="F2382" s="1015"/>
      <c r="G2382" s="1009"/>
      <c r="H2382" s="1009"/>
      <c r="I2382" s="1013">
        <f>I2380-I2381</f>
        <v>1681.28</v>
      </c>
      <c r="J2382" s="1009"/>
      <c r="K2382" s="1015"/>
      <c r="L2382" s="1015"/>
    </row>
    <row r="2383" spans="1:12" ht="21" hidden="1">
      <c r="A2383" s="978"/>
      <c r="E2383" s="1009"/>
      <c r="F2383" s="1015"/>
      <c r="G2383" s="1009"/>
      <c r="H2383" s="1022" t="s">
        <v>2100</v>
      </c>
      <c r="I2383" s="1013">
        <f>I2382/10</f>
        <v>168.13</v>
      </c>
      <c r="J2383" s="1009"/>
      <c r="K2383" s="1015"/>
      <c r="L2383" s="1015"/>
    </row>
    <row r="2384" spans="1:12" ht="18" hidden="1">
      <c r="A2384" s="978"/>
      <c r="E2384" s="1009"/>
      <c r="F2384" s="1015"/>
      <c r="G2384" s="1009"/>
      <c r="H2384" s="1009"/>
      <c r="I2384" s="1015"/>
      <c r="J2384" s="1009"/>
      <c r="K2384" s="1015"/>
      <c r="L2384" s="1015"/>
    </row>
    <row r="2385" spans="1:12" ht="18" hidden="1">
      <c r="A2385" s="978"/>
      <c r="E2385" s="1009"/>
      <c r="F2385" s="1015"/>
      <c r="G2385" s="1009"/>
      <c r="H2385" s="1020" t="s">
        <v>2106</v>
      </c>
      <c r="I2385" s="1015"/>
      <c r="J2385" s="1009"/>
      <c r="K2385" s="1015"/>
      <c r="L2385" s="1017"/>
    </row>
    <row r="2386" spans="1:12" ht="36" hidden="1">
      <c r="A2386" s="978"/>
      <c r="E2386" s="1009"/>
      <c r="F2386" s="1015"/>
      <c r="G2386" s="1009"/>
      <c r="H2386" s="1029" t="s">
        <v>2107</v>
      </c>
      <c r="I2386" s="1015"/>
      <c r="J2386" s="1009"/>
      <c r="K2386" s="1015"/>
      <c r="L2386" s="1017"/>
    </row>
    <row r="2387" spans="1:12" ht="36" hidden="1">
      <c r="A2387" s="978"/>
      <c r="E2387" s="1009"/>
      <c r="F2387" s="1017">
        <v>98.5</v>
      </c>
      <c r="G2387" s="1018" t="s">
        <v>2092</v>
      </c>
      <c r="H2387" s="1030" t="s">
        <v>2108</v>
      </c>
      <c r="I2387" s="1017">
        <f>I2369</f>
        <v>3</v>
      </c>
      <c r="J2387" s="1018" t="s">
        <v>2092</v>
      </c>
      <c r="K2387" s="1017">
        <f>I2387*F2387</f>
        <v>295.5</v>
      </c>
      <c r="L2387" s="1017"/>
    </row>
    <row r="2388" spans="1:12" ht="21" hidden="1">
      <c r="A2388" s="978"/>
      <c r="E2388" s="1009"/>
      <c r="F2388" s="1017">
        <v>0.3</v>
      </c>
      <c r="G2388" s="1018" t="s">
        <v>1724</v>
      </c>
      <c r="H2388" s="1030" t="s">
        <v>2109</v>
      </c>
      <c r="I2388" s="1017">
        <f>I2371</f>
        <v>150</v>
      </c>
      <c r="J2388" s="1018" t="s">
        <v>1724</v>
      </c>
      <c r="K2388" s="1017">
        <f>I2388*F2388</f>
        <v>45</v>
      </c>
      <c r="L2388" s="1017"/>
    </row>
    <row r="2389" spans="1:12" ht="21" hidden="1">
      <c r="A2389" s="978"/>
      <c r="E2389" s="1009"/>
      <c r="F2389" s="1017">
        <v>0.3</v>
      </c>
      <c r="G2389" s="1018" t="s">
        <v>1724</v>
      </c>
      <c r="H2389" s="1030" t="s">
        <v>2110</v>
      </c>
      <c r="I2389" s="1017">
        <f>I2372</f>
        <v>95</v>
      </c>
      <c r="J2389" s="1018" t="s">
        <v>1724</v>
      </c>
      <c r="K2389" s="1017">
        <f>I2389*F2389</f>
        <v>28.5</v>
      </c>
      <c r="L2389" s="1013"/>
    </row>
    <row r="2390" spans="1:12" ht="18" hidden="1">
      <c r="A2390" s="978"/>
      <c r="E2390" s="1009"/>
      <c r="F2390" s="1015"/>
      <c r="G2390" s="1009"/>
      <c r="H2390" s="1031" t="s">
        <v>2111</v>
      </c>
      <c r="I2390" s="1773" t="s">
        <v>145</v>
      </c>
      <c r="J2390" s="1773"/>
      <c r="K2390" s="1017">
        <v>0.6</v>
      </c>
      <c r="L2390" s="1015"/>
    </row>
    <row r="2391" spans="1:12" ht="21" hidden="1">
      <c r="A2391" s="978"/>
      <c r="E2391" s="1009"/>
      <c r="F2391" s="1015"/>
      <c r="G2391" s="1009"/>
      <c r="H2391" s="1031" t="s">
        <v>2112</v>
      </c>
      <c r="I2391" s="1015"/>
      <c r="J2391" s="1009"/>
      <c r="K2391" s="1013">
        <f>SUM(K2387:K2390)</f>
        <v>369.6</v>
      </c>
      <c r="L2391" s="1015"/>
    </row>
    <row r="2392" spans="1:12" ht="21" hidden="1">
      <c r="A2392" s="978"/>
      <c r="E2392" s="1009"/>
      <c r="F2392" s="1015"/>
      <c r="G2392" s="1009"/>
      <c r="H2392" s="1031" t="s">
        <v>2113</v>
      </c>
      <c r="I2392" s="1027">
        <f>K2391/10</f>
        <v>36.96</v>
      </c>
      <c r="J2392" s="1009"/>
      <c r="K2392" s="1015"/>
      <c r="L2392" s="1015"/>
    </row>
    <row r="2393" spans="1:12" ht="18" hidden="1">
      <c r="A2393" s="978"/>
      <c r="E2393" s="1009"/>
      <c r="F2393" s="1015"/>
      <c r="G2393" s="1009"/>
      <c r="H2393" s="1031" t="s">
        <v>2114</v>
      </c>
      <c r="I2393" s="1027">
        <f>I2392/3</f>
        <v>12.32</v>
      </c>
      <c r="J2393" s="1009"/>
      <c r="K2393" s="1015"/>
      <c r="L2393" s="1015"/>
    </row>
    <row r="2394" spans="1:12" ht="18" hidden="1">
      <c r="A2394" s="978"/>
      <c r="E2394" s="1009"/>
      <c r="F2394" s="1015"/>
      <c r="G2394" s="1009"/>
      <c r="H2394" s="1030"/>
      <c r="I2394" s="1015"/>
      <c r="J2394" s="1009"/>
      <c r="K2394" s="1015"/>
      <c r="L2394" s="1015"/>
    </row>
    <row r="2395" spans="1:12" ht="54" hidden="1">
      <c r="A2395" s="978"/>
      <c r="E2395" s="1020">
        <v>18.100000000000001</v>
      </c>
      <c r="F2395" s="1013" t="s">
        <v>1803</v>
      </c>
      <c r="G2395" s="1009"/>
      <c r="H2395" s="1032" t="s">
        <v>2115</v>
      </c>
      <c r="I2395" s="1013">
        <f>I2377*1.2</f>
        <v>246.11</v>
      </c>
      <c r="J2395" s="1009"/>
      <c r="K2395" s="1015"/>
    </row>
    <row r="2396" spans="1:12" ht="36" hidden="1">
      <c r="A2396" s="978"/>
      <c r="E2396" s="1012">
        <v>18.100000000000001</v>
      </c>
      <c r="F2396" s="1013" t="s">
        <v>2116</v>
      </c>
      <c r="G2396" s="1009"/>
      <c r="H2396" s="1033" t="s">
        <v>2117</v>
      </c>
      <c r="I2396" s="1013">
        <f>I2377*1.1</f>
        <v>225.6</v>
      </c>
      <c r="J2396" s="1009"/>
      <c r="K2396" s="1015"/>
    </row>
    <row r="2397" spans="1:12" hidden="1">
      <c r="A2397" s="978"/>
      <c r="E2397" s="1008"/>
      <c r="F2397" s="1008"/>
      <c r="G2397" s="1034"/>
      <c r="H2397" s="1008"/>
      <c r="I2397" s="1008"/>
      <c r="J2397" s="1039"/>
      <c r="K2397" s="1008"/>
    </row>
    <row r="2398" spans="1:12" hidden="1">
      <c r="A2398" s="978"/>
      <c r="E2398" s="1008"/>
      <c r="F2398" s="1008"/>
      <c r="G2398" s="1034"/>
      <c r="H2398" s="1008"/>
      <c r="I2398" s="1008"/>
      <c r="J2398" s="1039"/>
      <c r="K2398" s="1008"/>
    </row>
    <row r="2399" spans="1:12" ht="23.25" hidden="1">
      <c r="A2399" s="978"/>
      <c r="E2399" s="1008"/>
      <c r="F2399"/>
      <c r="G2399" s="721"/>
      <c r="H2399" s="1035" t="s">
        <v>2118</v>
      </c>
      <c r="I2399"/>
      <c r="J2399" s="805"/>
      <c r="K2399" s="744"/>
    </row>
    <row r="2400" spans="1:12" hidden="1">
      <c r="A2400" s="978"/>
      <c r="E2400" s="1008"/>
      <c r="F2400" s="1036">
        <v>18.100000000000001</v>
      </c>
      <c r="G2400" s="742" t="s">
        <v>111</v>
      </c>
      <c r="H2400" s="743" t="s">
        <v>976</v>
      </c>
      <c r="I2400"/>
      <c r="J2400" s="805"/>
      <c r="K2400"/>
    </row>
    <row r="2401" spans="1:11" hidden="1">
      <c r="A2401" s="978"/>
      <c r="E2401" s="1008"/>
      <c r="F2401"/>
      <c r="G2401" s="721"/>
      <c r="H2401" s="743" t="s">
        <v>979</v>
      </c>
      <c r="I2401"/>
      <c r="J2401" s="805"/>
      <c r="K2401"/>
    </row>
    <row r="2402" spans="1:11" hidden="1">
      <c r="A2402" s="978"/>
      <c r="E2402" s="1008"/>
      <c r="F2402"/>
      <c r="G2402" s="721"/>
      <c r="H2402" s="743" t="s">
        <v>981</v>
      </c>
      <c r="I2402"/>
      <c r="J2402" s="805"/>
      <c r="K2402"/>
    </row>
    <row r="2403" spans="1:11" hidden="1">
      <c r="A2403" s="978"/>
      <c r="E2403" s="1008"/>
      <c r="F2403"/>
      <c r="G2403" s="721"/>
      <c r="H2403" s="743" t="s">
        <v>983</v>
      </c>
      <c r="I2403"/>
      <c r="J2403" s="805"/>
      <c r="K2403"/>
    </row>
    <row r="2404" spans="1:11" hidden="1">
      <c r="A2404" s="978"/>
      <c r="E2404" s="1008"/>
      <c r="F2404"/>
      <c r="G2404" s="721"/>
      <c r="H2404" s="743" t="s">
        <v>985</v>
      </c>
      <c r="I2404"/>
      <c r="J2404" s="805"/>
      <c r="K2404"/>
    </row>
    <row r="2405" spans="1:11" hidden="1">
      <c r="A2405" s="978"/>
      <c r="E2405" s="1008"/>
      <c r="F2405"/>
      <c r="G2405" s="721"/>
      <c r="H2405" s="743" t="s">
        <v>989</v>
      </c>
      <c r="I2405"/>
      <c r="J2405" s="805"/>
      <c r="K2405"/>
    </row>
    <row r="2406" spans="1:11" hidden="1">
      <c r="A2406" s="978"/>
      <c r="E2406" s="1008"/>
      <c r="F2406"/>
      <c r="G2406" s="721"/>
      <c r="H2406" s="743" t="s">
        <v>991</v>
      </c>
      <c r="I2406"/>
      <c r="J2406" s="805"/>
      <c r="K2406"/>
    </row>
    <row r="2407" spans="1:11" hidden="1">
      <c r="A2407" s="978"/>
      <c r="E2407" s="1008"/>
      <c r="F2407"/>
      <c r="G2407" s="721"/>
      <c r="H2407" s="776" t="s">
        <v>52</v>
      </c>
      <c r="I2407" s="776" t="s">
        <v>52</v>
      </c>
      <c r="J2407" s="779" t="s">
        <v>52</v>
      </c>
      <c r="K2407"/>
    </row>
    <row r="2408" spans="1:11" hidden="1">
      <c r="A2408" s="978"/>
      <c r="E2408" s="1008"/>
      <c r="F2408" s="744">
        <v>13.46</v>
      </c>
      <c r="G2408" s="742" t="s">
        <v>994</v>
      </c>
      <c r="H2408" s="743" t="s">
        <v>995</v>
      </c>
      <c r="I2408" s="744">
        <f>I2361</f>
        <v>30</v>
      </c>
      <c r="J2408" s="779" t="s">
        <v>994</v>
      </c>
      <c r="K2408" s="744">
        <f>(F2408*I2408)</f>
        <v>403.8</v>
      </c>
    </row>
    <row r="2409" spans="1:11" hidden="1">
      <c r="A2409" s="978"/>
      <c r="E2409" s="1008"/>
      <c r="F2409"/>
      <c r="G2409" s="721"/>
      <c r="H2409" s="743" t="s">
        <v>997</v>
      </c>
      <c r="I2409"/>
      <c r="J2409" s="805"/>
      <c r="K2409"/>
    </row>
    <row r="2410" spans="1:11" hidden="1">
      <c r="A2410" s="978"/>
      <c r="E2410" s="1008"/>
      <c r="F2410" s="744">
        <v>4</v>
      </c>
      <c r="G2410" s="742" t="s">
        <v>994</v>
      </c>
      <c r="H2410" s="743" t="s">
        <v>999</v>
      </c>
      <c r="I2410" s="744">
        <f>I2362</f>
        <v>30</v>
      </c>
      <c r="J2410" s="779" t="s">
        <v>994</v>
      </c>
      <c r="K2410" s="744">
        <f>(F2410*I2410)</f>
        <v>120</v>
      </c>
    </row>
    <row r="2411" spans="1:11" hidden="1">
      <c r="A2411" s="978"/>
      <c r="E2411" s="1008"/>
      <c r="F2411"/>
      <c r="G2411" s="721"/>
      <c r="H2411" s="743" t="s">
        <v>1001</v>
      </c>
      <c r="I2411"/>
      <c r="J2411" s="805"/>
      <c r="K2411"/>
    </row>
    <row r="2412" spans="1:11" hidden="1">
      <c r="A2412" s="978"/>
      <c r="E2412" s="1008"/>
      <c r="F2412" s="744"/>
      <c r="G2412" s="742" t="s">
        <v>145</v>
      </c>
      <c r="H2412" s="743" t="s">
        <v>1002</v>
      </c>
      <c r="I2412"/>
      <c r="J2412" s="779" t="s">
        <v>145</v>
      </c>
      <c r="K2412" s="744">
        <v>40</v>
      </c>
    </row>
    <row r="2413" spans="1:11" hidden="1">
      <c r="A2413" s="978"/>
      <c r="E2413" s="1008"/>
      <c r="F2413"/>
      <c r="G2413" s="721"/>
      <c r="H2413" s="743" t="s">
        <v>1004</v>
      </c>
      <c r="I2413"/>
      <c r="J2413" s="805"/>
      <c r="K2413" s="776" t="s">
        <v>52</v>
      </c>
    </row>
    <row r="2414" spans="1:11" hidden="1">
      <c r="A2414" s="978"/>
      <c r="E2414" s="1008"/>
      <c r="F2414"/>
      <c r="G2414" s="721"/>
      <c r="H2414" s="779" t="s">
        <v>1006</v>
      </c>
      <c r="I2414"/>
      <c r="J2414" s="805"/>
      <c r="K2414" s="744">
        <f>SUM(K2408:K2412)</f>
        <v>563.79999999999995</v>
      </c>
    </row>
    <row r="2415" spans="1:11" ht="17.25" hidden="1">
      <c r="A2415" s="978"/>
      <c r="E2415" s="996"/>
      <c r="F2415"/>
      <c r="G2415" s="721"/>
      <c r="H2415"/>
      <c r="I2415"/>
      <c r="J2415" s="805"/>
      <c r="K2415" s="776" t="s">
        <v>52</v>
      </c>
    </row>
    <row r="2416" spans="1:11" ht="17.25" hidden="1">
      <c r="A2416" s="978"/>
      <c r="E2416" s="996"/>
      <c r="F2416"/>
      <c r="G2416" s="721"/>
      <c r="H2416" s="779" t="s">
        <v>1010</v>
      </c>
      <c r="I2416"/>
      <c r="J2416" s="805"/>
      <c r="K2416" s="744">
        <f>K2414/40</f>
        <v>14.1</v>
      </c>
    </row>
    <row r="2417" spans="1:11" ht="17.25" hidden="1">
      <c r="A2417" s="978"/>
      <c r="E2417" s="996"/>
      <c r="F2417"/>
      <c r="G2417" s="721"/>
      <c r="H2417"/>
      <c r="I2417"/>
      <c r="J2417" s="805"/>
      <c r="K2417" s="776" t="s">
        <v>52</v>
      </c>
    </row>
    <row r="2418" spans="1:11" ht="17.25" hidden="1">
      <c r="A2418" s="978"/>
      <c r="E2418" s="996"/>
      <c r="F2418"/>
      <c r="G2418" s="721"/>
      <c r="H2418" s="743" t="s">
        <v>1013</v>
      </c>
      <c r="I2418"/>
      <c r="J2418" s="805"/>
      <c r="K2418"/>
    </row>
    <row r="2419" spans="1:11" ht="17.25" hidden="1">
      <c r="A2419" s="978"/>
      <c r="E2419" s="996"/>
      <c r="F2419"/>
      <c r="G2419" s="721"/>
      <c r="H2419" s="743" t="s">
        <v>1015</v>
      </c>
      <c r="I2419"/>
      <c r="J2419" s="805"/>
      <c r="K2419"/>
    </row>
    <row r="2420" spans="1:11" ht="17.25" hidden="1">
      <c r="A2420" s="978"/>
      <c r="E2420" s="996"/>
      <c r="F2420"/>
      <c r="G2420" s="721"/>
      <c r="H2420" s="743" t="s">
        <v>1017</v>
      </c>
      <c r="I2420"/>
      <c r="J2420" s="805"/>
      <c r="K2420"/>
    </row>
    <row r="2421" spans="1:11" ht="17.25" hidden="1">
      <c r="A2421" s="978"/>
      <c r="E2421" s="996"/>
      <c r="F2421"/>
      <c r="G2421" s="721"/>
      <c r="H2421"/>
      <c r="I2421"/>
      <c r="J2421" s="805"/>
      <c r="K2421"/>
    </row>
    <row r="2422" spans="1:11" ht="17.25" hidden="1">
      <c r="A2422" s="978"/>
      <c r="E2422" s="996"/>
      <c r="F2422" s="744">
        <v>19</v>
      </c>
      <c r="G2422" s="742" t="s">
        <v>41</v>
      </c>
      <c r="H2422" s="743" t="s">
        <v>1022</v>
      </c>
      <c r="I2422" s="744">
        <f>K2416</f>
        <v>14.1</v>
      </c>
      <c r="J2422" s="779" t="s">
        <v>1023</v>
      </c>
      <c r="K2422" s="744">
        <f>(F2422*I2422)</f>
        <v>267.89999999999998</v>
      </c>
    </row>
    <row r="2423" spans="1:11" ht="17.25" hidden="1">
      <c r="A2423" s="978"/>
      <c r="E2423" s="996"/>
      <c r="F2423"/>
      <c r="G2423" s="721"/>
      <c r="H2423" s="743" t="s">
        <v>1025</v>
      </c>
      <c r="I2423"/>
      <c r="J2423" s="805"/>
      <c r="K2423" s="744"/>
    </row>
    <row r="2424" spans="1:11" ht="17.25" hidden="1">
      <c r="A2424" s="978"/>
      <c r="E2424" s="996"/>
      <c r="F2424" s="744">
        <v>0.12</v>
      </c>
      <c r="G2424" s="742" t="s">
        <v>5</v>
      </c>
      <c r="H2424" s="743" t="s">
        <v>1027</v>
      </c>
      <c r="I2424" s="744">
        <f>9395/5</f>
        <v>1879</v>
      </c>
      <c r="J2424" s="779" t="s">
        <v>1023</v>
      </c>
      <c r="K2424" s="744">
        <f t="shared" ref="K2424:K2431" si="79">(F2424*I2424)</f>
        <v>225.48</v>
      </c>
    </row>
    <row r="2425" spans="1:11" ht="17.25" hidden="1">
      <c r="A2425" s="978"/>
      <c r="E2425" s="996"/>
      <c r="F2425" s="744">
        <v>98.5</v>
      </c>
      <c r="G2425" s="742" t="s">
        <v>13</v>
      </c>
      <c r="H2425" s="743" t="s">
        <v>1029</v>
      </c>
      <c r="I2425" s="744">
        <f>I2369</f>
        <v>3</v>
      </c>
      <c r="J2425" s="779" t="s">
        <v>1023</v>
      </c>
      <c r="K2425" s="744">
        <f t="shared" si="79"/>
        <v>295.5</v>
      </c>
    </row>
    <row r="2426" spans="1:11" ht="17.25" hidden="1">
      <c r="A2426" s="978"/>
      <c r="E2426" s="996"/>
      <c r="F2426" s="744">
        <v>1</v>
      </c>
      <c r="G2426" s="742" t="s">
        <v>145</v>
      </c>
      <c r="H2426" s="743" t="s">
        <v>1031</v>
      </c>
      <c r="I2426" s="744">
        <v>11</v>
      </c>
      <c r="J2426" s="779" t="s">
        <v>145</v>
      </c>
      <c r="K2426" s="744">
        <f t="shared" si="79"/>
        <v>11</v>
      </c>
    </row>
    <row r="2427" spans="1:11" ht="17.25" hidden="1">
      <c r="A2427" s="978"/>
      <c r="E2427" s="996"/>
      <c r="F2427" s="744">
        <v>3.8</v>
      </c>
      <c r="G2427" s="742" t="s">
        <v>1034</v>
      </c>
      <c r="H2427" s="743" t="s">
        <v>1035</v>
      </c>
      <c r="I2427" s="744">
        <f>C16</f>
        <v>150</v>
      </c>
      <c r="J2427" s="779" t="s">
        <v>729</v>
      </c>
      <c r="K2427" s="744">
        <f t="shared" si="79"/>
        <v>570</v>
      </c>
    </row>
    <row r="2428" spans="1:11" ht="17.25" hidden="1">
      <c r="A2428" s="978"/>
      <c r="E2428" s="996"/>
      <c r="F2428" s="744">
        <v>5.4</v>
      </c>
      <c r="G2428" s="742" t="s">
        <v>1034</v>
      </c>
      <c r="H2428" s="743" t="s">
        <v>731</v>
      </c>
      <c r="I2428" s="744">
        <f>C12</f>
        <v>95</v>
      </c>
      <c r="J2428" s="779" t="s">
        <v>729</v>
      </c>
      <c r="K2428" s="744">
        <f t="shared" si="79"/>
        <v>513</v>
      </c>
    </row>
    <row r="2429" spans="1:11" ht="17.25" hidden="1">
      <c r="A2429" s="978"/>
      <c r="E2429" s="996"/>
      <c r="F2429" s="744">
        <v>1</v>
      </c>
      <c r="G2429" s="742" t="s">
        <v>1034</v>
      </c>
      <c r="H2429" s="743" t="s">
        <v>1040</v>
      </c>
      <c r="I2429" s="744">
        <f>D17</f>
        <v>120</v>
      </c>
      <c r="J2429" s="779" t="s">
        <v>729</v>
      </c>
      <c r="K2429" s="744">
        <f t="shared" si="79"/>
        <v>120</v>
      </c>
    </row>
    <row r="2430" spans="1:11" ht="17.25" hidden="1">
      <c r="A2430" s="978"/>
      <c r="E2430" s="996"/>
      <c r="F2430" s="744">
        <v>1</v>
      </c>
      <c r="G2430" s="742" t="s">
        <v>145</v>
      </c>
      <c r="H2430" s="743" t="s">
        <v>1042</v>
      </c>
      <c r="I2430" s="744">
        <v>10</v>
      </c>
      <c r="J2430" s="779" t="s">
        <v>145</v>
      </c>
      <c r="K2430" s="744">
        <f t="shared" si="79"/>
        <v>10</v>
      </c>
    </row>
    <row r="2431" spans="1:11" ht="17.25" hidden="1">
      <c r="A2431" s="978"/>
      <c r="E2431" s="996"/>
      <c r="F2431" s="744">
        <v>19</v>
      </c>
      <c r="G2431" s="742" t="s">
        <v>41</v>
      </c>
      <c r="H2431" s="743" t="s">
        <v>1044</v>
      </c>
      <c r="I2431" s="744">
        <v>2</v>
      </c>
      <c r="J2431" s="779" t="s">
        <v>41</v>
      </c>
      <c r="K2431" s="744">
        <f t="shared" si="79"/>
        <v>38</v>
      </c>
    </row>
    <row r="2432" spans="1:11" ht="17.25" hidden="1">
      <c r="A2432" s="978"/>
      <c r="E2432" s="996"/>
      <c r="F2432"/>
      <c r="G2432" s="721"/>
      <c r="H2432" s="743" t="s">
        <v>1047</v>
      </c>
      <c r="I2432"/>
      <c r="J2432" s="805"/>
      <c r="K2432" s="776" t="s">
        <v>52</v>
      </c>
    </row>
    <row r="2433" spans="1:11" ht="17.25" hidden="1">
      <c r="A2433" s="978"/>
      <c r="E2433" s="996"/>
      <c r="F2433"/>
      <c r="G2433" s="721"/>
      <c r="H2433" s="779" t="s">
        <v>495</v>
      </c>
      <c r="I2433"/>
      <c r="J2433" s="805"/>
      <c r="K2433" s="744">
        <f>SUM(K2422:K2431)</f>
        <v>2050.88</v>
      </c>
    </row>
    <row r="2434" spans="1:11" ht="17.25" hidden="1">
      <c r="A2434" s="978"/>
      <c r="E2434" s="996"/>
      <c r="F2434"/>
      <c r="G2434" s="721"/>
      <c r="H2434"/>
      <c r="I2434"/>
      <c r="J2434" s="805"/>
      <c r="K2434" s="776" t="s">
        <v>52</v>
      </c>
    </row>
    <row r="2435" spans="1:11" ht="17.25" hidden="1">
      <c r="A2435" s="978"/>
      <c r="E2435" s="996"/>
      <c r="F2435"/>
      <c r="G2435" s="721"/>
      <c r="H2435" s="779" t="s">
        <v>460</v>
      </c>
      <c r="I2435"/>
      <c r="J2435" s="805"/>
      <c r="K2435" s="744">
        <f>(K2433/10)</f>
        <v>205.09</v>
      </c>
    </row>
    <row r="2436" spans="1:11" ht="17.25" hidden="1">
      <c r="A2436" s="978"/>
      <c r="E2436" s="996"/>
      <c r="F2436" s="743" t="s">
        <v>85</v>
      </c>
      <c r="G2436" s="721"/>
      <c r="H2436"/>
      <c r="I2436"/>
      <c r="J2436" s="805"/>
      <c r="K2436"/>
    </row>
    <row r="2437" spans="1:11" ht="17.25" hidden="1">
      <c r="A2437" s="978"/>
      <c r="E2437" s="996"/>
      <c r="F2437"/>
      <c r="G2437" s="721"/>
      <c r="H2437"/>
      <c r="I2437"/>
      <c r="J2437" s="805"/>
      <c r="K2437" s="776" t="s">
        <v>89</v>
      </c>
    </row>
    <row r="2438" spans="1:11" ht="30" hidden="1">
      <c r="A2438" s="978"/>
      <c r="E2438" s="996"/>
      <c r="F2438" s="1040" t="s">
        <v>2102</v>
      </c>
      <c r="G2438" s="971"/>
      <c r="H2438" s="1041" t="s">
        <v>2119</v>
      </c>
      <c r="I2438"/>
      <c r="J2438" s="805"/>
      <c r="K2438"/>
    </row>
    <row r="2439" spans="1:11" ht="17.25" hidden="1">
      <c r="A2439" s="978"/>
      <c r="E2439" s="996"/>
      <c r="F2439" s="971"/>
      <c r="G2439" s="721"/>
      <c r="H2439"/>
      <c r="I2439"/>
      <c r="J2439" s="805"/>
      <c r="K2439"/>
    </row>
    <row r="2440" spans="1:11" ht="17.25" hidden="1">
      <c r="A2440" s="978"/>
      <c r="E2440" s="996"/>
      <c r="F2440">
        <v>98.5</v>
      </c>
      <c r="G2440" s="721" t="s">
        <v>13</v>
      </c>
      <c r="H2440" s="743" t="s">
        <v>1029</v>
      </c>
      <c r="I2440" s="744">
        <f>I2425</f>
        <v>3</v>
      </c>
      <c r="J2440" s="779" t="s">
        <v>1023</v>
      </c>
      <c r="K2440">
        <f>(F2440*I2440)</f>
        <v>295.5</v>
      </c>
    </row>
    <row r="2441" spans="1:11" ht="17.25" hidden="1">
      <c r="A2441" s="978"/>
      <c r="E2441" s="996"/>
      <c r="F2441">
        <v>0.3</v>
      </c>
      <c r="G2441" s="721" t="s">
        <v>1034</v>
      </c>
      <c r="H2441" s="743" t="s">
        <v>1035</v>
      </c>
      <c r="I2441" s="744">
        <f>I2427</f>
        <v>150</v>
      </c>
      <c r="J2441" s="779" t="s">
        <v>729</v>
      </c>
      <c r="K2441">
        <f>(F2441*I2441)</f>
        <v>45</v>
      </c>
    </row>
    <row r="2442" spans="1:11" ht="17.25" hidden="1">
      <c r="A2442" s="978"/>
      <c r="E2442" s="996"/>
      <c r="F2442">
        <v>0.3</v>
      </c>
      <c r="G2442" s="721" t="s">
        <v>1034</v>
      </c>
      <c r="H2442" s="743" t="s">
        <v>731</v>
      </c>
      <c r="I2442" s="744">
        <f>I2428</f>
        <v>95</v>
      </c>
      <c r="J2442" s="779" t="s">
        <v>729</v>
      </c>
      <c r="K2442">
        <f>(F2442*I2442)</f>
        <v>28.5</v>
      </c>
    </row>
    <row r="2443" spans="1:11" ht="17.25" hidden="1">
      <c r="A2443" s="978"/>
      <c r="E2443" s="996"/>
      <c r="F2443"/>
      <c r="G2443" s="721"/>
      <c r="H2443" s="743" t="s">
        <v>1557</v>
      </c>
      <c r="I2443"/>
      <c r="J2443" s="805" t="s">
        <v>2120</v>
      </c>
      <c r="K2443">
        <v>0.6</v>
      </c>
    </row>
    <row r="2444" spans="1:11" ht="17.25" hidden="1">
      <c r="A2444" s="978"/>
      <c r="E2444" s="996"/>
      <c r="F2444"/>
      <c r="G2444" s="721"/>
      <c r="H2444" s="779" t="s">
        <v>495</v>
      </c>
      <c r="I2444"/>
      <c r="J2444" s="805"/>
      <c r="K2444">
        <f>SUM(K2440:K2443)</f>
        <v>369.6</v>
      </c>
    </row>
    <row r="2445" spans="1:11" ht="17.25" hidden="1">
      <c r="A2445" s="978"/>
      <c r="E2445" s="996"/>
      <c r="F2445"/>
      <c r="G2445" s="721"/>
      <c r="H2445" s="743"/>
      <c r="I2445"/>
      <c r="J2445" s="805"/>
      <c r="K2445" s="1157" t="s">
        <v>2121</v>
      </c>
    </row>
    <row r="2446" spans="1:11" ht="17.25" hidden="1">
      <c r="A2446" s="978"/>
      <c r="E2446" s="996"/>
      <c r="F2446"/>
      <c r="G2446" s="721"/>
      <c r="H2446" s="779" t="s">
        <v>460</v>
      </c>
      <c r="I2446"/>
      <c r="J2446" s="805"/>
      <c r="K2446">
        <f>K2444/10</f>
        <v>36.96</v>
      </c>
    </row>
    <row r="2447" spans="1:11" ht="17.25" hidden="1">
      <c r="A2447" s="978"/>
      <c r="E2447" s="996"/>
      <c r="F2447"/>
      <c r="G2447" s="721"/>
      <c r="H2447" s="779"/>
      <c r="I2447"/>
      <c r="J2447" s="805"/>
      <c r="K2447"/>
    </row>
    <row r="2448" spans="1:11" ht="32.25" hidden="1">
      <c r="A2448" s="978"/>
      <c r="E2448" s="996"/>
      <c r="F2448"/>
      <c r="G2448" s="721"/>
      <c r="H2448" s="1042" t="s">
        <v>2122</v>
      </c>
      <c r="I2448"/>
      <c r="J2448" s="805" t="s">
        <v>2123</v>
      </c>
      <c r="K2448">
        <f>K2435-K2446</f>
        <v>168.13</v>
      </c>
    </row>
    <row r="2449" spans="1:11" ht="17.25" hidden="1">
      <c r="A2449" s="978"/>
      <c r="E2449" s="996"/>
      <c r="F2449"/>
      <c r="G2449" s="721"/>
      <c r="H2449" s="743"/>
      <c r="I2449"/>
      <c r="J2449" s="805"/>
      <c r="K2449" s="1157" t="s">
        <v>1649</v>
      </c>
    </row>
    <row r="2450" spans="1:11" ht="17.25" hidden="1">
      <c r="A2450" s="978"/>
      <c r="E2450" s="996"/>
      <c r="F2450"/>
      <c r="G2450" s="721"/>
      <c r="H2450"/>
      <c r="I2450"/>
      <c r="J2450" s="805"/>
      <c r="K2450"/>
    </row>
    <row r="2451" spans="1:11" ht="45" hidden="1">
      <c r="A2451" s="978"/>
      <c r="E2451" s="996"/>
      <c r="F2451" s="1040" t="s">
        <v>2081</v>
      </c>
      <c r="G2451" s="721"/>
      <c r="H2451" s="1041" t="s">
        <v>2124</v>
      </c>
      <c r="I2451"/>
      <c r="J2451" s="805" t="s">
        <v>2123</v>
      </c>
      <c r="K2451">
        <f>K2435</f>
        <v>205.09</v>
      </c>
    </row>
    <row r="2452" spans="1:11" ht="17.25" hidden="1">
      <c r="A2452" s="978"/>
      <c r="E2452" s="996"/>
      <c r="F2452"/>
      <c r="H2452" s="933"/>
      <c r="I2452"/>
      <c r="J2452" s="805"/>
      <c r="K2452" s="1157" t="s">
        <v>1649</v>
      </c>
    </row>
    <row r="2453" spans="1:11" ht="30" hidden="1">
      <c r="A2453" s="978"/>
      <c r="E2453" s="996"/>
      <c r="F2453" s="1040" t="s">
        <v>1803</v>
      </c>
      <c r="H2453" s="1041" t="s">
        <v>2115</v>
      </c>
      <c r="I2453"/>
      <c r="J2453" s="805" t="s">
        <v>2123</v>
      </c>
      <c r="K2453">
        <f>K2451*1.2</f>
        <v>246.11</v>
      </c>
    </row>
    <row r="2454" spans="1:11" ht="17.25" hidden="1">
      <c r="A2454" s="978"/>
      <c r="E2454" s="996"/>
      <c r="F2454"/>
      <c r="I2454"/>
      <c r="J2454" s="805"/>
      <c r="K2454" s="1157" t="s">
        <v>2125</v>
      </c>
    </row>
    <row r="2455" spans="1:11" ht="19.5" hidden="1">
      <c r="A2455" s="978"/>
      <c r="E2455" s="996"/>
      <c r="F2455" s="1040" t="s">
        <v>2116</v>
      </c>
      <c r="H2455" s="1041" t="s">
        <v>2117</v>
      </c>
      <c r="I2455"/>
      <c r="J2455" s="805" t="s">
        <v>2123</v>
      </c>
      <c r="K2455">
        <f>K2451*1.1</f>
        <v>225.6</v>
      </c>
    </row>
    <row r="2456" spans="1:11" ht="17.25" hidden="1">
      <c r="A2456" s="978"/>
      <c r="E2456" s="996"/>
      <c r="F2456"/>
      <c r="G2456" s="721"/>
      <c r="H2456"/>
      <c r="I2456"/>
      <c r="J2456" s="805"/>
      <c r="K2456" s="1157" t="s">
        <v>2125</v>
      </c>
    </row>
    <row r="2457" spans="1:11" ht="17.25" hidden="1">
      <c r="A2457" s="978"/>
      <c r="E2457" s="996"/>
      <c r="F2457"/>
      <c r="G2457" s="721"/>
      <c r="H2457"/>
      <c r="I2457"/>
      <c r="J2457" s="805"/>
      <c r="K2457"/>
    </row>
    <row r="2458" spans="1:11" ht="17.25" hidden="1">
      <c r="A2458" s="978"/>
      <c r="E2458" s="996"/>
      <c r="F2458">
        <v>50.6</v>
      </c>
      <c r="G2458" s="742" t="s">
        <v>483</v>
      </c>
      <c r="H2458" s="743" t="s">
        <v>1748</v>
      </c>
      <c r="I2458"/>
      <c r="J2458" s="805"/>
      <c r="K2458"/>
    </row>
    <row r="2459" spans="1:11" ht="32.25" hidden="1">
      <c r="A2459" s="978"/>
      <c r="E2459" s="996"/>
      <c r="F2459"/>
      <c r="G2459" s="721"/>
      <c r="H2459" s="1042" t="s">
        <v>2126</v>
      </c>
      <c r="I2459"/>
      <c r="J2459" s="805"/>
      <c r="K2459"/>
    </row>
    <row r="2460" spans="1:11" ht="17.25" hidden="1">
      <c r="A2460" s="978"/>
      <c r="E2460" s="996"/>
      <c r="F2460"/>
      <c r="G2460" s="721"/>
      <c r="H2460" s="776" t="s">
        <v>52</v>
      </c>
      <c r="I2460" s="776" t="s">
        <v>52</v>
      </c>
      <c r="J2460" s="805"/>
      <c r="K2460"/>
    </row>
    <row r="2461" spans="1:11" ht="18.75" hidden="1">
      <c r="A2461" s="978"/>
      <c r="E2461" s="996"/>
      <c r="F2461"/>
      <c r="G2461" s="721"/>
      <c r="H2461" s="776" t="s">
        <v>2127</v>
      </c>
      <c r="I2461" s="776"/>
      <c r="J2461" s="805"/>
      <c r="K2461"/>
    </row>
    <row r="2462" spans="1:11" ht="18.75" hidden="1">
      <c r="A2462" s="978"/>
      <c r="E2462" s="996"/>
      <c r="F2462"/>
      <c r="G2462" s="721"/>
      <c r="H2462" s="776" t="s">
        <v>2128</v>
      </c>
      <c r="I2462" s="776"/>
      <c r="J2462" s="805"/>
      <c r="K2462"/>
    </row>
    <row r="2463" spans="1:11" ht="17.25" hidden="1">
      <c r="A2463" s="978"/>
      <c r="E2463" s="996"/>
      <c r="F2463"/>
      <c r="G2463" s="721"/>
      <c r="H2463" s="776"/>
      <c r="I2463" s="776"/>
      <c r="J2463" s="805"/>
      <c r="K2463"/>
    </row>
    <row r="2464" spans="1:11" ht="17.25" hidden="1">
      <c r="A2464" s="978"/>
      <c r="E2464" s="996"/>
      <c r="F2464"/>
      <c r="G2464" s="721"/>
      <c r="H2464"/>
      <c r="I2464"/>
      <c r="J2464" s="805"/>
      <c r="K2464"/>
    </row>
    <row r="2465" spans="1:11" ht="17.25" hidden="1">
      <c r="A2465" s="978"/>
      <c r="E2465" s="996"/>
      <c r="F2465" s="777">
        <v>1.96</v>
      </c>
      <c r="G2465" s="742" t="s">
        <v>5</v>
      </c>
      <c r="H2465" s="743" t="s">
        <v>1750</v>
      </c>
      <c r="I2465" s="744" t="e">
        <f>K1644</f>
        <v>#REF!</v>
      </c>
      <c r="J2465" s="779" t="s">
        <v>5</v>
      </c>
      <c r="K2465" s="744" t="e">
        <f t="shared" ref="K2465:K2470" si="80">(F2465*I2465)</f>
        <v>#REF!</v>
      </c>
    </row>
    <row r="2466" spans="1:11" ht="17.25" hidden="1">
      <c r="A2466" s="978"/>
      <c r="E2466" s="996"/>
      <c r="F2466" s="744">
        <v>2</v>
      </c>
      <c r="G2466" s="742" t="s">
        <v>727</v>
      </c>
      <c r="H2466" s="743" t="s">
        <v>2129</v>
      </c>
      <c r="I2466" s="744">
        <f>C10</f>
        <v>150</v>
      </c>
      <c r="J2466" s="779" t="s">
        <v>729</v>
      </c>
      <c r="K2466" s="744">
        <f t="shared" si="80"/>
        <v>300</v>
      </c>
    </row>
    <row r="2467" spans="1:11" ht="17.25" hidden="1">
      <c r="A2467" s="978"/>
      <c r="E2467" s="996"/>
      <c r="F2467" s="744">
        <v>2</v>
      </c>
      <c r="G2467" s="742" t="s">
        <v>727</v>
      </c>
      <c r="H2467" s="743" t="s">
        <v>2130</v>
      </c>
      <c r="I2467" s="744">
        <f>C13</f>
        <v>85</v>
      </c>
      <c r="J2467" s="779" t="s">
        <v>729</v>
      </c>
      <c r="K2467" s="744">
        <f t="shared" si="80"/>
        <v>170</v>
      </c>
    </row>
    <row r="2468" spans="1:11" ht="17.25" hidden="1">
      <c r="A2468" s="978"/>
      <c r="E2468" s="996"/>
      <c r="F2468" s="744">
        <v>0.28000000000000003</v>
      </c>
      <c r="G2468" s="742" t="s">
        <v>724</v>
      </c>
      <c r="H2468" s="743" t="s">
        <v>2131</v>
      </c>
      <c r="I2468" s="744">
        <f>K2448</f>
        <v>168.13</v>
      </c>
      <c r="J2468" s="779" t="s">
        <v>724</v>
      </c>
      <c r="K2468" s="744">
        <f t="shared" si="80"/>
        <v>47.08</v>
      </c>
    </row>
    <row r="2469" spans="1:11" ht="17.25" hidden="1">
      <c r="A2469" s="978"/>
      <c r="E2469" s="996"/>
      <c r="F2469" s="744">
        <v>500</v>
      </c>
      <c r="G2469" s="742" t="s">
        <v>41</v>
      </c>
      <c r="H2469" s="743" t="s">
        <v>2132</v>
      </c>
      <c r="I2469">
        <v>2</v>
      </c>
      <c r="J2469" s="805" t="s">
        <v>729</v>
      </c>
      <c r="K2469" s="744">
        <f t="shared" si="80"/>
        <v>1000</v>
      </c>
    </row>
    <row r="2470" spans="1:11" ht="17.25" hidden="1">
      <c r="A2470" s="978"/>
      <c r="E2470" s="996"/>
      <c r="F2470" s="744">
        <v>8.5</v>
      </c>
      <c r="G2470" s="742" t="s">
        <v>2133</v>
      </c>
      <c r="H2470" s="743" t="s">
        <v>2134</v>
      </c>
      <c r="I2470">
        <v>25</v>
      </c>
      <c r="J2470" s="805" t="s">
        <v>2038</v>
      </c>
      <c r="K2470" s="744">
        <f t="shared" si="80"/>
        <v>212.5</v>
      </c>
    </row>
    <row r="2471" spans="1:11" ht="17.25" hidden="1">
      <c r="A2471" s="978"/>
      <c r="E2471" s="996"/>
      <c r="F2471"/>
      <c r="G2471" s="721"/>
      <c r="H2471"/>
      <c r="I2471"/>
      <c r="J2471" s="805"/>
      <c r="K2471" s="776" t="s">
        <v>52</v>
      </c>
    </row>
    <row r="2472" spans="1:11" ht="17.25" hidden="1">
      <c r="A2472" s="978"/>
      <c r="E2472" s="996"/>
      <c r="F2472"/>
      <c r="G2472" s="721"/>
      <c r="H2472" s="779" t="s">
        <v>2135</v>
      </c>
      <c r="I2472"/>
      <c r="J2472" s="805"/>
      <c r="K2472" s="744" t="e">
        <f>SUM(K2465:K2471)</f>
        <v>#REF!</v>
      </c>
    </row>
    <row r="2473" spans="1:11" ht="17.25" hidden="1">
      <c r="A2473" s="978"/>
      <c r="E2473" s="996"/>
      <c r="F2473"/>
      <c r="G2473" s="721"/>
      <c r="H2473"/>
      <c r="I2473"/>
      <c r="J2473" s="805"/>
      <c r="K2473" s="1158" t="s">
        <v>2136</v>
      </c>
    </row>
    <row r="2474" spans="1:11" ht="17.25" hidden="1">
      <c r="A2474" s="978"/>
      <c r="E2474" s="996"/>
      <c r="F2474"/>
      <c r="G2474" s="721"/>
      <c r="H2474" s="779" t="s">
        <v>2137</v>
      </c>
      <c r="I2474"/>
      <c r="J2474" s="805"/>
      <c r="K2474" t="e">
        <f>K2472/39.2</f>
        <v>#REF!</v>
      </c>
    </row>
    <row r="2475" spans="1:11" ht="17.25" hidden="1">
      <c r="A2475" s="978"/>
      <c r="E2475" s="996"/>
      <c r="F2475"/>
      <c r="G2475" s="721"/>
      <c r="H2475"/>
      <c r="I2475"/>
      <c r="J2475" s="805"/>
      <c r="K2475" s="1157" t="s">
        <v>2125</v>
      </c>
    </row>
    <row r="2476" spans="1:11" ht="17.25" hidden="1">
      <c r="A2476" s="978"/>
      <c r="E2476" s="996"/>
      <c r="F2476"/>
      <c r="G2476" s="721"/>
      <c r="H2476" s="1043" t="s">
        <v>2138</v>
      </c>
      <c r="I2476"/>
      <c r="J2476" s="805"/>
      <c r="K2476"/>
    </row>
    <row r="2477" spans="1:11" ht="17.25" hidden="1">
      <c r="A2477" s="978"/>
      <c r="E2477" s="996"/>
      <c r="F2477"/>
      <c r="G2477" s="721"/>
      <c r="H2477" t="s">
        <v>2139</v>
      </c>
      <c r="I2477" t="s">
        <v>2140</v>
      </c>
      <c r="J2477" s="805"/>
      <c r="K2477"/>
    </row>
    <row r="2478" spans="1:11" ht="17.25" hidden="1">
      <c r="A2478" s="978"/>
      <c r="E2478" s="996"/>
      <c r="F2478"/>
      <c r="G2478" s="721"/>
      <c r="H2478"/>
      <c r="I2478" s="1157" t="s">
        <v>2141</v>
      </c>
      <c r="J2478" s="805" t="s">
        <v>2142</v>
      </c>
      <c r="K2478"/>
    </row>
    <row r="2479" spans="1:11" ht="17.25" hidden="1">
      <c r="A2479" s="978"/>
      <c r="E2479" s="996"/>
      <c r="F2479"/>
      <c r="G2479" s="721"/>
      <c r="H2479" t="s">
        <v>2143</v>
      </c>
      <c r="I2479" t="s">
        <v>2144</v>
      </c>
      <c r="J2479" s="805"/>
      <c r="K2479"/>
    </row>
    <row r="2480" spans="1:11" ht="17.25" hidden="1">
      <c r="A2480" s="978"/>
      <c r="E2480" s="996"/>
      <c r="F2480"/>
      <c r="G2480" s="721"/>
      <c r="H2480"/>
      <c r="I2480"/>
      <c r="J2480" s="805"/>
      <c r="K2480"/>
    </row>
    <row r="2481" spans="1:11" ht="17.25" hidden="1">
      <c r="A2481" s="978"/>
      <c r="E2481" s="996"/>
      <c r="F2481"/>
      <c r="G2481" s="721"/>
      <c r="H2481" t="s">
        <v>2145</v>
      </c>
      <c r="I2481"/>
      <c r="J2481" s="805"/>
      <c r="K2481"/>
    </row>
    <row r="2482" spans="1:11" ht="17.25" hidden="1">
      <c r="A2482" s="978"/>
      <c r="E2482" s="996"/>
      <c r="F2482"/>
      <c r="G2482" s="721"/>
      <c r="H2482" t="s">
        <v>2146</v>
      </c>
      <c r="I2482" t="s">
        <v>2147</v>
      </c>
      <c r="J2482" s="805"/>
      <c r="K2482"/>
    </row>
    <row r="2483" spans="1:11" ht="17.25" hidden="1">
      <c r="A2483" s="978"/>
      <c r="E2483" s="996"/>
      <c r="F2483"/>
      <c r="G2483" s="721"/>
      <c r="H2483" t="s">
        <v>2148</v>
      </c>
      <c r="I2483" t="s">
        <v>2149</v>
      </c>
      <c r="J2483" s="805"/>
      <c r="K2483"/>
    </row>
    <row r="2484" spans="1:11" ht="17.25" hidden="1">
      <c r="A2484" s="978"/>
      <c r="E2484" s="996"/>
      <c r="F2484"/>
      <c r="G2484" s="721"/>
      <c r="H2484" t="s">
        <v>2150</v>
      </c>
      <c r="I2484"/>
      <c r="J2484" s="805"/>
      <c r="K2484"/>
    </row>
    <row r="2485" spans="1:11" ht="17.25" hidden="1">
      <c r="A2485" s="978"/>
      <c r="E2485" s="996"/>
      <c r="F2485"/>
      <c r="G2485" s="721"/>
      <c r="H2485"/>
      <c r="I2485"/>
      <c r="J2485" s="805"/>
      <c r="K2485"/>
    </row>
    <row r="2486" spans="1:11" ht="17.25" hidden="1">
      <c r="A2486" s="978"/>
      <c r="E2486" s="996"/>
      <c r="F2486"/>
      <c r="G2486" s="721"/>
      <c r="H2486"/>
      <c r="I2486"/>
      <c r="J2486" s="805"/>
      <c r="K2486"/>
    </row>
    <row r="2487" spans="1:11" ht="17.25" hidden="1">
      <c r="A2487" s="978"/>
      <c r="E2487" s="996"/>
      <c r="F2487"/>
      <c r="G2487" s="721"/>
      <c r="H2487"/>
      <c r="I2487"/>
      <c r="J2487" s="805"/>
      <c r="K2487"/>
    </row>
    <row r="2488" spans="1:11" ht="48" hidden="1">
      <c r="A2488" s="978"/>
      <c r="E2488" s="996"/>
      <c r="F2488" s="1044">
        <v>83</v>
      </c>
      <c r="G2488" s="721"/>
      <c r="H2488" s="1045" t="s">
        <v>2151</v>
      </c>
      <c r="I2488"/>
      <c r="J2488" s="805"/>
      <c r="K2488"/>
    </row>
    <row r="2489" spans="1:11" ht="17.25" hidden="1">
      <c r="A2489" s="978"/>
      <c r="E2489" s="996"/>
      <c r="F2489"/>
      <c r="G2489" s="721"/>
      <c r="H2489" s="1157" t="s">
        <v>2152</v>
      </c>
      <c r="I2489"/>
      <c r="J2489" s="805"/>
      <c r="K2489"/>
    </row>
    <row r="2490" spans="1:11" ht="63" hidden="1">
      <c r="A2490" s="978"/>
      <c r="E2490" s="996"/>
      <c r="F2490" s="1046">
        <v>3.25</v>
      </c>
      <c r="G2490" s="1047" t="s">
        <v>2153</v>
      </c>
      <c r="H2490" s="1047" t="s">
        <v>2154</v>
      </c>
      <c r="I2490" s="1047">
        <v>27</v>
      </c>
      <c r="J2490" s="1047" t="s">
        <v>39</v>
      </c>
      <c r="K2490" s="1047">
        <f>I2490*F2490</f>
        <v>87.75</v>
      </c>
    </row>
    <row r="2491" spans="1:11" ht="17.25" hidden="1">
      <c r="A2491" s="978"/>
      <c r="E2491" s="996"/>
      <c r="F2491"/>
      <c r="G2491" s="721"/>
      <c r="H2491" t="s">
        <v>2155</v>
      </c>
      <c r="I2491"/>
      <c r="J2491" s="805"/>
      <c r="K2491">
        <v>0.25</v>
      </c>
    </row>
    <row r="2492" spans="1:11" ht="17.25" hidden="1">
      <c r="A2492" s="978"/>
      <c r="E2492" s="996"/>
      <c r="F2492"/>
      <c r="G2492" s="721"/>
      <c r="H2492"/>
      <c r="I2492"/>
      <c r="J2492" s="805"/>
      <c r="K2492" s="1049" t="s">
        <v>52</v>
      </c>
    </row>
    <row r="2493" spans="1:11" ht="17.25" hidden="1">
      <c r="A2493" s="978"/>
      <c r="E2493" s="996"/>
      <c r="F2493"/>
      <c r="G2493" s="721"/>
      <c r="H2493" t="s">
        <v>2156</v>
      </c>
      <c r="I2493"/>
      <c r="J2493" s="805"/>
      <c r="K2493">
        <f>SUM(K2490:K2492)</f>
        <v>88</v>
      </c>
    </row>
    <row r="2494" spans="1:11" ht="17.25" hidden="1">
      <c r="A2494" s="978"/>
      <c r="E2494" s="996"/>
      <c r="F2494"/>
      <c r="G2494" s="721"/>
      <c r="H2494"/>
      <c r="I2494"/>
      <c r="J2494" s="805"/>
      <c r="K2494" s="1049" t="s">
        <v>89</v>
      </c>
    </row>
    <row r="2495" spans="1:11" ht="19.5" hidden="1">
      <c r="A2495" s="978"/>
      <c r="E2495" s="996"/>
      <c r="F2495" s="1048">
        <v>79.099999999999994</v>
      </c>
      <c r="G2495" s="721"/>
      <c r="H2495" t="s">
        <v>2157</v>
      </c>
      <c r="I2495"/>
      <c r="J2495" s="805"/>
      <c r="K2495"/>
    </row>
    <row r="2496" spans="1:11" ht="17.25" hidden="1">
      <c r="A2496" s="978"/>
      <c r="E2496" s="996"/>
      <c r="F2496"/>
      <c r="G2496" s="721"/>
      <c r="H2496" s="1157" t="s">
        <v>2158</v>
      </c>
      <c r="I2496"/>
      <c r="J2496" s="805"/>
      <c r="K2496"/>
    </row>
    <row r="2497" spans="1:11" ht="17.25" hidden="1">
      <c r="A2497" s="978"/>
      <c r="E2497" s="996"/>
      <c r="F2497">
        <v>1</v>
      </c>
      <c r="G2497" s="721" t="s">
        <v>1034</v>
      </c>
      <c r="H2497" t="s">
        <v>2159</v>
      </c>
      <c r="I2497">
        <v>75</v>
      </c>
      <c r="J2497" s="805" t="s">
        <v>729</v>
      </c>
      <c r="K2497">
        <f>I2497*F2497</f>
        <v>75</v>
      </c>
    </row>
    <row r="2498" spans="1:11" ht="17.25" hidden="1">
      <c r="A2498" s="978"/>
      <c r="E2498" s="996"/>
      <c r="F2498">
        <v>1</v>
      </c>
      <c r="G2498" s="721" t="s">
        <v>1034</v>
      </c>
      <c r="H2498" t="s">
        <v>2160</v>
      </c>
      <c r="I2498">
        <v>17.75</v>
      </c>
      <c r="J2498" s="805" t="s">
        <v>729</v>
      </c>
      <c r="K2498">
        <f>I2498*F2498</f>
        <v>17.75</v>
      </c>
    </row>
    <row r="2499" spans="1:11" ht="17.25" hidden="1">
      <c r="A2499" s="978"/>
      <c r="E2499" s="996"/>
      <c r="F2499">
        <v>1</v>
      </c>
      <c r="G2499" s="721" t="s">
        <v>1034</v>
      </c>
      <c r="H2499" t="s">
        <v>1978</v>
      </c>
      <c r="I2499">
        <f>K2510</f>
        <v>65.13</v>
      </c>
      <c r="J2499" s="805" t="s">
        <v>729</v>
      </c>
      <c r="K2499">
        <f>I2499*F2499</f>
        <v>65.13</v>
      </c>
    </row>
    <row r="2500" spans="1:11" ht="17.25" hidden="1">
      <c r="A2500" s="978"/>
      <c r="E2500" s="996"/>
      <c r="F2500"/>
      <c r="G2500" s="721"/>
      <c r="H2500" t="s">
        <v>2161</v>
      </c>
      <c r="I2500"/>
      <c r="J2500" s="805" t="s">
        <v>145</v>
      </c>
      <c r="K2500">
        <v>3.12</v>
      </c>
    </row>
    <row r="2501" spans="1:11" ht="17.25" hidden="1">
      <c r="A2501" s="978"/>
      <c r="E2501" s="996"/>
      <c r="F2501"/>
      <c r="G2501" s="721"/>
      <c r="H2501"/>
      <c r="I2501"/>
      <c r="J2501" s="805"/>
      <c r="K2501" s="1157" t="s">
        <v>2162</v>
      </c>
    </row>
    <row r="2502" spans="1:11" ht="17.25" hidden="1">
      <c r="A2502" s="978"/>
      <c r="E2502" s="996"/>
      <c r="F2502"/>
      <c r="G2502" s="721"/>
      <c r="H2502"/>
      <c r="I2502"/>
      <c r="J2502" s="805"/>
      <c r="K2502">
        <f>SUM(K2497:K2501)</f>
        <v>161</v>
      </c>
    </row>
    <row r="2503" spans="1:11" ht="17.25" hidden="1">
      <c r="A2503" s="978"/>
      <c r="E2503" s="996"/>
      <c r="F2503"/>
      <c r="G2503" s="721"/>
      <c r="H2503"/>
      <c r="I2503"/>
      <c r="J2503" s="805"/>
      <c r="K2503" s="1157" t="s">
        <v>2163</v>
      </c>
    </row>
    <row r="2504" spans="1:11" ht="17.25" hidden="1">
      <c r="A2504" s="978"/>
      <c r="E2504" s="996"/>
      <c r="F2504" t="s">
        <v>1978</v>
      </c>
      <c r="G2504" s="721"/>
      <c r="H2504"/>
      <c r="I2504"/>
      <c r="J2504" s="805"/>
      <c r="K2504"/>
    </row>
    <row r="2505" spans="1:11" ht="17.25" hidden="1">
      <c r="A2505" s="978"/>
      <c r="E2505" s="996"/>
      <c r="F2505">
        <v>1</v>
      </c>
      <c r="G2505" s="721" t="s">
        <v>1034</v>
      </c>
      <c r="H2505" t="s">
        <v>2164</v>
      </c>
      <c r="I2505">
        <v>131</v>
      </c>
      <c r="J2505" s="805" t="s">
        <v>729</v>
      </c>
      <c r="K2505">
        <f>I2505*F2505</f>
        <v>131</v>
      </c>
    </row>
    <row r="2506" spans="1:11" ht="17.25" hidden="1">
      <c r="A2506" s="978"/>
      <c r="E2506" s="996"/>
      <c r="F2506">
        <v>1</v>
      </c>
      <c r="G2506" s="721" t="s">
        <v>1034</v>
      </c>
      <c r="H2506" t="s">
        <v>2165</v>
      </c>
      <c r="I2506">
        <v>117</v>
      </c>
      <c r="J2506" s="805" t="s">
        <v>729</v>
      </c>
      <c r="K2506">
        <f>I2506*F2506</f>
        <v>117</v>
      </c>
    </row>
    <row r="2507" spans="1:11" ht="17.25" hidden="1">
      <c r="A2507" s="978"/>
      <c r="E2507" s="996"/>
      <c r="F2507">
        <v>3</v>
      </c>
      <c r="G2507" s="721" t="s">
        <v>41</v>
      </c>
      <c r="H2507" t="s">
        <v>2166</v>
      </c>
      <c r="I2507">
        <v>91</v>
      </c>
      <c r="J2507" s="805" t="s">
        <v>729</v>
      </c>
      <c r="K2507">
        <f>I2507*F2507</f>
        <v>273</v>
      </c>
    </row>
    <row r="2508" spans="1:11" ht="17.25" hidden="1">
      <c r="A2508" s="978"/>
      <c r="E2508" s="996"/>
      <c r="F2508"/>
      <c r="G2508" s="721"/>
      <c r="H2508"/>
      <c r="I2508"/>
      <c r="J2508" s="805"/>
      <c r="K2508" s="1157" t="s">
        <v>2121</v>
      </c>
    </row>
    <row r="2509" spans="1:11" ht="17.25" hidden="1">
      <c r="A2509" s="978"/>
      <c r="E2509" s="996"/>
      <c r="F2509"/>
      <c r="G2509" s="721"/>
      <c r="H2509" t="s">
        <v>2167</v>
      </c>
      <c r="I2509"/>
      <c r="J2509" s="805"/>
      <c r="K2509">
        <f>SUM(K2505:K2508)</f>
        <v>521</v>
      </c>
    </row>
    <row r="2510" spans="1:11" ht="17.25" hidden="1">
      <c r="A2510" s="978"/>
      <c r="E2510" s="996"/>
      <c r="F2510"/>
      <c r="G2510" s="721"/>
      <c r="H2510" t="s">
        <v>2168</v>
      </c>
      <c r="I2510"/>
      <c r="J2510" s="805"/>
      <c r="K2510">
        <f>K2509/8</f>
        <v>65.13</v>
      </c>
    </row>
    <row r="2511" spans="1:11" ht="17.25" hidden="1">
      <c r="A2511" s="978"/>
      <c r="E2511" s="996"/>
      <c r="F2511"/>
      <c r="G2511" s="721"/>
      <c r="H2511"/>
      <c r="I2511"/>
      <c r="J2511" s="805"/>
      <c r="K2511"/>
    </row>
    <row r="2512" spans="1:11" ht="17.25" hidden="1">
      <c r="A2512" s="978"/>
      <c r="E2512" s="996"/>
      <c r="F2512"/>
      <c r="G2512" s="721"/>
      <c r="H2512"/>
      <c r="I2512"/>
      <c r="J2512" s="805"/>
      <c r="K2512"/>
    </row>
    <row r="2513" spans="1:11" ht="17.25" hidden="1">
      <c r="A2513" s="978"/>
      <c r="E2513" s="996"/>
      <c r="F2513" s="779" t="s">
        <v>2169</v>
      </c>
      <c r="G2513" s="742" t="s">
        <v>111</v>
      </c>
      <c r="H2513" s="743" t="s">
        <v>1441</v>
      </c>
      <c r="I2513"/>
      <c r="J2513" s="805"/>
      <c r="K2513"/>
    </row>
    <row r="2514" spans="1:11" ht="17.25" hidden="1">
      <c r="A2514" s="978"/>
      <c r="E2514" s="996"/>
      <c r="F2514"/>
      <c r="G2514" s="721"/>
      <c r="H2514" s="743" t="s">
        <v>1443</v>
      </c>
      <c r="I2514"/>
      <c r="J2514" s="805"/>
      <c r="K2514"/>
    </row>
    <row r="2515" spans="1:11" ht="17.25" hidden="1">
      <c r="A2515" s="978"/>
      <c r="E2515" s="996"/>
      <c r="F2515"/>
      <c r="G2515" s="721"/>
      <c r="H2515" s="743" t="s">
        <v>1445</v>
      </c>
      <c r="I2515"/>
      <c r="J2515" s="805"/>
      <c r="K2515"/>
    </row>
    <row r="2516" spans="1:11" ht="17.25" hidden="1">
      <c r="A2516" s="978"/>
      <c r="E2516" s="996"/>
      <c r="F2516"/>
      <c r="G2516" s="721"/>
      <c r="H2516" s="743" t="s">
        <v>1447</v>
      </c>
      <c r="I2516"/>
      <c r="J2516" s="805"/>
      <c r="K2516"/>
    </row>
    <row r="2517" spans="1:11" ht="17.25" hidden="1">
      <c r="A2517" s="978"/>
      <c r="E2517" s="996"/>
      <c r="F2517"/>
      <c r="G2517" s="721"/>
      <c r="H2517" s="743" t="s">
        <v>1449</v>
      </c>
      <c r="I2517"/>
      <c r="J2517" s="805"/>
      <c r="K2517"/>
    </row>
    <row r="2518" spans="1:11" ht="17.25" hidden="1">
      <c r="A2518" s="978"/>
      <c r="E2518" s="996"/>
      <c r="F2518"/>
      <c r="G2518" s="721"/>
      <c r="H2518" s="743" t="s">
        <v>1451</v>
      </c>
      <c r="I2518"/>
      <c r="J2518" s="805"/>
      <c r="K2518"/>
    </row>
    <row r="2519" spans="1:11" ht="17.25" hidden="1">
      <c r="A2519" s="978"/>
      <c r="E2519" s="996"/>
      <c r="F2519"/>
      <c r="G2519" s="721"/>
      <c r="H2519" s="776" t="s">
        <v>52</v>
      </c>
      <c r="I2519"/>
      <c r="J2519" s="805"/>
      <c r="K2519"/>
    </row>
    <row r="2520" spans="1:11" ht="17.25" hidden="1">
      <c r="A2520" s="978"/>
      <c r="E2520" s="996"/>
      <c r="F2520" s="779"/>
      <c r="G2520" s="742"/>
      <c r="H2520" s="743" t="s">
        <v>2170</v>
      </c>
      <c r="I2520"/>
      <c r="J2520" s="805"/>
      <c r="K2520" s="743" t="s">
        <v>85</v>
      </c>
    </row>
    <row r="2521" spans="1:11" ht="17.25" hidden="1">
      <c r="A2521" s="978"/>
      <c r="E2521" s="996"/>
      <c r="F2521"/>
      <c r="G2521" s="721"/>
      <c r="H2521" s="776" t="s">
        <v>52</v>
      </c>
      <c r="I2521"/>
      <c r="J2521" s="805"/>
      <c r="K2521"/>
    </row>
    <row r="2522" spans="1:11" ht="17.25" hidden="1">
      <c r="A2522" s="978"/>
      <c r="E2522" s="996"/>
      <c r="F2522" s="1050">
        <v>1.153E-2</v>
      </c>
      <c r="G2522" s="742" t="s">
        <v>132</v>
      </c>
      <c r="H2522" s="743" t="s">
        <v>446</v>
      </c>
      <c r="I2522" s="744">
        <f t="shared" ref="I2522:I2531" si="81">I1011</f>
        <v>65420</v>
      </c>
      <c r="J2522" s="779" t="s">
        <v>132</v>
      </c>
      <c r="K2522" s="744">
        <f t="shared" ref="K2522:K2531" si="82">(F2522*I2522)</f>
        <v>754.29</v>
      </c>
    </row>
    <row r="2523" spans="1:11" ht="17.25" hidden="1">
      <c r="A2523" s="978"/>
      <c r="E2523" s="996"/>
      <c r="F2523" s="1050">
        <v>1.52E-2</v>
      </c>
      <c r="G2523" s="742" t="s">
        <v>132</v>
      </c>
      <c r="H2523" s="743" t="s">
        <v>447</v>
      </c>
      <c r="I2523" s="744">
        <f t="shared" si="81"/>
        <v>57165</v>
      </c>
      <c r="J2523" s="779" t="s">
        <v>132</v>
      </c>
      <c r="K2523" s="744">
        <f t="shared" si="82"/>
        <v>868.91</v>
      </c>
    </row>
    <row r="2524" spans="1:11" hidden="1">
      <c r="A2524" s="978"/>
      <c r="F2524" s="1050">
        <v>1.2787999999999999</v>
      </c>
      <c r="G2524" s="742" t="s">
        <v>425</v>
      </c>
      <c r="H2524" s="743" t="s">
        <v>448</v>
      </c>
      <c r="I2524" s="744">
        <f t="shared" si="81"/>
        <v>381.37</v>
      </c>
      <c r="J2524" s="779" t="s">
        <v>425</v>
      </c>
      <c r="K2524" s="744">
        <f t="shared" si="82"/>
        <v>487.7</v>
      </c>
    </row>
    <row r="2525" spans="1:11" hidden="1">
      <c r="A2525" s="978"/>
      <c r="F2525" s="1050">
        <v>1.845</v>
      </c>
      <c r="G2525" s="742" t="s">
        <v>425</v>
      </c>
      <c r="H2525" s="743" t="s">
        <v>449</v>
      </c>
      <c r="I2525" s="744">
        <f t="shared" si="81"/>
        <v>287</v>
      </c>
      <c r="J2525" s="779" t="s">
        <v>425</v>
      </c>
      <c r="K2525" s="744">
        <f t="shared" si="82"/>
        <v>529.52</v>
      </c>
    </row>
    <row r="2526" spans="1:11" hidden="1">
      <c r="A2526" s="978"/>
      <c r="F2526" s="744">
        <v>2</v>
      </c>
      <c r="G2526" s="742" t="s">
        <v>131</v>
      </c>
      <c r="H2526" s="743" t="s">
        <v>450</v>
      </c>
      <c r="I2526" s="744">
        <f t="shared" si="81"/>
        <v>30</v>
      </c>
      <c r="J2526" s="779" t="s">
        <v>131</v>
      </c>
      <c r="K2526" s="744">
        <f t="shared" si="82"/>
        <v>60</v>
      </c>
    </row>
    <row r="2527" spans="1:11" hidden="1">
      <c r="A2527" s="978"/>
      <c r="F2527" s="744">
        <v>3</v>
      </c>
      <c r="G2527" s="742" t="s">
        <v>131</v>
      </c>
      <c r="H2527" s="743" t="s">
        <v>1479</v>
      </c>
      <c r="I2527" s="744">
        <f t="shared" si="81"/>
        <v>45</v>
      </c>
      <c r="J2527" s="779" t="s">
        <v>131</v>
      </c>
      <c r="K2527" s="744">
        <f t="shared" si="82"/>
        <v>135</v>
      </c>
    </row>
    <row r="2528" spans="1:11" hidden="1">
      <c r="A2528" s="978"/>
      <c r="F2528" s="744">
        <v>1</v>
      </c>
      <c r="G2528" s="742" t="s">
        <v>131</v>
      </c>
      <c r="H2528" s="743" t="s">
        <v>452</v>
      </c>
      <c r="I2528" s="744">
        <f t="shared" si="81"/>
        <v>95</v>
      </c>
      <c r="J2528" s="779" t="s">
        <v>131</v>
      </c>
      <c r="K2528" s="744">
        <f t="shared" si="82"/>
        <v>95</v>
      </c>
    </row>
    <row r="2529" spans="1:11" hidden="1">
      <c r="A2529" s="978"/>
      <c r="F2529" s="744">
        <v>1</v>
      </c>
      <c r="G2529" s="742" t="s">
        <v>131</v>
      </c>
      <c r="H2529" s="743" t="s">
        <v>453</v>
      </c>
      <c r="I2529" s="744">
        <f t="shared" si="81"/>
        <v>8</v>
      </c>
      <c r="J2529" s="779" t="s">
        <v>131</v>
      </c>
      <c r="K2529" s="744">
        <f t="shared" si="82"/>
        <v>8</v>
      </c>
    </row>
    <row r="2530" spans="1:11" hidden="1">
      <c r="A2530" s="978"/>
      <c r="F2530" s="744">
        <v>1</v>
      </c>
      <c r="G2530" s="742" t="s">
        <v>131</v>
      </c>
      <c r="H2530" s="743" t="s">
        <v>454</v>
      </c>
      <c r="I2530" s="744">
        <f t="shared" si="81"/>
        <v>30</v>
      </c>
      <c r="J2530" s="779" t="s">
        <v>131</v>
      </c>
      <c r="K2530" s="744">
        <f t="shared" si="82"/>
        <v>30</v>
      </c>
    </row>
    <row r="2531" spans="1:11" hidden="1">
      <c r="A2531" s="978"/>
      <c r="F2531" s="744">
        <v>1</v>
      </c>
      <c r="G2531" s="742" t="s">
        <v>131</v>
      </c>
      <c r="H2531" s="743" t="s">
        <v>455</v>
      </c>
      <c r="I2531" s="744">
        <f t="shared" si="81"/>
        <v>25</v>
      </c>
      <c r="J2531" s="779" t="s">
        <v>131</v>
      </c>
      <c r="K2531" s="744">
        <f t="shared" si="82"/>
        <v>25</v>
      </c>
    </row>
    <row r="2532" spans="1:11" hidden="1">
      <c r="A2532" s="978"/>
      <c r="F2532"/>
      <c r="G2532" s="721"/>
      <c r="H2532"/>
      <c r="I2532"/>
      <c r="J2532" s="805"/>
      <c r="K2532" s="776" t="s">
        <v>52</v>
      </c>
    </row>
    <row r="2533" spans="1:11" hidden="1">
      <c r="A2533" s="978"/>
      <c r="F2533"/>
      <c r="G2533" s="721"/>
      <c r="H2533" s="779" t="s">
        <v>2171</v>
      </c>
      <c r="I2533"/>
      <c r="J2533" s="805"/>
      <c r="K2533" s="744">
        <f>SUM(K2522:K2532)</f>
        <v>2993.42</v>
      </c>
    </row>
    <row r="2534" spans="1:11" hidden="1">
      <c r="A2534" s="978"/>
      <c r="F2534"/>
      <c r="G2534" s="742" t="s">
        <v>85</v>
      </c>
      <c r="H2534"/>
      <c r="I2534"/>
      <c r="J2534" s="805"/>
      <c r="K2534" s="776" t="s">
        <v>52</v>
      </c>
    </row>
    <row r="2535" spans="1:11" hidden="1">
      <c r="A2535" s="978"/>
      <c r="F2535"/>
      <c r="G2535" s="721"/>
      <c r="H2535" s="779" t="s">
        <v>460</v>
      </c>
      <c r="I2535"/>
      <c r="J2535" s="805"/>
      <c r="K2535" s="744">
        <f>K2533/F2525</f>
        <v>1622.45</v>
      </c>
    </row>
    <row r="2536" spans="1:11" hidden="1">
      <c r="A2536" s="978"/>
      <c r="F2536"/>
      <c r="G2536" s="721"/>
      <c r="H2536"/>
      <c r="I2536"/>
      <c r="J2536" s="805"/>
      <c r="K2536" s="776" t="s">
        <v>89</v>
      </c>
    </row>
    <row r="2537" spans="1:11" hidden="1">
      <c r="A2537" s="978"/>
      <c r="F2537" s="1051">
        <v>98.1</v>
      </c>
      <c r="G2537" s="742" t="s">
        <v>111</v>
      </c>
      <c r="H2537" s="743" t="s">
        <v>2172</v>
      </c>
      <c r="I2537"/>
      <c r="J2537" s="805"/>
      <c r="K2537"/>
    </row>
    <row r="2538" spans="1:11" hidden="1">
      <c r="A2538" s="978"/>
      <c r="F2538"/>
      <c r="G2538" s="721"/>
      <c r="H2538" s="743" t="s">
        <v>1309</v>
      </c>
      <c r="I2538"/>
      <c r="J2538" s="805"/>
      <c r="K2538"/>
    </row>
    <row r="2539" spans="1:11" hidden="1">
      <c r="A2539" s="978"/>
      <c r="F2539"/>
      <c r="G2539" s="721"/>
      <c r="H2539" s="709" t="s">
        <v>2173</v>
      </c>
      <c r="I2539"/>
      <c r="J2539" s="805"/>
      <c r="K2539"/>
    </row>
    <row r="2540" spans="1:11" hidden="1">
      <c r="A2540" s="978"/>
      <c r="F2540"/>
      <c r="G2540" s="721"/>
      <c r="H2540" s="776" t="s">
        <v>52</v>
      </c>
      <c r="I2540"/>
      <c r="J2540" s="805"/>
      <c r="K2540"/>
    </row>
    <row r="2541" spans="1:11" hidden="1">
      <c r="A2541" s="978"/>
      <c r="F2541"/>
      <c r="G2541" s="721"/>
      <c r="H2541" s="743" t="s">
        <v>2174</v>
      </c>
      <c r="I2541"/>
      <c r="J2541" s="1052"/>
      <c r="K2541"/>
    </row>
    <row r="2542" spans="1:11" hidden="1">
      <c r="A2542" s="978"/>
      <c r="F2542"/>
      <c r="G2542" s="721"/>
      <c r="H2542" s="743" t="s">
        <v>2175</v>
      </c>
      <c r="I2542"/>
      <c r="J2542" s="805"/>
      <c r="K2542"/>
    </row>
    <row r="2543" spans="1:11" hidden="1">
      <c r="A2543" s="978"/>
      <c r="F2543"/>
      <c r="G2543" s="721"/>
      <c r="H2543"/>
      <c r="I2543"/>
      <c r="J2543" s="779" t="s">
        <v>52</v>
      </c>
      <c r="K2543"/>
    </row>
    <row r="2544" spans="1:11" hidden="1">
      <c r="A2544" s="978"/>
      <c r="F2544"/>
      <c r="G2544" s="721"/>
      <c r="H2544" s="743" t="s">
        <v>2176</v>
      </c>
      <c r="I2544"/>
      <c r="J2544" s="805"/>
      <c r="K2544"/>
    </row>
    <row r="2545" spans="1:11" hidden="1">
      <c r="A2545" s="978"/>
      <c r="F2545"/>
      <c r="G2545" s="721"/>
      <c r="H2545" s="743" t="s">
        <v>2177</v>
      </c>
      <c r="I2545"/>
      <c r="J2545" s="805"/>
      <c r="K2545" s="982">
        <v>3.5400000000000001E-2</v>
      </c>
    </row>
    <row r="2546" spans="1:11" hidden="1">
      <c r="A2546" s="978"/>
      <c r="F2546"/>
      <c r="G2546" s="721"/>
      <c r="H2546"/>
      <c r="I2546"/>
      <c r="J2546" s="779" t="s">
        <v>85</v>
      </c>
      <c r="K2546" s="776" t="s">
        <v>52</v>
      </c>
    </row>
    <row r="2547" spans="1:11" hidden="1">
      <c r="A2547" s="978"/>
      <c r="F2547"/>
      <c r="G2547" s="721"/>
      <c r="H2547" s="743" t="s">
        <v>2178</v>
      </c>
      <c r="I2547"/>
      <c r="J2547" s="983" t="s">
        <v>85</v>
      </c>
      <c r="K2547" s="982">
        <v>2.5899999999999999E-2</v>
      </c>
    </row>
    <row r="2548" spans="1:11" hidden="1">
      <c r="A2548" s="978"/>
      <c r="F2548"/>
      <c r="G2548" s="721"/>
      <c r="H2548" s="743" t="s">
        <v>2179</v>
      </c>
      <c r="I2548"/>
      <c r="J2548" s="779" t="s">
        <v>85</v>
      </c>
      <c r="K2548" s="982">
        <v>6.4999999999999997E-3</v>
      </c>
    </row>
    <row r="2549" spans="1:11" hidden="1">
      <c r="A2549" s="978"/>
      <c r="F2549"/>
      <c r="G2549" s="721"/>
      <c r="H2549"/>
      <c r="I2549"/>
      <c r="J2549" s="805"/>
      <c r="K2549" s="776" t="s">
        <v>52</v>
      </c>
    </row>
    <row r="2550" spans="1:11" hidden="1">
      <c r="A2550" s="978"/>
      <c r="F2550"/>
      <c r="G2550" s="721"/>
      <c r="H2550"/>
      <c r="I2550"/>
      <c r="J2550" s="805"/>
      <c r="K2550" s="982">
        <v>3.2300000000000002E-2</v>
      </c>
    </row>
    <row r="2551" spans="1:11" hidden="1">
      <c r="A2551" s="978"/>
      <c r="F2551"/>
      <c r="G2551" s="721"/>
      <c r="H2551"/>
      <c r="I2551"/>
      <c r="J2551" s="805"/>
      <c r="K2551" s="776" t="s">
        <v>52</v>
      </c>
    </row>
    <row r="2552" spans="1:11" hidden="1">
      <c r="A2552" s="978"/>
      <c r="F2552"/>
      <c r="G2552" s="721"/>
      <c r="H2552"/>
      <c r="I2552"/>
      <c r="J2552" s="805"/>
      <c r="K2552"/>
    </row>
    <row r="2553" spans="1:11" hidden="1">
      <c r="A2553" s="978"/>
      <c r="F2553"/>
      <c r="G2553" s="721"/>
      <c r="H2553"/>
      <c r="I2553"/>
      <c r="J2553" s="805"/>
      <c r="K2553"/>
    </row>
    <row r="2554" spans="1:11" hidden="1">
      <c r="A2554" s="978"/>
      <c r="F2554" s="982">
        <v>2.2800000000000001E-2</v>
      </c>
      <c r="G2554" s="742" t="s">
        <v>132</v>
      </c>
      <c r="H2554" s="743" t="s">
        <v>1332</v>
      </c>
      <c r="I2554" s="744">
        <f>I910</f>
        <v>65420</v>
      </c>
      <c r="J2554" s="779" t="s">
        <v>132</v>
      </c>
      <c r="K2554" s="744">
        <f t="shared" ref="K2554:K2564" si="83">(F2554*I2554)</f>
        <v>1491.58</v>
      </c>
    </row>
    <row r="2555" spans="1:11" hidden="1">
      <c r="A2555" s="978"/>
      <c r="F2555" s="982">
        <v>3.5400000000000001E-2</v>
      </c>
      <c r="G2555" s="742" t="s">
        <v>132</v>
      </c>
      <c r="H2555" s="743" t="s">
        <v>1334</v>
      </c>
      <c r="I2555" s="744">
        <f>I911</f>
        <v>57165</v>
      </c>
      <c r="J2555" s="779" t="s">
        <v>132</v>
      </c>
      <c r="K2555" s="744">
        <f t="shared" si="83"/>
        <v>2023.64</v>
      </c>
    </row>
    <row r="2556" spans="1:11" hidden="1">
      <c r="A2556" s="978"/>
      <c r="F2556" s="982">
        <v>3.2300000000000002E-2</v>
      </c>
      <c r="G2556" s="742" t="s">
        <v>132</v>
      </c>
      <c r="H2556" s="743" t="s">
        <v>1336</v>
      </c>
      <c r="I2556" s="744">
        <f>I912</f>
        <v>63870</v>
      </c>
      <c r="J2556" s="779" t="s">
        <v>132</v>
      </c>
      <c r="K2556" s="744">
        <f t="shared" si="83"/>
        <v>2063</v>
      </c>
    </row>
    <row r="2557" spans="1:11" hidden="1">
      <c r="A2557" s="978"/>
      <c r="F2557" s="741"/>
      <c r="G2557" s="721"/>
      <c r="H2557" s="743" t="s">
        <v>2180</v>
      </c>
      <c r="I2557" s="744"/>
      <c r="J2557" s="805"/>
      <c r="K2557" s="744">
        <f t="shared" si="83"/>
        <v>0</v>
      </c>
    </row>
    <row r="2558" spans="1:11" hidden="1">
      <c r="A2558" s="978"/>
      <c r="F2558" s="741">
        <v>2.835</v>
      </c>
      <c r="G2558" s="742" t="s">
        <v>425</v>
      </c>
      <c r="H2558" s="743" t="s">
        <v>1340</v>
      </c>
      <c r="I2558" s="744">
        <f t="shared" ref="I2558:I2564" si="84">I914</f>
        <v>342</v>
      </c>
      <c r="J2558" s="779" t="s">
        <v>425</v>
      </c>
      <c r="K2558" s="744">
        <f t="shared" si="83"/>
        <v>969.57</v>
      </c>
    </row>
    <row r="2559" spans="1:11" hidden="1">
      <c r="A2559" s="978"/>
      <c r="F2559" s="744">
        <v>2</v>
      </c>
      <c r="G2559" s="742" t="s">
        <v>237</v>
      </c>
      <c r="H2559" s="743" t="s">
        <v>1342</v>
      </c>
      <c r="I2559" s="744">
        <f t="shared" si="84"/>
        <v>30</v>
      </c>
      <c r="J2559" s="779" t="s">
        <v>131</v>
      </c>
      <c r="K2559" s="744">
        <f t="shared" si="83"/>
        <v>60</v>
      </c>
    </row>
    <row r="2560" spans="1:11" hidden="1">
      <c r="A2560" s="978"/>
      <c r="F2560" s="744">
        <v>6</v>
      </c>
      <c r="G2560" s="742" t="s">
        <v>131</v>
      </c>
      <c r="H2560" s="743" t="s">
        <v>1344</v>
      </c>
      <c r="I2560" s="744">
        <f t="shared" si="84"/>
        <v>45</v>
      </c>
      <c r="J2560" s="779" t="s">
        <v>131</v>
      </c>
      <c r="K2560" s="744">
        <f t="shared" si="83"/>
        <v>270</v>
      </c>
    </row>
    <row r="2561" spans="1:11" hidden="1">
      <c r="A2561" s="978"/>
      <c r="F2561" s="744">
        <v>4</v>
      </c>
      <c r="G2561" s="742" t="s">
        <v>131</v>
      </c>
      <c r="H2561" s="743" t="s">
        <v>1346</v>
      </c>
      <c r="I2561" s="744">
        <f t="shared" si="84"/>
        <v>30</v>
      </c>
      <c r="J2561" s="779" t="s">
        <v>131</v>
      </c>
      <c r="K2561" s="744">
        <f t="shared" si="83"/>
        <v>120</v>
      </c>
    </row>
    <row r="2562" spans="1:11" hidden="1">
      <c r="A2562" s="978"/>
      <c r="F2562" s="744">
        <v>1</v>
      </c>
      <c r="G2562" s="742" t="s">
        <v>131</v>
      </c>
      <c r="H2562" s="743" t="s">
        <v>1348</v>
      </c>
      <c r="I2562" s="744">
        <f t="shared" si="84"/>
        <v>95</v>
      </c>
      <c r="J2562" s="779" t="s">
        <v>131</v>
      </c>
      <c r="K2562" s="744">
        <f t="shared" si="83"/>
        <v>95</v>
      </c>
    </row>
    <row r="2563" spans="1:11" hidden="1">
      <c r="A2563" s="978"/>
      <c r="F2563" s="744">
        <v>2</v>
      </c>
      <c r="G2563" s="742" t="s">
        <v>131</v>
      </c>
      <c r="H2563" s="743" t="s">
        <v>1350</v>
      </c>
      <c r="I2563" s="744">
        <f t="shared" si="84"/>
        <v>8</v>
      </c>
      <c r="J2563" s="779" t="s">
        <v>131</v>
      </c>
      <c r="K2563" s="744">
        <f t="shared" si="83"/>
        <v>16</v>
      </c>
    </row>
    <row r="2564" spans="1:11" hidden="1">
      <c r="A2564" s="978"/>
      <c r="F2564" s="744">
        <v>2</v>
      </c>
      <c r="G2564" s="742" t="s">
        <v>131</v>
      </c>
      <c r="H2564" s="743" t="s">
        <v>455</v>
      </c>
      <c r="I2564" s="744">
        <f t="shared" si="84"/>
        <v>25</v>
      </c>
      <c r="J2564" s="779" t="s">
        <v>131</v>
      </c>
      <c r="K2564" s="744">
        <f t="shared" si="83"/>
        <v>50</v>
      </c>
    </row>
    <row r="2565" spans="1:11" hidden="1">
      <c r="A2565" s="978"/>
      <c r="F2565"/>
      <c r="G2565" s="721"/>
      <c r="H2565"/>
      <c r="I2565"/>
      <c r="J2565" s="805"/>
      <c r="K2565" s="776" t="s">
        <v>52</v>
      </c>
    </row>
    <row r="2566" spans="1:11" hidden="1">
      <c r="A2566" s="978"/>
      <c r="F2566"/>
      <c r="G2566" s="721"/>
      <c r="H2566" s="743" t="s">
        <v>2181</v>
      </c>
      <c r="I2566"/>
      <c r="J2566" s="805"/>
      <c r="K2566" s="744">
        <f>SUM(K2554:K2564)</f>
        <v>7158.79</v>
      </c>
    </row>
    <row r="2567" spans="1:11" hidden="1">
      <c r="A2567" s="978"/>
      <c r="F2567"/>
      <c r="G2567" s="721"/>
      <c r="H2567"/>
      <c r="I2567"/>
      <c r="J2567" s="805"/>
      <c r="K2567" s="776" t="s">
        <v>52</v>
      </c>
    </row>
    <row r="2568" spans="1:11" hidden="1">
      <c r="A2568" s="978"/>
      <c r="F2568"/>
      <c r="G2568" s="721"/>
      <c r="H2568" s="743" t="s">
        <v>460</v>
      </c>
      <c r="I2568"/>
      <c r="J2568" s="805"/>
      <c r="K2568" s="744">
        <f>K2566/F2558</f>
        <v>2525.15</v>
      </c>
    </row>
    <row r="2569" spans="1:11" hidden="1">
      <c r="A2569" s="978"/>
      <c r="F2569"/>
      <c r="G2569" s="721"/>
      <c r="H2569" s="743"/>
      <c r="I2569"/>
      <c r="J2569" s="805"/>
      <c r="K2569" s="776" t="s">
        <v>89</v>
      </c>
    </row>
    <row r="2570" spans="1:11" hidden="1">
      <c r="A2570" s="978"/>
      <c r="F2570"/>
      <c r="G2570" s="721"/>
      <c r="H2570" s="709" t="s">
        <v>2182</v>
      </c>
      <c r="I2570"/>
      <c r="J2570" s="805"/>
      <c r="K2570"/>
    </row>
    <row r="2571" spans="1:11" hidden="1">
      <c r="A2571" s="978"/>
      <c r="F2571"/>
      <c r="G2571" s="721"/>
      <c r="H2571" s="776" t="s">
        <v>52</v>
      </c>
      <c r="I2571"/>
      <c r="J2571" s="805"/>
      <c r="K2571"/>
    </row>
    <row r="2572" spans="1:11" hidden="1">
      <c r="A2572" s="978"/>
      <c r="F2572"/>
      <c r="G2572" s="721"/>
      <c r="H2572" s="743" t="s">
        <v>2183</v>
      </c>
      <c r="I2572"/>
      <c r="J2572" s="1052"/>
      <c r="K2572"/>
    </row>
    <row r="2573" spans="1:11" hidden="1">
      <c r="A2573" s="978"/>
      <c r="F2573"/>
      <c r="G2573" s="721"/>
      <c r="H2573" s="743" t="s">
        <v>2175</v>
      </c>
      <c r="I2573"/>
      <c r="J2573" s="805"/>
      <c r="K2573"/>
    </row>
    <row r="2574" spans="1:11" hidden="1">
      <c r="A2574" s="978"/>
      <c r="F2574"/>
      <c r="G2574" s="721"/>
      <c r="H2574"/>
      <c r="I2574"/>
      <c r="J2574" s="779" t="s">
        <v>52</v>
      </c>
      <c r="K2574"/>
    </row>
    <row r="2575" spans="1:11" hidden="1">
      <c r="A2575" s="978"/>
      <c r="F2575"/>
      <c r="G2575" s="721"/>
      <c r="H2575" s="743" t="s">
        <v>2184</v>
      </c>
      <c r="I2575"/>
      <c r="J2575" s="805"/>
      <c r="K2575"/>
    </row>
    <row r="2576" spans="1:11" hidden="1">
      <c r="A2576" s="978"/>
      <c r="F2576"/>
      <c r="G2576" s="721"/>
      <c r="H2576" s="743" t="s">
        <v>2185</v>
      </c>
      <c r="I2576"/>
      <c r="J2576" s="805"/>
      <c r="K2576" s="982">
        <v>2.5000000000000001E-2</v>
      </c>
    </row>
    <row r="2577" spans="1:11" hidden="1">
      <c r="A2577" s="978"/>
      <c r="F2577"/>
      <c r="G2577" s="721"/>
      <c r="H2577"/>
      <c r="I2577"/>
      <c r="J2577" s="779" t="s">
        <v>85</v>
      </c>
      <c r="K2577" s="776" t="s">
        <v>52</v>
      </c>
    </row>
    <row r="2578" spans="1:11" hidden="1">
      <c r="A2578" s="978"/>
      <c r="F2578"/>
      <c r="G2578" s="721"/>
      <c r="H2578" s="743" t="s">
        <v>2186</v>
      </c>
      <c r="I2578"/>
      <c r="J2578" s="983" t="s">
        <v>85</v>
      </c>
      <c r="K2578" s="982">
        <v>1.7850000000000001E-2</v>
      </c>
    </row>
    <row r="2579" spans="1:11" hidden="1">
      <c r="A2579" s="978"/>
      <c r="F2579"/>
      <c r="G2579" s="721"/>
      <c r="H2579" s="743" t="s">
        <v>2187</v>
      </c>
      <c r="I2579"/>
      <c r="J2579" s="779" t="s">
        <v>85</v>
      </c>
      <c r="K2579" s="982">
        <v>1.4500000000000001E-2</v>
      </c>
    </row>
    <row r="2580" spans="1:11" hidden="1">
      <c r="A2580" s="978"/>
      <c r="F2580"/>
      <c r="G2580" s="721"/>
      <c r="H2580"/>
      <c r="I2580"/>
      <c r="J2580" s="805"/>
      <c r="K2580" s="776" t="s">
        <v>52</v>
      </c>
    </row>
    <row r="2581" spans="1:11" hidden="1">
      <c r="A2581" s="978"/>
      <c r="F2581"/>
      <c r="G2581" s="721"/>
      <c r="H2581"/>
      <c r="I2581"/>
      <c r="J2581" s="805"/>
      <c r="K2581" s="982">
        <v>2.23E-2</v>
      </c>
    </row>
    <row r="2582" spans="1:11" hidden="1">
      <c r="A2582" s="978"/>
      <c r="F2582"/>
      <c r="G2582" s="721"/>
      <c r="H2582"/>
      <c r="I2582"/>
      <c r="J2582" s="805"/>
      <c r="K2582" s="776" t="s">
        <v>52</v>
      </c>
    </row>
    <row r="2583" spans="1:11" hidden="1">
      <c r="A2583" s="978"/>
      <c r="F2583"/>
      <c r="G2583" s="721"/>
      <c r="H2583"/>
      <c r="I2583"/>
      <c r="J2583" s="805"/>
      <c r="K2583"/>
    </row>
    <row r="2584" spans="1:11" hidden="1">
      <c r="A2584" s="978"/>
      <c r="F2584"/>
      <c r="G2584" s="721"/>
      <c r="H2584"/>
      <c r="I2584"/>
      <c r="J2584" s="805"/>
      <c r="K2584"/>
    </row>
    <row r="2585" spans="1:11" hidden="1">
      <c r="A2585" s="978"/>
      <c r="F2585" s="982">
        <v>2.2800000000000001E-2</v>
      </c>
      <c r="G2585" s="742" t="s">
        <v>132</v>
      </c>
      <c r="H2585" s="743" t="s">
        <v>1332</v>
      </c>
      <c r="I2585" s="744">
        <f>I2554</f>
        <v>65420</v>
      </c>
      <c r="J2585" s="779" t="s">
        <v>132</v>
      </c>
      <c r="K2585" s="744">
        <f>(F2585*I2585)</f>
        <v>1491.58</v>
      </c>
    </row>
    <row r="2586" spans="1:11" hidden="1">
      <c r="A2586" s="978"/>
      <c r="F2586" s="982">
        <v>2.5000000000000001E-2</v>
      </c>
      <c r="G2586" s="742" t="s">
        <v>132</v>
      </c>
      <c r="H2586" s="743" t="s">
        <v>1334</v>
      </c>
      <c r="I2586" s="744">
        <f>I2555</f>
        <v>57165</v>
      </c>
      <c r="J2586" s="779" t="s">
        <v>132</v>
      </c>
      <c r="K2586" s="744">
        <f>(F2586*I2586)</f>
        <v>1429.13</v>
      </c>
    </row>
    <row r="2587" spans="1:11" hidden="1">
      <c r="A2587" s="978"/>
      <c r="F2587" s="982">
        <v>2.23E-2</v>
      </c>
      <c r="G2587" s="742" t="s">
        <v>132</v>
      </c>
      <c r="H2587" s="743" t="s">
        <v>1336</v>
      </c>
      <c r="I2587" s="744">
        <f>I2556</f>
        <v>63870</v>
      </c>
      <c r="J2587" s="779" t="s">
        <v>132</v>
      </c>
      <c r="K2587" s="744">
        <f>(F2587*I2587)</f>
        <v>1424.3</v>
      </c>
    </row>
    <row r="2588" spans="1:11" hidden="1">
      <c r="A2588" s="978"/>
      <c r="F2588" s="741"/>
      <c r="G2588" s="721"/>
      <c r="H2588" s="743" t="s">
        <v>2180</v>
      </c>
      <c r="I2588" s="744"/>
      <c r="J2588" s="805"/>
      <c r="K2588" s="743" t="s">
        <v>85</v>
      </c>
    </row>
    <row r="2589" spans="1:11" hidden="1">
      <c r="A2589" s="978"/>
      <c r="F2589" s="741">
        <v>2.2275</v>
      </c>
      <c r="G2589" s="742" t="s">
        <v>425</v>
      </c>
      <c r="H2589" s="743" t="s">
        <v>1340</v>
      </c>
      <c r="I2589" s="744">
        <f t="shared" ref="I2589:I2595" si="85">I2558</f>
        <v>342</v>
      </c>
      <c r="J2589" s="779" t="s">
        <v>425</v>
      </c>
      <c r="K2589" s="744">
        <f t="shared" ref="K2589:K2595" si="86">(F2589*I2589)</f>
        <v>761.81</v>
      </c>
    </row>
    <row r="2590" spans="1:11" hidden="1">
      <c r="A2590" s="978"/>
      <c r="F2590" s="744">
        <v>2</v>
      </c>
      <c r="G2590" s="742" t="s">
        <v>237</v>
      </c>
      <c r="H2590" s="743" t="s">
        <v>1342</v>
      </c>
      <c r="I2590" s="744">
        <f t="shared" si="85"/>
        <v>30</v>
      </c>
      <c r="J2590" s="779" t="s">
        <v>131</v>
      </c>
      <c r="K2590" s="744">
        <f t="shared" si="86"/>
        <v>60</v>
      </c>
    </row>
    <row r="2591" spans="1:11" hidden="1">
      <c r="A2591" s="978"/>
      <c r="F2591" s="744">
        <v>6</v>
      </c>
      <c r="G2591" s="742" t="s">
        <v>131</v>
      </c>
      <c r="H2591" s="743" t="s">
        <v>1344</v>
      </c>
      <c r="I2591" s="744">
        <f t="shared" si="85"/>
        <v>45</v>
      </c>
      <c r="J2591" s="779" t="s">
        <v>131</v>
      </c>
      <c r="K2591" s="744">
        <f t="shared" si="86"/>
        <v>270</v>
      </c>
    </row>
    <row r="2592" spans="1:11" hidden="1">
      <c r="A2592" s="978"/>
      <c r="F2592" s="744">
        <v>4</v>
      </c>
      <c r="G2592" s="742" t="s">
        <v>131</v>
      </c>
      <c r="H2592" s="743" t="s">
        <v>1346</v>
      </c>
      <c r="I2592" s="744">
        <f t="shared" si="85"/>
        <v>30</v>
      </c>
      <c r="J2592" s="779" t="s">
        <v>131</v>
      </c>
      <c r="K2592" s="744">
        <f t="shared" si="86"/>
        <v>120</v>
      </c>
    </row>
    <row r="2593" spans="1:11" hidden="1">
      <c r="A2593" s="978"/>
      <c r="F2593" s="744">
        <v>1</v>
      </c>
      <c r="G2593" s="742" t="s">
        <v>131</v>
      </c>
      <c r="H2593" s="743" t="s">
        <v>1348</v>
      </c>
      <c r="I2593" s="744">
        <f t="shared" si="85"/>
        <v>95</v>
      </c>
      <c r="J2593" s="779" t="s">
        <v>131</v>
      </c>
      <c r="K2593" s="744">
        <f t="shared" si="86"/>
        <v>95</v>
      </c>
    </row>
    <row r="2594" spans="1:11" hidden="1">
      <c r="A2594" s="978"/>
      <c r="F2594" s="744">
        <v>2</v>
      </c>
      <c r="G2594" s="742" t="s">
        <v>131</v>
      </c>
      <c r="H2594" s="743" t="s">
        <v>1350</v>
      </c>
      <c r="I2594" s="744">
        <f t="shared" si="85"/>
        <v>8</v>
      </c>
      <c r="J2594" s="779" t="s">
        <v>131</v>
      </c>
      <c r="K2594" s="744">
        <f t="shared" si="86"/>
        <v>16</v>
      </c>
    </row>
    <row r="2595" spans="1:11" hidden="1">
      <c r="A2595" s="978"/>
      <c r="F2595" s="744">
        <v>2</v>
      </c>
      <c r="G2595" s="742" t="s">
        <v>131</v>
      </c>
      <c r="H2595" s="743" t="s">
        <v>455</v>
      </c>
      <c r="I2595" s="744">
        <f t="shared" si="85"/>
        <v>25</v>
      </c>
      <c r="J2595" s="779" t="s">
        <v>131</v>
      </c>
      <c r="K2595" s="744">
        <f t="shared" si="86"/>
        <v>50</v>
      </c>
    </row>
    <row r="2596" spans="1:11" hidden="1">
      <c r="A2596" s="978"/>
      <c r="F2596"/>
      <c r="G2596" s="721"/>
      <c r="H2596"/>
      <c r="I2596"/>
      <c r="J2596" s="805"/>
      <c r="K2596" s="776" t="s">
        <v>52</v>
      </c>
    </row>
    <row r="2597" spans="1:11" hidden="1">
      <c r="A2597" s="978"/>
      <c r="F2597"/>
      <c r="G2597" s="721"/>
      <c r="H2597" s="743" t="s">
        <v>2188</v>
      </c>
      <c r="I2597"/>
      <c r="J2597" s="805"/>
      <c r="K2597" s="744">
        <f>SUM(K2585:K2595)</f>
        <v>5717.82</v>
      </c>
    </row>
    <row r="2598" spans="1:11" hidden="1">
      <c r="A2598" s="978"/>
      <c r="F2598"/>
      <c r="G2598" s="721"/>
      <c r="H2598"/>
      <c r="I2598"/>
      <c r="J2598" s="805"/>
      <c r="K2598" s="776" t="s">
        <v>52</v>
      </c>
    </row>
    <row r="2599" spans="1:11" hidden="1">
      <c r="A2599" s="978"/>
      <c r="F2599"/>
      <c r="G2599" s="721"/>
      <c r="H2599" s="743" t="s">
        <v>460</v>
      </c>
      <c r="I2599"/>
      <c r="J2599" s="805"/>
      <c r="K2599" s="744">
        <f>K2597/F2589</f>
        <v>2566.92</v>
      </c>
    </row>
    <row r="2600" spans="1:11" hidden="1">
      <c r="A2600" s="978"/>
      <c r="F2600"/>
      <c r="G2600" s="721"/>
      <c r="H2600" s="743"/>
      <c r="I2600"/>
      <c r="J2600" s="805"/>
      <c r="K2600" s="776" t="s">
        <v>89</v>
      </c>
    </row>
    <row r="2601" spans="1:11" hidden="1">
      <c r="A2601" s="978"/>
      <c r="F2601"/>
      <c r="G2601" s="721"/>
      <c r="H2601"/>
      <c r="I2601"/>
      <c r="J2601" s="805"/>
      <c r="K2601"/>
    </row>
    <row r="2602" spans="1:11" hidden="1">
      <c r="A2602" s="978"/>
      <c r="F2602">
        <v>55.2</v>
      </c>
      <c r="G2602" s="721"/>
      <c r="H2602" s="805" t="s">
        <v>2189</v>
      </c>
      <c r="I2602"/>
      <c r="J2602" s="805"/>
      <c r="K2602"/>
    </row>
    <row r="2603" spans="1:11" hidden="1">
      <c r="A2603" s="978"/>
      <c r="F2603"/>
      <c r="G2603" s="721"/>
      <c r="H2603" s="1053" t="s">
        <v>52</v>
      </c>
      <c r="I2603"/>
      <c r="J2603" s="805"/>
      <c r="K2603"/>
    </row>
    <row r="2604" spans="1:11" hidden="1">
      <c r="A2604" s="978"/>
      <c r="F2604">
        <v>1</v>
      </c>
      <c r="G2604" s="721" t="s">
        <v>1034</v>
      </c>
      <c r="H2604" t="s">
        <v>2190</v>
      </c>
      <c r="I2604">
        <v>650</v>
      </c>
      <c r="J2604" s="805" t="s">
        <v>1034</v>
      </c>
      <c r="K2604">
        <f>F2604*I2604</f>
        <v>650</v>
      </c>
    </row>
    <row r="2605" spans="1:11" hidden="1">
      <c r="A2605" s="978"/>
      <c r="F2605">
        <v>0.5</v>
      </c>
      <c r="G2605" s="721" t="s">
        <v>1034</v>
      </c>
      <c r="H2605" t="s">
        <v>2191</v>
      </c>
      <c r="I2605">
        <f>C15</f>
        <v>130</v>
      </c>
      <c r="J2605" s="805" t="s">
        <v>1034</v>
      </c>
      <c r="K2605">
        <f>F2605*I2605</f>
        <v>65</v>
      </c>
    </row>
    <row r="2606" spans="1:11" hidden="1">
      <c r="A2606" s="978"/>
      <c r="F2606">
        <v>0.5</v>
      </c>
      <c r="G2606" s="721" t="s">
        <v>1034</v>
      </c>
      <c r="H2606" t="s">
        <v>2192</v>
      </c>
      <c r="I2606">
        <f>C10</f>
        <v>150</v>
      </c>
      <c r="J2606" s="805" t="s">
        <v>1034</v>
      </c>
      <c r="K2606">
        <f>F2606*I2606</f>
        <v>75</v>
      </c>
    </row>
    <row r="2607" spans="1:11" hidden="1">
      <c r="A2607" s="978"/>
      <c r="F2607">
        <v>0.5</v>
      </c>
      <c r="G2607" s="721" t="s">
        <v>1034</v>
      </c>
      <c r="H2607" t="s">
        <v>2052</v>
      </c>
      <c r="I2607">
        <f>C12</f>
        <v>95</v>
      </c>
      <c r="J2607" s="805" t="s">
        <v>1034</v>
      </c>
      <c r="K2607">
        <f>F2607*I2607</f>
        <v>47.5</v>
      </c>
    </row>
    <row r="2608" spans="1:11" hidden="1">
      <c r="A2608" s="978"/>
      <c r="F2608"/>
      <c r="G2608" s="721"/>
      <c r="H2608"/>
      <c r="I2608"/>
      <c r="J2608" s="805"/>
      <c r="K2608" s="1049" t="s">
        <v>52</v>
      </c>
    </row>
    <row r="2609" spans="1:11" hidden="1">
      <c r="A2609" s="978"/>
      <c r="F2609"/>
      <c r="G2609" s="721"/>
      <c r="H2609"/>
      <c r="I2609"/>
      <c r="J2609" s="805"/>
      <c r="K2609">
        <f>SUM(K2604:K2608)</f>
        <v>837.5</v>
      </c>
    </row>
    <row r="2610" spans="1:11" hidden="1">
      <c r="A2610" s="978"/>
      <c r="F2610"/>
      <c r="G2610" s="721"/>
      <c r="H2610"/>
      <c r="I2610"/>
      <c r="J2610" s="805"/>
      <c r="K2610" s="1049" t="s">
        <v>89</v>
      </c>
    </row>
    <row r="2611" spans="1:11" hidden="1">
      <c r="A2611" s="978"/>
      <c r="F2611">
        <v>44.2</v>
      </c>
      <c r="G2611" s="721" t="s">
        <v>111</v>
      </c>
      <c r="H2611" t="s">
        <v>2193</v>
      </c>
      <c r="I2611"/>
      <c r="J2611" s="805"/>
      <c r="K2611"/>
    </row>
    <row r="2612" spans="1:11" hidden="1">
      <c r="A2612" s="978"/>
      <c r="F2612"/>
      <c r="G2612" s="721"/>
      <c r="H2612" s="1157" t="s">
        <v>2158</v>
      </c>
      <c r="I2612"/>
      <c r="J2612" s="805"/>
      <c r="K2612"/>
    </row>
    <row r="2613" spans="1:11" hidden="1">
      <c r="A2613" s="978"/>
      <c r="F2613">
        <v>0.47</v>
      </c>
      <c r="G2613" s="721" t="s">
        <v>34</v>
      </c>
      <c r="H2613" t="s">
        <v>1767</v>
      </c>
      <c r="I2613">
        <f>K88</f>
        <v>52.93</v>
      </c>
      <c r="J2613" s="805" t="s">
        <v>5</v>
      </c>
      <c r="K2613">
        <f>I2613*F2613</f>
        <v>24.88</v>
      </c>
    </row>
    <row r="2614" spans="1:11" hidden="1">
      <c r="A2614" s="978"/>
      <c r="F2614">
        <v>4.9000000000000004</v>
      </c>
      <c r="G2614" s="721" t="s">
        <v>13</v>
      </c>
      <c r="H2614" t="s">
        <v>2194</v>
      </c>
      <c r="I2614">
        <f>K2629</f>
        <v>50.58</v>
      </c>
      <c r="J2614" s="805" t="s">
        <v>13</v>
      </c>
      <c r="K2614">
        <f>I2614*F2614</f>
        <v>247.84</v>
      </c>
    </row>
    <row r="2615" spans="1:11" hidden="1">
      <c r="A2615" s="978"/>
      <c r="F2615">
        <v>0.59</v>
      </c>
      <c r="G2615" s="721" t="s">
        <v>34</v>
      </c>
      <c r="H2615" t="s">
        <v>2195</v>
      </c>
      <c r="I2615" t="e">
        <f>AC15</f>
        <v>#REF!</v>
      </c>
      <c r="J2615" s="805" t="s">
        <v>5</v>
      </c>
      <c r="K2615" t="e">
        <f>I2615*F2615</f>
        <v>#REF!</v>
      </c>
    </row>
    <row r="2616" spans="1:11" hidden="1">
      <c r="A2616" s="978"/>
      <c r="F2616">
        <v>0.79</v>
      </c>
      <c r="G2616" s="721" t="s">
        <v>724</v>
      </c>
      <c r="H2616" t="s">
        <v>2196</v>
      </c>
      <c r="I2616" t="e">
        <f>K630</f>
        <v>#REF!</v>
      </c>
      <c r="J2616" s="805" t="s">
        <v>724</v>
      </c>
      <c r="K2616" t="e">
        <f>I2616*F2616</f>
        <v>#REF!</v>
      </c>
    </row>
    <row r="2617" spans="1:11" hidden="1">
      <c r="A2617" s="978"/>
      <c r="F2617">
        <v>0.24</v>
      </c>
      <c r="G2617" s="721" t="s">
        <v>34</v>
      </c>
      <c r="H2617" t="s">
        <v>475</v>
      </c>
      <c r="I2617" t="e">
        <f>AC17</f>
        <v>#REF!</v>
      </c>
      <c r="J2617" s="805" t="s">
        <v>5</v>
      </c>
      <c r="K2617" t="e">
        <f>I2617*F2617</f>
        <v>#REF!</v>
      </c>
    </row>
    <row r="2618" spans="1:11" hidden="1">
      <c r="A2618" s="978"/>
      <c r="F2618"/>
      <c r="G2618" s="721"/>
      <c r="H2618" t="s">
        <v>1557</v>
      </c>
      <c r="I2618"/>
      <c r="J2618" s="805"/>
      <c r="K2618"/>
    </row>
    <row r="2619" spans="1:11" hidden="1">
      <c r="A2619" s="978"/>
      <c r="F2619"/>
      <c r="G2619" s="721"/>
      <c r="H2619"/>
      <c r="I2619"/>
      <c r="J2619" s="805"/>
      <c r="K2619" s="1157" t="s">
        <v>2197</v>
      </c>
    </row>
    <row r="2620" spans="1:11" hidden="1">
      <c r="A2620" s="978"/>
      <c r="F2620"/>
      <c r="G2620" s="721"/>
      <c r="H2620"/>
      <c r="I2620"/>
      <c r="J2620" s="805"/>
      <c r="K2620" t="e">
        <f>SUM(K2613:K2619)</f>
        <v>#REF!</v>
      </c>
    </row>
    <row r="2621" spans="1:11" hidden="1">
      <c r="A2621" s="978"/>
      <c r="F2621"/>
      <c r="G2621" s="721"/>
      <c r="H2621"/>
      <c r="I2621"/>
      <c r="J2621" s="805"/>
      <c r="K2621" s="1157" t="s">
        <v>1649</v>
      </c>
    </row>
    <row r="2622" spans="1:11" hidden="1">
      <c r="A2622" s="978"/>
      <c r="F2622"/>
      <c r="G2622" s="721"/>
      <c r="H2622" s="1054" t="s">
        <v>2198</v>
      </c>
      <c r="I2622"/>
      <c r="J2622" s="805"/>
      <c r="K2622"/>
    </row>
    <row r="2623" spans="1:11" hidden="1">
      <c r="A2623" s="978"/>
      <c r="F2623"/>
      <c r="G2623" s="721"/>
      <c r="H2623"/>
      <c r="I2623"/>
      <c r="J2623" s="805"/>
      <c r="K2623"/>
    </row>
    <row r="2624" spans="1:11" hidden="1">
      <c r="A2624" s="978"/>
      <c r="F2624">
        <v>0.25</v>
      </c>
      <c r="G2624" s="721" t="s">
        <v>1034</v>
      </c>
      <c r="H2624" t="s">
        <v>42</v>
      </c>
      <c r="I2624">
        <f>C11</f>
        <v>135</v>
      </c>
      <c r="J2624" s="805" t="s">
        <v>729</v>
      </c>
      <c r="K2624">
        <f>I2624*F2624</f>
        <v>33.75</v>
      </c>
    </row>
    <row r="2625" spans="1:11" hidden="1">
      <c r="A2625" s="978"/>
      <c r="F2625">
        <v>1</v>
      </c>
      <c r="G2625" s="721" t="s">
        <v>1034</v>
      </c>
      <c r="H2625" t="s">
        <v>2199</v>
      </c>
      <c r="I2625">
        <f>C12</f>
        <v>95</v>
      </c>
      <c r="J2625" s="805" t="s">
        <v>729</v>
      </c>
      <c r="K2625">
        <f>I2625*F2625</f>
        <v>95</v>
      </c>
    </row>
    <row r="2626" spans="1:11" hidden="1">
      <c r="A2626" s="978"/>
      <c r="F2626">
        <v>1</v>
      </c>
      <c r="G2626" s="721"/>
      <c r="H2626" t="s">
        <v>2200</v>
      </c>
      <c r="I2626">
        <v>23</v>
      </c>
      <c r="J2626" s="805" t="s">
        <v>145</v>
      </c>
      <c r="K2626">
        <f>I2626*F2626</f>
        <v>23</v>
      </c>
    </row>
    <row r="2627" spans="1:11" hidden="1">
      <c r="A2627" s="978"/>
      <c r="F2627"/>
      <c r="G2627" s="721"/>
      <c r="H2627"/>
      <c r="I2627"/>
      <c r="J2627" s="805"/>
      <c r="K2627" s="1157" t="s">
        <v>2197</v>
      </c>
    </row>
    <row r="2628" spans="1:11" hidden="1">
      <c r="A2628" s="978"/>
      <c r="F2628"/>
      <c r="G2628" s="721"/>
      <c r="H2628" t="s">
        <v>2201</v>
      </c>
      <c r="I2628"/>
      <c r="J2628" s="805"/>
      <c r="K2628">
        <f>SUM(K2624:K2627)</f>
        <v>151.75</v>
      </c>
    </row>
    <row r="2629" spans="1:11" hidden="1">
      <c r="A2629" s="978"/>
      <c r="F2629"/>
      <c r="G2629" s="721"/>
      <c r="H2629" t="s">
        <v>2202</v>
      </c>
      <c r="I2629"/>
      <c r="J2629" s="805"/>
      <c r="K2629">
        <f>K2628/3</f>
        <v>50.58</v>
      </c>
    </row>
    <row r="2630" spans="1:11" hidden="1">
      <c r="A2630" s="978"/>
      <c r="F2630"/>
      <c r="G2630" s="721"/>
      <c r="H2630"/>
      <c r="I2630"/>
      <c r="J2630" s="805"/>
      <c r="K2630" s="1049" t="s">
        <v>52</v>
      </c>
    </row>
    <row r="2631" spans="1:11" ht="40.5" hidden="1" customHeight="1">
      <c r="A2631" s="978"/>
      <c r="F2631">
        <v>84</v>
      </c>
      <c r="G2631" s="721"/>
      <c r="H2631" s="1047" t="s">
        <v>2203</v>
      </c>
      <c r="I2631"/>
      <c r="J2631" s="805"/>
      <c r="K2631"/>
    </row>
    <row r="2632" spans="1:11" hidden="1">
      <c r="A2632" s="978"/>
      <c r="F2632"/>
      <c r="G2632" s="721"/>
      <c r="H2632" s="1049" t="s">
        <v>52</v>
      </c>
      <c r="I2632"/>
      <c r="J2632" s="805"/>
      <c r="K2632"/>
    </row>
    <row r="2633" spans="1:11" ht="31.5" hidden="1">
      <c r="A2633" s="978"/>
      <c r="F2633" s="1047">
        <v>180</v>
      </c>
      <c r="G2633" s="1047" t="s">
        <v>13</v>
      </c>
      <c r="H2633" s="1047" t="s">
        <v>2204</v>
      </c>
      <c r="I2633" s="1047">
        <v>15.6</v>
      </c>
      <c r="J2633" s="1047" t="s">
        <v>13</v>
      </c>
      <c r="K2633" s="1047">
        <f t="shared" ref="K2633:K2640" si="87">I2633*F2633</f>
        <v>2808</v>
      </c>
    </row>
    <row r="2634" spans="1:11" hidden="1">
      <c r="A2634" s="978"/>
      <c r="F2634" s="1047">
        <v>4</v>
      </c>
      <c r="G2634" s="1047" t="s">
        <v>39</v>
      </c>
      <c r="H2634" s="1047" t="s">
        <v>2205</v>
      </c>
      <c r="I2634" s="1047">
        <v>37</v>
      </c>
      <c r="J2634" s="1047" t="s">
        <v>39</v>
      </c>
      <c r="K2634" s="1047">
        <f t="shared" si="87"/>
        <v>148</v>
      </c>
    </row>
    <row r="2635" spans="1:11" hidden="1">
      <c r="A2635" s="978"/>
      <c r="F2635" s="1047">
        <v>180</v>
      </c>
      <c r="G2635" s="1047" t="s">
        <v>41</v>
      </c>
      <c r="H2635" s="1047" t="s">
        <v>2206</v>
      </c>
      <c r="I2635" s="1047">
        <v>0.25</v>
      </c>
      <c r="J2635" s="1047" t="s">
        <v>729</v>
      </c>
      <c r="K2635" s="1047">
        <f t="shared" si="87"/>
        <v>45</v>
      </c>
    </row>
    <row r="2636" spans="1:11" hidden="1">
      <c r="A2636" s="978"/>
      <c r="F2636" s="1047">
        <v>1</v>
      </c>
      <c r="G2636" s="1047" t="s">
        <v>39</v>
      </c>
      <c r="H2636" s="1047" t="s">
        <v>2207</v>
      </c>
      <c r="I2636" s="1047">
        <v>37</v>
      </c>
      <c r="J2636" s="1047" t="s">
        <v>39</v>
      </c>
      <c r="K2636" s="1047">
        <f t="shared" si="87"/>
        <v>37</v>
      </c>
    </row>
    <row r="2637" spans="1:11" hidden="1">
      <c r="A2637" s="978"/>
      <c r="F2637" s="1047">
        <v>1</v>
      </c>
      <c r="G2637" s="1047" t="s">
        <v>41</v>
      </c>
      <c r="H2637" s="1047" t="s">
        <v>2208</v>
      </c>
      <c r="I2637" s="1047">
        <v>148</v>
      </c>
      <c r="J2637" s="1047" t="s">
        <v>729</v>
      </c>
      <c r="K2637" s="1047">
        <f t="shared" si="87"/>
        <v>148</v>
      </c>
    </row>
    <row r="2638" spans="1:11" hidden="1">
      <c r="A2638" s="978"/>
      <c r="F2638" s="1047">
        <v>2</v>
      </c>
      <c r="G2638" s="1047" t="s">
        <v>41</v>
      </c>
      <c r="H2638" s="1047" t="s">
        <v>2209</v>
      </c>
      <c r="I2638" s="1047">
        <v>131</v>
      </c>
      <c r="J2638" s="1047" t="s">
        <v>729</v>
      </c>
      <c r="K2638" s="1047">
        <f t="shared" si="87"/>
        <v>262</v>
      </c>
    </row>
    <row r="2639" spans="1:11" hidden="1">
      <c r="A2639" s="978"/>
      <c r="F2639" s="1047">
        <v>2</v>
      </c>
      <c r="G2639" s="1047" t="s">
        <v>41</v>
      </c>
      <c r="H2639" s="1047" t="s">
        <v>2210</v>
      </c>
      <c r="I2639" s="1047">
        <v>117</v>
      </c>
      <c r="J2639" s="1047" t="s">
        <v>729</v>
      </c>
      <c r="K2639" s="1047">
        <f t="shared" si="87"/>
        <v>234</v>
      </c>
    </row>
    <row r="2640" spans="1:11" hidden="1">
      <c r="A2640" s="978"/>
      <c r="F2640" s="1047">
        <v>3</v>
      </c>
      <c r="G2640" s="1047" t="s">
        <v>41</v>
      </c>
      <c r="H2640" s="1047" t="s">
        <v>2166</v>
      </c>
      <c r="I2640" s="1047">
        <v>91</v>
      </c>
      <c r="J2640" s="1047" t="s">
        <v>729</v>
      </c>
      <c r="K2640" s="1047">
        <f t="shared" si="87"/>
        <v>273</v>
      </c>
    </row>
    <row r="2641" spans="1:11" hidden="1">
      <c r="A2641" s="978"/>
      <c r="F2641" s="1047"/>
      <c r="G2641" s="1047"/>
      <c r="H2641" s="1047" t="s">
        <v>2211</v>
      </c>
      <c r="I2641" s="1047"/>
      <c r="J2641" s="1047"/>
      <c r="K2641" s="1047">
        <v>5</v>
      </c>
    </row>
    <row r="2642" spans="1:11" hidden="1">
      <c r="A2642" s="978"/>
      <c r="F2642" s="1047"/>
      <c r="G2642" s="1047"/>
      <c r="H2642" s="1047"/>
      <c r="I2642" s="1047"/>
      <c r="J2642" s="1047"/>
      <c r="K2642" s="1056" t="s">
        <v>52</v>
      </c>
    </row>
    <row r="2643" spans="1:11" hidden="1">
      <c r="A2643" s="978"/>
      <c r="F2643" s="1047"/>
      <c r="G2643" s="1047"/>
      <c r="H2643" s="1047" t="s">
        <v>2212</v>
      </c>
      <c r="I2643" s="1047"/>
      <c r="J2643" s="1047"/>
      <c r="K2643" s="1047">
        <f>SUM(K2633:K2642)</f>
        <v>3960</v>
      </c>
    </row>
    <row r="2644" spans="1:11" hidden="1">
      <c r="A2644" s="978"/>
      <c r="F2644" s="1047"/>
      <c r="G2644" s="1047"/>
      <c r="H2644" s="1047"/>
      <c r="I2644" s="1047"/>
      <c r="J2644" s="1047"/>
      <c r="K2644" s="1056" t="s">
        <v>52</v>
      </c>
    </row>
    <row r="2645" spans="1:11" hidden="1">
      <c r="A2645" s="978"/>
      <c r="F2645" s="1047"/>
      <c r="G2645" s="1047"/>
      <c r="H2645" s="1047" t="s">
        <v>2213</v>
      </c>
      <c r="I2645" s="1047"/>
      <c r="J2645" s="1047"/>
      <c r="K2645" s="1047">
        <f>K2643/90</f>
        <v>44</v>
      </c>
    </row>
    <row r="2646" spans="1:11" hidden="1">
      <c r="A2646" s="978"/>
      <c r="F2646" s="1047"/>
      <c r="G2646" s="1047"/>
      <c r="H2646" s="1047"/>
      <c r="I2646" s="1047"/>
      <c r="J2646" s="1047"/>
      <c r="K2646" s="1056" t="s">
        <v>89</v>
      </c>
    </row>
    <row r="2647" spans="1:11" hidden="1">
      <c r="A2647" s="978"/>
      <c r="F2647" s="1051"/>
      <c r="G2647" s="721"/>
      <c r="H2647" s="743" t="s">
        <v>1525</v>
      </c>
      <c r="I2647"/>
      <c r="J2647" s="805"/>
      <c r="K2647"/>
    </row>
    <row r="2648" spans="1:11" hidden="1">
      <c r="A2648" s="978"/>
      <c r="F2648"/>
      <c r="G2648" s="721"/>
      <c r="H2648" s="776" t="s">
        <v>52</v>
      </c>
      <c r="I2648" s="776" t="s">
        <v>52</v>
      </c>
      <c r="J2648" s="779" t="s">
        <v>52</v>
      </c>
      <c r="K2648"/>
    </row>
    <row r="2649" spans="1:11" hidden="1">
      <c r="A2649" s="978"/>
      <c r="F2649"/>
      <c r="G2649" s="721"/>
      <c r="H2649"/>
      <c r="I2649"/>
      <c r="J2649" s="805"/>
      <c r="K2649"/>
    </row>
    <row r="2650" spans="1:11" hidden="1">
      <c r="A2650" s="978"/>
      <c r="F2650" s="1055">
        <v>22.5</v>
      </c>
      <c r="G2650" s="721"/>
      <c r="H2650" s="743" t="s">
        <v>1526</v>
      </c>
      <c r="I2650"/>
      <c r="J2650" s="805"/>
      <c r="K2650"/>
    </row>
    <row r="2651" spans="1:11" hidden="1">
      <c r="A2651" s="978"/>
      <c r="F2651"/>
      <c r="G2651" s="721"/>
      <c r="H2651" s="743"/>
      <c r="I2651"/>
      <c r="J2651" s="805"/>
      <c r="K2651"/>
    </row>
    <row r="2652" spans="1:11" hidden="1">
      <c r="A2652" s="978"/>
      <c r="F2652"/>
      <c r="G2652" s="721"/>
      <c r="H2652" s="743" t="s">
        <v>1527</v>
      </c>
      <c r="I2652"/>
      <c r="J2652" s="805"/>
      <c r="K2652"/>
    </row>
    <row r="2653" spans="1:11" hidden="1">
      <c r="A2653" s="978"/>
      <c r="F2653"/>
      <c r="G2653" s="721"/>
      <c r="H2653" s="743" t="s">
        <v>1528</v>
      </c>
      <c r="I2653"/>
      <c r="J2653" s="805"/>
      <c r="K2653"/>
    </row>
    <row r="2654" spans="1:11" hidden="1">
      <c r="A2654" s="978"/>
      <c r="F2654"/>
      <c r="G2654" s="721"/>
      <c r="H2654" s="743" t="s">
        <v>1529</v>
      </c>
      <c r="I2654"/>
      <c r="J2654" s="805"/>
      <c r="K2654"/>
    </row>
    <row r="2655" spans="1:11" hidden="1">
      <c r="A2655" s="978"/>
      <c r="F2655"/>
      <c r="G2655" s="721"/>
      <c r="H2655" s="743" t="s">
        <v>1530</v>
      </c>
      <c r="I2655"/>
      <c r="J2655" s="805"/>
      <c r="K2655"/>
    </row>
    <row r="2656" spans="1:11" hidden="1">
      <c r="A2656" s="978"/>
      <c r="F2656"/>
      <c r="G2656" s="721"/>
      <c r="H2656" s="743" t="s">
        <v>2214</v>
      </c>
      <c r="I2656"/>
      <c r="J2656" s="779" t="s">
        <v>85</v>
      </c>
      <c r="K2656" s="982">
        <v>3.7699999999999997E-2</v>
      </c>
    </row>
    <row r="2657" spans="1:11" hidden="1">
      <c r="A2657" s="978"/>
      <c r="F2657"/>
      <c r="G2657" s="721"/>
      <c r="H2657" s="743" t="s">
        <v>2215</v>
      </c>
      <c r="I2657"/>
      <c r="J2657" s="983" t="s">
        <v>85</v>
      </c>
      <c r="K2657" s="986" t="s">
        <v>85</v>
      </c>
    </row>
    <row r="2658" spans="1:11" hidden="1">
      <c r="A2658" s="978"/>
      <c r="F2658"/>
      <c r="G2658" s="721"/>
      <c r="H2658" s="743" t="s">
        <v>1532</v>
      </c>
      <c r="I2658"/>
      <c r="J2658" s="805"/>
      <c r="K2658" s="986" t="s">
        <v>85</v>
      </c>
    </row>
    <row r="2659" spans="1:11" hidden="1">
      <c r="A2659" s="978"/>
      <c r="F2659"/>
      <c r="G2659" s="721"/>
      <c r="H2659" s="743"/>
      <c r="I2659"/>
      <c r="J2659" s="805"/>
      <c r="K2659" s="986"/>
    </row>
    <row r="2660" spans="1:11" hidden="1">
      <c r="A2660" s="978"/>
      <c r="F2660"/>
      <c r="G2660" s="721"/>
      <c r="H2660" s="743"/>
      <c r="I2660"/>
      <c r="J2660" s="805"/>
      <c r="K2660" s="986"/>
    </row>
    <row r="2661" spans="1:11" hidden="1">
      <c r="A2661" s="978"/>
      <c r="F2661"/>
      <c r="G2661" s="721"/>
      <c r="H2661"/>
      <c r="I2661"/>
      <c r="J2661" s="805"/>
      <c r="K2661"/>
    </row>
    <row r="2662" spans="1:11" hidden="1">
      <c r="A2662" s="978"/>
      <c r="F2662" s="1050">
        <v>1.18E-2</v>
      </c>
      <c r="G2662" s="742" t="s">
        <v>132</v>
      </c>
      <c r="H2662" s="743" t="s">
        <v>446</v>
      </c>
      <c r="I2662" s="744">
        <f t="shared" ref="I2662:I2671" si="88">I2260</f>
        <v>65420</v>
      </c>
      <c r="J2662" s="779" t="s">
        <v>132</v>
      </c>
      <c r="K2662" s="744">
        <f t="shared" ref="K2662:K2671" si="89">(F2662*I2662)</f>
        <v>771.96</v>
      </c>
    </row>
    <row r="2663" spans="1:11" hidden="1">
      <c r="A2663" s="978"/>
      <c r="F2663" s="1050">
        <v>3.7699999999999997E-2</v>
      </c>
      <c r="G2663" s="742" t="s">
        <v>132</v>
      </c>
      <c r="H2663" s="743" t="s">
        <v>447</v>
      </c>
      <c r="I2663" s="744">
        <f t="shared" si="88"/>
        <v>57165</v>
      </c>
      <c r="J2663" s="779" t="s">
        <v>132</v>
      </c>
      <c r="K2663" s="744">
        <f t="shared" si="89"/>
        <v>2155.12</v>
      </c>
    </row>
    <row r="2664" spans="1:11" hidden="1">
      <c r="A2664" s="978"/>
      <c r="F2664" s="1050">
        <v>1.8550000000000001E-2</v>
      </c>
      <c r="G2664" s="742" t="s">
        <v>132</v>
      </c>
      <c r="H2664" s="743" t="s">
        <v>1533</v>
      </c>
      <c r="I2664" s="744">
        <f t="shared" si="88"/>
        <v>3035</v>
      </c>
      <c r="J2664" s="779" t="s">
        <v>132</v>
      </c>
      <c r="K2664" s="744">
        <f t="shared" si="89"/>
        <v>56.3</v>
      </c>
    </row>
    <row r="2665" spans="1:11" hidden="1">
      <c r="A2665" s="978"/>
      <c r="F2665" s="1050">
        <v>1.36</v>
      </c>
      <c r="G2665" s="742" t="s">
        <v>425</v>
      </c>
      <c r="H2665" s="743" t="s">
        <v>1534</v>
      </c>
      <c r="I2665" s="744">
        <f t="shared" si="88"/>
        <v>385.89</v>
      </c>
      <c r="J2665" s="779" t="s">
        <v>425</v>
      </c>
      <c r="K2665" s="744">
        <f t="shared" si="89"/>
        <v>524.80999999999995</v>
      </c>
    </row>
    <row r="2666" spans="1:11" hidden="1">
      <c r="A2666" s="978"/>
      <c r="F2666" s="1050">
        <v>2.0499999999999998</v>
      </c>
      <c r="G2666" s="742" t="s">
        <v>425</v>
      </c>
      <c r="H2666" s="743" t="s">
        <v>1535</v>
      </c>
      <c r="I2666" s="744">
        <f t="shared" si="88"/>
        <v>287</v>
      </c>
      <c r="J2666" s="779" t="s">
        <v>425</v>
      </c>
      <c r="K2666" s="744">
        <f t="shared" si="89"/>
        <v>588.35</v>
      </c>
    </row>
    <row r="2667" spans="1:11" hidden="1">
      <c r="A2667" s="978"/>
      <c r="F2667" s="744">
        <v>2</v>
      </c>
      <c r="G2667" s="742" t="s">
        <v>131</v>
      </c>
      <c r="H2667" s="743" t="s">
        <v>2024</v>
      </c>
      <c r="I2667" s="744">
        <f t="shared" si="88"/>
        <v>25</v>
      </c>
      <c r="J2667" s="779" t="s">
        <v>131</v>
      </c>
      <c r="K2667" s="744">
        <f t="shared" si="89"/>
        <v>50</v>
      </c>
    </row>
    <row r="2668" spans="1:11" hidden="1">
      <c r="A2668" s="978"/>
      <c r="F2668" s="744">
        <v>6</v>
      </c>
      <c r="G2668" s="742" t="s">
        <v>131</v>
      </c>
      <c r="H2668" s="743" t="s">
        <v>1502</v>
      </c>
      <c r="I2668" s="744">
        <f t="shared" si="88"/>
        <v>25</v>
      </c>
      <c r="J2668" s="779" t="s">
        <v>131</v>
      </c>
      <c r="K2668" s="744">
        <f t="shared" si="89"/>
        <v>150</v>
      </c>
    </row>
    <row r="2669" spans="1:11" hidden="1">
      <c r="A2669" s="978"/>
      <c r="F2669" s="744">
        <v>2</v>
      </c>
      <c r="G2669" s="742" t="s">
        <v>131</v>
      </c>
      <c r="H2669" s="743" t="s">
        <v>2216</v>
      </c>
      <c r="I2669" s="744">
        <f t="shared" si="88"/>
        <v>35</v>
      </c>
      <c r="J2669" s="779" t="s">
        <v>131</v>
      </c>
      <c r="K2669" s="744">
        <f t="shared" si="89"/>
        <v>70</v>
      </c>
    </row>
    <row r="2670" spans="1:11" hidden="1">
      <c r="A2670" s="978"/>
      <c r="F2670" s="744">
        <v>1</v>
      </c>
      <c r="G2670" s="742" t="s">
        <v>131</v>
      </c>
      <c r="H2670" s="743" t="s">
        <v>1538</v>
      </c>
      <c r="I2670" s="744">
        <f t="shared" si="88"/>
        <v>60</v>
      </c>
      <c r="J2670" s="779" t="s">
        <v>131</v>
      </c>
      <c r="K2670" s="744">
        <f t="shared" si="89"/>
        <v>60</v>
      </c>
    </row>
    <row r="2671" spans="1:11" hidden="1">
      <c r="A2671" s="978"/>
      <c r="F2671" s="744">
        <v>2.52</v>
      </c>
      <c r="G2671" s="742" t="s">
        <v>425</v>
      </c>
      <c r="H2671" s="743" t="s">
        <v>1539</v>
      </c>
      <c r="I2671" s="744">
        <f t="shared" si="88"/>
        <v>51.25</v>
      </c>
      <c r="J2671" s="779" t="s">
        <v>425</v>
      </c>
      <c r="K2671" s="744">
        <f t="shared" si="89"/>
        <v>129.15</v>
      </c>
    </row>
    <row r="2672" spans="1:11" hidden="1">
      <c r="A2672" s="978"/>
      <c r="F2672"/>
      <c r="G2672" s="721"/>
      <c r="H2672" s="743" t="s">
        <v>1540</v>
      </c>
      <c r="I2672" s="779" t="s">
        <v>145</v>
      </c>
      <c r="J2672" s="805"/>
      <c r="K2672" s="744">
        <v>0.28000000000000003</v>
      </c>
    </row>
    <row r="2673" spans="1:11" hidden="1">
      <c r="A2673" s="978"/>
      <c r="F2673"/>
      <c r="G2673" s="721"/>
      <c r="H2673"/>
      <c r="I2673"/>
      <c r="J2673" s="805"/>
      <c r="K2673" s="776" t="s">
        <v>52</v>
      </c>
    </row>
    <row r="2674" spans="1:11" hidden="1">
      <c r="A2674" s="978"/>
      <c r="F2674"/>
      <c r="G2674" s="721"/>
      <c r="H2674" s="779" t="s">
        <v>1541</v>
      </c>
      <c r="I2674"/>
      <c r="J2674" s="805"/>
      <c r="K2674" s="744">
        <f>SUM(K2662:K2672)</f>
        <v>4555.97</v>
      </c>
    </row>
    <row r="2675" spans="1:11" hidden="1">
      <c r="A2675" s="978"/>
      <c r="F2675"/>
      <c r="G2675" s="742" t="s">
        <v>85</v>
      </c>
      <c r="H2675"/>
      <c r="I2675"/>
      <c r="J2675" s="805"/>
      <c r="K2675" s="776" t="s">
        <v>52</v>
      </c>
    </row>
    <row r="2676" spans="1:11" hidden="1">
      <c r="A2676" s="978"/>
      <c r="F2676"/>
      <c r="G2676" s="721"/>
      <c r="H2676" s="779" t="s">
        <v>460</v>
      </c>
      <c r="I2676"/>
      <c r="J2676" s="805"/>
      <c r="K2676" s="744">
        <f>K2674/F2671</f>
        <v>1807.92</v>
      </c>
    </row>
    <row r="2677" spans="1:11" hidden="1">
      <c r="A2677" s="978"/>
      <c r="F2677"/>
      <c r="G2677" s="721"/>
      <c r="H2677"/>
      <c r="I2677"/>
      <c r="J2677" s="805"/>
      <c r="K2677" s="776" t="s">
        <v>89</v>
      </c>
    </row>
    <row r="2678" spans="1:11" hidden="1">
      <c r="A2678" s="978"/>
      <c r="F2678" s="1047">
        <v>44.4</v>
      </c>
      <c r="G2678" s="1047"/>
      <c r="H2678" s="1047" t="s">
        <v>2217</v>
      </c>
      <c r="I2678" s="1047"/>
      <c r="J2678" s="1047"/>
      <c r="K2678" s="1047"/>
    </row>
    <row r="2679" spans="1:11" hidden="1">
      <c r="A2679" s="978"/>
      <c r="F2679" s="1047"/>
      <c r="G2679" s="1047"/>
      <c r="H2679" s="1049" t="s">
        <v>52</v>
      </c>
      <c r="I2679" s="1047"/>
      <c r="J2679" s="1047"/>
      <c r="K2679" s="1047"/>
    </row>
    <row r="2680" spans="1:11" hidden="1">
      <c r="A2680" s="978"/>
      <c r="F2680" s="1047">
        <v>4.9000000000000004</v>
      </c>
      <c r="G2680" s="1047" t="s">
        <v>13</v>
      </c>
      <c r="H2680" s="1047" t="s">
        <v>2218</v>
      </c>
      <c r="I2680" s="1047">
        <v>49.01</v>
      </c>
      <c r="J2680" s="1047" t="s">
        <v>13</v>
      </c>
      <c r="K2680" s="1047">
        <f>F2680*I2680</f>
        <v>240.15</v>
      </c>
    </row>
    <row r="2681" spans="1:11" hidden="1">
      <c r="A2681" s="978"/>
      <c r="F2681" s="1047">
        <v>0.12</v>
      </c>
      <c r="G2681" s="1047" t="s">
        <v>132</v>
      </c>
      <c r="H2681" s="1047" t="s">
        <v>2219</v>
      </c>
      <c r="I2681" s="1047" t="e">
        <f>AC15</f>
        <v>#REF!</v>
      </c>
      <c r="J2681" s="1047" t="s">
        <v>132</v>
      </c>
      <c r="K2681" s="1047" t="e">
        <f>F2681*I2681</f>
        <v>#REF!</v>
      </c>
    </row>
    <row r="2682" spans="1:11" hidden="1">
      <c r="A2682" s="978"/>
      <c r="F2682" s="1047">
        <v>0.18</v>
      </c>
      <c r="G2682" s="1047" t="s">
        <v>132</v>
      </c>
      <c r="H2682" s="1047" t="s">
        <v>2220</v>
      </c>
      <c r="I2682" s="1047" t="e">
        <f>AC14</f>
        <v>#REF!</v>
      </c>
      <c r="J2682" s="1047" t="s">
        <v>132</v>
      </c>
      <c r="K2682" s="1047" t="e">
        <f>F2682*I2682</f>
        <v>#REF!</v>
      </c>
    </row>
    <row r="2683" spans="1:11" hidden="1">
      <c r="A2683" s="978"/>
      <c r="F2683" s="1047">
        <v>0.05</v>
      </c>
      <c r="G2683" s="1047" t="s">
        <v>132</v>
      </c>
      <c r="H2683" s="1047" t="s">
        <v>2221</v>
      </c>
      <c r="I2683" s="1047" t="e">
        <f>AC16</f>
        <v>#REF!</v>
      </c>
      <c r="J2683" s="1047" t="s">
        <v>132</v>
      </c>
      <c r="K2683" s="1047" t="e">
        <f>F2683*I2683</f>
        <v>#REF!</v>
      </c>
    </row>
    <row r="2684" spans="1:11" hidden="1">
      <c r="A2684" s="978"/>
      <c r="F2684" s="1047"/>
      <c r="G2684" s="1047"/>
      <c r="H2684" s="1047"/>
      <c r="I2684" s="1047"/>
      <c r="J2684" s="1047"/>
      <c r="K2684" s="1056" t="s">
        <v>52</v>
      </c>
    </row>
    <row r="2685" spans="1:11" hidden="1">
      <c r="A2685" s="978"/>
      <c r="F2685" s="1047"/>
      <c r="G2685" s="1047"/>
      <c r="H2685" s="1047" t="s">
        <v>2222</v>
      </c>
      <c r="I2685" s="1047"/>
      <c r="J2685" s="1047"/>
      <c r="K2685" s="1047" t="e">
        <f>SUM(K2680:K2684)</f>
        <v>#REF!</v>
      </c>
    </row>
    <row r="2686" spans="1:11" hidden="1">
      <c r="A2686" s="978"/>
      <c r="F2686" s="1047"/>
      <c r="G2686" s="1047"/>
      <c r="H2686" s="1047"/>
      <c r="I2686" s="1047"/>
      <c r="J2686" s="1047"/>
      <c r="K2686" s="1056" t="s">
        <v>52</v>
      </c>
    </row>
    <row r="2687" spans="1:11" hidden="1">
      <c r="A2687" s="978"/>
      <c r="F2687" s="1047"/>
      <c r="G2687" s="1047"/>
      <c r="H2687" s="1047" t="s">
        <v>2223</v>
      </c>
      <c r="I2687" s="1047"/>
      <c r="J2687" s="1047"/>
      <c r="K2687" s="1047" t="e">
        <f>K2685/F2680</f>
        <v>#REF!</v>
      </c>
    </row>
    <row r="2688" spans="1:11" hidden="1">
      <c r="A2688" s="978"/>
      <c r="F2688" s="1047"/>
      <c r="G2688" s="1047"/>
      <c r="H2688" s="1047"/>
      <c r="I2688" s="1047"/>
      <c r="J2688" s="1047"/>
      <c r="K2688" s="1056" t="s">
        <v>89</v>
      </c>
    </row>
    <row r="2689" spans="1:11" ht="63" hidden="1">
      <c r="A2689" s="978"/>
      <c r="F2689" s="1047">
        <v>44.5</v>
      </c>
      <c r="G2689" s="1047"/>
      <c r="H2689" s="1047" t="s">
        <v>2224</v>
      </c>
      <c r="I2689" s="1047"/>
      <c r="J2689" s="1047"/>
      <c r="K2689" s="1047"/>
    </row>
    <row r="2690" spans="1:11" hidden="1">
      <c r="A2690" s="978"/>
      <c r="F2690" s="1047"/>
      <c r="G2690" s="1047"/>
      <c r="H2690" s="1049" t="s">
        <v>52</v>
      </c>
      <c r="I2690" s="1047"/>
      <c r="J2690" s="1047"/>
      <c r="K2690" s="1047"/>
    </row>
    <row r="2691" spans="1:11" hidden="1">
      <c r="A2691" s="978"/>
      <c r="F2691" s="1047">
        <v>0.38</v>
      </c>
      <c r="G2691" s="1047" t="s">
        <v>5</v>
      </c>
      <c r="H2691" s="1047" t="s">
        <v>1767</v>
      </c>
      <c r="I2691" s="1047">
        <f>I2613</f>
        <v>52.93</v>
      </c>
      <c r="J2691" s="1047" t="s">
        <v>132</v>
      </c>
      <c r="K2691" s="1047">
        <f>I2691*F2691</f>
        <v>20.11</v>
      </c>
    </row>
    <row r="2692" spans="1:11" hidden="1">
      <c r="A2692" s="978"/>
      <c r="F2692" s="1047">
        <v>0.38</v>
      </c>
      <c r="G2692" s="1047" t="s">
        <v>5</v>
      </c>
      <c r="H2692" s="1047" t="s">
        <v>2225</v>
      </c>
      <c r="I2692" s="1047" t="e">
        <f>AC15</f>
        <v>#REF!</v>
      </c>
      <c r="J2692" s="1047" t="s">
        <v>132</v>
      </c>
      <c r="K2692" s="1047" t="e">
        <f>I2692*F2692</f>
        <v>#REF!</v>
      </c>
    </row>
    <row r="2693" spans="1:11" hidden="1">
      <c r="A2693" s="978"/>
      <c r="F2693" s="1047">
        <v>0.12</v>
      </c>
      <c r="G2693" s="721" t="s">
        <v>5</v>
      </c>
      <c r="H2693" s="1047" t="s">
        <v>2226</v>
      </c>
      <c r="I2693" t="e">
        <f>K614</f>
        <v>#REF!</v>
      </c>
      <c r="J2693" s="1047" t="s">
        <v>132</v>
      </c>
      <c r="K2693" s="1047" t="e">
        <f>I2693*F2693</f>
        <v>#REF!</v>
      </c>
    </row>
    <row r="2694" spans="1:11" hidden="1">
      <c r="A2694" s="978"/>
      <c r="F2694" s="1047">
        <v>9.6</v>
      </c>
      <c r="G2694" s="1047" t="s">
        <v>39</v>
      </c>
      <c r="H2694" s="1047" t="s">
        <v>2227</v>
      </c>
      <c r="I2694">
        <f>AC32</f>
        <v>28000</v>
      </c>
      <c r="J2694" s="1047" t="s">
        <v>11</v>
      </c>
      <c r="K2694" s="1047">
        <f>I2694*F2694/1000</f>
        <v>268.8</v>
      </c>
    </row>
    <row r="2695" spans="1:11" hidden="1">
      <c r="A2695" s="978"/>
      <c r="F2695"/>
      <c r="G2695" s="721"/>
      <c r="H2695"/>
      <c r="I2695"/>
      <c r="J2695" s="805"/>
      <c r="K2695" s="1049" t="s">
        <v>52</v>
      </c>
    </row>
    <row r="2696" spans="1:11" hidden="1">
      <c r="A2696" s="978"/>
      <c r="F2696"/>
      <c r="G2696" s="721"/>
      <c r="H2696" s="1047" t="s">
        <v>2228</v>
      </c>
      <c r="I2696"/>
      <c r="J2696" s="805"/>
      <c r="K2696" t="e">
        <f>SUM(K2691:K2695)</f>
        <v>#REF!</v>
      </c>
    </row>
    <row r="2697" spans="1:11" hidden="1">
      <c r="A2697" s="978"/>
      <c r="F2697"/>
      <c r="G2697" s="721"/>
      <c r="H2697"/>
      <c r="I2697"/>
      <c r="J2697" s="805"/>
      <c r="K2697" s="1049" t="s">
        <v>89</v>
      </c>
    </row>
    <row r="2698" spans="1:11" ht="63" hidden="1">
      <c r="A2698" s="978"/>
      <c r="F2698" s="1057">
        <v>71.3</v>
      </c>
      <c r="G2698" s="1058"/>
      <c r="H2698" s="1059" t="s">
        <v>2229</v>
      </c>
      <c r="I2698" s="1060"/>
      <c r="J2698" s="1065"/>
      <c r="K2698" s="1060"/>
    </row>
    <row r="2699" spans="1:11" hidden="1">
      <c r="A2699" s="978"/>
      <c r="F2699" s="1060"/>
      <c r="G2699" s="1058"/>
      <c r="H2699" s="1159" t="s">
        <v>2230</v>
      </c>
      <c r="I2699" s="1060"/>
      <c r="J2699" s="1065"/>
      <c r="K2699" s="1060"/>
    </row>
    <row r="2700" spans="1:11" hidden="1">
      <c r="A2700" s="978"/>
      <c r="F2700" s="1060">
        <v>1</v>
      </c>
      <c r="G2700" s="1058" t="s">
        <v>1034</v>
      </c>
      <c r="H2700" s="1060" t="s">
        <v>2231</v>
      </c>
      <c r="I2700" s="1060"/>
      <c r="J2700" s="1065">
        <v>1880</v>
      </c>
      <c r="K2700" s="1060">
        <f>J2700*F2700</f>
        <v>1880</v>
      </c>
    </row>
    <row r="2701" spans="1:11" hidden="1">
      <c r="A2701" s="978"/>
      <c r="F2701" s="1060">
        <v>1</v>
      </c>
      <c r="G2701" s="1058" t="s">
        <v>1034</v>
      </c>
      <c r="H2701" s="1060" t="s">
        <v>2232</v>
      </c>
      <c r="I2701" s="1060"/>
      <c r="J2701" s="1065">
        <v>480</v>
      </c>
      <c r="K2701" s="1060">
        <f>J2701*F2701</f>
        <v>480</v>
      </c>
    </row>
    <row r="2702" spans="1:11" hidden="1">
      <c r="A2702" s="978"/>
      <c r="F2702" s="1060"/>
      <c r="G2702" s="1058"/>
      <c r="H2702" s="1060" t="s">
        <v>2233</v>
      </c>
      <c r="I2702" s="1060"/>
      <c r="J2702" s="1065"/>
      <c r="K2702" s="1060">
        <v>35.67</v>
      </c>
    </row>
    <row r="2703" spans="1:11" hidden="1">
      <c r="A2703" s="978"/>
      <c r="F2703" s="1060"/>
      <c r="G2703" s="1058"/>
      <c r="H2703" s="1060" t="s">
        <v>2234</v>
      </c>
      <c r="I2703" s="1060"/>
      <c r="J2703" s="1065"/>
      <c r="K2703" s="1060">
        <f>K2711</f>
        <v>104.33</v>
      </c>
    </row>
    <row r="2704" spans="1:11" hidden="1">
      <c r="A2704" s="978"/>
      <c r="F2704" s="1060"/>
      <c r="G2704" s="1058"/>
      <c r="H2704" s="1060"/>
      <c r="I2704" s="1060"/>
      <c r="J2704" s="1065"/>
      <c r="K2704" s="1160" t="s">
        <v>2197</v>
      </c>
    </row>
    <row r="2705" spans="1:11" hidden="1">
      <c r="A2705" s="978"/>
      <c r="F2705" s="1060"/>
      <c r="G2705" s="1058"/>
      <c r="H2705" s="1060"/>
      <c r="I2705" s="1060"/>
      <c r="J2705" s="1065"/>
      <c r="K2705" s="1060">
        <f>SUM(K2700:K2704)</f>
        <v>2500</v>
      </c>
    </row>
    <row r="2706" spans="1:11" hidden="1">
      <c r="A2706" s="978"/>
      <c r="F2706" s="1060"/>
      <c r="G2706" s="1058"/>
      <c r="H2706" s="1060" t="s">
        <v>478</v>
      </c>
      <c r="I2706" s="1060"/>
      <c r="J2706" s="1065"/>
      <c r="K2706" s="1160" t="s">
        <v>1649</v>
      </c>
    </row>
    <row r="2707" spans="1:11" hidden="1">
      <c r="A2707" s="978"/>
      <c r="F2707" s="1060">
        <v>1</v>
      </c>
      <c r="G2707" s="1058" t="s">
        <v>1034</v>
      </c>
      <c r="H2707" s="1060" t="s">
        <v>2235</v>
      </c>
      <c r="I2707" s="1060">
        <v>131</v>
      </c>
      <c r="J2707" s="1065" t="s">
        <v>729</v>
      </c>
      <c r="K2707" s="1060">
        <f>I2707*F2707</f>
        <v>131</v>
      </c>
    </row>
    <row r="2708" spans="1:11" hidden="1">
      <c r="A2708" s="978"/>
      <c r="F2708" s="1060">
        <v>2</v>
      </c>
      <c r="G2708" s="1058" t="s">
        <v>41</v>
      </c>
      <c r="H2708" s="1060" t="s">
        <v>2236</v>
      </c>
      <c r="I2708" s="1060">
        <v>91</v>
      </c>
      <c r="J2708" s="1065" t="s">
        <v>729</v>
      </c>
      <c r="K2708" s="1060">
        <f>I2708*F2708</f>
        <v>182</v>
      </c>
    </row>
    <row r="2709" spans="1:11" hidden="1">
      <c r="A2709" s="978"/>
      <c r="F2709" s="1060"/>
      <c r="G2709" s="1058"/>
      <c r="H2709" s="1060"/>
      <c r="I2709" s="1060"/>
      <c r="J2709" s="1065"/>
      <c r="K2709" s="1160" t="s">
        <v>2237</v>
      </c>
    </row>
    <row r="2710" spans="1:11" hidden="1">
      <c r="A2710" s="978"/>
      <c r="F2710" s="1060"/>
      <c r="G2710" s="1058"/>
      <c r="H2710" s="1058" t="s">
        <v>2238</v>
      </c>
      <c r="I2710" s="1060"/>
      <c r="J2710" s="1065"/>
      <c r="K2710" s="1060">
        <f>SUM(K2707:K2709)</f>
        <v>313</v>
      </c>
    </row>
    <row r="2711" spans="1:11" hidden="1">
      <c r="A2711" s="978"/>
      <c r="F2711" s="1060"/>
      <c r="G2711" s="1058"/>
      <c r="H2711" s="1058" t="s">
        <v>2239</v>
      </c>
      <c r="I2711" s="1060"/>
      <c r="J2711" s="1065"/>
      <c r="K2711" s="1060">
        <f>K2710/3</f>
        <v>104.33</v>
      </c>
    </row>
    <row r="2712" spans="1:11" hidden="1">
      <c r="A2712" s="978"/>
      <c r="F2712"/>
      <c r="G2712" s="721"/>
      <c r="H2712"/>
      <c r="I2712"/>
      <c r="J2712" s="805"/>
      <c r="K2712"/>
    </row>
    <row r="2713" spans="1:11" ht="15.75" hidden="1" customHeight="1">
      <c r="A2713" s="978"/>
      <c r="F2713" s="1061">
        <v>79.400000000000006</v>
      </c>
      <c r="G2713" s="712"/>
      <c r="H2713" s="1774" t="s">
        <v>2240</v>
      </c>
      <c r="I2713" s="1774"/>
      <c r="J2713" s="1066"/>
      <c r="K2713" s="713"/>
    </row>
    <row r="2714" spans="1:11" hidden="1">
      <c r="A2714" s="978"/>
      <c r="F2714" s="1063"/>
      <c r="G2714" s="712"/>
      <c r="H2714" s="1062"/>
      <c r="I2714" s="1062"/>
      <c r="J2714" s="1066"/>
      <c r="K2714" s="713"/>
    </row>
    <row r="2715" spans="1:11" hidden="1">
      <c r="A2715" s="978"/>
      <c r="F2715" s="713">
        <v>3</v>
      </c>
      <c r="G2715" s="712" t="s">
        <v>41</v>
      </c>
      <c r="H2715" s="713" t="s">
        <v>2241</v>
      </c>
      <c r="I2715" s="961">
        <v>190</v>
      </c>
      <c r="J2715" s="1066" t="s">
        <v>729</v>
      </c>
      <c r="K2715" s="713">
        <f>I2715*F2715</f>
        <v>570</v>
      </c>
    </row>
    <row r="2716" spans="1:11" hidden="1">
      <c r="A2716" s="978"/>
      <c r="F2716" s="713">
        <v>1</v>
      </c>
      <c r="G2716" s="712" t="s">
        <v>1034</v>
      </c>
      <c r="H2716" s="713" t="s">
        <v>2242</v>
      </c>
      <c r="I2716" s="713">
        <v>223.63</v>
      </c>
      <c r="J2716" s="1066" t="s">
        <v>729</v>
      </c>
      <c r="K2716" s="713">
        <f>I2716*F2716</f>
        <v>223.63</v>
      </c>
    </row>
    <row r="2717" spans="1:11" hidden="1">
      <c r="A2717" s="978"/>
      <c r="F2717" s="713"/>
      <c r="G2717" s="712"/>
      <c r="H2717" s="713" t="s">
        <v>478</v>
      </c>
      <c r="I2717" s="713"/>
      <c r="J2717" s="1066"/>
      <c r="K2717" s="713">
        <f>K2728</f>
        <v>76.5</v>
      </c>
    </row>
    <row r="2718" spans="1:11" hidden="1">
      <c r="A2718" s="978"/>
      <c r="F2718" s="713"/>
      <c r="G2718" s="712"/>
      <c r="H2718" s="713" t="s">
        <v>2243</v>
      </c>
      <c r="I2718" s="713"/>
      <c r="J2718" s="1066"/>
      <c r="K2718" s="713">
        <v>4.87</v>
      </c>
    </row>
    <row r="2719" spans="1:11" hidden="1">
      <c r="A2719" s="978"/>
      <c r="F2719" s="713"/>
      <c r="G2719" s="712"/>
      <c r="H2719" s="713"/>
      <c r="I2719" s="713"/>
      <c r="J2719" s="1066"/>
      <c r="K2719" s="1161" t="s">
        <v>2121</v>
      </c>
    </row>
    <row r="2720" spans="1:11" hidden="1">
      <c r="A2720" s="978"/>
      <c r="F2720" s="713"/>
      <c r="G2720" s="712"/>
      <c r="H2720" s="713"/>
      <c r="I2720" s="713"/>
      <c r="J2720" s="1066"/>
      <c r="K2720" s="713">
        <f>SUM(K2715:K2719)</f>
        <v>875</v>
      </c>
    </row>
    <row r="2721" spans="1:11" hidden="1">
      <c r="A2721" s="978"/>
      <c r="F2721" s="713"/>
      <c r="G2721" s="712"/>
      <c r="H2721" s="713"/>
      <c r="I2721" s="713"/>
      <c r="J2721" s="1066"/>
      <c r="K2721" s="1161" t="s">
        <v>2163</v>
      </c>
    </row>
    <row r="2722" spans="1:11" hidden="1">
      <c r="A2722" s="978"/>
      <c r="F2722" s="713"/>
      <c r="G2722" s="712"/>
      <c r="H2722" s="713" t="s">
        <v>478</v>
      </c>
      <c r="I2722" s="713"/>
      <c r="J2722" s="1066"/>
      <c r="K2722" s="713"/>
    </row>
    <row r="2723" spans="1:11" hidden="1">
      <c r="A2723" s="978"/>
      <c r="F2723" s="713">
        <v>1</v>
      </c>
      <c r="G2723" s="712" t="s">
        <v>1034</v>
      </c>
      <c r="H2723" s="713" t="s">
        <v>2244</v>
      </c>
      <c r="I2723" s="713">
        <v>131</v>
      </c>
      <c r="J2723" s="1066" t="s">
        <v>729</v>
      </c>
      <c r="K2723" s="713">
        <f>I2723*F2723</f>
        <v>131</v>
      </c>
    </row>
    <row r="2724" spans="1:11" hidden="1">
      <c r="A2724" s="978"/>
      <c r="F2724" s="713">
        <v>1</v>
      </c>
      <c r="G2724" s="712" t="s">
        <v>1034</v>
      </c>
      <c r="H2724" s="713" t="s">
        <v>2245</v>
      </c>
      <c r="I2724" s="713">
        <v>117</v>
      </c>
      <c r="J2724" s="1066" t="s">
        <v>729</v>
      </c>
      <c r="K2724" s="713">
        <f>I2724*F2724</f>
        <v>117</v>
      </c>
    </row>
    <row r="2725" spans="1:11" hidden="1">
      <c r="A2725" s="978"/>
      <c r="F2725" s="713">
        <v>4</v>
      </c>
      <c r="G2725" s="712" t="s">
        <v>41</v>
      </c>
      <c r="H2725" s="713" t="s">
        <v>2236</v>
      </c>
      <c r="I2725" s="713">
        <v>91</v>
      </c>
      <c r="J2725" s="1066" t="s">
        <v>729</v>
      </c>
      <c r="K2725" s="713">
        <f>I2725*F2725</f>
        <v>364</v>
      </c>
    </row>
    <row r="2726" spans="1:11" hidden="1">
      <c r="A2726" s="978"/>
      <c r="F2726" s="713"/>
      <c r="G2726" s="712"/>
      <c r="H2726" s="713"/>
      <c r="I2726" s="713"/>
      <c r="J2726" s="1066"/>
      <c r="K2726" s="1161" t="s">
        <v>2246</v>
      </c>
    </row>
    <row r="2727" spans="1:11" hidden="1">
      <c r="A2727" s="978"/>
      <c r="F2727" s="713"/>
      <c r="G2727" s="712"/>
      <c r="H2727" s="713" t="s">
        <v>2247</v>
      </c>
      <c r="I2727" s="713"/>
      <c r="J2727" s="1066"/>
      <c r="K2727" s="713">
        <f>SUM(K2723:K2726)</f>
        <v>612</v>
      </c>
    </row>
    <row r="2728" spans="1:11" hidden="1">
      <c r="A2728" s="978"/>
      <c r="F2728" s="713"/>
      <c r="G2728" s="712"/>
      <c r="H2728" s="713" t="s">
        <v>2248</v>
      </c>
      <c r="I2728" s="713"/>
      <c r="J2728" s="1066"/>
      <c r="K2728" s="713">
        <f>K2727/8</f>
        <v>76.5</v>
      </c>
    </row>
    <row r="2729" spans="1:11" hidden="1">
      <c r="A2729" s="978"/>
      <c r="F2729"/>
      <c r="G2729" s="721"/>
      <c r="H2729"/>
      <c r="I2729"/>
      <c r="J2729" s="805"/>
      <c r="K2729"/>
    </row>
    <row r="2730" spans="1:11" ht="31.5" hidden="1">
      <c r="A2730" s="978"/>
      <c r="F2730" s="1064">
        <v>170</v>
      </c>
      <c r="G2730" s="721"/>
      <c r="H2730" s="1045" t="s">
        <v>2249</v>
      </c>
      <c r="I2730"/>
      <c r="J2730" s="805"/>
      <c r="K2730"/>
    </row>
    <row r="2731" spans="1:11" hidden="1">
      <c r="A2731" s="978"/>
      <c r="F2731"/>
      <c r="G2731" s="721"/>
      <c r="H2731" s="1049" t="s">
        <v>52</v>
      </c>
      <c r="I2731"/>
      <c r="J2731" s="805"/>
      <c r="K2731"/>
    </row>
    <row r="2732" spans="1:11" hidden="1">
      <c r="A2732" s="978"/>
      <c r="F2732">
        <v>1</v>
      </c>
      <c r="G2732" s="721" t="s">
        <v>1034</v>
      </c>
      <c r="H2732" t="s">
        <v>2250</v>
      </c>
      <c r="I2732">
        <v>2400</v>
      </c>
      <c r="J2732" s="805" t="s">
        <v>729</v>
      </c>
      <c r="K2732">
        <f>I2732*F2732</f>
        <v>2400</v>
      </c>
    </row>
    <row r="2733" spans="1:11" hidden="1">
      <c r="A2733" s="978"/>
      <c r="F2733">
        <v>1</v>
      </c>
      <c r="G2733" s="721" t="s">
        <v>1034</v>
      </c>
      <c r="H2733" t="s">
        <v>2251</v>
      </c>
      <c r="I2733">
        <v>485</v>
      </c>
      <c r="J2733" s="805" t="s">
        <v>729</v>
      </c>
      <c r="K2733">
        <f>I2733*F2733</f>
        <v>485</v>
      </c>
    </row>
    <row r="2734" spans="1:11" hidden="1">
      <c r="A2734" s="978"/>
      <c r="F2734">
        <v>4</v>
      </c>
      <c r="G2734" s="721" t="s">
        <v>41</v>
      </c>
      <c r="H2734" t="s">
        <v>2252</v>
      </c>
      <c r="I2734">
        <v>525</v>
      </c>
      <c r="J2734" s="805" t="s">
        <v>729</v>
      </c>
      <c r="K2734">
        <f>I2734*F2734</f>
        <v>2100</v>
      </c>
    </row>
    <row r="2735" spans="1:11" hidden="1">
      <c r="A2735" s="978"/>
      <c r="F2735">
        <v>4.5</v>
      </c>
      <c r="G2735" s="721" t="s">
        <v>39</v>
      </c>
      <c r="H2735" t="s">
        <v>2253</v>
      </c>
      <c r="I2735">
        <v>27</v>
      </c>
      <c r="J2735" s="805" t="s">
        <v>39</v>
      </c>
      <c r="K2735">
        <f>I2735*F2735</f>
        <v>121.5</v>
      </c>
    </row>
    <row r="2736" spans="1:11" hidden="1">
      <c r="A2736" s="978"/>
      <c r="F2736"/>
      <c r="G2736" s="721"/>
      <c r="H2736" t="s">
        <v>2254</v>
      </c>
      <c r="I2736"/>
      <c r="J2736" s="805"/>
      <c r="K2736">
        <f>SUM(K2732:K2735)*1%-0.57</f>
        <v>50.5</v>
      </c>
    </row>
    <row r="2737" spans="1:11" hidden="1">
      <c r="A2737" s="978"/>
      <c r="F2737"/>
      <c r="G2737" s="721"/>
      <c r="H2737" t="s">
        <v>1978</v>
      </c>
      <c r="I2737"/>
      <c r="J2737" s="805"/>
      <c r="K2737">
        <v>298</v>
      </c>
    </row>
    <row r="2738" spans="1:11" hidden="1">
      <c r="A2738" s="978"/>
      <c r="F2738"/>
      <c r="G2738" s="721"/>
      <c r="H2738"/>
      <c r="I2738"/>
      <c r="J2738" s="805"/>
      <c r="K2738" s="1049" t="s">
        <v>52</v>
      </c>
    </row>
    <row r="2739" spans="1:11" hidden="1">
      <c r="A2739" s="978"/>
      <c r="F2739"/>
      <c r="G2739" s="721"/>
      <c r="H2739"/>
      <c r="I2739"/>
      <c r="J2739" s="805"/>
      <c r="K2739">
        <f>SUM(K2732:K2738)</f>
        <v>5455</v>
      </c>
    </row>
    <row r="2740" spans="1:11" hidden="1">
      <c r="A2740" s="978"/>
      <c r="F2740"/>
      <c r="G2740" s="721"/>
      <c r="H2740"/>
      <c r="I2740"/>
      <c r="J2740" s="805"/>
      <c r="K2740" s="1049" t="s">
        <v>89</v>
      </c>
    </row>
    <row r="2741" spans="1:11" hidden="1">
      <c r="A2741" s="978"/>
      <c r="F2741" s="1064">
        <v>180</v>
      </c>
      <c r="G2741" s="721"/>
      <c r="H2741" t="s">
        <v>2255</v>
      </c>
      <c r="I2741"/>
      <c r="J2741" s="805"/>
      <c r="K2741"/>
    </row>
    <row r="2742" spans="1:11" hidden="1">
      <c r="A2742" s="978"/>
      <c r="F2742"/>
      <c r="G2742" s="721"/>
      <c r="H2742" s="1049" t="s">
        <v>52</v>
      </c>
      <c r="I2742"/>
      <c r="J2742" s="805"/>
      <c r="K2742"/>
    </row>
    <row r="2743" spans="1:11" hidden="1">
      <c r="A2743" s="978"/>
      <c r="F2743">
        <v>0.8</v>
      </c>
      <c r="G2743" s="721" t="s">
        <v>39</v>
      </c>
      <c r="H2743" t="s">
        <v>2256</v>
      </c>
      <c r="I2743">
        <v>230</v>
      </c>
      <c r="J2743" s="805" t="s">
        <v>39</v>
      </c>
      <c r="K2743">
        <f>I2743*F2743</f>
        <v>184</v>
      </c>
    </row>
    <row r="2744" spans="1:11" hidden="1">
      <c r="A2744" s="978"/>
      <c r="F2744">
        <v>3</v>
      </c>
      <c r="G2744" s="721" t="s">
        <v>41</v>
      </c>
      <c r="H2744" t="s">
        <v>2257</v>
      </c>
      <c r="I2744">
        <v>20</v>
      </c>
      <c r="J2744" s="805" t="s">
        <v>729</v>
      </c>
      <c r="K2744">
        <f>I2744*F2744</f>
        <v>60</v>
      </c>
    </row>
    <row r="2745" spans="1:11" hidden="1">
      <c r="A2745" s="978"/>
      <c r="F2745"/>
      <c r="G2745" s="721"/>
      <c r="H2745" t="s">
        <v>2254</v>
      </c>
      <c r="I2745"/>
      <c r="J2745" s="805"/>
      <c r="K2745">
        <f>SUM(K2743:K2744)*1%+1.16</f>
        <v>3.6</v>
      </c>
    </row>
    <row r="2746" spans="1:11" hidden="1">
      <c r="A2746" s="978"/>
      <c r="F2746"/>
      <c r="G2746" s="721"/>
      <c r="H2746" t="s">
        <v>1978</v>
      </c>
      <c r="I2746"/>
      <c r="J2746" s="805"/>
      <c r="K2746">
        <v>32.4</v>
      </c>
    </row>
    <row r="2747" spans="1:11" hidden="1">
      <c r="A2747" s="978"/>
      <c r="F2747"/>
      <c r="G2747" s="721"/>
      <c r="H2747"/>
      <c r="I2747"/>
      <c r="J2747" s="805"/>
      <c r="K2747" s="1049" t="s">
        <v>52</v>
      </c>
    </row>
    <row r="2748" spans="1:11" hidden="1">
      <c r="A2748" s="978"/>
      <c r="F2748"/>
      <c r="G2748" s="721"/>
      <c r="H2748"/>
      <c r="I2748"/>
      <c r="J2748" s="805"/>
      <c r="K2748">
        <f>SUM(K2743:K2747)</f>
        <v>280</v>
      </c>
    </row>
    <row r="2749" spans="1:11" hidden="1">
      <c r="A2749" s="978"/>
      <c r="F2749"/>
      <c r="G2749" s="721"/>
      <c r="H2749"/>
      <c r="I2749"/>
      <c r="J2749" s="805"/>
      <c r="K2749" s="1049" t="s">
        <v>89</v>
      </c>
    </row>
    <row r="2750" spans="1:11" ht="31.5" hidden="1">
      <c r="A2750" s="978"/>
      <c r="F2750" s="1064">
        <v>184</v>
      </c>
      <c r="G2750" s="721"/>
      <c r="H2750" s="1045" t="s">
        <v>2258</v>
      </c>
      <c r="I2750"/>
      <c r="J2750" s="805"/>
      <c r="K2750"/>
    </row>
    <row r="2751" spans="1:11" hidden="1">
      <c r="A2751" s="978"/>
      <c r="F2751"/>
      <c r="G2751" s="721"/>
      <c r="H2751" s="1049" t="s">
        <v>52</v>
      </c>
      <c r="I2751"/>
      <c r="J2751" s="805"/>
      <c r="K2751"/>
    </row>
    <row r="2752" spans="1:11" hidden="1">
      <c r="A2752" s="978"/>
      <c r="F2752">
        <v>1</v>
      </c>
      <c r="G2752" s="721" t="s">
        <v>1034</v>
      </c>
      <c r="H2752" t="s">
        <v>2259</v>
      </c>
      <c r="I2752">
        <v>1860</v>
      </c>
      <c r="J2752" s="805" t="s">
        <v>729</v>
      </c>
      <c r="K2752">
        <f t="shared" ref="K2752:K2760" si="90">I2752*F2752</f>
        <v>1860</v>
      </c>
    </row>
    <row r="2753" spans="1:11" hidden="1">
      <c r="A2753" s="978"/>
      <c r="F2753">
        <v>2</v>
      </c>
      <c r="G2753" s="721" t="s">
        <v>1034</v>
      </c>
      <c r="H2753" t="s">
        <v>2260</v>
      </c>
      <c r="I2753">
        <v>46</v>
      </c>
      <c r="J2753" s="805" t="s">
        <v>729</v>
      </c>
      <c r="K2753">
        <f t="shared" si="90"/>
        <v>92</v>
      </c>
    </row>
    <row r="2754" spans="1:11" hidden="1">
      <c r="A2754" s="978"/>
      <c r="F2754">
        <v>1.5</v>
      </c>
      <c r="G2754" s="721" t="s">
        <v>13</v>
      </c>
      <c r="H2754" t="s">
        <v>2261</v>
      </c>
      <c r="I2754">
        <v>31</v>
      </c>
      <c r="J2754" s="805" t="s">
        <v>13</v>
      </c>
      <c r="K2754">
        <f t="shared" si="90"/>
        <v>46.5</v>
      </c>
    </row>
    <row r="2755" spans="1:11" hidden="1">
      <c r="A2755" s="978"/>
      <c r="F2755">
        <v>2</v>
      </c>
      <c r="G2755" s="721" t="s">
        <v>1034</v>
      </c>
      <c r="H2755" t="s">
        <v>2262</v>
      </c>
      <c r="I2755">
        <v>6</v>
      </c>
      <c r="J2755" s="805" t="s">
        <v>729</v>
      </c>
      <c r="K2755">
        <f t="shared" si="90"/>
        <v>12</v>
      </c>
    </row>
    <row r="2756" spans="1:11" hidden="1">
      <c r="A2756" s="978"/>
      <c r="F2756">
        <v>2</v>
      </c>
      <c r="G2756" s="721" t="s">
        <v>1034</v>
      </c>
      <c r="H2756" t="s">
        <v>2263</v>
      </c>
      <c r="I2756">
        <v>12</v>
      </c>
      <c r="J2756" s="805" t="s">
        <v>729</v>
      </c>
      <c r="K2756">
        <f t="shared" si="90"/>
        <v>24</v>
      </c>
    </row>
    <row r="2757" spans="1:11" hidden="1">
      <c r="A2757" s="978"/>
      <c r="F2757">
        <v>2</v>
      </c>
      <c r="G2757" s="721" t="s">
        <v>13</v>
      </c>
      <c r="H2757" t="s">
        <v>2264</v>
      </c>
      <c r="I2757">
        <v>7.8</v>
      </c>
      <c r="J2757" s="805" t="s">
        <v>13</v>
      </c>
      <c r="K2757">
        <f t="shared" si="90"/>
        <v>15.6</v>
      </c>
    </row>
    <row r="2758" spans="1:11" hidden="1">
      <c r="A2758" s="978"/>
      <c r="F2758">
        <v>0.1</v>
      </c>
      <c r="G2758" s="721" t="s">
        <v>1034</v>
      </c>
      <c r="H2758" t="s">
        <v>2244</v>
      </c>
      <c r="I2758">
        <f>I2867</f>
        <v>783</v>
      </c>
      <c r="J2758" s="805" t="s">
        <v>729</v>
      </c>
      <c r="K2758">
        <f t="shared" si="90"/>
        <v>78.3</v>
      </c>
    </row>
    <row r="2759" spans="1:11" hidden="1">
      <c r="A2759" s="978"/>
      <c r="F2759">
        <v>0.2</v>
      </c>
      <c r="G2759" s="721" t="s">
        <v>1034</v>
      </c>
      <c r="H2759" t="s">
        <v>2245</v>
      </c>
      <c r="I2759">
        <f>I2868</f>
        <v>778</v>
      </c>
      <c r="J2759" s="805" t="s">
        <v>729</v>
      </c>
      <c r="K2759">
        <f t="shared" si="90"/>
        <v>155.6</v>
      </c>
    </row>
    <row r="2760" spans="1:11" hidden="1">
      <c r="A2760" s="978"/>
      <c r="F2760">
        <v>0.3</v>
      </c>
      <c r="G2760" s="721" t="s">
        <v>1034</v>
      </c>
      <c r="H2760" t="s">
        <v>2166</v>
      </c>
      <c r="I2760">
        <f>I2869</f>
        <v>611</v>
      </c>
      <c r="J2760" s="805" t="s">
        <v>729</v>
      </c>
      <c r="K2760">
        <f t="shared" si="90"/>
        <v>183.3</v>
      </c>
    </row>
    <row r="2761" spans="1:11" hidden="1">
      <c r="A2761" s="978"/>
      <c r="F2761"/>
      <c r="G2761" s="721"/>
      <c r="H2761" t="s">
        <v>2254</v>
      </c>
      <c r="I2761"/>
      <c r="J2761" s="805"/>
      <c r="K2761">
        <f>SUM(K2752:K2760)*1%-0.63</f>
        <v>24.04</v>
      </c>
    </row>
    <row r="2762" spans="1:11" hidden="1">
      <c r="A2762" s="978"/>
      <c r="F2762"/>
      <c r="G2762" s="721"/>
      <c r="H2762"/>
      <c r="I2762"/>
      <c r="J2762" s="805"/>
      <c r="K2762"/>
    </row>
    <row r="2763" spans="1:11" hidden="1">
      <c r="A2763" s="978"/>
      <c r="F2763"/>
      <c r="G2763" s="721"/>
      <c r="H2763"/>
      <c r="I2763"/>
      <c r="J2763" s="805"/>
      <c r="K2763" s="1049" t="s">
        <v>52</v>
      </c>
    </row>
    <row r="2764" spans="1:11" hidden="1">
      <c r="A2764" s="978"/>
      <c r="F2764"/>
      <c r="G2764" s="721"/>
      <c r="H2764"/>
      <c r="I2764"/>
      <c r="J2764" s="805"/>
      <c r="K2764">
        <f>SUM(K2752:K2763)</f>
        <v>2491.34</v>
      </c>
    </row>
    <row r="2765" spans="1:11" hidden="1">
      <c r="A2765" s="978"/>
      <c r="F2765"/>
      <c r="G2765" s="721"/>
      <c r="H2765"/>
      <c r="I2765"/>
      <c r="J2765" s="805"/>
      <c r="K2765" s="1049" t="s">
        <v>89</v>
      </c>
    </row>
    <row r="2766" spans="1:11" hidden="1">
      <c r="A2766" s="978"/>
      <c r="F2766" s="1055">
        <v>53.4</v>
      </c>
      <c r="G2766" s="721"/>
      <c r="H2766" s="743" t="s">
        <v>2020</v>
      </c>
      <c r="I2766"/>
      <c r="J2766" s="805" t="s">
        <v>729</v>
      </c>
      <c r="K2766">
        <v>957</v>
      </c>
    </row>
    <row r="2767" spans="1:11" hidden="1">
      <c r="A2767" s="978"/>
      <c r="F2767"/>
      <c r="G2767" s="721"/>
      <c r="H2767"/>
      <c r="I2767"/>
      <c r="J2767" s="805"/>
      <c r="K2767"/>
    </row>
    <row r="2768" spans="1:11" ht="31.5" hidden="1">
      <c r="A2768" s="978"/>
      <c r="F2768" s="1067">
        <v>383</v>
      </c>
      <c r="G2768" s="721"/>
      <c r="H2768" s="1045" t="s">
        <v>2025</v>
      </c>
      <c r="I2768"/>
      <c r="J2768" s="805" t="s">
        <v>729</v>
      </c>
      <c r="K2768">
        <v>600</v>
      </c>
    </row>
    <row r="2769" spans="1:11" hidden="1">
      <c r="A2769" s="978"/>
      <c r="F2769"/>
      <c r="G2769" s="721"/>
      <c r="H2769"/>
      <c r="I2769"/>
      <c r="J2769" s="805"/>
      <c r="K2769"/>
    </row>
    <row r="2770" spans="1:11" hidden="1">
      <c r="A2770" s="978"/>
      <c r="F2770"/>
      <c r="G2770" s="721"/>
      <c r="H2770"/>
      <c r="I2770"/>
      <c r="J2770" s="805"/>
      <c r="K2770"/>
    </row>
    <row r="2771" spans="1:11" hidden="1">
      <c r="A2771" s="978"/>
      <c r="F2771" s="1068">
        <v>344.2</v>
      </c>
      <c r="G2771" s="721"/>
      <c r="H2771" s="1045" t="s">
        <v>2026</v>
      </c>
      <c r="I2771"/>
      <c r="J2771" s="805" t="s">
        <v>729</v>
      </c>
      <c r="K2771">
        <v>300</v>
      </c>
    </row>
    <row r="2772" spans="1:11" hidden="1">
      <c r="A2772" s="978"/>
      <c r="F2772" s="1067"/>
      <c r="G2772" s="721"/>
      <c r="H2772"/>
      <c r="I2772"/>
      <c r="J2772" s="805"/>
      <c r="K2772"/>
    </row>
    <row r="2773" spans="1:11" hidden="1">
      <c r="A2773" s="978"/>
      <c r="F2773" s="1067"/>
      <c r="G2773" s="721"/>
      <c r="H2773"/>
      <c r="I2773"/>
      <c r="J2773" s="805"/>
      <c r="K2773"/>
    </row>
    <row r="2774" spans="1:11" hidden="1">
      <c r="A2774" s="978"/>
      <c r="F2774" s="1067"/>
      <c r="G2774" s="721"/>
      <c r="H2774"/>
      <c r="I2774"/>
      <c r="J2774" s="805"/>
      <c r="K2774"/>
    </row>
    <row r="2775" spans="1:11" hidden="1">
      <c r="A2775" s="978"/>
      <c r="F2775" s="1068">
        <v>344.1</v>
      </c>
      <c r="G2775" s="721"/>
      <c r="H2775" s="1045" t="s">
        <v>2027</v>
      </c>
      <c r="I2775"/>
      <c r="J2775" s="805" t="s">
        <v>729</v>
      </c>
      <c r="K2775">
        <v>260</v>
      </c>
    </row>
    <row r="2776" spans="1:11" hidden="1">
      <c r="A2776" s="978"/>
      <c r="F2776" s="1046"/>
      <c r="G2776" s="721"/>
      <c r="H2776"/>
      <c r="I2776"/>
      <c r="J2776" s="805"/>
      <c r="K2776"/>
    </row>
    <row r="2777" spans="1:11" hidden="1">
      <c r="A2777" s="978"/>
      <c r="F2777" s="1046"/>
      <c r="G2777" s="721"/>
      <c r="H2777"/>
      <c r="I2777"/>
      <c r="J2777" s="805"/>
      <c r="K2777"/>
    </row>
    <row r="2778" spans="1:11" hidden="1">
      <c r="A2778" s="978"/>
      <c r="F2778">
        <v>384</v>
      </c>
      <c r="G2778" s="721"/>
      <c r="H2778"/>
      <c r="I2778"/>
      <c r="J2778" s="805"/>
      <c r="K2778"/>
    </row>
    <row r="2779" spans="1:11" hidden="1">
      <c r="A2779" s="978"/>
      <c r="F2779"/>
      <c r="G2779" s="721"/>
      <c r="H2779" s="1045" t="s">
        <v>2028</v>
      </c>
      <c r="I2779"/>
      <c r="J2779" s="805" t="s">
        <v>729</v>
      </c>
      <c r="K2779">
        <v>650</v>
      </c>
    </row>
    <row r="2780" spans="1:11" hidden="1">
      <c r="A2780" s="978"/>
      <c r="F2780"/>
      <c r="G2780" s="721"/>
      <c r="H2780"/>
      <c r="I2780"/>
      <c r="J2780" s="805"/>
      <c r="K2780"/>
    </row>
    <row r="2781" spans="1:11" ht="19.5" hidden="1">
      <c r="A2781" s="978"/>
      <c r="F2781" s="1069">
        <v>385</v>
      </c>
      <c r="G2781" s="721"/>
      <c r="H2781" t="s">
        <v>2265</v>
      </c>
      <c r="I2781"/>
      <c r="J2781" s="805"/>
      <c r="K2781"/>
    </row>
    <row r="2782" spans="1:11" hidden="1">
      <c r="A2782" s="978"/>
      <c r="F2782"/>
      <c r="G2782" s="721"/>
      <c r="H2782" s="1157" t="s">
        <v>2266</v>
      </c>
      <c r="I2782"/>
      <c r="J2782" s="805"/>
      <c r="K2782"/>
    </row>
    <row r="2783" spans="1:11" hidden="1">
      <c r="A2783" s="978"/>
      <c r="F2783">
        <v>4</v>
      </c>
      <c r="G2783" s="721" t="s">
        <v>13</v>
      </c>
      <c r="H2783" t="s">
        <v>2267</v>
      </c>
      <c r="I2783">
        <v>110</v>
      </c>
      <c r="J2783" s="721" t="s">
        <v>13</v>
      </c>
      <c r="K2783">
        <f t="shared" ref="K2783:K2790" si="91">I2783*F2783</f>
        <v>440</v>
      </c>
    </row>
    <row r="2784" spans="1:11" hidden="1">
      <c r="A2784" s="978"/>
      <c r="F2784">
        <v>2.52</v>
      </c>
      <c r="G2784" s="721" t="s">
        <v>39</v>
      </c>
      <c r="H2784" t="s">
        <v>2268</v>
      </c>
      <c r="I2784">
        <v>30</v>
      </c>
      <c r="J2784" s="721" t="s">
        <v>39</v>
      </c>
      <c r="K2784">
        <f t="shared" si="91"/>
        <v>75.599999999999994</v>
      </c>
    </row>
    <row r="2785" spans="1:11" hidden="1">
      <c r="A2785" s="978"/>
      <c r="F2785">
        <v>1.1299999999999999</v>
      </c>
      <c r="G2785" s="721" t="s">
        <v>39</v>
      </c>
      <c r="H2785" t="s">
        <v>2269</v>
      </c>
      <c r="I2785">
        <v>30</v>
      </c>
      <c r="J2785" s="721" t="s">
        <v>39</v>
      </c>
      <c r="K2785">
        <f t="shared" si="91"/>
        <v>33.9</v>
      </c>
    </row>
    <row r="2786" spans="1:11" hidden="1">
      <c r="A2786" s="978"/>
      <c r="F2786">
        <v>0.35</v>
      </c>
      <c r="G2786" s="721" t="s">
        <v>39</v>
      </c>
      <c r="H2786" t="s">
        <v>2270</v>
      </c>
      <c r="I2786">
        <v>30</v>
      </c>
      <c r="J2786" s="721" t="s">
        <v>39</v>
      </c>
      <c r="K2786">
        <f t="shared" si="91"/>
        <v>10.5</v>
      </c>
    </row>
    <row r="2787" spans="1:11" hidden="1">
      <c r="A2787" s="978"/>
      <c r="F2787">
        <v>4</v>
      </c>
      <c r="G2787" s="721" t="s">
        <v>39</v>
      </c>
      <c r="H2787" t="s">
        <v>2271</v>
      </c>
      <c r="I2787">
        <v>12.25</v>
      </c>
      <c r="J2787" s="721" t="s">
        <v>39</v>
      </c>
      <c r="K2787">
        <f t="shared" si="91"/>
        <v>49</v>
      </c>
    </row>
    <row r="2788" spans="1:11" hidden="1">
      <c r="A2788" s="978"/>
      <c r="F2788">
        <v>6</v>
      </c>
      <c r="G2788" s="721" t="s">
        <v>41</v>
      </c>
      <c r="H2788" t="s">
        <v>2272</v>
      </c>
      <c r="I2788">
        <v>1</v>
      </c>
      <c r="J2788" s="721" t="s">
        <v>41</v>
      </c>
      <c r="K2788">
        <f t="shared" si="91"/>
        <v>6</v>
      </c>
    </row>
    <row r="2789" spans="1:11" hidden="1">
      <c r="A2789" s="978"/>
      <c r="F2789">
        <v>0.5</v>
      </c>
      <c r="G2789" s="721" t="s">
        <v>41</v>
      </c>
      <c r="H2789" t="s">
        <v>2199</v>
      </c>
      <c r="I2789">
        <f>C12</f>
        <v>95</v>
      </c>
      <c r="J2789" s="721" t="s">
        <v>729</v>
      </c>
      <c r="K2789">
        <f t="shared" si="91"/>
        <v>47.5</v>
      </c>
    </row>
    <row r="2790" spans="1:11" hidden="1">
      <c r="A2790" s="978"/>
      <c r="F2790">
        <v>0.5</v>
      </c>
      <c r="G2790" s="721" t="s">
        <v>41</v>
      </c>
      <c r="H2790" t="s">
        <v>2273</v>
      </c>
      <c r="I2790">
        <f>C13</f>
        <v>85</v>
      </c>
      <c r="J2790" s="721" t="s">
        <v>729</v>
      </c>
      <c r="K2790">
        <f t="shared" si="91"/>
        <v>42.5</v>
      </c>
    </row>
    <row r="2791" spans="1:11" hidden="1">
      <c r="A2791" s="978"/>
      <c r="F2791"/>
      <c r="G2791" s="721"/>
      <c r="H2791"/>
      <c r="I2791"/>
      <c r="J2791" s="721"/>
      <c r="K2791" s="1157" t="s">
        <v>2246</v>
      </c>
    </row>
    <row r="2792" spans="1:11" hidden="1">
      <c r="A2792" s="978"/>
      <c r="F2792"/>
      <c r="G2792" s="721"/>
      <c r="H2792" t="s">
        <v>2274</v>
      </c>
      <c r="I2792"/>
      <c r="J2792" s="805"/>
      <c r="K2792">
        <f>SUM(K2783:K2791)</f>
        <v>705</v>
      </c>
    </row>
    <row r="2793" spans="1:11" hidden="1">
      <c r="A2793" s="978"/>
      <c r="F2793"/>
      <c r="G2793" s="721"/>
      <c r="H2793"/>
      <c r="I2793"/>
      <c r="J2793" s="805"/>
      <c r="K2793" s="1157" t="s">
        <v>2197</v>
      </c>
    </row>
    <row r="2794" spans="1:11" hidden="1">
      <c r="A2794" s="978"/>
      <c r="F2794"/>
      <c r="G2794" s="721"/>
      <c r="H2794" t="s">
        <v>2058</v>
      </c>
      <c r="I2794"/>
      <c r="J2794" s="805"/>
      <c r="K2794">
        <f>K2792/2</f>
        <v>352.5</v>
      </c>
    </row>
    <row r="2795" spans="1:11" hidden="1">
      <c r="A2795" s="978"/>
      <c r="F2795"/>
      <c r="G2795" s="721"/>
      <c r="H2795"/>
      <c r="I2795"/>
      <c r="J2795" s="805"/>
      <c r="K2795" s="1157" t="s">
        <v>1649</v>
      </c>
    </row>
    <row r="2796" spans="1:11" ht="19.5" hidden="1">
      <c r="A2796" s="978"/>
      <c r="F2796" s="1048">
        <v>112.1</v>
      </c>
      <c r="G2796" s="721"/>
      <c r="H2796" s="1070" t="s">
        <v>2275</v>
      </c>
      <c r="I2796"/>
      <c r="J2796" s="805"/>
      <c r="K2796"/>
    </row>
    <row r="2797" spans="1:11" hidden="1">
      <c r="A2797" s="978"/>
      <c r="F2797"/>
      <c r="G2797" s="721"/>
      <c r="H2797" s="1157" t="s">
        <v>2276</v>
      </c>
      <c r="I2797"/>
      <c r="J2797" s="805"/>
      <c r="K2797"/>
    </row>
    <row r="2798" spans="1:11" hidden="1">
      <c r="A2798" s="978"/>
      <c r="F2798">
        <v>1</v>
      </c>
      <c r="G2798" s="721" t="s">
        <v>1034</v>
      </c>
      <c r="H2798" s="1045" t="s">
        <v>2275</v>
      </c>
      <c r="I2798" s="965">
        <v>1059</v>
      </c>
      <c r="J2798" s="805" t="s">
        <v>729</v>
      </c>
      <c r="K2798">
        <f>I2798*F2798</f>
        <v>1059</v>
      </c>
    </row>
    <row r="2799" spans="1:11" hidden="1">
      <c r="A2799" s="978"/>
      <c r="F2799">
        <v>1</v>
      </c>
      <c r="G2799" s="721" t="s">
        <v>1034</v>
      </c>
      <c r="H2799" s="1045" t="s">
        <v>2277</v>
      </c>
      <c r="I2799">
        <v>95</v>
      </c>
      <c r="J2799" s="805" t="s">
        <v>729</v>
      </c>
      <c r="K2799">
        <f>I2799*F2799</f>
        <v>95</v>
      </c>
    </row>
    <row r="2800" spans="1:11" ht="31.5" hidden="1">
      <c r="A2800" s="978"/>
      <c r="F2800" t="s">
        <v>145</v>
      </c>
      <c r="G2800" s="721"/>
      <c r="H2800" s="1045" t="s">
        <v>2278</v>
      </c>
      <c r="I2800"/>
      <c r="J2800" s="805" t="s">
        <v>145</v>
      </c>
      <c r="K2800">
        <v>16.64</v>
      </c>
    </row>
    <row r="2801" spans="1:11" hidden="1">
      <c r="A2801" s="978"/>
      <c r="F2801"/>
      <c r="G2801" s="721"/>
      <c r="H2801" t="s">
        <v>2279</v>
      </c>
      <c r="I2801"/>
      <c r="J2801" s="805"/>
      <c r="K2801">
        <v>10.11</v>
      </c>
    </row>
    <row r="2802" spans="1:11" hidden="1">
      <c r="A2802" s="978"/>
      <c r="F2802"/>
      <c r="G2802" s="721"/>
      <c r="H2802" t="s">
        <v>1151</v>
      </c>
      <c r="I2802"/>
      <c r="J2802" s="805" t="s">
        <v>729</v>
      </c>
      <c r="K2802">
        <f>K2811</f>
        <v>78.25</v>
      </c>
    </row>
    <row r="2803" spans="1:11" hidden="1">
      <c r="A2803" s="978"/>
      <c r="F2803"/>
      <c r="G2803" s="721"/>
      <c r="H2803"/>
      <c r="I2803"/>
      <c r="J2803" s="805"/>
      <c r="K2803" s="1157" t="s">
        <v>2162</v>
      </c>
    </row>
    <row r="2804" spans="1:11" hidden="1">
      <c r="A2804" s="978"/>
      <c r="F2804"/>
      <c r="G2804" s="721"/>
      <c r="H2804"/>
      <c r="I2804"/>
      <c r="J2804" s="805"/>
      <c r="K2804">
        <f>SUM(K2798:K2803)</f>
        <v>1259</v>
      </c>
    </row>
    <row r="2805" spans="1:11" hidden="1">
      <c r="A2805" s="978"/>
      <c r="F2805"/>
      <c r="G2805" s="721"/>
      <c r="H2805"/>
      <c r="I2805"/>
      <c r="J2805" s="805"/>
      <c r="K2805" s="1157" t="s">
        <v>2280</v>
      </c>
    </row>
    <row r="2806" spans="1:11" hidden="1">
      <c r="A2806" s="978"/>
      <c r="F2806" t="s">
        <v>1978</v>
      </c>
      <c r="G2806" s="721"/>
      <c r="H2806"/>
      <c r="I2806"/>
      <c r="J2806" s="805"/>
      <c r="K2806"/>
    </row>
    <row r="2807" spans="1:11" hidden="1">
      <c r="A2807" s="978"/>
      <c r="F2807">
        <v>1</v>
      </c>
      <c r="G2807" s="721" t="s">
        <v>1034</v>
      </c>
      <c r="H2807" t="s">
        <v>2281</v>
      </c>
      <c r="I2807">
        <v>131</v>
      </c>
      <c r="J2807" s="805" t="s">
        <v>729</v>
      </c>
      <c r="K2807">
        <f>I2807*F2807</f>
        <v>131</v>
      </c>
    </row>
    <row r="2808" spans="1:11" hidden="1">
      <c r="A2808" s="978"/>
      <c r="F2808">
        <v>2</v>
      </c>
      <c r="G2808" s="721" t="s">
        <v>41</v>
      </c>
      <c r="H2808" t="s">
        <v>2166</v>
      </c>
      <c r="I2808">
        <v>91</v>
      </c>
      <c r="J2808" s="805" t="s">
        <v>729</v>
      </c>
      <c r="K2808">
        <f>I2808*F2808</f>
        <v>182</v>
      </c>
    </row>
    <row r="2809" spans="1:11" hidden="1">
      <c r="A2809" s="978"/>
      <c r="F2809"/>
      <c r="G2809" s="721"/>
      <c r="H2809"/>
      <c r="I2809"/>
      <c r="J2809" s="805"/>
      <c r="K2809" s="1157" t="s">
        <v>2162</v>
      </c>
    </row>
    <row r="2810" spans="1:11" hidden="1">
      <c r="A2810" s="978"/>
      <c r="F2810"/>
      <c r="G2810" s="721"/>
      <c r="H2810" t="s">
        <v>2282</v>
      </c>
      <c r="I2810"/>
      <c r="J2810" s="805"/>
      <c r="K2810">
        <f>SUM(K2807:K2809)</f>
        <v>313</v>
      </c>
    </row>
    <row r="2811" spans="1:11" hidden="1">
      <c r="A2811" s="978"/>
      <c r="F2811"/>
      <c r="G2811" s="721"/>
      <c r="H2811" t="s">
        <v>2283</v>
      </c>
      <c r="I2811"/>
      <c r="J2811" s="805"/>
      <c r="K2811">
        <f>K2810/4</f>
        <v>78.25</v>
      </c>
    </row>
    <row r="2812" spans="1:11" hidden="1">
      <c r="A2812" s="978"/>
      <c r="F2812"/>
      <c r="G2812" s="721"/>
      <c r="H2812" s="806"/>
      <c r="I2812"/>
      <c r="J2812" s="805"/>
      <c r="K2812" s="744"/>
    </row>
    <row r="2813" spans="1:11" hidden="1">
      <c r="A2813" s="978"/>
      <c r="F2813">
        <v>70.5</v>
      </c>
      <c r="G2813" s="721"/>
      <c r="H2813" t="s">
        <v>2284</v>
      </c>
      <c r="I2813"/>
      <c r="J2813" s="805"/>
      <c r="K2813"/>
    </row>
    <row r="2814" spans="1:11" hidden="1">
      <c r="A2814" s="978"/>
      <c r="F2814"/>
      <c r="G2814" s="721"/>
      <c r="H2814" s="1049" t="s">
        <v>52</v>
      </c>
      <c r="I2814"/>
      <c r="J2814" s="805"/>
      <c r="K2814"/>
    </row>
    <row r="2815" spans="1:11" ht="47.25" hidden="1">
      <c r="A2815" s="978"/>
      <c r="F2815" s="1047">
        <v>1</v>
      </c>
      <c r="G2815" s="1047" t="s">
        <v>1034</v>
      </c>
      <c r="H2815" s="1047" t="s">
        <v>2285</v>
      </c>
      <c r="I2815">
        <v>322</v>
      </c>
      <c r="J2815" s="805" t="s">
        <v>729</v>
      </c>
      <c r="K2815">
        <f>F2815*I2815</f>
        <v>322</v>
      </c>
    </row>
    <row r="2816" spans="1:11" hidden="1">
      <c r="A2816" s="978"/>
      <c r="F2816" s="1047">
        <v>1</v>
      </c>
      <c r="G2816" s="1047" t="s">
        <v>1034</v>
      </c>
      <c r="H2816" t="s">
        <v>2286</v>
      </c>
      <c r="I2816" s="965">
        <v>37</v>
      </c>
      <c r="J2816" s="805" t="s">
        <v>729</v>
      </c>
      <c r="K2816">
        <f>F2816*I2816</f>
        <v>37</v>
      </c>
    </row>
    <row r="2817" spans="1:11" hidden="1">
      <c r="A2817" s="978"/>
      <c r="F2817" s="1047">
        <v>2</v>
      </c>
      <c r="G2817" s="1047" t="s">
        <v>1034</v>
      </c>
      <c r="H2817" t="s">
        <v>2287</v>
      </c>
      <c r="I2817">
        <v>600</v>
      </c>
      <c r="J2817" s="805" t="s">
        <v>2288</v>
      </c>
      <c r="K2817">
        <f>(F2817*I2817)/100</f>
        <v>12</v>
      </c>
    </row>
    <row r="2818" spans="1:11" hidden="1">
      <c r="A2818" s="978"/>
      <c r="F2818" s="1047">
        <v>2</v>
      </c>
      <c r="G2818" s="1047" t="s">
        <v>1034</v>
      </c>
      <c r="H2818" t="s">
        <v>2289</v>
      </c>
      <c r="I2818">
        <v>914.1</v>
      </c>
      <c r="J2818" s="805" t="s">
        <v>2290</v>
      </c>
      <c r="K2818">
        <f>(F2818*I2818)/100</f>
        <v>18.28</v>
      </c>
    </row>
    <row r="2819" spans="1:11" hidden="1">
      <c r="A2819" s="978"/>
      <c r="F2819" s="1047"/>
      <c r="G2819" s="1047"/>
      <c r="H2819" t="s">
        <v>2291</v>
      </c>
      <c r="I2819">
        <f>K2830</f>
        <v>49.25</v>
      </c>
      <c r="J2819" s="805" t="s">
        <v>145</v>
      </c>
      <c r="K2819">
        <f>I2819</f>
        <v>49.25</v>
      </c>
    </row>
    <row r="2820" spans="1:11" hidden="1">
      <c r="A2820" s="978"/>
      <c r="F2820"/>
      <c r="G2820" s="721"/>
      <c r="H2820" t="s">
        <v>2292</v>
      </c>
      <c r="I2820"/>
      <c r="J2820" s="805" t="s">
        <v>145</v>
      </c>
      <c r="K2820">
        <v>1.84</v>
      </c>
    </row>
    <row r="2821" spans="1:11" hidden="1">
      <c r="A2821" s="978"/>
      <c r="F2821"/>
      <c r="G2821" s="721"/>
      <c r="H2821"/>
      <c r="I2821"/>
      <c r="J2821" s="805"/>
      <c r="K2821" s="1049" t="s">
        <v>52</v>
      </c>
    </row>
    <row r="2822" spans="1:11" hidden="1">
      <c r="A2822" s="978"/>
      <c r="F2822"/>
      <c r="G2822" s="721"/>
      <c r="H2822" t="s">
        <v>104</v>
      </c>
      <c r="I2822"/>
      <c r="J2822" s="805"/>
      <c r="K2822">
        <f>SUM(K2815:K2821)</f>
        <v>440.37</v>
      </c>
    </row>
    <row r="2823" spans="1:11" hidden="1">
      <c r="A2823" s="978"/>
      <c r="F2823"/>
      <c r="G2823" s="721"/>
      <c r="H2823"/>
      <c r="I2823"/>
      <c r="J2823" s="805"/>
      <c r="K2823" s="1049" t="s">
        <v>89</v>
      </c>
    </row>
    <row r="2824" spans="1:11" hidden="1">
      <c r="A2824" s="978"/>
      <c r="F2824"/>
      <c r="G2824" s="721"/>
      <c r="H2824" t="s">
        <v>2293</v>
      </c>
      <c r="I2824"/>
      <c r="J2824" s="805"/>
      <c r="K2824"/>
    </row>
    <row r="2825" spans="1:11" hidden="1">
      <c r="A2825" s="978"/>
      <c r="F2825">
        <v>1</v>
      </c>
      <c r="G2825" s="721" t="s">
        <v>1034</v>
      </c>
      <c r="H2825" t="s">
        <v>2209</v>
      </c>
      <c r="I2825">
        <v>160</v>
      </c>
      <c r="J2825" s="805" t="s">
        <v>729</v>
      </c>
      <c r="K2825">
        <f>F2825*I2825</f>
        <v>160</v>
      </c>
    </row>
    <row r="2826" spans="1:11" hidden="1">
      <c r="A2826" s="978"/>
      <c r="F2826">
        <v>2</v>
      </c>
      <c r="G2826" s="721" t="s">
        <v>1034</v>
      </c>
      <c r="H2826" t="s">
        <v>2210</v>
      </c>
      <c r="I2826">
        <v>149</v>
      </c>
      <c r="J2826" s="805" t="s">
        <v>729</v>
      </c>
      <c r="K2826">
        <f>F2826*I2826</f>
        <v>298</v>
      </c>
    </row>
    <row r="2827" spans="1:11" hidden="1">
      <c r="A2827" s="978"/>
      <c r="F2827">
        <v>3</v>
      </c>
      <c r="G2827" s="721" t="s">
        <v>1034</v>
      </c>
      <c r="H2827" t="s">
        <v>2166</v>
      </c>
      <c r="I2827">
        <v>110</v>
      </c>
      <c r="J2827" s="805" t="s">
        <v>729</v>
      </c>
      <c r="K2827">
        <f>F2827*I2827</f>
        <v>330</v>
      </c>
    </row>
    <row r="2828" spans="1:11" hidden="1">
      <c r="A2828" s="978"/>
      <c r="F2828"/>
      <c r="G2828" s="721"/>
      <c r="H2828"/>
      <c r="I2828"/>
      <c r="J2828" s="805"/>
      <c r="K2828" s="1049" t="s">
        <v>52</v>
      </c>
    </row>
    <row r="2829" spans="1:11" hidden="1">
      <c r="A2829" s="978"/>
      <c r="F2829"/>
      <c r="G2829" s="721"/>
      <c r="H2829" t="s">
        <v>2294</v>
      </c>
      <c r="I2829"/>
      <c r="J2829" s="805"/>
      <c r="K2829">
        <f>SUM(K2825:K2828)</f>
        <v>788</v>
      </c>
    </row>
    <row r="2830" spans="1:11" hidden="1">
      <c r="A2830" s="978"/>
      <c r="F2830"/>
      <c r="G2830" s="721"/>
      <c r="H2830" t="s">
        <v>2295</v>
      </c>
      <c r="I2830"/>
      <c r="J2830" s="805"/>
      <c r="K2830">
        <f>K2829/16</f>
        <v>49.25</v>
      </c>
    </row>
    <row r="2831" spans="1:11" hidden="1">
      <c r="A2831" s="978"/>
      <c r="F2831"/>
      <c r="G2831" s="721"/>
      <c r="H2831"/>
      <c r="I2831"/>
      <c r="J2831" s="805"/>
      <c r="K2831" s="1049" t="s">
        <v>52</v>
      </c>
    </row>
    <row r="2832" spans="1:11" ht="9" customHeight="1">
      <c r="A2832" s="978"/>
    </row>
    <row r="2833" spans="1:18" ht="19.5">
      <c r="A2833" s="978"/>
      <c r="H2833" s="1071" t="s">
        <v>2296</v>
      </c>
    </row>
    <row r="2834" spans="1:18">
      <c r="A2834" s="978"/>
      <c r="H2834" s="1072" t="s">
        <v>2297</v>
      </c>
    </row>
    <row r="2835" spans="1:18" ht="9" customHeight="1">
      <c r="A2835" s="978"/>
    </row>
    <row r="2836" spans="1:18" ht="20.25" customHeight="1">
      <c r="A2836" s="978"/>
      <c r="H2836" s="1073" t="s">
        <v>2298</v>
      </c>
    </row>
    <row r="2837" spans="1:18" ht="20.25" customHeight="1">
      <c r="A2837" s="978"/>
      <c r="H2837" s="1074" t="s">
        <v>2299</v>
      </c>
      <c r="O2837" s="1083" t="s">
        <v>2300</v>
      </c>
    </row>
    <row r="2838" spans="1:18" ht="16.5" customHeight="1">
      <c r="A2838" s="978"/>
      <c r="H2838" s="1074" t="s">
        <v>2301</v>
      </c>
    </row>
    <row r="2839" spans="1:18">
      <c r="A2839" s="978"/>
      <c r="H2839" s="1075"/>
    </row>
    <row r="2840" spans="1:18" ht="25.5" customHeight="1">
      <c r="A2840" s="978"/>
      <c r="H2840" s="1074" t="s">
        <v>2302</v>
      </c>
    </row>
    <row r="2841" spans="1:18" ht="1.5" customHeight="1">
      <c r="A2841" s="978"/>
    </row>
    <row r="2842" spans="1:18" ht="167.25" customHeight="1">
      <c r="A2842" s="978"/>
      <c r="H2842" s="1076" t="s">
        <v>2303</v>
      </c>
      <c r="M2842" s="1077"/>
      <c r="N2842" s="1077"/>
      <c r="O2842" s="1076" t="s">
        <v>2304</v>
      </c>
      <c r="P2842" s="1077"/>
      <c r="Q2842" s="1077"/>
      <c r="R2842" s="1077"/>
    </row>
    <row r="2843" spans="1:18" ht="36.75" customHeight="1">
      <c r="A2843" s="978"/>
      <c r="F2843" s="1077">
        <v>90</v>
      </c>
      <c r="G2843" s="1077" t="s">
        <v>13</v>
      </c>
      <c r="H2843" s="1078" t="s">
        <v>2305</v>
      </c>
      <c r="I2843" s="1084">
        <f>Elec.Data!I12</f>
        <v>16.55</v>
      </c>
      <c r="J2843" s="1077" t="s">
        <v>2306</v>
      </c>
      <c r="K2843" s="1077">
        <f>F2843*I2843</f>
        <v>1489.5</v>
      </c>
      <c r="M2843" s="1077"/>
      <c r="N2843" s="1077"/>
      <c r="O2843" s="1083"/>
      <c r="P2843" s="1077"/>
      <c r="Q2843" s="1077"/>
      <c r="R2843" s="1077"/>
    </row>
    <row r="2844" spans="1:18" ht="42.75" customHeight="1">
      <c r="A2844" s="978"/>
      <c r="E2844" s="1077"/>
      <c r="F2844" s="1077">
        <v>45</v>
      </c>
      <c r="G2844" s="1077" t="s">
        <v>13</v>
      </c>
      <c r="H2844" s="1076" t="s">
        <v>2307</v>
      </c>
      <c r="I2844" s="1084">
        <f>Elec.Data!I13</f>
        <v>20</v>
      </c>
      <c r="J2844" s="1077" t="s">
        <v>2308</v>
      </c>
      <c r="K2844" s="1077">
        <f>F2844*I2844</f>
        <v>900</v>
      </c>
      <c r="L2844" s="1077"/>
      <c r="M2844" s="1077"/>
      <c r="N2844" s="1077"/>
      <c r="P2844" s="1077" t="s">
        <v>85</v>
      </c>
      <c r="Q2844" s="1077"/>
      <c r="R2844" s="1077"/>
    </row>
    <row r="2845" spans="1:18" ht="24.95" customHeight="1">
      <c r="A2845" s="978"/>
      <c r="E2845" s="1077"/>
      <c r="F2845" s="1077">
        <v>20</v>
      </c>
      <c r="G2845" s="1077" t="s">
        <v>1034</v>
      </c>
      <c r="H2845" s="1077" t="s">
        <v>2309</v>
      </c>
      <c r="I2845" s="1084">
        <f>Elec.Data!I14</f>
        <v>3.15</v>
      </c>
      <c r="J2845" s="1077" t="s">
        <v>1034</v>
      </c>
      <c r="K2845" s="1077">
        <f>F2845*I2845</f>
        <v>63</v>
      </c>
      <c r="L2845" s="1077"/>
      <c r="M2845" s="1077"/>
      <c r="N2845" s="1077"/>
      <c r="O2845" s="1077"/>
      <c r="P2845" s="1077"/>
      <c r="Q2845" s="1077"/>
      <c r="R2845" s="1077"/>
    </row>
    <row r="2846" spans="1:18" ht="19.5" customHeight="1">
      <c r="A2846" s="978"/>
      <c r="E2846" s="1077"/>
      <c r="F2846" s="1077">
        <v>10</v>
      </c>
      <c r="G2846" s="1077" t="s">
        <v>1034</v>
      </c>
      <c r="H2846" s="1077" t="s">
        <v>2310</v>
      </c>
      <c r="I2846" s="1084">
        <f>Elec.Data!I15</f>
        <v>1.34</v>
      </c>
      <c r="J2846" s="1077" t="s">
        <v>1034</v>
      </c>
      <c r="K2846" s="1077">
        <f>F2846*I2846</f>
        <v>13.4</v>
      </c>
      <c r="L2846" s="1077"/>
      <c r="M2846" s="1077">
        <v>90</v>
      </c>
      <c r="N2846" s="1077" t="s">
        <v>13</v>
      </c>
      <c r="O2846" s="989" t="s">
        <v>2311</v>
      </c>
      <c r="P2846" s="1077">
        <f>I2856</f>
        <v>16.55</v>
      </c>
      <c r="Q2846" s="1077" t="s">
        <v>13</v>
      </c>
      <c r="R2846" s="1077">
        <f>M2846*P2846</f>
        <v>1489.5</v>
      </c>
    </row>
    <row r="2847" spans="1:18" ht="42.75" customHeight="1">
      <c r="A2847" s="978"/>
      <c r="E2847" s="1077"/>
      <c r="F2847" s="1077">
        <v>1</v>
      </c>
      <c r="G2847" s="1077" t="s">
        <v>1034</v>
      </c>
      <c r="H2847" s="1079" t="s">
        <v>2312</v>
      </c>
      <c r="I2847" s="1085">
        <v>58</v>
      </c>
      <c r="J2847" s="1077" t="s">
        <v>1034</v>
      </c>
      <c r="K2847" s="1077">
        <f>F2847*I2847</f>
        <v>58</v>
      </c>
      <c r="L2847" s="1077"/>
      <c r="M2847" s="1077">
        <v>45</v>
      </c>
      <c r="N2847" s="1077" t="s">
        <v>13</v>
      </c>
      <c r="O2847" s="1076" t="s">
        <v>2313</v>
      </c>
      <c r="P2847" s="1077">
        <f>I2844</f>
        <v>20</v>
      </c>
      <c r="Q2847" s="1077" t="s">
        <v>2308</v>
      </c>
      <c r="R2847" s="1077">
        <f>M2847*P2847</f>
        <v>900</v>
      </c>
    </row>
    <row r="2848" spans="1:18" hidden="1">
      <c r="A2848" s="978"/>
      <c r="E2848" s="1077"/>
      <c r="F2848" s="1077"/>
      <c r="G2848" s="1077"/>
      <c r="H2848" s="1077"/>
      <c r="I2848" s="1077"/>
      <c r="J2848" s="1077"/>
      <c r="K2848" s="1077"/>
      <c r="L2848" s="1077"/>
      <c r="M2848" s="1077">
        <v>75</v>
      </c>
      <c r="N2848" s="1077" t="s">
        <v>1034</v>
      </c>
      <c r="O2848" s="1077" t="s">
        <v>2314</v>
      </c>
      <c r="P2848" s="1086">
        <v>3.85</v>
      </c>
      <c r="Q2848" s="1077" t="s">
        <v>2315</v>
      </c>
      <c r="R2848" s="1077">
        <f>M2848*P2848/12</f>
        <v>24.06</v>
      </c>
    </row>
    <row r="2849" spans="1:20" ht="34.5" customHeight="1">
      <c r="A2849" s="978"/>
      <c r="E2849" s="1077"/>
      <c r="F2849" s="1080">
        <v>1.4999999999999999E-2</v>
      </c>
      <c r="G2849" s="1077" t="s">
        <v>724</v>
      </c>
      <c r="H2849" s="1077" t="s">
        <v>2316</v>
      </c>
      <c r="I2849" s="1084">
        <f>Elec.Data!I18</f>
        <v>661</v>
      </c>
      <c r="J2849" s="1077" t="s">
        <v>724</v>
      </c>
      <c r="K2849" s="1077">
        <f t="shared" ref="K2849:K2856" si="92">F2849*I2849</f>
        <v>9.92</v>
      </c>
      <c r="L2849" s="1077"/>
      <c r="M2849" s="1077">
        <v>12</v>
      </c>
      <c r="N2849" s="1077" t="s">
        <v>1034</v>
      </c>
      <c r="O2849" s="1077" t="s">
        <v>2317</v>
      </c>
      <c r="P2849" s="1077">
        <f>I2845</f>
        <v>3.15</v>
      </c>
      <c r="Q2849" s="1077" t="s">
        <v>1034</v>
      </c>
      <c r="R2849" s="1077">
        <f>M2849*P2849</f>
        <v>37.799999999999997</v>
      </c>
    </row>
    <row r="2850" spans="1:20" ht="24.95" customHeight="1">
      <c r="A2850" s="978"/>
      <c r="E2850" s="1077"/>
      <c r="F2850" s="1077">
        <v>10</v>
      </c>
      <c r="G2850" s="1077" t="s">
        <v>1034</v>
      </c>
      <c r="H2850" s="1077" t="s">
        <v>2318</v>
      </c>
      <c r="I2850" s="1084">
        <f>Elec.Data!I19</f>
        <v>16.21</v>
      </c>
      <c r="J2850" s="1077" t="s">
        <v>1034</v>
      </c>
      <c r="K2850" s="1077">
        <f t="shared" si="92"/>
        <v>162.1</v>
      </c>
      <c r="L2850" s="1077"/>
      <c r="M2850" s="1077">
        <v>6</v>
      </c>
      <c r="N2850" s="1077" t="s">
        <v>1034</v>
      </c>
      <c r="O2850" s="1077" t="s">
        <v>2319</v>
      </c>
      <c r="P2850" s="1077">
        <f>I2846</f>
        <v>1.34</v>
      </c>
      <c r="Q2850" s="1077" t="s">
        <v>1034</v>
      </c>
      <c r="R2850" s="1077">
        <f>M2850*P2850</f>
        <v>8.0399999999999991</v>
      </c>
    </row>
    <row r="2851" spans="1:20" ht="24.95" customHeight="1">
      <c r="A2851" s="978"/>
      <c r="E2851" s="1077"/>
      <c r="F2851" s="1077">
        <v>10</v>
      </c>
      <c r="G2851" s="1077" t="s">
        <v>1034</v>
      </c>
      <c r="H2851" s="1077" t="s">
        <v>2320</v>
      </c>
      <c r="I2851" s="1084">
        <f>Elec.Data!I20</f>
        <v>13.8</v>
      </c>
      <c r="J2851" s="1077" t="s">
        <v>1034</v>
      </c>
      <c r="K2851" s="1077">
        <f t="shared" si="92"/>
        <v>138</v>
      </c>
      <c r="L2851" s="1077"/>
      <c r="M2851" s="1077">
        <v>150</v>
      </c>
      <c r="N2851" s="1077" t="s">
        <v>41</v>
      </c>
      <c r="O2851" s="1077" t="s">
        <v>2321</v>
      </c>
      <c r="P2851" s="1077">
        <f>Elec.Data!P20</f>
        <v>287</v>
      </c>
      <c r="Q2851" s="1077">
        <v>1000</v>
      </c>
      <c r="R2851" s="1077">
        <f>(M2851*P2851)/1000</f>
        <v>43.05</v>
      </c>
    </row>
    <row r="2852" spans="1:20" ht="24.95" customHeight="1">
      <c r="A2852" s="978"/>
      <c r="E2852" s="1077"/>
      <c r="F2852" s="1077">
        <v>10</v>
      </c>
      <c r="G2852" s="1077" t="s">
        <v>1034</v>
      </c>
      <c r="H2852" s="1077" t="s">
        <v>2322</v>
      </c>
      <c r="I2852" s="1084">
        <f>Elec.Data!I21</f>
        <v>3.6</v>
      </c>
      <c r="J2852" s="1077" t="s">
        <v>1034</v>
      </c>
      <c r="K2852" s="1077">
        <f t="shared" si="92"/>
        <v>36</v>
      </c>
      <c r="L2852" s="1077"/>
      <c r="M2852" s="1080">
        <v>7</v>
      </c>
      <c r="N2852" s="1077" t="s">
        <v>41</v>
      </c>
      <c r="O2852" s="1077" t="s">
        <v>2323</v>
      </c>
      <c r="P2852" s="1077">
        <f>I2852</f>
        <v>3.6</v>
      </c>
      <c r="Q2852" s="1077" t="s">
        <v>1034</v>
      </c>
      <c r="R2852" s="1077">
        <f>M2852*P2852</f>
        <v>25.2</v>
      </c>
    </row>
    <row r="2853" spans="1:20" ht="24.95" customHeight="1">
      <c r="A2853" s="978"/>
      <c r="E2853" s="1077"/>
      <c r="F2853" s="1077">
        <v>1.25</v>
      </c>
      <c r="G2853" s="1077" t="s">
        <v>2324</v>
      </c>
      <c r="H2853" s="1077" t="s">
        <v>38</v>
      </c>
      <c r="I2853" s="1084">
        <f>Elec.Data!I22</f>
        <v>302</v>
      </c>
      <c r="J2853" s="1077" t="s">
        <v>2324</v>
      </c>
      <c r="K2853" s="1077">
        <f t="shared" si="92"/>
        <v>377.5</v>
      </c>
      <c r="L2853" s="1077"/>
      <c r="M2853" s="1077">
        <v>6</v>
      </c>
      <c r="N2853" s="1077" t="s">
        <v>1034</v>
      </c>
      <c r="O2853" s="1077" t="s">
        <v>2325</v>
      </c>
      <c r="P2853" s="1077">
        <f>I2851</f>
        <v>13.8</v>
      </c>
      <c r="Q2853" s="1077" t="s">
        <v>729</v>
      </c>
      <c r="R2853" s="1077">
        <f>M2853*P2853</f>
        <v>82.8</v>
      </c>
    </row>
    <row r="2854" spans="1:20" ht="24.95" customHeight="1">
      <c r="A2854" s="978"/>
      <c r="E2854" s="1077"/>
      <c r="F2854" s="1077">
        <v>10</v>
      </c>
      <c r="G2854" s="1077" t="s">
        <v>1034</v>
      </c>
      <c r="H2854" s="1079" t="s">
        <v>2312</v>
      </c>
      <c r="I2854" s="1085">
        <f>I2847</f>
        <v>58</v>
      </c>
      <c r="J2854" s="1077" t="s">
        <v>1034</v>
      </c>
      <c r="K2854" s="1077">
        <f t="shared" si="92"/>
        <v>580</v>
      </c>
      <c r="L2854" s="1077"/>
      <c r="M2854" s="1077">
        <v>6</v>
      </c>
      <c r="N2854" s="1077" t="s">
        <v>1034</v>
      </c>
      <c r="O2854" s="1077" t="s">
        <v>2326</v>
      </c>
      <c r="P2854" s="1077">
        <f>Elec.Data!P23</f>
        <v>16.21</v>
      </c>
      <c r="Q2854" s="1077" t="s">
        <v>2315</v>
      </c>
      <c r="R2854" s="1077">
        <f>(M2854*P2854)/12</f>
        <v>8.11</v>
      </c>
    </row>
    <row r="2855" spans="1:20" ht="24.95" customHeight="1">
      <c r="A2855" s="978"/>
      <c r="E2855" s="1077"/>
      <c r="F2855" s="1077">
        <v>0.15</v>
      </c>
      <c r="G2855" s="1077" t="s">
        <v>724</v>
      </c>
      <c r="H2855" s="1077" t="s">
        <v>2316</v>
      </c>
      <c r="I2855" s="1084">
        <f>Elec.Data!I24</f>
        <v>661</v>
      </c>
      <c r="J2855" s="1077" t="s">
        <v>724</v>
      </c>
      <c r="K2855" s="1077">
        <f t="shared" si="92"/>
        <v>99.15</v>
      </c>
      <c r="L2855" s="1077"/>
      <c r="M2855" s="1077">
        <v>1</v>
      </c>
      <c r="N2855" s="1077" t="s">
        <v>2327</v>
      </c>
      <c r="O2855" s="1077" t="s">
        <v>2328</v>
      </c>
      <c r="P2855" s="1077">
        <v>84.1</v>
      </c>
      <c r="Q2855" s="1077" t="s">
        <v>2327</v>
      </c>
      <c r="R2855" s="1077">
        <f>(M2855*P2855)</f>
        <v>84.1</v>
      </c>
    </row>
    <row r="2856" spans="1:20" ht="44.25" customHeight="1">
      <c r="A2856" s="978"/>
      <c r="E2856" s="1077"/>
      <c r="F2856" s="1077">
        <v>45</v>
      </c>
      <c r="G2856" s="1077" t="s">
        <v>13</v>
      </c>
      <c r="H2856" s="1078" t="s">
        <v>2329</v>
      </c>
      <c r="I2856" s="1084">
        <f>Elec.Data!I25</f>
        <v>16.55</v>
      </c>
      <c r="J2856" s="1077" t="s">
        <v>2330</v>
      </c>
      <c r="K2856" s="1077">
        <f t="shared" si="92"/>
        <v>744.75</v>
      </c>
      <c r="L2856" s="1077"/>
      <c r="M2856" s="1077">
        <v>6</v>
      </c>
      <c r="N2856" s="1077" t="s">
        <v>41</v>
      </c>
      <c r="O2856" s="1076" t="s">
        <v>2331</v>
      </c>
      <c r="P2856" s="1077">
        <v>168.95</v>
      </c>
      <c r="Q2856" s="1077" t="s">
        <v>2324</v>
      </c>
      <c r="R2856" s="1077">
        <f>M2856*P2856</f>
        <v>1013.7</v>
      </c>
    </row>
    <row r="2857" spans="1:20" ht="24.95" customHeight="1">
      <c r="A2857" s="978"/>
      <c r="E2857" s="1077"/>
      <c r="F2857" s="1077" t="s">
        <v>49</v>
      </c>
      <c r="G2857" s="1077"/>
      <c r="H2857" s="1077" t="s">
        <v>478</v>
      </c>
      <c r="I2857" s="1077"/>
      <c r="J2857" s="1077" t="s">
        <v>49</v>
      </c>
      <c r="K2857" s="1077">
        <f>K2873</f>
        <v>11454</v>
      </c>
      <c r="L2857" s="1077"/>
      <c r="M2857" s="1087">
        <v>0.16666666666666666</v>
      </c>
      <c r="N2857" s="1077" t="s">
        <v>2332</v>
      </c>
      <c r="O2857" s="1077" t="s">
        <v>38</v>
      </c>
      <c r="P2857" s="1086">
        <f>I2853</f>
        <v>302</v>
      </c>
      <c r="Q2857" s="1077" t="s">
        <v>2332</v>
      </c>
      <c r="R2857" s="1077">
        <f>M2857*P2857</f>
        <v>50.33</v>
      </c>
    </row>
    <row r="2858" spans="1:20" ht="20.25" customHeight="1">
      <c r="A2858" s="978"/>
      <c r="E2858" s="1077"/>
      <c r="F2858" s="1077" t="s">
        <v>49</v>
      </c>
      <c r="G2858" s="1077"/>
      <c r="H2858" s="1077" t="s">
        <v>1557</v>
      </c>
      <c r="I2858" s="1077"/>
      <c r="J2858" s="1077" t="s">
        <v>49</v>
      </c>
      <c r="K2858" s="1077">
        <v>44.68</v>
      </c>
      <c r="L2858" s="1077"/>
      <c r="M2858" s="1077">
        <v>45</v>
      </c>
      <c r="N2858" s="1077" t="s">
        <v>2092</v>
      </c>
      <c r="O2858" s="989" t="s">
        <v>2333</v>
      </c>
      <c r="P2858" s="1077">
        <f>P2846</f>
        <v>16.55</v>
      </c>
      <c r="Q2858" s="1077" t="s">
        <v>724</v>
      </c>
      <c r="R2858" s="1077">
        <f>M2858*P2858</f>
        <v>744.75</v>
      </c>
    </row>
    <row r="2859" spans="1:20" ht="24.95" customHeight="1">
      <c r="A2859" s="978"/>
      <c r="E2859" s="1077"/>
      <c r="F2859" s="1077"/>
      <c r="G2859" s="1077"/>
      <c r="H2859" s="1081" t="s">
        <v>2334</v>
      </c>
      <c r="I2859" s="1077"/>
      <c r="J2859" s="1077"/>
      <c r="K2859" s="1088">
        <f>SUM(K2843:K2858)</f>
        <v>16170</v>
      </c>
      <c r="L2859" s="1077"/>
      <c r="M2859" s="1077">
        <v>6</v>
      </c>
      <c r="N2859" s="1077" t="s">
        <v>2335</v>
      </c>
      <c r="O2859" s="1077" t="s">
        <v>478</v>
      </c>
      <c r="P2859" s="1077">
        <f>R2877</f>
        <v>1207</v>
      </c>
      <c r="Q2859" s="1077" t="s">
        <v>2335</v>
      </c>
      <c r="R2859" s="1077">
        <f>M2859*P2859</f>
        <v>7242</v>
      </c>
    </row>
    <row r="2860" spans="1:20" ht="21.75" customHeight="1">
      <c r="A2860" s="978"/>
      <c r="E2860" s="1077"/>
      <c r="F2860" s="1077"/>
      <c r="G2860" s="1077"/>
      <c r="H2860" s="1082" t="s">
        <v>2336</v>
      </c>
      <c r="I2860" s="1077"/>
      <c r="J2860" s="1077"/>
      <c r="K2860" s="1079">
        <f>K2859/10</f>
        <v>1617</v>
      </c>
      <c r="L2860" s="1077">
        <f>1617*10</f>
        <v>16170</v>
      </c>
      <c r="M2860" s="1077"/>
      <c r="N2860" s="1077" t="s">
        <v>2120</v>
      </c>
      <c r="O2860" s="1077" t="s">
        <v>2337</v>
      </c>
      <c r="P2860" s="1077"/>
      <c r="Q2860" s="1077"/>
      <c r="R2860" s="1077">
        <f>18.56+1.91</f>
        <v>20.47</v>
      </c>
    </row>
    <row r="2861" spans="1:20" ht="21" customHeight="1">
      <c r="A2861" s="978"/>
      <c r="E2861" s="1077"/>
      <c r="F2861" s="1077"/>
      <c r="G2861" s="1077"/>
      <c r="H2861" s="1077"/>
      <c r="I2861" s="1077"/>
      <c r="J2861" s="1077"/>
      <c r="K2861" s="1077"/>
      <c r="L2861" s="1077">
        <f>L2860-K2859</f>
        <v>0</v>
      </c>
      <c r="M2861" s="1077"/>
      <c r="N2861" s="1077"/>
      <c r="P2861" s="1077"/>
      <c r="Q2861" s="1077"/>
      <c r="R2861" s="1077"/>
    </row>
    <row r="2862" spans="1:20" ht="16.5" customHeight="1">
      <c r="A2862" s="978"/>
      <c r="E2862" s="1077"/>
      <c r="F2862" s="1077"/>
      <c r="G2862" s="1077"/>
      <c r="H2862" s="1079" t="s">
        <v>2338</v>
      </c>
      <c r="I2862" s="1077"/>
      <c r="J2862" s="1077"/>
      <c r="K2862" s="1077"/>
      <c r="L2862" s="1077">
        <f>L2860-K2859</f>
        <v>0</v>
      </c>
      <c r="M2862" s="1077"/>
      <c r="N2862" s="1077"/>
      <c r="O2862" s="1081" t="s">
        <v>2339</v>
      </c>
      <c r="P2862" s="1077"/>
      <c r="Q2862" s="1077"/>
      <c r="R2862" s="1088">
        <f>SUM(R2846:R2861)</f>
        <v>11773.91</v>
      </c>
    </row>
    <row r="2863" spans="1:20" ht="15.75" customHeight="1">
      <c r="A2863" s="978"/>
      <c r="E2863" s="1077"/>
      <c r="F2863" s="1077"/>
      <c r="G2863" s="1077"/>
      <c r="H2863" s="1077"/>
      <c r="I2863" s="1077"/>
      <c r="J2863" s="1077"/>
      <c r="K2863" s="1077"/>
      <c r="L2863" s="1077"/>
      <c r="M2863" s="1077"/>
      <c r="N2863" s="1077"/>
      <c r="O2863" s="1082" t="s">
        <v>2336</v>
      </c>
      <c r="P2863" s="1077"/>
      <c r="Q2863" s="1077"/>
      <c r="R2863" s="1079">
        <f>R2862/6</f>
        <v>1962.32</v>
      </c>
      <c r="T2863" s="930">
        <f>1382*6</f>
        <v>8292</v>
      </c>
    </row>
    <row r="2864" spans="1:20" ht="19.5" customHeight="1">
      <c r="A2864" s="978"/>
      <c r="E2864" s="1077"/>
      <c r="F2864" s="1077"/>
      <c r="G2864" s="1077"/>
      <c r="H2864" s="1079" t="s">
        <v>2106</v>
      </c>
      <c r="I2864" s="1077"/>
      <c r="J2864" s="1077"/>
      <c r="K2864" s="1077"/>
      <c r="L2864" s="1077"/>
      <c r="M2864" s="1077"/>
      <c r="N2864" s="1077"/>
      <c r="O2864" s="1077"/>
      <c r="P2864" s="1077"/>
      <c r="Q2864" s="1077"/>
      <c r="R2864" s="1077"/>
      <c r="T2864" s="930">
        <f>T2863-R2862</f>
        <v>-3481.91</v>
      </c>
    </row>
    <row r="2865" spans="1:18" ht="6.75" customHeight="1">
      <c r="A2865" s="978"/>
      <c r="E2865" s="1077"/>
      <c r="F2865" s="1077"/>
      <c r="G2865" s="1077"/>
      <c r="H2865" s="1077"/>
      <c r="I2865" s="1077"/>
      <c r="J2865" s="1077"/>
      <c r="K2865" s="1077"/>
      <c r="L2865" s="1077"/>
      <c r="M2865" s="1077"/>
    </row>
    <row r="2866" spans="1:18" ht="20.25" customHeight="1">
      <c r="A2866" s="978"/>
      <c r="E2866" s="1077"/>
      <c r="F2866" s="1077">
        <v>1</v>
      </c>
      <c r="G2866" s="1077" t="s">
        <v>1034</v>
      </c>
      <c r="H2866" s="1077" t="s">
        <v>2340</v>
      </c>
      <c r="I2866" s="1086">
        <f>Elec.Data!I35</f>
        <v>898</v>
      </c>
      <c r="J2866" s="1077" t="s">
        <v>1034</v>
      </c>
      <c r="K2866" s="1077">
        <f>F2866*I2866</f>
        <v>898</v>
      </c>
      <c r="L2866" s="1077"/>
      <c r="M2866" s="1077"/>
      <c r="N2866" s="1079" t="s">
        <v>2338</v>
      </c>
      <c r="O2866" s="1077"/>
      <c r="P2866" s="1077"/>
      <c r="Q2866" s="1077"/>
    </row>
    <row r="2867" spans="1:18" ht="20.25" customHeight="1">
      <c r="A2867" s="978"/>
      <c r="E2867" s="1077"/>
      <c r="F2867" s="1077">
        <v>2</v>
      </c>
      <c r="G2867" s="1077" t="s">
        <v>1034</v>
      </c>
      <c r="H2867" s="1077" t="s">
        <v>2341</v>
      </c>
      <c r="I2867" s="1086">
        <f>Elec.Data!I36</f>
        <v>783</v>
      </c>
      <c r="J2867" s="1077" t="s">
        <v>1034</v>
      </c>
      <c r="K2867" s="1077">
        <f>F2867*I2867</f>
        <v>1566</v>
      </c>
      <c r="L2867" s="1077"/>
      <c r="M2867" s="1077"/>
      <c r="N2867" s="1077"/>
      <c r="O2867" s="1077"/>
      <c r="P2867" s="1077"/>
      <c r="Q2867" s="1077"/>
    </row>
    <row r="2868" spans="1:18" ht="20.25" customHeight="1">
      <c r="A2868" s="978"/>
      <c r="E2868" s="1077"/>
      <c r="F2868" s="1077">
        <v>3</v>
      </c>
      <c r="G2868" s="1077" t="s">
        <v>1034</v>
      </c>
      <c r="H2868" s="1077" t="s">
        <v>2342</v>
      </c>
      <c r="I2868" s="1086">
        <f>Elec.Data!I37</f>
        <v>778</v>
      </c>
      <c r="J2868" s="1077" t="s">
        <v>1034</v>
      </c>
      <c r="K2868" s="1077">
        <f>F2868*I2868</f>
        <v>2334</v>
      </c>
      <c r="L2868" s="1077"/>
      <c r="M2868" s="1077"/>
      <c r="N2868" s="1079" t="s">
        <v>2106</v>
      </c>
      <c r="O2868" s="1077"/>
      <c r="P2868" s="1077"/>
      <c r="Q2868" s="1077"/>
    </row>
    <row r="2869" spans="1:18" ht="20.25" customHeight="1">
      <c r="A2869" s="978"/>
      <c r="E2869" s="1077"/>
      <c r="F2869" s="1077">
        <v>4</v>
      </c>
      <c r="G2869" s="1077" t="s">
        <v>1034</v>
      </c>
      <c r="H2869" s="1077" t="s">
        <v>2166</v>
      </c>
      <c r="I2869" s="1086">
        <f>Elec.Data!I38</f>
        <v>611</v>
      </c>
      <c r="J2869" s="1077" t="s">
        <v>1034</v>
      </c>
      <c r="K2869" s="1077">
        <f>F2869*I2869</f>
        <v>2444</v>
      </c>
      <c r="L2869" s="1077"/>
      <c r="M2869" s="1077"/>
      <c r="N2869" s="1077"/>
      <c r="O2869" s="1077"/>
      <c r="P2869" s="1077"/>
      <c r="Q2869" s="1077"/>
    </row>
    <row r="2870" spans="1:18" ht="24.95" customHeight="1">
      <c r="A2870" s="978"/>
      <c r="E2870" s="1077"/>
      <c r="F2870" s="1077"/>
      <c r="G2870" s="1077"/>
      <c r="H2870" s="1079" t="s">
        <v>2343</v>
      </c>
      <c r="I2870" s="1086">
        <f>Elec.Data!I39</f>
        <v>0</v>
      </c>
      <c r="J2870" s="1077"/>
      <c r="K2870" s="1077"/>
      <c r="M2870" s="1077">
        <v>1</v>
      </c>
      <c r="N2870" s="1077" t="s">
        <v>1034</v>
      </c>
      <c r="O2870" s="1077" t="s">
        <v>2340</v>
      </c>
      <c r="P2870" s="1077">
        <f>I2866</f>
        <v>898</v>
      </c>
      <c r="Q2870" s="1077" t="s">
        <v>1034</v>
      </c>
      <c r="R2870" s="1077">
        <f>M2870*P2870</f>
        <v>898</v>
      </c>
    </row>
    <row r="2871" spans="1:18" ht="24.95" customHeight="1">
      <c r="A2871" s="978"/>
      <c r="E2871" s="1077"/>
      <c r="F2871" s="1077">
        <v>2</v>
      </c>
      <c r="G2871" s="1077" t="s">
        <v>1034</v>
      </c>
      <c r="H2871" s="1077" t="s">
        <v>2344</v>
      </c>
      <c r="I2871" s="1086">
        <f>Elec.Data!I40</f>
        <v>884</v>
      </c>
      <c r="J2871" s="1077" t="s">
        <v>1034</v>
      </c>
      <c r="K2871" s="1077">
        <f>F2871*I2871</f>
        <v>1768</v>
      </c>
      <c r="M2871" s="1077">
        <v>2</v>
      </c>
      <c r="N2871" s="1077" t="s">
        <v>1034</v>
      </c>
      <c r="O2871" s="1077" t="s">
        <v>2341</v>
      </c>
      <c r="P2871" s="1077">
        <f>I2867</f>
        <v>783</v>
      </c>
      <c r="Q2871" s="1077" t="s">
        <v>1034</v>
      </c>
      <c r="R2871" s="1077">
        <f>M2871*P2871</f>
        <v>1566</v>
      </c>
    </row>
    <row r="2872" spans="1:18" ht="24.95" customHeight="1">
      <c r="A2872" s="978"/>
      <c r="E2872" s="1077"/>
      <c r="F2872" s="1077">
        <v>4</v>
      </c>
      <c r="G2872" s="1077" t="s">
        <v>1034</v>
      </c>
      <c r="H2872" s="1077" t="s">
        <v>2236</v>
      </c>
      <c r="I2872" s="1086">
        <f>Elec.Data!I41</f>
        <v>611</v>
      </c>
      <c r="J2872" s="1077" t="s">
        <v>1034</v>
      </c>
      <c r="K2872" s="1077">
        <f>F2872*I2872</f>
        <v>2444</v>
      </c>
      <c r="M2872" s="1077">
        <v>3</v>
      </c>
      <c r="N2872" s="1077" t="s">
        <v>1034</v>
      </c>
      <c r="O2872" s="1077" t="s">
        <v>2342</v>
      </c>
      <c r="P2872" s="1077">
        <f>I2868</f>
        <v>778</v>
      </c>
      <c r="Q2872" s="1077" t="s">
        <v>1034</v>
      </c>
      <c r="R2872" s="1077">
        <f>M2872*P2872</f>
        <v>2334</v>
      </c>
    </row>
    <row r="2873" spans="1:18" ht="20.25" customHeight="1">
      <c r="A2873" s="978"/>
      <c r="E2873" s="1077"/>
      <c r="F2873" s="1077"/>
      <c r="G2873" s="1077"/>
      <c r="H2873" s="1077"/>
      <c r="I2873" s="1077"/>
      <c r="J2873" s="1077"/>
      <c r="K2873" s="1089">
        <f>SUM(K2866:K2872)</f>
        <v>11454</v>
      </c>
      <c r="M2873" s="1077">
        <v>4</v>
      </c>
      <c r="N2873" s="1077" t="s">
        <v>1034</v>
      </c>
      <c r="O2873" s="1077" t="s">
        <v>2166</v>
      </c>
      <c r="P2873" s="1077">
        <f>I2869</f>
        <v>611</v>
      </c>
      <c r="Q2873" s="1077" t="s">
        <v>1034</v>
      </c>
      <c r="R2873" s="1077">
        <f>M2873*P2873</f>
        <v>2444</v>
      </c>
    </row>
    <row r="2874" spans="1:18" ht="5.25" hidden="1" customHeight="1">
      <c r="A2874" s="978"/>
      <c r="E2874" s="1077"/>
      <c r="F2874" s="1077"/>
      <c r="G2874" s="1077"/>
      <c r="H2874" s="1077"/>
      <c r="I2874" s="1077"/>
      <c r="J2874" s="1077"/>
      <c r="K2874" s="1088"/>
      <c r="M2874" s="1077"/>
      <c r="N2874" s="1077"/>
      <c r="O2874" s="1077"/>
      <c r="P2874" s="1077"/>
      <c r="Q2874" s="1077"/>
      <c r="R2874" s="1077"/>
    </row>
    <row r="2875" spans="1:18" ht="39.950000000000003" customHeight="1">
      <c r="A2875" s="978"/>
      <c r="E2875" s="1077"/>
      <c r="F2875" s="1077"/>
      <c r="G2875" s="1077"/>
      <c r="H2875" s="981" t="s">
        <v>2345</v>
      </c>
      <c r="I2875" s="1077"/>
      <c r="J2875" s="1077"/>
      <c r="K2875" s="1077"/>
      <c r="L2875" s="1077"/>
      <c r="M2875" s="1077"/>
      <c r="O2875" s="1090" t="s">
        <v>2346</v>
      </c>
      <c r="R2875" s="1091">
        <f>SUM(R2870:R2873)</f>
        <v>7242</v>
      </c>
    </row>
    <row r="2876" spans="1:18" ht="30.75" customHeight="1">
      <c r="A2876" s="978"/>
      <c r="E2876" s="1077"/>
      <c r="F2876" s="1077"/>
      <c r="G2876" s="1077"/>
      <c r="H2876" s="981" t="s">
        <v>2347</v>
      </c>
      <c r="I2876" s="1077"/>
      <c r="J2876" s="1077"/>
      <c r="K2876" s="1077"/>
      <c r="L2876" s="1077"/>
      <c r="M2876" s="1077"/>
    </row>
    <row r="2877" spans="1:18">
      <c r="A2877" s="978"/>
      <c r="E2877" s="1077"/>
      <c r="F2877" s="1077"/>
      <c r="G2877" s="1077"/>
      <c r="H2877" s="1077"/>
      <c r="I2877" s="1077"/>
      <c r="J2877" s="1077"/>
      <c r="K2877" s="1077"/>
      <c r="L2877" s="1077"/>
      <c r="M2877" s="1077"/>
      <c r="Q2877" s="1092" t="s">
        <v>2348</v>
      </c>
      <c r="R2877" s="1093">
        <f>R2875/6</f>
        <v>1207</v>
      </c>
    </row>
    <row r="2878" spans="1:18" ht="186.75" customHeight="1">
      <c r="A2878" s="978"/>
      <c r="E2878" s="1077"/>
      <c r="F2878" s="1077"/>
      <c r="G2878" s="1077"/>
      <c r="H2878" s="1076" t="s">
        <v>2349</v>
      </c>
      <c r="I2878" s="1077"/>
      <c r="J2878" s="1077"/>
      <c r="K2878" s="1077"/>
      <c r="L2878" s="1077"/>
      <c r="M2878" s="1077"/>
      <c r="O2878" s="1076" t="s">
        <v>2350</v>
      </c>
    </row>
    <row r="2879" spans="1:18" ht="30" customHeight="1">
      <c r="A2879" s="978"/>
      <c r="E2879" s="1077"/>
      <c r="F2879" s="1077"/>
      <c r="G2879" s="1077"/>
      <c r="H2879" s="1077" t="s">
        <v>2351</v>
      </c>
      <c r="I2879" s="1077"/>
      <c r="J2879" s="1077"/>
      <c r="K2879" s="1077">
        <f>K2859-K2858</f>
        <v>16125.32</v>
      </c>
      <c r="L2879" s="1077"/>
      <c r="M2879" s="1077">
        <v>90</v>
      </c>
      <c r="N2879" s="1077" t="s">
        <v>13</v>
      </c>
      <c r="O2879" s="989" t="s">
        <v>2311</v>
      </c>
      <c r="P2879" s="1077">
        <f t="shared" ref="P2879:P2888" si="93">P2846</f>
        <v>16.55</v>
      </c>
      <c r="Q2879" s="1077" t="s">
        <v>13</v>
      </c>
      <c r="R2879" s="1077">
        <f>M2879*P2879</f>
        <v>1489.5</v>
      </c>
    </row>
    <row r="2880" spans="1:18" ht="30" customHeight="1">
      <c r="A2880" s="978"/>
      <c r="E2880" s="1077"/>
      <c r="F2880" s="1077"/>
      <c r="G2880" s="1077"/>
      <c r="H2880" s="1077" t="s">
        <v>2352</v>
      </c>
      <c r="I2880" s="1077"/>
      <c r="J2880" s="1077"/>
      <c r="K2880" s="1077">
        <f>K2851</f>
        <v>138</v>
      </c>
      <c r="L2880" s="1077"/>
      <c r="M2880" s="1077">
        <v>45</v>
      </c>
      <c r="N2880" s="1077" t="s">
        <v>13</v>
      </c>
      <c r="O2880" s="1076" t="s">
        <v>2313</v>
      </c>
      <c r="P2880" s="1077">
        <f t="shared" si="93"/>
        <v>20</v>
      </c>
      <c r="Q2880" s="1077" t="s">
        <v>2308</v>
      </c>
      <c r="R2880" s="1077">
        <f>M2880*P2880</f>
        <v>900</v>
      </c>
    </row>
    <row r="2881" spans="1:19" ht="30" customHeight="1">
      <c r="A2881" s="978"/>
      <c r="E2881" s="1077"/>
      <c r="F2881" s="1077"/>
      <c r="G2881" s="1077"/>
      <c r="H2881" s="1086" t="s">
        <v>2353</v>
      </c>
      <c r="I2881" s="1086"/>
      <c r="J2881" s="1086"/>
      <c r="K2881" s="1086">
        <f>Elec.Data!K50</f>
        <v>166.5</v>
      </c>
      <c r="L2881" s="1077"/>
      <c r="M2881" s="1077">
        <v>75</v>
      </c>
      <c r="N2881" s="1077" t="s">
        <v>1034</v>
      </c>
      <c r="O2881" s="1077" t="s">
        <v>2354</v>
      </c>
      <c r="P2881" s="1077">
        <f t="shared" si="93"/>
        <v>3.85</v>
      </c>
      <c r="Q2881" s="1077" t="s">
        <v>2315</v>
      </c>
      <c r="R2881" s="1077">
        <f>M2881*P2881/12</f>
        <v>24.06</v>
      </c>
    </row>
    <row r="2882" spans="1:19" ht="30" customHeight="1">
      <c r="A2882" s="978"/>
      <c r="E2882" s="1077"/>
      <c r="F2882" s="1077"/>
      <c r="G2882" s="1077"/>
      <c r="H2882" s="1077" t="s">
        <v>1557</v>
      </c>
      <c r="I2882" s="1077"/>
      <c r="J2882" s="1077"/>
      <c r="K2882" s="1077">
        <v>46.18</v>
      </c>
      <c r="L2882" s="1077"/>
      <c r="M2882" s="1077">
        <v>12</v>
      </c>
      <c r="N2882" s="1077" t="s">
        <v>1034</v>
      </c>
      <c r="O2882" s="1077" t="s">
        <v>2317</v>
      </c>
      <c r="P2882" s="1077">
        <f t="shared" si="93"/>
        <v>3.15</v>
      </c>
      <c r="Q2882" s="1077" t="s">
        <v>1034</v>
      </c>
      <c r="R2882" s="1077">
        <f>M2882*P2882</f>
        <v>37.799999999999997</v>
      </c>
    </row>
    <row r="2883" spans="1:19" ht="39.950000000000003" customHeight="1">
      <c r="A2883" s="978"/>
      <c r="E2883" s="1077"/>
      <c r="F2883" s="1077"/>
      <c r="G2883" s="1077"/>
      <c r="H2883" s="1081" t="s">
        <v>2355</v>
      </c>
      <c r="I2883" s="1077"/>
      <c r="J2883" s="1077"/>
      <c r="K2883" s="1088">
        <f>K2879-K2880+K2881+K2882</f>
        <v>16200</v>
      </c>
      <c r="L2883" s="1077"/>
      <c r="M2883" s="1077">
        <v>6</v>
      </c>
      <c r="N2883" s="1077" t="s">
        <v>1034</v>
      </c>
      <c r="O2883" s="1077" t="s">
        <v>2319</v>
      </c>
      <c r="P2883" s="1077">
        <f t="shared" si="93"/>
        <v>1.34</v>
      </c>
      <c r="Q2883" s="1077" t="s">
        <v>1034</v>
      </c>
      <c r="R2883" s="1077">
        <f>M2883*P2883</f>
        <v>8.0399999999999991</v>
      </c>
    </row>
    <row r="2884" spans="1:19" ht="25.5" customHeight="1">
      <c r="A2884" s="978"/>
      <c r="E2884" s="1077"/>
      <c r="F2884" s="1077"/>
      <c r="G2884" s="1077"/>
      <c r="H2884" s="1082" t="s">
        <v>2356</v>
      </c>
      <c r="I2884" s="1077"/>
      <c r="J2884" s="1077"/>
      <c r="K2884" s="1079">
        <f>K2883/10</f>
        <v>1620</v>
      </c>
      <c r="L2884" s="1077">
        <f>1620*10</f>
        <v>16200</v>
      </c>
      <c r="M2884" s="1077">
        <v>150</v>
      </c>
      <c r="N2884" s="1077" t="s">
        <v>41</v>
      </c>
      <c r="O2884" s="1077" t="s">
        <v>2321</v>
      </c>
      <c r="P2884" s="1077">
        <f t="shared" si="93"/>
        <v>287</v>
      </c>
      <c r="Q2884" s="1077">
        <v>1000</v>
      </c>
      <c r="R2884" s="1077">
        <f>(M2884*P2884)/1000</f>
        <v>43.05</v>
      </c>
    </row>
    <row r="2885" spans="1:19">
      <c r="A2885" s="978"/>
      <c r="E2885" s="1077"/>
      <c r="F2885" s="1077"/>
      <c r="G2885" s="1077"/>
      <c r="H2885" s="1077"/>
      <c r="I2885" s="1077"/>
      <c r="J2885" s="1077"/>
      <c r="K2885" s="1077"/>
      <c r="L2885" s="1077">
        <f>L2884-K2883</f>
        <v>0</v>
      </c>
      <c r="M2885" s="1080">
        <v>7</v>
      </c>
      <c r="N2885" s="1077" t="s">
        <v>41</v>
      </c>
      <c r="O2885" s="1077" t="s">
        <v>2323</v>
      </c>
      <c r="P2885" s="1077">
        <f t="shared" si="93"/>
        <v>3.6</v>
      </c>
      <c r="Q2885" s="1077" t="s">
        <v>1034</v>
      </c>
      <c r="R2885" s="1077">
        <f>M2885*P2885</f>
        <v>25.2</v>
      </c>
    </row>
    <row r="2886" spans="1:19" ht="24.95" customHeight="1">
      <c r="A2886" s="978"/>
      <c r="E2886" s="1077"/>
      <c r="F2886" s="1077"/>
      <c r="G2886" s="1077"/>
      <c r="H2886" s="1079" t="s">
        <v>2357</v>
      </c>
      <c r="I2886" s="1077"/>
      <c r="J2886" s="1077"/>
      <c r="K2886" s="1077"/>
      <c r="L2886" s="1077"/>
      <c r="M2886" s="1077">
        <v>6</v>
      </c>
      <c r="N2886" s="1077" t="s">
        <v>1034</v>
      </c>
      <c r="O2886" s="1077" t="s">
        <v>2325</v>
      </c>
      <c r="P2886" s="1077">
        <f t="shared" si="93"/>
        <v>13.8</v>
      </c>
      <c r="Q2886" s="1077" t="s">
        <v>729</v>
      </c>
      <c r="R2886" s="1077">
        <f>M2886*P2886</f>
        <v>82.8</v>
      </c>
    </row>
    <row r="2887" spans="1:19" ht="56.25" customHeight="1">
      <c r="A2887" s="978"/>
      <c r="E2887" s="1077"/>
      <c r="F2887" s="1077"/>
      <c r="G2887" s="1077"/>
      <c r="H2887" s="1083" t="s">
        <v>2358</v>
      </c>
      <c r="I2887" s="1077"/>
      <c r="J2887" s="1077"/>
      <c r="K2887" s="1077"/>
      <c r="L2887" s="1077"/>
      <c r="M2887" s="1077">
        <v>6</v>
      </c>
      <c r="N2887" s="1077" t="s">
        <v>1034</v>
      </c>
      <c r="O2887" s="1077" t="s">
        <v>2326</v>
      </c>
      <c r="P2887" s="1077">
        <f t="shared" si="93"/>
        <v>16.21</v>
      </c>
      <c r="Q2887" s="1077" t="s">
        <v>2315</v>
      </c>
      <c r="R2887" s="1077">
        <f>(M2887*P2887)/12</f>
        <v>8.11</v>
      </c>
    </row>
    <row r="2888" spans="1:19">
      <c r="A2888" s="978"/>
      <c r="E2888" s="1077"/>
      <c r="F2888" s="1077"/>
      <c r="G2888" s="1077"/>
      <c r="H2888" s="1077"/>
      <c r="I2888" s="1077"/>
      <c r="J2888" s="1077"/>
      <c r="K2888" s="1077"/>
      <c r="L2888" s="1077"/>
      <c r="M2888" s="1077">
        <v>1</v>
      </c>
      <c r="N2888" s="1077" t="s">
        <v>2327</v>
      </c>
      <c r="O2888" s="1077" t="s">
        <v>2328</v>
      </c>
      <c r="P2888" s="1077">
        <f t="shared" si="93"/>
        <v>84.1</v>
      </c>
      <c r="Q2888" s="1077" t="s">
        <v>2327</v>
      </c>
      <c r="R2888" s="1077">
        <f>(M2888*P2888)</f>
        <v>84.1</v>
      </c>
    </row>
    <row r="2889" spans="1:19" ht="186" customHeight="1">
      <c r="A2889" s="978"/>
      <c r="E2889" s="1077"/>
      <c r="F2889" s="1077"/>
      <c r="G2889" s="1077"/>
      <c r="H2889" s="1076" t="s">
        <v>2359</v>
      </c>
      <c r="I2889" s="1077"/>
      <c r="J2889" s="1077"/>
      <c r="K2889" s="1077"/>
      <c r="L2889" s="1077"/>
      <c r="M2889" s="1077">
        <v>6</v>
      </c>
      <c r="N2889" s="1077" t="s">
        <v>41</v>
      </c>
      <c r="O2889" s="1076" t="s">
        <v>2360</v>
      </c>
      <c r="P2889" s="1077">
        <v>42.25</v>
      </c>
      <c r="Q2889" s="1077" t="s">
        <v>2324</v>
      </c>
      <c r="R2889" s="1077">
        <f>M2889*P2889</f>
        <v>253.5</v>
      </c>
    </row>
    <row r="2890" spans="1:19" ht="21.75" customHeight="1">
      <c r="A2890" s="978"/>
      <c r="E2890" s="1077"/>
      <c r="F2890" s="1077"/>
      <c r="G2890" s="1077"/>
      <c r="H2890" s="1077" t="s">
        <v>2361</v>
      </c>
      <c r="I2890" s="1077"/>
      <c r="J2890" s="1077"/>
      <c r="K2890" s="1077">
        <f>K2879</f>
        <v>16125.32</v>
      </c>
      <c r="L2890" s="1077"/>
      <c r="M2890" s="1087">
        <v>0.16666666666666666</v>
      </c>
      <c r="N2890" s="1077" t="s">
        <v>2332</v>
      </c>
      <c r="O2890" s="1077" t="s">
        <v>38</v>
      </c>
      <c r="P2890" s="1077">
        <f>P2857</f>
        <v>302</v>
      </c>
      <c r="Q2890" s="1077" t="s">
        <v>2332</v>
      </c>
      <c r="R2890" s="1077">
        <f>M2890*P2890</f>
        <v>50.33</v>
      </c>
    </row>
    <row r="2891" spans="1:19" ht="30" customHeight="1">
      <c r="A2891" s="978"/>
      <c r="E2891" s="1077"/>
      <c r="F2891" s="1077"/>
      <c r="G2891" s="1077"/>
      <c r="H2891" s="1077" t="s">
        <v>2362</v>
      </c>
      <c r="I2891" s="1077"/>
      <c r="J2891" s="1077"/>
      <c r="K2891" s="1077">
        <f>K2880</f>
        <v>138</v>
      </c>
      <c r="L2891" s="1077"/>
      <c r="M2891" s="1077"/>
      <c r="N2891" s="1077"/>
      <c r="O2891" s="989"/>
      <c r="P2891" s="1077"/>
      <c r="Q2891" s="1077"/>
      <c r="R2891" s="1077"/>
    </row>
    <row r="2892" spans="1:19" ht="30" customHeight="1">
      <c r="A2892" s="978"/>
      <c r="E2892" s="1077"/>
      <c r="F2892" s="1077"/>
      <c r="G2892" s="1077"/>
      <c r="H2892" s="1077" t="s">
        <v>2363</v>
      </c>
      <c r="I2892" s="1077"/>
      <c r="J2892" s="1077"/>
      <c r="K2892" s="1077">
        <f>K2852</f>
        <v>36</v>
      </c>
      <c r="L2892" s="1077"/>
      <c r="M2892" s="1077">
        <v>6</v>
      </c>
      <c r="N2892" s="1077" t="s">
        <v>2335</v>
      </c>
      <c r="O2892" s="1077" t="s">
        <v>478</v>
      </c>
      <c r="P2892" s="1077">
        <f>R2877</f>
        <v>1207</v>
      </c>
      <c r="Q2892" s="1077" t="s">
        <v>2335</v>
      </c>
      <c r="R2892" s="1077">
        <f>M2892*P2892</f>
        <v>7242</v>
      </c>
    </row>
    <row r="2893" spans="1:19" ht="30" customHeight="1">
      <c r="A2893" s="978"/>
      <c r="E2893" s="1077"/>
      <c r="F2893" s="1077"/>
      <c r="G2893" s="1077"/>
      <c r="H2893" s="1077" t="s">
        <v>2364</v>
      </c>
      <c r="I2893" s="1077"/>
      <c r="J2893" s="1077"/>
      <c r="K2893" s="1077">
        <f>K2850</f>
        <v>162.1</v>
      </c>
      <c r="L2893" s="1077"/>
      <c r="M2893" s="1077"/>
      <c r="N2893" s="1077" t="s">
        <v>2120</v>
      </c>
      <c r="O2893" s="1077" t="s">
        <v>2337</v>
      </c>
      <c r="P2893" s="1077"/>
      <c r="Q2893" s="1077"/>
      <c r="R2893" s="1077">
        <v>13.68</v>
      </c>
    </row>
    <row r="2894" spans="1:19" ht="30" customHeight="1">
      <c r="A2894" s="978"/>
      <c r="E2894" s="1077"/>
      <c r="F2894" s="1077"/>
      <c r="G2894" s="1077"/>
      <c r="H2894" s="1077" t="s">
        <v>2365</v>
      </c>
      <c r="I2894" s="1077"/>
      <c r="J2894" s="1077"/>
      <c r="K2894" s="1084">
        <f>Elec.Data!K63</f>
        <v>417</v>
      </c>
      <c r="L2894" s="1077"/>
      <c r="M2894" s="1077"/>
      <c r="N2894" s="1077"/>
      <c r="P2894" s="1077"/>
      <c r="Q2894" s="1077"/>
      <c r="R2894" s="1077"/>
    </row>
    <row r="2895" spans="1:19" ht="30" customHeight="1">
      <c r="A2895" s="978"/>
      <c r="E2895" s="1077"/>
      <c r="F2895" s="1077"/>
      <c r="G2895" s="1077"/>
      <c r="H2895" s="1077" t="s">
        <v>2366</v>
      </c>
      <c r="I2895" s="1077"/>
      <c r="J2895" s="1077"/>
      <c r="K2895" s="1077">
        <f>10*9</f>
        <v>90</v>
      </c>
      <c r="L2895" s="1077"/>
      <c r="M2895" s="1077"/>
      <c r="N2895" s="1077"/>
      <c r="O2895" s="1081" t="s">
        <v>2339</v>
      </c>
      <c r="P2895" s="1077"/>
      <c r="Q2895" s="1077"/>
      <c r="R2895" s="1088">
        <f>SUM(R2879:R2894)</f>
        <v>10262.17</v>
      </c>
    </row>
    <row r="2896" spans="1:19" ht="30" customHeight="1">
      <c r="A2896" s="978"/>
      <c r="E2896" s="1077"/>
      <c r="F2896" s="1077"/>
      <c r="G2896" s="1077"/>
      <c r="H2896" s="1077" t="s">
        <v>2367</v>
      </c>
      <c r="I2896" s="1077"/>
      <c r="J2896" s="1077"/>
      <c r="K2896" s="1084">
        <f>Elec.Data!K65</f>
        <v>165</v>
      </c>
      <c r="L2896" s="1077"/>
      <c r="M2896" s="1077"/>
      <c r="N2896" s="1077"/>
      <c r="O2896" s="1082" t="s">
        <v>2336</v>
      </c>
      <c r="P2896" s="1077"/>
      <c r="Q2896" s="1077"/>
      <c r="R2896" s="1079">
        <f>R2895/6</f>
        <v>1710.36</v>
      </c>
      <c r="S2896" s="930">
        <f>1199*6</f>
        <v>7194</v>
      </c>
    </row>
    <row r="2897" spans="1:19" ht="30" customHeight="1">
      <c r="A2897" s="978"/>
      <c r="E2897" s="1077"/>
      <c r="F2897" s="1077"/>
      <c r="G2897" s="1077"/>
      <c r="H2897" s="1077" t="s">
        <v>1557</v>
      </c>
      <c r="I2897" s="1077"/>
      <c r="J2897" s="1077"/>
      <c r="K2897" s="1077">
        <v>28.78</v>
      </c>
      <c r="L2897" s="1077"/>
      <c r="M2897" s="1077"/>
      <c r="S2897" s="930">
        <f>S2896-R2895</f>
        <v>-3068.17</v>
      </c>
    </row>
    <row r="2898" spans="1:19" ht="25.5" customHeight="1">
      <c r="A2898" s="978"/>
      <c r="E2898" s="1077"/>
      <c r="F2898" s="1077"/>
      <c r="G2898" s="1077"/>
      <c r="H2898" s="1081" t="s">
        <v>2355</v>
      </c>
      <c r="I2898" s="1077"/>
      <c r="J2898" s="1077"/>
      <c r="K2898" s="1088">
        <f>(K2890-K2891-K2892-K2893)+(K2894+K2895+K2896+K2897)</f>
        <v>16490</v>
      </c>
      <c r="L2898" s="1077"/>
      <c r="M2898" s="1077"/>
    </row>
    <row r="2899" spans="1:19" ht="27.75" customHeight="1">
      <c r="A2899" s="978"/>
      <c r="E2899" s="1077"/>
      <c r="F2899" s="1077"/>
      <c r="G2899" s="1077"/>
      <c r="H2899" s="1082" t="s">
        <v>2368</v>
      </c>
      <c r="I2899" s="1077"/>
      <c r="J2899" s="1077"/>
      <c r="K2899" s="1079">
        <f>K2898/10</f>
        <v>1649</v>
      </c>
      <c r="L2899" s="1077">
        <f>1649*10</f>
        <v>16490</v>
      </c>
      <c r="M2899" s="1077"/>
    </row>
    <row r="2900" spans="1:19">
      <c r="A2900" s="978"/>
      <c r="E2900" s="1077"/>
      <c r="F2900" s="1077"/>
      <c r="G2900" s="1077"/>
      <c r="H2900" s="1077"/>
      <c r="I2900" s="1077"/>
      <c r="J2900" s="1077"/>
      <c r="K2900" s="1077"/>
      <c r="L2900" s="1077">
        <f>L2899-K2898</f>
        <v>0</v>
      </c>
      <c r="M2900" s="1077"/>
    </row>
    <row r="2901" spans="1:19">
      <c r="A2901" s="978"/>
      <c r="E2901" s="1077"/>
      <c r="F2901" s="1077"/>
      <c r="G2901" s="1077"/>
      <c r="H2901" s="1079" t="s">
        <v>2369</v>
      </c>
      <c r="I2901" s="1077"/>
      <c r="J2901" s="1077"/>
      <c r="K2901" s="1077"/>
      <c r="L2901" s="1077"/>
      <c r="M2901" s="1077"/>
    </row>
    <row r="2902" spans="1:19">
      <c r="A2902" s="978"/>
      <c r="E2902" s="1077"/>
      <c r="F2902" s="1077"/>
      <c r="G2902" s="1077"/>
      <c r="H2902" s="1079" t="s">
        <v>2370</v>
      </c>
      <c r="I2902" s="1077"/>
      <c r="J2902" s="1077"/>
      <c r="K2902" s="1077"/>
      <c r="L2902" s="1077"/>
      <c r="M2902" s="1077"/>
    </row>
    <row r="2903" spans="1:19" ht="157.5">
      <c r="A2903" s="978"/>
      <c r="E2903" s="1077"/>
      <c r="F2903" s="1077"/>
      <c r="G2903" s="1077"/>
      <c r="H2903" s="1076" t="s">
        <v>2371</v>
      </c>
      <c r="I2903" s="1077"/>
      <c r="J2903" s="1077"/>
      <c r="K2903" s="1077"/>
      <c r="L2903" s="1077"/>
      <c r="M2903" s="1077"/>
    </row>
    <row r="2904" spans="1:19">
      <c r="A2904" s="978"/>
      <c r="E2904" s="1077"/>
      <c r="F2904" s="1077"/>
      <c r="G2904" s="1077"/>
      <c r="H2904" s="1077"/>
      <c r="I2904" s="1077"/>
      <c r="J2904" s="1077"/>
      <c r="K2904" s="1077"/>
      <c r="L2904" s="1077"/>
      <c r="M2904" s="1077"/>
    </row>
    <row r="2905" spans="1:19" ht="31.5">
      <c r="A2905" s="978"/>
      <c r="E2905" s="1077"/>
      <c r="F2905" s="1077">
        <v>90</v>
      </c>
      <c r="G2905" s="1077" t="s">
        <v>13</v>
      </c>
      <c r="H2905" s="989" t="str">
        <f>H2843</f>
        <v>1.5 sqmm copper PVC insulated unsheathed single core cable (P-79 it-2/b)</v>
      </c>
      <c r="I2905" s="1077">
        <f>I2843</f>
        <v>16.55</v>
      </c>
      <c r="J2905" s="1077" t="s">
        <v>2330</v>
      </c>
      <c r="K2905" s="1077">
        <f t="shared" ref="K2905:K2917" si="94">F2905*I2905</f>
        <v>1489.5</v>
      </c>
      <c r="L2905" s="1077"/>
      <c r="M2905" s="1077"/>
    </row>
    <row r="2906" spans="1:19" ht="31.5">
      <c r="A2906" s="978"/>
      <c r="E2906" s="1077"/>
      <c r="F2906" s="1077">
        <v>45</v>
      </c>
      <c r="G2906" s="1077" t="s">
        <v>13</v>
      </c>
      <c r="H2906" s="1076" t="s">
        <v>2307</v>
      </c>
      <c r="I2906" s="1077">
        <f>I2844</f>
        <v>20</v>
      </c>
      <c r="J2906" s="1077" t="s">
        <v>13</v>
      </c>
      <c r="K2906" s="1077">
        <f t="shared" si="94"/>
        <v>900</v>
      </c>
      <c r="L2906" s="1077"/>
      <c r="M2906" s="1077"/>
    </row>
    <row r="2907" spans="1:19">
      <c r="A2907" s="978"/>
      <c r="E2907" s="1077"/>
      <c r="F2907" s="1077">
        <v>20</v>
      </c>
      <c r="G2907" s="1077" t="s">
        <v>1034</v>
      </c>
      <c r="H2907" s="1077" t="s">
        <v>2309</v>
      </c>
      <c r="I2907" s="1077">
        <f>I2845</f>
        <v>3.15</v>
      </c>
      <c r="J2907" s="1077" t="s">
        <v>1034</v>
      </c>
      <c r="K2907" s="1077">
        <f t="shared" si="94"/>
        <v>63</v>
      </c>
      <c r="L2907" s="1077"/>
      <c r="M2907" s="1077"/>
    </row>
    <row r="2908" spans="1:19">
      <c r="A2908" s="978"/>
      <c r="E2908" s="1077"/>
      <c r="F2908" s="1077">
        <v>10</v>
      </c>
      <c r="G2908" s="1077" t="s">
        <v>1034</v>
      </c>
      <c r="H2908" s="1077" t="s">
        <v>2310</v>
      </c>
      <c r="I2908" s="1077">
        <f>I2846</f>
        <v>1.34</v>
      </c>
      <c r="J2908" s="1077" t="s">
        <v>1034</v>
      </c>
      <c r="K2908" s="1077">
        <f t="shared" si="94"/>
        <v>13.4</v>
      </c>
      <c r="L2908" s="1077"/>
      <c r="M2908" s="1077"/>
    </row>
    <row r="2909" spans="1:19">
      <c r="A2909" s="978"/>
      <c r="E2909" s="1077"/>
      <c r="F2909" s="1077">
        <v>10</v>
      </c>
      <c r="G2909" s="1077" t="s">
        <v>1034</v>
      </c>
      <c r="H2909" s="1077" t="str">
        <f>H2852</f>
        <v>19 mm PVC junction box  ( p-83,6-b( 44.8/12=3.73)</v>
      </c>
      <c r="I2909" s="1077">
        <f>I2852</f>
        <v>3.6</v>
      </c>
      <c r="J2909" s="1077" t="s">
        <v>1034</v>
      </c>
      <c r="K2909" s="1077">
        <f t="shared" si="94"/>
        <v>36</v>
      </c>
      <c r="L2909" s="1077"/>
      <c r="M2909" s="1077"/>
    </row>
    <row r="2910" spans="1:19">
      <c r="A2910" s="978"/>
      <c r="E2910" s="1077"/>
      <c r="F2910" s="1077">
        <v>10</v>
      </c>
      <c r="G2910" s="1077" t="s">
        <v>1034</v>
      </c>
      <c r="H2910" s="1077" t="str">
        <f>H2851</f>
        <v>Ceiling rose p-70 it-23</v>
      </c>
      <c r="I2910" s="1077">
        <f>I2851</f>
        <v>13.8</v>
      </c>
      <c r="J2910" s="1077" t="s">
        <v>1034</v>
      </c>
      <c r="K2910" s="1077">
        <f t="shared" si="94"/>
        <v>138</v>
      </c>
      <c r="L2910" s="1077"/>
      <c r="M2910" s="1077"/>
    </row>
    <row r="2911" spans="1:19">
      <c r="A2911" s="978"/>
      <c r="E2911" s="1077"/>
      <c r="F2911" s="1077">
        <v>10</v>
      </c>
      <c r="G2911" s="1077" t="s">
        <v>1034</v>
      </c>
      <c r="H2911" s="1077" t="str">
        <f>H2850</f>
        <v>5 amps flush type switch p-72, Part-C,1 a ( 207/12=17.25)</v>
      </c>
      <c r="I2911" s="1077">
        <f>I2850</f>
        <v>16.21</v>
      </c>
      <c r="J2911" s="1077" t="s">
        <v>1034</v>
      </c>
      <c r="K2911" s="1077">
        <f t="shared" si="94"/>
        <v>162.1</v>
      </c>
      <c r="L2911" s="1077"/>
      <c r="M2911" s="1077"/>
    </row>
    <row r="2912" spans="1:19">
      <c r="A2912" s="978"/>
      <c r="E2912" s="1077"/>
      <c r="F2912" s="1077">
        <v>10</v>
      </c>
      <c r="G2912" s="1077" t="s">
        <v>1034</v>
      </c>
      <c r="H2912" s="1079" t="s">
        <v>2372</v>
      </c>
      <c r="I2912" s="1095">
        <v>85</v>
      </c>
      <c r="J2912" s="1077" t="s">
        <v>1034</v>
      </c>
      <c r="K2912" s="1077">
        <f t="shared" si="94"/>
        <v>850</v>
      </c>
      <c r="L2912" s="1077"/>
      <c r="M2912" s="1077"/>
    </row>
    <row r="2913" spans="1:13">
      <c r="A2913" s="978"/>
      <c r="E2913" s="1077"/>
      <c r="F2913" s="1077">
        <v>0.6</v>
      </c>
      <c r="G2913" s="1077" t="s">
        <v>724</v>
      </c>
      <c r="H2913" s="1077" t="s">
        <v>2373</v>
      </c>
      <c r="I2913" s="1077">
        <f>I2849</f>
        <v>661</v>
      </c>
      <c r="J2913" s="1077" t="s">
        <v>724</v>
      </c>
      <c r="K2913" s="1077">
        <f t="shared" si="94"/>
        <v>396.6</v>
      </c>
      <c r="L2913" s="1077"/>
      <c r="M2913" s="1077"/>
    </row>
    <row r="2914" spans="1:13">
      <c r="A2914" s="978"/>
      <c r="E2914" s="1077"/>
      <c r="F2914" s="1077">
        <v>1</v>
      </c>
      <c r="G2914" s="1077" t="s">
        <v>1034</v>
      </c>
      <c r="H2914" s="1079" t="s">
        <v>2312</v>
      </c>
      <c r="I2914" s="1096">
        <f>I2854</f>
        <v>58</v>
      </c>
      <c r="J2914" s="1077" t="s">
        <v>1034</v>
      </c>
      <c r="K2914" s="1077">
        <f t="shared" si="94"/>
        <v>58</v>
      </c>
      <c r="L2914" s="1077"/>
      <c r="M2914" s="1077"/>
    </row>
    <row r="2915" spans="1:13">
      <c r="A2915" s="978"/>
      <c r="E2915" s="1077"/>
      <c r="F2915" s="1080">
        <v>1.4999999999999999E-2</v>
      </c>
      <c r="G2915" s="1077" t="s">
        <v>724</v>
      </c>
      <c r="H2915" s="1077" t="s">
        <v>2316</v>
      </c>
      <c r="I2915" s="1077">
        <f>I2913</f>
        <v>661</v>
      </c>
      <c r="J2915" s="1077" t="s">
        <v>724</v>
      </c>
      <c r="K2915" s="1077">
        <f t="shared" si="94"/>
        <v>9.92</v>
      </c>
      <c r="L2915" s="1077"/>
      <c r="M2915" s="1077"/>
    </row>
    <row r="2916" spans="1:13">
      <c r="A2916" s="978"/>
      <c r="E2916" s="1077"/>
      <c r="F2916" s="1077">
        <v>1.25</v>
      </c>
      <c r="G2916" s="1077" t="s">
        <v>2324</v>
      </c>
      <c r="H2916" s="1077" t="s">
        <v>38</v>
      </c>
      <c r="I2916" s="1077">
        <f>I2853</f>
        <v>302</v>
      </c>
      <c r="J2916" s="1077" t="s">
        <v>2324</v>
      </c>
      <c r="K2916" s="1077">
        <f t="shared" si="94"/>
        <v>377.5</v>
      </c>
      <c r="L2916" s="1077"/>
      <c r="M2916" s="1077"/>
    </row>
    <row r="2917" spans="1:13" ht="31.5">
      <c r="A2917" s="978"/>
      <c r="E2917" s="1077"/>
      <c r="F2917" s="1077">
        <v>45</v>
      </c>
      <c r="G2917" s="1077" t="s">
        <v>13</v>
      </c>
      <c r="H2917" s="1078" t="s">
        <v>2329</v>
      </c>
      <c r="I2917" s="1077">
        <f>I2843</f>
        <v>16.55</v>
      </c>
      <c r="J2917" s="1077" t="s">
        <v>2330</v>
      </c>
      <c r="K2917" s="1077">
        <f t="shared" si="94"/>
        <v>744.75</v>
      </c>
      <c r="L2917" s="1077"/>
      <c r="M2917" s="1077"/>
    </row>
    <row r="2918" spans="1:13">
      <c r="A2918" s="978"/>
      <c r="E2918" s="1077"/>
      <c r="F2918" s="1077" t="s">
        <v>49</v>
      </c>
      <c r="G2918" s="1077"/>
      <c r="H2918" s="1077" t="s">
        <v>478</v>
      </c>
      <c r="I2918" s="1077"/>
      <c r="J2918" s="1077"/>
      <c r="K2918" s="1077">
        <f>K2873</f>
        <v>11454</v>
      </c>
      <c r="L2918" s="1077"/>
      <c r="M2918" s="1077"/>
    </row>
    <row r="2919" spans="1:13">
      <c r="A2919" s="978"/>
      <c r="E2919" s="1077"/>
      <c r="F2919" s="1077" t="s">
        <v>49</v>
      </c>
      <c r="G2919" s="1077"/>
      <c r="H2919" s="1077" t="s">
        <v>1557</v>
      </c>
      <c r="I2919" s="1077"/>
      <c r="J2919" s="1077"/>
      <c r="K2919" s="1077">
        <v>27.25</v>
      </c>
      <c r="L2919" s="1077"/>
      <c r="M2919" s="1077"/>
    </row>
    <row r="2920" spans="1:13">
      <c r="A2920" s="978"/>
      <c r="E2920" s="1077"/>
      <c r="F2920" s="1077"/>
      <c r="G2920" s="1077"/>
      <c r="H2920" s="1081" t="s">
        <v>2355</v>
      </c>
      <c r="I2920" s="1077"/>
      <c r="J2920" s="1077"/>
      <c r="K2920" s="1088">
        <f>SUM(K2905:K2919)</f>
        <v>16720.02</v>
      </c>
      <c r="L2920" s="1077"/>
      <c r="M2920" s="1077"/>
    </row>
    <row r="2921" spans="1:13">
      <c r="A2921" s="978"/>
      <c r="E2921" s="1077"/>
      <c r="F2921" s="1077"/>
      <c r="G2921" s="1077"/>
      <c r="H2921" s="1082" t="s">
        <v>2368</v>
      </c>
      <c r="I2921" s="1077"/>
      <c r="J2921" s="1077"/>
      <c r="K2921" s="1079">
        <f>K2920/10</f>
        <v>1672</v>
      </c>
      <c r="L2921" s="1077">
        <f>1257*10</f>
        <v>12570</v>
      </c>
      <c r="M2921" s="1077"/>
    </row>
    <row r="2922" spans="1:13" hidden="1">
      <c r="A2922" s="978"/>
      <c r="E2922" s="1077"/>
      <c r="F2922" s="1077"/>
      <c r="G2922" s="1077"/>
      <c r="H2922" s="1079" t="s">
        <v>2374</v>
      </c>
      <c r="I2922" s="1077"/>
      <c r="J2922" s="1077"/>
      <c r="K2922" s="1079"/>
      <c r="L2922" s="1077"/>
      <c r="M2922" s="1077"/>
    </row>
    <row r="2923" spans="1:13" hidden="1">
      <c r="A2923" s="978"/>
      <c r="E2923" s="1077"/>
      <c r="F2923" s="1077"/>
      <c r="G2923" s="1077"/>
      <c r="H2923" s="1094" t="s">
        <v>2375</v>
      </c>
      <c r="I2923" s="1077">
        <f>90</f>
        <v>90</v>
      </c>
      <c r="J2923" s="1077"/>
      <c r="K2923" s="1079"/>
      <c r="L2923" s="1077"/>
      <c r="M2923" s="1077"/>
    </row>
    <row r="2924" spans="1:13" hidden="1">
      <c r="A2924" s="978"/>
      <c r="E2924" s="1077"/>
      <c r="F2924" s="1077"/>
      <c r="G2924" s="1077"/>
      <c r="H2924" s="1094" t="s">
        <v>2376</v>
      </c>
      <c r="I2924" s="1097">
        <v>8.2500000000000004E-2</v>
      </c>
      <c r="J2924" s="1077"/>
      <c r="K2924" s="1079"/>
      <c r="L2924" s="1077"/>
      <c r="M2924" s="1077"/>
    </row>
    <row r="2925" spans="1:13" ht="18" hidden="1">
      <c r="A2925" s="978"/>
      <c r="E2925" s="1077"/>
      <c r="F2925" s="1077"/>
      <c r="G2925" s="1077"/>
      <c r="H2925" s="1094" t="s">
        <v>2377</v>
      </c>
      <c r="I2925" s="1080">
        <v>0.13500000000000001</v>
      </c>
      <c r="J2925" s="1077"/>
      <c r="K2925" s="1079">
        <f>I2923*I2925/I2924</f>
        <v>147.27000000000001</v>
      </c>
      <c r="L2925" s="1077"/>
      <c r="M2925" s="1077"/>
    </row>
    <row r="2926" spans="1:13">
      <c r="A2926" s="978"/>
      <c r="E2926" s="1077"/>
      <c r="F2926" s="1077"/>
      <c r="G2926" s="1077"/>
      <c r="H2926" s="1082"/>
      <c r="I2926" s="1077"/>
      <c r="J2926" s="1077"/>
      <c r="K2926" s="1079"/>
      <c r="L2926" s="1077">
        <f>L2921-K2920</f>
        <v>-4150.0200000000004</v>
      </c>
      <c r="M2926" s="1077"/>
    </row>
    <row r="2927" spans="1:13" ht="6" customHeight="1">
      <c r="A2927" s="978"/>
      <c r="E2927" s="1077"/>
      <c r="F2927" s="1077"/>
      <c r="G2927" s="1077"/>
      <c r="H2927" s="1077"/>
      <c r="I2927" s="1077"/>
      <c r="J2927" s="1077"/>
      <c r="K2927" s="1077"/>
      <c r="L2927" s="1077"/>
      <c r="M2927" s="1077"/>
    </row>
    <row r="2928" spans="1:13" ht="24.75" customHeight="1">
      <c r="A2928" s="978"/>
      <c r="E2928" s="1077"/>
      <c r="F2928" s="1077"/>
      <c r="G2928" s="1077"/>
      <c r="H2928" s="1079" t="s">
        <v>2378</v>
      </c>
      <c r="I2928" s="1077"/>
      <c r="J2928" s="1077"/>
      <c r="K2928" s="1077"/>
      <c r="L2928" s="1077"/>
      <c r="M2928" s="1077"/>
    </row>
    <row r="2929" spans="1:13" ht="29.25" customHeight="1">
      <c r="A2929" s="978"/>
      <c r="E2929" s="1077"/>
      <c r="F2929" s="1077"/>
      <c r="G2929" s="1077"/>
      <c r="H2929" s="1079" t="s">
        <v>2379</v>
      </c>
      <c r="I2929" s="1077"/>
      <c r="J2929" s="1077"/>
      <c r="K2929" s="1077"/>
      <c r="L2929" s="1077"/>
      <c r="M2929" s="1077"/>
    </row>
    <row r="2930" spans="1:13" ht="177.75" customHeight="1">
      <c r="A2930" s="978"/>
      <c r="E2930" s="1077"/>
      <c r="F2930" s="1077"/>
      <c r="G2930" s="1077"/>
      <c r="H2930" s="1076" t="s">
        <v>2380</v>
      </c>
      <c r="I2930" s="1077"/>
      <c r="J2930" s="1077"/>
      <c r="K2930" s="1077"/>
      <c r="L2930" s="1077"/>
      <c r="M2930" s="1077"/>
    </row>
    <row r="2931" spans="1:13" ht="31.5">
      <c r="A2931" s="978"/>
      <c r="E2931" s="1077"/>
      <c r="F2931" s="1077">
        <v>90</v>
      </c>
      <c r="G2931" s="1077" t="s">
        <v>13</v>
      </c>
      <c r="H2931" s="1078" t="s">
        <v>2305</v>
      </c>
      <c r="I2931" s="1077">
        <f>I2843</f>
        <v>16.55</v>
      </c>
      <c r="J2931" s="1077" t="s">
        <v>2306</v>
      </c>
      <c r="K2931" s="1077">
        <f t="shared" ref="K2931:K2941" si="95">F2931*I2931</f>
        <v>1489.5</v>
      </c>
      <c r="L2931" s="1077"/>
      <c r="M2931" s="1077"/>
    </row>
    <row r="2932" spans="1:13" ht="31.5">
      <c r="A2932" s="978"/>
      <c r="E2932" s="1077"/>
      <c r="F2932" s="1077">
        <v>30</v>
      </c>
      <c r="G2932" s="1077" t="s">
        <v>13</v>
      </c>
      <c r="H2932" s="1076" t="s">
        <v>2307</v>
      </c>
      <c r="I2932" s="1077">
        <f>I2906</f>
        <v>20</v>
      </c>
      <c r="J2932" s="1077" t="s">
        <v>13</v>
      </c>
      <c r="K2932" s="1077">
        <f t="shared" si="95"/>
        <v>600</v>
      </c>
      <c r="L2932" s="1077"/>
      <c r="M2932" s="1077"/>
    </row>
    <row r="2933" spans="1:13">
      <c r="A2933" s="978"/>
      <c r="E2933" s="1077"/>
      <c r="F2933" s="1077">
        <v>10</v>
      </c>
      <c r="G2933" s="1077" t="s">
        <v>1034</v>
      </c>
      <c r="H2933" s="1077" t="s">
        <v>2309</v>
      </c>
      <c r="I2933" s="1077">
        <f>I2907</f>
        <v>3.15</v>
      </c>
      <c r="J2933" s="1077" t="s">
        <v>1034</v>
      </c>
      <c r="K2933" s="1077">
        <f t="shared" si="95"/>
        <v>31.5</v>
      </c>
      <c r="L2933" s="1077"/>
      <c r="M2933" s="1077"/>
    </row>
    <row r="2934" spans="1:13">
      <c r="A2934" s="978"/>
      <c r="E2934" s="1077"/>
      <c r="F2934" s="1077">
        <v>5</v>
      </c>
      <c r="G2934" s="1077" t="s">
        <v>1034</v>
      </c>
      <c r="H2934" s="1077" t="s">
        <v>2310</v>
      </c>
      <c r="I2934" s="1077">
        <f>I2908</f>
        <v>1.34</v>
      </c>
      <c r="J2934" s="1077" t="s">
        <v>1034</v>
      </c>
      <c r="K2934" s="1077">
        <f t="shared" si="95"/>
        <v>6.7</v>
      </c>
      <c r="L2934" s="1077"/>
      <c r="M2934" s="1077"/>
    </row>
    <row r="2935" spans="1:13">
      <c r="A2935" s="978"/>
      <c r="E2935" s="1077"/>
      <c r="F2935" s="1077">
        <v>10</v>
      </c>
      <c r="G2935" s="1077" t="s">
        <v>1034</v>
      </c>
      <c r="H2935" s="1077" t="s">
        <v>2381</v>
      </c>
      <c r="I2935" s="1086">
        <f>ROUND(237/12,2)</f>
        <v>19.75</v>
      </c>
      <c r="J2935" s="1077" t="s">
        <v>1034</v>
      </c>
      <c r="K2935" s="1077">
        <f t="shared" si="95"/>
        <v>197.5</v>
      </c>
      <c r="L2935" s="1077"/>
      <c r="M2935" s="1077">
        <f>253/12</f>
        <v>21.08</v>
      </c>
    </row>
    <row r="2936" spans="1:13">
      <c r="A2936" s="978"/>
      <c r="E2936" s="1077"/>
      <c r="F2936" s="1077">
        <v>5</v>
      </c>
      <c r="G2936" s="1077" t="s">
        <v>1034</v>
      </c>
      <c r="H2936" s="1077" t="str">
        <f>H2910</f>
        <v>Ceiling rose p-70 it-23</v>
      </c>
      <c r="I2936" s="1077">
        <f>I2910</f>
        <v>13.8</v>
      </c>
      <c r="J2936" s="1077" t="s">
        <v>1034</v>
      </c>
      <c r="K2936" s="1077">
        <f t="shared" si="95"/>
        <v>69</v>
      </c>
      <c r="L2936" s="1077"/>
      <c r="M2936" s="1077"/>
    </row>
    <row r="2937" spans="1:13">
      <c r="A2937" s="978"/>
      <c r="E2937" s="1077"/>
      <c r="F2937" s="1077">
        <v>5</v>
      </c>
      <c r="G2937" s="1077" t="s">
        <v>1034</v>
      </c>
      <c r="H2937" s="1077" t="str">
        <f>H2909</f>
        <v>19 mm PVC junction box  ( p-83,6-b( 44.8/12=3.73)</v>
      </c>
      <c r="I2937" s="1077">
        <f>I2909</f>
        <v>3.6</v>
      </c>
      <c r="J2937" s="1077" t="s">
        <v>1034</v>
      </c>
      <c r="K2937" s="1077">
        <f t="shared" si="95"/>
        <v>18</v>
      </c>
      <c r="L2937" s="1077"/>
      <c r="M2937" s="1077"/>
    </row>
    <row r="2938" spans="1:13">
      <c r="A2938" s="978"/>
      <c r="E2938" s="1077"/>
      <c r="F2938" s="1077">
        <v>6</v>
      </c>
      <c r="G2938" s="1077" t="s">
        <v>1034</v>
      </c>
      <c r="H2938" s="1079" t="s">
        <v>2312</v>
      </c>
      <c r="I2938" s="1079">
        <f>I2914</f>
        <v>58</v>
      </c>
      <c r="J2938" s="1077" t="s">
        <v>1034</v>
      </c>
      <c r="K2938" s="1077">
        <f t="shared" si="95"/>
        <v>348</v>
      </c>
      <c r="L2938" s="1077"/>
      <c r="M2938" s="1077"/>
    </row>
    <row r="2939" spans="1:13">
      <c r="A2939" s="978"/>
      <c r="E2939" s="1077"/>
      <c r="F2939" s="1077">
        <v>0.09</v>
      </c>
      <c r="G2939" s="1077" t="s">
        <v>724</v>
      </c>
      <c r="H2939" s="1077" t="s">
        <v>2316</v>
      </c>
      <c r="I2939" s="1077">
        <f>I2913</f>
        <v>661</v>
      </c>
      <c r="J2939" s="1077" t="s">
        <v>724</v>
      </c>
      <c r="K2939" s="1077">
        <f t="shared" si="95"/>
        <v>59.49</v>
      </c>
      <c r="L2939" s="1077"/>
      <c r="M2939" s="1077"/>
    </row>
    <row r="2940" spans="1:13">
      <c r="A2940" s="978"/>
      <c r="E2940" s="1077"/>
      <c r="F2940" s="1077">
        <v>1.25</v>
      </c>
      <c r="G2940" s="1077" t="s">
        <v>2324</v>
      </c>
      <c r="H2940" s="1077" t="s">
        <v>38</v>
      </c>
      <c r="I2940" s="1077">
        <f>I2916</f>
        <v>302</v>
      </c>
      <c r="J2940" s="1077" t="s">
        <v>2324</v>
      </c>
      <c r="K2940" s="1077">
        <f t="shared" si="95"/>
        <v>377.5</v>
      </c>
      <c r="L2940" s="1077"/>
      <c r="M2940" s="1077"/>
    </row>
    <row r="2941" spans="1:13" ht="31.5">
      <c r="A2941" s="978"/>
      <c r="E2941" s="1077"/>
      <c r="F2941" s="1077">
        <v>30</v>
      </c>
      <c r="G2941" s="1077" t="s">
        <v>13</v>
      </c>
      <c r="H2941" s="1078" t="s">
        <v>2329</v>
      </c>
      <c r="I2941" s="1077">
        <f>I2931</f>
        <v>16.55</v>
      </c>
      <c r="J2941" s="1077" t="s">
        <v>2330</v>
      </c>
      <c r="K2941" s="1077">
        <f t="shared" si="95"/>
        <v>496.5</v>
      </c>
      <c r="L2941" s="1077"/>
      <c r="M2941" s="1077"/>
    </row>
    <row r="2942" spans="1:13">
      <c r="A2942" s="978"/>
      <c r="E2942" s="1077"/>
      <c r="F2942" s="1077"/>
      <c r="G2942" s="1077"/>
      <c r="H2942" s="1077" t="s">
        <v>478</v>
      </c>
      <c r="I2942" s="1077"/>
      <c r="J2942" s="1077"/>
      <c r="K2942" s="1077">
        <f>K2873</f>
        <v>11454</v>
      </c>
      <c r="L2942" s="1077"/>
      <c r="M2942" s="1077"/>
    </row>
    <row r="2943" spans="1:13">
      <c r="A2943" s="978"/>
      <c r="E2943" s="1077"/>
      <c r="F2943" s="1077"/>
      <c r="G2943" s="1077"/>
      <c r="H2943" s="1077" t="s">
        <v>1557</v>
      </c>
      <c r="I2943" s="1077"/>
      <c r="J2943" s="1077"/>
      <c r="K2943" s="1098">
        <v>27.31</v>
      </c>
      <c r="L2943" s="1077"/>
      <c r="M2943" s="1077"/>
    </row>
    <row r="2944" spans="1:13">
      <c r="A2944" s="978"/>
      <c r="E2944" s="1077"/>
      <c r="F2944" s="1077"/>
      <c r="G2944" s="1077"/>
      <c r="H2944" s="1081" t="s">
        <v>2382</v>
      </c>
      <c r="I2944" s="1077"/>
      <c r="J2944" s="1077"/>
      <c r="K2944" s="1088">
        <f>SUM(K2931:K2943)</f>
        <v>15175</v>
      </c>
      <c r="L2944" s="1077"/>
      <c r="M2944" s="1077"/>
    </row>
    <row r="2945" spans="1:14">
      <c r="A2945" s="978"/>
      <c r="E2945" s="1077"/>
      <c r="F2945" s="1077"/>
      <c r="G2945" s="1077"/>
      <c r="H2945" s="1082" t="s">
        <v>2368</v>
      </c>
      <c r="I2945" s="1077"/>
      <c r="J2945" s="1077"/>
      <c r="K2945" s="1079">
        <f>K2944/5</f>
        <v>3035</v>
      </c>
      <c r="L2945" s="1077">
        <f>3035*5</f>
        <v>15175</v>
      </c>
      <c r="M2945" s="1077"/>
    </row>
    <row r="2946" spans="1:14">
      <c r="A2946" s="978"/>
      <c r="E2946" s="1077"/>
      <c r="F2946" s="1077"/>
      <c r="G2946" s="1077"/>
      <c r="H2946" s="1077"/>
      <c r="I2946" s="1077"/>
      <c r="J2946" s="1077"/>
      <c r="K2946" s="1077"/>
      <c r="L2946" s="1077">
        <f>L2945-K2944</f>
        <v>0</v>
      </c>
      <c r="M2946" s="1077"/>
    </row>
    <row r="2947" spans="1:14">
      <c r="A2947" s="978"/>
      <c r="E2947" s="1077"/>
      <c r="F2947" s="1077"/>
      <c r="G2947" s="1077"/>
      <c r="H2947" s="1079" t="s">
        <v>2383</v>
      </c>
      <c r="I2947" s="1077"/>
      <c r="J2947" s="1077"/>
      <c r="K2947" s="1077"/>
      <c r="L2947" s="1077"/>
      <c r="M2947" s="1077"/>
    </row>
    <row r="2948" spans="1:14">
      <c r="A2948" s="978"/>
      <c r="E2948" s="1077"/>
      <c r="F2948" s="1077"/>
      <c r="G2948" s="1077"/>
      <c r="H2948" s="1079" t="s">
        <v>2384</v>
      </c>
      <c r="I2948" s="1077"/>
      <c r="J2948" s="1077"/>
      <c r="K2948" s="1077"/>
      <c r="L2948" s="1077"/>
      <c r="M2948" s="1077"/>
    </row>
    <row r="2949" spans="1:14" ht="6.75" customHeight="1">
      <c r="A2949" s="978"/>
      <c r="E2949" s="1077"/>
      <c r="F2949" s="1077"/>
      <c r="G2949" s="1077"/>
      <c r="H2949" s="1077"/>
      <c r="I2949" s="1077"/>
      <c r="J2949" s="1077"/>
      <c r="K2949" s="1077"/>
      <c r="L2949" s="1077"/>
      <c r="M2949" s="1077"/>
    </row>
    <row r="2950" spans="1:14" ht="147.75" customHeight="1">
      <c r="A2950" s="978"/>
      <c r="E2950" s="1077"/>
      <c r="F2950" s="1077"/>
      <c r="G2950" s="1077"/>
      <c r="H2950" s="1076" t="s">
        <v>2385</v>
      </c>
      <c r="I2950" s="1077"/>
      <c r="J2950" s="1077"/>
      <c r="K2950" s="1077"/>
      <c r="L2950" s="1077"/>
      <c r="M2950" s="1077"/>
    </row>
    <row r="2951" spans="1:14" ht="31.5">
      <c r="A2951" s="978"/>
      <c r="E2951" s="1077"/>
      <c r="F2951" s="1077">
        <v>90</v>
      </c>
      <c r="G2951" s="1077" t="s">
        <v>13</v>
      </c>
      <c r="H2951" s="989" t="s">
        <v>2311</v>
      </c>
      <c r="I2951" s="1077">
        <f>I2931</f>
        <v>16.55</v>
      </c>
      <c r="J2951" s="1077" t="s">
        <v>2330</v>
      </c>
      <c r="K2951" s="1077">
        <f t="shared" ref="K2951:K2961" si="96">F2951*I2951</f>
        <v>1489.5</v>
      </c>
      <c r="L2951" s="1077"/>
      <c r="M2951" s="1077"/>
    </row>
    <row r="2952" spans="1:14" ht="31.5">
      <c r="E2952" s="1077"/>
      <c r="F2952" s="1077">
        <v>45</v>
      </c>
      <c r="G2952" s="1077" t="s">
        <v>13</v>
      </c>
      <c r="H2952" s="1076" t="s">
        <v>2313</v>
      </c>
      <c r="I2952" s="1077">
        <f>I2932</f>
        <v>20</v>
      </c>
      <c r="J2952" s="1077" t="s">
        <v>13</v>
      </c>
      <c r="K2952" s="1077">
        <f t="shared" si="96"/>
        <v>900</v>
      </c>
      <c r="L2952" s="1077"/>
      <c r="M2952" s="1077"/>
    </row>
    <row r="2953" spans="1:14" ht="20.100000000000001" customHeight="1">
      <c r="E2953" s="1077"/>
      <c r="F2953" s="1077">
        <v>20</v>
      </c>
      <c r="G2953" s="1077" t="s">
        <v>1034</v>
      </c>
      <c r="H2953" s="1077" t="s">
        <v>2317</v>
      </c>
      <c r="I2953" s="1077">
        <f>I2933</f>
        <v>3.15</v>
      </c>
      <c r="J2953" s="1077" t="s">
        <v>2315</v>
      </c>
      <c r="K2953" s="1077">
        <f t="shared" si="96"/>
        <v>63</v>
      </c>
      <c r="L2953" s="1077"/>
      <c r="M2953" s="1077"/>
    </row>
    <row r="2954" spans="1:14" ht="20.100000000000001" customHeight="1">
      <c r="E2954" s="1077"/>
      <c r="F2954" s="1077">
        <v>10</v>
      </c>
      <c r="G2954" s="1077" t="s">
        <v>1034</v>
      </c>
      <c r="H2954" s="1077" t="s">
        <v>2319</v>
      </c>
      <c r="I2954" s="1077">
        <f>I2934</f>
        <v>1.34</v>
      </c>
      <c r="J2954" s="1077" t="s">
        <v>2315</v>
      </c>
      <c r="K2954" s="1077">
        <f t="shared" si="96"/>
        <v>13.4</v>
      </c>
      <c r="L2954" s="1077"/>
      <c r="M2954" s="1077"/>
    </row>
    <row r="2955" spans="1:14" ht="20.100000000000001" customHeight="1">
      <c r="E2955" s="1077"/>
      <c r="F2955" s="1077">
        <v>1</v>
      </c>
      <c r="G2955" s="1077" t="s">
        <v>1034</v>
      </c>
      <c r="H2955" s="1079" t="s">
        <v>2312</v>
      </c>
      <c r="I2955" s="1079">
        <f>I2938</f>
        <v>58</v>
      </c>
      <c r="J2955" s="1077" t="s">
        <v>1034</v>
      </c>
      <c r="K2955" s="1077">
        <f t="shared" si="96"/>
        <v>58</v>
      </c>
      <c r="L2955" s="1077"/>
      <c r="M2955" s="1077"/>
    </row>
    <row r="2956" spans="1:14" ht="20.100000000000001" customHeight="1">
      <c r="E2956" s="1077"/>
      <c r="F2956" s="1080">
        <v>1.4999999999999999E-2</v>
      </c>
      <c r="G2956" s="1077" t="s">
        <v>724</v>
      </c>
      <c r="H2956" s="1077" t="s">
        <v>2386</v>
      </c>
      <c r="I2956" s="1077">
        <f>I2849</f>
        <v>661</v>
      </c>
      <c r="J2956" s="1077" t="s">
        <v>724</v>
      </c>
      <c r="K2956" s="1077">
        <f t="shared" si="96"/>
        <v>9.92</v>
      </c>
      <c r="L2956" s="1077"/>
      <c r="M2956" s="1077"/>
    </row>
    <row r="2957" spans="1:14" ht="31.5" customHeight="1">
      <c r="E2957" s="1077"/>
      <c r="F2957" s="1077">
        <v>15</v>
      </c>
      <c r="G2957" s="1077" t="s">
        <v>1034</v>
      </c>
      <c r="H2957" s="1076" t="s">
        <v>2387</v>
      </c>
      <c r="I2957" s="1086">
        <f>Elec.Data!I126</f>
        <v>40.31</v>
      </c>
      <c r="J2957" s="1077" t="s">
        <v>1034</v>
      </c>
      <c r="K2957" s="1077">
        <f t="shared" si="96"/>
        <v>604.65</v>
      </c>
      <c r="L2957" s="1099">
        <f>185+230</f>
        <v>415</v>
      </c>
      <c r="M2957" s="1077">
        <f>L2957/12</f>
        <v>34.58</v>
      </c>
      <c r="N2957" s="930">
        <f>M2957/12</f>
        <v>2.88</v>
      </c>
    </row>
    <row r="2958" spans="1:14" ht="20.100000000000001" customHeight="1">
      <c r="E2958" s="1077"/>
      <c r="F2958" s="1077">
        <v>15</v>
      </c>
      <c r="G2958" s="1077" t="s">
        <v>1034</v>
      </c>
      <c r="H2958" s="1079" t="s">
        <v>2312</v>
      </c>
      <c r="I2958" s="1077">
        <f>I2955</f>
        <v>58</v>
      </c>
      <c r="J2958" s="1077" t="s">
        <v>1034</v>
      </c>
      <c r="K2958" s="1077">
        <f t="shared" si="96"/>
        <v>870</v>
      </c>
      <c r="L2958" s="1077"/>
      <c r="M2958" s="1077"/>
    </row>
    <row r="2959" spans="1:14" ht="20.100000000000001" customHeight="1">
      <c r="E2959" s="1077"/>
      <c r="F2959" s="1080">
        <v>0.22500000000000001</v>
      </c>
      <c r="G2959" s="1077" t="s">
        <v>724</v>
      </c>
      <c r="H2959" s="1077" t="s">
        <v>2316</v>
      </c>
      <c r="I2959" s="1077">
        <f>I2956</f>
        <v>661</v>
      </c>
      <c r="J2959" s="1077" t="s">
        <v>2388</v>
      </c>
      <c r="K2959" s="1077">
        <f t="shared" si="96"/>
        <v>148.72999999999999</v>
      </c>
      <c r="L2959" s="1077"/>
      <c r="M2959" s="1077"/>
    </row>
    <row r="2960" spans="1:14" ht="20.100000000000001" customHeight="1">
      <c r="E2960" s="1077"/>
      <c r="F2960" s="1077">
        <v>1.25</v>
      </c>
      <c r="G2960" s="1077" t="s">
        <v>2324</v>
      </c>
      <c r="H2960" s="1077" t="s">
        <v>38</v>
      </c>
      <c r="I2960" s="1077">
        <f>I2940</f>
        <v>302</v>
      </c>
      <c r="J2960" s="1077" t="s">
        <v>2324</v>
      </c>
      <c r="K2960" s="1077">
        <f t="shared" si="96"/>
        <v>377.5</v>
      </c>
      <c r="L2960" s="1077"/>
      <c r="M2960" s="1077"/>
    </row>
    <row r="2961" spans="5:13" ht="31.5">
      <c r="E2961" s="1077"/>
      <c r="F2961" s="1077">
        <v>45</v>
      </c>
      <c r="G2961" s="1077" t="s">
        <v>724</v>
      </c>
      <c r="H2961" s="1078" t="s">
        <v>2329</v>
      </c>
      <c r="I2961" s="1077">
        <f>I2951</f>
        <v>16.55</v>
      </c>
      <c r="J2961" s="1077" t="s">
        <v>2330</v>
      </c>
      <c r="K2961" s="1077">
        <f t="shared" si="96"/>
        <v>744.75</v>
      </c>
      <c r="L2961" s="1077"/>
      <c r="M2961" s="1077"/>
    </row>
    <row r="2962" spans="5:13" ht="15.75" customHeight="1">
      <c r="E2962" s="1077"/>
      <c r="F2962" s="1077"/>
      <c r="G2962" s="1077"/>
      <c r="H2962" s="1077" t="s">
        <v>478</v>
      </c>
      <c r="I2962" s="1077"/>
      <c r="J2962" s="1077"/>
      <c r="K2962" s="1077">
        <f>K2918</f>
        <v>11454</v>
      </c>
      <c r="L2962" s="1077"/>
      <c r="M2962" s="1077"/>
    </row>
    <row r="2963" spans="5:13" ht="17.25" customHeight="1">
      <c r="E2963" s="1077"/>
      <c r="F2963" s="1077"/>
      <c r="G2963" s="1077"/>
      <c r="H2963" s="1077" t="s">
        <v>1557</v>
      </c>
      <c r="I2963" s="1077"/>
      <c r="J2963" s="1077"/>
      <c r="K2963" s="1077">
        <v>66.55</v>
      </c>
      <c r="L2963" s="1077"/>
      <c r="M2963" s="1077"/>
    </row>
    <row r="2964" spans="5:13">
      <c r="E2964" s="1077"/>
      <c r="F2964" s="1077"/>
      <c r="G2964" s="1077"/>
      <c r="H2964" s="1081" t="s">
        <v>2389</v>
      </c>
      <c r="I2964" s="1077"/>
      <c r="J2964" s="1077"/>
      <c r="K2964" s="1088">
        <f>SUM(K2951:K2963)</f>
        <v>16800</v>
      </c>
      <c r="L2964" s="1077"/>
      <c r="M2964" s="1077"/>
    </row>
    <row r="2965" spans="5:13">
      <c r="E2965" s="1077"/>
      <c r="F2965" s="1077"/>
      <c r="G2965" s="1077"/>
      <c r="H2965" s="1082" t="s">
        <v>2368</v>
      </c>
      <c r="I2965" s="1077"/>
      <c r="J2965" s="1077"/>
      <c r="K2965" s="1079">
        <f>K2964/15</f>
        <v>1120</v>
      </c>
      <c r="L2965" s="1077">
        <f>1120*15</f>
        <v>16800</v>
      </c>
      <c r="M2965" s="1077"/>
    </row>
    <row r="2966" spans="5:13" ht="16.5" customHeight="1">
      <c r="E2966" s="1077"/>
      <c r="F2966" s="1077"/>
      <c r="G2966" s="1077"/>
      <c r="H2966" s="1077"/>
      <c r="I2966" s="1077"/>
      <c r="J2966" s="1077"/>
      <c r="K2966" s="1077"/>
      <c r="L2966" s="1077">
        <f>L2965-K2964</f>
        <v>0</v>
      </c>
      <c r="M2966" s="1077"/>
    </row>
    <row r="2967" spans="5:13">
      <c r="E2967" s="1077"/>
      <c r="F2967" s="1077"/>
      <c r="G2967" s="1077"/>
      <c r="H2967" s="1079" t="s">
        <v>2390</v>
      </c>
      <c r="I2967" s="1077"/>
      <c r="J2967" s="1077"/>
      <c r="K2967" s="1077"/>
      <c r="L2967" s="1077"/>
      <c r="M2967" s="1077"/>
    </row>
    <row r="2968" spans="5:13">
      <c r="E2968" s="1077"/>
      <c r="F2968" s="1077"/>
      <c r="G2968" s="1077"/>
      <c r="H2968" s="1079" t="s">
        <v>2391</v>
      </c>
      <c r="I2968" s="1077"/>
      <c r="J2968" s="1077"/>
      <c r="K2968" s="1077"/>
      <c r="L2968" s="1077"/>
      <c r="M2968" s="1077"/>
    </row>
    <row r="2969" spans="5:13" ht="3.75" customHeight="1">
      <c r="E2969" s="1077"/>
      <c r="F2969" s="1077"/>
      <c r="G2969" s="1077"/>
      <c r="H2969" s="1077"/>
      <c r="I2969" s="1077"/>
      <c r="J2969" s="1077"/>
      <c r="K2969" s="1077"/>
      <c r="L2969" s="1077"/>
      <c r="M2969" s="1077"/>
    </row>
    <row r="2970" spans="5:13" ht="147.75" customHeight="1">
      <c r="E2970" s="1077"/>
      <c r="F2970" s="1077"/>
      <c r="G2970" s="1077"/>
      <c r="H2970" s="1076" t="s">
        <v>2392</v>
      </c>
      <c r="I2970" s="1077"/>
      <c r="J2970" s="1077"/>
      <c r="K2970" s="1077"/>
      <c r="L2970" s="1077"/>
      <c r="M2970" s="1077"/>
    </row>
    <row r="2971" spans="5:13" ht="2.25" hidden="1" customHeight="1">
      <c r="E2971" s="1077"/>
      <c r="F2971" s="1077"/>
      <c r="G2971" s="1077"/>
      <c r="H2971" s="1077"/>
      <c r="I2971" s="1077"/>
      <c r="J2971" s="1077"/>
      <c r="K2971" s="1077"/>
      <c r="L2971" s="1077"/>
      <c r="M2971" s="1077"/>
    </row>
    <row r="2972" spans="5:13" ht="31.5">
      <c r="E2972" s="1077"/>
      <c r="F2972" s="1077">
        <v>5</v>
      </c>
      <c r="G2972" s="1077" t="s">
        <v>13</v>
      </c>
      <c r="H2972" s="989" t="s">
        <v>2311</v>
      </c>
      <c r="I2972" s="1077">
        <f>I2951</f>
        <v>16.55</v>
      </c>
      <c r="J2972" s="1077" t="s">
        <v>2308</v>
      </c>
      <c r="K2972" s="1077">
        <f>F2972*I2972</f>
        <v>82.75</v>
      </c>
      <c r="L2972" s="1077"/>
      <c r="M2972" s="1077"/>
    </row>
    <row r="2973" spans="5:13" ht="24.75" customHeight="1">
      <c r="E2973" s="1077"/>
      <c r="F2973" s="1077">
        <v>2.5</v>
      </c>
      <c r="G2973" s="1077" t="s">
        <v>13</v>
      </c>
      <c r="H2973" s="1076" t="s">
        <v>2313</v>
      </c>
      <c r="I2973" s="1077">
        <f>I2952</f>
        <v>20</v>
      </c>
      <c r="J2973" s="1077" t="s">
        <v>13</v>
      </c>
      <c r="K2973" s="1077">
        <f>F2973*I2973</f>
        <v>50</v>
      </c>
      <c r="L2973" s="1077"/>
      <c r="M2973" s="1077"/>
    </row>
    <row r="2974" spans="5:13" ht="39.75" customHeight="1">
      <c r="E2974" s="1077"/>
      <c r="F2974" s="1077">
        <v>1</v>
      </c>
      <c r="G2974" s="1077" t="s">
        <v>1034</v>
      </c>
      <c r="H2974" s="1076" t="s">
        <v>2393</v>
      </c>
      <c r="I2974" s="1084">
        <f>I2957</f>
        <v>40.31</v>
      </c>
      <c r="J2974" s="1077" t="s">
        <v>1034</v>
      </c>
      <c r="K2974" s="1077">
        <f>F2974*I2974</f>
        <v>40.31</v>
      </c>
      <c r="L2974" s="1077"/>
      <c r="M2974" s="1077"/>
    </row>
    <row r="2975" spans="5:13">
      <c r="E2975" s="1077"/>
      <c r="F2975" s="1077"/>
      <c r="G2975" s="1077"/>
      <c r="H2975" s="1077" t="s">
        <v>478</v>
      </c>
      <c r="I2975" s="1077"/>
      <c r="J2975" s="1077"/>
      <c r="K2975" s="1077">
        <f>ROUND(K2873*5/90,2)</f>
        <v>636.33000000000004</v>
      </c>
      <c r="L2975" s="1077"/>
      <c r="M2975" s="1077"/>
    </row>
    <row r="2976" spans="5:13">
      <c r="E2976" s="1077"/>
      <c r="F2976" s="1077"/>
      <c r="G2976" s="1077"/>
      <c r="H2976" s="1077" t="s">
        <v>1557</v>
      </c>
      <c r="I2976" s="1077"/>
      <c r="J2976" s="1077"/>
      <c r="K2976" s="1077">
        <v>20.61</v>
      </c>
      <c r="L2976" s="1077"/>
      <c r="M2976" s="1077"/>
    </row>
    <row r="2977" spans="5:13" ht="16.5" customHeight="1">
      <c r="E2977" s="1077"/>
      <c r="F2977" s="1077"/>
      <c r="G2977" s="1077"/>
      <c r="H2977" s="1082" t="s">
        <v>2368</v>
      </c>
      <c r="I2977" s="1077"/>
      <c r="J2977" s="1077"/>
      <c r="K2977" s="1089">
        <f>SUM(K2972:K2976)</f>
        <v>830</v>
      </c>
      <c r="L2977" s="1077">
        <f>830-K2977</f>
        <v>0</v>
      </c>
      <c r="M2977" s="1077"/>
    </row>
    <row r="2978" spans="5:13" ht="0.75" customHeight="1">
      <c r="E2978" s="1077"/>
      <c r="F2978" s="1077"/>
      <c r="G2978" s="1077"/>
      <c r="H2978" s="1077"/>
      <c r="I2978" s="1077"/>
      <c r="J2978" s="1077"/>
      <c r="K2978" s="1077"/>
      <c r="L2978" s="1077"/>
      <c r="M2978" s="1077"/>
    </row>
    <row r="2979" spans="5:13">
      <c r="E2979" s="1077"/>
      <c r="F2979" s="1077"/>
      <c r="G2979" s="1077"/>
      <c r="H2979" s="1079" t="s">
        <v>2394</v>
      </c>
      <c r="I2979" s="1077"/>
      <c r="J2979" s="1077"/>
      <c r="K2979" s="1077"/>
      <c r="L2979" s="1077"/>
      <c r="M2979" s="1077"/>
    </row>
    <row r="2980" spans="5:13" ht="14.25" customHeight="1">
      <c r="E2980" s="1077"/>
      <c r="F2980" s="1077"/>
      <c r="G2980" s="1077"/>
      <c r="H2980" s="1079" t="s">
        <v>2395</v>
      </c>
      <c r="I2980" s="1077"/>
      <c r="J2980" s="1077"/>
      <c r="K2980" s="1077"/>
      <c r="L2980" s="1077"/>
      <c r="M2980" s="1077"/>
    </row>
    <row r="2981" spans="5:13" ht="1.5" customHeight="1">
      <c r="E2981" s="1077"/>
      <c r="F2981" s="1077"/>
      <c r="G2981" s="1077"/>
      <c r="H2981" s="1077"/>
      <c r="I2981" s="1077"/>
      <c r="J2981" s="1077"/>
      <c r="K2981" s="1077"/>
      <c r="L2981" s="1077"/>
      <c r="M2981" s="1077"/>
    </row>
    <row r="2982" spans="5:13" ht="65.25" customHeight="1">
      <c r="E2982" s="1077"/>
      <c r="F2982" s="1077"/>
      <c r="G2982" s="1077"/>
      <c r="H2982" s="1076" t="s">
        <v>2396</v>
      </c>
      <c r="I2982" s="1077"/>
      <c r="J2982" s="1077"/>
      <c r="K2982" s="1077"/>
      <c r="L2982" s="1077"/>
      <c r="M2982" s="1077"/>
    </row>
    <row r="2983" spans="5:13" ht="2.25" customHeight="1">
      <c r="E2983" s="1077"/>
      <c r="F2983" s="1077"/>
      <c r="G2983" s="1077"/>
      <c r="H2983" s="1077"/>
      <c r="I2983" s="1077"/>
      <c r="J2983" s="1077"/>
      <c r="K2983" s="1077"/>
      <c r="L2983" s="1077"/>
      <c r="M2983" s="1077"/>
    </row>
    <row r="2984" spans="5:13" ht="17.25" customHeight="1">
      <c r="E2984" s="1077"/>
      <c r="F2984" s="1077">
        <v>1</v>
      </c>
      <c r="G2984" s="1077" t="s">
        <v>1034</v>
      </c>
      <c r="H2984" s="1077" t="s">
        <v>2397</v>
      </c>
      <c r="I2984" s="1086">
        <f>Elec.Data!I153</f>
        <v>54.5</v>
      </c>
      <c r="J2984" s="1077" t="s">
        <v>1034</v>
      </c>
      <c r="K2984" s="1077">
        <f>F2984*I2984</f>
        <v>54.5</v>
      </c>
      <c r="L2984" s="1077"/>
      <c r="M2984" s="1077"/>
    </row>
    <row r="2985" spans="5:13" ht="14.25" customHeight="1">
      <c r="E2985" s="1077"/>
      <c r="F2985" s="1077">
        <v>1</v>
      </c>
      <c r="G2985" s="1077" t="s">
        <v>1034</v>
      </c>
      <c r="H2985" s="1079" t="s">
        <v>2312</v>
      </c>
      <c r="I2985" s="1077">
        <f>I2955</f>
        <v>58</v>
      </c>
      <c r="J2985" s="1077" t="s">
        <v>1034</v>
      </c>
      <c r="K2985" s="1077">
        <f>F2985*I2985</f>
        <v>58</v>
      </c>
      <c r="L2985" s="1077"/>
      <c r="M2985" s="1077"/>
    </row>
    <row r="2986" spans="5:13" ht="13.5" customHeight="1">
      <c r="E2986" s="1077"/>
      <c r="F2986" s="1080">
        <v>1.4999999999999999E-2</v>
      </c>
      <c r="G2986" s="1077" t="s">
        <v>724</v>
      </c>
      <c r="H2986" s="1077" t="s">
        <v>2398</v>
      </c>
      <c r="I2986" s="1077">
        <f>I2956</f>
        <v>661</v>
      </c>
      <c r="J2986" s="1077" t="s">
        <v>724</v>
      </c>
      <c r="K2986" s="1077">
        <f>F2986*I2986</f>
        <v>9.92</v>
      </c>
      <c r="L2986" s="1077"/>
      <c r="M2986" s="1077"/>
    </row>
    <row r="2987" spans="5:13" ht="17.25" customHeight="1">
      <c r="E2987" s="1077"/>
      <c r="F2987" s="1077" t="s">
        <v>49</v>
      </c>
      <c r="G2987" s="1077"/>
      <c r="H2987" s="1077" t="s">
        <v>2399</v>
      </c>
      <c r="I2987" s="1077"/>
      <c r="J2987" s="1077"/>
      <c r="K2987" s="1077">
        <v>11.58</v>
      </c>
      <c r="L2987" s="1077"/>
      <c r="M2987" s="1077"/>
    </row>
    <row r="2988" spans="5:13" ht="20.25" customHeight="1">
      <c r="E2988" s="1077"/>
      <c r="F2988" s="1077"/>
      <c r="G2988" s="1077"/>
      <c r="H2988" s="1082" t="s">
        <v>2400</v>
      </c>
      <c r="I2988" s="1077"/>
      <c r="J2988" s="1077"/>
      <c r="K2988" s="1089">
        <f>SUM(K2984:K2987)</f>
        <v>134</v>
      </c>
      <c r="L2988" s="1077">
        <f>134-K2988</f>
        <v>0</v>
      </c>
      <c r="M2988" s="1077"/>
    </row>
    <row r="2989" spans="5:13">
      <c r="E2989" s="1077"/>
      <c r="F2989" s="1077"/>
      <c r="G2989" s="1077"/>
      <c r="H2989" s="1077"/>
      <c r="I2989" s="1077"/>
      <c r="J2989" s="1077"/>
      <c r="K2989" s="1077"/>
      <c r="L2989" s="1077"/>
      <c r="M2989" s="1077"/>
    </row>
    <row r="2990" spans="5:13">
      <c r="E2990" s="1077"/>
      <c r="F2990" s="1077"/>
      <c r="G2990" s="1077"/>
      <c r="H2990" s="1079" t="s">
        <v>2401</v>
      </c>
      <c r="I2990" s="1077"/>
      <c r="J2990" s="1077"/>
      <c r="K2990" s="1077"/>
      <c r="L2990" s="1077"/>
      <c r="M2990" s="1077"/>
    </row>
    <row r="2991" spans="5:13" ht="47.25">
      <c r="E2991" s="1077"/>
      <c r="F2991" s="1077"/>
      <c r="G2991" s="1077"/>
      <c r="H2991" s="1083" t="s">
        <v>2402</v>
      </c>
      <c r="I2991" s="1077"/>
      <c r="J2991" s="1077"/>
      <c r="K2991" s="1077"/>
      <c r="L2991" s="1077"/>
      <c r="M2991" s="1077"/>
    </row>
    <row r="2992" spans="5:13">
      <c r="E2992" s="1077"/>
      <c r="F2992" s="1077"/>
      <c r="G2992" s="1077"/>
      <c r="H2992" s="1083"/>
      <c r="I2992" s="1077"/>
      <c r="J2992" s="1077"/>
      <c r="K2992" s="1077"/>
      <c r="L2992" s="1077"/>
      <c r="M2992" s="1077"/>
    </row>
    <row r="2993" spans="5:13" ht="210.75" customHeight="1">
      <c r="E2993" s="1077"/>
      <c r="F2993" s="1077"/>
      <c r="G2993" s="1077"/>
      <c r="H2993" s="1076" t="s">
        <v>2403</v>
      </c>
      <c r="I2993" s="1077"/>
      <c r="J2993" s="1077"/>
      <c r="K2993" s="1077"/>
      <c r="L2993" s="1077"/>
      <c r="M2993" s="1077"/>
    </row>
    <row r="2994" spans="5:13">
      <c r="E2994" s="1077"/>
      <c r="F2994" s="1077"/>
      <c r="G2994" s="1077"/>
      <c r="H2994" s="1077"/>
      <c r="I2994" s="1077"/>
      <c r="J2994" s="1077"/>
      <c r="K2994" s="1077"/>
      <c r="L2994" s="1077"/>
      <c r="M2994" s="1077"/>
    </row>
    <row r="2995" spans="5:13" ht="31.5">
      <c r="E2995" s="1077"/>
      <c r="F2995" s="1077">
        <v>90</v>
      </c>
      <c r="G2995" s="1077" t="s">
        <v>13</v>
      </c>
      <c r="H2995" s="989" t="s">
        <v>2311</v>
      </c>
      <c r="I2995" s="1077">
        <f>I2843</f>
        <v>16.55</v>
      </c>
      <c r="J2995" s="1077" t="s">
        <v>13</v>
      </c>
      <c r="K2995" s="1077">
        <f t="shared" ref="K2995:K3007" si="97">F2995*I2995</f>
        <v>1489.5</v>
      </c>
      <c r="L2995" s="1077"/>
      <c r="M2995" s="1077"/>
    </row>
    <row r="2996" spans="5:13" ht="31.5">
      <c r="E2996" s="1077"/>
      <c r="F2996" s="1077">
        <v>45</v>
      </c>
      <c r="G2996" s="1077" t="s">
        <v>13</v>
      </c>
      <c r="H2996" s="1076" t="s">
        <v>2313</v>
      </c>
      <c r="I2996" s="1077">
        <f>I2844</f>
        <v>20</v>
      </c>
      <c r="J2996" s="1077" t="s">
        <v>2308</v>
      </c>
      <c r="K2996" s="1077">
        <f t="shared" si="97"/>
        <v>900</v>
      </c>
      <c r="L2996" s="1077"/>
      <c r="M2996" s="1077"/>
    </row>
    <row r="2997" spans="5:13">
      <c r="E2997" s="1077"/>
      <c r="F2997" s="1077">
        <v>12</v>
      </c>
      <c r="G2997" s="1077" t="s">
        <v>1034</v>
      </c>
      <c r="H2997" s="1077" t="s">
        <v>2317</v>
      </c>
      <c r="I2997" s="1077">
        <f>I2845</f>
        <v>3.15</v>
      </c>
      <c r="J2997" s="1077" t="s">
        <v>1034</v>
      </c>
      <c r="K2997" s="1077">
        <f t="shared" si="97"/>
        <v>37.799999999999997</v>
      </c>
      <c r="L2997" s="1077"/>
      <c r="M2997" s="1077"/>
    </row>
    <row r="2998" spans="5:13">
      <c r="E2998" s="1077"/>
      <c r="F2998" s="1077">
        <v>6</v>
      </c>
      <c r="G2998" s="1077" t="s">
        <v>1034</v>
      </c>
      <c r="H2998" s="1077" t="s">
        <v>2319</v>
      </c>
      <c r="I2998" s="1077">
        <f>I2846</f>
        <v>1.34</v>
      </c>
      <c r="J2998" s="1077" t="s">
        <v>1034</v>
      </c>
      <c r="K2998" s="1077">
        <f t="shared" si="97"/>
        <v>8.0399999999999991</v>
      </c>
      <c r="L2998" s="1077"/>
      <c r="M2998" s="1077"/>
    </row>
    <row r="2999" spans="5:13">
      <c r="E2999" s="1077"/>
      <c r="F2999" s="1077">
        <v>1</v>
      </c>
      <c r="G2999" s="1077" t="s">
        <v>1034</v>
      </c>
      <c r="H2999" s="1079" t="s">
        <v>2312</v>
      </c>
      <c r="I2999" s="1096">
        <f>I2847</f>
        <v>58</v>
      </c>
      <c r="J2999" s="1077" t="s">
        <v>1034</v>
      </c>
      <c r="K2999" s="1077">
        <f t="shared" si="97"/>
        <v>58</v>
      </c>
      <c r="L2999" s="1077"/>
      <c r="M2999" s="1077"/>
    </row>
    <row r="3000" spans="5:13">
      <c r="E3000" s="1077"/>
      <c r="F3000" s="1080">
        <v>1.4999999999999999E-2</v>
      </c>
      <c r="G3000" s="1077" t="s">
        <v>724</v>
      </c>
      <c r="H3000" s="1077" t="s">
        <v>2404</v>
      </c>
      <c r="I3000" s="1077">
        <f t="shared" ref="I3000:I3007" si="98">I2849</f>
        <v>661</v>
      </c>
      <c r="J3000" s="1077" t="s">
        <v>724</v>
      </c>
      <c r="K3000" s="1077">
        <f t="shared" si="97"/>
        <v>9.92</v>
      </c>
      <c r="L3000" s="1077"/>
      <c r="M3000" s="1077"/>
    </row>
    <row r="3001" spans="5:13">
      <c r="E3001" s="1077"/>
      <c r="F3001" s="1077">
        <v>6</v>
      </c>
      <c r="G3001" s="1077" t="s">
        <v>1034</v>
      </c>
      <c r="H3001" s="1077" t="s">
        <v>2405</v>
      </c>
      <c r="I3001" s="1077">
        <f t="shared" si="98"/>
        <v>16.21</v>
      </c>
      <c r="J3001" s="1077" t="s">
        <v>2315</v>
      </c>
      <c r="K3001" s="1077">
        <f t="shared" si="97"/>
        <v>97.26</v>
      </c>
      <c r="L3001" s="1077"/>
      <c r="M3001" s="1077"/>
    </row>
    <row r="3002" spans="5:13">
      <c r="E3002" s="1077"/>
      <c r="F3002" s="1077">
        <v>6</v>
      </c>
      <c r="G3002" s="1077" t="s">
        <v>1034</v>
      </c>
      <c r="H3002" s="1077" t="s">
        <v>2325</v>
      </c>
      <c r="I3002" s="1077">
        <f t="shared" si="98"/>
        <v>13.8</v>
      </c>
      <c r="J3002" s="1077" t="s">
        <v>1034</v>
      </c>
      <c r="K3002" s="1077">
        <f t="shared" si="97"/>
        <v>82.8</v>
      </c>
      <c r="L3002" s="1077"/>
      <c r="M3002" s="1077"/>
    </row>
    <row r="3003" spans="5:13">
      <c r="E3003" s="1077"/>
      <c r="F3003" s="1077">
        <v>6</v>
      </c>
      <c r="G3003" s="1077" t="s">
        <v>1034</v>
      </c>
      <c r="H3003" s="1077" t="s">
        <v>2406</v>
      </c>
      <c r="I3003" s="1077">
        <f t="shared" si="98"/>
        <v>3.6</v>
      </c>
      <c r="J3003" s="1077" t="s">
        <v>1034</v>
      </c>
      <c r="K3003" s="1077">
        <f t="shared" si="97"/>
        <v>21.6</v>
      </c>
      <c r="L3003" s="1077"/>
      <c r="M3003" s="1077"/>
    </row>
    <row r="3004" spans="5:13">
      <c r="E3004" s="1077"/>
      <c r="F3004" s="1077">
        <v>1.25</v>
      </c>
      <c r="G3004" s="1077" t="s">
        <v>2324</v>
      </c>
      <c r="H3004" s="1077" t="s">
        <v>38</v>
      </c>
      <c r="I3004" s="1077">
        <f t="shared" si="98"/>
        <v>302</v>
      </c>
      <c r="J3004" s="1077" t="s">
        <v>2324</v>
      </c>
      <c r="K3004" s="1077">
        <f t="shared" si="97"/>
        <v>377.5</v>
      </c>
      <c r="L3004" s="1077"/>
      <c r="M3004" s="1077"/>
    </row>
    <row r="3005" spans="5:13">
      <c r="E3005" s="1077"/>
      <c r="F3005" s="1077">
        <v>6</v>
      </c>
      <c r="G3005" s="1077" t="s">
        <v>1034</v>
      </c>
      <c r="H3005" s="1079" t="s">
        <v>2312</v>
      </c>
      <c r="I3005" s="1096">
        <f t="shared" si="98"/>
        <v>58</v>
      </c>
      <c r="J3005" s="1077" t="s">
        <v>1034</v>
      </c>
      <c r="K3005" s="1077">
        <f t="shared" si="97"/>
        <v>348</v>
      </c>
      <c r="L3005" s="1077"/>
      <c r="M3005" s="1077"/>
    </row>
    <row r="3006" spans="5:13">
      <c r="E3006" s="1077"/>
      <c r="F3006" s="1077">
        <v>0.09</v>
      </c>
      <c r="G3006" s="1077" t="s">
        <v>724</v>
      </c>
      <c r="H3006" s="1077" t="s">
        <v>2373</v>
      </c>
      <c r="I3006" s="1077">
        <f t="shared" si="98"/>
        <v>661</v>
      </c>
      <c r="J3006" s="1077" t="s">
        <v>724</v>
      </c>
      <c r="K3006" s="1077">
        <f t="shared" si="97"/>
        <v>59.49</v>
      </c>
      <c r="L3006" s="1077"/>
      <c r="M3006" s="1077"/>
    </row>
    <row r="3007" spans="5:13" ht="31.5">
      <c r="E3007" s="1077"/>
      <c r="F3007" s="1077">
        <v>45</v>
      </c>
      <c r="G3007" s="1077"/>
      <c r="H3007" s="989" t="s">
        <v>2333</v>
      </c>
      <c r="I3007" s="1077">
        <f t="shared" si="98"/>
        <v>16.55</v>
      </c>
      <c r="J3007" s="1077" t="s">
        <v>2330</v>
      </c>
      <c r="K3007" s="1077">
        <f t="shared" si="97"/>
        <v>744.75</v>
      </c>
      <c r="L3007" s="1077"/>
      <c r="M3007" s="1077"/>
    </row>
    <row r="3008" spans="5:13">
      <c r="E3008" s="1077"/>
      <c r="F3008" s="1077"/>
      <c r="G3008" s="1077"/>
      <c r="H3008" s="1077" t="s">
        <v>478</v>
      </c>
      <c r="I3008" s="1077"/>
      <c r="J3008" s="1077" t="s">
        <v>49</v>
      </c>
      <c r="K3008" s="1077">
        <f>K2857</f>
        <v>11454</v>
      </c>
      <c r="L3008" s="1077"/>
      <c r="M3008" s="1077"/>
    </row>
    <row r="3009" spans="5:14">
      <c r="E3009" s="1077"/>
      <c r="F3009" s="1077"/>
      <c r="G3009" s="1077"/>
      <c r="H3009" s="1077" t="s">
        <v>1557</v>
      </c>
      <c r="I3009" s="1077"/>
      <c r="J3009" s="1077" t="s">
        <v>49</v>
      </c>
      <c r="K3009" s="1077">
        <v>46.78</v>
      </c>
      <c r="L3009" s="1077"/>
      <c r="M3009" s="1077"/>
    </row>
    <row r="3010" spans="5:14" ht="30" customHeight="1">
      <c r="E3010" s="1077"/>
      <c r="F3010" s="1077"/>
      <c r="G3010" s="1077"/>
      <c r="H3010" s="1081" t="s">
        <v>2339</v>
      </c>
      <c r="I3010" s="1077"/>
      <c r="J3010" s="1077"/>
      <c r="K3010" s="1088">
        <f>SUM(K2995:K3009)</f>
        <v>15735.44</v>
      </c>
      <c r="L3010" s="1077"/>
      <c r="M3010" s="1077"/>
    </row>
    <row r="3011" spans="5:14" ht="30" customHeight="1">
      <c r="E3011" s="1077"/>
      <c r="F3011" s="1077"/>
      <c r="G3011" s="1077"/>
      <c r="H3011" s="1082" t="s">
        <v>2336</v>
      </c>
      <c r="I3011" s="1077"/>
      <c r="J3011" s="1077"/>
      <c r="K3011" s="1079">
        <f>K3010/6</f>
        <v>2622.57</v>
      </c>
      <c r="L3011" s="1077">
        <f>1724*6</f>
        <v>10344</v>
      </c>
      <c r="M3011" s="1077"/>
    </row>
    <row r="3012" spans="5:14">
      <c r="E3012" s="1077"/>
      <c r="F3012" s="1077"/>
      <c r="G3012" s="1077"/>
      <c r="H3012" s="1077"/>
      <c r="I3012" s="1077"/>
      <c r="J3012" s="1077"/>
      <c r="K3012" s="1077"/>
      <c r="L3012" s="1077">
        <f>L3011-K3010</f>
        <v>-5391.44</v>
      </c>
      <c r="M3012" s="1077"/>
    </row>
    <row r="3013" spans="5:14" ht="30" customHeight="1">
      <c r="E3013" s="1077"/>
      <c r="F3013" s="1077"/>
      <c r="G3013" s="1077"/>
      <c r="H3013" s="1079" t="s">
        <v>2407</v>
      </c>
      <c r="I3013" s="1077"/>
      <c r="J3013" s="1077"/>
      <c r="K3013" s="1077"/>
      <c r="L3013" s="1077"/>
      <c r="M3013" s="1077"/>
    </row>
    <row r="3014" spans="5:14" ht="47.25">
      <c r="E3014" s="1077"/>
      <c r="F3014" s="1077"/>
      <c r="G3014" s="1077"/>
      <c r="H3014" s="1083" t="s">
        <v>2408</v>
      </c>
      <c r="I3014" s="1077"/>
      <c r="J3014" s="1077"/>
      <c r="K3014" s="1077"/>
      <c r="L3014" s="1077"/>
      <c r="M3014" s="1077"/>
    </row>
    <row r="3015" spans="5:14">
      <c r="E3015" s="1077"/>
      <c r="F3015" s="1077"/>
      <c r="G3015" s="1077"/>
      <c r="H3015" s="1077"/>
      <c r="I3015" s="1077"/>
      <c r="J3015" s="1077"/>
      <c r="K3015" s="1077"/>
      <c r="L3015" s="1077"/>
      <c r="M3015" s="1077"/>
    </row>
    <row r="3016" spans="5:14" ht="194.25" customHeight="1">
      <c r="E3016" s="1077"/>
      <c r="F3016" s="1077"/>
      <c r="G3016" s="1077"/>
      <c r="H3016" s="1076" t="s">
        <v>2409</v>
      </c>
      <c r="I3016" s="1077"/>
      <c r="J3016" s="1077"/>
      <c r="K3016" s="1077"/>
      <c r="L3016" s="1077"/>
      <c r="M3016" s="1077"/>
    </row>
    <row r="3017" spans="5:14" hidden="1">
      <c r="E3017" s="1077"/>
      <c r="F3017" s="1077"/>
      <c r="G3017" s="1077"/>
      <c r="H3017" s="1077"/>
      <c r="I3017" s="1077"/>
      <c r="J3017" s="1077"/>
      <c r="K3017" s="1077"/>
      <c r="L3017" s="1077"/>
      <c r="M3017" s="1077"/>
    </row>
    <row r="3018" spans="5:14" ht="15.75" customHeight="1">
      <c r="E3018" s="1077"/>
      <c r="F3018" s="1077"/>
      <c r="G3018" s="1077"/>
      <c r="H3018" s="1077" t="s">
        <v>2410</v>
      </c>
      <c r="I3018" s="1077"/>
      <c r="J3018" s="1077"/>
      <c r="K3018" s="1077">
        <f>K3010-K3009</f>
        <v>15688.66</v>
      </c>
      <c r="L3018" s="1077">
        <f>K3010-K3009</f>
        <v>15688.66</v>
      </c>
      <c r="M3018" s="1077"/>
    </row>
    <row r="3019" spans="5:14" ht="19.5" customHeight="1">
      <c r="E3019" s="1077"/>
      <c r="F3019" s="1077"/>
      <c r="G3019" s="1077"/>
      <c r="H3019" s="1077" t="s">
        <v>2411</v>
      </c>
      <c r="I3019" s="1077"/>
      <c r="J3019" s="1077"/>
      <c r="K3019" s="1077">
        <f>K3002</f>
        <v>82.8</v>
      </c>
      <c r="L3019" s="1077"/>
      <c r="M3019" s="1077"/>
    </row>
    <row r="3020" spans="5:14" ht="21.75" customHeight="1">
      <c r="E3020" s="1077"/>
      <c r="F3020" s="1077"/>
      <c r="G3020" s="1077"/>
      <c r="H3020" s="1077" t="s">
        <v>2412</v>
      </c>
      <c r="I3020" s="1077"/>
      <c r="J3020" s="1077"/>
      <c r="K3020" s="1086">
        <f>16.35*6</f>
        <v>98.1</v>
      </c>
      <c r="L3020" s="1077"/>
      <c r="M3020" s="1077"/>
    </row>
    <row r="3021" spans="5:14" ht="16.5" customHeight="1">
      <c r="E3021" s="1077"/>
      <c r="F3021" s="1077"/>
      <c r="G3021" s="1077"/>
      <c r="H3021" s="1077" t="s">
        <v>1557</v>
      </c>
      <c r="I3021" s="1077"/>
      <c r="J3021" s="1077"/>
      <c r="K3021" s="1077">
        <v>36.28</v>
      </c>
      <c r="L3021" s="1077"/>
      <c r="M3021" s="1077"/>
    </row>
    <row r="3022" spans="5:14" ht="15.75" customHeight="1">
      <c r="E3022" s="1077"/>
      <c r="F3022" s="1077"/>
      <c r="G3022" s="1077"/>
      <c r="H3022" s="1081" t="s">
        <v>2413</v>
      </c>
      <c r="I3022" s="1077"/>
      <c r="J3022" s="1077"/>
      <c r="K3022" s="1088">
        <f>(K3018-K3019)+K3020+K3021</f>
        <v>15740.24</v>
      </c>
      <c r="L3022" s="1077"/>
      <c r="M3022" s="1077"/>
    </row>
    <row r="3023" spans="5:14" ht="24" customHeight="1">
      <c r="E3023" s="1077"/>
      <c r="F3023" s="1077"/>
      <c r="G3023" s="1077"/>
      <c r="H3023" s="1082" t="s">
        <v>2414</v>
      </c>
      <c r="I3023" s="1077"/>
      <c r="J3023" s="1077"/>
      <c r="K3023" s="1079">
        <f>K3022/6</f>
        <v>2623.37</v>
      </c>
      <c r="L3023" s="1077"/>
      <c r="M3023" s="1077">
        <f>1726*6</f>
        <v>10356</v>
      </c>
      <c r="N3023" s="930">
        <f>M3023-K3022</f>
        <v>-5384.24</v>
      </c>
    </row>
    <row r="3024" spans="5:14">
      <c r="E3024" s="1077"/>
      <c r="F3024" s="1077"/>
      <c r="G3024" s="1077"/>
      <c r="H3024" s="1077"/>
      <c r="I3024" s="1077"/>
      <c r="J3024" s="1077"/>
      <c r="K3024" s="1077"/>
      <c r="L3024" s="1077"/>
      <c r="M3024" s="1077">
        <f>M3023-K3022</f>
        <v>-5384.24</v>
      </c>
    </row>
    <row r="3025" spans="5:13">
      <c r="E3025" s="1077"/>
      <c r="F3025" s="1077"/>
      <c r="G3025" s="1077"/>
      <c r="H3025" s="1079" t="s">
        <v>2415</v>
      </c>
      <c r="I3025" s="1077"/>
      <c r="J3025" s="1077"/>
      <c r="K3025" s="1077"/>
      <c r="L3025" s="1077"/>
      <c r="M3025" s="1077"/>
    </row>
    <row r="3026" spans="5:13" ht="30.75" customHeight="1">
      <c r="E3026" s="1077"/>
      <c r="F3026" s="1077"/>
      <c r="G3026" s="1077"/>
      <c r="H3026" s="1083" t="s">
        <v>2300</v>
      </c>
      <c r="I3026" s="1077"/>
      <c r="J3026" s="1077"/>
      <c r="K3026" s="1077"/>
      <c r="L3026" s="1077"/>
      <c r="M3026" s="1077"/>
    </row>
    <row r="3027" spans="5:13" ht="173.25">
      <c r="E3027" s="1077"/>
      <c r="F3027" s="1077"/>
      <c r="G3027" s="1077"/>
      <c r="H3027" s="1076" t="s">
        <v>2416</v>
      </c>
      <c r="I3027" s="1077"/>
      <c r="J3027" s="1077"/>
      <c r="K3027" s="1077"/>
      <c r="L3027" s="1077"/>
      <c r="M3027" s="1077"/>
    </row>
    <row r="3028" spans="5:13" ht="30.75" customHeight="1">
      <c r="E3028" s="1077"/>
      <c r="F3028" s="1077">
        <v>90</v>
      </c>
      <c r="G3028" s="1077" t="s">
        <v>13</v>
      </c>
      <c r="H3028" s="989" t="s">
        <v>2311</v>
      </c>
      <c r="I3028" s="1077">
        <f t="shared" ref="I3028:I3040" si="99">I2905</f>
        <v>16.55</v>
      </c>
      <c r="J3028" s="1077" t="s">
        <v>2306</v>
      </c>
      <c r="K3028" s="1077">
        <f t="shared" ref="K3028:K3040" si="100">F3028*I3028</f>
        <v>1489.5</v>
      </c>
      <c r="L3028" s="1077"/>
      <c r="M3028" s="1077"/>
    </row>
    <row r="3029" spans="5:13" ht="27.75" customHeight="1">
      <c r="E3029" s="1077"/>
      <c r="F3029" s="1077">
        <v>45</v>
      </c>
      <c r="G3029" s="1077" t="s">
        <v>13</v>
      </c>
      <c r="H3029" s="1076" t="s">
        <v>2313</v>
      </c>
      <c r="I3029" s="1077">
        <f t="shared" si="99"/>
        <v>20</v>
      </c>
      <c r="J3029" s="1077" t="s">
        <v>13</v>
      </c>
      <c r="K3029" s="1077">
        <f t="shared" si="100"/>
        <v>900</v>
      </c>
      <c r="L3029" s="1077"/>
      <c r="M3029" s="1077"/>
    </row>
    <row r="3030" spans="5:13">
      <c r="E3030" s="1077"/>
      <c r="F3030" s="1077">
        <v>12</v>
      </c>
      <c r="G3030" s="1077" t="s">
        <v>1034</v>
      </c>
      <c r="H3030" s="1077" t="s">
        <v>2317</v>
      </c>
      <c r="I3030" s="1077">
        <f t="shared" si="99"/>
        <v>3.15</v>
      </c>
      <c r="J3030" s="1077" t="s">
        <v>1034</v>
      </c>
      <c r="K3030" s="1077">
        <f t="shared" si="100"/>
        <v>37.799999999999997</v>
      </c>
      <c r="L3030" s="1077"/>
      <c r="M3030" s="1077"/>
    </row>
    <row r="3031" spans="5:13">
      <c r="E3031" s="1077"/>
      <c r="F3031" s="1077">
        <v>6</v>
      </c>
      <c r="G3031" s="1077" t="s">
        <v>1034</v>
      </c>
      <c r="H3031" s="1077" t="s">
        <v>2319</v>
      </c>
      <c r="I3031" s="1077">
        <f t="shared" si="99"/>
        <v>1.34</v>
      </c>
      <c r="J3031" s="1077" t="s">
        <v>1034</v>
      </c>
      <c r="K3031" s="1077">
        <f t="shared" si="100"/>
        <v>8.0399999999999991</v>
      </c>
      <c r="L3031" s="1077"/>
      <c r="M3031" s="1077"/>
    </row>
    <row r="3032" spans="5:13">
      <c r="E3032" s="1077"/>
      <c r="F3032" s="1077">
        <v>6</v>
      </c>
      <c r="G3032" s="1077" t="s">
        <v>1034</v>
      </c>
      <c r="H3032" s="1077" t="s">
        <v>2417</v>
      </c>
      <c r="I3032" s="1077">
        <f t="shared" si="99"/>
        <v>3.6</v>
      </c>
      <c r="J3032" s="1077" t="s">
        <v>1034</v>
      </c>
      <c r="K3032" s="1077">
        <f t="shared" si="100"/>
        <v>21.6</v>
      </c>
      <c r="L3032" s="1077"/>
      <c r="M3032" s="1077"/>
    </row>
    <row r="3033" spans="5:13">
      <c r="E3033" s="1077"/>
      <c r="F3033" s="1077">
        <v>6</v>
      </c>
      <c r="G3033" s="1077" t="s">
        <v>1034</v>
      </c>
      <c r="H3033" s="1077" t="s">
        <v>2325</v>
      </c>
      <c r="I3033" s="1077">
        <f t="shared" si="99"/>
        <v>13.8</v>
      </c>
      <c r="J3033" s="1077" t="s">
        <v>1034</v>
      </c>
      <c r="K3033" s="1077">
        <f t="shared" si="100"/>
        <v>82.8</v>
      </c>
      <c r="L3033" s="1077"/>
      <c r="M3033" s="1077"/>
    </row>
    <row r="3034" spans="5:13">
      <c r="E3034" s="1077"/>
      <c r="F3034" s="1077">
        <v>6</v>
      </c>
      <c r="G3034" s="1077" t="s">
        <v>1034</v>
      </c>
      <c r="H3034" s="1077" t="s">
        <v>2405</v>
      </c>
      <c r="I3034" s="1077">
        <f t="shared" si="99"/>
        <v>16.21</v>
      </c>
      <c r="J3034" s="1077" t="s">
        <v>2315</v>
      </c>
      <c r="K3034" s="1077">
        <f t="shared" si="100"/>
        <v>97.26</v>
      </c>
      <c r="L3034" s="1077"/>
      <c r="M3034" s="1077"/>
    </row>
    <row r="3035" spans="5:13">
      <c r="E3035" s="1077"/>
      <c r="F3035" s="1077">
        <v>6</v>
      </c>
      <c r="G3035" s="1077" t="s">
        <v>1034</v>
      </c>
      <c r="H3035" s="1079" t="s">
        <v>2372</v>
      </c>
      <c r="I3035" s="1077">
        <f t="shared" si="99"/>
        <v>85</v>
      </c>
      <c r="J3035" s="1077" t="s">
        <v>1034</v>
      </c>
      <c r="K3035" s="1077">
        <f t="shared" si="100"/>
        <v>510</v>
      </c>
      <c r="L3035" s="1077"/>
      <c r="M3035" s="1077"/>
    </row>
    <row r="3036" spans="5:13">
      <c r="E3036" s="1077"/>
      <c r="F3036" s="1077">
        <v>0.36</v>
      </c>
      <c r="G3036" s="1077" t="s">
        <v>724</v>
      </c>
      <c r="H3036" s="1077" t="s">
        <v>2373</v>
      </c>
      <c r="I3036" s="1077">
        <f t="shared" si="99"/>
        <v>661</v>
      </c>
      <c r="J3036" s="1077" t="s">
        <v>724</v>
      </c>
      <c r="K3036" s="1077">
        <f t="shared" si="100"/>
        <v>237.96</v>
      </c>
      <c r="L3036" s="1077"/>
      <c r="M3036" s="1077"/>
    </row>
    <row r="3037" spans="5:13">
      <c r="E3037" s="1077"/>
      <c r="F3037" s="1077">
        <v>1</v>
      </c>
      <c r="G3037" s="1077" t="s">
        <v>1034</v>
      </c>
      <c r="H3037" s="1079" t="s">
        <v>2312</v>
      </c>
      <c r="I3037" s="1077">
        <f t="shared" si="99"/>
        <v>58</v>
      </c>
      <c r="J3037" s="1077" t="s">
        <v>1034</v>
      </c>
      <c r="K3037" s="1077">
        <f t="shared" si="100"/>
        <v>58</v>
      </c>
      <c r="L3037" s="1077"/>
      <c r="M3037" s="1077"/>
    </row>
    <row r="3038" spans="5:13">
      <c r="E3038" s="1077"/>
      <c r="F3038" s="1080">
        <v>1.4999999999999999E-2</v>
      </c>
      <c r="G3038" s="1077" t="s">
        <v>724</v>
      </c>
      <c r="H3038" s="1077" t="s">
        <v>2316</v>
      </c>
      <c r="I3038" s="1077">
        <f t="shared" si="99"/>
        <v>661</v>
      </c>
      <c r="J3038" s="1077" t="s">
        <v>724</v>
      </c>
      <c r="K3038" s="1077">
        <f t="shared" si="100"/>
        <v>9.92</v>
      </c>
      <c r="L3038" s="1077"/>
      <c r="M3038" s="1077"/>
    </row>
    <row r="3039" spans="5:13">
      <c r="E3039" s="1077"/>
      <c r="F3039" s="1077">
        <v>1.25</v>
      </c>
      <c r="G3039" s="1077" t="s">
        <v>2324</v>
      </c>
      <c r="H3039" s="1077" t="s">
        <v>38</v>
      </c>
      <c r="I3039" s="1077">
        <f t="shared" si="99"/>
        <v>302</v>
      </c>
      <c r="J3039" s="1077" t="s">
        <v>2324</v>
      </c>
      <c r="K3039" s="1077">
        <f t="shared" si="100"/>
        <v>377.5</v>
      </c>
      <c r="L3039" s="1077"/>
      <c r="M3039" s="1077"/>
    </row>
    <row r="3040" spans="5:13" ht="31.5">
      <c r="E3040" s="1077"/>
      <c r="F3040" s="1077">
        <v>45</v>
      </c>
      <c r="G3040" s="1077" t="s">
        <v>13</v>
      </c>
      <c r="H3040" s="1078" t="s">
        <v>2329</v>
      </c>
      <c r="I3040" s="1077">
        <f t="shared" si="99"/>
        <v>16.55</v>
      </c>
      <c r="J3040" s="1077" t="s">
        <v>2306</v>
      </c>
      <c r="K3040" s="1077">
        <f t="shared" si="100"/>
        <v>744.75</v>
      </c>
      <c r="L3040" s="1077"/>
      <c r="M3040" s="1077"/>
    </row>
    <row r="3041" spans="5:13">
      <c r="E3041" s="1077"/>
      <c r="F3041" s="1077"/>
      <c r="G3041" s="1077"/>
      <c r="H3041" s="1077" t="s">
        <v>478</v>
      </c>
      <c r="I3041" s="1077"/>
      <c r="J3041" s="1077"/>
      <c r="K3041" s="1077">
        <f>K2918</f>
        <v>11454</v>
      </c>
      <c r="L3041" s="1077"/>
      <c r="M3041" s="1077"/>
    </row>
    <row r="3042" spans="5:13">
      <c r="E3042" s="1077"/>
      <c r="F3042" s="1077"/>
      <c r="G3042" s="1077"/>
      <c r="H3042" s="1077" t="s">
        <v>1557</v>
      </c>
      <c r="I3042" s="1077"/>
      <c r="J3042" s="1077"/>
      <c r="K3042" s="1077">
        <v>38.75</v>
      </c>
      <c r="L3042" s="1077"/>
      <c r="M3042" s="1077"/>
    </row>
    <row r="3043" spans="5:13">
      <c r="E3043" s="1077"/>
      <c r="F3043" s="1077"/>
      <c r="G3043" s="1077"/>
      <c r="H3043" s="1081" t="s">
        <v>2413</v>
      </c>
      <c r="I3043" s="1077"/>
      <c r="J3043" s="1077"/>
      <c r="K3043" s="1088">
        <f>SUM(K3028:K3042)</f>
        <v>16067.88</v>
      </c>
      <c r="L3043" s="1077"/>
      <c r="M3043" s="1077"/>
    </row>
    <row r="3044" spans="5:13">
      <c r="E3044" s="1077"/>
      <c r="F3044" s="1077"/>
      <c r="G3044" s="1077"/>
      <c r="H3044" s="1082" t="s">
        <v>2368</v>
      </c>
      <c r="I3044" s="1077"/>
      <c r="J3044" s="1077"/>
      <c r="K3044" s="1079">
        <f>K3043/6</f>
        <v>2677.98</v>
      </c>
      <c r="L3044" s="1077">
        <f>1774*6</f>
        <v>10644</v>
      </c>
      <c r="M3044" s="1077"/>
    </row>
    <row r="3045" spans="5:13" ht="21.75" customHeight="1">
      <c r="E3045" s="1077"/>
      <c r="F3045" s="1077"/>
      <c r="G3045" s="1077"/>
      <c r="H3045" s="1077"/>
      <c r="I3045" s="1077"/>
      <c r="J3045" s="1077"/>
      <c r="K3045" s="1077"/>
      <c r="L3045" s="1077">
        <f>L3044-K3043</f>
        <v>-5423.88</v>
      </c>
      <c r="M3045" s="1077"/>
    </row>
    <row r="3046" spans="5:13">
      <c r="E3046" s="1077"/>
      <c r="F3046" s="1077"/>
      <c r="G3046" s="1077"/>
      <c r="H3046" s="1079" t="s">
        <v>2418</v>
      </c>
      <c r="I3046" s="1077"/>
      <c r="J3046" s="1077"/>
      <c r="K3046" s="1077"/>
      <c r="L3046" s="1077"/>
      <c r="M3046" s="1077"/>
    </row>
    <row r="3047" spans="5:13" ht="34.5" customHeight="1">
      <c r="E3047" s="1077"/>
      <c r="F3047" s="1077"/>
      <c r="G3047" s="1077"/>
      <c r="H3047" s="1083" t="s">
        <v>2419</v>
      </c>
      <c r="I3047" s="1077"/>
      <c r="J3047" s="1077"/>
      <c r="K3047" s="1077"/>
      <c r="L3047" s="1077"/>
      <c r="M3047" s="1077"/>
    </row>
    <row r="3048" spans="5:13" ht="192.75" customHeight="1">
      <c r="E3048" s="1077"/>
      <c r="F3048" s="1077"/>
      <c r="G3048" s="1077"/>
      <c r="H3048" s="1076" t="s">
        <v>2420</v>
      </c>
      <c r="I3048" s="1077"/>
      <c r="J3048" s="1077"/>
      <c r="K3048" s="1077"/>
      <c r="L3048" s="1077"/>
      <c r="M3048" s="1077"/>
    </row>
    <row r="3049" spans="5:13" ht="30" customHeight="1">
      <c r="E3049" s="1077"/>
      <c r="F3049" s="1077">
        <v>90</v>
      </c>
      <c r="G3049" s="1077" t="s">
        <v>13</v>
      </c>
      <c r="H3049" s="989" t="s">
        <v>2311</v>
      </c>
      <c r="I3049" s="1077">
        <f t="shared" ref="I3049:I3059" si="101">I2931</f>
        <v>16.55</v>
      </c>
      <c r="J3049" s="1077" t="s">
        <v>2306</v>
      </c>
      <c r="K3049" s="1077">
        <f t="shared" ref="K3049:K3059" si="102">F3049*I3049</f>
        <v>1489.5</v>
      </c>
      <c r="L3049" s="1077"/>
      <c r="M3049" s="1077"/>
    </row>
    <row r="3050" spans="5:13" ht="27.75" customHeight="1">
      <c r="E3050" s="1077"/>
      <c r="F3050" s="1077">
        <v>30</v>
      </c>
      <c r="G3050" s="1077" t="s">
        <v>13</v>
      </c>
      <c r="H3050" s="1076" t="s">
        <v>2313</v>
      </c>
      <c r="I3050" s="1077">
        <f t="shared" si="101"/>
        <v>20</v>
      </c>
      <c r="J3050" s="1077" t="s">
        <v>13</v>
      </c>
      <c r="K3050" s="1077">
        <f t="shared" si="102"/>
        <v>600</v>
      </c>
      <c r="L3050" s="1077"/>
      <c r="M3050" s="1077"/>
    </row>
    <row r="3051" spans="5:13">
      <c r="E3051" s="1077"/>
      <c r="F3051" s="1077">
        <v>6</v>
      </c>
      <c r="G3051" s="1077" t="s">
        <v>1034</v>
      </c>
      <c r="H3051" s="1077" t="s">
        <v>2317</v>
      </c>
      <c r="I3051" s="1077">
        <f t="shared" si="101"/>
        <v>3.15</v>
      </c>
      <c r="J3051" s="1077" t="s">
        <v>1034</v>
      </c>
      <c r="K3051" s="1077">
        <f t="shared" si="102"/>
        <v>18.899999999999999</v>
      </c>
      <c r="L3051" s="1077"/>
      <c r="M3051" s="1077"/>
    </row>
    <row r="3052" spans="5:13">
      <c r="E3052" s="1077"/>
      <c r="F3052" s="1077">
        <v>3</v>
      </c>
      <c r="G3052" s="1077" t="s">
        <v>1034</v>
      </c>
      <c r="H3052" s="1077" t="s">
        <v>2319</v>
      </c>
      <c r="I3052" s="1077">
        <f t="shared" si="101"/>
        <v>1.34</v>
      </c>
      <c r="J3052" s="1077" t="s">
        <v>1034</v>
      </c>
      <c r="K3052" s="1077">
        <f t="shared" si="102"/>
        <v>4.0199999999999996</v>
      </c>
      <c r="L3052" s="1077"/>
      <c r="M3052" s="1077"/>
    </row>
    <row r="3053" spans="5:13">
      <c r="E3053" s="1077"/>
      <c r="F3053" s="1077">
        <v>6</v>
      </c>
      <c r="G3053" s="1077" t="s">
        <v>1034</v>
      </c>
      <c r="H3053" s="1077" t="s">
        <v>2421</v>
      </c>
      <c r="I3053" s="1077">
        <f t="shared" si="101"/>
        <v>19.75</v>
      </c>
      <c r="J3053" s="1077" t="s">
        <v>1034</v>
      </c>
      <c r="K3053" s="1077">
        <f t="shared" si="102"/>
        <v>118.5</v>
      </c>
      <c r="L3053" s="1077"/>
      <c r="M3053" s="1077"/>
    </row>
    <row r="3054" spans="5:13">
      <c r="E3054" s="1077"/>
      <c r="F3054" s="1077">
        <v>3</v>
      </c>
      <c r="G3054" s="1077" t="s">
        <v>1034</v>
      </c>
      <c r="H3054" s="1077" t="s">
        <v>2325</v>
      </c>
      <c r="I3054" s="1077">
        <f t="shared" si="101"/>
        <v>13.8</v>
      </c>
      <c r="J3054" s="1077" t="s">
        <v>1034</v>
      </c>
      <c r="K3054" s="1077">
        <f t="shared" si="102"/>
        <v>41.4</v>
      </c>
      <c r="L3054" s="1077"/>
      <c r="M3054" s="1077"/>
    </row>
    <row r="3055" spans="5:13">
      <c r="E3055" s="1077"/>
      <c r="F3055" s="1077">
        <v>3</v>
      </c>
      <c r="G3055" s="1077" t="s">
        <v>1034</v>
      </c>
      <c r="H3055" s="1077" t="s">
        <v>2406</v>
      </c>
      <c r="I3055" s="1077">
        <f t="shared" si="101"/>
        <v>3.6</v>
      </c>
      <c r="J3055" s="1077" t="s">
        <v>1034</v>
      </c>
      <c r="K3055" s="1077">
        <f t="shared" si="102"/>
        <v>10.8</v>
      </c>
      <c r="L3055" s="1077"/>
      <c r="M3055" s="1077"/>
    </row>
    <row r="3056" spans="5:13">
      <c r="E3056" s="1077"/>
      <c r="F3056" s="1077">
        <v>3</v>
      </c>
      <c r="G3056" s="1077" t="s">
        <v>1034</v>
      </c>
      <c r="H3056" s="1079" t="s">
        <v>2312</v>
      </c>
      <c r="I3056" s="1077">
        <f t="shared" si="101"/>
        <v>58</v>
      </c>
      <c r="J3056" s="1077" t="s">
        <v>1034</v>
      </c>
      <c r="K3056" s="1077">
        <f t="shared" si="102"/>
        <v>174</v>
      </c>
      <c r="L3056" s="1077"/>
      <c r="M3056" s="1077"/>
    </row>
    <row r="3057" spans="5:18">
      <c r="E3057" s="1077"/>
      <c r="F3057" s="1080">
        <v>5.3999999999999999E-2</v>
      </c>
      <c r="G3057" s="1077" t="s">
        <v>724</v>
      </c>
      <c r="H3057" s="1077" t="s">
        <v>2316</v>
      </c>
      <c r="I3057" s="1077">
        <f t="shared" si="101"/>
        <v>661</v>
      </c>
      <c r="J3057" s="1077" t="s">
        <v>724</v>
      </c>
      <c r="K3057" s="1077">
        <f t="shared" si="102"/>
        <v>35.69</v>
      </c>
      <c r="L3057" s="1077"/>
      <c r="M3057" s="1077"/>
    </row>
    <row r="3058" spans="5:18">
      <c r="E3058" s="1077"/>
      <c r="F3058" s="1077">
        <v>1.25</v>
      </c>
      <c r="G3058" s="1077" t="s">
        <v>2324</v>
      </c>
      <c r="H3058" s="1077" t="s">
        <v>38</v>
      </c>
      <c r="I3058" s="1077">
        <f t="shared" si="101"/>
        <v>302</v>
      </c>
      <c r="J3058" s="1077" t="s">
        <v>2324</v>
      </c>
      <c r="K3058" s="1077">
        <f t="shared" si="102"/>
        <v>377.5</v>
      </c>
      <c r="L3058" s="1077"/>
      <c r="M3058" s="1077"/>
    </row>
    <row r="3059" spans="5:18" ht="35.25" customHeight="1">
      <c r="E3059" s="1077"/>
      <c r="F3059" s="1077">
        <v>30</v>
      </c>
      <c r="G3059" s="1077" t="s">
        <v>13</v>
      </c>
      <c r="H3059" s="1078" t="s">
        <v>2329</v>
      </c>
      <c r="I3059" s="1077">
        <f t="shared" si="101"/>
        <v>16.55</v>
      </c>
      <c r="J3059" s="1077" t="s">
        <v>2306</v>
      </c>
      <c r="K3059" s="1077">
        <f t="shared" si="102"/>
        <v>496.5</v>
      </c>
      <c r="L3059" s="1077"/>
      <c r="M3059" s="1077"/>
    </row>
    <row r="3060" spans="5:18">
      <c r="E3060" s="1077"/>
      <c r="F3060" s="1077"/>
      <c r="G3060" s="1077"/>
      <c r="H3060" s="1077" t="s">
        <v>478</v>
      </c>
      <c r="I3060" s="1077"/>
      <c r="J3060" s="1077"/>
      <c r="K3060" s="1077">
        <f>K2942</f>
        <v>11454</v>
      </c>
      <c r="L3060" s="1077"/>
      <c r="M3060" s="1077"/>
    </row>
    <row r="3061" spans="5:18">
      <c r="E3061" s="1077"/>
      <c r="F3061" s="1077"/>
      <c r="G3061" s="1077"/>
      <c r="H3061" s="1077" t="s">
        <v>1557</v>
      </c>
      <c r="I3061" s="1077"/>
      <c r="J3061" s="1077"/>
      <c r="K3061" s="1077">
        <v>20.97</v>
      </c>
      <c r="L3061" s="1077"/>
      <c r="M3061" s="1077"/>
    </row>
    <row r="3062" spans="5:18">
      <c r="E3062" s="1077"/>
      <c r="F3062" s="1077"/>
      <c r="G3062" s="1077"/>
      <c r="H3062" s="1081" t="s">
        <v>2422</v>
      </c>
      <c r="I3062" s="1077"/>
      <c r="J3062" s="1077"/>
      <c r="K3062" s="1088">
        <f>SUM(K3049:K3061)</f>
        <v>14841.78</v>
      </c>
      <c r="L3062" s="1077"/>
      <c r="M3062" s="1077"/>
    </row>
    <row r="3063" spans="5:18">
      <c r="E3063" s="1077"/>
      <c r="F3063" s="1077"/>
      <c r="G3063" s="1077"/>
      <c r="H3063" s="1082" t="s">
        <v>2368</v>
      </c>
      <c r="I3063" s="1077"/>
      <c r="J3063" s="1077"/>
      <c r="K3063" s="1079">
        <f>K3062/3</f>
        <v>4947.26</v>
      </c>
      <c r="L3063" s="1077">
        <f>3196*3</f>
        <v>9588</v>
      </c>
      <c r="M3063" s="1077"/>
    </row>
    <row r="3064" spans="5:18">
      <c r="E3064" s="1077"/>
      <c r="F3064" s="1077"/>
      <c r="G3064" s="1077"/>
      <c r="H3064" s="1077"/>
      <c r="I3064" s="1077"/>
      <c r="J3064" s="1077"/>
      <c r="K3064" s="1077"/>
      <c r="L3064" s="1077">
        <f>L3063-K3062</f>
        <v>-5253.78</v>
      </c>
      <c r="M3064" s="1077"/>
    </row>
    <row r="3065" spans="5:18" ht="22.5" customHeight="1">
      <c r="E3065" s="1077"/>
      <c r="F3065" s="1077"/>
      <c r="G3065" s="1077"/>
      <c r="H3065" s="1100" t="s">
        <v>2423</v>
      </c>
      <c r="I3065" s="1077"/>
      <c r="J3065" s="1077"/>
      <c r="K3065" s="1077"/>
      <c r="L3065" s="1077"/>
      <c r="M3065" s="1077"/>
    </row>
    <row r="3066" spans="5:18">
      <c r="E3066" s="1077"/>
      <c r="F3066" s="1077"/>
      <c r="G3066" s="1077"/>
      <c r="H3066" s="1077"/>
      <c r="I3066" s="1077"/>
      <c r="J3066" s="1077"/>
      <c r="K3066" s="1077"/>
      <c r="L3066" s="1077"/>
      <c r="M3066" s="1077"/>
    </row>
    <row r="3067" spans="5:18" ht="24.75" customHeight="1">
      <c r="E3067" s="1077"/>
      <c r="F3067" s="1077"/>
      <c r="G3067" s="1077"/>
      <c r="H3067" s="1079" t="s">
        <v>2424</v>
      </c>
      <c r="I3067" s="1077"/>
      <c r="J3067" s="1077"/>
      <c r="K3067" s="1077"/>
      <c r="L3067" s="1077"/>
      <c r="M3067" s="1077"/>
      <c r="N3067" s="1077"/>
      <c r="O3067" s="1079" t="s">
        <v>2425</v>
      </c>
      <c r="P3067" s="1077"/>
      <c r="Q3067" s="1077"/>
      <c r="R3067" s="1077"/>
    </row>
    <row r="3068" spans="5:18" ht="23.25" customHeight="1">
      <c r="E3068" s="1077"/>
      <c r="F3068" s="1077"/>
      <c r="G3068" s="1077"/>
      <c r="H3068" s="1079" t="s">
        <v>2426</v>
      </c>
      <c r="I3068" s="1077"/>
      <c r="J3068" s="1077"/>
      <c r="K3068" s="1077"/>
      <c r="L3068" s="1077"/>
      <c r="M3068" s="1077"/>
      <c r="N3068" s="1077"/>
      <c r="O3068" s="1079" t="s">
        <v>2427</v>
      </c>
      <c r="P3068" s="1077"/>
      <c r="Q3068" s="1077"/>
      <c r="R3068" s="1077"/>
    </row>
    <row r="3069" spans="5:18">
      <c r="E3069" s="1077"/>
      <c r="F3069" s="1077"/>
      <c r="G3069" s="1077"/>
      <c r="H3069" s="1077"/>
      <c r="I3069" s="1077"/>
      <c r="J3069" s="1077"/>
      <c r="K3069" s="1077"/>
      <c r="L3069" s="1077"/>
      <c r="M3069" s="1077"/>
      <c r="N3069" s="1077"/>
      <c r="O3069" s="1077"/>
      <c r="P3069" s="1077"/>
      <c r="Q3069" s="1077"/>
      <c r="R3069" s="1077"/>
    </row>
    <row r="3070" spans="5:18" ht="114.75" customHeight="1">
      <c r="E3070" s="1077"/>
      <c r="F3070" s="1077"/>
      <c r="G3070" s="1077"/>
      <c r="H3070" s="1076" t="s">
        <v>2428</v>
      </c>
      <c r="I3070" s="1077"/>
      <c r="J3070" s="1077"/>
      <c r="K3070" s="1077"/>
      <c r="L3070" s="1077"/>
      <c r="M3070" s="1077"/>
      <c r="N3070" s="1077"/>
      <c r="O3070" s="1076" t="s">
        <v>2429</v>
      </c>
      <c r="P3070" s="1077"/>
      <c r="Q3070" s="1077"/>
      <c r="R3070" s="1077"/>
    </row>
    <row r="3071" spans="5:18" ht="31.5">
      <c r="E3071" s="1077"/>
      <c r="F3071" s="1077"/>
      <c r="G3071" s="1077"/>
      <c r="H3071" s="1077"/>
      <c r="I3071" s="1077"/>
      <c r="J3071" s="1077"/>
      <c r="K3071" s="1077"/>
      <c r="L3071" s="1077"/>
      <c r="M3071" s="1077">
        <v>180</v>
      </c>
      <c r="N3071" s="1077" t="s">
        <v>13</v>
      </c>
      <c r="O3071" s="989" t="s">
        <v>2430</v>
      </c>
      <c r="P3071" s="1086">
        <v>53.75</v>
      </c>
      <c r="Q3071" s="1077" t="s">
        <v>2306</v>
      </c>
      <c r="R3071" s="1077">
        <f>M3071*P3071</f>
        <v>9675</v>
      </c>
    </row>
    <row r="3072" spans="5:18" ht="38.25" customHeight="1">
      <c r="E3072" s="1077"/>
      <c r="F3072" s="1077">
        <v>180</v>
      </c>
      <c r="G3072" s="1077" t="s">
        <v>13</v>
      </c>
      <c r="H3072" s="1078" t="s">
        <v>2311</v>
      </c>
      <c r="I3072" s="1077">
        <f>I3049</f>
        <v>16.55</v>
      </c>
      <c r="J3072" s="1077" t="s">
        <v>13</v>
      </c>
      <c r="K3072" s="1077">
        <f>F3072*I3072</f>
        <v>2979</v>
      </c>
      <c r="L3072" s="1077"/>
      <c r="M3072" s="1077">
        <v>90</v>
      </c>
      <c r="N3072" s="1077" t="s">
        <v>13</v>
      </c>
      <c r="O3072" s="1076" t="s">
        <v>2313</v>
      </c>
      <c r="P3072" s="1086">
        <f>I3099</f>
        <v>20</v>
      </c>
      <c r="Q3072" s="1077" t="s">
        <v>13</v>
      </c>
      <c r="R3072" s="1077">
        <f>M3072*P3072</f>
        <v>1800</v>
      </c>
    </row>
    <row r="3073" spans="5:18" ht="37.5" customHeight="1">
      <c r="E3073" s="1077"/>
      <c r="F3073" s="1077">
        <v>90</v>
      </c>
      <c r="G3073" s="1077" t="s">
        <v>13</v>
      </c>
      <c r="H3073" s="1076" t="s">
        <v>2313</v>
      </c>
      <c r="I3073" s="1077">
        <f>I3050</f>
        <v>20</v>
      </c>
      <c r="J3073" s="1077" t="s">
        <v>13</v>
      </c>
      <c r="K3073" s="1077">
        <f>F3073*I3073</f>
        <v>1800</v>
      </c>
      <c r="L3073" s="1077"/>
      <c r="M3073" s="1077">
        <v>3</v>
      </c>
      <c r="N3073" s="1077" t="s">
        <v>2324</v>
      </c>
      <c r="O3073" s="1077" t="s">
        <v>38</v>
      </c>
      <c r="P3073" s="1086">
        <f>I3100</f>
        <v>302</v>
      </c>
      <c r="Q3073" s="1077" t="s">
        <v>2324</v>
      </c>
      <c r="R3073" s="1077">
        <f>M3073*P3073</f>
        <v>906</v>
      </c>
    </row>
    <row r="3074" spans="5:18" ht="35.25" customHeight="1">
      <c r="E3074" s="1077"/>
      <c r="F3074" s="1077">
        <v>3</v>
      </c>
      <c r="G3074" s="1077" t="s">
        <v>2324</v>
      </c>
      <c r="H3074" s="1077" t="s">
        <v>38</v>
      </c>
      <c r="I3074" s="1077">
        <f>I3058</f>
        <v>302</v>
      </c>
      <c r="J3074" s="1077" t="s">
        <v>2324</v>
      </c>
      <c r="K3074" s="1077">
        <f>F3074*I3074</f>
        <v>906</v>
      </c>
      <c r="L3074" s="1077"/>
      <c r="M3074" s="1077">
        <v>90</v>
      </c>
      <c r="N3074" s="1077" t="s">
        <v>13</v>
      </c>
      <c r="O3074" s="989" t="s">
        <v>2431</v>
      </c>
      <c r="P3074" s="1086">
        <f>I3101</f>
        <v>20.3</v>
      </c>
      <c r="Q3074" s="1077" t="s">
        <v>2306</v>
      </c>
      <c r="R3074" s="1077">
        <f>M3074*P3074</f>
        <v>1827</v>
      </c>
    </row>
    <row r="3075" spans="5:18" ht="39.75" customHeight="1">
      <c r="E3075" s="1077"/>
      <c r="F3075" s="1077">
        <v>90</v>
      </c>
      <c r="G3075" s="1077" t="s">
        <v>13</v>
      </c>
      <c r="H3075" s="1078" t="s">
        <v>2333</v>
      </c>
      <c r="I3075" s="1077">
        <f>I3072</f>
        <v>16.55</v>
      </c>
      <c r="J3075" s="1077" t="s">
        <v>2306</v>
      </c>
      <c r="K3075" s="1077">
        <f>F3075*I3075</f>
        <v>1489.5</v>
      </c>
      <c r="L3075" s="1077"/>
      <c r="M3075" s="1077"/>
      <c r="N3075" s="1077"/>
      <c r="O3075" s="1077" t="s">
        <v>478</v>
      </c>
      <c r="P3075" s="1077"/>
      <c r="Q3075" s="1077"/>
      <c r="R3075" s="1077">
        <f>K3102</f>
        <v>11454</v>
      </c>
    </row>
    <row r="3076" spans="5:18" ht="20.25" customHeight="1">
      <c r="E3076" s="1077"/>
      <c r="F3076" s="1077"/>
      <c r="G3076" s="1077"/>
      <c r="H3076" s="1077" t="s">
        <v>478</v>
      </c>
      <c r="I3076" s="1077"/>
      <c r="J3076" s="1077"/>
      <c r="K3076" s="1077">
        <f>K3060</f>
        <v>11454</v>
      </c>
      <c r="L3076" s="1077"/>
      <c r="M3076" s="1077"/>
      <c r="N3076" s="1077"/>
      <c r="O3076" s="1077" t="s">
        <v>1557</v>
      </c>
      <c r="P3076" s="1077"/>
      <c r="Q3076" s="1077"/>
      <c r="R3076" s="1077">
        <v>24</v>
      </c>
    </row>
    <row r="3077" spans="5:18">
      <c r="E3077" s="1077"/>
      <c r="F3077" s="1077"/>
      <c r="G3077" s="1077"/>
      <c r="H3077" s="1077"/>
      <c r="I3077" s="1077"/>
      <c r="J3077" s="1077"/>
      <c r="K3077" s="1077">
        <f>SUM(K3072:K3076)</f>
        <v>18628.5</v>
      </c>
      <c r="L3077" s="1077"/>
      <c r="M3077" s="1077"/>
      <c r="N3077" s="1077"/>
      <c r="O3077" s="1081" t="s">
        <v>2432</v>
      </c>
      <c r="P3077" s="1077"/>
      <c r="Q3077" s="1077"/>
      <c r="R3077" s="1088">
        <f>SUM(R3071:R3076)</f>
        <v>25686</v>
      </c>
    </row>
    <row r="3078" spans="5:18" ht="20.25" customHeight="1">
      <c r="E3078" s="1077"/>
      <c r="F3078" s="1077"/>
      <c r="G3078" s="1077"/>
      <c r="H3078" s="1077" t="s">
        <v>1557</v>
      </c>
      <c r="I3078" s="1077"/>
      <c r="J3078" s="1077"/>
      <c r="K3078" s="1077">
        <f>29.99-0.59</f>
        <v>29.4</v>
      </c>
      <c r="L3078" s="1077"/>
      <c r="M3078" s="1077"/>
      <c r="N3078" s="1077"/>
      <c r="O3078" s="1082" t="s">
        <v>2433</v>
      </c>
      <c r="P3078" s="1077"/>
      <c r="Q3078" s="1077"/>
      <c r="R3078" s="1079">
        <f>R3077/90</f>
        <v>285.39999999999998</v>
      </c>
    </row>
    <row r="3079" spans="5:18">
      <c r="E3079" s="1077"/>
      <c r="F3079" s="1077"/>
      <c r="G3079" s="1077"/>
      <c r="H3079" s="1081" t="s">
        <v>2432</v>
      </c>
      <c r="I3079" s="1077"/>
      <c r="J3079" s="1077"/>
      <c r="K3079" s="1088">
        <f>SUM(K3077:K3078)</f>
        <v>18657.900000000001</v>
      </c>
      <c r="L3079" s="1077"/>
      <c r="M3079" s="1077"/>
      <c r="N3079" s="1077"/>
      <c r="O3079" s="1077"/>
      <c r="P3079" s="1077"/>
      <c r="Q3079" s="1077"/>
      <c r="R3079" s="1077"/>
    </row>
    <row r="3080" spans="5:18" ht="21.75" customHeight="1">
      <c r="E3080" s="1077"/>
      <c r="F3080" s="1077"/>
      <c r="G3080" s="1077"/>
      <c r="H3080" s="1082" t="s">
        <v>2433</v>
      </c>
      <c r="I3080" s="1077"/>
      <c r="J3080" s="1077"/>
      <c r="K3080" s="1079">
        <f>K3079/90</f>
        <v>207.31</v>
      </c>
      <c r="L3080" s="1077">
        <f>131*90</f>
        <v>11790</v>
      </c>
      <c r="M3080" s="1077"/>
    </row>
    <row r="3081" spans="5:18">
      <c r="E3081" s="1077"/>
      <c r="F3081" s="1077"/>
      <c r="G3081" s="1077"/>
      <c r="H3081" s="1077"/>
      <c r="I3081" s="1077"/>
      <c r="J3081" s="1077"/>
      <c r="K3081" s="1077"/>
      <c r="L3081" s="1077">
        <f>K3079-L3080</f>
        <v>6867.9</v>
      </c>
      <c r="M3081" s="1077"/>
    </row>
    <row r="3082" spans="5:18">
      <c r="E3082" s="1077"/>
      <c r="F3082" s="1077"/>
      <c r="G3082" s="1077"/>
      <c r="H3082" s="1079" t="s">
        <v>2434</v>
      </c>
      <c r="I3082" s="1077"/>
      <c r="J3082" s="1077"/>
      <c r="K3082" s="1077"/>
      <c r="L3082" s="1077"/>
      <c r="M3082" s="1077"/>
    </row>
    <row r="3083" spans="5:18">
      <c r="E3083" s="1077"/>
      <c r="F3083" s="1077"/>
      <c r="G3083" s="1077"/>
      <c r="H3083" s="1079" t="s">
        <v>2435</v>
      </c>
      <c r="I3083" s="1077"/>
      <c r="J3083" s="1077"/>
      <c r="K3083" s="1077"/>
      <c r="L3083" s="1077"/>
      <c r="M3083" s="1077"/>
    </row>
    <row r="3084" spans="5:18">
      <c r="E3084" s="1077"/>
      <c r="F3084" s="1077"/>
      <c r="G3084" s="1077"/>
      <c r="H3084" s="1077"/>
      <c r="I3084" s="1077"/>
      <c r="J3084" s="1077"/>
      <c r="K3084" s="1077"/>
      <c r="L3084" s="1077"/>
      <c r="M3084" s="1077"/>
    </row>
    <row r="3085" spans="5:18" ht="113.25" customHeight="1">
      <c r="E3085" s="1077"/>
      <c r="F3085" s="1077"/>
      <c r="G3085" s="1077"/>
      <c r="H3085" s="1076" t="s">
        <v>2436</v>
      </c>
      <c r="I3085" s="1077"/>
      <c r="J3085" s="1077"/>
      <c r="K3085" s="1077"/>
      <c r="L3085" s="1077"/>
      <c r="M3085" s="1077"/>
    </row>
    <row r="3086" spans="5:18">
      <c r="E3086" s="1077"/>
      <c r="F3086" s="1077"/>
      <c r="G3086" s="1077"/>
      <c r="H3086" s="1077"/>
      <c r="I3086" s="1077"/>
      <c r="J3086" s="1077"/>
      <c r="K3086" s="1077"/>
      <c r="L3086" s="1077"/>
      <c r="M3086" s="1077"/>
    </row>
    <row r="3087" spans="5:18">
      <c r="E3087" s="1077"/>
      <c r="F3087" s="1077"/>
      <c r="G3087" s="1077"/>
      <c r="H3087" s="1077" t="s">
        <v>2437</v>
      </c>
      <c r="I3087" s="1077"/>
      <c r="J3087" s="1077"/>
      <c r="K3087" s="1077">
        <f>K3077</f>
        <v>18628.5</v>
      </c>
      <c r="L3087" s="1077"/>
      <c r="M3087" s="1077"/>
    </row>
    <row r="3088" spans="5:18" ht="34.5" customHeight="1">
      <c r="E3088" s="1077"/>
      <c r="F3088" s="1077">
        <v>180</v>
      </c>
      <c r="G3088" s="1077" t="s">
        <v>13</v>
      </c>
      <c r="H3088" s="1076" t="s">
        <v>2438</v>
      </c>
      <c r="I3088" s="1086">
        <v>20.3</v>
      </c>
      <c r="J3088" s="1077" t="s">
        <v>13</v>
      </c>
      <c r="K3088" s="1077">
        <f>F3088*I3088</f>
        <v>3654</v>
      </c>
      <c r="L3088" s="1077"/>
      <c r="M3088" s="1077"/>
    </row>
    <row r="3089" spans="5:18" ht="36.75" customHeight="1">
      <c r="E3089" s="1077"/>
      <c r="F3089" s="1077">
        <v>180</v>
      </c>
      <c r="G3089" s="1077" t="s">
        <v>13</v>
      </c>
      <c r="H3089" s="1076" t="s">
        <v>2439</v>
      </c>
      <c r="I3089" s="1077">
        <f>I3075</f>
        <v>16.55</v>
      </c>
      <c r="J3089" s="1077" t="s">
        <v>2306</v>
      </c>
      <c r="K3089" s="1077">
        <f>F3089*I3089</f>
        <v>2979</v>
      </c>
      <c r="L3089" s="1077"/>
      <c r="M3089" s="1077"/>
    </row>
    <row r="3090" spans="5:18" ht="25.5" customHeight="1">
      <c r="E3090" s="1077"/>
      <c r="F3090" s="1077"/>
      <c r="G3090" s="1077"/>
      <c r="H3090" s="1077" t="s">
        <v>1557</v>
      </c>
      <c r="I3090" s="1077"/>
      <c r="J3090" s="1077"/>
      <c r="K3090" s="1077">
        <f>47.4+13.1</f>
        <v>60.5</v>
      </c>
      <c r="L3090" s="1077"/>
      <c r="M3090" s="1077"/>
    </row>
    <row r="3091" spans="5:18">
      <c r="E3091" s="1077"/>
      <c r="F3091" s="1077"/>
      <c r="G3091" s="1077"/>
      <c r="H3091" s="1081" t="s">
        <v>2440</v>
      </c>
      <c r="I3091" s="1077"/>
      <c r="J3091" s="1077"/>
      <c r="K3091" s="1088">
        <f>K3087+K3088-K3089+K3090</f>
        <v>19364</v>
      </c>
      <c r="L3091" s="1077"/>
      <c r="M3091" s="1077"/>
    </row>
    <row r="3092" spans="5:18">
      <c r="E3092" s="1077"/>
      <c r="F3092" s="1077"/>
      <c r="G3092" s="1077"/>
      <c r="H3092" s="1082" t="s">
        <v>2433</v>
      </c>
      <c r="I3092" s="1077"/>
      <c r="J3092" s="1077"/>
      <c r="K3092" s="1079">
        <f>K3091/90</f>
        <v>215.16</v>
      </c>
      <c r="L3092" s="1077">
        <f>152*90</f>
        <v>13680</v>
      </c>
      <c r="M3092" s="1077"/>
    </row>
    <row r="3093" spans="5:18">
      <c r="E3093" s="1077"/>
      <c r="F3093" s="1077"/>
      <c r="G3093" s="1077"/>
      <c r="H3093" s="1077"/>
      <c r="I3093" s="1077"/>
      <c r="J3093" s="1077"/>
      <c r="K3093" s="1077"/>
      <c r="L3093" s="1077">
        <f>L3092-K3091</f>
        <v>-5684</v>
      </c>
      <c r="M3093" s="1077"/>
    </row>
    <row r="3094" spans="5:18">
      <c r="E3094" s="1077"/>
      <c r="F3094" s="1077"/>
      <c r="G3094" s="1077"/>
      <c r="H3094" s="1079" t="s">
        <v>2425</v>
      </c>
      <c r="I3094" s="1077"/>
      <c r="J3094" s="1077"/>
      <c r="K3094" s="1077"/>
      <c r="L3094" s="1077"/>
      <c r="M3094" s="1077"/>
    </row>
    <row r="3095" spans="5:18">
      <c r="E3095" s="1077"/>
      <c r="F3095" s="1077"/>
      <c r="G3095" s="1077"/>
      <c r="H3095" s="1079" t="s">
        <v>2441</v>
      </c>
      <c r="I3095" s="1077"/>
      <c r="J3095" s="1077"/>
      <c r="K3095" s="1077"/>
      <c r="L3095" s="1077"/>
      <c r="M3095" s="1077"/>
    </row>
    <row r="3096" spans="5:18">
      <c r="E3096" s="1077"/>
      <c r="F3096" s="1077"/>
      <c r="G3096" s="1077"/>
      <c r="H3096" s="1077"/>
      <c r="I3096" s="1077"/>
      <c r="J3096" s="1077"/>
      <c r="K3096" s="1077"/>
      <c r="L3096" s="1077"/>
      <c r="M3096" s="1077"/>
    </row>
    <row r="3097" spans="5:18" ht="111.75" customHeight="1">
      <c r="E3097" s="1077"/>
      <c r="F3097" s="1077"/>
      <c r="G3097" s="1077"/>
      <c r="H3097" s="1076" t="s">
        <v>2429</v>
      </c>
      <c r="I3097" s="1077"/>
      <c r="J3097" s="1077"/>
      <c r="K3097" s="1077"/>
      <c r="L3097" s="1077"/>
      <c r="M3097" s="1077"/>
      <c r="N3097" s="1077"/>
      <c r="O3097" s="1076"/>
      <c r="P3097" s="1077"/>
      <c r="Q3097" s="1077"/>
      <c r="R3097" s="1077"/>
    </row>
    <row r="3098" spans="5:18" ht="36" customHeight="1">
      <c r="E3098" s="1077"/>
      <c r="F3098" s="1077">
        <v>180</v>
      </c>
      <c r="G3098" s="1077" t="s">
        <v>13</v>
      </c>
      <c r="H3098" s="1078" t="s">
        <v>2442</v>
      </c>
      <c r="I3098" s="1086">
        <v>32.200000000000003</v>
      </c>
      <c r="J3098" s="1077" t="s">
        <v>2306</v>
      </c>
      <c r="K3098" s="1077">
        <f>F3098*I3098</f>
        <v>5796</v>
      </c>
      <c r="L3098" s="1077"/>
      <c r="M3098" s="1077"/>
      <c r="N3098" s="1077"/>
      <c r="O3098" s="989"/>
      <c r="P3098" s="1077"/>
      <c r="Q3098" s="1077"/>
      <c r="R3098" s="1077"/>
    </row>
    <row r="3099" spans="5:18" ht="39" customHeight="1">
      <c r="E3099" s="1077"/>
      <c r="F3099" s="1077">
        <v>90</v>
      </c>
      <c r="G3099" s="1077" t="s">
        <v>13</v>
      </c>
      <c r="H3099" s="1076" t="s">
        <v>2313</v>
      </c>
      <c r="I3099" s="1077">
        <f>I3073</f>
        <v>20</v>
      </c>
      <c r="J3099" s="1077" t="s">
        <v>13</v>
      </c>
      <c r="K3099" s="1077">
        <f>F3099*I3099</f>
        <v>1800</v>
      </c>
      <c r="L3099" s="1077"/>
      <c r="M3099" s="1077"/>
      <c r="N3099" s="1077"/>
      <c r="O3099" s="1076"/>
      <c r="P3099" s="1077"/>
      <c r="Q3099" s="1077"/>
      <c r="R3099" s="1077"/>
    </row>
    <row r="3100" spans="5:18" ht="23.25" customHeight="1">
      <c r="E3100" s="1077"/>
      <c r="F3100" s="1077">
        <v>3</v>
      </c>
      <c r="G3100" s="1077" t="s">
        <v>2324</v>
      </c>
      <c r="H3100" s="1077" t="s">
        <v>38</v>
      </c>
      <c r="I3100" s="1077">
        <f>I3074</f>
        <v>302</v>
      </c>
      <c r="J3100" s="1077" t="s">
        <v>2324</v>
      </c>
      <c r="K3100" s="1077">
        <f>F3100*I3100</f>
        <v>906</v>
      </c>
      <c r="L3100" s="1077"/>
      <c r="M3100" s="1077"/>
      <c r="N3100" s="1077"/>
      <c r="O3100" s="1077"/>
      <c r="P3100" s="1077"/>
      <c r="Q3100" s="1077"/>
      <c r="R3100" s="1077"/>
    </row>
    <row r="3101" spans="5:18" ht="38.25" customHeight="1">
      <c r="E3101" s="1077"/>
      <c r="F3101" s="1077">
        <v>90</v>
      </c>
      <c r="G3101" s="1077" t="s">
        <v>13</v>
      </c>
      <c r="H3101" s="1078" t="s">
        <v>2431</v>
      </c>
      <c r="I3101" s="1077">
        <f>I3088</f>
        <v>20.3</v>
      </c>
      <c r="J3101" s="1077" t="s">
        <v>2306</v>
      </c>
      <c r="K3101" s="1077">
        <f>F3101*I3101</f>
        <v>1827</v>
      </c>
      <c r="L3101" s="1077"/>
      <c r="M3101" s="1077"/>
      <c r="N3101" s="1077"/>
      <c r="O3101" s="989"/>
      <c r="P3101" s="1077"/>
      <c r="Q3101" s="1077"/>
      <c r="R3101" s="1077"/>
    </row>
    <row r="3102" spans="5:18">
      <c r="E3102" s="1077"/>
      <c r="F3102" s="1077"/>
      <c r="G3102" s="1077"/>
      <c r="H3102" s="1077" t="s">
        <v>478</v>
      </c>
      <c r="I3102" s="1077"/>
      <c r="J3102" s="1077"/>
      <c r="K3102" s="1077">
        <f>K3076</f>
        <v>11454</v>
      </c>
      <c r="L3102" s="1077"/>
      <c r="M3102" s="1077"/>
      <c r="N3102" s="1077"/>
      <c r="O3102" s="1077"/>
      <c r="P3102" s="1077"/>
      <c r="Q3102" s="1077"/>
      <c r="R3102" s="1077"/>
    </row>
    <row r="3103" spans="5:18">
      <c r="E3103" s="1077"/>
      <c r="F3103" s="1077"/>
      <c r="G3103" s="1077"/>
      <c r="H3103" s="1077" t="s">
        <v>1557</v>
      </c>
      <c r="I3103" s="1077"/>
      <c r="J3103" s="1077"/>
      <c r="K3103" s="1077">
        <v>60.5</v>
      </c>
      <c r="L3103" s="1077"/>
      <c r="M3103" s="1077"/>
      <c r="N3103" s="1077"/>
      <c r="O3103" s="1077"/>
      <c r="P3103" s="1077"/>
      <c r="Q3103" s="1077"/>
      <c r="R3103" s="1077"/>
    </row>
    <row r="3104" spans="5:18">
      <c r="E3104" s="1077"/>
      <c r="F3104" s="1077"/>
      <c r="G3104" s="1077"/>
      <c r="H3104" s="1081" t="s">
        <v>2432</v>
      </c>
      <c r="I3104" s="1077"/>
      <c r="J3104" s="1077"/>
      <c r="K3104" s="1088">
        <f>SUM(K3098:K3103)</f>
        <v>21843.5</v>
      </c>
      <c r="L3104" s="1077"/>
      <c r="M3104" s="1077"/>
      <c r="N3104" s="1077"/>
      <c r="O3104" s="1081"/>
      <c r="P3104" s="1077"/>
      <c r="Q3104" s="1077"/>
      <c r="R3104" s="1088"/>
    </row>
    <row r="3105" spans="5:19">
      <c r="E3105" s="1077"/>
      <c r="F3105" s="1077"/>
      <c r="G3105" s="1077"/>
      <c r="H3105" s="1082" t="s">
        <v>2433</v>
      </c>
      <c r="I3105" s="1077"/>
      <c r="J3105" s="1077"/>
      <c r="K3105" s="1079">
        <f>K3104/90</f>
        <v>242.71</v>
      </c>
      <c r="L3105" s="1077">
        <f>189*90</f>
        <v>17010</v>
      </c>
      <c r="M3105" s="1077"/>
      <c r="N3105" s="1077"/>
      <c r="O3105" s="1082"/>
      <c r="P3105" s="1077"/>
      <c r="Q3105" s="1077"/>
      <c r="R3105" s="1079"/>
    </row>
    <row r="3106" spans="5:19">
      <c r="E3106" s="1077"/>
      <c r="F3106" s="1077"/>
      <c r="G3106" s="1077"/>
      <c r="H3106" s="1077"/>
      <c r="I3106" s="1077"/>
      <c r="J3106" s="1077"/>
      <c r="K3106" s="1077"/>
      <c r="L3106" s="1077">
        <f>L3105-K3104</f>
        <v>-4833.5</v>
      </c>
      <c r="M3106" s="1077"/>
    </row>
    <row r="3107" spans="5:19">
      <c r="E3107" s="1077"/>
      <c r="F3107" s="1077"/>
      <c r="G3107" s="1077"/>
      <c r="H3107" s="1077"/>
      <c r="I3107" s="1077"/>
      <c r="J3107" s="1077"/>
      <c r="K3107" s="1077"/>
      <c r="L3107" s="1077"/>
      <c r="M3107" s="1077"/>
    </row>
    <row r="3108" spans="5:19">
      <c r="E3108" s="1077"/>
      <c r="F3108" s="1077"/>
      <c r="G3108" s="1077"/>
      <c r="H3108" s="1079" t="s">
        <v>2443</v>
      </c>
      <c r="I3108" s="1077"/>
      <c r="J3108" s="1077"/>
      <c r="K3108" s="1077"/>
      <c r="L3108" s="1077"/>
      <c r="M3108" s="1077"/>
      <c r="N3108" s="1077"/>
      <c r="O3108" s="1079" t="s">
        <v>2443</v>
      </c>
      <c r="P3108" s="1077"/>
      <c r="Q3108" s="1077"/>
      <c r="R3108" s="1077"/>
      <c r="S3108" s="1077"/>
    </row>
    <row r="3109" spans="5:19">
      <c r="E3109" s="1077"/>
      <c r="F3109" s="1077"/>
      <c r="G3109" s="1077"/>
      <c r="H3109" s="1079" t="s">
        <v>2444</v>
      </c>
      <c r="I3109" s="1077"/>
      <c r="J3109" s="1077"/>
      <c r="K3109" s="1077"/>
      <c r="L3109" s="1077"/>
      <c r="M3109" s="1077"/>
      <c r="N3109" s="1077"/>
      <c r="O3109" s="1079" t="s">
        <v>2445</v>
      </c>
      <c r="P3109" s="1077"/>
      <c r="Q3109" s="1077"/>
      <c r="R3109" s="1077"/>
      <c r="S3109" s="1077"/>
    </row>
    <row r="3110" spans="5:19">
      <c r="E3110" s="1077"/>
      <c r="F3110" s="1077"/>
      <c r="G3110" s="1077"/>
      <c r="H3110" s="1077"/>
      <c r="I3110" s="1077"/>
      <c r="J3110" s="1077"/>
      <c r="K3110" s="1077"/>
      <c r="L3110" s="1077"/>
      <c r="M3110" s="1077"/>
      <c r="N3110" s="1077"/>
      <c r="O3110" s="1077"/>
      <c r="P3110" s="1077"/>
      <c r="Q3110" s="1077"/>
      <c r="R3110" s="1077"/>
      <c r="S3110" s="1077"/>
    </row>
    <row r="3111" spans="5:19" ht="115.5" customHeight="1">
      <c r="E3111" s="1077"/>
      <c r="F3111" s="1077"/>
      <c r="G3111" s="1077"/>
      <c r="H3111" s="1076" t="s">
        <v>2446</v>
      </c>
      <c r="I3111" s="1077"/>
      <c r="J3111" s="1077"/>
      <c r="K3111" s="1077"/>
      <c r="L3111" s="1077"/>
      <c r="M3111" s="1077"/>
      <c r="N3111" s="1077"/>
      <c r="O3111" s="1767" t="s">
        <v>2447</v>
      </c>
      <c r="P3111" s="1767"/>
      <c r="Q3111" s="1077"/>
      <c r="R3111" s="1077"/>
      <c r="S3111" s="1077"/>
    </row>
    <row r="3112" spans="5:19" ht="34.5" customHeight="1">
      <c r="E3112" s="1077"/>
      <c r="F3112" s="1077">
        <v>360</v>
      </c>
      <c r="G3112" s="1077"/>
      <c r="H3112" s="1078" t="s">
        <v>2448</v>
      </c>
      <c r="I3112" s="1086">
        <f>I3098</f>
        <v>32.200000000000003</v>
      </c>
      <c r="J3112" s="1077" t="s">
        <v>2306</v>
      </c>
      <c r="K3112" s="1077">
        <f>F3112*I3112</f>
        <v>11592</v>
      </c>
      <c r="L3112" s="1077"/>
      <c r="M3112" s="1077">
        <v>360</v>
      </c>
      <c r="N3112" s="1077"/>
      <c r="O3112" s="1102" t="s">
        <v>2430</v>
      </c>
      <c r="P3112" s="1086">
        <f>P3071</f>
        <v>53.75</v>
      </c>
      <c r="Q3112" s="1077" t="s">
        <v>2306</v>
      </c>
      <c r="R3112" s="1077">
        <f>M3112*P3112</f>
        <v>19350</v>
      </c>
      <c r="S3112" s="1077"/>
    </row>
    <row r="3113" spans="5:19" ht="36" customHeight="1">
      <c r="E3113" s="1077"/>
      <c r="F3113" s="1077">
        <v>90</v>
      </c>
      <c r="G3113" s="1077"/>
      <c r="H3113" s="1076" t="s">
        <v>2449</v>
      </c>
      <c r="I3113" s="1086">
        <v>24.2</v>
      </c>
      <c r="J3113" s="1077" t="s">
        <v>13</v>
      </c>
      <c r="K3113" s="1077">
        <f>F3113*I3113</f>
        <v>2178</v>
      </c>
      <c r="L3113" s="1077"/>
      <c r="M3113" s="1077">
        <v>90</v>
      </c>
      <c r="N3113" s="1077"/>
      <c r="O3113" s="1076" t="s">
        <v>2450</v>
      </c>
      <c r="P3113" s="1086">
        <f>I3113</f>
        <v>24.2</v>
      </c>
      <c r="Q3113" s="1077" t="s">
        <v>13</v>
      </c>
      <c r="R3113" s="1077">
        <f>M3113*P3113</f>
        <v>2178</v>
      </c>
      <c r="S3113" s="1077"/>
    </row>
    <row r="3114" spans="5:19" ht="21" customHeight="1">
      <c r="E3114" s="1077"/>
      <c r="F3114" s="1077">
        <v>3</v>
      </c>
      <c r="G3114" s="1077"/>
      <c r="H3114" s="1077" t="s">
        <v>38</v>
      </c>
      <c r="I3114" s="1077">
        <f>I3100</f>
        <v>302</v>
      </c>
      <c r="J3114" s="1077" t="s">
        <v>2324</v>
      </c>
      <c r="K3114" s="1077">
        <f>F3114*I3114</f>
        <v>906</v>
      </c>
      <c r="L3114" s="1077"/>
      <c r="M3114" s="1077">
        <v>3</v>
      </c>
      <c r="N3114" s="1077"/>
      <c r="O3114" s="1077" t="s">
        <v>38</v>
      </c>
      <c r="P3114" s="1086">
        <f>I3114</f>
        <v>302</v>
      </c>
      <c r="Q3114" s="1077" t="s">
        <v>2324</v>
      </c>
      <c r="R3114" s="1077">
        <f>M3114*P3114</f>
        <v>906</v>
      </c>
      <c r="S3114" s="1077"/>
    </row>
    <row r="3115" spans="5:19" ht="33.75" customHeight="1">
      <c r="E3115" s="1077"/>
      <c r="F3115" s="1077">
        <v>90</v>
      </c>
      <c r="G3115" s="1077"/>
      <c r="H3115" s="1078" t="s">
        <v>2431</v>
      </c>
      <c r="I3115" s="1077">
        <f>I3101</f>
        <v>20.3</v>
      </c>
      <c r="J3115" s="1077" t="s">
        <v>2306</v>
      </c>
      <c r="K3115" s="1077">
        <f>F3115*I3115</f>
        <v>1827</v>
      </c>
      <c r="L3115" s="1077"/>
      <c r="M3115" s="1077">
        <v>90</v>
      </c>
      <c r="N3115" s="1077"/>
      <c r="O3115" s="989" t="s">
        <v>2431</v>
      </c>
      <c r="P3115" s="1086">
        <f>I3115</f>
        <v>20.3</v>
      </c>
      <c r="Q3115" s="1077" t="s">
        <v>2306</v>
      </c>
      <c r="R3115" s="1077">
        <f>M3115*P3115</f>
        <v>1827</v>
      </c>
      <c r="S3115" s="1077"/>
    </row>
    <row r="3116" spans="5:19">
      <c r="E3116" s="1077"/>
      <c r="F3116" s="1077"/>
      <c r="G3116" s="1077"/>
      <c r="H3116" s="1077" t="s">
        <v>478</v>
      </c>
      <c r="I3116" s="1077"/>
      <c r="J3116" s="1077"/>
      <c r="K3116" s="1077">
        <f>I3122</f>
        <v>15075</v>
      </c>
      <c r="L3116" s="1077"/>
      <c r="M3116" s="1077"/>
      <c r="N3116" s="1077"/>
      <c r="O3116" s="1077" t="s">
        <v>478</v>
      </c>
      <c r="P3116" s="1077"/>
      <c r="Q3116" s="1077"/>
      <c r="R3116" s="1077">
        <f>K3116</f>
        <v>15075</v>
      </c>
      <c r="S3116" s="1077"/>
    </row>
    <row r="3117" spans="5:19">
      <c r="E3117" s="1077"/>
      <c r="F3117" s="1077"/>
      <c r="G3117" s="1077"/>
      <c r="H3117" s="1077" t="s">
        <v>1557</v>
      </c>
      <c r="I3117" s="1077"/>
      <c r="J3117" s="1077"/>
      <c r="K3117" s="1077">
        <v>25.5</v>
      </c>
      <c r="L3117" s="1077"/>
      <c r="M3117" s="1077"/>
      <c r="N3117" s="1077"/>
      <c r="O3117" s="1077" t="s">
        <v>1557</v>
      </c>
      <c r="P3117" s="1077"/>
      <c r="Q3117" s="1077"/>
      <c r="R3117" s="1077">
        <v>28.5</v>
      </c>
      <c r="S3117" s="1077"/>
    </row>
    <row r="3118" spans="5:19">
      <c r="E3118" s="1077"/>
      <c r="F3118" s="1077"/>
      <c r="G3118" s="1077"/>
      <c r="H3118" s="1081" t="s">
        <v>2432</v>
      </c>
      <c r="I3118" s="1077"/>
      <c r="J3118" s="1077"/>
      <c r="K3118" s="1088">
        <f>SUM(K3112:K3117)</f>
        <v>31603.5</v>
      </c>
      <c r="L3118" s="1077"/>
      <c r="M3118" s="1077"/>
      <c r="N3118" s="1077"/>
      <c r="O3118" s="1081" t="s">
        <v>2432</v>
      </c>
      <c r="P3118" s="1077"/>
      <c r="Q3118" s="1077"/>
      <c r="R3118" s="1088">
        <f>SUM(R3112:R3117)</f>
        <v>39364.5</v>
      </c>
      <c r="S3118" s="1077">
        <f>217.3*90</f>
        <v>19557</v>
      </c>
    </row>
    <row r="3119" spans="5:19">
      <c r="E3119" s="1077"/>
      <c r="F3119" s="1077"/>
      <c r="G3119" s="1077"/>
      <c r="H3119" s="1082" t="s">
        <v>2433</v>
      </c>
      <c r="I3119" s="1077"/>
      <c r="J3119" s="1077"/>
      <c r="K3119" s="1079">
        <f>K3118/90</f>
        <v>351.15</v>
      </c>
      <c r="L3119" s="1077">
        <f>299*90</f>
        <v>26910</v>
      </c>
      <c r="M3119" s="1077"/>
      <c r="N3119" s="1077"/>
      <c r="O3119" s="1082" t="s">
        <v>2433</v>
      </c>
      <c r="P3119" s="1077"/>
      <c r="Q3119" s="1077"/>
      <c r="R3119" s="1079">
        <f>R3118/90</f>
        <v>437.38</v>
      </c>
      <c r="S3119" s="1077">
        <f>S3118-R3118</f>
        <v>-19807.5</v>
      </c>
    </row>
    <row r="3120" spans="5:19">
      <c r="E3120" s="1077"/>
      <c r="F3120" s="1077"/>
      <c r="G3120" s="1077"/>
      <c r="H3120" s="1077"/>
      <c r="I3120" s="1077"/>
      <c r="J3120" s="1077"/>
      <c r="K3120" s="1077"/>
      <c r="L3120" s="1077">
        <f>L3119-K3118</f>
        <v>-4693.5</v>
      </c>
      <c r="M3120" s="1077"/>
    </row>
    <row r="3121" spans="5:18">
      <c r="E3121" s="1077"/>
      <c r="F3121" s="1077"/>
      <c r="G3121" s="1077"/>
      <c r="H3121" s="1079" t="s">
        <v>2451</v>
      </c>
      <c r="I3121" s="1077"/>
      <c r="J3121" s="1077"/>
      <c r="K3121" s="1077"/>
      <c r="L3121" s="1077"/>
      <c r="M3121" s="1077"/>
    </row>
    <row r="3122" spans="5:18" s="928" customFormat="1">
      <c r="E3122" s="1101"/>
      <c r="F3122" s="1101"/>
      <c r="G3122" s="1101"/>
      <c r="H3122" s="1101" t="s">
        <v>2452</v>
      </c>
      <c r="I3122" s="1103">
        <f>(1.5*K2873)-((K2871+K2872)/2)</f>
        <v>15075</v>
      </c>
      <c r="J3122" s="1101"/>
      <c r="K3122" s="1101"/>
      <c r="L3122" s="1101"/>
      <c r="M3122" s="1077"/>
      <c r="N3122" s="1077"/>
      <c r="O3122" s="1079" t="s">
        <v>2443</v>
      </c>
      <c r="P3122" s="1077"/>
      <c r="Q3122" s="1077"/>
      <c r="R3122" s="1077"/>
    </row>
    <row r="3123" spans="5:18">
      <c r="E3123" s="1077"/>
      <c r="F3123" s="1077"/>
      <c r="G3123" s="1077"/>
      <c r="H3123" s="1077">
        <f>1.5*K2873-(K2871+K2872)/2</f>
        <v>15075</v>
      </c>
      <c r="I3123" s="1077"/>
      <c r="J3123" s="1077"/>
      <c r="K3123" s="1077"/>
      <c r="L3123" s="1077"/>
      <c r="M3123" s="1077"/>
      <c r="N3123" s="1077"/>
      <c r="O3123" s="1079" t="s">
        <v>2453</v>
      </c>
      <c r="P3123" s="1077"/>
      <c r="Q3123" s="1077"/>
      <c r="R3123" s="1077"/>
    </row>
    <row r="3124" spans="5:18">
      <c r="E3124" s="1077"/>
      <c r="F3124" s="1077"/>
      <c r="G3124" s="1077"/>
      <c r="H3124" s="1077"/>
      <c r="I3124" s="1077"/>
      <c r="J3124" s="1077"/>
      <c r="K3124" s="1077"/>
      <c r="L3124" s="1077"/>
      <c r="M3124" s="1077"/>
      <c r="N3124" s="1077"/>
      <c r="O3124" s="1077"/>
      <c r="P3124" s="1077"/>
      <c r="Q3124" s="1077"/>
      <c r="R3124" s="1077"/>
    </row>
    <row r="3125" spans="5:18" ht="22.5" customHeight="1">
      <c r="E3125" s="1077"/>
      <c r="F3125" s="1077"/>
      <c r="G3125" s="1077"/>
      <c r="H3125" s="1100" t="s">
        <v>2454</v>
      </c>
      <c r="I3125" s="1077"/>
      <c r="J3125" s="1077"/>
      <c r="K3125" s="1077"/>
      <c r="L3125" s="1077"/>
      <c r="M3125" s="1077"/>
      <c r="N3125" s="1077"/>
      <c r="O3125" s="1076" t="s">
        <v>2455</v>
      </c>
      <c r="P3125" s="1077"/>
      <c r="Q3125" s="1077"/>
      <c r="R3125" s="1077"/>
    </row>
    <row r="3126" spans="5:18" ht="31.5">
      <c r="E3126" s="1077"/>
      <c r="F3126" s="1077"/>
      <c r="G3126" s="1077"/>
      <c r="H3126" s="1077"/>
      <c r="I3126" s="1077"/>
      <c r="J3126" s="1077"/>
      <c r="K3126" s="1077"/>
      <c r="L3126" s="1077"/>
      <c r="M3126" s="1077">
        <v>360</v>
      </c>
      <c r="N3126" s="1077"/>
      <c r="O3126" s="1102" t="s">
        <v>2456</v>
      </c>
      <c r="P3126" s="1086">
        <v>80.650000000000006</v>
      </c>
      <c r="Q3126" s="1077" t="s">
        <v>2306</v>
      </c>
      <c r="R3126" s="1077">
        <f>M3126*P3126</f>
        <v>29034</v>
      </c>
    </row>
    <row r="3127" spans="5:18" ht="18" customHeight="1">
      <c r="E3127" s="1077"/>
      <c r="F3127" s="1077"/>
      <c r="G3127" s="1077"/>
      <c r="H3127" s="1079" t="s">
        <v>2457</v>
      </c>
      <c r="I3127" s="1077"/>
      <c r="J3127" s="1077"/>
      <c r="K3127" s="1077"/>
      <c r="L3127" s="1077"/>
      <c r="M3127" s="1077">
        <v>90</v>
      </c>
      <c r="N3127" s="1077"/>
      <c r="O3127" s="1076" t="s">
        <v>2450</v>
      </c>
      <c r="P3127" s="1086">
        <f>P3113</f>
        <v>24.2</v>
      </c>
      <c r="Q3127" s="1077" t="s">
        <v>13</v>
      </c>
      <c r="R3127" s="1077">
        <f>M3127*P3127</f>
        <v>2178</v>
      </c>
    </row>
    <row r="3128" spans="5:18">
      <c r="E3128" s="1077"/>
      <c r="F3128" s="1077"/>
      <c r="G3128" s="1077"/>
      <c r="H3128" s="1077"/>
      <c r="I3128" s="1077"/>
      <c r="J3128" s="1077"/>
      <c r="K3128" s="1077"/>
      <c r="L3128" s="1077"/>
      <c r="M3128" s="1077">
        <v>3</v>
      </c>
      <c r="N3128" s="1077"/>
      <c r="O3128" s="1077" t="s">
        <v>38</v>
      </c>
      <c r="P3128" s="1086">
        <f>P3114</f>
        <v>302</v>
      </c>
      <c r="Q3128" s="1077" t="s">
        <v>2324</v>
      </c>
      <c r="R3128" s="1077">
        <f>M3128*P3128</f>
        <v>906</v>
      </c>
    </row>
    <row r="3129" spans="5:18" ht="23.25" customHeight="1">
      <c r="E3129" s="1077"/>
      <c r="F3129" s="1077"/>
      <c r="G3129" s="1077"/>
      <c r="H3129" s="1079" t="s">
        <v>2458</v>
      </c>
      <c r="I3129" s="1077"/>
      <c r="J3129" s="1077"/>
      <c r="K3129" s="1077"/>
      <c r="L3129" s="1077"/>
      <c r="M3129" s="1077">
        <v>90</v>
      </c>
      <c r="N3129" s="1077"/>
      <c r="O3129" s="989" t="s">
        <v>2431</v>
      </c>
      <c r="P3129" s="1086">
        <f>P3115</f>
        <v>20.3</v>
      </c>
      <c r="Q3129" s="1077" t="s">
        <v>2306</v>
      </c>
      <c r="R3129" s="1077">
        <f>M3129*P3129</f>
        <v>1827</v>
      </c>
    </row>
    <row r="3130" spans="5:18">
      <c r="E3130" s="1077"/>
      <c r="F3130" s="1077"/>
      <c r="G3130" s="1077"/>
      <c r="H3130" s="1077"/>
      <c r="I3130" s="1077"/>
      <c r="J3130" s="1077"/>
      <c r="K3130" s="1077"/>
      <c r="L3130" s="1077"/>
      <c r="M3130" s="1077"/>
      <c r="N3130" s="1077"/>
      <c r="O3130" s="1077" t="s">
        <v>478</v>
      </c>
      <c r="P3130" s="1077"/>
      <c r="Q3130" s="1077"/>
      <c r="R3130" s="1077">
        <f>R3116</f>
        <v>15075</v>
      </c>
    </row>
    <row r="3131" spans="5:18" ht="47.25">
      <c r="E3131" s="1077"/>
      <c r="F3131" s="1077"/>
      <c r="G3131" s="1077"/>
      <c r="H3131" s="1076" t="s">
        <v>2459</v>
      </c>
      <c r="I3131" s="1077"/>
      <c r="J3131" s="1077"/>
      <c r="K3131" s="1077"/>
      <c r="L3131" s="1077"/>
      <c r="M3131" s="1077"/>
      <c r="N3131" s="1077"/>
      <c r="O3131" s="1077" t="s">
        <v>1557</v>
      </c>
      <c r="P3131" s="1077"/>
      <c r="Q3131" s="1077"/>
      <c r="R3131" s="1077">
        <v>28.5</v>
      </c>
    </row>
    <row r="3132" spans="5:18">
      <c r="E3132" s="1077"/>
      <c r="F3132" s="1077">
        <v>1</v>
      </c>
      <c r="G3132" s="1077" t="s">
        <v>1034</v>
      </c>
      <c r="H3132" s="1077" t="s">
        <v>2460</v>
      </c>
      <c r="I3132" s="1086">
        <v>263.39999999999998</v>
      </c>
      <c r="J3132" s="1077" t="s">
        <v>1034</v>
      </c>
      <c r="K3132" s="1077">
        <f>F3132*I3132</f>
        <v>263.39999999999998</v>
      </c>
      <c r="L3132" s="1077"/>
      <c r="M3132" s="1077"/>
      <c r="N3132" s="1077"/>
      <c r="O3132" s="1081" t="s">
        <v>2432</v>
      </c>
      <c r="P3132" s="1077"/>
      <c r="Q3132" s="1077"/>
      <c r="R3132" s="1088">
        <f>SUM(R3126:R3131)</f>
        <v>49048.5</v>
      </c>
    </row>
    <row r="3133" spans="5:18">
      <c r="E3133" s="1077"/>
      <c r="F3133" s="1077"/>
      <c r="G3133" s="1077"/>
      <c r="H3133" s="1077" t="s">
        <v>1557</v>
      </c>
      <c r="I3133" s="1077"/>
      <c r="J3133" s="1077"/>
      <c r="K3133" s="1077">
        <v>4.93</v>
      </c>
      <c r="L3133" s="1077"/>
      <c r="M3133" s="1077"/>
      <c r="N3133" s="1077"/>
      <c r="O3133" s="1082" t="s">
        <v>2433</v>
      </c>
      <c r="P3133" s="1077"/>
      <c r="Q3133" s="1077"/>
      <c r="R3133" s="1079">
        <f>R3132/90</f>
        <v>544.98</v>
      </c>
    </row>
    <row r="3134" spans="5:18">
      <c r="E3134" s="1077"/>
      <c r="F3134" s="1077"/>
      <c r="G3134" s="1077"/>
      <c r="H3134" s="1077" t="s">
        <v>478</v>
      </c>
      <c r="I3134" s="1077"/>
      <c r="J3134" s="1077"/>
      <c r="K3134" s="1077">
        <f>K3142</f>
        <v>225.93</v>
      </c>
      <c r="L3134" s="1077"/>
      <c r="M3134" s="1077"/>
    </row>
    <row r="3135" spans="5:18">
      <c r="E3135" s="1077"/>
      <c r="F3135" s="1077"/>
      <c r="G3135" s="1077"/>
      <c r="H3135" s="1082" t="s">
        <v>2461</v>
      </c>
      <c r="I3135" s="1077"/>
      <c r="J3135" s="1077"/>
      <c r="K3135" s="1079">
        <f>SUM(K3132:K3134)</f>
        <v>494.26</v>
      </c>
      <c r="L3135" s="1077">
        <f>K3135-461</f>
        <v>33.26</v>
      </c>
      <c r="M3135" s="1077"/>
    </row>
    <row r="3136" spans="5:18">
      <c r="E3136" s="1077"/>
      <c r="F3136" s="1077"/>
      <c r="G3136" s="1077"/>
      <c r="H3136" s="1077"/>
      <c r="I3136" s="1077"/>
      <c r="J3136" s="1077"/>
      <c r="K3136" s="1077"/>
      <c r="L3136" s="1077"/>
      <c r="M3136" s="1077"/>
    </row>
    <row r="3137" spans="5:13">
      <c r="E3137" s="1077"/>
      <c r="F3137" s="1077"/>
      <c r="G3137" s="1077"/>
      <c r="H3137" s="1077"/>
      <c r="I3137" s="1077"/>
      <c r="J3137" s="1077"/>
      <c r="K3137" s="1077"/>
      <c r="L3137" s="1077"/>
      <c r="M3137" s="1077"/>
    </row>
    <row r="3138" spans="5:13">
      <c r="E3138" s="1077"/>
      <c r="F3138" s="1077"/>
      <c r="G3138" s="1077"/>
      <c r="H3138" s="1089" t="s">
        <v>2462</v>
      </c>
      <c r="I3138" s="1077"/>
      <c r="J3138" s="1077"/>
      <c r="K3138" s="1077"/>
      <c r="L3138" s="1077"/>
      <c r="M3138" s="1077"/>
    </row>
    <row r="3139" spans="5:13" ht="19.5" customHeight="1">
      <c r="E3139" s="1077"/>
      <c r="F3139" s="1077">
        <v>2</v>
      </c>
      <c r="G3139" s="1077" t="s">
        <v>1034</v>
      </c>
      <c r="H3139" s="1077" t="s">
        <v>2463</v>
      </c>
      <c r="I3139" s="1077">
        <f>I2868</f>
        <v>778</v>
      </c>
      <c r="J3139" s="1077" t="s">
        <v>1034</v>
      </c>
      <c r="K3139" s="1077">
        <f>F3139*I3139</f>
        <v>1556</v>
      </c>
      <c r="L3139" s="1077"/>
      <c r="M3139" s="1077"/>
    </row>
    <row r="3140" spans="5:13" ht="19.5" customHeight="1">
      <c r="E3140" s="1077"/>
      <c r="F3140" s="1077">
        <v>3</v>
      </c>
      <c r="G3140" s="1077" t="s">
        <v>1034</v>
      </c>
      <c r="H3140" s="1077" t="s">
        <v>2464</v>
      </c>
      <c r="I3140" s="1077">
        <f>I2869</f>
        <v>611</v>
      </c>
      <c r="J3140" s="1077" t="s">
        <v>1034</v>
      </c>
      <c r="K3140" s="1077">
        <f>F3140*I3140</f>
        <v>1833</v>
      </c>
      <c r="L3140" s="1077"/>
      <c r="M3140" s="1077"/>
    </row>
    <row r="3141" spans="5:13" ht="19.5" customHeight="1">
      <c r="E3141" s="1077"/>
      <c r="F3141" s="1077"/>
      <c r="G3141" s="1077"/>
      <c r="H3141" s="1081" t="s">
        <v>2465</v>
      </c>
      <c r="I3141" s="1077"/>
      <c r="J3141" s="1077"/>
      <c r="K3141" s="1088">
        <f>SUM(K3139:K3140)</f>
        <v>3389</v>
      </c>
      <c r="L3141" s="1077"/>
      <c r="M3141" s="1077"/>
    </row>
    <row r="3142" spans="5:13" ht="19.5" customHeight="1">
      <c r="E3142" s="1077"/>
      <c r="F3142" s="1077"/>
      <c r="G3142" s="1077"/>
      <c r="H3142" s="1082" t="s">
        <v>2058</v>
      </c>
      <c r="I3142" s="1077"/>
      <c r="J3142" s="1077"/>
      <c r="K3142" s="1079">
        <f>K3141/15</f>
        <v>225.93</v>
      </c>
      <c r="L3142" s="1077"/>
      <c r="M3142" s="1077"/>
    </row>
    <row r="3143" spans="5:13">
      <c r="E3143" s="1077"/>
      <c r="F3143" s="1077"/>
      <c r="G3143" s="1077"/>
      <c r="H3143" s="1077"/>
      <c r="I3143" s="1077"/>
      <c r="J3143" s="1077"/>
      <c r="K3143" s="1077"/>
      <c r="L3143" s="1077"/>
      <c r="M3143" s="1077"/>
    </row>
    <row r="3144" spans="5:13">
      <c r="E3144" s="1077"/>
      <c r="F3144" s="1077"/>
      <c r="G3144" s="1077"/>
      <c r="H3144" s="1079" t="s">
        <v>2466</v>
      </c>
      <c r="I3144" s="1077"/>
      <c r="J3144" s="1077"/>
      <c r="K3144" s="1077"/>
      <c r="L3144" s="1077"/>
      <c r="M3144" s="1077"/>
    </row>
    <row r="3145" spans="5:13">
      <c r="E3145" s="1077"/>
      <c r="F3145" s="1077"/>
      <c r="G3145" s="1077"/>
      <c r="H3145" s="1077"/>
      <c r="I3145" s="1077"/>
      <c r="J3145" s="1077"/>
      <c r="K3145" s="1077"/>
      <c r="L3145" s="1077"/>
      <c r="M3145" s="1077"/>
    </row>
    <row r="3146" spans="5:13" ht="65.25" customHeight="1">
      <c r="E3146" s="1077"/>
      <c r="F3146" s="1077"/>
      <c r="G3146" s="1077"/>
      <c r="H3146" s="1083" t="s">
        <v>2467</v>
      </c>
      <c r="I3146" s="1077"/>
      <c r="J3146" s="1077"/>
      <c r="K3146" s="1077"/>
      <c r="L3146" s="1077"/>
      <c r="M3146" s="1077"/>
    </row>
    <row r="3147" spans="5:13">
      <c r="E3147" s="1077"/>
      <c r="F3147" s="1077"/>
      <c r="G3147" s="1077"/>
      <c r="H3147" s="1077"/>
      <c r="I3147" s="1077"/>
      <c r="J3147" s="1077"/>
      <c r="K3147" s="1077"/>
      <c r="L3147" s="1077"/>
      <c r="M3147" s="1077"/>
    </row>
    <row r="3148" spans="5:13" ht="78" customHeight="1">
      <c r="E3148" s="1077"/>
      <c r="F3148" s="1077"/>
      <c r="G3148" s="1077"/>
      <c r="H3148" s="1076" t="s">
        <v>2468</v>
      </c>
      <c r="I3148" s="1077"/>
      <c r="J3148" s="1077"/>
      <c r="K3148" s="1077"/>
      <c r="L3148" s="1077"/>
      <c r="M3148" s="1077"/>
    </row>
    <row r="3149" spans="5:13">
      <c r="E3149" s="1077"/>
      <c r="F3149" s="1077"/>
      <c r="G3149" s="1077"/>
      <c r="H3149" s="1077"/>
      <c r="I3149" s="1077"/>
      <c r="J3149" s="1077"/>
      <c r="K3149" s="1077"/>
      <c r="L3149" s="1077"/>
      <c r="M3149" s="1077"/>
    </row>
    <row r="3150" spans="5:13" s="929" customFormat="1">
      <c r="E3150" s="1104"/>
      <c r="F3150" s="1104">
        <v>1</v>
      </c>
      <c r="G3150" s="1104" t="s">
        <v>1034</v>
      </c>
      <c r="H3150" s="1105" t="s">
        <v>2469</v>
      </c>
      <c r="I3150" s="1106">
        <v>200</v>
      </c>
      <c r="J3150" s="1104" t="s">
        <v>1034</v>
      </c>
      <c r="K3150" s="1104">
        <f>F3150*I3150</f>
        <v>200</v>
      </c>
      <c r="L3150" s="1104"/>
      <c r="M3150" s="1104"/>
    </row>
    <row r="3151" spans="5:13" s="929" customFormat="1" ht="31.5">
      <c r="E3151" s="1104"/>
      <c r="F3151" s="1104">
        <v>1</v>
      </c>
      <c r="G3151" s="1104" t="s">
        <v>1034</v>
      </c>
      <c r="H3151" s="1105" t="s">
        <v>2470</v>
      </c>
      <c r="I3151" s="1107">
        <v>81.349999999999994</v>
      </c>
      <c r="J3151" s="1104" t="s">
        <v>1034</v>
      </c>
      <c r="K3151" s="1104">
        <f>F3151*I3151</f>
        <v>81.349999999999994</v>
      </c>
      <c r="L3151" s="1104"/>
      <c r="M3151" s="1104"/>
    </row>
    <row r="3152" spans="5:13" ht="31.5">
      <c r="E3152" s="1077"/>
      <c r="F3152" s="1077"/>
      <c r="G3152" s="1077"/>
      <c r="H3152" s="1076" t="s">
        <v>2471</v>
      </c>
      <c r="I3152" s="1077"/>
      <c r="J3152" s="1077"/>
      <c r="K3152" s="1077">
        <v>9.15</v>
      </c>
      <c r="L3152" s="1077"/>
      <c r="M3152" s="1077"/>
    </row>
    <row r="3153" spans="5:13">
      <c r="E3153" s="1077"/>
      <c r="F3153" s="1077"/>
      <c r="G3153" s="1077"/>
      <c r="H3153" s="1077" t="s">
        <v>478</v>
      </c>
      <c r="I3153" s="1077"/>
      <c r="J3153" s="1077"/>
      <c r="K3153" s="1077">
        <f>K3161</f>
        <v>501.25</v>
      </c>
      <c r="L3153" s="1077"/>
      <c r="M3153" s="1077"/>
    </row>
    <row r="3154" spans="5:13" ht="19.5" customHeight="1">
      <c r="E3154" s="1077"/>
      <c r="F3154" s="1077"/>
      <c r="G3154" s="1077"/>
      <c r="H3154" s="1082" t="s">
        <v>2058</v>
      </c>
      <c r="I3154" s="1077"/>
      <c r="J3154" s="1077"/>
      <c r="K3154" s="1079">
        <f>SUM(K3150:K3153)</f>
        <v>791.75</v>
      </c>
      <c r="L3154" s="1077">
        <f>K3154-562</f>
        <v>229.75</v>
      </c>
      <c r="M3154" s="1077"/>
    </row>
    <row r="3155" spans="5:13">
      <c r="E3155" s="1077"/>
      <c r="F3155" s="1077"/>
      <c r="G3155" s="1077"/>
      <c r="H3155" s="1077"/>
      <c r="I3155" s="1077"/>
      <c r="J3155" s="1077"/>
      <c r="K3155" s="1077"/>
      <c r="L3155" s="1077"/>
      <c r="M3155" s="1077"/>
    </row>
    <row r="3156" spans="5:13">
      <c r="E3156" s="1077"/>
      <c r="F3156" s="1077"/>
      <c r="G3156" s="1077"/>
      <c r="H3156" s="1077"/>
      <c r="I3156" s="1077"/>
      <c r="J3156" s="1077"/>
      <c r="K3156" s="1077"/>
      <c r="L3156" s="1077"/>
      <c r="M3156" s="1077"/>
    </row>
    <row r="3157" spans="5:13">
      <c r="E3157" s="1077"/>
      <c r="F3157" s="1077"/>
      <c r="G3157" s="1077"/>
      <c r="H3157" s="1089" t="s">
        <v>478</v>
      </c>
      <c r="I3157" s="1077"/>
      <c r="J3157" s="1077"/>
      <c r="K3157" s="1077"/>
      <c r="L3157" s="1077"/>
      <c r="M3157" s="1077"/>
    </row>
    <row r="3158" spans="5:13" ht="18.75" customHeight="1">
      <c r="E3158" s="1077"/>
      <c r="F3158" s="1077">
        <v>1</v>
      </c>
      <c r="G3158" s="1077" t="s">
        <v>1034</v>
      </c>
      <c r="H3158" s="1077" t="s">
        <v>2472</v>
      </c>
      <c r="I3158" s="1077">
        <f>I2867</f>
        <v>783</v>
      </c>
      <c r="J3158" s="1077" t="s">
        <v>1034</v>
      </c>
      <c r="K3158" s="1077">
        <f>F3158*I3158</f>
        <v>783</v>
      </c>
      <c r="L3158" s="1077"/>
      <c r="M3158" s="1077"/>
    </row>
    <row r="3159" spans="5:13" ht="18.75" customHeight="1">
      <c r="E3159" s="1077"/>
      <c r="F3159" s="1077">
        <v>2</v>
      </c>
      <c r="G3159" s="1077" t="s">
        <v>1034</v>
      </c>
      <c r="H3159" s="1077" t="s">
        <v>2464</v>
      </c>
      <c r="I3159" s="1077">
        <f>I3140</f>
        <v>611</v>
      </c>
      <c r="J3159" s="1077" t="s">
        <v>1034</v>
      </c>
      <c r="K3159" s="1077">
        <f>F3159*I3159</f>
        <v>1222</v>
      </c>
      <c r="L3159" s="1077"/>
      <c r="M3159" s="1077"/>
    </row>
    <row r="3160" spans="5:13" ht="15" customHeight="1">
      <c r="E3160" s="1077"/>
      <c r="F3160" s="1077"/>
      <c r="G3160" s="1077"/>
      <c r="H3160" s="1081" t="s">
        <v>2473</v>
      </c>
      <c r="I3160" s="1077"/>
      <c r="J3160" s="1077"/>
      <c r="K3160" s="1088">
        <f>SUM(K3158:K3159)</f>
        <v>2005</v>
      </c>
      <c r="L3160" s="1077"/>
      <c r="M3160" s="1077"/>
    </row>
    <row r="3161" spans="5:13" ht="20.25" customHeight="1">
      <c r="E3161" s="1077"/>
      <c r="F3161" s="1077"/>
      <c r="G3161" s="1077"/>
      <c r="H3161" s="1082" t="s">
        <v>2295</v>
      </c>
      <c r="I3161" s="1077"/>
      <c r="J3161" s="1077"/>
      <c r="K3161" s="1079">
        <f>K3160/4</f>
        <v>501.25</v>
      </c>
      <c r="L3161" s="1077"/>
      <c r="M3161" s="1077"/>
    </row>
    <row r="3162" spans="5:13">
      <c r="E3162" s="1077"/>
      <c r="F3162" s="1077"/>
      <c r="G3162" s="1077"/>
      <c r="H3162" s="1077"/>
      <c r="I3162" s="1077"/>
      <c r="J3162" s="1077"/>
      <c r="K3162" s="1077"/>
      <c r="L3162" s="1077"/>
      <c r="M3162" s="1077"/>
    </row>
    <row r="3163" spans="5:13">
      <c r="E3163" s="1077"/>
      <c r="F3163" s="1077"/>
      <c r="G3163" s="1077"/>
      <c r="H3163" s="1079" t="s">
        <v>2474</v>
      </c>
      <c r="I3163" s="1077"/>
      <c r="J3163" s="1077"/>
      <c r="K3163" s="1077"/>
      <c r="L3163" s="1077"/>
      <c r="M3163" s="1077"/>
    </row>
    <row r="3164" spans="5:13">
      <c r="E3164" s="1077"/>
      <c r="F3164" s="1077"/>
      <c r="G3164" s="1077"/>
      <c r="H3164" s="1077"/>
      <c r="I3164" s="1077"/>
      <c r="J3164" s="1077"/>
      <c r="K3164" s="1077"/>
      <c r="L3164" s="1077"/>
      <c r="M3164" s="1077"/>
    </row>
    <row r="3165" spans="5:13" ht="47.25">
      <c r="E3165" s="1077"/>
      <c r="F3165" s="1077"/>
      <c r="G3165" s="1077"/>
      <c r="H3165" s="1083" t="s">
        <v>2475</v>
      </c>
      <c r="I3165" s="1077"/>
      <c r="J3165" s="1077"/>
      <c r="K3165" s="1077"/>
      <c r="L3165" s="1077"/>
      <c r="M3165" s="1077"/>
    </row>
    <row r="3166" spans="5:13">
      <c r="E3166" s="1077"/>
      <c r="F3166" s="1077"/>
      <c r="G3166" s="1077"/>
      <c r="H3166" s="1077"/>
      <c r="I3166" s="1077"/>
      <c r="J3166" s="1077"/>
      <c r="K3166" s="1077"/>
      <c r="L3166" s="1077"/>
      <c r="M3166" s="1077"/>
    </row>
    <row r="3167" spans="5:13" ht="63">
      <c r="E3167" s="1077"/>
      <c r="F3167" s="1077"/>
      <c r="G3167" s="1077"/>
      <c r="H3167" s="1076" t="s">
        <v>2476</v>
      </c>
      <c r="I3167" s="1077"/>
      <c r="J3167" s="1077"/>
      <c r="K3167" s="1077"/>
      <c r="L3167" s="1077"/>
      <c r="M3167" s="1077"/>
    </row>
    <row r="3168" spans="5:13">
      <c r="E3168" s="1077"/>
      <c r="F3168" s="1077"/>
      <c r="G3168" s="1077"/>
      <c r="H3168" s="1077"/>
      <c r="I3168" s="1077"/>
      <c r="J3168" s="1077"/>
      <c r="K3168" s="1077"/>
      <c r="L3168" s="1077"/>
      <c r="M3168" s="1077"/>
    </row>
    <row r="3169" spans="5:13" s="929" customFormat="1" ht="39.75" customHeight="1">
      <c r="E3169" s="1104"/>
      <c r="F3169" s="1104">
        <v>1</v>
      </c>
      <c r="G3169" s="1104" t="s">
        <v>1034</v>
      </c>
      <c r="H3169" s="1105" t="s">
        <v>2477</v>
      </c>
      <c r="I3169" s="1106">
        <v>455</v>
      </c>
      <c r="J3169" s="1104" t="s">
        <v>1034</v>
      </c>
      <c r="K3169" s="1104">
        <f>F3169*I3169</f>
        <v>455</v>
      </c>
      <c r="L3169" s="1104"/>
      <c r="M3169" s="1104"/>
    </row>
    <row r="3170" spans="5:13" s="929" customFormat="1" ht="39" customHeight="1">
      <c r="E3170" s="1104"/>
      <c r="F3170" s="1104">
        <v>1</v>
      </c>
      <c r="G3170" s="1104" t="s">
        <v>1034</v>
      </c>
      <c r="H3170" s="1105" t="s">
        <v>2478</v>
      </c>
      <c r="I3170" s="1104">
        <f>I3151</f>
        <v>81.349999999999994</v>
      </c>
      <c r="J3170" s="1104" t="s">
        <v>1034</v>
      </c>
      <c r="K3170" s="1104">
        <f>F3170*I3170</f>
        <v>81.349999999999994</v>
      </c>
      <c r="L3170" s="1104"/>
      <c r="M3170" s="1104"/>
    </row>
    <row r="3171" spans="5:13" ht="42.75" customHeight="1">
      <c r="E3171" s="1077"/>
      <c r="F3171" s="1077"/>
      <c r="G3171" s="1077"/>
      <c r="H3171" s="1076" t="s">
        <v>2471</v>
      </c>
      <c r="I3171" s="1077"/>
      <c r="J3171" s="1077"/>
      <c r="K3171" s="1077">
        <v>9.15</v>
      </c>
      <c r="L3171" s="1077"/>
      <c r="M3171" s="1077"/>
    </row>
    <row r="3172" spans="5:13" ht="20.100000000000001" customHeight="1">
      <c r="E3172" s="1077"/>
      <c r="F3172" s="1077"/>
      <c r="G3172" s="1077"/>
      <c r="H3172" s="1077" t="s">
        <v>478</v>
      </c>
      <c r="I3172" s="1077"/>
      <c r="J3172" s="1077"/>
      <c r="K3172" s="1077">
        <f>K3161</f>
        <v>501.25</v>
      </c>
      <c r="L3172" s="1077"/>
      <c r="M3172" s="1077"/>
    </row>
    <row r="3173" spans="5:13" ht="30" customHeight="1">
      <c r="E3173" s="1077"/>
      <c r="F3173" s="1077"/>
      <c r="G3173" s="1077"/>
      <c r="H3173" s="1082" t="s">
        <v>2058</v>
      </c>
      <c r="I3173" s="1077"/>
      <c r="J3173" s="1077"/>
      <c r="K3173" s="1079">
        <f>SUM(K3169:K3172)</f>
        <v>1046.75</v>
      </c>
      <c r="L3173" s="1077">
        <f>806-K3173</f>
        <v>-240.75</v>
      </c>
      <c r="M3173" s="1077"/>
    </row>
    <row r="3174" spans="5:13">
      <c r="E3174" s="1077"/>
      <c r="F3174" s="1077"/>
      <c r="G3174" s="1077"/>
      <c r="H3174" s="1077"/>
      <c r="I3174" s="1077"/>
      <c r="J3174" s="1077"/>
      <c r="K3174" s="1077"/>
      <c r="L3174" s="1077"/>
      <c r="M3174" s="1077"/>
    </row>
    <row r="3175" spans="5:13">
      <c r="E3175" s="1077"/>
      <c r="F3175" s="1077"/>
      <c r="G3175" s="1077"/>
      <c r="H3175" s="1077"/>
      <c r="I3175" s="1077"/>
      <c r="J3175" s="1077"/>
      <c r="K3175" s="1077"/>
      <c r="L3175" s="1077"/>
      <c r="M3175" s="1077"/>
    </row>
    <row r="3176" spans="5:13" ht="20.100000000000001" customHeight="1">
      <c r="E3176" s="1077"/>
      <c r="F3176" s="1077"/>
      <c r="G3176" s="1077"/>
      <c r="H3176" s="1079" t="s">
        <v>2479</v>
      </c>
      <c r="I3176" s="1077"/>
      <c r="J3176" s="1077"/>
      <c r="K3176" s="1077"/>
      <c r="L3176" s="1077"/>
      <c r="M3176" s="1077"/>
    </row>
    <row r="3177" spans="5:13">
      <c r="E3177" s="1077"/>
      <c r="F3177" s="1077"/>
      <c r="G3177" s="1077"/>
      <c r="H3177" s="1077"/>
      <c r="I3177" s="1077"/>
      <c r="J3177" s="1077"/>
      <c r="K3177" s="1077"/>
      <c r="L3177" s="1077"/>
      <c r="M3177" s="1077"/>
    </row>
    <row r="3178" spans="5:13" ht="58.5" customHeight="1">
      <c r="E3178" s="1077"/>
      <c r="F3178" s="1077"/>
      <c r="G3178" s="1077"/>
      <c r="H3178" s="1076" t="s">
        <v>2480</v>
      </c>
      <c r="I3178" s="1077"/>
      <c r="J3178" s="1077"/>
      <c r="K3178" s="1077"/>
      <c r="L3178" s="1077"/>
      <c r="M3178" s="1077"/>
    </row>
    <row r="3179" spans="5:13">
      <c r="E3179" s="1077"/>
      <c r="F3179" s="1077"/>
      <c r="G3179" s="1077"/>
      <c r="H3179" s="1077"/>
      <c r="I3179" s="1077"/>
      <c r="J3179" s="1077"/>
      <c r="K3179" s="1077"/>
      <c r="L3179" s="1077"/>
      <c r="M3179" s="1077"/>
    </row>
    <row r="3180" spans="5:13" ht="40.5" customHeight="1">
      <c r="E3180" s="1077"/>
      <c r="F3180" s="1077">
        <v>1</v>
      </c>
      <c r="G3180" s="1077" t="s">
        <v>1034</v>
      </c>
      <c r="H3180" s="1076" t="s">
        <v>2481</v>
      </c>
      <c r="I3180" s="1084">
        <v>439</v>
      </c>
      <c r="J3180" s="1077" t="s">
        <v>1034</v>
      </c>
      <c r="K3180" s="1077">
        <f>F3180*I3180</f>
        <v>439</v>
      </c>
      <c r="L3180" s="1077"/>
      <c r="M3180" s="1077"/>
    </row>
    <row r="3181" spans="5:13" ht="20.100000000000001" customHeight="1">
      <c r="E3181" s="1077"/>
      <c r="F3181" s="1077">
        <v>1</v>
      </c>
      <c r="G3181" s="1077" t="s">
        <v>1034</v>
      </c>
      <c r="H3181" s="1077" t="s">
        <v>2482</v>
      </c>
      <c r="I3181" s="1077">
        <f>I3170</f>
        <v>81.349999999999994</v>
      </c>
      <c r="J3181" s="1077" t="s">
        <v>1034</v>
      </c>
      <c r="K3181" s="1077">
        <f>F3181*I3181</f>
        <v>81.349999999999994</v>
      </c>
      <c r="L3181" s="1077"/>
      <c r="M3181" s="1077"/>
    </row>
    <row r="3182" spans="5:13" ht="20.100000000000001" customHeight="1">
      <c r="E3182" s="1077"/>
      <c r="F3182" s="1077"/>
      <c r="G3182" s="1077"/>
      <c r="H3182" s="1077" t="s">
        <v>1557</v>
      </c>
      <c r="I3182" s="1077"/>
      <c r="J3182" s="1077"/>
      <c r="K3182" s="1077">
        <f>8.65+1.07+0.43</f>
        <v>10.15</v>
      </c>
      <c r="L3182" s="1077"/>
      <c r="M3182" s="1077"/>
    </row>
    <row r="3183" spans="5:13" ht="20.100000000000001" customHeight="1">
      <c r="E3183" s="1077"/>
      <c r="F3183" s="1077"/>
      <c r="G3183" s="1077"/>
      <c r="H3183" s="1077" t="s">
        <v>2483</v>
      </c>
      <c r="I3183" s="1077"/>
      <c r="J3183" s="1077"/>
      <c r="K3183" s="1077">
        <f>K3161</f>
        <v>501.25</v>
      </c>
      <c r="L3183" s="1077"/>
      <c r="M3183" s="1077"/>
    </row>
    <row r="3184" spans="5:13" ht="30" customHeight="1">
      <c r="E3184" s="1077"/>
      <c r="F3184" s="1077"/>
      <c r="G3184" s="1077"/>
      <c r="H3184" s="1082" t="s">
        <v>2400</v>
      </c>
      <c r="I3184" s="1077"/>
      <c r="J3184" s="1077"/>
      <c r="K3184" s="1079">
        <f>SUM(K3180:K3183)</f>
        <v>1031.75</v>
      </c>
      <c r="L3184" s="1077">
        <f>891-K3184</f>
        <v>-140.75</v>
      </c>
      <c r="M3184" s="1077"/>
    </row>
    <row r="3185" spans="5:13">
      <c r="E3185" s="1077"/>
      <c r="F3185" s="1077"/>
      <c r="G3185" s="1077"/>
      <c r="H3185" s="1077"/>
      <c r="I3185" s="1077"/>
      <c r="J3185" s="1077"/>
      <c r="K3185" s="1077"/>
      <c r="L3185" s="1077"/>
      <c r="M3185" s="1077"/>
    </row>
    <row r="3186" spans="5:13" ht="20.100000000000001" customHeight="1">
      <c r="E3186" s="1077"/>
      <c r="F3186" s="1077"/>
      <c r="G3186" s="1077"/>
      <c r="H3186" s="1079" t="s">
        <v>2474</v>
      </c>
      <c r="I3186" s="1077"/>
      <c r="J3186" s="1077"/>
      <c r="K3186" s="1077"/>
      <c r="L3186" s="1077"/>
      <c r="M3186" s="1077"/>
    </row>
    <row r="3187" spans="5:13">
      <c r="E3187" s="1077"/>
      <c r="F3187" s="1077"/>
      <c r="G3187" s="1077"/>
      <c r="H3187" s="1077"/>
      <c r="I3187" s="1077"/>
      <c r="J3187" s="1077"/>
      <c r="K3187" s="1077"/>
      <c r="L3187" s="1077"/>
      <c r="M3187" s="1077"/>
    </row>
    <row r="3188" spans="5:13" ht="52.5" customHeight="1">
      <c r="E3188" s="1077"/>
      <c r="F3188" s="1077"/>
      <c r="G3188" s="1077"/>
      <c r="H3188" s="1083" t="s">
        <v>2484</v>
      </c>
      <c r="I3188" s="1077"/>
      <c r="J3188" s="1077"/>
      <c r="K3188" s="1077"/>
      <c r="L3188" s="1077"/>
      <c r="M3188" s="1077"/>
    </row>
    <row r="3189" spans="5:13">
      <c r="E3189" s="1077"/>
      <c r="F3189" s="1077"/>
      <c r="G3189" s="1077"/>
      <c r="H3189" s="1077"/>
      <c r="I3189" s="1077"/>
      <c r="J3189" s="1077"/>
      <c r="K3189" s="1077"/>
      <c r="L3189" s="1077"/>
      <c r="M3189" s="1077"/>
    </row>
    <row r="3190" spans="5:13" ht="88.5" customHeight="1">
      <c r="E3190" s="1077"/>
      <c r="F3190" s="1077"/>
      <c r="G3190" s="1077"/>
      <c r="H3190" s="1076" t="s">
        <v>2485</v>
      </c>
      <c r="I3190" s="1077"/>
      <c r="J3190" s="1077"/>
      <c r="K3190" s="1077"/>
      <c r="L3190" s="1077"/>
      <c r="M3190" s="1077"/>
    </row>
    <row r="3191" spans="5:13" ht="38.25" customHeight="1">
      <c r="E3191" s="1077"/>
      <c r="F3191" s="1077">
        <v>1</v>
      </c>
      <c r="G3191" s="1077" t="s">
        <v>1034</v>
      </c>
      <c r="H3191" s="1076" t="s">
        <v>2486</v>
      </c>
      <c r="I3191" s="1096">
        <v>480</v>
      </c>
      <c r="J3191" s="1077" t="s">
        <v>1034</v>
      </c>
      <c r="K3191" s="1077">
        <f>F3191*I3191</f>
        <v>480</v>
      </c>
      <c r="L3191" s="1077"/>
      <c r="M3191" s="1077"/>
    </row>
    <row r="3192" spans="5:13" ht="40.5" customHeight="1">
      <c r="E3192" s="1077"/>
      <c r="F3192" s="1077">
        <v>1</v>
      </c>
      <c r="G3192" s="1077" t="s">
        <v>1034</v>
      </c>
      <c r="H3192" s="1076" t="s">
        <v>2487</v>
      </c>
      <c r="I3192" s="1077">
        <v>130</v>
      </c>
      <c r="J3192" s="1077" t="s">
        <v>1034</v>
      </c>
      <c r="K3192" s="1077">
        <f>F3192*I3192</f>
        <v>130</v>
      </c>
      <c r="L3192" s="1077"/>
      <c r="M3192" s="1077"/>
    </row>
    <row r="3193" spans="5:13" ht="38.25" customHeight="1">
      <c r="E3193" s="1077"/>
      <c r="F3193" s="1077"/>
      <c r="G3193" s="1077"/>
      <c r="H3193" s="1076" t="s">
        <v>2488</v>
      </c>
      <c r="I3193" s="1077"/>
      <c r="J3193" s="1077"/>
      <c r="K3193" s="1077">
        <v>12.67</v>
      </c>
      <c r="L3193" s="1077"/>
      <c r="M3193" s="1077"/>
    </row>
    <row r="3194" spans="5:13" ht="23.25" customHeight="1">
      <c r="E3194" s="1077"/>
      <c r="F3194" s="1077"/>
      <c r="G3194" s="1077"/>
      <c r="H3194" s="1077" t="s">
        <v>478</v>
      </c>
      <c r="I3194" s="1077"/>
      <c r="J3194" s="1077"/>
      <c r="K3194" s="1077">
        <f>K3201</f>
        <v>668.33</v>
      </c>
      <c r="L3194" s="1077"/>
      <c r="M3194" s="1077"/>
    </row>
    <row r="3195" spans="5:13" ht="30" customHeight="1">
      <c r="E3195" s="1077"/>
      <c r="F3195" s="1077"/>
      <c r="G3195" s="1077"/>
      <c r="H3195" s="1082" t="s">
        <v>2400</v>
      </c>
      <c r="I3195" s="1077"/>
      <c r="J3195" s="1077"/>
      <c r="K3195" s="1079">
        <f>SUM(K3191:K3194)</f>
        <v>1291</v>
      </c>
      <c r="L3195" s="1077">
        <f>968-K3195</f>
        <v>-323</v>
      </c>
      <c r="M3195" s="1077"/>
    </row>
    <row r="3196" spans="5:13">
      <c r="E3196" s="1077"/>
      <c r="F3196" s="1077"/>
      <c r="G3196" s="1077"/>
      <c r="H3196" s="1077"/>
      <c r="I3196" s="1077"/>
      <c r="J3196" s="1077"/>
      <c r="K3196" s="1077"/>
      <c r="L3196" s="1077"/>
      <c r="M3196" s="1077"/>
    </row>
    <row r="3197" spans="5:13" ht="20.100000000000001" customHeight="1">
      <c r="E3197" s="1077"/>
      <c r="F3197" s="1077"/>
      <c r="G3197" s="1077"/>
      <c r="H3197" s="1088" t="s">
        <v>478</v>
      </c>
      <c r="I3197" s="1077"/>
      <c r="J3197" s="1077"/>
      <c r="K3197" s="1077"/>
      <c r="L3197" s="1077"/>
      <c r="M3197" s="1077"/>
    </row>
    <row r="3198" spans="5:13">
      <c r="E3198" s="1077"/>
      <c r="F3198" s="1077">
        <v>1</v>
      </c>
      <c r="G3198" s="1077" t="s">
        <v>1034</v>
      </c>
      <c r="H3198" s="1077" t="s">
        <v>2489</v>
      </c>
      <c r="I3198" s="1077">
        <f>I3158</f>
        <v>783</v>
      </c>
      <c r="J3198" s="1077" t="s">
        <v>1034</v>
      </c>
      <c r="K3198" s="1077">
        <f>F3198*I3198</f>
        <v>783</v>
      </c>
      <c r="L3198" s="1077"/>
      <c r="M3198" s="1077"/>
    </row>
    <row r="3199" spans="5:13">
      <c r="E3199" s="1077"/>
      <c r="F3199" s="1077">
        <v>2</v>
      </c>
      <c r="G3199" s="1077" t="s">
        <v>1034</v>
      </c>
      <c r="H3199" s="1077" t="s">
        <v>2236</v>
      </c>
      <c r="I3199" s="1077">
        <f>I3159</f>
        <v>611</v>
      </c>
      <c r="J3199" s="1077" t="s">
        <v>1034</v>
      </c>
      <c r="K3199" s="1077">
        <f>F3199*I3199</f>
        <v>1222</v>
      </c>
      <c r="L3199" s="1077"/>
      <c r="M3199" s="1077"/>
    </row>
    <row r="3200" spans="5:13" ht="20.100000000000001" customHeight="1">
      <c r="E3200" s="1077"/>
      <c r="F3200" s="1077"/>
      <c r="G3200" s="1077"/>
      <c r="H3200" s="1081" t="s">
        <v>2238</v>
      </c>
      <c r="I3200" s="1077"/>
      <c r="J3200" s="1077"/>
      <c r="K3200" s="1077">
        <f>SUM(K3198:K3199)</f>
        <v>2005</v>
      </c>
      <c r="L3200" s="1077"/>
      <c r="M3200" s="1077"/>
    </row>
    <row r="3201" spans="5:13" ht="20.100000000000001" customHeight="1">
      <c r="E3201" s="1077"/>
      <c r="F3201" s="1077"/>
      <c r="G3201" s="1077"/>
      <c r="H3201" s="1082" t="s">
        <v>2058</v>
      </c>
      <c r="I3201" s="1077"/>
      <c r="J3201" s="1077"/>
      <c r="K3201" s="1079">
        <f>K3200/3</f>
        <v>668.33</v>
      </c>
      <c r="L3201" s="1077"/>
      <c r="M3201" s="1077"/>
    </row>
    <row r="3202" spans="5:13">
      <c r="E3202" s="1077"/>
      <c r="F3202" s="1077"/>
      <c r="G3202" s="1077"/>
      <c r="H3202" s="1077"/>
      <c r="I3202" s="1077"/>
      <c r="J3202" s="1077"/>
      <c r="K3202" s="1077"/>
      <c r="L3202" s="1077"/>
      <c r="M3202" s="1077"/>
    </row>
    <row r="3203" spans="5:13" ht="30" customHeight="1">
      <c r="E3203" s="1077"/>
      <c r="F3203" s="1077"/>
      <c r="G3203" s="1077"/>
      <c r="H3203" s="1079" t="s">
        <v>2490</v>
      </c>
      <c r="I3203" s="1077"/>
      <c r="J3203" s="1077"/>
      <c r="K3203" s="1077"/>
      <c r="L3203" s="1077"/>
      <c r="M3203" s="1077"/>
    </row>
    <row r="3204" spans="5:13">
      <c r="E3204" s="1077"/>
      <c r="F3204" s="1077"/>
      <c r="G3204" s="1077"/>
      <c r="H3204" s="1077"/>
      <c r="I3204" s="1077"/>
      <c r="J3204" s="1077"/>
      <c r="K3204" s="1077"/>
      <c r="L3204" s="1077"/>
      <c r="M3204" s="1077"/>
    </row>
    <row r="3205" spans="5:13" ht="91.5" customHeight="1">
      <c r="E3205" s="1077"/>
      <c r="F3205" s="1077"/>
      <c r="G3205" s="1077"/>
      <c r="H3205" s="1083" t="s">
        <v>2491</v>
      </c>
      <c r="I3205" s="1077"/>
      <c r="J3205" s="1077"/>
      <c r="K3205" s="1077"/>
      <c r="L3205" s="1077"/>
      <c r="M3205" s="1077"/>
    </row>
    <row r="3206" spans="5:13" ht="30" customHeight="1">
      <c r="E3206" s="1077"/>
      <c r="F3206" s="1077">
        <v>1</v>
      </c>
      <c r="G3206" s="1077" t="s">
        <v>1034</v>
      </c>
      <c r="H3206" s="1077" t="s">
        <v>2492</v>
      </c>
      <c r="I3206" s="1096">
        <v>800</v>
      </c>
      <c r="J3206" s="1077" t="s">
        <v>1034</v>
      </c>
      <c r="K3206" s="1077">
        <f>F3206*I3206</f>
        <v>800</v>
      </c>
      <c r="L3206" s="1077"/>
      <c r="M3206" s="1077"/>
    </row>
    <row r="3207" spans="5:13" ht="43.5" customHeight="1">
      <c r="E3207" s="1077"/>
      <c r="F3207" s="1077">
        <v>1</v>
      </c>
      <c r="G3207" s="1077" t="s">
        <v>1034</v>
      </c>
      <c r="H3207" s="1076" t="s">
        <v>2487</v>
      </c>
      <c r="I3207" s="1077">
        <f>I3192</f>
        <v>130</v>
      </c>
      <c r="J3207" s="1077" t="s">
        <v>1034</v>
      </c>
      <c r="K3207" s="1077">
        <f>F3207*I3207</f>
        <v>130</v>
      </c>
      <c r="L3207" s="1077"/>
      <c r="M3207" s="1077"/>
    </row>
    <row r="3208" spans="5:13" ht="41.25" customHeight="1">
      <c r="E3208" s="1077"/>
      <c r="F3208" s="1077"/>
      <c r="G3208" s="1077"/>
      <c r="H3208" s="1076" t="s">
        <v>2488</v>
      </c>
      <c r="I3208" s="1077"/>
      <c r="J3208" s="1077"/>
      <c r="K3208" s="1077">
        <v>10.67</v>
      </c>
      <c r="L3208" s="1077"/>
      <c r="M3208" s="1077"/>
    </row>
    <row r="3209" spans="5:13" ht="30" customHeight="1">
      <c r="E3209" s="1077"/>
      <c r="F3209" s="1077"/>
      <c r="G3209" s="1077"/>
      <c r="H3209" s="1077" t="s">
        <v>478</v>
      </c>
      <c r="I3209" s="1077"/>
      <c r="J3209" s="1077"/>
      <c r="K3209" s="1077">
        <f>K3201</f>
        <v>668.33</v>
      </c>
      <c r="L3209" s="1077"/>
      <c r="M3209" s="1077"/>
    </row>
    <row r="3210" spans="5:13" ht="30" customHeight="1">
      <c r="E3210" s="1077"/>
      <c r="F3210" s="1077"/>
      <c r="G3210" s="1077"/>
      <c r="H3210" s="1082" t="s">
        <v>2400</v>
      </c>
      <c r="I3210" s="1077"/>
      <c r="J3210" s="1077"/>
      <c r="K3210" s="1079">
        <f>SUM(K3206:K3209)</f>
        <v>1609</v>
      </c>
      <c r="L3210" s="1077">
        <f>1287-K3210</f>
        <v>-322</v>
      </c>
      <c r="M3210" s="1077"/>
    </row>
    <row r="3211" spans="5:13">
      <c r="E3211" s="1077"/>
      <c r="F3211" s="1077"/>
      <c r="G3211" s="1077"/>
      <c r="H3211" s="1077"/>
      <c r="I3211" s="1077"/>
      <c r="J3211" s="1077"/>
      <c r="K3211" s="1077"/>
      <c r="L3211" s="1077"/>
      <c r="M3211" s="1077"/>
    </row>
    <row r="3212" spans="5:13" ht="30" customHeight="1">
      <c r="E3212" s="1077"/>
      <c r="F3212" s="1077"/>
      <c r="G3212" s="1077"/>
      <c r="H3212" s="1079" t="s">
        <v>2493</v>
      </c>
      <c r="I3212" s="1077"/>
      <c r="J3212" s="1077"/>
      <c r="K3212" s="1077"/>
      <c r="L3212" s="1077"/>
      <c r="M3212" s="1077"/>
    </row>
    <row r="3213" spans="5:13">
      <c r="E3213" s="1077"/>
      <c r="F3213" s="1077"/>
      <c r="G3213" s="1077"/>
      <c r="H3213" s="1077"/>
      <c r="I3213" s="1077"/>
      <c r="J3213" s="1077"/>
      <c r="K3213" s="1077"/>
      <c r="L3213" s="1077"/>
      <c r="M3213" s="1077"/>
    </row>
    <row r="3214" spans="5:13" ht="74.25" customHeight="1">
      <c r="E3214" s="1077"/>
      <c r="F3214" s="1077"/>
      <c r="G3214" s="1077"/>
      <c r="H3214" s="1083" t="s">
        <v>2494</v>
      </c>
      <c r="I3214" s="1077"/>
      <c r="J3214" s="1077"/>
      <c r="K3214" s="1077"/>
      <c r="L3214" s="1077"/>
      <c r="M3214" s="1077"/>
    </row>
    <row r="3215" spans="5:13" ht="95.25" customHeight="1">
      <c r="E3215" s="1077"/>
      <c r="F3215" s="1077"/>
      <c r="G3215" s="1077"/>
      <c r="H3215" s="1076" t="s">
        <v>2495</v>
      </c>
      <c r="I3215" s="1077"/>
      <c r="J3215" s="1077"/>
      <c r="K3215" s="1077"/>
      <c r="L3215" s="1077"/>
      <c r="M3215" s="1077"/>
    </row>
    <row r="3216" spans="5:13">
      <c r="E3216" s="1077"/>
      <c r="F3216" s="1077"/>
      <c r="G3216" s="1077"/>
      <c r="H3216" s="1077"/>
      <c r="I3216" s="1077"/>
      <c r="J3216" s="1077"/>
      <c r="K3216" s="1077"/>
      <c r="L3216" s="1077"/>
      <c r="M3216" s="1077"/>
    </row>
    <row r="3217" spans="5:14" ht="45" customHeight="1">
      <c r="E3217" s="1077"/>
      <c r="F3217" s="1077">
        <v>1</v>
      </c>
      <c r="G3217" s="1077" t="s">
        <v>1034</v>
      </c>
      <c r="H3217" s="1076" t="s">
        <v>2496</v>
      </c>
      <c r="I3217" s="1084">
        <v>2190</v>
      </c>
      <c r="J3217" s="1077" t="s">
        <v>1034</v>
      </c>
      <c r="K3217" s="1077">
        <f>F3217*I3217</f>
        <v>2190</v>
      </c>
      <c r="L3217" s="1077"/>
      <c r="M3217" s="1077"/>
    </row>
    <row r="3218" spans="5:14" ht="30" customHeight="1">
      <c r="E3218" s="1077"/>
      <c r="F3218" s="1077">
        <v>1</v>
      </c>
      <c r="G3218" s="1077" t="s">
        <v>1034</v>
      </c>
      <c r="H3218" s="1077" t="s">
        <v>2497</v>
      </c>
      <c r="I3218" s="1084">
        <f>K3222</f>
        <v>433.59</v>
      </c>
      <c r="J3218" s="1077" t="s">
        <v>1034</v>
      </c>
      <c r="K3218" s="1077">
        <f>F3218*I3218</f>
        <v>433.59</v>
      </c>
      <c r="L3218" s="1077"/>
      <c r="M3218" s="1077"/>
    </row>
    <row r="3219" spans="5:14" ht="44.25" customHeight="1">
      <c r="E3219" s="1077"/>
      <c r="F3219" s="1077"/>
      <c r="G3219" s="1077"/>
      <c r="H3219" s="1076" t="s">
        <v>2498</v>
      </c>
      <c r="I3219" s="1077"/>
      <c r="J3219" s="1077"/>
      <c r="K3219" s="1077">
        <f>26.9+0.18</f>
        <v>27.08</v>
      </c>
      <c r="L3219" s="1077"/>
      <c r="M3219" s="1077"/>
    </row>
    <row r="3220" spans="5:14" ht="30" customHeight="1">
      <c r="E3220" s="1077"/>
      <c r="F3220" s="1077"/>
      <c r="G3220" s="1077"/>
      <c r="H3220" s="1077" t="s">
        <v>478</v>
      </c>
      <c r="I3220" s="1077"/>
      <c r="J3220" s="1077"/>
      <c r="K3220" s="1077">
        <f>K3201</f>
        <v>668.33</v>
      </c>
      <c r="L3220" s="1077"/>
      <c r="M3220" s="1077"/>
    </row>
    <row r="3221" spans="5:14" ht="30" customHeight="1">
      <c r="E3221" s="1077"/>
      <c r="F3221" s="1077"/>
      <c r="G3221" s="1077"/>
      <c r="H3221" s="1082" t="s">
        <v>2400</v>
      </c>
      <c r="I3221" s="1077"/>
      <c r="J3221" s="1077"/>
      <c r="K3221" s="1079">
        <f>SUM(K3217:K3220)</f>
        <v>3319</v>
      </c>
      <c r="L3221" s="1077">
        <f>K3221-3050</f>
        <v>269</v>
      </c>
      <c r="M3221" s="1077"/>
    </row>
    <row r="3222" spans="5:14" ht="30" customHeight="1">
      <c r="E3222" s="1077"/>
      <c r="F3222" s="1077"/>
      <c r="G3222" s="1077"/>
      <c r="H3222" s="1077" t="s">
        <v>2499</v>
      </c>
      <c r="I3222" s="1084">
        <f>N3222</f>
        <v>107060</v>
      </c>
      <c r="J3222" s="1108">
        <f>0.75*0.45*0.012</f>
        <v>4.0499999999999998E-3</v>
      </c>
      <c r="K3222" s="1077">
        <f>J3222*I3222</f>
        <v>433.59</v>
      </c>
      <c r="L3222" s="1077"/>
      <c r="M3222" s="1077">
        <f>6180+82300</f>
        <v>88480</v>
      </c>
      <c r="N3222" s="930">
        <f>7460+99600</f>
        <v>107060</v>
      </c>
    </row>
    <row r="3223" spans="5:14" ht="30" customHeight="1">
      <c r="E3223" s="1077"/>
      <c r="F3223" s="1077"/>
      <c r="G3223" s="1077"/>
      <c r="H3223" s="1079" t="s">
        <v>2500</v>
      </c>
      <c r="I3223" s="1077"/>
      <c r="J3223" s="1077"/>
      <c r="K3223" s="1077"/>
      <c r="L3223" s="1077"/>
      <c r="M3223" s="1077"/>
    </row>
    <row r="3224" spans="5:14">
      <c r="E3224" s="1077"/>
      <c r="F3224" s="1077"/>
      <c r="G3224" s="1077"/>
      <c r="H3224" s="1077"/>
      <c r="I3224" s="1077"/>
      <c r="J3224" s="1077"/>
      <c r="K3224" s="1077"/>
      <c r="L3224" s="1077"/>
      <c r="M3224" s="1077"/>
    </row>
    <row r="3225" spans="5:14" ht="92.25" customHeight="1">
      <c r="E3225" s="1077"/>
      <c r="F3225" s="1077"/>
      <c r="G3225" s="1077"/>
      <c r="H3225" s="1083" t="s">
        <v>2501</v>
      </c>
      <c r="I3225" s="1077"/>
      <c r="J3225" s="1077"/>
      <c r="K3225" s="1077"/>
      <c r="L3225" s="1077"/>
      <c r="M3225" s="1077"/>
    </row>
    <row r="3226" spans="5:14">
      <c r="E3226" s="1077"/>
      <c r="F3226" s="1077"/>
      <c r="G3226" s="1077"/>
      <c r="H3226" s="1077"/>
      <c r="I3226" s="1077"/>
      <c r="J3226" s="1077"/>
      <c r="K3226" s="1077"/>
      <c r="L3226" s="1077"/>
      <c r="M3226" s="1077"/>
    </row>
    <row r="3227" spans="5:14" ht="30" customHeight="1">
      <c r="E3227" s="1077"/>
      <c r="F3227" s="1077"/>
      <c r="G3227" s="1077"/>
      <c r="H3227" s="1077" t="s">
        <v>2502</v>
      </c>
      <c r="I3227" s="1077"/>
      <c r="J3227" s="1077"/>
      <c r="K3227" s="1077"/>
      <c r="L3227" s="1077"/>
      <c r="M3227" s="1077"/>
    </row>
    <row r="3228" spans="5:14">
      <c r="E3228" s="1077"/>
      <c r="F3228" s="1077"/>
      <c r="G3228" s="1077"/>
      <c r="H3228" s="1077"/>
      <c r="I3228" s="1077"/>
      <c r="J3228" s="1077"/>
      <c r="K3228" s="1077"/>
      <c r="L3228" s="1077"/>
      <c r="M3228" s="1077"/>
    </row>
    <row r="3229" spans="5:14" ht="30" customHeight="1">
      <c r="E3229" s="1077"/>
      <c r="F3229" s="1077"/>
      <c r="G3229" s="1077"/>
      <c r="H3229" s="1077" t="s">
        <v>2503</v>
      </c>
      <c r="I3229" s="1077"/>
      <c r="J3229" s="1077"/>
      <c r="K3229" s="1077">
        <f>K3221</f>
        <v>3319</v>
      </c>
      <c r="L3229" s="1077"/>
      <c r="M3229" s="1077"/>
    </row>
    <row r="3230" spans="5:14" ht="30" customHeight="1">
      <c r="E3230" s="1077"/>
      <c r="F3230" s="1077">
        <v>1</v>
      </c>
      <c r="G3230" s="1077" t="s">
        <v>1034</v>
      </c>
      <c r="H3230" s="1077" t="s">
        <v>2504</v>
      </c>
      <c r="I3230" s="1084">
        <v>2925</v>
      </c>
      <c r="J3230" s="1077" t="s">
        <v>1034</v>
      </c>
      <c r="K3230" s="1077">
        <f>F3230*I3230</f>
        <v>2925</v>
      </c>
      <c r="L3230" s="1077"/>
      <c r="M3230" s="1077"/>
    </row>
    <row r="3231" spans="5:14" ht="30" customHeight="1">
      <c r="E3231" s="1077"/>
      <c r="F3231" s="1077">
        <v>1</v>
      </c>
      <c r="G3231" s="1077" t="s">
        <v>1034</v>
      </c>
      <c r="H3231" s="1077" t="s">
        <v>2505</v>
      </c>
      <c r="I3231" s="1086">
        <f>I3217</f>
        <v>2190</v>
      </c>
      <c r="J3231" s="1077" t="s">
        <v>1034</v>
      </c>
      <c r="K3231" s="1077">
        <f>F3231*I3231</f>
        <v>2190</v>
      </c>
      <c r="L3231" s="1077"/>
      <c r="M3231" s="1077"/>
    </row>
    <row r="3232" spans="5:14" ht="30" customHeight="1">
      <c r="E3232" s="1077"/>
      <c r="F3232" s="1077"/>
      <c r="G3232" s="1077"/>
      <c r="H3232" s="1077" t="s">
        <v>1557</v>
      </c>
      <c r="I3232" s="1077"/>
      <c r="J3232" s="1077"/>
      <c r="K3232" s="1077">
        <f>1.31+0.69</f>
        <v>2</v>
      </c>
      <c r="L3232" s="1077"/>
      <c r="M3232" s="1077"/>
    </row>
    <row r="3233" spans="5:13" ht="30" customHeight="1">
      <c r="E3233" s="1077"/>
      <c r="F3233" s="1077"/>
      <c r="G3233" s="1077"/>
      <c r="H3233" s="1082" t="s">
        <v>2400</v>
      </c>
      <c r="I3233" s="1077"/>
      <c r="J3233" s="1077"/>
      <c r="K3233" s="1079">
        <f>K3229+K3230-K3231+K3232</f>
        <v>4056</v>
      </c>
      <c r="L3233" s="1077"/>
      <c r="M3233" s="1077"/>
    </row>
    <row r="3234" spans="5:13" ht="39.75" customHeight="1">
      <c r="E3234" s="1077"/>
      <c r="F3234" s="1077"/>
      <c r="G3234" s="1077"/>
      <c r="H3234" s="1077"/>
      <c r="I3234" s="1077"/>
      <c r="J3234" s="1077"/>
      <c r="K3234" s="1077"/>
      <c r="L3234" s="1077"/>
      <c r="M3234" s="1077"/>
    </row>
    <row r="3235" spans="5:13" ht="24.95" customHeight="1">
      <c r="E3235" s="1077"/>
      <c r="F3235" s="1077"/>
      <c r="G3235" s="1077"/>
      <c r="H3235" s="1079" t="s">
        <v>2490</v>
      </c>
      <c r="I3235" s="1077"/>
      <c r="J3235" s="1077"/>
      <c r="K3235" s="1077"/>
      <c r="L3235" s="1077"/>
      <c r="M3235" s="1077"/>
    </row>
    <row r="3236" spans="5:13">
      <c r="E3236" s="1077"/>
      <c r="F3236" s="1077"/>
      <c r="G3236" s="1077"/>
      <c r="H3236" s="1077"/>
      <c r="I3236" s="1077"/>
      <c r="J3236" s="1077"/>
      <c r="K3236" s="1077"/>
      <c r="L3236" s="1077"/>
      <c r="M3236" s="1077"/>
    </row>
    <row r="3237" spans="5:13" ht="39" customHeight="1">
      <c r="E3237" s="1077"/>
      <c r="F3237" s="1077"/>
      <c r="G3237" s="1077"/>
      <c r="H3237" s="1083" t="s">
        <v>2506</v>
      </c>
      <c r="I3237" s="1077"/>
      <c r="J3237" s="1077"/>
      <c r="K3237" s="1077"/>
      <c r="L3237" s="1077"/>
      <c r="M3237" s="1077"/>
    </row>
    <row r="3238" spans="5:13">
      <c r="E3238" s="1077"/>
      <c r="F3238" s="1077"/>
      <c r="G3238" s="1077"/>
      <c r="H3238" s="1077"/>
      <c r="I3238" s="1077"/>
      <c r="J3238" s="1077"/>
      <c r="K3238" s="1077"/>
      <c r="L3238" s="1077"/>
      <c r="M3238" s="1077"/>
    </row>
    <row r="3239" spans="5:13" ht="95.25" customHeight="1">
      <c r="E3239" s="1077"/>
      <c r="F3239" s="1077"/>
      <c r="G3239" s="1077"/>
      <c r="H3239" s="1076" t="s">
        <v>2507</v>
      </c>
      <c r="I3239" s="1077"/>
      <c r="J3239" s="1077"/>
      <c r="K3239" s="1077"/>
      <c r="L3239" s="1077"/>
      <c r="M3239" s="1077"/>
    </row>
    <row r="3240" spans="5:13" ht="24.95" customHeight="1">
      <c r="E3240" s="1077"/>
      <c r="F3240" s="1077">
        <v>2</v>
      </c>
      <c r="G3240" s="1077" t="s">
        <v>1034</v>
      </c>
      <c r="H3240" s="1077" t="s">
        <v>2508</v>
      </c>
      <c r="I3240" s="1084">
        <v>527</v>
      </c>
      <c r="J3240" s="1077" t="s">
        <v>2288</v>
      </c>
      <c r="K3240" s="1077">
        <f>F3240*(I3240/100)</f>
        <v>10.54</v>
      </c>
      <c r="L3240" s="1077"/>
      <c r="M3240" s="1077"/>
    </row>
    <row r="3241" spans="5:13" ht="24.95" customHeight="1">
      <c r="E3241" s="1077"/>
      <c r="F3241" s="1077">
        <v>2</v>
      </c>
      <c r="G3241" s="1077" t="s">
        <v>13</v>
      </c>
      <c r="H3241" s="1077" t="s">
        <v>2509</v>
      </c>
      <c r="I3241" s="1109">
        <v>914.1</v>
      </c>
      <c r="J3241" s="1077" t="s">
        <v>2510</v>
      </c>
      <c r="K3241" s="1077">
        <f>F3241*(I3241/100)</f>
        <v>18.28</v>
      </c>
      <c r="L3241" s="1077"/>
      <c r="M3241" s="1077"/>
    </row>
    <row r="3242" spans="5:13" ht="24.95" customHeight="1">
      <c r="E3242" s="1077"/>
      <c r="F3242" s="1077"/>
      <c r="G3242" s="1077"/>
      <c r="H3242" s="1077" t="s">
        <v>2511</v>
      </c>
      <c r="I3242" s="1077"/>
      <c r="J3242" s="1077"/>
      <c r="K3242" s="1077">
        <v>7.93</v>
      </c>
      <c r="L3242" s="1077"/>
      <c r="M3242" s="1077"/>
    </row>
    <row r="3243" spans="5:13" ht="24.95" customHeight="1">
      <c r="E3243" s="1077"/>
      <c r="F3243" s="1077"/>
      <c r="G3243" s="1077"/>
      <c r="H3243" s="1077" t="s">
        <v>2512</v>
      </c>
      <c r="I3243" s="1077"/>
      <c r="J3243" s="1077"/>
      <c r="K3243" s="1077">
        <f>K3251</f>
        <v>260.75</v>
      </c>
      <c r="L3243" s="1077"/>
      <c r="M3243" s="1077"/>
    </row>
    <row r="3244" spans="5:13" ht="24.95" customHeight="1">
      <c r="E3244" s="1077"/>
      <c r="F3244" s="1077"/>
      <c r="G3244" s="1077"/>
      <c r="H3244" s="1082" t="s">
        <v>2400</v>
      </c>
      <c r="I3244" s="1077"/>
      <c r="J3244" s="1077"/>
      <c r="K3244" s="1079">
        <f>SUM(K3240:K3243)</f>
        <v>297.5</v>
      </c>
      <c r="L3244" s="1077"/>
      <c r="M3244" s="1077"/>
    </row>
    <row r="3245" spans="5:13">
      <c r="E3245" s="1077"/>
      <c r="F3245" s="1077"/>
      <c r="G3245" s="1077"/>
      <c r="H3245" s="1077"/>
      <c r="I3245" s="1077"/>
      <c r="J3245" s="1077"/>
      <c r="K3245" s="1077"/>
      <c r="L3245" s="1077"/>
      <c r="M3245" s="1077"/>
    </row>
    <row r="3246" spans="5:13">
      <c r="E3246" s="1077"/>
      <c r="F3246" s="1077"/>
      <c r="H3246" s="1088" t="s">
        <v>2513</v>
      </c>
      <c r="I3246" s="1077"/>
      <c r="J3246" s="1077"/>
      <c r="K3246" s="1077"/>
      <c r="L3246" s="1077"/>
      <c r="M3246" s="1077"/>
    </row>
    <row r="3247" spans="5:13">
      <c r="E3247" s="1077"/>
      <c r="F3247" s="1077">
        <v>1</v>
      </c>
      <c r="G3247" s="1077" t="s">
        <v>1034</v>
      </c>
      <c r="H3247" s="1077" t="s">
        <v>2472</v>
      </c>
      <c r="I3247" s="1077">
        <f>I2867</f>
        <v>783</v>
      </c>
      <c r="J3247" s="1077" t="s">
        <v>1034</v>
      </c>
      <c r="K3247" s="1077">
        <f>F3247*I3247</f>
        <v>783</v>
      </c>
      <c r="L3247" s="1077"/>
      <c r="M3247" s="1077"/>
    </row>
    <row r="3248" spans="5:13">
      <c r="E3248" s="1077"/>
      <c r="F3248" s="1077">
        <v>2</v>
      </c>
      <c r="G3248" s="1077" t="s">
        <v>1034</v>
      </c>
      <c r="H3248" s="1077" t="s">
        <v>2463</v>
      </c>
      <c r="I3248" s="1077">
        <f>I2868</f>
        <v>778</v>
      </c>
      <c r="J3248" s="1077" t="s">
        <v>1034</v>
      </c>
      <c r="K3248" s="1077">
        <f>F3248*I3248</f>
        <v>1556</v>
      </c>
      <c r="L3248" s="1077"/>
      <c r="M3248" s="1077"/>
    </row>
    <row r="3249" spans="5:13">
      <c r="E3249" s="1077"/>
      <c r="F3249" s="1077">
        <v>3</v>
      </c>
      <c r="G3249" s="1077" t="s">
        <v>1034</v>
      </c>
      <c r="H3249" s="1077" t="s">
        <v>2236</v>
      </c>
      <c r="I3249" s="1077">
        <f>I2869</f>
        <v>611</v>
      </c>
      <c r="J3249" s="1077" t="s">
        <v>1034</v>
      </c>
      <c r="K3249" s="1077">
        <f>F3249*I3249</f>
        <v>1833</v>
      </c>
      <c r="L3249" s="1077"/>
      <c r="M3249" s="1077"/>
    </row>
    <row r="3250" spans="5:13">
      <c r="E3250" s="1077"/>
      <c r="F3250" s="1077"/>
      <c r="G3250" s="1077"/>
      <c r="H3250" s="1081" t="s">
        <v>2514</v>
      </c>
      <c r="I3250" s="1077"/>
      <c r="J3250" s="1077"/>
      <c r="K3250" s="1088">
        <f>SUM(K3247:K3249)</f>
        <v>4172</v>
      </c>
      <c r="L3250" s="1077"/>
      <c r="M3250" s="1077"/>
    </row>
    <row r="3251" spans="5:13">
      <c r="E3251" s="1077"/>
      <c r="F3251" s="1077"/>
      <c r="G3251" s="1077"/>
      <c r="H3251" s="1082" t="s">
        <v>2058</v>
      </c>
      <c r="I3251" s="1077"/>
      <c r="J3251" s="1077"/>
      <c r="K3251" s="1079">
        <f>K3250/16</f>
        <v>260.75</v>
      </c>
      <c r="L3251" s="1077"/>
      <c r="M3251" s="1077"/>
    </row>
    <row r="3252" spans="5:13">
      <c r="E3252" s="1077"/>
      <c r="F3252" s="1077"/>
      <c r="G3252" s="1077"/>
      <c r="H3252" s="1077"/>
      <c r="I3252" s="1077"/>
      <c r="J3252" s="1077"/>
      <c r="K3252" s="1077"/>
      <c r="L3252" s="1077"/>
      <c r="M3252" s="1077"/>
    </row>
    <row r="3253" spans="5:13">
      <c r="E3253" s="1077"/>
      <c r="F3253" s="1077"/>
      <c r="G3253" s="1077"/>
      <c r="H3253" s="1079" t="s">
        <v>2515</v>
      </c>
      <c r="I3253" s="1077"/>
      <c r="J3253" s="1077"/>
      <c r="K3253" s="1077"/>
      <c r="L3253" s="1077"/>
      <c r="M3253" s="1077"/>
    </row>
    <row r="3254" spans="5:13" ht="36" customHeight="1">
      <c r="E3254" s="1077"/>
      <c r="F3254" s="1077"/>
      <c r="G3254" s="1077"/>
      <c r="H3254" s="1083" t="s">
        <v>2516</v>
      </c>
      <c r="I3254" s="1077"/>
      <c r="J3254" s="1077"/>
      <c r="K3254" s="1077"/>
      <c r="L3254" s="1077"/>
      <c r="M3254" s="1077"/>
    </row>
    <row r="3255" spans="5:13">
      <c r="E3255" s="1077"/>
      <c r="F3255" s="1077"/>
      <c r="G3255" s="1077"/>
      <c r="H3255" s="1077"/>
      <c r="I3255" s="1077"/>
      <c r="J3255" s="1077"/>
      <c r="K3255" s="1077"/>
      <c r="L3255" s="1077"/>
      <c r="M3255" s="1077"/>
    </row>
    <row r="3256" spans="5:13" ht="112.5" customHeight="1">
      <c r="E3256" s="1077"/>
      <c r="F3256" s="1077"/>
      <c r="G3256" s="1077"/>
      <c r="H3256" s="1076" t="s">
        <v>2517</v>
      </c>
      <c r="I3256" s="1077"/>
      <c r="J3256" s="1077"/>
      <c r="K3256" s="1077"/>
      <c r="L3256" s="1077"/>
      <c r="M3256" s="1077"/>
    </row>
    <row r="3257" spans="5:13">
      <c r="E3257" s="1077"/>
      <c r="F3257" s="1077">
        <v>1.5</v>
      </c>
      <c r="G3257" s="1077" t="s">
        <v>13</v>
      </c>
      <c r="H3257" s="1077" t="s">
        <v>2518</v>
      </c>
      <c r="I3257" s="1084">
        <v>27.2</v>
      </c>
      <c r="J3257" s="1077" t="s">
        <v>13</v>
      </c>
      <c r="K3257" s="1077">
        <f>F3257*I3257</f>
        <v>40.799999999999997</v>
      </c>
      <c r="L3257" s="1077"/>
      <c r="M3257" s="1077"/>
    </row>
    <row r="3258" spans="5:13">
      <c r="E3258" s="1077"/>
      <c r="F3258" s="1077">
        <v>2</v>
      </c>
      <c r="G3258" s="1077" t="s">
        <v>1034</v>
      </c>
      <c r="H3258" s="1077" t="s">
        <v>2519</v>
      </c>
      <c r="I3258" s="1077">
        <f>I3240</f>
        <v>527</v>
      </c>
      <c r="J3258" s="1077" t="s">
        <v>2288</v>
      </c>
      <c r="K3258" s="1077">
        <f>F3258*(I3258/100)</f>
        <v>10.54</v>
      </c>
      <c r="L3258" s="1077"/>
      <c r="M3258" s="1077"/>
    </row>
    <row r="3259" spans="5:13">
      <c r="E3259" s="1077"/>
      <c r="F3259" s="1077">
        <v>2</v>
      </c>
      <c r="G3259" s="1077" t="s">
        <v>13</v>
      </c>
      <c r="H3259" s="1077" t="s">
        <v>2509</v>
      </c>
      <c r="I3259" s="1077">
        <f>I3241</f>
        <v>914.1</v>
      </c>
      <c r="J3259" s="1077" t="s">
        <v>13</v>
      </c>
      <c r="K3259" s="1077">
        <f>F3259*(I3259/100)</f>
        <v>18.28</v>
      </c>
      <c r="L3259" s="1077"/>
      <c r="M3259" s="1077"/>
    </row>
    <row r="3260" spans="5:13" ht="31.5" customHeight="1">
      <c r="E3260" s="1077"/>
      <c r="F3260" s="1077"/>
      <c r="G3260" s="1077"/>
      <c r="H3260" s="1076" t="s">
        <v>2520</v>
      </c>
      <c r="I3260" s="1077"/>
      <c r="J3260" s="1077"/>
      <c r="K3260" s="1077">
        <v>5.98</v>
      </c>
      <c r="L3260" s="1077"/>
      <c r="M3260" s="1077"/>
    </row>
    <row r="3261" spans="5:13">
      <c r="E3261" s="1077"/>
      <c r="F3261" s="1077"/>
      <c r="G3261" s="1077"/>
      <c r="H3261" s="1077" t="s">
        <v>478</v>
      </c>
      <c r="I3261" s="1077"/>
      <c r="J3261" s="1077"/>
      <c r="K3261" s="1077">
        <f>K3269</f>
        <v>417.2</v>
      </c>
      <c r="L3261" s="1077"/>
      <c r="M3261" s="1077"/>
    </row>
    <row r="3262" spans="5:13" ht="24.95" customHeight="1">
      <c r="E3262" s="1077"/>
      <c r="F3262" s="1077"/>
      <c r="G3262" s="1077"/>
      <c r="H3262" s="1082" t="s">
        <v>2400</v>
      </c>
      <c r="I3262" s="1077"/>
      <c r="J3262" s="1077"/>
      <c r="K3262" s="1079">
        <f>SUM(K3257:K3261)</f>
        <v>492.8</v>
      </c>
      <c r="L3262" s="1077"/>
      <c r="M3262" s="1077"/>
    </row>
    <row r="3263" spans="5:13">
      <c r="E3263" s="1077"/>
      <c r="F3263" s="1077"/>
      <c r="G3263" s="1077"/>
      <c r="H3263" s="1077"/>
      <c r="I3263" s="1077"/>
      <c r="J3263" s="1077"/>
      <c r="K3263" s="1077"/>
      <c r="L3263" s="1077"/>
      <c r="M3263" s="1077"/>
    </row>
    <row r="3264" spans="5:13">
      <c r="E3264" s="1077"/>
      <c r="F3264" s="1077"/>
      <c r="G3264" s="1077"/>
      <c r="H3264" s="1079" t="s">
        <v>1978</v>
      </c>
      <c r="I3264" s="1077"/>
      <c r="J3264" s="1077"/>
      <c r="K3264" s="1077"/>
      <c r="L3264" s="1077"/>
      <c r="M3264" s="1077"/>
    </row>
    <row r="3265" spans="5:13">
      <c r="E3265" s="1077"/>
      <c r="F3265" s="1077">
        <v>1</v>
      </c>
      <c r="G3265" s="1077" t="s">
        <v>1034</v>
      </c>
      <c r="H3265" s="1077" t="s">
        <v>2472</v>
      </c>
      <c r="I3265" s="1077">
        <f>I3247</f>
        <v>783</v>
      </c>
      <c r="J3265" s="1077" t="s">
        <v>1034</v>
      </c>
      <c r="K3265" s="1077">
        <f>F3265*I3265</f>
        <v>783</v>
      </c>
      <c r="L3265" s="1077"/>
      <c r="M3265" s="1077"/>
    </row>
    <row r="3266" spans="5:13">
      <c r="E3266" s="1077"/>
      <c r="F3266" s="1077">
        <v>2</v>
      </c>
      <c r="G3266" s="1077" t="s">
        <v>1034</v>
      </c>
      <c r="H3266" s="1077" t="s">
        <v>2463</v>
      </c>
      <c r="I3266" s="1077">
        <f>I3248</f>
        <v>778</v>
      </c>
      <c r="J3266" s="1077" t="s">
        <v>1034</v>
      </c>
      <c r="K3266" s="1077">
        <f>F3266*I3266</f>
        <v>1556</v>
      </c>
      <c r="L3266" s="1077"/>
      <c r="M3266" s="1077"/>
    </row>
    <row r="3267" spans="5:13">
      <c r="E3267" s="1077"/>
      <c r="F3267" s="1077">
        <v>3</v>
      </c>
      <c r="G3267" s="1077" t="s">
        <v>1034</v>
      </c>
      <c r="H3267" s="1077" t="s">
        <v>2236</v>
      </c>
      <c r="I3267" s="1077">
        <f>I3249</f>
        <v>611</v>
      </c>
      <c r="J3267" s="1077" t="s">
        <v>1034</v>
      </c>
      <c r="K3267" s="1077">
        <f>F3267*I3267</f>
        <v>1833</v>
      </c>
      <c r="L3267" s="1077"/>
      <c r="M3267" s="1077"/>
    </row>
    <row r="3268" spans="5:13">
      <c r="E3268" s="1077"/>
      <c r="F3268" s="1077"/>
      <c r="G3268" s="1077"/>
      <c r="H3268" s="1081" t="s">
        <v>2521</v>
      </c>
      <c r="I3268" s="1077"/>
      <c r="J3268" s="1077"/>
      <c r="K3268" s="1088">
        <f>SUM(K3265:K3267)</f>
        <v>4172</v>
      </c>
      <c r="L3268" s="1077"/>
      <c r="M3268" s="1077"/>
    </row>
    <row r="3269" spans="5:13">
      <c r="E3269" s="1077"/>
      <c r="F3269" s="1077"/>
      <c r="G3269" s="1077"/>
      <c r="H3269" s="1082" t="s">
        <v>2058</v>
      </c>
      <c r="I3269" s="1077"/>
      <c r="J3269" s="1077"/>
      <c r="K3269" s="1079">
        <f>K3268/10</f>
        <v>417.2</v>
      </c>
      <c r="L3269" s="1077"/>
      <c r="M3269" s="1077"/>
    </row>
    <row r="3270" spans="5:13">
      <c r="E3270" s="1077"/>
      <c r="F3270" s="1077"/>
      <c r="G3270" s="1077"/>
      <c r="H3270" s="1077"/>
      <c r="I3270" s="1077"/>
      <c r="J3270" s="1077"/>
      <c r="K3270" s="1077"/>
      <c r="L3270" s="1077"/>
      <c r="M3270" s="1077"/>
    </row>
    <row r="3271" spans="5:13">
      <c r="E3271" s="1077"/>
      <c r="F3271" s="1077"/>
      <c r="G3271" s="1077"/>
      <c r="H3271" s="1079" t="s">
        <v>2500</v>
      </c>
      <c r="I3271" s="1077"/>
      <c r="J3271" s="1077"/>
      <c r="K3271" s="1077"/>
      <c r="L3271" s="1077"/>
      <c r="M3271" s="1077"/>
    </row>
    <row r="3272" spans="5:13" ht="83.25" customHeight="1">
      <c r="E3272" s="1077"/>
      <c r="F3272" s="1077"/>
      <c r="G3272" s="1077"/>
      <c r="H3272" s="1076" t="s">
        <v>2522</v>
      </c>
      <c r="I3272" s="1077"/>
      <c r="J3272" s="1077"/>
      <c r="K3272" s="1077"/>
      <c r="L3272" s="1077"/>
      <c r="M3272" s="1077"/>
    </row>
    <row r="3273" spans="5:13">
      <c r="E3273" s="1077"/>
      <c r="F3273" s="1077"/>
      <c r="G3273" s="1077"/>
      <c r="H3273" s="1077"/>
      <c r="I3273" s="1077"/>
      <c r="J3273" s="1077"/>
      <c r="K3273" s="1077"/>
      <c r="L3273" s="1077"/>
      <c r="M3273" s="1077"/>
    </row>
    <row r="3274" spans="5:13" ht="22.5" customHeight="1">
      <c r="E3274" s="1077"/>
      <c r="F3274" s="1077">
        <v>1</v>
      </c>
      <c r="G3274" s="1077" t="s">
        <v>13</v>
      </c>
      <c r="H3274" s="1077" t="s">
        <v>2509</v>
      </c>
      <c r="I3274" s="1077">
        <f>I3259</f>
        <v>914.1</v>
      </c>
      <c r="J3274" s="1077" t="s">
        <v>2523</v>
      </c>
      <c r="K3274" s="1077">
        <f>F3274*(I3274/100)</f>
        <v>9.14</v>
      </c>
      <c r="L3274" s="1077"/>
      <c r="M3274" s="1077"/>
    </row>
    <row r="3275" spans="5:13" ht="24.95" customHeight="1">
      <c r="E3275" s="1077"/>
      <c r="F3275" s="1077"/>
      <c r="G3275" s="1077"/>
      <c r="H3275" s="1077" t="s">
        <v>1978</v>
      </c>
      <c r="I3275" s="1077"/>
      <c r="J3275" s="1077"/>
      <c r="K3275" s="1077">
        <f>K3282</f>
        <v>556.6</v>
      </c>
      <c r="L3275" s="1077"/>
      <c r="M3275" s="1077"/>
    </row>
    <row r="3276" spans="5:13" ht="24.95" customHeight="1">
      <c r="E3276" s="1077"/>
      <c r="F3276" s="1077"/>
      <c r="G3276" s="1077"/>
      <c r="H3276" s="1077" t="s">
        <v>2161</v>
      </c>
      <c r="J3276" s="1077"/>
      <c r="K3276" s="1077">
        <v>4.8600000000000003</v>
      </c>
      <c r="L3276" s="1077"/>
      <c r="M3276" s="1077"/>
    </row>
    <row r="3277" spans="5:13" ht="24.95" customHeight="1">
      <c r="E3277" s="1077"/>
      <c r="F3277" s="1077"/>
      <c r="G3277" s="1077"/>
      <c r="H3277" s="1088" t="s">
        <v>2524</v>
      </c>
      <c r="I3277" s="1079" t="s">
        <v>2400</v>
      </c>
      <c r="J3277" s="1077"/>
      <c r="K3277" s="1079">
        <f>SUM(K3274:K3276)</f>
        <v>570.6</v>
      </c>
      <c r="L3277" s="1077">
        <f>304-K3277</f>
        <v>-266.60000000000002</v>
      </c>
      <c r="M3277" s="1077"/>
    </row>
    <row r="3278" spans="5:13" ht="21" customHeight="1">
      <c r="E3278" s="1077"/>
      <c r="F3278" s="1077">
        <v>1</v>
      </c>
      <c r="G3278" s="1077" t="s">
        <v>1034</v>
      </c>
      <c r="H3278" s="1077" t="s">
        <v>2472</v>
      </c>
      <c r="I3278" s="1077">
        <f>I3265</f>
        <v>783</v>
      </c>
      <c r="J3278" s="1077" t="s">
        <v>1034</v>
      </c>
      <c r="K3278" s="1077">
        <f>F3278*I3278</f>
        <v>783</v>
      </c>
      <c r="L3278" s="1077"/>
      <c r="M3278" s="1077"/>
    </row>
    <row r="3279" spans="5:13" ht="21" customHeight="1">
      <c r="E3279" s="1077"/>
      <c r="F3279" s="1077">
        <v>1</v>
      </c>
      <c r="G3279" s="1077" t="s">
        <v>1034</v>
      </c>
      <c r="H3279" s="1077" t="s">
        <v>2463</v>
      </c>
      <c r="I3279" s="1077">
        <f>I3266</f>
        <v>778</v>
      </c>
      <c r="J3279" s="1077" t="s">
        <v>1034</v>
      </c>
      <c r="K3279" s="1077">
        <f>F3279*I3279</f>
        <v>778</v>
      </c>
      <c r="L3279" s="1077"/>
      <c r="M3279" s="1077"/>
    </row>
    <row r="3280" spans="5:13" ht="21" customHeight="1">
      <c r="E3280" s="1077"/>
      <c r="F3280" s="1077">
        <v>2</v>
      </c>
      <c r="G3280" s="1077" t="s">
        <v>1034</v>
      </c>
      <c r="H3280" s="1077" t="s">
        <v>2236</v>
      </c>
      <c r="I3280" s="1077">
        <f>I3267</f>
        <v>611</v>
      </c>
      <c r="J3280" s="1077" t="s">
        <v>1034</v>
      </c>
      <c r="K3280" s="1077">
        <f>F3280*I3280</f>
        <v>1222</v>
      </c>
      <c r="L3280" s="1077"/>
      <c r="M3280" s="1077"/>
    </row>
    <row r="3281" spans="5:13" ht="24.95" customHeight="1">
      <c r="E3281" s="1077"/>
      <c r="F3281" s="1077"/>
      <c r="G3281" s="1077"/>
      <c r="H3281" s="1081" t="s">
        <v>2525</v>
      </c>
      <c r="I3281" s="1077"/>
      <c r="J3281" s="1077"/>
      <c r="K3281" s="1088">
        <f>SUM(K3278:K3280)</f>
        <v>2783</v>
      </c>
      <c r="L3281" s="1077"/>
      <c r="M3281" s="1077"/>
    </row>
    <row r="3282" spans="5:13" ht="19.5" customHeight="1">
      <c r="E3282" s="1077"/>
      <c r="F3282" s="1077"/>
      <c r="G3282" s="1077"/>
      <c r="H3282" s="1082" t="s">
        <v>2400</v>
      </c>
      <c r="I3282" s="1077"/>
      <c r="J3282" s="1077"/>
      <c r="K3282" s="1079">
        <f>K3281/5</f>
        <v>556.6</v>
      </c>
      <c r="L3282" s="1077"/>
      <c r="M3282" s="1077"/>
    </row>
    <row r="3283" spans="5:13" ht="24.95" customHeight="1">
      <c r="E3283" s="1077"/>
      <c r="F3283" s="1077"/>
      <c r="G3283" s="1077"/>
      <c r="H3283" s="1110" t="s">
        <v>2526</v>
      </c>
      <c r="I3283" s="1077"/>
      <c r="J3283" s="1077"/>
      <c r="K3283" s="1077"/>
      <c r="L3283" s="1077"/>
      <c r="M3283" s="1077"/>
    </row>
    <row r="3284" spans="5:13">
      <c r="E3284" s="1077"/>
      <c r="F3284" s="1077"/>
      <c r="G3284" s="1077"/>
      <c r="H3284" s="1079" t="s">
        <v>2527</v>
      </c>
      <c r="I3284" s="1077"/>
      <c r="J3284" s="1077"/>
      <c r="K3284" s="1077"/>
      <c r="L3284" s="1077"/>
      <c r="M3284" s="1077"/>
    </row>
    <row r="3285" spans="5:13">
      <c r="E3285" s="1077"/>
      <c r="F3285" s="1077"/>
      <c r="G3285" s="1077"/>
      <c r="H3285" s="1079" t="s">
        <v>2528</v>
      </c>
      <c r="I3285" s="1077"/>
      <c r="J3285" s="1077"/>
      <c r="K3285" s="1077"/>
      <c r="L3285" s="1077"/>
      <c r="M3285" s="1077"/>
    </row>
    <row r="3286" spans="5:13">
      <c r="E3286" s="1077"/>
      <c r="F3286" s="1077"/>
      <c r="G3286" s="1077"/>
      <c r="H3286" s="1098" t="s">
        <v>2529</v>
      </c>
      <c r="I3286" s="1077"/>
      <c r="J3286" s="1077"/>
      <c r="K3286" s="1077"/>
      <c r="L3286" s="1077"/>
      <c r="M3286" s="1077"/>
    </row>
    <row r="3287" spans="5:13" ht="68.25" customHeight="1">
      <c r="E3287" s="1077"/>
      <c r="F3287" s="1077"/>
      <c r="G3287" s="1077"/>
      <c r="H3287" s="1076" t="s">
        <v>2530</v>
      </c>
      <c r="I3287" s="1077"/>
      <c r="J3287" s="1077"/>
      <c r="K3287" s="1077"/>
      <c r="L3287" s="1077"/>
      <c r="M3287" s="1077"/>
    </row>
    <row r="3288" spans="5:13">
      <c r="E3288" s="1077"/>
      <c r="F3288" s="1077"/>
      <c r="G3288" s="1077"/>
      <c r="H3288" s="1077"/>
      <c r="I3288" s="1077"/>
      <c r="J3288" s="1077"/>
      <c r="K3288" s="1077"/>
      <c r="L3288" s="1077"/>
      <c r="M3288" s="1077"/>
    </row>
    <row r="3289" spans="5:13">
      <c r="E3289" s="1077"/>
      <c r="F3289" s="1077">
        <v>9.5</v>
      </c>
      <c r="G3289" s="1077" t="s">
        <v>39</v>
      </c>
      <c r="H3289" s="1077" t="s">
        <v>2531</v>
      </c>
      <c r="I3289" s="1084">
        <v>79.7</v>
      </c>
      <c r="J3289" s="1077" t="s">
        <v>39</v>
      </c>
      <c r="K3289" s="1077">
        <f>F3289*I3289</f>
        <v>757.15</v>
      </c>
      <c r="L3289" s="1077"/>
      <c r="M3289" s="1077"/>
    </row>
    <row r="3290" spans="5:13">
      <c r="E3290" s="1077"/>
      <c r="F3290" s="1077">
        <v>0.5</v>
      </c>
      <c r="G3290" s="1077" t="s">
        <v>39</v>
      </c>
      <c r="H3290" s="1077" t="s">
        <v>2532</v>
      </c>
      <c r="I3290" s="1084">
        <v>19.22</v>
      </c>
      <c r="J3290" s="1077"/>
      <c r="K3290" s="1077">
        <f>F3290*I3290</f>
        <v>9.61</v>
      </c>
      <c r="L3290" s="1077"/>
      <c r="M3290" s="1077"/>
    </row>
    <row r="3291" spans="5:13">
      <c r="E3291" s="1077"/>
      <c r="F3291" s="1077"/>
      <c r="G3291" s="1077"/>
      <c r="H3291" s="1077" t="s">
        <v>2234</v>
      </c>
      <c r="I3291" s="1077"/>
      <c r="J3291" s="1077"/>
      <c r="K3291" s="1077">
        <f>K3299</f>
        <v>1394</v>
      </c>
      <c r="L3291" s="1077"/>
      <c r="M3291" s="1077"/>
    </row>
    <row r="3292" spans="5:13">
      <c r="E3292" s="1077"/>
      <c r="F3292" s="1077"/>
      <c r="G3292" s="1077"/>
      <c r="H3292" s="1077" t="s">
        <v>1557</v>
      </c>
      <c r="I3292" s="1077"/>
      <c r="J3292" s="1077"/>
      <c r="K3292" s="1077">
        <v>7.24</v>
      </c>
      <c r="L3292" s="1077"/>
      <c r="M3292" s="1077"/>
    </row>
    <row r="3293" spans="5:13">
      <c r="E3293" s="1077"/>
      <c r="F3293" s="1077"/>
      <c r="G3293" s="1077"/>
      <c r="H3293" s="1081" t="s">
        <v>2533</v>
      </c>
      <c r="I3293" s="1077"/>
      <c r="J3293" s="1077"/>
      <c r="K3293" s="1088">
        <f>SUM(K3289:K3292)</f>
        <v>2168</v>
      </c>
      <c r="L3293" s="1077"/>
      <c r="M3293" s="1077"/>
    </row>
    <row r="3294" spans="5:13">
      <c r="E3294" s="1077"/>
      <c r="F3294" s="1077"/>
      <c r="G3294" s="1077"/>
      <c r="H3294" s="1082" t="s">
        <v>2534</v>
      </c>
      <c r="I3294" s="1077"/>
      <c r="J3294" s="1077"/>
      <c r="K3294" s="1079">
        <f>K3293/90</f>
        <v>24.09</v>
      </c>
      <c r="L3294" s="1077"/>
      <c r="M3294" s="1077"/>
    </row>
    <row r="3295" spans="5:13">
      <c r="E3295" s="1077"/>
      <c r="F3295" s="1077"/>
      <c r="G3295" s="1077"/>
      <c r="H3295" s="1077"/>
      <c r="I3295" s="1077"/>
      <c r="J3295" s="1077"/>
      <c r="K3295" s="1077"/>
      <c r="L3295" s="1077"/>
      <c r="M3295" s="1077"/>
    </row>
    <row r="3296" spans="5:13">
      <c r="E3296" s="1077"/>
      <c r="F3296" s="1077"/>
      <c r="G3296" s="1077"/>
      <c r="H3296" s="1088" t="s">
        <v>14</v>
      </c>
      <c r="I3296" s="1077"/>
      <c r="J3296" s="1077"/>
      <c r="K3296" s="1077"/>
      <c r="L3296" s="1077"/>
      <c r="M3296" s="1077"/>
    </row>
    <row r="3297" spans="5:13">
      <c r="E3297" s="1077"/>
      <c r="F3297" s="1077">
        <v>1</v>
      </c>
      <c r="G3297" s="1077"/>
      <c r="H3297" s="1077" t="s">
        <v>2472</v>
      </c>
      <c r="I3297" s="1077">
        <f>I3278</f>
        <v>783</v>
      </c>
      <c r="J3297" s="1077" t="s">
        <v>1034</v>
      </c>
      <c r="K3297" s="1077">
        <f>F3297*I3297</f>
        <v>783</v>
      </c>
      <c r="L3297" s="1077"/>
      <c r="M3297" s="1077"/>
    </row>
    <row r="3298" spans="5:13">
      <c r="E3298" s="1077"/>
      <c r="F3298" s="1077">
        <v>1</v>
      </c>
      <c r="G3298" s="1077"/>
      <c r="H3298" s="1077" t="s">
        <v>2236</v>
      </c>
      <c r="I3298" s="1077">
        <f>I3280</f>
        <v>611</v>
      </c>
      <c r="J3298" s="1077" t="s">
        <v>1034</v>
      </c>
      <c r="K3298" s="1077">
        <f>F3298*I3298</f>
        <v>611</v>
      </c>
      <c r="L3298" s="1077"/>
      <c r="M3298" s="1077"/>
    </row>
    <row r="3299" spans="5:13">
      <c r="E3299" s="1077"/>
      <c r="F3299" s="1077"/>
      <c r="G3299" s="1077"/>
      <c r="H3299" s="1077"/>
      <c r="I3299" s="1077"/>
      <c r="J3299" s="1077"/>
      <c r="K3299" s="1079">
        <f>SUM(K3297:K3298)</f>
        <v>1394</v>
      </c>
      <c r="L3299" s="1077"/>
      <c r="M3299" s="1077"/>
    </row>
    <row r="3300" spans="5:13">
      <c r="E3300" s="1077"/>
      <c r="F3300" s="1077" t="s">
        <v>2535</v>
      </c>
      <c r="G3300" s="1077"/>
      <c r="H3300" s="1077"/>
      <c r="I3300" s="1077"/>
      <c r="J3300" s="1077"/>
      <c r="K3300" s="1077"/>
      <c r="L3300" s="1077"/>
      <c r="M3300" s="1077"/>
    </row>
    <row r="3301" spans="5:13">
      <c r="E3301" s="1077"/>
      <c r="F3301" s="1077"/>
      <c r="G3301" s="1077"/>
      <c r="H3301" s="1077"/>
      <c r="I3301" s="1077"/>
      <c r="J3301" s="1077"/>
      <c r="K3301" s="1077"/>
      <c r="L3301" s="1077"/>
      <c r="M3301" s="1077"/>
    </row>
    <row r="3302" spans="5:13">
      <c r="E3302" s="1077"/>
      <c r="F3302" s="1077"/>
      <c r="G3302" s="1077"/>
      <c r="H3302" s="1079" t="s">
        <v>2536</v>
      </c>
      <c r="I3302" s="1077"/>
      <c r="J3302" s="1077"/>
      <c r="K3302" s="1077"/>
      <c r="L3302" s="1077"/>
      <c r="M3302" s="1077"/>
    </row>
    <row r="3303" spans="5:13">
      <c r="E3303" s="1077"/>
      <c r="F3303" s="1077"/>
      <c r="G3303" s="1077"/>
      <c r="H3303" s="1079" t="s">
        <v>2537</v>
      </c>
      <c r="I3303" s="1077"/>
      <c r="J3303" s="1077"/>
      <c r="K3303" s="1077"/>
      <c r="L3303" s="1077"/>
      <c r="M3303" s="1077"/>
    </row>
    <row r="3304" spans="5:13">
      <c r="E3304" s="1077"/>
      <c r="F3304" s="1077"/>
      <c r="G3304" s="1077"/>
      <c r="H3304" s="1077"/>
      <c r="I3304" s="1077"/>
      <c r="J3304" s="1077"/>
      <c r="K3304" s="1077"/>
      <c r="L3304" s="1077"/>
      <c r="M3304" s="1077"/>
    </row>
    <row r="3305" spans="5:13" ht="57" customHeight="1">
      <c r="E3305" s="1077"/>
      <c r="F3305" s="1077"/>
      <c r="G3305" s="1077"/>
      <c r="H3305" s="1076" t="s">
        <v>2538</v>
      </c>
      <c r="I3305" s="1077"/>
      <c r="J3305" s="1077"/>
      <c r="K3305" s="1077"/>
      <c r="L3305" s="1077"/>
      <c r="M3305" s="1077"/>
    </row>
    <row r="3306" spans="5:13">
      <c r="E3306" s="1077"/>
      <c r="F3306" s="1077">
        <v>2.5</v>
      </c>
      <c r="G3306" s="1077" t="s">
        <v>13</v>
      </c>
      <c r="H3306" s="1077" t="s">
        <v>2539</v>
      </c>
      <c r="I3306" s="1084">
        <f>Elec.Data!I476</f>
        <v>98.6</v>
      </c>
      <c r="J3306" s="1077" t="s">
        <v>13</v>
      </c>
      <c r="K3306" s="1077">
        <f>F3306*I3306</f>
        <v>246.5</v>
      </c>
      <c r="L3306" s="1077"/>
      <c r="M3306" s="1077"/>
    </row>
    <row r="3307" spans="5:13">
      <c r="E3307" s="1077"/>
      <c r="F3307" s="1077">
        <v>1</v>
      </c>
      <c r="G3307" s="1077" t="s">
        <v>13</v>
      </c>
      <c r="H3307" s="1077" t="s">
        <v>2540</v>
      </c>
      <c r="I3307" s="1084">
        <f>Elec.Data!I477</f>
        <v>69.8</v>
      </c>
      <c r="J3307" s="1077" t="s">
        <v>13</v>
      </c>
      <c r="K3307" s="1077">
        <f>F3307*I3307</f>
        <v>69.8</v>
      </c>
      <c r="L3307" s="1077"/>
      <c r="M3307" s="1077"/>
    </row>
    <row r="3308" spans="5:13">
      <c r="E3308" s="1077"/>
      <c r="F3308" s="1077">
        <v>1</v>
      </c>
      <c r="G3308" s="1077" t="s">
        <v>13</v>
      </c>
      <c r="H3308" s="1077" t="s">
        <v>2541</v>
      </c>
      <c r="I3308" s="1084">
        <f>Elec.Data!I478</f>
        <v>52</v>
      </c>
      <c r="J3308" s="1077" t="s">
        <v>13</v>
      </c>
      <c r="K3308" s="1077">
        <f>F3308*I3308</f>
        <v>52</v>
      </c>
      <c r="L3308" s="1077"/>
      <c r="M3308" s="1077"/>
    </row>
    <row r="3309" spans="5:13">
      <c r="E3309" s="1077"/>
      <c r="F3309" s="1077">
        <v>1</v>
      </c>
      <c r="G3309" s="1077" t="s">
        <v>1034</v>
      </c>
      <c r="H3309" s="1077" t="s">
        <v>2542</v>
      </c>
      <c r="I3309" s="1084" t="str">
        <f>Elec.Data!I479</f>
        <v>LS</v>
      </c>
      <c r="J3309" s="1077" t="s">
        <v>1034</v>
      </c>
      <c r="K3309" s="1077" t="e">
        <f>F3309*I3309</f>
        <v>#VALUE!</v>
      </c>
      <c r="L3309" s="1077"/>
      <c r="M3309" s="1077"/>
    </row>
    <row r="3310" spans="5:13">
      <c r="E3310" s="1077"/>
      <c r="F3310" s="1077">
        <v>1</v>
      </c>
      <c r="G3310" s="1077" t="s">
        <v>1715</v>
      </c>
      <c r="H3310" s="1077" t="s">
        <v>2543</v>
      </c>
      <c r="I3310" s="1084" t="str">
        <f>Elec.Data!I480</f>
        <v>LS</v>
      </c>
      <c r="J3310" s="1077" t="s">
        <v>1715</v>
      </c>
      <c r="K3310" s="1077">
        <v>15</v>
      </c>
      <c r="L3310" s="1077"/>
      <c r="M3310" s="1077"/>
    </row>
    <row r="3311" spans="5:13">
      <c r="E3311" s="1077"/>
      <c r="F3311" s="1077"/>
      <c r="G3311" s="1077" t="s">
        <v>49</v>
      </c>
      <c r="H3311" s="1077" t="s">
        <v>2544</v>
      </c>
      <c r="I3311" s="1084">
        <f>Elec.Data!I481</f>
        <v>100</v>
      </c>
      <c r="J3311" s="1077" t="s">
        <v>49</v>
      </c>
      <c r="K3311" s="1077">
        <v>150</v>
      </c>
      <c r="L3311" s="1077"/>
      <c r="M3311" s="1077"/>
    </row>
    <row r="3312" spans="5:13">
      <c r="E3312" s="1077"/>
      <c r="F3312" s="1077">
        <v>1</v>
      </c>
      <c r="G3312" s="1077" t="s">
        <v>1034</v>
      </c>
      <c r="H3312" s="1077" t="s">
        <v>2545</v>
      </c>
      <c r="I3312" s="1084">
        <f>Elec.Data!I482</f>
        <v>4.96</v>
      </c>
      <c r="J3312" s="1077" t="s">
        <v>1034</v>
      </c>
      <c r="K3312" s="1077">
        <f>F3312*I3312</f>
        <v>4.96</v>
      </c>
      <c r="L3312" s="1077"/>
      <c r="M3312" s="1077"/>
    </row>
    <row r="3313" spans="5:13">
      <c r="E3313" s="1077"/>
      <c r="F3313" s="1077">
        <v>40</v>
      </c>
      <c r="G3313" s="1077" t="s">
        <v>39</v>
      </c>
      <c r="H3313" s="1077" t="s">
        <v>2546</v>
      </c>
      <c r="I3313" s="1084">
        <f>Elec.Data!I483</f>
        <v>13.6</v>
      </c>
      <c r="J3313" s="1077" t="s">
        <v>39</v>
      </c>
      <c r="K3313" s="1077">
        <f>F3313*I3313</f>
        <v>544</v>
      </c>
      <c r="L3313" s="1077"/>
      <c r="M3313" s="1077"/>
    </row>
    <row r="3314" spans="5:13">
      <c r="E3314" s="1077"/>
      <c r="F3314" s="1077">
        <v>2</v>
      </c>
      <c r="G3314" s="1077" t="s">
        <v>1034</v>
      </c>
      <c r="H3314" s="1077" t="s">
        <v>2547</v>
      </c>
      <c r="I3314" s="1084">
        <f>Elec.Data!I484</f>
        <v>13.6</v>
      </c>
      <c r="J3314" s="1077" t="s">
        <v>1034</v>
      </c>
      <c r="K3314" s="1077">
        <f>F3314*I3314</f>
        <v>27.2</v>
      </c>
      <c r="L3314" s="1077"/>
      <c r="M3314" s="1077"/>
    </row>
    <row r="3315" spans="5:13">
      <c r="E3315" s="1077"/>
      <c r="F3315" s="1077">
        <v>4</v>
      </c>
      <c r="G3315" s="1077" t="s">
        <v>1034</v>
      </c>
      <c r="H3315" s="1077" t="s">
        <v>2548</v>
      </c>
      <c r="I3315" s="1084">
        <f>Elec.Data!I485</f>
        <v>3.7</v>
      </c>
      <c r="J3315" s="1077" t="s">
        <v>1034</v>
      </c>
      <c r="K3315" s="1077">
        <f>F3315*I3315</f>
        <v>14.8</v>
      </c>
      <c r="L3315" s="1077"/>
      <c r="M3315" s="1077"/>
    </row>
    <row r="3316" spans="5:13">
      <c r="E3316" s="1077"/>
      <c r="F3316" s="1077">
        <v>10</v>
      </c>
      <c r="G3316" s="1077" t="s">
        <v>39</v>
      </c>
      <c r="H3316" s="1077" t="s">
        <v>2549</v>
      </c>
      <c r="I3316" s="1084">
        <f>Elec.Data!I486</f>
        <v>0</v>
      </c>
      <c r="J3316" s="1077" t="s">
        <v>39</v>
      </c>
      <c r="K3316" s="1077">
        <f>F3316*I3316</f>
        <v>0</v>
      </c>
      <c r="L3316" s="1077"/>
      <c r="M3316" s="1077"/>
    </row>
    <row r="3317" spans="5:13">
      <c r="E3317" s="1077"/>
      <c r="F3317" s="1077"/>
      <c r="G3317" s="1077"/>
      <c r="H3317" s="1077" t="s">
        <v>1557</v>
      </c>
      <c r="I3317" s="1077"/>
      <c r="J3317" s="1077"/>
      <c r="K3317" s="1077">
        <v>11.85</v>
      </c>
      <c r="L3317" s="1077"/>
      <c r="M3317" s="1077"/>
    </row>
    <row r="3318" spans="5:13">
      <c r="E3318" s="1077"/>
      <c r="F3318" s="1077"/>
      <c r="G3318" s="1077"/>
      <c r="H3318" s="1077" t="s">
        <v>478</v>
      </c>
      <c r="I3318" s="1077"/>
      <c r="J3318" s="1077"/>
      <c r="K3318" s="1098">
        <f>K3324</f>
        <v>1394</v>
      </c>
      <c r="L3318" s="1077"/>
      <c r="M3318" s="1077"/>
    </row>
    <row r="3319" spans="5:13">
      <c r="E3319" s="1077"/>
      <c r="F3319" s="1077"/>
      <c r="G3319" s="1077"/>
      <c r="H3319" s="1082" t="s">
        <v>2400</v>
      </c>
      <c r="I3319" s="1077"/>
      <c r="J3319" s="1077"/>
      <c r="K3319" s="1079" t="e">
        <f>SUM(K3306:K3318)</f>
        <v>#VALUE!</v>
      </c>
      <c r="L3319" s="1077" t="e">
        <f>2035-K3319</f>
        <v>#VALUE!</v>
      </c>
      <c r="M3319" s="1077"/>
    </row>
    <row r="3320" spans="5:13">
      <c r="E3320" s="1077"/>
      <c r="F3320" s="1077"/>
      <c r="G3320" s="1077"/>
      <c r="H3320" s="1077"/>
      <c r="I3320" s="1077"/>
      <c r="J3320" s="1077"/>
      <c r="K3320" s="1077"/>
      <c r="L3320" s="1077"/>
      <c r="M3320" s="1077"/>
    </row>
    <row r="3321" spans="5:13">
      <c r="E3321" s="1077"/>
      <c r="F3321" s="1077"/>
      <c r="G3321" s="1077"/>
      <c r="H3321" s="1088" t="s">
        <v>478</v>
      </c>
      <c r="I3321" s="1077"/>
      <c r="J3321" s="1077"/>
      <c r="K3321" s="1077"/>
      <c r="L3321" s="1077"/>
      <c r="M3321" s="1077"/>
    </row>
    <row r="3322" spans="5:13">
      <c r="E3322" s="1077"/>
      <c r="F3322" s="1077">
        <v>1</v>
      </c>
      <c r="G3322" s="1077" t="s">
        <v>1034</v>
      </c>
      <c r="H3322" s="1077" t="s">
        <v>2472</v>
      </c>
      <c r="I3322" s="1077">
        <f>I3297</f>
        <v>783</v>
      </c>
      <c r="J3322" s="1077" t="s">
        <v>1034</v>
      </c>
      <c r="K3322" s="1077">
        <f>F3322*I3322</f>
        <v>783</v>
      </c>
      <c r="L3322" s="1077"/>
      <c r="M3322" s="1077"/>
    </row>
    <row r="3323" spans="5:13">
      <c r="E3323" s="1077"/>
      <c r="F3323" s="1077">
        <v>1</v>
      </c>
      <c r="G3323" s="1077" t="s">
        <v>1034</v>
      </c>
      <c r="H3323" s="1077" t="s">
        <v>2236</v>
      </c>
      <c r="I3323" s="1077">
        <f>I3298</f>
        <v>611</v>
      </c>
      <c r="J3323" s="1077" t="s">
        <v>1034</v>
      </c>
      <c r="K3323" s="1077">
        <f>F3323*I3323</f>
        <v>611</v>
      </c>
      <c r="L3323" s="1077"/>
      <c r="M3323" s="1077"/>
    </row>
    <row r="3324" spans="5:13">
      <c r="E3324" s="1077"/>
      <c r="F3324" s="1077"/>
      <c r="G3324" s="1077"/>
      <c r="H3324" s="1077"/>
      <c r="I3324" s="1077"/>
      <c r="J3324" s="1077"/>
      <c r="K3324" s="1079">
        <f>SUM(K3322:K3323)</f>
        <v>1394</v>
      </c>
      <c r="L3324" s="1077"/>
      <c r="M3324" s="1077"/>
    </row>
    <row r="3325" spans="5:13">
      <c r="E3325" s="1077"/>
      <c r="F3325" s="1077"/>
      <c r="G3325" s="1077"/>
      <c r="H3325" s="1079" t="s">
        <v>2550</v>
      </c>
      <c r="I3325" s="1077"/>
      <c r="J3325" s="1077"/>
      <c r="K3325" s="1077"/>
      <c r="L3325" s="1077"/>
      <c r="M3325" s="1077"/>
    </row>
    <row r="3326" spans="5:13">
      <c r="E3326" s="1077"/>
      <c r="F3326" s="1077"/>
      <c r="G3326" s="1077"/>
      <c r="H3326" s="1079" t="s">
        <v>2551</v>
      </c>
      <c r="I3326" s="1077"/>
      <c r="J3326" s="1077"/>
      <c r="K3326" s="1077"/>
      <c r="L3326" s="1077"/>
      <c r="M3326" s="1077"/>
    </row>
    <row r="3327" spans="5:13">
      <c r="E3327" s="1077"/>
      <c r="F3327" s="1077"/>
      <c r="G3327" s="1077"/>
      <c r="H3327" s="1077"/>
      <c r="I3327" s="1077"/>
      <c r="J3327" s="1077"/>
      <c r="K3327" s="1077"/>
      <c r="L3327" s="1077"/>
      <c r="M3327" s="1077"/>
    </row>
    <row r="3328" spans="5:13" ht="86.25" customHeight="1">
      <c r="E3328" s="1077"/>
      <c r="F3328" s="1077"/>
      <c r="G3328" s="1077"/>
      <c r="H3328" s="1076" t="s">
        <v>2552</v>
      </c>
      <c r="I3328" s="1077"/>
      <c r="J3328" s="1077"/>
      <c r="K3328" s="1077"/>
      <c r="L3328" s="1077"/>
      <c r="M3328" s="1077"/>
    </row>
    <row r="3329" spans="5:13">
      <c r="E3329" s="1077"/>
      <c r="F3329" s="1077"/>
      <c r="G3329" s="1077"/>
      <c r="H3329" s="1077"/>
      <c r="I3329" s="1077"/>
      <c r="J3329" s="1077"/>
      <c r="K3329" s="1077"/>
      <c r="L3329" s="1077"/>
      <c r="M3329" s="1077"/>
    </row>
    <row r="3330" spans="5:13">
      <c r="E3330" s="1077"/>
      <c r="F3330" s="1077">
        <v>1</v>
      </c>
      <c r="G3330" s="1077" t="s">
        <v>1034</v>
      </c>
      <c r="H3330" s="1077" t="s">
        <v>2553</v>
      </c>
      <c r="I3330" s="1077">
        <f>K3335</f>
        <v>64.239999999999995</v>
      </c>
      <c r="J3330" s="1077" t="s">
        <v>729</v>
      </c>
      <c r="K3330" s="1077">
        <f>F3330*I3330</f>
        <v>64.239999999999995</v>
      </c>
      <c r="L3330" s="1077"/>
      <c r="M3330" s="1077"/>
    </row>
    <row r="3331" spans="5:13" ht="56.25" customHeight="1">
      <c r="E3331" s="1077"/>
      <c r="F3331" s="1077"/>
      <c r="G3331" s="1077"/>
      <c r="H3331" s="1076" t="s">
        <v>2554</v>
      </c>
      <c r="I3331" s="1077"/>
      <c r="J3331" s="1077" t="s">
        <v>49</v>
      </c>
      <c r="K3331" s="1077">
        <f>13.65+0.61</f>
        <v>14.26</v>
      </c>
      <c r="L3331" s="1077"/>
      <c r="M3331" s="1077"/>
    </row>
    <row r="3332" spans="5:13">
      <c r="E3332" s="1077"/>
      <c r="F3332" s="1077"/>
      <c r="G3332" s="1077"/>
      <c r="H3332" s="1077" t="s">
        <v>1978</v>
      </c>
      <c r="I3332" s="1077"/>
      <c r="J3332" s="1077"/>
      <c r="K3332" s="1077">
        <f>K3340</f>
        <v>311.7</v>
      </c>
      <c r="L3332" s="1077"/>
      <c r="M3332" s="1077"/>
    </row>
    <row r="3333" spans="5:13">
      <c r="E3333" s="1077"/>
      <c r="F3333" s="1077"/>
      <c r="G3333" s="1077"/>
      <c r="H3333" s="1082" t="s">
        <v>2400</v>
      </c>
      <c r="I3333" s="1077"/>
      <c r="J3333" s="1077"/>
      <c r="K3333" s="1079">
        <f>SUM(K3330:K3332)</f>
        <v>390.2</v>
      </c>
      <c r="L3333" s="1077">
        <f>K3333-268</f>
        <v>122.2</v>
      </c>
      <c r="M3333" s="1077"/>
    </row>
    <row r="3334" spans="5:13">
      <c r="E3334" s="1077"/>
      <c r="F3334" s="1077"/>
      <c r="G3334" s="1077"/>
      <c r="H3334" s="1077"/>
      <c r="I3334" s="1077"/>
      <c r="J3334" s="1077"/>
      <c r="K3334" s="1077"/>
      <c r="L3334" s="1077"/>
      <c r="M3334" s="1077"/>
    </row>
    <row r="3335" spans="5:13">
      <c r="E3335" s="1077"/>
      <c r="F3335" s="1077"/>
      <c r="G3335" s="1077"/>
      <c r="H3335" s="1079" t="s">
        <v>2555</v>
      </c>
      <c r="I3335" s="1098">
        <f>I3222</f>
        <v>107060</v>
      </c>
      <c r="J3335" s="1111">
        <v>5.9999999999999995E-4</v>
      </c>
      <c r="K3335" s="1098">
        <f>ROUND(I3335*J3335,2)</f>
        <v>64.239999999999995</v>
      </c>
      <c r="L3335" s="1077"/>
      <c r="M3335" s="1077"/>
    </row>
    <row r="3336" spans="5:13">
      <c r="E3336" s="1077"/>
      <c r="F3336" s="1077"/>
      <c r="G3336" s="1077"/>
      <c r="H3336" s="1077" t="s">
        <v>1978</v>
      </c>
      <c r="I3336" s="1077"/>
      <c r="J3336" s="1077"/>
      <c r="K3336" s="1077"/>
      <c r="L3336" s="1077"/>
      <c r="M3336" s="1077"/>
    </row>
    <row r="3337" spans="5:13">
      <c r="E3337" s="1077"/>
      <c r="F3337" s="1077">
        <v>1</v>
      </c>
      <c r="G3337" s="1077" t="s">
        <v>1034</v>
      </c>
      <c r="H3337" s="1077" t="s">
        <v>2556</v>
      </c>
      <c r="I3337" s="1077">
        <f>I3278</f>
        <v>783</v>
      </c>
      <c r="J3337" s="1077" t="s">
        <v>729</v>
      </c>
      <c r="K3337" s="1077">
        <f>F3337*I3337</f>
        <v>783</v>
      </c>
      <c r="L3337" s="1077"/>
      <c r="M3337" s="1077"/>
    </row>
    <row r="3338" spans="5:13">
      <c r="E3338" s="1077"/>
      <c r="F3338" s="1077">
        <v>3</v>
      </c>
      <c r="G3338" s="1077" t="s">
        <v>1034</v>
      </c>
      <c r="H3338" s="1077" t="s">
        <v>2463</v>
      </c>
      <c r="I3338" s="1077">
        <f>I3279</f>
        <v>778</v>
      </c>
      <c r="J3338" s="1077" t="s">
        <v>729</v>
      </c>
      <c r="K3338" s="1077">
        <f>F3338*I3338</f>
        <v>2334</v>
      </c>
      <c r="L3338" s="1077"/>
      <c r="M3338" s="1077"/>
    </row>
    <row r="3339" spans="5:13">
      <c r="E3339" s="1077"/>
      <c r="F3339" s="1077"/>
      <c r="G3339" s="1077"/>
      <c r="H3339" s="1081" t="s">
        <v>2557</v>
      </c>
      <c r="I3339" s="1077"/>
      <c r="J3339" s="1077"/>
      <c r="K3339" s="1098">
        <f>SUM(K3337:K3338)</f>
        <v>3117</v>
      </c>
      <c r="L3339" s="1077"/>
      <c r="M3339" s="1077"/>
    </row>
    <row r="3340" spans="5:13">
      <c r="E3340" s="1077"/>
      <c r="F3340" s="1077"/>
      <c r="G3340" s="1077"/>
      <c r="H3340" s="1081" t="s">
        <v>2558</v>
      </c>
      <c r="I3340" s="1077"/>
      <c r="J3340" s="1077"/>
      <c r="K3340" s="1079">
        <f>K3339/10</f>
        <v>311.7</v>
      </c>
      <c r="L3340" s="1077"/>
      <c r="M3340" s="1077"/>
    </row>
    <row r="3341" spans="5:13">
      <c r="E3341" s="1077"/>
      <c r="F3341" s="1077"/>
      <c r="G3341" s="1077"/>
      <c r="H3341" s="1077"/>
      <c r="I3341" s="1077"/>
      <c r="J3341" s="1077"/>
      <c r="K3341" s="1077"/>
      <c r="L3341" s="1077"/>
      <c r="M3341" s="1077"/>
    </row>
    <row r="3342" spans="5:13">
      <c r="E3342" s="1077"/>
      <c r="F3342" s="1077"/>
      <c r="G3342" s="1077"/>
      <c r="H3342" s="1079" t="s">
        <v>2559</v>
      </c>
      <c r="I3342" s="1077"/>
      <c r="J3342" s="1077"/>
      <c r="K3342" s="1077"/>
      <c r="L3342" s="1077"/>
      <c r="M3342" s="1077"/>
    </row>
    <row r="3343" spans="5:13" ht="103.5" customHeight="1">
      <c r="E3343" s="1077"/>
      <c r="F3343" s="1077"/>
      <c r="G3343" s="1077"/>
      <c r="H3343" s="1076" t="s">
        <v>2560</v>
      </c>
      <c r="I3343" s="1077"/>
      <c r="J3343" s="1077"/>
      <c r="K3343" s="1077"/>
      <c r="L3343" s="1077"/>
      <c r="M3343" s="1077"/>
    </row>
    <row r="3344" spans="5:13">
      <c r="E3344" s="1077"/>
      <c r="F3344" s="1077"/>
      <c r="G3344" s="1077"/>
      <c r="H3344" s="1077"/>
      <c r="I3344" s="1077"/>
      <c r="J3344" s="1077"/>
      <c r="K3344" s="1077"/>
      <c r="L3344" s="1077"/>
      <c r="M3344" s="1077"/>
    </row>
    <row r="3345" spans="5:13">
      <c r="E3345" s="1077"/>
      <c r="F3345" s="1077">
        <v>1</v>
      </c>
      <c r="G3345" s="1077" t="s">
        <v>1034</v>
      </c>
      <c r="H3345" s="1079" t="s">
        <v>2372</v>
      </c>
      <c r="I3345" s="1112">
        <v>110</v>
      </c>
      <c r="J3345" s="1077" t="s">
        <v>1034</v>
      </c>
      <c r="K3345" s="1077">
        <f>F3345*I3345</f>
        <v>110</v>
      </c>
      <c r="L3345" s="1077"/>
      <c r="M3345" s="1077"/>
    </row>
    <row r="3346" spans="5:13" ht="52.5" customHeight="1">
      <c r="E3346" s="1077"/>
      <c r="F3346" s="1077"/>
      <c r="G3346" s="1077"/>
      <c r="H3346" s="1076" t="s">
        <v>2561</v>
      </c>
      <c r="I3346" s="1077"/>
      <c r="J3346" s="1077"/>
      <c r="K3346" s="1077">
        <v>22.75</v>
      </c>
      <c r="L3346" s="1077"/>
      <c r="M3346" s="1077"/>
    </row>
    <row r="3347" spans="5:13">
      <c r="E3347" s="1077"/>
      <c r="F3347" s="1077"/>
      <c r="G3347" s="1077"/>
      <c r="H3347" s="1077" t="s">
        <v>478</v>
      </c>
      <c r="I3347" s="1077"/>
      <c r="J3347" s="1077"/>
      <c r="K3347" s="1077">
        <f>K3356</f>
        <v>372.8</v>
      </c>
      <c r="L3347" s="1077"/>
      <c r="M3347" s="1077"/>
    </row>
    <row r="3348" spans="5:13">
      <c r="E3348" s="1077"/>
      <c r="F3348" s="1077"/>
      <c r="G3348" s="1077"/>
      <c r="H3348" s="1082" t="s">
        <v>2400</v>
      </c>
      <c r="I3348" s="1077"/>
      <c r="J3348" s="1077"/>
      <c r="K3348" s="1079">
        <f>SUM(K3345:K3347)</f>
        <v>505.55</v>
      </c>
      <c r="L3348" s="1077">
        <f>K3348-376</f>
        <v>129.55000000000001</v>
      </c>
      <c r="M3348" s="1077"/>
    </row>
    <row r="3349" spans="5:13">
      <c r="E3349" s="1077"/>
      <c r="F3349" s="1077"/>
      <c r="G3349" s="1077"/>
      <c r="H3349" s="1082"/>
      <c r="I3349" s="1077"/>
      <c r="J3349" s="1077"/>
      <c r="K3349" s="1079"/>
      <c r="L3349" s="1077"/>
      <c r="M3349" s="1077"/>
    </row>
    <row r="3350" spans="5:13">
      <c r="E3350" s="1077"/>
      <c r="F3350" s="1077"/>
      <c r="G3350" s="1077"/>
      <c r="H3350" s="1077" t="s">
        <v>1978</v>
      </c>
      <c r="I3350" s="1077"/>
      <c r="J3350" s="1077"/>
      <c r="K3350" s="1077"/>
      <c r="L3350" s="1077"/>
      <c r="M3350" s="1077"/>
    </row>
    <row r="3351" spans="5:13">
      <c r="E3351" s="1077"/>
      <c r="F3351" s="1077">
        <v>1</v>
      </c>
      <c r="G3351" s="1077"/>
      <c r="H3351" s="1077" t="s">
        <v>2472</v>
      </c>
      <c r="I3351" s="1077">
        <f>I2867</f>
        <v>783</v>
      </c>
      <c r="J3351" s="1077" t="s">
        <v>1034</v>
      </c>
      <c r="K3351" s="1077">
        <f>F3351*I3351</f>
        <v>783</v>
      </c>
      <c r="L3351" s="1077"/>
      <c r="M3351" s="1077"/>
    </row>
    <row r="3352" spans="5:13">
      <c r="E3352" s="1077"/>
      <c r="F3352" s="1077">
        <v>3</v>
      </c>
      <c r="G3352" s="1077"/>
      <c r="H3352" s="1077" t="s">
        <v>2463</v>
      </c>
      <c r="I3352" s="1077">
        <f>I2868</f>
        <v>778</v>
      </c>
      <c r="J3352" s="1077" t="s">
        <v>1034</v>
      </c>
      <c r="K3352" s="1077">
        <f>F3352*I3352</f>
        <v>2334</v>
      </c>
      <c r="L3352" s="1077"/>
      <c r="M3352" s="1077"/>
    </row>
    <row r="3353" spans="5:13">
      <c r="E3353" s="1077"/>
      <c r="F3353" s="1077">
        <v>1</v>
      </c>
      <c r="G3353" s="1077"/>
      <c r="H3353" s="1077" t="s">
        <v>2166</v>
      </c>
      <c r="I3353" s="1077">
        <f>I2869</f>
        <v>611</v>
      </c>
      <c r="J3353" s="1077" t="s">
        <v>1034</v>
      </c>
      <c r="K3353" s="1077">
        <f>F3353*I3353</f>
        <v>611</v>
      </c>
      <c r="L3353" s="1077"/>
      <c r="M3353" s="1077"/>
    </row>
    <row r="3354" spans="5:13">
      <c r="E3354" s="1077"/>
      <c r="F3354" s="1077">
        <v>0.5</v>
      </c>
      <c r="G3354" s="1077"/>
      <c r="H3354" s="1077" t="str">
        <f>Elec.Data!H524</f>
        <v>Total for 10 Nos</v>
      </c>
      <c r="I3354" s="1084">
        <f>Elec.Data!I524</f>
        <v>0</v>
      </c>
      <c r="J3354" s="1077" t="s">
        <v>1034</v>
      </c>
      <c r="K3354" s="1077">
        <f>F3354*I3354</f>
        <v>0</v>
      </c>
      <c r="L3354" s="1077"/>
      <c r="M3354" s="1077"/>
    </row>
    <row r="3355" spans="5:13">
      <c r="E3355" s="1077"/>
      <c r="F3355" s="1077"/>
      <c r="G3355" s="1077"/>
      <c r="H3355" s="1081" t="s">
        <v>2562</v>
      </c>
      <c r="I3355" s="1077"/>
      <c r="J3355" s="1077"/>
      <c r="K3355" s="1088">
        <f>SUM(K3351:K3354)</f>
        <v>3728</v>
      </c>
      <c r="L3355" s="1077"/>
      <c r="M3355" s="1077"/>
    </row>
    <row r="3356" spans="5:13">
      <c r="E3356" s="1077"/>
      <c r="F3356" s="1077"/>
      <c r="G3356" s="1077"/>
      <c r="H3356" s="1082" t="s">
        <v>2563</v>
      </c>
      <c r="I3356" s="1079"/>
      <c r="J3356" s="1079"/>
      <c r="K3356" s="1079">
        <f>K3355/10</f>
        <v>372.8</v>
      </c>
      <c r="L3356" s="1077"/>
      <c r="M3356" s="1077"/>
    </row>
    <row r="3357" spans="5:13">
      <c r="E3357" s="1077"/>
      <c r="F3357" s="1077"/>
      <c r="G3357" s="1077"/>
      <c r="H3357" s="1077"/>
      <c r="I3357" s="1077"/>
      <c r="J3357" s="1077"/>
      <c r="K3357" s="1077"/>
      <c r="L3357" s="1077"/>
      <c r="M3357" s="1077"/>
    </row>
    <row r="3358" spans="5:13">
      <c r="E3358" s="1077"/>
      <c r="F3358" s="1077"/>
      <c r="G3358" s="1077"/>
      <c r="H3358" s="1079" t="s">
        <v>2564</v>
      </c>
      <c r="I3358" s="1077"/>
      <c r="J3358" s="1077"/>
      <c r="K3358" s="1077"/>
      <c r="L3358" s="1077"/>
      <c r="M3358" s="1077"/>
    </row>
    <row r="3359" spans="5:13">
      <c r="E3359" s="1077"/>
      <c r="F3359" s="1077"/>
      <c r="G3359" s="1077"/>
      <c r="H3359" s="1079" t="s">
        <v>2565</v>
      </c>
      <c r="I3359" s="1077"/>
      <c r="J3359" s="1077"/>
      <c r="K3359" s="1077"/>
      <c r="L3359" s="1077"/>
      <c r="M3359" s="1077"/>
    </row>
    <row r="3360" spans="5:13">
      <c r="E3360" s="1077"/>
      <c r="F3360" s="1077"/>
      <c r="G3360" s="1077"/>
      <c r="H3360" s="1077"/>
      <c r="I3360" s="1077"/>
      <c r="J3360" s="1077"/>
      <c r="K3360" s="1077"/>
      <c r="L3360" s="1077"/>
      <c r="M3360" s="1077"/>
    </row>
    <row r="3361" spans="5:13" ht="103.5" customHeight="1">
      <c r="E3361" s="1077"/>
      <c r="F3361" s="1077"/>
      <c r="G3361" s="1077"/>
      <c r="H3361" s="1076" t="s">
        <v>2566</v>
      </c>
      <c r="I3361" s="1077"/>
      <c r="J3361" s="1077"/>
      <c r="K3361" s="1077"/>
      <c r="L3361" s="1077"/>
      <c r="M3361" s="1077"/>
    </row>
    <row r="3362" spans="5:13">
      <c r="E3362" s="1077"/>
      <c r="F3362" s="1077"/>
      <c r="G3362" s="1077"/>
      <c r="H3362" s="1077"/>
      <c r="I3362" s="1077"/>
      <c r="J3362" s="1077"/>
      <c r="K3362" s="1077"/>
      <c r="L3362" s="1077"/>
      <c r="M3362" s="1077"/>
    </row>
    <row r="3363" spans="5:13">
      <c r="E3363" s="1077"/>
      <c r="F3363" s="1077">
        <v>1</v>
      </c>
      <c r="G3363" s="1077" t="s">
        <v>1034</v>
      </c>
      <c r="H3363" s="1077" t="s">
        <v>2567</v>
      </c>
      <c r="I3363" s="1077">
        <f>K3368</f>
        <v>128.47</v>
      </c>
      <c r="J3363" s="1077" t="s">
        <v>729</v>
      </c>
      <c r="K3363" s="1077">
        <f>F3363*I3363</f>
        <v>128.47</v>
      </c>
      <c r="L3363" s="1077"/>
      <c r="M3363" s="1077"/>
    </row>
    <row r="3364" spans="5:13" ht="51" customHeight="1">
      <c r="E3364" s="1077"/>
      <c r="F3364" s="1077" t="s">
        <v>49</v>
      </c>
      <c r="G3364" s="1077" t="s">
        <v>49</v>
      </c>
      <c r="H3364" s="1076" t="s">
        <v>2568</v>
      </c>
      <c r="I3364" s="1077" t="s">
        <v>49</v>
      </c>
      <c r="J3364" s="1077" t="s">
        <v>49</v>
      </c>
      <c r="K3364" s="1077">
        <v>40.33</v>
      </c>
      <c r="L3364" s="1077"/>
      <c r="M3364" s="1077"/>
    </row>
    <row r="3365" spans="5:13">
      <c r="E3365" s="1077"/>
      <c r="F3365" s="1077"/>
      <c r="G3365" s="1077"/>
      <c r="H3365" s="1077" t="s">
        <v>1978</v>
      </c>
      <c r="I3365" s="1077"/>
      <c r="J3365" s="1077"/>
      <c r="K3365" s="1077">
        <f>K3340</f>
        <v>311.7</v>
      </c>
      <c r="L3365" s="1077"/>
      <c r="M3365" s="1077"/>
    </row>
    <row r="3366" spans="5:13">
      <c r="E3366" s="1077"/>
      <c r="F3366" s="1077"/>
      <c r="G3366" s="1077"/>
      <c r="H3366" s="1082" t="s">
        <v>2400</v>
      </c>
      <c r="I3366" s="1077"/>
      <c r="J3366" s="1077"/>
      <c r="K3366" s="1079">
        <f>SUM(K3363:K3365)</f>
        <v>480.5</v>
      </c>
      <c r="L3366" s="1077"/>
      <c r="M3366" s="1077"/>
    </row>
    <row r="3367" spans="5:13">
      <c r="E3367" s="1077"/>
      <c r="F3367" s="1077"/>
      <c r="G3367" s="1077"/>
      <c r="H3367" s="1077"/>
      <c r="I3367" s="1077"/>
      <c r="J3367" s="1077"/>
      <c r="K3367" s="1079"/>
      <c r="L3367" s="1077"/>
      <c r="M3367" s="1077"/>
    </row>
    <row r="3368" spans="5:13">
      <c r="E3368" s="1077"/>
      <c r="F3368" s="1077"/>
      <c r="G3368" s="1077"/>
      <c r="H3368" s="1079" t="s">
        <v>2567</v>
      </c>
      <c r="I3368" s="1077">
        <f>I3335</f>
        <v>107060</v>
      </c>
      <c r="J3368" s="1097">
        <f>0.0012</f>
        <v>1.1999999999999999E-3</v>
      </c>
      <c r="K3368" s="1079">
        <f>I3368*J3368</f>
        <v>128.47</v>
      </c>
      <c r="L3368" s="1077"/>
      <c r="M3368" s="1077"/>
    </row>
    <row r="3369" spans="5:13">
      <c r="E3369" s="1077"/>
      <c r="F3369" s="1077"/>
      <c r="G3369" s="1077"/>
      <c r="H3369" s="1077"/>
      <c r="I3369" s="1077"/>
      <c r="J3369" s="1077"/>
      <c r="K3369" s="1077"/>
      <c r="L3369" s="1077"/>
      <c r="M3369" s="1077"/>
    </row>
    <row r="3370" spans="5:13">
      <c r="E3370" s="1077"/>
      <c r="F3370" s="1077"/>
      <c r="G3370" s="1077"/>
      <c r="H3370" s="1079" t="s">
        <v>2550</v>
      </c>
      <c r="I3370" s="1077"/>
      <c r="J3370" s="1077"/>
      <c r="K3370" s="1077"/>
      <c r="L3370" s="1077"/>
      <c r="M3370" s="1077"/>
    </row>
    <row r="3371" spans="5:13">
      <c r="E3371" s="1077"/>
      <c r="F3371" s="1077"/>
      <c r="G3371" s="1077"/>
      <c r="H3371" s="1077"/>
      <c r="I3371" s="1077"/>
      <c r="J3371" s="1077"/>
      <c r="K3371" s="1077"/>
      <c r="L3371" s="1077"/>
      <c r="M3371" s="1077"/>
    </row>
    <row r="3372" spans="5:13">
      <c r="E3372" s="1077"/>
      <c r="F3372" s="1077"/>
      <c r="G3372" s="1077"/>
      <c r="H3372" s="1079" t="s">
        <v>2569</v>
      </c>
      <c r="I3372" s="1077"/>
      <c r="J3372" s="1077"/>
      <c r="K3372" s="1077"/>
      <c r="L3372" s="1077"/>
      <c r="M3372" s="1077"/>
    </row>
    <row r="3373" spans="5:13">
      <c r="E3373" s="1077"/>
      <c r="F3373" s="1077"/>
      <c r="G3373" s="1077"/>
      <c r="H3373" s="1077"/>
      <c r="I3373" s="1077"/>
      <c r="J3373" s="1077"/>
      <c r="K3373" s="1077"/>
      <c r="L3373" s="1077"/>
      <c r="M3373" s="1077"/>
    </row>
    <row r="3374" spans="5:13" ht="102" customHeight="1">
      <c r="E3374" s="1077"/>
      <c r="F3374" s="1077"/>
      <c r="G3374" s="1077"/>
      <c r="H3374" s="1076" t="s">
        <v>2570</v>
      </c>
      <c r="I3374" s="1077"/>
      <c r="J3374" s="1077"/>
      <c r="K3374" s="1077"/>
      <c r="L3374" s="1077"/>
      <c r="M3374" s="1077"/>
    </row>
    <row r="3375" spans="5:13">
      <c r="E3375" s="1077"/>
      <c r="F3375" s="1077"/>
      <c r="G3375" s="1077"/>
      <c r="H3375" s="1077"/>
      <c r="I3375" s="1077"/>
      <c r="J3375" s="1077"/>
      <c r="K3375" s="1077"/>
      <c r="L3375" s="1077"/>
      <c r="M3375" s="1077"/>
    </row>
    <row r="3376" spans="5:13">
      <c r="E3376" s="1077"/>
      <c r="F3376" s="1077">
        <v>1</v>
      </c>
      <c r="G3376" s="1077" t="s">
        <v>1034</v>
      </c>
      <c r="H3376" s="1079" t="s">
        <v>2372</v>
      </c>
      <c r="I3376" s="1112">
        <v>110</v>
      </c>
      <c r="J3376" s="1077" t="s">
        <v>1034</v>
      </c>
      <c r="K3376" s="1077">
        <f>F3376*I3376</f>
        <v>110</v>
      </c>
      <c r="L3376" s="1077"/>
      <c r="M3376" s="1077"/>
    </row>
    <row r="3377" spans="5:13" ht="31.5">
      <c r="E3377" s="1077"/>
      <c r="F3377" s="1077"/>
      <c r="G3377" s="1077"/>
      <c r="H3377" s="1076" t="s">
        <v>2561</v>
      </c>
      <c r="I3377" s="1077"/>
      <c r="J3377" s="1077"/>
      <c r="K3377" s="1077">
        <v>35.75</v>
      </c>
      <c r="L3377" s="1077"/>
      <c r="M3377" s="1077"/>
    </row>
    <row r="3378" spans="5:13">
      <c r="E3378" s="1077"/>
      <c r="F3378" s="1077"/>
      <c r="G3378" s="1077"/>
      <c r="H3378" s="1077" t="s">
        <v>478</v>
      </c>
      <c r="I3378" s="1077"/>
      <c r="J3378" s="1077"/>
      <c r="K3378" s="1077">
        <f>K3356</f>
        <v>372.8</v>
      </c>
      <c r="L3378" s="1077"/>
      <c r="M3378" s="1077"/>
    </row>
    <row r="3379" spans="5:13">
      <c r="E3379" s="1077"/>
      <c r="F3379" s="1077"/>
      <c r="G3379" s="1077"/>
      <c r="H3379" s="1082" t="s">
        <v>2400</v>
      </c>
      <c r="I3379" s="1077"/>
      <c r="J3379" s="1077"/>
      <c r="K3379" s="1079">
        <f>SUM(K3376:K3378)</f>
        <v>518.54999999999995</v>
      </c>
      <c r="L3379" s="1077">
        <f>389-K3379</f>
        <v>-129.55000000000001</v>
      </c>
      <c r="M3379" s="1077"/>
    </row>
    <row r="3380" spans="5:13">
      <c r="E3380" s="1077"/>
      <c r="F3380" s="1077"/>
      <c r="G3380" s="1077"/>
      <c r="H3380" s="1077"/>
      <c r="I3380" s="1077"/>
      <c r="J3380" s="1077"/>
      <c r="K3380" s="1077"/>
      <c r="L3380" s="1077"/>
      <c r="M3380" s="1077"/>
    </row>
    <row r="3381" spans="5:13">
      <c r="E3381" s="1077"/>
      <c r="F3381" s="1077"/>
      <c r="G3381" s="1077"/>
      <c r="H3381" s="1079" t="s">
        <v>2571</v>
      </c>
      <c r="I3381" s="1077"/>
      <c r="J3381" s="1077"/>
      <c r="K3381" s="1077"/>
      <c r="L3381" s="1077"/>
      <c r="M3381" s="1077"/>
    </row>
    <row r="3382" spans="5:13">
      <c r="E3382" s="1077"/>
      <c r="F3382" s="1077"/>
      <c r="G3382" s="1077"/>
      <c r="H3382" s="1079" t="s">
        <v>2572</v>
      </c>
      <c r="I3382" s="1077"/>
      <c r="J3382" s="1077"/>
      <c r="K3382" s="1077"/>
      <c r="L3382" s="1077"/>
      <c r="M3382" s="1077"/>
    </row>
    <row r="3383" spans="5:13">
      <c r="E3383" s="1077"/>
      <c r="F3383" s="1077"/>
      <c r="G3383" s="1077"/>
      <c r="H3383" s="1077"/>
      <c r="I3383" s="1077"/>
      <c r="J3383" s="1077"/>
      <c r="K3383" s="1077"/>
      <c r="L3383" s="1077"/>
      <c r="M3383" s="1077"/>
    </row>
    <row r="3384" spans="5:13" ht="39" customHeight="1">
      <c r="E3384" s="1077"/>
      <c r="F3384" s="1077">
        <v>1</v>
      </c>
      <c r="G3384" s="1077" t="s">
        <v>1034</v>
      </c>
      <c r="H3384" s="1076">
        <f>Elec.Data!H554</f>
        <v>0</v>
      </c>
      <c r="I3384" s="1084">
        <f>Elec.Data!I554</f>
        <v>0</v>
      </c>
      <c r="J3384" s="1077" t="s">
        <v>1034</v>
      </c>
      <c r="K3384" s="1079">
        <f>F3384*I3384</f>
        <v>0</v>
      </c>
      <c r="L3384" s="1077"/>
      <c r="M3384" s="1077"/>
    </row>
    <row r="3385" spans="5:13">
      <c r="E3385" s="1077"/>
      <c r="F3385" s="1077"/>
      <c r="G3385" s="1077"/>
      <c r="H3385" s="1077"/>
      <c r="I3385" s="1077"/>
      <c r="J3385" s="1077"/>
      <c r="K3385" s="1077"/>
      <c r="L3385" s="1077"/>
      <c r="M3385" s="1077"/>
    </row>
    <row r="3386" spans="5:13">
      <c r="E3386" s="1077"/>
      <c r="F3386" s="1077"/>
      <c r="G3386" s="1077"/>
      <c r="H3386" s="1079" t="s">
        <v>2573</v>
      </c>
      <c r="I3386" s="1077"/>
      <c r="J3386" s="1077"/>
      <c r="K3386" s="1077"/>
      <c r="L3386" s="1077"/>
      <c r="M3386" s="1077"/>
    </row>
    <row r="3387" spans="5:13">
      <c r="E3387" s="1077"/>
      <c r="F3387" s="1077"/>
      <c r="G3387" s="1077"/>
      <c r="H3387" s="1079" t="s">
        <v>2574</v>
      </c>
      <c r="I3387" s="1077"/>
      <c r="J3387" s="1077"/>
      <c r="K3387" s="1077"/>
      <c r="L3387" s="1077"/>
      <c r="M3387" s="1077"/>
    </row>
    <row r="3388" spans="5:13">
      <c r="E3388" s="1077"/>
      <c r="F3388" s="1077"/>
      <c r="G3388" s="1077"/>
      <c r="H3388" s="1077"/>
      <c r="I3388" s="1077"/>
      <c r="J3388" s="1077"/>
      <c r="K3388" s="1077"/>
      <c r="L3388" s="1077"/>
      <c r="M3388" s="1077"/>
    </row>
    <row r="3389" spans="5:13" ht="36.75" customHeight="1">
      <c r="E3389" s="1077"/>
      <c r="F3389" s="1077">
        <v>1</v>
      </c>
      <c r="G3389" s="1077" t="s">
        <v>1034</v>
      </c>
      <c r="H3389" s="1076" t="s">
        <v>2575</v>
      </c>
      <c r="I3389" s="1084">
        <f>Elec.Data!I559</f>
        <v>0</v>
      </c>
      <c r="J3389" s="1077" t="s">
        <v>1034</v>
      </c>
      <c r="K3389" s="1095">
        <f>F3389*I3389</f>
        <v>0</v>
      </c>
      <c r="L3389" s="1077"/>
      <c r="M3389" s="1077"/>
    </row>
    <row r="3390" spans="5:13" ht="7.5" customHeight="1">
      <c r="E3390" s="1077"/>
      <c r="F3390" s="1077"/>
      <c r="G3390" s="1077"/>
      <c r="H3390" s="1077"/>
      <c r="I3390" s="1077"/>
      <c r="J3390" s="1077"/>
      <c r="K3390" s="1077"/>
      <c r="L3390" s="1077"/>
      <c r="M3390" s="1077"/>
    </row>
    <row r="3391" spans="5:13">
      <c r="E3391" s="1077"/>
      <c r="F3391" s="1077"/>
      <c r="G3391" s="1077"/>
      <c r="H3391" s="1079" t="s">
        <v>2576</v>
      </c>
      <c r="I3391" s="1077"/>
      <c r="J3391" s="1077"/>
      <c r="K3391" s="1077"/>
      <c r="L3391" s="1077"/>
      <c r="M3391" s="1077"/>
    </row>
    <row r="3392" spans="5:13">
      <c r="E3392" s="1077"/>
      <c r="F3392" s="1077"/>
      <c r="G3392" s="1077"/>
      <c r="H3392" s="1079" t="s">
        <v>2577</v>
      </c>
      <c r="I3392" s="1077"/>
      <c r="J3392" s="1077"/>
      <c r="K3392" s="1077"/>
      <c r="L3392" s="1077"/>
      <c r="M3392" s="1077"/>
    </row>
    <row r="3393" spans="5:15">
      <c r="E3393" s="1077"/>
      <c r="F3393" s="1077"/>
      <c r="G3393" s="1077"/>
      <c r="H3393" s="1088" t="s">
        <v>2578</v>
      </c>
      <c r="I3393" s="1077"/>
      <c r="J3393" s="1077"/>
      <c r="K3393" s="1077"/>
      <c r="L3393" s="1077"/>
      <c r="M3393" s="1077"/>
    </row>
    <row r="3394" spans="5:15">
      <c r="E3394" s="1077"/>
      <c r="F3394" s="1077"/>
      <c r="G3394" s="1077"/>
      <c r="H3394" s="1077"/>
      <c r="I3394" s="1077"/>
      <c r="J3394" s="1077"/>
      <c r="K3394" s="1077"/>
      <c r="L3394" s="1077"/>
      <c r="M3394" s="1077"/>
    </row>
    <row r="3395" spans="5:15" ht="63">
      <c r="E3395" s="1077"/>
      <c r="F3395" s="1077"/>
      <c r="G3395" s="1077"/>
      <c r="H3395" s="1076" t="s">
        <v>2579</v>
      </c>
      <c r="I3395" s="1077"/>
      <c r="J3395" s="1077"/>
      <c r="K3395" s="1077"/>
      <c r="L3395" s="1076" t="s">
        <v>2580</v>
      </c>
      <c r="M3395" s="1076" t="s">
        <v>2581</v>
      </c>
      <c r="N3395" s="1076" t="s">
        <v>2582</v>
      </c>
      <c r="O3395" s="1076" t="s">
        <v>2583</v>
      </c>
    </row>
    <row r="3396" spans="5:15">
      <c r="E3396" s="1077"/>
      <c r="F3396" s="1077">
        <v>1</v>
      </c>
      <c r="G3396" s="1077" t="s">
        <v>1034</v>
      </c>
      <c r="H3396" s="1077" t="s">
        <v>2584</v>
      </c>
      <c r="I3396" s="1084">
        <f>Elec.Data!I566</f>
        <v>31.28</v>
      </c>
      <c r="J3396" s="1077" t="s">
        <v>1034</v>
      </c>
      <c r="K3396" s="1077">
        <f>F3396*I3396</f>
        <v>31.28</v>
      </c>
      <c r="L3396" s="1077">
        <f>Elec.Data!L566</f>
        <v>31.28</v>
      </c>
      <c r="M3396" s="1077">
        <f>Elec.Data!M566</f>
        <v>31.28</v>
      </c>
      <c r="N3396" s="1077">
        <f>Elec.Data!N566</f>
        <v>31.28</v>
      </c>
      <c r="O3396" s="1092">
        <f>Elec.Data!O566</f>
        <v>31.28</v>
      </c>
    </row>
    <row r="3397" spans="5:15">
      <c r="E3397" s="1077"/>
      <c r="F3397" s="1077">
        <v>1</v>
      </c>
      <c r="G3397" s="1077" t="s">
        <v>1034</v>
      </c>
      <c r="H3397" s="1077" t="s">
        <v>2585</v>
      </c>
      <c r="I3397" s="1077">
        <f>K3402</f>
        <v>32.119999999999997</v>
      </c>
      <c r="J3397" s="1077" t="s">
        <v>1034</v>
      </c>
      <c r="K3397" s="1077">
        <f>F3397*I3397</f>
        <v>32.119999999999997</v>
      </c>
      <c r="L3397" s="1077">
        <f t="shared" ref="L3397:O3399" si="103">K3397</f>
        <v>32.119999999999997</v>
      </c>
      <c r="M3397" s="1077">
        <f t="shared" si="103"/>
        <v>32.119999999999997</v>
      </c>
      <c r="N3397" s="1077">
        <f t="shared" si="103"/>
        <v>32.119999999999997</v>
      </c>
      <c r="O3397" s="946">
        <f t="shared" si="103"/>
        <v>32.119999999999997</v>
      </c>
    </row>
    <row r="3398" spans="5:15">
      <c r="E3398" s="1077"/>
      <c r="F3398" s="1077"/>
      <c r="G3398" s="1077"/>
      <c r="H3398" s="1077" t="s">
        <v>478</v>
      </c>
      <c r="I3398" s="1077"/>
      <c r="J3398" s="1077"/>
      <c r="K3398" s="1077">
        <f>K3409</f>
        <v>424.25</v>
      </c>
      <c r="L3398" s="1077">
        <f t="shared" si="103"/>
        <v>424.25</v>
      </c>
      <c r="M3398" s="1077">
        <f t="shared" si="103"/>
        <v>424.25</v>
      </c>
      <c r="N3398" s="1077">
        <f t="shared" si="103"/>
        <v>424.25</v>
      </c>
      <c r="O3398" s="946">
        <f t="shared" si="103"/>
        <v>424.25</v>
      </c>
    </row>
    <row r="3399" spans="5:15">
      <c r="E3399" s="1077"/>
      <c r="F3399" s="1077"/>
      <c r="G3399" s="1077"/>
      <c r="H3399" s="1077" t="s">
        <v>2586</v>
      </c>
      <c r="I3399" s="1077" t="s">
        <v>49</v>
      </c>
      <c r="J3399" s="1077"/>
      <c r="K3399" s="1077">
        <v>5.05</v>
      </c>
      <c r="L3399" s="1077">
        <f t="shared" si="103"/>
        <v>5.05</v>
      </c>
      <c r="M3399" s="1077">
        <f t="shared" si="103"/>
        <v>5.05</v>
      </c>
      <c r="N3399" s="1077">
        <f t="shared" si="103"/>
        <v>5.05</v>
      </c>
      <c r="O3399" s="946">
        <f t="shared" si="103"/>
        <v>5.05</v>
      </c>
    </row>
    <row r="3400" spans="5:15">
      <c r="E3400" s="1077"/>
      <c r="F3400" s="1077"/>
      <c r="G3400" s="1077"/>
      <c r="H3400" s="1082" t="s">
        <v>2400</v>
      </c>
      <c r="I3400" s="1077"/>
      <c r="J3400" s="1077"/>
      <c r="K3400" s="1079">
        <f>SUM(K3396:K3399)</f>
        <v>492.7</v>
      </c>
      <c r="L3400" s="1079">
        <f>SUM(L3396:L3399)</f>
        <v>492.7</v>
      </c>
      <c r="M3400" s="1079">
        <f>SUM(M3396:M3399)</f>
        <v>492.7</v>
      </c>
      <c r="N3400" s="1079">
        <f>SUM(N3396:N3399)</f>
        <v>492.7</v>
      </c>
      <c r="O3400" s="1079">
        <f>SUM(O3396:O3399)</f>
        <v>492.7</v>
      </c>
    </row>
    <row r="3401" spans="5:15" ht="9.75" customHeight="1">
      <c r="E3401" s="1077"/>
      <c r="F3401" s="1077"/>
      <c r="G3401" s="1077"/>
      <c r="H3401" s="1077"/>
      <c r="I3401" s="1077"/>
      <c r="J3401" s="1077"/>
      <c r="K3401" s="1077"/>
      <c r="L3401" s="1077"/>
      <c r="M3401" s="1077"/>
    </row>
    <row r="3402" spans="5:15">
      <c r="E3402" s="1077"/>
      <c r="F3402" s="1077"/>
      <c r="G3402" s="1077"/>
      <c r="H3402" s="1079" t="s">
        <v>2587</v>
      </c>
      <c r="I3402" s="1077">
        <f>I3368</f>
        <v>107060</v>
      </c>
      <c r="J3402" s="1097">
        <v>2.9999999999999997E-4</v>
      </c>
      <c r="K3402" s="1079">
        <f>I3402*J3402</f>
        <v>32.119999999999997</v>
      </c>
      <c r="L3402" s="1077"/>
      <c r="M3402" s="1077"/>
    </row>
    <row r="3403" spans="5:15">
      <c r="E3403" s="1077"/>
      <c r="F3403" s="1077"/>
      <c r="G3403" s="1077"/>
      <c r="H3403" s="1077"/>
      <c r="I3403" s="1077"/>
      <c r="J3403" s="1077"/>
      <c r="K3403" s="1077"/>
      <c r="L3403" s="1077"/>
      <c r="M3403" s="1077"/>
    </row>
    <row r="3404" spans="5:15">
      <c r="E3404" s="1077"/>
      <c r="F3404" s="1077"/>
      <c r="G3404" s="1077"/>
      <c r="H3404" s="1088" t="s">
        <v>1978</v>
      </c>
      <c r="I3404" s="1077"/>
      <c r="J3404" s="1077"/>
      <c r="K3404" s="1077"/>
      <c r="L3404" s="1077"/>
      <c r="M3404" s="1077"/>
    </row>
    <row r="3405" spans="5:15">
      <c r="E3405" s="1077"/>
      <c r="F3405" s="1077">
        <v>1</v>
      </c>
      <c r="G3405" s="1077" t="s">
        <v>1034</v>
      </c>
      <c r="H3405" s="1077" t="s">
        <v>2472</v>
      </c>
      <c r="I3405" s="1077">
        <f>I3351</f>
        <v>783</v>
      </c>
      <c r="J3405" s="1077" t="s">
        <v>1034</v>
      </c>
      <c r="K3405" s="1077">
        <f>F3405*I3405</f>
        <v>783</v>
      </c>
      <c r="L3405" s="1077"/>
      <c r="M3405" s="1077"/>
    </row>
    <row r="3406" spans="5:15">
      <c r="E3406" s="1077"/>
      <c r="F3406" s="1077">
        <v>1</v>
      </c>
      <c r="G3406" s="1077" t="s">
        <v>1034</v>
      </c>
      <c r="H3406" s="1077" t="s">
        <v>2463</v>
      </c>
      <c r="I3406" s="1077">
        <f>I3352</f>
        <v>778</v>
      </c>
      <c r="J3406" s="1077" t="s">
        <v>1034</v>
      </c>
      <c r="K3406" s="1077">
        <f>F3406*I3406</f>
        <v>778</v>
      </c>
      <c r="L3406" s="1077"/>
      <c r="M3406" s="1077"/>
    </row>
    <row r="3407" spans="5:15">
      <c r="E3407" s="1077"/>
      <c r="F3407" s="1077">
        <v>3</v>
      </c>
      <c r="G3407" s="1077" t="s">
        <v>1034</v>
      </c>
      <c r="H3407" s="1077" t="s">
        <v>2166</v>
      </c>
      <c r="I3407" s="1077">
        <f>I3353</f>
        <v>611</v>
      </c>
      <c r="J3407" s="1077" t="s">
        <v>1034</v>
      </c>
      <c r="K3407" s="1077">
        <f>F3407*I3407</f>
        <v>1833</v>
      </c>
      <c r="L3407" s="1077"/>
      <c r="M3407" s="1077"/>
    </row>
    <row r="3408" spans="5:15">
      <c r="E3408" s="1077"/>
      <c r="F3408" s="1077"/>
      <c r="G3408" s="1077"/>
      <c r="H3408" s="1081" t="s">
        <v>2588</v>
      </c>
      <c r="I3408" s="1077"/>
      <c r="J3408" s="1077"/>
      <c r="K3408" s="1077">
        <f>SUM(K3405:K3407)</f>
        <v>3394</v>
      </c>
      <c r="L3408" s="1077"/>
      <c r="M3408" s="1077"/>
    </row>
    <row r="3409" spans="5:13">
      <c r="E3409" s="1077"/>
      <c r="F3409" s="1077"/>
      <c r="G3409" s="1077"/>
      <c r="H3409" s="1082" t="s">
        <v>2058</v>
      </c>
      <c r="I3409" s="1077"/>
      <c r="J3409" s="1077"/>
      <c r="K3409" s="1079">
        <f>K3408/8</f>
        <v>424.25</v>
      </c>
      <c r="L3409" s="1077"/>
      <c r="M3409" s="1077"/>
    </row>
    <row r="3410" spans="5:13" ht="9" customHeight="1">
      <c r="E3410" s="1077"/>
      <c r="F3410" s="1077"/>
      <c r="G3410" s="1077"/>
      <c r="H3410" s="1077"/>
      <c r="I3410" s="1077"/>
      <c r="J3410" s="1077"/>
      <c r="K3410" s="1077"/>
      <c r="L3410" s="1077"/>
      <c r="M3410" s="1077"/>
    </row>
    <row r="3411" spans="5:13">
      <c r="E3411" s="1077"/>
      <c r="F3411" s="1077"/>
      <c r="G3411" s="1077"/>
      <c r="H3411" s="1079" t="s">
        <v>2589</v>
      </c>
      <c r="I3411" s="1077"/>
      <c r="J3411" s="1077"/>
      <c r="K3411" s="1077"/>
      <c r="L3411" s="1077"/>
      <c r="M3411" s="1077"/>
    </row>
    <row r="3412" spans="5:13">
      <c r="E3412" s="1077"/>
      <c r="F3412" s="1077"/>
      <c r="G3412" s="1077"/>
      <c r="H3412" s="1079" t="s">
        <v>2590</v>
      </c>
      <c r="I3412" s="1077"/>
      <c r="J3412" s="1077"/>
      <c r="K3412" s="1077"/>
      <c r="L3412" s="1077"/>
      <c r="M3412" s="1077"/>
    </row>
    <row r="3413" spans="5:13">
      <c r="E3413" s="1077"/>
      <c r="F3413" s="1077"/>
      <c r="G3413" s="1077"/>
      <c r="H3413" s="1077"/>
      <c r="I3413" s="1077"/>
      <c r="J3413" s="1077"/>
      <c r="K3413" s="1077"/>
      <c r="L3413" s="1077"/>
      <c r="M3413" s="1077"/>
    </row>
    <row r="3414" spans="5:13" ht="63">
      <c r="E3414" s="1077"/>
      <c r="F3414" s="1077"/>
      <c r="G3414" s="1077"/>
      <c r="H3414" s="1076" t="s">
        <v>2591</v>
      </c>
      <c r="I3414" s="1077"/>
      <c r="J3414" s="1077"/>
      <c r="K3414" s="1077"/>
      <c r="L3414" s="1077" t="s">
        <v>2592</v>
      </c>
      <c r="M3414" s="1077"/>
    </row>
    <row r="3415" spans="5:13">
      <c r="E3415" s="1077"/>
      <c r="F3415" s="1077">
        <v>3</v>
      </c>
      <c r="G3415" s="1077" t="s">
        <v>1034</v>
      </c>
      <c r="H3415" s="1077" t="s">
        <v>2584</v>
      </c>
      <c r="I3415" s="1086">
        <f>I3396</f>
        <v>31.28</v>
      </c>
      <c r="J3415" s="1077" t="s">
        <v>729</v>
      </c>
      <c r="K3415" s="1077">
        <f>F3415*I3415</f>
        <v>93.84</v>
      </c>
      <c r="L3415" s="1077">
        <f>L3396*3</f>
        <v>93.84</v>
      </c>
      <c r="M3415" s="1077"/>
    </row>
    <row r="3416" spans="5:13">
      <c r="E3416" s="1077"/>
      <c r="F3416" s="1077">
        <v>1</v>
      </c>
      <c r="G3416" s="1077" t="s">
        <v>1034</v>
      </c>
      <c r="H3416" s="1077" t="s">
        <v>2553</v>
      </c>
      <c r="I3416" s="1077">
        <f>K3421</f>
        <v>64.239999999999995</v>
      </c>
      <c r="J3416" s="1077" t="s">
        <v>1034</v>
      </c>
      <c r="K3416" s="1077">
        <f>F3416*I3416</f>
        <v>64.239999999999995</v>
      </c>
      <c r="L3416" s="1077">
        <f>K3416</f>
        <v>64.239999999999995</v>
      </c>
      <c r="M3416" s="1077"/>
    </row>
    <row r="3417" spans="5:13">
      <c r="E3417" s="1077"/>
      <c r="F3417" s="1077"/>
      <c r="G3417" s="1077"/>
      <c r="H3417" s="1077" t="s">
        <v>478</v>
      </c>
      <c r="I3417" s="1077"/>
      <c r="J3417" s="1077"/>
      <c r="K3417" s="1077">
        <f>K3428</f>
        <v>500.63</v>
      </c>
      <c r="L3417" s="1077">
        <f>K3417</f>
        <v>500.63</v>
      </c>
      <c r="M3417" s="1077"/>
    </row>
    <row r="3418" spans="5:13">
      <c r="E3418" s="1077"/>
      <c r="F3418" s="1077"/>
      <c r="G3418" s="1077"/>
      <c r="H3418" s="1077" t="s">
        <v>2586</v>
      </c>
      <c r="I3418" s="1077" t="s">
        <v>49</v>
      </c>
      <c r="J3418" s="1077"/>
      <c r="K3418" s="1077">
        <v>8.5299999999999994</v>
      </c>
      <c r="L3418" s="1077">
        <f>K3418</f>
        <v>8.5299999999999994</v>
      </c>
      <c r="M3418" s="1077"/>
    </row>
    <row r="3419" spans="5:13">
      <c r="E3419" s="1077"/>
      <c r="F3419" s="1077"/>
      <c r="G3419" s="1077"/>
      <c r="H3419" s="1082" t="s">
        <v>2400</v>
      </c>
      <c r="I3419" s="1077"/>
      <c r="J3419" s="1077"/>
      <c r="K3419" s="1079">
        <f>SUM(K3415:K3418)</f>
        <v>667.24</v>
      </c>
      <c r="L3419" s="1079">
        <f>SUM(L3415:L3418)</f>
        <v>667.24</v>
      </c>
      <c r="M3419" s="1077"/>
    </row>
    <row r="3420" spans="5:13">
      <c r="E3420" s="1077"/>
      <c r="F3420" s="1077"/>
      <c r="G3420" s="1077"/>
      <c r="H3420" s="1082"/>
      <c r="I3420" s="1077"/>
      <c r="J3420" s="1077"/>
      <c r="K3420" s="1079"/>
      <c r="L3420" s="1077"/>
      <c r="M3420" s="1077"/>
    </row>
    <row r="3421" spans="5:13">
      <c r="E3421" s="1077"/>
      <c r="F3421" s="1077"/>
      <c r="G3421" s="1077"/>
      <c r="H3421" s="1079" t="s">
        <v>2553</v>
      </c>
      <c r="I3421" s="1077">
        <f>I3402</f>
        <v>107060</v>
      </c>
      <c r="J3421" s="1097">
        <v>5.9999999999999995E-4</v>
      </c>
      <c r="K3421" s="1079">
        <f>I3421*J3421</f>
        <v>64.239999999999995</v>
      </c>
      <c r="L3421" s="1077"/>
      <c r="M3421" s="1077"/>
    </row>
    <row r="3422" spans="5:13">
      <c r="E3422" s="1077"/>
      <c r="F3422" s="1077"/>
      <c r="G3422" s="1077"/>
      <c r="H3422" s="1082"/>
      <c r="I3422" s="1077"/>
      <c r="J3422" s="1077"/>
      <c r="K3422" s="1077"/>
      <c r="L3422" s="1077"/>
      <c r="M3422" s="1077"/>
    </row>
    <row r="3423" spans="5:13">
      <c r="E3423" s="1077"/>
      <c r="F3423" s="1077"/>
      <c r="G3423" s="1077"/>
      <c r="H3423" s="1088" t="s">
        <v>1978</v>
      </c>
      <c r="I3423" s="1077"/>
      <c r="J3423" s="1077"/>
      <c r="K3423" s="1077"/>
      <c r="L3423" s="1077"/>
      <c r="M3423" s="1077"/>
    </row>
    <row r="3424" spans="5:13">
      <c r="E3424" s="1077"/>
      <c r="F3424" s="1077">
        <v>1</v>
      </c>
      <c r="G3424" s="1077" t="s">
        <v>1034</v>
      </c>
      <c r="H3424" s="1077" t="s">
        <v>2472</v>
      </c>
      <c r="I3424" s="1077">
        <f>I3405</f>
        <v>783</v>
      </c>
      <c r="J3424" s="1077" t="s">
        <v>1034</v>
      </c>
      <c r="K3424" s="1077">
        <f>F3424*I3424</f>
        <v>783</v>
      </c>
      <c r="L3424" s="1077"/>
      <c r="M3424" s="1077"/>
    </row>
    <row r="3425" spans="5:13">
      <c r="E3425" s="1077"/>
      <c r="F3425" s="1077">
        <v>1</v>
      </c>
      <c r="G3425" s="1077" t="s">
        <v>1034</v>
      </c>
      <c r="H3425" s="1077" t="s">
        <v>2463</v>
      </c>
      <c r="I3425" s="1077">
        <f>I3406</f>
        <v>778</v>
      </c>
      <c r="J3425" s="1077" t="s">
        <v>1034</v>
      </c>
      <c r="K3425" s="1077">
        <f>F3425*I3425</f>
        <v>778</v>
      </c>
      <c r="L3425" s="1077"/>
      <c r="M3425" s="1077"/>
    </row>
    <row r="3426" spans="5:13">
      <c r="E3426" s="1077"/>
      <c r="F3426" s="1077">
        <v>4</v>
      </c>
      <c r="G3426" s="1077" t="s">
        <v>1034</v>
      </c>
      <c r="H3426" s="1077" t="s">
        <v>2166</v>
      </c>
      <c r="I3426" s="1077">
        <f>I3407</f>
        <v>611</v>
      </c>
      <c r="J3426" s="1077" t="s">
        <v>1034</v>
      </c>
      <c r="K3426" s="1077">
        <f>F3426*I3426</f>
        <v>2444</v>
      </c>
      <c r="L3426" s="1077"/>
      <c r="M3426" s="1077"/>
    </row>
    <row r="3427" spans="5:13">
      <c r="E3427" s="1077"/>
      <c r="F3427" s="1077"/>
      <c r="G3427" s="1077"/>
      <c r="H3427" s="1081" t="s">
        <v>2588</v>
      </c>
      <c r="I3427" s="1077"/>
      <c r="J3427" s="1077"/>
      <c r="K3427" s="1077">
        <f>SUM(K3424:K3426)</f>
        <v>4005</v>
      </c>
      <c r="L3427" s="1077"/>
      <c r="M3427" s="1077"/>
    </row>
    <row r="3428" spans="5:13">
      <c r="E3428" s="1077"/>
      <c r="F3428" s="1077"/>
      <c r="G3428" s="1077"/>
      <c r="H3428" s="1082" t="s">
        <v>2295</v>
      </c>
      <c r="I3428" s="1077"/>
      <c r="J3428" s="1077"/>
      <c r="K3428" s="1079">
        <f>K3427/8</f>
        <v>500.63</v>
      </c>
      <c r="L3428" s="1077"/>
      <c r="M3428" s="1077"/>
    </row>
    <row r="3429" spans="5:13">
      <c r="E3429" s="1077"/>
      <c r="F3429" s="1077"/>
      <c r="G3429" s="1077"/>
      <c r="H3429" s="1077"/>
      <c r="I3429" s="1077"/>
      <c r="J3429" s="1077"/>
      <c r="K3429" s="1077"/>
      <c r="L3429" s="1077"/>
      <c r="M3429" s="1077"/>
    </row>
    <row r="3430" spans="5:13">
      <c r="E3430" s="1077"/>
      <c r="F3430" s="1077"/>
      <c r="G3430" s="1077"/>
      <c r="H3430" s="1079" t="s">
        <v>2593</v>
      </c>
      <c r="I3430" s="1077"/>
      <c r="J3430" s="1077"/>
      <c r="K3430" s="1077"/>
      <c r="L3430" s="1077"/>
      <c r="M3430" s="1077"/>
    </row>
    <row r="3431" spans="5:13">
      <c r="E3431" s="1077"/>
      <c r="F3431" s="1077"/>
      <c r="G3431" s="1077"/>
      <c r="H3431" s="1077"/>
      <c r="I3431" s="1077"/>
      <c r="J3431" s="1077"/>
      <c r="K3431" s="1077"/>
      <c r="L3431" s="1077"/>
      <c r="M3431" s="1077"/>
    </row>
    <row r="3432" spans="5:13">
      <c r="E3432" s="1077"/>
      <c r="F3432" s="1077"/>
      <c r="G3432" s="1077"/>
      <c r="H3432" s="1079" t="s">
        <v>2594</v>
      </c>
      <c r="I3432" s="1077"/>
      <c r="J3432" s="1077"/>
      <c r="K3432" s="1077"/>
      <c r="L3432" s="1077"/>
      <c r="M3432" s="1077"/>
    </row>
    <row r="3433" spans="5:13">
      <c r="E3433" s="1077"/>
      <c r="F3433" s="1077"/>
      <c r="G3433" s="1077"/>
      <c r="H3433" s="1077"/>
      <c r="I3433" s="1077"/>
      <c r="J3433" s="1077"/>
      <c r="K3433" s="1077"/>
      <c r="L3433" s="1077"/>
      <c r="M3433" s="1077"/>
    </row>
    <row r="3434" spans="5:13" ht="81" customHeight="1">
      <c r="E3434" s="1077"/>
      <c r="F3434" s="1077"/>
      <c r="G3434" s="1077"/>
      <c r="H3434" s="1076" t="s">
        <v>2595</v>
      </c>
      <c r="I3434" s="1077"/>
      <c r="J3434" s="1077"/>
      <c r="K3434" s="1077"/>
      <c r="L3434" s="1077"/>
      <c r="M3434" s="1077"/>
    </row>
    <row r="3435" spans="5:13">
      <c r="E3435" s="1077"/>
      <c r="F3435" s="1077"/>
      <c r="G3435" s="1077"/>
      <c r="H3435" s="1077"/>
      <c r="I3435" s="1077"/>
      <c r="J3435" s="1077"/>
      <c r="K3435" s="1077"/>
      <c r="L3435" s="1077"/>
      <c r="M3435" s="1077"/>
    </row>
    <row r="3436" spans="5:13">
      <c r="E3436" s="1077"/>
      <c r="F3436" s="1077">
        <v>1</v>
      </c>
      <c r="G3436" s="1077" t="s">
        <v>1034</v>
      </c>
      <c r="H3436" s="1077" t="s">
        <v>2596</v>
      </c>
      <c r="I3436" s="1086">
        <v>45.6</v>
      </c>
      <c r="J3436" s="1077" t="s">
        <v>1034</v>
      </c>
      <c r="K3436" s="1077">
        <f>F3436*I3436</f>
        <v>45.6</v>
      </c>
      <c r="L3436" s="1077"/>
      <c r="M3436" s="1077"/>
    </row>
    <row r="3437" spans="5:13">
      <c r="E3437" s="1077"/>
      <c r="F3437" s="1077">
        <v>1</v>
      </c>
      <c r="G3437" s="1077" t="s">
        <v>1034</v>
      </c>
      <c r="H3437" s="1076" t="s">
        <v>2597</v>
      </c>
      <c r="I3437" s="1077">
        <f>K3443</f>
        <v>240.89</v>
      </c>
      <c r="J3437" s="1077" t="s">
        <v>1034</v>
      </c>
      <c r="K3437" s="1077">
        <f>F3437*I3437</f>
        <v>240.89</v>
      </c>
      <c r="L3437" s="1077"/>
      <c r="M3437" s="1077"/>
    </row>
    <row r="3438" spans="5:13">
      <c r="E3438" s="1077"/>
      <c r="F3438" s="1077">
        <v>1</v>
      </c>
      <c r="G3438" s="1077" t="s">
        <v>1034</v>
      </c>
      <c r="H3438" s="1077" t="s">
        <v>2598</v>
      </c>
      <c r="I3438" s="1109">
        <v>25</v>
      </c>
      <c r="J3438" s="1077" t="s">
        <v>2599</v>
      </c>
      <c r="K3438" s="1077">
        <f>F3438*I3438</f>
        <v>25</v>
      </c>
      <c r="L3438" s="1077"/>
      <c r="M3438" s="1077"/>
    </row>
    <row r="3439" spans="5:13">
      <c r="E3439" s="1077"/>
      <c r="F3439" s="1077"/>
      <c r="G3439" s="1077"/>
      <c r="H3439" s="1077" t="s">
        <v>1978</v>
      </c>
      <c r="I3439" s="1077"/>
      <c r="J3439" s="1077"/>
      <c r="K3439" s="1077">
        <f>K3449</f>
        <v>501.25</v>
      </c>
      <c r="L3439" s="1077"/>
      <c r="M3439" s="1077"/>
    </row>
    <row r="3440" spans="5:13">
      <c r="E3440" s="1077"/>
      <c r="F3440" s="1077"/>
      <c r="G3440" s="1077"/>
      <c r="H3440" s="1077" t="s">
        <v>2600</v>
      </c>
      <c r="I3440" s="1077"/>
      <c r="J3440" s="1077"/>
      <c r="K3440" s="1077">
        <v>8.01</v>
      </c>
      <c r="L3440" s="1077"/>
      <c r="M3440" s="1077"/>
    </row>
    <row r="3441" spans="5:13">
      <c r="E3441" s="1077"/>
      <c r="F3441" s="1077"/>
      <c r="G3441" s="1077"/>
      <c r="H3441" s="1082" t="s">
        <v>2601</v>
      </c>
      <c r="I3441" s="1077"/>
      <c r="J3441" s="1077"/>
      <c r="K3441" s="1079">
        <f>SUM(K3436:K3440)</f>
        <v>820.75</v>
      </c>
      <c r="L3441" s="1077"/>
      <c r="M3441" s="1077"/>
    </row>
    <row r="3442" spans="5:13" ht="8.25" customHeight="1">
      <c r="E3442" s="1077"/>
      <c r="F3442" s="1077"/>
      <c r="G3442" s="1077"/>
      <c r="H3442" s="1077"/>
      <c r="I3442" s="1077"/>
      <c r="J3442" s="1077"/>
      <c r="K3442" s="1077"/>
      <c r="L3442" s="1077"/>
      <c r="M3442" s="1077"/>
    </row>
    <row r="3443" spans="5:13">
      <c r="E3443" s="1077"/>
      <c r="F3443" s="1077"/>
      <c r="G3443" s="1077"/>
      <c r="H3443" s="1079" t="s">
        <v>2602</v>
      </c>
      <c r="I3443" s="1077">
        <f>I3421</f>
        <v>107060</v>
      </c>
      <c r="J3443" s="1113">
        <v>2.2499999999999998E-3</v>
      </c>
      <c r="K3443" s="1077">
        <f>I3443*J3443</f>
        <v>240.89</v>
      </c>
      <c r="L3443" s="1077"/>
      <c r="M3443" s="1077"/>
    </row>
    <row r="3444" spans="5:13" ht="7.5" customHeight="1">
      <c r="E3444" s="1077"/>
      <c r="F3444" s="1077"/>
      <c r="G3444" s="1077"/>
      <c r="H3444" s="1077"/>
      <c r="I3444" s="1077"/>
      <c r="J3444" s="1077"/>
      <c r="K3444" s="1077"/>
      <c r="L3444" s="1077"/>
      <c r="M3444" s="1077"/>
    </row>
    <row r="3445" spans="5:13">
      <c r="E3445" s="1077"/>
      <c r="F3445" s="1077"/>
      <c r="G3445" s="1077"/>
      <c r="H3445" s="1079" t="s">
        <v>478</v>
      </c>
      <c r="I3445" s="1077"/>
      <c r="J3445" s="1077"/>
      <c r="K3445" s="1077"/>
      <c r="L3445" s="1077"/>
      <c r="M3445" s="1077"/>
    </row>
    <row r="3446" spans="5:13">
      <c r="E3446" s="1077"/>
      <c r="F3446" s="1077">
        <v>1</v>
      </c>
      <c r="G3446" s="1077" t="s">
        <v>1034</v>
      </c>
      <c r="H3446" s="1077" t="s">
        <v>2472</v>
      </c>
      <c r="I3446" s="946">
        <f>I3424</f>
        <v>783</v>
      </c>
      <c r="J3446" s="1077" t="s">
        <v>1034</v>
      </c>
      <c r="K3446" s="1077">
        <f>F3446*I3446</f>
        <v>783</v>
      </c>
      <c r="L3446" s="1077"/>
      <c r="M3446" s="1077"/>
    </row>
    <row r="3447" spans="5:13">
      <c r="E3447" s="1077"/>
      <c r="F3447" s="1077">
        <v>2</v>
      </c>
      <c r="G3447" s="1077" t="s">
        <v>1034</v>
      </c>
      <c r="H3447" s="1077" t="s">
        <v>2464</v>
      </c>
      <c r="I3447" s="946">
        <f>I3426</f>
        <v>611</v>
      </c>
      <c r="J3447" s="1077" t="s">
        <v>1034</v>
      </c>
      <c r="K3447" s="1077">
        <f>F3447*I3447</f>
        <v>1222</v>
      </c>
      <c r="L3447" s="1077"/>
      <c r="M3447" s="1077"/>
    </row>
    <row r="3448" spans="5:13">
      <c r="E3448" s="1077"/>
      <c r="F3448" s="1077"/>
      <c r="G3448" s="1077"/>
      <c r="H3448" s="1081" t="s">
        <v>2473</v>
      </c>
      <c r="I3448" s="1077"/>
      <c r="J3448" s="1077"/>
      <c r="K3448" s="1077">
        <f>SUM(K3446:K3447)</f>
        <v>2005</v>
      </c>
      <c r="L3448" s="1077"/>
      <c r="M3448" s="1077"/>
    </row>
    <row r="3449" spans="5:13">
      <c r="E3449" s="1077"/>
      <c r="F3449" s="1077"/>
      <c r="G3449" s="1077"/>
      <c r="H3449" s="1082" t="s">
        <v>2058</v>
      </c>
      <c r="I3449" s="1077"/>
      <c r="J3449" s="1077"/>
      <c r="K3449" s="1079">
        <f>K3448/4</f>
        <v>501.25</v>
      </c>
      <c r="L3449" s="1077"/>
      <c r="M3449" s="1077"/>
    </row>
    <row r="3450" spans="5:13">
      <c r="E3450" s="1077"/>
      <c r="F3450" s="1077"/>
      <c r="G3450" s="1077"/>
      <c r="H3450" s="1077"/>
      <c r="I3450" s="1077"/>
      <c r="J3450" s="1077"/>
      <c r="K3450" s="1077"/>
      <c r="L3450" s="1077"/>
      <c r="M3450" s="1077"/>
    </row>
    <row r="3451" spans="5:13">
      <c r="E3451" s="1077"/>
      <c r="F3451" s="1077"/>
      <c r="G3451" s="1077"/>
      <c r="H3451" s="1079" t="s">
        <v>2603</v>
      </c>
      <c r="I3451" s="1077"/>
      <c r="J3451" s="1077"/>
      <c r="K3451" s="1077"/>
      <c r="L3451" s="1077"/>
      <c r="M3451" s="1077"/>
    </row>
    <row r="3452" spans="5:13">
      <c r="E3452" s="1077"/>
      <c r="F3452" s="1077"/>
      <c r="G3452" s="1077"/>
      <c r="H3452" s="1079" t="s">
        <v>2604</v>
      </c>
      <c r="I3452" s="1077"/>
      <c r="J3452" s="1077"/>
      <c r="K3452" s="1077"/>
      <c r="L3452" s="1077"/>
      <c r="M3452" s="1077"/>
    </row>
    <row r="3453" spans="5:13">
      <c r="E3453" s="1077"/>
      <c r="F3453" s="1077"/>
      <c r="G3453" s="1077"/>
      <c r="H3453" s="1077" t="s">
        <v>85</v>
      </c>
      <c r="I3453" s="1077"/>
      <c r="J3453" s="1077"/>
      <c r="K3453" s="1077"/>
      <c r="L3453" s="1077"/>
      <c r="M3453" s="1077"/>
    </row>
    <row r="3454" spans="5:13">
      <c r="E3454" s="1077"/>
      <c r="F3454" s="1077">
        <v>1</v>
      </c>
      <c r="G3454" s="1077" t="s">
        <v>1034</v>
      </c>
      <c r="H3454" s="1077" t="s">
        <v>2605</v>
      </c>
      <c r="I3454" s="1086">
        <f>Elec.Data!I624</f>
        <v>128</v>
      </c>
      <c r="J3454" s="1077" t="s">
        <v>1034</v>
      </c>
      <c r="K3454" s="1077">
        <f>F3454*I3454</f>
        <v>128</v>
      </c>
      <c r="L3454" s="1077"/>
      <c r="M3454" s="1077"/>
    </row>
    <row r="3455" spans="5:13">
      <c r="E3455" s="1077"/>
      <c r="F3455" s="1077">
        <v>3</v>
      </c>
      <c r="G3455" s="1077" t="s">
        <v>1034</v>
      </c>
      <c r="H3455" s="1077" t="str">
        <f>Elec.Data!H625</f>
        <v>Labour charges ( as per data No:28)</v>
      </c>
      <c r="I3455" s="1086">
        <f>Elec.Data!I625</f>
        <v>0</v>
      </c>
      <c r="J3455" s="1077" t="s">
        <v>1034</v>
      </c>
      <c r="K3455" s="1077">
        <f>F3455*I3455</f>
        <v>0</v>
      </c>
      <c r="L3455" s="1077"/>
      <c r="M3455" s="1077"/>
    </row>
    <row r="3456" spans="5:13">
      <c r="E3456" s="1077"/>
      <c r="F3456" s="1077"/>
      <c r="G3456" s="1077"/>
      <c r="H3456" s="1077" t="s">
        <v>2606</v>
      </c>
      <c r="I3456" s="1077"/>
      <c r="J3456" s="1077"/>
      <c r="K3456" s="1077">
        <f>K3348</f>
        <v>505.55</v>
      </c>
      <c r="L3456" s="1077"/>
      <c r="M3456" s="1077"/>
    </row>
    <row r="3457" spans="5:13">
      <c r="E3457" s="1077"/>
      <c r="F3457" s="1077"/>
      <c r="G3457" s="1077"/>
      <c r="H3457" s="1077" t="s">
        <v>1557</v>
      </c>
      <c r="I3457" s="1077"/>
      <c r="J3457" s="1077"/>
      <c r="K3457" s="1077">
        <v>0</v>
      </c>
      <c r="L3457" s="1077"/>
      <c r="M3457" s="1077"/>
    </row>
    <row r="3458" spans="5:13">
      <c r="E3458" s="1077"/>
      <c r="F3458" s="1077"/>
      <c r="G3458" s="1077"/>
      <c r="H3458" s="1082" t="s">
        <v>2607</v>
      </c>
      <c r="I3458" s="1077"/>
      <c r="J3458" s="1077"/>
      <c r="K3458" s="1079">
        <f>SUM(K3454:K3457)</f>
        <v>633.54999999999995</v>
      </c>
      <c r="L3458" s="1077"/>
      <c r="M3458" s="1077"/>
    </row>
    <row r="3459" spans="5:13">
      <c r="E3459" s="1077"/>
      <c r="F3459" s="1077"/>
      <c r="G3459" s="1077"/>
      <c r="H3459" s="1077"/>
      <c r="I3459" s="1077"/>
      <c r="J3459" s="1077"/>
      <c r="K3459" s="1077"/>
      <c r="L3459" s="1077"/>
      <c r="M3459" s="1077"/>
    </row>
    <row r="3460" spans="5:13">
      <c r="E3460" s="1077"/>
      <c r="F3460" s="1077"/>
      <c r="G3460" s="1077"/>
      <c r="H3460" s="1079" t="s">
        <v>2603</v>
      </c>
      <c r="I3460" s="1077"/>
      <c r="J3460" s="1077"/>
      <c r="K3460" s="1077"/>
      <c r="L3460" s="1077"/>
      <c r="M3460" s="1077"/>
    </row>
    <row r="3461" spans="5:13">
      <c r="E3461" s="1077"/>
      <c r="F3461" s="1077"/>
      <c r="G3461" s="1077"/>
      <c r="H3461" s="1077"/>
      <c r="I3461" s="1077"/>
      <c r="J3461" s="1077"/>
      <c r="K3461" s="1077"/>
      <c r="L3461" s="1077"/>
      <c r="M3461" s="1077"/>
    </row>
    <row r="3462" spans="5:13">
      <c r="E3462" s="1077"/>
      <c r="F3462" s="1077"/>
      <c r="G3462" s="1077"/>
      <c r="H3462" s="1079" t="s">
        <v>2608</v>
      </c>
      <c r="I3462" s="1077"/>
      <c r="J3462" s="1077"/>
      <c r="K3462" s="1077"/>
      <c r="L3462" s="1077"/>
      <c r="M3462" s="1077"/>
    </row>
    <row r="3463" spans="5:13">
      <c r="E3463" s="1077"/>
      <c r="F3463" s="1077"/>
      <c r="G3463" s="1077"/>
      <c r="H3463" s="1077"/>
      <c r="I3463" s="1077"/>
      <c r="J3463" s="1077"/>
      <c r="K3463" s="1077"/>
      <c r="L3463" s="1077"/>
      <c r="M3463" s="1077"/>
    </row>
    <row r="3464" spans="5:13">
      <c r="E3464" s="1077"/>
      <c r="F3464" s="1077">
        <v>1</v>
      </c>
      <c r="G3464" s="1077" t="s">
        <v>1034</v>
      </c>
      <c r="H3464" s="1077" t="str">
        <f>Elec.Data!H624</f>
        <v>3 No of 30 amps MCB ( Part -L, P-132   6-a havells)</v>
      </c>
      <c r="I3464" s="1086">
        <f>K3389</f>
        <v>0</v>
      </c>
      <c r="J3464" s="1077" t="s">
        <v>1034</v>
      </c>
      <c r="K3464" s="1077">
        <f>F3464*I3464</f>
        <v>0</v>
      </c>
      <c r="L3464" s="1077"/>
      <c r="M3464" s="1077"/>
    </row>
    <row r="3465" spans="5:13">
      <c r="E3465" s="1077"/>
      <c r="F3465" s="1077">
        <v>3</v>
      </c>
      <c r="G3465" s="1077" t="s">
        <v>1034</v>
      </c>
      <c r="H3465" s="1077" t="str">
        <f>Elec.Data!H625</f>
        <v>Labour charges ( as per data No:28)</v>
      </c>
      <c r="I3465" s="1077">
        <f>I3455</f>
        <v>0</v>
      </c>
      <c r="J3465" s="1077" t="s">
        <v>1034</v>
      </c>
      <c r="K3465" s="1077">
        <f>F3465*I3465</f>
        <v>0</v>
      </c>
      <c r="L3465" s="1077"/>
      <c r="M3465" s="1077"/>
    </row>
    <row r="3466" spans="5:13">
      <c r="E3466" s="1077"/>
      <c r="F3466" s="1077"/>
      <c r="G3466" s="1077"/>
      <c r="H3466" s="1077" t="s">
        <v>2609</v>
      </c>
      <c r="I3466" s="1077"/>
      <c r="J3466" s="1077"/>
      <c r="K3466" s="1077">
        <f>K3379</f>
        <v>518.54999999999995</v>
      </c>
      <c r="L3466" s="1077"/>
      <c r="M3466" s="1077"/>
    </row>
    <row r="3467" spans="5:13">
      <c r="E3467" s="1077"/>
      <c r="F3467" s="1077"/>
      <c r="G3467" s="1077"/>
      <c r="H3467" s="1077" t="s">
        <v>1557</v>
      </c>
      <c r="I3467" s="1077"/>
      <c r="J3467" s="1077"/>
      <c r="K3467" s="1077"/>
      <c r="L3467" s="1077"/>
      <c r="M3467" s="1077"/>
    </row>
    <row r="3468" spans="5:13">
      <c r="E3468" s="1077"/>
      <c r="F3468" s="1077"/>
      <c r="G3468" s="1077"/>
      <c r="H3468" s="1082" t="s">
        <v>2610</v>
      </c>
      <c r="I3468" s="1077"/>
      <c r="J3468" s="1077"/>
      <c r="K3468" s="1079">
        <f>SUM(K3464:K3467)</f>
        <v>518.54999999999995</v>
      </c>
      <c r="L3468" s="1077"/>
      <c r="M3468" s="1077"/>
    </row>
    <row r="3469" spans="5:13">
      <c r="E3469" s="1077"/>
      <c r="F3469" s="1077"/>
      <c r="G3469" s="1077"/>
      <c r="H3469" s="1077"/>
      <c r="I3469" s="1077"/>
      <c r="J3469" s="1077"/>
      <c r="K3469" s="1077"/>
      <c r="L3469" s="1077"/>
      <c r="M3469" s="1077"/>
    </row>
    <row r="3470" spans="5:13">
      <c r="E3470" s="1077"/>
      <c r="F3470" s="1077"/>
      <c r="G3470" s="1077"/>
      <c r="H3470" s="1079" t="s">
        <v>2611</v>
      </c>
      <c r="I3470" s="1077"/>
      <c r="J3470" s="1077"/>
      <c r="K3470" s="1077"/>
      <c r="L3470" s="1077"/>
      <c r="M3470" s="1077"/>
    </row>
    <row r="3471" spans="5:13">
      <c r="E3471" s="1077"/>
      <c r="F3471" s="1077"/>
      <c r="G3471" s="1077"/>
      <c r="H3471" s="1077"/>
      <c r="I3471" s="1077"/>
      <c r="J3471" s="1077"/>
      <c r="K3471" s="1077"/>
      <c r="L3471" s="1077"/>
      <c r="M3471" s="1077"/>
    </row>
    <row r="3472" spans="5:13">
      <c r="E3472" s="1077"/>
      <c r="F3472" s="1077"/>
      <c r="G3472" s="1077"/>
      <c r="H3472" s="1079" t="s">
        <v>2612</v>
      </c>
      <c r="I3472" s="1077"/>
      <c r="J3472" s="1077"/>
      <c r="K3472" s="1077"/>
      <c r="L3472" s="1077"/>
      <c r="M3472" s="1077"/>
    </row>
    <row r="3473" spans="5:13">
      <c r="E3473" s="1077"/>
      <c r="F3473" s="1077"/>
      <c r="G3473" s="1077"/>
      <c r="H3473" s="1077"/>
      <c r="I3473" s="1077"/>
      <c r="J3473" s="1077"/>
      <c r="K3473" s="1077"/>
      <c r="L3473" s="1077"/>
      <c r="M3473" s="1077"/>
    </row>
    <row r="3474" spans="5:13" ht="78.75">
      <c r="E3474" s="1077"/>
      <c r="F3474" s="1077"/>
      <c r="G3474" s="1077"/>
      <c r="H3474" s="1076" t="s">
        <v>2613</v>
      </c>
      <c r="I3474" s="1077"/>
      <c r="J3474" s="1077"/>
      <c r="K3474" s="1077"/>
      <c r="L3474" s="1077"/>
      <c r="M3474" s="1077"/>
    </row>
    <row r="3475" spans="5:13">
      <c r="E3475" s="1077"/>
      <c r="F3475" s="1077"/>
      <c r="G3475" s="1077"/>
      <c r="H3475" s="1077"/>
      <c r="I3475" s="1077"/>
      <c r="J3475" s="1077"/>
      <c r="K3475" s="1077"/>
      <c r="L3475" s="1077"/>
      <c r="M3475" s="1077"/>
    </row>
    <row r="3476" spans="5:13" ht="24.95" customHeight="1">
      <c r="E3476" s="1077"/>
      <c r="F3476" s="1077">
        <v>3</v>
      </c>
      <c r="G3476" s="1077" t="s">
        <v>1034</v>
      </c>
      <c r="H3476" s="1077" t="s">
        <v>2614</v>
      </c>
      <c r="I3476" s="1077">
        <f>I3396</f>
        <v>31.28</v>
      </c>
      <c r="J3476" s="1077" t="s">
        <v>1034</v>
      </c>
      <c r="K3476" s="1077">
        <f>F3476*I3476</f>
        <v>93.84</v>
      </c>
      <c r="L3476" s="1077"/>
      <c r="M3476" s="1077"/>
    </row>
    <row r="3477" spans="5:13" ht="24.95" customHeight="1">
      <c r="E3477" s="1077"/>
      <c r="F3477" s="1077">
        <v>1</v>
      </c>
      <c r="G3477" s="1077" t="s">
        <v>1034</v>
      </c>
      <c r="H3477" s="1076" t="s">
        <v>2615</v>
      </c>
      <c r="I3477" s="1077">
        <f>K3483</f>
        <v>361.33</v>
      </c>
      <c r="J3477" s="1077" t="s">
        <v>1034</v>
      </c>
      <c r="K3477" s="1077">
        <f>F3477*I3477</f>
        <v>361.33</v>
      </c>
      <c r="L3477" s="1077"/>
      <c r="M3477" s="1077"/>
    </row>
    <row r="3478" spans="5:13" ht="24.95" customHeight="1">
      <c r="E3478" s="1077"/>
      <c r="F3478" s="1077">
        <v>1</v>
      </c>
      <c r="G3478" s="1077" t="s">
        <v>1034</v>
      </c>
      <c r="H3478" s="1077" t="s">
        <v>2598</v>
      </c>
      <c r="I3478" s="1077">
        <f>I3438</f>
        <v>25</v>
      </c>
      <c r="J3478" s="1077" t="s">
        <v>2599</v>
      </c>
      <c r="K3478" s="1077">
        <f>F3478*I3478</f>
        <v>25</v>
      </c>
      <c r="L3478" s="1077"/>
      <c r="M3478" s="1077"/>
    </row>
    <row r="3479" spans="5:13" ht="24.95" customHeight="1">
      <c r="E3479" s="1077"/>
      <c r="F3479" s="1077"/>
      <c r="G3479" s="1077"/>
      <c r="H3479" s="1077" t="s">
        <v>1978</v>
      </c>
      <c r="I3479" s="1077"/>
      <c r="J3479" s="1077"/>
      <c r="K3479" s="1077">
        <f>K3489</f>
        <v>668.33</v>
      </c>
      <c r="L3479" s="1077"/>
      <c r="M3479" s="1077"/>
    </row>
    <row r="3480" spans="5:13">
      <c r="E3480" s="1077"/>
      <c r="F3480" s="1077"/>
      <c r="G3480" s="1077"/>
      <c r="H3480" s="1077" t="s">
        <v>2600</v>
      </c>
      <c r="I3480" s="1077"/>
      <c r="J3480" s="1077"/>
      <c r="K3480" s="1077">
        <f>3.77+0.47</f>
        <v>4.24</v>
      </c>
      <c r="L3480" s="1077"/>
      <c r="M3480" s="1077"/>
    </row>
    <row r="3481" spans="5:13" ht="24.95" customHeight="1">
      <c r="E3481" s="1077"/>
      <c r="F3481" s="1077"/>
      <c r="G3481" s="1077"/>
      <c r="H3481" s="1082" t="s">
        <v>2601</v>
      </c>
      <c r="I3481" s="1077"/>
      <c r="J3481" s="1077"/>
      <c r="K3481" s="1079">
        <f>SUM(K3476:K3480)</f>
        <v>1152.74</v>
      </c>
      <c r="L3481" s="1077">
        <f>K3481-1032</f>
        <v>120.74</v>
      </c>
      <c r="M3481" s="1077"/>
    </row>
    <row r="3482" spans="5:13">
      <c r="E3482" s="1077"/>
      <c r="F3482" s="1077"/>
      <c r="G3482" s="1077"/>
      <c r="H3482" s="1077"/>
      <c r="I3482" s="1077"/>
      <c r="J3482" s="1077"/>
      <c r="K3482" s="1077"/>
      <c r="L3482" s="1077"/>
      <c r="M3482" s="1077"/>
    </row>
    <row r="3483" spans="5:13">
      <c r="E3483" s="1077"/>
      <c r="F3483" s="1077"/>
      <c r="G3483" s="1077"/>
      <c r="H3483" s="1079" t="s">
        <v>2616</v>
      </c>
      <c r="I3483" s="1077">
        <f>I3443</f>
        <v>107060</v>
      </c>
      <c r="J3483" s="1113">
        <v>3.375E-3</v>
      </c>
      <c r="K3483" s="1077">
        <f>I3483*J3483</f>
        <v>361.33</v>
      </c>
      <c r="L3483" s="1077"/>
      <c r="M3483" s="1077"/>
    </row>
    <row r="3484" spans="5:13">
      <c r="E3484" s="1077"/>
      <c r="F3484" s="1077"/>
      <c r="G3484" s="1077"/>
      <c r="H3484" s="1077"/>
      <c r="I3484" s="1077"/>
      <c r="J3484" s="1077"/>
      <c r="K3484" s="1077"/>
      <c r="L3484" s="1077"/>
      <c r="M3484" s="1077"/>
    </row>
    <row r="3485" spans="5:13" ht="21.75" customHeight="1">
      <c r="E3485" s="1077"/>
      <c r="F3485" s="1077"/>
      <c r="G3485" s="1077"/>
      <c r="H3485" s="1088" t="s">
        <v>478</v>
      </c>
      <c r="I3485" s="1077"/>
      <c r="J3485" s="1077"/>
      <c r="K3485" s="1077"/>
      <c r="L3485" s="1077"/>
      <c r="M3485" s="1077"/>
    </row>
    <row r="3486" spans="5:13" ht="21.75" customHeight="1">
      <c r="E3486" s="1077"/>
      <c r="F3486" s="1077">
        <v>1</v>
      </c>
      <c r="G3486" s="1077" t="s">
        <v>1034</v>
      </c>
      <c r="H3486" s="1077" t="s">
        <v>2472</v>
      </c>
      <c r="I3486" s="1077">
        <f>I3446</f>
        <v>783</v>
      </c>
      <c r="J3486" s="1077" t="s">
        <v>1034</v>
      </c>
      <c r="K3486" s="1077">
        <f>F3486*I3486</f>
        <v>783</v>
      </c>
      <c r="L3486" s="1077"/>
      <c r="M3486" s="1077"/>
    </row>
    <row r="3487" spans="5:13" ht="21.75" customHeight="1">
      <c r="E3487" s="1077"/>
      <c r="F3487" s="1077">
        <v>2</v>
      </c>
      <c r="G3487" s="1077" t="s">
        <v>1034</v>
      </c>
      <c r="H3487" s="1077" t="s">
        <v>2464</v>
      </c>
      <c r="I3487" s="1077">
        <f>I3447</f>
        <v>611</v>
      </c>
      <c r="J3487" s="1077" t="s">
        <v>1034</v>
      </c>
      <c r="K3487" s="1077">
        <f>F3487*I3487</f>
        <v>1222</v>
      </c>
      <c r="L3487" s="1077"/>
      <c r="M3487" s="1077"/>
    </row>
    <row r="3488" spans="5:13" ht="21.75" customHeight="1">
      <c r="E3488" s="1077"/>
      <c r="F3488" s="1077"/>
      <c r="G3488" s="1077"/>
      <c r="H3488" s="1081" t="s">
        <v>2617</v>
      </c>
      <c r="I3488" s="1077"/>
      <c r="J3488" s="1079"/>
      <c r="K3488" s="1098">
        <f>SUM(K3486:K3487)</f>
        <v>2005</v>
      </c>
      <c r="L3488" s="1077"/>
      <c r="M3488" s="1077"/>
    </row>
    <row r="3489" spans="5:18" ht="21.75" customHeight="1">
      <c r="E3489" s="1077"/>
      <c r="F3489" s="1077"/>
      <c r="G3489" s="1077"/>
      <c r="H3489" s="1082" t="s">
        <v>2058</v>
      </c>
      <c r="I3489" s="1077"/>
      <c r="J3489" s="1079"/>
      <c r="K3489" s="1079">
        <f>K3488/3</f>
        <v>668.33</v>
      </c>
      <c r="L3489" s="1077"/>
      <c r="M3489" s="1077"/>
    </row>
    <row r="3490" spans="5:18">
      <c r="E3490" s="1077"/>
      <c r="F3490" s="1077"/>
      <c r="G3490" s="1077"/>
      <c r="H3490" s="1077"/>
      <c r="I3490" s="1077"/>
      <c r="J3490" s="1077"/>
      <c r="K3490" s="1077"/>
      <c r="L3490" s="1077"/>
      <c r="M3490" s="1077"/>
    </row>
    <row r="3491" spans="5:18">
      <c r="E3491" s="1077"/>
      <c r="F3491" s="1077"/>
      <c r="G3491" s="1077"/>
      <c r="H3491" s="1079" t="s">
        <v>2618</v>
      </c>
      <c r="I3491" s="1077"/>
      <c r="J3491" s="1077"/>
      <c r="K3491" s="1077"/>
      <c r="L3491" s="1077"/>
      <c r="M3491" s="1077"/>
    </row>
    <row r="3492" spans="5:18">
      <c r="E3492" s="1077"/>
      <c r="F3492" s="1077"/>
      <c r="G3492" s="1077"/>
      <c r="H3492" s="1077"/>
      <c r="I3492" s="1077"/>
      <c r="J3492" s="1077"/>
      <c r="K3492" s="1077"/>
      <c r="L3492" s="1077"/>
      <c r="M3492" s="1077"/>
    </row>
    <row r="3493" spans="5:18" ht="61.5" customHeight="1">
      <c r="E3493" s="1077"/>
      <c r="F3493" s="1077"/>
      <c r="G3493" s="1077"/>
      <c r="H3493" s="1083" t="s">
        <v>2619</v>
      </c>
      <c r="I3493" s="1077"/>
      <c r="J3493" s="1077"/>
      <c r="K3493" s="1077"/>
      <c r="L3493" s="1077"/>
      <c r="M3493" s="1077"/>
      <c r="N3493" s="1077"/>
      <c r="O3493" s="1083" t="s">
        <v>2620</v>
      </c>
      <c r="P3493" s="1077"/>
      <c r="Q3493" s="1077"/>
      <c r="R3493" s="1077"/>
    </row>
    <row r="3494" spans="5:18" ht="36" customHeight="1">
      <c r="E3494" s="1077"/>
      <c r="F3494" s="1077">
        <v>180</v>
      </c>
      <c r="G3494" s="1077" t="s">
        <v>13</v>
      </c>
      <c r="H3494" s="1076" t="s">
        <v>2621</v>
      </c>
      <c r="I3494" s="1084">
        <f>I3112</f>
        <v>32.200000000000003</v>
      </c>
      <c r="J3494" s="1077" t="s">
        <v>13</v>
      </c>
      <c r="K3494" s="1077">
        <f>F3494*I3494</f>
        <v>5796</v>
      </c>
      <c r="L3494" s="1077"/>
      <c r="M3494" s="1077">
        <v>180</v>
      </c>
      <c r="N3494" s="1077" t="s">
        <v>13</v>
      </c>
      <c r="O3494" s="1076" t="s">
        <v>2622</v>
      </c>
      <c r="P3494" s="1084">
        <f>I3101</f>
        <v>20.3</v>
      </c>
      <c r="Q3494" s="1077" t="s">
        <v>13</v>
      </c>
      <c r="R3494" s="1077">
        <f>M3494*P3494</f>
        <v>3654</v>
      </c>
    </row>
    <row r="3495" spans="5:18" ht="24.95" customHeight="1">
      <c r="E3495" s="1077"/>
      <c r="F3495" s="1077">
        <v>4</v>
      </c>
      <c r="G3495" s="1077" t="s">
        <v>39</v>
      </c>
      <c r="H3495" s="1077" t="s">
        <v>2205</v>
      </c>
      <c r="I3495" s="1084">
        <v>89.7</v>
      </c>
      <c r="J3495" s="1077" t="s">
        <v>39</v>
      </c>
      <c r="K3495" s="1077">
        <f>F3495*I3495</f>
        <v>358.8</v>
      </c>
      <c r="L3495" s="1077"/>
      <c r="M3495" s="1077">
        <v>4</v>
      </c>
      <c r="N3495" s="1077" t="s">
        <v>39</v>
      </c>
      <c r="O3495" s="1077" t="s">
        <v>2205</v>
      </c>
      <c r="P3495" s="1084">
        <f>I3495</f>
        <v>89.7</v>
      </c>
      <c r="Q3495" s="1077" t="s">
        <v>39</v>
      </c>
      <c r="R3495" s="1077">
        <f>M3495*P3495</f>
        <v>358.8</v>
      </c>
    </row>
    <row r="3496" spans="5:18" ht="24.95" customHeight="1">
      <c r="E3496" s="1077"/>
      <c r="F3496" s="1077">
        <v>180</v>
      </c>
      <c r="G3496" s="1077" t="s">
        <v>729</v>
      </c>
      <c r="H3496" s="1077" t="s">
        <v>2623</v>
      </c>
      <c r="I3496" s="1084">
        <f>ROUND(6.7/12,2)</f>
        <v>0.56000000000000005</v>
      </c>
      <c r="J3496" s="1077" t="s">
        <v>729</v>
      </c>
      <c r="K3496" s="1077">
        <f>F3496*I3496</f>
        <v>100.8</v>
      </c>
      <c r="L3496" s="1077"/>
      <c r="M3496" s="1077">
        <v>180</v>
      </c>
      <c r="N3496" s="1077" t="s">
        <v>729</v>
      </c>
      <c r="O3496" s="1077" t="s">
        <v>2623</v>
      </c>
      <c r="P3496" s="1084">
        <f>I3496</f>
        <v>0.56000000000000005</v>
      </c>
      <c r="Q3496" s="1077" t="s">
        <v>729</v>
      </c>
      <c r="R3496" s="1077">
        <f>M3496*P3496</f>
        <v>100.8</v>
      </c>
    </row>
    <row r="3497" spans="5:18" ht="24.95" customHeight="1">
      <c r="E3497" s="1077"/>
      <c r="F3497" s="1077">
        <v>1</v>
      </c>
      <c r="G3497" s="1077" t="s">
        <v>39</v>
      </c>
      <c r="H3497" s="1077" t="s">
        <v>2624</v>
      </c>
      <c r="I3497" s="1084">
        <f>I3495</f>
        <v>89.7</v>
      </c>
      <c r="J3497" s="1077" t="s">
        <v>39</v>
      </c>
      <c r="K3497" s="1077">
        <f>F3497*I3497</f>
        <v>89.7</v>
      </c>
      <c r="L3497" s="1077"/>
      <c r="M3497" s="1077">
        <v>1</v>
      </c>
      <c r="N3497" s="1077" t="s">
        <v>39</v>
      </c>
      <c r="O3497" s="1077" t="s">
        <v>2624</v>
      </c>
      <c r="P3497" s="1084">
        <f>I3497</f>
        <v>89.7</v>
      </c>
      <c r="Q3497" s="1077" t="s">
        <v>39</v>
      </c>
      <c r="R3497" s="1077">
        <f>M3497*P3497</f>
        <v>89.7</v>
      </c>
    </row>
    <row r="3498" spans="5:18" ht="24.95" customHeight="1">
      <c r="E3498" s="1077"/>
      <c r="F3498" s="1077"/>
      <c r="G3498" s="1077"/>
      <c r="H3498" s="1077" t="s">
        <v>478</v>
      </c>
      <c r="I3498" s="1077"/>
      <c r="J3498" s="1077"/>
      <c r="K3498" s="1077">
        <f>K3507</f>
        <v>5853</v>
      </c>
      <c r="L3498" s="1077"/>
      <c r="M3498" s="1077"/>
      <c r="N3498" s="1077"/>
      <c r="O3498" s="1077" t="s">
        <v>478</v>
      </c>
      <c r="P3498" s="1077"/>
      <c r="Q3498" s="1077"/>
      <c r="R3498" s="1077">
        <f>R3507</f>
        <v>5853</v>
      </c>
    </row>
    <row r="3499" spans="5:18" ht="24.95" customHeight="1">
      <c r="E3499" s="1077"/>
      <c r="F3499" s="1077"/>
      <c r="G3499" s="1077"/>
      <c r="H3499" s="1077" t="s">
        <v>2625</v>
      </c>
      <c r="I3499" s="1077"/>
      <c r="J3499" s="1077"/>
      <c r="K3499" s="1077">
        <v>38</v>
      </c>
      <c r="L3499" s="1077">
        <v>26.5</v>
      </c>
      <c r="M3499" s="1077"/>
      <c r="N3499" s="1077"/>
      <c r="O3499" s="1077" t="s">
        <v>2625</v>
      </c>
      <c r="P3499" s="1077"/>
      <c r="Q3499" s="1077"/>
      <c r="R3499" s="1077">
        <v>30.7</v>
      </c>
    </row>
    <row r="3500" spans="5:18" ht="24.95" customHeight="1">
      <c r="E3500" s="1077"/>
      <c r="F3500" s="1077"/>
      <c r="G3500" s="1077"/>
      <c r="H3500" s="1081" t="s">
        <v>2626</v>
      </c>
      <c r="I3500" s="1077"/>
      <c r="J3500" s="1077"/>
      <c r="K3500" s="1077">
        <f>SUM(K3494:K3499)</f>
        <v>12236.3</v>
      </c>
      <c r="L3500" s="1077"/>
      <c r="M3500" s="1077"/>
      <c r="N3500" s="1077"/>
      <c r="O3500" s="1081" t="s">
        <v>2626</v>
      </c>
      <c r="P3500" s="1077"/>
      <c r="Q3500" s="1077"/>
      <c r="R3500" s="1077">
        <v>30.7</v>
      </c>
    </row>
    <row r="3501" spans="5:18" ht="24.95" customHeight="1">
      <c r="E3501" s="1077"/>
      <c r="F3501" s="1077"/>
      <c r="G3501" s="1077"/>
      <c r="H3501" s="1082" t="s">
        <v>2433</v>
      </c>
      <c r="I3501" s="1077"/>
      <c r="J3501" s="1077"/>
      <c r="K3501" s="1079">
        <f>K3500/90</f>
        <v>135.96</v>
      </c>
      <c r="L3501" s="1077"/>
      <c r="M3501" s="1077"/>
      <c r="N3501" s="1077"/>
      <c r="O3501" s="1082" t="s">
        <v>2433</v>
      </c>
      <c r="P3501" s="1077"/>
      <c r="Q3501" s="1077"/>
      <c r="R3501" s="1079">
        <f>R3500/90</f>
        <v>0.34</v>
      </c>
    </row>
    <row r="3502" spans="5:18">
      <c r="E3502" s="1077"/>
      <c r="F3502" s="1077"/>
      <c r="G3502" s="1077"/>
      <c r="H3502" s="1088" t="s">
        <v>14</v>
      </c>
      <c r="I3502" s="1077"/>
      <c r="J3502" s="1077"/>
      <c r="K3502" s="1077"/>
      <c r="L3502" s="1077">
        <f>L3501-K3500</f>
        <v>-12236.3</v>
      </c>
      <c r="M3502" s="1077"/>
      <c r="N3502" s="1077"/>
      <c r="O3502" s="1088" t="s">
        <v>14</v>
      </c>
      <c r="P3502" s="1077"/>
      <c r="Q3502" s="1077"/>
      <c r="R3502" s="1077"/>
    </row>
    <row r="3503" spans="5:18">
      <c r="E3503" s="1077"/>
      <c r="F3503" s="1077">
        <v>1</v>
      </c>
      <c r="G3503" s="1077" t="s">
        <v>1034</v>
      </c>
      <c r="H3503" s="1098" t="s">
        <v>2627</v>
      </c>
      <c r="I3503" s="1077">
        <f>I2866</f>
        <v>898</v>
      </c>
      <c r="J3503" s="1077" t="s">
        <v>1034</v>
      </c>
      <c r="K3503" s="1077">
        <f>F3503*I3503</f>
        <v>898</v>
      </c>
      <c r="L3503" s="1077"/>
      <c r="M3503" s="1077">
        <v>1</v>
      </c>
      <c r="N3503" s="1077" t="s">
        <v>1034</v>
      </c>
      <c r="O3503" s="1098" t="s">
        <v>2627</v>
      </c>
      <c r="P3503" s="1077">
        <f>I3503</f>
        <v>898</v>
      </c>
      <c r="Q3503" s="1077" t="s">
        <v>1034</v>
      </c>
      <c r="R3503" s="1077">
        <f>M3503*P3503</f>
        <v>898</v>
      </c>
    </row>
    <row r="3504" spans="5:18">
      <c r="E3504" s="1077"/>
      <c r="F3504" s="1077">
        <v>2</v>
      </c>
      <c r="G3504" s="1077" t="s">
        <v>1034</v>
      </c>
      <c r="H3504" s="1077" t="s">
        <v>2472</v>
      </c>
      <c r="I3504" s="1077">
        <f>I2867</f>
        <v>783</v>
      </c>
      <c r="J3504" s="1077" t="s">
        <v>1034</v>
      </c>
      <c r="K3504" s="1077">
        <f>F3504*I3504</f>
        <v>1566</v>
      </c>
      <c r="L3504" s="1077"/>
      <c r="M3504" s="1077">
        <v>2</v>
      </c>
      <c r="N3504" s="1077" t="s">
        <v>1034</v>
      </c>
      <c r="O3504" s="1077" t="s">
        <v>2472</v>
      </c>
      <c r="P3504" s="1077">
        <f>I3504</f>
        <v>783</v>
      </c>
      <c r="Q3504" s="1077" t="s">
        <v>1034</v>
      </c>
      <c r="R3504" s="1077">
        <f>M3504*P3504</f>
        <v>1566</v>
      </c>
    </row>
    <row r="3505" spans="5:18">
      <c r="E3505" s="1077"/>
      <c r="F3505" s="1077">
        <v>2</v>
      </c>
      <c r="G3505" s="1077" t="s">
        <v>1034</v>
      </c>
      <c r="H3505" s="1077" t="s">
        <v>2463</v>
      </c>
      <c r="I3505" s="1077">
        <f>I2868</f>
        <v>778</v>
      </c>
      <c r="J3505" s="1077" t="s">
        <v>1034</v>
      </c>
      <c r="K3505" s="1077">
        <f>F3505*I3505</f>
        <v>1556</v>
      </c>
      <c r="L3505" s="1077"/>
      <c r="M3505" s="1077">
        <v>2</v>
      </c>
      <c r="N3505" s="1077" t="s">
        <v>1034</v>
      </c>
      <c r="O3505" s="1077" t="s">
        <v>2463</v>
      </c>
      <c r="P3505" s="1077">
        <f>I3505</f>
        <v>778</v>
      </c>
      <c r="Q3505" s="1077" t="s">
        <v>1034</v>
      </c>
      <c r="R3505" s="1077">
        <f>M3505*P3505</f>
        <v>1556</v>
      </c>
    </row>
    <row r="3506" spans="5:18">
      <c r="E3506" s="1077"/>
      <c r="F3506" s="1077">
        <v>3</v>
      </c>
      <c r="G3506" s="1077" t="s">
        <v>1034</v>
      </c>
      <c r="H3506" s="1077" t="s">
        <v>2166</v>
      </c>
      <c r="I3506" s="1077">
        <f>I2869</f>
        <v>611</v>
      </c>
      <c r="J3506" s="1077" t="s">
        <v>1034</v>
      </c>
      <c r="K3506" s="1077">
        <f>F3506*I3506</f>
        <v>1833</v>
      </c>
      <c r="L3506" s="1077"/>
      <c r="M3506" s="1077">
        <v>3</v>
      </c>
      <c r="N3506" s="1077" t="s">
        <v>1034</v>
      </c>
      <c r="O3506" s="1077" t="s">
        <v>2166</v>
      </c>
      <c r="P3506" s="1077">
        <f>I3506</f>
        <v>611</v>
      </c>
      <c r="Q3506" s="1077" t="s">
        <v>1034</v>
      </c>
      <c r="R3506" s="1077">
        <f>M3506*P3506</f>
        <v>1833</v>
      </c>
    </row>
    <row r="3507" spans="5:18" ht="24.95" customHeight="1">
      <c r="E3507" s="1077"/>
      <c r="F3507" s="1077"/>
      <c r="G3507" s="1077"/>
      <c r="H3507" s="1077"/>
      <c r="I3507" s="1077"/>
      <c r="J3507" s="1077"/>
      <c r="K3507" s="1079">
        <f>SUM(K3503:K3506)</f>
        <v>5853</v>
      </c>
      <c r="L3507" s="1077"/>
      <c r="M3507" s="1077"/>
      <c r="N3507" s="1077"/>
      <c r="O3507" s="1077"/>
      <c r="P3507" s="1077"/>
      <c r="Q3507" s="1077"/>
      <c r="R3507" s="1079">
        <f>SUM(R3503:R3506)</f>
        <v>5853</v>
      </c>
    </row>
    <row r="3508" spans="5:18" ht="21.75" customHeight="1">
      <c r="E3508" s="1077"/>
      <c r="F3508" s="1077"/>
      <c r="G3508" s="1077"/>
      <c r="H3508" s="1077"/>
      <c r="I3508" s="1077"/>
      <c r="J3508" s="1077"/>
      <c r="K3508" s="1077"/>
      <c r="L3508" s="1077"/>
      <c r="M3508" s="1077"/>
    </row>
    <row r="3509" spans="5:18">
      <c r="E3509" s="1077"/>
      <c r="F3509" s="1077"/>
      <c r="G3509" s="1077"/>
      <c r="H3509" s="1079" t="s">
        <v>2628</v>
      </c>
      <c r="I3509" s="1077"/>
      <c r="J3509" s="1077"/>
      <c r="K3509" s="1077"/>
      <c r="L3509" s="1077"/>
      <c r="M3509" s="1077"/>
    </row>
    <row r="3510" spans="5:18" ht="29.25" customHeight="1">
      <c r="E3510" s="1077"/>
      <c r="F3510" s="1077"/>
      <c r="G3510" s="1077"/>
      <c r="H3510" s="1083" t="s">
        <v>2629</v>
      </c>
      <c r="I3510" s="1077"/>
      <c r="J3510" s="1077"/>
      <c r="K3510" s="1077"/>
      <c r="L3510" s="1077"/>
      <c r="M3510" s="1077"/>
    </row>
    <row r="3511" spans="5:18" ht="18" customHeight="1">
      <c r="E3511" s="1077"/>
      <c r="F3511" s="1077"/>
      <c r="G3511" s="1077"/>
      <c r="H3511" s="1077"/>
      <c r="I3511" s="1077"/>
      <c r="J3511" s="1077"/>
      <c r="K3511" s="1077"/>
      <c r="L3511" s="1077"/>
      <c r="M3511" s="1077"/>
    </row>
    <row r="3512" spans="5:18" ht="47.25" customHeight="1">
      <c r="E3512" s="1077"/>
      <c r="F3512" s="1077"/>
      <c r="G3512" s="1077"/>
      <c r="H3512" s="1114" t="s">
        <v>2630</v>
      </c>
      <c r="I3512" s="1077"/>
      <c r="J3512" s="1077"/>
      <c r="K3512" s="1077"/>
      <c r="L3512" s="1077"/>
      <c r="M3512" s="1077"/>
    </row>
    <row r="3513" spans="5:18">
      <c r="E3513" s="1077"/>
      <c r="F3513" s="1077">
        <v>1</v>
      </c>
      <c r="G3513" s="1077" t="s">
        <v>13</v>
      </c>
      <c r="H3513" s="1077" t="s">
        <v>2631</v>
      </c>
      <c r="I3513" s="1084">
        <v>120.8</v>
      </c>
      <c r="J3513" s="1077" t="s">
        <v>13</v>
      </c>
      <c r="K3513" s="1081">
        <f>F3513*I3513</f>
        <v>120.8</v>
      </c>
      <c r="L3513" s="1077"/>
      <c r="M3513" s="1077"/>
    </row>
    <row r="3514" spans="5:18">
      <c r="E3514" s="1077"/>
      <c r="F3514" s="1077"/>
      <c r="G3514" s="1077"/>
      <c r="H3514" s="1077" t="s">
        <v>1557</v>
      </c>
      <c r="I3514" s="1077"/>
      <c r="J3514" s="1077"/>
      <c r="K3514" s="1081">
        <f>1.87+0.33</f>
        <v>2.2000000000000002</v>
      </c>
      <c r="L3514" s="1077"/>
      <c r="M3514" s="1077"/>
    </row>
    <row r="3515" spans="5:18">
      <c r="E3515" s="1077"/>
      <c r="F3515" s="1077"/>
      <c r="G3515" s="1077"/>
      <c r="H3515" s="1082" t="s">
        <v>2632</v>
      </c>
      <c r="I3515" s="1077"/>
      <c r="J3515" s="1077"/>
      <c r="K3515" s="1082">
        <f>SUM(K3513:K3514)</f>
        <v>123</v>
      </c>
      <c r="L3515" s="1077"/>
      <c r="M3515" s="1077"/>
    </row>
    <row r="3516" spans="5:18" ht="9.75" customHeight="1">
      <c r="E3516" s="1077"/>
      <c r="F3516" s="1077"/>
      <c r="G3516" s="1077"/>
      <c r="H3516" s="1077"/>
      <c r="I3516" s="1077"/>
      <c r="J3516" s="1077"/>
      <c r="K3516" s="1077"/>
      <c r="L3516" s="1077"/>
      <c r="M3516" s="1077"/>
    </row>
    <row r="3517" spans="5:18">
      <c r="E3517" s="1077"/>
      <c r="F3517" s="1077"/>
      <c r="G3517" s="1077"/>
      <c r="H3517" s="1079" t="s">
        <v>2633</v>
      </c>
      <c r="I3517" s="1077"/>
      <c r="J3517" s="1077"/>
      <c r="K3517" s="1077"/>
      <c r="L3517" s="1077"/>
      <c r="M3517" s="1077"/>
    </row>
    <row r="3518" spans="5:18">
      <c r="E3518" s="1077"/>
      <c r="F3518" s="1077"/>
      <c r="G3518" s="1077"/>
      <c r="H3518" s="1079" t="s">
        <v>2634</v>
      </c>
      <c r="I3518" s="1077"/>
      <c r="J3518" s="1077"/>
      <c r="K3518" s="1077"/>
      <c r="L3518" s="1077"/>
      <c r="M3518" s="1077"/>
    </row>
    <row r="3519" spans="5:18">
      <c r="E3519" s="1077"/>
      <c r="F3519" s="1077"/>
      <c r="G3519" s="1077"/>
      <c r="H3519" s="1077"/>
      <c r="I3519" s="1077"/>
      <c r="J3519" s="1077"/>
      <c r="K3519" s="1077"/>
      <c r="L3519" s="1077"/>
      <c r="M3519" s="1077"/>
    </row>
    <row r="3520" spans="5:18" ht="49.5" customHeight="1">
      <c r="E3520" s="1077"/>
      <c r="F3520" s="1077"/>
      <c r="G3520" s="1077"/>
      <c r="H3520" s="1114" t="s">
        <v>2635</v>
      </c>
      <c r="I3520" s="1077"/>
      <c r="J3520" s="1077"/>
      <c r="K3520" s="1077"/>
      <c r="L3520" s="1077"/>
      <c r="M3520" s="1077"/>
    </row>
    <row r="3521" spans="5:13">
      <c r="E3521" s="1077"/>
      <c r="F3521" s="1077">
        <v>1</v>
      </c>
      <c r="G3521" s="1077" t="s">
        <v>13</v>
      </c>
      <c r="H3521" s="1077" t="s">
        <v>2636</v>
      </c>
      <c r="I3521" s="1084">
        <v>43.9</v>
      </c>
      <c r="J3521" s="1077" t="s">
        <v>1791</v>
      </c>
      <c r="K3521" s="1077">
        <f>F3522*I3521</f>
        <v>142.68</v>
      </c>
      <c r="L3521" s="1077"/>
      <c r="M3521" s="1077"/>
    </row>
    <row r="3522" spans="5:13">
      <c r="E3522" s="1077"/>
      <c r="F3522" s="1077">
        <v>3.25</v>
      </c>
      <c r="G3522" s="1077" t="s">
        <v>2637</v>
      </c>
      <c r="H3522" s="1077"/>
      <c r="I3522" s="1077"/>
      <c r="J3522" s="1077"/>
      <c r="K3522" s="1077"/>
      <c r="L3522" s="1077"/>
      <c r="M3522" s="1077"/>
    </row>
    <row r="3523" spans="5:13">
      <c r="E3523" s="1077"/>
      <c r="F3523" s="1077"/>
      <c r="G3523" s="1077"/>
      <c r="H3523" s="1077" t="s">
        <v>1557</v>
      </c>
      <c r="I3523" s="1077"/>
      <c r="J3523" s="1077"/>
      <c r="K3523" s="1077">
        <f>1.95+0.64-0.27</f>
        <v>2.3199999999999998</v>
      </c>
      <c r="L3523" s="1077"/>
      <c r="M3523" s="1077"/>
    </row>
    <row r="3524" spans="5:13">
      <c r="E3524" s="1077"/>
      <c r="F3524" s="1077"/>
      <c r="G3524" s="1077"/>
      <c r="H3524" s="1082" t="s">
        <v>2534</v>
      </c>
      <c r="I3524" s="1077"/>
      <c r="J3524" s="1077"/>
      <c r="K3524" s="1079">
        <f>SUM(K3521:K3523)</f>
        <v>145</v>
      </c>
      <c r="L3524" s="1077">
        <f>169-K3524</f>
        <v>24</v>
      </c>
      <c r="M3524" s="1077"/>
    </row>
    <row r="3525" spans="5:13">
      <c r="E3525" s="1077"/>
      <c r="F3525" s="1077"/>
      <c r="G3525" s="1077"/>
      <c r="H3525" s="1082"/>
      <c r="I3525" s="1077"/>
      <c r="J3525" s="1077"/>
      <c r="K3525" s="1079"/>
      <c r="L3525" s="1077"/>
      <c r="M3525" s="1077"/>
    </row>
    <row r="3526" spans="5:13">
      <c r="E3526" s="1077"/>
      <c r="F3526" s="1077"/>
      <c r="G3526" s="1077"/>
      <c r="H3526" s="1079" t="s">
        <v>2638</v>
      </c>
      <c r="I3526" s="1077"/>
      <c r="J3526" s="1077"/>
      <c r="K3526" s="1077"/>
      <c r="L3526" s="1077"/>
      <c r="M3526" s="1077"/>
    </row>
    <row r="3527" spans="5:13">
      <c r="E3527" s="1077"/>
      <c r="F3527" s="1077"/>
      <c r="G3527" s="1077"/>
      <c r="H3527" s="1077"/>
      <c r="I3527" s="1077"/>
      <c r="J3527" s="1077"/>
      <c r="K3527" s="1077"/>
      <c r="L3527" s="1077"/>
      <c r="M3527" s="1077"/>
    </row>
    <row r="3528" spans="5:13" ht="45" customHeight="1">
      <c r="E3528" s="1077"/>
      <c r="F3528" s="1077"/>
      <c r="G3528" s="1077"/>
      <c r="H3528" s="1083" t="s">
        <v>2639</v>
      </c>
      <c r="I3528" s="1077"/>
      <c r="J3528" s="1077"/>
      <c r="K3528" s="1077"/>
      <c r="L3528" s="1077"/>
      <c r="M3528" s="1077"/>
    </row>
    <row r="3529" spans="5:13">
      <c r="E3529" s="1077"/>
      <c r="F3529" s="1077"/>
      <c r="G3529" s="1077"/>
      <c r="H3529" s="1077"/>
      <c r="I3529" s="1077"/>
      <c r="J3529" s="1077"/>
      <c r="K3529" s="1077"/>
      <c r="L3529" s="1077"/>
      <c r="M3529" s="1077"/>
    </row>
    <row r="3530" spans="5:13" ht="135.75" customHeight="1">
      <c r="E3530" s="1077"/>
      <c r="F3530" s="1077"/>
      <c r="G3530" s="1077"/>
      <c r="H3530" s="1114" t="s">
        <v>2640</v>
      </c>
      <c r="I3530" s="1077"/>
      <c r="J3530" s="1077"/>
      <c r="K3530" s="1077"/>
      <c r="L3530" s="1077"/>
      <c r="M3530" s="1077"/>
    </row>
    <row r="3531" spans="5:13">
      <c r="E3531" s="1077"/>
      <c r="F3531" s="1077"/>
      <c r="G3531" s="1077"/>
      <c r="H3531" s="1077"/>
      <c r="I3531" s="1077"/>
      <c r="J3531" s="1077"/>
      <c r="K3531" s="1077"/>
      <c r="L3531" s="1077"/>
      <c r="M3531" s="1077"/>
    </row>
    <row r="3532" spans="5:13" ht="29.25" customHeight="1">
      <c r="E3532" s="1077"/>
      <c r="F3532" s="1077">
        <v>360</v>
      </c>
      <c r="G3532" s="1077" t="s">
        <v>13</v>
      </c>
      <c r="H3532" s="1076" t="s">
        <v>2641</v>
      </c>
      <c r="I3532" s="1077">
        <f>I3494</f>
        <v>32.200000000000003</v>
      </c>
      <c r="J3532" s="1077" t="s">
        <v>13</v>
      </c>
      <c r="K3532" s="1077">
        <f>F3532*I3532</f>
        <v>11592</v>
      </c>
      <c r="L3532" s="1077"/>
      <c r="M3532" s="1077"/>
    </row>
    <row r="3533" spans="5:13" ht="15.75" customHeight="1">
      <c r="E3533" s="1077"/>
      <c r="F3533" s="1077">
        <v>4</v>
      </c>
      <c r="G3533" s="1077" t="s">
        <v>39</v>
      </c>
      <c r="H3533" s="1077" t="s">
        <v>2205</v>
      </c>
      <c r="I3533" s="1077">
        <f>I3495</f>
        <v>89.7</v>
      </c>
      <c r="J3533" s="1077" t="s">
        <v>39</v>
      </c>
      <c r="K3533" s="1077">
        <f>F3533*I3533</f>
        <v>358.8</v>
      </c>
      <c r="L3533" s="1077"/>
      <c r="M3533" s="1077"/>
    </row>
    <row r="3534" spans="5:13">
      <c r="E3534" s="1077"/>
      <c r="F3534" s="1077">
        <v>360</v>
      </c>
      <c r="G3534" s="1077" t="s">
        <v>729</v>
      </c>
      <c r="H3534" s="1077" t="s">
        <v>2623</v>
      </c>
      <c r="I3534" s="1077">
        <f>I3496</f>
        <v>0.56000000000000005</v>
      </c>
      <c r="J3534" s="1077" t="s">
        <v>729</v>
      </c>
      <c r="K3534" s="1077">
        <f>F3534*I3534</f>
        <v>201.6</v>
      </c>
      <c r="L3534" s="1077"/>
      <c r="M3534" s="1077"/>
    </row>
    <row r="3535" spans="5:13">
      <c r="E3535" s="1077"/>
      <c r="F3535" s="1077">
        <v>1.5</v>
      </c>
      <c r="G3535" s="1077" t="s">
        <v>39</v>
      </c>
      <c r="H3535" s="1077" t="s">
        <v>2624</v>
      </c>
      <c r="I3535" s="1077">
        <f>I3497</f>
        <v>89.7</v>
      </c>
      <c r="J3535" s="1077" t="s">
        <v>39</v>
      </c>
      <c r="K3535" s="1077">
        <f>F3535*I3535</f>
        <v>134.55000000000001</v>
      </c>
      <c r="L3535" s="1077"/>
      <c r="M3535" s="1077"/>
    </row>
    <row r="3536" spans="5:13">
      <c r="E3536" s="1077"/>
      <c r="F3536" s="1077"/>
      <c r="G3536" s="1077"/>
      <c r="H3536" s="1077" t="s">
        <v>2642</v>
      </c>
      <c r="I3536" s="1077"/>
      <c r="J3536" s="1077"/>
      <c r="K3536" s="1077">
        <f>K3507*1.5</f>
        <v>8779.5</v>
      </c>
      <c r="L3536" s="1077"/>
      <c r="M3536" s="1077"/>
    </row>
    <row r="3537" spans="5:13">
      <c r="E3537" s="1077"/>
      <c r="F3537" s="1077"/>
      <c r="G3537" s="1077"/>
      <c r="H3537" s="1077" t="s">
        <v>2625</v>
      </c>
      <c r="I3537" s="1077"/>
      <c r="J3537" s="1077"/>
      <c r="K3537" s="1077">
        <v>167.55</v>
      </c>
      <c r="L3537" s="1077"/>
      <c r="M3537" s="1077"/>
    </row>
    <row r="3538" spans="5:13">
      <c r="E3538" s="1077"/>
      <c r="F3538" s="1077"/>
      <c r="G3538" s="1077"/>
      <c r="H3538" s="1081" t="s">
        <v>2626</v>
      </c>
      <c r="I3538" s="1077"/>
      <c r="J3538" s="1077"/>
      <c r="K3538" s="1077">
        <f>SUM(K3532:K3537)</f>
        <v>21234</v>
      </c>
      <c r="L3538" s="1077"/>
      <c r="M3538" s="1077"/>
    </row>
    <row r="3539" spans="5:13">
      <c r="E3539" s="1077"/>
      <c r="F3539" s="1077"/>
      <c r="G3539" s="1077"/>
      <c r="H3539" s="1082" t="s">
        <v>2433</v>
      </c>
      <c r="I3539" s="1077"/>
      <c r="J3539" s="1077"/>
      <c r="K3539" s="1079">
        <f>K3538/90</f>
        <v>235.93</v>
      </c>
      <c r="L3539" s="1077"/>
      <c r="M3539" s="1077"/>
    </row>
    <row r="3540" spans="5:13" ht="20.25" customHeight="1">
      <c r="E3540" s="1077"/>
      <c r="F3540" s="1077"/>
      <c r="G3540" s="1077"/>
      <c r="H3540" s="1077"/>
      <c r="I3540" s="1077"/>
      <c r="J3540" s="1077"/>
      <c r="K3540" s="1077"/>
      <c r="L3540" s="1077"/>
      <c r="M3540" s="1077"/>
    </row>
    <row r="3541" spans="5:13">
      <c r="E3541" s="1077"/>
      <c r="F3541" s="1077"/>
      <c r="G3541" s="1077"/>
      <c r="H3541" s="1079" t="s">
        <v>2643</v>
      </c>
      <c r="I3541" s="1077"/>
      <c r="J3541" s="1077"/>
      <c r="K3541" s="1077"/>
      <c r="L3541" s="1077"/>
      <c r="M3541" s="1077"/>
    </row>
    <row r="3542" spans="5:13" ht="32.25" customHeight="1">
      <c r="E3542" s="1077"/>
      <c r="F3542" s="1077"/>
      <c r="G3542" s="1077"/>
      <c r="H3542" s="1083" t="s">
        <v>2644</v>
      </c>
      <c r="I3542" s="1077"/>
      <c r="J3542" s="1077"/>
      <c r="K3542" s="1077"/>
      <c r="L3542" s="1077"/>
      <c r="M3542" s="1077"/>
    </row>
    <row r="3543" spans="5:13">
      <c r="E3543" s="1077"/>
      <c r="F3543" s="1077"/>
      <c r="G3543" s="1077"/>
      <c r="H3543" s="1077"/>
      <c r="I3543" s="1077"/>
      <c r="J3543" s="1077"/>
      <c r="K3543" s="1077"/>
      <c r="L3543" s="1077"/>
      <c r="M3543" s="1077"/>
    </row>
    <row r="3544" spans="5:13" ht="47.25" customHeight="1">
      <c r="E3544" s="1077"/>
      <c r="F3544" s="1077"/>
      <c r="G3544" s="1077"/>
      <c r="H3544" s="1114" t="s">
        <v>2645</v>
      </c>
      <c r="I3544" s="1077"/>
      <c r="J3544" s="1077"/>
      <c r="K3544" s="1077"/>
      <c r="L3544" s="1077"/>
      <c r="M3544" s="1077"/>
    </row>
    <row r="3545" spans="5:13">
      <c r="E3545" s="1077"/>
      <c r="F3545" s="1077">
        <v>1</v>
      </c>
      <c r="G3545" s="1077" t="s">
        <v>13</v>
      </c>
      <c r="H3545" s="1077" t="str">
        <f>Elec.Data!H715</f>
        <v>Sundries</v>
      </c>
      <c r="I3545" s="1086">
        <f>Elec.Data!I715</f>
        <v>0</v>
      </c>
      <c r="J3545" s="1077" t="s">
        <v>13</v>
      </c>
      <c r="K3545" s="1081">
        <f>F3545*I3545</f>
        <v>0</v>
      </c>
      <c r="L3545" s="1077"/>
      <c r="M3545" s="1077"/>
    </row>
    <row r="3546" spans="5:13">
      <c r="E3546" s="1077"/>
      <c r="F3546" s="1077"/>
      <c r="G3546" s="1077"/>
      <c r="H3546" s="1077" t="s">
        <v>1557</v>
      </c>
      <c r="I3546" s="1077"/>
      <c r="J3546" s="1077"/>
      <c r="K3546" s="1081">
        <v>1.1000000000000001</v>
      </c>
      <c r="L3546" s="1077"/>
      <c r="M3546" s="1077"/>
    </row>
    <row r="3547" spans="5:13">
      <c r="E3547" s="1077"/>
      <c r="F3547" s="1077"/>
      <c r="G3547" s="1077"/>
      <c r="H3547" s="1082" t="s">
        <v>2632</v>
      </c>
      <c r="I3547" s="1077"/>
      <c r="J3547" s="1077"/>
      <c r="K3547" s="1082">
        <f>SUM(K3545:K3546)</f>
        <v>1.1000000000000001</v>
      </c>
      <c r="L3547" s="1077"/>
      <c r="M3547" s="1077"/>
    </row>
    <row r="3548" spans="5:13" ht="7.5" customHeight="1">
      <c r="E3548" s="1077"/>
      <c r="F3548" s="1077"/>
      <c r="G3548" s="1077"/>
      <c r="H3548" s="1077"/>
      <c r="I3548" s="1077"/>
      <c r="J3548" s="1077"/>
      <c r="K3548" s="1077"/>
      <c r="L3548" s="1077"/>
      <c r="M3548" s="1077"/>
    </row>
    <row r="3549" spans="5:13">
      <c r="E3549" s="1077"/>
      <c r="F3549" s="1077"/>
      <c r="G3549" s="1077"/>
      <c r="H3549" s="1079" t="s">
        <v>2646</v>
      </c>
      <c r="I3549" s="1077"/>
      <c r="J3549" s="1077"/>
      <c r="K3549" s="1077"/>
      <c r="L3549" s="1077"/>
      <c r="M3549" s="1077"/>
    </row>
    <row r="3550" spans="5:13">
      <c r="E3550" s="1077"/>
      <c r="F3550" s="1077"/>
      <c r="G3550" s="1077"/>
      <c r="H3550" s="1079" t="s">
        <v>2634</v>
      </c>
      <c r="I3550" s="1077"/>
      <c r="J3550" s="1077"/>
      <c r="K3550" s="1077"/>
      <c r="L3550" s="1077"/>
      <c r="M3550" s="1077"/>
    </row>
    <row r="3551" spans="5:13">
      <c r="E3551" s="1077"/>
      <c r="F3551" s="1077"/>
      <c r="G3551" s="1077"/>
      <c r="H3551" s="1077"/>
      <c r="I3551" s="1077"/>
      <c r="J3551" s="1077"/>
      <c r="K3551" s="1077"/>
      <c r="L3551" s="1077"/>
      <c r="M3551" s="1077"/>
    </row>
    <row r="3552" spans="5:13" ht="47.25">
      <c r="E3552" s="1077"/>
      <c r="F3552" s="1077"/>
      <c r="G3552" s="1077"/>
      <c r="H3552" s="1114" t="s">
        <v>2635</v>
      </c>
      <c r="I3552" s="1077"/>
      <c r="J3552" s="1077"/>
      <c r="K3552" s="1077"/>
      <c r="L3552" s="1077"/>
      <c r="M3552" s="1077"/>
    </row>
    <row r="3553" spans="5:15">
      <c r="E3553" s="1077"/>
      <c r="F3553" s="1077">
        <v>1</v>
      </c>
      <c r="G3553" s="1077" t="s">
        <v>13</v>
      </c>
      <c r="H3553" s="1077">
        <f>Elec.Data!H723</f>
        <v>0</v>
      </c>
      <c r="I3553" s="1084">
        <f>I3521</f>
        <v>43.9</v>
      </c>
      <c r="J3553" s="1077" t="s">
        <v>1791</v>
      </c>
      <c r="K3553" s="1077">
        <f>F3554*I3553</f>
        <v>142.68</v>
      </c>
      <c r="L3553" s="1077"/>
      <c r="M3553" s="1077"/>
    </row>
    <row r="3554" spans="5:15">
      <c r="E3554" s="1077"/>
      <c r="F3554" s="1077">
        <v>3.25</v>
      </c>
      <c r="G3554" s="1077" t="s">
        <v>2637</v>
      </c>
      <c r="H3554" s="1077"/>
      <c r="I3554" s="1077"/>
      <c r="J3554" s="1077"/>
      <c r="K3554" s="1077"/>
      <c r="L3554" s="1077"/>
      <c r="M3554" s="1077"/>
    </row>
    <row r="3555" spans="5:15">
      <c r="E3555" s="1077"/>
      <c r="F3555" s="1077"/>
      <c r="G3555" s="1077"/>
      <c r="H3555" s="1077" t="s">
        <v>1557</v>
      </c>
      <c r="I3555" s="1077"/>
      <c r="J3555" s="1077"/>
      <c r="K3555" s="1077">
        <v>3.32</v>
      </c>
      <c r="L3555" s="1077"/>
      <c r="M3555" s="1077"/>
    </row>
    <row r="3556" spans="5:15">
      <c r="E3556" s="1077"/>
      <c r="F3556" s="1077"/>
      <c r="G3556" s="1077"/>
      <c r="H3556" s="1082" t="s">
        <v>2534</v>
      </c>
      <c r="I3556" s="1077"/>
      <c r="J3556" s="1077"/>
      <c r="K3556" s="1079">
        <f>SUM(K3553:K3555)</f>
        <v>146</v>
      </c>
      <c r="L3556" s="1077"/>
      <c r="M3556" s="1077"/>
    </row>
    <row r="3557" spans="5:15">
      <c r="E3557" s="1077"/>
      <c r="F3557" s="1077"/>
      <c r="G3557" s="1077"/>
      <c r="H3557" s="1077"/>
      <c r="I3557" s="1077"/>
      <c r="J3557" s="1077"/>
      <c r="K3557" s="1077"/>
      <c r="L3557" s="1077"/>
      <c r="M3557" s="1077"/>
    </row>
    <row r="3558" spans="5:15">
      <c r="E3558" s="1077"/>
      <c r="F3558" s="1077"/>
      <c r="G3558" s="1077"/>
      <c r="H3558" s="1079" t="s">
        <v>2647</v>
      </c>
      <c r="I3558" s="1077"/>
      <c r="J3558" s="1077"/>
      <c r="K3558" s="1077"/>
      <c r="L3558" s="1077"/>
      <c r="M3558" s="1077"/>
    </row>
    <row r="3559" spans="5:15">
      <c r="E3559" s="1077"/>
      <c r="F3559" s="1077"/>
      <c r="G3559" s="1077"/>
      <c r="H3559" s="1077"/>
      <c r="I3559" s="1077"/>
      <c r="J3559" s="1077"/>
      <c r="K3559" s="1077"/>
      <c r="L3559" s="1077"/>
      <c r="M3559" s="1077"/>
    </row>
    <row r="3560" spans="5:15" ht="80.25" customHeight="1">
      <c r="E3560" s="1077"/>
      <c r="F3560" s="1077"/>
      <c r="G3560" s="1077"/>
      <c r="H3560" s="1114" t="s">
        <v>2648</v>
      </c>
      <c r="I3560" s="1077"/>
      <c r="J3560" s="1077"/>
      <c r="K3560" s="1077"/>
      <c r="L3560" s="1077"/>
      <c r="M3560" s="1077"/>
    </row>
    <row r="3561" spans="5:15" ht="15.75" customHeight="1">
      <c r="E3561" s="1077"/>
      <c r="F3561" s="1077">
        <v>30.42</v>
      </c>
      <c r="G3561" s="1077" t="s">
        <v>5</v>
      </c>
      <c r="H3561" s="1077" t="s">
        <v>2649</v>
      </c>
      <c r="I3561" s="1107">
        <v>134.6</v>
      </c>
      <c r="J3561" s="1077" t="s">
        <v>5</v>
      </c>
      <c r="K3561" s="1077">
        <f>F3561*I3561</f>
        <v>4094.53</v>
      </c>
      <c r="L3561" s="1077"/>
      <c r="M3561" s="1077"/>
      <c r="O3561" s="930">
        <f>M3561+N3561</f>
        <v>0</v>
      </c>
    </row>
    <row r="3562" spans="5:15" ht="15.75" customHeight="1">
      <c r="E3562" s="1077"/>
      <c r="F3562" s="1077">
        <v>6.1</v>
      </c>
      <c r="G3562" s="1077" t="s">
        <v>5</v>
      </c>
      <c r="H3562" s="743" t="s">
        <v>2650</v>
      </c>
      <c r="I3562" s="1086">
        <v>168</v>
      </c>
      <c r="J3562" s="1077" t="s">
        <v>5</v>
      </c>
      <c r="K3562" s="1077">
        <f>F3562*I3562</f>
        <v>1024.8</v>
      </c>
      <c r="L3562" s="1077"/>
      <c r="M3562" s="1077"/>
    </row>
    <row r="3563" spans="5:15" ht="15.75" customHeight="1">
      <c r="E3563" s="1077"/>
      <c r="F3563" s="1077">
        <v>750</v>
      </c>
      <c r="G3563" s="1077" t="s">
        <v>1034</v>
      </c>
      <c r="H3563" s="1077" t="s">
        <v>2651</v>
      </c>
      <c r="I3563" s="1084">
        <f>Data!Y18</f>
        <v>5709</v>
      </c>
      <c r="J3563" s="1077" t="s">
        <v>341</v>
      </c>
      <c r="K3563" s="1077">
        <f>F3563*(I3563/1000)</f>
        <v>4281.75</v>
      </c>
      <c r="L3563" s="1077"/>
      <c r="M3563" s="1077"/>
    </row>
    <row r="3564" spans="5:15" ht="15.75" customHeight="1">
      <c r="E3564" s="1077"/>
      <c r="F3564" s="1077"/>
      <c r="G3564" s="1077"/>
      <c r="H3564" s="1077" t="s">
        <v>478</v>
      </c>
      <c r="I3564" s="1077"/>
      <c r="J3564" s="1077"/>
      <c r="K3564" s="1077">
        <f>K3573</f>
        <v>4125</v>
      </c>
      <c r="L3564" s="1077"/>
      <c r="M3564" s="1077"/>
    </row>
    <row r="3565" spans="5:15" ht="15.75" customHeight="1">
      <c r="E3565" s="1077"/>
      <c r="F3565" s="1077"/>
      <c r="G3565" s="1077"/>
      <c r="H3565" s="1077" t="s">
        <v>1557</v>
      </c>
      <c r="I3565" s="1077"/>
      <c r="J3565" s="1077"/>
      <c r="K3565" s="1077">
        <v>112.17</v>
      </c>
      <c r="L3565" s="1077"/>
      <c r="M3565" s="1077"/>
    </row>
    <row r="3566" spans="5:15" ht="15.75" customHeight="1">
      <c r="E3566" s="1077"/>
      <c r="F3566" s="1077"/>
      <c r="G3566" s="1077"/>
      <c r="H3566" s="1081" t="s">
        <v>2626</v>
      </c>
      <c r="I3566" s="1077"/>
      <c r="J3566" s="1077"/>
      <c r="K3566" s="1077">
        <f>SUM(K3561:K3565)</f>
        <v>13638.25</v>
      </c>
      <c r="L3566" s="1077"/>
      <c r="M3566" s="1077"/>
    </row>
    <row r="3567" spans="5:15" ht="15.75" customHeight="1">
      <c r="E3567" s="1077"/>
      <c r="F3567" s="1077"/>
      <c r="G3567" s="1077"/>
      <c r="H3567" s="1082" t="s">
        <v>2433</v>
      </c>
      <c r="I3567" s="1077"/>
      <c r="J3567" s="1077"/>
      <c r="K3567" s="1079">
        <f>K3566/90</f>
        <v>151.54</v>
      </c>
      <c r="L3567" s="1077"/>
      <c r="M3567" s="1077"/>
    </row>
    <row r="3568" spans="5:15" ht="8.25" customHeight="1">
      <c r="E3568" s="1077"/>
      <c r="F3568" s="1077"/>
      <c r="G3568" s="1077"/>
      <c r="H3568" s="1077"/>
      <c r="I3568" s="1077"/>
      <c r="J3568" s="1077"/>
      <c r="K3568" s="1077"/>
      <c r="L3568" s="1077"/>
      <c r="M3568" s="1077"/>
    </row>
    <row r="3569" spans="5:13" ht="15.75" customHeight="1">
      <c r="E3569" s="1077"/>
      <c r="F3569" s="1077"/>
      <c r="G3569" s="1077"/>
      <c r="H3569" s="1088" t="s">
        <v>1978</v>
      </c>
      <c r="K3569" s="1077"/>
      <c r="L3569" s="1077"/>
      <c r="M3569" s="1077"/>
    </row>
    <row r="3570" spans="5:13" ht="15.75" customHeight="1">
      <c r="E3570" s="1077"/>
      <c r="F3570" s="1077">
        <v>1</v>
      </c>
      <c r="G3570" s="1077" t="s">
        <v>1034</v>
      </c>
      <c r="H3570" s="1098" t="s">
        <v>2627</v>
      </c>
      <c r="I3570" s="946">
        <f>I3503</f>
        <v>898</v>
      </c>
      <c r="J3570" s="1077" t="s">
        <v>1034</v>
      </c>
      <c r="K3570" s="1077">
        <f>F3570*I3570</f>
        <v>898</v>
      </c>
      <c r="L3570" s="1077"/>
      <c r="M3570" s="1077"/>
    </row>
    <row r="3571" spans="5:13" ht="15.75" customHeight="1">
      <c r="E3571" s="1077"/>
      <c r="F3571" s="1077">
        <v>1</v>
      </c>
      <c r="G3571" s="1077" t="s">
        <v>1034</v>
      </c>
      <c r="H3571" s="1077" t="s">
        <v>2472</v>
      </c>
      <c r="I3571" s="946">
        <f>I3504</f>
        <v>783</v>
      </c>
      <c r="J3571" s="1077" t="s">
        <v>1034</v>
      </c>
      <c r="K3571" s="1077">
        <f>F3571*I3571</f>
        <v>783</v>
      </c>
      <c r="L3571" s="1077"/>
      <c r="M3571" s="1077"/>
    </row>
    <row r="3572" spans="5:13" ht="15.75" customHeight="1">
      <c r="E3572" s="1077"/>
      <c r="F3572" s="1077">
        <v>4</v>
      </c>
      <c r="G3572" s="1077" t="s">
        <v>1034</v>
      </c>
      <c r="H3572" s="1077" t="s">
        <v>2166</v>
      </c>
      <c r="I3572" s="1077">
        <f>I3506</f>
        <v>611</v>
      </c>
      <c r="J3572" s="1077" t="s">
        <v>1034</v>
      </c>
      <c r="K3572" s="1077">
        <f>F3572*I3572</f>
        <v>2444</v>
      </c>
      <c r="L3572" s="1077"/>
      <c r="M3572" s="1077"/>
    </row>
    <row r="3573" spans="5:13" ht="15.75" customHeight="1">
      <c r="E3573" s="1077"/>
      <c r="F3573" s="1077"/>
      <c r="G3573" s="1077"/>
      <c r="H3573" s="1077"/>
      <c r="I3573" s="1077"/>
      <c r="J3573" s="1077"/>
      <c r="K3573" s="1079">
        <f>SUM(K3570:K3572)</f>
        <v>4125</v>
      </c>
      <c r="L3573" s="1077"/>
      <c r="M3573" s="1077"/>
    </row>
    <row r="3574" spans="5:13">
      <c r="E3574" s="1077"/>
      <c r="F3574" s="1077"/>
      <c r="G3574" s="1077"/>
      <c r="H3574" s="1079" t="s">
        <v>2652</v>
      </c>
      <c r="I3574" s="1077"/>
      <c r="J3574" s="1077"/>
      <c r="K3574" s="1077"/>
      <c r="L3574" s="1077"/>
      <c r="M3574" s="1077"/>
    </row>
    <row r="3575" spans="5:13">
      <c r="E3575" s="1077"/>
      <c r="F3575" s="1077"/>
      <c r="G3575" s="1077"/>
      <c r="H3575" s="1077"/>
      <c r="I3575" s="1077"/>
      <c r="J3575" s="1077"/>
      <c r="K3575" s="1077"/>
      <c r="L3575" s="1077"/>
      <c r="M3575" s="1077"/>
    </row>
    <row r="3576" spans="5:13" ht="29.25" customHeight="1">
      <c r="E3576" s="1077"/>
      <c r="F3576" s="1077"/>
      <c r="G3576" s="1077"/>
      <c r="H3576" s="1079" t="s">
        <v>2653</v>
      </c>
      <c r="I3576" s="1077"/>
      <c r="J3576" s="1077"/>
      <c r="K3576" s="1077"/>
      <c r="L3576" s="1077"/>
      <c r="M3576" s="1077"/>
    </row>
    <row r="3577" spans="5:13" ht="75" customHeight="1">
      <c r="E3577" s="1077"/>
      <c r="F3577" s="1077"/>
      <c r="G3577" s="1077"/>
      <c r="H3577" s="1114" t="s">
        <v>2654</v>
      </c>
      <c r="I3577" s="1077"/>
      <c r="J3577" s="1077"/>
      <c r="K3577" s="1077"/>
      <c r="L3577" s="1077"/>
      <c r="M3577" s="1077"/>
    </row>
    <row r="3578" spans="5:13" ht="26.25" customHeight="1">
      <c r="E3578" s="1077"/>
      <c r="F3578" s="1077">
        <v>1</v>
      </c>
      <c r="G3578" s="1077" t="s">
        <v>2327</v>
      </c>
      <c r="H3578" s="1077" t="str">
        <f>Elec.Data!H748</f>
        <v>Brass screws  ( 40 mm x 6 no) P131  Part-L 1-c</v>
      </c>
      <c r="I3578" s="1084">
        <f>Elec.Data!I748</f>
        <v>68.8</v>
      </c>
      <c r="J3578" s="1077" t="s">
        <v>2327</v>
      </c>
      <c r="K3578" s="1077">
        <f>F3578*I3578</f>
        <v>68.8</v>
      </c>
      <c r="L3578" s="1077"/>
      <c r="M3578" s="1077"/>
    </row>
    <row r="3579" spans="5:13" ht="26.25" customHeight="1">
      <c r="E3579" s="1077"/>
      <c r="F3579" s="1077">
        <v>300</v>
      </c>
      <c r="G3579" s="1077" t="s">
        <v>1034</v>
      </c>
      <c r="H3579" s="1077" t="str">
        <f>Elec.Data!H749</f>
        <v>TW plugs 1 1/2" x 1"x2"( part-J 1-e P-130  )</v>
      </c>
      <c r="I3579" s="1084">
        <f>Elec.Data!I749</f>
        <v>287</v>
      </c>
      <c r="J3579" s="1077" t="s">
        <v>2327</v>
      </c>
      <c r="K3579" s="1077">
        <f>F3579*(I3579/144)</f>
        <v>597.91999999999996</v>
      </c>
      <c r="L3579" s="1077"/>
      <c r="M3579" s="1077"/>
    </row>
    <row r="3580" spans="5:13" ht="26.25" customHeight="1">
      <c r="E3580" s="1077"/>
      <c r="F3580" s="1077">
        <v>300</v>
      </c>
      <c r="G3580" s="1077" t="s">
        <v>1034</v>
      </c>
      <c r="H3580" s="1077" t="str">
        <f>Elec.Data!H750</f>
        <v>Sundries for redoing on dismantled portion,etc.,</v>
      </c>
      <c r="I3580" s="1084">
        <f>Elec.Data!I750</f>
        <v>0</v>
      </c>
      <c r="J3580" s="1077" t="s">
        <v>341</v>
      </c>
      <c r="K3580" s="1077">
        <f>F3580*(I3580/1000)</f>
        <v>0</v>
      </c>
      <c r="L3580" s="1077"/>
      <c r="M3580" s="1077"/>
    </row>
    <row r="3581" spans="5:13" ht="26.25" customHeight="1">
      <c r="E3581" s="1077"/>
      <c r="F3581" s="1077"/>
      <c r="G3581" s="1077"/>
      <c r="H3581" s="1077" t="s">
        <v>2655</v>
      </c>
      <c r="I3581" s="1077"/>
      <c r="J3581" s="1077"/>
      <c r="K3581" s="1077">
        <v>63.36</v>
      </c>
      <c r="L3581" s="1077"/>
      <c r="M3581" s="1077"/>
    </row>
    <row r="3582" spans="5:13" ht="26.25" customHeight="1">
      <c r="E3582" s="1077"/>
      <c r="F3582" s="1077"/>
      <c r="G3582" s="1077"/>
      <c r="H3582" s="1077" t="s">
        <v>478</v>
      </c>
      <c r="I3582" s="1077"/>
      <c r="J3582" s="1077"/>
      <c r="K3582" s="1077">
        <f>K3592</f>
        <v>12688</v>
      </c>
      <c r="L3582" s="1077"/>
      <c r="M3582" s="1077"/>
    </row>
    <row r="3583" spans="5:13" ht="26.25" customHeight="1">
      <c r="E3583" s="1077"/>
      <c r="F3583" s="1077"/>
      <c r="G3583" s="1077"/>
      <c r="H3583" s="1081" t="s">
        <v>2656</v>
      </c>
      <c r="I3583" s="1077"/>
      <c r="J3583" s="1077"/>
      <c r="K3583" s="1088">
        <f>SUM(K3578:K3582)</f>
        <v>13418.08</v>
      </c>
      <c r="L3583" s="1077"/>
      <c r="M3583" s="1077"/>
    </row>
    <row r="3584" spans="5:13" ht="26.25" customHeight="1">
      <c r="E3584" s="1077"/>
      <c r="F3584" s="1077"/>
      <c r="G3584" s="1077"/>
      <c r="H3584" s="1082" t="s">
        <v>2534</v>
      </c>
      <c r="I3584" s="1077"/>
      <c r="J3584" s="1077"/>
      <c r="K3584" s="1079">
        <f>K3583/90</f>
        <v>149.09</v>
      </c>
      <c r="L3584" s="1077"/>
      <c r="M3584" s="1077"/>
    </row>
    <row r="3585" spans="5:13">
      <c r="E3585" s="1077"/>
      <c r="F3585" s="1077"/>
      <c r="G3585" s="1077"/>
      <c r="H3585" s="1077"/>
      <c r="I3585" s="1077"/>
      <c r="J3585" s="1077"/>
      <c r="K3585" s="1077"/>
      <c r="L3585" s="1077"/>
      <c r="M3585" s="1077"/>
    </row>
    <row r="3586" spans="5:13" ht="24.95" customHeight="1">
      <c r="E3586" s="1077"/>
      <c r="F3586" s="1077"/>
      <c r="G3586" s="1077"/>
      <c r="H3586" s="1088" t="s">
        <v>14</v>
      </c>
      <c r="I3586" s="1077"/>
      <c r="J3586" s="1077"/>
      <c r="K3586" s="1077"/>
      <c r="L3586" s="1077"/>
      <c r="M3586" s="1077"/>
    </row>
    <row r="3587" spans="5:13" ht="24.95" customHeight="1">
      <c r="E3587" s="1077"/>
      <c r="F3587" s="1077">
        <v>1</v>
      </c>
      <c r="G3587" s="1077" t="s">
        <v>1034</v>
      </c>
      <c r="H3587" s="1098" t="s">
        <v>2657</v>
      </c>
      <c r="I3587" s="1084">
        <f>I3354</f>
        <v>0</v>
      </c>
      <c r="J3587" s="1077" t="s">
        <v>1034</v>
      </c>
      <c r="K3587" s="1077">
        <f>F3587*I3587</f>
        <v>0</v>
      </c>
      <c r="L3587" s="1077"/>
      <c r="M3587" s="1077"/>
    </row>
    <row r="3588" spans="5:13" ht="24.95" customHeight="1">
      <c r="E3588" s="1077"/>
      <c r="F3588" s="1077">
        <v>2</v>
      </c>
      <c r="G3588" s="1077" t="s">
        <v>1034</v>
      </c>
      <c r="H3588" s="1077" t="s">
        <v>2472</v>
      </c>
      <c r="I3588" s="1077">
        <f>I3504</f>
        <v>783</v>
      </c>
      <c r="J3588" s="1077" t="s">
        <v>1034</v>
      </c>
      <c r="K3588" s="1077">
        <f>F3588*I3588</f>
        <v>1566</v>
      </c>
      <c r="L3588" s="1077"/>
      <c r="M3588" s="1077"/>
    </row>
    <row r="3589" spans="5:13" ht="24.95" customHeight="1">
      <c r="E3589" s="1077"/>
      <c r="F3589" s="1077">
        <v>3</v>
      </c>
      <c r="G3589" s="1077" t="s">
        <v>1034</v>
      </c>
      <c r="H3589" s="1077" t="s">
        <v>2463</v>
      </c>
      <c r="I3589" s="1077">
        <f>I3505</f>
        <v>778</v>
      </c>
      <c r="J3589" s="1077" t="s">
        <v>1034</v>
      </c>
      <c r="K3589" s="1077">
        <f>F3589*I3589</f>
        <v>2334</v>
      </c>
      <c r="L3589" s="1077"/>
      <c r="M3589" s="1077"/>
    </row>
    <row r="3590" spans="5:13" ht="24.95" customHeight="1">
      <c r="E3590" s="1077"/>
      <c r="F3590" s="1077">
        <v>4</v>
      </c>
      <c r="G3590" s="1077" t="s">
        <v>1034</v>
      </c>
      <c r="H3590" s="1077" t="s">
        <v>2166</v>
      </c>
      <c r="I3590" s="1077">
        <f>I3506</f>
        <v>611</v>
      </c>
      <c r="J3590" s="1077" t="s">
        <v>1034</v>
      </c>
      <c r="K3590" s="1077">
        <f>F3590*I3590</f>
        <v>2444</v>
      </c>
      <c r="L3590" s="1077"/>
      <c r="M3590" s="1077"/>
    </row>
    <row r="3591" spans="5:13" ht="24.95" customHeight="1">
      <c r="E3591" s="1077"/>
      <c r="F3591" s="1077"/>
      <c r="G3591" s="1077"/>
      <c r="H3591" s="1081" t="s">
        <v>2658</v>
      </c>
      <c r="I3591" s="1077"/>
      <c r="J3591" s="1077"/>
      <c r="K3591" s="1077">
        <f>SUM(K3587:K3590)</f>
        <v>6344</v>
      </c>
      <c r="L3591" s="1077"/>
      <c r="M3591" s="1077"/>
    </row>
    <row r="3592" spans="5:13" ht="24.95" customHeight="1">
      <c r="E3592" s="1077"/>
      <c r="F3592" s="1077"/>
      <c r="G3592" s="1077"/>
      <c r="H3592" s="1082" t="s">
        <v>2659</v>
      </c>
      <c r="I3592" s="1077"/>
      <c r="J3592" s="1077"/>
      <c r="K3592" s="1079">
        <f>K3591*2</f>
        <v>12688</v>
      </c>
      <c r="L3592" s="1077"/>
      <c r="M3592" s="1077"/>
    </row>
    <row r="3593" spans="5:13">
      <c r="E3593" s="1077"/>
      <c r="F3593" s="1077"/>
      <c r="G3593" s="1077"/>
      <c r="H3593" s="1077"/>
      <c r="I3593" s="1077"/>
      <c r="J3593" s="1077"/>
      <c r="K3593" s="1077"/>
      <c r="L3593" s="1077"/>
      <c r="M3593" s="1077"/>
    </row>
    <row r="3594" spans="5:13" ht="21" customHeight="1">
      <c r="E3594" s="1077"/>
      <c r="F3594" s="1077"/>
      <c r="G3594" s="1077"/>
      <c r="H3594" s="1079" t="s">
        <v>2660</v>
      </c>
      <c r="I3594" s="1077"/>
      <c r="J3594" s="1077"/>
      <c r="K3594" s="1077"/>
      <c r="L3594" s="1077"/>
      <c r="M3594" s="1077"/>
    </row>
    <row r="3595" spans="5:13">
      <c r="E3595" s="1077"/>
      <c r="F3595" s="1077"/>
      <c r="G3595" s="1077"/>
      <c r="H3595" s="1077"/>
      <c r="I3595" s="1077"/>
      <c r="J3595" s="1077"/>
      <c r="K3595" s="1077"/>
      <c r="L3595" s="1077"/>
      <c r="M3595" s="1077"/>
    </row>
    <row r="3596" spans="5:13" ht="27" customHeight="1">
      <c r="E3596" s="1077"/>
      <c r="F3596" s="1077"/>
      <c r="G3596" s="1077"/>
      <c r="H3596" s="1079" t="s">
        <v>2661</v>
      </c>
      <c r="I3596" s="1077"/>
      <c r="J3596" s="1077"/>
      <c r="K3596" s="1077"/>
      <c r="L3596" s="1077"/>
      <c r="M3596" s="1077"/>
    </row>
    <row r="3597" spans="5:13">
      <c r="E3597" s="1077"/>
      <c r="F3597" s="1077"/>
      <c r="G3597" s="1077"/>
      <c r="H3597" s="1077"/>
      <c r="I3597" s="1077"/>
      <c r="J3597" s="1077"/>
      <c r="K3597" s="1077"/>
      <c r="L3597" s="1077"/>
      <c r="M3597" s="1077"/>
    </row>
    <row r="3598" spans="5:13" ht="182.25" customHeight="1">
      <c r="E3598" s="1077"/>
      <c r="F3598" s="1077"/>
      <c r="G3598" s="1077"/>
      <c r="H3598" s="1114" t="s">
        <v>2662</v>
      </c>
      <c r="I3598" s="1077"/>
      <c r="J3598" s="1077"/>
      <c r="K3598" s="1077"/>
      <c r="L3598" s="1077"/>
      <c r="M3598" s="1077"/>
    </row>
    <row r="3599" spans="5:13" ht="26.25" customHeight="1">
      <c r="E3599" s="1077"/>
      <c r="F3599" s="1077"/>
      <c r="G3599" s="1077"/>
      <c r="H3599" s="1079" t="s">
        <v>2663</v>
      </c>
      <c r="I3599" s="1077"/>
      <c r="J3599" s="1077"/>
      <c r="K3599" s="1077"/>
      <c r="L3599" s="1077"/>
      <c r="M3599" s="1077"/>
    </row>
    <row r="3600" spans="5:13">
      <c r="E3600" s="1077"/>
      <c r="F3600" s="1077"/>
      <c r="G3600" s="1077"/>
      <c r="H3600" s="1077"/>
      <c r="I3600" s="1077"/>
      <c r="J3600" s="1077"/>
      <c r="K3600" s="1077"/>
      <c r="L3600" s="1077"/>
      <c r="M3600" s="1077"/>
    </row>
    <row r="3601" spans="5:18" ht="225" customHeight="1">
      <c r="E3601" s="1077"/>
      <c r="F3601" s="1077"/>
      <c r="G3601" s="1077"/>
      <c r="H3601" s="1114" t="s">
        <v>2664</v>
      </c>
      <c r="I3601" s="1077"/>
      <c r="J3601" s="1077"/>
      <c r="K3601" s="1077"/>
      <c r="L3601" s="1077"/>
      <c r="M3601" s="1077"/>
    </row>
    <row r="3602" spans="5:18" ht="22.5" customHeight="1">
      <c r="E3602" s="1077"/>
      <c r="F3602" s="1077"/>
      <c r="G3602" s="1077"/>
      <c r="H3602" s="1088" t="s">
        <v>2665</v>
      </c>
      <c r="I3602" s="1088" t="s">
        <v>2666</v>
      </c>
      <c r="J3602" s="1088" t="s">
        <v>2667</v>
      </c>
      <c r="K3602" s="1088" t="s">
        <v>2668</v>
      </c>
      <c r="L3602" s="1088" t="s">
        <v>2669</v>
      </c>
      <c r="M3602" s="1077"/>
    </row>
    <row r="3603" spans="5:18" ht="22.5" customHeight="1">
      <c r="E3603" s="1077"/>
      <c r="F3603" s="1077"/>
      <c r="G3603" s="1077"/>
      <c r="H3603" s="1077" t="s">
        <v>2670</v>
      </c>
      <c r="I3603" s="1084">
        <v>2970</v>
      </c>
      <c r="J3603" s="1084">
        <v>2970</v>
      </c>
      <c r="K3603" s="1084">
        <v>2850</v>
      </c>
      <c r="L3603" s="1084">
        <v>2890</v>
      </c>
      <c r="M3603" s="1077"/>
    </row>
    <row r="3604" spans="5:18" ht="22.5" customHeight="1">
      <c r="E3604" s="1077"/>
      <c r="F3604" s="1077"/>
      <c r="G3604" s="1077"/>
      <c r="H3604" s="1077" t="s">
        <v>2671</v>
      </c>
      <c r="I3604" s="1077">
        <v>166</v>
      </c>
      <c r="J3604" s="1077">
        <v>405</v>
      </c>
      <c r="K3604" s="1115">
        <v>548</v>
      </c>
      <c r="L3604" s="1115">
        <v>639</v>
      </c>
      <c r="M3604" s="1077"/>
    </row>
    <row r="3605" spans="5:18" ht="29.25" customHeight="1">
      <c r="E3605" s="1077"/>
      <c r="F3605" s="1077"/>
      <c r="G3605" s="1077"/>
      <c r="H3605" s="1082" t="s">
        <v>2672</v>
      </c>
      <c r="I3605" s="1079">
        <f>SUM(I3603:I3604)</f>
        <v>3136</v>
      </c>
      <c r="J3605" s="1079">
        <f>SUM(J3603:J3604)</f>
        <v>3375</v>
      </c>
      <c r="K3605" s="1095">
        <f>SUM(K3603:K3604)</f>
        <v>3398</v>
      </c>
      <c r="L3605" s="1095">
        <f>SUM(L3603:L3604)</f>
        <v>3529</v>
      </c>
      <c r="M3605" s="1077"/>
    </row>
    <row r="3606" spans="5:18">
      <c r="E3606" s="1077"/>
      <c r="F3606" s="1077"/>
      <c r="G3606" s="1077"/>
      <c r="H3606" s="1077"/>
      <c r="I3606" s="1077"/>
      <c r="J3606" s="1077"/>
      <c r="K3606" s="1077"/>
      <c r="L3606" s="1077"/>
      <c r="M3606" s="1077"/>
    </row>
    <row r="3607" spans="5:18">
      <c r="E3607" s="1077"/>
      <c r="F3607" s="1077"/>
      <c r="G3607" s="1077"/>
      <c r="H3607" s="1079" t="s">
        <v>2673</v>
      </c>
      <c r="I3607" s="1077"/>
      <c r="J3607" s="1077"/>
      <c r="K3607" s="1077"/>
      <c r="L3607" s="1077"/>
      <c r="M3607" s="1077"/>
    </row>
    <row r="3608" spans="5:18" ht="15.75" customHeight="1">
      <c r="E3608" s="1077"/>
      <c r="F3608" s="1077"/>
      <c r="G3608" s="1077"/>
      <c r="H3608" s="1077"/>
      <c r="I3608" s="1077"/>
      <c r="J3608" s="1077"/>
      <c r="K3608" s="1077"/>
      <c r="L3608" s="1077"/>
      <c r="M3608" s="1077"/>
    </row>
    <row r="3609" spans="5:18">
      <c r="E3609" s="1077"/>
      <c r="F3609" s="1077"/>
      <c r="G3609" s="1077"/>
      <c r="H3609" s="1079" t="s">
        <v>2674</v>
      </c>
      <c r="I3609" s="1077"/>
      <c r="J3609" s="1077"/>
      <c r="K3609" s="1077"/>
      <c r="L3609" s="1077"/>
      <c r="M3609" s="1077"/>
    </row>
    <row r="3610" spans="5:18" ht="86.25" customHeight="1">
      <c r="E3610" s="1077"/>
      <c r="F3610" s="1077"/>
      <c r="G3610" s="1077"/>
      <c r="H3610" s="1114" t="s">
        <v>2675</v>
      </c>
      <c r="I3610" s="1077"/>
      <c r="J3610" s="1077"/>
      <c r="K3610" s="1077"/>
      <c r="L3610" s="1077"/>
      <c r="M3610" s="1768" t="s">
        <v>2676</v>
      </c>
      <c r="N3610" s="1768"/>
      <c r="O3610" s="1768"/>
      <c r="P3610" s="1768"/>
      <c r="Q3610" s="1768"/>
      <c r="R3610" s="1768"/>
    </row>
    <row r="3611" spans="5:18" ht="15.75" customHeight="1">
      <c r="E3611" s="1077"/>
      <c r="F3611" s="1077"/>
      <c r="G3611" s="1077"/>
      <c r="H3611" s="1077"/>
      <c r="I3611" s="1077"/>
      <c r="J3611" s="1077"/>
      <c r="K3611" s="1077"/>
      <c r="L3611" s="1077"/>
      <c r="M3611" s="1769" t="s">
        <v>2677</v>
      </c>
      <c r="N3611" s="1769"/>
      <c r="O3611" s="1769"/>
      <c r="P3611" s="1769"/>
      <c r="Q3611" s="1769"/>
      <c r="R3611" s="1769"/>
    </row>
    <row r="3612" spans="5:18" ht="26.25" customHeight="1">
      <c r="E3612" s="1077"/>
      <c r="F3612" s="1077">
        <v>2</v>
      </c>
      <c r="G3612" s="1077" t="s">
        <v>13</v>
      </c>
      <c r="H3612" s="1077" t="str">
        <f>Elec.Data!H782</f>
        <v>Back lamp with bolts &amp; nuts</v>
      </c>
      <c r="I3612" s="1084">
        <f>Elec.Data!I782</f>
        <v>35</v>
      </c>
      <c r="J3612" s="1077" t="s">
        <v>13</v>
      </c>
      <c r="K3612" s="1077">
        <f>F3612*I3612</f>
        <v>70</v>
      </c>
      <c r="L3612" s="1077"/>
      <c r="M3612" s="1116"/>
      <c r="N3612" s="1116"/>
      <c r="O3612" s="1116"/>
      <c r="P3612" s="1116"/>
      <c r="Q3612" s="1116"/>
      <c r="R3612" s="1116"/>
    </row>
    <row r="3613" spans="5:18" ht="26.25" customHeight="1">
      <c r="E3613" s="1077"/>
      <c r="F3613" s="1077">
        <v>2</v>
      </c>
      <c r="G3613" s="1077" t="s">
        <v>1521</v>
      </c>
      <c r="H3613" s="1077" t="s">
        <v>2678</v>
      </c>
      <c r="I3613" s="1077">
        <v>35</v>
      </c>
      <c r="J3613" s="1077" t="s">
        <v>1521</v>
      </c>
      <c r="K3613" s="1077">
        <f>F3613*I3613</f>
        <v>70</v>
      </c>
      <c r="L3613" s="1077"/>
      <c r="M3613" s="1117">
        <v>1.5</v>
      </c>
      <c r="N3613" s="1116" t="s">
        <v>13</v>
      </c>
      <c r="O3613" s="1116" t="s">
        <v>2679</v>
      </c>
      <c r="P3613" s="1118">
        <v>136</v>
      </c>
      <c r="Q3613" s="1116" t="s">
        <v>13</v>
      </c>
      <c r="R3613" s="1117">
        <f>P3613*M3613</f>
        <v>204</v>
      </c>
    </row>
    <row r="3614" spans="5:18" ht="26.25" customHeight="1">
      <c r="E3614" s="1077"/>
      <c r="F3614" s="1077">
        <v>1</v>
      </c>
      <c r="G3614" s="1077" t="s">
        <v>1034</v>
      </c>
      <c r="H3614" s="1077" t="s">
        <v>2680</v>
      </c>
      <c r="I3614" s="1084">
        <f>Elec.Data!I784</f>
        <v>31.28</v>
      </c>
      <c r="J3614" s="1077" t="s">
        <v>729</v>
      </c>
      <c r="K3614" s="1077">
        <f>F3614*I3614</f>
        <v>31.28</v>
      </c>
      <c r="L3614" s="1077"/>
      <c r="M3614" s="1117">
        <v>2</v>
      </c>
      <c r="N3614" s="1116" t="s">
        <v>1521</v>
      </c>
      <c r="O3614" s="1116" t="s">
        <v>2678</v>
      </c>
      <c r="P3614" s="1117">
        <f>I3613</f>
        <v>35</v>
      </c>
      <c r="Q3614" s="1116" t="s">
        <v>1521</v>
      </c>
      <c r="R3614" s="1117">
        <f>M3614*P3614</f>
        <v>70</v>
      </c>
    </row>
    <row r="3615" spans="5:18" ht="26.25" customHeight="1">
      <c r="E3615" s="1077"/>
      <c r="F3615" s="1077">
        <v>1</v>
      </c>
      <c r="G3615" s="1077" t="s">
        <v>1034</v>
      </c>
      <c r="H3615" s="1077" t="s">
        <v>2681</v>
      </c>
      <c r="I3615" s="1077">
        <f>K3628</f>
        <v>32.119999999999997</v>
      </c>
      <c r="J3615" s="1077" t="s">
        <v>729</v>
      </c>
      <c r="K3615" s="1077">
        <f>F3615*I3615</f>
        <v>32.119999999999997</v>
      </c>
      <c r="L3615" s="1077"/>
      <c r="M3615" s="1117"/>
      <c r="N3615" s="1116"/>
      <c r="O3615" s="1116"/>
      <c r="P3615" s="1118"/>
      <c r="Q3615" s="1116"/>
      <c r="R3615" s="1117"/>
    </row>
    <row r="3616" spans="5:18" ht="26.25" customHeight="1">
      <c r="E3616" s="1077"/>
      <c r="F3616" s="1077">
        <v>8</v>
      </c>
      <c r="G3616" s="1077" t="s">
        <v>13</v>
      </c>
      <c r="H3616" s="1077" t="s">
        <v>2682</v>
      </c>
      <c r="I3616" s="1077">
        <f>I3101</f>
        <v>20.3</v>
      </c>
      <c r="J3616" s="1077" t="s">
        <v>2330</v>
      </c>
      <c r="K3616" s="1077">
        <f>F3616*I3616</f>
        <v>162.4</v>
      </c>
      <c r="L3616" s="1077"/>
      <c r="M3616" s="1117"/>
      <c r="N3616" s="1116"/>
      <c r="O3616" s="1116"/>
      <c r="P3616" s="1117"/>
      <c r="Q3616" s="1116"/>
      <c r="R3616" s="1117"/>
    </row>
    <row r="3617" spans="5:18" ht="51" customHeight="1">
      <c r="E3617" s="1077"/>
      <c r="F3617" s="1077">
        <v>1</v>
      </c>
      <c r="G3617" s="1077" t="s">
        <v>1034</v>
      </c>
      <c r="H3617" s="1114" t="s">
        <v>2683</v>
      </c>
      <c r="I3617" s="1077"/>
      <c r="J3617" s="1077"/>
      <c r="K3617" s="1077">
        <f>K3627</f>
        <v>1690</v>
      </c>
      <c r="L3617" s="1077"/>
      <c r="M3617" s="1117">
        <v>8</v>
      </c>
      <c r="N3617" s="1116" t="s">
        <v>13</v>
      </c>
      <c r="O3617" s="1119" t="s">
        <v>2682</v>
      </c>
      <c r="P3617" s="1117">
        <f>I3616</f>
        <v>20.3</v>
      </c>
      <c r="Q3617" s="1116" t="s">
        <v>2330</v>
      </c>
      <c r="R3617" s="1117">
        <f>M3617*P3617</f>
        <v>162.4</v>
      </c>
    </row>
    <row r="3618" spans="5:18" ht="49.5" customHeight="1">
      <c r="E3618" s="1077"/>
      <c r="F3618" s="1077"/>
      <c r="G3618" s="1077"/>
      <c r="H3618" s="1114" t="s">
        <v>2684</v>
      </c>
      <c r="I3618" s="1077" t="s">
        <v>49</v>
      </c>
      <c r="J3618" s="1077"/>
      <c r="K3618" s="1077">
        <f>15.7+0.31</f>
        <v>16.010000000000002</v>
      </c>
      <c r="L3618" s="1077"/>
      <c r="M3618" s="1117">
        <v>1</v>
      </c>
      <c r="N3618" s="1116" t="s">
        <v>1034</v>
      </c>
      <c r="O3618" s="1119" t="s">
        <v>2683</v>
      </c>
      <c r="P3618" s="1117">
        <f>R3628</f>
        <v>881.67</v>
      </c>
      <c r="Q3618" s="1116" t="s">
        <v>729</v>
      </c>
      <c r="R3618" s="1117">
        <f>R3628</f>
        <v>881.67</v>
      </c>
    </row>
    <row r="3619" spans="5:18" ht="29.25" customHeight="1">
      <c r="E3619" s="1077"/>
      <c r="F3619" s="1077"/>
      <c r="G3619" s="1077"/>
      <c r="H3619" s="1082" t="s">
        <v>2601</v>
      </c>
      <c r="I3619" s="1077"/>
      <c r="J3619" s="1077"/>
      <c r="K3619" s="1079">
        <f>SUM(K3612:K3618)</f>
        <v>2071.81</v>
      </c>
      <c r="L3619" s="1077">
        <f>K3619-1520</f>
        <v>551.80999999999995</v>
      </c>
      <c r="M3619" s="1117"/>
      <c r="N3619" s="1116"/>
      <c r="O3619" s="1119" t="s">
        <v>2684</v>
      </c>
      <c r="P3619" s="1770" t="s">
        <v>49</v>
      </c>
      <c r="Q3619" s="1770"/>
      <c r="R3619" s="1117">
        <v>15.73</v>
      </c>
    </row>
    <row r="3620" spans="5:18">
      <c r="E3620" s="1077"/>
      <c r="F3620" s="1077"/>
      <c r="G3620" s="1077"/>
      <c r="H3620" s="1077"/>
      <c r="I3620" s="1077"/>
      <c r="J3620" s="1077"/>
      <c r="K3620" s="1077"/>
      <c r="L3620" s="1077"/>
      <c r="M3620" s="1117"/>
      <c r="N3620" s="1116"/>
      <c r="O3620" s="1120" t="s">
        <v>2601</v>
      </c>
      <c r="P3620" s="1116"/>
      <c r="Q3620" s="1116"/>
      <c r="R3620" s="1120">
        <f>SUM(R3613:R3619)</f>
        <v>1333.8</v>
      </c>
    </row>
    <row r="3621" spans="5:18">
      <c r="E3621" s="1077"/>
      <c r="F3621" s="1077"/>
      <c r="G3621" s="1077"/>
      <c r="H3621" s="1088" t="s">
        <v>2685</v>
      </c>
      <c r="I3621" s="1077"/>
      <c r="J3621" s="1077"/>
      <c r="K3621" s="1077"/>
      <c r="L3621" s="1077"/>
      <c r="M3621" s="1117"/>
      <c r="N3621" s="1116"/>
      <c r="O3621" s="1116"/>
      <c r="P3621" s="1116"/>
      <c r="Q3621" s="1116"/>
      <c r="R3621" s="1116"/>
    </row>
    <row r="3622" spans="5:18">
      <c r="E3622" s="1077"/>
      <c r="F3622" s="1077">
        <v>1</v>
      </c>
      <c r="G3622" s="1077" t="s">
        <v>1034</v>
      </c>
      <c r="H3622" s="1098" t="s">
        <v>2627</v>
      </c>
      <c r="I3622" s="1077">
        <f>I3503</f>
        <v>898</v>
      </c>
      <c r="J3622" s="1077" t="s">
        <v>1034</v>
      </c>
      <c r="K3622" s="1077">
        <f>F3622*I3622</f>
        <v>898</v>
      </c>
      <c r="L3622" s="1077"/>
      <c r="M3622" s="1117"/>
      <c r="N3622" s="1116"/>
      <c r="O3622" s="1121" t="s">
        <v>2685</v>
      </c>
      <c r="P3622" s="1116"/>
      <c r="Q3622" s="1116"/>
      <c r="R3622" s="1116"/>
    </row>
    <row r="3623" spans="5:18">
      <c r="E3623" s="1077"/>
      <c r="F3623" s="1077">
        <v>1</v>
      </c>
      <c r="G3623" s="1077" t="s">
        <v>1034</v>
      </c>
      <c r="H3623" s="1077" t="s">
        <v>2472</v>
      </c>
      <c r="I3623" s="1077">
        <f>I3504</f>
        <v>783</v>
      </c>
      <c r="J3623" s="1077" t="s">
        <v>1034</v>
      </c>
      <c r="K3623" s="1077">
        <f>F3623*I3623</f>
        <v>783</v>
      </c>
      <c r="L3623" s="1077"/>
      <c r="M3623" s="1117">
        <v>1</v>
      </c>
      <c r="N3623" s="1116" t="s">
        <v>1034</v>
      </c>
      <c r="O3623" s="1116" t="s">
        <v>2627</v>
      </c>
      <c r="P3623" s="1117">
        <v>471</v>
      </c>
      <c r="Q3623" s="1116" t="s">
        <v>1034</v>
      </c>
      <c r="R3623" s="1116">
        <f>M3623*P3623</f>
        <v>471</v>
      </c>
    </row>
    <row r="3624" spans="5:18">
      <c r="E3624" s="1077"/>
      <c r="F3624" s="1077">
        <v>2</v>
      </c>
      <c r="G3624" s="1077" t="s">
        <v>1034</v>
      </c>
      <c r="H3624" s="1077" t="s">
        <v>2463</v>
      </c>
      <c r="I3624" s="1077">
        <f>I3505</f>
        <v>778</v>
      </c>
      <c r="J3624" s="1077" t="s">
        <v>1034</v>
      </c>
      <c r="K3624" s="1077">
        <f>F3624*I3624</f>
        <v>1556</v>
      </c>
      <c r="L3624" s="1077"/>
      <c r="M3624" s="1117">
        <v>1</v>
      </c>
      <c r="N3624" s="1116" t="s">
        <v>1034</v>
      </c>
      <c r="O3624" s="1116" t="s">
        <v>2472</v>
      </c>
      <c r="P3624" s="1117">
        <v>432</v>
      </c>
      <c r="Q3624" s="1116" t="s">
        <v>1034</v>
      </c>
      <c r="R3624" s="1116">
        <f>M3624*P3624</f>
        <v>432</v>
      </c>
    </row>
    <row r="3625" spans="5:18">
      <c r="E3625" s="1077"/>
      <c r="F3625" s="1077">
        <v>3</v>
      </c>
      <c r="G3625" s="1077" t="s">
        <v>1034</v>
      </c>
      <c r="H3625" s="1077" t="s">
        <v>2166</v>
      </c>
      <c r="I3625" s="1077">
        <f>I3506</f>
        <v>611</v>
      </c>
      <c r="J3625" s="1077" t="s">
        <v>1034</v>
      </c>
      <c r="K3625" s="1077">
        <f>F3625*I3625</f>
        <v>1833</v>
      </c>
      <c r="L3625" s="1077"/>
      <c r="M3625" s="1117">
        <v>2</v>
      </c>
      <c r="N3625" s="1116" t="s">
        <v>1034</v>
      </c>
      <c r="O3625" s="1116" t="s">
        <v>2463</v>
      </c>
      <c r="P3625" s="1117">
        <v>409</v>
      </c>
      <c r="Q3625" s="1116" t="s">
        <v>1034</v>
      </c>
      <c r="R3625" s="1116">
        <f>M3625*P3625</f>
        <v>818</v>
      </c>
    </row>
    <row r="3626" spans="5:18">
      <c r="E3626" s="1077"/>
      <c r="F3626" s="1077"/>
      <c r="G3626" s="1077"/>
      <c r="H3626" s="1081" t="s">
        <v>2617</v>
      </c>
      <c r="I3626" s="1077"/>
      <c r="J3626" s="1077"/>
      <c r="K3626" s="1088">
        <f>SUM(K3622:K3625)</f>
        <v>5070</v>
      </c>
      <c r="L3626" s="1077"/>
      <c r="M3626" s="1117">
        <v>3</v>
      </c>
      <c r="N3626" s="1116" t="s">
        <v>1034</v>
      </c>
      <c r="O3626" s="1116" t="s">
        <v>2166</v>
      </c>
      <c r="P3626" s="1117">
        <v>308</v>
      </c>
      <c r="Q3626" s="1116" t="s">
        <v>1034</v>
      </c>
      <c r="R3626" s="1116">
        <f>M3626*P3626</f>
        <v>924</v>
      </c>
    </row>
    <row r="3627" spans="5:18">
      <c r="E3627" s="1077"/>
      <c r="F3627" s="1077"/>
      <c r="G3627" s="1077"/>
      <c r="H3627" s="1082" t="s">
        <v>2058</v>
      </c>
      <c r="I3627" s="1077"/>
      <c r="J3627" s="1077"/>
      <c r="K3627" s="1079">
        <f>K3626/3</f>
        <v>1690</v>
      </c>
      <c r="L3627" s="1077"/>
      <c r="M3627" s="1116"/>
      <c r="N3627" s="1116"/>
      <c r="O3627" s="1117" t="s">
        <v>2617</v>
      </c>
      <c r="P3627" s="1116"/>
      <c r="Q3627" s="1116"/>
      <c r="R3627" s="1121">
        <f>SUM(R3623:R3626)</f>
        <v>2645</v>
      </c>
    </row>
    <row r="3628" spans="5:18">
      <c r="E3628" s="1077"/>
      <c r="F3628" s="1077"/>
      <c r="G3628" s="1077"/>
      <c r="H3628" s="1079" t="s">
        <v>2686</v>
      </c>
      <c r="I3628" s="1077">
        <f>I3483</f>
        <v>107060</v>
      </c>
      <c r="J3628" s="1097">
        <v>2.9999999999999997E-4</v>
      </c>
      <c r="K3628" s="1079">
        <f>I3628*J3628</f>
        <v>32.119999999999997</v>
      </c>
      <c r="L3628" s="1077"/>
      <c r="M3628" s="1116"/>
      <c r="N3628" s="1116"/>
      <c r="O3628" s="1120" t="s">
        <v>2058</v>
      </c>
      <c r="P3628" s="1116"/>
      <c r="Q3628" s="1116"/>
      <c r="R3628" s="1124">
        <f>R3627/3</f>
        <v>881.67</v>
      </c>
    </row>
    <row r="3629" spans="5:18">
      <c r="E3629" s="1077"/>
      <c r="F3629" s="1077"/>
      <c r="G3629" s="1077"/>
      <c r="H3629" s="1077"/>
      <c r="I3629" s="1077"/>
      <c r="J3629" s="1077"/>
      <c r="K3629" s="1077"/>
      <c r="L3629" s="1077"/>
      <c r="M3629" s="1116"/>
      <c r="N3629" s="1116"/>
      <c r="O3629" s="1122"/>
      <c r="P3629" s="1123"/>
      <c r="Q3629" s="1126"/>
      <c r="R3629" s="1122"/>
    </row>
    <row r="3630" spans="5:18" ht="23.25" customHeight="1">
      <c r="E3630" s="1077"/>
      <c r="F3630" s="1077"/>
      <c r="G3630" s="1077"/>
      <c r="H3630" s="1079" t="s">
        <v>2603</v>
      </c>
      <c r="I3630" s="1077"/>
      <c r="J3630" s="1077"/>
      <c r="K3630" s="1077"/>
      <c r="L3630" s="1077"/>
      <c r="M3630" s="1116"/>
      <c r="N3630" s="1116"/>
      <c r="O3630" s="1116"/>
      <c r="P3630" s="1116"/>
      <c r="Q3630" s="1116"/>
      <c r="R3630" s="1116"/>
    </row>
    <row r="3631" spans="5:18" ht="15.75" customHeight="1">
      <c r="E3631" s="1077"/>
      <c r="F3631" s="1077"/>
      <c r="G3631" s="1077"/>
      <c r="H3631" s="1077"/>
      <c r="I3631" s="1077"/>
      <c r="J3631" s="1077"/>
      <c r="K3631" s="1077"/>
      <c r="L3631" s="1077"/>
      <c r="M3631" s="1116"/>
      <c r="N3631" s="1116"/>
      <c r="O3631" s="1124" t="s">
        <v>2603</v>
      </c>
      <c r="P3631" s="1116"/>
      <c r="Q3631" s="1116"/>
      <c r="R3631" s="1116"/>
    </row>
    <row r="3632" spans="5:18" ht="24.95" customHeight="1">
      <c r="E3632" s="1077"/>
      <c r="F3632" s="1077"/>
      <c r="G3632" s="1077"/>
      <c r="H3632" s="1079" t="s">
        <v>2687</v>
      </c>
      <c r="I3632" s="1077"/>
      <c r="J3632" s="1077"/>
      <c r="K3632" s="1077"/>
      <c r="L3632" s="1077"/>
      <c r="M3632" s="1116"/>
      <c r="N3632" s="1116"/>
      <c r="O3632" s="1124"/>
      <c r="P3632" s="1116"/>
      <c r="Q3632" s="1116"/>
      <c r="R3632" s="1116"/>
    </row>
    <row r="3633" spans="5:18" ht="15.75" customHeight="1">
      <c r="E3633" s="1077"/>
      <c r="F3633" s="1077"/>
      <c r="G3633" s="1077"/>
      <c r="H3633" s="1077"/>
      <c r="I3633" s="1077"/>
      <c r="J3633" s="1077"/>
      <c r="K3633" s="1077"/>
      <c r="L3633" s="1077"/>
      <c r="M3633" s="1116"/>
      <c r="N3633" s="1116"/>
      <c r="O3633" s="1124" t="s">
        <v>2688</v>
      </c>
      <c r="P3633" s="1116"/>
      <c r="Q3633" s="1116"/>
      <c r="R3633" s="1116"/>
    </row>
    <row r="3634" spans="5:18" ht="24.95" customHeight="1">
      <c r="E3634" s="1077"/>
      <c r="F3634" s="1077">
        <v>1</v>
      </c>
      <c r="G3634" s="1077" t="s">
        <v>1034</v>
      </c>
      <c r="H3634" s="1076" t="str">
        <f>Elec.Data!H804</f>
        <v>Tubular lamp P-112 ,4b</v>
      </c>
      <c r="I3634" s="1085">
        <f>Elec.Data!I804</f>
        <v>36.200000000000003</v>
      </c>
      <c r="J3634" s="1077" t="s">
        <v>1034</v>
      </c>
      <c r="K3634" s="1077">
        <f>F3634*I3634</f>
        <v>36.200000000000003</v>
      </c>
      <c r="L3634" s="1077"/>
      <c r="M3634" s="1116"/>
      <c r="N3634" s="1116"/>
      <c r="O3634" s="1124"/>
      <c r="P3634" s="1116"/>
      <c r="Q3634" s="1116"/>
      <c r="R3634" s="1116"/>
    </row>
    <row r="3635" spans="5:18" ht="24.95" customHeight="1">
      <c r="E3635" s="1077"/>
      <c r="F3635" s="1077">
        <v>1</v>
      </c>
      <c r="G3635" s="1077" t="s">
        <v>1034</v>
      </c>
      <c r="H3635" s="1076" t="str">
        <f>Elec.Data!H805</f>
        <v>Labour charges</v>
      </c>
      <c r="I3635" s="1085">
        <f>Elec.Data!I805</f>
        <v>2258.33</v>
      </c>
      <c r="J3635" s="1077" t="s">
        <v>1034</v>
      </c>
      <c r="K3635" s="1077">
        <f>F3635*I3635</f>
        <v>2258.33</v>
      </c>
      <c r="L3635" s="1077"/>
      <c r="M3635" s="1116">
        <v>1</v>
      </c>
      <c r="N3635" s="1116" t="s">
        <v>1034</v>
      </c>
      <c r="O3635" s="1119" t="s">
        <v>2689</v>
      </c>
      <c r="P3635" s="1125">
        <v>1717.5</v>
      </c>
      <c r="Q3635" s="1116" t="s">
        <v>1034</v>
      </c>
      <c r="R3635" s="1116">
        <f>M3635*P3635</f>
        <v>1717.5</v>
      </c>
    </row>
    <row r="3636" spans="5:18" ht="24.95" customHeight="1">
      <c r="E3636" s="1077"/>
      <c r="F3636" s="1077">
        <v>1</v>
      </c>
      <c r="G3636" s="1077" t="s">
        <v>1034</v>
      </c>
      <c r="H3636" s="1114" t="s">
        <v>478</v>
      </c>
      <c r="I3636" s="1077">
        <f>K3619</f>
        <v>2071.81</v>
      </c>
      <c r="J3636" s="1077" t="s">
        <v>1034</v>
      </c>
      <c r="K3636" s="1077">
        <f>F3636*I3636</f>
        <v>2071.81</v>
      </c>
      <c r="L3636" s="1077"/>
      <c r="M3636" s="1116">
        <v>1</v>
      </c>
      <c r="N3636" s="1116" t="s">
        <v>1034</v>
      </c>
      <c r="O3636" s="1119" t="s">
        <v>478</v>
      </c>
      <c r="P3636" s="1125">
        <f>R3620</f>
        <v>1333.8</v>
      </c>
      <c r="Q3636" s="1116" t="s">
        <v>1034</v>
      </c>
      <c r="R3636" s="1116">
        <f>M3636*P3636</f>
        <v>1333.8</v>
      </c>
    </row>
    <row r="3637" spans="5:18" ht="24.95" customHeight="1">
      <c r="E3637" s="1077"/>
      <c r="F3637" s="1077"/>
      <c r="G3637" s="1077"/>
      <c r="H3637" s="1076" t="s">
        <v>1557</v>
      </c>
      <c r="I3637" s="1077"/>
      <c r="J3637" s="1077"/>
      <c r="K3637" s="1077">
        <f>2.5-0.9</f>
        <v>1.6</v>
      </c>
      <c r="L3637" s="1077"/>
      <c r="M3637" s="1116"/>
      <c r="N3637" s="1116"/>
      <c r="O3637" s="1119" t="s">
        <v>1557</v>
      </c>
      <c r="P3637" s="1116"/>
      <c r="Q3637" s="1116"/>
      <c r="R3637" s="1116">
        <v>0.5</v>
      </c>
    </row>
    <row r="3638" spans="5:18" ht="24.95" customHeight="1">
      <c r="E3638" s="1077"/>
      <c r="F3638" s="1077"/>
      <c r="G3638" s="1077"/>
      <c r="H3638" s="1082" t="s">
        <v>2400</v>
      </c>
      <c r="I3638" s="1077"/>
      <c r="J3638" s="1077"/>
      <c r="K3638" s="1079">
        <f>SUM(K3634:K3637)</f>
        <v>4367.9399999999996</v>
      </c>
      <c r="L3638" s="1077">
        <f>K3638-2170</f>
        <v>2197.94</v>
      </c>
      <c r="M3638" s="1116"/>
      <c r="N3638" s="1116"/>
      <c r="O3638" s="1120" t="s">
        <v>2400</v>
      </c>
      <c r="P3638" s="1116"/>
      <c r="Q3638" s="1116"/>
      <c r="R3638" s="1124">
        <f>SUM(R3635:R3637)</f>
        <v>3051.8</v>
      </c>
    </row>
    <row r="3639" spans="5:18">
      <c r="E3639" s="1077"/>
      <c r="F3639" s="1077"/>
      <c r="G3639" s="1077"/>
      <c r="H3639" s="1077"/>
      <c r="I3639" s="1077"/>
      <c r="J3639" s="1077"/>
      <c r="K3639" s="1077"/>
      <c r="L3639" s="1077"/>
      <c r="M3639" s="1116"/>
      <c r="N3639" s="1116"/>
      <c r="P3639" s="1116"/>
      <c r="Q3639" s="1116"/>
      <c r="R3639" s="1124"/>
    </row>
    <row r="3640" spans="5:18" ht="24.75" customHeight="1">
      <c r="E3640" s="1077"/>
      <c r="F3640" s="1077"/>
      <c r="G3640" s="1077"/>
      <c r="H3640" s="1079" t="s">
        <v>2690</v>
      </c>
      <c r="I3640" s="1077"/>
      <c r="J3640" s="1077"/>
      <c r="K3640" s="1077"/>
      <c r="L3640" s="1077"/>
      <c r="M3640" s="1077"/>
    </row>
    <row r="3641" spans="5:18" ht="63">
      <c r="E3641" s="1077"/>
      <c r="F3641" s="1077"/>
      <c r="G3641" s="1077"/>
      <c r="H3641" s="1114" t="s">
        <v>2691</v>
      </c>
      <c r="I3641" s="1077"/>
      <c r="J3641" s="1077"/>
      <c r="K3641" s="1077"/>
      <c r="L3641" s="1077"/>
      <c r="M3641" s="1077"/>
    </row>
    <row r="3642" spans="5:18">
      <c r="E3642" s="1077"/>
      <c r="F3642" s="1077"/>
      <c r="G3642" s="1077"/>
      <c r="H3642" s="1077"/>
      <c r="I3642" s="1077"/>
      <c r="J3642" s="1077"/>
      <c r="K3642" s="1077"/>
      <c r="L3642" s="1077"/>
      <c r="M3642" s="1077"/>
    </row>
    <row r="3643" spans="5:18" ht="24.75" customHeight="1">
      <c r="E3643" s="1077"/>
      <c r="F3643" s="1077">
        <v>1.5</v>
      </c>
      <c r="G3643" s="1077" t="s">
        <v>13</v>
      </c>
      <c r="H3643" s="1077" t="str">
        <f>Elec.Data!H813</f>
        <v>Back clamps with bolts and nuts</v>
      </c>
      <c r="I3643" s="1084">
        <f>Elec.Data!I813</f>
        <v>35</v>
      </c>
      <c r="J3643" s="1077" t="s">
        <v>13</v>
      </c>
      <c r="K3643" s="1077">
        <f>F3643*I3643</f>
        <v>52.5</v>
      </c>
      <c r="L3643" s="1077"/>
      <c r="M3643" s="1077"/>
    </row>
    <row r="3644" spans="5:18" ht="24.75" customHeight="1">
      <c r="E3644" s="1077"/>
      <c r="F3644" s="1077">
        <v>2</v>
      </c>
      <c r="G3644" s="1077" t="s">
        <v>2692</v>
      </c>
      <c r="H3644" s="1077" t="s">
        <v>2693</v>
      </c>
      <c r="I3644" s="1077">
        <f>I3613</f>
        <v>35</v>
      </c>
      <c r="J3644" s="1077" t="s">
        <v>2692</v>
      </c>
      <c r="K3644" s="1077">
        <f>F3644*I3644</f>
        <v>70</v>
      </c>
      <c r="L3644" s="1077"/>
      <c r="M3644" s="1077"/>
    </row>
    <row r="3645" spans="5:18" ht="24.75" customHeight="1">
      <c r="E3645" s="1077"/>
      <c r="F3645" s="1077">
        <v>1</v>
      </c>
      <c r="G3645" s="1077" t="s">
        <v>1034</v>
      </c>
      <c r="H3645" s="1077" t="s">
        <v>2694</v>
      </c>
      <c r="I3645" s="1077">
        <f>I3614</f>
        <v>31.28</v>
      </c>
      <c r="J3645" s="1077" t="s">
        <v>1034</v>
      </c>
      <c r="K3645" s="1077">
        <f>F3645*I3645</f>
        <v>31.28</v>
      </c>
      <c r="L3645" s="1077"/>
      <c r="M3645" s="1077"/>
    </row>
    <row r="3646" spans="5:18" ht="24.75" customHeight="1">
      <c r="E3646" s="1077"/>
      <c r="F3646" s="1077">
        <v>1</v>
      </c>
      <c r="G3646" s="1077" t="s">
        <v>1034</v>
      </c>
      <c r="H3646" s="1077" t="s">
        <v>2695</v>
      </c>
      <c r="I3646" s="1077">
        <f>I3615</f>
        <v>32.119999999999997</v>
      </c>
      <c r="J3646" s="1077" t="s">
        <v>1034</v>
      </c>
      <c r="K3646" s="1077">
        <f>F3646*I3646</f>
        <v>32.119999999999997</v>
      </c>
      <c r="L3646" s="1077"/>
      <c r="M3646" s="1077"/>
    </row>
    <row r="3647" spans="5:18" ht="24.75" customHeight="1">
      <c r="E3647" s="1077"/>
      <c r="F3647" s="1077">
        <v>8</v>
      </c>
      <c r="G3647" s="1077" t="s">
        <v>13</v>
      </c>
      <c r="H3647" s="1077" t="s">
        <v>2682</v>
      </c>
      <c r="I3647" s="1077">
        <f>I3616</f>
        <v>20.3</v>
      </c>
      <c r="J3647" s="1077" t="s">
        <v>2330</v>
      </c>
      <c r="K3647" s="1077">
        <f>F3647*I3647</f>
        <v>162.4</v>
      </c>
      <c r="L3647" s="1077"/>
      <c r="M3647" s="1077"/>
    </row>
    <row r="3648" spans="5:18" ht="61.5" customHeight="1">
      <c r="E3648" s="1077"/>
      <c r="F3648" s="1077"/>
      <c r="G3648" s="1077"/>
      <c r="H3648" s="1114" t="s">
        <v>2683</v>
      </c>
      <c r="I3648" s="1077"/>
      <c r="J3648" s="1077"/>
      <c r="K3648" s="1077">
        <f>K3627</f>
        <v>1690</v>
      </c>
      <c r="L3648" s="1077"/>
      <c r="M3648" s="1077"/>
    </row>
    <row r="3649" spans="5:13" ht="52.5" customHeight="1">
      <c r="E3649" s="1077"/>
      <c r="F3649" s="1077"/>
      <c r="G3649" s="1077"/>
      <c r="H3649" s="1114" t="s">
        <v>2684</v>
      </c>
      <c r="I3649" s="1077"/>
      <c r="J3649" s="1077" t="s">
        <v>49</v>
      </c>
      <c r="K3649" s="1077">
        <f>14.2-0.69</f>
        <v>13.51</v>
      </c>
      <c r="L3649" s="1077"/>
      <c r="M3649" s="1077"/>
    </row>
    <row r="3650" spans="5:13" ht="24" customHeight="1">
      <c r="E3650" s="1077"/>
      <c r="F3650" s="1077"/>
      <c r="G3650" s="1077"/>
      <c r="H3650" s="1082" t="s">
        <v>2601</v>
      </c>
      <c r="I3650" s="1077"/>
      <c r="J3650" s="1077"/>
      <c r="K3650" s="1079">
        <f>SUM(K3643:K3649)</f>
        <v>2051.81</v>
      </c>
      <c r="L3650" s="1077"/>
      <c r="M3650" s="1077"/>
    </row>
    <row r="3651" spans="5:13">
      <c r="E3651" s="1077"/>
      <c r="F3651" s="1077"/>
      <c r="G3651" s="1077"/>
      <c r="H3651" s="1077"/>
      <c r="I3651" s="1077"/>
      <c r="J3651" s="1077"/>
      <c r="K3651" s="1077"/>
      <c r="L3651" s="1077"/>
      <c r="M3651" s="1077"/>
    </row>
    <row r="3652" spans="5:13">
      <c r="E3652" s="1077"/>
      <c r="F3652" s="1077"/>
      <c r="G3652" s="1077"/>
      <c r="H3652" s="1077"/>
      <c r="I3652" s="1077"/>
      <c r="J3652" s="1077"/>
      <c r="K3652" s="1077"/>
      <c r="L3652" s="1077"/>
      <c r="M3652" s="1077"/>
    </row>
    <row r="3653" spans="5:13">
      <c r="E3653" s="1077"/>
      <c r="F3653" s="1077"/>
      <c r="G3653" s="1077"/>
      <c r="H3653" s="1077"/>
      <c r="I3653" s="1077"/>
      <c r="J3653" s="1077"/>
      <c r="K3653" s="1077"/>
      <c r="L3653" s="1077"/>
      <c r="M3653" s="1077"/>
    </row>
    <row r="3654" spans="5:13">
      <c r="E3654" s="1077"/>
      <c r="F3654" s="1077"/>
      <c r="G3654" s="1077"/>
      <c r="H3654" s="1077"/>
      <c r="I3654" s="1077"/>
      <c r="J3654" s="1077"/>
      <c r="K3654" s="1077"/>
      <c r="L3654" s="1077"/>
      <c r="M3654" s="1077"/>
    </row>
    <row r="3655" spans="5:13">
      <c r="E3655" s="1077"/>
      <c r="F3655" s="1077"/>
      <c r="G3655" s="1077"/>
      <c r="H3655" s="1095" t="s">
        <v>2673</v>
      </c>
      <c r="I3655" s="1077"/>
      <c r="J3655" s="1077"/>
      <c r="K3655" s="1077"/>
      <c r="L3655" s="1077"/>
      <c r="M3655" s="1077"/>
    </row>
    <row r="3656" spans="5:13">
      <c r="E3656" s="1077"/>
      <c r="F3656" s="1077"/>
      <c r="G3656" s="1077"/>
      <c r="H3656" s="1077"/>
      <c r="I3656" s="1077"/>
      <c r="J3656" s="1077"/>
      <c r="K3656" s="1077"/>
      <c r="L3656" s="1077"/>
      <c r="M3656" s="1077"/>
    </row>
    <row r="3657" spans="5:13">
      <c r="E3657" s="1077"/>
      <c r="F3657" s="1077"/>
      <c r="G3657" s="1077"/>
      <c r="H3657" s="1095" t="s">
        <v>2696</v>
      </c>
      <c r="I3657" s="1077"/>
      <c r="J3657" s="1077"/>
      <c r="K3657" s="1077"/>
      <c r="L3657" s="1077"/>
      <c r="M3657" s="1077"/>
    </row>
    <row r="3658" spans="5:13">
      <c r="E3658" s="1077"/>
      <c r="F3658" s="1077"/>
      <c r="G3658" s="1077"/>
      <c r="H3658" s="1077"/>
      <c r="I3658" s="1077"/>
      <c r="J3658" s="1077"/>
      <c r="K3658" s="1077"/>
      <c r="L3658" s="1077"/>
      <c r="M3658" s="1077"/>
    </row>
    <row r="3659" spans="5:13" ht="315">
      <c r="E3659" s="1077"/>
      <c r="F3659" s="1077"/>
      <c r="G3659" s="1077"/>
      <c r="H3659" s="1114" t="s">
        <v>2697</v>
      </c>
      <c r="I3659" s="1077"/>
      <c r="J3659" s="1077"/>
      <c r="K3659" s="1077"/>
      <c r="L3659" s="1077"/>
      <c r="M3659" s="1077"/>
    </row>
    <row r="3660" spans="5:13">
      <c r="E3660" s="1077"/>
      <c r="F3660" s="1077"/>
      <c r="G3660" s="1077"/>
      <c r="H3660" s="1077"/>
      <c r="I3660" s="1077"/>
      <c r="J3660" s="1077"/>
      <c r="K3660" s="1077"/>
      <c r="L3660" s="1077"/>
      <c r="M3660" s="1077"/>
    </row>
    <row r="3661" spans="5:13">
      <c r="E3661" s="1077"/>
      <c r="F3661" s="1077"/>
      <c r="G3661" s="1077"/>
      <c r="H3661" s="1079" t="s">
        <v>2698</v>
      </c>
      <c r="I3661" s="1077"/>
      <c r="K3661" s="1077"/>
      <c r="L3661" s="1077"/>
      <c r="M3661" s="1077"/>
    </row>
    <row r="3662" spans="5:13" ht="47.25">
      <c r="E3662" s="1077"/>
      <c r="F3662" s="1077">
        <v>1</v>
      </c>
      <c r="G3662" s="1077" t="s">
        <v>1034</v>
      </c>
      <c r="H3662" s="1076" t="s">
        <v>2699</v>
      </c>
      <c r="I3662" s="1086">
        <f>Elec.Data!I832</f>
        <v>281.56</v>
      </c>
      <c r="J3662" s="1077" t="s">
        <v>1034</v>
      </c>
      <c r="K3662" s="1077">
        <f t="shared" ref="K3662:K3667" si="104">F3662*I3662</f>
        <v>281.56</v>
      </c>
      <c r="L3662" s="1077"/>
      <c r="M3662" s="1077"/>
    </row>
    <row r="3663" spans="5:13" ht="20.100000000000001" customHeight="1">
      <c r="E3663" s="1077"/>
      <c r="F3663" s="1077">
        <v>1</v>
      </c>
      <c r="G3663" s="1077" t="s">
        <v>1034</v>
      </c>
      <c r="H3663" s="1077" t="s">
        <v>2700</v>
      </c>
      <c r="I3663" s="1077">
        <f>K3677</f>
        <v>289.06</v>
      </c>
      <c r="J3663" s="1077" t="s">
        <v>1034</v>
      </c>
      <c r="K3663" s="1077">
        <f t="shared" si="104"/>
        <v>289.06</v>
      </c>
      <c r="L3663" s="1077"/>
      <c r="M3663" s="1077"/>
    </row>
    <row r="3664" spans="5:13" ht="20.100000000000001" customHeight="1">
      <c r="E3664" s="1077"/>
      <c r="F3664" s="1077">
        <v>1</v>
      </c>
      <c r="G3664" s="1077" t="s">
        <v>1034</v>
      </c>
      <c r="H3664" s="1077" t="s">
        <v>2701</v>
      </c>
      <c r="I3664" s="1084">
        <f>Elec.Data!I834</f>
        <v>25</v>
      </c>
      <c r="J3664" s="1077" t="s">
        <v>1034</v>
      </c>
      <c r="K3664" s="1077">
        <f t="shared" si="104"/>
        <v>25</v>
      </c>
      <c r="L3664" s="1077"/>
      <c r="M3664" s="1077"/>
    </row>
    <row r="3665" spans="4:13" ht="20.100000000000001" customHeight="1">
      <c r="E3665" s="1077"/>
      <c r="F3665" s="1077">
        <v>1</v>
      </c>
      <c r="G3665" s="1077" t="s">
        <v>1034</v>
      </c>
      <c r="H3665" s="1077" t="s">
        <v>2702</v>
      </c>
      <c r="I3665" s="1077">
        <f>I3478</f>
        <v>25</v>
      </c>
      <c r="J3665" s="1077" t="s">
        <v>1034</v>
      </c>
      <c r="K3665" s="1077">
        <f t="shared" si="104"/>
        <v>25</v>
      </c>
      <c r="L3665" s="1077"/>
      <c r="M3665" s="1077"/>
    </row>
    <row r="3666" spans="4:13" ht="20.100000000000001" customHeight="1">
      <c r="E3666" s="1077"/>
      <c r="F3666" s="1077">
        <v>5</v>
      </c>
      <c r="G3666" s="1077" t="s">
        <v>13</v>
      </c>
      <c r="H3666" s="1077" t="s">
        <v>2703</v>
      </c>
      <c r="I3666" s="1084">
        <f>Elec.Data!I836</f>
        <v>40.950000000000003</v>
      </c>
      <c r="J3666" s="1077" t="s">
        <v>13</v>
      </c>
      <c r="K3666" s="1077">
        <f t="shared" si="104"/>
        <v>204.75</v>
      </c>
      <c r="L3666" s="1077"/>
      <c r="M3666" s="1077"/>
    </row>
    <row r="3667" spans="4:13" ht="31.5">
      <c r="E3667" s="1077"/>
      <c r="F3667" s="1077">
        <v>20</v>
      </c>
      <c r="G3667" s="1077" t="s">
        <v>13</v>
      </c>
      <c r="H3667" s="1114" t="s">
        <v>2641</v>
      </c>
      <c r="I3667" s="1077">
        <f>I3098</f>
        <v>32.200000000000003</v>
      </c>
      <c r="J3667" s="1077" t="s">
        <v>13</v>
      </c>
      <c r="K3667" s="1077">
        <f t="shared" si="104"/>
        <v>644</v>
      </c>
      <c r="L3667" s="1077"/>
      <c r="M3667" s="1077"/>
    </row>
    <row r="3668" spans="4:13" ht="20.100000000000001" customHeight="1">
      <c r="E3668" s="1077"/>
      <c r="F3668" s="1077"/>
      <c r="G3668" s="1077"/>
      <c r="H3668" s="1079" t="s">
        <v>2704</v>
      </c>
      <c r="I3668" s="1077"/>
      <c r="J3668" s="1077"/>
      <c r="K3668" s="1077"/>
      <c r="L3668" s="1077"/>
      <c r="M3668" s="1077"/>
    </row>
    <row r="3669" spans="4:13" ht="56.25" customHeight="1">
      <c r="E3669" s="1077"/>
      <c r="F3669" s="1077">
        <v>1</v>
      </c>
      <c r="G3669" s="1077" t="s">
        <v>1034</v>
      </c>
      <c r="H3669" s="1114" t="s">
        <v>2705</v>
      </c>
      <c r="I3669" s="1077">
        <f>I3662</f>
        <v>281.56</v>
      </c>
      <c r="J3669" s="1077" t="s">
        <v>1034</v>
      </c>
      <c r="K3669" s="1077">
        <f>F3669*I3669</f>
        <v>281.56</v>
      </c>
      <c r="L3669" s="1077"/>
      <c r="M3669" s="1077"/>
    </row>
    <row r="3670" spans="4:13">
      <c r="E3670" s="1077"/>
      <c r="F3670" s="1077">
        <v>1</v>
      </c>
      <c r="G3670" s="1077" t="s">
        <v>1034</v>
      </c>
      <c r="H3670" s="1077" t="str">
        <f>Elec.Data!H840</f>
        <v>40 A single pole MCb isolator</v>
      </c>
      <c r="I3670" s="1086">
        <f>Elec.Data!I840</f>
        <v>93.5</v>
      </c>
      <c r="J3670" s="1077" t="s">
        <v>1034</v>
      </c>
      <c r="K3670" s="1077">
        <f>F3670*I3670</f>
        <v>93.5</v>
      </c>
      <c r="L3670" s="1077"/>
      <c r="M3670" s="1077"/>
    </row>
    <row r="3671" spans="4:13">
      <c r="E3671" s="1077"/>
      <c r="F3671" s="1077">
        <v>1</v>
      </c>
      <c r="G3671" s="1077" t="s">
        <v>1034</v>
      </c>
      <c r="H3671" s="1077" t="s">
        <v>2706</v>
      </c>
      <c r="I3671" s="1077">
        <v>93.5</v>
      </c>
      <c r="J3671" s="1077" t="s">
        <v>1034</v>
      </c>
      <c r="K3671" s="1077">
        <f>F3671*I3671</f>
        <v>93.5</v>
      </c>
      <c r="L3671" s="1077"/>
      <c r="M3671" s="1077"/>
    </row>
    <row r="3672" spans="4:13">
      <c r="E3672" s="1077"/>
      <c r="F3672" s="1077">
        <v>1</v>
      </c>
      <c r="G3672" s="1077" t="s">
        <v>1034</v>
      </c>
      <c r="H3672" s="1077" t="s">
        <v>2707</v>
      </c>
      <c r="I3672" s="1077">
        <v>89.6</v>
      </c>
      <c r="J3672" s="1077" t="s">
        <v>1034</v>
      </c>
      <c r="K3672" s="1077">
        <f>F3672*I3672</f>
        <v>89.6</v>
      </c>
      <c r="L3672" s="1077"/>
      <c r="M3672" s="1077"/>
    </row>
    <row r="3673" spans="4:13">
      <c r="E3673" s="1077"/>
      <c r="F3673" s="1077">
        <v>1</v>
      </c>
      <c r="G3673" s="1077" t="s">
        <v>1034</v>
      </c>
      <c r="H3673" s="1077" t="s">
        <v>2700</v>
      </c>
      <c r="I3673" s="1077">
        <f>K3677</f>
        <v>289.06</v>
      </c>
      <c r="J3673" s="1077" t="s">
        <v>1034</v>
      </c>
      <c r="K3673" s="1077">
        <f>F3673*I3673</f>
        <v>289.06</v>
      </c>
      <c r="L3673" s="1077"/>
      <c r="M3673" s="1077"/>
    </row>
    <row r="3674" spans="4:13">
      <c r="D3674" s="1127">
        <f>0.6*0.225*0.02</f>
        <v>2.7000000000000001E-3</v>
      </c>
      <c r="E3674" s="1077"/>
      <c r="F3674" s="1077"/>
      <c r="G3674" s="1077"/>
      <c r="H3674" s="1077" t="s">
        <v>2708</v>
      </c>
      <c r="I3674" s="1077"/>
      <c r="J3674" s="1077"/>
      <c r="K3674" s="1077">
        <f>K3627</f>
        <v>1690</v>
      </c>
      <c r="L3674" s="1077"/>
      <c r="M3674" s="1077"/>
    </row>
    <row r="3675" spans="4:13" ht="41.25" customHeight="1">
      <c r="E3675" s="1077"/>
      <c r="F3675" s="1077"/>
      <c r="G3675" s="1077"/>
      <c r="H3675" s="1114" t="s">
        <v>2709</v>
      </c>
      <c r="I3675" s="1077"/>
      <c r="J3675" s="1077"/>
      <c r="K3675" s="1077">
        <f>8-0.09</f>
        <v>7.91</v>
      </c>
      <c r="L3675" s="1077"/>
      <c r="M3675" s="1077"/>
    </row>
    <row r="3676" spans="4:13" ht="24.95" customHeight="1">
      <c r="E3676" s="1077"/>
      <c r="F3676" s="1077"/>
      <c r="G3676" s="1077"/>
      <c r="H3676" s="1081" t="s">
        <v>2400</v>
      </c>
      <c r="I3676" s="1077"/>
      <c r="J3676" s="1077"/>
      <c r="K3676" s="1079">
        <f>SUM(K3662:K3675)</f>
        <v>4014.5</v>
      </c>
      <c r="L3676" s="1077"/>
      <c r="M3676" s="1077">
        <f>4254-K3676</f>
        <v>239.5</v>
      </c>
    </row>
    <row r="3677" spans="4:13" ht="20.100000000000001" customHeight="1">
      <c r="E3677" s="1077"/>
      <c r="F3677" s="1077"/>
      <c r="G3677" s="1077"/>
      <c r="H3677" s="1079" t="s">
        <v>2567</v>
      </c>
      <c r="I3677" s="1077">
        <f>I3628</f>
        <v>107060</v>
      </c>
      <c r="J3677" s="1097">
        <v>2.7000000000000001E-3</v>
      </c>
      <c r="K3677" s="1079">
        <f>I3677*J3677</f>
        <v>289.06</v>
      </c>
      <c r="L3677" s="1077"/>
      <c r="M3677" s="1077"/>
    </row>
    <row r="3678" spans="4:13">
      <c r="E3678" s="1077"/>
      <c r="F3678" s="1077"/>
      <c r="G3678" s="1077"/>
      <c r="H3678" s="1079" t="s">
        <v>2710</v>
      </c>
      <c r="I3678" s="1077"/>
      <c r="J3678" s="1077"/>
      <c r="K3678" s="1077"/>
      <c r="L3678" s="1077"/>
      <c r="M3678" s="1077"/>
    </row>
    <row r="3679" spans="4:13">
      <c r="E3679" s="1077"/>
      <c r="F3679" s="1077"/>
      <c r="G3679" s="1077"/>
      <c r="H3679" s="1079"/>
      <c r="I3679" s="1077"/>
      <c r="J3679" s="1077"/>
      <c r="K3679" s="1077"/>
      <c r="L3679" s="1077"/>
      <c r="M3679" s="1077"/>
    </row>
    <row r="3680" spans="4:13" ht="31.5">
      <c r="E3680" s="1077"/>
      <c r="F3680" s="1077"/>
      <c r="G3680" s="1077"/>
      <c r="H3680" s="1083" t="s">
        <v>2006</v>
      </c>
      <c r="I3680" s="1077"/>
      <c r="J3680" s="1077"/>
      <c r="K3680" s="1077"/>
      <c r="L3680" s="1077"/>
      <c r="M3680" s="1077"/>
    </row>
    <row r="3681" spans="5:13">
      <c r="E3681" s="1077"/>
      <c r="F3681" s="1077"/>
      <c r="G3681" s="1077"/>
      <c r="H3681" s="1077" t="s">
        <v>1982</v>
      </c>
      <c r="I3681" s="1077"/>
      <c r="J3681" s="1077"/>
      <c r="K3681" s="1077"/>
      <c r="L3681" s="1077"/>
      <c r="M3681" s="1077"/>
    </row>
    <row r="3682" spans="5:13" ht="35.25" customHeight="1">
      <c r="E3682" s="1077"/>
      <c r="F3682" s="1077">
        <v>90</v>
      </c>
      <c r="G3682" s="1077" t="s">
        <v>2007</v>
      </c>
      <c r="H3682" s="1076" t="s">
        <v>2008</v>
      </c>
      <c r="I3682" s="1077">
        <f>I2996</f>
        <v>20</v>
      </c>
      <c r="J3682" s="1077" t="s">
        <v>2007</v>
      </c>
      <c r="K3682" s="1077">
        <f>F3682*I3682</f>
        <v>1800</v>
      </c>
      <c r="L3682" s="1077"/>
      <c r="M3682" s="1077"/>
    </row>
    <row r="3683" spans="5:13">
      <c r="E3683" s="1077"/>
      <c r="F3683" s="1077">
        <v>0.15</v>
      </c>
      <c r="G3683" s="1077" t="s">
        <v>11</v>
      </c>
      <c r="H3683" s="1077" t="s">
        <v>123</v>
      </c>
      <c r="I3683" s="1084">
        <f>Elec.Data!I853</f>
        <v>783</v>
      </c>
      <c r="J3683" s="1077" t="s">
        <v>11</v>
      </c>
      <c r="K3683" s="1077">
        <f>F3683*I3683</f>
        <v>117.45</v>
      </c>
      <c r="L3683" s="1077"/>
      <c r="M3683" s="1077"/>
    </row>
    <row r="3684" spans="5:13">
      <c r="E3684" s="1077"/>
      <c r="F3684" s="1077">
        <v>1</v>
      </c>
      <c r="G3684" s="1077" t="s">
        <v>237</v>
      </c>
      <c r="H3684" s="1077" t="s">
        <v>2009</v>
      </c>
      <c r="I3684" s="1077">
        <f>I3623</f>
        <v>783</v>
      </c>
      <c r="J3684" s="1077" t="s">
        <v>237</v>
      </c>
      <c r="K3684" s="1077">
        <f>F3684*I3684</f>
        <v>783</v>
      </c>
      <c r="L3684" s="1077"/>
      <c r="M3684" s="1077"/>
    </row>
    <row r="3685" spans="5:13">
      <c r="E3685" s="1077"/>
      <c r="F3685" s="1077">
        <v>2</v>
      </c>
      <c r="G3685" s="1077" t="s">
        <v>237</v>
      </c>
      <c r="H3685" s="1077" t="s">
        <v>302</v>
      </c>
      <c r="I3685" s="1084">
        <f>I2871</f>
        <v>884</v>
      </c>
      <c r="J3685" s="1077" t="s">
        <v>237</v>
      </c>
      <c r="K3685" s="1077">
        <f>F3685*I3685</f>
        <v>1768</v>
      </c>
      <c r="L3685" s="1077"/>
      <c r="M3685" s="1077"/>
    </row>
    <row r="3686" spans="5:13">
      <c r="E3686" s="1077"/>
      <c r="F3686" s="1077">
        <v>4</v>
      </c>
      <c r="G3686" s="1077" t="s">
        <v>237</v>
      </c>
      <c r="H3686" s="1077" t="s">
        <v>1142</v>
      </c>
      <c r="I3686" s="1077">
        <f>I3590</f>
        <v>611</v>
      </c>
      <c r="J3686" s="1077" t="s">
        <v>237</v>
      </c>
      <c r="K3686" s="1077">
        <f>F3686*I3686</f>
        <v>2444</v>
      </c>
      <c r="L3686" s="1077"/>
      <c r="M3686" s="1077"/>
    </row>
    <row r="3687" spans="5:13" ht="30" customHeight="1">
      <c r="E3687" s="1077"/>
      <c r="F3687" s="1077"/>
      <c r="G3687" s="1077"/>
      <c r="H3687" s="1076" t="s">
        <v>2010</v>
      </c>
      <c r="I3687" s="1077"/>
      <c r="J3687" s="1077"/>
      <c r="K3687" s="1077">
        <v>50.5</v>
      </c>
      <c r="L3687" s="1077"/>
      <c r="M3687" s="1077"/>
    </row>
    <row r="3688" spans="5:13" ht="18.75" customHeight="1">
      <c r="E3688" s="1077"/>
      <c r="F3688" s="1077"/>
      <c r="G3688" s="1077"/>
      <c r="H3688" s="1081" t="s">
        <v>2011</v>
      </c>
      <c r="I3688" s="1077"/>
      <c r="J3688" s="1077"/>
      <c r="K3688" s="1077">
        <f>SUM(K3682:K3687)</f>
        <v>6962.95</v>
      </c>
      <c r="L3688" s="1077"/>
      <c r="M3688" s="1077"/>
    </row>
    <row r="3689" spans="5:13" ht="18.75" customHeight="1">
      <c r="E3689" s="1077"/>
      <c r="F3689" s="1077"/>
      <c r="G3689" s="1077"/>
      <c r="H3689" s="1082" t="s">
        <v>1932</v>
      </c>
      <c r="I3689" s="1077"/>
      <c r="J3689" s="1077"/>
      <c r="K3689" s="1079">
        <f>K3688/90</f>
        <v>77.37</v>
      </c>
      <c r="L3689" s="1077">
        <f>60.7*90</f>
        <v>5463</v>
      </c>
      <c r="M3689" s="1077"/>
    </row>
    <row r="3690" spans="5:13">
      <c r="E3690" s="1077"/>
      <c r="F3690" s="1077"/>
      <c r="G3690" s="1077"/>
      <c r="H3690" s="1077"/>
      <c r="I3690" s="1077"/>
      <c r="J3690" s="1077"/>
      <c r="K3690" s="1077"/>
      <c r="L3690" s="1077">
        <f>L3689-K3688</f>
        <v>-1499.95</v>
      </c>
      <c r="M3690" s="1077"/>
    </row>
    <row r="3691" spans="5:13" ht="20.25" customHeight="1">
      <c r="E3691" s="1077"/>
      <c r="F3691" s="1077"/>
      <c r="G3691" s="1077"/>
      <c r="H3691" s="1079" t="s">
        <v>2711</v>
      </c>
      <c r="I3691" s="1077"/>
      <c r="J3691" s="1077"/>
      <c r="K3691" s="1077"/>
      <c r="L3691" s="1077"/>
      <c r="M3691" s="1077"/>
    </row>
    <row r="3692" spans="5:13" ht="20.25" customHeight="1">
      <c r="E3692" s="1077"/>
      <c r="F3692" s="1077"/>
      <c r="G3692" s="1077"/>
      <c r="H3692" s="1077" t="s">
        <v>2712</v>
      </c>
      <c r="I3692" s="1077"/>
      <c r="J3692" s="1077"/>
      <c r="K3692" s="1077">
        <f>K3689</f>
        <v>77.37</v>
      </c>
      <c r="L3692" s="1077"/>
      <c r="M3692" s="1077"/>
    </row>
    <row r="3693" spans="5:13" ht="20.25" customHeight="1">
      <c r="E3693" s="1077"/>
      <c r="F3693" s="1077">
        <v>1</v>
      </c>
      <c r="G3693" s="1077" t="s">
        <v>13</v>
      </c>
      <c r="H3693" s="1077" t="s">
        <v>2713</v>
      </c>
      <c r="I3693" s="1077">
        <f>I3682</f>
        <v>20</v>
      </c>
      <c r="J3693" s="1077" t="s">
        <v>13</v>
      </c>
      <c r="K3693" s="1077">
        <f>F3693*I3693</f>
        <v>20</v>
      </c>
      <c r="L3693" s="1077"/>
      <c r="M3693" s="1077"/>
    </row>
    <row r="3694" spans="5:13" ht="20.25" customHeight="1">
      <c r="E3694" s="1077"/>
      <c r="F3694" s="1077">
        <v>1</v>
      </c>
      <c r="G3694" s="1077" t="s">
        <v>13</v>
      </c>
      <c r="H3694" s="1077">
        <f>Elec.Data!H864</f>
        <v>0</v>
      </c>
      <c r="I3694" s="1084">
        <f>Elec.Data!I864</f>
        <v>0</v>
      </c>
      <c r="J3694" s="1077" t="s">
        <v>13</v>
      </c>
      <c r="K3694" s="1077">
        <f>F3694*I3694</f>
        <v>0</v>
      </c>
      <c r="L3694" s="1077"/>
      <c r="M3694" s="1077"/>
    </row>
    <row r="3695" spans="5:13" ht="20.25" customHeight="1">
      <c r="E3695" s="1077"/>
      <c r="F3695" s="1077"/>
      <c r="G3695" s="1077"/>
      <c r="H3695" s="1077"/>
      <c r="I3695" s="1077"/>
      <c r="J3695" s="1077"/>
      <c r="K3695" s="1079">
        <f>(K3692-K3693)+K3694</f>
        <v>57.37</v>
      </c>
      <c r="L3695" s="1077"/>
      <c r="M3695" s="1077"/>
    </row>
    <row r="3696" spans="5:13" ht="20.25" customHeight="1">
      <c r="E3696" s="1077"/>
      <c r="F3696" s="1077"/>
      <c r="G3696" s="1077"/>
      <c r="H3696" s="1079" t="s">
        <v>2714</v>
      </c>
      <c r="I3696" s="1077"/>
      <c r="J3696" s="1077"/>
      <c r="K3696" s="1077"/>
      <c r="L3696" s="1077"/>
      <c r="M3696" s="1077"/>
    </row>
    <row r="3697" spans="5:13">
      <c r="E3697" s="1077"/>
      <c r="F3697" s="1077"/>
      <c r="G3697" s="1077"/>
      <c r="H3697" s="1079"/>
      <c r="I3697" s="1077"/>
      <c r="J3697" s="1077"/>
      <c r="K3697" s="1077"/>
      <c r="L3697" s="1077"/>
      <c r="M3697" s="1077"/>
    </row>
    <row r="3698" spans="5:13" ht="19.5" customHeight="1">
      <c r="E3698" s="1077"/>
      <c r="F3698" s="1077"/>
      <c r="G3698" s="1077"/>
      <c r="H3698" s="1079" t="s">
        <v>2715</v>
      </c>
      <c r="I3698" s="1077"/>
      <c r="J3698" s="1077"/>
      <c r="K3698" s="1077"/>
      <c r="L3698" s="1077"/>
      <c r="M3698" s="1077"/>
    </row>
    <row r="3699" spans="5:13" ht="21.75" customHeight="1">
      <c r="E3699" s="1077"/>
      <c r="F3699" s="1077">
        <v>1</v>
      </c>
      <c r="G3699" s="1077" t="s">
        <v>1034</v>
      </c>
      <c r="H3699" s="1077" t="str">
        <f>Elec.Data!H869</f>
        <v>Hylem sheet</v>
      </c>
      <c r="I3699" s="1084">
        <f>Elec.Data!I869</f>
        <v>661</v>
      </c>
      <c r="J3699" s="1077" t="s">
        <v>1034</v>
      </c>
      <c r="K3699" s="1077">
        <f>F3699*I3699</f>
        <v>661</v>
      </c>
      <c r="L3699" s="1077"/>
      <c r="M3699" s="1077"/>
    </row>
    <row r="3700" spans="5:13" ht="21.75" customHeight="1">
      <c r="E3700" s="1077"/>
      <c r="F3700" s="1080">
        <v>1.4999999999999999E-2</v>
      </c>
      <c r="G3700" s="1077" t="s">
        <v>724</v>
      </c>
      <c r="H3700" s="1114" t="s">
        <v>2716</v>
      </c>
      <c r="I3700" s="1077">
        <f>I3000</f>
        <v>661</v>
      </c>
      <c r="J3700" s="1077" t="s">
        <v>724</v>
      </c>
      <c r="K3700" s="1077">
        <f>F3700*I3700</f>
        <v>9.92</v>
      </c>
      <c r="L3700" s="1077"/>
      <c r="M3700" s="1077"/>
    </row>
    <row r="3701" spans="5:13" ht="21.75" customHeight="1">
      <c r="E3701" s="1077"/>
      <c r="F3701" s="1077"/>
      <c r="G3701" s="1077"/>
      <c r="H3701" s="1077" t="s">
        <v>2717</v>
      </c>
      <c r="I3701" s="1077"/>
      <c r="J3701" s="1077" t="s">
        <v>49</v>
      </c>
      <c r="K3701" s="1077">
        <v>5.84</v>
      </c>
      <c r="L3701" s="1077"/>
      <c r="M3701" s="1077"/>
    </row>
    <row r="3702" spans="5:13" ht="21.75" customHeight="1">
      <c r="E3702" s="1077"/>
      <c r="F3702" s="1077"/>
      <c r="G3702" s="1077"/>
      <c r="H3702" s="1082" t="s">
        <v>2400</v>
      </c>
      <c r="I3702" s="1077"/>
      <c r="J3702" s="1077"/>
      <c r="K3702" s="1079">
        <f>SUM(K3699:K3701)</f>
        <v>676.76</v>
      </c>
      <c r="L3702" s="1077"/>
      <c r="M3702" s="1077"/>
    </row>
    <row r="3703" spans="5:13">
      <c r="E3703" s="1077"/>
      <c r="F3703" s="1077"/>
      <c r="G3703" s="1077"/>
      <c r="H3703" s="1077"/>
      <c r="I3703" s="1077"/>
      <c r="J3703" s="1077"/>
      <c r="K3703" s="1077"/>
      <c r="L3703" s="1077"/>
      <c r="M3703" s="1077"/>
    </row>
    <row r="3704" spans="5:13">
      <c r="E3704" s="1077"/>
      <c r="F3704" s="1077"/>
      <c r="G3704" s="1077"/>
      <c r="H3704" s="1079" t="s">
        <v>2718</v>
      </c>
      <c r="I3704" s="1077"/>
      <c r="J3704" s="1077"/>
      <c r="K3704" s="1077"/>
      <c r="L3704" s="1077"/>
      <c r="M3704" s="1077"/>
    </row>
    <row r="3705" spans="5:13">
      <c r="E3705" s="1077"/>
      <c r="F3705" s="1077"/>
      <c r="G3705" s="1077"/>
      <c r="H3705" s="1077"/>
      <c r="I3705" s="1077"/>
      <c r="J3705" s="1077"/>
      <c r="K3705" s="1077"/>
      <c r="L3705" s="1077"/>
      <c r="M3705" s="1077"/>
    </row>
    <row r="3706" spans="5:13" ht="57.75" customHeight="1">
      <c r="E3706" s="1077"/>
      <c r="F3706" s="1077"/>
      <c r="G3706" s="1077"/>
      <c r="H3706" s="1114" t="s">
        <v>2719</v>
      </c>
      <c r="I3706" s="1077"/>
      <c r="J3706" s="1077"/>
      <c r="K3706" s="1077"/>
      <c r="L3706" s="1077"/>
      <c r="M3706" s="1077"/>
    </row>
    <row r="3707" spans="5:13">
      <c r="E3707" s="1077"/>
      <c r="F3707" s="1077"/>
      <c r="G3707" s="1077"/>
      <c r="H3707" s="1077"/>
      <c r="I3707" s="1077"/>
      <c r="J3707" s="1077"/>
      <c r="K3707" s="1077"/>
      <c r="L3707" s="1077"/>
      <c r="M3707" s="1077"/>
    </row>
    <row r="3708" spans="5:13" ht="21.75" customHeight="1">
      <c r="E3708" s="1077"/>
      <c r="F3708" s="1077">
        <v>1</v>
      </c>
      <c r="G3708" s="1077" t="s">
        <v>1034</v>
      </c>
      <c r="H3708" s="1077" t="str">
        <f>Elec.Data!H878</f>
        <v>Hylem sheet</v>
      </c>
      <c r="I3708" s="1084">
        <f>Elec.Data!I878</f>
        <v>661</v>
      </c>
      <c r="J3708" s="1077" t="s">
        <v>1034</v>
      </c>
      <c r="K3708" s="1077">
        <f>F3708*I3708</f>
        <v>661</v>
      </c>
      <c r="L3708" s="1077"/>
      <c r="M3708" s="1077"/>
    </row>
    <row r="3709" spans="5:13" ht="21.75" customHeight="1">
      <c r="E3709" s="1077"/>
      <c r="F3709" s="1077">
        <v>0.01</v>
      </c>
      <c r="G3709" s="1077" t="s">
        <v>2720</v>
      </c>
      <c r="H3709" s="1077" t="s">
        <v>2716</v>
      </c>
      <c r="I3709" s="1077">
        <f>I3700</f>
        <v>661</v>
      </c>
      <c r="J3709" s="1077" t="s">
        <v>724</v>
      </c>
      <c r="K3709" s="1077">
        <f>F3709*I3709</f>
        <v>6.61</v>
      </c>
      <c r="L3709" s="1077"/>
      <c r="M3709" s="1077"/>
    </row>
    <row r="3710" spans="5:13" ht="21.75" customHeight="1">
      <c r="E3710" s="1077"/>
      <c r="F3710" s="1077">
        <v>1</v>
      </c>
      <c r="G3710" s="1077" t="s">
        <v>1034</v>
      </c>
      <c r="H3710" s="1077" t="s">
        <v>2721</v>
      </c>
      <c r="I3710" s="1096" t="str">
        <f>Elec.Data!I880</f>
        <v>LS</v>
      </c>
      <c r="J3710" s="1077" t="s">
        <v>1034</v>
      </c>
      <c r="K3710" s="1077" t="e">
        <f>F3710*I3710</f>
        <v>#VALUE!</v>
      </c>
      <c r="L3710" s="1077"/>
      <c r="M3710" s="1077"/>
    </row>
    <row r="3711" spans="5:13" ht="21.75" customHeight="1">
      <c r="E3711" s="1077"/>
      <c r="F3711" s="1077"/>
      <c r="G3711" s="1077"/>
      <c r="H3711" s="1077" t="s">
        <v>2722</v>
      </c>
      <c r="I3711" s="1077" t="s">
        <v>49</v>
      </c>
      <c r="J3711" s="1077"/>
      <c r="K3711" s="1077">
        <v>7.08</v>
      </c>
      <c r="L3711" s="1077"/>
      <c r="M3711" s="1077"/>
    </row>
    <row r="3712" spans="5:13" ht="21.75" customHeight="1">
      <c r="E3712" s="1077"/>
      <c r="F3712" s="1077"/>
      <c r="G3712" s="1077"/>
      <c r="H3712" s="1082" t="s">
        <v>2723</v>
      </c>
      <c r="I3712" s="1077"/>
      <c r="J3712" s="1077"/>
      <c r="K3712" s="1079" t="e">
        <f>SUM(K3708:K3711)</f>
        <v>#VALUE!</v>
      </c>
      <c r="L3712" s="1077"/>
      <c r="M3712" s="1077" t="e">
        <f>54-K3712</f>
        <v>#VALUE!</v>
      </c>
    </row>
    <row r="3713" spans="5:13">
      <c r="E3713" s="1077"/>
      <c r="F3713" s="1077"/>
      <c r="G3713" s="1077"/>
      <c r="H3713" s="1077"/>
      <c r="I3713" s="1077"/>
      <c r="J3713" s="1077"/>
      <c r="K3713" s="1077"/>
      <c r="L3713" s="1077"/>
      <c r="M3713" s="1077"/>
    </row>
    <row r="3714" spans="5:13">
      <c r="E3714" s="1077"/>
      <c r="F3714" s="1077"/>
      <c r="G3714" s="1077"/>
      <c r="H3714" s="1079" t="s">
        <v>2724</v>
      </c>
      <c r="I3714" s="1077"/>
      <c r="J3714" s="1077"/>
      <c r="K3714" s="1077"/>
      <c r="L3714" s="1077"/>
      <c r="M3714" s="1077"/>
    </row>
    <row r="3715" spans="5:13">
      <c r="E3715" s="1077"/>
      <c r="F3715" s="1077"/>
      <c r="G3715" s="1077"/>
      <c r="H3715" s="1077"/>
      <c r="I3715" s="1077"/>
      <c r="J3715" s="1077"/>
      <c r="K3715" s="1077"/>
      <c r="L3715" s="1077"/>
      <c r="M3715" s="1077"/>
    </row>
    <row r="3716" spans="5:13" ht="287.25" customHeight="1">
      <c r="E3716" s="1077"/>
      <c r="F3716" s="1077"/>
      <c r="G3716" s="1077"/>
      <c r="H3716" s="1128" t="s">
        <v>2725</v>
      </c>
      <c r="I3716" s="1077"/>
      <c r="J3716" s="1077"/>
      <c r="K3716" s="1077"/>
      <c r="L3716" s="1077"/>
      <c r="M3716" s="1077"/>
    </row>
    <row r="3717" spans="5:13">
      <c r="E3717" s="1077"/>
      <c r="F3717" s="1077"/>
      <c r="G3717" s="1077"/>
      <c r="H3717" s="1077"/>
      <c r="I3717" s="1077"/>
      <c r="J3717" s="1077"/>
      <c r="K3717" s="1077"/>
      <c r="L3717" s="1077"/>
      <c r="M3717" s="1077"/>
    </row>
    <row r="3718" spans="5:13" ht="22.5" customHeight="1">
      <c r="F3718" s="1077">
        <v>6</v>
      </c>
      <c r="G3718" s="1077" t="s">
        <v>13</v>
      </c>
      <c r="H3718" s="1077" t="str">
        <f>Elec.Data!H888</f>
        <v>20 mm dia 'B' class GI pipe p- 50 it-142 iv</v>
      </c>
      <c r="I3718" s="1084">
        <f>Elec.Data!I888</f>
        <v>98.6</v>
      </c>
      <c r="J3718" s="1077" t="s">
        <v>13</v>
      </c>
      <c r="K3718" s="1077">
        <f>F3718*I3718</f>
        <v>591.6</v>
      </c>
      <c r="L3718" s="1077"/>
      <c r="M3718" s="1077"/>
    </row>
    <row r="3719" spans="5:13" ht="22.5" customHeight="1">
      <c r="F3719" s="1077">
        <v>2</v>
      </c>
      <c r="G3719" s="1077" t="s">
        <v>13</v>
      </c>
      <c r="H3719" s="1077" t="str">
        <f>Elec.Data!H889</f>
        <v>Base plate 45 cm x45 cm x 6mm thick [SD 98]</v>
      </c>
      <c r="I3719" s="1084" t="str">
        <f>Elec.Data!I889</f>
        <v xml:space="preserve"> </v>
      </c>
      <c r="J3719" s="1077" t="s">
        <v>13</v>
      </c>
      <c r="K3719" s="1077" t="e">
        <f>F3719*I3719</f>
        <v>#VALUE!</v>
      </c>
      <c r="L3719" s="1077"/>
      <c r="M3719" s="1077"/>
    </row>
    <row r="3720" spans="5:13" ht="22.5" customHeight="1">
      <c r="F3720" s="1077">
        <v>1</v>
      </c>
      <c r="G3720" s="1077" t="s">
        <v>1034</v>
      </c>
      <c r="H3720" s="1077" t="s">
        <v>2726</v>
      </c>
      <c r="I3720" s="1077">
        <v>130</v>
      </c>
      <c r="J3720" s="1077" t="s">
        <v>1034</v>
      </c>
      <c r="K3720" s="1077">
        <f>F3720*I3720</f>
        <v>130</v>
      </c>
      <c r="L3720" s="1077"/>
      <c r="M3720" s="1077"/>
    </row>
    <row r="3721" spans="5:13" ht="22.5" customHeight="1">
      <c r="F3721" s="1077">
        <v>1</v>
      </c>
      <c r="G3721" s="1077" t="s">
        <v>1034</v>
      </c>
      <c r="H3721" s="1077" t="s">
        <v>2727</v>
      </c>
      <c r="I3721" s="1086">
        <f>Elec.Data!I891</f>
        <v>6400</v>
      </c>
      <c r="J3721" s="1077" t="s">
        <v>1034</v>
      </c>
      <c r="K3721" s="1077">
        <f>F3721*I3721</f>
        <v>6400</v>
      </c>
      <c r="L3721" s="1077"/>
      <c r="M3721" s="1077"/>
    </row>
    <row r="3722" spans="5:13" ht="22.5" customHeight="1">
      <c r="F3722" s="1080">
        <v>0.23799999999999999</v>
      </c>
      <c r="G3722" s="1077" t="s">
        <v>5</v>
      </c>
      <c r="H3722" s="1077" t="s">
        <v>2728</v>
      </c>
      <c r="I3722" s="1084" t="str">
        <f>Elec.Data!I892</f>
        <v>LS</v>
      </c>
      <c r="J3722" s="1077" t="s">
        <v>5</v>
      </c>
      <c r="K3722" s="1077" t="e">
        <f>F3722*I3722</f>
        <v>#VALUE!</v>
      </c>
      <c r="L3722" s="1077"/>
      <c r="M3722" s="1077"/>
    </row>
    <row r="3723" spans="5:13" ht="43.5" customHeight="1">
      <c r="F3723" s="1077"/>
      <c r="G3723" s="1077" t="s">
        <v>49</v>
      </c>
      <c r="H3723" s="1114" t="s">
        <v>2729</v>
      </c>
      <c r="I3723" s="1077" t="s">
        <v>49</v>
      </c>
      <c r="J3723" s="1077"/>
      <c r="K3723" s="1077">
        <v>226.3</v>
      </c>
      <c r="L3723" s="1077"/>
      <c r="M3723" s="1077"/>
    </row>
    <row r="3724" spans="5:13" ht="60.75" customHeight="1">
      <c r="F3724" s="1077">
        <v>1</v>
      </c>
      <c r="G3724" s="1077" t="s">
        <v>1034</v>
      </c>
      <c r="H3724" s="1076" t="s">
        <v>2730</v>
      </c>
      <c r="I3724" s="1077" t="s">
        <v>49</v>
      </c>
      <c r="J3724" s="1077"/>
      <c r="K3724" s="1077">
        <v>64.3</v>
      </c>
      <c r="L3724" s="1077">
        <f>5300-5225.8</f>
        <v>74.2</v>
      </c>
      <c r="M3724" s="1077"/>
    </row>
    <row r="3725" spans="5:13" ht="37.5" customHeight="1">
      <c r="F3725" s="1077">
        <v>8</v>
      </c>
      <c r="G3725" s="1077" t="s">
        <v>13</v>
      </c>
      <c r="H3725" s="1114" t="s">
        <v>2731</v>
      </c>
      <c r="I3725" s="1077">
        <f>I2843</f>
        <v>16.55</v>
      </c>
      <c r="J3725" s="1077"/>
      <c r="K3725" s="1077">
        <f>F3725*I3725</f>
        <v>132.4</v>
      </c>
      <c r="L3725" s="1077"/>
      <c r="M3725" s="1077"/>
    </row>
    <row r="3726" spans="5:13">
      <c r="E3726" s="1077"/>
      <c r="F3726" s="1077"/>
      <c r="G3726" s="1077"/>
      <c r="H3726" s="1077" t="s">
        <v>478</v>
      </c>
      <c r="I3726" s="1077"/>
      <c r="J3726" s="1077"/>
      <c r="K3726" s="1077">
        <f>K3733</f>
        <v>3169.5</v>
      </c>
      <c r="L3726" s="1077"/>
      <c r="M3726" s="1077"/>
    </row>
    <row r="3727" spans="5:13">
      <c r="E3727" s="1077"/>
      <c r="F3727" s="1077"/>
      <c r="G3727" s="1077"/>
      <c r="H3727" s="1082" t="s">
        <v>2400</v>
      </c>
      <c r="I3727" s="1077"/>
      <c r="J3727" s="1077"/>
      <c r="K3727" s="1079" t="e">
        <f>SUM(K3718:K3726)</f>
        <v>#VALUE!</v>
      </c>
      <c r="L3727" s="1077"/>
      <c r="M3727" s="1077" t="e">
        <f>5120-K3727</f>
        <v>#VALUE!</v>
      </c>
    </row>
    <row r="3728" spans="5:13" ht="3.75" customHeight="1">
      <c r="E3728" s="1077"/>
      <c r="F3728" s="1077"/>
      <c r="G3728" s="1077"/>
      <c r="H3728" s="1077"/>
      <c r="I3728" s="1077"/>
      <c r="J3728" s="1077"/>
      <c r="K3728" s="1077"/>
      <c r="L3728" s="1077"/>
      <c r="M3728" s="1077"/>
    </row>
    <row r="3729" spans="5:13">
      <c r="E3729" s="1077"/>
      <c r="F3729" s="1077"/>
      <c r="G3729" s="1077"/>
      <c r="H3729" s="1088" t="s">
        <v>1978</v>
      </c>
      <c r="I3729" s="1077"/>
      <c r="J3729" s="1077"/>
      <c r="K3729" s="1077"/>
      <c r="L3729" s="1077"/>
      <c r="M3729" s="1077"/>
    </row>
    <row r="3730" spans="5:13">
      <c r="E3730" s="1077"/>
      <c r="F3730" s="1077">
        <v>0.5</v>
      </c>
      <c r="G3730" s="1077" t="s">
        <v>1034</v>
      </c>
      <c r="H3730" s="1077" t="s">
        <v>2472</v>
      </c>
      <c r="I3730" s="1077">
        <f>I3623</f>
        <v>783</v>
      </c>
      <c r="J3730" s="1077" t="s">
        <v>1034</v>
      </c>
      <c r="K3730" s="1077">
        <f>F3730*I3730</f>
        <v>391.5</v>
      </c>
      <c r="L3730" s="1077"/>
      <c r="M3730" s="1077"/>
    </row>
    <row r="3731" spans="5:13">
      <c r="E3731" s="1077"/>
      <c r="F3731" s="1077">
        <v>2</v>
      </c>
      <c r="G3731" s="1077" t="s">
        <v>1034</v>
      </c>
      <c r="H3731" s="1077" t="s">
        <v>2463</v>
      </c>
      <c r="I3731" s="1077">
        <f>I3624</f>
        <v>778</v>
      </c>
      <c r="J3731" s="1077" t="s">
        <v>1034</v>
      </c>
      <c r="K3731" s="1077">
        <f>F3731*I3731</f>
        <v>1556</v>
      </c>
      <c r="L3731" s="1077"/>
      <c r="M3731" s="1077"/>
    </row>
    <row r="3732" spans="5:13">
      <c r="E3732" s="1077"/>
      <c r="F3732" s="1077">
        <v>2</v>
      </c>
      <c r="G3732" s="1077" t="s">
        <v>1034</v>
      </c>
      <c r="H3732" s="1077" t="s">
        <v>2166</v>
      </c>
      <c r="I3732" s="1077">
        <f>I3625</f>
        <v>611</v>
      </c>
      <c r="J3732" s="1077" t="s">
        <v>1034</v>
      </c>
      <c r="K3732" s="1077">
        <f>F3732*I3732</f>
        <v>1222</v>
      </c>
      <c r="L3732" s="1077"/>
      <c r="M3732" s="1077"/>
    </row>
    <row r="3733" spans="5:13">
      <c r="E3733" s="1077"/>
      <c r="F3733" s="1077"/>
      <c r="G3733" s="1077"/>
      <c r="H3733" s="1077"/>
      <c r="I3733" s="1077"/>
      <c r="J3733" s="1077"/>
      <c r="K3733" s="1088">
        <f>SUM(K3730:K3732)</f>
        <v>3169.5</v>
      </c>
      <c r="L3733" s="1077"/>
      <c r="M3733" s="1077"/>
    </row>
    <row r="3734" spans="5:13">
      <c r="E3734" s="1077"/>
      <c r="F3734" s="1077"/>
      <c r="G3734" s="1077"/>
      <c r="H3734" s="1077"/>
      <c r="I3734" s="1077"/>
      <c r="J3734" s="1077"/>
      <c r="K3734" s="1077"/>
      <c r="L3734" s="1077"/>
      <c r="M3734" s="1077"/>
    </row>
    <row r="3735" spans="5:13" ht="24.95" customHeight="1">
      <c r="E3735" s="1077"/>
      <c r="F3735" s="1077"/>
      <c r="G3735" s="1077"/>
      <c r="H3735" s="1079" t="s">
        <v>2732</v>
      </c>
      <c r="I3735" s="1077"/>
      <c r="J3735" s="1077"/>
      <c r="K3735" s="1077"/>
      <c r="L3735" s="1077"/>
      <c r="M3735" s="1077"/>
    </row>
    <row r="3736" spans="5:13">
      <c r="E3736" s="1077"/>
      <c r="F3736" s="1077"/>
      <c r="G3736" s="1077"/>
      <c r="H3736" s="1077"/>
      <c r="I3736" s="1077"/>
      <c r="J3736" s="1077"/>
      <c r="K3736" s="1077"/>
      <c r="L3736" s="1077"/>
      <c r="M3736" s="1077"/>
    </row>
    <row r="3737" spans="5:13" ht="24.95" customHeight="1">
      <c r="E3737" s="1077"/>
      <c r="F3737" s="1077"/>
      <c r="G3737" s="1077"/>
      <c r="H3737" s="1079" t="s">
        <v>2733</v>
      </c>
      <c r="I3737" s="1077"/>
      <c r="J3737" s="1077"/>
      <c r="K3737" s="1077"/>
      <c r="L3737" s="1077"/>
      <c r="M3737" s="1077"/>
    </row>
    <row r="3738" spans="5:13">
      <c r="E3738" s="1077"/>
      <c r="F3738" s="1077"/>
      <c r="G3738" s="1077"/>
      <c r="H3738" s="1077"/>
      <c r="I3738" s="1077"/>
      <c r="J3738" s="1077"/>
      <c r="K3738" s="1077"/>
      <c r="L3738" s="1077"/>
      <c r="M3738" s="1077"/>
    </row>
    <row r="3739" spans="5:13">
      <c r="E3739" s="1077"/>
      <c r="F3739" s="1077">
        <v>1</v>
      </c>
      <c r="G3739" s="1077" t="s">
        <v>1034</v>
      </c>
      <c r="H3739" s="1077" t="s">
        <v>2734</v>
      </c>
      <c r="I3739" s="1115">
        <v>1155</v>
      </c>
      <c r="J3739" s="1077" t="s">
        <v>1034</v>
      </c>
      <c r="K3739" s="1077">
        <f>F3739*I3739</f>
        <v>1155</v>
      </c>
      <c r="L3739" s="1077"/>
      <c r="M3739" s="1077"/>
    </row>
    <row r="3740" spans="5:13" ht="30.75" customHeight="1">
      <c r="E3740" s="1077"/>
      <c r="F3740" s="1077"/>
      <c r="G3740" s="1077"/>
      <c r="H3740" s="1077" t="s">
        <v>2277</v>
      </c>
      <c r="I3740" s="1084">
        <v>197</v>
      </c>
      <c r="J3740" s="1077" t="s">
        <v>1034</v>
      </c>
      <c r="K3740" s="1077">
        <f>I3740</f>
        <v>197</v>
      </c>
      <c r="L3740" s="1077"/>
      <c r="M3740" s="1077"/>
    </row>
    <row r="3741" spans="5:13" ht="39" customHeight="1">
      <c r="E3741" s="1077"/>
      <c r="F3741" s="1077"/>
      <c r="G3741" s="1077"/>
      <c r="H3741" s="1076" t="s">
        <v>2735</v>
      </c>
      <c r="I3741" s="1077"/>
      <c r="J3741" s="1077"/>
      <c r="K3741" s="1084">
        <v>18.5</v>
      </c>
      <c r="L3741" s="1077"/>
      <c r="M3741" s="1077"/>
    </row>
    <row r="3742" spans="5:13">
      <c r="E3742" s="1077"/>
      <c r="F3742" s="1077"/>
      <c r="G3742" s="1077"/>
      <c r="H3742" s="1077" t="s">
        <v>2736</v>
      </c>
      <c r="I3742" s="1077"/>
      <c r="J3742" s="1098">
        <f>SUM(K3739:K3741)</f>
        <v>1370.5</v>
      </c>
      <c r="K3742" s="1077">
        <f>J3742*1%</f>
        <v>13.71</v>
      </c>
      <c r="L3742" s="1077"/>
      <c r="M3742" s="1077"/>
    </row>
    <row r="3743" spans="5:13">
      <c r="E3743" s="1077"/>
      <c r="F3743" s="1077"/>
      <c r="G3743" s="1077"/>
      <c r="H3743" s="1077" t="s">
        <v>2737</v>
      </c>
      <c r="I3743" s="1077"/>
      <c r="J3743" s="1077"/>
      <c r="K3743" s="1077">
        <f>K3750</f>
        <v>501.25</v>
      </c>
      <c r="L3743" s="1077"/>
      <c r="M3743" s="1077"/>
    </row>
    <row r="3744" spans="5:13" ht="24.95" customHeight="1">
      <c r="E3744" s="1077"/>
      <c r="F3744" s="1077"/>
      <c r="G3744" s="1077"/>
      <c r="H3744" s="1082" t="s">
        <v>2738</v>
      </c>
      <c r="I3744" s="1077"/>
      <c r="J3744" s="1077"/>
      <c r="K3744" s="1079">
        <f>SUM(K3739:K3743)</f>
        <v>1885.46</v>
      </c>
      <c r="L3744" s="1077"/>
      <c r="M3744" s="1077">
        <f>1883-K3744</f>
        <v>-2.46</v>
      </c>
    </row>
    <row r="3745" spans="5:13">
      <c r="E3745" s="1077"/>
      <c r="F3745" s="1077"/>
      <c r="G3745" s="1077"/>
      <c r="H3745" s="1077"/>
      <c r="I3745" s="1077"/>
      <c r="J3745" s="1077"/>
      <c r="K3745" s="1077"/>
      <c r="L3745" s="1077"/>
      <c r="M3745" s="1077"/>
    </row>
    <row r="3746" spans="5:13">
      <c r="E3746" s="1077"/>
      <c r="F3746" s="1077"/>
      <c r="G3746" s="1077"/>
      <c r="H3746" s="1088" t="s">
        <v>478</v>
      </c>
      <c r="I3746" s="1077"/>
      <c r="J3746" s="1077"/>
      <c r="K3746" s="1077"/>
      <c r="L3746" s="1077"/>
      <c r="M3746" s="1077"/>
    </row>
    <row r="3747" spans="5:13">
      <c r="E3747" s="1077"/>
      <c r="F3747" s="1077">
        <v>1</v>
      </c>
      <c r="G3747" s="1077" t="s">
        <v>1034</v>
      </c>
      <c r="H3747" s="1077" t="s">
        <v>2472</v>
      </c>
      <c r="I3747" s="1077">
        <f>I3730</f>
        <v>783</v>
      </c>
      <c r="J3747" s="1077" t="s">
        <v>1034</v>
      </c>
      <c r="K3747" s="1077">
        <f>F3747*I3747</f>
        <v>783</v>
      </c>
      <c r="L3747" s="1077"/>
      <c r="M3747" s="1077"/>
    </row>
    <row r="3748" spans="5:13">
      <c r="E3748" s="1077"/>
      <c r="F3748" s="1077">
        <v>2</v>
      </c>
      <c r="G3748" s="1077" t="s">
        <v>1034</v>
      </c>
      <c r="H3748" s="1077" t="s">
        <v>2166</v>
      </c>
      <c r="I3748" s="1077">
        <f>I3732</f>
        <v>611</v>
      </c>
      <c r="J3748" s="1077" t="s">
        <v>1034</v>
      </c>
      <c r="K3748" s="1077">
        <f>F3748*I3748</f>
        <v>1222</v>
      </c>
      <c r="L3748" s="1077"/>
      <c r="M3748" s="1077"/>
    </row>
    <row r="3749" spans="5:13">
      <c r="E3749" s="1077"/>
      <c r="F3749" s="1077"/>
      <c r="G3749" s="1077"/>
      <c r="H3749" s="1081" t="s">
        <v>2739</v>
      </c>
      <c r="I3749" s="1077"/>
      <c r="J3749" s="1077"/>
      <c r="K3749" s="1088">
        <f>SUM(K3747:K3748)</f>
        <v>2005</v>
      </c>
      <c r="L3749" s="1077"/>
      <c r="M3749" s="1077"/>
    </row>
    <row r="3750" spans="5:13" ht="24.95" customHeight="1">
      <c r="E3750" s="1077"/>
      <c r="F3750" s="1077"/>
      <c r="G3750" s="1077"/>
      <c r="H3750" s="1082" t="s">
        <v>2058</v>
      </c>
      <c r="I3750" s="1077"/>
      <c r="J3750" s="1077"/>
      <c r="K3750" s="1079">
        <f>K3749/4</f>
        <v>501.25</v>
      </c>
      <c r="L3750" s="1077"/>
      <c r="M3750" s="1077"/>
    </row>
    <row r="3751" spans="5:13">
      <c r="E3751" s="1077"/>
      <c r="F3751" s="1077"/>
      <c r="G3751" s="1077"/>
      <c r="H3751" s="1077"/>
      <c r="I3751" s="1077"/>
      <c r="J3751" s="1077"/>
      <c r="K3751" s="1077"/>
      <c r="L3751" s="1077"/>
      <c r="M3751" s="1077"/>
    </row>
    <row r="3752" spans="5:13">
      <c r="E3752" s="1077"/>
      <c r="F3752" s="1077"/>
      <c r="G3752" s="1077"/>
      <c r="H3752" s="1077"/>
      <c r="I3752" s="1077"/>
      <c r="J3752" s="1077"/>
      <c r="K3752" s="1077"/>
      <c r="L3752" s="1077"/>
      <c r="M3752" s="1077"/>
    </row>
    <row r="3753" spans="5:13" ht="24.95" customHeight="1">
      <c r="E3753" s="1077"/>
      <c r="F3753" s="1077"/>
      <c r="G3753" s="1077"/>
      <c r="H3753" s="1079" t="s">
        <v>2740</v>
      </c>
      <c r="I3753" s="1077"/>
      <c r="J3753" s="1077"/>
      <c r="K3753" s="1077"/>
      <c r="L3753" s="1077"/>
      <c r="M3753" s="1077"/>
    </row>
    <row r="3754" spans="5:13">
      <c r="E3754" s="1077"/>
      <c r="F3754" s="1077"/>
      <c r="G3754" s="1077"/>
      <c r="H3754" s="1077"/>
      <c r="I3754" s="1077"/>
      <c r="J3754" s="1077"/>
      <c r="K3754" s="1077"/>
      <c r="L3754" s="1077"/>
      <c r="M3754" s="1077"/>
    </row>
    <row r="3755" spans="5:13" ht="24.95" customHeight="1">
      <c r="E3755" s="1077"/>
      <c r="F3755" s="1077"/>
      <c r="G3755" s="1077"/>
      <c r="H3755" s="1079" t="s">
        <v>2741</v>
      </c>
      <c r="I3755" s="1077"/>
      <c r="J3755" s="1077"/>
      <c r="K3755" s="1077"/>
      <c r="L3755" s="1077"/>
      <c r="M3755" s="1077"/>
    </row>
    <row r="3756" spans="5:13">
      <c r="E3756" s="1077"/>
      <c r="F3756" s="1077"/>
      <c r="G3756" s="1077"/>
      <c r="H3756" s="1077"/>
      <c r="I3756" s="1077"/>
      <c r="J3756" s="1077"/>
      <c r="K3756" s="1077"/>
      <c r="L3756" s="1077"/>
      <c r="M3756" s="1077"/>
    </row>
    <row r="3757" spans="5:13">
      <c r="E3757" s="1077"/>
      <c r="F3757" s="1077"/>
      <c r="G3757" s="1077"/>
      <c r="H3757" s="1077" t="s">
        <v>2742</v>
      </c>
      <c r="I3757" s="1115">
        <v>1010</v>
      </c>
      <c r="J3757" s="1077" t="s">
        <v>1034</v>
      </c>
      <c r="K3757" s="1077">
        <f>I3757</f>
        <v>1010</v>
      </c>
      <c r="L3757" s="1077"/>
      <c r="M3757" s="1077"/>
    </row>
    <row r="3758" spans="5:13">
      <c r="E3758" s="1077"/>
      <c r="F3758" s="1077"/>
      <c r="G3758" s="1077"/>
      <c r="H3758" s="1077" t="s">
        <v>2277</v>
      </c>
      <c r="I3758" s="1077">
        <f>I3740</f>
        <v>197</v>
      </c>
      <c r="J3758" s="1077" t="s">
        <v>1034</v>
      </c>
      <c r="K3758" s="1077">
        <f>I3758</f>
        <v>197</v>
      </c>
      <c r="L3758" s="1077"/>
      <c r="M3758" s="1077"/>
    </row>
    <row r="3759" spans="5:13" ht="31.5">
      <c r="E3759" s="1077"/>
      <c r="F3759" s="1077"/>
      <c r="G3759" s="1077"/>
      <c r="H3759" s="1114" t="s">
        <v>2743</v>
      </c>
      <c r="I3759" s="1077"/>
      <c r="J3759" s="1077"/>
      <c r="K3759" s="1077">
        <f>K3741</f>
        <v>18.5</v>
      </c>
      <c r="L3759" s="1077"/>
      <c r="M3759" s="1077"/>
    </row>
    <row r="3760" spans="5:13">
      <c r="E3760" s="1077"/>
      <c r="F3760" s="1077"/>
      <c r="G3760" s="1077"/>
      <c r="H3760" s="1077" t="s">
        <v>2736</v>
      </c>
      <c r="I3760" s="1077"/>
      <c r="J3760" s="1077"/>
      <c r="K3760" s="1077">
        <f>K3742</f>
        <v>13.71</v>
      </c>
      <c r="L3760" s="1077"/>
      <c r="M3760" s="1077"/>
    </row>
    <row r="3761" spans="5:18">
      <c r="E3761" s="1077"/>
      <c r="F3761" s="1077"/>
      <c r="G3761" s="1077"/>
      <c r="H3761" s="1077" t="s">
        <v>2737</v>
      </c>
      <c r="I3761" s="1077"/>
      <c r="J3761" s="1077"/>
      <c r="K3761" s="1077">
        <f>K3743</f>
        <v>501.25</v>
      </c>
      <c r="L3761" s="1077"/>
      <c r="M3761" s="1077"/>
    </row>
    <row r="3762" spans="5:18" ht="24.95" customHeight="1">
      <c r="E3762" s="1077"/>
      <c r="F3762" s="1077"/>
      <c r="G3762" s="1077"/>
      <c r="H3762" s="1082" t="s">
        <v>2738</v>
      </c>
      <c r="I3762" s="1077"/>
      <c r="J3762" s="1077"/>
      <c r="K3762" s="1079">
        <f>SUM(K3757:K3761)</f>
        <v>1740.46</v>
      </c>
      <c r="L3762" s="1077"/>
      <c r="M3762" s="1077"/>
    </row>
    <row r="3763" spans="5:18">
      <c r="E3763" s="1077"/>
      <c r="F3763" s="1077"/>
      <c r="G3763" s="1077"/>
      <c r="H3763" s="1077"/>
      <c r="I3763" s="1077"/>
      <c r="J3763" s="1077"/>
      <c r="K3763" s="1077"/>
      <c r="L3763" s="1077"/>
      <c r="M3763" s="1077"/>
    </row>
    <row r="3764" spans="5:18" ht="24.95" customHeight="1">
      <c r="E3764" s="1077"/>
      <c r="F3764" s="1077"/>
      <c r="G3764" s="1077"/>
      <c r="H3764" s="1079" t="s">
        <v>2744</v>
      </c>
      <c r="I3764" s="1077"/>
      <c r="J3764" s="1077"/>
      <c r="K3764" s="1077"/>
      <c r="L3764" s="1077"/>
      <c r="M3764" s="1077"/>
    </row>
    <row r="3765" spans="5:18" ht="24.95" customHeight="1">
      <c r="E3765" s="1077"/>
      <c r="F3765" s="1077">
        <v>1</v>
      </c>
      <c r="G3765" s="1077" t="s">
        <v>1034</v>
      </c>
      <c r="H3765" s="1077" t="str">
        <f>Elec.Data!H935</f>
        <v>Cost of electronic regulator( Part- B 1 d p-117</v>
      </c>
      <c r="I3765" s="1084">
        <f>Elec.Data!I935</f>
        <v>185.9</v>
      </c>
      <c r="J3765" s="1077" t="s">
        <v>1034</v>
      </c>
      <c r="K3765" s="1077">
        <f>F3765*I3765</f>
        <v>185.9</v>
      </c>
      <c r="L3765" s="1077"/>
      <c r="M3765" s="1077"/>
    </row>
    <row r="3766" spans="5:18" ht="24.95" customHeight="1">
      <c r="E3766" s="1077"/>
      <c r="F3766" s="1077">
        <v>1</v>
      </c>
      <c r="G3766" s="1077" t="s">
        <v>1034</v>
      </c>
      <c r="H3766" s="1077" t="s">
        <v>2745</v>
      </c>
      <c r="I3766" s="1084">
        <f>Elec.Data!I936</f>
        <v>0</v>
      </c>
      <c r="J3766" s="1077" t="s">
        <v>1034</v>
      </c>
      <c r="K3766" s="1077">
        <f>F3766*I3766</f>
        <v>0</v>
      </c>
      <c r="L3766" s="1077"/>
      <c r="M3766" s="1077"/>
    </row>
    <row r="3767" spans="5:18" ht="24.95" customHeight="1">
      <c r="E3767" s="1077"/>
      <c r="F3767" s="1077"/>
      <c r="G3767" s="1077"/>
      <c r="H3767" s="1082" t="s">
        <v>2738</v>
      </c>
      <c r="I3767" s="1077"/>
      <c r="J3767" s="1077"/>
      <c r="K3767" s="1079">
        <f>SUM(K3765:K3766)</f>
        <v>185.9</v>
      </c>
      <c r="L3767" s="1077"/>
      <c r="M3767" s="1077"/>
    </row>
    <row r="3768" spans="5:18" ht="23.25" customHeight="1">
      <c r="E3768" s="1077"/>
      <c r="F3768" s="1077"/>
      <c r="G3768" s="1077"/>
      <c r="H3768" s="1082"/>
      <c r="I3768" s="1077"/>
      <c r="J3768" s="1077"/>
      <c r="K3768" s="1079"/>
      <c r="L3768" s="1077"/>
      <c r="M3768" s="1077"/>
    </row>
    <row r="3769" spans="5:18" ht="24.95" customHeight="1">
      <c r="E3769" s="1077"/>
      <c r="F3769" s="1077"/>
      <c r="G3769" s="1077"/>
      <c r="H3769" s="1129" t="s">
        <v>2746</v>
      </c>
      <c r="I3769" s="1077"/>
      <c r="J3769" s="1077"/>
      <c r="K3769" s="1077"/>
      <c r="L3769" s="1077"/>
      <c r="M3769" s="1077"/>
      <c r="N3769" s="1129" t="s">
        <v>2747</v>
      </c>
      <c r="O3769" s="1077"/>
      <c r="P3769" s="1077"/>
      <c r="Q3769" s="1077"/>
    </row>
    <row r="3770" spans="5:18" ht="24.95" customHeight="1">
      <c r="E3770" s="1077"/>
      <c r="F3770" s="1077">
        <v>1</v>
      </c>
      <c r="G3770" s="1077" t="s">
        <v>1034</v>
      </c>
      <c r="H3770" s="1077" t="str">
        <f>Elec.Data!H940</f>
        <v>slim tube light 36 w P-112 4 B</v>
      </c>
      <c r="I3770" s="1086">
        <f>Elec.Data!I940</f>
        <v>35.9</v>
      </c>
      <c r="J3770" s="1077" t="s">
        <v>1034</v>
      </c>
      <c r="K3770" s="1077">
        <f>F3770*I3770</f>
        <v>35.9</v>
      </c>
      <c r="L3770" s="1077">
        <v>1</v>
      </c>
      <c r="M3770" s="1077" t="s">
        <v>1034</v>
      </c>
      <c r="O3770" s="1077" t="s">
        <v>2748</v>
      </c>
      <c r="P3770" s="1086">
        <v>529</v>
      </c>
      <c r="Q3770" s="1077" t="s">
        <v>1034</v>
      </c>
      <c r="R3770" s="1077">
        <f>L3770*P3770</f>
        <v>529</v>
      </c>
    </row>
    <row r="3771" spans="5:18" ht="24.95" customHeight="1">
      <c r="E3771" s="1077"/>
      <c r="F3771" s="1077">
        <v>1</v>
      </c>
      <c r="G3771" s="1077" t="s">
        <v>1034</v>
      </c>
      <c r="H3771" s="1077" t="s">
        <v>2749</v>
      </c>
      <c r="I3771" s="1115">
        <f>Elec.Data!I948</f>
        <v>0</v>
      </c>
      <c r="J3771" s="1077" t="s">
        <v>1034</v>
      </c>
      <c r="K3771" s="1077">
        <f>F3771*I3771</f>
        <v>0</v>
      </c>
      <c r="L3771" s="1077">
        <v>1</v>
      </c>
      <c r="M3771" s="1077" t="s">
        <v>1034</v>
      </c>
      <c r="O3771" s="1077" t="s">
        <v>2750</v>
      </c>
      <c r="P3771" s="1115">
        <v>42.3</v>
      </c>
      <c r="Q3771" s="1077" t="s">
        <v>1034</v>
      </c>
      <c r="R3771" s="1077">
        <f>L3771*P3771</f>
        <v>42.3</v>
      </c>
    </row>
    <row r="3772" spans="5:18" ht="24.95" customHeight="1">
      <c r="E3772" s="1077"/>
      <c r="F3772" s="1077"/>
      <c r="G3772" s="1077"/>
      <c r="H3772" s="1077" t="s">
        <v>2751</v>
      </c>
      <c r="I3772" s="1077"/>
      <c r="J3772" s="1077"/>
      <c r="K3772" s="1077">
        <f>K3244</f>
        <v>297.5</v>
      </c>
      <c r="L3772" s="1077"/>
      <c r="M3772" s="1077"/>
      <c r="O3772" s="1077" t="s">
        <v>2751</v>
      </c>
      <c r="P3772" s="1077"/>
      <c r="Q3772" s="1077"/>
      <c r="R3772" s="1077">
        <f>K3244</f>
        <v>297.5</v>
      </c>
    </row>
    <row r="3773" spans="5:18" ht="24.95" customHeight="1">
      <c r="E3773" s="1077"/>
      <c r="F3773" s="1077"/>
      <c r="G3773" s="1077"/>
      <c r="H3773" s="1077" t="s">
        <v>1557</v>
      </c>
      <c r="I3773" s="1077"/>
      <c r="J3773" s="1077"/>
      <c r="K3773" s="1077">
        <v>1.4</v>
      </c>
      <c r="L3773" s="1077"/>
      <c r="M3773" s="1077"/>
      <c r="O3773" s="1077" t="s">
        <v>1557</v>
      </c>
      <c r="P3773" s="1077"/>
      <c r="Q3773" s="1077"/>
      <c r="R3773" s="1077">
        <v>0.7</v>
      </c>
    </row>
    <row r="3774" spans="5:18" ht="24.95" customHeight="1">
      <c r="E3774" s="1077"/>
      <c r="F3774" s="1077"/>
      <c r="G3774" s="1077"/>
      <c r="H3774" s="1082" t="s">
        <v>2738</v>
      </c>
      <c r="I3774" s="1077"/>
      <c r="J3774" s="1077"/>
      <c r="K3774" s="1079">
        <f>SUM(K3770:K3773)</f>
        <v>334.8</v>
      </c>
      <c r="L3774" s="1077"/>
      <c r="M3774" s="1077"/>
      <c r="O3774" s="1082" t="s">
        <v>2738</v>
      </c>
      <c r="P3774" s="1077"/>
      <c r="Q3774" s="1077"/>
      <c r="R3774" s="1079">
        <f>SUM(R3770:R3773)</f>
        <v>869.5</v>
      </c>
    </row>
    <row r="3775" spans="5:18">
      <c r="E3775" s="1077"/>
      <c r="F3775" s="1077"/>
      <c r="G3775" s="1077"/>
      <c r="H3775" s="1077"/>
      <c r="I3775" s="1077"/>
      <c r="J3775" s="1077"/>
      <c r="K3775" s="1077"/>
      <c r="L3775" s="1077"/>
      <c r="M3775" s="1077"/>
      <c r="O3775" s="1077"/>
      <c r="P3775" s="1077"/>
      <c r="Q3775" s="1077"/>
      <c r="R3775" s="1077"/>
    </row>
    <row r="3776" spans="5:18" ht="24.95" customHeight="1">
      <c r="E3776" s="1077"/>
      <c r="F3776" s="1077"/>
      <c r="G3776" s="1077"/>
      <c r="H3776" s="1129" t="s">
        <v>2752</v>
      </c>
      <c r="I3776" s="1077"/>
      <c r="J3776" s="1077"/>
      <c r="K3776" s="1077"/>
      <c r="L3776" s="1077"/>
      <c r="M3776" s="1077"/>
      <c r="O3776" s="1129" t="s">
        <v>2753</v>
      </c>
      <c r="P3776" s="1077"/>
      <c r="Q3776" s="1077"/>
      <c r="R3776" s="1077"/>
    </row>
    <row r="3777" spans="5:18" ht="24.95" customHeight="1">
      <c r="E3777" s="1077"/>
      <c r="F3777" s="1077">
        <v>1</v>
      </c>
      <c r="G3777" s="1077" t="s">
        <v>1034</v>
      </c>
      <c r="H3777" s="1077" t="str">
        <f>Elec.Data!H947</f>
        <v>slim tube light 36 w P-112 4 c</v>
      </c>
      <c r="I3777" s="1086">
        <f>Elec.Data!I947</f>
        <v>35.1</v>
      </c>
      <c r="J3777" s="1077" t="s">
        <v>1034</v>
      </c>
      <c r="K3777" s="1077">
        <f>F3777*I3777</f>
        <v>35.1</v>
      </c>
      <c r="L3777" s="1077">
        <v>1</v>
      </c>
      <c r="M3777" s="1077" t="s">
        <v>1034</v>
      </c>
      <c r="O3777" s="1077" t="s">
        <v>2748</v>
      </c>
      <c r="P3777" s="1086">
        <v>360</v>
      </c>
      <c r="Q3777" s="1077" t="s">
        <v>1034</v>
      </c>
      <c r="R3777" s="1077">
        <f>L3777*P3777</f>
        <v>360</v>
      </c>
    </row>
    <row r="3778" spans="5:18" ht="24.95" customHeight="1">
      <c r="E3778" s="1077"/>
      <c r="F3778" s="1077">
        <v>1</v>
      </c>
      <c r="G3778" s="1077" t="s">
        <v>1034</v>
      </c>
      <c r="H3778" s="1077" t="str">
        <f>H3771</f>
        <v>slim tube light 36 w</v>
      </c>
      <c r="I3778" s="1115">
        <f>I3771</f>
        <v>0</v>
      </c>
      <c r="J3778" s="1077" t="s">
        <v>1034</v>
      </c>
      <c r="K3778" s="1077">
        <f>F3778*I3778</f>
        <v>0</v>
      </c>
      <c r="L3778" s="1077">
        <v>1</v>
      </c>
      <c r="M3778" s="1077" t="s">
        <v>1034</v>
      </c>
      <c r="O3778" s="1077" t="str">
        <f>O3771</f>
        <v>slim tube light 40 w</v>
      </c>
      <c r="P3778" s="1115">
        <f>P3771</f>
        <v>42.3</v>
      </c>
      <c r="Q3778" s="1077" t="s">
        <v>1034</v>
      </c>
      <c r="R3778" s="1077">
        <f>L3778*P3778</f>
        <v>42.3</v>
      </c>
    </row>
    <row r="3779" spans="5:18" ht="24.95" customHeight="1">
      <c r="E3779" s="1077"/>
      <c r="F3779" s="1077"/>
      <c r="G3779" s="1077"/>
      <c r="H3779" s="1077" t="s">
        <v>2751</v>
      </c>
      <c r="I3779" s="1077"/>
      <c r="J3779" s="1077"/>
      <c r="K3779" s="1077">
        <f>K3772</f>
        <v>297.5</v>
      </c>
      <c r="L3779" s="1077"/>
      <c r="M3779" s="1077"/>
      <c r="O3779" s="1077" t="s">
        <v>2751</v>
      </c>
      <c r="P3779" s="1077"/>
      <c r="Q3779" s="1077"/>
      <c r="R3779" s="1077">
        <f>R3772</f>
        <v>297.5</v>
      </c>
    </row>
    <row r="3780" spans="5:18" ht="24.95" customHeight="1">
      <c r="E3780" s="1077"/>
      <c r="F3780" s="1077"/>
      <c r="G3780" s="1077"/>
      <c r="H3780" s="1077" t="s">
        <v>1557</v>
      </c>
      <c r="I3780" s="1077"/>
      <c r="J3780" s="1077"/>
      <c r="K3780" s="1077">
        <v>1.4</v>
      </c>
      <c r="L3780" s="1077"/>
      <c r="M3780" s="1077"/>
      <c r="O3780" s="1077" t="s">
        <v>1557</v>
      </c>
      <c r="P3780" s="1077"/>
      <c r="Q3780" s="1077"/>
      <c r="R3780" s="1077">
        <v>0.7</v>
      </c>
    </row>
    <row r="3781" spans="5:18" ht="24.95" customHeight="1">
      <c r="E3781" s="1077"/>
      <c r="F3781" s="1077"/>
      <c r="G3781" s="1077"/>
      <c r="H3781" s="1082" t="s">
        <v>2738</v>
      </c>
      <c r="I3781" s="1077"/>
      <c r="J3781" s="1077"/>
      <c r="K3781" s="1079">
        <f>SUM(K3777:K3780)</f>
        <v>334</v>
      </c>
      <c r="L3781" s="1077"/>
      <c r="M3781" s="1077"/>
      <c r="O3781" s="1082" t="s">
        <v>2738</v>
      </c>
      <c r="P3781" s="1077"/>
      <c r="R3781" s="1079">
        <f>SUM(R3777:R3780)</f>
        <v>700.5</v>
      </c>
    </row>
    <row r="3782" spans="5:18">
      <c r="E3782" s="1077"/>
      <c r="F3782" s="1077"/>
      <c r="G3782" s="1077"/>
      <c r="H3782" s="1077"/>
      <c r="I3782" s="1077"/>
      <c r="J3782" s="1077"/>
      <c r="K3782" s="1077"/>
      <c r="L3782" s="1077"/>
      <c r="M3782" s="1077"/>
    </row>
    <row r="3783" spans="5:18">
      <c r="E3783" s="1077"/>
      <c r="F3783" s="1077"/>
      <c r="G3783" s="1077"/>
      <c r="H3783" s="1077"/>
      <c r="I3783" s="1077"/>
      <c r="J3783" s="1077"/>
      <c r="K3783" s="1077"/>
      <c r="L3783" s="1077"/>
      <c r="M3783" s="1077"/>
    </row>
    <row r="3784" spans="5:18">
      <c r="E3784" s="1077"/>
      <c r="F3784" s="1077"/>
      <c r="G3784" s="1077"/>
      <c r="H3784" s="1077"/>
      <c r="I3784" s="1077"/>
      <c r="J3784" s="1077"/>
      <c r="K3784" s="1077"/>
      <c r="L3784" s="1077"/>
      <c r="M3784" s="1077"/>
    </row>
    <row r="3785" spans="5:18">
      <c r="E3785" s="1077"/>
      <c r="F3785" s="1077"/>
      <c r="G3785" s="1077"/>
      <c r="H3785" s="1077"/>
      <c r="I3785" s="1077"/>
      <c r="J3785" s="1077"/>
      <c r="K3785" s="1077"/>
      <c r="L3785" s="1077"/>
      <c r="M3785" s="1077"/>
    </row>
    <row r="3786" spans="5:18">
      <c r="E3786" s="1077"/>
      <c r="F3786" s="1077"/>
      <c r="G3786" s="1077"/>
      <c r="H3786" s="1077"/>
      <c r="I3786" s="1077"/>
      <c r="J3786" s="1077"/>
      <c r="K3786" s="1077"/>
      <c r="L3786" s="1077"/>
      <c r="M3786" s="1077"/>
    </row>
    <row r="3787" spans="5:18">
      <c r="E3787" s="1077"/>
      <c r="F3787" s="1077"/>
      <c r="G3787" s="1077"/>
      <c r="J3787" s="930"/>
      <c r="L3787" s="1077"/>
      <c r="M3787" s="1077"/>
    </row>
    <row r="3788" spans="5:18">
      <c r="E3788" s="1077"/>
      <c r="F3788" s="1077"/>
      <c r="G3788" s="1077"/>
      <c r="H3788" s="1077"/>
      <c r="I3788" s="1077"/>
      <c r="J3788" s="1077"/>
      <c r="K3788" s="1079"/>
      <c r="L3788" s="1077"/>
      <c r="M3788" s="1077"/>
    </row>
    <row r="3789" spans="5:18">
      <c r="E3789" s="1077"/>
      <c r="F3789" s="1077"/>
      <c r="G3789" s="1077"/>
      <c r="H3789" s="1077"/>
      <c r="I3789" s="1077"/>
      <c r="J3789" s="1077"/>
      <c r="K3789" s="1077"/>
      <c r="L3789" s="1077"/>
      <c r="M3789" s="1077"/>
    </row>
    <row r="3790" spans="5:18">
      <c r="E3790" s="1077"/>
      <c r="H3790" s="981" t="s">
        <v>2754</v>
      </c>
      <c r="L3790" s="1077"/>
      <c r="M3790" s="1077"/>
    </row>
    <row r="3791" spans="5:18">
      <c r="E3791" s="1077"/>
      <c r="L3791" s="1077"/>
      <c r="M3791" s="1077"/>
    </row>
    <row r="3792" spans="5:18">
      <c r="E3792" s="1077"/>
      <c r="H3792" s="981" t="s">
        <v>2755</v>
      </c>
      <c r="L3792" s="1077"/>
      <c r="M3792" s="1077"/>
    </row>
    <row r="3793" spans="5:13">
      <c r="E3793" s="1077"/>
      <c r="L3793" s="1077"/>
      <c r="M3793" s="1077"/>
    </row>
    <row r="3794" spans="5:13" ht="157.5">
      <c r="E3794" s="1077"/>
      <c r="H3794" s="1076" t="s">
        <v>2756</v>
      </c>
      <c r="L3794" s="1077"/>
      <c r="M3794" s="1077"/>
    </row>
    <row r="3795" spans="5:13" ht="31.5">
      <c r="E3795" s="1077"/>
      <c r="F3795" s="1077">
        <v>90</v>
      </c>
      <c r="G3795" s="1077" t="s">
        <v>13</v>
      </c>
      <c r="H3795" s="989" t="s">
        <v>2311</v>
      </c>
      <c r="I3795" s="1077">
        <f>I2843</f>
        <v>16.55</v>
      </c>
      <c r="J3795" s="1077" t="s">
        <v>2306</v>
      </c>
      <c r="K3795" s="1077">
        <f>F3795*I3795</f>
        <v>1489.5</v>
      </c>
      <c r="L3795" s="1077"/>
      <c r="M3795" s="1077"/>
    </row>
    <row r="3796" spans="5:13" ht="31.5">
      <c r="E3796" s="1077"/>
      <c r="F3796" s="1077">
        <v>45</v>
      </c>
      <c r="G3796" s="1077" t="s">
        <v>13</v>
      </c>
      <c r="H3796" s="1076" t="s">
        <v>2313</v>
      </c>
      <c r="I3796" s="1077">
        <f>I2844</f>
        <v>20</v>
      </c>
      <c r="J3796" s="1077" t="s">
        <v>2308</v>
      </c>
      <c r="K3796" s="1077">
        <f>F3796*I3796</f>
        <v>900</v>
      </c>
      <c r="L3796" s="1077"/>
      <c r="M3796" s="1077"/>
    </row>
    <row r="3797" spans="5:13">
      <c r="E3797" s="1077"/>
      <c r="F3797" s="1077">
        <v>20</v>
      </c>
      <c r="G3797" s="1077" t="s">
        <v>1034</v>
      </c>
      <c r="H3797" s="1077" t="s">
        <v>2317</v>
      </c>
      <c r="I3797" s="1077">
        <f>I2845</f>
        <v>3.15</v>
      </c>
      <c r="J3797" s="1077" t="s">
        <v>1034</v>
      </c>
      <c r="K3797" s="1077">
        <f>F3797*I3797</f>
        <v>63</v>
      </c>
      <c r="L3797" s="1077"/>
      <c r="M3797" s="1077"/>
    </row>
    <row r="3798" spans="5:13">
      <c r="E3798" s="1077"/>
      <c r="F3798" s="1077">
        <v>150</v>
      </c>
      <c r="G3798" s="1077" t="s">
        <v>1034</v>
      </c>
      <c r="H3798" s="1077" t="s">
        <v>2757</v>
      </c>
      <c r="I3798" s="1084">
        <v>347</v>
      </c>
      <c r="J3798" s="1077" t="s">
        <v>2758</v>
      </c>
      <c r="K3798" s="1077">
        <f>(F3798*I3798)/1000</f>
        <v>52.05</v>
      </c>
      <c r="L3798" s="1077"/>
      <c r="M3798" s="1077"/>
    </row>
    <row r="3799" spans="5:13">
      <c r="E3799" s="1077"/>
      <c r="F3799" s="1077">
        <v>10</v>
      </c>
      <c r="G3799" s="1077" t="s">
        <v>1034</v>
      </c>
      <c r="H3799" s="1077" t="s">
        <v>2319</v>
      </c>
      <c r="I3799" s="1077">
        <f>I2846</f>
        <v>1.34</v>
      </c>
      <c r="J3799" s="1077" t="s">
        <v>1034</v>
      </c>
      <c r="K3799" s="1077">
        <f>F3799*I3799</f>
        <v>13.4</v>
      </c>
      <c r="L3799" s="1077"/>
      <c r="M3799" s="1077"/>
    </row>
    <row r="3800" spans="5:13">
      <c r="E3800" s="1077"/>
      <c r="F3800" s="1077">
        <v>10</v>
      </c>
      <c r="G3800" s="1077" t="s">
        <v>1034</v>
      </c>
      <c r="H3800" s="1077" t="s">
        <v>2759</v>
      </c>
      <c r="I3800" s="1086">
        <v>44.8</v>
      </c>
      <c r="J3800" s="1077" t="s">
        <v>2315</v>
      </c>
      <c r="K3800" s="1077">
        <f>(F3800*I3800)/12</f>
        <v>37.33</v>
      </c>
      <c r="L3800" s="1077"/>
      <c r="M3800" s="1077"/>
    </row>
    <row r="3801" spans="5:13">
      <c r="E3801" s="1077"/>
      <c r="F3801" s="1080">
        <v>1.4999999999999999E-2</v>
      </c>
      <c r="G3801" s="1077" t="s">
        <v>724</v>
      </c>
      <c r="H3801" s="1077" t="s">
        <v>2404</v>
      </c>
      <c r="I3801" s="1077">
        <f>I2849</f>
        <v>661</v>
      </c>
      <c r="J3801" s="1077" t="s">
        <v>724</v>
      </c>
      <c r="K3801" s="1077">
        <f>F3801*I3801</f>
        <v>9.92</v>
      </c>
      <c r="L3801" s="1077"/>
      <c r="M3801" s="1077"/>
    </row>
    <row r="3802" spans="5:13">
      <c r="E3802" s="1077"/>
      <c r="F3802" s="1077">
        <v>10</v>
      </c>
      <c r="G3802" s="1077" t="s">
        <v>1034</v>
      </c>
      <c r="H3802" s="1077" t="s">
        <v>2405</v>
      </c>
      <c r="I3802" s="1077">
        <f>I2850</f>
        <v>16.21</v>
      </c>
      <c r="J3802" s="1077" t="s">
        <v>1034</v>
      </c>
      <c r="K3802" s="1077">
        <f>(F3802*I3802)</f>
        <v>162.1</v>
      </c>
      <c r="L3802" s="1077"/>
      <c r="M3802" s="1077"/>
    </row>
    <row r="3803" spans="5:13">
      <c r="E3803" s="1077"/>
      <c r="F3803" s="1077">
        <v>10</v>
      </c>
      <c r="G3803" s="1077" t="s">
        <v>1034</v>
      </c>
      <c r="H3803" s="1077" t="s">
        <v>2325</v>
      </c>
      <c r="I3803" s="1077">
        <f>I2851</f>
        <v>13.8</v>
      </c>
      <c r="J3803" s="1077" t="s">
        <v>1034</v>
      </c>
      <c r="K3803" s="1077">
        <f>F3803*I3803</f>
        <v>138</v>
      </c>
      <c r="L3803" s="1077"/>
      <c r="M3803" s="1077"/>
    </row>
    <row r="3804" spans="5:13">
      <c r="E3804" s="1077"/>
      <c r="F3804" s="1077">
        <v>1</v>
      </c>
      <c r="G3804" s="1077" t="s">
        <v>2327</v>
      </c>
      <c r="H3804" s="1077" t="s">
        <v>2760</v>
      </c>
      <c r="I3804" s="1084">
        <v>84.1</v>
      </c>
      <c r="J3804" s="1077" t="s">
        <v>2327</v>
      </c>
      <c r="K3804" s="1077">
        <f>F3804*I3804</f>
        <v>84.1</v>
      </c>
      <c r="L3804" s="1077"/>
      <c r="M3804" s="1077"/>
    </row>
    <row r="3805" spans="5:13">
      <c r="E3805" s="1077"/>
      <c r="F3805" s="1077">
        <v>72</v>
      </c>
      <c r="G3805" s="1077" t="s">
        <v>1034</v>
      </c>
      <c r="H3805" s="1077" t="s">
        <v>2761</v>
      </c>
      <c r="I3805" s="1130">
        <v>47.7</v>
      </c>
      <c r="J3805" s="1077" t="s">
        <v>2327</v>
      </c>
      <c r="K3805" s="1077">
        <f>(F3805*I3805)/144</f>
        <v>23.85</v>
      </c>
      <c r="L3805" s="1077"/>
      <c r="M3805" s="1077"/>
    </row>
    <row r="3806" spans="5:13">
      <c r="E3806" s="1077"/>
      <c r="F3806" s="1087">
        <v>0.16666666666666666</v>
      </c>
      <c r="G3806" s="1077" t="s">
        <v>2324</v>
      </c>
      <c r="H3806" s="1077" t="s">
        <v>38</v>
      </c>
      <c r="I3806" s="1086">
        <f>6850/20</f>
        <v>342.5</v>
      </c>
      <c r="J3806" s="1077" t="s">
        <v>2324</v>
      </c>
      <c r="K3806" s="1077">
        <f t="shared" ref="K3806:K3811" si="105">F3806*I3806</f>
        <v>57.08</v>
      </c>
      <c r="L3806" s="1077"/>
      <c r="M3806" s="1077"/>
    </row>
    <row r="3807" spans="5:13">
      <c r="E3807" s="1077"/>
      <c r="F3807" s="1077">
        <v>10</v>
      </c>
      <c r="G3807" s="1077" t="s">
        <v>1034</v>
      </c>
      <c r="H3807" s="1077" t="s">
        <v>2762</v>
      </c>
      <c r="I3807" s="1086">
        <v>16.7</v>
      </c>
      <c r="J3807" s="1077" t="s">
        <v>1034</v>
      </c>
      <c r="K3807" s="1077">
        <f t="shared" si="105"/>
        <v>167</v>
      </c>
      <c r="L3807" s="1077"/>
      <c r="M3807" s="1077"/>
    </row>
    <row r="3808" spans="5:13">
      <c r="E3808" s="1077"/>
      <c r="F3808" s="1077">
        <v>1</v>
      </c>
      <c r="G3808" s="1077" t="s">
        <v>1034</v>
      </c>
      <c r="H3808" s="1077" t="s">
        <v>2763</v>
      </c>
      <c r="I3808" s="1086">
        <v>20.100000000000001</v>
      </c>
      <c r="J3808" s="1077" t="s">
        <v>1034</v>
      </c>
      <c r="K3808" s="1077">
        <f t="shared" si="105"/>
        <v>20.100000000000001</v>
      </c>
      <c r="L3808" s="1077"/>
      <c r="M3808" s="1077"/>
    </row>
    <row r="3809" spans="5:13">
      <c r="E3809" s="1077"/>
      <c r="F3809" s="1077">
        <v>0.1</v>
      </c>
      <c r="G3809" s="1077" t="s">
        <v>724</v>
      </c>
      <c r="H3809" s="1077" t="s">
        <v>2764</v>
      </c>
      <c r="I3809" s="1077">
        <f>I2855</f>
        <v>661</v>
      </c>
      <c r="J3809" s="1077" t="s">
        <v>724</v>
      </c>
      <c r="K3809" s="1077">
        <f t="shared" si="105"/>
        <v>66.099999999999994</v>
      </c>
      <c r="L3809" s="1077"/>
      <c r="M3809" s="1077"/>
    </row>
    <row r="3810" spans="5:13" ht="31.5">
      <c r="E3810" s="1077"/>
      <c r="F3810" s="1077">
        <v>45</v>
      </c>
      <c r="G3810" s="1077" t="s">
        <v>13</v>
      </c>
      <c r="H3810" s="989" t="s">
        <v>2333</v>
      </c>
      <c r="I3810" s="1077">
        <f>I2856</f>
        <v>16.55</v>
      </c>
      <c r="J3810" s="1077" t="s">
        <v>2330</v>
      </c>
      <c r="K3810" s="1077">
        <f t="shared" si="105"/>
        <v>744.75</v>
      </c>
      <c r="L3810" s="1077"/>
      <c r="M3810" s="1077"/>
    </row>
    <row r="3811" spans="5:13">
      <c r="E3811" s="1077"/>
      <c r="F3811" s="1087">
        <v>0.5</v>
      </c>
      <c r="G3811" s="1077" t="s">
        <v>2765</v>
      </c>
      <c r="H3811" s="989" t="s">
        <v>2766</v>
      </c>
      <c r="I3811" s="1086">
        <v>247.4</v>
      </c>
      <c r="J3811" s="1077" t="s">
        <v>2765</v>
      </c>
      <c r="K3811" s="1077">
        <f t="shared" si="105"/>
        <v>123.7</v>
      </c>
      <c r="L3811" s="1077"/>
      <c r="M3811" s="1077"/>
    </row>
    <row r="3812" spans="5:13">
      <c r="E3812" s="1077"/>
      <c r="F3812" s="1077">
        <v>10</v>
      </c>
      <c r="G3812" s="1077" t="s">
        <v>2335</v>
      </c>
      <c r="H3812" s="1077" t="s">
        <v>478</v>
      </c>
      <c r="I3812" s="1077"/>
      <c r="J3812" s="1077" t="s">
        <v>49</v>
      </c>
      <c r="K3812" s="1077">
        <f>K3831</f>
        <v>4828</v>
      </c>
      <c r="L3812" s="1077"/>
      <c r="M3812" s="1077"/>
    </row>
    <row r="3813" spans="5:13">
      <c r="E3813" s="1077"/>
      <c r="F3813" s="1077" t="s">
        <v>49</v>
      </c>
      <c r="G3813" s="1077"/>
      <c r="H3813" s="1077" t="s">
        <v>2767</v>
      </c>
      <c r="I3813" s="1077"/>
      <c r="J3813" s="1077" t="s">
        <v>49</v>
      </c>
      <c r="K3813" s="1077">
        <f>22+0.07</f>
        <v>22.07</v>
      </c>
      <c r="L3813" s="1077"/>
      <c r="M3813" s="1077"/>
    </row>
    <row r="3814" spans="5:13">
      <c r="E3814" s="1077"/>
      <c r="F3814" s="1077"/>
      <c r="G3814" s="1077"/>
      <c r="H3814" s="1081" t="s">
        <v>2334</v>
      </c>
      <c r="I3814" s="1077"/>
      <c r="J3814" s="1077"/>
      <c r="K3814" s="1088">
        <f>SUM(K3795:K3813)</f>
        <v>9002.0499999999993</v>
      </c>
      <c r="L3814" s="1077"/>
      <c r="M3814" s="1077"/>
    </row>
    <row r="3815" spans="5:13">
      <c r="E3815" s="1077"/>
      <c r="F3815" s="1077"/>
      <c r="G3815" s="1077"/>
      <c r="H3815" s="1082" t="s">
        <v>2336</v>
      </c>
      <c r="I3815" s="1077"/>
      <c r="J3815" s="1077"/>
      <c r="K3815" s="1079">
        <f>K3814/10</f>
        <v>900.21</v>
      </c>
      <c r="L3815" s="1077">
        <f>K3815-639</f>
        <v>261.20999999999998</v>
      </c>
      <c r="M3815" s="1077"/>
    </row>
    <row r="3816" spans="5:13">
      <c r="E3816" s="1077"/>
      <c r="F3816" s="1077"/>
      <c r="G3816" s="1077"/>
      <c r="H3816" s="1077"/>
      <c r="I3816" s="1077"/>
      <c r="J3816" s="1077"/>
      <c r="K3816" s="1077"/>
      <c r="L3816" s="1077"/>
      <c r="M3816" s="1077"/>
    </row>
    <row r="3817" spans="5:13">
      <c r="E3817" s="1077"/>
      <c r="F3817" s="1077"/>
      <c r="G3817" s="1077"/>
      <c r="H3817" s="1077"/>
      <c r="I3817" s="1077"/>
      <c r="J3817" s="1077"/>
      <c r="K3817" s="1077"/>
      <c r="L3817" s="1077"/>
      <c r="M3817" s="1077"/>
    </row>
    <row r="3818" spans="5:13">
      <c r="E3818" s="1077"/>
      <c r="F3818" s="1077"/>
      <c r="G3818" s="1077"/>
      <c r="H3818" s="1077"/>
      <c r="I3818" s="1077"/>
      <c r="J3818" s="1077"/>
      <c r="K3818" s="1077"/>
      <c r="L3818" s="1077"/>
      <c r="M3818" s="1077"/>
    </row>
    <row r="3819" spans="5:13">
      <c r="E3819" s="1077"/>
      <c r="F3819" s="1077"/>
      <c r="G3819" s="1077"/>
      <c r="H3819" s="1077"/>
      <c r="I3819" s="1077"/>
      <c r="J3819" s="1077"/>
      <c r="K3819" s="1077"/>
      <c r="L3819" s="1077"/>
      <c r="M3819" s="1077"/>
    </row>
    <row r="3820" spans="5:13">
      <c r="E3820" s="1077"/>
      <c r="F3820" s="1077"/>
      <c r="G3820" s="1079" t="s">
        <v>2338</v>
      </c>
      <c r="H3820" s="1077"/>
      <c r="I3820" s="1077"/>
      <c r="J3820" s="1077"/>
      <c r="M3820" s="1077"/>
    </row>
    <row r="3821" spans="5:13">
      <c r="E3821" s="1077"/>
      <c r="F3821" s="1077"/>
      <c r="G3821" s="1077"/>
      <c r="H3821" s="1077"/>
      <c r="I3821" s="1077"/>
      <c r="J3821" s="1077"/>
      <c r="M3821" s="1077"/>
    </row>
    <row r="3822" spans="5:13">
      <c r="E3822" s="1077"/>
      <c r="F3822" s="1077"/>
      <c r="G3822" s="1079" t="s">
        <v>2106</v>
      </c>
      <c r="H3822" s="1077"/>
      <c r="I3822" s="1077"/>
      <c r="J3822" s="1077"/>
      <c r="M3822" s="1077"/>
    </row>
    <row r="3823" spans="5:13">
      <c r="E3823" s="1077"/>
      <c r="F3823" s="1077"/>
      <c r="G3823" s="1077"/>
      <c r="H3823" s="1077"/>
      <c r="I3823" s="1077"/>
      <c r="J3823" s="1077"/>
      <c r="M3823" s="1077"/>
    </row>
    <row r="3824" spans="5:13">
      <c r="F3824" s="1077">
        <v>1</v>
      </c>
      <c r="G3824" s="1077" t="s">
        <v>1034</v>
      </c>
      <c r="H3824" s="1077" t="s">
        <v>2340</v>
      </c>
      <c r="I3824" s="1077">
        <f>I2866</f>
        <v>898</v>
      </c>
      <c r="J3824" s="1077" t="s">
        <v>1034</v>
      </c>
      <c r="K3824" s="1077">
        <f>F3824*I3824</f>
        <v>898</v>
      </c>
      <c r="L3824" s="1077"/>
      <c r="M3824" s="1077"/>
    </row>
    <row r="3825" spans="5:13">
      <c r="F3825" s="1077">
        <v>2</v>
      </c>
      <c r="G3825" s="1077" t="s">
        <v>1034</v>
      </c>
      <c r="H3825" s="1077" t="s">
        <v>2341</v>
      </c>
      <c r="I3825" s="1077">
        <f>I2867</f>
        <v>783</v>
      </c>
      <c r="J3825" s="1077" t="s">
        <v>1034</v>
      </c>
      <c r="K3825" s="1077">
        <f>F3825*I3825</f>
        <v>1566</v>
      </c>
      <c r="L3825" s="1077"/>
      <c r="M3825" s="1077"/>
    </row>
    <row r="3826" spans="5:13">
      <c r="F3826" s="1077">
        <v>3</v>
      </c>
      <c r="G3826" s="1077" t="s">
        <v>1034</v>
      </c>
      <c r="H3826" s="1077" t="s">
        <v>2342</v>
      </c>
      <c r="I3826" s="1077">
        <f>I2868</f>
        <v>778</v>
      </c>
      <c r="J3826" s="1077" t="s">
        <v>1034</v>
      </c>
      <c r="K3826" s="1077">
        <f>F3826*I3826</f>
        <v>2334</v>
      </c>
      <c r="L3826" s="1077"/>
      <c r="M3826" s="1077"/>
    </row>
    <row r="3827" spans="5:13">
      <c r="F3827" s="1077">
        <v>4</v>
      </c>
      <c r="G3827" s="1077" t="s">
        <v>1034</v>
      </c>
      <c r="H3827" s="1077" t="s">
        <v>2166</v>
      </c>
      <c r="I3827" s="1077">
        <f>I2869</f>
        <v>611</v>
      </c>
      <c r="J3827" s="1077" t="s">
        <v>1034</v>
      </c>
      <c r="K3827" s="1077">
        <f>F3827*I3827</f>
        <v>2444</v>
      </c>
      <c r="L3827" s="1077"/>
      <c r="M3827" s="1077"/>
    </row>
    <row r="3828" spans="5:13">
      <c r="F3828" s="1077"/>
      <c r="G3828" s="1077"/>
      <c r="H3828" s="1077"/>
      <c r="I3828" s="1077"/>
      <c r="J3828" s="1077"/>
      <c r="K3828" s="1077"/>
      <c r="L3828" s="1077"/>
      <c r="M3828" s="1077"/>
    </row>
    <row r="3829" spans="5:13" ht="51">
      <c r="E3829" s="1077"/>
      <c r="F3829" s="1077"/>
      <c r="G3829" s="930"/>
      <c r="H3829" s="1090" t="s">
        <v>2346</v>
      </c>
      <c r="J3829" s="930"/>
      <c r="K3829" s="1091">
        <f>SUM(K3824:K3827)</f>
        <v>7242</v>
      </c>
      <c r="L3829" s="1091"/>
      <c r="M3829" s="1077"/>
    </row>
    <row r="3830" spans="5:13">
      <c r="E3830" s="1077"/>
      <c r="F3830" s="1077"/>
      <c r="G3830" s="930"/>
      <c r="J3830" s="930"/>
      <c r="M3830" s="1077"/>
    </row>
    <row r="3831" spans="5:13">
      <c r="E3831" s="1077"/>
      <c r="F3831" s="1077"/>
      <c r="G3831" s="930"/>
      <c r="J3831" s="1092"/>
      <c r="K3831" s="1093">
        <f>K3829*2/3</f>
        <v>4828</v>
      </c>
      <c r="L3831" s="1093"/>
      <c r="M3831" s="1077"/>
    </row>
    <row r="3832" spans="5:13">
      <c r="E3832" s="1077"/>
      <c r="F3832" s="1077"/>
      <c r="G3832" s="1077"/>
      <c r="H3832" s="1077"/>
      <c r="I3832" s="1077"/>
      <c r="J3832" s="1077"/>
      <c r="K3832" s="1077"/>
      <c r="L3832" s="1077"/>
      <c r="M3832" s="1077"/>
    </row>
    <row r="3833" spans="5:13">
      <c r="E3833" s="1077"/>
      <c r="F3833" s="1077"/>
      <c r="G3833" s="1077"/>
      <c r="H3833" s="981" t="s">
        <v>2768</v>
      </c>
      <c r="I3833" s="1077"/>
      <c r="J3833" s="1077"/>
      <c r="K3833" s="1077"/>
      <c r="L3833" s="1077"/>
      <c r="M3833" s="1077"/>
    </row>
    <row r="3834" spans="5:13">
      <c r="E3834" s="1077"/>
      <c r="F3834" s="1077"/>
      <c r="G3834" s="1077"/>
      <c r="H3834" s="1077"/>
      <c r="I3834" s="1077"/>
      <c r="J3834" s="1077"/>
      <c r="K3834" s="1077"/>
      <c r="L3834" s="1077"/>
      <c r="M3834" s="1077"/>
    </row>
    <row r="3835" spans="5:13" ht="173.25">
      <c r="E3835" s="1077"/>
      <c r="F3835" s="1077"/>
      <c r="G3835" s="1077"/>
      <c r="H3835" s="1076" t="s">
        <v>2769</v>
      </c>
      <c r="I3835" s="1077"/>
      <c r="J3835" s="1077"/>
      <c r="K3835" s="1077"/>
      <c r="L3835" s="1077"/>
      <c r="M3835" s="1077"/>
    </row>
    <row r="3836" spans="5:13">
      <c r="E3836" s="1077"/>
      <c r="F3836" s="1077"/>
      <c r="G3836" s="1077"/>
      <c r="H3836" s="1077" t="s">
        <v>2351</v>
      </c>
      <c r="I3836" s="1077"/>
      <c r="J3836" s="1077"/>
      <c r="K3836" s="1077">
        <f>K3814-K3813</f>
        <v>8979.98</v>
      </c>
      <c r="L3836" s="1077"/>
      <c r="M3836" s="1077"/>
    </row>
    <row r="3837" spans="5:13">
      <c r="E3837" s="1077"/>
      <c r="F3837" s="1077"/>
      <c r="G3837" s="1077"/>
      <c r="H3837" s="1077" t="s">
        <v>2352</v>
      </c>
      <c r="I3837" s="1077"/>
      <c r="J3837" s="1077"/>
      <c r="K3837" s="1077">
        <f>K3803</f>
        <v>138</v>
      </c>
      <c r="L3837" s="1077"/>
      <c r="M3837" s="1077"/>
    </row>
    <row r="3838" spans="5:13">
      <c r="E3838" s="1077"/>
      <c r="F3838" s="1077"/>
      <c r="G3838" s="1077"/>
      <c r="H3838" s="1077" t="s">
        <v>2353</v>
      </c>
      <c r="I3838" s="1077"/>
      <c r="J3838" s="1077"/>
      <c r="K3838" s="1086">
        <f>10*20.2</f>
        <v>202</v>
      </c>
      <c r="L3838" s="1077"/>
      <c r="M3838" s="1077"/>
    </row>
    <row r="3839" spans="5:13">
      <c r="E3839" s="1077"/>
      <c r="F3839" s="1077"/>
      <c r="G3839" s="1077"/>
      <c r="H3839" s="1077" t="s">
        <v>1557</v>
      </c>
      <c r="I3839" s="1077"/>
      <c r="J3839" s="1077"/>
      <c r="K3839" s="1077">
        <v>22.11</v>
      </c>
      <c r="L3839" s="1077"/>
      <c r="M3839" s="1077"/>
    </row>
    <row r="3840" spans="5:13">
      <c r="E3840" s="1077"/>
      <c r="F3840" s="1077"/>
      <c r="G3840" s="1077"/>
      <c r="H3840" s="1081" t="s">
        <v>2355</v>
      </c>
      <c r="I3840" s="1077"/>
      <c r="J3840" s="1077"/>
      <c r="K3840" s="1088">
        <f>K3836-K3837+K3838+K3839</f>
        <v>9066.09</v>
      </c>
      <c r="L3840" s="1077"/>
      <c r="M3840" s="1077"/>
    </row>
    <row r="3841" spans="5:14">
      <c r="E3841" s="1077"/>
      <c r="F3841" s="1077"/>
      <c r="G3841" s="1077"/>
      <c r="H3841" s="1082" t="s">
        <v>2356</v>
      </c>
      <c r="I3841" s="1077"/>
      <c r="J3841" s="1077"/>
      <c r="K3841" s="1079">
        <f>K3840/10</f>
        <v>906.61</v>
      </c>
      <c r="L3841" s="1077"/>
      <c r="M3841" s="1077"/>
    </row>
    <row r="3842" spans="5:14">
      <c r="E3842" s="1077"/>
      <c r="F3842" s="1077"/>
      <c r="G3842" s="1077"/>
      <c r="H3842" s="1077"/>
      <c r="I3842" s="1077"/>
      <c r="J3842" s="1077"/>
      <c r="K3842" s="1077"/>
      <c r="L3842" s="1077"/>
      <c r="M3842" s="1077"/>
    </row>
    <row r="3843" spans="5:14">
      <c r="E3843" s="1077"/>
      <c r="F3843" s="1077"/>
      <c r="G3843" s="1077"/>
      <c r="H3843" s="1077"/>
      <c r="I3843" s="1077"/>
      <c r="J3843" s="1077"/>
      <c r="K3843" s="1077"/>
      <c r="L3843" s="1077"/>
      <c r="M3843" s="1077"/>
    </row>
    <row r="3844" spans="5:14">
      <c r="E3844" s="1077"/>
      <c r="F3844" s="1077"/>
      <c r="G3844" s="1077"/>
      <c r="H3844" s="1077"/>
      <c r="I3844" s="1077"/>
      <c r="J3844" s="1077"/>
      <c r="K3844" s="1077"/>
      <c r="L3844" s="1077"/>
      <c r="M3844" s="1077"/>
    </row>
    <row r="3845" spans="5:14" ht="47.25">
      <c r="E3845" s="1077"/>
      <c r="F3845" s="1077"/>
      <c r="G3845" s="1077"/>
      <c r="H3845" s="1083" t="s">
        <v>2770</v>
      </c>
      <c r="I3845" s="1077"/>
      <c r="J3845" s="1077"/>
      <c r="K3845" s="1077"/>
      <c r="L3845" s="1077"/>
      <c r="M3845" s="1077"/>
    </row>
    <row r="3846" spans="5:14">
      <c r="E3846" s="1077"/>
      <c r="F3846" s="1077"/>
      <c r="G3846" s="1077"/>
      <c r="H3846" s="1077"/>
      <c r="I3846" s="1077"/>
      <c r="J3846" s="1077"/>
      <c r="K3846" s="1077"/>
      <c r="L3846" s="1077"/>
      <c r="M3846" s="1077"/>
    </row>
    <row r="3847" spans="5:14" ht="173.25">
      <c r="E3847" s="1077"/>
      <c r="F3847" s="1077"/>
      <c r="G3847" s="1077"/>
      <c r="H3847" s="1076" t="s">
        <v>2771</v>
      </c>
      <c r="I3847" s="1077"/>
      <c r="J3847" s="1077"/>
      <c r="K3847" s="1077"/>
      <c r="L3847" s="1077"/>
      <c r="M3847" s="1077"/>
    </row>
    <row r="3848" spans="5:14">
      <c r="E3848" s="1077"/>
      <c r="F3848" s="1077"/>
      <c r="G3848" s="1077"/>
      <c r="H3848" s="1077" t="s">
        <v>2361</v>
      </c>
      <c r="I3848" s="1077"/>
      <c r="J3848" s="1077"/>
      <c r="K3848" s="1077">
        <f>K3836</f>
        <v>8979.98</v>
      </c>
      <c r="L3848" s="1077"/>
      <c r="M3848" s="1077"/>
    </row>
    <row r="3849" spans="5:14">
      <c r="E3849" s="1077"/>
      <c r="F3849" s="1077"/>
      <c r="G3849" s="1077"/>
      <c r="H3849" s="1077" t="s">
        <v>2362</v>
      </c>
      <c r="I3849" s="1077"/>
      <c r="J3849" s="1077"/>
      <c r="K3849" s="1077">
        <f>K3837</f>
        <v>138</v>
      </c>
      <c r="L3849" s="1077"/>
      <c r="M3849" s="1077"/>
    </row>
    <row r="3850" spans="5:14">
      <c r="E3850" s="1077"/>
      <c r="F3850" s="1077"/>
      <c r="G3850" s="1077"/>
      <c r="H3850" s="1077" t="s">
        <v>2363</v>
      </c>
      <c r="I3850" s="1077"/>
      <c r="J3850" s="1077"/>
      <c r="K3850" s="1077">
        <f>K2892</f>
        <v>36</v>
      </c>
      <c r="L3850" s="1077"/>
      <c r="M3850" s="1077"/>
    </row>
    <row r="3851" spans="5:14">
      <c r="E3851" s="1077"/>
      <c r="F3851" s="1077"/>
      <c r="G3851" s="1077"/>
      <c r="H3851" s="1077" t="s">
        <v>2364</v>
      </c>
      <c r="I3851" s="1077"/>
      <c r="J3851" s="1077"/>
      <c r="K3851" s="1077">
        <f>K2893</f>
        <v>162.1</v>
      </c>
      <c r="L3851" s="1077"/>
      <c r="M3851" s="1077"/>
    </row>
    <row r="3852" spans="5:14">
      <c r="E3852" s="1077"/>
      <c r="F3852" s="1077"/>
      <c r="G3852" s="1077"/>
      <c r="H3852" s="1077" t="s">
        <v>2365</v>
      </c>
      <c r="I3852" s="1077"/>
      <c r="J3852" s="1077"/>
      <c r="K3852" s="1086">
        <f>50.4*10</f>
        <v>504</v>
      </c>
      <c r="L3852" s="1077"/>
      <c r="M3852" s="1077"/>
      <c r="N3852" s="930">
        <f>50.4*10</f>
        <v>504</v>
      </c>
    </row>
    <row r="3853" spans="5:14">
      <c r="E3853" s="1077"/>
      <c r="F3853" s="1077"/>
      <c r="G3853" s="1077"/>
      <c r="H3853" s="1077" t="s">
        <v>2772</v>
      </c>
      <c r="I3853" s="1077"/>
      <c r="J3853" s="1077"/>
      <c r="K3853" s="1086">
        <f>10*17.25</f>
        <v>172.5</v>
      </c>
      <c r="L3853" s="1077"/>
      <c r="M3853" s="1077"/>
    </row>
    <row r="3854" spans="5:14">
      <c r="E3854" s="1077"/>
      <c r="F3854" s="1077"/>
      <c r="G3854" s="1077"/>
      <c r="H3854" s="1077" t="s">
        <v>2367</v>
      </c>
      <c r="I3854" s="1077"/>
      <c r="J3854" s="1077"/>
      <c r="K3854" s="1086">
        <f>20.1*10</f>
        <v>201</v>
      </c>
      <c r="L3854" s="1077"/>
      <c r="M3854" s="1077"/>
    </row>
    <row r="3855" spans="5:14">
      <c r="E3855" s="1077"/>
      <c r="F3855" s="1077"/>
      <c r="G3855" s="1077"/>
      <c r="H3855" s="1077" t="s">
        <v>1557</v>
      </c>
      <c r="I3855" s="1077"/>
      <c r="J3855" s="1077"/>
      <c r="K3855" s="1077">
        <v>16.41</v>
      </c>
      <c r="L3855" s="1077"/>
      <c r="M3855" s="1077"/>
    </row>
    <row r="3856" spans="5:14">
      <c r="E3856" s="1077"/>
      <c r="F3856" s="1077"/>
      <c r="G3856" s="1077"/>
      <c r="H3856" s="1081" t="s">
        <v>2355</v>
      </c>
      <c r="I3856" s="1077"/>
      <c r="J3856" s="1077"/>
      <c r="K3856" s="1088">
        <f>(K3848-K3849-K3850-K3851)+(K3852+K3853+K3854+K3855)</f>
        <v>9537.7900000000009</v>
      </c>
      <c r="L3856" s="1077"/>
      <c r="M3856" s="1077"/>
      <c r="N3856" s="930">
        <f>17.25*10</f>
        <v>172.5</v>
      </c>
    </row>
    <row r="3857" spans="5:13">
      <c r="E3857" s="1077"/>
      <c r="F3857" s="1077"/>
      <c r="G3857" s="1077"/>
      <c r="H3857" s="1082" t="s">
        <v>2368</v>
      </c>
      <c r="I3857" s="1077"/>
      <c r="J3857" s="1077"/>
      <c r="K3857" s="1079">
        <f>K3856/10</f>
        <v>953.78</v>
      </c>
      <c r="L3857" s="1077"/>
      <c r="M3857" s="1077"/>
    </row>
    <row r="3858" spans="5:13">
      <c r="E3858" s="1077"/>
      <c r="F3858" s="1077"/>
      <c r="G3858" s="1077"/>
      <c r="H3858" s="1077"/>
      <c r="I3858" s="1077"/>
      <c r="J3858" s="1077"/>
      <c r="K3858" s="1077"/>
      <c r="L3858" s="1077"/>
      <c r="M3858" s="1077"/>
    </row>
    <row r="3859" spans="5:13">
      <c r="E3859" s="1077"/>
      <c r="F3859" s="1077"/>
      <c r="G3859" s="1077"/>
      <c r="H3859" s="1077"/>
      <c r="I3859" s="1077"/>
      <c r="J3859" s="1077"/>
      <c r="K3859" s="1077"/>
      <c r="L3859" s="1077"/>
      <c r="M3859" s="1077"/>
    </row>
    <row r="3860" spans="5:13">
      <c r="E3860" s="1077"/>
      <c r="F3860" s="1077"/>
      <c r="G3860" s="1077"/>
      <c r="H3860" s="1077"/>
      <c r="I3860" s="1077"/>
      <c r="J3860" s="1077"/>
      <c r="K3860" s="1077"/>
      <c r="L3860" s="1077"/>
      <c r="M3860" s="1077"/>
    </row>
    <row r="3861" spans="5:13">
      <c r="E3861" s="1077"/>
      <c r="F3861" s="1077"/>
      <c r="G3861" s="1077"/>
      <c r="H3861" s="1077"/>
      <c r="I3861" s="1077"/>
      <c r="J3861" s="1077"/>
      <c r="K3861" s="1077"/>
      <c r="L3861" s="1077"/>
      <c r="M3861" s="1077"/>
    </row>
    <row r="3862" spans="5:13">
      <c r="E3862" s="1077"/>
      <c r="F3862" s="1077"/>
      <c r="G3862" s="1077"/>
      <c r="H3862" s="1077"/>
      <c r="I3862" s="1077"/>
      <c r="J3862" s="1077"/>
      <c r="K3862" s="1077"/>
      <c r="L3862" s="1077"/>
      <c r="M3862" s="1077"/>
    </row>
    <row r="3863" spans="5:13" ht="31.5">
      <c r="E3863" s="1077"/>
      <c r="F3863" s="1077"/>
      <c r="G3863" s="1077"/>
      <c r="H3863" s="1083" t="s">
        <v>2300</v>
      </c>
      <c r="I3863" s="1077"/>
      <c r="J3863" s="1077"/>
      <c r="K3863" s="1077"/>
      <c r="L3863" s="1077"/>
      <c r="M3863" s="1077"/>
    </row>
    <row r="3864" spans="5:13">
      <c r="E3864" s="1077"/>
      <c r="F3864" s="1077"/>
      <c r="G3864" s="1077"/>
      <c r="I3864" s="1077"/>
      <c r="J3864" s="1077"/>
      <c r="K3864" s="1077"/>
      <c r="L3864" s="1077"/>
      <c r="M3864" s="1077"/>
    </row>
    <row r="3865" spans="5:13">
      <c r="E3865" s="1077"/>
      <c r="F3865" s="1077"/>
      <c r="G3865" s="1077"/>
      <c r="I3865" s="1077"/>
      <c r="J3865" s="1077"/>
      <c r="K3865" s="1077"/>
      <c r="L3865" s="1077"/>
      <c r="M3865" s="1077"/>
    </row>
    <row r="3866" spans="5:13">
      <c r="E3866" s="1077"/>
      <c r="F3866" s="1077"/>
      <c r="G3866" s="1077"/>
      <c r="I3866" s="1077"/>
      <c r="J3866" s="1077"/>
      <c r="K3866" s="1077"/>
      <c r="L3866" s="1077"/>
      <c r="M3866" s="1077"/>
    </row>
    <row r="3867" spans="5:13">
      <c r="E3867" s="1077"/>
      <c r="F3867" s="1077"/>
      <c r="G3867" s="1077"/>
      <c r="I3867" s="1077"/>
      <c r="J3867" s="1077"/>
      <c r="K3867" s="1077"/>
      <c r="L3867" s="1077"/>
      <c r="M3867" s="1077"/>
    </row>
    <row r="3868" spans="5:13" ht="173.25">
      <c r="E3868" s="1077"/>
      <c r="F3868" s="1077"/>
      <c r="G3868" s="1077"/>
      <c r="H3868" s="1076" t="s">
        <v>2304</v>
      </c>
      <c r="I3868" s="1077"/>
      <c r="J3868" s="1077"/>
      <c r="K3868" s="1077"/>
      <c r="L3868" s="1077"/>
      <c r="M3868" s="1077"/>
    </row>
    <row r="3869" spans="5:13">
      <c r="E3869" s="1077"/>
      <c r="F3869" s="1077"/>
      <c r="G3869" s="1077"/>
      <c r="H3869" s="1077"/>
      <c r="I3869" s="1077"/>
      <c r="J3869" s="1077"/>
      <c r="K3869" s="1077"/>
      <c r="L3869" s="1077"/>
      <c r="M3869" s="1077"/>
    </row>
    <row r="3870" spans="5:13">
      <c r="E3870" s="1077"/>
      <c r="F3870" s="1077"/>
      <c r="G3870" s="1077"/>
      <c r="H3870" s="1077"/>
      <c r="I3870" s="1077"/>
      <c r="J3870" s="1077"/>
      <c r="K3870" s="1077"/>
      <c r="L3870" s="1077"/>
      <c r="M3870" s="1077"/>
    </row>
    <row r="3871" spans="5:13">
      <c r="E3871" s="1077"/>
      <c r="F3871" s="1077"/>
      <c r="G3871" s="1077"/>
      <c r="H3871" s="1077"/>
      <c r="I3871" s="1077"/>
      <c r="J3871" s="1077"/>
      <c r="K3871" s="1077"/>
      <c r="L3871" s="1077"/>
      <c r="M3871" s="1077"/>
    </row>
    <row r="3872" spans="5:13">
      <c r="E3872" s="1077"/>
      <c r="F3872" s="1077"/>
      <c r="G3872" s="1077"/>
      <c r="H3872" s="1077" t="s">
        <v>2351</v>
      </c>
      <c r="I3872" s="1077"/>
      <c r="J3872" s="1077"/>
      <c r="K3872" s="1077">
        <f>K3814</f>
        <v>9002.0499999999993</v>
      </c>
      <c r="L3872" s="1077"/>
      <c r="M3872" s="1077"/>
    </row>
    <row r="3873" spans="5:13">
      <c r="E3873" s="1077"/>
      <c r="F3873" s="1077"/>
      <c r="G3873" s="1077"/>
      <c r="H3873" s="1077" t="s">
        <v>2773</v>
      </c>
      <c r="I3873" s="1077"/>
      <c r="J3873" s="1077"/>
      <c r="K3873" s="1077">
        <f>K3807</f>
        <v>167</v>
      </c>
      <c r="L3873" s="1077"/>
      <c r="M3873" s="1077"/>
    </row>
    <row r="3874" spans="5:13">
      <c r="E3874" s="1077"/>
      <c r="F3874" s="1077"/>
      <c r="G3874" s="1077"/>
      <c r="H3874" s="1077" t="s">
        <v>2774</v>
      </c>
      <c r="I3874" s="1077"/>
      <c r="J3874" s="1077"/>
      <c r="K3874" s="1077">
        <f>K3809</f>
        <v>66.099999999999994</v>
      </c>
      <c r="L3874" s="1077"/>
      <c r="M3874" s="1077"/>
    </row>
    <row r="3875" spans="5:13">
      <c r="E3875" s="1077"/>
      <c r="F3875" s="1077"/>
      <c r="G3875" s="1077"/>
      <c r="H3875" s="1077" t="s">
        <v>2775</v>
      </c>
      <c r="I3875" s="1077"/>
      <c r="J3875" s="1077"/>
      <c r="K3875" s="1086">
        <f>84.2*10</f>
        <v>842</v>
      </c>
      <c r="L3875" s="1077"/>
      <c r="M3875" s="1077"/>
    </row>
    <row r="3876" spans="5:13">
      <c r="E3876" s="1077"/>
      <c r="F3876" s="1077"/>
      <c r="G3876" s="1077"/>
      <c r="H3876" s="1077" t="s">
        <v>2776</v>
      </c>
      <c r="I3876" s="1077"/>
      <c r="J3876" s="1077"/>
      <c r="K3876" s="1086">
        <f>0.6*685</f>
        <v>411</v>
      </c>
      <c r="L3876" s="1077"/>
      <c r="M3876" s="1077"/>
    </row>
    <row r="3877" spans="5:13">
      <c r="E3877" s="1077"/>
      <c r="F3877" s="1077"/>
      <c r="G3877" s="1077"/>
      <c r="H3877" s="1077" t="s">
        <v>2777</v>
      </c>
      <c r="I3877" s="1077"/>
      <c r="J3877" s="1077"/>
      <c r="K3877" s="1077">
        <v>12.5</v>
      </c>
      <c r="L3877" s="1077"/>
      <c r="M3877" s="1077"/>
    </row>
    <row r="3878" spans="5:13">
      <c r="E3878" s="1077"/>
      <c r="F3878" s="1077"/>
      <c r="G3878" s="1077"/>
      <c r="H3878" s="1081" t="s">
        <v>2355</v>
      </c>
      <c r="I3878" s="1077"/>
      <c r="J3878" s="1077"/>
      <c r="K3878" s="1088">
        <f>K3872-K3873-K3874+K3875+K3876+K3877</f>
        <v>10034.450000000001</v>
      </c>
      <c r="L3878" s="1077"/>
      <c r="M3878" s="1077"/>
    </row>
    <row r="3879" spans="5:13">
      <c r="E3879" s="1077"/>
      <c r="F3879" s="1077"/>
      <c r="G3879" s="1077"/>
      <c r="H3879" s="1082" t="s">
        <v>2356</v>
      </c>
      <c r="I3879" s="1077"/>
      <c r="J3879" s="1077"/>
      <c r="K3879" s="1079">
        <f>K3878/10</f>
        <v>1003.45</v>
      </c>
      <c r="L3879" s="1077"/>
      <c r="M3879" s="1077"/>
    </row>
    <row r="3880" spans="5:13">
      <c r="E3880" s="1077"/>
      <c r="F3880" s="1077"/>
      <c r="G3880" s="1077"/>
      <c r="H3880" s="1077"/>
      <c r="I3880" s="1077"/>
      <c r="J3880" s="1077"/>
      <c r="K3880" s="1077"/>
      <c r="L3880" s="1077"/>
      <c r="M3880" s="1077"/>
    </row>
    <row r="3881" spans="5:13">
      <c r="E3881" s="1077"/>
      <c r="F3881" s="1077"/>
      <c r="G3881" s="1077"/>
      <c r="H3881" s="1077"/>
      <c r="I3881" s="1077"/>
      <c r="J3881" s="1077"/>
      <c r="K3881" s="1077"/>
      <c r="L3881" s="1077"/>
      <c r="M3881" s="1077"/>
    </row>
    <row r="3882" spans="5:13">
      <c r="E3882" s="1077"/>
      <c r="F3882" s="1077"/>
      <c r="G3882" s="1077"/>
      <c r="H3882" s="1077"/>
      <c r="I3882" s="1077"/>
      <c r="J3882" s="1077"/>
      <c r="K3882" s="1077"/>
      <c r="L3882" s="1077"/>
      <c r="M3882" s="1077"/>
    </row>
    <row r="3883" spans="5:13" ht="31.5">
      <c r="E3883" s="1077"/>
      <c r="F3883" s="1077"/>
      <c r="G3883" s="1077"/>
      <c r="H3883" s="1083" t="s">
        <v>2778</v>
      </c>
      <c r="I3883" s="1077"/>
      <c r="J3883" s="1077"/>
      <c r="K3883" s="1077"/>
      <c r="L3883" s="1077"/>
      <c r="M3883" s="1077"/>
    </row>
    <row r="3884" spans="5:13" ht="189" customHeight="1">
      <c r="E3884" s="1077"/>
      <c r="F3884" s="1077"/>
      <c r="G3884" s="1077"/>
      <c r="H3884" s="1076" t="s">
        <v>2779</v>
      </c>
      <c r="I3884" s="1077"/>
      <c r="J3884" s="1077"/>
      <c r="K3884" s="1077"/>
      <c r="L3884" s="1077"/>
      <c r="M3884" s="1077"/>
    </row>
    <row r="3885" spans="5:13" ht="31.5">
      <c r="E3885" s="1077"/>
      <c r="F3885" s="1077">
        <v>90</v>
      </c>
      <c r="G3885" s="1077" t="s">
        <v>13</v>
      </c>
      <c r="H3885" s="989" t="s">
        <v>2311</v>
      </c>
      <c r="I3885" s="1077">
        <f>I3049</f>
        <v>16.55</v>
      </c>
      <c r="J3885" s="1077" t="s">
        <v>2306</v>
      </c>
      <c r="K3885" s="1077">
        <f t="shared" ref="K3885:K3895" si="106">F3885*I3885</f>
        <v>1489.5</v>
      </c>
      <c r="L3885" s="1077"/>
      <c r="M3885" s="1077"/>
    </row>
    <row r="3886" spans="5:13" ht="31.5">
      <c r="E3886" s="1077"/>
      <c r="F3886" s="1077">
        <v>30</v>
      </c>
      <c r="G3886" s="1077" t="s">
        <v>13</v>
      </c>
      <c r="H3886" s="1076" t="s">
        <v>2313</v>
      </c>
      <c r="I3886" s="1077">
        <f>I3050</f>
        <v>20</v>
      </c>
      <c r="J3886" s="1077" t="s">
        <v>13</v>
      </c>
      <c r="K3886" s="1077">
        <f t="shared" si="106"/>
        <v>600</v>
      </c>
      <c r="L3886" s="1077"/>
      <c r="M3886" s="1077"/>
    </row>
    <row r="3887" spans="5:13">
      <c r="E3887" s="1077"/>
      <c r="F3887" s="1077">
        <v>10</v>
      </c>
      <c r="G3887" s="1077" t="s">
        <v>1034</v>
      </c>
      <c r="H3887" s="1077" t="s">
        <v>2317</v>
      </c>
      <c r="I3887" s="1077">
        <f>I3051</f>
        <v>3.15</v>
      </c>
      <c r="J3887" s="1077" t="s">
        <v>1034</v>
      </c>
      <c r="K3887" s="1077">
        <f t="shared" si="106"/>
        <v>31.5</v>
      </c>
      <c r="L3887" s="1077"/>
      <c r="M3887" s="1077"/>
    </row>
    <row r="3888" spans="5:13">
      <c r="E3888" s="1077"/>
      <c r="F3888" s="1077">
        <v>5</v>
      </c>
      <c r="G3888" s="1077" t="s">
        <v>1034</v>
      </c>
      <c r="H3888" s="1077" t="s">
        <v>2319</v>
      </c>
      <c r="I3888" s="1077">
        <f>I3052</f>
        <v>1.34</v>
      </c>
      <c r="J3888" s="1077" t="s">
        <v>1034</v>
      </c>
      <c r="K3888" s="1077">
        <f t="shared" si="106"/>
        <v>6.7</v>
      </c>
      <c r="L3888" s="1077"/>
      <c r="M3888" s="1077"/>
    </row>
    <row r="3889" spans="5:13">
      <c r="E3889" s="1077"/>
      <c r="F3889" s="1077">
        <v>10</v>
      </c>
      <c r="G3889" s="1077" t="s">
        <v>1034</v>
      </c>
      <c r="H3889" s="1077" t="s">
        <v>2421</v>
      </c>
      <c r="I3889" s="1077">
        <f>I3053</f>
        <v>19.75</v>
      </c>
      <c r="J3889" s="1077" t="s">
        <v>1034</v>
      </c>
      <c r="K3889" s="1077">
        <f t="shared" si="106"/>
        <v>197.5</v>
      </c>
      <c r="L3889" s="1077"/>
      <c r="M3889" s="1077"/>
    </row>
    <row r="3890" spans="5:13">
      <c r="E3890" s="1077"/>
      <c r="F3890" s="1077">
        <v>5</v>
      </c>
      <c r="G3890" s="1077" t="s">
        <v>1034</v>
      </c>
      <c r="H3890" s="1077" t="s">
        <v>2780</v>
      </c>
      <c r="I3890" s="1077">
        <v>2.5</v>
      </c>
      <c r="J3890" s="1077" t="s">
        <v>729</v>
      </c>
      <c r="K3890" s="1077">
        <f t="shared" si="106"/>
        <v>12.5</v>
      </c>
      <c r="L3890" s="1077"/>
      <c r="M3890" s="1077"/>
    </row>
    <row r="3891" spans="5:13">
      <c r="E3891" s="1077"/>
      <c r="F3891" s="1077">
        <v>5</v>
      </c>
      <c r="G3891" s="1077" t="s">
        <v>1034</v>
      </c>
      <c r="H3891" s="1077" t="s">
        <v>2325</v>
      </c>
      <c r="I3891" s="1077">
        <f>I3054</f>
        <v>13.8</v>
      </c>
      <c r="J3891" s="1077" t="s">
        <v>1034</v>
      </c>
      <c r="K3891" s="1077">
        <f t="shared" si="106"/>
        <v>69</v>
      </c>
      <c r="L3891" s="1077"/>
      <c r="M3891" s="1077"/>
    </row>
    <row r="3892" spans="5:13">
      <c r="E3892" s="1077"/>
      <c r="F3892" s="1080">
        <v>0.09</v>
      </c>
      <c r="G3892" s="1077" t="s">
        <v>724</v>
      </c>
      <c r="H3892" s="1077" t="s">
        <v>2386</v>
      </c>
      <c r="I3892" s="1077">
        <f>I3057</f>
        <v>661</v>
      </c>
      <c r="J3892" s="1077" t="s">
        <v>724</v>
      </c>
      <c r="K3892" s="1077">
        <f t="shared" si="106"/>
        <v>59.49</v>
      </c>
      <c r="L3892" s="1077"/>
      <c r="M3892" s="1077"/>
    </row>
    <row r="3893" spans="5:13">
      <c r="E3893" s="1077"/>
      <c r="F3893" s="1077">
        <v>1</v>
      </c>
      <c r="G3893" s="1077" t="s">
        <v>2324</v>
      </c>
      <c r="H3893" s="1077" t="s">
        <v>38</v>
      </c>
      <c r="I3893" s="1086">
        <f>6850/20</f>
        <v>342.5</v>
      </c>
      <c r="J3893" s="1077" t="s">
        <v>2324</v>
      </c>
      <c r="K3893" s="1077">
        <f t="shared" si="106"/>
        <v>342.5</v>
      </c>
      <c r="L3893" s="1077"/>
      <c r="M3893" s="1077">
        <f>1000/50</f>
        <v>20</v>
      </c>
    </row>
    <row r="3894" spans="5:13">
      <c r="E3894" s="1077"/>
      <c r="F3894" s="1077">
        <v>6</v>
      </c>
      <c r="G3894" s="1077" t="s">
        <v>1034</v>
      </c>
      <c r="H3894" s="1077" t="s">
        <v>2781</v>
      </c>
      <c r="I3894" s="1086">
        <v>20.100000000000001</v>
      </c>
      <c r="J3894" s="1077" t="s">
        <v>729</v>
      </c>
      <c r="K3894" s="1077">
        <f t="shared" si="106"/>
        <v>120.6</v>
      </c>
      <c r="L3894" s="1077"/>
      <c r="M3894" s="1077"/>
    </row>
    <row r="3895" spans="5:13" ht="31.5">
      <c r="E3895" s="1077"/>
      <c r="F3895" s="1077">
        <v>30</v>
      </c>
      <c r="G3895" s="1077" t="s">
        <v>13</v>
      </c>
      <c r="H3895" s="989" t="s">
        <v>2333</v>
      </c>
      <c r="I3895" s="1077">
        <f>I3885</f>
        <v>16.55</v>
      </c>
      <c r="J3895" s="1077" t="s">
        <v>2306</v>
      </c>
      <c r="K3895" s="1077">
        <f t="shared" si="106"/>
        <v>496.5</v>
      </c>
      <c r="L3895" s="1077"/>
      <c r="M3895" s="1077"/>
    </row>
    <row r="3896" spans="5:13">
      <c r="E3896" s="1077"/>
      <c r="F3896" s="1077"/>
      <c r="G3896" s="1077"/>
      <c r="H3896" s="1077" t="s">
        <v>478</v>
      </c>
      <c r="I3896" s="1077"/>
      <c r="J3896" s="1077"/>
      <c r="K3896" s="1077">
        <f>K3829</f>
        <v>7242</v>
      </c>
      <c r="L3896" s="1077"/>
      <c r="M3896" s="1077"/>
    </row>
    <row r="3897" spans="5:13">
      <c r="E3897" s="1077"/>
      <c r="F3897" s="1077"/>
      <c r="G3897" s="1077"/>
      <c r="H3897" s="1077" t="s">
        <v>1557</v>
      </c>
      <c r="I3897" s="1077"/>
      <c r="J3897" s="1077"/>
      <c r="K3897" s="1077">
        <v>8.3000000000000007</v>
      </c>
      <c r="L3897" s="1077"/>
      <c r="M3897" s="1077"/>
    </row>
    <row r="3898" spans="5:13">
      <c r="E3898" s="1077"/>
      <c r="F3898" s="1077"/>
      <c r="G3898" s="1077"/>
      <c r="H3898" s="1081" t="s">
        <v>2382</v>
      </c>
      <c r="I3898" s="1077"/>
      <c r="J3898" s="1077"/>
      <c r="K3898" s="1088">
        <f>SUM(K3885:K3897)</f>
        <v>10676.09</v>
      </c>
      <c r="L3898" s="1077"/>
      <c r="M3898" s="1077"/>
    </row>
    <row r="3899" spans="5:13">
      <c r="E3899" s="1077"/>
      <c r="F3899" s="1077"/>
      <c r="G3899" s="1077"/>
      <c r="H3899" s="1082" t="s">
        <v>2368</v>
      </c>
      <c r="I3899" s="1077"/>
      <c r="J3899" s="1077"/>
      <c r="K3899" s="1079">
        <f>K3898/5</f>
        <v>2135.2199999999998</v>
      </c>
      <c r="L3899" s="1077"/>
      <c r="M3899" s="1077"/>
    </row>
    <row r="3900" spans="5:13">
      <c r="E3900" s="1077"/>
      <c r="F3900" s="1077"/>
      <c r="G3900" s="1077"/>
      <c r="H3900" s="1079"/>
      <c r="I3900" s="1077"/>
      <c r="J3900" s="1077"/>
      <c r="K3900" s="1077"/>
      <c r="L3900" s="1077"/>
      <c r="M3900" s="1077"/>
    </row>
    <row r="3901" spans="5:13">
      <c r="E3901" s="1077"/>
      <c r="F3901" s="1077"/>
      <c r="G3901" s="1077"/>
      <c r="H3901" s="1079" t="s">
        <v>2782</v>
      </c>
      <c r="I3901" s="1077"/>
      <c r="J3901" s="1077"/>
      <c r="K3901" s="1077"/>
      <c r="L3901" s="1077"/>
      <c r="M3901" s="1077"/>
    </row>
    <row r="3902" spans="5:13">
      <c r="E3902" s="1077"/>
      <c r="F3902" s="1077"/>
      <c r="G3902" s="1077"/>
      <c r="H3902" s="1077"/>
      <c r="I3902" s="1077"/>
      <c r="J3902" s="1077"/>
      <c r="K3902" s="1077"/>
      <c r="L3902" s="1077"/>
      <c r="M3902" s="1077"/>
    </row>
    <row r="3903" spans="5:13" ht="157.5">
      <c r="E3903" s="1077"/>
      <c r="F3903" s="1077"/>
      <c r="G3903" s="1077"/>
      <c r="H3903" s="1076" t="s">
        <v>2385</v>
      </c>
      <c r="I3903" s="1077"/>
      <c r="J3903" s="1077"/>
      <c r="K3903" s="1077"/>
      <c r="L3903" s="1077"/>
      <c r="M3903" s="1077"/>
    </row>
    <row r="3904" spans="5:13" ht="31.5">
      <c r="E3904" s="1077"/>
      <c r="F3904" s="1077">
        <v>90</v>
      </c>
      <c r="G3904" s="1077" t="s">
        <v>13</v>
      </c>
      <c r="H3904" s="989" t="s">
        <v>2311</v>
      </c>
      <c r="I3904" s="1077">
        <f t="shared" ref="I3904:I3914" si="107">I2951</f>
        <v>16.55</v>
      </c>
      <c r="J3904" s="1077" t="s">
        <v>2330</v>
      </c>
      <c r="K3904" s="1077">
        <f t="shared" ref="K3904:K3914" si="108">F3904*I3904</f>
        <v>1489.5</v>
      </c>
      <c r="L3904" s="1077"/>
      <c r="M3904" s="1077"/>
    </row>
    <row r="3905" spans="5:13" ht="31.5">
      <c r="E3905" s="1077"/>
      <c r="F3905" s="1077">
        <v>45</v>
      </c>
      <c r="G3905" s="1077" t="s">
        <v>13</v>
      </c>
      <c r="H3905" s="1076" t="s">
        <v>2313</v>
      </c>
      <c r="I3905" s="1077">
        <f t="shared" si="107"/>
        <v>20</v>
      </c>
      <c r="J3905" s="1077" t="s">
        <v>13</v>
      </c>
      <c r="K3905" s="1077">
        <f t="shared" si="108"/>
        <v>900</v>
      </c>
      <c r="L3905" s="1077"/>
      <c r="M3905" s="1077"/>
    </row>
    <row r="3906" spans="5:13">
      <c r="E3906" s="1077"/>
      <c r="F3906" s="1077">
        <v>20</v>
      </c>
      <c r="G3906" s="1077" t="s">
        <v>1034</v>
      </c>
      <c r="H3906" s="1077" t="s">
        <v>2317</v>
      </c>
      <c r="I3906" s="1077">
        <f t="shared" si="107"/>
        <v>3.15</v>
      </c>
      <c r="J3906" s="1077" t="s">
        <v>2315</v>
      </c>
      <c r="K3906" s="1077">
        <f t="shared" si="108"/>
        <v>63</v>
      </c>
      <c r="L3906" s="1077"/>
      <c r="M3906" s="1077"/>
    </row>
    <row r="3907" spans="5:13">
      <c r="E3907" s="1077"/>
      <c r="F3907" s="1077">
        <v>10</v>
      </c>
      <c r="G3907" s="1077" t="s">
        <v>1034</v>
      </c>
      <c r="H3907" s="1077" t="s">
        <v>2319</v>
      </c>
      <c r="I3907" s="1077">
        <f t="shared" si="107"/>
        <v>1.34</v>
      </c>
      <c r="J3907" s="1077" t="s">
        <v>2315</v>
      </c>
      <c r="K3907" s="1077">
        <f t="shared" si="108"/>
        <v>13.4</v>
      </c>
      <c r="L3907" s="1077"/>
      <c r="M3907" s="1077"/>
    </row>
    <row r="3908" spans="5:13" s="929" customFormat="1">
      <c r="E3908" s="1104"/>
      <c r="F3908" s="1131">
        <v>1</v>
      </c>
      <c r="G3908" s="1131" t="s">
        <v>1034</v>
      </c>
      <c r="H3908" s="1079" t="s">
        <v>2312</v>
      </c>
      <c r="I3908" s="1131">
        <f t="shared" si="107"/>
        <v>58</v>
      </c>
      <c r="J3908" s="1131" t="s">
        <v>1034</v>
      </c>
      <c r="K3908" s="1131">
        <f t="shared" si="108"/>
        <v>58</v>
      </c>
      <c r="L3908" s="1104"/>
      <c r="M3908" s="1104"/>
    </row>
    <row r="3909" spans="5:13">
      <c r="E3909" s="1077"/>
      <c r="F3909" s="1080">
        <v>1.4999999999999999E-2</v>
      </c>
      <c r="G3909" s="1077" t="s">
        <v>724</v>
      </c>
      <c r="H3909" s="1077" t="s">
        <v>2386</v>
      </c>
      <c r="I3909" s="1077">
        <f t="shared" si="107"/>
        <v>661</v>
      </c>
      <c r="J3909" s="1077" t="s">
        <v>724</v>
      </c>
      <c r="K3909" s="1077">
        <f t="shared" si="108"/>
        <v>9.92</v>
      </c>
      <c r="L3909" s="1077"/>
      <c r="M3909" s="1077"/>
    </row>
    <row r="3910" spans="5:13">
      <c r="E3910" s="1077"/>
      <c r="F3910" s="1077">
        <v>15</v>
      </c>
      <c r="G3910" s="1077" t="s">
        <v>1034</v>
      </c>
      <c r="H3910" s="1077" t="s">
        <v>2783</v>
      </c>
      <c r="I3910" s="1077">
        <f t="shared" si="107"/>
        <v>40.31</v>
      </c>
      <c r="J3910" s="1077" t="s">
        <v>1034</v>
      </c>
      <c r="K3910" s="1077">
        <f t="shared" si="108"/>
        <v>604.65</v>
      </c>
      <c r="L3910" s="1077"/>
      <c r="M3910" s="1077"/>
    </row>
    <row r="3911" spans="5:13">
      <c r="E3911" s="1077"/>
      <c r="F3911" s="1086">
        <v>15</v>
      </c>
      <c r="G3911" s="1086" t="s">
        <v>1034</v>
      </c>
      <c r="H3911" s="1086" t="str">
        <f>H3908</f>
        <v>6" PVC Electrical Box (150mm)</v>
      </c>
      <c r="I3911" s="1132">
        <f>I3908</f>
        <v>58</v>
      </c>
      <c r="J3911" s="1086" t="s">
        <v>1034</v>
      </c>
      <c r="K3911" s="1086">
        <f t="shared" si="108"/>
        <v>870</v>
      </c>
      <c r="L3911" s="1077"/>
      <c r="M3911" s="1077"/>
    </row>
    <row r="3912" spans="5:13">
      <c r="E3912" s="1077"/>
      <c r="F3912" s="1080">
        <v>0.22500000000000001</v>
      </c>
      <c r="G3912" s="1077" t="s">
        <v>724</v>
      </c>
      <c r="H3912" s="1077" t="s">
        <v>2386</v>
      </c>
      <c r="I3912" s="1077">
        <f t="shared" si="107"/>
        <v>661</v>
      </c>
      <c r="J3912" s="1077" t="s">
        <v>2388</v>
      </c>
      <c r="K3912" s="1077">
        <f t="shared" si="108"/>
        <v>148.72999999999999</v>
      </c>
      <c r="L3912" s="1077"/>
      <c r="M3912" s="1077"/>
    </row>
    <row r="3913" spans="5:13">
      <c r="E3913" s="1077"/>
      <c r="F3913" s="1077">
        <v>1.25</v>
      </c>
      <c r="G3913" s="1077" t="s">
        <v>2324</v>
      </c>
      <c r="H3913" s="1077" t="s">
        <v>38</v>
      </c>
      <c r="I3913" s="1077">
        <f t="shared" si="107"/>
        <v>302</v>
      </c>
      <c r="J3913" s="1077" t="s">
        <v>2324</v>
      </c>
      <c r="K3913" s="1077">
        <f t="shared" si="108"/>
        <v>377.5</v>
      </c>
      <c r="L3913" s="1077"/>
      <c r="M3913" s="1077"/>
    </row>
    <row r="3914" spans="5:13" ht="31.5">
      <c r="E3914" s="1077"/>
      <c r="F3914" s="1077">
        <v>45</v>
      </c>
      <c r="G3914" s="1077" t="s">
        <v>724</v>
      </c>
      <c r="H3914" s="989" t="s">
        <v>2333</v>
      </c>
      <c r="I3914" s="1077">
        <f t="shared" si="107"/>
        <v>16.55</v>
      </c>
      <c r="J3914" s="1077" t="s">
        <v>2330</v>
      </c>
      <c r="K3914" s="1077">
        <f t="shared" si="108"/>
        <v>744.75</v>
      </c>
      <c r="L3914" s="1077"/>
      <c r="M3914" s="1077"/>
    </row>
    <row r="3915" spans="5:13">
      <c r="E3915" s="1077"/>
      <c r="F3915" s="1077"/>
      <c r="G3915" s="1077"/>
      <c r="H3915" s="1077" t="s">
        <v>478</v>
      </c>
      <c r="I3915" s="1077"/>
      <c r="J3915" s="1077"/>
      <c r="K3915" s="1077">
        <f>K3831</f>
        <v>4828</v>
      </c>
      <c r="L3915" s="1077"/>
      <c r="M3915" s="1077"/>
    </row>
    <row r="3916" spans="5:13">
      <c r="E3916" s="1077"/>
      <c r="F3916" s="1077"/>
      <c r="G3916" s="1077"/>
      <c r="H3916" s="1077" t="s">
        <v>1557</v>
      </c>
      <c r="I3916" s="1077"/>
      <c r="J3916" s="1077"/>
      <c r="K3916" s="1077">
        <v>30.66</v>
      </c>
      <c r="L3916" s="1077"/>
      <c r="M3916" s="1077"/>
    </row>
    <row r="3917" spans="5:13">
      <c r="E3917" s="1077"/>
      <c r="F3917" s="1077"/>
      <c r="G3917" s="1077"/>
      <c r="H3917" s="1081" t="s">
        <v>2389</v>
      </c>
      <c r="I3917" s="1077"/>
      <c r="J3917" s="1077"/>
      <c r="K3917" s="1088">
        <f>SUM(K3904:K3916)</f>
        <v>10138.11</v>
      </c>
      <c r="L3917" s="1077"/>
      <c r="M3917" s="1077"/>
    </row>
    <row r="3918" spans="5:13">
      <c r="E3918" s="1077"/>
      <c r="F3918" s="1077"/>
      <c r="G3918" s="1077"/>
      <c r="H3918" s="1082" t="s">
        <v>2368</v>
      </c>
      <c r="I3918" s="1077"/>
      <c r="J3918" s="1077"/>
      <c r="K3918" s="1079">
        <f>K3917/15</f>
        <v>675.87</v>
      </c>
      <c r="L3918" s="1077">
        <f>537*15</f>
        <v>8055</v>
      </c>
      <c r="M3918" s="1077"/>
    </row>
    <row r="3919" spans="5:13">
      <c r="E3919" s="1077"/>
      <c r="F3919" s="1077"/>
      <c r="G3919" s="1077"/>
      <c r="H3919" s="1079" t="s">
        <v>478</v>
      </c>
      <c r="I3919" s="1077"/>
      <c r="J3919" s="1077"/>
      <c r="K3919" s="1079"/>
      <c r="L3919" s="1077">
        <f>L3918-K3917</f>
        <v>-2083.11</v>
      </c>
      <c r="M3919" s="1077"/>
    </row>
    <row r="3920" spans="5:13">
      <c r="E3920" s="1077"/>
      <c r="F3920" s="1077">
        <v>1</v>
      </c>
      <c r="G3920" s="1077" t="s">
        <v>1034</v>
      </c>
      <c r="H3920" s="1077" t="s">
        <v>2340</v>
      </c>
      <c r="I3920" s="1077">
        <f>I2866</f>
        <v>898</v>
      </c>
      <c r="J3920" s="1077" t="s">
        <v>1034</v>
      </c>
      <c r="K3920" s="1077">
        <f>F3920*I3920</f>
        <v>898</v>
      </c>
      <c r="L3920" s="1077"/>
      <c r="M3920" s="1077"/>
    </row>
    <row r="3921" spans="5:13">
      <c r="E3921" s="1077"/>
      <c r="F3921" s="1077">
        <v>2</v>
      </c>
      <c r="G3921" s="1077" t="s">
        <v>1034</v>
      </c>
      <c r="H3921" s="1077" t="s">
        <v>2341</v>
      </c>
      <c r="I3921" s="1077">
        <f>I2867</f>
        <v>783</v>
      </c>
      <c r="J3921" s="1077" t="s">
        <v>1034</v>
      </c>
      <c r="K3921" s="1077">
        <f>F3921*I3921</f>
        <v>1566</v>
      </c>
      <c r="L3921" s="1077"/>
      <c r="M3921" s="1077"/>
    </row>
    <row r="3922" spans="5:13">
      <c r="E3922" s="1077"/>
      <c r="F3922" s="1077">
        <v>3</v>
      </c>
      <c r="G3922" s="1077" t="s">
        <v>1034</v>
      </c>
      <c r="H3922" s="1077" t="s">
        <v>2342</v>
      </c>
      <c r="I3922" s="1077">
        <f>I2868</f>
        <v>778</v>
      </c>
      <c r="J3922" s="1077" t="s">
        <v>1034</v>
      </c>
      <c r="K3922" s="1077">
        <f>F3922*I3922</f>
        <v>2334</v>
      </c>
      <c r="L3922" s="1077"/>
      <c r="M3922" s="1077"/>
    </row>
    <row r="3923" spans="5:13">
      <c r="E3923" s="1077"/>
      <c r="F3923" s="1077">
        <v>4</v>
      </c>
      <c r="G3923" s="1077" t="s">
        <v>1034</v>
      </c>
      <c r="H3923" s="1077" t="s">
        <v>2166</v>
      </c>
      <c r="I3923" s="1077">
        <f>I2869</f>
        <v>611</v>
      </c>
      <c r="J3923" s="1077" t="s">
        <v>1034</v>
      </c>
      <c r="K3923" s="1077">
        <f>F3923*I3923</f>
        <v>2444</v>
      </c>
      <c r="L3923" s="1077"/>
      <c r="M3923" s="1077"/>
    </row>
    <row r="3924" spans="5:13">
      <c r="E3924" s="1077"/>
      <c r="F3924" s="1077"/>
      <c r="G3924" s="1077"/>
      <c r="H3924" s="1082"/>
      <c r="I3924" s="1077"/>
      <c r="J3924" s="1077"/>
      <c r="K3924" s="1079">
        <f>SUM(K3920:K3923)</f>
        <v>7242</v>
      </c>
      <c r="L3924" s="1077"/>
      <c r="M3924" s="1077"/>
    </row>
    <row r="3925" spans="5:13">
      <c r="E3925" s="1077"/>
      <c r="F3925" s="1077"/>
      <c r="G3925" s="1077"/>
      <c r="H3925" s="1082"/>
      <c r="I3925" s="1077"/>
      <c r="J3925" s="1077"/>
      <c r="K3925" s="1079"/>
      <c r="L3925" s="1077"/>
      <c r="M3925" s="1077"/>
    </row>
    <row r="3926" spans="5:13">
      <c r="E3926" s="1077"/>
      <c r="F3926" s="1077"/>
      <c r="G3926" s="1077"/>
      <c r="H3926" s="1082"/>
      <c r="I3926" s="1077"/>
      <c r="J3926" s="1077"/>
      <c r="K3926" s="1079"/>
      <c r="L3926" s="1077"/>
      <c r="M3926" s="1077"/>
    </row>
    <row r="3927" spans="5:13">
      <c r="E3927" s="1077"/>
      <c r="F3927" s="1077"/>
      <c r="G3927" s="1077"/>
      <c r="H3927" s="1079" t="s">
        <v>2426</v>
      </c>
      <c r="I3927" s="1077"/>
      <c r="J3927" s="1077"/>
      <c r="K3927" s="1077"/>
      <c r="L3927" s="1077"/>
      <c r="M3927" s="1077"/>
    </row>
    <row r="3928" spans="5:13">
      <c r="E3928" s="1077"/>
      <c r="F3928" s="1077"/>
      <c r="G3928" s="1077"/>
      <c r="H3928" s="1077"/>
      <c r="I3928" s="1077"/>
      <c r="J3928" s="1077"/>
      <c r="K3928" s="1077"/>
      <c r="L3928" s="1077"/>
      <c r="M3928" s="1077"/>
    </row>
    <row r="3929" spans="5:13" ht="110.25">
      <c r="E3929" s="1077"/>
      <c r="F3929" s="1077"/>
      <c r="G3929" s="1077"/>
      <c r="H3929" s="1076" t="s">
        <v>2784</v>
      </c>
      <c r="I3929" s="1077"/>
      <c r="J3929" s="1077"/>
      <c r="K3929" s="1077"/>
      <c r="L3929" s="1077"/>
      <c r="M3929" s="1077"/>
    </row>
    <row r="3930" spans="5:13">
      <c r="E3930" s="1077"/>
      <c r="F3930" s="1077"/>
      <c r="G3930" s="1077"/>
      <c r="H3930" s="1077"/>
      <c r="I3930" s="1077"/>
      <c r="J3930" s="1077"/>
      <c r="K3930" s="1077"/>
      <c r="L3930" s="1077"/>
      <c r="M3930" s="1077"/>
    </row>
    <row r="3931" spans="5:13" ht="31.5">
      <c r="E3931" s="1077"/>
      <c r="F3931" s="1077">
        <v>180</v>
      </c>
      <c r="G3931" s="1077" t="s">
        <v>13</v>
      </c>
      <c r="H3931" s="989" t="s">
        <v>2311</v>
      </c>
      <c r="I3931" s="1077">
        <f>I3072</f>
        <v>16.55</v>
      </c>
      <c r="J3931" s="1077" t="s">
        <v>13</v>
      </c>
      <c r="K3931" s="1077">
        <f>I3931*F3931</f>
        <v>2979</v>
      </c>
      <c r="L3931" s="1077"/>
      <c r="M3931" s="1077"/>
    </row>
    <row r="3932" spans="5:13" ht="31.5">
      <c r="E3932" s="1077"/>
      <c r="F3932" s="1077">
        <v>90</v>
      </c>
      <c r="G3932" s="1077" t="s">
        <v>13</v>
      </c>
      <c r="H3932" s="1076" t="s">
        <v>2313</v>
      </c>
      <c r="I3932" s="1077">
        <f>I3073</f>
        <v>20</v>
      </c>
      <c r="J3932" s="1077" t="s">
        <v>13</v>
      </c>
      <c r="K3932" s="1077">
        <f>I3932*F3932</f>
        <v>1800</v>
      </c>
      <c r="L3932" s="1077"/>
      <c r="M3932" s="1077"/>
    </row>
    <row r="3933" spans="5:13">
      <c r="E3933" s="1077"/>
      <c r="F3933" s="1077">
        <v>1</v>
      </c>
      <c r="G3933" s="1077" t="s">
        <v>2785</v>
      </c>
      <c r="H3933" s="1076" t="s">
        <v>2786</v>
      </c>
      <c r="I3933" s="1086">
        <f>Elec.Data!I1112</f>
        <v>287</v>
      </c>
      <c r="J3933" s="1077" t="s">
        <v>2785</v>
      </c>
      <c r="K3933" s="1077">
        <f>I3933*F3933</f>
        <v>287</v>
      </c>
      <c r="L3933" s="1077"/>
      <c r="M3933" s="1077"/>
    </row>
    <row r="3934" spans="5:13">
      <c r="E3934" s="1077"/>
      <c r="F3934" s="1077">
        <v>300</v>
      </c>
      <c r="G3934" s="1077" t="s">
        <v>41</v>
      </c>
      <c r="H3934" s="1076" t="s">
        <v>2787</v>
      </c>
      <c r="I3934" s="1086">
        <f>Elec.Data!I1113</f>
        <v>68.8</v>
      </c>
      <c r="J3934" s="1077" t="s">
        <v>2788</v>
      </c>
      <c r="K3934" s="1077">
        <f>(I3934*F3934)/1000</f>
        <v>20.64</v>
      </c>
      <c r="L3934" s="1077"/>
      <c r="M3934" s="1077"/>
    </row>
    <row r="3935" spans="5:13">
      <c r="E3935" s="1077"/>
      <c r="F3935" s="1077">
        <v>2</v>
      </c>
      <c r="G3935" s="1077" t="s">
        <v>2327</v>
      </c>
      <c r="H3935" s="1076" t="s">
        <v>2789</v>
      </c>
      <c r="I3935" s="1077">
        <f>I3804</f>
        <v>84.1</v>
      </c>
      <c r="J3935" s="1077" t="s">
        <v>2785</v>
      </c>
      <c r="K3935" s="1077">
        <f>I3935*F3935</f>
        <v>168.2</v>
      </c>
      <c r="L3935" s="1077"/>
      <c r="M3935" s="1077"/>
    </row>
    <row r="3936" spans="5:13">
      <c r="E3936" s="1077"/>
      <c r="F3936" s="1077">
        <v>0.33</v>
      </c>
      <c r="G3936" s="1077" t="s">
        <v>2324</v>
      </c>
      <c r="H3936" s="1077" t="s">
        <v>38</v>
      </c>
      <c r="I3936" s="1077">
        <f>I3074</f>
        <v>302</v>
      </c>
      <c r="J3936" s="1077" t="s">
        <v>2324</v>
      </c>
      <c r="K3936" s="1077">
        <f>I3936*F3936</f>
        <v>99.66</v>
      </c>
      <c r="L3936" s="1077"/>
      <c r="M3936" s="1077"/>
    </row>
    <row r="3937" spans="5:13" ht="31.5">
      <c r="E3937" s="1077"/>
      <c r="F3937" s="1077">
        <v>90</v>
      </c>
      <c r="G3937" s="1077" t="s">
        <v>13</v>
      </c>
      <c r="H3937" s="989" t="s">
        <v>2333</v>
      </c>
      <c r="I3937" s="1077">
        <f>I3075</f>
        <v>16.55</v>
      </c>
      <c r="J3937" s="1077" t="s">
        <v>2306</v>
      </c>
      <c r="K3937" s="1077">
        <f>I3937*F3937</f>
        <v>1489.5</v>
      </c>
      <c r="L3937" s="1077"/>
      <c r="M3937" s="1077"/>
    </row>
    <row r="3938" spans="5:13">
      <c r="E3938" s="1077"/>
      <c r="F3938" s="1162" t="s">
        <v>2790</v>
      </c>
      <c r="G3938" s="1077"/>
      <c r="H3938" s="1077" t="s">
        <v>478</v>
      </c>
      <c r="I3938" s="1077">
        <f>K3924</f>
        <v>7242</v>
      </c>
      <c r="J3938" s="1077"/>
      <c r="K3938" s="1077">
        <f>2/3*I3938</f>
        <v>4828</v>
      </c>
      <c r="L3938" s="1077"/>
      <c r="M3938" s="1077"/>
    </row>
    <row r="3939" spans="5:13">
      <c r="E3939" s="1077"/>
      <c r="F3939" s="1077"/>
      <c r="G3939" s="1077"/>
      <c r="H3939" s="1077"/>
      <c r="I3939" s="1077"/>
      <c r="J3939" s="1077"/>
      <c r="K3939" s="1077">
        <f>SUM(K3931:K3938)</f>
        <v>11672</v>
      </c>
      <c r="L3939" s="1077"/>
      <c r="M3939" s="1077"/>
    </row>
    <row r="3940" spans="5:13">
      <c r="E3940" s="1077"/>
      <c r="F3940" s="1077"/>
      <c r="G3940" s="1077"/>
      <c r="H3940" s="1077" t="s">
        <v>1557</v>
      </c>
      <c r="I3940" s="1077"/>
      <c r="J3940" s="1077"/>
      <c r="K3940" s="1077">
        <v>52.28</v>
      </c>
      <c r="L3940" s="1077"/>
      <c r="M3940" s="1077"/>
    </row>
    <row r="3941" spans="5:13">
      <c r="E3941" s="1077"/>
      <c r="F3941" s="1077"/>
      <c r="G3941" s="1077"/>
      <c r="H3941" s="1081" t="s">
        <v>2432</v>
      </c>
      <c r="I3941" s="1077"/>
      <c r="J3941" s="1077"/>
      <c r="K3941" s="1088">
        <f>SUM(K3939:K3940)</f>
        <v>11724.28</v>
      </c>
      <c r="L3941" s="1077"/>
      <c r="M3941" s="1077"/>
    </row>
    <row r="3942" spans="5:13">
      <c r="E3942" s="1077"/>
      <c r="F3942" s="1077"/>
      <c r="G3942" s="1077"/>
      <c r="H3942" s="1082" t="s">
        <v>2433</v>
      </c>
      <c r="I3942" s="1077"/>
      <c r="J3942" s="1077"/>
      <c r="K3942" s="1079">
        <f>K3941/90</f>
        <v>130.27000000000001</v>
      </c>
      <c r="L3942" s="1077"/>
      <c r="M3942" s="1077"/>
    </row>
    <row r="3943" spans="5:13">
      <c r="E3943" s="1077"/>
      <c r="F3943" s="1077"/>
      <c r="G3943" s="1077"/>
      <c r="H3943" s="1077"/>
      <c r="I3943" s="1077"/>
      <c r="J3943" s="1077"/>
      <c r="K3943" s="1077"/>
      <c r="L3943" s="1077"/>
      <c r="M3943" s="1077"/>
    </row>
    <row r="3944" spans="5:13">
      <c r="E3944" s="1077"/>
      <c r="F3944" s="1077"/>
      <c r="G3944" s="1077"/>
      <c r="H3944" s="1079" t="s">
        <v>2791</v>
      </c>
      <c r="I3944" s="1077"/>
      <c r="J3944" s="1077"/>
      <c r="K3944" s="1077"/>
      <c r="L3944" s="1077"/>
      <c r="M3944" s="1077"/>
    </row>
    <row r="3945" spans="5:13">
      <c r="E3945" s="1077"/>
      <c r="F3945" s="1077"/>
      <c r="G3945" s="1077"/>
      <c r="H3945" s="1077"/>
      <c r="I3945" s="1077"/>
      <c r="J3945" s="1077"/>
      <c r="K3945" s="1077"/>
      <c r="L3945" s="1077"/>
      <c r="M3945" s="1077"/>
    </row>
    <row r="3946" spans="5:13" ht="110.25">
      <c r="E3946" s="1077"/>
      <c r="F3946" s="1077"/>
      <c r="G3946" s="1077"/>
      <c r="H3946" s="1076" t="s">
        <v>2436</v>
      </c>
      <c r="I3946" s="1077"/>
      <c r="J3946" s="1077"/>
      <c r="K3946" s="1077"/>
      <c r="L3946" s="1077"/>
      <c r="M3946" s="1077"/>
    </row>
    <row r="3947" spans="5:13">
      <c r="E3947" s="1077"/>
      <c r="F3947" s="1077"/>
      <c r="G3947" s="1077"/>
      <c r="H3947" s="1077"/>
      <c r="I3947" s="1077"/>
      <c r="J3947" s="1077"/>
      <c r="K3947" s="1077"/>
      <c r="L3947" s="1077"/>
      <c r="M3947" s="1077"/>
    </row>
    <row r="3948" spans="5:13">
      <c r="E3948" s="1077"/>
      <c r="F3948" s="1077"/>
      <c r="G3948" s="1077"/>
      <c r="H3948" s="1077" t="s">
        <v>2792</v>
      </c>
      <c r="I3948" s="1077"/>
      <c r="J3948" s="1077"/>
      <c r="K3948" s="1077">
        <f>K3941</f>
        <v>11724.28</v>
      </c>
      <c r="L3948" s="1077"/>
      <c r="M3948" s="1077"/>
    </row>
    <row r="3949" spans="5:13" ht="31.5">
      <c r="E3949" s="1077"/>
      <c r="F3949" s="1077">
        <v>180</v>
      </c>
      <c r="G3949" s="1077" t="s">
        <v>13</v>
      </c>
      <c r="H3949" s="1076" t="s">
        <v>2793</v>
      </c>
      <c r="I3949" s="1077">
        <f>I3088</f>
        <v>20.3</v>
      </c>
      <c r="J3949" s="1077" t="s">
        <v>13</v>
      </c>
      <c r="K3949" s="1077">
        <f>F3949*I3949</f>
        <v>3654</v>
      </c>
      <c r="L3949" s="1077"/>
      <c r="M3949" s="1077"/>
    </row>
    <row r="3950" spans="5:13" ht="31.5">
      <c r="E3950" s="1077"/>
      <c r="F3950" s="1077">
        <v>180</v>
      </c>
      <c r="G3950" s="1077" t="s">
        <v>13</v>
      </c>
      <c r="H3950" s="1076" t="s">
        <v>2439</v>
      </c>
      <c r="I3950" s="1077">
        <f>I3931</f>
        <v>16.55</v>
      </c>
      <c r="J3950" s="1077" t="s">
        <v>2306</v>
      </c>
      <c r="K3950" s="1077">
        <f>F3950*I3950</f>
        <v>2979</v>
      </c>
      <c r="L3950" s="1077"/>
      <c r="M3950" s="1077"/>
    </row>
    <row r="3951" spans="5:13">
      <c r="E3951" s="1077"/>
      <c r="F3951" s="1077"/>
      <c r="G3951" s="1077"/>
      <c r="H3951" s="1077" t="s">
        <v>1557</v>
      </c>
      <c r="I3951" s="1077"/>
      <c r="J3951" s="1077"/>
      <c r="K3951" s="1077">
        <v>36</v>
      </c>
      <c r="L3951" s="1077"/>
      <c r="M3951" s="1077"/>
    </row>
    <row r="3952" spans="5:13">
      <c r="E3952" s="1077"/>
      <c r="F3952" s="1077"/>
      <c r="G3952" s="1077"/>
      <c r="H3952" s="1081" t="s">
        <v>2440</v>
      </c>
      <c r="I3952" s="1077"/>
      <c r="J3952" s="1077"/>
      <c r="K3952" s="1088">
        <f>K3948+K3949-K3950+K3951</f>
        <v>12435.28</v>
      </c>
      <c r="L3952" s="1077"/>
      <c r="M3952" s="1077"/>
    </row>
    <row r="3953" spans="5:13">
      <c r="E3953" s="1077"/>
      <c r="F3953" s="1077"/>
      <c r="G3953" s="1077"/>
      <c r="H3953" s="1082" t="s">
        <v>2433</v>
      </c>
      <c r="I3953" s="1077"/>
      <c r="J3953" s="1077"/>
      <c r="K3953" s="1079">
        <f>K3952/90</f>
        <v>138.16999999999999</v>
      </c>
      <c r="L3953" s="1077"/>
      <c r="M3953" s="1077"/>
    </row>
    <row r="3954" spans="5:13">
      <c r="E3954" s="1077"/>
      <c r="F3954" s="1077"/>
      <c r="G3954" s="1077"/>
      <c r="H3954" s="1077"/>
      <c r="I3954" s="1077"/>
      <c r="J3954" s="1077"/>
      <c r="K3954" s="1077"/>
      <c r="L3954" s="1077"/>
      <c r="M3954" s="1077"/>
    </row>
    <row r="3955" spans="5:13">
      <c r="E3955" s="1077"/>
      <c r="F3955" s="1077"/>
      <c r="G3955" s="1077"/>
      <c r="H3955" s="1077"/>
      <c r="I3955" s="1077"/>
      <c r="J3955" s="1077"/>
      <c r="K3955" s="1077"/>
      <c r="L3955" s="1077"/>
      <c r="M3955" s="1077"/>
    </row>
    <row r="3956" spans="5:13">
      <c r="E3956" s="1077"/>
      <c r="F3956" s="1077"/>
      <c r="G3956" s="1077"/>
      <c r="H3956" s="1079"/>
      <c r="I3956" s="1077"/>
      <c r="J3956" s="1077"/>
      <c r="K3956" s="1077"/>
      <c r="L3956" s="1077"/>
      <c r="M3956" s="1077"/>
    </row>
    <row r="3957" spans="5:13">
      <c r="E3957" s="1077"/>
      <c r="F3957" s="1077"/>
      <c r="G3957" s="1077"/>
      <c r="H3957" s="1076"/>
      <c r="I3957" s="1077"/>
      <c r="J3957" s="1077"/>
      <c r="K3957" s="1077"/>
      <c r="L3957" s="1077"/>
      <c r="M3957" s="1077"/>
    </row>
    <row r="3958" spans="5:13">
      <c r="E3958" s="1077"/>
      <c r="F3958" s="1077"/>
      <c r="G3958" s="1077"/>
      <c r="H3958" s="989"/>
      <c r="I3958" s="1077"/>
      <c r="J3958" s="1077"/>
      <c r="K3958" s="1077"/>
      <c r="L3958" s="1077"/>
      <c r="M3958" s="1077"/>
    </row>
    <row r="3959" spans="5:13">
      <c r="E3959" s="1077"/>
      <c r="F3959" s="1077"/>
      <c r="G3959" s="1077"/>
      <c r="H3959" s="1076"/>
      <c r="I3959" s="1077"/>
      <c r="J3959" s="1077"/>
      <c r="K3959" s="1077"/>
      <c r="L3959" s="1077"/>
      <c r="M3959" s="1077"/>
    </row>
    <row r="3960" spans="5:13">
      <c r="E3960" s="1077"/>
      <c r="F3960" s="1077"/>
      <c r="G3960" s="1077"/>
      <c r="H3960" s="1077"/>
      <c r="I3960" s="1077"/>
      <c r="J3960" s="1077"/>
      <c r="K3960" s="1077"/>
      <c r="L3960" s="1077"/>
      <c r="M3960" s="1077"/>
    </row>
    <row r="3961" spans="5:13">
      <c r="E3961" s="1077"/>
      <c r="F3961" s="1077"/>
      <c r="G3961" s="1077"/>
      <c r="H3961" s="1077"/>
      <c r="I3961" s="1077"/>
      <c r="J3961" s="1077"/>
      <c r="K3961" s="1077"/>
      <c r="L3961" s="1077"/>
      <c r="M3961" s="1077"/>
    </row>
    <row r="3962" spans="5:13">
      <c r="E3962" s="1077"/>
      <c r="F3962" s="1077"/>
      <c r="G3962" s="1077"/>
      <c r="H3962" s="1077"/>
      <c r="I3962" s="1077"/>
      <c r="J3962" s="1077"/>
      <c r="K3962" s="1077"/>
      <c r="L3962" s="1077"/>
      <c r="M3962" s="1077"/>
    </row>
    <row r="3963" spans="5:13">
      <c r="E3963" s="1077"/>
      <c r="F3963" s="1077"/>
      <c r="G3963" s="1077"/>
      <c r="H3963" s="1077"/>
      <c r="I3963" s="1077"/>
      <c r="J3963" s="1077"/>
      <c r="K3963" s="1077"/>
      <c r="L3963" s="1077"/>
      <c r="M3963" s="1077"/>
    </row>
    <row r="3964" spans="5:13">
      <c r="E3964" s="1077"/>
      <c r="F3964" s="1077"/>
      <c r="G3964" s="1077"/>
      <c r="H3964" s="1077"/>
      <c r="I3964" s="1077"/>
      <c r="J3964" s="1077"/>
      <c r="K3964" s="1077"/>
      <c r="L3964" s="1077"/>
      <c r="M3964" s="1077"/>
    </row>
    <row r="3965" spans="5:13">
      <c r="E3965" s="1077"/>
      <c r="F3965" s="1077"/>
      <c r="G3965" s="1077"/>
      <c r="H3965" s="1077"/>
      <c r="I3965" s="1077"/>
      <c r="J3965" s="1077"/>
      <c r="K3965" s="1077"/>
      <c r="L3965" s="1077"/>
      <c r="M3965" s="1077"/>
    </row>
    <row r="3966" spans="5:13">
      <c r="E3966" s="1077"/>
      <c r="F3966" s="1077"/>
      <c r="G3966" s="1077"/>
      <c r="H3966" s="1077"/>
      <c r="I3966" s="1077"/>
      <c r="J3966" s="1077"/>
      <c r="K3966" s="1077"/>
      <c r="L3966" s="1077"/>
      <c r="M3966" s="1077"/>
    </row>
    <row r="3967" spans="5:13">
      <c r="E3967" s="1077"/>
      <c r="F3967" s="1077"/>
      <c r="G3967" s="1077"/>
      <c r="H3967" s="1077"/>
      <c r="I3967" s="1077"/>
      <c r="J3967" s="1077"/>
      <c r="K3967" s="1077"/>
      <c r="L3967" s="1077"/>
      <c r="M3967" s="1077"/>
    </row>
    <row r="3968" spans="5:13">
      <c r="E3968" s="1077"/>
      <c r="F3968" s="1077"/>
      <c r="G3968" s="1077"/>
      <c r="H3968" s="989"/>
      <c r="I3968" s="1077"/>
      <c r="J3968" s="1077"/>
      <c r="K3968" s="1077"/>
      <c r="L3968" s="1077"/>
      <c r="M3968" s="1077"/>
    </row>
    <row r="3969" spans="5:13">
      <c r="E3969" s="1077"/>
      <c r="F3969" s="1077"/>
      <c r="G3969" s="1077"/>
      <c r="H3969" s="1077"/>
      <c r="I3969" s="1077"/>
      <c r="J3969" s="1077"/>
      <c r="K3969" s="1077"/>
      <c r="L3969" s="1077"/>
      <c r="M3969" s="1077"/>
    </row>
    <row r="3970" spans="5:13">
      <c r="E3970" s="1077"/>
      <c r="F3970" s="1077"/>
      <c r="G3970" s="1077"/>
      <c r="H3970" s="1077"/>
      <c r="I3970" s="1077"/>
      <c r="J3970" s="1077"/>
      <c r="K3970" s="1098"/>
      <c r="L3970" s="1077"/>
      <c r="M3970" s="1077"/>
    </row>
    <row r="3971" spans="5:13">
      <c r="E3971" s="1077"/>
      <c r="F3971" s="1077"/>
      <c r="G3971" s="1077"/>
      <c r="H3971" s="1081"/>
      <c r="I3971" s="1077"/>
      <c r="J3971" s="1077"/>
      <c r="K3971" s="1088"/>
      <c r="L3971" s="1077"/>
      <c r="M3971" s="1077"/>
    </row>
    <row r="3972" spans="5:13">
      <c r="E3972" s="1077"/>
      <c r="F3972" s="1077"/>
      <c r="G3972" s="1077"/>
      <c r="H3972" s="1082"/>
      <c r="I3972" s="1077"/>
      <c r="J3972" s="1077"/>
      <c r="K3972" s="1079"/>
      <c r="L3972" s="1077"/>
      <c r="M3972" s="1077"/>
    </row>
    <row r="3973" spans="5:13">
      <c r="E3973" s="1077"/>
      <c r="F3973" s="1077"/>
      <c r="G3973" s="1077"/>
      <c r="H3973" s="1077"/>
      <c r="I3973" s="1077"/>
      <c r="J3973" s="1077"/>
      <c r="K3973" s="1077"/>
      <c r="L3973" s="1077"/>
      <c r="M3973" s="1077"/>
    </row>
    <row r="3974" spans="5:13">
      <c r="E3974" s="1077"/>
      <c r="F3974" s="1077"/>
      <c r="G3974" s="1077"/>
      <c r="H3974" s="1077"/>
      <c r="I3974" s="1077"/>
      <c r="J3974" s="1077"/>
      <c r="K3974" s="1077"/>
      <c r="L3974" s="1077"/>
      <c r="M3974" s="1077"/>
    </row>
    <row r="3975" spans="5:13">
      <c r="E3975" s="1077"/>
      <c r="F3975" s="1077"/>
      <c r="G3975" s="1077"/>
      <c r="H3975" s="1077"/>
      <c r="I3975" s="1077"/>
      <c r="J3975" s="1077"/>
      <c r="K3975" s="1077"/>
      <c r="L3975" s="1077"/>
      <c r="M3975" s="1077"/>
    </row>
    <row r="3976" spans="5:13">
      <c r="E3976" s="1077"/>
      <c r="F3976" s="1077"/>
      <c r="G3976" s="1077"/>
      <c r="H3976" s="1077"/>
      <c r="I3976" s="1077"/>
      <c r="J3976" s="1077"/>
      <c r="K3976" s="1077"/>
      <c r="L3976" s="1077"/>
      <c r="M3976" s="1077"/>
    </row>
    <row r="3977" spans="5:13">
      <c r="E3977" s="1077"/>
      <c r="F3977" s="1077"/>
      <c r="G3977" s="1077"/>
      <c r="H3977" s="1077"/>
      <c r="I3977" s="1077"/>
      <c r="J3977" s="1077"/>
      <c r="K3977" s="1077"/>
      <c r="L3977" s="1077"/>
      <c r="M3977" s="1077"/>
    </row>
    <row r="3978" spans="5:13">
      <c r="E3978" s="1077"/>
      <c r="F3978" s="1077"/>
      <c r="G3978" s="1077"/>
      <c r="H3978" s="1077"/>
      <c r="I3978" s="1077"/>
      <c r="J3978" s="1077"/>
      <c r="K3978" s="1077"/>
      <c r="L3978" s="1077"/>
      <c r="M3978" s="1077"/>
    </row>
    <row r="3979" spans="5:13">
      <c r="E3979" s="1077"/>
      <c r="F3979" s="1077"/>
      <c r="G3979" s="1077"/>
      <c r="H3979" s="1077"/>
      <c r="I3979" s="1077"/>
      <c r="J3979" s="1077"/>
      <c r="K3979" s="1077"/>
      <c r="L3979" s="1077"/>
      <c r="M3979" s="1077"/>
    </row>
    <row r="3980" spans="5:13">
      <c r="E3980" s="1077"/>
      <c r="F3980" s="1077"/>
      <c r="G3980" s="1077"/>
      <c r="H3980" s="1077"/>
      <c r="I3980" s="1077"/>
      <c r="J3980" s="1077"/>
      <c r="K3980" s="1077"/>
      <c r="L3980" s="1077"/>
      <c r="M3980" s="1077"/>
    </row>
    <row r="3981" spans="5:13">
      <c r="E3981" s="1077"/>
      <c r="F3981" s="1077"/>
      <c r="G3981" s="1077"/>
      <c r="H3981" s="1077"/>
      <c r="I3981" s="1077"/>
      <c r="J3981" s="1077"/>
      <c r="K3981" s="1077"/>
      <c r="L3981" s="1077"/>
      <c r="M3981" s="1077"/>
    </row>
    <row r="3982" spans="5:13">
      <c r="E3982" s="1077"/>
      <c r="F3982" s="1077"/>
      <c r="G3982" s="1077"/>
      <c r="H3982" s="1077"/>
      <c r="I3982" s="1077"/>
      <c r="J3982" s="1077"/>
      <c r="K3982" s="1077"/>
      <c r="L3982" s="1077"/>
      <c r="M3982" s="1077"/>
    </row>
    <row r="3983" spans="5:13">
      <c r="E3983" s="1077"/>
      <c r="F3983" s="1077"/>
      <c r="G3983" s="1077"/>
      <c r="H3983" s="1077"/>
      <c r="I3983" s="1077"/>
      <c r="J3983" s="1077"/>
      <c r="K3983" s="1077"/>
      <c r="L3983" s="1077"/>
      <c r="M3983" s="1077"/>
    </row>
    <row r="3984" spans="5:13">
      <c r="E3984" s="1077"/>
      <c r="F3984" s="1077"/>
      <c r="G3984" s="1077"/>
      <c r="H3984" s="1077"/>
      <c r="I3984" s="1077"/>
      <c r="J3984" s="1077"/>
      <c r="K3984" s="1077"/>
      <c r="L3984" s="1077"/>
      <c r="M3984" s="1077"/>
    </row>
    <row r="3985" spans="5:13">
      <c r="E3985" s="1077"/>
      <c r="F3985" s="1077"/>
      <c r="G3985" s="1077"/>
      <c r="H3985" s="1077"/>
      <c r="I3985" s="1077"/>
      <c r="J3985" s="1077"/>
      <c r="K3985" s="1077"/>
      <c r="L3985" s="1077"/>
      <c r="M3985" s="1077"/>
    </row>
    <row r="3986" spans="5:13">
      <c r="E3986" s="1077"/>
      <c r="F3986" s="1077"/>
      <c r="G3986" s="1077"/>
      <c r="H3986" s="1077"/>
      <c r="I3986" s="1077"/>
      <c r="J3986" s="1077"/>
      <c r="K3986" s="1077"/>
      <c r="L3986" s="1077"/>
      <c r="M3986" s="1077"/>
    </row>
    <row r="3987" spans="5:13">
      <c r="E3987" s="1077"/>
      <c r="F3987" s="1077"/>
      <c r="G3987" s="1077"/>
      <c r="H3987" s="1077"/>
      <c r="I3987" s="1077"/>
      <c r="J3987" s="1077"/>
      <c r="K3987" s="1077"/>
      <c r="L3987" s="1077"/>
      <c r="M3987" s="1077"/>
    </row>
    <row r="3988" spans="5:13">
      <c r="E3988" s="1077"/>
      <c r="F3988" s="1077"/>
      <c r="G3988" s="1077"/>
      <c r="H3988" s="1077"/>
      <c r="I3988" s="1077"/>
      <c r="J3988" s="1077"/>
      <c r="K3988" s="1077"/>
      <c r="L3988" s="1077"/>
      <c r="M3988" s="1077"/>
    </row>
    <row r="3989" spans="5:13">
      <c r="E3989" s="1077"/>
      <c r="F3989" s="1077"/>
      <c r="G3989" s="1077"/>
      <c r="H3989" s="1077"/>
      <c r="I3989" s="1077"/>
      <c r="J3989" s="1077"/>
      <c r="K3989" s="1077"/>
      <c r="L3989" s="1077"/>
      <c r="M3989" s="1077"/>
    </row>
    <row r="3990" spans="5:13">
      <c r="E3990" s="1077"/>
      <c r="F3990" s="1077"/>
      <c r="G3990" s="1077"/>
      <c r="H3990" s="1077"/>
      <c r="I3990" s="1077"/>
      <c r="J3990" s="1077"/>
      <c r="K3990" s="1077"/>
      <c r="L3990" s="1077"/>
      <c r="M3990" s="1077"/>
    </row>
    <row r="3991" spans="5:13">
      <c r="E3991" s="1077"/>
      <c r="F3991" s="1077"/>
      <c r="G3991" s="1077"/>
      <c r="H3991" s="1077"/>
      <c r="I3991" s="1077"/>
      <c r="J3991" s="1077"/>
      <c r="K3991" s="1077"/>
      <c r="L3991" s="1077"/>
      <c r="M3991" s="1077"/>
    </row>
    <row r="3992" spans="5:13">
      <c r="E3992" s="1077"/>
      <c r="F3992" s="1077"/>
      <c r="G3992" s="1077"/>
      <c r="H3992" s="1077"/>
      <c r="I3992" s="1077"/>
      <c r="J3992" s="1077"/>
      <c r="K3992" s="1077"/>
      <c r="L3992" s="1077"/>
      <c r="M3992" s="1077"/>
    </row>
    <row r="3993" spans="5:13">
      <c r="E3993" s="1077"/>
      <c r="F3993" s="1077"/>
      <c r="G3993" s="1077"/>
      <c r="H3993" s="1077"/>
      <c r="I3993" s="1077"/>
      <c r="J3993" s="1077"/>
      <c r="K3993" s="1077"/>
      <c r="L3993" s="1077"/>
      <c r="M3993" s="1077"/>
    </row>
    <row r="3994" spans="5:13">
      <c r="E3994" s="1077"/>
      <c r="F3994" s="1077"/>
      <c r="G3994" s="1077"/>
      <c r="H3994" s="1077"/>
      <c r="I3994" s="1077"/>
      <c r="J3994" s="1077"/>
      <c r="K3994" s="1077"/>
      <c r="L3994" s="1077"/>
      <c r="M3994" s="1077"/>
    </row>
    <row r="3995" spans="5:13">
      <c r="E3995" s="1077"/>
      <c r="F3995" s="1077"/>
      <c r="G3995" s="1077"/>
      <c r="H3995" s="1077"/>
      <c r="I3995" s="1077"/>
      <c r="J3995" s="1077"/>
      <c r="K3995" s="1077"/>
      <c r="L3995" s="1077"/>
      <c r="M3995" s="1077"/>
    </row>
    <row r="3996" spans="5:13">
      <c r="E3996" s="1077"/>
      <c r="F3996" s="1077"/>
      <c r="G3996" s="1077"/>
      <c r="H3996" s="1077"/>
      <c r="I3996" s="1077"/>
      <c r="J3996" s="1077"/>
      <c r="K3996" s="1077"/>
      <c r="L3996" s="1077"/>
      <c r="M3996" s="1077"/>
    </row>
    <row r="3997" spans="5:13">
      <c r="E3997" s="1077"/>
      <c r="F3997" s="1077"/>
      <c r="G3997" s="1077"/>
      <c r="H3997" s="1077"/>
      <c r="I3997" s="1077"/>
      <c r="J3997" s="1077"/>
      <c r="K3997" s="1077"/>
      <c r="L3997" s="1077"/>
      <c r="M3997" s="1077"/>
    </row>
    <row r="3998" spans="5:13">
      <c r="E3998" s="1077"/>
      <c r="F3998" s="1077"/>
      <c r="G3998" s="1077"/>
      <c r="H3998" s="1077"/>
      <c r="I3998" s="1077"/>
      <c r="J3998" s="1077"/>
      <c r="K3998" s="1077"/>
      <c r="L3998" s="1077"/>
      <c r="M3998" s="1077"/>
    </row>
    <row r="3999" spans="5:13">
      <c r="E3999" s="1077"/>
      <c r="F3999" s="1077"/>
      <c r="G3999" s="1077"/>
      <c r="H3999" s="1077"/>
      <c r="I3999" s="1077"/>
      <c r="J3999" s="1077"/>
      <c r="K3999" s="1077"/>
      <c r="L3999" s="1077"/>
      <c r="M3999" s="1077"/>
    </row>
    <row r="4000" spans="5:13">
      <c r="E4000" s="1077"/>
      <c r="F4000" s="1077"/>
      <c r="G4000" s="1077"/>
      <c r="H4000" s="1077"/>
      <c r="I4000" s="1077"/>
      <c r="J4000" s="1077"/>
      <c r="K4000" s="1077"/>
      <c r="L4000" s="1077"/>
      <c r="M4000" s="1077"/>
    </row>
    <row r="4001" spans="5:13">
      <c r="E4001" s="1077"/>
      <c r="F4001" s="1077"/>
      <c r="G4001" s="1077"/>
      <c r="H4001" s="1077"/>
      <c r="I4001" s="1077"/>
      <c r="J4001" s="1077"/>
      <c r="K4001" s="1077"/>
      <c r="L4001" s="1077"/>
      <c r="M4001" s="1077"/>
    </row>
    <row r="4002" spans="5:13">
      <c r="E4002" s="1077"/>
      <c r="F4002" s="1077"/>
      <c r="G4002" s="1077"/>
      <c r="H4002" s="1077"/>
      <c r="I4002" s="1077"/>
      <c r="J4002" s="1077"/>
      <c r="K4002" s="1077"/>
      <c r="L4002" s="1077"/>
      <c r="M4002" s="1077"/>
    </row>
    <row r="4003" spans="5:13">
      <c r="E4003" s="1077"/>
      <c r="F4003" s="1077"/>
      <c r="G4003" s="1077"/>
      <c r="H4003" s="1077"/>
      <c r="I4003" s="1077"/>
      <c r="J4003" s="1077"/>
      <c r="K4003" s="1077"/>
      <c r="L4003" s="1077"/>
      <c r="M4003" s="1077"/>
    </row>
    <row r="4004" spans="5:13">
      <c r="E4004" s="1077"/>
      <c r="F4004" s="1077"/>
      <c r="G4004" s="1077"/>
      <c r="H4004" s="1077"/>
      <c r="I4004" s="1077"/>
      <c r="J4004" s="1077"/>
      <c r="K4004" s="1077"/>
      <c r="L4004" s="1077"/>
      <c r="M4004" s="1077"/>
    </row>
    <row r="4005" spans="5:13">
      <c r="E4005" s="1077"/>
      <c r="F4005" s="1077"/>
      <c r="G4005" s="1077"/>
      <c r="H4005" s="1077"/>
      <c r="I4005" s="1077"/>
      <c r="J4005" s="1077"/>
      <c r="K4005" s="1077"/>
      <c r="L4005" s="1077"/>
      <c r="M4005" s="1077"/>
    </row>
    <row r="4006" spans="5:13">
      <c r="E4006" s="1077"/>
      <c r="F4006" s="1077"/>
      <c r="G4006" s="1077"/>
      <c r="H4006" s="1077"/>
      <c r="I4006" s="1077"/>
      <c r="J4006" s="1077"/>
      <c r="K4006" s="1077"/>
      <c r="L4006" s="1077"/>
      <c r="M4006" s="1077"/>
    </row>
    <row r="4007" spans="5:13">
      <c r="E4007" s="1077"/>
      <c r="F4007" s="1077"/>
      <c r="G4007" s="1077"/>
      <c r="H4007" s="1077"/>
      <c r="I4007" s="1077"/>
      <c r="J4007" s="1077"/>
      <c r="K4007" s="1077"/>
      <c r="L4007" s="1077"/>
      <c r="M4007" s="1077"/>
    </row>
    <row r="4008" spans="5:13">
      <c r="E4008" s="1077"/>
      <c r="F4008" s="1077"/>
      <c r="G4008" s="1077"/>
      <c r="H4008" s="1077"/>
      <c r="I4008" s="1077"/>
      <c r="J4008" s="1077"/>
      <c r="K4008" s="1077"/>
      <c r="L4008" s="1077"/>
      <c r="M4008" s="1077"/>
    </row>
    <row r="4009" spans="5:13">
      <c r="E4009" s="1077"/>
      <c r="F4009" s="1077"/>
      <c r="G4009" s="1077"/>
      <c r="H4009" s="1077"/>
      <c r="I4009" s="1077"/>
      <c r="J4009" s="1077"/>
      <c r="K4009" s="1077"/>
      <c r="L4009" s="1077"/>
      <c r="M4009" s="1077"/>
    </row>
    <row r="4010" spans="5:13">
      <c r="E4010" s="1077"/>
      <c r="F4010" s="1077"/>
      <c r="G4010" s="1077"/>
      <c r="H4010" s="1077"/>
      <c r="I4010" s="1077"/>
      <c r="J4010" s="1077"/>
      <c r="K4010" s="1077"/>
      <c r="L4010" s="1077"/>
      <c r="M4010" s="1077"/>
    </row>
    <row r="4011" spans="5:13">
      <c r="E4011" s="1077"/>
      <c r="F4011" s="1077"/>
      <c r="G4011" s="1077"/>
      <c r="H4011" s="1077"/>
      <c r="I4011" s="1077"/>
      <c r="J4011" s="1077"/>
      <c r="K4011" s="1077"/>
      <c r="L4011" s="1077"/>
      <c r="M4011" s="1077"/>
    </row>
    <row r="4012" spans="5:13">
      <c r="E4012" s="1077"/>
      <c r="F4012" s="1077"/>
      <c r="G4012" s="1077"/>
      <c r="H4012" s="1077"/>
      <c r="I4012" s="1077"/>
      <c r="J4012" s="1077"/>
      <c r="K4012" s="1077"/>
      <c r="L4012" s="1077"/>
      <c r="M4012" s="1077"/>
    </row>
    <row r="4013" spans="5:13">
      <c r="E4013" s="1077"/>
      <c r="F4013" s="1077"/>
      <c r="G4013" s="1077"/>
      <c r="H4013" s="1077"/>
      <c r="I4013" s="1077"/>
      <c r="J4013" s="1077"/>
      <c r="K4013" s="1077"/>
      <c r="L4013" s="1077"/>
      <c r="M4013" s="1077"/>
    </row>
    <row r="4014" spans="5:13">
      <c r="E4014" s="1077"/>
      <c r="F4014" s="1077"/>
      <c r="G4014" s="1077"/>
      <c r="H4014" s="1077"/>
      <c r="I4014" s="1077"/>
      <c r="J4014" s="1077"/>
      <c r="K4014" s="1077"/>
      <c r="L4014" s="1077"/>
      <c r="M4014" s="1077"/>
    </row>
    <row r="4015" spans="5:13">
      <c r="E4015" s="1077"/>
      <c r="F4015" s="1077"/>
      <c r="G4015" s="1077"/>
      <c r="H4015" s="1077"/>
      <c r="I4015" s="1077"/>
      <c r="J4015" s="1077"/>
      <c r="K4015" s="1077"/>
      <c r="L4015" s="1077"/>
      <c r="M4015" s="1077"/>
    </row>
    <row r="4016" spans="5:13">
      <c r="E4016" s="1077"/>
      <c r="F4016" s="1077"/>
      <c r="G4016" s="1077"/>
      <c r="H4016" s="1077"/>
      <c r="I4016" s="1077"/>
      <c r="J4016" s="1077"/>
      <c r="K4016" s="1077"/>
      <c r="L4016" s="1077"/>
      <c r="M4016" s="1077"/>
    </row>
    <row r="4017" spans="5:13">
      <c r="E4017" s="1077"/>
      <c r="F4017" s="1077"/>
      <c r="G4017" s="1077"/>
      <c r="H4017" s="1077"/>
      <c r="I4017" s="1077"/>
      <c r="J4017" s="1077"/>
      <c r="K4017" s="1077"/>
      <c r="L4017" s="1077"/>
      <c r="M4017" s="1077"/>
    </row>
    <row r="4018" spans="5:13">
      <c r="E4018" s="1077"/>
      <c r="F4018" s="1077"/>
      <c r="G4018" s="1077"/>
      <c r="H4018" s="1077"/>
      <c r="I4018" s="1077"/>
      <c r="J4018" s="1077"/>
      <c r="K4018" s="1077"/>
      <c r="L4018" s="1077"/>
      <c r="M4018" s="1077"/>
    </row>
    <row r="4019" spans="5:13">
      <c r="E4019" s="1077"/>
      <c r="F4019" s="1077"/>
      <c r="G4019" s="1077"/>
      <c r="H4019" s="1077"/>
      <c r="I4019" s="1077"/>
      <c r="J4019" s="1077"/>
      <c r="K4019" s="1077"/>
      <c r="L4019" s="1077"/>
      <c r="M4019" s="1077"/>
    </row>
    <row r="4020" spans="5:13">
      <c r="E4020" s="1077"/>
      <c r="F4020" s="1077"/>
      <c r="G4020" s="1077"/>
      <c r="H4020" s="1077"/>
      <c r="I4020" s="1077"/>
      <c r="J4020" s="1077"/>
      <c r="K4020" s="1077"/>
      <c r="L4020" s="1077"/>
      <c r="M4020" s="1077"/>
    </row>
    <row r="4021" spans="5:13">
      <c r="E4021" s="1077"/>
      <c r="F4021" s="1077"/>
      <c r="G4021" s="1077"/>
      <c r="H4021" s="1077"/>
      <c r="I4021" s="1077"/>
      <c r="J4021" s="1077"/>
      <c r="K4021" s="1077"/>
      <c r="L4021" s="1077"/>
      <c r="M4021" s="1077"/>
    </row>
    <row r="4022" spans="5:13">
      <c r="E4022" s="1077"/>
      <c r="F4022" s="1077"/>
      <c r="G4022" s="1077"/>
      <c r="H4022" s="1077"/>
      <c r="I4022" s="1077"/>
      <c r="J4022" s="1077"/>
      <c r="K4022" s="1077"/>
      <c r="L4022" s="1077"/>
      <c r="M4022" s="1077"/>
    </row>
    <row r="4023" spans="5:13">
      <c r="E4023" s="1077"/>
      <c r="F4023" s="1077"/>
      <c r="G4023" s="1077"/>
      <c r="H4023" s="1077"/>
      <c r="I4023" s="1077"/>
      <c r="J4023" s="1077"/>
      <c r="K4023" s="1077"/>
      <c r="L4023" s="1077"/>
      <c r="M4023" s="1077"/>
    </row>
    <row r="4024" spans="5:13">
      <c r="E4024" s="1077"/>
      <c r="F4024" s="1077"/>
      <c r="G4024" s="1077"/>
      <c r="H4024" s="1077"/>
      <c r="I4024" s="1077"/>
      <c r="J4024" s="1077"/>
      <c r="K4024" s="1077"/>
      <c r="L4024" s="1077"/>
      <c r="M4024" s="1077"/>
    </row>
    <row r="4025" spans="5:13">
      <c r="E4025" s="1077"/>
      <c r="F4025" s="1077"/>
      <c r="G4025" s="1077"/>
      <c r="H4025" s="1077"/>
      <c r="I4025" s="1077"/>
      <c r="J4025" s="1077"/>
      <c r="K4025" s="1077"/>
      <c r="L4025" s="1077"/>
      <c r="M4025" s="1077"/>
    </row>
    <row r="4026" spans="5:13">
      <c r="E4026" s="1077"/>
      <c r="F4026" s="1077"/>
      <c r="G4026" s="1077"/>
      <c r="H4026" s="1077"/>
      <c r="I4026" s="1077"/>
      <c r="J4026" s="1077"/>
      <c r="K4026" s="1077"/>
      <c r="L4026" s="1077"/>
      <c r="M4026" s="1077"/>
    </row>
    <row r="4027" spans="5:13">
      <c r="E4027" s="1077"/>
      <c r="F4027" s="1077"/>
      <c r="G4027" s="1077"/>
      <c r="H4027" s="1077"/>
      <c r="I4027" s="1077"/>
      <c r="J4027" s="1077"/>
      <c r="K4027" s="1077"/>
      <c r="L4027" s="1077"/>
      <c r="M4027" s="1077"/>
    </row>
    <row r="4028" spans="5:13">
      <c r="E4028" s="1077"/>
      <c r="F4028" s="1077"/>
      <c r="G4028" s="1077"/>
      <c r="H4028" s="1077"/>
      <c r="I4028" s="1077"/>
      <c r="J4028" s="1077"/>
      <c r="K4028" s="1077"/>
      <c r="L4028" s="1077"/>
      <c r="M4028" s="1077"/>
    </row>
    <row r="4029" spans="5:13">
      <c r="E4029" s="1077"/>
      <c r="F4029" s="1077"/>
      <c r="G4029" s="1077"/>
      <c r="H4029" s="1077"/>
      <c r="I4029" s="1077"/>
      <c r="J4029" s="1077"/>
      <c r="K4029" s="1077"/>
      <c r="L4029" s="1077"/>
      <c r="M4029" s="1077"/>
    </row>
    <row r="4030" spans="5:13">
      <c r="E4030" s="1077"/>
      <c r="F4030" s="1077"/>
      <c r="G4030" s="1077"/>
      <c r="H4030" s="1077"/>
      <c r="I4030" s="1077"/>
      <c r="J4030" s="1077"/>
      <c r="K4030" s="1077"/>
      <c r="L4030" s="1077"/>
      <c r="M4030" s="1077"/>
    </row>
    <row r="4031" spans="5:13">
      <c r="E4031" s="1077"/>
      <c r="F4031" s="1077"/>
      <c r="G4031" s="1077"/>
      <c r="H4031" s="1077"/>
      <c r="I4031" s="1077"/>
      <c r="J4031" s="1077"/>
      <c r="K4031" s="1077"/>
      <c r="L4031" s="1077"/>
      <c r="M4031" s="1077"/>
    </row>
    <row r="4032" spans="5:13">
      <c r="E4032" s="1077"/>
      <c r="F4032" s="1077"/>
      <c r="G4032" s="1077"/>
      <c r="H4032" s="1077"/>
      <c r="I4032" s="1077"/>
      <c r="J4032" s="1077"/>
      <c r="K4032" s="1077"/>
      <c r="L4032" s="1077"/>
      <c r="M4032" s="1077"/>
    </row>
    <row r="4033" spans="5:13">
      <c r="E4033" s="1077"/>
      <c r="F4033" s="1077"/>
      <c r="G4033" s="1077"/>
      <c r="H4033" s="1077"/>
      <c r="I4033" s="1077"/>
      <c r="J4033" s="1077"/>
      <c r="K4033" s="1077"/>
      <c r="L4033" s="1077"/>
      <c r="M4033" s="1077"/>
    </row>
    <row r="4034" spans="5:13">
      <c r="E4034" s="1077"/>
      <c r="F4034" s="1077"/>
      <c r="G4034" s="1077"/>
      <c r="H4034" s="1077"/>
      <c r="I4034" s="1077"/>
      <c r="J4034" s="1077"/>
      <c r="K4034" s="1077"/>
      <c r="L4034" s="1077"/>
      <c r="M4034" s="1077"/>
    </row>
    <row r="4035" spans="5:13">
      <c r="E4035" s="1077"/>
      <c r="F4035" s="1077"/>
      <c r="G4035" s="1077"/>
      <c r="H4035" s="1077"/>
      <c r="I4035" s="1077"/>
      <c r="J4035" s="1077"/>
      <c r="K4035" s="1077"/>
      <c r="L4035" s="1077"/>
      <c r="M4035" s="1077"/>
    </row>
    <row r="4036" spans="5:13">
      <c r="E4036" s="1077"/>
      <c r="F4036" s="1077"/>
      <c r="G4036" s="1077"/>
      <c r="H4036" s="1077"/>
      <c r="I4036" s="1077"/>
      <c r="J4036" s="1077"/>
      <c r="K4036" s="1077"/>
      <c r="L4036" s="1077"/>
      <c r="M4036" s="1077"/>
    </row>
    <row r="4037" spans="5:13">
      <c r="E4037" s="1077"/>
      <c r="F4037" s="1077"/>
      <c r="G4037" s="1077"/>
      <c r="H4037" s="1077"/>
      <c r="I4037" s="1077"/>
      <c r="J4037" s="1077"/>
      <c r="K4037" s="1077"/>
      <c r="L4037" s="1077"/>
      <c r="M4037" s="1077"/>
    </row>
    <row r="4038" spans="5:13">
      <c r="E4038" s="1077"/>
      <c r="F4038" s="1077"/>
      <c r="G4038" s="1077"/>
      <c r="H4038" s="1077"/>
      <c r="I4038" s="1077"/>
      <c r="J4038" s="1077"/>
      <c r="K4038" s="1077"/>
      <c r="L4038" s="1077"/>
      <c r="M4038" s="1077"/>
    </row>
    <row r="4039" spans="5:13">
      <c r="E4039" s="1077"/>
      <c r="F4039" s="1077"/>
      <c r="G4039" s="1077"/>
      <c r="H4039" s="1077"/>
      <c r="I4039" s="1077"/>
      <c r="J4039" s="1077"/>
      <c r="K4039" s="1077"/>
      <c r="L4039" s="1077"/>
      <c r="M4039" s="1077"/>
    </row>
    <row r="4040" spans="5:13">
      <c r="E4040" s="1077"/>
      <c r="F4040" s="1077"/>
      <c r="G4040" s="1077"/>
      <c r="H4040" s="1077"/>
      <c r="I4040" s="1077"/>
      <c r="J4040" s="1077"/>
      <c r="K4040" s="1077"/>
      <c r="L4040" s="1077"/>
      <c r="M4040" s="1077"/>
    </row>
    <row r="4041" spans="5:13">
      <c r="E4041" s="1077"/>
      <c r="F4041" s="1077"/>
      <c r="G4041" s="1077"/>
      <c r="H4041" s="1077"/>
      <c r="I4041" s="1077"/>
      <c r="J4041" s="1077"/>
      <c r="K4041" s="1077"/>
      <c r="L4041" s="1077"/>
      <c r="M4041" s="1077"/>
    </row>
    <row r="4042" spans="5:13">
      <c r="E4042" s="1077"/>
      <c r="F4042" s="1077"/>
      <c r="G4042" s="1077"/>
      <c r="H4042" s="1077"/>
      <c r="I4042" s="1077"/>
      <c r="J4042" s="1077"/>
      <c r="K4042" s="1077"/>
      <c r="L4042" s="1077"/>
      <c r="M4042" s="1077"/>
    </row>
    <row r="4043" spans="5:13">
      <c r="E4043" s="1077"/>
      <c r="F4043" s="1077"/>
      <c r="G4043" s="1077"/>
      <c r="H4043" s="1077"/>
      <c r="I4043" s="1077"/>
      <c r="J4043" s="1077"/>
      <c r="K4043" s="1077"/>
      <c r="L4043" s="1077"/>
      <c r="M4043" s="1077"/>
    </row>
    <row r="4044" spans="5:13">
      <c r="E4044" s="1077"/>
      <c r="F4044" s="1077"/>
      <c r="G4044" s="1077"/>
      <c r="H4044" s="1077"/>
      <c r="I4044" s="1077"/>
      <c r="J4044" s="1077"/>
      <c r="K4044" s="1077"/>
      <c r="L4044" s="1077"/>
      <c r="M4044" s="1077"/>
    </row>
    <row r="4045" spans="5:13">
      <c r="E4045" s="1077"/>
      <c r="F4045" s="1077"/>
      <c r="G4045" s="1077"/>
      <c r="H4045" s="1077"/>
      <c r="I4045" s="1077"/>
      <c r="J4045" s="1077"/>
      <c r="K4045" s="1077"/>
      <c r="L4045" s="1077"/>
      <c r="M4045" s="1077"/>
    </row>
    <row r="4046" spans="5:13">
      <c r="E4046" s="1077"/>
      <c r="F4046" s="1077"/>
      <c r="G4046" s="1077"/>
      <c r="H4046" s="1077"/>
      <c r="I4046" s="1077"/>
      <c r="J4046" s="1077"/>
      <c r="K4046" s="1077"/>
      <c r="L4046" s="1077"/>
      <c r="M4046" s="1077"/>
    </row>
    <row r="4047" spans="5:13">
      <c r="E4047" s="1077"/>
      <c r="F4047" s="1077"/>
      <c r="G4047" s="1077"/>
      <c r="H4047" s="1077"/>
      <c r="I4047" s="1077"/>
      <c r="J4047" s="1077"/>
      <c r="K4047" s="1077"/>
      <c r="L4047" s="1077"/>
      <c r="M4047" s="1077"/>
    </row>
    <row r="4048" spans="5:13">
      <c r="E4048" s="1077"/>
      <c r="F4048" s="1077"/>
      <c r="G4048" s="1077"/>
      <c r="H4048" s="1077"/>
      <c r="I4048" s="1077"/>
      <c r="J4048" s="1077"/>
      <c r="K4048" s="1077"/>
      <c r="L4048" s="1077"/>
      <c r="M4048" s="1077"/>
    </row>
    <row r="4049" spans="5:13">
      <c r="E4049" s="1077"/>
      <c r="F4049" s="1077"/>
      <c r="G4049" s="1077"/>
      <c r="H4049" s="1077"/>
      <c r="I4049" s="1077"/>
      <c r="J4049" s="1077"/>
      <c r="K4049" s="1077"/>
      <c r="L4049" s="1077"/>
      <c r="M4049" s="1077"/>
    </row>
    <row r="4050" spans="5:13">
      <c r="E4050" s="1077"/>
      <c r="F4050" s="1077"/>
      <c r="G4050" s="1077"/>
      <c r="H4050" s="1077"/>
      <c r="I4050" s="1077"/>
      <c r="J4050" s="1077"/>
      <c r="K4050" s="1077"/>
      <c r="L4050" s="1077"/>
      <c r="M4050" s="1077"/>
    </row>
    <row r="4051" spans="5:13">
      <c r="E4051" s="1077"/>
      <c r="F4051" s="1077"/>
      <c r="G4051" s="1077"/>
      <c r="H4051" s="1077"/>
      <c r="I4051" s="1077"/>
      <c r="J4051" s="1077"/>
      <c r="K4051" s="1077"/>
      <c r="L4051" s="1077"/>
      <c r="M4051" s="1077"/>
    </row>
    <row r="4052" spans="5:13">
      <c r="E4052" s="1077"/>
      <c r="F4052" s="1077"/>
      <c r="G4052" s="1077"/>
      <c r="H4052" s="1077"/>
      <c r="I4052" s="1077"/>
      <c r="J4052" s="1077"/>
      <c r="K4052" s="1077"/>
      <c r="L4052" s="1077"/>
      <c r="M4052" s="1077"/>
    </row>
    <row r="4053" spans="5:13">
      <c r="E4053" s="1077"/>
      <c r="F4053" s="1077"/>
      <c r="G4053" s="1077"/>
      <c r="H4053" s="1077"/>
      <c r="I4053" s="1077"/>
      <c r="J4053" s="1077"/>
      <c r="K4053" s="1077"/>
      <c r="L4053" s="1077"/>
      <c r="M4053" s="1077"/>
    </row>
    <row r="4054" spans="5:13">
      <c r="E4054" s="1077"/>
      <c r="F4054" s="1077"/>
      <c r="G4054" s="1077"/>
      <c r="H4054" s="1077"/>
      <c r="I4054" s="1077"/>
      <c r="J4054" s="1077"/>
      <c r="K4054" s="1077"/>
      <c r="L4054" s="1077"/>
      <c r="M4054" s="1077"/>
    </row>
    <row r="4055" spans="5:13">
      <c r="E4055" s="1077"/>
      <c r="F4055" s="1077"/>
      <c r="G4055" s="1077"/>
      <c r="H4055" s="1077"/>
      <c r="I4055" s="1077"/>
      <c r="J4055" s="1077"/>
      <c r="K4055" s="1077"/>
      <c r="L4055" s="1077"/>
      <c r="M4055" s="1077"/>
    </row>
    <row r="4056" spans="5:13">
      <c r="E4056" s="1077"/>
      <c r="F4056" s="1077"/>
      <c r="G4056" s="1077"/>
      <c r="H4056" s="1077"/>
      <c r="I4056" s="1077"/>
      <c r="J4056" s="1077"/>
      <c r="K4056" s="1077"/>
      <c r="L4056" s="1077"/>
      <c r="M4056" s="1077"/>
    </row>
    <row r="4057" spans="5:13">
      <c r="E4057" s="1077"/>
      <c r="F4057" s="1077"/>
      <c r="G4057" s="1077"/>
      <c r="H4057" s="1077"/>
      <c r="I4057" s="1077"/>
      <c r="J4057" s="1077"/>
      <c r="K4057" s="1077"/>
      <c r="L4057" s="1077"/>
      <c r="M4057" s="1077"/>
    </row>
    <row r="4058" spans="5:13">
      <c r="E4058" s="1077"/>
      <c r="F4058" s="1077"/>
      <c r="G4058" s="1077"/>
      <c r="H4058" s="1077"/>
      <c r="I4058" s="1077"/>
      <c r="J4058" s="1077"/>
      <c r="K4058" s="1077"/>
      <c r="L4058" s="1077"/>
      <c r="M4058" s="1077"/>
    </row>
    <row r="4059" spans="5:13">
      <c r="E4059" s="1077"/>
      <c r="F4059" s="1077"/>
      <c r="G4059" s="1077"/>
      <c r="H4059" s="1077"/>
      <c r="I4059" s="1077"/>
      <c r="J4059" s="1077"/>
      <c r="K4059" s="1077"/>
      <c r="L4059" s="1077"/>
      <c r="M4059" s="1077"/>
    </row>
    <row r="4060" spans="5:13">
      <c r="E4060" s="1077"/>
      <c r="F4060" s="1077"/>
      <c r="G4060" s="1077"/>
      <c r="H4060" s="1077"/>
      <c r="I4060" s="1077"/>
      <c r="J4060" s="1077"/>
      <c r="K4060" s="1077"/>
      <c r="L4060" s="1077"/>
      <c r="M4060" s="1077"/>
    </row>
    <row r="4061" spans="5:13">
      <c r="E4061" s="1077"/>
      <c r="F4061" s="1077"/>
      <c r="G4061" s="1077"/>
      <c r="H4061" s="1077"/>
      <c r="I4061" s="1077"/>
      <c r="J4061" s="1077"/>
      <c r="K4061" s="1077"/>
      <c r="L4061" s="1077"/>
      <c r="M4061" s="1077"/>
    </row>
    <row r="4062" spans="5:13">
      <c r="E4062" s="1077"/>
      <c r="F4062" s="1077"/>
      <c r="G4062" s="1077"/>
      <c r="H4062" s="1077"/>
      <c r="I4062" s="1077"/>
      <c r="J4062" s="1077"/>
      <c r="K4062" s="1077"/>
      <c r="L4062" s="1077"/>
      <c r="M4062" s="1077"/>
    </row>
    <row r="4063" spans="5:13">
      <c r="E4063" s="1077"/>
      <c r="F4063" s="1077"/>
      <c r="G4063" s="1077"/>
      <c r="H4063" s="1077"/>
      <c r="I4063" s="1077"/>
      <c r="J4063" s="1077"/>
      <c r="K4063" s="1077"/>
      <c r="L4063" s="1077"/>
      <c r="M4063" s="1077"/>
    </row>
    <row r="4064" spans="5:13">
      <c r="E4064" s="1077"/>
      <c r="F4064" s="1077"/>
      <c r="G4064" s="1077"/>
      <c r="H4064" s="1077"/>
      <c r="I4064" s="1077"/>
      <c r="J4064" s="1077"/>
      <c r="K4064" s="1077"/>
      <c r="L4064" s="1077"/>
      <c r="M4064" s="1077"/>
    </row>
    <row r="4065" spans="5:13">
      <c r="E4065" s="1077"/>
      <c r="F4065" s="1077"/>
      <c r="G4065" s="1077"/>
      <c r="H4065" s="1077"/>
      <c r="I4065" s="1077"/>
      <c r="J4065" s="1077"/>
      <c r="K4065" s="1077"/>
      <c r="L4065" s="1077"/>
      <c r="M4065" s="1077"/>
    </row>
    <row r="4066" spans="5:13">
      <c r="E4066" s="1077"/>
      <c r="F4066" s="1077"/>
      <c r="G4066" s="1077"/>
      <c r="H4066" s="1077"/>
      <c r="I4066" s="1077"/>
      <c r="J4066" s="1077"/>
      <c r="K4066" s="1077"/>
      <c r="L4066" s="1077"/>
      <c r="M4066" s="1077"/>
    </row>
    <row r="4067" spans="5:13">
      <c r="E4067" s="1077"/>
      <c r="F4067" s="1077"/>
      <c r="G4067" s="1077"/>
      <c r="H4067" s="1077"/>
      <c r="I4067" s="1077"/>
      <c r="J4067" s="1077"/>
      <c r="K4067" s="1077"/>
      <c r="L4067" s="1077"/>
      <c r="M4067" s="1077"/>
    </row>
    <row r="4068" spans="5:13">
      <c r="E4068" s="1077"/>
      <c r="F4068" s="1077"/>
      <c r="G4068" s="1077"/>
      <c r="H4068" s="1077"/>
      <c r="I4068" s="1077"/>
      <c r="J4068" s="1077"/>
      <c r="K4068" s="1077"/>
      <c r="L4068" s="1077"/>
      <c r="M4068" s="1077"/>
    </row>
    <row r="4069" spans="5:13">
      <c r="E4069" s="1077"/>
      <c r="F4069" s="1077"/>
      <c r="G4069" s="1077"/>
      <c r="H4069" s="1077"/>
      <c r="I4069" s="1077"/>
      <c r="J4069" s="1077"/>
      <c r="K4069" s="1077"/>
      <c r="L4069" s="1077"/>
      <c r="M4069" s="1077"/>
    </row>
    <row r="4070" spans="5:13">
      <c r="E4070" s="1077"/>
      <c r="F4070" s="1077"/>
      <c r="G4070" s="1077"/>
      <c r="H4070" s="1077"/>
      <c r="I4070" s="1077"/>
      <c r="J4070" s="1077"/>
      <c r="K4070" s="1077"/>
      <c r="L4070" s="1077"/>
      <c r="M4070" s="1077"/>
    </row>
    <row r="4071" spans="5:13">
      <c r="E4071" s="1077"/>
      <c r="F4071" s="1077"/>
      <c r="G4071" s="1077"/>
      <c r="H4071" s="1077"/>
      <c r="I4071" s="1077"/>
      <c r="J4071" s="1077"/>
      <c r="K4071" s="1077"/>
      <c r="L4071" s="1077"/>
      <c r="M4071" s="1077"/>
    </row>
    <row r="4072" spans="5:13">
      <c r="E4072" s="1077"/>
      <c r="F4072" s="1077"/>
      <c r="G4072" s="1077"/>
      <c r="H4072" s="1077"/>
      <c r="I4072" s="1077"/>
      <c r="J4072" s="1077"/>
      <c r="K4072" s="1077"/>
      <c r="L4072" s="1077"/>
      <c r="M4072" s="1077"/>
    </row>
    <row r="4073" spans="5:13">
      <c r="E4073" s="1077"/>
      <c r="F4073" s="1077"/>
      <c r="G4073" s="1077"/>
      <c r="H4073" s="1077"/>
      <c r="I4073" s="1077"/>
      <c r="J4073" s="1077"/>
      <c r="K4073" s="1077"/>
      <c r="L4073" s="1077"/>
      <c r="M4073" s="1077"/>
    </row>
    <row r="4074" spans="5:13">
      <c r="E4074" s="1077"/>
      <c r="F4074" s="1077"/>
      <c r="G4074" s="1077"/>
      <c r="H4074" s="1077"/>
      <c r="I4074" s="1077"/>
      <c r="J4074" s="1077"/>
      <c r="K4074" s="1077"/>
      <c r="L4074" s="1077"/>
      <c r="M4074" s="1077"/>
    </row>
    <row r="4075" spans="5:13">
      <c r="E4075" s="1077"/>
      <c r="F4075" s="1077"/>
      <c r="G4075" s="1077"/>
      <c r="H4075" s="1077"/>
      <c r="I4075" s="1077"/>
      <c r="J4075" s="1077"/>
      <c r="K4075" s="1077"/>
      <c r="L4075" s="1077"/>
      <c r="M4075" s="1077"/>
    </row>
    <row r="4076" spans="5:13">
      <c r="E4076" s="1077"/>
      <c r="F4076" s="1077"/>
      <c r="G4076" s="1077"/>
      <c r="H4076" s="1077"/>
      <c r="I4076" s="1077"/>
      <c r="J4076" s="1077"/>
      <c r="K4076" s="1077"/>
      <c r="L4076" s="1077"/>
      <c r="M4076" s="1077"/>
    </row>
    <row r="4077" spans="5:13">
      <c r="E4077" s="1077"/>
      <c r="F4077" s="1077"/>
      <c r="G4077" s="1077"/>
      <c r="H4077" s="1077"/>
      <c r="I4077" s="1077"/>
      <c r="J4077" s="1077"/>
      <c r="K4077" s="1077"/>
      <c r="L4077" s="1077"/>
      <c r="M4077" s="1077"/>
    </row>
    <row r="4078" spans="5:13">
      <c r="E4078" s="1077"/>
      <c r="F4078" s="1077"/>
      <c r="G4078" s="1077"/>
      <c r="H4078" s="1077"/>
      <c r="I4078" s="1077"/>
      <c r="J4078" s="1077"/>
      <c r="K4078" s="1077"/>
      <c r="L4078" s="1077"/>
      <c r="M4078" s="1077"/>
    </row>
    <row r="4079" spans="5:13">
      <c r="E4079" s="1077"/>
      <c r="F4079" s="1077"/>
      <c r="G4079" s="1077"/>
      <c r="H4079" s="1077"/>
      <c r="I4079" s="1077"/>
      <c r="J4079" s="1077"/>
      <c r="K4079" s="1077"/>
      <c r="L4079" s="1077"/>
      <c r="M4079" s="1077"/>
    </row>
    <row r="4080" spans="5:13">
      <c r="E4080" s="1077"/>
      <c r="F4080" s="1077"/>
      <c r="G4080" s="1077"/>
      <c r="H4080" s="1077"/>
      <c r="I4080" s="1077"/>
      <c r="J4080" s="1077"/>
      <c r="K4080" s="1077"/>
      <c r="L4080" s="1077"/>
      <c r="M4080" s="1077"/>
    </row>
    <row r="4081" spans="5:13">
      <c r="E4081" s="1077"/>
      <c r="F4081" s="1077"/>
      <c r="G4081" s="1077"/>
      <c r="H4081" s="1077"/>
      <c r="I4081" s="1077"/>
      <c r="J4081" s="1077"/>
      <c r="K4081" s="1077"/>
      <c r="L4081" s="1077"/>
      <c r="M4081" s="1077"/>
    </row>
    <row r="4082" spans="5:13">
      <c r="E4082" s="1077"/>
      <c r="F4082" s="1077"/>
      <c r="G4082" s="1077"/>
      <c r="H4082" s="1077"/>
      <c r="I4082" s="1077"/>
      <c r="J4082" s="1077"/>
      <c r="K4082" s="1077"/>
      <c r="L4082" s="1077"/>
      <c r="M4082" s="1077"/>
    </row>
    <row r="4083" spans="5:13">
      <c r="E4083" s="1077"/>
      <c r="F4083" s="1077"/>
      <c r="G4083" s="1077"/>
      <c r="H4083" s="1077"/>
      <c r="I4083" s="1077"/>
      <c r="J4083" s="1077"/>
      <c r="K4083" s="1077"/>
      <c r="L4083" s="1077"/>
      <c r="M4083" s="1077"/>
    </row>
    <row r="4084" spans="5:13">
      <c r="E4084" s="1077"/>
      <c r="F4084" s="1077"/>
      <c r="G4084" s="1077"/>
      <c r="H4084" s="1077"/>
      <c r="I4084" s="1077"/>
      <c r="J4084" s="1077"/>
      <c r="K4084" s="1077"/>
      <c r="L4084" s="1077"/>
      <c r="M4084" s="1077"/>
    </row>
    <row r="4085" spans="5:13">
      <c r="E4085" s="1077"/>
      <c r="F4085" s="1077"/>
      <c r="G4085" s="1077"/>
      <c r="H4085" s="1077"/>
      <c r="I4085" s="1077"/>
      <c r="J4085" s="1077"/>
      <c r="K4085" s="1077"/>
      <c r="L4085" s="1077"/>
      <c r="M4085" s="1077"/>
    </row>
    <row r="4086" spans="5:13">
      <c r="E4086" s="1077"/>
      <c r="F4086" s="1077"/>
      <c r="G4086" s="1077"/>
      <c r="H4086" s="1077"/>
      <c r="I4086" s="1077"/>
      <c r="J4086" s="1077"/>
      <c r="K4086" s="1077"/>
      <c r="L4086" s="1077"/>
      <c r="M4086" s="1077"/>
    </row>
    <row r="4087" spans="5:13">
      <c r="E4087" s="1077"/>
      <c r="F4087" s="1077"/>
      <c r="G4087" s="1077"/>
      <c r="H4087" s="1077"/>
      <c r="I4087" s="1077"/>
      <c r="J4087" s="1077"/>
      <c r="K4087" s="1077"/>
      <c r="L4087" s="1077"/>
      <c r="M4087" s="1077"/>
    </row>
    <row r="4088" spans="5:13">
      <c r="E4088" s="1077"/>
      <c r="F4088" s="1077"/>
      <c r="G4088" s="1077"/>
      <c r="H4088" s="1077"/>
      <c r="I4088" s="1077"/>
      <c r="J4088" s="1077"/>
      <c r="K4088" s="1077"/>
      <c r="L4088" s="1077"/>
      <c r="M4088" s="1077"/>
    </row>
    <row r="4089" spans="5:13">
      <c r="E4089" s="1077"/>
      <c r="F4089" s="1077"/>
      <c r="G4089" s="1077"/>
      <c r="H4089" s="1077"/>
      <c r="I4089" s="1077"/>
      <c r="J4089" s="1077"/>
      <c r="K4089" s="1077"/>
      <c r="L4089" s="1077"/>
      <c r="M4089" s="1077"/>
    </row>
    <row r="4090" spans="5:13">
      <c r="E4090" s="1077"/>
      <c r="F4090" s="1077"/>
      <c r="G4090" s="1077"/>
      <c r="H4090" s="1077"/>
      <c r="I4090" s="1077"/>
      <c r="J4090" s="1077"/>
      <c r="K4090" s="1077"/>
      <c r="L4090" s="1077"/>
      <c r="M4090" s="1077"/>
    </row>
    <row r="4091" spans="5:13">
      <c r="E4091" s="1077"/>
      <c r="F4091" s="1077"/>
      <c r="G4091" s="1077"/>
      <c r="H4091" s="1077"/>
      <c r="I4091" s="1077"/>
      <c r="J4091" s="1077"/>
      <c r="K4091" s="1077"/>
      <c r="L4091" s="1077"/>
      <c r="M4091" s="1077"/>
    </row>
    <row r="4092" spans="5:13">
      <c r="E4092" s="1077"/>
      <c r="F4092" s="1077"/>
      <c r="G4092" s="1077"/>
      <c r="H4092" s="1077"/>
      <c r="I4092" s="1077"/>
      <c r="J4092" s="1077"/>
      <c r="K4092" s="1077"/>
      <c r="L4092" s="1077"/>
      <c r="M4092" s="1077"/>
    </row>
    <row r="4093" spans="5:13">
      <c r="E4093" s="1077"/>
      <c r="F4093" s="1077"/>
      <c r="G4093" s="1077"/>
      <c r="H4093" s="1077"/>
      <c r="I4093" s="1077"/>
      <c r="J4093" s="1077"/>
      <c r="K4093" s="1077"/>
      <c r="L4093" s="1077"/>
      <c r="M4093" s="1077"/>
    </row>
    <row r="4094" spans="5:13">
      <c r="E4094" s="1077"/>
      <c r="F4094" s="1077"/>
      <c r="G4094" s="1077"/>
      <c r="H4094" s="1077"/>
      <c r="I4094" s="1077"/>
      <c r="J4094" s="1077"/>
      <c r="K4094" s="1077"/>
      <c r="L4094" s="1077"/>
      <c r="M4094" s="1077"/>
    </row>
    <row r="4095" spans="5:13">
      <c r="E4095" s="1077"/>
      <c r="F4095" s="1077"/>
      <c r="G4095" s="1077"/>
      <c r="H4095" s="1077"/>
      <c r="I4095" s="1077"/>
      <c r="J4095" s="1077"/>
      <c r="K4095" s="1077"/>
      <c r="L4095" s="1077"/>
      <c r="M4095" s="1077"/>
    </row>
    <row r="4096" spans="5:13">
      <c r="E4096" s="1077"/>
      <c r="F4096" s="1077"/>
      <c r="G4096" s="1077"/>
      <c r="H4096" s="1077"/>
      <c r="I4096" s="1077"/>
      <c r="J4096" s="1077"/>
      <c r="K4096" s="1077"/>
      <c r="L4096" s="1077"/>
      <c r="M4096" s="1077"/>
    </row>
    <row r="4097" spans="5:13">
      <c r="E4097" s="1077"/>
      <c r="F4097" s="1077"/>
      <c r="G4097" s="1077"/>
      <c r="H4097" s="1077"/>
      <c r="I4097" s="1077"/>
      <c r="J4097" s="1077"/>
      <c r="K4097" s="1077"/>
      <c r="L4097" s="1077"/>
      <c r="M4097" s="1077"/>
    </row>
    <row r="4098" spans="5:13">
      <c r="E4098" s="1077"/>
      <c r="F4098" s="1077"/>
      <c r="G4098" s="1077"/>
      <c r="H4098" s="1077"/>
      <c r="I4098" s="1077"/>
      <c r="J4098" s="1077"/>
      <c r="K4098" s="1077"/>
      <c r="L4098" s="1077"/>
      <c r="M4098" s="1077"/>
    </row>
    <row r="4099" spans="5:13">
      <c r="E4099" s="1077"/>
      <c r="F4099" s="1077"/>
      <c r="G4099" s="1077"/>
      <c r="H4099" s="1077"/>
      <c r="I4099" s="1077"/>
      <c r="J4099" s="1077"/>
      <c r="K4099" s="1077"/>
      <c r="L4099" s="1077"/>
      <c r="M4099" s="1077"/>
    </row>
    <row r="4100" spans="5:13">
      <c r="E4100" s="1077"/>
      <c r="F4100" s="1077"/>
      <c r="G4100" s="1077"/>
      <c r="H4100" s="1077"/>
      <c r="I4100" s="1077"/>
      <c r="J4100" s="1077"/>
      <c r="K4100" s="1077"/>
      <c r="L4100" s="1077"/>
      <c r="M4100" s="1077"/>
    </row>
    <row r="4101" spans="5:13">
      <c r="E4101" s="1077"/>
      <c r="F4101" s="1077"/>
      <c r="G4101" s="1077"/>
      <c r="H4101" s="1077"/>
      <c r="I4101" s="1077"/>
      <c r="J4101" s="1077"/>
      <c r="K4101" s="1077"/>
      <c r="L4101" s="1077"/>
      <c r="M4101" s="1077"/>
    </row>
    <row r="4102" spans="5:13">
      <c r="E4102" s="1077"/>
      <c r="F4102" s="1077"/>
      <c r="G4102" s="1077"/>
      <c r="H4102" s="1077"/>
      <c r="I4102" s="1077"/>
      <c r="J4102" s="1077"/>
      <c r="K4102" s="1077"/>
      <c r="L4102" s="1077"/>
      <c r="M4102" s="1077"/>
    </row>
    <row r="4103" spans="5:13">
      <c r="E4103" s="1077"/>
      <c r="F4103" s="1077"/>
      <c r="G4103" s="1077"/>
      <c r="H4103" s="1077"/>
      <c r="I4103" s="1077"/>
      <c r="J4103" s="1077"/>
      <c r="K4103" s="1077"/>
      <c r="L4103" s="1077"/>
      <c r="M4103" s="1077"/>
    </row>
    <row r="4104" spans="5:13">
      <c r="E4104" s="1077"/>
      <c r="F4104" s="1077"/>
      <c r="G4104" s="1077"/>
      <c r="H4104" s="1077"/>
      <c r="I4104" s="1077"/>
      <c r="J4104" s="1077"/>
      <c r="K4104" s="1077"/>
      <c r="L4104" s="1077"/>
      <c r="M4104" s="1077"/>
    </row>
    <row r="4105" spans="5:13">
      <c r="E4105" s="1077"/>
      <c r="F4105" s="1077"/>
      <c r="G4105" s="1077"/>
      <c r="H4105" s="1077"/>
      <c r="I4105" s="1077"/>
      <c r="J4105" s="1077"/>
      <c r="K4105" s="1077"/>
      <c r="L4105" s="1077"/>
      <c r="M4105" s="1077"/>
    </row>
    <row r="4106" spans="5:13">
      <c r="E4106" s="1077"/>
      <c r="F4106" s="1077"/>
      <c r="G4106" s="1077"/>
      <c r="H4106" s="1077"/>
      <c r="I4106" s="1077"/>
      <c r="J4106" s="1077"/>
      <c r="K4106" s="1077"/>
      <c r="L4106" s="1077"/>
      <c r="M4106" s="1077"/>
    </row>
    <row r="4107" spans="5:13">
      <c r="E4107" s="1077"/>
      <c r="F4107" s="1077"/>
      <c r="G4107" s="1077"/>
      <c r="H4107" s="1077"/>
      <c r="I4107" s="1077"/>
      <c r="J4107" s="1077"/>
      <c r="K4107" s="1077"/>
      <c r="L4107" s="1077"/>
      <c r="M4107" s="1077"/>
    </row>
    <row r="4108" spans="5:13">
      <c r="E4108" s="1077"/>
      <c r="F4108" s="1077"/>
      <c r="G4108" s="1077"/>
      <c r="H4108" s="1077"/>
      <c r="I4108" s="1077"/>
      <c r="J4108" s="1077"/>
      <c r="K4108" s="1077"/>
      <c r="L4108" s="1077"/>
      <c r="M4108" s="1077"/>
    </row>
    <row r="4109" spans="5:13">
      <c r="E4109" s="1077"/>
      <c r="F4109" s="1077"/>
      <c r="G4109" s="1077"/>
      <c r="H4109" s="1077"/>
      <c r="I4109" s="1077"/>
      <c r="J4109" s="1077"/>
      <c r="K4109" s="1077"/>
      <c r="L4109" s="1077"/>
      <c r="M4109" s="1077"/>
    </row>
    <row r="4110" spans="5:13">
      <c r="E4110" s="1077"/>
      <c r="F4110" s="1077"/>
      <c r="G4110" s="1077"/>
      <c r="H4110" s="1077"/>
      <c r="I4110" s="1077"/>
      <c r="J4110" s="1077"/>
      <c r="K4110" s="1077"/>
      <c r="L4110" s="1077"/>
      <c r="M4110" s="1077"/>
    </row>
    <row r="4111" spans="5:13">
      <c r="E4111" s="1077"/>
      <c r="F4111" s="1077"/>
      <c r="G4111" s="1077"/>
      <c r="H4111" s="1077"/>
      <c r="I4111" s="1077"/>
      <c r="J4111" s="1077"/>
      <c r="K4111" s="1077"/>
      <c r="L4111" s="1077"/>
      <c r="M4111" s="1077"/>
    </row>
    <row r="4112" spans="5:13">
      <c r="E4112" s="1077"/>
      <c r="F4112" s="1077"/>
      <c r="G4112" s="1077"/>
      <c r="H4112" s="1077"/>
      <c r="I4112" s="1077"/>
      <c r="J4112" s="1077"/>
      <c r="K4112" s="1077"/>
      <c r="L4112" s="1077"/>
      <c r="M4112" s="1077"/>
    </row>
    <row r="4113" spans="5:13">
      <c r="E4113" s="1077"/>
      <c r="F4113" s="1077"/>
      <c r="G4113" s="1077"/>
      <c r="H4113" s="1077"/>
      <c r="I4113" s="1077"/>
      <c r="J4113" s="1077"/>
      <c r="K4113" s="1077"/>
      <c r="L4113" s="1077"/>
      <c r="M4113" s="1077"/>
    </row>
    <row r="4114" spans="5:13">
      <c r="E4114" s="1077"/>
      <c r="F4114" s="1077"/>
      <c r="G4114" s="1077"/>
      <c r="H4114" s="1077"/>
      <c r="I4114" s="1077"/>
      <c r="J4114" s="1077"/>
      <c r="K4114" s="1077"/>
      <c r="L4114" s="1077"/>
      <c r="M4114" s="1077"/>
    </row>
    <row r="4115" spans="5:13">
      <c r="E4115" s="1077"/>
      <c r="F4115" s="1077"/>
      <c r="G4115" s="1077"/>
      <c r="H4115" s="1077"/>
      <c r="I4115" s="1077"/>
      <c r="J4115" s="1077"/>
      <c r="K4115" s="1077"/>
      <c r="L4115" s="1077"/>
      <c r="M4115" s="1077"/>
    </row>
    <row r="4116" spans="5:13">
      <c r="E4116" s="1077"/>
      <c r="F4116" s="1077"/>
      <c r="G4116" s="1077"/>
      <c r="H4116" s="1077"/>
      <c r="I4116" s="1077"/>
      <c r="J4116" s="1077"/>
      <c r="K4116" s="1077"/>
      <c r="L4116" s="1077"/>
      <c r="M4116" s="1077"/>
    </row>
    <row r="4117" spans="5:13">
      <c r="E4117" s="1077"/>
      <c r="F4117" s="1077"/>
      <c r="G4117" s="1077"/>
      <c r="H4117" s="1077"/>
      <c r="I4117" s="1077"/>
      <c r="J4117" s="1077"/>
      <c r="K4117" s="1077"/>
      <c r="L4117" s="1077"/>
      <c r="M4117" s="1077"/>
    </row>
    <row r="4118" spans="5:13">
      <c r="E4118" s="1077"/>
      <c r="F4118" s="1077"/>
      <c r="G4118" s="1077"/>
      <c r="H4118" s="1077"/>
      <c r="I4118" s="1077"/>
      <c r="J4118" s="1077"/>
      <c r="K4118" s="1077"/>
      <c r="L4118" s="1077"/>
      <c r="M4118" s="1077"/>
    </row>
    <row r="4119" spans="5:13">
      <c r="E4119" s="1077"/>
      <c r="F4119" s="1077"/>
      <c r="G4119" s="1077"/>
      <c r="H4119" s="1077"/>
      <c r="I4119" s="1077"/>
      <c r="J4119" s="1077"/>
      <c r="K4119" s="1077"/>
      <c r="L4119" s="1077"/>
      <c r="M4119" s="1077"/>
    </row>
    <row r="4120" spans="5:13">
      <c r="E4120" s="1077"/>
      <c r="F4120" s="1077"/>
      <c r="G4120" s="1077"/>
      <c r="H4120" s="1077"/>
      <c r="I4120" s="1077"/>
      <c r="J4120" s="1077"/>
      <c r="K4120" s="1077"/>
      <c r="L4120" s="1077"/>
      <c r="M4120" s="1077"/>
    </row>
    <row r="4121" spans="5:13">
      <c r="E4121" s="1077"/>
      <c r="F4121" s="1077"/>
      <c r="G4121" s="1077"/>
      <c r="H4121" s="1077"/>
      <c r="I4121" s="1077"/>
      <c r="J4121" s="1077"/>
      <c r="K4121" s="1077"/>
      <c r="L4121" s="1077"/>
      <c r="M4121" s="1077"/>
    </row>
    <row r="4122" spans="5:13">
      <c r="E4122" s="1077"/>
      <c r="F4122" s="1077"/>
      <c r="G4122" s="1077"/>
      <c r="H4122" s="1077"/>
      <c r="I4122" s="1077"/>
      <c r="J4122" s="1077"/>
      <c r="K4122" s="1077"/>
      <c r="L4122" s="1077"/>
      <c r="M4122" s="1077"/>
    </row>
    <row r="4123" spans="5:13">
      <c r="E4123" s="1077"/>
      <c r="F4123" s="1077"/>
      <c r="G4123" s="1077"/>
      <c r="H4123" s="1077"/>
      <c r="I4123" s="1077"/>
      <c r="J4123" s="1077"/>
      <c r="K4123" s="1077"/>
      <c r="L4123" s="1077"/>
      <c r="M4123" s="1077"/>
    </row>
    <row r="4124" spans="5:13">
      <c r="E4124" s="1077"/>
      <c r="F4124" s="1077"/>
      <c r="G4124" s="1077"/>
      <c r="H4124" s="1077"/>
      <c r="I4124" s="1077"/>
      <c r="J4124" s="1077"/>
      <c r="K4124" s="1077"/>
      <c r="L4124" s="1077"/>
      <c r="M4124" s="1077"/>
    </row>
    <row r="4125" spans="5:13">
      <c r="E4125" s="1077"/>
      <c r="F4125" s="1077"/>
      <c r="G4125" s="1077"/>
      <c r="H4125" s="1077"/>
      <c r="I4125" s="1077"/>
      <c r="J4125" s="1077"/>
      <c r="K4125" s="1077"/>
      <c r="L4125" s="1077"/>
      <c r="M4125" s="1077"/>
    </row>
    <row r="4126" spans="5:13">
      <c r="E4126" s="1077"/>
      <c r="F4126" s="1077"/>
      <c r="G4126" s="1077"/>
      <c r="H4126" s="1077"/>
      <c r="I4126" s="1077"/>
      <c r="J4126" s="1077"/>
      <c r="K4126" s="1077"/>
      <c r="L4126" s="1077"/>
      <c r="M4126" s="1077"/>
    </row>
    <row r="4127" spans="5:13">
      <c r="E4127" s="1077"/>
      <c r="F4127" s="1077"/>
      <c r="G4127" s="1077"/>
      <c r="H4127" s="1077"/>
      <c r="I4127" s="1077"/>
      <c r="J4127" s="1077"/>
      <c r="K4127" s="1077"/>
      <c r="L4127" s="1077"/>
      <c r="M4127" s="1077"/>
    </row>
    <row r="4128" spans="5:13">
      <c r="E4128" s="1077"/>
      <c r="F4128" s="1077"/>
      <c r="G4128" s="1077"/>
      <c r="H4128" s="1077"/>
      <c r="I4128" s="1077"/>
      <c r="J4128" s="1077"/>
      <c r="K4128" s="1077"/>
      <c r="L4128" s="1077"/>
      <c r="M4128" s="1077"/>
    </row>
    <row r="4129" spans="5:13">
      <c r="E4129" s="1077"/>
      <c r="F4129" s="1077"/>
      <c r="G4129" s="1077"/>
      <c r="H4129" s="1077"/>
      <c r="I4129" s="1077"/>
      <c r="J4129" s="1077"/>
      <c r="K4129" s="1077"/>
      <c r="L4129" s="1077"/>
      <c r="M4129" s="1077"/>
    </row>
    <row r="4130" spans="5:13">
      <c r="E4130" s="1077"/>
      <c r="F4130" s="1077"/>
      <c r="G4130" s="1077"/>
      <c r="H4130" s="1077"/>
      <c r="I4130" s="1077"/>
      <c r="J4130" s="1077"/>
      <c r="K4130" s="1077"/>
      <c r="L4130" s="1077"/>
      <c r="M4130" s="1077"/>
    </row>
    <row r="4131" spans="5:13">
      <c r="E4131" s="1077"/>
      <c r="F4131" s="1077"/>
      <c r="G4131" s="1077"/>
      <c r="H4131" s="1077"/>
      <c r="I4131" s="1077"/>
      <c r="J4131" s="1077"/>
      <c r="K4131" s="1077"/>
      <c r="L4131" s="1077"/>
      <c r="M4131" s="1077"/>
    </row>
    <row r="4132" spans="5:13">
      <c r="E4132" s="1077"/>
      <c r="F4132" s="1077"/>
      <c r="G4132" s="1077"/>
      <c r="H4132" s="1077"/>
      <c r="I4132" s="1077"/>
      <c r="J4132" s="1077"/>
      <c r="K4132" s="1077"/>
      <c r="L4132" s="1077"/>
      <c r="M4132" s="1077"/>
    </row>
    <row r="4133" spans="5:13">
      <c r="E4133" s="1077"/>
      <c r="F4133" s="1077"/>
      <c r="G4133" s="1077"/>
      <c r="H4133" s="1077"/>
      <c r="I4133" s="1077"/>
      <c r="J4133" s="1077"/>
      <c r="K4133" s="1077"/>
      <c r="L4133" s="1077"/>
      <c r="M4133" s="1077"/>
    </row>
    <row r="4134" spans="5:13">
      <c r="E4134" s="1077"/>
      <c r="F4134" s="1077"/>
      <c r="G4134" s="1077"/>
      <c r="H4134" s="1077"/>
      <c r="I4134" s="1077"/>
      <c r="J4134" s="1077"/>
      <c r="K4134" s="1077"/>
      <c r="L4134" s="1077"/>
      <c r="M4134" s="1077"/>
    </row>
    <row r="4135" spans="5:13">
      <c r="E4135" s="1077"/>
      <c r="F4135" s="1077"/>
      <c r="G4135" s="1077"/>
      <c r="H4135" s="1077"/>
      <c r="I4135" s="1077"/>
      <c r="J4135" s="1077"/>
      <c r="K4135" s="1077"/>
      <c r="L4135" s="1077"/>
      <c r="M4135" s="1077"/>
    </row>
    <row r="4136" spans="5:13">
      <c r="E4136" s="1077"/>
      <c r="F4136" s="1077"/>
      <c r="G4136" s="1077"/>
      <c r="H4136" s="1077"/>
      <c r="I4136" s="1077"/>
      <c r="J4136" s="1077"/>
      <c r="K4136" s="1077"/>
      <c r="L4136" s="1077"/>
      <c r="M4136" s="1077"/>
    </row>
    <row r="4137" spans="5:13">
      <c r="E4137" s="1077"/>
      <c r="F4137" s="1077"/>
      <c r="G4137" s="1077"/>
      <c r="H4137" s="1077"/>
      <c r="I4137" s="1077"/>
      <c r="J4137" s="1077"/>
      <c r="K4137" s="1077"/>
      <c r="L4137" s="1077"/>
      <c r="M4137" s="1077"/>
    </row>
    <row r="4138" spans="5:13">
      <c r="E4138" s="1077"/>
      <c r="F4138" s="1077"/>
      <c r="G4138" s="1077"/>
      <c r="H4138" s="1077"/>
      <c r="I4138" s="1077"/>
      <c r="J4138" s="1077"/>
      <c r="K4138" s="1077"/>
      <c r="L4138" s="1077"/>
      <c r="M4138" s="1077"/>
    </row>
    <row r="4139" spans="5:13">
      <c r="E4139" s="1077"/>
      <c r="F4139" s="1077"/>
      <c r="G4139" s="1077"/>
      <c r="H4139" s="1077"/>
      <c r="I4139" s="1077"/>
      <c r="J4139" s="1077"/>
      <c r="K4139" s="1077"/>
      <c r="L4139" s="1077"/>
      <c r="M4139" s="1077"/>
    </row>
    <row r="4140" spans="5:13">
      <c r="E4140" s="1077"/>
      <c r="F4140" s="1077"/>
      <c r="G4140" s="1077"/>
      <c r="H4140" s="1077"/>
      <c r="I4140" s="1077"/>
      <c r="J4140" s="1077"/>
      <c r="K4140" s="1077"/>
      <c r="L4140" s="1077"/>
      <c r="M4140" s="1077"/>
    </row>
    <row r="4141" spans="5:13">
      <c r="E4141" s="1077"/>
      <c r="F4141" s="1077"/>
      <c r="G4141" s="1077"/>
      <c r="H4141" s="1077"/>
      <c r="I4141" s="1077"/>
      <c r="J4141" s="1077"/>
      <c r="K4141" s="1077"/>
      <c r="L4141" s="1077"/>
      <c r="M4141" s="1077"/>
    </row>
    <row r="4142" spans="5:13">
      <c r="E4142" s="1077"/>
      <c r="F4142" s="1077"/>
      <c r="G4142" s="1077"/>
      <c r="H4142" s="1077"/>
      <c r="I4142" s="1077"/>
      <c r="J4142" s="1077"/>
      <c r="K4142" s="1077"/>
      <c r="L4142" s="1077"/>
      <c r="M4142" s="1077"/>
    </row>
    <row r="4143" spans="5:13">
      <c r="E4143" s="1077"/>
      <c r="F4143" s="1077"/>
      <c r="G4143" s="1077"/>
      <c r="H4143" s="1077"/>
      <c r="I4143" s="1077"/>
      <c r="J4143" s="1077"/>
      <c r="K4143" s="1077"/>
      <c r="L4143" s="1077"/>
      <c r="M4143" s="1077"/>
    </row>
    <row r="4144" spans="5:13">
      <c r="E4144" s="1077"/>
      <c r="F4144" s="1077"/>
      <c r="G4144" s="1077"/>
      <c r="H4144" s="1077"/>
      <c r="I4144" s="1077"/>
      <c r="J4144" s="1077"/>
      <c r="K4144" s="1077"/>
      <c r="L4144" s="1077"/>
      <c r="M4144" s="1077"/>
    </row>
    <row r="4145" spans="5:13">
      <c r="E4145" s="1077"/>
      <c r="F4145" s="1077"/>
      <c r="G4145" s="1077"/>
      <c r="H4145" s="1077"/>
      <c r="I4145" s="1077"/>
      <c r="J4145" s="1077"/>
      <c r="K4145" s="1077"/>
      <c r="L4145" s="1077"/>
      <c r="M4145" s="1077"/>
    </row>
    <row r="4146" spans="5:13">
      <c r="E4146" s="1077"/>
      <c r="F4146" s="1077"/>
      <c r="G4146" s="1077"/>
      <c r="H4146" s="1077"/>
      <c r="I4146" s="1077"/>
      <c r="J4146" s="1077"/>
      <c r="K4146" s="1077"/>
      <c r="L4146" s="1077"/>
      <c r="M4146" s="1077"/>
    </row>
    <row r="4147" spans="5:13">
      <c r="E4147" s="1077"/>
      <c r="F4147" s="1077"/>
      <c r="G4147" s="1077"/>
      <c r="H4147" s="1077"/>
      <c r="I4147" s="1077"/>
      <c r="J4147" s="1077"/>
      <c r="K4147" s="1077"/>
      <c r="L4147" s="1077"/>
      <c r="M4147" s="1077"/>
    </row>
    <row r="4148" spans="5:13">
      <c r="E4148" s="1077"/>
      <c r="F4148" s="1077"/>
      <c r="G4148" s="1077"/>
      <c r="H4148" s="1077"/>
      <c r="I4148" s="1077"/>
      <c r="J4148" s="1077"/>
      <c r="K4148" s="1077"/>
      <c r="L4148" s="1077"/>
      <c r="M4148" s="1077"/>
    </row>
    <row r="4149" spans="5:13">
      <c r="E4149" s="1077"/>
      <c r="F4149" s="1077"/>
      <c r="G4149" s="1077"/>
      <c r="H4149" s="1077"/>
      <c r="I4149" s="1077"/>
      <c r="J4149" s="1077"/>
      <c r="K4149" s="1077"/>
      <c r="L4149" s="1077"/>
      <c r="M4149" s="1077"/>
    </row>
    <row r="4150" spans="5:13">
      <c r="E4150" s="1077"/>
      <c r="F4150" s="1077"/>
      <c r="G4150" s="1077"/>
      <c r="H4150" s="1077"/>
      <c r="I4150" s="1077"/>
      <c r="J4150" s="1077"/>
      <c r="K4150" s="1077"/>
      <c r="L4150" s="1077"/>
      <c r="M4150" s="1077"/>
    </row>
    <row r="4151" spans="5:13">
      <c r="E4151" s="1077"/>
      <c r="F4151" s="1077"/>
      <c r="G4151" s="1077"/>
      <c r="H4151" s="1077"/>
      <c r="I4151" s="1077"/>
      <c r="J4151" s="1077"/>
      <c r="K4151" s="1077"/>
      <c r="L4151" s="1077"/>
      <c r="M4151" s="1077"/>
    </row>
    <row r="4152" spans="5:13">
      <c r="E4152" s="1077"/>
      <c r="F4152" s="1077"/>
      <c r="G4152" s="1077"/>
      <c r="H4152" s="1077"/>
      <c r="I4152" s="1077"/>
      <c r="J4152" s="1077"/>
      <c r="K4152" s="1077"/>
      <c r="L4152" s="1077"/>
      <c r="M4152" s="1077"/>
    </row>
    <row r="4153" spans="5:13">
      <c r="E4153" s="1077"/>
      <c r="F4153" s="1077"/>
      <c r="G4153" s="1077"/>
      <c r="H4153" s="1077"/>
      <c r="I4153" s="1077"/>
      <c r="J4153" s="1077"/>
      <c r="K4153" s="1077"/>
      <c r="L4153" s="1077"/>
      <c r="M4153" s="1077"/>
    </row>
    <row r="4154" spans="5:13">
      <c r="E4154" s="1077"/>
      <c r="F4154" s="1077"/>
      <c r="G4154" s="1077"/>
      <c r="H4154" s="1077"/>
      <c r="I4154" s="1077"/>
      <c r="J4154" s="1077"/>
      <c r="K4154" s="1077"/>
      <c r="L4154" s="1077"/>
      <c r="M4154" s="1077"/>
    </row>
    <row r="4155" spans="5:13">
      <c r="E4155" s="1077"/>
      <c r="F4155" s="1077"/>
      <c r="G4155" s="1077"/>
      <c r="H4155" s="1077"/>
      <c r="I4155" s="1077"/>
      <c r="J4155" s="1077"/>
      <c r="K4155" s="1077"/>
      <c r="L4155" s="1077"/>
      <c r="M4155" s="1077"/>
    </row>
    <row r="4156" spans="5:13">
      <c r="E4156" s="1077"/>
      <c r="F4156" s="1077"/>
      <c r="G4156" s="1077"/>
      <c r="H4156" s="1077"/>
      <c r="I4156" s="1077"/>
      <c r="J4156" s="1077"/>
      <c r="K4156" s="1077"/>
      <c r="L4156" s="1077"/>
      <c r="M4156" s="1077"/>
    </row>
    <row r="4157" spans="5:13">
      <c r="E4157" s="1077"/>
      <c r="F4157" s="1077"/>
      <c r="G4157" s="1077"/>
      <c r="H4157" s="1077"/>
      <c r="I4157" s="1077"/>
      <c r="J4157" s="1077"/>
      <c r="K4157" s="1077"/>
      <c r="L4157" s="1077"/>
      <c r="M4157" s="1077"/>
    </row>
    <row r="4158" spans="5:13">
      <c r="E4158" s="1077"/>
      <c r="F4158" s="1077"/>
      <c r="G4158" s="1077"/>
      <c r="H4158" s="1077"/>
      <c r="I4158" s="1077"/>
      <c r="J4158" s="1077"/>
      <c r="K4158" s="1077"/>
      <c r="L4158" s="1077"/>
      <c r="M4158" s="1077"/>
    </row>
    <row r="4159" spans="5:13">
      <c r="E4159" s="1077"/>
      <c r="F4159" s="1077"/>
      <c r="G4159" s="1077"/>
      <c r="H4159" s="1077"/>
      <c r="I4159" s="1077"/>
      <c r="J4159" s="1077"/>
      <c r="K4159" s="1077"/>
      <c r="L4159" s="1077"/>
      <c r="M4159" s="1077"/>
    </row>
    <row r="4160" spans="5:13">
      <c r="E4160" s="1077"/>
      <c r="F4160" s="1077"/>
      <c r="G4160" s="1077"/>
      <c r="H4160" s="1077"/>
      <c r="I4160" s="1077"/>
      <c r="J4160" s="1077"/>
      <c r="K4160" s="1077"/>
      <c r="L4160" s="1077"/>
      <c r="M4160" s="1077"/>
    </row>
    <row r="4161" spans="5:13">
      <c r="E4161" s="1077"/>
      <c r="F4161" s="1077"/>
      <c r="G4161" s="1077"/>
      <c r="H4161" s="1077"/>
      <c r="I4161" s="1077"/>
      <c r="J4161" s="1077"/>
      <c r="K4161" s="1077"/>
      <c r="L4161" s="1077"/>
      <c r="M4161" s="1077"/>
    </row>
    <row r="4162" spans="5:13">
      <c r="E4162" s="1077"/>
      <c r="F4162" s="1077"/>
      <c r="G4162" s="1077"/>
      <c r="H4162" s="1077"/>
      <c r="I4162" s="1077"/>
      <c r="J4162" s="1077"/>
      <c r="K4162" s="1077"/>
      <c r="L4162" s="1077"/>
      <c r="M4162" s="1077"/>
    </row>
    <row r="4163" spans="5:13">
      <c r="E4163" s="1077"/>
      <c r="F4163" s="1077"/>
      <c r="G4163" s="1077"/>
      <c r="H4163" s="1077"/>
      <c r="I4163" s="1077"/>
      <c r="J4163" s="1077"/>
      <c r="K4163" s="1077"/>
      <c r="L4163" s="1077"/>
      <c r="M4163" s="1077"/>
    </row>
    <row r="4164" spans="5:13">
      <c r="E4164" s="1077"/>
      <c r="F4164" s="1077"/>
      <c r="G4164" s="1077"/>
      <c r="H4164" s="1077"/>
      <c r="I4164" s="1077"/>
      <c r="J4164" s="1077"/>
      <c r="K4164" s="1077"/>
      <c r="L4164" s="1077"/>
      <c r="M4164" s="1077"/>
    </row>
    <row r="4165" spans="5:13">
      <c r="E4165" s="1077"/>
      <c r="F4165" s="1077"/>
      <c r="G4165" s="1077"/>
      <c r="H4165" s="1077"/>
      <c r="I4165" s="1077"/>
      <c r="J4165" s="1077"/>
      <c r="K4165" s="1077"/>
      <c r="L4165" s="1077"/>
      <c r="M4165" s="1077"/>
    </row>
    <row r="4166" spans="5:13">
      <c r="E4166" s="1077"/>
      <c r="F4166" s="1077"/>
      <c r="G4166" s="1077"/>
      <c r="H4166" s="1077"/>
      <c r="I4166" s="1077"/>
      <c r="J4166" s="1077"/>
      <c r="K4166" s="1077"/>
      <c r="L4166" s="1077"/>
      <c r="M4166" s="1077"/>
    </row>
    <row r="4167" spans="5:13">
      <c r="E4167" s="1077"/>
      <c r="F4167" s="1077"/>
      <c r="G4167" s="1077"/>
      <c r="H4167" s="1077"/>
      <c r="I4167" s="1077"/>
      <c r="J4167" s="1077"/>
      <c r="K4167" s="1077"/>
      <c r="L4167" s="1077"/>
      <c r="M4167" s="1077"/>
    </row>
    <row r="4168" spans="5:13">
      <c r="E4168" s="1077"/>
      <c r="F4168" s="1077"/>
      <c r="G4168" s="1077"/>
      <c r="H4168" s="1077"/>
      <c r="I4168" s="1077"/>
      <c r="J4168" s="1077"/>
      <c r="K4168" s="1077"/>
      <c r="L4168" s="1077"/>
      <c r="M4168" s="1077"/>
    </row>
    <row r="4169" spans="5:13">
      <c r="E4169" s="1077"/>
      <c r="F4169" s="1077"/>
      <c r="G4169" s="1077"/>
      <c r="H4169" s="1077"/>
      <c r="I4169" s="1077"/>
      <c r="J4169" s="1077"/>
      <c r="K4169" s="1077"/>
      <c r="L4169" s="1077"/>
      <c r="M4169" s="1077"/>
    </row>
    <row r="4170" spans="5:13">
      <c r="E4170" s="1077"/>
      <c r="F4170" s="1077"/>
      <c r="G4170" s="1077"/>
      <c r="H4170" s="1077"/>
      <c r="I4170" s="1077"/>
      <c r="J4170" s="1077"/>
      <c r="K4170" s="1077"/>
      <c r="L4170" s="1077"/>
      <c r="M4170" s="1077"/>
    </row>
    <row r="4171" spans="5:13">
      <c r="E4171" s="1077"/>
      <c r="F4171" s="1077"/>
      <c r="G4171" s="1077"/>
      <c r="H4171" s="1077"/>
      <c r="I4171" s="1077"/>
      <c r="J4171" s="1077"/>
      <c r="K4171" s="1077"/>
      <c r="L4171" s="1077"/>
      <c r="M4171" s="1077"/>
    </row>
    <row r="4172" spans="5:13">
      <c r="E4172" s="1077"/>
      <c r="F4172" s="1077"/>
      <c r="G4172" s="1077"/>
      <c r="H4172" s="1077"/>
      <c r="I4172" s="1077"/>
      <c r="J4172" s="1077"/>
      <c r="K4172" s="1077"/>
      <c r="L4172" s="1077"/>
      <c r="M4172" s="1077"/>
    </row>
    <row r="4173" spans="5:13">
      <c r="E4173" s="1077"/>
      <c r="F4173" s="1077"/>
      <c r="G4173" s="1077"/>
      <c r="H4173" s="1077"/>
      <c r="I4173" s="1077"/>
      <c r="J4173" s="1077"/>
      <c r="K4173" s="1077"/>
      <c r="L4173" s="1077"/>
      <c r="M4173" s="1077"/>
    </row>
    <row r="4174" spans="5:13">
      <c r="E4174" s="1077"/>
      <c r="F4174" s="1077"/>
      <c r="G4174" s="1077"/>
      <c r="H4174" s="1077"/>
      <c r="I4174" s="1077"/>
      <c r="J4174" s="1077"/>
      <c r="K4174" s="1077"/>
      <c r="L4174" s="1077"/>
      <c r="M4174" s="1077"/>
    </row>
    <row r="4175" spans="5:13">
      <c r="E4175" s="1077"/>
      <c r="F4175" s="1077"/>
      <c r="G4175" s="1077"/>
      <c r="H4175" s="1077"/>
      <c r="I4175" s="1077"/>
      <c r="J4175" s="1077"/>
      <c r="K4175" s="1077"/>
      <c r="L4175" s="1077"/>
      <c r="M4175" s="1077"/>
    </row>
    <row r="4176" spans="5:13">
      <c r="E4176" s="1077"/>
      <c r="F4176" s="1077"/>
      <c r="G4176" s="1077"/>
      <c r="H4176" s="1077"/>
      <c r="I4176" s="1077"/>
      <c r="J4176" s="1077"/>
      <c r="K4176" s="1077"/>
      <c r="L4176" s="1077"/>
      <c r="M4176" s="1077"/>
    </row>
    <row r="4177" spans="5:13">
      <c r="E4177" s="1077"/>
      <c r="F4177" s="1077"/>
      <c r="G4177" s="1077"/>
      <c r="H4177" s="1077"/>
      <c r="I4177" s="1077"/>
      <c r="J4177" s="1077"/>
      <c r="K4177" s="1077"/>
      <c r="L4177" s="1077"/>
      <c r="M4177" s="1077"/>
    </row>
    <row r="4178" spans="5:13">
      <c r="E4178" s="1077"/>
      <c r="F4178" s="1077"/>
      <c r="G4178" s="1077"/>
      <c r="H4178" s="1077"/>
      <c r="I4178" s="1077"/>
      <c r="J4178" s="1077"/>
      <c r="K4178" s="1077"/>
      <c r="L4178" s="1077"/>
      <c r="M4178" s="1077"/>
    </row>
    <row r="4179" spans="5:13">
      <c r="E4179" s="1077"/>
      <c r="F4179" s="1077"/>
      <c r="G4179" s="1077"/>
      <c r="H4179" s="1077"/>
      <c r="I4179" s="1077"/>
      <c r="J4179" s="1077"/>
      <c r="K4179" s="1077"/>
      <c r="L4179" s="1077"/>
      <c r="M4179" s="1077"/>
    </row>
    <row r="4180" spans="5:13">
      <c r="E4180" s="1077"/>
      <c r="F4180" s="1077"/>
      <c r="G4180" s="1077"/>
      <c r="H4180" s="1077"/>
      <c r="I4180" s="1077"/>
      <c r="J4180" s="1077"/>
      <c r="K4180" s="1077"/>
      <c r="L4180" s="1077"/>
      <c r="M4180" s="1077"/>
    </row>
    <row r="4181" spans="5:13">
      <c r="E4181" s="1077"/>
      <c r="F4181" s="1077"/>
      <c r="G4181" s="1077"/>
      <c r="H4181" s="1077"/>
      <c r="I4181" s="1077"/>
      <c r="J4181" s="1077"/>
      <c r="K4181" s="1077"/>
      <c r="L4181" s="1077"/>
      <c r="M4181" s="1077"/>
    </row>
    <row r="4182" spans="5:13">
      <c r="E4182" s="1077"/>
      <c r="F4182" s="1077"/>
      <c r="G4182" s="1077"/>
      <c r="H4182" s="1077"/>
      <c r="I4182" s="1077"/>
      <c r="J4182" s="1077"/>
      <c r="K4182" s="1077"/>
      <c r="L4182" s="1077"/>
      <c r="M4182" s="1077"/>
    </row>
    <row r="4183" spans="5:13">
      <c r="E4183" s="1077"/>
      <c r="F4183" s="1077"/>
      <c r="G4183" s="1077"/>
      <c r="H4183" s="1077"/>
      <c r="I4183" s="1077"/>
      <c r="J4183" s="1077"/>
      <c r="K4183" s="1077"/>
      <c r="L4183" s="1077"/>
      <c r="M4183" s="1077"/>
    </row>
    <row r="4184" spans="5:13">
      <c r="E4184" s="1077"/>
      <c r="F4184" s="1077"/>
      <c r="G4184" s="1077"/>
      <c r="H4184" s="1077"/>
      <c r="I4184" s="1077"/>
      <c r="J4184" s="1077"/>
      <c r="K4184" s="1077"/>
      <c r="L4184" s="1077"/>
      <c r="M4184" s="1077"/>
    </row>
    <row r="4185" spans="5:13">
      <c r="E4185" s="1077"/>
      <c r="F4185" s="1077"/>
      <c r="G4185" s="1077"/>
      <c r="H4185" s="1077"/>
      <c r="I4185" s="1077"/>
      <c r="J4185" s="1077"/>
      <c r="K4185" s="1077"/>
      <c r="L4185" s="1077"/>
      <c r="M4185" s="1077"/>
    </row>
    <row r="4186" spans="5:13">
      <c r="E4186" s="1077"/>
      <c r="F4186" s="1077"/>
      <c r="G4186" s="1077"/>
      <c r="H4186" s="1077"/>
      <c r="I4186" s="1077"/>
      <c r="J4186" s="1077"/>
      <c r="K4186" s="1077"/>
      <c r="L4186" s="1077"/>
      <c r="M4186" s="1077"/>
    </row>
    <row r="4187" spans="5:13">
      <c r="E4187" s="1077"/>
      <c r="F4187" s="1077"/>
      <c r="G4187" s="1077"/>
      <c r="H4187" s="1077"/>
      <c r="I4187" s="1077"/>
      <c r="J4187" s="1077"/>
      <c r="K4187" s="1077"/>
      <c r="L4187" s="1077"/>
      <c r="M4187" s="1077"/>
    </row>
    <row r="4188" spans="5:13">
      <c r="E4188" s="1077"/>
      <c r="F4188" s="1077"/>
      <c r="G4188" s="1077"/>
      <c r="H4188" s="1077"/>
      <c r="I4188" s="1077"/>
      <c r="J4188" s="1077"/>
      <c r="K4188" s="1077"/>
      <c r="L4188" s="1077"/>
      <c r="M4188" s="1077"/>
    </row>
    <row r="4189" spans="5:13">
      <c r="E4189" s="1077"/>
      <c r="F4189" s="1077"/>
      <c r="G4189" s="1077"/>
      <c r="H4189" s="1077"/>
      <c r="I4189" s="1077"/>
      <c r="J4189" s="1077"/>
      <c r="K4189" s="1077"/>
      <c r="L4189" s="1077"/>
      <c r="M4189" s="1077"/>
    </row>
    <row r="4190" spans="5:13">
      <c r="E4190" s="1077"/>
      <c r="F4190" s="1077"/>
      <c r="G4190" s="1077"/>
      <c r="H4190" s="1077"/>
      <c r="I4190" s="1077"/>
      <c r="J4190" s="1077"/>
      <c r="K4190" s="1077"/>
      <c r="L4190" s="1077"/>
      <c r="M4190" s="1077"/>
    </row>
    <row r="4191" spans="5:13">
      <c r="E4191" s="1077"/>
      <c r="F4191" s="1077"/>
      <c r="G4191" s="1077"/>
      <c r="H4191" s="1077"/>
      <c r="I4191" s="1077"/>
      <c r="J4191" s="1077"/>
      <c r="K4191" s="1077"/>
      <c r="L4191" s="1077"/>
      <c r="M4191" s="1077"/>
    </row>
    <row r="4192" spans="5:13">
      <c r="E4192" s="1077"/>
      <c r="F4192" s="1077"/>
      <c r="G4192" s="1077"/>
      <c r="H4192" s="1077"/>
      <c r="I4192" s="1077"/>
      <c r="J4192" s="1077"/>
      <c r="K4192" s="1077"/>
      <c r="L4192" s="1077"/>
      <c r="M4192" s="1077"/>
    </row>
    <row r="4193" spans="5:13">
      <c r="E4193" s="1077"/>
      <c r="F4193" s="1077"/>
      <c r="G4193" s="1077"/>
      <c r="H4193" s="1077"/>
      <c r="I4193" s="1077"/>
      <c r="J4193" s="1077"/>
      <c r="K4193" s="1077"/>
      <c r="L4193" s="1077"/>
      <c r="M4193" s="1077"/>
    </row>
    <row r="4194" spans="5:13">
      <c r="E4194" s="1077"/>
      <c r="F4194" s="1077"/>
      <c r="G4194" s="1077"/>
      <c r="H4194" s="1077"/>
      <c r="I4194" s="1077"/>
      <c r="J4194" s="1077"/>
      <c r="K4194" s="1077"/>
      <c r="L4194" s="1077"/>
      <c r="M4194" s="1077"/>
    </row>
    <row r="4195" spans="5:13">
      <c r="E4195" s="1077"/>
      <c r="F4195" s="1077"/>
      <c r="G4195" s="1077"/>
      <c r="H4195" s="1077"/>
      <c r="I4195" s="1077"/>
      <c r="J4195" s="1077"/>
      <c r="K4195" s="1077"/>
      <c r="L4195" s="1077"/>
      <c r="M4195" s="1077"/>
    </row>
    <row r="4196" spans="5:13">
      <c r="E4196" s="1077"/>
      <c r="F4196" s="1077"/>
      <c r="G4196" s="1077"/>
      <c r="H4196" s="1077"/>
      <c r="I4196" s="1077"/>
      <c r="J4196" s="1077"/>
      <c r="K4196" s="1077"/>
      <c r="L4196" s="1077"/>
      <c r="M4196" s="1077"/>
    </row>
    <row r="4197" spans="5:13">
      <c r="E4197" s="1077"/>
      <c r="F4197" s="1077"/>
      <c r="G4197" s="1077"/>
      <c r="H4197" s="1077"/>
      <c r="I4197" s="1077"/>
      <c r="J4197" s="1077"/>
      <c r="K4197" s="1077"/>
      <c r="L4197" s="1077"/>
      <c r="M4197" s="1077"/>
    </row>
    <row r="4198" spans="5:13">
      <c r="E4198" s="1077"/>
      <c r="F4198" s="1077"/>
      <c r="G4198" s="1077"/>
      <c r="H4198" s="1077"/>
      <c r="I4198" s="1077"/>
      <c r="J4198" s="1077"/>
      <c r="K4198" s="1077"/>
      <c r="L4198" s="1077"/>
      <c r="M4198" s="1077"/>
    </row>
    <row r="4199" spans="5:13">
      <c r="E4199" s="1077"/>
      <c r="F4199" s="1077"/>
      <c r="G4199" s="1077"/>
      <c r="H4199" s="1077"/>
      <c r="I4199" s="1077"/>
      <c r="J4199" s="1077"/>
      <c r="K4199" s="1077"/>
      <c r="L4199" s="1077"/>
      <c r="M4199" s="1077"/>
    </row>
    <row r="4200" spans="5:13">
      <c r="E4200" s="1077"/>
      <c r="F4200" s="1077"/>
      <c r="G4200" s="1077"/>
      <c r="H4200" s="1077"/>
      <c r="I4200" s="1077"/>
      <c r="J4200" s="1077"/>
      <c r="K4200" s="1077"/>
      <c r="L4200" s="1077"/>
      <c r="M4200" s="1077"/>
    </row>
    <row r="4201" spans="5:13">
      <c r="E4201" s="1077"/>
      <c r="F4201" s="1077"/>
      <c r="G4201" s="1077"/>
      <c r="H4201" s="1077"/>
      <c r="I4201" s="1077"/>
      <c r="J4201" s="1077"/>
      <c r="K4201" s="1077"/>
      <c r="L4201" s="1077"/>
      <c r="M4201" s="1077"/>
    </row>
    <row r="4202" spans="5:13">
      <c r="E4202" s="1077"/>
      <c r="F4202" s="1077"/>
      <c r="G4202" s="1077"/>
      <c r="H4202" s="1077"/>
      <c r="I4202" s="1077"/>
      <c r="J4202" s="1077"/>
      <c r="K4202" s="1077"/>
      <c r="L4202" s="1077"/>
      <c r="M4202" s="1077"/>
    </row>
    <row r="4203" spans="5:13">
      <c r="E4203" s="1077"/>
      <c r="F4203" s="1077"/>
      <c r="G4203" s="1077"/>
      <c r="H4203" s="1077"/>
      <c r="I4203" s="1077"/>
      <c r="J4203" s="1077"/>
      <c r="K4203" s="1077"/>
      <c r="L4203" s="1077"/>
      <c r="M4203" s="1077"/>
    </row>
    <row r="4204" spans="5:13">
      <c r="E4204" s="1077"/>
      <c r="F4204" s="1077"/>
      <c r="G4204" s="1077"/>
      <c r="H4204" s="1077"/>
      <c r="I4204" s="1077"/>
      <c r="J4204" s="1077"/>
      <c r="K4204" s="1077"/>
      <c r="L4204" s="1077"/>
      <c r="M4204" s="1077"/>
    </row>
    <row r="4205" spans="5:13">
      <c r="E4205" s="1077"/>
      <c r="F4205" s="1077"/>
      <c r="G4205" s="1077"/>
      <c r="H4205" s="1077"/>
      <c r="I4205" s="1077"/>
      <c r="J4205" s="1077"/>
      <c r="K4205" s="1077"/>
      <c r="L4205" s="1077"/>
      <c r="M4205" s="1077"/>
    </row>
    <row r="4206" spans="5:13">
      <c r="E4206" s="1077"/>
      <c r="F4206" s="1077"/>
      <c r="G4206" s="1077"/>
      <c r="H4206" s="1077"/>
      <c r="I4206" s="1077"/>
      <c r="J4206" s="1077"/>
      <c r="K4206" s="1077"/>
      <c r="L4206" s="1077"/>
      <c r="M4206" s="1077"/>
    </row>
    <row r="4207" spans="5:13">
      <c r="E4207" s="1077"/>
      <c r="F4207" s="1077"/>
      <c r="G4207" s="1077"/>
      <c r="H4207" s="1077"/>
      <c r="I4207" s="1077"/>
      <c r="J4207" s="1077"/>
      <c r="K4207" s="1077"/>
      <c r="L4207" s="1077"/>
      <c r="M4207" s="1077"/>
    </row>
    <row r="4208" spans="5:13">
      <c r="E4208" s="1077"/>
      <c r="F4208" s="1077"/>
      <c r="G4208" s="1077"/>
      <c r="H4208" s="1077"/>
      <c r="I4208" s="1077"/>
      <c r="J4208" s="1077"/>
      <c r="K4208" s="1077"/>
      <c r="L4208" s="1077"/>
      <c r="M4208" s="1077"/>
    </row>
    <row r="4209" spans="5:13">
      <c r="E4209" s="1077"/>
      <c r="F4209" s="1077"/>
      <c r="G4209" s="1077"/>
      <c r="H4209" s="1077"/>
      <c r="I4209" s="1077"/>
      <c r="J4209" s="1077"/>
      <c r="K4209" s="1077"/>
      <c r="L4209" s="1077"/>
      <c r="M4209" s="1077"/>
    </row>
    <row r="4210" spans="5:13">
      <c r="E4210" s="1077"/>
      <c r="F4210" s="1077"/>
      <c r="G4210" s="1077"/>
      <c r="H4210" s="1077"/>
      <c r="I4210" s="1077"/>
      <c r="J4210" s="1077"/>
      <c r="K4210" s="1077"/>
      <c r="L4210" s="1077"/>
      <c r="M4210" s="1077"/>
    </row>
    <row r="4211" spans="5:13">
      <c r="E4211" s="1077"/>
      <c r="F4211" s="1077"/>
      <c r="G4211" s="1077"/>
      <c r="H4211" s="1077"/>
      <c r="I4211" s="1077"/>
      <c r="J4211" s="1077"/>
      <c r="K4211" s="1077"/>
      <c r="L4211" s="1077"/>
      <c r="M4211" s="1077"/>
    </row>
    <row r="4212" spans="5:13">
      <c r="E4212" s="1077"/>
      <c r="F4212" s="1077"/>
      <c r="G4212" s="1077"/>
      <c r="H4212" s="1077"/>
      <c r="I4212" s="1077"/>
      <c r="J4212" s="1077"/>
      <c r="K4212" s="1077"/>
      <c r="L4212" s="1077"/>
      <c r="M4212" s="1077"/>
    </row>
    <row r="4213" spans="5:13">
      <c r="E4213" s="1077"/>
      <c r="F4213" s="1077"/>
      <c r="G4213" s="1077"/>
      <c r="H4213" s="1077"/>
      <c r="I4213" s="1077"/>
      <c r="J4213" s="1077"/>
      <c r="K4213" s="1077"/>
      <c r="L4213" s="1077"/>
      <c r="M4213" s="1077"/>
    </row>
    <row r="4214" spans="5:13">
      <c r="E4214" s="1077"/>
      <c r="F4214" s="1077"/>
      <c r="G4214" s="1077"/>
      <c r="H4214" s="1077"/>
      <c r="I4214" s="1077"/>
      <c r="J4214" s="1077"/>
      <c r="K4214" s="1077"/>
      <c r="L4214" s="1077"/>
      <c r="M4214" s="1077"/>
    </row>
    <row r="4215" spans="5:13">
      <c r="E4215" s="1077"/>
      <c r="F4215" s="1077"/>
      <c r="G4215" s="1077"/>
      <c r="H4215" s="1077"/>
      <c r="I4215" s="1077"/>
      <c r="J4215" s="1077"/>
      <c r="K4215" s="1077"/>
      <c r="L4215" s="1077"/>
      <c r="M4215" s="1077"/>
    </row>
    <row r="4216" spans="5:13">
      <c r="E4216" s="1077"/>
      <c r="F4216" s="1077"/>
      <c r="G4216" s="1077"/>
      <c r="H4216" s="1077"/>
      <c r="I4216" s="1077"/>
      <c r="J4216" s="1077"/>
      <c r="K4216" s="1077"/>
      <c r="L4216" s="1077"/>
      <c r="M4216" s="1077"/>
    </row>
    <row r="4217" spans="5:13">
      <c r="E4217" s="1077"/>
      <c r="F4217" s="1077"/>
      <c r="G4217" s="1077"/>
      <c r="H4217" s="1077"/>
      <c r="I4217" s="1077"/>
      <c r="J4217" s="1077"/>
      <c r="K4217" s="1077"/>
      <c r="L4217" s="1077"/>
      <c r="M4217" s="1077"/>
    </row>
    <row r="4218" spans="5:13">
      <c r="E4218" s="1077"/>
      <c r="F4218" s="1077"/>
      <c r="G4218" s="1077"/>
      <c r="H4218" s="1077"/>
      <c r="I4218" s="1077"/>
      <c r="J4218" s="1077"/>
      <c r="K4218" s="1077"/>
      <c r="L4218" s="1077"/>
      <c r="M4218" s="1077"/>
    </row>
    <row r="4219" spans="5:13">
      <c r="E4219" s="1077"/>
      <c r="F4219" s="1077"/>
      <c r="G4219" s="1077"/>
      <c r="H4219" s="1077"/>
      <c r="I4219" s="1077"/>
      <c r="J4219" s="1077"/>
      <c r="K4219" s="1077"/>
      <c r="L4219" s="1077"/>
      <c r="M4219" s="1077"/>
    </row>
    <row r="4220" spans="5:13">
      <c r="E4220" s="1077"/>
      <c r="F4220" s="1077"/>
      <c r="G4220" s="1077"/>
      <c r="H4220" s="1077"/>
      <c r="I4220" s="1077"/>
      <c r="J4220" s="1077"/>
      <c r="K4220" s="1077"/>
      <c r="L4220" s="1077"/>
      <c r="M4220" s="1077"/>
    </row>
    <row r="4221" spans="5:13">
      <c r="E4221" s="1077"/>
      <c r="F4221" s="1077"/>
      <c r="G4221" s="1077"/>
      <c r="H4221" s="1077"/>
      <c r="I4221" s="1077"/>
      <c r="J4221" s="1077"/>
      <c r="K4221" s="1077"/>
      <c r="L4221" s="1077"/>
      <c r="M4221" s="1077"/>
    </row>
    <row r="4222" spans="5:13">
      <c r="E4222" s="1077"/>
      <c r="F4222" s="1077"/>
      <c r="G4222" s="1077"/>
      <c r="H4222" s="1077"/>
      <c r="I4222" s="1077"/>
      <c r="J4222" s="1077"/>
      <c r="K4222" s="1077"/>
      <c r="L4222" s="1077"/>
      <c r="M4222" s="1077"/>
    </row>
    <row r="4223" spans="5:13">
      <c r="E4223" s="1077"/>
      <c r="F4223" s="1077"/>
      <c r="G4223" s="1077"/>
      <c r="H4223" s="1077"/>
      <c r="I4223" s="1077"/>
      <c r="J4223" s="1077"/>
      <c r="K4223" s="1077"/>
      <c r="L4223" s="1077"/>
      <c r="M4223" s="1077"/>
    </row>
    <row r="4224" spans="5:13">
      <c r="E4224" s="1077"/>
      <c r="F4224" s="1077"/>
      <c r="G4224" s="1077"/>
      <c r="H4224" s="1077"/>
      <c r="I4224" s="1077"/>
      <c r="J4224" s="1077"/>
      <c r="K4224" s="1077"/>
      <c r="L4224" s="1077"/>
      <c r="M4224" s="1077"/>
    </row>
    <row r="4225" spans="5:13">
      <c r="E4225" s="1077"/>
      <c r="F4225" s="1077"/>
      <c r="G4225" s="1077"/>
      <c r="H4225" s="1077"/>
      <c r="I4225" s="1077"/>
      <c r="J4225" s="1077"/>
      <c r="K4225" s="1077"/>
      <c r="L4225" s="1077"/>
      <c r="M4225" s="1077"/>
    </row>
    <row r="4226" spans="5:13">
      <c r="E4226" s="1077"/>
      <c r="F4226" s="1077"/>
      <c r="G4226" s="1077"/>
      <c r="H4226" s="1077"/>
      <c r="I4226" s="1077"/>
      <c r="J4226" s="1077"/>
      <c r="K4226" s="1077"/>
      <c r="L4226" s="1077"/>
      <c r="M4226" s="1077"/>
    </row>
    <row r="4227" spans="5:13">
      <c r="E4227" s="1077"/>
      <c r="F4227" s="1077"/>
      <c r="G4227" s="1077"/>
      <c r="H4227" s="1077"/>
      <c r="I4227" s="1077"/>
      <c r="J4227" s="1077"/>
      <c r="K4227" s="1077"/>
      <c r="L4227" s="1077"/>
      <c r="M4227" s="1077"/>
    </row>
    <row r="4228" spans="5:13">
      <c r="E4228" s="1077"/>
      <c r="F4228" s="1077"/>
      <c r="G4228" s="1077"/>
      <c r="H4228" s="1077"/>
      <c r="I4228" s="1077"/>
      <c r="J4228" s="1077"/>
      <c r="K4228" s="1077"/>
      <c r="L4228" s="1077"/>
      <c r="M4228" s="1077"/>
    </row>
    <row r="4229" spans="5:13">
      <c r="E4229" s="1077"/>
      <c r="F4229" s="1077"/>
      <c r="G4229" s="1077"/>
      <c r="H4229" s="1077"/>
      <c r="I4229" s="1077"/>
      <c r="J4229" s="1077"/>
      <c r="K4229" s="1077"/>
      <c r="L4229" s="1077"/>
      <c r="M4229" s="1077"/>
    </row>
    <row r="4230" spans="5:13">
      <c r="E4230" s="1077"/>
      <c r="F4230" s="1077"/>
      <c r="G4230" s="1077"/>
      <c r="H4230" s="1077"/>
      <c r="I4230" s="1077"/>
      <c r="J4230" s="1077"/>
      <c r="K4230" s="1077"/>
      <c r="L4230" s="1077"/>
      <c r="M4230" s="1077"/>
    </row>
    <row r="4231" spans="5:13">
      <c r="E4231" s="1077"/>
      <c r="F4231" s="1077"/>
      <c r="G4231" s="1077"/>
      <c r="H4231" s="1077"/>
      <c r="I4231" s="1077"/>
      <c r="J4231" s="1077"/>
      <c r="K4231" s="1077"/>
      <c r="L4231" s="1077"/>
      <c r="M4231" s="1077"/>
    </row>
    <row r="4232" spans="5:13">
      <c r="E4232" s="1077"/>
      <c r="F4232" s="1077"/>
      <c r="G4232" s="1077"/>
      <c r="H4232" s="1077"/>
      <c r="I4232" s="1077"/>
      <c r="J4232" s="1077"/>
      <c r="K4232" s="1077"/>
      <c r="L4232" s="1077"/>
      <c r="M4232" s="1077"/>
    </row>
    <row r="4233" spans="5:13">
      <c r="E4233" s="1077"/>
      <c r="F4233" s="1077"/>
      <c r="G4233" s="1077"/>
      <c r="H4233" s="1077"/>
      <c r="I4233" s="1077"/>
      <c r="J4233" s="1077"/>
      <c r="K4233" s="1077"/>
      <c r="L4233" s="1077"/>
      <c r="M4233" s="1077"/>
    </row>
    <row r="4234" spans="5:13">
      <c r="E4234" s="1077"/>
      <c r="F4234" s="1077"/>
      <c r="G4234" s="1077"/>
      <c r="H4234" s="1077"/>
      <c r="I4234" s="1077"/>
      <c r="J4234" s="1077"/>
      <c r="K4234" s="1077"/>
      <c r="L4234" s="1077"/>
      <c r="M4234" s="1077"/>
    </row>
    <row r="4235" spans="5:13">
      <c r="E4235" s="1077"/>
      <c r="F4235" s="1077"/>
      <c r="G4235" s="1077"/>
      <c r="H4235" s="1077"/>
      <c r="I4235" s="1077"/>
      <c r="J4235" s="1077"/>
      <c r="K4235" s="1077"/>
      <c r="L4235" s="1077"/>
      <c r="M4235" s="1077"/>
    </row>
    <row r="4236" spans="5:13">
      <c r="E4236" s="1077"/>
      <c r="F4236" s="1077"/>
      <c r="G4236" s="1077"/>
      <c r="H4236" s="1077"/>
      <c r="I4236" s="1077"/>
      <c r="J4236" s="1077"/>
      <c r="K4236" s="1077"/>
      <c r="L4236" s="1077"/>
      <c r="M4236" s="1077"/>
    </row>
    <row r="4237" spans="5:13">
      <c r="E4237" s="1077"/>
      <c r="F4237" s="1077"/>
      <c r="G4237" s="1077"/>
      <c r="H4237" s="1077"/>
      <c r="I4237" s="1077"/>
      <c r="J4237" s="1077"/>
      <c r="K4237" s="1077"/>
      <c r="L4237" s="1077"/>
      <c r="M4237" s="1077"/>
    </row>
    <row r="4238" spans="5:13">
      <c r="E4238" s="1077"/>
      <c r="F4238" s="1077"/>
      <c r="G4238" s="1077"/>
      <c r="H4238" s="1077"/>
      <c r="I4238" s="1077"/>
      <c r="J4238" s="1077"/>
      <c r="K4238" s="1077"/>
      <c r="L4238" s="1077"/>
      <c r="M4238" s="1077"/>
    </row>
    <row r="4239" spans="5:13">
      <c r="E4239" s="1077"/>
      <c r="F4239" s="1077"/>
      <c r="G4239" s="1077"/>
      <c r="H4239" s="1077"/>
      <c r="I4239" s="1077"/>
      <c r="J4239" s="1077"/>
      <c r="K4239" s="1077"/>
      <c r="L4239" s="1077"/>
      <c r="M4239" s="1077"/>
    </row>
    <row r="4240" spans="5:13">
      <c r="E4240" s="1077"/>
      <c r="F4240" s="1077"/>
      <c r="G4240" s="1077"/>
      <c r="H4240" s="1077"/>
      <c r="I4240" s="1077"/>
      <c r="J4240" s="1077"/>
      <c r="K4240" s="1077"/>
      <c r="L4240" s="1077"/>
      <c r="M4240" s="1077"/>
    </row>
    <row r="4241" spans="5:13">
      <c r="E4241" s="1077"/>
      <c r="F4241" s="1077"/>
      <c r="G4241" s="1077"/>
      <c r="H4241" s="1077"/>
      <c r="I4241" s="1077"/>
      <c r="J4241" s="1077"/>
      <c r="K4241" s="1077"/>
      <c r="L4241" s="1077"/>
      <c r="M4241" s="1077"/>
    </row>
    <row r="4242" spans="5:13">
      <c r="E4242" s="1077"/>
      <c r="F4242" s="1077"/>
      <c r="G4242" s="1077"/>
      <c r="H4242" s="1077"/>
      <c r="I4242" s="1077"/>
      <c r="J4242" s="1077"/>
      <c r="K4242" s="1077"/>
      <c r="L4242" s="1077"/>
      <c r="M4242" s="1077"/>
    </row>
    <row r="4243" spans="5:13">
      <c r="E4243" s="1077"/>
      <c r="F4243" s="1077"/>
      <c r="G4243" s="1077"/>
      <c r="H4243" s="1077"/>
      <c r="I4243" s="1077"/>
      <c r="J4243" s="1077"/>
      <c r="K4243" s="1077"/>
      <c r="L4243" s="1077"/>
      <c r="M4243" s="1077"/>
    </row>
    <row r="4244" spans="5:13">
      <c r="E4244" s="1077"/>
      <c r="F4244" s="1077"/>
      <c r="G4244" s="1077"/>
      <c r="H4244" s="1077"/>
      <c r="I4244" s="1077"/>
      <c r="J4244" s="1077"/>
      <c r="K4244" s="1077"/>
      <c r="L4244" s="1077"/>
      <c r="M4244" s="1077"/>
    </row>
    <row r="4245" spans="5:13">
      <c r="E4245" s="1077"/>
      <c r="F4245" s="1077"/>
      <c r="G4245" s="1077"/>
      <c r="H4245" s="1077"/>
      <c r="I4245" s="1077"/>
      <c r="J4245" s="1077"/>
      <c r="K4245" s="1077"/>
      <c r="L4245" s="1077"/>
      <c r="M4245" s="1077"/>
    </row>
    <row r="4246" spans="5:13">
      <c r="E4246" s="1077"/>
      <c r="F4246" s="1077"/>
      <c r="G4246" s="1077"/>
      <c r="H4246" s="1077"/>
      <c r="I4246" s="1077"/>
      <c r="J4246" s="1077"/>
      <c r="K4246" s="1077"/>
      <c r="L4246" s="1077"/>
      <c r="M4246" s="1077"/>
    </row>
    <row r="4247" spans="5:13">
      <c r="E4247" s="1077"/>
      <c r="F4247" s="1077"/>
      <c r="G4247" s="1077"/>
      <c r="H4247" s="1077"/>
      <c r="I4247" s="1077"/>
      <c r="J4247" s="1077"/>
      <c r="K4247" s="1077"/>
      <c r="L4247" s="1077"/>
      <c r="M4247" s="1077"/>
    </row>
    <row r="4248" spans="5:13">
      <c r="E4248" s="1077"/>
      <c r="F4248" s="1077"/>
      <c r="G4248" s="1077"/>
      <c r="H4248" s="1077"/>
      <c r="I4248" s="1077"/>
      <c r="J4248" s="1077"/>
      <c r="K4248" s="1077"/>
      <c r="L4248" s="1077"/>
      <c r="M4248" s="1077"/>
    </row>
    <row r="4249" spans="5:13">
      <c r="E4249" s="1077"/>
      <c r="F4249" s="1077"/>
      <c r="G4249" s="1077"/>
      <c r="H4249" s="1077"/>
      <c r="I4249" s="1077"/>
      <c r="J4249" s="1077"/>
      <c r="K4249" s="1077"/>
      <c r="L4249" s="1077"/>
      <c r="M4249" s="1077"/>
    </row>
    <row r="4250" spans="5:13">
      <c r="E4250" s="1077"/>
      <c r="F4250" s="1077"/>
      <c r="G4250" s="1077"/>
      <c r="H4250" s="1077"/>
      <c r="I4250" s="1077"/>
      <c r="J4250" s="1077"/>
      <c r="K4250" s="1077"/>
      <c r="L4250" s="1077"/>
      <c r="M4250" s="1077"/>
    </row>
    <row r="4251" spans="5:13">
      <c r="E4251" s="1077"/>
      <c r="F4251" s="1077"/>
      <c r="G4251" s="1077"/>
      <c r="H4251" s="1077"/>
      <c r="I4251" s="1077"/>
      <c r="J4251" s="1077"/>
      <c r="K4251" s="1077"/>
      <c r="L4251" s="1077"/>
      <c r="M4251" s="1077"/>
    </row>
    <row r="4252" spans="5:13">
      <c r="E4252" s="1077"/>
      <c r="F4252" s="1077"/>
      <c r="G4252" s="1077"/>
      <c r="H4252" s="1077"/>
      <c r="I4252" s="1077"/>
      <c r="J4252" s="1077"/>
      <c r="K4252" s="1077"/>
      <c r="L4252" s="1077"/>
      <c r="M4252" s="1077"/>
    </row>
    <row r="4253" spans="5:13">
      <c r="E4253" s="1077"/>
      <c r="F4253" s="1077"/>
      <c r="G4253" s="1077"/>
      <c r="H4253" s="1077"/>
      <c r="I4253" s="1077"/>
      <c r="J4253" s="1077"/>
      <c r="K4253" s="1077"/>
      <c r="L4253" s="1077"/>
      <c r="M4253" s="1077"/>
    </row>
    <row r="4254" spans="5:13">
      <c r="E4254" s="1077"/>
      <c r="F4254" s="1077"/>
      <c r="G4254" s="1077"/>
      <c r="H4254" s="1077"/>
      <c r="I4254" s="1077"/>
      <c r="J4254" s="1077"/>
      <c r="K4254" s="1077"/>
      <c r="L4254" s="1077"/>
      <c r="M4254" s="1077"/>
    </row>
    <row r="4255" spans="5:13">
      <c r="E4255" s="1077"/>
      <c r="F4255" s="1077"/>
      <c r="G4255" s="1077"/>
      <c r="H4255" s="1077"/>
      <c r="I4255" s="1077"/>
      <c r="J4255" s="1077"/>
      <c r="K4255" s="1077"/>
      <c r="L4255" s="1077"/>
      <c r="M4255" s="1077"/>
    </row>
    <row r="4256" spans="5:13">
      <c r="E4256" s="1077"/>
      <c r="F4256" s="1077"/>
      <c r="G4256" s="1077"/>
      <c r="H4256" s="1077"/>
      <c r="I4256" s="1077"/>
      <c r="J4256" s="1077"/>
      <c r="K4256" s="1077"/>
      <c r="L4256" s="1077"/>
      <c r="M4256" s="1077"/>
    </row>
    <row r="4257" spans="5:13">
      <c r="E4257" s="1077"/>
      <c r="F4257" s="1077"/>
      <c r="G4257" s="1077"/>
      <c r="H4257" s="1077"/>
      <c r="I4257" s="1077"/>
      <c r="J4257" s="1077"/>
      <c r="K4257" s="1077"/>
      <c r="L4257" s="1077"/>
      <c r="M4257" s="1077"/>
    </row>
    <row r="4258" spans="5:13">
      <c r="E4258" s="1077"/>
      <c r="F4258" s="1077"/>
      <c r="G4258" s="1077"/>
      <c r="H4258" s="1077"/>
      <c r="I4258" s="1077"/>
      <c r="J4258" s="1077"/>
      <c r="K4258" s="1077"/>
      <c r="L4258" s="1077"/>
      <c r="M4258" s="1077"/>
    </row>
    <row r="4259" spans="5:13">
      <c r="E4259" s="1077"/>
      <c r="F4259" s="1077"/>
      <c r="G4259" s="1077"/>
      <c r="H4259" s="1077"/>
      <c r="I4259" s="1077"/>
      <c r="J4259" s="1077"/>
      <c r="K4259" s="1077"/>
      <c r="L4259" s="1077"/>
      <c r="M4259" s="1077"/>
    </row>
    <row r="4260" spans="5:13">
      <c r="E4260" s="1077"/>
      <c r="F4260" s="1077"/>
      <c r="G4260" s="1077"/>
      <c r="H4260" s="1077"/>
      <c r="I4260" s="1077"/>
      <c r="J4260" s="1077"/>
      <c r="K4260" s="1077"/>
      <c r="L4260" s="1077"/>
      <c r="M4260" s="1077"/>
    </row>
    <row r="4261" spans="5:13">
      <c r="E4261" s="1077"/>
      <c r="F4261" s="1077"/>
      <c r="G4261" s="1077"/>
      <c r="H4261" s="1077"/>
      <c r="I4261" s="1077"/>
      <c r="J4261" s="1077"/>
      <c r="K4261" s="1077"/>
      <c r="L4261" s="1077"/>
      <c r="M4261" s="1077"/>
    </row>
    <row r="4262" spans="5:13">
      <c r="E4262" s="1077"/>
      <c r="F4262" s="1077"/>
      <c r="G4262" s="1077"/>
      <c r="H4262" s="1077"/>
      <c r="I4262" s="1077"/>
      <c r="J4262" s="1077"/>
      <c r="K4262" s="1077"/>
      <c r="L4262" s="1077"/>
      <c r="M4262" s="1077"/>
    </row>
    <row r="4263" spans="5:13">
      <c r="E4263" s="1077"/>
      <c r="F4263" s="1077"/>
      <c r="G4263" s="1077"/>
      <c r="H4263" s="1077"/>
      <c r="I4263" s="1077"/>
      <c r="J4263" s="1077"/>
      <c r="K4263" s="1077"/>
      <c r="L4263" s="1077"/>
      <c r="M4263" s="1077"/>
    </row>
    <row r="4264" spans="5:13">
      <c r="E4264" s="1077"/>
      <c r="F4264" s="1077"/>
      <c r="G4264" s="1077"/>
      <c r="H4264" s="1077"/>
      <c r="I4264" s="1077"/>
      <c r="J4264" s="1077"/>
      <c r="K4264" s="1077"/>
      <c r="L4264" s="1077"/>
      <c r="M4264" s="1077"/>
    </row>
    <row r="4265" spans="5:13">
      <c r="E4265" s="1077"/>
      <c r="F4265" s="1077"/>
      <c r="G4265" s="1077"/>
      <c r="H4265" s="1077"/>
      <c r="I4265" s="1077"/>
      <c r="J4265" s="1077"/>
      <c r="K4265" s="1077"/>
      <c r="L4265" s="1077"/>
      <c r="M4265" s="1077"/>
    </row>
    <row r="4266" spans="5:13">
      <c r="E4266" s="1077"/>
      <c r="F4266" s="1077"/>
      <c r="G4266" s="1077"/>
      <c r="H4266" s="1077"/>
      <c r="I4266" s="1077"/>
      <c r="J4266" s="1077"/>
      <c r="K4266" s="1077"/>
      <c r="L4266" s="1077"/>
      <c r="M4266" s="1077"/>
    </row>
    <row r="4267" spans="5:13">
      <c r="E4267" s="1077"/>
      <c r="F4267" s="1077"/>
      <c r="G4267" s="1077"/>
      <c r="H4267" s="1077"/>
      <c r="I4267" s="1077"/>
      <c r="J4267" s="1077"/>
      <c r="K4267" s="1077"/>
      <c r="L4267" s="1077"/>
      <c r="M4267" s="1077"/>
    </row>
    <row r="4268" spans="5:13">
      <c r="E4268" s="1077"/>
      <c r="F4268" s="1077"/>
      <c r="G4268" s="1077"/>
      <c r="H4268" s="1077"/>
      <c r="I4268" s="1077"/>
      <c r="J4268" s="1077"/>
      <c r="K4268" s="1077"/>
      <c r="L4268" s="1077"/>
      <c r="M4268" s="1077"/>
    </row>
    <row r="4269" spans="5:13">
      <c r="E4269" s="1077"/>
      <c r="F4269" s="1077"/>
      <c r="G4269" s="1077"/>
      <c r="H4269" s="1077"/>
      <c r="I4269" s="1077"/>
      <c r="J4269" s="1077"/>
      <c r="K4269" s="1077"/>
      <c r="L4269" s="1077"/>
      <c r="M4269" s="1077"/>
    </row>
    <row r="4270" spans="5:13">
      <c r="E4270" s="1077"/>
      <c r="F4270" s="1077"/>
      <c r="G4270" s="1077"/>
      <c r="H4270" s="1077"/>
      <c r="I4270" s="1077"/>
      <c r="J4270" s="1077"/>
      <c r="K4270" s="1077"/>
      <c r="L4270" s="1077"/>
      <c r="M4270" s="1077"/>
    </row>
    <row r="4271" spans="5:13">
      <c r="E4271" s="1077"/>
      <c r="F4271" s="1077"/>
      <c r="G4271" s="1077"/>
      <c r="H4271" s="1077"/>
      <c r="I4271" s="1077"/>
      <c r="J4271" s="1077"/>
      <c r="K4271" s="1077"/>
      <c r="L4271" s="1077"/>
      <c r="M4271" s="1077"/>
    </row>
    <row r="4272" spans="5:13">
      <c r="E4272" s="1077"/>
      <c r="F4272" s="1077"/>
      <c r="G4272" s="1077"/>
      <c r="H4272" s="1077"/>
      <c r="I4272" s="1077"/>
      <c r="J4272" s="1077"/>
      <c r="K4272" s="1077"/>
      <c r="L4272" s="1077"/>
      <c r="M4272" s="1077"/>
    </row>
    <row r="4273" spans="5:13">
      <c r="E4273" s="1077"/>
      <c r="F4273" s="1077"/>
      <c r="G4273" s="1077"/>
      <c r="H4273" s="1077"/>
      <c r="I4273" s="1077"/>
      <c r="J4273" s="1077"/>
      <c r="K4273" s="1077"/>
      <c r="L4273" s="1077"/>
      <c r="M4273" s="1077"/>
    </row>
    <row r="4274" spans="5:13">
      <c r="E4274" s="1077"/>
      <c r="F4274" s="1077"/>
      <c r="G4274" s="1077"/>
      <c r="H4274" s="1077"/>
      <c r="I4274" s="1077"/>
      <c r="J4274" s="1077"/>
      <c r="K4274" s="1077"/>
      <c r="L4274" s="1077"/>
      <c r="M4274" s="1077"/>
    </row>
    <row r="4275" spans="5:13">
      <c r="E4275" s="1077"/>
      <c r="F4275" s="1077"/>
      <c r="G4275" s="1077"/>
      <c r="H4275" s="1077"/>
      <c r="I4275" s="1077"/>
      <c r="J4275" s="1077"/>
      <c r="K4275" s="1077"/>
      <c r="L4275" s="1077"/>
      <c r="M4275" s="1077"/>
    </row>
    <row r="4276" spans="5:13">
      <c r="E4276" s="1077"/>
      <c r="F4276" s="1077"/>
      <c r="G4276" s="1077"/>
      <c r="H4276" s="1077"/>
      <c r="I4276" s="1077"/>
      <c r="J4276" s="1077"/>
      <c r="K4276" s="1077"/>
      <c r="L4276" s="1077"/>
      <c r="M4276" s="1077"/>
    </row>
    <row r="4277" spans="5:13">
      <c r="E4277" s="1077"/>
      <c r="F4277" s="1077"/>
      <c r="G4277" s="1077"/>
      <c r="H4277" s="1077"/>
      <c r="I4277" s="1077"/>
      <c r="J4277" s="1077"/>
      <c r="K4277" s="1077"/>
      <c r="L4277" s="1077"/>
      <c r="M4277" s="1077"/>
    </row>
    <row r="4278" spans="5:13">
      <c r="E4278" s="1077"/>
      <c r="F4278" s="1077"/>
      <c r="G4278" s="1077"/>
      <c r="H4278" s="1077"/>
      <c r="I4278" s="1077"/>
      <c r="J4278" s="1077"/>
      <c r="K4278" s="1077"/>
      <c r="L4278" s="1077"/>
      <c r="M4278" s="1077"/>
    </row>
    <row r="4279" spans="5:13">
      <c r="E4279" s="1077"/>
      <c r="F4279" s="1077"/>
      <c r="G4279" s="1077"/>
      <c r="H4279" s="1077"/>
      <c r="I4279" s="1077"/>
      <c r="J4279" s="1077"/>
      <c r="K4279" s="1077"/>
      <c r="L4279" s="1077"/>
      <c r="M4279" s="1077"/>
    </row>
    <row r="4280" spans="5:13">
      <c r="E4280" s="1077"/>
      <c r="F4280" s="1077"/>
      <c r="G4280" s="1077"/>
      <c r="H4280" s="1077"/>
      <c r="I4280" s="1077"/>
      <c r="J4280" s="1077"/>
      <c r="K4280" s="1077"/>
      <c r="L4280" s="1077"/>
      <c r="M4280" s="1077"/>
    </row>
    <row r="4281" spans="5:13">
      <c r="E4281" s="1077"/>
      <c r="F4281" s="1077"/>
      <c r="G4281" s="1077"/>
      <c r="H4281" s="1077"/>
      <c r="I4281" s="1077"/>
      <c r="J4281" s="1077"/>
      <c r="K4281" s="1077"/>
      <c r="L4281" s="1077"/>
      <c r="M4281" s="1077"/>
    </row>
    <row r="4282" spans="5:13">
      <c r="E4282" s="1077"/>
      <c r="F4282" s="1077"/>
      <c r="G4282" s="1077"/>
      <c r="H4282" s="1077"/>
      <c r="I4282" s="1077"/>
      <c r="J4282" s="1077"/>
      <c r="K4282" s="1077"/>
      <c r="L4282" s="1077"/>
      <c r="M4282" s="1077"/>
    </row>
    <row r="4283" spans="5:13">
      <c r="E4283" s="1077"/>
      <c r="F4283" s="1077"/>
      <c r="G4283" s="1077"/>
      <c r="H4283" s="1077"/>
      <c r="I4283" s="1077"/>
      <c r="J4283" s="1077"/>
      <c r="K4283" s="1077"/>
      <c r="L4283" s="1077"/>
      <c r="M4283" s="1077"/>
    </row>
    <row r="4284" spans="5:13">
      <c r="E4284" s="1077"/>
      <c r="F4284" s="1077"/>
      <c r="G4284" s="1077"/>
      <c r="H4284" s="1077"/>
      <c r="I4284" s="1077"/>
      <c r="J4284" s="1077"/>
      <c r="K4284" s="1077"/>
      <c r="L4284" s="1077"/>
      <c r="M4284" s="1077"/>
    </row>
    <row r="4285" spans="5:13">
      <c r="E4285" s="1077"/>
      <c r="F4285" s="1077"/>
      <c r="G4285" s="1077"/>
      <c r="H4285" s="1077"/>
      <c r="I4285" s="1077"/>
      <c r="J4285" s="1077"/>
      <c r="K4285" s="1077"/>
      <c r="L4285" s="1077"/>
      <c r="M4285" s="1077"/>
    </row>
    <row r="4286" spans="5:13">
      <c r="E4286" s="1077"/>
      <c r="F4286" s="1077"/>
      <c r="G4286" s="1077"/>
      <c r="H4286" s="1077"/>
      <c r="I4286" s="1077"/>
      <c r="J4286" s="1077"/>
      <c r="K4286" s="1077"/>
      <c r="L4286" s="1077"/>
      <c r="M4286" s="1077"/>
    </row>
    <row r="4287" spans="5:13">
      <c r="E4287" s="1077"/>
      <c r="F4287" s="1077"/>
      <c r="G4287" s="1077"/>
      <c r="H4287" s="1077"/>
      <c r="I4287" s="1077"/>
      <c r="J4287" s="1077"/>
      <c r="K4287" s="1077"/>
      <c r="L4287" s="1077"/>
      <c r="M4287" s="1077"/>
    </row>
    <row r="4288" spans="5:13">
      <c r="E4288" s="1077"/>
      <c r="F4288" s="1077"/>
      <c r="G4288" s="1077"/>
      <c r="H4288" s="1077"/>
      <c r="I4288" s="1077"/>
      <c r="J4288" s="1077"/>
      <c r="K4288" s="1077"/>
      <c r="L4288" s="1077"/>
      <c r="M4288" s="1077"/>
    </row>
    <row r="4289" spans="5:13">
      <c r="E4289" s="1077"/>
      <c r="F4289" s="1077"/>
      <c r="G4289" s="1077"/>
      <c r="H4289" s="1077"/>
      <c r="I4289" s="1077"/>
      <c r="J4289" s="1077"/>
      <c r="K4289" s="1077"/>
      <c r="L4289" s="1077"/>
      <c r="M4289" s="1077"/>
    </row>
    <row r="4290" spans="5:13">
      <c r="E4290" s="1077"/>
      <c r="F4290" s="1077"/>
      <c r="G4290" s="1077"/>
      <c r="H4290" s="1077"/>
      <c r="I4290" s="1077"/>
      <c r="J4290" s="1077"/>
      <c r="K4290" s="1077"/>
      <c r="L4290" s="1077"/>
      <c r="M4290" s="1077"/>
    </row>
    <row r="4291" spans="5:13">
      <c r="E4291" s="1077"/>
      <c r="F4291" s="1077"/>
      <c r="G4291" s="1077"/>
      <c r="H4291" s="1077"/>
      <c r="I4291" s="1077"/>
      <c r="J4291" s="1077"/>
      <c r="K4291" s="1077"/>
      <c r="L4291" s="1077"/>
      <c r="M4291" s="1077"/>
    </row>
    <row r="4292" spans="5:13">
      <c r="E4292" s="1077"/>
      <c r="F4292" s="1077"/>
      <c r="G4292" s="1077"/>
      <c r="H4292" s="1077"/>
      <c r="I4292" s="1077"/>
      <c r="J4292" s="1077"/>
      <c r="K4292" s="1077"/>
      <c r="L4292" s="1077"/>
      <c r="M4292" s="1077"/>
    </row>
    <row r="4293" spans="5:13">
      <c r="E4293" s="1077"/>
      <c r="F4293" s="1077"/>
      <c r="G4293" s="1077"/>
      <c r="H4293" s="1077"/>
      <c r="I4293" s="1077"/>
      <c r="J4293" s="1077"/>
      <c r="K4293" s="1077"/>
      <c r="L4293" s="1077"/>
      <c r="M4293" s="1077"/>
    </row>
    <row r="4294" spans="5:13">
      <c r="E4294" s="1077"/>
      <c r="F4294" s="1077"/>
      <c r="G4294" s="1077"/>
      <c r="H4294" s="1077"/>
      <c r="I4294" s="1077"/>
      <c r="J4294" s="1077"/>
      <c r="K4294" s="1077"/>
      <c r="L4294" s="1077"/>
      <c r="M4294" s="1077"/>
    </row>
    <row r="4295" spans="5:13">
      <c r="E4295" s="1077"/>
      <c r="F4295" s="1077"/>
      <c r="G4295" s="1077"/>
      <c r="H4295" s="1077"/>
      <c r="I4295" s="1077"/>
      <c r="J4295" s="1077"/>
      <c r="K4295" s="1077"/>
      <c r="L4295" s="1077"/>
      <c r="M4295" s="1077"/>
    </row>
    <row r="4296" spans="5:13">
      <c r="E4296" s="1077"/>
      <c r="F4296" s="1077"/>
      <c r="G4296" s="1077"/>
      <c r="H4296" s="1077"/>
      <c r="I4296" s="1077"/>
      <c r="J4296" s="1077"/>
      <c r="K4296" s="1077"/>
      <c r="L4296" s="1077"/>
      <c r="M4296" s="1077"/>
    </row>
    <row r="4297" spans="5:13">
      <c r="E4297" s="1077"/>
      <c r="F4297" s="1077"/>
      <c r="G4297" s="1077"/>
      <c r="H4297" s="1077"/>
      <c r="I4297" s="1077"/>
      <c r="J4297" s="1077"/>
      <c r="K4297" s="1077"/>
      <c r="L4297" s="1077"/>
      <c r="M4297" s="1077"/>
    </row>
    <row r="4298" spans="5:13">
      <c r="E4298" s="1077"/>
      <c r="F4298" s="1077"/>
      <c r="G4298" s="1077"/>
      <c r="H4298" s="1077"/>
      <c r="I4298" s="1077"/>
      <c r="J4298" s="1077"/>
      <c r="K4298" s="1077"/>
      <c r="L4298" s="1077"/>
      <c r="M4298" s="1077"/>
    </row>
    <row r="4299" spans="5:13">
      <c r="E4299" s="1077"/>
      <c r="F4299" s="1077"/>
      <c r="G4299" s="1077"/>
      <c r="H4299" s="1077"/>
      <c r="I4299" s="1077"/>
      <c r="J4299" s="1077"/>
      <c r="K4299" s="1077"/>
      <c r="L4299" s="1077"/>
      <c r="M4299" s="1077"/>
    </row>
    <row r="4300" spans="5:13">
      <c r="E4300" s="1077"/>
      <c r="F4300" s="1077"/>
      <c r="G4300" s="1077"/>
      <c r="H4300" s="1077"/>
      <c r="I4300" s="1077"/>
      <c r="J4300" s="1077"/>
      <c r="K4300" s="1077"/>
      <c r="L4300" s="1077"/>
      <c r="M4300" s="1077"/>
    </row>
    <row r="4301" spans="5:13">
      <c r="E4301" s="1077"/>
      <c r="F4301" s="1077"/>
      <c r="G4301" s="1077"/>
      <c r="H4301" s="1077"/>
      <c r="I4301" s="1077"/>
      <c r="J4301" s="1077"/>
      <c r="K4301" s="1077"/>
      <c r="L4301" s="1077"/>
      <c r="M4301" s="1077"/>
    </row>
    <row r="4302" spans="5:13">
      <c r="E4302" s="1077"/>
      <c r="F4302" s="1077"/>
      <c r="G4302" s="1077"/>
      <c r="H4302" s="1077"/>
      <c r="I4302" s="1077"/>
      <c r="J4302" s="1077"/>
      <c r="K4302" s="1077"/>
      <c r="L4302" s="1077"/>
      <c r="M4302" s="1077"/>
    </row>
    <row r="4303" spans="5:13">
      <c r="E4303" s="1077"/>
      <c r="F4303" s="1077"/>
      <c r="G4303" s="1077"/>
      <c r="H4303" s="1077"/>
      <c r="I4303" s="1077"/>
      <c r="J4303" s="1077"/>
      <c r="K4303" s="1077"/>
      <c r="L4303" s="1077"/>
      <c r="M4303" s="1077"/>
    </row>
    <row r="4304" spans="5:13">
      <c r="E4304" s="1077"/>
      <c r="F4304" s="1077"/>
      <c r="G4304" s="1077"/>
      <c r="H4304" s="1077"/>
      <c r="I4304" s="1077"/>
      <c r="J4304" s="1077"/>
      <c r="K4304" s="1077"/>
      <c r="L4304" s="1077"/>
      <c r="M4304" s="1077"/>
    </row>
    <row r="4305" spans="5:13">
      <c r="E4305" s="1077"/>
      <c r="F4305" s="1077"/>
      <c r="G4305" s="1077"/>
      <c r="H4305" s="1077"/>
      <c r="I4305" s="1077"/>
      <c r="J4305" s="1077"/>
      <c r="K4305" s="1077"/>
      <c r="L4305" s="1077"/>
      <c r="M4305" s="1077"/>
    </row>
    <row r="4306" spans="5:13">
      <c r="E4306" s="1077"/>
      <c r="F4306" s="1077"/>
      <c r="G4306" s="1077"/>
      <c r="H4306" s="1077"/>
      <c r="I4306" s="1077"/>
      <c r="J4306" s="1077"/>
      <c r="K4306" s="1077"/>
      <c r="L4306" s="1077"/>
      <c r="M4306" s="1077"/>
    </row>
    <row r="4307" spans="5:13">
      <c r="E4307" s="1077"/>
      <c r="F4307" s="1077"/>
      <c r="G4307" s="1077"/>
      <c r="H4307" s="1077"/>
      <c r="I4307" s="1077"/>
      <c r="J4307" s="1077"/>
      <c r="K4307" s="1077"/>
      <c r="L4307" s="1077"/>
      <c r="M4307" s="1077"/>
    </row>
    <row r="4308" spans="5:13">
      <c r="E4308" s="1077"/>
      <c r="F4308" s="1077"/>
      <c r="G4308" s="1077"/>
      <c r="H4308" s="1077"/>
      <c r="I4308" s="1077"/>
      <c r="J4308" s="1077"/>
      <c r="K4308" s="1077"/>
      <c r="L4308" s="1077"/>
      <c r="M4308" s="1077"/>
    </row>
    <row r="4309" spans="5:13">
      <c r="E4309" s="1077"/>
      <c r="F4309" s="1077"/>
      <c r="G4309" s="1077"/>
      <c r="H4309" s="1077"/>
      <c r="I4309" s="1077"/>
      <c r="J4309" s="1077"/>
      <c r="K4309" s="1077"/>
      <c r="L4309" s="1077"/>
      <c r="M4309" s="1077"/>
    </row>
    <row r="4310" spans="5:13">
      <c r="E4310" s="1077"/>
      <c r="F4310" s="1077"/>
      <c r="G4310" s="1077"/>
      <c r="H4310" s="1077"/>
      <c r="I4310" s="1077"/>
      <c r="J4310" s="1077"/>
      <c r="K4310" s="1077"/>
      <c r="L4310" s="1077"/>
      <c r="M4310" s="1077"/>
    </row>
    <row r="4311" spans="5:13">
      <c r="E4311" s="1077"/>
      <c r="F4311" s="1077"/>
      <c r="G4311" s="1077"/>
      <c r="H4311" s="1077"/>
      <c r="I4311" s="1077"/>
      <c r="J4311" s="1077"/>
      <c r="K4311" s="1077"/>
      <c r="L4311" s="1077"/>
      <c r="M4311" s="1077"/>
    </row>
    <row r="4312" spans="5:13">
      <c r="E4312" s="1077"/>
      <c r="F4312" s="1077"/>
      <c r="G4312" s="1077"/>
      <c r="H4312" s="1077"/>
      <c r="I4312" s="1077"/>
      <c r="J4312" s="1077"/>
      <c r="K4312" s="1077"/>
      <c r="L4312" s="1077"/>
      <c r="M4312" s="1077"/>
    </row>
    <row r="4313" spans="5:13">
      <c r="E4313" s="1077"/>
      <c r="F4313" s="1077"/>
      <c r="G4313" s="1077"/>
      <c r="H4313" s="1077"/>
      <c r="I4313" s="1077"/>
      <c r="J4313" s="1077"/>
      <c r="K4313" s="1077"/>
      <c r="L4313" s="1077"/>
      <c r="M4313" s="1077"/>
    </row>
    <row r="4314" spans="5:13">
      <c r="E4314" s="1077"/>
      <c r="F4314" s="1077"/>
      <c r="G4314" s="1077"/>
      <c r="H4314" s="1077"/>
      <c r="I4314" s="1077"/>
      <c r="J4314" s="1077"/>
      <c r="K4314" s="1077"/>
      <c r="L4314" s="1077"/>
      <c r="M4314" s="1077"/>
    </row>
    <row r="4315" spans="5:13">
      <c r="E4315" s="1077"/>
      <c r="F4315" s="1077"/>
      <c r="G4315" s="1077"/>
      <c r="H4315" s="1077"/>
      <c r="I4315" s="1077"/>
      <c r="J4315" s="1077"/>
      <c r="K4315" s="1077"/>
      <c r="L4315" s="1077"/>
      <c r="M4315" s="1077"/>
    </row>
    <row r="4316" spans="5:13">
      <c r="E4316" s="1077"/>
      <c r="F4316" s="1077"/>
      <c r="G4316" s="1077"/>
      <c r="H4316" s="1077"/>
      <c r="I4316" s="1077"/>
      <c r="J4316" s="1077"/>
      <c r="K4316" s="1077"/>
      <c r="L4316" s="1077"/>
      <c r="M4316" s="1077"/>
    </row>
    <row r="4317" spans="5:13">
      <c r="E4317" s="1077"/>
      <c r="F4317" s="1077"/>
      <c r="G4317" s="1077"/>
      <c r="H4317" s="1077"/>
      <c r="I4317" s="1077"/>
      <c r="J4317" s="1077"/>
      <c r="K4317" s="1077"/>
      <c r="L4317" s="1077"/>
      <c r="M4317" s="1077"/>
    </row>
    <row r="4318" spans="5:13">
      <c r="E4318" s="1077"/>
      <c r="F4318" s="1077"/>
      <c r="G4318" s="1077"/>
      <c r="H4318" s="1077"/>
      <c r="I4318" s="1077"/>
      <c r="J4318" s="1077"/>
      <c r="K4318" s="1077"/>
      <c r="L4318" s="1077"/>
      <c r="M4318" s="1077"/>
    </row>
    <row r="4319" spans="5:13">
      <c r="E4319" s="1077"/>
      <c r="F4319" s="1077"/>
      <c r="G4319" s="1077"/>
      <c r="H4319" s="1077"/>
      <c r="I4319" s="1077"/>
      <c r="J4319" s="1077"/>
      <c r="K4319" s="1077"/>
      <c r="L4319" s="1077"/>
      <c r="M4319" s="1077"/>
    </row>
    <row r="4320" spans="5:13">
      <c r="E4320" s="1077"/>
      <c r="F4320" s="1077"/>
      <c r="G4320" s="1077"/>
      <c r="H4320" s="1077"/>
      <c r="I4320" s="1077"/>
      <c r="J4320" s="1077"/>
      <c r="K4320" s="1077"/>
      <c r="L4320" s="1077"/>
      <c r="M4320" s="1077"/>
    </row>
    <row r="4321" spans="5:13">
      <c r="E4321" s="1077"/>
      <c r="F4321" s="1077"/>
      <c r="G4321" s="1077"/>
      <c r="H4321" s="1077"/>
      <c r="I4321" s="1077"/>
      <c r="J4321" s="1077"/>
      <c r="K4321" s="1077"/>
      <c r="L4321" s="1077"/>
      <c r="M4321" s="1077"/>
    </row>
    <row r="4322" spans="5:13">
      <c r="E4322" s="1077"/>
      <c r="F4322" s="1077"/>
      <c r="G4322" s="1077"/>
      <c r="H4322" s="1077"/>
      <c r="I4322" s="1077"/>
      <c r="J4322" s="1077"/>
      <c r="K4322" s="1077"/>
      <c r="L4322" s="1077"/>
      <c r="M4322" s="1077"/>
    </row>
    <row r="4323" spans="5:13">
      <c r="E4323" s="1077"/>
      <c r="F4323" s="1077"/>
      <c r="G4323" s="1077"/>
      <c r="H4323" s="1077"/>
      <c r="I4323" s="1077"/>
      <c r="J4323" s="1077"/>
      <c r="K4323" s="1077"/>
      <c r="L4323" s="1077"/>
      <c r="M4323" s="1077"/>
    </row>
    <row r="4324" spans="5:13">
      <c r="E4324" s="1077"/>
      <c r="F4324" s="1077"/>
      <c r="G4324" s="1077"/>
      <c r="H4324" s="1077"/>
      <c r="I4324" s="1077"/>
      <c r="J4324" s="1077"/>
      <c r="K4324" s="1077"/>
      <c r="L4324" s="1077"/>
      <c r="M4324" s="1077"/>
    </row>
    <row r="4325" spans="5:13">
      <c r="E4325" s="1077"/>
      <c r="F4325" s="1077"/>
      <c r="G4325" s="1077"/>
      <c r="H4325" s="1077"/>
      <c r="I4325" s="1077"/>
      <c r="J4325" s="1077"/>
      <c r="K4325" s="1077"/>
      <c r="L4325" s="1077"/>
      <c r="M4325" s="1077"/>
    </row>
    <row r="4326" spans="5:13">
      <c r="E4326" s="1077"/>
      <c r="F4326" s="1077"/>
      <c r="G4326" s="1077"/>
      <c r="H4326" s="1077"/>
      <c r="I4326" s="1077"/>
      <c r="J4326" s="1077"/>
      <c r="K4326" s="1077"/>
      <c r="L4326" s="1077"/>
      <c r="M4326" s="1077"/>
    </row>
    <row r="4327" spans="5:13">
      <c r="E4327" s="1077"/>
      <c r="F4327" s="1077"/>
      <c r="G4327" s="1077"/>
      <c r="H4327" s="1077"/>
      <c r="I4327" s="1077"/>
      <c r="J4327" s="1077"/>
      <c r="K4327" s="1077"/>
      <c r="L4327" s="1077"/>
      <c r="M4327" s="1077"/>
    </row>
    <row r="4328" spans="5:13">
      <c r="E4328" s="1077"/>
      <c r="F4328" s="1077"/>
      <c r="G4328" s="1077"/>
      <c r="H4328" s="1077"/>
      <c r="I4328" s="1077"/>
      <c r="J4328" s="1077"/>
      <c r="K4328" s="1077"/>
      <c r="L4328" s="1077"/>
      <c r="M4328" s="1077"/>
    </row>
    <row r="4329" spans="5:13">
      <c r="E4329" s="1077"/>
      <c r="F4329" s="1077"/>
      <c r="G4329" s="1077"/>
      <c r="H4329" s="1077"/>
      <c r="I4329" s="1077"/>
      <c r="J4329" s="1077"/>
      <c r="K4329" s="1077"/>
      <c r="L4329" s="1077"/>
      <c r="M4329" s="1077"/>
    </row>
    <row r="4330" spans="5:13">
      <c r="E4330" s="1077"/>
      <c r="F4330" s="1077"/>
      <c r="G4330" s="1077"/>
      <c r="H4330" s="1077"/>
      <c r="I4330" s="1077"/>
      <c r="J4330" s="1077"/>
      <c r="K4330" s="1077"/>
      <c r="L4330" s="1077"/>
      <c r="M4330" s="1077"/>
    </row>
    <row r="4331" spans="5:13">
      <c r="E4331" s="1077"/>
      <c r="F4331" s="1077"/>
      <c r="G4331" s="1077"/>
      <c r="H4331" s="1077"/>
      <c r="I4331" s="1077"/>
      <c r="J4331" s="1077"/>
      <c r="K4331" s="1077"/>
      <c r="L4331" s="1077"/>
      <c r="M4331" s="1077"/>
    </row>
    <row r="4332" spans="5:13">
      <c r="E4332" s="1077"/>
      <c r="F4332" s="1077"/>
      <c r="G4332" s="1077"/>
      <c r="H4332" s="1077"/>
      <c r="I4332" s="1077"/>
      <c r="J4332" s="1077"/>
      <c r="K4332" s="1077"/>
      <c r="L4332" s="1077"/>
      <c r="M4332" s="1077"/>
    </row>
    <row r="4333" spans="5:13">
      <c r="E4333" s="1077"/>
      <c r="F4333" s="1077"/>
      <c r="G4333" s="1077"/>
      <c r="H4333" s="1077"/>
      <c r="I4333" s="1077"/>
      <c r="J4333" s="1077"/>
      <c r="K4333" s="1077"/>
      <c r="L4333" s="1077"/>
      <c r="M4333" s="1077"/>
    </row>
    <row r="4334" spans="5:13">
      <c r="E4334" s="1077"/>
      <c r="F4334" s="1077"/>
      <c r="G4334" s="1077"/>
      <c r="H4334" s="1077"/>
      <c r="I4334" s="1077"/>
      <c r="J4334" s="1077"/>
      <c r="K4334" s="1077"/>
      <c r="L4334" s="1077"/>
      <c r="M4334" s="1077"/>
    </row>
    <row r="4335" spans="5:13">
      <c r="E4335" s="1077"/>
      <c r="F4335" s="1077"/>
      <c r="G4335" s="1077"/>
      <c r="H4335" s="1077"/>
      <c r="I4335" s="1077"/>
      <c r="J4335" s="1077"/>
      <c r="K4335" s="1077"/>
      <c r="L4335" s="1077"/>
      <c r="M4335" s="1077"/>
    </row>
    <row r="4336" spans="5:13">
      <c r="E4336" s="1077"/>
      <c r="F4336" s="1077"/>
      <c r="G4336" s="1077"/>
      <c r="H4336" s="1077"/>
      <c r="I4336" s="1077"/>
      <c r="J4336" s="1077"/>
      <c r="K4336" s="1077"/>
      <c r="L4336" s="1077"/>
      <c r="M4336" s="1077"/>
    </row>
    <row r="4337" spans="5:13">
      <c r="E4337" s="1077"/>
      <c r="F4337" s="1077"/>
      <c r="G4337" s="1077"/>
      <c r="H4337" s="1077"/>
      <c r="I4337" s="1077"/>
      <c r="J4337" s="1077"/>
      <c r="K4337" s="1077"/>
      <c r="L4337" s="1077"/>
      <c r="M4337" s="1077"/>
    </row>
    <row r="4338" spans="5:13">
      <c r="E4338" s="1077"/>
      <c r="F4338" s="1077"/>
      <c r="G4338" s="1077"/>
      <c r="H4338" s="1077"/>
      <c r="I4338" s="1077"/>
      <c r="J4338" s="1077"/>
      <c r="K4338" s="1077"/>
      <c r="L4338" s="1077"/>
      <c r="M4338" s="1077"/>
    </row>
    <row r="4339" spans="5:13">
      <c r="E4339" s="1077"/>
      <c r="F4339" s="1077"/>
      <c r="G4339" s="1077"/>
      <c r="H4339" s="1077"/>
      <c r="I4339" s="1077"/>
      <c r="J4339" s="1077"/>
      <c r="K4339" s="1077"/>
      <c r="L4339" s="1077"/>
      <c r="M4339" s="1077"/>
    </row>
    <row r="4340" spans="5:13">
      <c r="E4340" s="1077"/>
      <c r="F4340" s="1077"/>
      <c r="G4340" s="1077"/>
      <c r="H4340" s="1077"/>
      <c r="I4340" s="1077"/>
      <c r="J4340" s="1077"/>
      <c r="K4340" s="1077"/>
      <c r="L4340" s="1077"/>
      <c r="M4340" s="1077"/>
    </row>
    <row r="4341" spans="5:13">
      <c r="E4341" s="1077"/>
      <c r="F4341" s="1077"/>
      <c r="G4341" s="1077"/>
      <c r="H4341" s="1077"/>
      <c r="I4341" s="1077"/>
      <c r="J4341" s="1077"/>
      <c r="K4341" s="1077"/>
      <c r="L4341" s="1077"/>
      <c r="M4341" s="1077"/>
    </row>
    <row r="4342" spans="5:13">
      <c r="E4342" s="1077"/>
      <c r="F4342" s="1077"/>
      <c r="G4342" s="1077"/>
      <c r="H4342" s="1077"/>
      <c r="I4342" s="1077"/>
      <c r="J4342" s="1077"/>
      <c r="K4342" s="1077"/>
      <c r="L4342" s="1077"/>
      <c r="M4342" s="1077"/>
    </row>
    <row r="4343" spans="5:13">
      <c r="E4343" s="1077"/>
      <c r="F4343" s="1077"/>
      <c r="G4343" s="1077"/>
      <c r="H4343" s="1077"/>
      <c r="I4343" s="1077"/>
      <c r="J4343" s="1077"/>
      <c r="K4343" s="1077"/>
      <c r="L4343" s="1077"/>
      <c r="M4343" s="1077"/>
    </row>
    <row r="4344" spans="5:13">
      <c r="E4344" s="1077"/>
      <c r="F4344" s="1077"/>
      <c r="G4344" s="1077"/>
      <c r="H4344" s="1077"/>
      <c r="I4344" s="1077"/>
      <c r="J4344" s="1077"/>
      <c r="K4344" s="1077"/>
      <c r="L4344" s="1077"/>
      <c r="M4344" s="1077"/>
    </row>
    <row r="4345" spans="5:13">
      <c r="E4345" s="1077"/>
      <c r="F4345" s="1077"/>
      <c r="G4345" s="1077"/>
      <c r="H4345" s="1077"/>
      <c r="I4345" s="1077"/>
      <c r="J4345" s="1077"/>
      <c r="K4345" s="1077"/>
      <c r="L4345" s="1077"/>
      <c r="M4345" s="1077"/>
    </row>
    <row r="4346" spans="5:13">
      <c r="E4346" s="1077"/>
      <c r="F4346" s="1077"/>
      <c r="G4346" s="1077"/>
      <c r="H4346" s="1077"/>
      <c r="I4346" s="1077"/>
      <c r="J4346" s="1077"/>
      <c r="K4346" s="1077"/>
      <c r="L4346" s="1077"/>
      <c r="M4346" s="1077"/>
    </row>
    <row r="4347" spans="5:13">
      <c r="E4347" s="1077"/>
      <c r="F4347" s="1077"/>
      <c r="G4347" s="1077"/>
      <c r="H4347" s="1077"/>
      <c r="I4347" s="1077"/>
      <c r="J4347" s="1077"/>
      <c r="K4347" s="1077"/>
      <c r="L4347" s="1077"/>
      <c r="M4347" s="1077"/>
    </row>
    <row r="4348" spans="5:13">
      <c r="E4348" s="1077"/>
      <c r="F4348" s="1077"/>
      <c r="G4348" s="1077"/>
      <c r="H4348" s="1077"/>
      <c r="I4348" s="1077"/>
      <c r="J4348" s="1077"/>
      <c r="K4348" s="1077"/>
      <c r="L4348" s="1077"/>
      <c r="M4348" s="1077"/>
    </row>
    <row r="4349" spans="5:13">
      <c r="E4349" s="1077"/>
      <c r="F4349" s="1077"/>
      <c r="G4349" s="1077"/>
      <c r="H4349" s="1077"/>
      <c r="I4349" s="1077"/>
      <c r="J4349" s="1077"/>
      <c r="K4349" s="1077"/>
      <c r="L4349" s="1077"/>
      <c r="M4349" s="1077"/>
    </row>
    <row r="4350" spans="5:13">
      <c r="E4350" s="1077"/>
      <c r="F4350" s="1077"/>
      <c r="G4350" s="1077"/>
      <c r="H4350" s="1077"/>
      <c r="I4350" s="1077"/>
      <c r="J4350" s="1077"/>
      <c r="K4350" s="1077"/>
      <c r="L4350" s="1077"/>
      <c r="M4350" s="1077"/>
    </row>
    <row r="4351" spans="5:13">
      <c r="E4351" s="1077"/>
      <c r="F4351" s="1077"/>
      <c r="G4351" s="1077"/>
      <c r="H4351" s="1077"/>
      <c r="I4351" s="1077"/>
      <c r="J4351" s="1077"/>
      <c r="K4351" s="1077"/>
      <c r="L4351" s="1077"/>
      <c r="M4351" s="1077"/>
    </row>
    <row r="4352" spans="5:13">
      <c r="E4352" s="1077"/>
      <c r="F4352" s="1077"/>
      <c r="G4352" s="1077"/>
      <c r="H4352" s="1077"/>
      <c r="I4352" s="1077"/>
      <c r="J4352" s="1077"/>
      <c r="K4352" s="1077"/>
      <c r="L4352" s="1077"/>
      <c r="M4352" s="1077"/>
    </row>
    <row r="4353" spans="5:13">
      <c r="E4353" s="1077"/>
      <c r="F4353" s="1077"/>
      <c r="G4353" s="1077"/>
      <c r="H4353" s="1077"/>
      <c r="I4353" s="1077"/>
      <c r="J4353" s="1077"/>
      <c r="K4353" s="1077"/>
      <c r="L4353" s="1077"/>
      <c r="M4353" s="1077"/>
    </row>
    <row r="4354" spans="5:13">
      <c r="E4354" s="1077"/>
      <c r="F4354" s="1077"/>
      <c r="G4354" s="1077"/>
      <c r="H4354" s="1077"/>
      <c r="I4354" s="1077"/>
      <c r="J4354" s="1077"/>
      <c r="K4354" s="1077"/>
      <c r="L4354" s="1077"/>
      <c r="M4354" s="1077"/>
    </row>
    <row r="4355" spans="5:13">
      <c r="E4355" s="1077"/>
      <c r="F4355" s="1077"/>
      <c r="G4355" s="1077"/>
      <c r="H4355" s="1077"/>
      <c r="I4355" s="1077"/>
      <c r="J4355" s="1077"/>
      <c r="K4355" s="1077"/>
      <c r="L4355" s="1077"/>
      <c r="M4355" s="1077"/>
    </row>
    <row r="4356" spans="5:13">
      <c r="E4356" s="1077"/>
      <c r="F4356" s="1077"/>
      <c r="G4356" s="1077"/>
      <c r="H4356" s="1077"/>
      <c r="I4356" s="1077"/>
      <c r="J4356" s="1077"/>
      <c r="K4356" s="1077"/>
      <c r="L4356" s="1077"/>
      <c r="M4356" s="1077"/>
    </row>
    <row r="4357" spans="5:13">
      <c r="E4357" s="1077"/>
      <c r="F4357" s="1077"/>
      <c r="G4357" s="1077"/>
      <c r="H4357" s="1077"/>
      <c r="I4357" s="1077"/>
      <c r="J4357" s="1077"/>
      <c r="K4357" s="1077"/>
      <c r="L4357" s="1077"/>
      <c r="M4357" s="1077"/>
    </row>
    <row r="4358" spans="5:13">
      <c r="E4358" s="1077"/>
      <c r="F4358" s="1077"/>
      <c r="G4358" s="1077"/>
      <c r="H4358" s="1077"/>
      <c r="I4358" s="1077"/>
      <c r="J4358" s="1077"/>
      <c r="K4358" s="1077"/>
      <c r="L4358" s="1077"/>
      <c r="M4358" s="1077"/>
    </row>
    <row r="4359" spans="5:13">
      <c r="E4359" s="1077"/>
      <c r="F4359" s="1077"/>
      <c r="G4359" s="1077"/>
      <c r="H4359" s="1077"/>
      <c r="I4359" s="1077"/>
      <c r="J4359" s="1077"/>
      <c r="K4359" s="1077"/>
      <c r="L4359" s="1077"/>
      <c r="M4359" s="1077"/>
    </row>
    <row r="4360" spans="5:13">
      <c r="E4360" s="1077"/>
      <c r="F4360" s="1077"/>
      <c r="G4360" s="1077"/>
      <c r="H4360" s="1077"/>
      <c r="I4360" s="1077"/>
      <c r="J4360" s="1077"/>
      <c r="K4360" s="1077"/>
      <c r="L4360" s="1077"/>
      <c r="M4360" s="1077"/>
    </row>
    <row r="4361" spans="5:13">
      <c r="E4361" s="1077"/>
      <c r="F4361" s="1077"/>
      <c r="G4361" s="1077"/>
      <c r="H4361" s="1077"/>
      <c r="I4361" s="1077"/>
      <c r="J4361" s="1077"/>
      <c r="K4361" s="1077"/>
      <c r="L4361" s="1077"/>
      <c r="M4361" s="1077"/>
    </row>
    <row r="4362" spans="5:13">
      <c r="E4362" s="1077"/>
      <c r="F4362" s="1077"/>
      <c r="G4362" s="1077"/>
      <c r="H4362" s="1077"/>
      <c r="I4362" s="1077"/>
      <c r="J4362" s="1077"/>
      <c r="K4362" s="1077"/>
      <c r="L4362" s="1077"/>
      <c r="M4362" s="1077"/>
    </row>
    <row r="4363" spans="5:13">
      <c r="E4363" s="1077"/>
      <c r="F4363" s="1077"/>
      <c r="G4363" s="1077"/>
      <c r="H4363" s="1077"/>
      <c r="I4363" s="1077"/>
      <c r="J4363" s="1077"/>
      <c r="K4363" s="1077"/>
      <c r="L4363" s="1077"/>
      <c r="M4363" s="1077"/>
    </row>
    <row r="4364" spans="5:13">
      <c r="E4364" s="1077"/>
      <c r="F4364" s="1077"/>
      <c r="G4364" s="1077"/>
      <c r="H4364" s="1077"/>
      <c r="I4364" s="1077"/>
      <c r="J4364" s="1077"/>
      <c r="K4364" s="1077"/>
      <c r="L4364" s="1077"/>
      <c r="M4364" s="1077"/>
    </row>
    <row r="4365" spans="5:13">
      <c r="E4365" s="1077"/>
      <c r="F4365" s="1077"/>
      <c r="G4365" s="1077"/>
      <c r="H4365" s="1077"/>
      <c r="I4365" s="1077"/>
      <c r="J4365" s="1077"/>
      <c r="K4365" s="1077"/>
      <c r="L4365" s="1077"/>
      <c r="M4365" s="1077"/>
    </row>
    <row r="4366" spans="5:13">
      <c r="E4366" s="1077"/>
      <c r="F4366" s="1077"/>
      <c r="G4366" s="1077"/>
      <c r="H4366" s="1077"/>
      <c r="I4366" s="1077"/>
      <c r="J4366" s="1077"/>
      <c r="K4366" s="1077"/>
      <c r="L4366" s="1077"/>
      <c r="M4366" s="1077"/>
    </row>
    <row r="4367" spans="5:13">
      <c r="E4367" s="1077"/>
      <c r="F4367" s="1077"/>
      <c r="G4367" s="1077"/>
      <c r="H4367" s="1077"/>
      <c r="I4367" s="1077"/>
      <c r="J4367" s="1077"/>
      <c r="K4367" s="1077"/>
      <c r="L4367" s="1077"/>
      <c r="M4367" s="1077"/>
    </row>
    <row r="4368" spans="5:13">
      <c r="E4368" s="1077"/>
      <c r="F4368" s="1077"/>
      <c r="G4368" s="1077"/>
      <c r="H4368" s="1077"/>
      <c r="I4368" s="1077"/>
      <c r="J4368" s="1077"/>
      <c r="K4368" s="1077"/>
      <c r="L4368" s="1077"/>
      <c r="M4368" s="1077"/>
    </row>
    <row r="4369" spans="5:13">
      <c r="E4369" s="1077"/>
      <c r="F4369" s="1077"/>
      <c r="G4369" s="1077"/>
      <c r="H4369" s="1077"/>
      <c r="I4369" s="1077"/>
      <c r="J4369" s="1077"/>
      <c r="K4369" s="1077"/>
      <c r="L4369" s="1077"/>
      <c r="M4369" s="1077"/>
    </row>
    <row r="4370" spans="5:13">
      <c r="E4370" s="1077"/>
      <c r="F4370" s="1077"/>
      <c r="G4370" s="1077"/>
      <c r="H4370" s="1077"/>
      <c r="I4370" s="1077"/>
      <c r="J4370" s="1077"/>
      <c r="K4370" s="1077"/>
      <c r="L4370" s="1077"/>
      <c r="M4370" s="1077"/>
    </row>
    <row r="4371" spans="5:13">
      <c r="E4371" s="1077"/>
      <c r="F4371" s="1077"/>
      <c r="G4371" s="1077"/>
      <c r="H4371" s="1077"/>
      <c r="I4371" s="1077"/>
      <c r="J4371" s="1077"/>
      <c r="K4371" s="1077"/>
      <c r="L4371" s="1077"/>
      <c r="M4371" s="1077"/>
    </row>
    <row r="4372" spans="5:13">
      <c r="E4372" s="1077"/>
      <c r="F4372" s="1077"/>
      <c r="G4372" s="1077"/>
      <c r="H4372" s="1077"/>
      <c r="I4372" s="1077"/>
      <c r="J4372" s="1077"/>
      <c r="K4372" s="1077"/>
      <c r="L4372" s="1077"/>
      <c r="M4372" s="1077"/>
    </row>
    <row r="4373" spans="5:13">
      <c r="E4373" s="1077"/>
      <c r="F4373" s="1077"/>
      <c r="G4373" s="1077"/>
      <c r="H4373" s="1077"/>
      <c r="I4373" s="1077"/>
      <c r="J4373" s="1077"/>
      <c r="K4373" s="1077"/>
      <c r="L4373" s="1077"/>
      <c r="M4373" s="1077"/>
    </row>
    <row r="4374" spans="5:13">
      <c r="E4374" s="1077"/>
      <c r="F4374" s="1077"/>
      <c r="G4374" s="1077"/>
      <c r="H4374" s="1077"/>
      <c r="I4374" s="1077"/>
      <c r="J4374" s="1077"/>
      <c r="K4374" s="1077"/>
      <c r="L4374" s="1077"/>
      <c r="M4374" s="1077"/>
    </row>
    <row r="4375" spans="5:13">
      <c r="E4375" s="1077"/>
      <c r="F4375" s="1077"/>
      <c r="G4375" s="1077"/>
      <c r="H4375" s="1077"/>
      <c r="I4375" s="1077"/>
      <c r="J4375" s="1077"/>
      <c r="K4375" s="1077"/>
      <c r="L4375" s="1077"/>
      <c r="M4375" s="1077"/>
    </row>
    <row r="4376" spans="5:13">
      <c r="E4376" s="1077"/>
      <c r="F4376" s="1077"/>
      <c r="G4376" s="1077"/>
      <c r="H4376" s="1077"/>
      <c r="I4376" s="1077"/>
      <c r="J4376" s="1077"/>
      <c r="K4376" s="1077"/>
      <c r="L4376" s="1077"/>
      <c r="M4376" s="1077"/>
    </row>
    <row r="4377" spans="5:13">
      <c r="E4377" s="1077"/>
      <c r="F4377" s="1077"/>
      <c r="G4377" s="1077"/>
      <c r="H4377" s="1077"/>
      <c r="I4377" s="1077"/>
      <c r="J4377" s="1077"/>
      <c r="K4377" s="1077"/>
      <c r="L4377" s="1077"/>
      <c r="M4377" s="1077"/>
    </row>
    <row r="4378" spans="5:13">
      <c r="E4378" s="1077"/>
      <c r="F4378" s="1077"/>
      <c r="G4378" s="1077"/>
      <c r="H4378" s="1077"/>
      <c r="I4378" s="1077"/>
      <c r="J4378" s="1077"/>
      <c r="K4378" s="1077"/>
      <c r="L4378" s="1077"/>
      <c r="M4378" s="1077"/>
    </row>
    <row r="4379" spans="5:13">
      <c r="E4379" s="1077"/>
      <c r="F4379" s="1077"/>
      <c r="G4379" s="1077"/>
      <c r="H4379" s="1077"/>
      <c r="I4379" s="1077"/>
      <c r="J4379" s="1077"/>
      <c r="K4379" s="1077"/>
      <c r="L4379" s="1077"/>
      <c r="M4379" s="1077"/>
    </row>
    <row r="4380" spans="5:13">
      <c r="E4380" s="1077"/>
      <c r="F4380" s="1077"/>
      <c r="G4380" s="1077"/>
      <c r="H4380" s="1077"/>
      <c r="I4380" s="1077"/>
      <c r="J4380" s="1077"/>
      <c r="K4380" s="1077"/>
      <c r="L4380" s="1077"/>
      <c r="M4380" s="1077"/>
    </row>
    <row r="4381" spans="5:13">
      <c r="E4381" s="1077"/>
      <c r="F4381" s="1077"/>
      <c r="G4381" s="1077"/>
      <c r="H4381" s="1077"/>
      <c r="I4381" s="1077"/>
      <c r="J4381" s="1077"/>
      <c r="K4381" s="1077"/>
      <c r="L4381" s="1077"/>
      <c r="M4381" s="1077"/>
    </row>
    <row r="4382" spans="5:13">
      <c r="E4382" s="1077"/>
      <c r="F4382" s="1077"/>
      <c r="G4382" s="1077"/>
      <c r="H4382" s="1077"/>
      <c r="I4382" s="1077"/>
      <c r="J4382" s="1077"/>
      <c r="K4382" s="1077"/>
      <c r="L4382" s="1077"/>
      <c r="M4382" s="1077"/>
    </row>
    <row r="4383" spans="5:13">
      <c r="E4383" s="1077"/>
      <c r="F4383" s="1077"/>
      <c r="G4383" s="1077"/>
      <c r="H4383" s="1077"/>
      <c r="I4383" s="1077"/>
      <c r="J4383" s="1077"/>
      <c r="K4383" s="1077"/>
      <c r="L4383" s="1077"/>
      <c r="M4383" s="1077"/>
    </row>
    <row r="4384" spans="5:13">
      <c r="E4384" s="1077"/>
      <c r="F4384" s="1077"/>
      <c r="G4384" s="1077"/>
      <c r="H4384" s="1077"/>
      <c r="I4384" s="1077"/>
      <c r="J4384" s="1077"/>
      <c r="K4384" s="1077"/>
      <c r="L4384" s="1077"/>
      <c r="M4384" s="1077"/>
    </row>
    <row r="4385" spans="5:13">
      <c r="E4385" s="1077"/>
      <c r="F4385" s="1077"/>
      <c r="G4385" s="1077"/>
      <c r="H4385" s="1077"/>
      <c r="I4385" s="1077"/>
      <c r="J4385" s="1077"/>
      <c r="K4385" s="1077"/>
      <c r="L4385" s="1077"/>
      <c r="M4385" s="1077"/>
    </row>
    <row r="4386" spans="5:13">
      <c r="E4386" s="1077"/>
      <c r="F4386" s="1077"/>
      <c r="G4386" s="1077"/>
      <c r="H4386" s="1077"/>
      <c r="I4386" s="1077"/>
      <c r="J4386" s="1077"/>
      <c r="K4386" s="1077"/>
      <c r="L4386" s="1077"/>
      <c r="M4386" s="1077"/>
    </row>
    <row r="4387" spans="5:13">
      <c r="E4387" s="1077"/>
      <c r="F4387" s="1077"/>
      <c r="G4387" s="1077"/>
      <c r="H4387" s="1077"/>
      <c r="I4387" s="1077"/>
      <c r="J4387" s="1077"/>
      <c r="K4387" s="1077"/>
      <c r="L4387" s="1077"/>
      <c r="M4387" s="1077"/>
    </row>
    <row r="4388" spans="5:13">
      <c r="E4388" s="1077"/>
      <c r="F4388" s="1077"/>
      <c r="G4388" s="1077"/>
      <c r="H4388" s="1077"/>
      <c r="I4388" s="1077"/>
      <c r="J4388" s="1077"/>
      <c r="K4388" s="1077"/>
      <c r="L4388" s="1077"/>
      <c r="M4388" s="1077"/>
    </row>
    <row r="4389" spans="5:13">
      <c r="E4389" s="1077"/>
      <c r="F4389" s="1077"/>
      <c r="G4389" s="1077"/>
      <c r="H4389" s="1077"/>
      <c r="I4389" s="1077"/>
      <c r="J4389" s="1077"/>
      <c r="K4389" s="1077"/>
      <c r="L4389" s="1077"/>
      <c r="M4389" s="1077"/>
    </row>
    <row r="4390" spans="5:13">
      <c r="E4390" s="1077"/>
      <c r="F4390" s="1077"/>
      <c r="G4390" s="1077"/>
      <c r="H4390" s="1077"/>
      <c r="I4390" s="1077"/>
      <c r="J4390" s="1077"/>
      <c r="K4390" s="1077"/>
      <c r="L4390" s="1077"/>
      <c r="M4390" s="1077"/>
    </row>
    <row r="4391" spans="5:13">
      <c r="E4391" s="1077"/>
      <c r="F4391" s="1077"/>
      <c r="G4391" s="1077"/>
      <c r="H4391" s="1077"/>
      <c r="I4391" s="1077"/>
      <c r="J4391" s="1077"/>
      <c r="K4391" s="1077"/>
      <c r="L4391" s="1077"/>
      <c r="M4391" s="1077"/>
    </row>
    <row r="4392" spans="5:13">
      <c r="E4392" s="1077"/>
      <c r="F4392" s="1077"/>
      <c r="G4392" s="1077"/>
      <c r="H4392" s="1077"/>
      <c r="I4392" s="1077"/>
      <c r="J4392" s="1077"/>
      <c r="K4392" s="1077"/>
      <c r="L4392" s="1077"/>
      <c r="M4392" s="1077"/>
    </row>
    <row r="4393" spans="5:13">
      <c r="E4393" s="1077"/>
      <c r="F4393" s="1077"/>
      <c r="G4393" s="1077"/>
      <c r="H4393" s="1077"/>
      <c r="I4393" s="1077"/>
      <c r="J4393" s="1077"/>
      <c r="K4393" s="1077"/>
      <c r="L4393" s="1077"/>
      <c r="M4393" s="1077"/>
    </row>
    <row r="4394" spans="5:13">
      <c r="E4394" s="1077"/>
      <c r="F4394" s="1077"/>
      <c r="G4394" s="1077"/>
      <c r="H4394" s="1077"/>
      <c r="I4394" s="1077"/>
      <c r="J4394" s="1077"/>
      <c r="K4394" s="1077"/>
      <c r="L4394" s="1077"/>
      <c r="M4394" s="1077"/>
    </row>
    <row r="4395" spans="5:13">
      <c r="E4395" s="1077"/>
      <c r="F4395" s="1077"/>
      <c r="G4395" s="1077"/>
      <c r="H4395" s="1077"/>
      <c r="I4395" s="1077"/>
      <c r="J4395" s="1077"/>
      <c r="K4395" s="1077"/>
      <c r="L4395" s="1077"/>
      <c r="M4395" s="1077"/>
    </row>
    <row r="4396" spans="5:13">
      <c r="E4396" s="1077"/>
      <c r="F4396" s="1077"/>
      <c r="G4396" s="1077"/>
      <c r="H4396" s="1077"/>
      <c r="I4396" s="1077"/>
      <c r="J4396" s="1077"/>
      <c r="K4396" s="1077"/>
      <c r="L4396" s="1077"/>
      <c r="M4396" s="1077"/>
    </row>
    <row r="4397" spans="5:13">
      <c r="E4397" s="1077"/>
      <c r="F4397" s="1077"/>
      <c r="G4397" s="1077"/>
      <c r="H4397" s="1077"/>
      <c r="I4397" s="1077"/>
      <c r="J4397" s="1077"/>
      <c r="K4397" s="1077"/>
      <c r="L4397" s="1077"/>
      <c r="M4397" s="1077"/>
    </row>
    <row r="4398" spans="5:13">
      <c r="E4398" s="1077"/>
      <c r="F4398" s="1077"/>
      <c r="G4398" s="1077"/>
      <c r="H4398" s="1077"/>
      <c r="I4398" s="1077"/>
      <c r="J4398" s="1077"/>
      <c r="K4398" s="1077"/>
      <c r="L4398" s="1077"/>
      <c r="M4398" s="1077"/>
    </row>
    <row r="4399" spans="5:13">
      <c r="E4399" s="1077"/>
      <c r="F4399" s="1077"/>
      <c r="G4399" s="1077"/>
      <c r="H4399" s="1077"/>
      <c r="I4399" s="1077"/>
      <c r="J4399" s="1077"/>
      <c r="K4399" s="1077"/>
      <c r="L4399" s="1077"/>
      <c r="M4399" s="1077"/>
    </row>
    <row r="4400" spans="5:13">
      <c r="E4400" s="1077"/>
      <c r="F4400" s="1077"/>
      <c r="G4400" s="1077"/>
      <c r="H4400" s="1077"/>
      <c r="I4400" s="1077"/>
      <c r="J4400" s="1077"/>
      <c r="K4400" s="1077"/>
      <c r="L4400" s="1077"/>
      <c r="M4400" s="1077"/>
    </row>
    <row r="4401" spans="5:13">
      <c r="E4401" s="1077"/>
      <c r="F4401" s="1077"/>
      <c r="G4401" s="1077"/>
      <c r="H4401" s="1077"/>
      <c r="I4401" s="1077"/>
      <c r="J4401" s="1077"/>
      <c r="K4401" s="1077"/>
      <c r="L4401" s="1077"/>
      <c r="M4401" s="1077"/>
    </row>
    <row r="4402" spans="5:13">
      <c r="E4402" s="1077"/>
      <c r="F4402" s="1077"/>
      <c r="G4402" s="1077"/>
      <c r="H4402" s="1077"/>
      <c r="I4402" s="1077"/>
      <c r="J4402" s="1077"/>
      <c r="K4402" s="1077"/>
      <c r="L4402" s="1077"/>
      <c r="M4402" s="1077"/>
    </row>
    <row r="4403" spans="5:13">
      <c r="E4403" s="1077"/>
      <c r="F4403" s="1077"/>
      <c r="G4403" s="1077"/>
      <c r="H4403" s="1077"/>
      <c r="I4403" s="1077"/>
      <c r="J4403" s="1077"/>
      <c r="K4403" s="1077"/>
      <c r="L4403" s="1077"/>
      <c r="M4403" s="1077"/>
    </row>
    <row r="4404" spans="5:13">
      <c r="E4404" s="1077"/>
      <c r="F4404" s="1077"/>
      <c r="G4404" s="1077"/>
      <c r="H4404" s="1077"/>
      <c r="I4404" s="1077"/>
      <c r="J4404" s="1077"/>
      <c r="K4404" s="1077"/>
      <c r="L4404" s="1077"/>
      <c r="M4404" s="1077"/>
    </row>
    <row r="4405" spans="5:13">
      <c r="E4405" s="1077"/>
      <c r="F4405" s="1077"/>
      <c r="G4405" s="1077"/>
      <c r="H4405" s="1077"/>
      <c r="I4405" s="1077"/>
      <c r="J4405" s="1077"/>
      <c r="K4405" s="1077"/>
      <c r="L4405" s="1077"/>
      <c r="M4405" s="1077"/>
    </row>
    <row r="4406" spans="5:13">
      <c r="E4406" s="1077"/>
      <c r="F4406" s="1077"/>
      <c r="G4406" s="1077"/>
      <c r="H4406" s="1077"/>
      <c r="I4406" s="1077"/>
      <c r="J4406" s="1077"/>
      <c r="K4406" s="1077"/>
      <c r="L4406" s="1077"/>
      <c r="M4406" s="1077"/>
    </row>
    <row r="4407" spans="5:13">
      <c r="E4407" s="1077"/>
      <c r="F4407" s="1077"/>
      <c r="G4407" s="1077"/>
      <c r="H4407" s="1077"/>
      <c r="I4407" s="1077"/>
      <c r="J4407" s="1077"/>
      <c r="K4407" s="1077"/>
      <c r="L4407" s="1077"/>
      <c r="M4407" s="1077"/>
    </row>
    <row r="4408" spans="5:13">
      <c r="E4408" s="1077"/>
      <c r="F4408" s="1077"/>
      <c r="G4408" s="1077"/>
      <c r="H4408" s="1077"/>
      <c r="I4408" s="1077"/>
      <c r="J4408" s="1077"/>
      <c r="K4408" s="1077"/>
      <c r="L4408" s="1077"/>
      <c r="M4408" s="1077"/>
    </row>
    <row r="4409" spans="5:13">
      <c r="E4409" s="1077"/>
      <c r="F4409" s="1077"/>
      <c r="G4409" s="1077"/>
      <c r="H4409" s="1077"/>
      <c r="I4409" s="1077"/>
      <c r="J4409" s="1077"/>
      <c r="K4409" s="1077"/>
      <c r="L4409" s="1077"/>
      <c r="M4409" s="1077"/>
    </row>
    <row r="4410" spans="5:13">
      <c r="E4410" s="1077"/>
      <c r="F4410" s="1077"/>
      <c r="G4410" s="1077"/>
      <c r="H4410" s="1077"/>
      <c r="I4410" s="1077"/>
      <c r="J4410" s="1077"/>
      <c r="K4410" s="1077"/>
      <c r="L4410" s="1077"/>
      <c r="M4410" s="1077"/>
    </row>
    <row r="4411" spans="5:13">
      <c r="E4411" s="1077"/>
      <c r="F4411" s="1077"/>
      <c r="G4411" s="1077"/>
      <c r="H4411" s="1077"/>
      <c r="I4411" s="1077"/>
      <c r="J4411" s="1077"/>
      <c r="K4411" s="1077"/>
      <c r="L4411" s="1077"/>
      <c r="M4411" s="1077"/>
    </row>
    <row r="4412" spans="5:13">
      <c r="E4412" s="1077"/>
      <c r="F4412" s="1077"/>
      <c r="G4412" s="1077"/>
      <c r="H4412" s="1077"/>
      <c r="I4412" s="1077"/>
      <c r="J4412" s="1077"/>
      <c r="K4412" s="1077"/>
      <c r="L4412" s="1077"/>
      <c r="M4412" s="1077"/>
    </row>
    <row r="4413" spans="5:13">
      <c r="E4413" s="1077"/>
      <c r="F4413" s="1077"/>
      <c r="G4413" s="1077"/>
      <c r="H4413" s="1077"/>
      <c r="I4413" s="1077"/>
      <c r="J4413" s="1077"/>
      <c r="K4413" s="1077"/>
      <c r="L4413" s="1077"/>
      <c r="M4413" s="1077"/>
    </row>
    <row r="4414" spans="5:13">
      <c r="E4414" s="1077"/>
      <c r="F4414" s="1077"/>
      <c r="G4414" s="1077"/>
      <c r="H4414" s="1077"/>
      <c r="I4414" s="1077"/>
      <c r="J4414" s="1077"/>
      <c r="K4414" s="1077"/>
      <c r="L4414" s="1077"/>
      <c r="M4414" s="1077"/>
    </row>
    <row r="4415" spans="5:13">
      <c r="E4415" s="1077"/>
      <c r="F4415" s="1077"/>
      <c r="G4415" s="1077"/>
      <c r="H4415" s="1077"/>
      <c r="I4415" s="1077"/>
      <c r="J4415" s="1077"/>
      <c r="K4415" s="1077"/>
      <c r="L4415" s="1077"/>
      <c r="M4415" s="1077"/>
    </row>
    <row r="4416" spans="5:13">
      <c r="E4416" s="1077"/>
      <c r="F4416" s="1077"/>
      <c r="G4416" s="1077"/>
      <c r="H4416" s="1077"/>
      <c r="I4416" s="1077"/>
      <c r="J4416" s="1077"/>
      <c r="K4416" s="1077"/>
      <c r="L4416" s="1077"/>
      <c r="M4416" s="1077"/>
    </row>
    <row r="4417" spans="5:13">
      <c r="E4417" s="1077"/>
      <c r="F4417" s="1077"/>
      <c r="G4417" s="1077"/>
      <c r="H4417" s="1077"/>
      <c r="I4417" s="1077"/>
      <c r="J4417" s="1077"/>
      <c r="K4417" s="1077"/>
      <c r="L4417" s="1077"/>
      <c r="M4417" s="1077"/>
    </row>
    <row r="4418" spans="5:13">
      <c r="E4418" s="1077"/>
      <c r="F4418" s="1077"/>
      <c r="G4418" s="1077"/>
      <c r="H4418" s="1077"/>
      <c r="I4418" s="1077"/>
      <c r="J4418" s="1077"/>
      <c r="K4418" s="1077"/>
      <c r="L4418" s="1077"/>
      <c r="M4418" s="1077"/>
    </row>
    <row r="4419" spans="5:13">
      <c r="E4419" s="1077"/>
      <c r="F4419" s="1077"/>
      <c r="G4419" s="1077"/>
      <c r="H4419" s="1077"/>
      <c r="I4419" s="1077"/>
      <c r="J4419" s="1077"/>
      <c r="K4419" s="1077"/>
      <c r="L4419" s="1077"/>
      <c r="M4419" s="1077"/>
    </row>
    <row r="4420" spans="5:13">
      <c r="E4420" s="1077"/>
      <c r="F4420" s="1077"/>
      <c r="G4420" s="1077"/>
      <c r="H4420" s="1077"/>
      <c r="I4420" s="1077"/>
      <c r="J4420" s="1077"/>
      <c r="K4420" s="1077"/>
      <c r="L4420" s="1077"/>
      <c r="M4420" s="1077"/>
    </row>
    <row r="4421" spans="5:13">
      <c r="E4421" s="1077"/>
      <c r="F4421" s="1077"/>
      <c r="G4421" s="1077"/>
      <c r="H4421" s="1077"/>
      <c r="I4421" s="1077"/>
      <c r="J4421" s="1077"/>
      <c r="K4421" s="1077"/>
      <c r="L4421" s="1077"/>
      <c r="M4421" s="1077"/>
    </row>
    <row r="4422" spans="5:13">
      <c r="E4422" s="1077"/>
      <c r="F4422" s="1077"/>
      <c r="G4422" s="1077"/>
      <c r="H4422" s="1077"/>
      <c r="I4422" s="1077"/>
      <c r="J4422" s="1077"/>
      <c r="K4422" s="1077"/>
      <c r="L4422" s="1077"/>
      <c r="M4422" s="1077"/>
    </row>
    <row r="4423" spans="5:13">
      <c r="E4423" s="1077"/>
      <c r="F4423" s="1077"/>
      <c r="G4423" s="1077"/>
      <c r="H4423" s="1077"/>
      <c r="I4423" s="1077"/>
      <c r="J4423" s="1077"/>
      <c r="K4423" s="1077"/>
      <c r="L4423" s="1077"/>
      <c r="M4423" s="1077"/>
    </row>
    <row r="4424" spans="5:13">
      <c r="E4424" s="1077"/>
      <c r="F4424" s="1077"/>
      <c r="G4424" s="1077"/>
      <c r="H4424" s="1077"/>
      <c r="I4424" s="1077"/>
      <c r="J4424" s="1077"/>
      <c r="K4424" s="1077"/>
      <c r="L4424" s="1077"/>
      <c r="M4424" s="1077"/>
    </row>
    <row r="4425" spans="5:13">
      <c r="E4425" s="1077"/>
      <c r="F4425" s="1077"/>
      <c r="G4425" s="1077"/>
      <c r="H4425" s="1077"/>
      <c r="I4425" s="1077"/>
      <c r="J4425" s="1077"/>
      <c r="K4425" s="1077"/>
      <c r="L4425" s="1077"/>
      <c r="M4425" s="1077"/>
    </row>
    <row r="4426" spans="5:13">
      <c r="E4426" s="1077"/>
      <c r="F4426" s="1077"/>
      <c r="G4426" s="1077"/>
      <c r="H4426" s="1077"/>
      <c r="I4426" s="1077"/>
      <c r="J4426" s="1077"/>
      <c r="K4426" s="1077"/>
      <c r="L4426" s="1077"/>
      <c r="M4426" s="1077"/>
    </row>
    <row r="4427" spans="5:13">
      <c r="E4427" s="1077"/>
      <c r="F4427" s="1077"/>
      <c r="G4427" s="1077"/>
      <c r="H4427" s="1077"/>
      <c r="I4427" s="1077"/>
      <c r="J4427" s="1077"/>
      <c r="K4427" s="1077"/>
      <c r="L4427" s="1077"/>
      <c r="M4427" s="1077"/>
    </row>
    <row r="4428" spans="5:13">
      <c r="E4428" s="1077"/>
      <c r="F4428" s="1077"/>
      <c r="G4428" s="1077"/>
      <c r="H4428" s="1077"/>
      <c r="I4428" s="1077"/>
      <c r="J4428" s="1077"/>
      <c r="K4428" s="1077"/>
      <c r="L4428" s="1077"/>
      <c r="M4428" s="1077"/>
    </row>
    <row r="4429" spans="5:13">
      <c r="E4429" s="1077"/>
      <c r="F4429" s="1077"/>
      <c r="G4429" s="1077"/>
      <c r="H4429" s="1077"/>
      <c r="I4429" s="1077"/>
      <c r="J4429" s="1077"/>
      <c r="K4429" s="1077"/>
      <c r="L4429" s="1077"/>
      <c r="M4429" s="1077"/>
    </row>
    <row r="4430" spans="5:13">
      <c r="E4430" s="1077"/>
      <c r="F4430" s="1077"/>
      <c r="G4430" s="1077"/>
      <c r="H4430" s="1077"/>
      <c r="I4430" s="1077"/>
      <c r="J4430" s="1077"/>
      <c r="K4430" s="1077"/>
      <c r="L4430" s="1077"/>
      <c r="M4430" s="1077"/>
    </row>
    <row r="4431" spans="5:13">
      <c r="E4431" s="1077"/>
      <c r="F4431" s="1077"/>
      <c r="G4431" s="1077"/>
      <c r="H4431" s="1077"/>
      <c r="I4431" s="1077"/>
      <c r="J4431" s="1077"/>
      <c r="K4431" s="1077"/>
      <c r="L4431" s="1077"/>
      <c r="M4431" s="1077"/>
    </row>
    <row r="4432" spans="5:13">
      <c r="E4432" s="1077"/>
      <c r="F4432" s="1077"/>
      <c r="G4432" s="1077"/>
      <c r="H4432" s="1077"/>
      <c r="I4432" s="1077"/>
      <c r="J4432" s="1077"/>
      <c r="K4432" s="1077"/>
      <c r="L4432" s="1077"/>
      <c r="M4432" s="1077"/>
    </row>
    <row r="4433" spans="5:13">
      <c r="E4433" s="1077"/>
      <c r="F4433" s="1077"/>
      <c r="G4433" s="1077"/>
      <c r="H4433" s="1077"/>
      <c r="I4433" s="1077"/>
      <c r="J4433" s="1077"/>
      <c r="K4433" s="1077"/>
      <c r="L4433" s="1077"/>
      <c r="M4433" s="1077"/>
    </row>
    <row r="4434" spans="5:13">
      <c r="E4434" s="1077"/>
      <c r="F4434" s="1077"/>
      <c r="G4434" s="1077"/>
      <c r="H4434" s="1077"/>
      <c r="I4434" s="1077"/>
      <c r="J4434" s="1077"/>
      <c r="K4434" s="1077"/>
      <c r="L4434" s="1077"/>
      <c r="M4434" s="1077"/>
    </row>
    <row r="4435" spans="5:13">
      <c r="E4435" s="1077"/>
      <c r="F4435" s="1077"/>
      <c r="G4435" s="1077"/>
      <c r="H4435" s="1077"/>
      <c r="I4435" s="1077"/>
      <c r="J4435" s="1077"/>
      <c r="K4435" s="1077"/>
      <c r="L4435" s="1077"/>
      <c r="M4435" s="1077"/>
    </row>
    <row r="4436" spans="5:13">
      <c r="E4436" s="1077"/>
      <c r="F4436" s="1077"/>
      <c r="G4436" s="1077"/>
      <c r="H4436" s="1077"/>
      <c r="I4436" s="1077"/>
      <c r="J4436" s="1077"/>
      <c r="K4436" s="1077"/>
      <c r="L4436" s="1077"/>
      <c r="M4436" s="1077"/>
    </row>
    <row r="4437" spans="5:13">
      <c r="E4437" s="1077"/>
      <c r="F4437" s="1077"/>
      <c r="G4437" s="1077"/>
      <c r="H4437" s="1077"/>
      <c r="I4437" s="1077"/>
      <c r="J4437" s="1077"/>
      <c r="K4437" s="1077"/>
      <c r="L4437" s="1077"/>
      <c r="M4437" s="1077"/>
    </row>
    <row r="4438" spans="5:13">
      <c r="E4438" s="1077"/>
      <c r="F4438" s="1077"/>
      <c r="G4438" s="1077"/>
      <c r="H4438" s="1077"/>
      <c r="I4438" s="1077"/>
      <c r="J4438" s="1077"/>
      <c r="K4438" s="1077"/>
      <c r="L4438" s="1077"/>
      <c r="M4438" s="1077"/>
    </row>
    <row r="4439" spans="5:13">
      <c r="E4439" s="1077"/>
      <c r="F4439" s="1077"/>
      <c r="G4439" s="1077"/>
      <c r="H4439" s="1077"/>
      <c r="I4439" s="1077"/>
      <c r="J4439" s="1077"/>
      <c r="K4439" s="1077"/>
      <c r="L4439" s="1077"/>
      <c r="M4439" s="1077"/>
    </row>
    <row r="4440" spans="5:13">
      <c r="E4440" s="1077"/>
      <c r="F4440" s="1077"/>
      <c r="G4440" s="1077"/>
      <c r="H4440" s="1077"/>
      <c r="I4440" s="1077"/>
      <c r="J4440" s="1077"/>
      <c r="K4440" s="1077"/>
      <c r="L4440" s="1077"/>
      <c r="M4440" s="1077"/>
    </row>
    <row r="4441" spans="5:13">
      <c r="E4441" s="1077"/>
      <c r="F4441" s="1077"/>
      <c r="G4441" s="1077"/>
      <c r="H4441" s="1077"/>
      <c r="I4441" s="1077"/>
      <c r="J4441" s="1077"/>
      <c r="K4441" s="1077"/>
      <c r="L4441" s="1077"/>
      <c r="M4441" s="1077"/>
    </row>
    <row r="4442" spans="5:13">
      <c r="E4442" s="1077"/>
      <c r="F4442" s="1077"/>
      <c r="G4442" s="1077"/>
      <c r="H4442" s="1077"/>
      <c r="I4442" s="1077"/>
      <c r="J4442" s="1077"/>
      <c r="K4442" s="1077"/>
      <c r="L4442" s="1077"/>
      <c r="M4442" s="1077"/>
    </row>
    <row r="4443" spans="5:13">
      <c r="E4443" s="1077"/>
      <c r="F4443" s="1077"/>
      <c r="G4443" s="1077"/>
      <c r="H4443" s="1077"/>
      <c r="I4443" s="1077"/>
      <c r="J4443" s="1077"/>
      <c r="K4443" s="1077"/>
      <c r="L4443" s="1077"/>
      <c r="M4443" s="1077"/>
    </row>
    <row r="4444" spans="5:13">
      <c r="E4444" s="1077"/>
      <c r="F4444" s="1077"/>
      <c r="G4444" s="1077"/>
      <c r="H4444" s="1077"/>
      <c r="I4444" s="1077"/>
      <c r="J4444" s="1077"/>
      <c r="K4444" s="1077"/>
      <c r="L4444" s="1077"/>
      <c r="M4444" s="1077"/>
    </row>
    <row r="4445" spans="5:13">
      <c r="E4445" s="1077"/>
      <c r="F4445" s="1077"/>
      <c r="G4445" s="1077"/>
      <c r="H4445" s="1077"/>
      <c r="I4445" s="1077"/>
      <c r="J4445" s="1077"/>
      <c r="K4445" s="1077"/>
      <c r="L4445" s="1077"/>
      <c r="M4445" s="1077"/>
    </row>
    <row r="4446" spans="5:13">
      <c r="E4446" s="1077"/>
      <c r="F4446" s="1077"/>
      <c r="G4446" s="1077"/>
      <c r="H4446" s="1077"/>
      <c r="I4446" s="1077"/>
      <c r="J4446" s="1077"/>
      <c r="K4446" s="1077"/>
      <c r="L4446" s="1077"/>
      <c r="M4446" s="1077"/>
    </row>
    <row r="4447" spans="5:13">
      <c r="E4447" s="1077"/>
      <c r="F4447" s="1077"/>
      <c r="G4447" s="1077"/>
      <c r="H4447" s="1077"/>
      <c r="I4447" s="1077"/>
      <c r="J4447" s="1077"/>
      <c r="K4447" s="1077"/>
      <c r="L4447" s="1077"/>
      <c r="M4447" s="1077"/>
    </row>
    <row r="4448" spans="5:13">
      <c r="E4448" s="1077"/>
      <c r="F4448" s="1077"/>
      <c r="G4448" s="1077"/>
      <c r="H4448" s="1077"/>
      <c r="I4448" s="1077"/>
      <c r="J4448" s="1077"/>
      <c r="K4448" s="1077"/>
      <c r="L4448" s="1077"/>
      <c r="M4448" s="1077"/>
    </row>
    <row r="4449" spans="5:13">
      <c r="E4449" s="1077"/>
      <c r="F4449" s="1077"/>
      <c r="G4449" s="1077"/>
      <c r="H4449" s="1077"/>
      <c r="I4449" s="1077"/>
      <c r="J4449" s="1077"/>
      <c r="K4449" s="1077"/>
      <c r="L4449" s="1077"/>
      <c r="M4449" s="1077"/>
    </row>
    <row r="4450" spans="5:13">
      <c r="E4450" s="1077"/>
      <c r="F4450" s="1077"/>
      <c r="G4450" s="1077"/>
      <c r="H4450" s="1077"/>
      <c r="I4450" s="1077"/>
      <c r="J4450" s="1077"/>
      <c r="K4450" s="1077"/>
      <c r="L4450" s="1077"/>
      <c r="M4450" s="1077"/>
    </row>
    <row r="4451" spans="5:13">
      <c r="E4451" s="1077"/>
      <c r="F4451" s="1077"/>
      <c r="G4451" s="1077"/>
      <c r="H4451" s="1077"/>
      <c r="I4451" s="1077"/>
      <c r="J4451" s="1077"/>
      <c r="K4451" s="1077"/>
      <c r="L4451" s="1077"/>
      <c r="M4451" s="1077"/>
    </row>
    <row r="4452" spans="5:13">
      <c r="E4452" s="1077"/>
      <c r="F4452" s="1077"/>
      <c r="G4452" s="1077"/>
      <c r="H4452" s="1077"/>
      <c r="I4452" s="1077"/>
      <c r="J4452" s="1077"/>
      <c r="K4452" s="1077"/>
      <c r="L4452" s="1077"/>
      <c r="M4452" s="1077"/>
    </row>
    <row r="4453" spans="5:13">
      <c r="E4453" s="1077"/>
      <c r="F4453" s="1077"/>
      <c r="G4453" s="1077"/>
      <c r="H4453" s="1077"/>
      <c r="I4453" s="1077"/>
      <c r="J4453" s="1077"/>
      <c r="K4453" s="1077"/>
      <c r="L4453" s="1077"/>
      <c r="M4453" s="1077"/>
    </row>
    <row r="4454" spans="5:13">
      <c r="E4454" s="1077"/>
      <c r="F4454" s="1077"/>
      <c r="G4454" s="1077"/>
      <c r="H4454" s="1077"/>
      <c r="I4454" s="1077"/>
      <c r="J4454" s="1077"/>
      <c r="K4454" s="1077"/>
      <c r="L4454" s="1077"/>
      <c r="M4454" s="1077"/>
    </row>
    <row r="4455" spans="5:13">
      <c r="E4455" s="1077"/>
      <c r="F4455" s="1077"/>
      <c r="G4455" s="1077"/>
      <c r="H4455" s="1077"/>
      <c r="I4455" s="1077"/>
      <c r="J4455" s="1077"/>
      <c r="K4455" s="1077"/>
      <c r="L4455" s="1077"/>
      <c r="M4455" s="1077"/>
    </row>
    <row r="4456" spans="5:13">
      <c r="E4456" s="1077"/>
      <c r="F4456" s="1077"/>
      <c r="G4456" s="1077"/>
      <c r="H4456" s="1077"/>
      <c r="I4456" s="1077"/>
      <c r="J4456" s="1077"/>
      <c r="K4456" s="1077"/>
      <c r="L4456" s="1077"/>
      <c r="M4456" s="1077"/>
    </row>
    <row r="4457" spans="5:13">
      <c r="E4457" s="1077"/>
      <c r="F4457" s="1077"/>
      <c r="G4457" s="1077"/>
      <c r="H4457" s="1077"/>
      <c r="I4457" s="1077"/>
      <c r="J4457" s="1077"/>
      <c r="K4457" s="1077"/>
      <c r="L4457" s="1077"/>
      <c r="M4457" s="1077"/>
    </row>
    <row r="4458" spans="5:13">
      <c r="E4458" s="1077"/>
      <c r="F4458" s="1077"/>
      <c r="G4458" s="1077"/>
      <c r="H4458" s="1077"/>
      <c r="I4458" s="1077"/>
      <c r="J4458" s="1077"/>
      <c r="K4458" s="1077"/>
      <c r="L4458" s="1077"/>
      <c r="M4458" s="1077"/>
    </row>
    <row r="4459" spans="5:13">
      <c r="E4459" s="1077"/>
      <c r="F4459" s="1077"/>
      <c r="G4459" s="1077"/>
      <c r="H4459" s="1077"/>
      <c r="I4459" s="1077"/>
      <c r="J4459" s="1077"/>
      <c r="K4459" s="1077"/>
      <c r="L4459" s="1077"/>
      <c r="M4459" s="1077"/>
    </row>
    <row r="4460" spans="5:13">
      <c r="E4460" s="1077"/>
      <c r="F4460" s="1077"/>
      <c r="G4460" s="1077"/>
      <c r="H4460" s="1077"/>
      <c r="I4460" s="1077"/>
      <c r="J4460" s="1077"/>
      <c r="K4460" s="1077"/>
      <c r="L4460" s="1077"/>
      <c r="M4460" s="1077"/>
    </row>
    <row r="4461" spans="5:13">
      <c r="E4461" s="1077"/>
      <c r="F4461" s="1077"/>
      <c r="G4461" s="1077"/>
      <c r="H4461" s="1077"/>
      <c r="I4461" s="1077"/>
      <c r="J4461" s="1077"/>
      <c r="K4461" s="1077"/>
      <c r="L4461" s="1077"/>
      <c r="M4461" s="1077"/>
    </row>
    <row r="4462" spans="5:13">
      <c r="E4462" s="1077"/>
      <c r="F4462" s="1077"/>
      <c r="G4462" s="1077"/>
      <c r="H4462" s="1077"/>
      <c r="I4462" s="1077"/>
      <c r="J4462" s="1077"/>
      <c r="K4462" s="1077"/>
      <c r="L4462" s="1077"/>
      <c r="M4462" s="1077"/>
    </row>
    <row r="4463" spans="5:13">
      <c r="E4463" s="1077"/>
      <c r="F4463" s="1077"/>
      <c r="G4463" s="1077"/>
      <c r="H4463" s="1077"/>
      <c r="I4463" s="1077"/>
      <c r="J4463" s="1077"/>
      <c r="K4463" s="1077"/>
      <c r="L4463" s="1077"/>
      <c r="M4463" s="1077"/>
    </row>
    <row r="4464" spans="5:13">
      <c r="E4464" s="1077"/>
      <c r="F4464" s="1077"/>
      <c r="G4464" s="1077"/>
      <c r="H4464" s="1077"/>
      <c r="I4464" s="1077"/>
      <c r="J4464" s="1077"/>
      <c r="K4464" s="1077"/>
      <c r="L4464" s="1077"/>
      <c r="M4464" s="1077"/>
    </row>
    <row r="4465" spans="5:13">
      <c r="E4465" s="1077"/>
      <c r="F4465" s="1077"/>
      <c r="G4465" s="1077"/>
      <c r="H4465" s="1077"/>
      <c r="I4465" s="1077"/>
      <c r="J4465" s="1077"/>
      <c r="K4465" s="1077"/>
      <c r="L4465" s="1077"/>
      <c r="M4465" s="1077"/>
    </row>
    <row r="4466" spans="5:13">
      <c r="E4466" s="1077"/>
      <c r="F4466" s="1077"/>
      <c r="G4466" s="1077"/>
      <c r="H4466" s="1077"/>
      <c r="I4466" s="1077"/>
      <c r="J4466" s="1077"/>
      <c r="K4466" s="1077"/>
      <c r="L4466" s="1077"/>
      <c r="M4466" s="1077"/>
    </row>
    <row r="4467" spans="5:13">
      <c r="E4467" s="1077"/>
      <c r="F4467" s="1077"/>
      <c r="G4467" s="1077"/>
      <c r="H4467" s="1077"/>
      <c r="I4467" s="1077"/>
      <c r="J4467" s="1077"/>
      <c r="K4467" s="1077"/>
      <c r="L4467" s="1077"/>
      <c r="M4467" s="1077"/>
    </row>
    <row r="4468" spans="5:13">
      <c r="E4468" s="1077"/>
      <c r="F4468" s="1077"/>
      <c r="G4468" s="1077"/>
      <c r="H4468" s="1077"/>
      <c r="I4468" s="1077"/>
      <c r="J4468" s="1077"/>
      <c r="K4468" s="1077"/>
      <c r="L4468" s="1077"/>
      <c r="M4468" s="1077"/>
    </row>
    <row r="4469" spans="5:13">
      <c r="E4469" s="1077"/>
      <c r="F4469" s="1077"/>
      <c r="G4469" s="1077"/>
      <c r="H4469" s="1077"/>
      <c r="I4469" s="1077"/>
      <c r="J4469" s="1077"/>
      <c r="K4469" s="1077"/>
      <c r="L4469" s="1077"/>
      <c r="M4469" s="1077"/>
    </row>
    <row r="4470" spans="5:13">
      <c r="E4470" s="1077"/>
      <c r="F4470" s="1077"/>
      <c r="G4470" s="1077"/>
      <c r="H4470" s="1077"/>
      <c r="I4470" s="1077"/>
      <c r="J4470" s="1077"/>
      <c r="K4470" s="1077"/>
      <c r="L4470" s="1077"/>
      <c r="M4470" s="1077"/>
    </row>
    <row r="4471" spans="5:13">
      <c r="E4471" s="1077"/>
      <c r="F4471" s="1077"/>
      <c r="G4471" s="1077"/>
      <c r="H4471" s="1077"/>
      <c r="I4471" s="1077"/>
      <c r="J4471" s="1077"/>
      <c r="K4471" s="1077"/>
      <c r="L4471" s="1077"/>
      <c r="M4471" s="1077"/>
    </row>
    <row r="4472" spans="5:13">
      <c r="E4472" s="1077"/>
      <c r="F4472" s="1077"/>
      <c r="G4472" s="1077"/>
      <c r="H4472" s="1077"/>
      <c r="I4472" s="1077"/>
      <c r="J4472" s="1077"/>
      <c r="K4472" s="1077"/>
      <c r="L4472" s="1077"/>
      <c r="M4472" s="1077"/>
    </row>
    <row r="4473" spans="5:13">
      <c r="E4473" s="1077"/>
      <c r="F4473" s="1077"/>
      <c r="G4473" s="1077"/>
      <c r="H4473" s="1077"/>
      <c r="I4473" s="1077"/>
      <c r="J4473" s="1077"/>
      <c r="K4473" s="1077"/>
      <c r="L4473" s="1077"/>
      <c r="M4473" s="1077"/>
    </row>
    <row r="4474" spans="5:13">
      <c r="E4474" s="1077"/>
      <c r="F4474" s="1077"/>
      <c r="G4474" s="1077"/>
      <c r="H4474" s="1077"/>
      <c r="I4474" s="1077"/>
      <c r="J4474" s="1077"/>
      <c r="K4474" s="1077"/>
      <c r="L4474" s="1077"/>
      <c r="M4474" s="1077"/>
    </row>
    <row r="4475" spans="5:13">
      <c r="E4475" s="1077"/>
      <c r="F4475" s="1077"/>
      <c r="G4475" s="1077"/>
      <c r="H4475" s="1077"/>
      <c r="I4475" s="1077"/>
      <c r="J4475" s="1077"/>
      <c r="K4475" s="1077"/>
      <c r="L4475" s="1077"/>
      <c r="M4475" s="1077"/>
    </row>
    <row r="4476" spans="5:13">
      <c r="E4476" s="1077"/>
      <c r="F4476" s="1077"/>
      <c r="G4476" s="1077"/>
      <c r="H4476" s="1077"/>
      <c r="I4476" s="1077"/>
      <c r="J4476" s="1077"/>
      <c r="K4476" s="1077"/>
      <c r="L4476" s="1077"/>
      <c r="M4476" s="1077"/>
    </row>
    <row r="4477" spans="5:13">
      <c r="E4477" s="1077"/>
      <c r="F4477" s="1077"/>
      <c r="G4477" s="1077"/>
      <c r="H4477" s="1077"/>
      <c r="I4477" s="1077"/>
      <c r="J4477" s="1077"/>
      <c r="K4477" s="1077"/>
      <c r="L4477" s="1077"/>
      <c r="M4477" s="1077"/>
    </row>
    <row r="4478" spans="5:13">
      <c r="E4478" s="1077"/>
      <c r="F4478" s="1077"/>
      <c r="G4478" s="1077"/>
      <c r="H4478" s="1077"/>
      <c r="I4478" s="1077"/>
      <c r="J4478" s="1077"/>
      <c r="K4478" s="1077"/>
      <c r="L4478" s="1077"/>
      <c r="M4478" s="1077"/>
    </row>
    <row r="4479" spans="5:13">
      <c r="E4479" s="1077"/>
      <c r="F4479" s="1077"/>
      <c r="G4479" s="1077"/>
      <c r="H4479" s="1077"/>
      <c r="I4479" s="1077"/>
      <c r="J4479" s="1077"/>
      <c r="K4479" s="1077"/>
      <c r="L4479" s="1077"/>
      <c r="M4479" s="1077"/>
    </row>
    <row r="4480" spans="5:13">
      <c r="E4480" s="1077"/>
      <c r="F4480" s="1077"/>
      <c r="G4480" s="1077"/>
      <c r="H4480" s="1077"/>
      <c r="I4480" s="1077"/>
      <c r="J4480" s="1077"/>
      <c r="K4480" s="1077"/>
      <c r="L4480" s="1077"/>
      <c r="M4480" s="1077"/>
    </row>
    <row r="4481" spans="5:13">
      <c r="E4481" s="1077"/>
      <c r="F4481" s="1077"/>
      <c r="G4481" s="1077"/>
      <c r="H4481" s="1077"/>
      <c r="I4481" s="1077"/>
      <c r="J4481" s="1077"/>
      <c r="K4481" s="1077"/>
      <c r="L4481" s="1077"/>
      <c r="M4481" s="1077"/>
    </row>
    <row r="4482" spans="5:13">
      <c r="E4482" s="1077"/>
      <c r="F4482" s="1077"/>
      <c r="G4482" s="1077"/>
      <c r="H4482" s="1077"/>
      <c r="I4482" s="1077"/>
      <c r="J4482" s="1077"/>
      <c r="K4482" s="1077"/>
      <c r="L4482" s="1077"/>
      <c r="M4482" s="1077"/>
    </row>
    <row r="4483" spans="5:13">
      <c r="E4483" s="1077"/>
      <c r="F4483" s="1077"/>
      <c r="G4483" s="1077"/>
      <c r="H4483" s="1077"/>
      <c r="I4483" s="1077"/>
      <c r="J4483" s="1077"/>
      <c r="K4483" s="1077"/>
      <c r="L4483" s="1077"/>
      <c r="M4483" s="1077"/>
    </row>
    <row r="4484" spans="5:13">
      <c r="E4484" s="1077"/>
      <c r="F4484" s="1077"/>
      <c r="G4484" s="1077"/>
      <c r="H4484" s="1077"/>
      <c r="I4484" s="1077"/>
      <c r="J4484" s="1077"/>
      <c r="K4484" s="1077"/>
      <c r="L4484" s="1077"/>
      <c r="M4484" s="1077"/>
    </row>
    <row r="4485" spans="5:13">
      <c r="E4485" s="1077"/>
      <c r="F4485" s="1077"/>
      <c r="G4485" s="1077"/>
      <c r="H4485" s="1077"/>
      <c r="I4485" s="1077"/>
      <c r="J4485" s="1077"/>
      <c r="K4485" s="1077"/>
      <c r="L4485" s="1077"/>
      <c r="M4485" s="1077"/>
    </row>
    <row r="4486" spans="5:13">
      <c r="E4486" s="1077"/>
      <c r="F4486" s="1077"/>
      <c r="G4486" s="1077"/>
      <c r="H4486" s="1077"/>
      <c r="I4486" s="1077"/>
      <c r="J4486" s="1077"/>
      <c r="K4486" s="1077"/>
      <c r="L4486" s="1077"/>
      <c r="M4486" s="1077"/>
    </row>
    <row r="4487" spans="5:13">
      <c r="E4487" s="1077"/>
      <c r="F4487" s="1077"/>
      <c r="G4487" s="1077"/>
      <c r="H4487" s="1077"/>
      <c r="I4487" s="1077"/>
      <c r="J4487" s="1077"/>
      <c r="K4487" s="1077"/>
      <c r="L4487" s="1077"/>
      <c r="M4487" s="1077"/>
    </row>
    <row r="4488" spans="5:13">
      <c r="E4488" s="1077"/>
      <c r="F4488" s="1077"/>
      <c r="G4488" s="1077"/>
      <c r="H4488" s="1077"/>
      <c r="I4488" s="1077"/>
      <c r="J4488" s="1077"/>
      <c r="K4488" s="1077"/>
      <c r="L4488" s="1077"/>
      <c r="M4488" s="1077"/>
    </row>
    <row r="4489" spans="5:13">
      <c r="E4489" s="1077"/>
      <c r="F4489" s="1077"/>
      <c r="G4489" s="1077"/>
      <c r="H4489" s="1077"/>
      <c r="I4489" s="1077"/>
      <c r="J4489" s="1077"/>
      <c r="K4489" s="1077"/>
      <c r="L4489" s="1077"/>
      <c r="M4489" s="1077"/>
    </row>
    <row r="4490" spans="5:13">
      <c r="E4490" s="1077"/>
      <c r="F4490" s="1077"/>
      <c r="G4490" s="1077"/>
      <c r="H4490" s="1077"/>
      <c r="I4490" s="1077"/>
      <c r="J4490" s="1077"/>
      <c r="K4490" s="1077"/>
      <c r="L4490" s="1077"/>
      <c r="M4490" s="1077"/>
    </row>
    <row r="4491" spans="5:13">
      <c r="E4491" s="1077"/>
      <c r="F4491" s="1077"/>
      <c r="G4491" s="1077"/>
      <c r="H4491" s="1077"/>
      <c r="I4491" s="1077"/>
      <c r="J4491" s="1077"/>
      <c r="K4491" s="1077"/>
      <c r="L4491" s="1077"/>
      <c r="M4491" s="1077"/>
    </row>
    <row r="4492" spans="5:13">
      <c r="E4492" s="1077"/>
      <c r="F4492" s="1077"/>
      <c r="G4492" s="1077"/>
      <c r="H4492" s="1077"/>
      <c r="I4492" s="1077"/>
      <c r="J4492" s="1077"/>
      <c r="K4492" s="1077"/>
      <c r="L4492" s="1077"/>
      <c r="M4492" s="1077"/>
    </row>
    <row r="4493" spans="5:13">
      <c r="E4493" s="1077"/>
      <c r="F4493" s="1077"/>
      <c r="G4493" s="1077"/>
      <c r="H4493" s="1077"/>
      <c r="I4493" s="1077"/>
      <c r="J4493" s="1077"/>
      <c r="K4493" s="1077"/>
      <c r="L4493" s="1077"/>
      <c r="M4493" s="1077"/>
    </row>
    <row r="4494" spans="5:13">
      <c r="E4494" s="1077"/>
      <c r="F4494" s="1077"/>
      <c r="G4494" s="1077"/>
      <c r="H4494" s="1077"/>
      <c r="I4494" s="1077"/>
      <c r="J4494" s="1077"/>
      <c r="K4494" s="1077"/>
      <c r="L4494" s="1077"/>
      <c r="M4494" s="1077"/>
    </row>
    <row r="4495" spans="5:13">
      <c r="E4495" s="1077"/>
      <c r="F4495" s="1077"/>
      <c r="G4495" s="1077"/>
      <c r="H4495" s="1077"/>
      <c r="I4495" s="1077"/>
      <c r="J4495" s="1077"/>
      <c r="K4495" s="1077"/>
      <c r="L4495" s="1077"/>
      <c r="M4495" s="1077"/>
    </row>
    <row r="4496" spans="5:13">
      <c r="E4496" s="1077"/>
      <c r="F4496" s="1077"/>
      <c r="G4496" s="1077"/>
      <c r="H4496" s="1077"/>
      <c r="I4496" s="1077"/>
      <c r="J4496" s="1077"/>
      <c r="K4496" s="1077"/>
      <c r="L4496" s="1077"/>
      <c r="M4496" s="1077"/>
    </row>
    <row r="4497" spans="5:13">
      <c r="E4497" s="1077"/>
      <c r="F4497" s="1077"/>
      <c r="G4497" s="1077"/>
      <c r="H4497" s="1077"/>
      <c r="I4497" s="1077"/>
      <c r="J4497" s="1077"/>
      <c r="K4497" s="1077"/>
      <c r="L4497" s="1077"/>
      <c r="M4497" s="1077"/>
    </row>
    <row r="4498" spans="5:13">
      <c r="E4498" s="1077"/>
      <c r="F4498" s="1077"/>
      <c r="G4498" s="1077"/>
      <c r="H4498" s="1077"/>
      <c r="I4498" s="1077"/>
      <c r="J4498" s="1077"/>
      <c r="K4498" s="1077"/>
      <c r="L4498" s="1077"/>
      <c r="M4498" s="1077"/>
    </row>
    <row r="4499" spans="5:13">
      <c r="E4499" s="1077"/>
      <c r="F4499" s="1077"/>
      <c r="G4499" s="1077"/>
      <c r="H4499" s="1077"/>
      <c r="I4499" s="1077"/>
      <c r="J4499" s="1077"/>
      <c r="K4499" s="1077"/>
      <c r="L4499" s="1077"/>
      <c r="M4499" s="1077"/>
    </row>
    <row r="4500" spans="5:13">
      <c r="E4500" s="1077"/>
      <c r="F4500" s="1077"/>
      <c r="G4500" s="1077"/>
      <c r="H4500" s="1077"/>
      <c r="I4500" s="1077"/>
      <c r="J4500" s="1077"/>
      <c r="K4500" s="1077"/>
      <c r="L4500" s="1077"/>
      <c r="M4500" s="1077"/>
    </row>
    <row r="4501" spans="5:13">
      <c r="E4501" s="1077"/>
      <c r="F4501" s="1077"/>
      <c r="G4501" s="1077"/>
      <c r="H4501" s="1077"/>
      <c r="I4501" s="1077"/>
      <c r="J4501" s="1077"/>
      <c r="K4501" s="1077"/>
      <c r="L4501" s="1077"/>
      <c r="M4501" s="1077"/>
    </row>
    <row r="4502" spans="5:13">
      <c r="E4502" s="1077"/>
      <c r="F4502" s="1077"/>
      <c r="G4502" s="1077"/>
      <c r="H4502" s="1077"/>
      <c r="I4502" s="1077"/>
      <c r="J4502" s="1077"/>
      <c r="K4502" s="1077"/>
      <c r="L4502" s="1077"/>
      <c r="M4502" s="1077"/>
    </row>
    <row r="4503" spans="5:13">
      <c r="E4503" s="1077"/>
      <c r="F4503" s="1077"/>
      <c r="G4503" s="1077"/>
      <c r="H4503" s="1077"/>
      <c r="I4503" s="1077"/>
      <c r="J4503" s="1077"/>
      <c r="K4503" s="1077"/>
      <c r="L4503" s="1077"/>
      <c r="M4503" s="1077"/>
    </row>
    <row r="4504" spans="5:13">
      <c r="E4504" s="1077"/>
      <c r="F4504" s="1077"/>
      <c r="G4504" s="1077"/>
      <c r="H4504" s="1077"/>
      <c r="I4504" s="1077"/>
      <c r="J4504" s="1077"/>
      <c r="K4504" s="1077"/>
      <c r="L4504" s="1077"/>
      <c r="M4504" s="1077"/>
    </row>
    <row r="4505" spans="5:13">
      <c r="E4505" s="1077"/>
      <c r="F4505" s="1077"/>
      <c r="G4505" s="1077"/>
      <c r="H4505" s="1077"/>
      <c r="I4505" s="1077"/>
      <c r="J4505" s="1077"/>
      <c r="K4505" s="1077"/>
      <c r="L4505" s="1077"/>
      <c r="M4505" s="1077"/>
    </row>
    <row r="4506" spans="5:13">
      <c r="E4506" s="1077"/>
      <c r="F4506" s="1077"/>
      <c r="G4506" s="1077"/>
      <c r="H4506" s="1077"/>
      <c r="I4506" s="1077"/>
      <c r="J4506" s="1077"/>
      <c r="K4506" s="1077"/>
      <c r="L4506" s="1077"/>
      <c r="M4506" s="1077"/>
    </row>
    <row r="4507" spans="5:13">
      <c r="E4507" s="1077"/>
      <c r="F4507" s="1077"/>
      <c r="G4507" s="1077"/>
      <c r="H4507" s="1077"/>
      <c r="I4507" s="1077"/>
      <c r="J4507" s="1077"/>
      <c r="K4507" s="1077"/>
      <c r="L4507" s="1077"/>
      <c r="M4507" s="1077"/>
    </row>
    <row r="4508" spans="5:13">
      <c r="E4508" s="1077"/>
      <c r="F4508" s="1077"/>
      <c r="G4508" s="1077"/>
      <c r="H4508" s="1077"/>
      <c r="I4508" s="1077"/>
      <c r="J4508" s="1077"/>
      <c r="K4508" s="1077"/>
      <c r="L4508" s="1077"/>
      <c r="M4508" s="1077"/>
    </row>
    <row r="4509" spans="5:13">
      <c r="E4509" s="1077"/>
      <c r="F4509" s="1077"/>
      <c r="G4509" s="1077"/>
      <c r="H4509" s="1077"/>
      <c r="I4509" s="1077"/>
      <c r="J4509" s="1077"/>
      <c r="K4509" s="1077"/>
      <c r="L4509" s="1077"/>
      <c r="M4509" s="1077"/>
    </row>
    <row r="4510" spans="5:13">
      <c r="E4510" s="1077"/>
      <c r="F4510" s="1077"/>
      <c r="G4510" s="1077"/>
      <c r="H4510" s="1077"/>
      <c r="I4510" s="1077"/>
      <c r="J4510" s="1077"/>
      <c r="K4510" s="1077"/>
      <c r="L4510" s="1077"/>
      <c r="M4510" s="1077"/>
    </row>
    <row r="4511" spans="5:13">
      <c r="E4511" s="1077"/>
      <c r="F4511" s="1077"/>
      <c r="G4511" s="1077"/>
      <c r="H4511" s="1077"/>
      <c r="I4511" s="1077"/>
      <c r="J4511" s="1077"/>
      <c r="K4511" s="1077"/>
      <c r="L4511" s="1077"/>
      <c r="M4511" s="1077"/>
    </row>
    <row r="4512" spans="5:13">
      <c r="E4512" s="1077"/>
      <c r="F4512" s="1077"/>
      <c r="G4512" s="1077"/>
      <c r="H4512" s="1077"/>
      <c r="I4512" s="1077"/>
      <c r="J4512" s="1077"/>
      <c r="K4512" s="1077"/>
      <c r="L4512" s="1077"/>
      <c r="M4512" s="1077"/>
    </row>
    <row r="4513" spans="5:13">
      <c r="E4513" s="1077"/>
      <c r="F4513" s="1077"/>
      <c r="G4513" s="1077"/>
      <c r="H4513" s="1077"/>
      <c r="I4513" s="1077"/>
      <c r="J4513" s="1077"/>
      <c r="K4513" s="1077"/>
      <c r="L4513" s="1077"/>
      <c r="M4513" s="1077"/>
    </row>
    <row r="4514" spans="5:13">
      <c r="E4514" s="1077"/>
      <c r="F4514" s="1077"/>
      <c r="G4514" s="1077"/>
      <c r="H4514" s="1077"/>
      <c r="I4514" s="1077"/>
      <c r="J4514" s="1077"/>
      <c r="K4514" s="1077"/>
      <c r="L4514" s="1077"/>
      <c r="M4514" s="1077"/>
    </row>
    <row r="4515" spans="5:13">
      <c r="E4515" s="1077"/>
      <c r="F4515" s="1077"/>
      <c r="G4515" s="1077"/>
      <c r="H4515" s="1077"/>
      <c r="I4515" s="1077"/>
      <c r="J4515" s="1077"/>
      <c r="K4515" s="1077"/>
      <c r="L4515" s="1077"/>
      <c r="M4515" s="1077"/>
    </row>
    <row r="4516" spans="5:13">
      <c r="E4516" s="1077"/>
      <c r="F4516" s="1077"/>
      <c r="G4516" s="1077"/>
      <c r="H4516" s="1077"/>
      <c r="I4516" s="1077"/>
      <c r="J4516" s="1077"/>
      <c r="K4516" s="1077"/>
      <c r="L4516" s="1077"/>
      <c r="M4516" s="1077"/>
    </row>
    <row r="4517" spans="5:13">
      <c r="E4517" s="1077"/>
      <c r="F4517" s="1077"/>
      <c r="G4517" s="1077"/>
      <c r="H4517" s="1077"/>
      <c r="I4517" s="1077"/>
      <c r="J4517" s="1077"/>
      <c r="K4517" s="1077"/>
      <c r="L4517" s="1077"/>
      <c r="M4517" s="1077"/>
    </row>
    <row r="4518" spans="5:13">
      <c r="E4518" s="1077"/>
      <c r="F4518" s="1077"/>
      <c r="G4518" s="1077"/>
      <c r="H4518" s="1077"/>
      <c r="I4518" s="1077"/>
      <c r="J4518" s="1077"/>
      <c r="K4518" s="1077"/>
      <c r="L4518" s="1077"/>
      <c r="M4518" s="1077"/>
    </row>
    <row r="4519" spans="5:13">
      <c r="E4519" s="1077"/>
      <c r="F4519" s="1077"/>
      <c r="G4519" s="1077"/>
      <c r="H4519" s="1077"/>
      <c r="I4519" s="1077"/>
      <c r="J4519" s="1077"/>
      <c r="K4519" s="1077"/>
      <c r="L4519" s="1077"/>
      <c r="M4519" s="1077"/>
    </row>
    <row r="4520" spans="5:13">
      <c r="E4520" s="1077"/>
      <c r="F4520" s="1077"/>
      <c r="G4520" s="1077"/>
      <c r="H4520" s="1077"/>
      <c r="I4520" s="1077"/>
      <c r="J4520" s="1077"/>
      <c r="K4520" s="1077"/>
      <c r="L4520" s="1077"/>
      <c r="M4520" s="1077"/>
    </row>
    <row r="4521" spans="5:13">
      <c r="E4521" s="1077"/>
      <c r="F4521" s="1077"/>
      <c r="G4521" s="1077"/>
      <c r="H4521" s="1077"/>
      <c r="I4521" s="1077"/>
      <c r="J4521" s="1077"/>
      <c r="K4521" s="1077"/>
      <c r="L4521" s="1077"/>
      <c r="M4521" s="1077"/>
    </row>
    <row r="4522" spans="5:13">
      <c r="E4522" s="1077"/>
      <c r="F4522" s="1077"/>
      <c r="G4522" s="1077"/>
      <c r="H4522" s="1077"/>
      <c r="I4522" s="1077"/>
      <c r="J4522" s="1077"/>
      <c r="K4522" s="1077"/>
      <c r="L4522" s="1077"/>
      <c r="M4522" s="1077"/>
    </row>
    <row r="4523" spans="5:13">
      <c r="E4523" s="1077"/>
      <c r="F4523" s="1077"/>
      <c r="G4523" s="1077"/>
      <c r="H4523" s="1077"/>
      <c r="I4523" s="1077"/>
      <c r="J4523" s="1077"/>
      <c r="K4523" s="1077"/>
      <c r="L4523" s="1077"/>
      <c r="M4523" s="1077"/>
    </row>
    <row r="4524" spans="5:13">
      <c r="E4524" s="1077"/>
      <c r="F4524" s="1077"/>
      <c r="G4524" s="1077"/>
      <c r="H4524" s="1077"/>
      <c r="I4524" s="1077"/>
      <c r="J4524" s="1077"/>
      <c r="K4524" s="1077"/>
      <c r="L4524" s="1077"/>
      <c r="M4524" s="1077"/>
    </row>
    <row r="4525" spans="5:13">
      <c r="E4525" s="1077"/>
      <c r="F4525" s="1077"/>
      <c r="G4525" s="1077"/>
      <c r="H4525" s="1077"/>
      <c r="I4525" s="1077"/>
      <c r="J4525" s="1077"/>
      <c r="K4525" s="1077"/>
      <c r="L4525" s="1077"/>
      <c r="M4525" s="1077"/>
    </row>
    <row r="4526" spans="5:13">
      <c r="E4526" s="1077"/>
      <c r="F4526" s="1077"/>
      <c r="G4526" s="1077"/>
      <c r="H4526" s="1077"/>
      <c r="I4526" s="1077"/>
      <c r="J4526" s="1077"/>
      <c r="K4526" s="1077"/>
      <c r="L4526" s="1077"/>
      <c r="M4526" s="1077"/>
    </row>
    <row r="4527" spans="5:13">
      <c r="E4527" s="1077"/>
      <c r="F4527" s="1077"/>
      <c r="G4527" s="1077"/>
      <c r="H4527" s="1077"/>
      <c r="I4527" s="1077"/>
      <c r="J4527" s="1077"/>
      <c r="K4527" s="1077"/>
      <c r="L4527" s="1077"/>
      <c r="M4527" s="1077"/>
    </row>
    <row r="4528" spans="5:13">
      <c r="E4528" s="1077"/>
      <c r="F4528" s="1077"/>
      <c r="G4528" s="1077"/>
      <c r="H4528" s="1077"/>
      <c r="I4528" s="1077"/>
      <c r="J4528" s="1077"/>
      <c r="K4528" s="1077"/>
      <c r="L4528" s="1077"/>
      <c r="M4528" s="1077"/>
    </row>
    <row r="4529" spans="5:13">
      <c r="E4529" s="1077"/>
      <c r="F4529" s="1077"/>
      <c r="G4529" s="1077"/>
      <c r="H4529" s="1077"/>
      <c r="I4529" s="1077"/>
      <c r="J4529" s="1077"/>
      <c r="K4529" s="1077"/>
      <c r="L4529" s="1077"/>
      <c r="M4529" s="1077"/>
    </row>
    <row r="4530" spans="5:13">
      <c r="E4530" s="1077"/>
      <c r="F4530" s="1077"/>
      <c r="G4530" s="1077"/>
      <c r="H4530" s="1077"/>
      <c r="I4530" s="1077"/>
      <c r="J4530" s="1077"/>
      <c r="K4530" s="1077"/>
      <c r="L4530" s="1077"/>
      <c r="M4530" s="1077"/>
    </row>
    <row r="4531" spans="5:13">
      <c r="E4531" s="1077"/>
      <c r="F4531" s="1077"/>
      <c r="G4531" s="1077"/>
      <c r="H4531" s="1077"/>
      <c r="I4531" s="1077"/>
      <c r="J4531" s="1077"/>
      <c r="K4531" s="1077"/>
      <c r="L4531" s="1077"/>
      <c r="M4531" s="1077"/>
    </row>
    <row r="4532" spans="5:13">
      <c r="E4532" s="1077"/>
      <c r="F4532" s="1077"/>
      <c r="G4532" s="1077"/>
      <c r="H4532" s="1077"/>
      <c r="I4532" s="1077"/>
      <c r="J4532" s="1077"/>
      <c r="K4532" s="1077"/>
      <c r="L4532" s="1077"/>
      <c r="M4532" s="1077"/>
    </row>
    <row r="4533" spans="5:13">
      <c r="E4533" s="1077"/>
      <c r="F4533" s="1077"/>
      <c r="G4533" s="1077"/>
      <c r="H4533" s="1077"/>
      <c r="I4533" s="1077"/>
      <c r="J4533" s="1077"/>
      <c r="K4533" s="1077"/>
      <c r="L4533" s="1077"/>
      <c r="M4533" s="1077"/>
    </row>
    <row r="4534" spans="5:13">
      <c r="E4534" s="1077"/>
      <c r="F4534" s="1077"/>
      <c r="G4534" s="1077"/>
      <c r="H4534" s="1077"/>
      <c r="I4534" s="1077"/>
      <c r="J4534" s="1077"/>
      <c r="K4534" s="1077"/>
      <c r="L4534" s="1077"/>
      <c r="M4534" s="1077"/>
    </row>
    <row r="4535" spans="5:13">
      <c r="E4535" s="1077"/>
      <c r="F4535" s="1077"/>
      <c r="G4535" s="1077"/>
      <c r="H4535" s="1077"/>
      <c r="I4535" s="1077"/>
      <c r="J4535" s="1077"/>
      <c r="K4535" s="1077"/>
      <c r="L4535" s="1077"/>
      <c r="M4535" s="1077"/>
    </row>
    <row r="4536" spans="5:13">
      <c r="E4536" s="1077"/>
      <c r="F4536" s="1077"/>
      <c r="G4536" s="1077"/>
      <c r="H4536" s="1077"/>
      <c r="I4536" s="1077"/>
      <c r="J4536" s="1077"/>
      <c r="K4536" s="1077"/>
      <c r="L4536" s="1077"/>
      <c r="M4536" s="1077"/>
    </row>
    <row r="4537" spans="5:13">
      <c r="E4537" s="1077"/>
      <c r="F4537" s="1077"/>
      <c r="G4537" s="1077"/>
      <c r="H4537" s="1077"/>
      <c r="I4537" s="1077"/>
      <c r="J4537" s="1077"/>
      <c r="K4537" s="1077"/>
      <c r="L4537" s="1077"/>
      <c r="M4537" s="1077"/>
    </row>
    <row r="4538" spans="5:13">
      <c r="E4538" s="1077"/>
      <c r="F4538" s="1077"/>
      <c r="G4538" s="1077"/>
      <c r="H4538" s="1077"/>
      <c r="I4538" s="1077"/>
      <c r="J4538" s="1077"/>
      <c r="K4538" s="1077"/>
      <c r="L4538" s="1077"/>
      <c r="M4538" s="1077"/>
    </row>
    <row r="4539" spans="5:13">
      <c r="E4539" s="1077"/>
      <c r="F4539" s="1077"/>
      <c r="G4539" s="1077"/>
      <c r="H4539" s="1077"/>
      <c r="I4539" s="1077"/>
      <c r="J4539" s="1077"/>
      <c r="K4539" s="1077"/>
      <c r="L4539" s="1077"/>
      <c r="M4539" s="1077"/>
    </row>
    <row r="4540" spans="5:13">
      <c r="E4540" s="1077"/>
      <c r="F4540" s="1077"/>
      <c r="G4540" s="1077"/>
      <c r="H4540" s="1077"/>
      <c r="I4540" s="1077"/>
      <c r="J4540" s="1077"/>
      <c r="K4540" s="1077"/>
      <c r="L4540" s="1077"/>
      <c r="M4540" s="1077"/>
    </row>
    <row r="4541" spans="5:13">
      <c r="E4541" s="1077"/>
      <c r="F4541" s="1077"/>
      <c r="G4541" s="1077"/>
      <c r="H4541" s="1077"/>
      <c r="I4541" s="1077"/>
      <c r="J4541" s="1077"/>
      <c r="K4541" s="1077"/>
      <c r="L4541" s="1077"/>
      <c r="M4541" s="1077"/>
    </row>
    <row r="4542" spans="5:13">
      <c r="E4542" s="1077"/>
      <c r="F4542" s="1077"/>
      <c r="G4542" s="1077"/>
      <c r="H4542" s="1077"/>
      <c r="I4542" s="1077"/>
      <c r="J4542" s="1077"/>
      <c r="K4542" s="1077"/>
      <c r="L4542" s="1077"/>
      <c r="M4542" s="1077"/>
    </row>
    <row r="4543" spans="5:13">
      <c r="E4543" s="1077"/>
      <c r="F4543" s="1077"/>
      <c r="G4543" s="1077"/>
      <c r="H4543" s="1077"/>
      <c r="I4543" s="1077"/>
      <c r="J4543" s="1077"/>
      <c r="K4543" s="1077"/>
      <c r="L4543" s="1077"/>
      <c r="M4543" s="1077"/>
    </row>
    <row r="4544" spans="5:13">
      <c r="E4544" s="1077"/>
      <c r="F4544" s="1077"/>
      <c r="G4544" s="1077"/>
      <c r="H4544" s="1077"/>
      <c r="I4544" s="1077"/>
      <c r="J4544" s="1077"/>
      <c r="K4544" s="1077"/>
      <c r="L4544" s="1077"/>
      <c r="M4544" s="1077"/>
    </row>
    <row r="4545" spans="5:13">
      <c r="E4545" s="1077"/>
      <c r="F4545" s="1077"/>
      <c r="G4545" s="1077"/>
      <c r="H4545" s="1077"/>
      <c r="I4545" s="1077"/>
      <c r="J4545" s="1077"/>
      <c r="K4545" s="1077"/>
      <c r="L4545" s="1077"/>
      <c r="M4545" s="1077"/>
    </row>
    <row r="4546" spans="5:13">
      <c r="E4546" s="1077"/>
      <c r="F4546" s="1077"/>
      <c r="G4546" s="1077"/>
      <c r="H4546" s="1077"/>
      <c r="I4546" s="1077"/>
      <c r="J4546" s="1077"/>
      <c r="K4546" s="1077"/>
      <c r="L4546" s="1077"/>
      <c r="M4546" s="1077"/>
    </row>
    <row r="4547" spans="5:13">
      <c r="E4547" s="1077"/>
      <c r="F4547" s="1077"/>
      <c r="G4547" s="1077"/>
      <c r="H4547" s="1077"/>
      <c r="I4547" s="1077"/>
      <c r="J4547" s="1077"/>
      <c r="K4547" s="1077"/>
      <c r="L4547" s="1077"/>
      <c r="M4547" s="1077"/>
    </row>
    <row r="4548" spans="5:13">
      <c r="E4548" s="1077"/>
      <c r="F4548" s="1077"/>
      <c r="G4548" s="1077"/>
      <c r="H4548" s="1077"/>
      <c r="I4548" s="1077"/>
      <c r="J4548" s="1077"/>
      <c r="K4548" s="1077"/>
      <c r="L4548" s="1077"/>
      <c r="M4548" s="1077"/>
    </row>
    <row r="4549" spans="5:13">
      <c r="E4549" s="1077"/>
      <c r="F4549" s="1077"/>
      <c r="G4549" s="1077"/>
      <c r="H4549" s="1077"/>
      <c r="I4549" s="1077"/>
      <c r="J4549" s="1077"/>
      <c r="K4549" s="1077"/>
      <c r="L4549" s="1077"/>
      <c r="M4549" s="1077"/>
    </row>
    <row r="4550" spans="5:13">
      <c r="E4550" s="1077"/>
      <c r="F4550" s="1077"/>
      <c r="G4550" s="1077"/>
      <c r="H4550" s="1077"/>
      <c r="I4550" s="1077"/>
      <c r="J4550" s="1077"/>
      <c r="K4550" s="1077"/>
      <c r="L4550" s="1077"/>
      <c r="M4550" s="1077"/>
    </row>
    <row r="4551" spans="5:13">
      <c r="E4551" s="1077"/>
      <c r="F4551" s="1077"/>
      <c r="G4551" s="1077"/>
      <c r="H4551" s="1077"/>
      <c r="I4551" s="1077"/>
      <c r="J4551" s="1077"/>
      <c r="K4551" s="1077"/>
      <c r="L4551" s="1077"/>
      <c r="M4551" s="1077"/>
    </row>
    <row r="4552" spans="5:13">
      <c r="E4552" s="1077"/>
      <c r="F4552" s="1077"/>
      <c r="G4552" s="1077"/>
      <c r="H4552" s="1077"/>
      <c r="I4552" s="1077"/>
      <c r="J4552" s="1077"/>
      <c r="K4552" s="1077"/>
      <c r="L4552" s="1077"/>
      <c r="M4552" s="1077"/>
    </row>
    <row r="4553" spans="5:13">
      <c r="E4553" s="1077"/>
      <c r="F4553" s="1077"/>
      <c r="G4553" s="1077"/>
      <c r="H4553" s="1077"/>
      <c r="I4553" s="1077"/>
      <c r="J4553" s="1077"/>
      <c r="K4553" s="1077"/>
      <c r="L4553" s="1077"/>
      <c r="M4553" s="1077"/>
    </row>
    <row r="4554" spans="5:13">
      <c r="E4554" s="1077"/>
      <c r="F4554" s="1077"/>
      <c r="G4554" s="1077"/>
      <c r="H4554" s="1077"/>
      <c r="I4554" s="1077"/>
      <c r="J4554" s="1077"/>
      <c r="K4554" s="1077"/>
      <c r="L4554" s="1077"/>
      <c r="M4554" s="1077"/>
    </row>
    <row r="4555" spans="5:13">
      <c r="E4555" s="1077"/>
      <c r="F4555" s="1077"/>
      <c r="G4555" s="1077"/>
      <c r="H4555" s="1077"/>
      <c r="I4555" s="1077"/>
      <c r="J4555" s="1077"/>
      <c r="K4555" s="1077"/>
      <c r="L4555" s="1077"/>
      <c r="M4555" s="1077"/>
    </row>
    <row r="4556" spans="5:13">
      <c r="E4556" s="1077"/>
      <c r="F4556" s="1077"/>
      <c r="G4556" s="1077"/>
      <c r="H4556" s="1077"/>
      <c r="I4556" s="1077"/>
      <c r="J4556" s="1077"/>
      <c r="K4556" s="1077"/>
      <c r="L4556" s="1077"/>
      <c r="M4556" s="1077"/>
    </row>
    <row r="4557" spans="5:13">
      <c r="E4557" s="1077"/>
      <c r="F4557" s="1077"/>
      <c r="G4557" s="1077"/>
      <c r="H4557" s="1077"/>
      <c r="I4557" s="1077"/>
      <c r="J4557" s="1077"/>
      <c r="K4557" s="1077"/>
      <c r="L4557" s="1077"/>
      <c r="M4557" s="1077"/>
    </row>
    <row r="4558" spans="5:13">
      <c r="E4558" s="1077"/>
      <c r="F4558" s="1077"/>
      <c r="G4558" s="1077"/>
      <c r="H4558" s="1077"/>
      <c r="I4558" s="1077"/>
      <c r="J4558" s="1077"/>
      <c r="K4558" s="1077"/>
      <c r="L4558" s="1077"/>
      <c r="M4558" s="1077"/>
    </row>
    <row r="4559" spans="5:13">
      <c r="E4559" s="1077"/>
      <c r="F4559" s="1077"/>
      <c r="G4559" s="1077"/>
      <c r="H4559" s="1077"/>
      <c r="I4559" s="1077"/>
      <c r="J4559" s="1077"/>
      <c r="K4559" s="1077"/>
      <c r="L4559" s="1077"/>
      <c r="M4559" s="1077"/>
    </row>
    <row r="4560" spans="5:13">
      <c r="E4560" s="1077"/>
      <c r="F4560" s="1077"/>
      <c r="G4560" s="1077"/>
      <c r="H4560" s="1077"/>
      <c r="I4560" s="1077"/>
      <c r="J4560" s="1077"/>
      <c r="K4560" s="1077"/>
      <c r="L4560" s="1077"/>
      <c r="M4560" s="1077"/>
    </row>
    <row r="4561" spans="5:13">
      <c r="E4561" s="1077"/>
      <c r="F4561" s="1077"/>
      <c r="G4561" s="1077"/>
      <c r="H4561" s="1077"/>
      <c r="I4561" s="1077"/>
      <c r="J4561" s="1077"/>
      <c r="K4561" s="1077"/>
      <c r="L4561" s="1077"/>
      <c r="M4561" s="1077"/>
    </row>
    <row r="4562" spans="5:13">
      <c r="E4562" s="1077"/>
      <c r="F4562" s="1077"/>
      <c r="G4562" s="1077"/>
      <c r="H4562" s="1077"/>
      <c r="I4562" s="1077"/>
      <c r="J4562" s="1077"/>
      <c r="K4562" s="1077"/>
      <c r="L4562" s="1077"/>
      <c r="M4562" s="1077"/>
    </row>
    <row r="4563" spans="5:13">
      <c r="E4563" s="1077"/>
      <c r="F4563" s="1077"/>
      <c r="G4563" s="1077"/>
      <c r="H4563" s="1077"/>
      <c r="I4563" s="1077"/>
      <c r="J4563" s="1077"/>
      <c r="K4563" s="1077"/>
      <c r="L4563" s="1077"/>
      <c r="M4563" s="1077"/>
    </row>
    <row r="4564" spans="5:13">
      <c r="E4564" s="1077"/>
      <c r="F4564" s="1077"/>
      <c r="G4564" s="1077"/>
      <c r="H4564" s="1077"/>
      <c r="I4564" s="1077"/>
      <c r="J4564" s="1077"/>
      <c r="K4564" s="1077"/>
      <c r="L4564" s="1077"/>
      <c r="M4564" s="1077"/>
    </row>
    <row r="4565" spans="5:13">
      <c r="E4565" s="1077"/>
      <c r="F4565" s="1077"/>
      <c r="G4565" s="1077"/>
      <c r="H4565" s="1077"/>
      <c r="I4565" s="1077"/>
      <c r="J4565" s="1077"/>
      <c r="K4565" s="1077"/>
      <c r="L4565" s="1077"/>
      <c r="M4565" s="1077"/>
    </row>
    <row r="4566" spans="5:13">
      <c r="E4566" s="1077"/>
      <c r="F4566" s="1077"/>
      <c r="G4566" s="1077"/>
      <c r="H4566" s="1077"/>
      <c r="I4566" s="1077"/>
      <c r="J4566" s="1077"/>
      <c r="K4566" s="1077"/>
      <c r="L4566" s="1077"/>
      <c r="M4566" s="1077"/>
    </row>
    <row r="4567" spans="5:13">
      <c r="E4567" s="1077"/>
      <c r="F4567" s="1077"/>
      <c r="G4567" s="1077"/>
      <c r="H4567" s="1077"/>
      <c r="I4567" s="1077"/>
      <c r="J4567" s="1077"/>
      <c r="K4567" s="1077"/>
      <c r="L4567" s="1077"/>
      <c r="M4567" s="1077"/>
    </row>
    <row r="4568" spans="5:13">
      <c r="E4568" s="1077"/>
      <c r="F4568" s="1077"/>
      <c r="G4568" s="1077"/>
      <c r="H4568" s="1077"/>
      <c r="I4568" s="1077"/>
      <c r="J4568" s="1077"/>
      <c r="K4568" s="1077"/>
      <c r="L4568" s="1077"/>
      <c r="M4568" s="1077"/>
    </row>
    <row r="4569" spans="5:13">
      <c r="E4569" s="1077"/>
      <c r="F4569" s="1077"/>
      <c r="G4569" s="1077"/>
      <c r="H4569" s="1077"/>
      <c r="I4569" s="1077"/>
      <c r="J4569" s="1077"/>
      <c r="K4569" s="1077"/>
      <c r="L4569" s="1077"/>
      <c r="M4569" s="1077"/>
    </row>
    <row r="4570" spans="5:13">
      <c r="E4570" s="1077"/>
      <c r="F4570" s="1077"/>
      <c r="G4570" s="1077"/>
      <c r="H4570" s="1077"/>
      <c r="I4570" s="1077"/>
      <c r="J4570" s="1077"/>
      <c r="K4570" s="1077"/>
      <c r="L4570" s="1077"/>
      <c r="M4570" s="1077"/>
    </row>
    <row r="4571" spans="5:13">
      <c r="E4571" s="1077"/>
      <c r="F4571" s="1077"/>
      <c r="G4571" s="1077"/>
      <c r="H4571" s="1077"/>
      <c r="I4571" s="1077"/>
      <c r="J4571" s="1077"/>
      <c r="K4571" s="1077"/>
      <c r="L4571" s="1077"/>
      <c r="M4571" s="1077"/>
    </row>
    <row r="4572" spans="5:13">
      <c r="E4572" s="1077"/>
      <c r="F4572" s="1077"/>
      <c r="G4572" s="1077"/>
      <c r="H4572" s="1077"/>
      <c r="I4572" s="1077"/>
      <c r="J4572" s="1077"/>
      <c r="K4572" s="1077"/>
      <c r="L4572" s="1077"/>
      <c r="M4572" s="1077"/>
    </row>
    <row r="4573" spans="5:13">
      <c r="E4573" s="1077"/>
      <c r="F4573" s="1077"/>
      <c r="G4573" s="1077"/>
      <c r="H4573" s="1077"/>
      <c r="I4573" s="1077"/>
      <c r="J4573" s="1077"/>
      <c r="K4573" s="1077"/>
      <c r="L4573" s="1077"/>
      <c r="M4573" s="1077"/>
    </row>
    <row r="4574" spans="5:13">
      <c r="E4574" s="1077"/>
      <c r="F4574" s="1077"/>
      <c r="G4574" s="1077"/>
      <c r="H4574" s="1077"/>
      <c r="I4574" s="1077"/>
      <c r="J4574" s="1077"/>
      <c r="K4574" s="1077"/>
      <c r="L4574" s="1077"/>
      <c r="M4574" s="1077"/>
    </row>
    <row r="4575" spans="5:13">
      <c r="E4575" s="1077"/>
      <c r="F4575" s="1077"/>
      <c r="G4575" s="1077"/>
      <c r="H4575" s="1077"/>
      <c r="I4575" s="1077"/>
      <c r="J4575" s="1077"/>
      <c r="K4575" s="1077"/>
      <c r="L4575" s="1077"/>
      <c r="M4575" s="1077"/>
    </row>
    <row r="4576" spans="5:13">
      <c r="E4576" s="1077"/>
      <c r="F4576" s="1077"/>
      <c r="G4576" s="1077"/>
      <c r="H4576" s="1077"/>
      <c r="I4576" s="1077"/>
      <c r="J4576" s="1077"/>
      <c r="K4576" s="1077"/>
      <c r="L4576" s="1077"/>
      <c r="M4576" s="1077"/>
    </row>
    <row r="4577" spans="5:13">
      <c r="E4577" s="1077"/>
      <c r="F4577" s="1077"/>
      <c r="G4577" s="1077"/>
      <c r="H4577" s="1077"/>
      <c r="I4577" s="1077"/>
      <c r="J4577" s="1077"/>
      <c r="K4577" s="1077"/>
      <c r="L4577" s="1077"/>
      <c r="M4577" s="1077"/>
    </row>
    <row r="4578" spans="5:13">
      <c r="E4578" s="1077"/>
      <c r="F4578" s="1077"/>
      <c r="G4578" s="1077"/>
      <c r="H4578" s="1077"/>
      <c r="I4578" s="1077"/>
      <c r="J4578" s="1077"/>
      <c r="K4578" s="1077"/>
      <c r="L4578" s="1077"/>
      <c r="M4578" s="1077"/>
    </row>
    <row r="4579" spans="5:13">
      <c r="E4579" s="1077"/>
      <c r="F4579" s="1077"/>
      <c r="G4579" s="1077"/>
      <c r="H4579" s="1077"/>
      <c r="I4579" s="1077"/>
      <c r="J4579" s="1077"/>
      <c r="K4579" s="1077"/>
      <c r="L4579" s="1077"/>
      <c r="M4579" s="1077"/>
    </row>
    <row r="4580" spans="5:13">
      <c r="E4580" s="1077"/>
      <c r="F4580" s="1077"/>
      <c r="G4580" s="1077"/>
      <c r="H4580" s="1077"/>
      <c r="I4580" s="1077"/>
      <c r="J4580" s="1077"/>
      <c r="K4580" s="1077"/>
      <c r="L4580" s="1077"/>
      <c r="M4580" s="1077"/>
    </row>
    <row r="4581" spans="5:13">
      <c r="E4581" s="1077"/>
      <c r="F4581" s="1077"/>
      <c r="G4581" s="1077"/>
      <c r="H4581" s="1077"/>
      <c r="I4581" s="1077"/>
      <c r="J4581" s="1077"/>
      <c r="K4581" s="1077"/>
      <c r="L4581" s="1077"/>
      <c r="M4581" s="1077"/>
    </row>
    <row r="4582" spans="5:13">
      <c r="E4582" s="1077"/>
      <c r="F4582" s="1077"/>
      <c r="G4582" s="1077"/>
      <c r="H4582" s="1077"/>
      <c r="I4582" s="1077"/>
      <c r="J4582" s="1077"/>
      <c r="K4582" s="1077"/>
      <c r="L4582" s="1077"/>
      <c r="M4582" s="1077"/>
    </row>
    <row r="4583" spans="5:13">
      <c r="E4583" s="1077"/>
      <c r="F4583" s="1077"/>
      <c r="G4583" s="1077"/>
      <c r="H4583" s="1077"/>
      <c r="I4583" s="1077"/>
      <c r="J4583" s="1077"/>
      <c r="K4583" s="1077"/>
      <c r="L4583" s="1077"/>
      <c r="M4583" s="1077"/>
    </row>
    <row r="4584" spans="5:13">
      <c r="E4584" s="1077"/>
      <c r="F4584" s="1077"/>
      <c r="G4584" s="1077"/>
      <c r="H4584" s="1077"/>
      <c r="I4584" s="1077"/>
      <c r="J4584" s="1077"/>
      <c r="K4584" s="1077"/>
      <c r="L4584" s="1077"/>
      <c r="M4584" s="1077"/>
    </row>
    <row r="4585" spans="5:13">
      <c r="E4585" s="1077"/>
      <c r="F4585" s="1077"/>
      <c r="G4585" s="1077"/>
      <c r="H4585" s="1077"/>
      <c r="I4585" s="1077"/>
      <c r="J4585" s="1077"/>
      <c r="K4585" s="1077"/>
      <c r="L4585" s="1077"/>
      <c r="M4585" s="1077"/>
    </row>
    <row r="4586" spans="5:13">
      <c r="E4586" s="1077"/>
      <c r="F4586" s="1077"/>
      <c r="G4586" s="1077"/>
      <c r="H4586" s="1077"/>
      <c r="I4586" s="1077"/>
      <c r="J4586" s="1077"/>
      <c r="K4586" s="1077"/>
      <c r="L4586" s="1077"/>
      <c r="M4586" s="1077"/>
    </row>
    <row r="4587" spans="5:13">
      <c r="E4587" s="1077"/>
      <c r="F4587" s="1077"/>
      <c r="G4587" s="1077"/>
      <c r="H4587" s="1077"/>
      <c r="I4587" s="1077"/>
      <c r="J4587" s="1077"/>
      <c r="K4587" s="1077"/>
      <c r="L4587" s="1077"/>
      <c r="M4587" s="1077"/>
    </row>
    <row r="4588" spans="5:13">
      <c r="E4588" s="1077"/>
      <c r="F4588" s="1077"/>
      <c r="G4588" s="1077"/>
      <c r="H4588" s="1077"/>
      <c r="I4588" s="1077"/>
      <c r="J4588" s="1077"/>
      <c r="K4588" s="1077"/>
      <c r="L4588" s="1077"/>
      <c r="M4588" s="1077"/>
    </row>
    <row r="4589" spans="5:13">
      <c r="E4589" s="1077"/>
      <c r="F4589" s="1077"/>
      <c r="G4589" s="1077"/>
      <c r="H4589" s="1077"/>
      <c r="I4589" s="1077"/>
      <c r="J4589" s="1077"/>
      <c r="K4589" s="1077"/>
      <c r="L4589" s="1077"/>
      <c r="M4589" s="1077"/>
    </row>
    <row r="4590" spans="5:13">
      <c r="E4590" s="1077"/>
      <c r="F4590" s="1077"/>
      <c r="G4590" s="1077"/>
      <c r="H4590" s="1077"/>
      <c r="I4590" s="1077"/>
      <c r="J4590" s="1077"/>
      <c r="K4590" s="1077"/>
      <c r="L4590" s="1077"/>
      <c r="M4590" s="1077"/>
    </row>
    <row r="4591" spans="5:13">
      <c r="E4591" s="1077"/>
      <c r="F4591" s="1077"/>
      <c r="G4591" s="1077"/>
      <c r="H4591" s="1077"/>
      <c r="I4591" s="1077"/>
      <c r="J4591" s="1077"/>
      <c r="K4591" s="1077"/>
      <c r="L4591" s="1077"/>
      <c r="M4591" s="1077"/>
    </row>
    <row r="4592" spans="5:13">
      <c r="E4592" s="1077"/>
      <c r="F4592" s="1077"/>
      <c r="G4592" s="1077"/>
      <c r="H4592" s="1077"/>
      <c r="I4592" s="1077"/>
      <c r="J4592" s="1077"/>
      <c r="K4592" s="1077"/>
      <c r="L4592" s="1077"/>
      <c r="M4592" s="1077"/>
    </row>
    <row r="4593" spans="5:13">
      <c r="E4593" s="1077"/>
      <c r="F4593" s="1077"/>
      <c r="G4593" s="1077"/>
      <c r="H4593" s="1077"/>
      <c r="I4593" s="1077"/>
      <c r="J4593" s="1077"/>
      <c r="K4593" s="1077"/>
      <c r="L4593" s="1077"/>
      <c r="M4593" s="1077"/>
    </row>
    <row r="4594" spans="5:13">
      <c r="E4594" s="1077"/>
      <c r="F4594" s="1077"/>
      <c r="G4594" s="1077"/>
      <c r="H4594" s="1077"/>
      <c r="I4594" s="1077"/>
      <c r="J4594" s="1077"/>
      <c r="K4594" s="1077"/>
      <c r="L4594" s="1077"/>
      <c r="M4594" s="1077"/>
    </row>
    <row r="4595" spans="5:13">
      <c r="E4595" s="1077"/>
      <c r="F4595" s="1077"/>
      <c r="G4595" s="1077"/>
      <c r="H4595" s="1077"/>
      <c r="I4595" s="1077"/>
      <c r="J4595" s="1077"/>
      <c r="K4595" s="1077"/>
      <c r="L4595" s="1077"/>
      <c r="M4595" s="1077"/>
    </row>
    <row r="4596" spans="5:13">
      <c r="E4596" s="1077"/>
      <c r="F4596" s="1077"/>
      <c r="G4596" s="1077"/>
      <c r="H4596" s="1077"/>
      <c r="I4596" s="1077"/>
      <c r="J4596" s="1077"/>
      <c r="K4596" s="1077"/>
      <c r="L4596" s="1077"/>
      <c r="M4596" s="1077"/>
    </row>
    <row r="4597" spans="5:13">
      <c r="E4597" s="1077"/>
      <c r="F4597" s="1077"/>
      <c r="G4597" s="1077"/>
      <c r="H4597" s="1077"/>
      <c r="I4597" s="1077"/>
      <c r="J4597" s="1077"/>
      <c r="K4597" s="1077"/>
      <c r="L4597" s="1077"/>
      <c r="M4597" s="1077"/>
    </row>
    <row r="4598" spans="5:13">
      <c r="E4598" s="1077"/>
      <c r="F4598" s="1077"/>
      <c r="G4598" s="1077"/>
      <c r="H4598" s="1077"/>
      <c r="I4598" s="1077"/>
      <c r="J4598" s="1077"/>
      <c r="K4598" s="1077"/>
      <c r="L4598" s="1077"/>
      <c r="M4598" s="1077"/>
    </row>
    <row r="4599" spans="5:13">
      <c r="E4599" s="1077"/>
      <c r="F4599" s="1077"/>
      <c r="G4599" s="1077"/>
      <c r="H4599" s="1077"/>
      <c r="I4599" s="1077"/>
      <c r="J4599" s="1077"/>
      <c r="K4599" s="1077"/>
      <c r="L4599" s="1077"/>
      <c r="M4599" s="1077"/>
    </row>
    <row r="4600" spans="5:13">
      <c r="E4600" s="1077"/>
      <c r="F4600" s="1077"/>
      <c r="G4600" s="1077"/>
      <c r="H4600" s="1077"/>
      <c r="I4600" s="1077"/>
      <c r="J4600" s="1077"/>
      <c r="K4600" s="1077"/>
      <c r="L4600" s="1077"/>
      <c r="M4600" s="1077"/>
    </row>
    <row r="4601" spans="5:13">
      <c r="E4601" s="1077"/>
      <c r="F4601" s="1077"/>
      <c r="G4601" s="1077"/>
      <c r="H4601" s="1077"/>
      <c r="I4601" s="1077"/>
      <c r="J4601" s="1077"/>
      <c r="K4601" s="1077"/>
      <c r="L4601" s="1077"/>
      <c r="M4601" s="1077"/>
    </row>
    <row r="4602" spans="5:13">
      <c r="E4602" s="1077"/>
      <c r="F4602" s="1077"/>
      <c r="G4602" s="1077"/>
      <c r="H4602" s="1077"/>
      <c r="I4602" s="1077"/>
      <c r="J4602" s="1077"/>
      <c r="K4602" s="1077"/>
      <c r="L4602" s="1077"/>
      <c r="M4602" s="1077"/>
    </row>
    <row r="4603" spans="5:13">
      <c r="E4603" s="1077"/>
      <c r="F4603" s="1077"/>
      <c r="G4603" s="1077"/>
      <c r="H4603" s="1077"/>
      <c r="I4603" s="1077"/>
      <c r="J4603" s="1077"/>
      <c r="K4603" s="1077"/>
      <c r="L4603" s="1077"/>
      <c r="M4603" s="1077"/>
    </row>
    <row r="4604" spans="5:13">
      <c r="E4604" s="1077"/>
      <c r="F4604" s="1077"/>
      <c r="G4604" s="1077"/>
      <c r="H4604" s="1077"/>
      <c r="I4604" s="1077"/>
      <c r="J4604" s="1077"/>
      <c r="K4604" s="1077"/>
      <c r="L4604" s="1077"/>
      <c r="M4604" s="1077"/>
    </row>
    <row r="4605" spans="5:13">
      <c r="E4605" s="1077"/>
      <c r="F4605" s="1077"/>
      <c r="G4605" s="1077"/>
      <c r="H4605" s="1077"/>
      <c r="I4605" s="1077"/>
      <c r="J4605" s="1077"/>
      <c r="K4605" s="1077"/>
      <c r="L4605" s="1077"/>
      <c r="M4605" s="1077"/>
    </row>
    <row r="4606" spans="5:13">
      <c r="E4606" s="1077"/>
      <c r="F4606" s="1077"/>
      <c r="G4606" s="1077"/>
      <c r="H4606" s="1077"/>
      <c r="I4606" s="1077"/>
      <c r="J4606" s="1077"/>
      <c r="K4606" s="1077"/>
      <c r="L4606" s="1077"/>
      <c r="M4606" s="1077"/>
    </row>
    <row r="4607" spans="5:13">
      <c r="E4607" s="1077"/>
      <c r="F4607" s="1077"/>
      <c r="G4607" s="1077"/>
      <c r="H4607" s="1077"/>
      <c r="I4607" s="1077"/>
      <c r="J4607" s="1077"/>
      <c r="K4607" s="1077"/>
      <c r="L4607" s="1077"/>
      <c r="M4607" s="1077"/>
    </row>
    <row r="4608" spans="5:13">
      <c r="E4608" s="1077"/>
      <c r="F4608" s="1077"/>
      <c r="G4608" s="1077"/>
      <c r="H4608" s="1077"/>
      <c r="I4608" s="1077"/>
      <c r="J4608" s="1077"/>
      <c r="K4608" s="1077"/>
      <c r="L4608" s="1077"/>
      <c r="M4608" s="1077"/>
    </row>
    <row r="4609" spans="5:13">
      <c r="E4609" s="1077"/>
      <c r="F4609" s="1077"/>
      <c r="G4609" s="1077"/>
      <c r="H4609" s="1077"/>
      <c r="I4609" s="1077"/>
      <c r="J4609" s="1077"/>
      <c r="K4609" s="1077"/>
      <c r="L4609" s="1077"/>
      <c r="M4609" s="1077"/>
    </row>
    <row r="4610" spans="5:13">
      <c r="E4610" s="1077"/>
      <c r="F4610" s="1077"/>
      <c r="G4610" s="1077"/>
      <c r="H4610" s="1077"/>
      <c r="I4610" s="1077"/>
      <c r="J4610" s="1077"/>
      <c r="K4610" s="1077"/>
      <c r="L4610" s="1077"/>
      <c r="M4610" s="1077"/>
    </row>
    <row r="4611" spans="5:13">
      <c r="E4611" s="1077"/>
      <c r="F4611" s="1077"/>
      <c r="G4611" s="1077"/>
      <c r="H4611" s="1077"/>
      <c r="I4611" s="1077"/>
      <c r="J4611" s="1077"/>
      <c r="K4611" s="1077"/>
      <c r="L4611" s="1077"/>
      <c r="M4611" s="1077"/>
    </row>
    <row r="4612" spans="5:13">
      <c r="E4612" s="1077"/>
      <c r="F4612" s="1077"/>
      <c r="G4612" s="1077"/>
      <c r="H4612" s="1077"/>
      <c r="I4612" s="1077"/>
      <c r="J4612" s="1077"/>
      <c r="K4612" s="1077"/>
      <c r="L4612" s="1077"/>
      <c r="M4612" s="1077"/>
    </row>
    <row r="4613" spans="5:13">
      <c r="E4613" s="1077"/>
      <c r="F4613" s="1077"/>
      <c r="G4613" s="1077"/>
      <c r="H4613" s="1077"/>
      <c r="I4613" s="1077"/>
      <c r="J4613" s="1077"/>
      <c r="K4613" s="1077"/>
      <c r="L4613" s="1077"/>
      <c r="M4613" s="1077"/>
    </row>
    <row r="4614" spans="5:13">
      <c r="E4614" s="1077"/>
      <c r="F4614" s="1077"/>
      <c r="G4614" s="1077"/>
      <c r="H4614" s="1077"/>
      <c r="I4614" s="1077"/>
      <c r="J4614" s="1077"/>
      <c r="K4614" s="1077"/>
      <c r="L4614" s="1077"/>
      <c r="M4614" s="1077"/>
    </row>
    <row r="4615" spans="5:13">
      <c r="E4615" s="1077"/>
      <c r="F4615" s="1077"/>
      <c r="G4615" s="1077"/>
      <c r="H4615" s="1077"/>
      <c r="I4615" s="1077"/>
      <c r="J4615" s="1077"/>
      <c r="K4615" s="1077"/>
      <c r="L4615" s="1077"/>
      <c r="M4615" s="1077"/>
    </row>
    <row r="4616" spans="5:13">
      <c r="E4616" s="1077"/>
      <c r="F4616" s="1077"/>
      <c r="G4616" s="1077"/>
      <c r="H4616" s="1077"/>
      <c r="I4616" s="1077"/>
      <c r="J4616" s="1077"/>
      <c r="K4616" s="1077"/>
      <c r="L4616" s="1077"/>
      <c r="M4616" s="1077"/>
    </row>
    <row r="4617" spans="5:13">
      <c r="E4617" s="1077"/>
      <c r="F4617" s="1077"/>
      <c r="G4617" s="1077"/>
      <c r="H4617" s="1077"/>
      <c r="I4617" s="1077"/>
      <c r="J4617" s="1077"/>
      <c r="K4617" s="1077"/>
      <c r="L4617" s="1077"/>
      <c r="M4617" s="1077"/>
    </row>
    <row r="4618" spans="5:13">
      <c r="E4618" s="1077"/>
      <c r="F4618" s="1077"/>
      <c r="G4618" s="1077"/>
      <c r="H4618" s="1077"/>
      <c r="I4618" s="1077"/>
      <c r="J4618" s="1077"/>
      <c r="K4618" s="1077"/>
      <c r="L4618" s="1077"/>
      <c r="M4618" s="1077"/>
    </row>
    <row r="4619" spans="5:13">
      <c r="E4619" s="1077"/>
      <c r="F4619" s="1077"/>
      <c r="G4619" s="1077"/>
      <c r="H4619" s="1077"/>
      <c r="I4619" s="1077"/>
      <c r="J4619" s="1077"/>
      <c r="K4619" s="1077"/>
      <c r="L4619" s="1077"/>
      <c r="M4619" s="1077"/>
    </row>
    <row r="4620" spans="5:13">
      <c r="E4620" s="1077"/>
      <c r="F4620" s="1077"/>
      <c r="G4620" s="1077"/>
      <c r="H4620" s="1077"/>
      <c r="I4620" s="1077"/>
      <c r="J4620" s="1077"/>
      <c r="K4620" s="1077"/>
      <c r="L4620" s="1077"/>
      <c r="M4620" s="1077"/>
    </row>
    <row r="4621" spans="5:13">
      <c r="E4621" s="1077"/>
      <c r="F4621" s="1077"/>
      <c r="G4621" s="1077"/>
      <c r="H4621" s="1077"/>
      <c r="I4621" s="1077"/>
      <c r="J4621" s="1077"/>
      <c r="K4621" s="1077"/>
      <c r="L4621" s="1077"/>
      <c r="M4621" s="1077"/>
    </row>
    <row r="4622" spans="5:13">
      <c r="E4622" s="1077"/>
      <c r="F4622" s="1077"/>
      <c r="G4622" s="1077"/>
      <c r="H4622" s="1077"/>
      <c r="I4622" s="1077"/>
      <c r="J4622" s="1077"/>
      <c r="K4622" s="1077"/>
      <c r="L4622" s="1077"/>
      <c r="M4622" s="1077"/>
    </row>
    <row r="4623" spans="5:13">
      <c r="E4623" s="1077"/>
      <c r="F4623" s="1077"/>
      <c r="G4623" s="1077"/>
      <c r="H4623" s="1077"/>
      <c r="I4623" s="1077"/>
      <c r="J4623" s="1077"/>
      <c r="K4623" s="1077"/>
      <c r="L4623" s="1077"/>
      <c r="M4623" s="1077"/>
    </row>
    <row r="4624" spans="5:13">
      <c r="E4624" s="1077"/>
      <c r="F4624" s="1077"/>
      <c r="G4624" s="1077"/>
      <c r="H4624" s="1077"/>
      <c r="I4624" s="1077"/>
      <c r="J4624" s="1077"/>
      <c r="K4624" s="1077"/>
      <c r="L4624" s="1077"/>
      <c r="M4624" s="1077"/>
    </row>
    <row r="4625" spans="5:13">
      <c r="E4625" s="1077"/>
      <c r="F4625" s="1077"/>
      <c r="G4625" s="1077"/>
      <c r="H4625" s="1077"/>
      <c r="I4625" s="1077"/>
      <c r="J4625" s="1077"/>
      <c r="K4625" s="1077"/>
      <c r="L4625" s="1077"/>
      <c r="M4625" s="1077"/>
    </row>
    <row r="4626" spans="5:13">
      <c r="E4626" s="1077"/>
      <c r="F4626" s="1077"/>
      <c r="G4626" s="1077"/>
      <c r="H4626" s="1077"/>
      <c r="I4626" s="1077"/>
      <c r="J4626" s="1077"/>
      <c r="K4626" s="1077"/>
      <c r="L4626" s="1077"/>
      <c r="M4626" s="1077"/>
    </row>
    <row r="4627" spans="5:13">
      <c r="E4627" s="1077"/>
      <c r="F4627" s="1077"/>
      <c r="G4627" s="1077"/>
      <c r="H4627" s="1077"/>
      <c r="I4627" s="1077"/>
      <c r="J4627" s="1077"/>
      <c r="K4627" s="1077"/>
      <c r="L4627" s="1077"/>
      <c r="M4627" s="1077"/>
    </row>
    <row r="4628" spans="5:13">
      <c r="E4628" s="1077"/>
      <c r="F4628" s="1077"/>
      <c r="G4628" s="1077"/>
      <c r="H4628" s="1077"/>
      <c r="I4628" s="1077"/>
      <c r="J4628" s="1077"/>
      <c r="K4628" s="1077"/>
      <c r="L4628" s="1077"/>
      <c r="M4628" s="1077"/>
    </row>
    <row r="4629" spans="5:13">
      <c r="E4629" s="1077"/>
      <c r="F4629" s="1077"/>
      <c r="G4629" s="1077"/>
      <c r="H4629" s="1077"/>
      <c r="I4629" s="1077"/>
      <c r="J4629" s="1077"/>
      <c r="K4629" s="1077"/>
      <c r="L4629" s="1077"/>
      <c r="M4629" s="1077"/>
    </row>
    <row r="4630" spans="5:13">
      <c r="E4630" s="1077"/>
      <c r="F4630" s="1077"/>
      <c r="G4630" s="1077"/>
      <c r="H4630" s="1077"/>
      <c r="I4630" s="1077"/>
      <c r="J4630" s="1077"/>
      <c r="K4630" s="1077"/>
      <c r="L4630" s="1077"/>
      <c r="M4630" s="1077"/>
    </row>
    <row r="4631" spans="5:13">
      <c r="E4631" s="1077"/>
      <c r="F4631" s="1077"/>
      <c r="G4631" s="1077"/>
      <c r="H4631" s="1077"/>
      <c r="I4631" s="1077"/>
      <c r="J4631" s="1077"/>
      <c r="K4631" s="1077"/>
      <c r="L4631" s="1077"/>
      <c r="M4631" s="1077"/>
    </row>
    <row r="4632" spans="5:13">
      <c r="E4632" s="1077"/>
      <c r="F4632" s="1077"/>
      <c r="G4632" s="1077"/>
      <c r="H4632" s="1077"/>
      <c r="I4632" s="1077"/>
      <c r="J4632" s="1077"/>
      <c r="K4632" s="1077"/>
      <c r="L4632" s="1077"/>
      <c r="M4632" s="1077"/>
    </row>
    <row r="4633" spans="5:13">
      <c r="E4633" s="1077"/>
      <c r="F4633" s="1077"/>
      <c r="G4633" s="1077"/>
      <c r="H4633" s="1077"/>
      <c r="I4633" s="1077"/>
      <c r="J4633" s="1077"/>
      <c r="K4633" s="1077"/>
      <c r="L4633" s="1077"/>
      <c r="M4633" s="1077"/>
    </row>
    <row r="4634" spans="5:13">
      <c r="E4634" s="1077"/>
      <c r="F4634" s="1077"/>
      <c r="G4634" s="1077"/>
      <c r="H4634" s="1077"/>
      <c r="I4634" s="1077"/>
      <c r="J4634" s="1077"/>
      <c r="K4634" s="1077"/>
      <c r="L4634" s="1077"/>
      <c r="M4634" s="1077"/>
    </row>
    <row r="4635" spans="5:13">
      <c r="E4635" s="1077"/>
      <c r="F4635" s="1077"/>
      <c r="G4635" s="1077"/>
      <c r="H4635" s="1077"/>
      <c r="I4635" s="1077"/>
      <c r="J4635" s="1077"/>
      <c r="K4635" s="1077"/>
      <c r="L4635" s="1077"/>
      <c r="M4635" s="1077"/>
    </row>
    <row r="4636" spans="5:13">
      <c r="E4636" s="1077"/>
      <c r="F4636" s="1077"/>
      <c r="G4636" s="1077"/>
      <c r="H4636" s="1077"/>
      <c r="I4636" s="1077"/>
      <c r="J4636" s="1077"/>
      <c r="K4636" s="1077"/>
      <c r="L4636" s="1077"/>
      <c r="M4636" s="1077"/>
    </row>
    <row r="4637" spans="5:13">
      <c r="E4637" s="1077"/>
      <c r="F4637" s="1077"/>
      <c r="G4637" s="1077"/>
      <c r="H4637" s="1077"/>
      <c r="I4637" s="1077"/>
      <c r="J4637" s="1077"/>
      <c r="K4637" s="1077"/>
      <c r="L4637" s="1077"/>
      <c r="M4637" s="1077"/>
    </row>
    <row r="4638" spans="5:13">
      <c r="E4638" s="1077"/>
      <c r="F4638" s="1077"/>
      <c r="G4638" s="1077"/>
      <c r="H4638" s="1077"/>
      <c r="I4638" s="1077"/>
      <c r="J4638" s="1077"/>
      <c r="K4638" s="1077"/>
      <c r="L4638" s="1077"/>
      <c r="M4638" s="1077"/>
    </row>
    <row r="4639" spans="5:13">
      <c r="E4639" s="1077"/>
      <c r="F4639" s="1077"/>
      <c r="G4639" s="1077"/>
      <c r="H4639" s="1077"/>
      <c r="I4639" s="1077"/>
      <c r="J4639" s="1077"/>
      <c r="K4639" s="1077"/>
      <c r="L4639" s="1077"/>
      <c r="M4639" s="1077"/>
    </row>
    <row r="4640" spans="5:13">
      <c r="E4640" s="1077"/>
      <c r="F4640" s="1077"/>
      <c r="G4640" s="1077"/>
      <c r="H4640" s="1077"/>
      <c r="I4640" s="1077"/>
      <c r="J4640" s="1077"/>
      <c r="K4640" s="1077"/>
      <c r="L4640" s="1077"/>
      <c r="M4640" s="1077"/>
    </row>
    <row r="4641" spans="5:13">
      <c r="E4641" s="1077"/>
      <c r="F4641" s="1077"/>
      <c r="G4641" s="1077"/>
      <c r="H4641" s="1077"/>
      <c r="I4641" s="1077"/>
      <c r="J4641" s="1077"/>
      <c r="K4641" s="1077"/>
      <c r="L4641" s="1077"/>
      <c r="M4641" s="1077"/>
    </row>
    <row r="4642" spans="5:13">
      <c r="E4642" s="1077"/>
      <c r="F4642" s="1077"/>
      <c r="G4642" s="1077"/>
      <c r="H4642" s="1077"/>
      <c r="I4642" s="1077"/>
      <c r="J4642" s="1077"/>
      <c r="K4642" s="1077"/>
      <c r="L4642" s="1077"/>
      <c r="M4642" s="1077"/>
    </row>
    <row r="4643" spans="5:13">
      <c r="E4643" s="1077"/>
      <c r="F4643" s="1077"/>
      <c r="G4643" s="1077"/>
      <c r="H4643" s="1077"/>
      <c r="I4643" s="1077"/>
      <c r="J4643" s="1077"/>
      <c r="K4643" s="1077"/>
      <c r="L4643" s="1077"/>
      <c r="M4643" s="1077"/>
    </row>
    <row r="4644" spans="5:13">
      <c r="E4644" s="1077"/>
      <c r="F4644" s="1077"/>
      <c r="G4644" s="1077"/>
      <c r="H4644" s="1077"/>
      <c r="I4644" s="1077"/>
      <c r="J4644" s="1077"/>
      <c r="K4644" s="1077"/>
      <c r="L4644" s="1077"/>
      <c r="M4644" s="1077"/>
    </row>
    <row r="4645" spans="5:13">
      <c r="E4645" s="1077"/>
      <c r="F4645" s="1077"/>
      <c r="G4645" s="1077"/>
      <c r="H4645" s="1077"/>
      <c r="I4645" s="1077"/>
      <c r="J4645" s="1077"/>
      <c r="K4645" s="1077"/>
      <c r="L4645" s="1077"/>
      <c r="M4645" s="1077"/>
    </row>
    <row r="4646" spans="5:13">
      <c r="E4646" s="1077"/>
      <c r="F4646" s="1077"/>
      <c r="G4646" s="1077"/>
      <c r="H4646" s="1077"/>
      <c r="I4646" s="1077"/>
      <c r="J4646" s="1077"/>
      <c r="K4646" s="1077"/>
      <c r="L4646" s="1077"/>
      <c r="M4646" s="1077"/>
    </row>
    <row r="4647" spans="5:13">
      <c r="E4647" s="1077"/>
      <c r="F4647" s="1077"/>
      <c r="G4647" s="1077"/>
      <c r="H4647" s="1077"/>
      <c r="I4647" s="1077"/>
      <c r="J4647" s="1077"/>
      <c r="K4647" s="1077"/>
      <c r="L4647" s="1077"/>
      <c r="M4647" s="1077"/>
    </row>
    <row r="4648" spans="5:13">
      <c r="E4648" s="1077"/>
      <c r="F4648" s="1077"/>
      <c r="G4648" s="1077"/>
      <c r="H4648" s="1077"/>
      <c r="I4648" s="1077"/>
      <c r="J4648" s="1077"/>
      <c r="K4648" s="1077"/>
      <c r="L4648" s="1077"/>
      <c r="M4648" s="1077"/>
    </row>
    <row r="4649" spans="5:13">
      <c r="E4649" s="1077"/>
      <c r="F4649" s="1077"/>
      <c r="G4649" s="1077"/>
      <c r="H4649" s="1077"/>
      <c r="I4649" s="1077"/>
      <c r="J4649" s="1077"/>
      <c r="K4649" s="1077"/>
      <c r="L4649" s="1077"/>
      <c r="M4649" s="1077"/>
    </row>
    <row r="4650" spans="5:13">
      <c r="E4650" s="1077"/>
      <c r="F4650" s="1077"/>
      <c r="G4650" s="1077"/>
      <c r="H4650" s="1077"/>
      <c r="I4650" s="1077"/>
      <c r="J4650" s="1077"/>
      <c r="K4650" s="1077"/>
      <c r="L4650" s="1077"/>
      <c r="M4650" s="1077"/>
    </row>
    <row r="4651" spans="5:13">
      <c r="E4651" s="1077"/>
      <c r="F4651" s="1077"/>
      <c r="G4651" s="1077"/>
      <c r="H4651" s="1077"/>
      <c r="I4651" s="1077"/>
      <c r="J4651" s="1077"/>
      <c r="K4651" s="1077"/>
      <c r="L4651" s="1077"/>
      <c r="M4651" s="1077"/>
    </row>
    <row r="4652" spans="5:13">
      <c r="E4652" s="1077"/>
      <c r="F4652" s="1077"/>
      <c r="G4652" s="1077"/>
      <c r="H4652" s="1077"/>
      <c r="I4652" s="1077"/>
      <c r="J4652" s="1077"/>
      <c r="K4652" s="1077"/>
      <c r="L4652" s="1077"/>
      <c r="M4652" s="1077"/>
    </row>
    <row r="4653" spans="5:13">
      <c r="E4653" s="1077"/>
      <c r="F4653" s="1077"/>
      <c r="G4653" s="1077"/>
      <c r="H4653" s="1077"/>
      <c r="I4653" s="1077"/>
      <c r="J4653" s="1077"/>
      <c r="K4653" s="1077"/>
      <c r="L4653" s="1077"/>
      <c r="M4653" s="1077"/>
    </row>
    <row r="4654" spans="5:13">
      <c r="E4654" s="1077"/>
      <c r="F4654" s="1077"/>
      <c r="G4654" s="1077"/>
      <c r="H4654" s="1077"/>
      <c r="I4654" s="1077"/>
      <c r="J4654" s="1077"/>
      <c r="K4654" s="1077"/>
      <c r="L4654" s="1077"/>
      <c r="M4654" s="1077"/>
    </row>
    <row r="4655" spans="5:13">
      <c r="E4655" s="1077"/>
      <c r="F4655" s="1077"/>
      <c r="G4655" s="1077"/>
      <c r="H4655" s="1077"/>
      <c r="I4655" s="1077"/>
      <c r="J4655" s="1077"/>
      <c r="K4655" s="1077"/>
      <c r="L4655" s="1077"/>
      <c r="M4655" s="1077"/>
    </row>
    <row r="4656" spans="5:13">
      <c r="E4656" s="1077"/>
      <c r="F4656" s="1077"/>
      <c r="G4656" s="1077"/>
      <c r="H4656" s="1077"/>
      <c r="I4656" s="1077"/>
      <c r="J4656" s="1077"/>
      <c r="K4656" s="1077"/>
      <c r="L4656" s="1077"/>
      <c r="M4656" s="1077"/>
    </row>
    <row r="4657" spans="5:13">
      <c r="E4657" s="1077"/>
      <c r="F4657" s="1077"/>
      <c r="G4657" s="1077"/>
      <c r="H4657" s="1077"/>
      <c r="I4657" s="1077"/>
      <c r="J4657" s="1077"/>
      <c r="K4657" s="1077"/>
      <c r="L4657" s="1077"/>
      <c r="M4657" s="1077"/>
    </row>
    <row r="4658" spans="5:13">
      <c r="E4658" s="1077"/>
      <c r="F4658" s="1077"/>
      <c r="G4658" s="1077"/>
      <c r="H4658" s="1077"/>
      <c r="I4658" s="1077"/>
      <c r="J4658" s="1077"/>
      <c r="K4658" s="1077"/>
      <c r="L4658" s="1077"/>
      <c r="M4658" s="1077"/>
    </row>
    <row r="4659" spans="5:13">
      <c r="E4659" s="1077"/>
      <c r="F4659" s="1077"/>
      <c r="G4659" s="1077"/>
      <c r="H4659" s="1077"/>
      <c r="I4659" s="1077"/>
      <c r="J4659" s="1077"/>
      <c r="K4659" s="1077"/>
      <c r="L4659" s="1077"/>
      <c r="M4659" s="1077"/>
    </row>
    <row r="4660" spans="5:13">
      <c r="E4660" s="1077"/>
      <c r="F4660" s="1077"/>
      <c r="G4660" s="1077"/>
      <c r="H4660" s="1077"/>
      <c r="I4660" s="1077"/>
      <c r="J4660" s="1077"/>
      <c r="K4660" s="1077"/>
      <c r="L4660" s="1077"/>
      <c r="M4660" s="1077"/>
    </row>
    <row r="4661" spans="5:13">
      <c r="E4661" s="1077"/>
      <c r="F4661" s="1077"/>
      <c r="G4661" s="1077"/>
      <c r="H4661" s="1077"/>
      <c r="I4661" s="1077"/>
      <c r="J4661" s="1077"/>
      <c r="K4661" s="1077"/>
      <c r="L4661" s="1077"/>
      <c r="M4661" s="1077"/>
    </row>
    <row r="4662" spans="5:13">
      <c r="E4662" s="1077"/>
      <c r="F4662" s="1077"/>
      <c r="G4662" s="1077"/>
      <c r="H4662" s="1077"/>
      <c r="I4662" s="1077"/>
      <c r="J4662" s="1077"/>
      <c r="K4662" s="1077"/>
      <c r="L4662" s="1077"/>
      <c r="M4662" s="1077"/>
    </row>
    <row r="4663" spans="5:13">
      <c r="E4663" s="1077"/>
      <c r="F4663" s="1077"/>
      <c r="G4663" s="1077"/>
      <c r="H4663" s="1077"/>
      <c r="I4663" s="1077"/>
      <c r="J4663" s="1077"/>
      <c r="K4663" s="1077"/>
      <c r="L4663" s="1077"/>
      <c r="M4663" s="1077"/>
    </row>
    <row r="4664" spans="5:13">
      <c r="E4664" s="1077"/>
      <c r="F4664" s="1077"/>
      <c r="G4664" s="1077"/>
      <c r="H4664" s="1077"/>
      <c r="I4664" s="1077"/>
      <c r="J4664" s="1077"/>
      <c r="K4664" s="1077"/>
      <c r="L4664" s="1077"/>
      <c r="M4664" s="1077"/>
    </row>
    <row r="4665" spans="5:13">
      <c r="E4665" s="1077"/>
      <c r="F4665" s="1077"/>
      <c r="G4665" s="1077"/>
      <c r="H4665" s="1077"/>
      <c r="I4665" s="1077"/>
      <c r="J4665" s="1077"/>
      <c r="K4665" s="1077"/>
      <c r="L4665" s="1077"/>
      <c r="M4665" s="1077"/>
    </row>
    <row r="4666" spans="5:13">
      <c r="E4666" s="1077"/>
      <c r="F4666" s="1077"/>
      <c r="G4666" s="1077"/>
      <c r="H4666" s="1077"/>
      <c r="I4666" s="1077"/>
      <c r="J4666" s="1077"/>
      <c r="K4666" s="1077"/>
      <c r="L4666" s="1077"/>
      <c r="M4666" s="1077"/>
    </row>
    <row r="4667" spans="5:13">
      <c r="E4667" s="1077"/>
      <c r="F4667" s="1077"/>
      <c r="G4667" s="1077"/>
      <c r="H4667" s="1077"/>
      <c r="I4667" s="1077"/>
      <c r="J4667" s="1077"/>
      <c r="K4667" s="1077"/>
      <c r="L4667" s="1077"/>
      <c r="M4667" s="1077"/>
    </row>
    <row r="4668" spans="5:13">
      <c r="E4668" s="1077"/>
      <c r="F4668" s="1077"/>
      <c r="G4668" s="1077"/>
      <c r="H4668" s="1077"/>
      <c r="I4668" s="1077"/>
      <c r="J4668" s="1077"/>
      <c r="K4668" s="1077"/>
      <c r="L4668" s="1077"/>
      <c r="M4668" s="1077"/>
    </row>
    <row r="4669" spans="5:13">
      <c r="E4669" s="1077"/>
      <c r="F4669" s="1077"/>
      <c r="G4669" s="1077"/>
      <c r="H4669" s="1077"/>
      <c r="I4669" s="1077"/>
      <c r="J4669" s="1077"/>
      <c r="K4669" s="1077"/>
      <c r="L4669" s="1077"/>
      <c r="M4669" s="1077"/>
    </row>
    <row r="4670" spans="5:13">
      <c r="E4670" s="1077"/>
      <c r="F4670" s="1077"/>
      <c r="G4670" s="1077"/>
      <c r="H4670" s="1077"/>
      <c r="I4670" s="1077"/>
      <c r="J4670" s="1077"/>
      <c r="K4670" s="1077"/>
      <c r="L4670" s="1077"/>
      <c r="M4670" s="1077"/>
    </row>
    <row r="4671" spans="5:13">
      <c r="E4671" s="1077"/>
      <c r="F4671" s="1077"/>
      <c r="G4671" s="1077"/>
      <c r="H4671" s="1077"/>
      <c r="I4671" s="1077"/>
      <c r="J4671" s="1077"/>
      <c r="K4671" s="1077"/>
      <c r="L4671" s="1077"/>
      <c r="M4671" s="1077"/>
    </row>
    <row r="4672" spans="5:13">
      <c r="E4672" s="1077"/>
      <c r="F4672" s="1077"/>
      <c r="G4672" s="1077"/>
      <c r="H4672" s="1077"/>
      <c r="I4672" s="1077"/>
      <c r="J4672" s="1077"/>
      <c r="K4672" s="1077"/>
      <c r="L4672" s="1077"/>
      <c r="M4672" s="1077"/>
    </row>
    <row r="4673" spans="5:13">
      <c r="E4673" s="1077"/>
      <c r="F4673" s="1077"/>
      <c r="G4673" s="1077"/>
      <c r="H4673" s="1077"/>
      <c r="I4673" s="1077"/>
      <c r="J4673" s="1077"/>
      <c r="K4673" s="1077"/>
      <c r="L4673" s="1077"/>
      <c r="M4673" s="1077"/>
    </row>
    <row r="4674" spans="5:13">
      <c r="E4674" s="1077"/>
      <c r="F4674" s="1077"/>
      <c r="G4674" s="1077"/>
      <c r="H4674" s="1077"/>
      <c r="I4674" s="1077"/>
      <c r="J4674" s="1077"/>
      <c r="K4674" s="1077"/>
      <c r="L4674" s="1077"/>
      <c r="M4674" s="1077"/>
    </row>
    <row r="4675" spans="5:13">
      <c r="E4675" s="1077"/>
      <c r="F4675" s="1077"/>
      <c r="G4675" s="1077"/>
      <c r="H4675" s="1077"/>
      <c r="I4675" s="1077"/>
      <c r="J4675" s="1077"/>
      <c r="K4675" s="1077"/>
      <c r="L4675" s="1077"/>
      <c r="M4675" s="1077"/>
    </row>
    <row r="4676" spans="5:13">
      <c r="E4676" s="1077"/>
      <c r="F4676" s="1077"/>
      <c r="G4676" s="1077"/>
      <c r="H4676" s="1077"/>
      <c r="I4676" s="1077"/>
      <c r="J4676" s="1077"/>
      <c r="K4676" s="1077"/>
      <c r="L4676" s="1077"/>
      <c r="M4676" s="1077"/>
    </row>
    <row r="4677" spans="5:13">
      <c r="E4677" s="1077"/>
      <c r="F4677" s="1077"/>
      <c r="G4677" s="1077"/>
      <c r="H4677" s="1077"/>
      <c r="I4677" s="1077"/>
      <c r="J4677" s="1077"/>
      <c r="K4677" s="1077"/>
      <c r="L4677" s="1077"/>
      <c r="M4677" s="1077"/>
    </row>
    <row r="4678" spans="5:13">
      <c r="E4678" s="1077"/>
      <c r="F4678" s="1077"/>
      <c r="G4678" s="1077"/>
      <c r="H4678" s="1077"/>
      <c r="I4678" s="1077"/>
      <c r="J4678" s="1077"/>
      <c r="K4678" s="1077"/>
      <c r="L4678" s="1077"/>
      <c r="M4678" s="1077"/>
    </row>
    <row r="4679" spans="5:13">
      <c r="E4679" s="1077"/>
      <c r="F4679" s="1077"/>
      <c r="G4679" s="1077"/>
      <c r="H4679" s="1077"/>
      <c r="I4679" s="1077"/>
      <c r="J4679" s="1077"/>
      <c r="K4679" s="1077"/>
      <c r="L4679" s="1077"/>
      <c r="M4679" s="1077"/>
    </row>
    <row r="4680" spans="5:13">
      <c r="E4680" s="1077"/>
      <c r="F4680" s="1077"/>
      <c r="G4680" s="1077"/>
      <c r="H4680" s="1077"/>
      <c r="I4680" s="1077"/>
      <c r="J4680" s="1077"/>
      <c r="K4680" s="1077"/>
      <c r="L4680" s="1077"/>
      <c r="M4680" s="1077"/>
    </row>
    <row r="4681" spans="5:13">
      <c r="E4681" s="1077"/>
      <c r="F4681" s="1077"/>
      <c r="G4681" s="1077"/>
      <c r="H4681" s="1077"/>
      <c r="I4681" s="1077"/>
      <c r="J4681" s="1077"/>
      <c r="K4681" s="1077"/>
      <c r="L4681" s="1077"/>
      <c r="M4681" s="1077"/>
    </row>
    <row r="4682" spans="5:13">
      <c r="E4682" s="1077"/>
      <c r="F4682" s="1077"/>
      <c r="G4682" s="1077"/>
      <c r="H4682" s="1077"/>
      <c r="I4682" s="1077"/>
      <c r="J4682" s="1077"/>
      <c r="K4682" s="1077"/>
      <c r="L4682" s="1077"/>
      <c r="M4682" s="1077"/>
    </row>
    <row r="4683" spans="5:13">
      <c r="E4683" s="1077"/>
      <c r="F4683" s="1077"/>
      <c r="G4683" s="1077"/>
      <c r="H4683" s="1077"/>
      <c r="I4683" s="1077"/>
      <c r="J4683" s="1077"/>
      <c r="K4683" s="1077"/>
      <c r="L4683" s="1077"/>
      <c r="M4683" s="1077"/>
    </row>
    <row r="4684" spans="5:13">
      <c r="E4684" s="1077"/>
      <c r="F4684" s="1077"/>
      <c r="G4684" s="1077"/>
      <c r="H4684" s="1077"/>
      <c r="I4684" s="1077"/>
      <c r="J4684" s="1077"/>
      <c r="K4684" s="1077"/>
      <c r="L4684" s="1077"/>
      <c r="M4684" s="1077"/>
    </row>
    <row r="4685" spans="5:13">
      <c r="E4685" s="1077"/>
      <c r="F4685" s="1077"/>
      <c r="G4685" s="1077"/>
      <c r="H4685" s="1077"/>
      <c r="I4685" s="1077"/>
      <c r="J4685" s="1077"/>
      <c r="K4685" s="1077"/>
      <c r="L4685" s="1077"/>
      <c r="M4685" s="1077"/>
    </row>
    <row r="4686" spans="5:13">
      <c r="E4686" s="1077"/>
      <c r="F4686" s="1077"/>
      <c r="G4686" s="1077"/>
      <c r="H4686" s="1077"/>
      <c r="I4686" s="1077"/>
      <c r="J4686" s="1077"/>
      <c r="K4686" s="1077"/>
      <c r="L4686" s="1077"/>
      <c r="M4686" s="1077"/>
    </row>
    <row r="4687" spans="5:13">
      <c r="E4687" s="1077"/>
      <c r="F4687" s="1077"/>
      <c r="G4687" s="1077"/>
      <c r="H4687" s="1077"/>
      <c r="I4687" s="1077"/>
      <c r="J4687" s="1077"/>
      <c r="K4687" s="1077"/>
      <c r="L4687" s="1077"/>
      <c r="M4687" s="1077"/>
    </row>
    <row r="4688" spans="5:13">
      <c r="E4688" s="1077"/>
      <c r="F4688" s="1077"/>
      <c r="G4688" s="1077"/>
      <c r="H4688" s="1077"/>
      <c r="I4688" s="1077"/>
      <c r="J4688" s="1077"/>
      <c r="K4688" s="1077"/>
      <c r="L4688" s="1077"/>
      <c r="M4688" s="1077"/>
    </row>
    <row r="4689" spans="5:13">
      <c r="E4689" s="1077"/>
      <c r="F4689" s="1077"/>
      <c r="G4689" s="1077"/>
      <c r="H4689" s="1077"/>
      <c r="I4689" s="1077"/>
      <c r="J4689" s="1077"/>
      <c r="K4689" s="1077"/>
      <c r="L4689" s="1077"/>
      <c r="M4689" s="1077"/>
    </row>
    <row r="4690" spans="5:13">
      <c r="E4690" s="1077"/>
      <c r="F4690" s="1077"/>
      <c r="G4690" s="1077"/>
      <c r="H4690" s="1077"/>
      <c r="I4690" s="1077"/>
      <c r="J4690" s="1077"/>
      <c r="K4690" s="1077"/>
      <c r="L4690" s="1077"/>
      <c r="M4690" s="1077"/>
    </row>
    <row r="4691" spans="5:13">
      <c r="E4691" s="1077"/>
      <c r="F4691" s="1077"/>
      <c r="G4691" s="1077"/>
      <c r="H4691" s="1077"/>
      <c r="I4691" s="1077"/>
      <c r="J4691" s="1077"/>
      <c r="K4691" s="1077"/>
      <c r="L4691" s="1077"/>
      <c r="M4691" s="1077"/>
    </row>
    <row r="4692" spans="5:13">
      <c r="E4692" s="1077"/>
      <c r="F4692" s="1077"/>
      <c r="G4692" s="1077"/>
      <c r="H4692" s="1077"/>
      <c r="I4692" s="1077"/>
      <c r="J4692" s="1077"/>
      <c r="K4692" s="1077"/>
      <c r="L4692" s="1077"/>
      <c r="M4692" s="1077"/>
    </row>
    <row r="4693" spans="5:13">
      <c r="E4693" s="1077"/>
      <c r="F4693" s="1077"/>
      <c r="G4693" s="1077"/>
      <c r="H4693" s="1077"/>
      <c r="I4693" s="1077"/>
      <c r="J4693" s="1077"/>
      <c r="K4693" s="1077"/>
      <c r="L4693" s="1077"/>
      <c r="M4693" s="1077"/>
    </row>
    <row r="4694" spans="5:13">
      <c r="E4694" s="1077"/>
      <c r="F4694" s="1077"/>
      <c r="G4694" s="1077"/>
      <c r="H4694" s="1077"/>
      <c r="I4694" s="1077"/>
      <c r="J4694" s="1077"/>
      <c r="K4694" s="1077"/>
      <c r="L4694" s="1077"/>
      <c r="M4694" s="1077"/>
    </row>
    <row r="4695" spans="5:13">
      <c r="E4695" s="1077"/>
      <c r="F4695" s="1077"/>
      <c r="G4695" s="1077"/>
      <c r="H4695" s="1077"/>
      <c r="I4695" s="1077"/>
      <c r="J4695" s="1077"/>
      <c r="K4695" s="1077"/>
      <c r="L4695" s="1077"/>
      <c r="M4695" s="1077"/>
    </row>
    <row r="4696" spans="5:13">
      <c r="E4696" s="1077"/>
      <c r="F4696" s="1077"/>
      <c r="G4696" s="1077"/>
      <c r="H4696" s="1077"/>
      <c r="I4696" s="1077"/>
      <c r="J4696" s="1077"/>
      <c r="K4696" s="1077"/>
      <c r="L4696" s="1077"/>
      <c r="M4696" s="1077"/>
    </row>
    <row r="4697" spans="5:13">
      <c r="E4697" s="1077"/>
      <c r="F4697" s="1077"/>
      <c r="G4697" s="1077"/>
      <c r="H4697" s="1077"/>
      <c r="I4697" s="1077"/>
      <c r="J4697" s="1077"/>
      <c r="K4697" s="1077"/>
      <c r="L4697" s="1077"/>
      <c r="M4697" s="1077"/>
    </row>
    <row r="4698" spans="5:13">
      <c r="E4698" s="1077"/>
      <c r="F4698" s="1077"/>
      <c r="G4698" s="1077"/>
      <c r="H4698" s="1077"/>
      <c r="I4698" s="1077"/>
      <c r="J4698" s="1077"/>
      <c r="K4698" s="1077"/>
      <c r="L4698" s="1077"/>
      <c r="M4698" s="1077"/>
    </row>
    <row r="4699" spans="5:13">
      <c r="E4699" s="1077"/>
      <c r="F4699" s="1077"/>
      <c r="G4699" s="1077"/>
      <c r="H4699" s="1077"/>
      <c r="I4699" s="1077"/>
      <c r="J4699" s="1077"/>
      <c r="K4699" s="1077"/>
      <c r="L4699" s="1077"/>
      <c r="M4699" s="1077"/>
    </row>
    <row r="4700" spans="5:13">
      <c r="E4700" s="1077"/>
      <c r="F4700" s="1077"/>
      <c r="G4700" s="1077"/>
      <c r="H4700" s="1077"/>
      <c r="I4700" s="1077"/>
      <c r="J4700" s="1077"/>
      <c r="K4700" s="1077"/>
      <c r="L4700" s="1077"/>
      <c r="M4700" s="1077"/>
    </row>
    <row r="4701" spans="5:13">
      <c r="E4701" s="1077"/>
      <c r="F4701" s="1077"/>
      <c r="G4701" s="1077"/>
      <c r="H4701" s="1077"/>
      <c r="I4701" s="1077"/>
      <c r="J4701" s="1077"/>
      <c r="K4701" s="1077"/>
      <c r="L4701" s="1077"/>
      <c r="M4701" s="1077"/>
    </row>
    <row r="4702" spans="5:13">
      <c r="E4702" s="1077"/>
      <c r="F4702" s="1077"/>
      <c r="G4702" s="1077"/>
      <c r="H4702" s="1077"/>
      <c r="I4702" s="1077"/>
      <c r="J4702" s="1077"/>
      <c r="K4702" s="1077"/>
      <c r="L4702" s="1077"/>
      <c r="M4702" s="1077"/>
    </row>
    <row r="4703" spans="5:13">
      <c r="E4703" s="1077"/>
      <c r="F4703" s="1077"/>
      <c r="G4703" s="1077"/>
      <c r="H4703" s="1077"/>
      <c r="I4703" s="1077"/>
      <c r="J4703" s="1077"/>
      <c r="K4703" s="1077"/>
      <c r="L4703" s="1077"/>
      <c r="M4703" s="1077"/>
    </row>
    <row r="4704" spans="5:13">
      <c r="E4704" s="1077"/>
      <c r="F4704" s="1077"/>
      <c r="G4704" s="1077"/>
      <c r="H4704" s="1077"/>
      <c r="I4704" s="1077"/>
      <c r="J4704" s="1077"/>
      <c r="K4704" s="1077"/>
      <c r="L4704" s="1077"/>
      <c r="M4704" s="1077"/>
    </row>
    <row r="4705" spans="5:13">
      <c r="E4705" s="1077"/>
      <c r="F4705" s="1077"/>
      <c r="G4705" s="1077"/>
      <c r="H4705" s="1077"/>
      <c r="I4705" s="1077"/>
      <c r="J4705" s="1077"/>
      <c r="K4705" s="1077"/>
      <c r="L4705" s="1077"/>
      <c r="M4705" s="1077"/>
    </row>
    <row r="4706" spans="5:13">
      <c r="E4706" s="1077"/>
      <c r="F4706" s="1077"/>
      <c r="G4706" s="1077"/>
      <c r="H4706" s="1077"/>
      <c r="I4706" s="1077"/>
      <c r="J4706" s="1077"/>
      <c r="K4706" s="1077"/>
      <c r="L4706" s="1077"/>
      <c r="M4706" s="1077"/>
    </row>
    <row r="4707" spans="5:13">
      <c r="E4707" s="1077"/>
      <c r="F4707" s="1077"/>
      <c r="G4707" s="1077"/>
      <c r="H4707" s="1077"/>
      <c r="I4707" s="1077"/>
      <c r="J4707" s="1077"/>
      <c r="K4707" s="1077"/>
      <c r="L4707" s="1077"/>
      <c r="M4707" s="1077"/>
    </row>
    <row r="4708" spans="5:13">
      <c r="E4708" s="1077"/>
      <c r="F4708" s="1077"/>
      <c r="G4708" s="1077"/>
      <c r="H4708" s="1077"/>
      <c r="I4708" s="1077"/>
      <c r="J4708" s="1077"/>
      <c r="K4708" s="1077"/>
      <c r="L4708" s="1077"/>
      <c r="M4708" s="1077"/>
    </row>
    <row r="4709" spans="5:13">
      <c r="E4709" s="1077"/>
      <c r="F4709" s="1077"/>
      <c r="G4709" s="1077"/>
      <c r="H4709" s="1077"/>
      <c r="I4709" s="1077"/>
      <c r="J4709" s="1077"/>
      <c r="K4709" s="1077"/>
      <c r="L4709" s="1077"/>
      <c r="M4709" s="1077"/>
    </row>
    <row r="4710" spans="5:13">
      <c r="E4710" s="1077"/>
      <c r="F4710" s="1077"/>
      <c r="G4710" s="1077"/>
      <c r="H4710" s="1077"/>
      <c r="I4710" s="1077"/>
      <c r="J4710" s="1077"/>
      <c r="K4710" s="1077"/>
      <c r="L4710" s="1077"/>
      <c r="M4710" s="1077"/>
    </row>
    <row r="4711" spans="5:13">
      <c r="E4711" s="1077"/>
      <c r="F4711" s="1077"/>
      <c r="G4711" s="1077"/>
      <c r="H4711" s="1077"/>
      <c r="I4711" s="1077"/>
      <c r="J4711" s="1077"/>
      <c r="K4711" s="1077"/>
      <c r="L4711" s="1077"/>
      <c r="M4711" s="1077"/>
    </row>
    <row r="4712" spans="5:13">
      <c r="E4712" s="1077"/>
      <c r="F4712" s="1077"/>
      <c r="G4712" s="1077"/>
      <c r="H4712" s="1077"/>
      <c r="I4712" s="1077"/>
      <c r="J4712" s="1077"/>
      <c r="K4712" s="1077"/>
      <c r="L4712" s="1077"/>
      <c r="M4712" s="1077"/>
    </row>
    <row r="4713" spans="5:13">
      <c r="E4713" s="1077"/>
      <c r="F4713" s="1077"/>
      <c r="G4713" s="1077"/>
      <c r="H4713" s="1077"/>
      <c r="I4713" s="1077"/>
      <c r="J4713" s="1077"/>
      <c r="K4713" s="1077"/>
      <c r="L4713" s="1077"/>
      <c r="M4713" s="1077"/>
    </row>
    <row r="4714" spans="5:13">
      <c r="E4714" s="1077"/>
      <c r="F4714" s="1077"/>
      <c r="G4714" s="1077"/>
      <c r="H4714" s="1077"/>
      <c r="I4714" s="1077"/>
      <c r="J4714" s="1077"/>
      <c r="K4714" s="1077"/>
      <c r="L4714" s="1077"/>
      <c r="M4714" s="1077"/>
    </row>
    <row r="4715" spans="5:13">
      <c r="E4715" s="1077"/>
      <c r="F4715" s="1077"/>
      <c r="G4715" s="1077"/>
      <c r="H4715" s="1077"/>
      <c r="I4715" s="1077"/>
      <c r="J4715" s="1077"/>
      <c r="K4715" s="1077"/>
      <c r="L4715" s="1077"/>
      <c r="M4715" s="1077"/>
    </row>
    <row r="4716" spans="5:13">
      <c r="E4716" s="1077"/>
      <c r="F4716" s="1077"/>
      <c r="G4716" s="1077"/>
      <c r="H4716" s="1077"/>
      <c r="I4716" s="1077"/>
      <c r="J4716" s="1077"/>
      <c r="K4716" s="1077"/>
      <c r="L4716" s="1077"/>
      <c r="M4716" s="1077"/>
    </row>
    <row r="4717" spans="5:13">
      <c r="E4717" s="1077"/>
      <c r="F4717" s="1077"/>
      <c r="G4717" s="1077"/>
      <c r="H4717" s="1077"/>
      <c r="I4717" s="1077"/>
      <c r="J4717" s="1077"/>
      <c r="K4717" s="1077"/>
      <c r="L4717" s="1077"/>
      <c r="M4717" s="1077"/>
    </row>
    <row r="4718" spans="5:13">
      <c r="E4718" s="1077"/>
      <c r="F4718" s="1077"/>
      <c r="G4718" s="1077"/>
      <c r="H4718" s="1077"/>
      <c r="I4718" s="1077"/>
      <c r="J4718" s="1077"/>
      <c r="K4718" s="1077"/>
      <c r="L4718" s="1077"/>
      <c r="M4718" s="1077"/>
    </row>
    <row r="4719" spans="5:13">
      <c r="E4719" s="1077"/>
      <c r="F4719" s="1077"/>
      <c r="G4719" s="1077"/>
      <c r="H4719" s="1077"/>
      <c r="I4719" s="1077"/>
      <c r="J4719" s="1077"/>
      <c r="K4719" s="1077"/>
      <c r="L4719" s="1077"/>
      <c r="M4719" s="1077"/>
    </row>
    <row r="4720" spans="5:13">
      <c r="E4720" s="1077"/>
      <c r="F4720" s="1077"/>
      <c r="G4720" s="1077"/>
      <c r="H4720" s="1077"/>
      <c r="I4720" s="1077"/>
      <c r="J4720" s="1077"/>
      <c r="K4720" s="1077"/>
      <c r="L4720" s="1077"/>
      <c r="M4720" s="1077"/>
    </row>
    <row r="4721" spans="5:13">
      <c r="E4721" s="1077"/>
      <c r="F4721" s="1077"/>
      <c r="G4721" s="1077"/>
      <c r="H4721" s="1077"/>
      <c r="I4721" s="1077"/>
      <c r="J4721" s="1077"/>
      <c r="K4721" s="1077"/>
      <c r="L4721" s="1077"/>
      <c r="M4721" s="1077"/>
    </row>
    <row r="4722" spans="5:13">
      <c r="E4722" s="1077"/>
      <c r="F4722" s="1077"/>
      <c r="G4722" s="1077"/>
      <c r="H4722" s="1077"/>
      <c r="I4722" s="1077"/>
      <c r="J4722" s="1077"/>
      <c r="K4722" s="1077"/>
      <c r="L4722" s="1077"/>
      <c r="M4722" s="1077"/>
    </row>
    <row r="4723" spans="5:13">
      <c r="E4723" s="1077"/>
      <c r="F4723" s="1077"/>
      <c r="G4723" s="1077"/>
      <c r="H4723" s="1077"/>
      <c r="I4723" s="1077"/>
      <c r="J4723" s="1077"/>
      <c r="K4723" s="1077"/>
      <c r="L4723" s="1077"/>
      <c r="M4723" s="1077"/>
    </row>
    <row r="4724" spans="5:13">
      <c r="E4724" s="1077"/>
      <c r="F4724" s="1077"/>
      <c r="G4724" s="1077"/>
      <c r="H4724" s="1077"/>
      <c r="I4724" s="1077"/>
      <c r="J4724" s="1077"/>
      <c r="K4724" s="1077"/>
      <c r="L4724" s="1077"/>
      <c r="M4724" s="1077"/>
    </row>
    <row r="4725" spans="5:13">
      <c r="E4725" s="1077"/>
      <c r="F4725" s="1077"/>
      <c r="G4725" s="1077"/>
      <c r="H4725" s="1077"/>
      <c r="I4725" s="1077"/>
      <c r="J4725" s="1077"/>
      <c r="K4725" s="1077"/>
      <c r="L4725" s="1077"/>
      <c r="M4725" s="1077"/>
    </row>
    <row r="4726" spans="5:13">
      <c r="E4726" s="1077"/>
      <c r="F4726" s="1077"/>
      <c r="G4726" s="1077"/>
      <c r="H4726" s="1077"/>
      <c r="I4726" s="1077"/>
      <c r="J4726" s="1077"/>
      <c r="K4726" s="1077"/>
      <c r="L4726" s="1077"/>
      <c r="M4726" s="1077"/>
    </row>
    <row r="4727" spans="5:13">
      <c r="E4727" s="1077"/>
      <c r="F4727" s="1077"/>
      <c r="G4727" s="1077"/>
      <c r="H4727" s="1077"/>
      <c r="I4727" s="1077"/>
      <c r="J4727" s="1077"/>
      <c r="K4727" s="1077"/>
      <c r="L4727" s="1077"/>
      <c r="M4727" s="1077"/>
    </row>
    <row r="4728" spans="5:13">
      <c r="E4728" s="1077"/>
      <c r="F4728" s="1077"/>
      <c r="G4728" s="1077"/>
      <c r="H4728" s="1077"/>
      <c r="I4728" s="1077"/>
      <c r="J4728" s="1077"/>
      <c r="K4728" s="1077"/>
      <c r="L4728" s="1077"/>
      <c r="M4728" s="1077"/>
    </row>
    <row r="4729" spans="5:13">
      <c r="E4729" s="1077"/>
      <c r="F4729" s="1077"/>
      <c r="G4729" s="1077"/>
      <c r="H4729" s="1077"/>
      <c r="I4729" s="1077"/>
      <c r="J4729" s="1077"/>
      <c r="K4729" s="1077"/>
      <c r="L4729" s="1077"/>
      <c r="M4729" s="1077"/>
    </row>
    <row r="4730" spans="5:13">
      <c r="E4730" s="1077"/>
      <c r="F4730" s="1077"/>
      <c r="G4730" s="1077"/>
      <c r="H4730" s="1077"/>
      <c r="I4730" s="1077"/>
      <c r="J4730" s="1077"/>
      <c r="K4730" s="1077"/>
      <c r="L4730" s="1077"/>
      <c r="M4730" s="1077"/>
    </row>
    <row r="4731" spans="5:13">
      <c r="E4731" s="1077"/>
      <c r="F4731" s="1077"/>
      <c r="G4731" s="1077"/>
      <c r="H4731" s="1077"/>
      <c r="I4731" s="1077"/>
      <c r="J4731" s="1077"/>
      <c r="K4731" s="1077"/>
      <c r="L4731" s="1077"/>
      <c r="M4731" s="1077"/>
    </row>
    <row r="4732" spans="5:13">
      <c r="E4732" s="1077"/>
      <c r="F4732" s="1077"/>
      <c r="G4732" s="1077"/>
      <c r="H4732" s="1077"/>
      <c r="I4732" s="1077"/>
      <c r="J4732" s="1077"/>
      <c r="K4732" s="1077"/>
      <c r="L4732" s="1077"/>
      <c r="M4732" s="1077"/>
    </row>
    <row r="4733" spans="5:13">
      <c r="E4733" s="1077"/>
      <c r="F4733" s="1077"/>
      <c r="G4733" s="1077"/>
      <c r="H4733" s="1077"/>
      <c r="I4733" s="1077"/>
      <c r="J4733" s="1077"/>
      <c r="K4733" s="1077"/>
      <c r="L4733" s="1077"/>
      <c r="M4733" s="1077"/>
    </row>
    <row r="4734" spans="5:13">
      <c r="E4734" s="1077"/>
      <c r="F4734" s="1077"/>
      <c r="G4734" s="1077"/>
      <c r="H4734" s="1077"/>
      <c r="I4734" s="1077"/>
      <c r="J4734" s="1077"/>
      <c r="K4734" s="1077"/>
      <c r="L4734" s="1077"/>
      <c r="M4734" s="1077"/>
    </row>
    <row r="4735" spans="5:13">
      <c r="E4735" s="1077"/>
      <c r="F4735" s="1077"/>
      <c r="G4735" s="1077"/>
      <c r="H4735" s="1077"/>
      <c r="I4735" s="1077"/>
      <c r="J4735" s="1077"/>
      <c r="K4735" s="1077"/>
      <c r="L4735" s="1077"/>
      <c r="M4735" s="1077"/>
    </row>
    <row r="4736" spans="5:13">
      <c r="E4736" s="1077"/>
      <c r="F4736" s="1077"/>
      <c r="G4736" s="1077"/>
      <c r="H4736" s="1077"/>
      <c r="I4736" s="1077"/>
      <c r="J4736" s="1077"/>
      <c r="K4736" s="1077"/>
      <c r="L4736" s="1077"/>
      <c r="M4736" s="1077"/>
    </row>
    <row r="4737" spans="5:13">
      <c r="E4737" s="1077"/>
      <c r="F4737" s="1077"/>
      <c r="G4737" s="1077"/>
      <c r="H4737" s="1077"/>
      <c r="I4737" s="1077"/>
      <c r="J4737" s="1077"/>
      <c r="K4737" s="1077"/>
      <c r="L4737" s="1077"/>
      <c r="M4737" s="1077"/>
    </row>
    <row r="4738" spans="5:13">
      <c r="E4738" s="1077"/>
      <c r="F4738" s="1077"/>
      <c r="G4738" s="1077"/>
      <c r="H4738" s="1077"/>
      <c r="I4738" s="1077"/>
      <c r="J4738" s="1077"/>
      <c r="K4738" s="1077"/>
      <c r="L4738" s="1077"/>
      <c r="M4738" s="1077"/>
    </row>
    <row r="4739" spans="5:13">
      <c r="E4739" s="1077"/>
      <c r="F4739" s="1077"/>
      <c r="G4739" s="1077"/>
      <c r="H4739" s="1077"/>
      <c r="I4739" s="1077"/>
      <c r="J4739" s="1077"/>
      <c r="K4739" s="1077"/>
      <c r="L4739" s="1077"/>
      <c r="M4739" s="1077"/>
    </row>
    <row r="4740" spans="5:13">
      <c r="E4740" s="1077"/>
      <c r="F4740" s="1077"/>
      <c r="G4740" s="1077"/>
      <c r="H4740" s="1077"/>
      <c r="I4740" s="1077"/>
      <c r="J4740" s="1077"/>
      <c r="K4740" s="1077"/>
      <c r="L4740" s="1077"/>
      <c r="M4740" s="1077"/>
    </row>
    <row r="4741" spans="5:13">
      <c r="E4741" s="1077"/>
      <c r="F4741" s="1077"/>
      <c r="G4741" s="1077"/>
      <c r="H4741" s="1077"/>
      <c r="I4741" s="1077"/>
      <c r="J4741" s="1077"/>
      <c r="K4741" s="1077"/>
      <c r="L4741" s="1077"/>
      <c r="M4741" s="1077"/>
    </row>
    <row r="4742" spans="5:13">
      <c r="E4742" s="1077"/>
      <c r="F4742" s="1077"/>
      <c r="G4742" s="1077"/>
      <c r="H4742" s="1077"/>
      <c r="I4742" s="1077"/>
      <c r="J4742" s="1077"/>
      <c r="K4742" s="1077"/>
      <c r="L4742" s="1077"/>
      <c r="M4742" s="1077"/>
    </row>
    <row r="4743" spans="5:13">
      <c r="E4743" s="1077"/>
      <c r="F4743" s="1077"/>
      <c r="G4743" s="1077"/>
      <c r="H4743" s="1077"/>
      <c r="I4743" s="1077"/>
      <c r="J4743" s="1077"/>
      <c r="K4743" s="1077"/>
      <c r="L4743" s="1077"/>
      <c r="M4743" s="1077"/>
    </row>
    <row r="4744" spans="5:13">
      <c r="E4744" s="1077"/>
      <c r="F4744" s="1077"/>
      <c r="G4744" s="1077"/>
      <c r="H4744" s="1077"/>
      <c r="I4744" s="1077"/>
      <c r="J4744" s="1077"/>
      <c r="K4744" s="1077"/>
      <c r="L4744" s="1077"/>
      <c r="M4744" s="1077"/>
    </row>
    <row r="4745" spans="5:13">
      <c r="E4745" s="1077"/>
      <c r="F4745" s="1077"/>
      <c r="G4745" s="1077"/>
      <c r="H4745" s="1077"/>
      <c r="I4745" s="1077"/>
      <c r="J4745" s="1077"/>
      <c r="K4745" s="1077"/>
      <c r="L4745" s="1077"/>
      <c r="M4745" s="1077"/>
    </row>
    <row r="4746" spans="5:13">
      <c r="E4746" s="1077"/>
      <c r="F4746" s="1077"/>
      <c r="G4746" s="1077"/>
      <c r="H4746" s="1077"/>
      <c r="I4746" s="1077"/>
      <c r="J4746" s="1077"/>
      <c r="K4746" s="1077"/>
      <c r="L4746" s="1077"/>
      <c r="M4746" s="1077"/>
    </row>
    <row r="4747" spans="5:13">
      <c r="E4747" s="1077"/>
      <c r="F4747" s="1077"/>
      <c r="G4747" s="1077"/>
      <c r="H4747" s="1077"/>
      <c r="I4747" s="1077"/>
      <c r="J4747" s="1077"/>
      <c r="K4747" s="1077"/>
      <c r="L4747" s="1077"/>
      <c r="M4747" s="1077"/>
    </row>
    <row r="4748" spans="5:13">
      <c r="E4748" s="1077"/>
      <c r="F4748" s="1077"/>
      <c r="G4748" s="1077"/>
      <c r="H4748" s="1077"/>
      <c r="I4748" s="1077"/>
      <c r="J4748" s="1077"/>
      <c r="K4748" s="1077"/>
      <c r="L4748" s="1077"/>
      <c r="M4748" s="1077"/>
    </row>
    <row r="4749" spans="5:13">
      <c r="E4749" s="1077"/>
      <c r="F4749" s="1077"/>
      <c r="G4749" s="1077"/>
      <c r="H4749" s="1077"/>
      <c r="I4749" s="1077"/>
      <c r="J4749" s="1077"/>
      <c r="K4749" s="1077"/>
      <c r="L4749" s="1077"/>
      <c r="M4749" s="1077"/>
    </row>
    <row r="4750" spans="5:13">
      <c r="E4750" s="1077"/>
      <c r="F4750" s="1077"/>
      <c r="G4750" s="1077"/>
      <c r="H4750" s="1077"/>
      <c r="I4750" s="1077"/>
      <c r="J4750" s="1077"/>
      <c r="K4750" s="1077"/>
      <c r="L4750" s="1077"/>
      <c r="M4750" s="1077"/>
    </row>
    <row r="4751" spans="5:13">
      <c r="E4751" s="1077"/>
      <c r="F4751" s="1077"/>
      <c r="G4751" s="1077"/>
      <c r="H4751" s="1077"/>
      <c r="I4751" s="1077"/>
      <c r="J4751" s="1077"/>
      <c r="K4751" s="1077"/>
      <c r="L4751" s="1077"/>
      <c r="M4751" s="1077"/>
    </row>
    <row r="4752" spans="5:13">
      <c r="E4752" s="1077"/>
      <c r="F4752" s="1077"/>
      <c r="G4752" s="1077"/>
      <c r="H4752" s="1077"/>
      <c r="I4752" s="1077"/>
      <c r="J4752" s="1077"/>
      <c r="K4752" s="1077"/>
      <c r="L4752" s="1077"/>
      <c r="M4752" s="1077"/>
    </row>
    <row r="4753" spans="5:13">
      <c r="E4753" s="1077"/>
      <c r="F4753" s="1077"/>
      <c r="G4753" s="1077"/>
      <c r="H4753" s="1077"/>
      <c r="I4753" s="1077"/>
      <c r="J4753" s="1077"/>
      <c r="K4753" s="1077"/>
      <c r="L4753" s="1077"/>
      <c r="M4753" s="1077"/>
    </row>
    <row r="4754" spans="5:13">
      <c r="E4754" s="1077"/>
      <c r="F4754" s="1077"/>
      <c r="G4754" s="1077"/>
      <c r="H4754" s="1077"/>
      <c r="I4754" s="1077"/>
      <c r="J4754" s="1077"/>
      <c r="K4754" s="1077"/>
      <c r="L4754" s="1077"/>
      <c r="M4754" s="1077"/>
    </row>
    <row r="4755" spans="5:13">
      <c r="E4755" s="1077"/>
      <c r="F4755" s="1077"/>
      <c r="G4755" s="1077"/>
      <c r="H4755" s="1077"/>
      <c r="I4755" s="1077"/>
      <c r="J4755" s="1077"/>
      <c r="K4755" s="1077"/>
      <c r="L4755" s="1077"/>
      <c r="M4755" s="1077"/>
    </row>
    <row r="4756" spans="5:13">
      <c r="E4756" s="1077"/>
      <c r="F4756" s="1077"/>
      <c r="G4756" s="1077"/>
      <c r="H4756" s="1077"/>
      <c r="I4756" s="1077"/>
      <c r="J4756" s="1077"/>
      <c r="K4756" s="1077"/>
      <c r="L4756" s="1077"/>
      <c r="M4756" s="1077"/>
    </row>
    <row r="4757" spans="5:13">
      <c r="E4757" s="1077"/>
      <c r="F4757" s="1077"/>
      <c r="G4757" s="1077"/>
      <c r="H4757" s="1077"/>
      <c r="I4757" s="1077"/>
      <c r="J4757" s="1077"/>
      <c r="K4757" s="1077"/>
      <c r="L4757" s="1077"/>
      <c r="M4757" s="1077"/>
    </row>
    <row r="4758" spans="5:13">
      <c r="E4758" s="1077"/>
      <c r="F4758" s="1077"/>
      <c r="G4758" s="1077"/>
      <c r="H4758" s="1077"/>
      <c r="I4758" s="1077"/>
      <c r="J4758" s="1077"/>
      <c r="K4758" s="1077"/>
      <c r="L4758" s="1077"/>
      <c r="M4758" s="1077"/>
    </row>
    <row r="4759" spans="5:13">
      <c r="E4759" s="1077"/>
      <c r="F4759" s="1077"/>
      <c r="G4759" s="1077"/>
      <c r="H4759" s="1077"/>
      <c r="I4759" s="1077"/>
      <c r="J4759" s="1077"/>
      <c r="K4759" s="1077"/>
      <c r="L4759" s="1077"/>
      <c r="M4759" s="1077"/>
    </row>
    <row r="4760" spans="5:13">
      <c r="E4760" s="1077"/>
      <c r="F4760" s="1077"/>
      <c r="G4760" s="1077"/>
      <c r="H4760" s="1077"/>
      <c r="I4760" s="1077"/>
      <c r="J4760" s="1077"/>
      <c r="K4760" s="1077"/>
      <c r="L4760" s="1077"/>
      <c r="M4760" s="1077"/>
    </row>
    <row r="4761" spans="5:13">
      <c r="E4761" s="1077"/>
      <c r="F4761" s="1077"/>
      <c r="G4761" s="1077"/>
      <c r="H4761" s="1077"/>
      <c r="I4761" s="1077"/>
      <c r="J4761" s="1077"/>
      <c r="K4761" s="1077"/>
      <c r="L4761" s="1077"/>
      <c r="M4761" s="1077"/>
    </row>
    <row r="4762" spans="5:13">
      <c r="E4762" s="1077"/>
      <c r="F4762" s="1077"/>
      <c r="G4762" s="1077"/>
      <c r="H4762" s="1077"/>
      <c r="I4762" s="1077"/>
      <c r="J4762" s="1077"/>
      <c r="K4762" s="1077"/>
      <c r="L4762" s="1077"/>
      <c r="M4762" s="1077"/>
    </row>
    <row r="4763" spans="5:13">
      <c r="E4763" s="1077"/>
      <c r="F4763" s="1077"/>
      <c r="G4763" s="1077"/>
      <c r="H4763" s="1077"/>
      <c r="I4763" s="1077"/>
      <c r="J4763" s="1077"/>
      <c r="K4763" s="1077"/>
      <c r="L4763" s="1077"/>
      <c r="M4763" s="1077"/>
    </row>
    <row r="4764" spans="5:13">
      <c r="E4764" s="1077"/>
      <c r="F4764" s="1077"/>
      <c r="G4764" s="1077"/>
      <c r="H4764" s="1077"/>
      <c r="I4764" s="1077"/>
      <c r="J4764" s="1077"/>
      <c r="K4764" s="1077"/>
      <c r="L4764" s="1077"/>
      <c r="M4764" s="1077"/>
    </row>
    <row r="4765" spans="5:13">
      <c r="E4765" s="1077"/>
      <c r="F4765" s="1077"/>
      <c r="G4765" s="1077"/>
      <c r="H4765" s="1077"/>
      <c r="I4765" s="1077"/>
      <c r="J4765" s="1077"/>
      <c r="K4765" s="1077"/>
      <c r="L4765" s="1077"/>
      <c r="M4765" s="1077"/>
    </row>
    <row r="4766" spans="5:13">
      <c r="E4766" s="1077"/>
      <c r="F4766" s="1077"/>
      <c r="G4766" s="1077"/>
      <c r="H4766" s="1077"/>
      <c r="I4766" s="1077"/>
      <c r="J4766" s="1077"/>
      <c r="K4766" s="1077"/>
      <c r="L4766" s="1077"/>
      <c r="M4766" s="1077"/>
    </row>
    <row r="4767" spans="5:13">
      <c r="E4767" s="1077"/>
      <c r="F4767" s="1077"/>
      <c r="G4767" s="1077"/>
      <c r="H4767" s="1077"/>
      <c r="I4767" s="1077"/>
      <c r="J4767" s="1077"/>
      <c r="K4767" s="1077"/>
      <c r="L4767" s="1077"/>
      <c r="M4767" s="1077"/>
    </row>
    <row r="4768" spans="5:13">
      <c r="E4768" s="1077"/>
      <c r="F4768" s="1077"/>
      <c r="G4768" s="1077"/>
      <c r="H4768" s="1077"/>
      <c r="I4768" s="1077"/>
      <c r="J4768" s="1077"/>
      <c r="K4768" s="1077"/>
      <c r="L4768" s="1077"/>
      <c r="M4768" s="1077"/>
    </row>
    <row r="4769" spans="5:13">
      <c r="E4769" s="1077"/>
      <c r="F4769" s="1077"/>
      <c r="G4769" s="1077"/>
      <c r="H4769" s="1077"/>
      <c r="I4769" s="1077"/>
      <c r="J4769" s="1077"/>
      <c r="K4769" s="1077"/>
      <c r="L4769" s="1077"/>
      <c r="M4769" s="1077"/>
    </row>
    <row r="4770" spans="5:13">
      <c r="E4770" s="1077"/>
      <c r="F4770" s="1077"/>
      <c r="G4770" s="1077"/>
      <c r="H4770" s="1077"/>
      <c r="I4770" s="1077"/>
      <c r="J4770" s="1077"/>
      <c r="K4770" s="1077"/>
      <c r="L4770" s="1077"/>
      <c r="M4770" s="1077"/>
    </row>
    <row r="4771" spans="5:13">
      <c r="E4771" s="1077"/>
      <c r="F4771" s="1077"/>
      <c r="G4771" s="1077"/>
      <c r="H4771" s="1077"/>
      <c r="I4771" s="1077"/>
      <c r="J4771" s="1077"/>
      <c r="K4771" s="1077"/>
      <c r="L4771" s="1077"/>
      <c r="M4771" s="1077"/>
    </row>
    <row r="4772" spans="5:13">
      <c r="E4772" s="1077"/>
      <c r="F4772" s="1077"/>
      <c r="G4772" s="1077"/>
      <c r="H4772" s="1077"/>
      <c r="I4772" s="1077"/>
      <c r="J4772" s="1077"/>
      <c r="K4772" s="1077"/>
      <c r="L4772" s="1077"/>
      <c r="M4772" s="1077"/>
    </row>
    <row r="4773" spans="5:13">
      <c r="E4773" s="1077"/>
      <c r="F4773" s="1077"/>
      <c r="G4773" s="1077"/>
      <c r="H4773" s="1077"/>
      <c r="I4773" s="1077"/>
      <c r="J4773" s="1077"/>
      <c r="K4773" s="1077"/>
      <c r="L4773" s="1077"/>
      <c r="M4773" s="1077"/>
    </row>
    <row r="4774" spans="5:13">
      <c r="E4774" s="1077"/>
      <c r="F4774" s="1077"/>
      <c r="G4774" s="1077"/>
      <c r="H4774" s="1077"/>
      <c r="I4774" s="1077"/>
      <c r="J4774" s="1077"/>
      <c r="K4774" s="1077"/>
      <c r="L4774" s="1077"/>
      <c r="M4774" s="1077"/>
    </row>
    <row r="4775" spans="5:13">
      <c r="E4775" s="1077"/>
      <c r="F4775" s="1077"/>
      <c r="G4775" s="1077"/>
      <c r="H4775" s="1077"/>
      <c r="I4775" s="1077"/>
      <c r="J4775" s="1077"/>
      <c r="K4775" s="1077"/>
      <c r="L4775" s="1077"/>
      <c r="M4775" s="1077"/>
    </row>
    <row r="4776" spans="5:13">
      <c r="E4776" s="1077"/>
      <c r="F4776" s="1077"/>
      <c r="G4776" s="1077"/>
      <c r="H4776" s="1077"/>
      <c r="I4776" s="1077"/>
      <c r="J4776" s="1077"/>
      <c r="K4776" s="1077"/>
      <c r="L4776" s="1077"/>
      <c r="M4776" s="1077"/>
    </row>
    <row r="4777" spans="5:13">
      <c r="E4777" s="1077"/>
      <c r="F4777" s="1077"/>
      <c r="G4777" s="1077"/>
      <c r="H4777" s="1077"/>
      <c r="I4777" s="1077"/>
      <c r="J4777" s="1077"/>
      <c r="K4777" s="1077"/>
      <c r="L4777" s="1077"/>
      <c r="M4777" s="1077"/>
    </row>
    <row r="4778" spans="5:13">
      <c r="E4778" s="1077"/>
      <c r="F4778" s="1077"/>
      <c r="G4778" s="1077"/>
      <c r="H4778" s="1077"/>
      <c r="I4778" s="1077"/>
      <c r="J4778" s="1077"/>
      <c r="K4778" s="1077"/>
      <c r="L4778" s="1077"/>
      <c r="M4778" s="1077"/>
    </row>
    <row r="4779" spans="5:13">
      <c r="E4779" s="1077"/>
      <c r="F4779" s="1077"/>
      <c r="G4779" s="1077"/>
      <c r="H4779" s="1077"/>
      <c r="I4779" s="1077"/>
      <c r="J4779" s="1077"/>
      <c r="K4779" s="1077"/>
      <c r="L4779" s="1077"/>
      <c r="M4779" s="1077"/>
    </row>
    <row r="4780" spans="5:13">
      <c r="E4780" s="1077"/>
      <c r="F4780" s="1077"/>
      <c r="G4780" s="1077"/>
      <c r="H4780" s="1077"/>
      <c r="I4780" s="1077"/>
      <c r="J4780" s="1077"/>
      <c r="K4780" s="1077"/>
      <c r="L4780" s="1077"/>
      <c r="M4780" s="1077"/>
    </row>
    <row r="4781" spans="5:13">
      <c r="E4781" s="1077"/>
      <c r="F4781" s="1077"/>
      <c r="G4781" s="1077"/>
      <c r="H4781" s="1077"/>
      <c r="I4781" s="1077"/>
      <c r="J4781" s="1077"/>
      <c r="K4781" s="1077"/>
      <c r="L4781" s="1077"/>
      <c r="M4781" s="1077"/>
    </row>
    <row r="4782" spans="5:13">
      <c r="E4782" s="1077"/>
      <c r="F4782" s="1077"/>
      <c r="G4782" s="1077"/>
      <c r="H4782" s="1077"/>
      <c r="I4782" s="1077"/>
      <c r="J4782" s="1077"/>
      <c r="K4782" s="1077"/>
      <c r="L4782" s="1077"/>
      <c r="M4782" s="1077"/>
    </row>
    <row r="4783" spans="5:13">
      <c r="E4783" s="1077"/>
      <c r="F4783" s="1077"/>
      <c r="G4783" s="1077"/>
      <c r="H4783" s="1077"/>
      <c r="I4783" s="1077"/>
      <c r="J4783" s="1077"/>
      <c r="K4783" s="1077"/>
      <c r="L4783" s="1077"/>
      <c r="M4783" s="1077"/>
    </row>
    <row r="4784" spans="5:13">
      <c r="E4784" s="1077"/>
      <c r="F4784" s="1077"/>
      <c r="G4784" s="1077"/>
      <c r="H4784" s="1077"/>
      <c r="I4784" s="1077"/>
      <c r="J4784" s="1077"/>
      <c r="K4784" s="1077"/>
      <c r="L4784" s="1077"/>
      <c r="M4784" s="1077"/>
    </row>
    <row r="4785" spans="5:13">
      <c r="E4785" s="1077"/>
      <c r="F4785" s="1077"/>
      <c r="G4785" s="1077"/>
      <c r="H4785" s="1077"/>
      <c r="I4785" s="1077"/>
      <c r="J4785" s="1077"/>
      <c r="K4785" s="1077"/>
      <c r="L4785" s="1077"/>
      <c r="M4785" s="1077"/>
    </row>
    <row r="4786" spans="5:13">
      <c r="E4786" s="1077"/>
      <c r="F4786" s="1077"/>
      <c r="G4786" s="1077"/>
      <c r="H4786" s="1077"/>
      <c r="I4786" s="1077"/>
      <c r="J4786" s="1077"/>
      <c r="K4786" s="1077"/>
      <c r="L4786" s="1077"/>
      <c r="M4786" s="1077"/>
    </row>
    <row r="4787" spans="5:13">
      <c r="E4787" s="1077"/>
      <c r="F4787" s="1077"/>
      <c r="G4787" s="1077"/>
      <c r="H4787" s="1077"/>
      <c r="I4787" s="1077"/>
      <c r="J4787" s="1077"/>
      <c r="K4787" s="1077"/>
      <c r="L4787" s="1077"/>
      <c r="M4787" s="1077"/>
    </row>
    <row r="4788" spans="5:13">
      <c r="E4788" s="1077"/>
      <c r="F4788" s="1077"/>
      <c r="G4788" s="1077"/>
      <c r="H4788" s="1077"/>
      <c r="I4788" s="1077"/>
      <c r="J4788" s="1077"/>
      <c r="K4788" s="1077"/>
      <c r="L4788" s="1077"/>
      <c r="M4788" s="1077"/>
    </row>
    <row r="4789" spans="5:13">
      <c r="E4789" s="1077"/>
      <c r="F4789" s="1077"/>
      <c r="G4789" s="1077"/>
      <c r="H4789" s="1077"/>
      <c r="I4789" s="1077"/>
      <c r="J4789" s="1077"/>
      <c r="K4789" s="1077"/>
      <c r="L4789" s="1077"/>
      <c r="M4789" s="1077"/>
    </row>
    <row r="4790" spans="5:13">
      <c r="E4790" s="1077"/>
      <c r="F4790" s="1077"/>
      <c r="G4790" s="1077"/>
      <c r="H4790" s="1077"/>
      <c r="I4790" s="1077"/>
      <c r="J4790" s="1077"/>
      <c r="K4790" s="1077"/>
      <c r="L4790" s="1077"/>
      <c r="M4790" s="1077"/>
    </row>
    <row r="4791" spans="5:13">
      <c r="E4791" s="1077"/>
      <c r="F4791" s="1077"/>
      <c r="G4791" s="1077"/>
      <c r="H4791" s="1077"/>
      <c r="I4791" s="1077"/>
      <c r="J4791" s="1077"/>
      <c r="K4791" s="1077"/>
      <c r="L4791" s="1077"/>
      <c r="M4791" s="1077"/>
    </row>
    <row r="4792" spans="5:13">
      <c r="E4792" s="1077"/>
      <c r="F4792" s="1077"/>
      <c r="G4792" s="1077"/>
      <c r="H4792" s="1077"/>
      <c r="I4792" s="1077"/>
      <c r="J4792" s="1077"/>
      <c r="K4792" s="1077"/>
      <c r="L4792" s="1077"/>
      <c r="M4792" s="1077"/>
    </row>
    <row r="4793" spans="5:13">
      <c r="E4793" s="1077"/>
      <c r="F4793" s="1077"/>
      <c r="G4793" s="1077"/>
      <c r="H4793" s="1077"/>
      <c r="I4793" s="1077"/>
      <c r="J4793" s="1077"/>
      <c r="K4793" s="1077"/>
      <c r="L4793" s="1077"/>
      <c r="M4793" s="1077"/>
    </row>
    <row r="4794" spans="5:13">
      <c r="E4794" s="1077"/>
      <c r="F4794" s="1077"/>
      <c r="G4794" s="1077"/>
      <c r="H4794" s="1077"/>
      <c r="I4794" s="1077"/>
      <c r="J4794" s="1077"/>
      <c r="K4794" s="1077"/>
      <c r="L4794" s="1077"/>
      <c r="M4794" s="1077"/>
    </row>
    <row r="4795" spans="5:13">
      <c r="E4795" s="1077"/>
      <c r="F4795" s="1077"/>
      <c r="G4795" s="1077"/>
      <c r="H4795" s="1077"/>
      <c r="I4795" s="1077"/>
      <c r="J4795" s="1077"/>
      <c r="K4795" s="1077"/>
      <c r="L4795" s="1077"/>
      <c r="M4795" s="1077"/>
    </row>
    <row r="4796" spans="5:13">
      <c r="E4796" s="1077"/>
      <c r="F4796" s="1077"/>
      <c r="G4796" s="1077"/>
      <c r="H4796" s="1077"/>
      <c r="I4796" s="1077"/>
      <c r="J4796" s="1077"/>
      <c r="K4796" s="1077"/>
      <c r="L4796" s="1077"/>
      <c r="M4796" s="1077"/>
    </row>
    <row r="4797" spans="5:13">
      <c r="E4797" s="1077"/>
      <c r="F4797" s="1077"/>
      <c r="G4797" s="1077"/>
      <c r="H4797" s="1077"/>
      <c r="I4797" s="1077"/>
      <c r="J4797" s="1077"/>
      <c r="K4797" s="1077"/>
      <c r="L4797" s="1077"/>
      <c r="M4797" s="1077"/>
    </row>
    <row r="4798" spans="5:13">
      <c r="E4798" s="1077"/>
      <c r="F4798" s="1077"/>
      <c r="G4798" s="1077"/>
      <c r="H4798" s="1077"/>
      <c r="I4798" s="1077"/>
      <c r="J4798" s="1077"/>
      <c r="K4798" s="1077"/>
      <c r="L4798" s="1077"/>
      <c r="M4798" s="1077"/>
    </row>
    <row r="4799" spans="5:13">
      <c r="E4799" s="1077"/>
      <c r="F4799" s="1077"/>
      <c r="G4799" s="1077"/>
      <c r="H4799" s="1077"/>
      <c r="I4799" s="1077"/>
      <c r="J4799" s="1077"/>
      <c r="K4799" s="1077"/>
      <c r="L4799" s="1077"/>
      <c r="M4799" s="1077"/>
    </row>
    <row r="4800" spans="5:13">
      <c r="E4800" s="1077"/>
      <c r="F4800" s="1077"/>
      <c r="G4800" s="1077"/>
      <c r="H4800" s="1077"/>
      <c r="I4800" s="1077"/>
      <c r="J4800" s="1077"/>
      <c r="K4800" s="1077"/>
      <c r="L4800" s="1077"/>
      <c r="M4800" s="1077"/>
    </row>
    <row r="4801" spans="5:13">
      <c r="E4801" s="1077"/>
      <c r="F4801" s="1077"/>
      <c r="G4801" s="1077"/>
      <c r="H4801" s="1077"/>
      <c r="I4801" s="1077"/>
      <c r="J4801" s="1077"/>
      <c r="K4801" s="1077"/>
      <c r="L4801" s="1077"/>
      <c r="M4801" s="1077"/>
    </row>
    <row r="4802" spans="5:13">
      <c r="E4802" s="1077"/>
      <c r="F4802" s="1077"/>
      <c r="G4802" s="1077"/>
      <c r="H4802" s="1077"/>
      <c r="I4802" s="1077"/>
      <c r="J4802" s="1077"/>
      <c r="K4802" s="1077"/>
      <c r="L4802" s="1077"/>
      <c r="M4802" s="1077"/>
    </row>
    <row r="4803" spans="5:13">
      <c r="E4803" s="1077"/>
      <c r="F4803" s="1077"/>
      <c r="G4803" s="1077"/>
      <c r="H4803" s="1077"/>
      <c r="I4803" s="1077"/>
      <c r="J4803" s="1077"/>
      <c r="K4803" s="1077"/>
      <c r="L4803" s="1077"/>
      <c r="M4803" s="1077"/>
    </row>
    <row r="4804" spans="5:13">
      <c r="E4804" s="1077"/>
      <c r="F4804" s="1077"/>
      <c r="G4804" s="1077"/>
      <c r="H4804" s="1077"/>
      <c r="I4804" s="1077"/>
      <c r="J4804" s="1077"/>
      <c r="K4804" s="1077"/>
      <c r="L4804" s="1077"/>
      <c r="M4804" s="1077"/>
    </row>
    <row r="4805" spans="5:13">
      <c r="E4805" s="1077"/>
      <c r="F4805" s="1077"/>
      <c r="G4805" s="1077"/>
      <c r="H4805" s="1077"/>
      <c r="I4805" s="1077"/>
      <c r="J4805" s="1077"/>
      <c r="K4805" s="1077"/>
      <c r="L4805" s="1077"/>
      <c r="M4805" s="1077"/>
    </row>
    <row r="4806" spans="5:13">
      <c r="E4806" s="1077"/>
      <c r="F4806" s="1077"/>
      <c r="G4806" s="1077"/>
      <c r="H4806" s="1077"/>
      <c r="I4806" s="1077"/>
      <c r="J4806" s="1077"/>
      <c r="K4806" s="1077"/>
      <c r="L4806" s="1077"/>
      <c r="M4806" s="1077"/>
    </row>
    <row r="4807" spans="5:13">
      <c r="E4807" s="1077"/>
      <c r="F4807" s="1077"/>
      <c r="G4807" s="1077"/>
      <c r="H4807" s="1077"/>
      <c r="I4807" s="1077"/>
      <c r="J4807" s="1077"/>
      <c r="K4807" s="1077"/>
      <c r="L4807" s="1077"/>
      <c r="M4807" s="1077"/>
    </row>
    <row r="4808" spans="5:13">
      <c r="E4808" s="1077"/>
      <c r="F4808" s="1077"/>
      <c r="G4808" s="1077"/>
      <c r="H4808" s="1077"/>
      <c r="I4808" s="1077"/>
      <c r="J4808" s="1077"/>
      <c r="K4808" s="1077"/>
      <c r="L4808" s="1077"/>
      <c r="M4808" s="1077"/>
    </row>
    <row r="4809" spans="5:13">
      <c r="E4809" s="1077"/>
      <c r="F4809" s="1077"/>
      <c r="G4809" s="1077"/>
      <c r="H4809" s="1077"/>
      <c r="I4809" s="1077"/>
      <c r="J4809" s="1077"/>
      <c r="K4809" s="1077"/>
      <c r="L4809" s="1077"/>
      <c r="M4809" s="1077"/>
    </row>
    <row r="4810" spans="5:13">
      <c r="E4810" s="1077"/>
      <c r="F4810" s="1077"/>
      <c r="G4810" s="1077"/>
      <c r="H4810" s="1077"/>
      <c r="I4810" s="1077"/>
      <c r="J4810" s="1077"/>
      <c r="K4810" s="1077"/>
      <c r="L4810" s="1077"/>
      <c r="M4810" s="1077"/>
    </row>
    <row r="4811" spans="5:13">
      <c r="E4811" s="1077"/>
      <c r="F4811" s="1077"/>
      <c r="G4811" s="1077"/>
      <c r="H4811" s="1077"/>
      <c r="I4811" s="1077"/>
      <c r="J4811" s="1077"/>
      <c r="K4811" s="1077"/>
      <c r="L4811" s="1077"/>
      <c r="M4811" s="1077"/>
    </row>
    <row r="4812" spans="5:13">
      <c r="E4812" s="1077"/>
      <c r="F4812" s="1077"/>
      <c r="G4812" s="1077"/>
      <c r="H4812" s="1077"/>
      <c r="I4812" s="1077"/>
      <c r="J4812" s="1077"/>
      <c r="K4812" s="1077"/>
      <c r="L4812" s="1077"/>
      <c r="M4812" s="1077"/>
    </row>
    <row r="4813" spans="5:13">
      <c r="E4813" s="1077"/>
      <c r="F4813" s="1077"/>
      <c r="G4813" s="1077"/>
      <c r="H4813" s="1077"/>
      <c r="I4813" s="1077"/>
      <c r="J4813" s="1077"/>
      <c r="K4813" s="1077"/>
      <c r="L4813" s="1077"/>
      <c r="M4813" s="1077"/>
    </row>
    <row r="4814" spans="5:13">
      <c r="E4814" s="1077"/>
      <c r="F4814" s="1077"/>
      <c r="G4814" s="1077"/>
      <c r="H4814" s="1077"/>
      <c r="I4814" s="1077"/>
      <c r="J4814" s="1077"/>
      <c r="K4814" s="1077"/>
      <c r="L4814" s="1077"/>
      <c r="M4814" s="1077"/>
    </row>
    <row r="4815" spans="5:13">
      <c r="E4815" s="1077"/>
      <c r="F4815" s="1077"/>
      <c r="G4815" s="1077"/>
      <c r="H4815" s="1077"/>
      <c r="I4815" s="1077"/>
      <c r="J4815" s="1077"/>
      <c r="K4815" s="1077"/>
      <c r="L4815" s="1077"/>
      <c r="M4815" s="1077"/>
    </row>
    <row r="4816" spans="5:13">
      <c r="E4816" s="1077"/>
      <c r="F4816" s="1077"/>
      <c r="G4816" s="1077"/>
      <c r="H4816" s="1077"/>
      <c r="I4816" s="1077"/>
      <c r="J4816" s="1077"/>
      <c r="K4816" s="1077"/>
      <c r="L4816" s="1077"/>
      <c r="M4816" s="1077"/>
    </row>
    <row r="4817" spans="5:13">
      <c r="E4817" s="1077"/>
      <c r="F4817" s="1077"/>
      <c r="G4817" s="1077"/>
      <c r="H4817" s="1077"/>
      <c r="I4817" s="1077"/>
      <c r="J4817" s="1077"/>
      <c r="K4817" s="1077"/>
      <c r="L4817" s="1077"/>
      <c r="M4817" s="1077"/>
    </row>
    <row r="4818" spans="5:13">
      <c r="E4818" s="1077"/>
      <c r="F4818" s="1077"/>
      <c r="G4818" s="1077"/>
      <c r="H4818" s="1077"/>
      <c r="I4818" s="1077"/>
      <c r="J4818" s="1077"/>
      <c r="K4818" s="1077"/>
      <c r="L4818" s="1077"/>
      <c r="M4818" s="1077"/>
    </row>
    <row r="4819" spans="5:13">
      <c r="E4819" s="1077"/>
      <c r="F4819" s="1077"/>
      <c r="G4819" s="1077"/>
      <c r="H4819" s="1077"/>
      <c r="I4819" s="1077"/>
      <c r="J4819" s="1077"/>
      <c r="K4819" s="1077"/>
      <c r="L4819" s="1077"/>
      <c r="M4819" s="1077"/>
    </row>
    <row r="4820" spans="5:13">
      <c r="E4820" s="1077"/>
      <c r="F4820" s="1077"/>
      <c r="G4820" s="1077"/>
      <c r="H4820" s="1077"/>
      <c r="I4820" s="1077"/>
      <c r="J4820" s="1077"/>
      <c r="K4820" s="1077"/>
      <c r="L4820" s="1077"/>
      <c r="M4820" s="1077"/>
    </row>
    <row r="4821" spans="5:13">
      <c r="E4821" s="1077"/>
      <c r="F4821" s="1077"/>
      <c r="G4821" s="1077"/>
      <c r="H4821" s="1077"/>
      <c r="I4821" s="1077"/>
      <c r="J4821" s="1077"/>
      <c r="K4821" s="1077"/>
      <c r="L4821" s="1077"/>
      <c r="M4821" s="1077"/>
    </row>
    <row r="4822" spans="5:13">
      <c r="E4822" s="1077"/>
      <c r="F4822" s="1077"/>
      <c r="G4822" s="1077"/>
      <c r="H4822" s="1077"/>
      <c r="I4822" s="1077"/>
      <c r="J4822" s="1077"/>
      <c r="K4822" s="1077"/>
      <c r="L4822" s="1077"/>
      <c r="M4822" s="1077"/>
    </row>
    <row r="4823" spans="5:13">
      <c r="E4823" s="1077"/>
      <c r="F4823" s="1077"/>
      <c r="G4823" s="1077"/>
      <c r="H4823" s="1077"/>
      <c r="I4823" s="1077"/>
      <c r="J4823" s="1077"/>
      <c r="K4823" s="1077"/>
      <c r="L4823" s="1077"/>
      <c r="M4823" s="1077"/>
    </row>
    <row r="4824" spans="5:13">
      <c r="E4824" s="1077"/>
      <c r="F4824" s="1077"/>
      <c r="G4824" s="1077"/>
      <c r="H4824" s="1077"/>
      <c r="I4824" s="1077"/>
      <c r="J4824" s="1077"/>
      <c r="K4824" s="1077"/>
      <c r="L4824" s="1077"/>
      <c r="M4824" s="1077"/>
    </row>
    <row r="4825" spans="5:13">
      <c r="E4825" s="1077"/>
      <c r="F4825" s="1077"/>
      <c r="G4825" s="1077"/>
      <c r="H4825" s="1077"/>
      <c r="I4825" s="1077"/>
      <c r="J4825" s="1077"/>
      <c r="K4825" s="1077"/>
      <c r="L4825" s="1077"/>
      <c r="M4825" s="1077"/>
    </row>
    <row r="4826" spans="5:13">
      <c r="E4826" s="1077"/>
      <c r="F4826" s="1077"/>
      <c r="G4826" s="1077"/>
      <c r="H4826" s="1077"/>
      <c r="I4826" s="1077"/>
      <c r="J4826" s="1077"/>
      <c r="K4826" s="1077"/>
      <c r="L4826" s="1077"/>
      <c r="M4826" s="1077"/>
    </row>
    <row r="4827" spans="5:13">
      <c r="E4827" s="1077"/>
      <c r="F4827" s="1077"/>
      <c r="G4827" s="1077"/>
      <c r="H4827" s="1077"/>
      <c r="I4827" s="1077"/>
      <c r="J4827" s="1077"/>
      <c r="K4827" s="1077"/>
      <c r="L4827" s="1077"/>
      <c r="M4827" s="1077"/>
    </row>
    <row r="4828" spans="5:13">
      <c r="E4828" s="1077"/>
      <c r="F4828" s="1077"/>
      <c r="G4828" s="1077"/>
      <c r="H4828" s="1077"/>
      <c r="I4828" s="1077"/>
      <c r="J4828" s="1077"/>
      <c r="K4828" s="1077"/>
      <c r="L4828" s="1077"/>
      <c r="M4828" s="1077"/>
    </row>
    <row r="4829" spans="5:13">
      <c r="E4829" s="1077"/>
      <c r="F4829" s="1077"/>
      <c r="G4829" s="1077"/>
      <c r="H4829" s="1077"/>
      <c r="I4829" s="1077"/>
      <c r="J4829" s="1077"/>
      <c r="K4829" s="1077"/>
      <c r="L4829" s="1077"/>
      <c r="M4829" s="1077"/>
    </row>
    <row r="4830" spans="5:13">
      <c r="E4830" s="1077"/>
      <c r="F4830" s="1077"/>
      <c r="G4830" s="1077"/>
      <c r="H4830" s="1077"/>
      <c r="I4830" s="1077"/>
      <c r="J4830" s="1077"/>
      <c r="K4830" s="1077"/>
      <c r="L4830" s="1077"/>
      <c r="M4830" s="1077"/>
    </row>
    <row r="4831" spans="5:13">
      <c r="E4831" s="1077"/>
      <c r="F4831" s="1077"/>
      <c r="G4831" s="1077"/>
      <c r="H4831" s="1077"/>
      <c r="I4831" s="1077"/>
      <c r="J4831" s="1077"/>
      <c r="K4831" s="1077"/>
      <c r="L4831" s="1077"/>
      <c r="M4831" s="1077"/>
    </row>
    <row r="4832" spans="5:13">
      <c r="E4832" s="1077"/>
      <c r="F4832" s="1077"/>
      <c r="G4832" s="1077"/>
      <c r="H4832" s="1077"/>
      <c r="I4832" s="1077"/>
      <c r="J4832" s="1077"/>
      <c r="K4832" s="1077"/>
      <c r="L4832" s="1077"/>
      <c r="M4832" s="1077"/>
    </row>
    <row r="4833" spans="5:13">
      <c r="E4833" s="1077"/>
      <c r="F4833" s="1077"/>
      <c r="G4833" s="1077"/>
      <c r="H4833" s="1077"/>
      <c r="I4833" s="1077"/>
      <c r="J4833" s="1077"/>
      <c r="K4833" s="1077"/>
      <c r="L4833" s="1077"/>
      <c r="M4833" s="1077"/>
    </row>
    <row r="4834" spans="5:13">
      <c r="E4834" s="1077"/>
      <c r="F4834" s="1077"/>
      <c r="G4834" s="1077"/>
      <c r="H4834" s="1077"/>
      <c r="I4834" s="1077"/>
      <c r="J4834" s="1077"/>
      <c r="K4834" s="1077"/>
      <c r="L4834" s="1077"/>
      <c r="M4834" s="1077"/>
    </row>
    <row r="4835" spans="5:13">
      <c r="E4835" s="1077"/>
      <c r="F4835" s="1077"/>
      <c r="G4835" s="1077"/>
      <c r="H4835" s="1077"/>
      <c r="I4835" s="1077"/>
      <c r="J4835" s="1077"/>
      <c r="K4835" s="1077"/>
      <c r="L4835" s="1077"/>
      <c r="M4835" s="1077"/>
    </row>
    <row r="4836" spans="5:13">
      <c r="E4836" s="1077"/>
      <c r="F4836" s="1077"/>
      <c r="G4836" s="1077"/>
      <c r="H4836" s="1077"/>
      <c r="I4836" s="1077"/>
      <c r="J4836" s="1077"/>
      <c r="K4836" s="1077"/>
      <c r="L4836" s="1077"/>
      <c r="M4836" s="1077"/>
    </row>
    <row r="4837" spans="5:13">
      <c r="E4837" s="1077"/>
      <c r="F4837" s="1077"/>
      <c r="G4837" s="1077"/>
      <c r="H4837" s="1077"/>
      <c r="I4837" s="1077"/>
      <c r="J4837" s="1077"/>
      <c r="K4837" s="1077"/>
      <c r="L4837" s="1077"/>
      <c r="M4837" s="1077"/>
    </row>
    <row r="4838" spans="5:13">
      <c r="E4838" s="1077"/>
      <c r="F4838" s="1077"/>
      <c r="G4838" s="1077"/>
      <c r="H4838" s="1077"/>
      <c r="I4838" s="1077"/>
      <c r="J4838" s="1077"/>
      <c r="K4838" s="1077"/>
      <c r="L4838" s="1077"/>
      <c r="M4838" s="1077"/>
    </row>
    <row r="4839" spans="5:13">
      <c r="E4839" s="1077"/>
      <c r="F4839" s="1077"/>
      <c r="G4839" s="1077"/>
      <c r="H4839" s="1077"/>
      <c r="I4839" s="1077"/>
      <c r="J4839" s="1077"/>
      <c r="K4839" s="1077"/>
      <c r="L4839" s="1077"/>
      <c r="M4839" s="1077"/>
    </row>
    <row r="4840" spans="5:13">
      <c r="E4840" s="1077"/>
      <c r="F4840" s="1077"/>
      <c r="G4840" s="1077"/>
      <c r="H4840" s="1077"/>
      <c r="I4840" s="1077"/>
      <c r="J4840" s="1077"/>
      <c r="K4840" s="1077"/>
      <c r="L4840" s="1077"/>
      <c r="M4840" s="1077"/>
    </row>
    <row r="4841" spans="5:13">
      <c r="E4841" s="1077"/>
      <c r="F4841" s="1077"/>
      <c r="G4841" s="1077"/>
      <c r="H4841" s="1077"/>
      <c r="I4841" s="1077"/>
      <c r="J4841" s="1077"/>
      <c r="K4841" s="1077"/>
      <c r="L4841" s="1077"/>
      <c r="M4841" s="1077"/>
    </row>
    <row r="4842" spans="5:13">
      <c r="E4842" s="1077"/>
      <c r="F4842" s="1077"/>
      <c r="G4842" s="1077"/>
      <c r="H4842" s="1077"/>
      <c r="I4842" s="1077"/>
      <c r="J4842" s="1077"/>
      <c r="K4842" s="1077"/>
      <c r="L4842" s="1077"/>
      <c r="M4842" s="1077"/>
    </row>
    <row r="4843" spans="5:13">
      <c r="E4843" s="1077"/>
      <c r="F4843" s="1077"/>
      <c r="G4843" s="1077"/>
      <c r="H4843" s="1077"/>
      <c r="I4843" s="1077"/>
      <c r="J4843" s="1077"/>
      <c r="K4843" s="1077"/>
      <c r="L4843" s="1077"/>
      <c r="M4843" s="1077"/>
    </row>
    <row r="4844" spans="5:13">
      <c r="E4844" s="1077"/>
      <c r="F4844" s="1077"/>
      <c r="G4844" s="1077"/>
      <c r="H4844" s="1077"/>
      <c r="I4844" s="1077"/>
      <c r="J4844" s="1077"/>
      <c r="K4844" s="1077"/>
      <c r="L4844" s="1077"/>
      <c r="M4844" s="1077"/>
    </row>
    <row r="4845" spans="5:13">
      <c r="E4845" s="1077"/>
      <c r="F4845" s="1077"/>
      <c r="G4845" s="1077"/>
      <c r="H4845" s="1077"/>
      <c r="I4845" s="1077"/>
      <c r="J4845" s="1077"/>
      <c r="K4845" s="1077"/>
      <c r="L4845" s="1077"/>
      <c r="M4845" s="1077"/>
    </row>
    <row r="4846" spans="5:13">
      <c r="E4846" s="1077"/>
      <c r="F4846" s="1077"/>
      <c r="G4846" s="1077"/>
      <c r="H4846" s="1077"/>
      <c r="I4846" s="1077"/>
      <c r="J4846" s="1077"/>
      <c r="K4846" s="1077"/>
      <c r="L4846" s="1077"/>
      <c r="M4846" s="1077"/>
    </row>
    <row r="4847" spans="5:13">
      <c r="E4847" s="1077"/>
      <c r="F4847" s="1077"/>
      <c r="G4847" s="1077"/>
      <c r="H4847" s="1077"/>
      <c r="I4847" s="1077"/>
      <c r="J4847" s="1077"/>
      <c r="K4847" s="1077"/>
      <c r="L4847" s="1077"/>
      <c r="M4847" s="1077"/>
    </row>
    <row r="4848" spans="5:13">
      <c r="E4848" s="1077"/>
      <c r="F4848" s="1077"/>
      <c r="G4848" s="1077"/>
      <c r="H4848" s="1077"/>
      <c r="I4848" s="1077"/>
      <c r="J4848" s="1077"/>
      <c r="K4848" s="1077"/>
      <c r="L4848" s="1077"/>
      <c r="M4848" s="1077"/>
    </row>
    <row r="4849" spans="5:13">
      <c r="E4849" s="1077"/>
      <c r="F4849" s="1077"/>
      <c r="G4849" s="1077"/>
      <c r="H4849" s="1077"/>
      <c r="I4849" s="1077"/>
      <c r="J4849" s="1077"/>
      <c r="K4849" s="1077"/>
      <c r="L4849" s="1077"/>
      <c r="M4849" s="1077"/>
    </row>
    <row r="4850" spans="5:13">
      <c r="E4850" s="1077"/>
      <c r="F4850" s="1077"/>
      <c r="G4850" s="1077"/>
      <c r="H4850" s="1077"/>
      <c r="I4850" s="1077"/>
      <c r="J4850" s="1077"/>
      <c r="K4850" s="1077"/>
      <c r="L4850" s="1077"/>
      <c r="M4850" s="1077"/>
    </row>
    <row r="4851" spans="5:13">
      <c r="E4851" s="1077"/>
      <c r="F4851" s="1077"/>
      <c r="G4851" s="1077"/>
      <c r="H4851" s="1077"/>
      <c r="I4851" s="1077"/>
      <c r="J4851" s="1077"/>
      <c r="K4851" s="1077"/>
      <c r="L4851" s="1077"/>
      <c r="M4851" s="1077"/>
    </row>
    <row r="4852" spans="5:13">
      <c r="E4852" s="1077"/>
      <c r="F4852" s="1077"/>
      <c r="G4852" s="1077"/>
      <c r="H4852" s="1077"/>
      <c r="I4852" s="1077"/>
      <c r="J4852" s="1077"/>
      <c r="K4852" s="1077"/>
      <c r="L4852" s="1077"/>
      <c r="M4852" s="1077"/>
    </row>
    <row r="4853" spans="5:13">
      <c r="E4853" s="1077"/>
      <c r="F4853" s="1077"/>
      <c r="G4853" s="1077"/>
      <c r="H4853" s="1077"/>
      <c r="I4853" s="1077"/>
      <c r="J4853" s="1077"/>
      <c r="K4853" s="1077"/>
      <c r="L4853" s="1077"/>
      <c r="M4853" s="1077"/>
    </row>
    <row r="4854" spans="5:13">
      <c r="E4854" s="1077"/>
      <c r="F4854" s="1077"/>
      <c r="G4854" s="1077"/>
      <c r="H4854" s="1077"/>
      <c r="I4854" s="1077"/>
      <c r="J4854" s="1077"/>
      <c r="K4854" s="1077"/>
      <c r="L4854" s="1077"/>
      <c r="M4854" s="1077"/>
    </row>
    <row r="4855" spans="5:13">
      <c r="E4855" s="1077"/>
      <c r="F4855" s="1077"/>
      <c r="G4855" s="1077"/>
      <c r="H4855" s="1077"/>
      <c r="I4855" s="1077"/>
      <c r="J4855" s="1077"/>
      <c r="K4855" s="1077"/>
      <c r="L4855" s="1077"/>
      <c r="M4855" s="1077"/>
    </row>
    <row r="4856" spans="5:13">
      <c r="E4856" s="1077"/>
      <c r="F4856" s="1077"/>
      <c r="G4856" s="1077"/>
      <c r="H4856" s="1077"/>
      <c r="I4856" s="1077"/>
      <c r="J4856" s="1077"/>
      <c r="K4856" s="1077"/>
      <c r="L4856" s="1077"/>
      <c r="M4856" s="1077"/>
    </row>
    <row r="4857" spans="5:13">
      <c r="E4857" s="1077"/>
      <c r="F4857" s="1077"/>
      <c r="G4857" s="1077"/>
      <c r="H4857" s="1077"/>
      <c r="I4857" s="1077"/>
      <c r="J4857" s="1077"/>
      <c r="K4857" s="1077"/>
      <c r="L4857" s="1077"/>
      <c r="M4857" s="1077"/>
    </row>
    <row r="4858" spans="5:13">
      <c r="E4858" s="1077"/>
      <c r="F4858" s="1077"/>
      <c r="G4858" s="1077"/>
      <c r="H4858" s="1077"/>
      <c r="I4858" s="1077"/>
      <c r="J4858" s="1077"/>
      <c r="K4858" s="1077"/>
      <c r="L4858" s="1077"/>
      <c r="M4858" s="1077"/>
    </row>
    <row r="4859" spans="5:13">
      <c r="E4859" s="1077"/>
      <c r="F4859" s="1077"/>
      <c r="G4859" s="1077"/>
      <c r="H4859" s="1077"/>
      <c r="I4859" s="1077"/>
      <c r="J4859" s="1077"/>
      <c r="K4859" s="1077"/>
      <c r="L4859" s="1077"/>
      <c r="M4859" s="1077"/>
    </row>
    <row r="4860" spans="5:13">
      <c r="E4860" s="1077"/>
      <c r="F4860" s="1077"/>
      <c r="G4860" s="1077"/>
      <c r="H4860" s="1077"/>
      <c r="I4860" s="1077"/>
      <c r="J4860" s="1077"/>
      <c r="K4860" s="1077"/>
      <c r="L4860" s="1077"/>
      <c r="M4860" s="1077"/>
    </row>
    <row r="4861" spans="5:13">
      <c r="E4861" s="1077"/>
      <c r="F4861" s="1077"/>
      <c r="G4861" s="1077"/>
      <c r="H4861" s="1077"/>
      <c r="I4861" s="1077"/>
      <c r="J4861" s="1077"/>
      <c r="K4861" s="1077"/>
      <c r="L4861" s="1077"/>
      <c r="M4861" s="1077"/>
    </row>
    <row r="4862" spans="5:13">
      <c r="E4862" s="1077"/>
      <c r="F4862" s="1077"/>
      <c r="G4862" s="1077"/>
      <c r="H4862" s="1077"/>
      <c r="I4862" s="1077"/>
      <c r="J4862" s="1077"/>
      <c r="K4862" s="1077"/>
      <c r="L4862" s="1077"/>
      <c r="M4862" s="1077"/>
    </row>
    <row r="4863" spans="5:13">
      <c r="E4863" s="1077"/>
      <c r="F4863" s="1077"/>
      <c r="G4863" s="1077"/>
      <c r="H4863" s="1077"/>
      <c r="I4863" s="1077"/>
      <c r="J4863" s="1077"/>
      <c r="K4863" s="1077"/>
      <c r="L4863" s="1077"/>
      <c r="M4863" s="1077"/>
    </row>
    <row r="4864" spans="5:13">
      <c r="E4864" s="1077"/>
      <c r="F4864" s="1077"/>
      <c r="G4864" s="1077"/>
      <c r="H4864" s="1077"/>
      <c r="I4864" s="1077"/>
      <c r="J4864" s="1077"/>
      <c r="K4864" s="1077"/>
      <c r="L4864" s="1077"/>
      <c r="M4864" s="1077"/>
    </row>
    <row r="4865" spans="5:13">
      <c r="E4865" s="1077"/>
      <c r="F4865" s="1077"/>
      <c r="G4865" s="1077"/>
      <c r="H4865" s="1077"/>
      <c r="I4865" s="1077"/>
      <c r="J4865" s="1077"/>
      <c r="K4865" s="1077"/>
      <c r="L4865" s="1077"/>
      <c r="M4865" s="1077"/>
    </row>
    <row r="4866" spans="5:13">
      <c r="E4866" s="1077"/>
      <c r="F4866" s="1077"/>
      <c r="G4866" s="1077"/>
      <c r="H4866" s="1077"/>
      <c r="I4866" s="1077"/>
      <c r="J4866" s="1077"/>
      <c r="K4866" s="1077"/>
      <c r="L4866" s="1077"/>
      <c r="M4866" s="1077"/>
    </row>
    <row r="4867" spans="5:13">
      <c r="E4867" s="1077"/>
      <c r="F4867" s="1077"/>
      <c r="G4867" s="1077"/>
      <c r="H4867" s="1077"/>
      <c r="I4867" s="1077"/>
      <c r="J4867" s="1077"/>
      <c r="K4867" s="1077"/>
      <c r="L4867" s="1077"/>
      <c r="M4867" s="1077"/>
    </row>
    <row r="4868" spans="5:13">
      <c r="E4868" s="1077"/>
      <c r="F4868" s="1077"/>
      <c r="G4868" s="1077"/>
      <c r="H4868" s="1077"/>
      <c r="I4868" s="1077"/>
      <c r="J4868" s="1077"/>
      <c r="K4868" s="1077"/>
      <c r="L4868" s="1077"/>
      <c r="M4868" s="1077"/>
    </row>
    <row r="4869" spans="5:13">
      <c r="E4869" s="1077"/>
      <c r="F4869" s="1077"/>
      <c r="G4869" s="1077"/>
      <c r="H4869" s="1077"/>
      <c r="I4869" s="1077"/>
      <c r="J4869" s="1077"/>
      <c r="K4869" s="1077"/>
      <c r="L4869" s="1077"/>
      <c r="M4869" s="1077"/>
    </row>
    <row r="4870" spans="5:13">
      <c r="E4870" s="1077"/>
      <c r="F4870" s="1077"/>
      <c r="G4870" s="1077"/>
      <c r="H4870" s="1077"/>
      <c r="I4870" s="1077"/>
      <c r="J4870" s="1077"/>
      <c r="K4870" s="1077"/>
      <c r="L4870" s="1077"/>
      <c r="M4870" s="1077"/>
    </row>
    <row r="4871" spans="5:13">
      <c r="E4871" s="1077"/>
      <c r="F4871" s="1077"/>
      <c r="G4871" s="1077"/>
      <c r="H4871" s="1077"/>
      <c r="I4871" s="1077"/>
      <c r="J4871" s="1077"/>
      <c r="K4871" s="1077"/>
      <c r="L4871" s="1077"/>
      <c r="M4871" s="1077"/>
    </row>
    <row r="4872" spans="5:13">
      <c r="E4872" s="1077"/>
      <c r="F4872" s="1077"/>
      <c r="G4872" s="1077"/>
      <c r="H4872" s="1077"/>
      <c r="I4872" s="1077"/>
      <c r="J4872" s="1077"/>
      <c r="K4872" s="1077"/>
      <c r="L4872" s="1077"/>
      <c r="M4872" s="1077"/>
    </row>
    <row r="4873" spans="5:13">
      <c r="E4873" s="1077"/>
      <c r="F4873" s="1077"/>
      <c r="G4873" s="1077"/>
      <c r="H4873" s="1077"/>
      <c r="I4873" s="1077"/>
      <c r="J4873" s="1077"/>
      <c r="K4873" s="1077"/>
      <c r="L4873" s="1077"/>
      <c r="M4873" s="1077"/>
    </row>
    <row r="4874" spans="5:13">
      <c r="E4874" s="1077"/>
      <c r="F4874" s="1077"/>
      <c r="G4874" s="1077"/>
      <c r="H4874" s="1077"/>
      <c r="I4874" s="1077"/>
      <c r="J4874" s="1077"/>
      <c r="K4874" s="1077"/>
      <c r="L4874" s="1077"/>
      <c r="M4874" s="1077"/>
    </row>
    <row r="4875" spans="5:13">
      <c r="E4875" s="1077"/>
      <c r="F4875" s="1077"/>
      <c r="G4875" s="1077"/>
      <c r="H4875" s="1077"/>
      <c r="I4875" s="1077"/>
      <c r="J4875" s="1077"/>
      <c r="K4875" s="1077"/>
      <c r="L4875" s="1077"/>
      <c r="M4875" s="1077"/>
    </row>
    <row r="4876" spans="5:13">
      <c r="E4876" s="1077"/>
      <c r="F4876" s="1077"/>
      <c r="G4876" s="1077"/>
      <c r="H4876" s="1077"/>
      <c r="I4876" s="1077"/>
      <c r="J4876" s="1077"/>
      <c r="K4876" s="1077"/>
      <c r="L4876" s="1077"/>
      <c r="M4876" s="1077"/>
    </row>
    <row r="4877" spans="5:13">
      <c r="E4877" s="1077"/>
      <c r="F4877" s="1077"/>
      <c r="G4877" s="1077"/>
      <c r="H4877" s="1077"/>
      <c r="I4877" s="1077"/>
      <c r="J4877" s="1077"/>
      <c r="K4877" s="1077"/>
      <c r="L4877" s="1077"/>
      <c r="M4877" s="1077"/>
    </row>
    <row r="4878" spans="5:13">
      <c r="E4878" s="1077"/>
      <c r="F4878" s="1077"/>
      <c r="G4878" s="1077"/>
      <c r="H4878" s="1077"/>
      <c r="I4878" s="1077"/>
      <c r="J4878" s="1077"/>
      <c r="K4878" s="1077"/>
      <c r="L4878" s="1077"/>
      <c r="M4878" s="1077"/>
    </row>
    <row r="4879" spans="5:13">
      <c r="E4879" s="1077"/>
      <c r="F4879" s="1077"/>
      <c r="G4879" s="1077"/>
      <c r="H4879" s="1077"/>
      <c r="I4879" s="1077"/>
      <c r="J4879" s="1077"/>
      <c r="K4879" s="1077"/>
      <c r="L4879" s="1077"/>
      <c r="M4879" s="1077"/>
    </row>
    <row r="4880" spans="5:13">
      <c r="E4880" s="1077"/>
      <c r="F4880" s="1077"/>
      <c r="G4880" s="1077"/>
      <c r="H4880" s="1077"/>
      <c r="I4880" s="1077"/>
      <c r="J4880" s="1077"/>
      <c r="K4880" s="1077"/>
      <c r="L4880" s="1077"/>
      <c r="M4880" s="1077"/>
    </row>
    <row r="4881" spans="5:13">
      <c r="E4881" s="1077"/>
      <c r="F4881" s="1077"/>
      <c r="G4881" s="1077"/>
      <c r="H4881" s="1077"/>
      <c r="I4881" s="1077"/>
      <c r="J4881" s="1077"/>
      <c r="K4881" s="1077"/>
      <c r="L4881" s="1077"/>
      <c r="M4881" s="1077"/>
    </row>
    <row r="4882" spans="5:13">
      <c r="E4882" s="1077"/>
      <c r="F4882" s="1077"/>
      <c r="G4882" s="1077"/>
      <c r="H4882" s="1077"/>
      <c r="I4882" s="1077"/>
      <c r="J4882" s="1077"/>
      <c r="K4882" s="1077"/>
      <c r="L4882" s="1077"/>
      <c r="M4882" s="1077"/>
    </row>
    <row r="4883" spans="5:13">
      <c r="E4883" s="1077"/>
      <c r="F4883" s="1077"/>
      <c r="G4883" s="1077"/>
      <c r="H4883" s="1077"/>
      <c r="I4883" s="1077"/>
      <c r="J4883" s="1077"/>
      <c r="K4883" s="1077"/>
      <c r="L4883" s="1077"/>
      <c r="M4883" s="1077"/>
    </row>
    <row r="4884" spans="5:13">
      <c r="E4884" s="1077"/>
      <c r="F4884" s="1077"/>
      <c r="G4884" s="1077"/>
      <c r="H4884" s="1077"/>
      <c r="I4884" s="1077"/>
      <c r="J4884" s="1077"/>
      <c r="K4884" s="1077"/>
      <c r="L4884" s="1077"/>
      <c r="M4884" s="1077"/>
    </row>
    <row r="4885" spans="5:13">
      <c r="E4885" s="1077"/>
      <c r="F4885" s="1077"/>
      <c r="G4885" s="1077"/>
      <c r="H4885" s="1077"/>
      <c r="I4885" s="1077"/>
      <c r="J4885" s="1077"/>
      <c r="K4885" s="1077"/>
      <c r="L4885" s="1077"/>
      <c r="M4885" s="1077"/>
    </row>
    <row r="4886" spans="5:13">
      <c r="E4886" s="1077"/>
      <c r="F4886" s="1077"/>
      <c r="G4886" s="1077"/>
      <c r="H4886" s="1077"/>
      <c r="I4886" s="1077"/>
      <c r="J4886" s="1077"/>
      <c r="K4886" s="1077"/>
      <c r="L4886" s="1077"/>
      <c r="M4886" s="1077"/>
    </row>
    <row r="4887" spans="5:13">
      <c r="E4887" s="1077"/>
      <c r="F4887" s="1077"/>
      <c r="G4887" s="1077"/>
      <c r="H4887" s="1077"/>
      <c r="I4887" s="1077"/>
      <c r="J4887" s="1077"/>
      <c r="K4887" s="1077"/>
      <c r="L4887" s="1077"/>
      <c r="M4887" s="1077"/>
    </row>
    <row r="4888" spans="5:13">
      <c r="E4888" s="1077"/>
      <c r="F4888" s="1077"/>
      <c r="G4888" s="1077"/>
      <c r="H4888" s="1077"/>
      <c r="I4888" s="1077"/>
      <c r="J4888" s="1077"/>
      <c r="K4888" s="1077"/>
      <c r="L4888" s="1077"/>
      <c r="M4888" s="1077"/>
    </row>
    <row r="4889" spans="5:13">
      <c r="E4889" s="1077"/>
      <c r="F4889" s="1077"/>
      <c r="G4889" s="1077"/>
      <c r="H4889" s="1077"/>
      <c r="I4889" s="1077"/>
      <c r="J4889" s="1077"/>
      <c r="K4889" s="1077"/>
      <c r="L4889" s="1077"/>
      <c r="M4889" s="1077"/>
    </row>
    <row r="4890" spans="5:13">
      <c r="E4890" s="1077"/>
      <c r="F4890" s="1077"/>
      <c r="G4890" s="1077"/>
      <c r="H4890" s="1077"/>
      <c r="I4890" s="1077"/>
      <c r="J4890" s="1077"/>
      <c r="K4890" s="1077"/>
      <c r="L4890" s="1077"/>
      <c r="M4890" s="1077"/>
    </row>
    <row r="4891" spans="5:13">
      <c r="E4891" s="1077"/>
      <c r="F4891" s="1077"/>
      <c r="G4891" s="1077"/>
      <c r="H4891" s="1077"/>
      <c r="I4891" s="1077"/>
      <c r="J4891" s="1077"/>
      <c r="K4891" s="1077"/>
      <c r="L4891" s="1077"/>
      <c r="M4891" s="1077"/>
    </row>
    <row r="4892" spans="5:13">
      <c r="E4892" s="1077"/>
      <c r="F4892" s="1077"/>
      <c r="G4892" s="1077"/>
      <c r="H4892" s="1077"/>
      <c r="I4892" s="1077"/>
      <c r="J4892" s="1077"/>
      <c r="K4892" s="1077"/>
      <c r="L4892" s="1077"/>
      <c r="M4892" s="1077"/>
    </row>
    <row r="4893" spans="5:13">
      <c r="E4893" s="1077"/>
      <c r="F4893" s="1077"/>
      <c r="G4893" s="1077"/>
      <c r="H4893" s="1077"/>
      <c r="I4893" s="1077"/>
      <c r="J4893" s="1077"/>
      <c r="K4893" s="1077"/>
      <c r="L4893" s="1077"/>
      <c r="M4893" s="1077"/>
    </row>
    <row r="4894" spans="5:13">
      <c r="E4894" s="1077"/>
      <c r="F4894" s="1077"/>
      <c r="G4894" s="1077"/>
      <c r="H4894" s="1077"/>
      <c r="I4894" s="1077"/>
      <c r="J4894" s="1077"/>
      <c r="K4894" s="1077"/>
      <c r="L4894" s="1077"/>
      <c r="M4894" s="1077"/>
    </row>
    <row r="4895" spans="5:13">
      <c r="E4895" s="1077"/>
      <c r="F4895" s="1077"/>
      <c r="G4895" s="1077"/>
      <c r="H4895" s="1077"/>
      <c r="I4895" s="1077"/>
      <c r="J4895" s="1077"/>
      <c r="K4895" s="1077"/>
      <c r="L4895" s="1077"/>
      <c r="M4895" s="1077"/>
    </row>
    <row r="4896" spans="5:13">
      <c r="E4896" s="1077"/>
      <c r="F4896" s="1077"/>
      <c r="G4896" s="1077"/>
      <c r="H4896" s="1077"/>
      <c r="I4896" s="1077"/>
      <c r="J4896" s="1077"/>
      <c r="K4896" s="1077"/>
      <c r="L4896" s="1077"/>
      <c r="M4896" s="1077"/>
    </row>
    <row r="4897" spans="5:13">
      <c r="E4897" s="1077"/>
      <c r="F4897" s="1077"/>
      <c r="G4897" s="1077"/>
      <c r="H4897" s="1077"/>
      <c r="I4897" s="1077"/>
      <c r="J4897" s="1077"/>
      <c r="K4897" s="1077"/>
      <c r="L4897" s="1077"/>
      <c r="M4897" s="1077"/>
    </row>
    <row r="4898" spans="5:13">
      <c r="E4898" s="1077"/>
      <c r="F4898" s="1077"/>
      <c r="G4898" s="1077"/>
      <c r="H4898" s="1077"/>
      <c r="I4898" s="1077"/>
      <c r="J4898" s="1077"/>
      <c r="K4898" s="1077"/>
      <c r="L4898" s="1077"/>
      <c r="M4898" s="1077"/>
    </row>
    <row r="4899" spans="5:13">
      <c r="E4899" s="1077"/>
      <c r="F4899" s="1077"/>
      <c r="G4899" s="1077"/>
      <c r="H4899" s="1077"/>
      <c r="I4899" s="1077"/>
      <c r="J4899" s="1077"/>
      <c r="K4899" s="1077"/>
      <c r="L4899" s="1077"/>
      <c r="M4899" s="1077"/>
    </row>
    <row r="4900" spans="5:13">
      <c r="E4900" s="1077"/>
      <c r="F4900" s="1077"/>
      <c r="G4900" s="1077"/>
      <c r="H4900" s="1077"/>
      <c r="I4900" s="1077"/>
      <c r="J4900" s="1077"/>
      <c r="K4900" s="1077"/>
      <c r="L4900" s="1077"/>
      <c r="M4900" s="1077"/>
    </row>
    <row r="4901" spans="5:13">
      <c r="E4901" s="1077"/>
      <c r="F4901" s="1077"/>
      <c r="G4901" s="1077"/>
      <c r="H4901" s="1077"/>
      <c r="I4901" s="1077"/>
      <c r="J4901" s="1077"/>
      <c r="K4901" s="1077"/>
      <c r="L4901" s="1077"/>
      <c r="M4901" s="1077"/>
    </row>
    <row r="4902" spans="5:13">
      <c r="E4902" s="1077"/>
      <c r="F4902" s="1077"/>
      <c r="G4902" s="1077"/>
      <c r="H4902" s="1077"/>
      <c r="I4902" s="1077"/>
      <c r="J4902" s="1077"/>
      <c r="K4902" s="1077"/>
      <c r="L4902" s="1077"/>
      <c r="M4902" s="1077"/>
    </row>
    <row r="4903" spans="5:13">
      <c r="E4903" s="1077"/>
      <c r="F4903" s="1077"/>
      <c r="G4903" s="1077"/>
      <c r="H4903" s="1077"/>
      <c r="I4903" s="1077"/>
      <c r="J4903" s="1077"/>
      <c r="K4903" s="1077"/>
      <c r="L4903" s="1077"/>
      <c r="M4903" s="1077"/>
    </row>
    <row r="4904" spans="5:13">
      <c r="E4904" s="1077"/>
      <c r="F4904" s="1077"/>
      <c r="G4904" s="1077"/>
      <c r="H4904" s="1077"/>
      <c r="I4904" s="1077"/>
      <c r="J4904" s="1077"/>
      <c r="K4904" s="1077"/>
      <c r="L4904" s="1077"/>
      <c r="M4904" s="1077"/>
    </row>
    <row r="4905" spans="5:13">
      <c r="E4905" s="1077"/>
      <c r="F4905" s="1077"/>
      <c r="G4905" s="1077"/>
      <c r="H4905" s="1077"/>
      <c r="I4905" s="1077"/>
      <c r="J4905" s="1077"/>
      <c r="K4905" s="1077"/>
      <c r="L4905" s="1077"/>
      <c r="M4905" s="1077"/>
    </row>
    <row r="4906" spans="5:13">
      <c r="E4906" s="1077"/>
      <c r="F4906" s="1077"/>
      <c r="G4906" s="1077"/>
      <c r="H4906" s="1077"/>
      <c r="I4906" s="1077"/>
      <c r="J4906" s="1077"/>
      <c r="K4906" s="1077"/>
      <c r="L4906" s="1077"/>
      <c r="M4906" s="1077"/>
    </row>
    <row r="4907" spans="5:13">
      <c r="E4907" s="1077"/>
      <c r="F4907" s="1077"/>
      <c r="G4907" s="1077"/>
      <c r="H4907" s="1077"/>
      <c r="I4907" s="1077"/>
      <c r="J4907" s="1077"/>
      <c r="K4907" s="1077"/>
      <c r="L4907" s="1077"/>
      <c r="M4907" s="1077"/>
    </row>
    <row r="4908" spans="5:13">
      <c r="E4908" s="1077"/>
      <c r="F4908" s="1077"/>
      <c r="G4908" s="1077"/>
      <c r="H4908" s="1077"/>
      <c r="I4908" s="1077"/>
      <c r="J4908" s="1077"/>
      <c r="K4908" s="1077"/>
      <c r="L4908" s="1077"/>
      <c r="M4908" s="1077"/>
    </row>
    <row r="4909" spans="5:13">
      <c r="E4909" s="1077"/>
      <c r="F4909" s="1077"/>
      <c r="G4909" s="1077"/>
      <c r="H4909" s="1077"/>
      <c r="I4909" s="1077"/>
      <c r="J4909" s="1077"/>
      <c r="K4909" s="1077"/>
      <c r="L4909" s="1077"/>
      <c r="M4909" s="1077"/>
    </row>
    <row r="4910" spans="5:13">
      <c r="E4910" s="1077"/>
      <c r="F4910" s="1077"/>
      <c r="G4910" s="1077"/>
      <c r="H4910" s="1077"/>
      <c r="I4910" s="1077"/>
      <c r="J4910" s="1077"/>
      <c r="K4910" s="1077"/>
      <c r="L4910" s="1077"/>
      <c r="M4910" s="1077"/>
    </row>
    <row r="4911" spans="5:13">
      <c r="E4911" s="1077"/>
      <c r="F4911" s="1077"/>
      <c r="G4911" s="1077"/>
      <c r="H4911" s="1077"/>
      <c r="I4911" s="1077"/>
      <c r="J4911" s="1077"/>
      <c r="K4911" s="1077"/>
      <c r="L4911" s="1077"/>
      <c r="M4911" s="1077"/>
    </row>
    <row r="4912" spans="5:13">
      <c r="E4912" s="1077"/>
      <c r="F4912" s="1077"/>
      <c r="G4912" s="1077"/>
      <c r="H4912" s="1077"/>
      <c r="I4912" s="1077"/>
      <c r="J4912" s="1077"/>
      <c r="K4912" s="1077"/>
      <c r="L4912" s="1077"/>
      <c r="M4912" s="1077"/>
    </row>
    <row r="4913" spans="5:13">
      <c r="E4913" s="1077"/>
      <c r="F4913" s="1077"/>
      <c r="G4913" s="1077"/>
      <c r="H4913" s="1077"/>
      <c r="I4913" s="1077"/>
      <c r="J4913" s="1077"/>
      <c r="K4913" s="1077"/>
      <c r="L4913" s="1077"/>
      <c r="M4913" s="1077"/>
    </row>
    <row r="4914" spans="5:13">
      <c r="E4914" s="1077"/>
      <c r="F4914" s="1077"/>
      <c r="G4914" s="1077"/>
      <c r="H4914" s="1077"/>
      <c r="I4914" s="1077"/>
      <c r="J4914" s="1077"/>
      <c r="K4914" s="1077"/>
      <c r="L4914" s="1077"/>
      <c r="M4914" s="1077"/>
    </row>
    <row r="4915" spans="5:13">
      <c r="E4915" s="1077"/>
      <c r="F4915" s="1077"/>
      <c r="G4915" s="1077"/>
      <c r="H4915" s="1077"/>
      <c r="I4915" s="1077"/>
      <c r="J4915" s="1077"/>
      <c r="K4915" s="1077"/>
      <c r="L4915" s="1077"/>
      <c r="M4915" s="1077"/>
    </row>
    <row r="4916" spans="5:13">
      <c r="E4916" s="1077"/>
      <c r="F4916" s="1077"/>
      <c r="G4916" s="1077"/>
      <c r="H4916" s="1077"/>
      <c r="I4916" s="1077"/>
      <c r="J4916" s="1077"/>
      <c r="K4916" s="1077"/>
      <c r="L4916" s="1077"/>
      <c r="M4916" s="1077"/>
    </row>
    <row r="4917" spans="5:13">
      <c r="E4917" s="1077"/>
      <c r="F4917" s="1077"/>
      <c r="G4917" s="1077"/>
      <c r="H4917" s="1077"/>
      <c r="I4917" s="1077"/>
      <c r="J4917" s="1077"/>
      <c r="K4917" s="1077"/>
      <c r="L4917" s="1077"/>
      <c r="M4917" s="1077"/>
    </row>
    <row r="4918" spans="5:13">
      <c r="E4918" s="1077"/>
      <c r="F4918" s="1077"/>
      <c r="G4918" s="1077"/>
      <c r="H4918" s="1077"/>
      <c r="I4918" s="1077"/>
      <c r="J4918" s="1077"/>
      <c r="K4918" s="1077"/>
      <c r="L4918" s="1077"/>
      <c r="M4918" s="1077"/>
    </row>
    <row r="4919" spans="5:13">
      <c r="E4919" s="1077"/>
      <c r="F4919" s="1077"/>
      <c r="G4919" s="1077"/>
      <c r="H4919" s="1077"/>
      <c r="I4919" s="1077"/>
      <c r="J4919" s="1077"/>
      <c r="K4919" s="1077"/>
      <c r="L4919" s="1077"/>
      <c r="M4919" s="1077"/>
    </row>
    <row r="4920" spans="5:13">
      <c r="E4920" s="1077"/>
      <c r="F4920" s="1077"/>
      <c r="G4920" s="1077"/>
      <c r="H4920" s="1077"/>
      <c r="I4920" s="1077"/>
      <c r="J4920" s="1077"/>
      <c r="K4920" s="1077"/>
      <c r="L4920" s="1077"/>
      <c r="M4920" s="1077"/>
    </row>
    <row r="4921" spans="5:13">
      <c r="E4921" s="1077"/>
      <c r="F4921" s="1077"/>
      <c r="G4921" s="1077"/>
      <c r="H4921" s="1077"/>
      <c r="I4921" s="1077"/>
      <c r="J4921" s="1077"/>
      <c r="K4921" s="1077"/>
      <c r="L4921" s="1077"/>
      <c r="M4921" s="1077"/>
    </row>
    <row r="4922" spans="5:13">
      <c r="E4922" s="1077"/>
      <c r="F4922" s="1077"/>
      <c r="G4922" s="1077"/>
      <c r="H4922" s="1077"/>
      <c r="I4922" s="1077"/>
      <c r="J4922" s="1077"/>
      <c r="K4922" s="1077"/>
      <c r="L4922" s="1077"/>
      <c r="M4922" s="1077"/>
    </row>
    <row r="4923" spans="5:13">
      <c r="E4923" s="1077"/>
      <c r="F4923" s="1077"/>
      <c r="G4923" s="1077"/>
      <c r="H4923" s="1077"/>
      <c r="I4923" s="1077"/>
      <c r="J4923" s="1077"/>
      <c r="K4923" s="1077"/>
      <c r="L4923" s="1077"/>
      <c r="M4923" s="1077"/>
    </row>
    <row r="4924" spans="5:13">
      <c r="E4924" s="1077"/>
      <c r="F4924" s="1077"/>
      <c r="G4924" s="1077"/>
      <c r="H4924" s="1077"/>
      <c r="I4924" s="1077"/>
      <c r="J4924" s="1077"/>
      <c r="K4924" s="1077"/>
      <c r="L4924" s="1077"/>
      <c r="M4924" s="1077"/>
    </row>
    <row r="4925" spans="5:13">
      <c r="E4925" s="1077"/>
      <c r="F4925" s="1077"/>
      <c r="G4925" s="1077"/>
      <c r="H4925" s="1077"/>
      <c r="I4925" s="1077"/>
      <c r="J4925" s="1077"/>
      <c r="K4925" s="1077"/>
      <c r="L4925" s="1077"/>
      <c r="M4925" s="1077"/>
    </row>
    <row r="4926" spans="5:13">
      <c r="E4926" s="1077"/>
      <c r="F4926" s="1077"/>
      <c r="G4926" s="1077"/>
      <c r="H4926" s="1077"/>
      <c r="I4926" s="1077"/>
      <c r="J4926" s="1077"/>
      <c r="K4926" s="1077"/>
      <c r="L4926" s="1077"/>
      <c r="M4926" s="1077"/>
    </row>
    <row r="4927" spans="5:13">
      <c r="E4927" s="1077"/>
      <c r="F4927" s="1077"/>
      <c r="G4927" s="1077"/>
      <c r="H4927" s="1077"/>
      <c r="I4927" s="1077"/>
      <c r="J4927" s="1077"/>
      <c r="K4927" s="1077"/>
      <c r="L4927" s="1077"/>
      <c r="M4927" s="1077"/>
    </row>
    <row r="4928" spans="5:13">
      <c r="E4928" s="1077"/>
      <c r="F4928" s="1077"/>
      <c r="G4928" s="1077"/>
      <c r="H4928" s="1077"/>
      <c r="I4928" s="1077"/>
      <c r="J4928" s="1077"/>
      <c r="K4928" s="1077"/>
      <c r="L4928" s="1077"/>
      <c r="M4928" s="1077"/>
    </row>
    <row r="4929" spans="5:13">
      <c r="E4929" s="1077"/>
      <c r="F4929" s="1077"/>
      <c r="G4929" s="1077"/>
      <c r="H4929" s="1077"/>
      <c r="I4929" s="1077"/>
      <c r="J4929" s="1077"/>
      <c r="K4929" s="1077"/>
      <c r="L4929" s="1077"/>
      <c r="M4929" s="1077"/>
    </row>
    <row r="4930" spans="5:13">
      <c r="E4930" s="1077"/>
      <c r="F4930" s="1077"/>
      <c r="G4930" s="1077"/>
      <c r="H4930" s="1077"/>
      <c r="I4930" s="1077"/>
      <c r="J4930" s="1077"/>
      <c r="K4930" s="1077"/>
      <c r="L4930" s="1077"/>
      <c r="M4930" s="1077"/>
    </row>
    <row r="4931" spans="5:13">
      <c r="E4931" s="1077"/>
      <c r="F4931" s="1077"/>
      <c r="G4931" s="1077"/>
      <c r="H4931" s="1077"/>
      <c r="I4931" s="1077"/>
      <c r="J4931" s="1077"/>
      <c r="K4931" s="1077"/>
      <c r="L4931" s="1077"/>
      <c r="M4931" s="1077"/>
    </row>
    <row r="4932" spans="5:13">
      <c r="E4932" s="1077"/>
      <c r="F4932" s="1077"/>
      <c r="G4932" s="1077"/>
      <c r="H4932" s="1077"/>
      <c r="I4932" s="1077"/>
      <c r="J4932" s="1077"/>
      <c r="K4932" s="1077"/>
      <c r="L4932" s="1077"/>
      <c r="M4932" s="1077"/>
    </row>
    <row r="4933" spans="5:13">
      <c r="E4933" s="1077"/>
      <c r="F4933" s="1077"/>
      <c r="G4933" s="1077"/>
      <c r="H4933" s="1077"/>
      <c r="I4933" s="1077"/>
      <c r="J4933" s="1077"/>
      <c r="K4933" s="1077"/>
      <c r="L4933" s="1077"/>
      <c r="M4933" s="1077"/>
    </row>
    <row r="4934" spans="5:13">
      <c r="E4934" s="1077"/>
      <c r="F4934" s="1077"/>
      <c r="G4934" s="1077"/>
      <c r="H4934" s="1077"/>
      <c r="I4934" s="1077"/>
      <c r="J4934" s="1077"/>
      <c r="K4934" s="1077"/>
      <c r="L4934" s="1077"/>
      <c r="M4934" s="1077"/>
    </row>
    <row r="4935" spans="5:13">
      <c r="E4935" s="1077"/>
      <c r="F4935" s="1077"/>
      <c r="G4935" s="1077"/>
      <c r="H4935" s="1077"/>
      <c r="I4935" s="1077"/>
      <c r="J4935" s="1077"/>
      <c r="K4935" s="1077"/>
      <c r="L4935" s="1077"/>
      <c r="M4935" s="1077"/>
    </row>
    <row r="4936" spans="5:13">
      <c r="E4936" s="1077"/>
      <c r="F4936" s="1077"/>
      <c r="G4936" s="1077"/>
      <c r="H4936" s="1077"/>
      <c r="I4936" s="1077"/>
      <c r="J4936" s="1077"/>
      <c r="K4936" s="1077"/>
      <c r="L4936" s="1077"/>
      <c r="M4936" s="1077"/>
    </row>
    <row r="4937" spans="5:13">
      <c r="E4937" s="1077"/>
      <c r="F4937" s="1077"/>
      <c r="G4937" s="1077"/>
      <c r="H4937" s="1077"/>
      <c r="I4937" s="1077"/>
      <c r="J4937" s="1077"/>
      <c r="K4937" s="1077"/>
      <c r="L4937" s="1077"/>
      <c r="M4937" s="1077"/>
    </row>
    <row r="4938" spans="5:13">
      <c r="E4938" s="1077"/>
      <c r="F4938" s="1077"/>
      <c r="G4938" s="1077"/>
      <c r="H4938" s="1077"/>
      <c r="I4938" s="1077"/>
      <c r="J4938" s="1077"/>
      <c r="K4938" s="1077"/>
      <c r="L4938" s="1077"/>
      <c r="M4938" s="1077"/>
    </row>
    <row r="4939" spans="5:13">
      <c r="E4939" s="1077"/>
      <c r="F4939" s="1077"/>
      <c r="G4939" s="1077"/>
      <c r="H4939" s="1077"/>
      <c r="I4939" s="1077"/>
      <c r="J4939" s="1077"/>
      <c r="K4939" s="1077"/>
      <c r="L4939" s="1077"/>
      <c r="M4939" s="1077"/>
    </row>
    <row r="4940" spans="5:13">
      <c r="E4940" s="1077"/>
      <c r="F4940" s="1077"/>
      <c r="G4940" s="1077"/>
      <c r="H4940" s="1077"/>
      <c r="I4940" s="1077"/>
      <c r="J4940" s="1077"/>
      <c r="K4940" s="1077"/>
      <c r="L4940" s="1077"/>
      <c r="M4940" s="1077"/>
    </row>
    <row r="4941" spans="5:13">
      <c r="E4941" s="1077"/>
      <c r="F4941" s="1077"/>
      <c r="G4941" s="1077"/>
      <c r="H4941" s="1077"/>
      <c r="I4941" s="1077"/>
      <c r="J4941" s="1077"/>
      <c r="K4941" s="1077"/>
      <c r="L4941" s="1077"/>
      <c r="M4941" s="1077"/>
    </row>
    <row r="4942" spans="5:13">
      <c r="E4942" s="1077"/>
      <c r="F4942" s="1077"/>
      <c r="G4942" s="1077"/>
      <c r="H4942" s="1077"/>
      <c r="I4942" s="1077"/>
      <c r="J4942" s="1077"/>
      <c r="K4942" s="1077"/>
      <c r="L4942" s="1077"/>
      <c r="M4942" s="1077"/>
    </row>
    <row r="4943" spans="5:13">
      <c r="E4943" s="1077"/>
      <c r="F4943" s="1077"/>
      <c r="G4943" s="1077"/>
      <c r="H4943" s="1077"/>
      <c r="I4943" s="1077"/>
      <c r="J4943" s="1077"/>
      <c r="K4943" s="1077"/>
      <c r="L4943" s="1077"/>
      <c r="M4943" s="1077"/>
    </row>
    <row r="4944" spans="5:13">
      <c r="E4944" s="1077"/>
      <c r="F4944" s="1077"/>
      <c r="G4944" s="1077"/>
      <c r="H4944" s="1077"/>
      <c r="I4944" s="1077"/>
      <c r="J4944" s="1077"/>
      <c r="K4944" s="1077"/>
      <c r="L4944" s="1077"/>
      <c r="M4944" s="1077"/>
    </row>
    <row r="4945" spans="5:13">
      <c r="E4945" s="1077"/>
      <c r="F4945" s="1077"/>
      <c r="G4945" s="1077"/>
      <c r="H4945" s="1077"/>
      <c r="I4945" s="1077"/>
      <c r="J4945" s="1077"/>
      <c r="K4945" s="1077"/>
      <c r="L4945" s="1077"/>
      <c r="M4945" s="1077"/>
    </row>
    <row r="4946" spans="5:13">
      <c r="E4946" s="1077"/>
      <c r="F4946" s="1077"/>
      <c r="G4946" s="1077"/>
      <c r="H4946" s="1077"/>
      <c r="I4946" s="1077"/>
      <c r="J4946" s="1077"/>
      <c r="K4946" s="1077"/>
      <c r="L4946" s="1077"/>
      <c r="M4946" s="1077"/>
    </row>
    <row r="4947" spans="5:13">
      <c r="E4947" s="1077"/>
      <c r="F4947" s="1077"/>
      <c r="G4947" s="1077"/>
      <c r="H4947" s="1077"/>
      <c r="I4947" s="1077"/>
      <c r="J4947" s="1077"/>
      <c r="K4947" s="1077"/>
      <c r="L4947" s="1077"/>
      <c r="M4947" s="1077"/>
    </row>
    <row r="4948" spans="5:13">
      <c r="E4948" s="1077"/>
      <c r="F4948" s="1077"/>
      <c r="G4948" s="1077"/>
      <c r="H4948" s="1077"/>
      <c r="I4948" s="1077"/>
      <c r="J4948" s="1077"/>
      <c r="K4948" s="1077"/>
      <c r="L4948" s="1077"/>
      <c r="M4948" s="1077"/>
    </row>
    <row r="4949" spans="5:13">
      <c r="E4949" s="1077"/>
      <c r="F4949" s="1077"/>
      <c r="G4949" s="1077"/>
      <c r="H4949" s="1077"/>
      <c r="I4949" s="1077"/>
      <c r="J4949" s="1077"/>
      <c r="K4949" s="1077"/>
      <c r="L4949" s="1077"/>
      <c r="M4949" s="1077"/>
    </row>
    <row r="4950" spans="5:13">
      <c r="E4950" s="1077"/>
      <c r="F4950" s="1077"/>
      <c r="G4950" s="1077"/>
      <c r="H4950" s="1077"/>
      <c r="I4950" s="1077"/>
      <c r="J4950" s="1077"/>
      <c r="K4950" s="1077"/>
      <c r="L4950" s="1077"/>
      <c r="M4950" s="1077"/>
    </row>
    <row r="4951" spans="5:13">
      <c r="E4951" s="1077"/>
      <c r="F4951" s="1077"/>
      <c r="G4951" s="1077"/>
      <c r="H4951" s="1077"/>
      <c r="I4951" s="1077"/>
      <c r="J4951" s="1077"/>
      <c r="K4951" s="1077"/>
      <c r="L4951" s="1077"/>
      <c r="M4951" s="1077"/>
    </row>
    <row r="4952" spans="5:13">
      <c r="E4952" s="1077"/>
      <c r="F4952" s="1077"/>
      <c r="G4952" s="1077"/>
      <c r="H4952" s="1077"/>
      <c r="I4952" s="1077"/>
      <c r="J4952" s="1077"/>
      <c r="K4952" s="1077"/>
      <c r="L4952" s="1077"/>
      <c r="M4952" s="1077"/>
    </row>
    <row r="4953" spans="5:13">
      <c r="E4953" s="1077"/>
      <c r="F4953" s="1077"/>
      <c r="G4953" s="1077"/>
      <c r="H4953" s="1077"/>
      <c r="I4953" s="1077"/>
      <c r="J4953" s="1077"/>
      <c r="K4953" s="1077"/>
      <c r="L4953" s="1077"/>
      <c r="M4953" s="1077"/>
    </row>
    <row r="4954" spans="5:13">
      <c r="E4954" s="1077"/>
      <c r="F4954" s="1077"/>
      <c r="G4954" s="1077"/>
      <c r="H4954" s="1077"/>
      <c r="I4954" s="1077"/>
      <c r="J4954" s="1077"/>
      <c r="K4954" s="1077"/>
      <c r="L4954" s="1077"/>
      <c r="M4954" s="1077"/>
    </row>
    <row r="4955" spans="5:13">
      <c r="E4955" s="1077"/>
      <c r="F4955" s="1077"/>
      <c r="G4955" s="1077"/>
      <c r="H4955" s="1077"/>
      <c r="I4955" s="1077"/>
      <c r="J4955" s="1077"/>
      <c r="K4955" s="1077"/>
      <c r="L4955" s="1077"/>
      <c r="M4955" s="1077"/>
    </row>
    <row r="4956" spans="5:13">
      <c r="E4956" s="1077"/>
      <c r="F4956" s="1077"/>
      <c r="G4956" s="1077"/>
      <c r="H4956" s="1077"/>
      <c r="I4956" s="1077"/>
      <c r="J4956" s="1077"/>
      <c r="K4956" s="1077"/>
      <c r="L4956" s="1077"/>
      <c r="M4956" s="1077"/>
    </row>
    <row r="4957" spans="5:13">
      <c r="E4957" s="1077"/>
      <c r="F4957" s="1077"/>
      <c r="G4957" s="1077"/>
      <c r="H4957" s="1077"/>
      <c r="I4957" s="1077"/>
      <c r="J4957" s="1077"/>
      <c r="K4957" s="1077"/>
      <c r="L4957" s="1077"/>
      <c r="M4957" s="1077"/>
    </row>
    <row r="4958" spans="5:13">
      <c r="E4958" s="1077"/>
      <c r="F4958" s="1077"/>
      <c r="G4958" s="1077"/>
      <c r="H4958" s="1077"/>
      <c r="I4958" s="1077"/>
      <c r="J4958" s="1077"/>
      <c r="K4958" s="1077"/>
      <c r="L4958" s="1077"/>
      <c r="M4958" s="1077"/>
    </row>
    <row r="4959" spans="5:13">
      <c r="E4959" s="1077"/>
      <c r="F4959" s="1077"/>
      <c r="G4959" s="1077"/>
      <c r="H4959" s="1077"/>
      <c r="I4959" s="1077"/>
      <c r="J4959" s="1077"/>
      <c r="K4959" s="1077"/>
      <c r="L4959" s="1077"/>
      <c r="M4959" s="1077"/>
    </row>
    <row r="4960" spans="5:13">
      <c r="E4960" s="1077"/>
      <c r="F4960" s="1077"/>
      <c r="G4960" s="1077"/>
      <c r="H4960" s="1077"/>
      <c r="I4960" s="1077"/>
      <c r="J4960" s="1077"/>
      <c r="K4960" s="1077"/>
      <c r="L4960" s="1077"/>
      <c r="M4960" s="1077"/>
    </row>
    <row r="4961" spans="5:13">
      <c r="E4961" s="1077"/>
      <c r="F4961" s="1077"/>
      <c r="G4961" s="1077"/>
      <c r="H4961" s="1077"/>
      <c r="I4961" s="1077"/>
      <c r="J4961" s="1077"/>
      <c r="K4961" s="1077"/>
      <c r="L4961" s="1077"/>
      <c r="M4961" s="1077"/>
    </row>
    <row r="4962" spans="5:13">
      <c r="E4962" s="1077"/>
      <c r="F4962" s="1077"/>
      <c r="G4962" s="1077"/>
      <c r="H4962" s="1077"/>
      <c r="I4962" s="1077"/>
      <c r="J4962" s="1077"/>
      <c r="K4962" s="1077"/>
      <c r="L4962" s="1077"/>
      <c r="M4962" s="1077"/>
    </row>
    <row r="4963" spans="5:13">
      <c r="E4963" s="1077"/>
      <c r="F4963" s="1077"/>
      <c r="G4963" s="1077"/>
      <c r="H4963" s="1077"/>
      <c r="I4963" s="1077"/>
      <c r="J4963" s="1077"/>
      <c r="K4963" s="1077"/>
      <c r="L4963" s="1077"/>
      <c r="M4963" s="1077"/>
    </row>
    <row r="4964" spans="5:13">
      <c r="E4964" s="1077"/>
      <c r="F4964" s="1077"/>
      <c r="G4964" s="1077"/>
      <c r="H4964" s="1077"/>
      <c r="I4964" s="1077"/>
      <c r="J4964" s="1077"/>
      <c r="K4964" s="1077"/>
      <c r="L4964" s="1077"/>
      <c r="M4964" s="1077"/>
    </row>
    <row r="4965" spans="5:13">
      <c r="E4965" s="1077"/>
      <c r="F4965" s="1077"/>
      <c r="G4965" s="1077"/>
      <c r="H4965" s="1077"/>
      <c r="I4965" s="1077"/>
      <c r="J4965" s="1077"/>
      <c r="K4965" s="1077"/>
      <c r="L4965" s="1077"/>
      <c r="M4965" s="1077"/>
    </row>
    <row r="4966" spans="5:13">
      <c r="E4966" s="1077"/>
      <c r="F4966" s="1077"/>
      <c r="G4966" s="1077"/>
      <c r="H4966" s="1077"/>
      <c r="I4966" s="1077"/>
      <c r="J4966" s="1077"/>
      <c r="K4966" s="1077"/>
      <c r="L4966" s="1077"/>
      <c r="M4966" s="1077"/>
    </row>
    <row r="4967" spans="5:13">
      <c r="E4967" s="1077"/>
      <c r="F4967" s="1077"/>
      <c r="G4967" s="1077"/>
      <c r="H4967" s="1077"/>
      <c r="I4967" s="1077"/>
      <c r="J4967" s="1077"/>
      <c r="K4967" s="1077"/>
      <c r="L4967" s="1077"/>
      <c r="M4967" s="1077"/>
    </row>
    <row r="4968" spans="5:13">
      <c r="E4968" s="1077"/>
      <c r="F4968" s="1077"/>
      <c r="G4968" s="1077"/>
      <c r="H4968" s="1077"/>
      <c r="I4968" s="1077"/>
      <c r="J4968" s="1077"/>
      <c r="K4968" s="1077"/>
      <c r="L4968" s="1077"/>
      <c r="M4968" s="1077"/>
    </row>
    <row r="4969" spans="5:13">
      <c r="E4969" s="1077"/>
      <c r="F4969" s="1077"/>
      <c r="G4969" s="1077"/>
      <c r="H4969" s="1077"/>
      <c r="I4969" s="1077"/>
      <c r="J4969" s="1077"/>
      <c r="K4969" s="1077"/>
      <c r="L4969" s="1077"/>
      <c r="M4969" s="1077"/>
    </row>
    <row r="4970" spans="5:13">
      <c r="E4970" s="1077"/>
      <c r="F4970" s="1077"/>
      <c r="G4970" s="1077"/>
      <c r="H4970" s="1077"/>
      <c r="I4970" s="1077"/>
      <c r="J4970" s="1077"/>
      <c r="K4970" s="1077"/>
      <c r="L4970" s="1077"/>
      <c r="M4970" s="1077"/>
    </row>
    <row r="4971" spans="5:13">
      <c r="E4971" s="1077"/>
      <c r="F4971" s="1077"/>
      <c r="G4971" s="1077"/>
      <c r="H4971" s="1077"/>
      <c r="I4971" s="1077"/>
      <c r="J4971" s="1077"/>
      <c r="K4971" s="1077"/>
      <c r="L4971" s="1077"/>
      <c r="M4971" s="1077"/>
    </row>
    <row r="4972" spans="5:13">
      <c r="E4972" s="1077"/>
      <c r="F4972" s="1077"/>
      <c r="G4972" s="1077"/>
      <c r="H4972" s="1077"/>
      <c r="I4972" s="1077"/>
      <c r="J4972" s="1077"/>
      <c r="K4972" s="1077"/>
      <c r="L4972" s="1077"/>
      <c r="M4972" s="1077"/>
    </row>
    <row r="4973" spans="5:13">
      <c r="E4973" s="1077"/>
      <c r="F4973" s="1077"/>
      <c r="G4973" s="1077"/>
      <c r="H4973" s="1077"/>
      <c r="I4973" s="1077"/>
      <c r="J4973" s="1077"/>
      <c r="K4973" s="1077"/>
      <c r="L4973" s="1077"/>
      <c r="M4973" s="1077"/>
    </row>
    <row r="4974" spans="5:13">
      <c r="E4974" s="1077"/>
      <c r="F4974" s="1077"/>
      <c r="G4974" s="1077"/>
      <c r="H4974" s="1077"/>
      <c r="I4974" s="1077"/>
      <c r="J4974" s="1077"/>
      <c r="K4974" s="1077"/>
      <c r="L4974" s="1077"/>
      <c r="M4974" s="1077"/>
    </row>
    <row r="4975" spans="5:13">
      <c r="E4975" s="1077"/>
      <c r="F4975" s="1077"/>
      <c r="G4975" s="1077"/>
      <c r="H4975" s="1077"/>
      <c r="I4975" s="1077"/>
      <c r="J4975" s="1077"/>
      <c r="K4975" s="1077"/>
      <c r="L4975" s="1077"/>
      <c r="M4975" s="1077"/>
    </row>
    <row r="4976" spans="5:13">
      <c r="E4976" s="1077"/>
      <c r="F4976" s="1077"/>
      <c r="G4976" s="1077"/>
      <c r="H4976" s="1077"/>
      <c r="I4976" s="1077"/>
      <c r="J4976" s="1077"/>
      <c r="K4976" s="1077"/>
      <c r="L4976" s="1077"/>
      <c r="M4976" s="1077"/>
    </row>
    <row r="4977" spans="5:13">
      <c r="E4977" s="1077"/>
      <c r="F4977" s="1077"/>
      <c r="G4977" s="1077"/>
      <c r="H4977" s="1077"/>
      <c r="I4977" s="1077"/>
      <c r="J4977" s="1077"/>
      <c r="K4977" s="1077"/>
      <c r="L4977" s="1077"/>
      <c r="M4977" s="1077"/>
    </row>
    <row r="4978" spans="5:13">
      <c r="E4978" s="1077"/>
      <c r="F4978" s="1077"/>
      <c r="G4978" s="1077"/>
      <c r="H4978" s="1077"/>
      <c r="I4978" s="1077"/>
      <c r="J4978" s="1077"/>
      <c r="K4978" s="1077"/>
      <c r="L4978" s="1077"/>
      <c r="M4978" s="1077"/>
    </row>
    <row r="4979" spans="5:13">
      <c r="E4979" s="1077"/>
      <c r="F4979" s="1077"/>
      <c r="G4979" s="1077"/>
      <c r="H4979" s="1077"/>
      <c r="I4979" s="1077"/>
      <c r="J4979" s="1077"/>
      <c r="K4979" s="1077"/>
      <c r="L4979" s="1077"/>
      <c r="M4979" s="1077"/>
    </row>
    <row r="4980" spans="5:13">
      <c r="E4980" s="1077"/>
      <c r="F4980" s="1077"/>
      <c r="G4980" s="1077"/>
      <c r="H4980" s="1077"/>
      <c r="I4980" s="1077"/>
      <c r="J4980" s="1077"/>
      <c r="K4980" s="1077"/>
      <c r="L4980" s="1077"/>
      <c r="M4980" s="1077"/>
    </row>
    <row r="4981" spans="5:13">
      <c r="E4981" s="1077"/>
      <c r="F4981" s="1077"/>
      <c r="G4981" s="1077"/>
      <c r="H4981" s="1077"/>
      <c r="I4981" s="1077"/>
      <c r="J4981" s="1077"/>
      <c r="K4981" s="1077"/>
      <c r="L4981" s="1077"/>
      <c r="M4981" s="1077"/>
    </row>
    <row r="4982" spans="5:13">
      <c r="E4982" s="1077"/>
      <c r="F4982" s="1077"/>
      <c r="G4982" s="1077"/>
      <c r="H4982" s="1077"/>
      <c r="I4982" s="1077"/>
      <c r="J4982" s="1077"/>
      <c r="K4982" s="1077"/>
      <c r="L4982" s="1077"/>
      <c r="M4982" s="1077"/>
    </row>
    <row r="4983" spans="5:13">
      <c r="E4983" s="1077"/>
      <c r="F4983" s="1077"/>
      <c r="G4983" s="1077"/>
      <c r="H4983" s="1077"/>
      <c r="I4983" s="1077"/>
      <c r="J4983" s="1077"/>
      <c r="K4983" s="1077"/>
      <c r="L4983" s="1077"/>
      <c r="M4983" s="1077"/>
    </row>
    <row r="4984" spans="5:13">
      <c r="E4984" s="1077"/>
      <c r="F4984" s="1077"/>
      <c r="G4984" s="1077"/>
      <c r="H4984" s="1077"/>
      <c r="I4984" s="1077"/>
      <c r="J4984" s="1077"/>
      <c r="K4984" s="1077"/>
      <c r="L4984" s="1077"/>
      <c r="M4984" s="1077"/>
    </row>
    <row r="4985" spans="5:13">
      <c r="E4985" s="1077"/>
      <c r="F4985" s="1077"/>
      <c r="G4985" s="1077"/>
      <c r="H4985" s="1077"/>
      <c r="I4985" s="1077"/>
      <c r="J4985" s="1077"/>
      <c r="K4985" s="1077"/>
      <c r="L4985" s="1077"/>
      <c r="M4985" s="1077"/>
    </row>
    <row r="4986" spans="5:13">
      <c r="E4986" s="1077"/>
      <c r="F4986" s="1077"/>
      <c r="G4986" s="1077"/>
      <c r="H4986" s="1077"/>
      <c r="I4986" s="1077"/>
      <c r="J4986" s="1077"/>
      <c r="K4986" s="1077"/>
      <c r="L4986" s="1077"/>
      <c r="M4986" s="1077"/>
    </row>
    <row r="4987" spans="5:13">
      <c r="E4987" s="1077"/>
      <c r="F4987" s="1077"/>
      <c r="G4987" s="1077"/>
      <c r="H4987" s="1077"/>
      <c r="I4987" s="1077"/>
      <c r="J4987" s="1077"/>
      <c r="K4987" s="1077"/>
      <c r="L4987" s="1077"/>
      <c r="M4987" s="1077"/>
    </row>
    <row r="4988" spans="5:13">
      <c r="E4988" s="1077"/>
      <c r="F4988" s="1077"/>
      <c r="G4988" s="1077"/>
      <c r="H4988" s="1077"/>
      <c r="I4988" s="1077"/>
      <c r="J4988" s="1077"/>
      <c r="K4988" s="1077"/>
      <c r="L4988" s="1077"/>
      <c r="M4988" s="1077"/>
    </row>
    <row r="4989" spans="5:13">
      <c r="E4989" s="1077"/>
      <c r="F4989" s="1077"/>
      <c r="G4989" s="1077"/>
      <c r="H4989" s="1077"/>
      <c r="I4989" s="1077"/>
      <c r="J4989" s="1077"/>
      <c r="K4989" s="1077"/>
      <c r="L4989" s="1077"/>
      <c r="M4989" s="1077"/>
    </row>
    <row r="4990" spans="5:13">
      <c r="E4990" s="1077"/>
      <c r="F4990" s="1077"/>
      <c r="G4990" s="1077"/>
      <c r="H4990" s="1077"/>
      <c r="I4990" s="1077"/>
      <c r="J4990" s="1077"/>
      <c r="K4990" s="1077"/>
      <c r="L4990" s="1077"/>
      <c r="M4990" s="1077"/>
    </row>
    <row r="4991" spans="5:13">
      <c r="E4991" s="1077"/>
      <c r="F4991" s="1077"/>
      <c r="G4991" s="1077"/>
      <c r="H4991" s="1077"/>
      <c r="I4991" s="1077"/>
      <c r="J4991" s="1077"/>
      <c r="K4991" s="1077"/>
      <c r="L4991" s="1077"/>
      <c r="M4991" s="1077"/>
    </row>
    <row r="4992" spans="5:13">
      <c r="E4992" s="1077"/>
      <c r="F4992" s="1077"/>
      <c r="G4992" s="1077"/>
      <c r="H4992" s="1077"/>
      <c r="I4992" s="1077"/>
      <c r="J4992" s="1077"/>
      <c r="K4992" s="1077"/>
      <c r="L4992" s="1077"/>
      <c r="M4992" s="1077"/>
    </row>
    <row r="4993" spans="5:13">
      <c r="E4993" s="1077"/>
      <c r="F4993" s="1077"/>
      <c r="G4993" s="1077"/>
      <c r="H4993" s="1077"/>
      <c r="I4993" s="1077"/>
      <c r="J4993" s="1077"/>
      <c r="K4993" s="1077"/>
      <c r="L4993" s="1077"/>
      <c r="M4993" s="1077"/>
    </row>
    <row r="4994" spans="5:13">
      <c r="E4994" s="1077"/>
      <c r="F4994" s="1077"/>
      <c r="G4994" s="1077"/>
      <c r="H4994" s="1077"/>
      <c r="I4994" s="1077"/>
      <c r="J4994" s="1077"/>
      <c r="K4994" s="1077"/>
      <c r="L4994" s="1077"/>
      <c r="M4994" s="1077"/>
    </row>
    <row r="4995" spans="5:13">
      <c r="E4995" s="1077"/>
      <c r="F4995" s="1077"/>
      <c r="G4995" s="1077"/>
      <c r="H4995" s="1077"/>
      <c r="I4995" s="1077"/>
      <c r="J4995" s="1077"/>
      <c r="K4995" s="1077"/>
      <c r="L4995" s="1077"/>
      <c r="M4995" s="1077"/>
    </row>
    <row r="4996" spans="5:13">
      <c r="E4996" s="1077"/>
      <c r="F4996" s="1077"/>
      <c r="G4996" s="1077"/>
      <c r="H4996" s="1077"/>
      <c r="I4996" s="1077"/>
      <c r="J4996" s="1077"/>
      <c r="K4996" s="1077"/>
      <c r="L4996" s="1077"/>
      <c r="M4996" s="1077"/>
    </row>
    <row r="4997" spans="5:13">
      <c r="E4997" s="1077"/>
      <c r="F4997" s="1077"/>
      <c r="G4997" s="1077"/>
      <c r="H4997" s="1077"/>
      <c r="I4997" s="1077"/>
      <c r="J4997" s="1077"/>
      <c r="K4997" s="1077"/>
      <c r="L4997" s="1077"/>
      <c r="M4997" s="1077"/>
    </row>
    <row r="4998" spans="5:13">
      <c r="E4998" s="1077"/>
      <c r="F4998" s="1077"/>
      <c r="G4998" s="1077"/>
      <c r="H4998" s="1077"/>
      <c r="I4998" s="1077"/>
      <c r="J4998" s="1077"/>
      <c r="K4998" s="1077"/>
      <c r="L4998" s="1077"/>
      <c r="M4998" s="1077"/>
    </row>
    <row r="4999" spans="5:13">
      <c r="E4999" s="1077"/>
      <c r="F4999" s="1077"/>
      <c r="G4999" s="1077"/>
      <c r="H4999" s="1077"/>
      <c r="I4999" s="1077"/>
      <c r="J4999" s="1077"/>
      <c r="K4999" s="1077"/>
      <c r="L4999" s="1077"/>
      <c r="M4999" s="1077"/>
    </row>
    <row r="5000" spans="5:13">
      <c r="E5000" s="1077"/>
      <c r="F5000" s="1077"/>
      <c r="G5000" s="1077"/>
      <c r="H5000" s="1077"/>
      <c r="I5000" s="1077"/>
      <c r="J5000" s="1077"/>
      <c r="K5000" s="1077"/>
      <c r="L5000" s="1077"/>
      <c r="M5000" s="1077"/>
    </row>
    <row r="5001" spans="5:13">
      <c r="E5001" s="1077"/>
      <c r="F5001" s="1077"/>
      <c r="G5001" s="1077"/>
      <c r="H5001" s="1077"/>
      <c r="I5001" s="1077"/>
      <c r="J5001" s="1077"/>
      <c r="K5001" s="1077"/>
      <c r="L5001" s="1077"/>
      <c r="M5001" s="1077"/>
    </row>
    <row r="5002" spans="5:13">
      <c r="E5002" s="1077"/>
      <c r="F5002" s="1077"/>
      <c r="G5002" s="1077"/>
      <c r="H5002" s="1077"/>
      <c r="I5002" s="1077"/>
      <c r="J5002" s="1077"/>
      <c r="K5002" s="1077"/>
      <c r="L5002" s="1077"/>
      <c r="M5002" s="1077"/>
    </row>
    <row r="5003" spans="5:13">
      <c r="E5003" s="1077"/>
      <c r="F5003" s="1077"/>
      <c r="G5003" s="1077"/>
      <c r="H5003" s="1077"/>
      <c r="I5003" s="1077"/>
      <c r="J5003" s="1077"/>
      <c r="K5003" s="1077"/>
      <c r="L5003" s="1077"/>
      <c r="M5003" s="1077"/>
    </row>
    <row r="5004" spans="5:13">
      <c r="E5004" s="1077"/>
      <c r="F5004" s="1077"/>
      <c r="G5004" s="1077"/>
      <c r="H5004" s="1077"/>
      <c r="I5004" s="1077"/>
      <c r="J5004" s="1077"/>
      <c r="K5004" s="1077"/>
      <c r="L5004" s="1077"/>
      <c r="M5004" s="1077"/>
    </row>
    <row r="5005" spans="5:13">
      <c r="E5005" s="1077"/>
      <c r="F5005" s="1077"/>
      <c r="G5005" s="1077"/>
      <c r="H5005" s="1077"/>
      <c r="I5005" s="1077"/>
      <c r="J5005" s="1077"/>
      <c r="K5005" s="1077"/>
      <c r="L5005" s="1077"/>
      <c r="M5005" s="1077"/>
    </row>
    <row r="5006" spans="5:13">
      <c r="E5006" s="1077"/>
      <c r="F5006" s="1077"/>
      <c r="G5006" s="1077"/>
      <c r="H5006" s="1077"/>
      <c r="I5006" s="1077"/>
      <c r="J5006" s="1077"/>
      <c r="K5006" s="1077"/>
      <c r="L5006" s="1077"/>
      <c r="M5006" s="1077"/>
    </row>
    <row r="5007" spans="5:13">
      <c r="E5007" s="1077"/>
      <c r="F5007" s="1077"/>
      <c r="G5007" s="1077"/>
      <c r="H5007" s="1077"/>
      <c r="I5007" s="1077"/>
      <c r="J5007" s="1077"/>
      <c r="K5007" s="1077"/>
      <c r="L5007" s="1077"/>
      <c r="M5007" s="1077"/>
    </row>
    <row r="5008" spans="5:13">
      <c r="E5008" s="1077"/>
      <c r="F5008" s="1077"/>
      <c r="G5008" s="1077"/>
      <c r="H5008" s="1077"/>
      <c r="I5008" s="1077"/>
      <c r="J5008" s="1077"/>
      <c r="K5008" s="1077"/>
      <c r="L5008" s="1077"/>
      <c r="M5008" s="1077"/>
    </row>
    <row r="5009" spans="5:13">
      <c r="E5009" s="1077"/>
      <c r="F5009" s="1077"/>
      <c r="G5009" s="1077"/>
      <c r="H5009" s="1077"/>
      <c r="I5009" s="1077"/>
      <c r="J5009" s="1077"/>
      <c r="K5009" s="1077"/>
      <c r="L5009" s="1077"/>
      <c r="M5009" s="1077"/>
    </row>
    <row r="5010" spans="5:13">
      <c r="E5010" s="1077"/>
      <c r="F5010" s="1077"/>
      <c r="G5010" s="1077"/>
      <c r="H5010" s="1077"/>
      <c r="I5010" s="1077"/>
      <c r="J5010" s="1077"/>
      <c r="K5010" s="1077"/>
      <c r="L5010" s="1077"/>
      <c r="M5010" s="1077"/>
    </row>
    <row r="5011" spans="5:13">
      <c r="E5011" s="1077"/>
      <c r="F5011" s="1077"/>
      <c r="G5011" s="1077"/>
      <c r="H5011" s="1077"/>
      <c r="I5011" s="1077"/>
      <c r="J5011" s="1077"/>
      <c r="K5011" s="1077"/>
      <c r="L5011" s="1077"/>
      <c r="M5011" s="1077"/>
    </row>
    <row r="5012" spans="5:13">
      <c r="E5012" s="1077"/>
      <c r="F5012" s="1077"/>
      <c r="G5012" s="1077"/>
      <c r="H5012" s="1077"/>
      <c r="I5012" s="1077"/>
      <c r="J5012" s="1077"/>
      <c r="K5012" s="1077"/>
      <c r="L5012" s="1077"/>
      <c r="M5012" s="1077"/>
    </row>
    <row r="5013" spans="5:13">
      <c r="E5013" s="1077"/>
      <c r="F5013" s="1077"/>
      <c r="G5013" s="1077"/>
      <c r="H5013" s="1077"/>
      <c r="I5013" s="1077"/>
      <c r="J5013" s="1077"/>
      <c r="K5013" s="1077"/>
      <c r="L5013" s="1077"/>
      <c r="M5013" s="1077"/>
    </row>
    <row r="5014" spans="5:13">
      <c r="E5014" s="1077"/>
      <c r="F5014" s="1077"/>
      <c r="G5014" s="1077"/>
      <c r="H5014" s="1077"/>
      <c r="I5014" s="1077"/>
      <c r="J5014" s="1077"/>
      <c r="K5014" s="1077"/>
      <c r="L5014" s="1077"/>
      <c r="M5014" s="1077"/>
    </row>
    <row r="5015" spans="5:13">
      <c r="E5015" s="1077"/>
      <c r="F5015" s="1077"/>
      <c r="G5015" s="1077"/>
      <c r="H5015" s="1077"/>
      <c r="I5015" s="1077"/>
      <c r="J5015" s="1077"/>
      <c r="K5015" s="1077"/>
      <c r="L5015" s="1077"/>
      <c r="M5015" s="1077"/>
    </row>
    <row r="5016" spans="5:13">
      <c r="E5016" s="1077"/>
      <c r="F5016" s="1077"/>
      <c r="G5016" s="1077"/>
      <c r="H5016" s="1077"/>
      <c r="I5016" s="1077"/>
      <c r="J5016" s="1077"/>
      <c r="K5016" s="1077"/>
      <c r="L5016" s="1077"/>
      <c r="M5016" s="1077"/>
    </row>
    <row r="5017" spans="5:13">
      <c r="E5017" s="1077"/>
      <c r="F5017" s="1077"/>
      <c r="G5017" s="1077"/>
      <c r="H5017" s="1077"/>
      <c r="I5017" s="1077"/>
      <c r="J5017" s="1077"/>
      <c r="K5017" s="1077"/>
      <c r="L5017" s="1077"/>
      <c r="M5017" s="1077"/>
    </row>
    <row r="5018" spans="5:13">
      <c r="E5018" s="1077"/>
      <c r="F5018" s="1077"/>
      <c r="G5018" s="1077"/>
      <c r="H5018" s="1077"/>
      <c r="I5018" s="1077"/>
      <c r="J5018" s="1077"/>
      <c r="K5018" s="1077"/>
      <c r="L5018" s="1077"/>
      <c r="M5018" s="1077"/>
    </row>
    <row r="5019" spans="5:13">
      <c r="E5019" s="1077"/>
      <c r="F5019" s="1077"/>
      <c r="G5019" s="1077"/>
      <c r="H5019" s="1077"/>
      <c r="I5019" s="1077"/>
      <c r="J5019" s="1077"/>
      <c r="K5019" s="1077"/>
      <c r="L5019" s="1077"/>
      <c r="M5019" s="1077"/>
    </row>
    <row r="5020" spans="5:13">
      <c r="E5020" s="1077"/>
      <c r="F5020" s="1077"/>
      <c r="G5020" s="1077"/>
      <c r="H5020" s="1077"/>
      <c r="I5020" s="1077"/>
      <c r="J5020" s="1077"/>
      <c r="K5020" s="1077"/>
      <c r="L5020" s="1077"/>
      <c r="M5020" s="1077"/>
    </row>
    <row r="5021" spans="5:13">
      <c r="E5021" s="1077"/>
      <c r="F5021" s="1077"/>
      <c r="G5021" s="1077"/>
      <c r="H5021" s="1077"/>
      <c r="I5021" s="1077"/>
      <c r="J5021" s="1077"/>
      <c r="K5021" s="1077"/>
      <c r="L5021" s="1077"/>
      <c r="M5021" s="1077"/>
    </row>
    <row r="5022" spans="5:13">
      <c r="E5022" s="1077"/>
      <c r="F5022" s="1077"/>
      <c r="G5022" s="1077"/>
      <c r="H5022" s="1077"/>
      <c r="I5022" s="1077"/>
      <c r="J5022" s="1077"/>
      <c r="K5022" s="1077"/>
      <c r="L5022" s="1077"/>
      <c r="M5022" s="1077"/>
    </row>
    <row r="5023" spans="5:13">
      <c r="E5023" s="1077"/>
      <c r="F5023" s="1077"/>
      <c r="G5023" s="1077"/>
      <c r="H5023" s="1077"/>
      <c r="I5023" s="1077"/>
      <c r="J5023" s="1077"/>
      <c r="K5023" s="1077"/>
      <c r="L5023" s="1077"/>
      <c r="M5023" s="1077"/>
    </row>
    <row r="5024" spans="5:13">
      <c r="E5024" s="1077"/>
      <c r="F5024" s="1077"/>
      <c r="G5024" s="1077"/>
      <c r="H5024" s="1077"/>
      <c r="I5024" s="1077"/>
      <c r="J5024" s="1077"/>
      <c r="K5024" s="1077"/>
      <c r="L5024" s="1077"/>
      <c r="M5024" s="1077"/>
    </row>
    <row r="5025" spans="5:13">
      <c r="E5025" s="1077"/>
      <c r="F5025" s="1077"/>
      <c r="G5025" s="1077"/>
      <c r="H5025" s="1077"/>
      <c r="I5025" s="1077"/>
      <c r="J5025" s="1077"/>
      <c r="K5025" s="1077"/>
      <c r="L5025" s="1077"/>
      <c r="M5025" s="1077"/>
    </row>
    <row r="5026" spans="5:13">
      <c r="E5026" s="1077"/>
      <c r="F5026" s="1077"/>
      <c r="G5026" s="1077"/>
      <c r="H5026" s="1077"/>
      <c r="I5026" s="1077"/>
      <c r="J5026" s="1077"/>
      <c r="K5026" s="1077"/>
      <c r="L5026" s="1077"/>
      <c r="M5026" s="1077"/>
    </row>
    <row r="5027" spans="5:13">
      <c r="E5027" s="1077"/>
      <c r="F5027" s="1077"/>
      <c r="G5027" s="1077"/>
      <c r="H5027" s="1077"/>
      <c r="I5027" s="1077"/>
      <c r="J5027" s="1077"/>
      <c r="K5027" s="1077"/>
      <c r="L5027" s="1077"/>
      <c r="M5027" s="1077"/>
    </row>
    <row r="5028" spans="5:13">
      <c r="E5028" s="1077"/>
      <c r="F5028" s="1077"/>
      <c r="G5028" s="1077"/>
      <c r="H5028" s="1077"/>
      <c r="I5028" s="1077"/>
      <c r="J5028" s="1077"/>
      <c r="K5028" s="1077"/>
      <c r="L5028" s="1077"/>
      <c r="M5028" s="1077"/>
    </row>
    <row r="5029" spans="5:13">
      <c r="E5029" s="1077"/>
      <c r="F5029" s="1077"/>
      <c r="G5029" s="1077"/>
      <c r="H5029" s="1077"/>
      <c r="I5029" s="1077"/>
      <c r="J5029" s="1077"/>
      <c r="K5029" s="1077"/>
      <c r="L5029" s="1077"/>
      <c r="M5029" s="1077"/>
    </row>
    <row r="5030" spans="5:13">
      <c r="E5030" s="1077"/>
      <c r="F5030" s="1077"/>
      <c r="G5030" s="1077"/>
      <c r="H5030" s="1077"/>
      <c r="I5030" s="1077"/>
      <c r="J5030" s="1077"/>
      <c r="K5030" s="1077"/>
      <c r="L5030" s="1077"/>
      <c r="M5030" s="1077"/>
    </row>
    <row r="5031" spans="5:13">
      <c r="E5031" s="1077"/>
      <c r="F5031" s="1077"/>
      <c r="G5031" s="1077"/>
      <c r="H5031" s="1077"/>
      <c r="I5031" s="1077"/>
      <c r="J5031" s="1077"/>
      <c r="K5031" s="1077"/>
      <c r="L5031" s="1077"/>
      <c r="M5031" s="1077"/>
    </row>
    <row r="5032" spans="5:13">
      <c r="E5032" s="1077"/>
      <c r="F5032" s="1077"/>
      <c r="G5032" s="1077"/>
      <c r="H5032" s="1077"/>
      <c r="I5032" s="1077"/>
      <c r="J5032" s="1077"/>
      <c r="K5032" s="1077"/>
      <c r="L5032" s="1077"/>
      <c r="M5032" s="1077"/>
    </row>
    <row r="5033" spans="5:13">
      <c r="E5033" s="1077"/>
      <c r="F5033" s="1077"/>
      <c r="G5033" s="1077"/>
      <c r="H5033" s="1077"/>
      <c r="I5033" s="1077"/>
      <c r="J5033" s="1077"/>
      <c r="K5033" s="1077"/>
      <c r="L5033" s="1077"/>
      <c r="M5033" s="1077"/>
    </row>
    <row r="5034" spans="5:13">
      <c r="E5034" s="1077"/>
      <c r="F5034" s="1077"/>
      <c r="G5034" s="1077"/>
      <c r="H5034" s="1077"/>
      <c r="I5034" s="1077"/>
      <c r="J5034" s="1077"/>
      <c r="K5034" s="1077"/>
      <c r="L5034" s="1077"/>
      <c r="M5034" s="1077"/>
    </row>
    <row r="5035" spans="5:13">
      <c r="E5035" s="1077"/>
      <c r="F5035" s="1077"/>
      <c r="G5035" s="1077"/>
      <c r="H5035" s="1077"/>
      <c r="I5035" s="1077"/>
      <c r="J5035" s="1077"/>
      <c r="K5035" s="1077"/>
      <c r="L5035" s="1077"/>
      <c r="M5035" s="1077"/>
    </row>
    <row r="5036" spans="5:13">
      <c r="E5036" s="1077"/>
      <c r="F5036" s="1077"/>
      <c r="G5036" s="1077"/>
      <c r="H5036" s="1077"/>
      <c r="I5036" s="1077"/>
      <c r="J5036" s="1077"/>
      <c r="K5036" s="1077"/>
      <c r="L5036" s="1077"/>
      <c r="M5036" s="1077"/>
    </row>
    <row r="5037" spans="5:13">
      <c r="E5037" s="1077"/>
      <c r="F5037" s="1077"/>
      <c r="G5037" s="1077"/>
      <c r="H5037" s="1077"/>
      <c r="I5037" s="1077"/>
      <c r="J5037" s="1077"/>
      <c r="K5037" s="1077"/>
      <c r="L5037" s="1077"/>
      <c r="M5037" s="1077"/>
    </row>
    <row r="5038" spans="5:13">
      <c r="E5038" s="1077"/>
      <c r="F5038" s="1077"/>
      <c r="G5038" s="1077"/>
      <c r="H5038" s="1077"/>
      <c r="I5038" s="1077"/>
      <c r="J5038" s="1077"/>
      <c r="K5038" s="1077"/>
      <c r="L5038" s="1077"/>
      <c r="M5038" s="1077"/>
    </row>
    <row r="5039" spans="5:13">
      <c r="E5039" s="1077"/>
      <c r="F5039" s="1077"/>
      <c r="G5039" s="1077"/>
      <c r="H5039" s="1077"/>
      <c r="I5039" s="1077"/>
      <c r="J5039" s="1077"/>
      <c r="K5039" s="1077"/>
      <c r="L5039" s="1077"/>
      <c r="M5039" s="1077"/>
    </row>
    <row r="5040" spans="5:13">
      <c r="E5040" s="1077"/>
      <c r="F5040" s="1077"/>
      <c r="G5040" s="1077"/>
      <c r="H5040" s="1077"/>
      <c r="I5040" s="1077"/>
      <c r="J5040" s="1077"/>
      <c r="K5040" s="1077"/>
      <c r="L5040" s="1077"/>
      <c r="M5040" s="1077"/>
    </row>
    <row r="5041" spans="5:13">
      <c r="E5041" s="1077"/>
      <c r="F5041" s="1077"/>
      <c r="G5041" s="1077"/>
      <c r="H5041" s="1077"/>
      <c r="I5041" s="1077"/>
      <c r="J5041" s="1077"/>
      <c r="K5041" s="1077"/>
      <c r="L5041" s="1077"/>
      <c r="M5041" s="1077"/>
    </row>
    <row r="5042" spans="5:13">
      <c r="E5042" s="1077"/>
      <c r="F5042" s="1077"/>
      <c r="G5042" s="1077"/>
      <c r="H5042" s="1077"/>
      <c r="I5042" s="1077"/>
      <c r="J5042" s="1077"/>
      <c r="K5042" s="1077"/>
      <c r="L5042" s="1077"/>
      <c r="M5042" s="1077"/>
    </row>
    <row r="5043" spans="5:13">
      <c r="E5043" s="1077"/>
      <c r="F5043" s="1077"/>
      <c r="G5043" s="1077"/>
      <c r="H5043" s="1077"/>
      <c r="I5043" s="1077"/>
      <c r="J5043" s="1077"/>
      <c r="K5043" s="1077"/>
      <c r="L5043" s="1077"/>
      <c r="M5043" s="1077"/>
    </row>
    <row r="5044" spans="5:13">
      <c r="E5044" s="1077"/>
      <c r="F5044" s="1077"/>
      <c r="G5044" s="1077"/>
      <c r="H5044" s="1077"/>
      <c r="I5044" s="1077"/>
      <c r="J5044" s="1077"/>
      <c r="K5044" s="1077"/>
      <c r="L5044" s="1077"/>
      <c r="M5044" s="1077"/>
    </row>
    <row r="5045" spans="5:13">
      <c r="E5045" s="1077"/>
      <c r="F5045" s="1077"/>
      <c r="G5045" s="1077"/>
      <c r="H5045" s="1077"/>
      <c r="I5045" s="1077"/>
      <c r="J5045" s="1077"/>
      <c r="K5045" s="1077"/>
      <c r="L5045" s="1077"/>
      <c r="M5045" s="1077"/>
    </row>
    <row r="5046" spans="5:13">
      <c r="E5046" s="1077"/>
      <c r="F5046" s="1077"/>
      <c r="G5046" s="1077"/>
      <c r="H5046" s="1077"/>
      <c r="I5046" s="1077"/>
      <c r="J5046" s="1077"/>
      <c r="K5046" s="1077"/>
      <c r="L5046" s="1077"/>
      <c r="M5046" s="1077"/>
    </row>
    <row r="5047" spans="5:13">
      <c r="E5047" s="1077"/>
      <c r="F5047" s="1077"/>
      <c r="G5047" s="1077"/>
      <c r="H5047" s="1077"/>
      <c r="I5047" s="1077"/>
      <c r="J5047" s="1077"/>
      <c r="K5047" s="1077"/>
      <c r="L5047" s="1077"/>
      <c r="M5047" s="1077"/>
    </row>
    <row r="5048" spans="5:13">
      <c r="E5048" s="1077"/>
      <c r="F5048" s="1077"/>
      <c r="G5048" s="1077"/>
      <c r="H5048" s="1077"/>
      <c r="I5048" s="1077"/>
      <c r="J5048" s="1077"/>
      <c r="K5048" s="1077"/>
      <c r="L5048" s="1077"/>
      <c r="M5048" s="1077"/>
    </row>
    <row r="5049" spans="5:13">
      <c r="E5049" s="1077"/>
      <c r="F5049" s="1077"/>
      <c r="G5049" s="1077"/>
      <c r="H5049" s="1077"/>
      <c r="I5049" s="1077"/>
      <c r="J5049" s="1077"/>
      <c r="K5049" s="1077"/>
      <c r="L5049" s="1077"/>
      <c r="M5049" s="1077"/>
    </row>
    <row r="5050" spans="5:13">
      <c r="E5050" s="1077"/>
      <c r="F5050" s="1077"/>
      <c r="G5050" s="1077"/>
      <c r="H5050" s="1077"/>
      <c r="I5050" s="1077"/>
      <c r="J5050" s="1077"/>
      <c r="K5050" s="1077"/>
      <c r="L5050" s="1077"/>
      <c r="M5050" s="1077"/>
    </row>
    <row r="5051" spans="5:13">
      <c r="E5051" s="1077"/>
      <c r="F5051" s="1077"/>
      <c r="G5051" s="1077"/>
      <c r="H5051" s="1077"/>
      <c r="I5051" s="1077"/>
      <c r="J5051" s="1077"/>
      <c r="K5051" s="1077"/>
      <c r="L5051" s="1077"/>
      <c r="M5051" s="1077"/>
    </row>
    <row r="5052" spans="5:13">
      <c r="E5052" s="1077"/>
      <c r="F5052" s="1077"/>
      <c r="G5052" s="1077"/>
      <c r="H5052" s="1077"/>
      <c r="I5052" s="1077"/>
      <c r="J5052" s="1077"/>
      <c r="K5052" s="1077"/>
      <c r="L5052" s="1077"/>
      <c r="M5052" s="1077"/>
    </row>
    <row r="5053" spans="5:13">
      <c r="E5053" s="1077"/>
      <c r="F5053" s="1077"/>
      <c r="G5053" s="1077"/>
      <c r="H5053" s="1077"/>
      <c r="I5053" s="1077"/>
      <c r="J5053" s="1077"/>
      <c r="K5053" s="1077"/>
      <c r="L5053" s="1077"/>
      <c r="M5053" s="1077"/>
    </row>
    <row r="5054" spans="5:13">
      <c r="E5054" s="1077"/>
      <c r="F5054" s="1077"/>
      <c r="G5054" s="1077"/>
      <c r="H5054" s="1077"/>
      <c r="I5054" s="1077"/>
      <c r="J5054" s="1077"/>
      <c r="K5054" s="1077"/>
      <c r="L5054" s="1077"/>
      <c r="M5054" s="1077"/>
    </row>
    <row r="5055" spans="5:13">
      <c r="E5055" s="1077"/>
      <c r="F5055" s="1077"/>
      <c r="G5055" s="1077"/>
      <c r="H5055" s="1077"/>
      <c r="I5055" s="1077"/>
      <c r="J5055" s="1077"/>
      <c r="K5055" s="1077"/>
      <c r="L5055" s="1077"/>
      <c r="M5055" s="1077"/>
    </row>
    <row r="5056" spans="5:13">
      <c r="E5056" s="1077"/>
      <c r="F5056" s="1077"/>
      <c r="G5056" s="1077"/>
      <c r="H5056" s="1077"/>
      <c r="I5056" s="1077"/>
      <c r="J5056" s="1077"/>
      <c r="K5056" s="1077"/>
      <c r="L5056" s="1077"/>
      <c r="M5056" s="1077"/>
    </row>
    <row r="5057" spans="5:13">
      <c r="E5057" s="1077"/>
      <c r="F5057" s="1077"/>
      <c r="G5057" s="1077"/>
      <c r="H5057" s="1077"/>
      <c r="I5057" s="1077"/>
      <c r="J5057" s="1077"/>
      <c r="K5057" s="1077"/>
      <c r="L5057" s="1077"/>
      <c r="M5057" s="1077"/>
    </row>
    <row r="5058" spans="5:13">
      <c r="E5058" s="1077"/>
      <c r="F5058" s="1077"/>
      <c r="G5058" s="1077"/>
      <c r="H5058" s="1077"/>
      <c r="I5058" s="1077"/>
      <c r="J5058" s="1077"/>
      <c r="K5058" s="1077"/>
      <c r="L5058" s="1077"/>
      <c r="M5058" s="1077"/>
    </row>
    <row r="5059" spans="5:13">
      <c r="E5059" s="1077"/>
      <c r="F5059" s="1077"/>
      <c r="G5059" s="1077"/>
      <c r="H5059" s="1077"/>
      <c r="I5059" s="1077"/>
      <c r="J5059" s="1077"/>
      <c r="K5059" s="1077"/>
      <c r="L5059" s="1077"/>
      <c r="M5059" s="1077"/>
    </row>
    <row r="5060" spans="5:13">
      <c r="E5060" s="1077"/>
      <c r="F5060" s="1077"/>
      <c r="G5060" s="1077"/>
      <c r="H5060" s="1077"/>
      <c r="I5060" s="1077"/>
      <c r="J5060" s="1077"/>
      <c r="K5060" s="1077"/>
      <c r="L5060" s="1077"/>
      <c r="M5060" s="1077"/>
    </row>
    <row r="5061" spans="5:13">
      <c r="E5061" s="1077"/>
      <c r="F5061" s="1077"/>
      <c r="G5061" s="1077"/>
      <c r="H5061" s="1077"/>
      <c r="I5061" s="1077"/>
      <c r="J5061" s="1077"/>
      <c r="K5061" s="1077"/>
      <c r="L5061" s="1077"/>
      <c r="M5061" s="1077"/>
    </row>
    <row r="5062" spans="5:13">
      <c r="E5062" s="1077"/>
      <c r="F5062" s="1077"/>
      <c r="G5062" s="1077"/>
      <c r="H5062" s="1077"/>
      <c r="I5062" s="1077"/>
      <c r="J5062" s="1077"/>
      <c r="K5062" s="1077"/>
      <c r="L5062" s="1077"/>
      <c r="M5062" s="1077"/>
    </row>
    <row r="5063" spans="5:13">
      <c r="E5063" s="1077"/>
      <c r="F5063" s="1077"/>
      <c r="G5063" s="1077"/>
      <c r="H5063" s="1077"/>
      <c r="I5063" s="1077"/>
      <c r="J5063" s="1077"/>
      <c r="K5063" s="1077"/>
      <c r="L5063" s="1077"/>
      <c r="M5063" s="1077"/>
    </row>
    <row r="5064" spans="5:13">
      <c r="E5064" s="1077"/>
      <c r="F5064" s="1077"/>
      <c r="G5064" s="1077"/>
      <c r="H5064" s="1077"/>
      <c r="I5064" s="1077"/>
      <c r="J5064" s="1077"/>
      <c r="K5064" s="1077"/>
      <c r="L5064" s="1077"/>
      <c r="M5064" s="1077"/>
    </row>
    <row r="5065" spans="5:13">
      <c r="E5065" s="1077"/>
      <c r="F5065" s="1077"/>
      <c r="G5065" s="1077"/>
      <c r="H5065" s="1077"/>
      <c r="I5065" s="1077"/>
      <c r="J5065" s="1077"/>
      <c r="K5065" s="1077"/>
      <c r="L5065" s="1077"/>
      <c r="M5065" s="1077"/>
    </row>
    <row r="5066" spans="5:13">
      <c r="E5066" s="1077"/>
      <c r="F5066" s="1077"/>
      <c r="G5066" s="1077"/>
      <c r="H5066" s="1077"/>
      <c r="I5066" s="1077"/>
      <c r="J5066" s="1077"/>
      <c r="K5066" s="1077"/>
      <c r="L5066" s="1077"/>
      <c r="M5066" s="1077"/>
    </row>
    <row r="5067" spans="5:13">
      <c r="E5067" s="1077"/>
      <c r="F5067" s="1077"/>
      <c r="G5067" s="1077"/>
      <c r="H5067" s="1077"/>
      <c r="I5067" s="1077"/>
      <c r="J5067" s="1077"/>
      <c r="K5067" s="1077"/>
      <c r="L5067" s="1077"/>
      <c r="M5067" s="1077"/>
    </row>
    <row r="5068" spans="5:13">
      <c r="E5068" s="1077"/>
      <c r="F5068" s="1077"/>
      <c r="G5068" s="1077"/>
      <c r="H5068" s="1077"/>
      <c r="I5068" s="1077"/>
      <c r="J5068" s="1077"/>
      <c r="K5068" s="1077"/>
      <c r="L5068" s="1077"/>
      <c r="M5068" s="1077"/>
    </row>
    <row r="5069" spans="5:13">
      <c r="E5069" s="1077"/>
      <c r="F5069" s="1077"/>
      <c r="G5069" s="1077"/>
      <c r="H5069" s="1077"/>
      <c r="I5069" s="1077"/>
      <c r="J5069" s="1077"/>
      <c r="K5069" s="1077"/>
      <c r="L5069" s="1077"/>
      <c r="M5069" s="1077"/>
    </row>
    <row r="5070" spans="5:13">
      <c r="E5070" s="1077"/>
      <c r="F5070" s="1077"/>
      <c r="G5070" s="1077"/>
      <c r="H5070" s="1077"/>
      <c r="I5070" s="1077"/>
      <c r="J5070" s="1077"/>
      <c r="K5070" s="1077"/>
      <c r="L5070" s="1077"/>
      <c r="M5070" s="1077"/>
    </row>
    <row r="5071" spans="5:13">
      <c r="E5071" s="1077"/>
      <c r="F5071" s="1077"/>
      <c r="G5071" s="1077"/>
      <c r="H5071" s="1077"/>
      <c r="I5071" s="1077"/>
      <c r="J5071" s="1077"/>
      <c r="K5071" s="1077"/>
      <c r="L5071" s="1077"/>
      <c r="M5071" s="1077"/>
    </row>
    <row r="5072" spans="5:13">
      <c r="E5072" s="1077"/>
      <c r="F5072" s="1077"/>
      <c r="G5072" s="1077"/>
      <c r="H5072" s="1077"/>
      <c r="I5072" s="1077"/>
      <c r="J5072" s="1077"/>
      <c r="K5072" s="1077"/>
      <c r="L5072" s="1077"/>
      <c r="M5072" s="1077"/>
    </row>
    <row r="5073" spans="5:13">
      <c r="E5073" s="1077"/>
      <c r="F5073" s="1077"/>
      <c r="G5073" s="1077"/>
      <c r="H5073" s="1077"/>
      <c r="I5073" s="1077"/>
      <c r="J5073" s="1077"/>
      <c r="K5073" s="1077"/>
      <c r="L5073" s="1077"/>
      <c r="M5073" s="1077"/>
    </row>
    <row r="5074" spans="5:13">
      <c r="E5074" s="1077"/>
      <c r="F5074" s="1077"/>
      <c r="G5074" s="1077"/>
      <c r="H5074" s="1077"/>
      <c r="I5074" s="1077"/>
      <c r="J5074" s="1077"/>
      <c r="K5074" s="1077"/>
      <c r="L5074" s="1077"/>
      <c r="M5074" s="1077"/>
    </row>
    <row r="5075" spans="5:13">
      <c r="E5075" s="1077"/>
      <c r="F5075" s="1077"/>
      <c r="G5075" s="1077"/>
      <c r="H5075" s="1077"/>
      <c r="I5075" s="1077"/>
      <c r="J5075" s="1077"/>
      <c r="K5075" s="1077"/>
      <c r="L5075" s="1077"/>
      <c r="M5075" s="1077"/>
    </row>
    <row r="5076" spans="5:13">
      <c r="E5076" s="1077"/>
      <c r="F5076" s="1077"/>
      <c r="G5076" s="1077"/>
      <c r="H5076" s="1077"/>
      <c r="I5076" s="1077"/>
      <c r="J5076" s="1077"/>
      <c r="K5076" s="1077"/>
      <c r="L5076" s="1077"/>
      <c r="M5076" s="1077"/>
    </row>
    <row r="5077" spans="5:13">
      <c r="E5077" s="1077"/>
      <c r="F5077" s="1077"/>
      <c r="G5077" s="1077"/>
      <c r="H5077" s="1077"/>
      <c r="I5077" s="1077"/>
      <c r="J5077" s="1077"/>
      <c r="K5077" s="1077"/>
      <c r="L5077" s="1077"/>
      <c r="M5077" s="1077"/>
    </row>
    <row r="5078" spans="5:13">
      <c r="E5078" s="1077"/>
      <c r="F5078" s="1077"/>
      <c r="G5078" s="1077"/>
      <c r="H5078" s="1077"/>
      <c r="I5078" s="1077"/>
      <c r="J5078" s="1077"/>
      <c r="K5078" s="1077"/>
      <c r="L5078" s="1077"/>
      <c r="M5078" s="1077"/>
    </row>
    <row r="5079" spans="5:13">
      <c r="E5079" s="1077"/>
      <c r="F5079" s="1077"/>
      <c r="G5079" s="1077"/>
      <c r="H5079" s="1077"/>
      <c r="I5079" s="1077"/>
      <c r="J5079" s="1077"/>
      <c r="K5079" s="1077"/>
      <c r="L5079" s="1077"/>
      <c r="M5079" s="1077"/>
    </row>
    <row r="5080" spans="5:13">
      <c r="E5080" s="1077"/>
      <c r="F5080" s="1077"/>
      <c r="G5080" s="1077"/>
      <c r="H5080" s="1077"/>
      <c r="I5080" s="1077"/>
      <c r="J5080" s="1077"/>
      <c r="K5080" s="1077"/>
      <c r="L5080" s="1077"/>
      <c r="M5080" s="1077"/>
    </row>
    <row r="5081" spans="5:13">
      <c r="E5081" s="1077"/>
      <c r="F5081" s="1077"/>
      <c r="G5081" s="1077"/>
      <c r="H5081" s="1077"/>
      <c r="I5081" s="1077"/>
      <c r="J5081" s="1077"/>
      <c r="K5081" s="1077"/>
      <c r="L5081" s="1077"/>
      <c r="M5081" s="1077"/>
    </row>
    <row r="5082" spans="5:13">
      <c r="E5082" s="1077"/>
      <c r="F5082" s="1077"/>
      <c r="G5082" s="1077"/>
      <c r="H5082" s="1077"/>
      <c r="I5082" s="1077"/>
      <c r="J5082" s="1077"/>
      <c r="K5082" s="1077"/>
      <c r="L5082" s="1077"/>
      <c r="M5082" s="1077"/>
    </row>
    <row r="5083" spans="5:13">
      <c r="E5083" s="1077"/>
      <c r="F5083" s="1077"/>
      <c r="G5083" s="1077"/>
      <c r="H5083" s="1077"/>
      <c r="I5083" s="1077"/>
      <c r="J5083" s="1077"/>
      <c r="K5083" s="1077"/>
      <c r="L5083" s="1077"/>
      <c r="M5083" s="1077"/>
    </row>
    <row r="5084" spans="5:13">
      <c r="E5084" s="1077"/>
      <c r="F5084" s="1077"/>
      <c r="G5084" s="1077"/>
      <c r="H5084" s="1077"/>
      <c r="I5084" s="1077"/>
      <c r="J5084" s="1077"/>
      <c r="K5084" s="1077"/>
      <c r="L5084" s="1077"/>
      <c r="M5084" s="1077"/>
    </row>
    <row r="5085" spans="5:13">
      <c r="E5085" s="1077"/>
      <c r="F5085" s="1077"/>
      <c r="G5085" s="1077"/>
      <c r="H5085" s="1077"/>
      <c r="I5085" s="1077"/>
      <c r="J5085" s="1077"/>
      <c r="K5085" s="1077"/>
      <c r="L5085" s="1077"/>
      <c r="M5085" s="1077"/>
    </row>
    <row r="5086" spans="5:13">
      <c r="E5086" s="1077"/>
      <c r="F5086" s="1077"/>
      <c r="G5086" s="1077"/>
      <c r="H5086" s="1077"/>
      <c r="I5086" s="1077"/>
      <c r="J5086" s="1077"/>
      <c r="K5086" s="1077"/>
      <c r="L5086" s="1077"/>
      <c r="M5086" s="1077"/>
    </row>
    <row r="5087" spans="5:13">
      <c r="E5087" s="1077"/>
      <c r="F5087" s="1077"/>
      <c r="G5087" s="1077"/>
      <c r="H5087" s="1077"/>
      <c r="I5087" s="1077"/>
      <c r="J5087" s="1077"/>
      <c r="K5087" s="1077"/>
      <c r="L5087" s="1077"/>
      <c r="M5087" s="1077"/>
    </row>
    <row r="5088" spans="5:13">
      <c r="E5088" s="1077"/>
      <c r="F5088" s="1077"/>
      <c r="G5088" s="1077"/>
      <c r="H5088" s="1077"/>
      <c r="I5088" s="1077"/>
      <c r="J5088" s="1077"/>
      <c r="K5088" s="1077"/>
      <c r="L5088" s="1077"/>
      <c r="M5088" s="1077"/>
    </row>
    <row r="5089" spans="5:13">
      <c r="E5089" s="1077"/>
      <c r="F5089" s="1077"/>
      <c r="G5089" s="1077"/>
      <c r="H5089" s="1077"/>
      <c r="I5089" s="1077"/>
      <c r="J5089" s="1077"/>
      <c r="K5089" s="1077"/>
      <c r="L5089" s="1077"/>
      <c r="M5089" s="1077"/>
    </row>
    <row r="5090" spans="5:13">
      <c r="E5090" s="1077"/>
      <c r="F5090" s="1077"/>
      <c r="G5090" s="1077"/>
      <c r="H5090" s="1077"/>
      <c r="I5090" s="1077"/>
      <c r="J5090" s="1077"/>
      <c r="K5090" s="1077"/>
      <c r="L5090" s="1077"/>
      <c r="M5090" s="1077"/>
    </row>
    <row r="5091" spans="5:13">
      <c r="E5091" s="1077"/>
      <c r="F5091" s="1077"/>
      <c r="G5091" s="1077"/>
      <c r="H5091" s="1077"/>
      <c r="I5091" s="1077"/>
      <c r="J5091" s="1077"/>
      <c r="K5091" s="1077"/>
      <c r="L5091" s="1077"/>
      <c r="M5091" s="1077"/>
    </row>
    <row r="5092" spans="5:13">
      <c r="E5092" s="1077"/>
      <c r="F5092" s="1077"/>
      <c r="G5092" s="1077"/>
      <c r="H5092" s="1077"/>
      <c r="I5092" s="1077"/>
      <c r="J5092" s="1077"/>
      <c r="K5092" s="1077"/>
      <c r="L5092" s="1077"/>
      <c r="M5092" s="1077"/>
    </row>
    <row r="5093" spans="5:13">
      <c r="E5093" s="1077"/>
      <c r="F5093" s="1077"/>
      <c r="G5093" s="1077"/>
      <c r="H5093" s="1077"/>
      <c r="I5093" s="1077"/>
      <c r="J5093" s="1077"/>
      <c r="K5093" s="1077"/>
      <c r="L5093" s="1077"/>
      <c r="M5093" s="1077"/>
    </row>
    <row r="5094" spans="5:13">
      <c r="E5094" s="1077"/>
      <c r="F5094" s="1077"/>
      <c r="G5094" s="1077"/>
      <c r="H5094" s="1077"/>
      <c r="I5094" s="1077"/>
      <c r="J5094" s="1077"/>
      <c r="K5094" s="1077"/>
      <c r="L5094" s="1077"/>
      <c r="M5094" s="1077"/>
    </row>
    <row r="5095" spans="5:13">
      <c r="E5095" s="1077"/>
      <c r="F5095" s="1077"/>
      <c r="G5095" s="1077"/>
      <c r="H5095" s="1077"/>
      <c r="I5095" s="1077"/>
      <c r="J5095" s="1077"/>
      <c r="K5095" s="1077"/>
      <c r="L5095" s="1077"/>
      <c r="M5095" s="1077"/>
    </row>
    <row r="5096" spans="5:13">
      <c r="E5096" s="1077"/>
      <c r="F5096" s="1077"/>
      <c r="G5096" s="1077"/>
      <c r="H5096" s="1077"/>
      <c r="I5096" s="1077"/>
      <c r="J5096" s="1077"/>
      <c r="K5096" s="1077"/>
      <c r="L5096" s="1077"/>
      <c r="M5096" s="1077"/>
    </row>
    <row r="5097" spans="5:13">
      <c r="E5097" s="1077"/>
      <c r="F5097" s="1077"/>
      <c r="G5097" s="1077"/>
      <c r="H5097" s="1077"/>
      <c r="I5097" s="1077"/>
      <c r="J5097" s="1077"/>
      <c r="K5097" s="1077"/>
      <c r="L5097" s="1077"/>
      <c r="M5097" s="1077"/>
    </row>
    <row r="5098" spans="5:13">
      <c r="E5098" s="1077"/>
      <c r="F5098" s="1077"/>
      <c r="G5098" s="1077"/>
      <c r="H5098" s="1077"/>
      <c r="I5098" s="1077"/>
      <c r="J5098" s="1077"/>
      <c r="K5098" s="1077"/>
      <c r="L5098" s="1077"/>
      <c r="M5098" s="1077"/>
    </row>
    <row r="5099" spans="5:13">
      <c r="E5099" s="1077"/>
      <c r="F5099" s="1077"/>
      <c r="G5099" s="1077"/>
      <c r="H5099" s="1077"/>
      <c r="I5099" s="1077"/>
      <c r="J5099" s="1077"/>
      <c r="K5099" s="1077"/>
      <c r="L5099" s="1077"/>
      <c r="M5099" s="1077"/>
    </row>
    <row r="5100" spans="5:13">
      <c r="E5100" s="1077"/>
      <c r="F5100" s="1077"/>
      <c r="G5100" s="1077"/>
      <c r="H5100" s="1077"/>
      <c r="I5100" s="1077"/>
      <c r="J5100" s="1077"/>
      <c r="K5100" s="1077"/>
      <c r="L5100" s="1077"/>
      <c r="M5100" s="1077"/>
    </row>
    <row r="5101" spans="5:13">
      <c r="E5101" s="1077"/>
      <c r="F5101" s="1077"/>
      <c r="G5101" s="1077"/>
      <c r="H5101" s="1077"/>
      <c r="I5101" s="1077"/>
      <c r="J5101" s="1077"/>
      <c r="K5101" s="1077"/>
      <c r="L5101" s="1077"/>
      <c r="M5101" s="1077"/>
    </row>
    <row r="5102" spans="5:13">
      <c r="E5102" s="1077"/>
      <c r="F5102" s="1077"/>
      <c r="G5102" s="1077"/>
      <c r="H5102" s="1077"/>
      <c r="I5102" s="1077"/>
      <c r="J5102" s="1077"/>
      <c r="K5102" s="1077"/>
      <c r="L5102" s="1077"/>
      <c r="M5102" s="1077"/>
    </row>
    <row r="5103" spans="5:13">
      <c r="E5103" s="1077"/>
      <c r="F5103" s="1077"/>
      <c r="G5103" s="1077"/>
      <c r="H5103" s="1077"/>
      <c r="I5103" s="1077"/>
      <c r="J5103" s="1077"/>
      <c r="K5103" s="1077"/>
      <c r="L5103" s="1077"/>
      <c r="M5103" s="1077"/>
    </row>
    <row r="5104" spans="5:13">
      <c r="E5104" s="1077"/>
      <c r="F5104" s="1077"/>
      <c r="G5104" s="1077"/>
      <c r="H5104" s="1077"/>
      <c r="I5104" s="1077"/>
      <c r="J5104" s="1077"/>
      <c r="K5104" s="1077"/>
      <c r="L5104" s="1077"/>
      <c r="M5104" s="1077"/>
    </row>
    <row r="5105" spans="5:13">
      <c r="E5105" s="1077"/>
      <c r="F5105" s="1077"/>
      <c r="G5105" s="1077"/>
      <c r="H5105" s="1077"/>
      <c r="I5105" s="1077"/>
      <c r="J5105" s="1077"/>
      <c r="K5105" s="1077"/>
      <c r="L5105" s="1077"/>
      <c r="M5105" s="1077"/>
    </row>
    <row r="5106" spans="5:13">
      <c r="E5106" s="1077"/>
      <c r="F5106" s="1077"/>
      <c r="G5106" s="1077"/>
      <c r="H5106" s="1077"/>
      <c r="I5106" s="1077"/>
      <c r="J5106" s="1077"/>
      <c r="K5106" s="1077"/>
      <c r="L5106" s="1077"/>
      <c r="M5106" s="1077"/>
    </row>
    <row r="5107" spans="5:13">
      <c r="E5107" s="1077"/>
      <c r="F5107" s="1077"/>
      <c r="G5107" s="1077"/>
      <c r="H5107" s="1077"/>
      <c r="I5107" s="1077"/>
      <c r="J5107" s="1077"/>
      <c r="K5107" s="1077"/>
      <c r="L5107" s="1077"/>
      <c r="M5107" s="1077"/>
    </row>
    <row r="5108" spans="5:13">
      <c r="E5108" s="1077"/>
      <c r="F5108" s="1077"/>
      <c r="G5108" s="1077"/>
      <c r="H5108" s="1077"/>
      <c r="I5108" s="1077"/>
      <c r="J5108" s="1077"/>
      <c r="K5108" s="1077"/>
      <c r="L5108" s="1077"/>
      <c r="M5108" s="1077"/>
    </row>
    <row r="5109" spans="5:13">
      <c r="E5109" s="1077"/>
      <c r="F5109" s="1077"/>
      <c r="G5109" s="1077"/>
      <c r="H5109" s="1077"/>
      <c r="I5109" s="1077"/>
      <c r="J5109" s="1077"/>
      <c r="K5109" s="1077"/>
      <c r="L5109" s="1077"/>
      <c r="M5109" s="1077"/>
    </row>
    <row r="5110" spans="5:13">
      <c r="E5110" s="1077"/>
      <c r="F5110" s="1077"/>
      <c r="G5110" s="1077"/>
      <c r="H5110" s="1077"/>
      <c r="I5110" s="1077"/>
      <c r="J5110" s="1077"/>
      <c r="K5110" s="1077"/>
      <c r="L5110" s="1077"/>
      <c r="M5110" s="1077"/>
    </row>
    <row r="5111" spans="5:13">
      <c r="E5111" s="1077"/>
      <c r="F5111" s="1077"/>
      <c r="G5111" s="1077"/>
      <c r="H5111" s="1077"/>
      <c r="I5111" s="1077"/>
      <c r="J5111" s="1077"/>
      <c r="K5111" s="1077"/>
      <c r="L5111" s="1077"/>
      <c r="M5111" s="1077"/>
    </row>
    <row r="5112" spans="5:13">
      <c r="E5112" s="1077"/>
      <c r="F5112" s="1077"/>
      <c r="G5112" s="1077"/>
      <c r="H5112" s="1077"/>
      <c r="I5112" s="1077"/>
      <c r="J5112" s="1077"/>
      <c r="K5112" s="1077"/>
      <c r="L5112" s="1077"/>
      <c r="M5112" s="1077"/>
    </row>
    <row r="5113" spans="5:13">
      <c r="E5113" s="1077"/>
      <c r="F5113" s="1077"/>
      <c r="G5113" s="1077"/>
      <c r="H5113" s="1077"/>
      <c r="I5113" s="1077"/>
      <c r="J5113" s="1077"/>
      <c r="K5113" s="1077"/>
      <c r="L5113" s="1077"/>
      <c r="M5113" s="1077"/>
    </row>
    <row r="5114" spans="5:13">
      <c r="E5114" s="1077"/>
      <c r="F5114" s="1077"/>
      <c r="G5114" s="1077"/>
      <c r="H5114" s="1077"/>
      <c r="I5114" s="1077"/>
      <c r="J5114" s="1077"/>
      <c r="K5114" s="1077"/>
      <c r="L5114" s="1077"/>
      <c r="M5114" s="1077"/>
    </row>
    <row r="5115" spans="5:13">
      <c r="E5115" s="1077"/>
      <c r="F5115" s="1077"/>
      <c r="G5115" s="1077"/>
      <c r="H5115" s="1077"/>
      <c r="I5115" s="1077"/>
      <c r="J5115" s="1077"/>
      <c r="K5115" s="1077"/>
      <c r="L5115" s="1077"/>
      <c r="M5115" s="1077"/>
    </row>
    <row r="5116" spans="5:13">
      <c r="E5116" s="1077"/>
      <c r="F5116" s="1077"/>
      <c r="G5116" s="1077"/>
      <c r="H5116" s="1077"/>
      <c r="I5116" s="1077"/>
      <c r="J5116" s="1077"/>
      <c r="K5116" s="1077"/>
      <c r="L5116" s="1077"/>
      <c r="M5116" s="1077"/>
    </row>
    <row r="5117" spans="5:13">
      <c r="E5117" s="1077"/>
      <c r="F5117" s="1077"/>
      <c r="G5117" s="1077"/>
      <c r="H5117" s="1077"/>
      <c r="I5117" s="1077"/>
      <c r="J5117" s="1077"/>
      <c r="K5117" s="1077"/>
      <c r="L5117" s="1077"/>
      <c r="M5117" s="1077"/>
    </row>
    <row r="5118" spans="5:13">
      <c r="E5118" s="1077"/>
      <c r="F5118" s="1077"/>
      <c r="G5118" s="1077"/>
      <c r="H5118" s="1077"/>
      <c r="I5118" s="1077"/>
      <c r="J5118" s="1077"/>
      <c r="K5118" s="1077"/>
      <c r="L5118" s="1077"/>
      <c r="M5118" s="1077"/>
    </row>
    <row r="5119" spans="5:13">
      <c r="E5119" s="1077"/>
      <c r="F5119" s="1077"/>
      <c r="G5119" s="1077"/>
      <c r="H5119" s="1077"/>
      <c r="I5119" s="1077"/>
      <c r="J5119" s="1077"/>
      <c r="K5119" s="1077"/>
      <c r="L5119" s="1077"/>
      <c r="M5119" s="1077"/>
    </row>
    <row r="5120" spans="5:13">
      <c r="E5120" s="1077"/>
      <c r="F5120" s="1077"/>
      <c r="G5120" s="1077"/>
      <c r="H5120" s="1077"/>
      <c r="I5120" s="1077"/>
      <c r="J5120" s="1077"/>
      <c r="K5120" s="1077"/>
      <c r="L5120" s="1077"/>
      <c r="M5120" s="1077"/>
    </row>
    <row r="5121" spans="5:13">
      <c r="E5121" s="1077"/>
      <c r="F5121" s="1077"/>
      <c r="G5121" s="1077"/>
      <c r="H5121" s="1077"/>
      <c r="I5121" s="1077"/>
      <c r="J5121" s="1077"/>
      <c r="K5121" s="1077"/>
      <c r="L5121" s="1077"/>
      <c r="M5121" s="1077"/>
    </row>
    <row r="5122" spans="5:13">
      <c r="E5122" s="1077"/>
      <c r="F5122" s="1077"/>
      <c r="G5122" s="1077"/>
      <c r="H5122" s="1077"/>
      <c r="I5122" s="1077"/>
      <c r="J5122" s="1077"/>
      <c r="K5122" s="1077"/>
      <c r="L5122" s="1077"/>
      <c r="M5122" s="1077"/>
    </row>
    <row r="5123" spans="5:13">
      <c r="E5123" s="1077"/>
      <c r="F5123" s="1077"/>
      <c r="G5123" s="1077"/>
      <c r="H5123" s="1077"/>
      <c r="I5123" s="1077"/>
      <c r="J5123" s="1077"/>
      <c r="K5123" s="1077"/>
      <c r="L5123" s="1077"/>
      <c r="M5123" s="1077"/>
    </row>
    <row r="5124" spans="5:13">
      <c r="E5124" s="1077"/>
      <c r="F5124" s="1077"/>
      <c r="G5124" s="1077"/>
      <c r="H5124" s="1077"/>
      <c r="I5124" s="1077"/>
      <c r="J5124" s="1077"/>
      <c r="K5124" s="1077"/>
      <c r="L5124" s="1077"/>
      <c r="M5124" s="1077"/>
    </row>
    <row r="5125" spans="5:13">
      <c r="E5125" s="1077"/>
      <c r="F5125" s="1077"/>
      <c r="G5125" s="1077"/>
      <c r="H5125" s="1077"/>
      <c r="I5125" s="1077"/>
      <c r="J5125" s="1077"/>
      <c r="K5125" s="1077"/>
      <c r="L5125" s="1077"/>
      <c r="M5125" s="1077"/>
    </row>
    <row r="5126" spans="5:13">
      <c r="E5126" s="1077"/>
      <c r="F5126" s="1077"/>
      <c r="G5126" s="1077"/>
      <c r="H5126" s="1077"/>
      <c r="I5126" s="1077"/>
      <c r="J5126" s="1077"/>
      <c r="K5126" s="1077"/>
      <c r="L5126" s="1077"/>
      <c r="M5126" s="1077"/>
    </row>
    <row r="5127" spans="5:13">
      <c r="E5127" s="1077"/>
      <c r="F5127" s="1077"/>
      <c r="G5127" s="1077"/>
      <c r="H5127" s="1077"/>
      <c r="I5127" s="1077"/>
      <c r="J5127" s="1077"/>
      <c r="K5127" s="1077"/>
      <c r="L5127" s="1077"/>
      <c r="M5127" s="1077"/>
    </row>
    <row r="5128" spans="5:13">
      <c r="E5128" s="1077"/>
      <c r="F5128" s="1077"/>
      <c r="G5128" s="1077"/>
      <c r="H5128" s="1077"/>
      <c r="I5128" s="1077"/>
      <c r="J5128" s="1077"/>
      <c r="K5128" s="1077"/>
      <c r="L5128" s="1077"/>
      <c r="M5128" s="1077"/>
    </row>
    <row r="5129" spans="5:13">
      <c r="E5129" s="1077"/>
      <c r="F5129" s="1077"/>
      <c r="G5129" s="1077"/>
      <c r="H5129" s="1077"/>
      <c r="I5129" s="1077"/>
      <c r="J5129" s="1077"/>
      <c r="K5129" s="1077"/>
      <c r="L5129" s="1077"/>
      <c r="M5129" s="1077"/>
    </row>
    <row r="5130" spans="5:13">
      <c r="E5130" s="1077"/>
      <c r="F5130" s="1077"/>
      <c r="G5130" s="1077"/>
      <c r="H5130" s="1077"/>
      <c r="I5130" s="1077"/>
      <c r="J5130" s="1077"/>
      <c r="K5130" s="1077"/>
      <c r="L5130" s="1077"/>
      <c r="M5130" s="1077"/>
    </row>
    <row r="5131" spans="5:13">
      <c r="E5131" s="1077"/>
      <c r="F5131" s="1077"/>
      <c r="G5131" s="1077"/>
      <c r="H5131" s="1077"/>
      <c r="I5131" s="1077"/>
      <c r="J5131" s="1077"/>
      <c r="K5131" s="1077"/>
      <c r="L5131" s="1077"/>
      <c r="M5131" s="1077"/>
    </row>
    <row r="5132" spans="5:13">
      <c r="E5132" s="1077"/>
      <c r="F5132" s="1077"/>
      <c r="G5132" s="1077"/>
      <c r="H5132" s="1077"/>
      <c r="I5132" s="1077"/>
      <c r="J5132" s="1077"/>
      <c r="K5132" s="1077"/>
      <c r="L5132" s="1077"/>
      <c r="M5132" s="1077"/>
    </row>
    <row r="5133" spans="5:13">
      <c r="E5133" s="1077"/>
      <c r="F5133" s="1077"/>
      <c r="G5133" s="1077"/>
      <c r="H5133" s="1077"/>
      <c r="I5133" s="1077"/>
      <c r="J5133" s="1077"/>
      <c r="K5133" s="1077"/>
      <c r="L5133" s="1077"/>
      <c r="M5133" s="1077"/>
    </row>
    <row r="5134" spans="5:13">
      <c r="E5134" s="1077"/>
      <c r="F5134" s="1077"/>
      <c r="G5134" s="1077"/>
      <c r="H5134" s="1077"/>
      <c r="I5134" s="1077"/>
      <c r="J5134" s="1077"/>
      <c r="K5134" s="1077"/>
      <c r="L5134" s="1077"/>
      <c r="M5134" s="1077"/>
    </row>
    <row r="5135" spans="5:13">
      <c r="E5135" s="1077"/>
      <c r="F5135" s="1077"/>
      <c r="G5135" s="1077"/>
      <c r="H5135" s="1077"/>
      <c r="I5135" s="1077"/>
      <c r="J5135" s="1077"/>
      <c r="K5135" s="1077"/>
      <c r="L5135" s="1077"/>
      <c r="M5135" s="1077"/>
    </row>
    <row r="5136" spans="5:13">
      <c r="E5136" s="1077"/>
      <c r="F5136" s="1077"/>
      <c r="G5136" s="1077"/>
      <c r="H5136" s="1077"/>
      <c r="I5136" s="1077"/>
      <c r="J5136" s="1077"/>
      <c r="K5136" s="1077"/>
      <c r="L5136" s="1077"/>
      <c r="M5136" s="1077"/>
    </row>
    <row r="5137" spans="5:13">
      <c r="E5137" s="1077"/>
      <c r="F5137" s="1077"/>
      <c r="G5137" s="1077"/>
      <c r="H5137" s="1077"/>
      <c r="I5137" s="1077"/>
      <c r="J5137" s="1077"/>
      <c r="K5137" s="1077"/>
      <c r="L5137" s="1077"/>
      <c r="M5137" s="1077"/>
    </row>
    <row r="5138" spans="5:13">
      <c r="E5138" s="1077"/>
      <c r="F5138" s="1077"/>
      <c r="G5138" s="1077"/>
      <c r="H5138" s="1077"/>
      <c r="I5138" s="1077"/>
      <c r="J5138" s="1077"/>
      <c r="K5138" s="1077"/>
      <c r="L5138" s="1077"/>
      <c r="M5138" s="1077"/>
    </row>
    <row r="5139" spans="5:13">
      <c r="E5139" s="1077"/>
      <c r="F5139" s="1077"/>
      <c r="G5139" s="1077"/>
      <c r="H5139" s="1077"/>
      <c r="I5139" s="1077"/>
      <c r="J5139" s="1077"/>
      <c r="K5139" s="1077"/>
      <c r="L5139" s="1077"/>
      <c r="M5139" s="1077"/>
    </row>
    <row r="5140" spans="5:13">
      <c r="E5140" s="1077"/>
      <c r="F5140" s="1077"/>
      <c r="G5140" s="1077"/>
      <c r="H5140" s="1077"/>
      <c r="I5140" s="1077"/>
      <c r="J5140" s="1077"/>
      <c r="K5140" s="1077"/>
      <c r="L5140" s="1077"/>
      <c r="M5140" s="1077"/>
    </row>
    <row r="5141" spans="5:13">
      <c r="E5141" s="1077"/>
      <c r="F5141" s="1077"/>
      <c r="G5141" s="1077"/>
      <c r="H5141" s="1077"/>
      <c r="I5141" s="1077"/>
      <c r="J5141" s="1077"/>
      <c r="K5141" s="1077"/>
      <c r="L5141" s="1077"/>
      <c r="M5141" s="1077"/>
    </row>
    <row r="5142" spans="5:13">
      <c r="E5142" s="1077"/>
      <c r="F5142" s="1077"/>
      <c r="G5142" s="1077"/>
      <c r="H5142" s="1077"/>
      <c r="I5142" s="1077"/>
      <c r="J5142" s="1077"/>
      <c r="K5142" s="1077"/>
      <c r="L5142" s="1077"/>
      <c r="M5142" s="1077"/>
    </row>
    <row r="5143" spans="5:13">
      <c r="E5143" s="1077"/>
      <c r="F5143" s="1077"/>
      <c r="G5143" s="1077"/>
      <c r="H5143" s="1077"/>
      <c r="I5143" s="1077"/>
      <c r="J5143" s="1077"/>
      <c r="K5143" s="1077"/>
      <c r="L5143" s="1077"/>
      <c r="M5143" s="1077"/>
    </row>
    <row r="5144" spans="5:13">
      <c r="E5144" s="1077"/>
      <c r="F5144" s="1077"/>
      <c r="G5144" s="1077"/>
      <c r="H5144" s="1077"/>
      <c r="I5144" s="1077"/>
      <c r="J5144" s="1077"/>
      <c r="K5144" s="1077"/>
      <c r="L5144" s="1077"/>
      <c r="M5144" s="1077"/>
    </row>
    <row r="5145" spans="5:13">
      <c r="E5145" s="1077"/>
      <c r="F5145" s="1077"/>
      <c r="G5145" s="1077"/>
      <c r="H5145" s="1077"/>
      <c r="I5145" s="1077"/>
      <c r="J5145" s="1077"/>
      <c r="K5145" s="1077"/>
      <c r="L5145" s="1077"/>
      <c r="M5145" s="1077"/>
    </row>
    <row r="5146" spans="5:13">
      <c r="E5146" s="1077"/>
      <c r="F5146" s="1077"/>
      <c r="G5146" s="1077"/>
      <c r="H5146" s="1077"/>
      <c r="I5146" s="1077"/>
      <c r="J5146" s="1077"/>
      <c r="K5146" s="1077"/>
      <c r="L5146" s="1077"/>
      <c r="M5146" s="1077"/>
    </row>
    <row r="5147" spans="5:13">
      <c r="E5147" s="1077"/>
      <c r="F5147" s="1077"/>
      <c r="G5147" s="1077"/>
      <c r="H5147" s="1077"/>
      <c r="I5147" s="1077"/>
      <c r="J5147" s="1077"/>
      <c r="K5147" s="1077"/>
      <c r="L5147" s="1077"/>
      <c r="M5147" s="1077"/>
    </row>
    <row r="5148" spans="5:13">
      <c r="E5148" s="1077"/>
      <c r="F5148" s="1077"/>
      <c r="G5148" s="1077"/>
      <c r="H5148" s="1077"/>
      <c r="I5148" s="1077"/>
      <c r="J5148" s="1077"/>
      <c r="K5148" s="1077"/>
      <c r="L5148" s="1077"/>
      <c r="M5148" s="1077"/>
    </row>
    <row r="5149" spans="5:13">
      <c r="E5149" s="1077"/>
      <c r="F5149" s="1077"/>
      <c r="G5149" s="1077"/>
      <c r="H5149" s="1077"/>
      <c r="I5149" s="1077"/>
      <c r="J5149" s="1077"/>
      <c r="K5149" s="1077"/>
      <c r="L5149" s="1077"/>
      <c r="M5149" s="1077"/>
    </row>
    <row r="5150" spans="5:13">
      <c r="E5150" s="1077"/>
      <c r="F5150" s="1077"/>
      <c r="G5150" s="1077"/>
      <c r="H5150" s="1077"/>
      <c r="I5150" s="1077"/>
      <c r="J5150" s="1077"/>
      <c r="K5150" s="1077"/>
      <c r="L5150" s="1077"/>
      <c r="M5150" s="1077"/>
    </row>
    <row r="5151" spans="5:13">
      <c r="E5151" s="1077"/>
      <c r="F5151" s="1077"/>
      <c r="G5151" s="1077"/>
      <c r="H5151" s="1077"/>
      <c r="I5151" s="1077"/>
      <c r="J5151" s="1077"/>
      <c r="K5151" s="1077"/>
      <c r="L5151" s="1077"/>
      <c r="M5151" s="1077"/>
    </row>
    <row r="5152" spans="5:13">
      <c r="E5152" s="1077"/>
      <c r="F5152" s="1077"/>
      <c r="G5152" s="1077"/>
      <c r="H5152" s="1077"/>
      <c r="I5152" s="1077"/>
      <c r="J5152" s="1077"/>
      <c r="K5152" s="1077"/>
      <c r="L5152" s="1077"/>
      <c r="M5152" s="1077"/>
    </row>
    <row r="5153" spans="5:13">
      <c r="E5153" s="1077"/>
      <c r="F5153" s="1077"/>
      <c r="G5153" s="1077"/>
      <c r="H5153" s="1077"/>
      <c r="I5153" s="1077"/>
      <c r="J5153" s="1077"/>
      <c r="K5153" s="1077"/>
      <c r="L5153" s="1077"/>
      <c r="M5153" s="1077"/>
    </row>
    <row r="5154" spans="5:13">
      <c r="E5154" s="1077"/>
      <c r="F5154" s="1077"/>
      <c r="G5154" s="1077"/>
      <c r="H5154" s="1077"/>
      <c r="I5154" s="1077"/>
      <c r="J5154" s="1077"/>
      <c r="K5154" s="1077"/>
      <c r="L5154" s="1077"/>
      <c r="M5154" s="1077"/>
    </row>
    <row r="5155" spans="5:13">
      <c r="E5155" s="1077"/>
      <c r="F5155" s="1077"/>
      <c r="G5155" s="1077"/>
      <c r="H5155" s="1077"/>
      <c r="I5155" s="1077"/>
      <c r="J5155" s="1077"/>
      <c r="K5155" s="1077"/>
      <c r="L5155" s="1077"/>
      <c r="M5155" s="1077"/>
    </row>
    <row r="5156" spans="5:13">
      <c r="E5156" s="1077"/>
      <c r="F5156" s="1077"/>
      <c r="G5156" s="1077"/>
      <c r="H5156" s="1077"/>
      <c r="I5156" s="1077"/>
      <c r="J5156" s="1077"/>
      <c r="K5156" s="1077"/>
      <c r="L5156" s="1077"/>
      <c r="M5156" s="1077"/>
    </row>
    <row r="5157" spans="5:13">
      <c r="E5157" s="1077"/>
      <c r="F5157" s="1077"/>
      <c r="G5157" s="1077"/>
      <c r="H5157" s="1077"/>
      <c r="I5157" s="1077"/>
      <c r="J5157" s="1077"/>
      <c r="K5157" s="1077"/>
      <c r="L5157" s="1077"/>
      <c r="M5157" s="1077"/>
    </row>
    <row r="5158" spans="5:13">
      <c r="E5158" s="1077"/>
      <c r="F5158" s="1077"/>
      <c r="G5158" s="1077"/>
      <c r="H5158" s="1077"/>
      <c r="I5158" s="1077"/>
      <c r="J5158" s="1077"/>
      <c r="K5158" s="1077"/>
      <c r="L5158" s="1077"/>
      <c r="M5158" s="1077"/>
    </row>
    <row r="5159" spans="5:13">
      <c r="E5159" s="1077"/>
      <c r="F5159" s="1077"/>
      <c r="G5159" s="1077"/>
      <c r="H5159" s="1077"/>
      <c r="I5159" s="1077"/>
      <c r="J5159" s="1077"/>
      <c r="K5159" s="1077"/>
      <c r="L5159" s="1077"/>
      <c r="M5159" s="1077"/>
    </row>
    <row r="5160" spans="5:13">
      <c r="E5160" s="1077"/>
      <c r="F5160" s="1077"/>
      <c r="G5160" s="1077"/>
      <c r="H5160" s="1077"/>
      <c r="I5160" s="1077"/>
      <c r="J5160" s="1077"/>
      <c r="K5160" s="1077"/>
      <c r="L5160" s="1077"/>
      <c r="M5160" s="1077"/>
    </row>
    <row r="5161" spans="5:13">
      <c r="E5161" s="1077"/>
      <c r="F5161" s="1077"/>
      <c r="G5161" s="1077"/>
      <c r="H5161" s="1077"/>
      <c r="I5161" s="1077"/>
      <c r="J5161" s="1077"/>
      <c r="K5161" s="1077"/>
      <c r="L5161" s="1077"/>
      <c r="M5161" s="1077"/>
    </row>
    <row r="5162" spans="5:13">
      <c r="E5162" s="1077"/>
      <c r="F5162" s="1077"/>
      <c r="G5162" s="1077"/>
      <c r="H5162" s="1077"/>
      <c r="I5162" s="1077"/>
      <c r="J5162" s="1077"/>
      <c r="K5162" s="1077"/>
      <c r="L5162" s="1077"/>
      <c r="M5162" s="1077"/>
    </row>
    <row r="5163" spans="5:13">
      <c r="E5163" s="1077"/>
      <c r="F5163" s="1077"/>
      <c r="G5163" s="1077"/>
      <c r="H5163" s="1077"/>
      <c r="I5163" s="1077"/>
      <c r="J5163" s="1077"/>
      <c r="K5163" s="1077"/>
      <c r="L5163" s="1077"/>
      <c r="M5163" s="1077"/>
    </row>
    <row r="5164" spans="5:13">
      <c r="E5164" s="1077"/>
      <c r="F5164" s="1077"/>
      <c r="G5164" s="1077"/>
      <c r="H5164" s="1077"/>
      <c r="I5164" s="1077"/>
      <c r="J5164" s="1077"/>
      <c r="K5164" s="1077"/>
      <c r="L5164" s="1077"/>
      <c r="M5164" s="1077"/>
    </row>
    <row r="5165" spans="5:13">
      <c r="E5165" s="1077"/>
      <c r="F5165" s="1077"/>
      <c r="G5165" s="1077"/>
      <c r="H5165" s="1077"/>
      <c r="I5165" s="1077"/>
      <c r="J5165" s="1077"/>
      <c r="K5165" s="1077"/>
      <c r="L5165" s="1077"/>
      <c r="M5165" s="1077"/>
    </row>
    <row r="5166" spans="5:13">
      <c r="E5166" s="1077"/>
      <c r="F5166" s="1077"/>
      <c r="G5166" s="1077"/>
      <c r="H5166" s="1077"/>
      <c r="I5166" s="1077"/>
      <c r="J5166" s="1077"/>
      <c r="K5166" s="1077"/>
      <c r="L5166" s="1077"/>
      <c r="M5166" s="1077"/>
    </row>
    <row r="5167" spans="5:13">
      <c r="E5167" s="1077"/>
      <c r="F5167" s="1077"/>
      <c r="G5167" s="1077"/>
      <c r="H5167" s="1077"/>
      <c r="I5167" s="1077"/>
      <c r="J5167" s="1077"/>
      <c r="K5167" s="1077"/>
      <c r="L5167" s="1077"/>
      <c r="M5167" s="1077"/>
    </row>
    <row r="5168" spans="5:13">
      <c r="E5168" s="1077"/>
      <c r="F5168" s="1077"/>
      <c r="G5168" s="1077"/>
      <c r="H5168" s="1077"/>
      <c r="I5168" s="1077"/>
      <c r="J5168" s="1077"/>
      <c r="K5168" s="1077"/>
      <c r="L5168" s="1077"/>
      <c r="M5168" s="1077"/>
    </row>
    <row r="5169" spans="5:13">
      <c r="E5169" s="1077"/>
      <c r="F5169" s="1077"/>
      <c r="G5169" s="1077"/>
      <c r="H5169" s="1077"/>
      <c r="I5169" s="1077"/>
      <c r="J5169" s="1077"/>
      <c r="K5169" s="1077"/>
      <c r="L5169" s="1077"/>
      <c r="M5169" s="1077"/>
    </row>
    <row r="5170" spans="5:13">
      <c r="E5170" s="1077"/>
      <c r="F5170" s="1077"/>
      <c r="G5170" s="1077"/>
      <c r="H5170" s="1077"/>
      <c r="I5170" s="1077"/>
      <c r="J5170" s="1077"/>
      <c r="K5170" s="1077"/>
      <c r="L5170" s="1077"/>
      <c r="M5170" s="1077"/>
    </row>
    <row r="5171" spans="5:13">
      <c r="E5171" s="1077"/>
      <c r="F5171" s="1077"/>
      <c r="G5171" s="1077"/>
      <c r="H5171" s="1077"/>
      <c r="I5171" s="1077"/>
      <c r="J5171" s="1077"/>
      <c r="K5171" s="1077"/>
      <c r="L5171" s="1077"/>
      <c r="M5171" s="1077"/>
    </row>
    <row r="5172" spans="5:13">
      <c r="E5172" s="1077"/>
      <c r="F5172" s="1077"/>
      <c r="G5172" s="1077"/>
      <c r="H5172" s="1077"/>
      <c r="I5172" s="1077"/>
      <c r="J5172" s="1077"/>
      <c r="K5172" s="1077"/>
      <c r="L5172" s="1077"/>
      <c r="M5172" s="1077"/>
    </row>
    <row r="5173" spans="5:13">
      <c r="E5173" s="1077"/>
      <c r="F5173" s="1077"/>
      <c r="G5173" s="1077"/>
      <c r="H5173" s="1077"/>
      <c r="I5173" s="1077"/>
      <c r="J5173" s="1077"/>
      <c r="K5173" s="1077"/>
      <c r="L5173" s="1077"/>
      <c r="M5173" s="1077"/>
    </row>
    <row r="5174" spans="5:13">
      <c r="E5174" s="1077"/>
      <c r="F5174" s="1077"/>
      <c r="G5174" s="1077"/>
      <c r="H5174" s="1077"/>
      <c r="I5174" s="1077"/>
      <c r="J5174" s="1077"/>
      <c r="K5174" s="1077"/>
      <c r="L5174" s="1077"/>
      <c r="M5174" s="1077"/>
    </row>
    <row r="5175" spans="5:13">
      <c r="E5175" s="1077"/>
      <c r="F5175" s="1077"/>
      <c r="G5175" s="1077"/>
      <c r="H5175" s="1077"/>
      <c r="I5175" s="1077"/>
      <c r="J5175" s="1077"/>
      <c r="K5175" s="1077"/>
      <c r="L5175" s="1077"/>
      <c r="M5175" s="1077"/>
    </row>
    <row r="5176" spans="5:13">
      <c r="E5176" s="1077"/>
      <c r="F5176" s="1077"/>
      <c r="G5176" s="1077"/>
      <c r="H5176" s="1077"/>
      <c r="I5176" s="1077"/>
      <c r="J5176" s="1077"/>
      <c r="K5176" s="1077"/>
      <c r="L5176" s="1077"/>
      <c r="M5176" s="1077"/>
    </row>
    <row r="5177" spans="5:13">
      <c r="E5177" s="1077"/>
      <c r="F5177" s="1077"/>
      <c r="G5177" s="1077"/>
      <c r="H5177" s="1077"/>
      <c r="I5177" s="1077"/>
      <c r="J5177" s="1077"/>
      <c r="K5177" s="1077"/>
      <c r="L5177" s="1077"/>
      <c r="M5177" s="1077"/>
    </row>
    <row r="5178" spans="5:13">
      <c r="E5178" s="1077"/>
      <c r="F5178" s="1077"/>
      <c r="G5178" s="1077"/>
      <c r="H5178" s="1077"/>
      <c r="I5178" s="1077"/>
      <c r="J5178" s="1077"/>
      <c r="K5178" s="1077"/>
      <c r="L5178" s="1077"/>
      <c r="M5178" s="1077"/>
    </row>
    <row r="5179" spans="5:13">
      <c r="E5179" s="1077"/>
      <c r="F5179" s="1077"/>
      <c r="G5179" s="1077"/>
      <c r="H5179" s="1077"/>
      <c r="I5179" s="1077"/>
      <c r="J5179" s="1077"/>
      <c r="K5179" s="1077"/>
      <c r="L5179" s="1077"/>
      <c r="M5179" s="1077"/>
    </row>
    <row r="5180" spans="5:13">
      <c r="E5180" s="1077"/>
      <c r="F5180" s="1077"/>
      <c r="G5180" s="1077"/>
      <c r="H5180" s="1077"/>
      <c r="I5180" s="1077"/>
      <c r="J5180" s="1077"/>
      <c r="K5180" s="1077"/>
      <c r="L5180" s="1077"/>
      <c r="M5180" s="1077"/>
    </row>
    <row r="5181" spans="5:13">
      <c r="E5181" s="1077"/>
      <c r="F5181" s="1077"/>
      <c r="G5181" s="1077"/>
      <c r="H5181" s="1077"/>
      <c r="I5181" s="1077"/>
      <c r="J5181" s="1077"/>
      <c r="K5181" s="1077"/>
      <c r="L5181" s="1077"/>
      <c r="M5181" s="1077"/>
    </row>
    <row r="5182" spans="5:13">
      <c r="E5182" s="1077"/>
      <c r="F5182" s="1077"/>
      <c r="G5182" s="1077"/>
      <c r="H5182" s="1077"/>
      <c r="I5182" s="1077"/>
      <c r="J5182" s="1077"/>
      <c r="K5182" s="1077"/>
      <c r="L5182" s="1077"/>
      <c r="M5182" s="1077"/>
    </row>
    <row r="5183" spans="5:13">
      <c r="E5183" s="1077"/>
      <c r="F5183" s="1077"/>
      <c r="G5183" s="1077"/>
      <c r="H5183" s="1077"/>
      <c r="I5183" s="1077"/>
      <c r="J5183" s="1077"/>
      <c r="K5183" s="1077"/>
      <c r="L5183" s="1077"/>
      <c r="M5183" s="1077"/>
    </row>
    <row r="5184" spans="5:13">
      <c r="E5184" s="1077"/>
      <c r="F5184" s="1077"/>
      <c r="G5184" s="1077"/>
      <c r="H5184" s="1077"/>
      <c r="I5184" s="1077"/>
      <c r="J5184" s="1077"/>
      <c r="K5184" s="1077"/>
      <c r="L5184" s="1077"/>
      <c r="M5184" s="1077"/>
    </row>
    <row r="5185" spans="5:13">
      <c r="E5185" s="1077"/>
      <c r="F5185" s="1077"/>
      <c r="G5185" s="1077"/>
      <c r="H5185" s="1077"/>
      <c r="I5185" s="1077"/>
      <c r="J5185" s="1077"/>
      <c r="K5185" s="1077"/>
      <c r="L5185" s="1077"/>
      <c r="M5185" s="1077"/>
    </row>
    <row r="5186" spans="5:13">
      <c r="E5186" s="1077"/>
      <c r="F5186" s="1077"/>
      <c r="G5186" s="1077"/>
      <c r="H5186" s="1077"/>
      <c r="I5186" s="1077"/>
      <c r="J5186" s="1077"/>
      <c r="K5186" s="1077"/>
      <c r="L5186" s="1077"/>
      <c r="M5186" s="1077"/>
    </row>
    <row r="5187" spans="5:13">
      <c r="E5187" s="1077"/>
      <c r="F5187" s="1077"/>
      <c r="G5187" s="1077"/>
      <c r="H5187" s="1077"/>
      <c r="I5187" s="1077"/>
      <c r="J5187" s="1077"/>
      <c r="K5187" s="1077"/>
      <c r="L5187" s="1077"/>
      <c r="M5187" s="1077"/>
    </row>
    <row r="5188" spans="5:13">
      <c r="E5188" s="1077"/>
      <c r="F5188" s="1077"/>
      <c r="G5188" s="1077"/>
      <c r="H5188" s="1077"/>
      <c r="I5188" s="1077"/>
      <c r="J5188" s="1077"/>
      <c r="K5188" s="1077"/>
      <c r="L5188" s="1077"/>
      <c r="M5188" s="1077"/>
    </row>
    <row r="5189" spans="5:13">
      <c r="E5189" s="1077"/>
      <c r="F5189" s="1077"/>
      <c r="G5189" s="1077"/>
      <c r="H5189" s="1077"/>
      <c r="I5189" s="1077"/>
      <c r="J5189" s="1077"/>
      <c r="K5189" s="1077"/>
      <c r="L5189" s="1077"/>
      <c r="M5189" s="1077"/>
    </row>
    <row r="5190" spans="5:13">
      <c r="E5190" s="1077"/>
      <c r="F5190" s="1077"/>
      <c r="G5190" s="1077"/>
      <c r="H5190" s="1077"/>
      <c r="I5190" s="1077"/>
      <c r="J5190" s="1077"/>
      <c r="K5190" s="1077"/>
      <c r="L5190" s="1077"/>
      <c r="M5190" s="1077"/>
    </row>
    <row r="5191" spans="5:13">
      <c r="E5191" s="1077"/>
      <c r="F5191" s="1077"/>
      <c r="G5191" s="1077"/>
      <c r="H5191" s="1077"/>
      <c r="I5191" s="1077"/>
      <c r="J5191" s="1077"/>
      <c r="K5191" s="1077"/>
      <c r="L5191" s="1077"/>
      <c r="M5191" s="1077"/>
    </row>
    <row r="5192" spans="5:13">
      <c r="E5192" s="1077"/>
      <c r="F5192" s="1077"/>
      <c r="G5192" s="1077"/>
      <c r="H5192" s="1077"/>
      <c r="I5192" s="1077"/>
      <c r="J5192" s="1077"/>
      <c r="K5192" s="1077"/>
      <c r="L5192" s="1077"/>
      <c r="M5192" s="1077"/>
    </row>
    <row r="5193" spans="5:13">
      <c r="E5193" s="1077"/>
      <c r="F5193" s="1077"/>
      <c r="G5193" s="1077"/>
      <c r="H5193" s="1077"/>
      <c r="I5193" s="1077"/>
      <c r="J5193" s="1077"/>
      <c r="K5193" s="1077"/>
      <c r="L5193" s="1077"/>
      <c r="M5193" s="1077"/>
    </row>
    <row r="5194" spans="5:13">
      <c r="E5194" s="1077"/>
      <c r="F5194" s="1077"/>
      <c r="G5194" s="1077"/>
      <c r="H5194" s="1077"/>
      <c r="I5194" s="1077"/>
      <c r="J5194" s="1077"/>
      <c r="K5194" s="1077"/>
      <c r="L5194" s="1077"/>
      <c r="M5194" s="1077"/>
    </row>
    <row r="5195" spans="5:13">
      <c r="E5195" s="1077"/>
      <c r="F5195" s="1077"/>
      <c r="G5195" s="1077"/>
      <c r="H5195" s="1077"/>
      <c r="I5195" s="1077"/>
      <c r="J5195" s="1077"/>
      <c r="K5195" s="1077"/>
      <c r="L5195" s="1077"/>
      <c r="M5195" s="1077"/>
    </row>
    <row r="5196" spans="5:13">
      <c r="E5196" s="1077"/>
      <c r="F5196" s="1077"/>
      <c r="G5196" s="1077"/>
      <c r="H5196" s="1077"/>
      <c r="I5196" s="1077"/>
      <c r="J5196" s="1077"/>
      <c r="K5196" s="1077"/>
      <c r="L5196" s="1077"/>
      <c r="M5196" s="1077"/>
    </row>
    <row r="5197" spans="5:13">
      <c r="E5197" s="1077"/>
      <c r="F5197" s="1077"/>
      <c r="G5197" s="1077"/>
      <c r="H5197" s="1077"/>
      <c r="I5197" s="1077"/>
      <c r="J5197" s="1077"/>
      <c r="K5197" s="1077"/>
      <c r="L5197" s="1077"/>
      <c r="M5197" s="1077"/>
    </row>
    <row r="5198" spans="5:13">
      <c r="E5198" s="1077"/>
      <c r="F5198" s="1077"/>
      <c r="G5198" s="1077"/>
      <c r="H5198" s="1077"/>
      <c r="I5198" s="1077"/>
      <c r="J5198" s="1077"/>
      <c r="K5198" s="1077"/>
      <c r="L5198" s="1077"/>
      <c r="M5198" s="1077"/>
    </row>
    <row r="5199" spans="5:13">
      <c r="E5199" s="1077"/>
      <c r="F5199" s="1077"/>
      <c r="G5199" s="1077"/>
      <c r="H5199" s="1077"/>
      <c r="I5199" s="1077"/>
      <c r="J5199" s="1077"/>
      <c r="K5199" s="1077"/>
      <c r="L5199" s="1077"/>
      <c r="M5199" s="1077"/>
    </row>
    <row r="5200" spans="5:13">
      <c r="E5200" s="1077"/>
      <c r="F5200" s="1077"/>
      <c r="G5200" s="1077"/>
      <c r="H5200" s="1077"/>
      <c r="I5200" s="1077"/>
      <c r="J5200" s="1077"/>
      <c r="K5200" s="1077"/>
      <c r="L5200" s="1077"/>
      <c r="M5200" s="1077"/>
    </row>
    <row r="5201" spans="5:13">
      <c r="E5201" s="1077"/>
      <c r="F5201" s="1077"/>
      <c r="G5201" s="1077"/>
      <c r="H5201" s="1077"/>
      <c r="I5201" s="1077"/>
      <c r="J5201" s="1077"/>
      <c r="K5201" s="1077"/>
      <c r="L5201" s="1077"/>
      <c r="M5201" s="1077"/>
    </row>
    <row r="5202" spans="5:13">
      <c r="E5202" s="1077"/>
      <c r="F5202" s="1077"/>
      <c r="G5202" s="1077"/>
      <c r="H5202" s="1077"/>
      <c r="I5202" s="1077"/>
      <c r="J5202" s="1077"/>
      <c r="K5202" s="1077"/>
      <c r="L5202" s="1077"/>
      <c r="M5202" s="1077"/>
    </row>
    <row r="5203" spans="5:13">
      <c r="E5203" s="1077"/>
      <c r="F5203" s="1077"/>
      <c r="G5203" s="1077"/>
      <c r="H5203" s="1077"/>
      <c r="I5203" s="1077"/>
      <c r="J5203" s="1077"/>
      <c r="K5203" s="1077"/>
      <c r="L5203" s="1077"/>
      <c r="M5203" s="1077"/>
    </row>
    <row r="5204" spans="5:13">
      <c r="E5204" s="1077"/>
      <c r="F5204" s="1077"/>
      <c r="G5204" s="1077"/>
      <c r="H5204" s="1077"/>
      <c r="I5204" s="1077"/>
      <c r="J5204" s="1077"/>
      <c r="K5204" s="1077"/>
      <c r="L5204" s="1077"/>
      <c r="M5204" s="1077"/>
    </row>
    <row r="5205" spans="5:13">
      <c r="E5205" s="1077"/>
      <c r="F5205" s="1077"/>
      <c r="G5205" s="1077"/>
      <c r="H5205" s="1077"/>
      <c r="I5205" s="1077"/>
      <c r="J5205" s="1077"/>
      <c r="K5205" s="1077"/>
      <c r="L5205" s="1077"/>
      <c r="M5205" s="1077"/>
    </row>
    <row r="5206" spans="5:13">
      <c r="E5206" s="1077"/>
      <c r="F5206" s="1077"/>
      <c r="G5206" s="1077"/>
      <c r="H5206" s="1077"/>
      <c r="I5206" s="1077"/>
      <c r="J5206" s="1077"/>
      <c r="K5206" s="1077"/>
      <c r="L5206" s="1077"/>
      <c r="M5206" s="1077"/>
    </row>
    <row r="5207" spans="5:13">
      <c r="E5207" s="1077"/>
      <c r="F5207" s="1077"/>
      <c r="G5207" s="1077"/>
      <c r="H5207" s="1077"/>
      <c r="I5207" s="1077"/>
      <c r="J5207" s="1077"/>
      <c r="K5207" s="1077"/>
      <c r="L5207" s="1077"/>
      <c r="M5207" s="1077"/>
    </row>
    <row r="5208" spans="5:13">
      <c r="E5208" s="1077"/>
      <c r="F5208" s="1077"/>
      <c r="G5208" s="1077"/>
      <c r="H5208" s="1077"/>
      <c r="I5208" s="1077"/>
      <c r="J5208" s="1077"/>
      <c r="K5208" s="1077"/>
      <c r="L5208" s="1077"/>
      <c r="M5208" s="1077"/>
    </row>
    <row r="5209" spans="5:13">
      <c r="E5209" s="1077"/>
      <c r="F5209" s="1077"/>
      <c r="G5209" s="1077"/>
      <c r="H5209" s="1077"/>
      <c r="I5209" s="1077"/>
      <c r="J5209" s="1077"/>
      <c r="K5209" s="1077"/>
      <c r="L5209" s="1077"/>
      <c r="M5209" s="1077"/>
    </row>
    <row r="5210" spans="5:13">
      <c r="E5210" s="1077"/>
      <c r="F5210" s="1077"/>
      <c r="G5210" s="1077"/>
      <c r="H5210" s="1077"/>
      <c r="I5210" s="1077"/>
      <c r="J5210" s="1077"/>
      <c r="K5210" s="1077"/>
      <c r="L5210" s="1077"/>
      <c r="M5210" s="1077"/>
    </row>
    <row r="5211" spans="5:13">
      <c r="E5211" s="1077"/>
      <c r="F5211" s="1077"/>
      <c r="G5211" s="1077"/>
      <c r="H5211" s="1077"/>
      <c r="I5211" s="1077"/>
      <c r="J5211" s="1077"/>
      <c r="K5211" s="1077"/>
      <c r="L5211" s="1077"/>
      <c r="M5211" s="1077"/>
    </row>
    <row r="5212" spans="5:13">
      <c r="E5212" s="1077"/>
      <c r="F5212" s="1077"/>
      <c r="G5212" s="1077"/>
      <c r="H5212" s="1077"/>
      <c r="I5212" s="1077"/>
      <c r="J5212" s="1077"/>
      <c r="K5212" s="1077"/>
      <c r="L5212" s="1077"/>
      <c r="M5212" s="1077"/>
    </row>
    <row r="5213" spans="5:13">
      <c r="E5213" s="1077"/>
      <c r="F5213" s="1077"/>
      <c r="G5213" s="1077"/>
      <c r="H5213" s="1077"/>
      <c r="I5213" s="1077"/>
      <c r="J5213" s="1077"/>
      <c r="K5213" s="1077"/>
      <c r="L5213" s="1077"/>
      <c r="M5213" s="1077"/>
    </row>
    <row r="5214" spans="5:13">
      <c r="E5214" s="1077"/>
      <c r="F5214" s="1077"/>
      <c r="G5214" s="1077"/>
      <c r="H5214" s="1077"/>
      <c r="I5214" s="1077"/>
      <c r="J5214" s="1077"/>
      <c r="K5214" s="1077"/>
      <c r="L5214" s="1077"/>
      <c r="M5214" s="1077"/>
    </row>
    <row r="5215" spans="5:13">
      <c r="E5215" s="1077"/>
      <c r="F5215" s="1077"/>
      <c r="G5215" s="1077"/>
      <c r="H5215" s="1077"/>
      <c r="I5215" s="1077"/>
      <c r="J5215" s="1077"/>
      <c r="K5215" s="1077"/>
      <c r="L5215" s="1077"/>
      <c r="M5215" s="1077"/>
    </row>
    <row r="5216" spans="5:13">
      <c r="E5216" s="1077"/>
      <c r="F5216" s="1077"/>
      <c r="G5216" s="1077"/>
      <c r="H5216" s="1077"/>
      <c r="I5216" s="1077"/>
      <c r="J5216" s="1077"/>
      <c r="K5216" s="1077"/>
      <c r="L5216" s="1077"/>
      <c r="M5216" s="1077"/>
    </row>
    <row r="5217" spans="5:13">
      <c r="E5217" s="1077"/>
      <c r="F5217" s="1077"/>
      <c r="G5217" s="1077"/>
      <c r="H5217" s="1077"/>
      <c r="I5217" s="1077"/>
      <c r="J5217" s="1077"/>
      <c r="K5217" s="1077"/>
      <c r="L5217" s="1077"/>
      <c r="M5217" s="1077"/>
    </row>
    <row r="5218" spans="5:13">
      <c r="E5218" s="1077"/>
      <c r="F5218" s="1077"/>
      <c r="G5218" s="1077"/>
      <c r="H5218" s="1077"/>
      <c r="I5218" s="1077"/>
      <c r="J5218" s="1077"/>
      <c r="K5218" s="1077"/>
      <c r="L5218" s="1077"/>
      <c r="M5218" s="1077"/>
    </row>
    <row r="5219" spans="5:13">
      <c r="E5219" s="1077"/>
      <c r="F5219" s="1077"/>
      <c r="G5219" s="1077"/>
      <c r="H5219" s="1077"/>
      <c r="I5219" s="1077"/>
      <c r="J5219" s="1077"/>
      <c r="K5219" s="1077"/>
      <c r="L5219" s="1077"/>
      <c r="M5219" s="1077"/>
    </row>
    <row r="5220" spans="5:13">
      <c r="E5220" s="1077"/>
      <c r="F5220" s="1077"/>
      <c r="G5220" s="1077"/>
      <c r="H5220" s="1077"/>
      <c r="I5220" s="1077"/>
      <c r="J5220" s="1077"/>
      <c r="K5220" s="1077"/>
      <c r="L5220" s="1077"/>
      <c r="M5220" s="1077"/>
    </row>
    <row r="5221" spans="5:13">
      <c r="E5221" s="1077"/>
      <c r="F5221" s="1077"/>
      <c r="G5221" s="1077"/>
      <c r="H5221" s="1077"/>
      <c r="I5221" s="1077"/>
      <c r="J5221" s="1077"/>
      <c r="K5221" s="1077"/>
      <c r="L5221" s="1077"/>
      <c r="M5221" s="1077"/>
    </row>
    <row r="5222" spans="5:13">
      <c r="E5222" s="1077"/>
      <c r="F5222" s="1077"/>
      <c r="G5222" s="1077"/>
      <c r="H5222" s="1077"/>
      <c r="I5222" s="1077"/>
      <c r="J5222" s="1077"/>
      <c r="K5222" s="1077"/>
      <c r="L5222" s="1077"/>
      <c r="M5222" s="1077"/>
    </row>
    <row r="5223" spans="5:13">
      <c r="E5223" s="1077"/>
      <c r="F5223" s="1077"/>
      <c r="G5223" s="1077"/>
      <c r="H5223" s="1077"/>
      <c r="I5223" s="1077"/>
      <c r="J5223" s="1077"/>
      <c r="K5223" s="1077"/>
      <c r="L5223" s="1077"/>
      <c r="M5223" s="1077"/>
    </row>
    <row r="5224" spans="5:13">
      <c r="E5224" s="1077"/>
      <c r="F5224" s="1077"/>
      <c r="G5224" s="1077"/>
      <c r="H5224" s="1077"/>
      <c r="I5224" s="1077"/>
      <c r="J5224" s="1077"/>
      <c r="K5224" s="1077"/>
      <c r="L5224" s="1077"/>
      <c r="M5224" s="1077"/>
    </row>
    <row r="5225" spans="5:13">
      <c r="E5225" s="1077"/>
      <c r="F5225" s="1077"/>
      <c r="G5225" s="1077"/>
      <c r="H5225" s="1077"/>
      <c r="I5225" s="1077"/>
      <c r="J5225" s="1077"/>
      <c r="K5225" s="1077"/>
      <c r="L5225" s="1077"/>
      <c r="M5225" s="1077"/>
    </row>
    <row r="5226" spans="5:13">
      <c r="E5226" s="1077"/>
      <c r="F5226" s="1077"/>
      <c r="G5226" s="1077"/>
      <c r="H5226" s="1077"/>
      <c r="I5226" s="1077"/>
      <c r="J5226" s="1077"/>
      <c r="K5226" s="1077"/>
      <c r="L5226" s="1077"/>
      <c r="M5226" s="1077"/>
    </row>
    <row r="5227" spans="5:13">
      <c r="E5227" s="1077"/>
      <c r="F5227" s="1077"/>
      <c r="G5227" s="1077"/>
      <c r="H5227" s="1077"/>
      <c r="I5227" s="1077"/>
      <c r="J5227" s="1077"/>
      <c r="K5227" s="1077"/>
      <c r="L5227" s="1077"/>
      <c r="M5227" s="1077"/>
    </row>
    <row r="5228" spans="5:13">
      <c r="E5228" s="1077"/>
      <c r="F5228" s="1077"/>
      <c r="G5228" s="1077"/>
      <c r="H5228" s="1077"/>
      <c r="I5228" s="1077"/>
      <c r="J5228" s="1077"/>
      <c r="K5228" s="1077"/>
      <c r="L5228" s="1077"/>
      <c r="M5228" s="1077"/>
    </row>
    <row r="5229" spans="5:13">
      <c r="E5229" s="1077"/>
      <c r="F5229" s="1077"/>
      <c r="G5229" s="1077"/>
      <c r="H5229" s="1077"/>
      <c r="I5229" s="1077"/>
      <c r="J5229" s="1077"/>
      <c r="K5229" s="1077"/>
      <c r="L5229" s="1077"/>
      <c r="M5229" s="1077"/>
    </row>
    <row r="5230" spans="5:13">
      <c r="E5230" s="1077"/>
      <c r="F5230" s="1077"/>
      <c r="G5230" s="1077"/>
      <c r="H5230" s="1077"/>
      <c r="I5230" s="1077"/>
      <c r="J5230" s="1077"/>
      <c r="K5230" s="1077"/>
      <c r="L5230" s="1077"/>
      <c r="M5230" s="1077"/>
    </row>
    <row r="5231" spans="5:13">
      <c r="E5231" s="1077"/>
      <c r="F5231" s="1077"/>
      <c r="G5231" s="1077"/>
      <c r="H5231" s="1077"/>
      <c r="I5231" s="1077"/>
      <c r="J5231" s="1077"/>
      <c r="K5231" s="1077"/>
      <c r="L5231" s="1077"/>
      <c r="M5231" s="1077"/>
    </row>
    <row r="5232" spans="5:13">
      <c r="E5232" s="1077"/>
      <c r="F5232" s="1077"/>
      <c r="G5232" s="1077"/>
      <c r="H5232" s="1077"/>
      <c r="I5232" s="1077"/>
      <c r="J5232" s="1077"/>
      <c r="K5232" s="1077"/>
      <c r="L5232" s="1077"/>
      <c r="M5232" s="1077"/>
    </row>
    <row r="5233" spans="5:13">
      <c r="E5233" s="1077"/>
      <c r="F5233" s="1077"/>
      <c r="G5233" s="1077"/>
      <c r="H5233" s="1077"/>
      <c r="I5233" s="1077"/>
      <c r="J5233" s="1077"/>
      <c r="K5233" s="1077"/>
      <c r="L5233" s="1077"/>
      <c r="M5233" s="1077"/>
    </row>
    <row r="5234" spans="5:13">
      <c r="E5234" s="1077"/>
      <c r="F5234" s="1077"/>
      <c r="G5234" s="1077"/>
      <c r="H5234" s="1077"/>
      <c r="I5234" s="1077"/>
      <c r="J5234" s="1077"/>
      <c r="K5234" s="1077"/>
      <c r="L5234" s="1077"/>
      <c r="M5234" s="1077"/>
    </row>
    <row r="5235" spans="5:13">
      <c r="E5235" s="1077"/>
      <c r="F5235" s="1077"/>
      <c r="G5235" s="1077"/>
      <c r="H5235" s="1077"/>
      <c r="I5235" s="1077"/>
      <c r="J5235" s="1077"/>
      <c r="K5235" s="1077"/>
      <c r="L5235" s="1077"/>
      <c r="M5235" s="1077"/>
    </row>
    <row r="5236" spans="5:13">
      <c r="E5236" s="1077"/>
      <c r="F5236" s="1077"/>
      <c r="G5236" s="1077"/>
      <c r="H5236" s="1077"/>
      <c r="I5236" s="1077"/>
      <c r="J5236" s="1077"/>
      <c r="K5236" s="1077"/>
      <c r="L5236" s="1077"/>
      <c r="M5236" s="1077"/>
    </row>
    <row r="5237" spans="5:13">
      <c r="E5237" s="1077"/>
      <c r="F5237" s="1077"/>
      <c r="G5237" s="1077"/>
      <c r="H5237" s="1077"/>
      <c r="I5237" s="1077"/>
      <c r="J5237" s="1077"/>
      <c r="K5237" s="1077"/>
      <c r="L5237" s="1077"/>
      <c r="M5237" s="1077"/>
    </row>
    <row r="5238" spans="5:13">
      <c r="E5238" s="1077"/>
      <c r="F5238" s="1077"/>
      <c r="G5238" s="1077"/>
      <c r="H5238" s="1077"/>
      <c r="I5238" s="1077"/>
      <c r="J5238" s="1077"/>
      <c r="K5238" s="1077"/>
      <c r="L5238" s="1077"/>
      <c r="M5238" s="1077"/>
    </row>
    <row r="5239" spans="5:13">
      <c r="E5239" s="1077"/>
      <c r="F5239" s="1077"/>
      <c r="G5239" s="1077"/>
      <c r="H5239" s="1077"/>
      <c r="I5239" s="1077"/>
      <c r="J5239" s="1077"/>
      <c r="K5239" s="1077"/>
      <c r="L5239" s="1077"/>
      <c r="M5239" s="1077"/>
    </row>
    <row r="5240" spans="5:13">
      <c r="E5240" s="1077"/>
      <c r="F5240" s="1077"/>
      <c r="G5240" s="1077"/>
      <c r="H5240" s="1077"/>
      <c r="I5240" s="1077"/>
      <c r="J5240" s="1077"/>
      <c r="K5240" s="1077"/>
      <c r="L5240" s="1077"/>
      <c r="M5240" s="1077"/>
    </row>
    <row r="5241" spans="5:13">
      <c r="E5241" s="1077"/>
      <c r="F5241" s="1077"/>
      <c r="G5241" s="1077"/>
      <c r="H5241" s="1077"/>
      <c r="I5241" s="1077"/>
      <c r="J5241" s="1077"/>
      <c r="K5241" s="1077"/>
      <c r="L5241" s="1077"/>
      <c r="M5241" s="1077"/>
    </row>
    <row r="5242" spans="5:13">
      <c r="E5242" s="1077"/>
      <c r="F5242" s="1077"/>
      <c r="G5242" s="1077"/>
      <c r="H5242" s="1077"/>
      <c r="I5242" s="1077"/>
      <c r="J5242" s="1077"/>
      <c r="K5242" s="1077"/>
      <c r="L5242" s="1077"/>
      <c r="M5242" s="1077"/>
    </row>
    <row r="5243" spans="5:13">
      <c r="E5243" s="1077"/>
      <c r="F5243" s="1077"/>
      <c r="G5243" s="1077"/>
      <c r="H5243" s="1077"/>
      <c r="I5243" s="1077"/>
      <c r="J5243" s="1077"/>
      <c r="K5243" s="1077"/>
      <c r="L5243" s="1077"/>
      <c r="M5243" s="1077"/>
    </row>
    <row r="5244" spans="5:13">
      <c r="E5244" s="1077"/>
      <c r="F5244" s="1077"/>
      <c r="G5244" s="1077"/>
      <c r="H5244" s="1077"/>
      <c r="I5244" s="1077"/>
      <c r="J5244" s="1077"/>
      <c r="K5244" s="1077"/>
      <c r="L5244" s="1077"/>
      <c r="M5244" s="1077"/>
    </row>
    <row r="5245" spans="5:13">
      <c r="E5245" s="1077"/>
      <c r="F5245" s="1077"/>
      <c r="G5245" s="1077"/>
      <c r="H5245" s="1077"/>
      <c r="I5245" s="1077"/>
      <c r="J5245" s="1077"/>
      <c r="K5245" s="1077"/>
      <c r="L5245" s="1077"/>
      <c r="M5245" s="1077"/>
    </row>
    <row r="5246" spans="5:13">
      <c r="E5246" s="1077"/>
      <c r="F5246" s="1077"/>
      <c r="G5246" s="1077"/>
      <c r="H5246" s="1077"/>
      <c r="I5246" s="1077"/>
      <c r="J5246" s="1077"/>
      <c r="K5246" s="1077"/>
      <c r="L5246" s="1077"/>
      <c r="M5246" s="1077"/>
    </row>
    <row r="5247" spans="5:13">
      <c r="E5247" s="1077"/>
      <c r="F5247" s="1077"/>
      <c r="G5247" s="1077"/>
      <c r="H5247" s="1077"/>
      <c r="I5247" s="1077"/>
      <c r="J5247" s="1077"/>
      <c r="K5247" s="1077"/>
      <c r="L5247" s="1077"/>
      <c r="M5247" s="1077"/>
    </row>
    <row r="5248" spans="5:13">
      <c r="E5248" s="1077"/>
      <c r="F5248" s="1077"/>
      <c r="G5248" s="1077"/>
      <c r="H5248" s="1077"/>
      <c r="I5248" s="1077"/>
      <c r="J5248" s="1077"/>
      <c r="K5248" s="1077"/>
      <c r="L5248" s="1077"/>
      <c r="M5248" s="1077"/>
    </row>
    <row r="5249" spans="5:13">
      <c r="E5249" s="1077"/>
      <c r="F5249" s="1077"/>
      <c r="G5249" s="1077"/>
      <c r="H5249" s="1077"/>
      <c r="I5249" s="1077"/>
      <c r="J5249" s="1077"/>
      <c r="K5249" s="1077"/>
      <c r="L5249" s="1077"/>
      <c r="M5249" s="1077"/>
    </row>
    <row r="5250" spans="5:13">
      <c r="E5250" s="1077"/>
      <c r="F5250" s="1077"/>
      <c r="G5250" s="1077"/>
      <c r="H5250" s="1077"/>
      <c r="I5250" s="1077"/>
      <c r="J5250" s="1077"/>
      <c r="K5250" s="1077"/>
      <c r="L5250" s="1077"/>
      <c r="M5250" s="1077"/>
    </row>
    <row r="5251" spans="5:13">
      <c r="E5251" s="1077"/>
      <c r="F5251" s="1077"/>
      <c r="G5251" s="1077"/>
      <c r="H5251" s="1077"/>
      <c r="I5251" s="1077"/>
      <c r="J5251" s="1077"/>
      <c r="K5251" s="1077"/>
      <c r="L5251" s="1077"/>
      <c r="M5251" s="1077"/>
    </row>
    <row r="5252" spans="5:13">
      <c r="E5252" s="1077"/>
      <c r="F5252" s="1077"/>
      <c r="G5252" s="1077"/>
      <c r="H5252" s="1077"/>
      <c r="I5252" s="1077"/>
      <c r="J5252" s="1077"/>
      <c r="K5252" s="1077"/>
      <c r="L5252" s="1077"/>
      <c r="M5252" s="1077"/>
    </row>
    <row r="5253" spans="5:13">
      <c r="E5253" s="1077"/>
      <c r="F5253" s="1077"/>
      <c r="G5253" s="1077"/>
      <c r="H5253" s="1077"/>
      <c r="I5253" s="1077"/>
      <c r="J5253" s="1077"/>
      <c r="K5253" s="1077"/>
      <c r="L5253" s="1077"/>
      <c r="M5253" s="1077"/>
    </row>
    <row r="5254" spans="5:13">
      <c r="E5254" s="1077"/>
      <c r="F5254" s="1077"/>
      <c r="G5254" s="1077"/>
      <c r="H5254" s="1077"/>
      <c r="I5254" s="1077"/>
      <c r="J5254" s="1077"/>
      <c r="K5254" s="1077"/>
      <c r="L5254" s="1077"/>
      <c r="M5254" s="1077"/>
    </row>
    <row r="5255" spans="5:13">
      <c r="E5255" s="1077"/>
      <c r="F5255" s="1077"/>
      <c r="G5255" s="1077"/>
      <c r="H5255" s="1077"/>
      <c r="I5255" s="1077"/>
      <c r="J5255" s="1077"/>
      <c r="K5255" s="1077"/>
      <c r="L5255" s="1077"/>
      <c r="M5255" s="1077"/>
    </row>
    <row r="5256" spans="5:13">
      <c r="E5256" s="1077"/>
      <c r="F5256" s="1077"/>
      <c r="G5256" s="1077"/>
      <c r="H5256" s="1077"/>
      <c r="I5256" s="1077"/>
      <c r="J5256" s="1077"/>
      <c r="K5256" s="1077"/>
      <c r="L5256" s="1077"/>
      <c r="M5256" s="1077"/>
    </row>
    <row r="5257" spans="5:13">
      <c r="E5257" s="1077"/>
      <c r="F5257" s="1077"/>
      <c r="G5257" s="1077"/>
      <c r="H5257" s="1077"/>
      <c r="I5257" s="1077"/>
      <c r="J5257" s="1077"/>
      <c r="K5257" s="1077"/>
      <c r="L5257" s="1077"/>
      <c r="M5257" s="1077"/>
    </row>
    <row r="5258" spans="5:13">
      <c r="E5258" s="1077"/>
      <c r="F5258" s="1077"/>
      <c r="G5258" s="1077"/>
      <c r="H5258" s="1077"/>
      <c r="I5258" s="1077"/>
      <c r="J5258" s="1077"/>
      <c r="K5258" s="1077"/>
      <c r="L5258" s="1077"/>
      <c r="M5258" s="1077"/>
    </row>
    <row r="5259" spans="5:13">
      <c r="E5259" s="1077"/>
      <c r="F5259" s="1077"/>
      <c r="G5259" s="1077"/>
      <c r="H5259" s="1077"/>
      <c r="I5259" s="1077"/>
      <c r="J5259" s="1077"/>
      <c r="K5259" s="1077"/>
      <c r="L5259" s="1077"/>
      <c r="M5259" s="1077"/>
    </row>
    <row r="5260" spans="5:13">
      <c r="E5260" s="1077"/>
      <c r="F5260" s="1077"/>
      <c r="G5260" s="1077"/>
      <c r="H5260" s="1077"/>
      <c r="I5260" s="1077"/>
      <c r="J5260" s="1077"/>
      <c r="K5260" s="1077"/>
      <c r="L5260" s="1077"/>
      <c r="M5260" s="1077"/>
    </row>
    <row r="5261" spans="5:13">
      <c r="E5261" s="1077"/>
      <c r="F5261" s="1077"/>
      <c r="G5261" s="1077"/>
      <c r="H5261" s="1077"/>
      <c r="I5261" s="1077"/>
      <c r="J5261" s="1077"/>
      <c r="K5261" s="1077"/>
      <c r="L5261" s="1077"/>
      <c r="M5261" s="1077"/>
    </row>
    <row r="5262" spans="5:13">
      <c r="E5262" s="1077"/>
      <c r="F5262" s="1077"/>
      <c r="G5262" s="1077"/>
      <c r="H5262" s="1077"/>
      <c r="I5262" s="1077"/>
      <c r="J5262" s="1077"/>
      <c r="K5262" s="1077"/>
      <c r="L5262" s="1077"/>
      <c r="M5262" s="1077"/>
    </row>
    <row r="5263" spans="5:13">
      <c r="E5263" s="1077"/>
      <c r="F5263" s="1077"/>
      <c r="G5263" s="1077"/>
      <c r="H5263" s="1077"/>
      <c r="I5263" s="1077"/>
      <c r="J5263" s="1077"/>
      <c r="K5263" s="1077"/>
      <c r="L5263" s="1077"/>
      <c r="M5263" s="1077"/>
    </row>
    <row r="5264" spans="5:13">
      <c r="E5264" s="1077"/>
      <c r="F5264" s="1077"/>
      <c r="G5264" s="1077"/>
      <c r="H5264" s="1077"/>
      <c r="I5264" s="1077"/>
      <c r="J5264" s="1077"/>
      <c r="K5264" s="1077"/>
      <c r="L5264" s="1077"/>
      <c r="M5264" s="1077"/>
    </row>
    <row r="5265" spans="5:13">
      <c r="E5265" s="1077"/>
      <c r="F5265" s="1077"/>
      <c r="G5265" s="1077"/>
      <c r="H5265" s="1077"/>
      <c r="I5265" s="1077"/>
      <c r="J5265" s="1077"/>
      <c r="K5265" s="1077"/>
      <c r="L5265" s="1077"/>
      <c r="M5265" s="1077"/>
    </row>
    <row r="5266" spans="5:13">
      <c r="E5266" s="1077"/>
      <c r="F5266" s="1077"/>
      <c r="G5266" s="1077"/>
      <c r="H5266" s="1077"/>
      <c r="I5266" s="1077"/>
      <c r="J5266" s="1077"/>
      <c r="K5266" s="1077"/>
      <c r="L5266" s="1077"/>
      <c r="M5266" s="1077"/>
    </row>
    <row r="5267" spans="5:13">
      <c r="E5267" s="1077"/>
      <c r="F5267" s="1077"/>
      <c r="G5267" s="1077"/>
      <c r="H5267" s="1077"/>
      <c r="I5267" s="1077"/>
      <c r="J5267" s="1077"/>
      <c r="K5267" s="1077"/>
      <c r="L5267" s="1077"/>
      <c r="M5267" s="1077"/>
    </row>
    <row r="5268" spans="5:13">
      <c r="E5268" s="1077"/>
      <c r="F5268" s="1077"/>
      <c r="G5268" s="1077"/>
      <c r="H5268" s="1077"/>
      <c r="I5268" s="1077"/>
      <c r="J5268" s="1077"/>
      <c r="K5268" s="1077"/>
      <c r="L5268" s="1077"/>
      <c r="M5268" s="1077"/>
    </row>
    <row r="5269" spans="5:13">
      <c r="E5269" s="1077"/>
      <c r="F5269" s="1077"/>
      <c r="G5269" s="1077"/>
      <c r="H5269" s="1077"/>
      <c r="I5269" s="1077"/>
      <c r="J5269" s="1077"/>
      <c r="K5269" s="1077"/>
      <c r="L5269" s="1077"/>
      <c r="M5269" s="1077"/>
    </row>
    <row r="5270" spans="5:13">
      <c r="E5270" s="1077"/>
      <c r="F5270" s="1077"/>
      <c r="G5270" s="1077"/>
      <c r="H5270" s="1077"/>
      <c r="I5270" s="1077"/>
      <c r="J5270" s="1077"/>
      <c r="K5270" s="1077"/>
      <c r="L5270" s="1077"/>
      <c r="M5270" s="1077"/>
    </row>
    <row r="5271" spans="5:13">
      <c r="E5271" s="1077"/>
      <c r="F5271" s="1077"/>
      <c r="G5271" s="1077"/>
      <c r="H5271" s="1077"/>
      <c r="I5271" s="1077"/>
      <c r="J5271" s="1077"/>
      <c r="K5271" s="1077"/>
      <c r="L5271" s="1077"/>
      <c r="M5271" s="1077"/>
    </row>
    <row r="5272" spans="5:13">
      <c r="E5272" s="1077"/>
      <c r="F5272" s="1077"/>
      <c r="G5272" s="1077"/>
      <c r="H5272" s="1077"/>
      <c r="I5272" s="1077"/>
      <c r="J5272" s="1077"/>
      <c r="K5272" s="1077"/>
      <c r="L5272" s="1077"/>
      <c r="M5272" s="1077"/>
    </row>
    <row r="5273" spans="5:13">
      <c r="E5273" s="1077"/>
      <c r="F5273" s="1077"/>
      <c r="G5273" s="1077"/>
      <c r="H5273" s="1077"/>
      <c r="I5273" s="1077"/>
      <c r="J5273" s="1077"/>
      <c r="K5273" s="1077"/>
      <c r="L5273" s="1077"/>
      <c r="M5273" s="1077"/>
    </row>
    <row r="5274" spans="5:13">
      <c r="E5274" s="1077"/>
      <c r="F5274" s="1077"/>
      <c r="G5274" s="1077"/>
      <c r="H5274" s="1077"/>
      <c r="I5274" s="1077"/>
      <c r="J5274" s="1077"/>
      <c r="K5274" s="1077"/>
      <c r="L5274" s="1077"/>
      <c r="M5274" s="1077"/>
    </row>
    <row r="5275" spans="5:13">
      <c r="E5275" s="1077"/>
      <c r="F5275" s="1077"/>
      <c r="G5275" s="1077"/>
      <c r="H5275" s="1077"/>
      <c r="I5275" s="1077"/>
      <c r="J5275" s="1077"/>
      <c r="K5275" s="1077"/>
      <c r="L5275" s="1077"/>
      <c r="M5275" s="1077"/>
    </row>
    <row r="5276" spans="5:13">
      <c r="E5276" s="1077"/>
      <c r="F5276" s="1077"/>
      <c r="G5276" s="1077"/>
      <c r="H5276" s="1077"/>
      <c r="I5276" s="1077"/>
      <c r="J5276" s="1077"/>
      <c r="K5276" s="1077"/>
      <c r="L5276" s="1077"/>
      <c r="M5276" s="1077"/>
    </row>
    <row r="5277" spans="5:13">
      <c r="E5277" s="1077"/>
      <c r="F5277" s="1077"/>
      <c r="G5277" s="1077"/>
      <c r="H5277" s="1077"/>
      <c r="I5277" s="1077"/>
      <c r="J5277" s="1077"/>
      <c r="K5277" s="1077"/>
      <c r="L5277" s="1077"/>
      <c r="M5277" s="1077"/>
    </row>
    <row r="5278" spans="5:13">
      <c r="E5278" s="1077"/>
      <c r="F5278" s="1077"/>
      <c r="G5278" s="1077"/>
      <c r="H5278" s="1077"/>
      <c r="I5278" s="1077"/>
      <c r="J5278" s="1077"/>
      <c r="K5278" s="1077"/>
      <c r="L5278" s="1077"/>
      <c r="M5278" s="1077"/>
    </row>
    <row r="5279" spans="5:13">
      <c r="E5279" s="1077"/>
      <c r="F5279" s="1077"/>
      <c r="G5279" s="1077"/>
      <c r="H5279" s="1077"/>
      <c r="I5279" s="1077"/>
      <c r="J5279" s="1077"/>
      <c r="K5279" s="1077"/>
      <c r="L5279" s="1077"/>
      <c r="M5279" s="1077"/>
    </row>
    <row r="5280" spans="5:13">
      <c r="E5280" s="1077"/>
      <c r="F5280" s="1077"/>
      <c r="G5280" s="1077"/>
      <c r="H5280" s="1077"/>
      <c r="I5280" s="1077"/>
      <c r="J5280" s="1077"/>
      <c r="K5280" s="1077"/>
      <c r="L5280" s="1077"/>
      <c r="M5280" s="1077"/>
    </row>
    <row r="5281" spans="5:13">
      <c r="E5281" s="1077"/>
      <c r="F5281" s="1077"/>
      <c r="G5281" s="1077"/>
      <c r="H5281" s="1077"/>
      <c r="I5281" s="1077"/>
      <c r="J5281" s="1077"/>
      <c r="K5281" s="1077"/>
      <c r="L5281" s="1077"/>
      <c r="M5281" s="1077"/>
    </row>
    <row r="5282" spans="5:13">
      <c r="E5282" s="1077"/>
      <c r="F5282" s="1077"/>
      <c r="G5282" s="1077"/>
      <c r="H5282" s="1077"/>
      <c r="I5282" s="1077"/>
      <c r="J5282" s="1077"/>
      <c r="K5282" s="1077"/>
      <c r="L5282" s="1077"/>
      <c r="M5282" s="1077"/>
    </row>
    <row r="5283" spans="5:13">
      <c r="E5283" s="1077"/>
      <c r="F5283" s="1077"/>
      <c r="G5283" s="1077"/>
      <c r="H5283" s="1077"/>
      <c r="I5283" s="1077"/>
      <c r="J5283" s="1077"/>
      <c r="K5283" s="1077"/>
      <c r="L5283" s="1077"/>
      <c r="M5283" s="1077"/>
    </row>
    <row r="5284" spans="5:13">
      <c r="E5284" s="1077"/>
      <c r="F5284" s="1077"/>
      <c r="G5284" s="1077"/>
      <c r="H5284" s="1077"/>
      <c r="I5284" s="1077"/>
      <c r="J5284" s="1077"/>
      <c r="K5284" s="1077"/>
      <c r="L5284" s="1077"/>
      <c r="M5284" s="1077"/>
    </row>
    <row r="5285" spans="5:13">
      <c r="E5285" s="1077"/>
      <c r="F5285" s="1077"/>
      <c r="G5285" s="1077"/>
      <c r="H5285" s="1077"/>
      <c r="I5285" s="1077"/>
      <c r="J5285" s="1077"/>
      <c r="K5285" s="1077"/>
      <c r="L5285" s="1077"/>
      <c r="M5285" s="1077"/>
    </row>
    <row r="5286" spans="5:13">
      <c r="E5286" s="1077"/>
      <c r="F5286" s="1077"/>
      <c r="G5286" s="1077"/>
      <c r="H5286" s="1077"/>
      <c r="I5286" s="1077"/>
      <c r="J5286" s="1077"/>
      <c r="K5286" s="1077"/>
      <c r="L5286" s="1077"/>
      <c r="M5286" s="1077"/>
    </row>
    <row r="5287" spans="5:13">
      <c r="E5287" s="1077"/>
      <c r="F5287" s="1077"/>
      <c r="G5287" s="1077"/>
      <c r="H5287" s="1077"/>
      <c r="I5287" s="1077"/>
      <c r="J5287" s="1077"/>
      <c r="K5287" s="1077"/>
      <c r="L5287" s="1077"/>
      <c r="M5287" s="1077"/>
    </row>
    <row r="5288" spans="5:13">
      <c r="E5288" s="1077"/>
      <c r="F5288" s="1077"/>
      <c r="G5288" s="1077"/>
      <c r="H5288" s="1077"/>
      <c r="I5288" s="1077"/>
      <c r="J5288" s="1077"/>
      <c r="K5288" s="1077"/>
      <c r="L5288" s="1077"/>
      <c r="M5288" s="1077"/>
    </row>
    <row r="5289" spans="5:13">
      <c r="E5289" s="1077"/>
      <c r="F5289" s="1077"/>
      <c r="G5289" s="1077"/>
      <c r="H5289" s="1077"/>
      <c r="I5289" s="1077"/>
      <c r="J5289" s="1077"/>
      <c r="K5289" s="1077"/>
      <c r="L5289" s="1077"/>
      <c r="M5289" s="1077"/>
    </row>
    <row r="5290" spans="5:13">
      <c r="E5290" s="1077"/>
      <c r="F5290" s="1077"/>
      <c r="G5290" s="1077"/>
      <c r="H5290" s="1077"/>
      <c r="I5290" s="1077"/>
      <c r="J5290" s="1077"/>
      <c r="K5290" s="1077"/>
      <c r="L5290" s="1077"/>
      <c r="M5290" s="1077"/>
    </row>
    <row r="5291" spans="5:13">
      <c r="E5291" s="1077"/>
      <c r="F5291" s="1077"/>
      <c r="G5291" s="1077"/>
      <c r="H5291" s="1077"/>
      <c r="I5291" s="1077"/>
      <c r="J5291" s="1077"/>
      <c r="K5291" s="1077"/>
      <c r="L5291" s="1077"/>
      <c r="M5291" s="1077"/>
    </row>
    <row r="5292" spans="5:13">
      <c r="E5292" s="1077"/>
      <c r="F5292" s="1077"/>
      <c r="G5292" s="1077"/>
      <c r="H5292" s="1077"/>
      <c r="I5292" s="1077"/>
      <c r="J5292" s="1077"/>
      <c r="K5292" s="1077"/>
      <c r="L5292" s="1077"/>
      <c r="M5292" s="1077"/>
    </row>
    <row r="5293" spans="5:13">
      <c r="E5293" s="1077"/>
      <c r="F5293" s="1077"/>
      <c r="G5293" s="1077"/>
      <c r="H5293" s="1077"/>
      <c r="I5293" s="1077"/>
      <c r="J5293" s="1077"/>
      <c r="K5293" s="1077"/>
      <c r="L5293" s="1077"/>
      <c r="M5293" s="1077"/>
    </row>
    <row r="5294" spans="5:13">
      <c r="E5294" s="1077"/>
      <c r="F5294" s="1077"/>
      <c r="G5294" s="1077"/>
      <c r="H5294" s="1077"/>
      <c r="I5294" s="1077"/>
      <c r="J5294" s="1077"/>
      <c r="K5294" s="1077"/>
      <c r="L5294" s="1077"/>
      <c r="M5294" s="1077"/>
    </row>
    <row r="5295" spans="5:13">
      <c r="E5295" s="1077"/>
      <c r="F5295" s="1077"/>
      <c r="G5295" s="1077"/>
      <c r="H5295" s="1077"/>
      <c r="I5295" s="1077"/>
      <c r="J5295" s="1077"/>
      <c r="K5295" s="1077"/>
      <c r="L5295" s="1077"/>
      <c r="M5295" s="1077"/>
    </row>
    <row r="5296" spans="5:13">
      <c r="E5296" s="1077"/>
      <c r="F5296" s="1077"/>
      <c r="G5296" s="1077"/>
      <c r="H5296" s="1077"/>
      <c r="I5296" s="1077"/>
      <c r="J5296" s="1077"/>
      <c r="K5296" s="1077"/>
      <c r="L5296" s="1077"/>
      <c r="M5296" s="1077"/>
    </row>
    <row r="5297" spans="5:13">
      <c r="E5297" s="1077"/>
      <c r="F5297" s="1077"/>
      <c r="G5297" s="1077"/>
      <c r="H5297" s="1077"/>
      <c r="I5297" s="1077"/>
      <c r="J5297" s="1077"/>
      <c r="K5297" s="1077"/>
      <c r="L5297" s="1077"/>
      <c r="M5297" s="1077"/>
    </row>
    <row r="5298" spans="5:13">
      <c r="E5298" s="1077"/>
      <c r="F5298" s="1077"/>
      <c r="G5298" s="1077"/>
      <c r="H5298" s="1077"/>
      <c r="I5298" s="1077"/>
      <c r="J5298" s="1077"/>
      <c r="K5298" s="1077"/>
      <c r="L5298" s="1077"/>
      <c r="M5298" s="1077"/>
    </row>
    <row r="5299" spans="5:13">
      <c r="E5299" s="1077"/>
      <c r="F5299" s="1077"/>
      <c r="G5299" s="1077"/>
      <c r="H5299" s="1077"/>
      <c r="I5299" s="1077"/>
      <c r="J5299" s="1077"/>
      <c r="K5299" s="1077"/>
      <c r="L5299" s="1077"/>
      <c r="M5299" s="1077"/>
    </row>
    <row r="5300" spans="5:13">
      <c r="E5300" s="1077"/>
      <c r="F5300" s="1077"/>
      <c r="G5300" s="1077"/>
      <c r="H5300" s="1077"/>
      <c r="I5300" s="1077"/>
      <c r="J5300" s="1077"/>
      <c r="K5300" s="1077"/>
      <c r="L5300" s="1077"/>
      <c r="M5300" s="1077"/>
    </row>
    <row r="5301" spans="5:13">
      <c r="E5301" s="1077"/>
      <c r="F5301" s="1077"/>
      <c r="G5301" s="1077"/>
      <c r="H5301" s="1077"/>
      <c r="I5301" s="1077"/>
      <c r="J5301" s="1077"/>
      <c r="K5301" s="1077"/>
      <c r="L5301" s="1077"/>
      <c r="M5301" s="1077"/>
    </row>
    <row r="5302" spans="5:13">
      <c r="E5302" s="1077"/>
      <c r="F5302" s="1077"/>
      <c r="G5302" s="1077"/>
      <c r="H5302" s="1077"/>
      <c r="I5302" s="1077"/>
      <c r="J5302" s="1077"/>
      <c r="K5302" s="1077"/>
      <c r="L5302" s="1077"/>
      <c r="M5302" s="1077"/>
    </row>
    <row r="5303" spans="5:13">
      <c r="E5303" s="1077"/>
      <c r="F5303" s="1077"/>
      <c r="G5303" s="1077"/>
      <c r="H5303" s="1077"/>
      <c r="I5303" s="1077"/>
      <c r="J5303" s="1077"/>
      <c r="K5303" s="1077"/>
      <c r="L5303" s="1077"/>
      <c r="M5303" s="1077"/>
    </row>
    <row r="5304" spans="5:13">
      <c r="E5304" s="1077"/>
      <c r="F5304" s="1077"/>
      <c r="G5304" s="1077"/>
      <c r="H5304" s="1077"/>
      <c r="I5304" s="1077"/>
      <c r="J5304" s="1077"/>
      <c r="K5304" s="1077"/>
      <c r="L5304" s="1077"/>
      <c r="M5304" s="1077"/>
    </row>
    <row r="5305" spans="5:13">
      <c r="E5305" s="1077"/>
      <c r="F5305" s="1077"/>
      <c r="G5305" s="1077"/>
      <c r="H5305" s="1077"/>
      <c r="I5305" s="1077"/>
      <c r="J5305" s="1077"/>
      <c r="K5305" s="1077"/>
      <c r="L5305" s="1077"/>
      <c r="M5305" s="1077"/>
    </row>
    <row r="5306" spans="5:13">
      <c r="E5306" s="1077"/>
      <c r="F5306" s="1077"/>
      <c r="G5306" s="1077"/>
      <c r="H5306" s="1077"/>
      <c r="I5306" s="1077"/>
      <c r="J5306" s="1077"/>
      <c r="K5306" s="1077"/>
      <c r="L5306" s="1077"/>
      <c r="M5306" s="1077"/>
    </row>
    <row r="5307" spans="5:13">
      <c r="E5307" s="1077"/>
      <c r="F5307" s="1077"/>
      <c r="G5307" s="1077"/>
      <c r="H5307" s="1077"/>
      <c r="I5307" s="1077"/>
      <c r="J5307" s="1077"/>
      <c r="K5307" s="1077"/>
      <c r="L5307" s="1077"/>
      <c r="M5307" s="1077"/>
    </row>
    <row r="5308" spans="5:13">
      <c r="E5308" s="1077"/>
      <c r="F5308" s="1077"/>
      <c r="G5308" s="1077"/>
      <c r="H5308" s="1077"/>
      <c r="I5308" s="1077"/>
      <c r="J5308" s="1077"/>
      <c r="K5308" s="1077"/>
      <c r="L5308" s="1077"/>
      <c r="M5308" s="1077"/>
    </row>
    <row r="5309" spans="5:13">
      <c r="E5309" s="1077"/>
      <c r="F5309" s="1077"/>
      <c r="G5309" s="1077"/>
      <c r="H5309" s="1077"/>
      <c r="I5309" s="1077"/>
      <c r="J5309" s="1077"/>
      <c r="K5309" s="1077"/>
      <c r="L5309" s="1077"/>
      <c r="M5309" s="1077"/>
    </row>
    <row r="5310" spans="5:13">
      <c r="E5310" s="1077"/>
      <c r="F5310" s="1077"/>
      <c r="G5310" s="1077"/>
      <c r="H5310" s="1077"/>
      <c r="I5310" s="1077"/>
      <c r="J5310" s="1077"/>
      <c r="K5310" s="1077"/>
      <c r="L5310" s="1077"/>
      <c r="M5310" s="1077"/>
    </row>
    <row r="5311" spans="5:13">
      <c r="E5311" s="1077"/>
      <c r="F5311" s="1077"/>
      <c r="G5311" s="1077"/>
      <c r="H5311" s="1077"/>
      <c r="I5311" s="1077"/>
      <c r="J5311" s="1077"/>
      <c r="K5311" s="1077"/>
      <c r="L5311" s="1077"/>
      <c r="M5311" s="1077"/>
    </row>
    <row r="5312" spans="5:13">
      <c r="E5312" s="1077"/>
      <c r="F5312" s="1077"/>
      <c r="G5312" s="1077"/>
      <c r="H5312" s="1077"/>
      <c r="I5312" s="1077"/>
      <c r="J5312" s="1077"/>
      <c r="K5312" s="1077"/>
      <c r="L5312" s="1077"/>
      <c r="M5312" s="1077"/>
    </row>
    <row r="5313" spans="5:13">
      <c r="E5313" s="1077"/>
      <c r="F5313" s="1077"/>
      <c r="G5313" s="1077"/>
      <c r="H5313" s="1077"/>
      <c r="I5313" s="1077"/>
      <c r="J5313" s="1077"/>
      <c r="K5313" s="1077"/>
      <c r="L5313" s="1077"/>
      <c r="M5313" s="1077"/>
    </row>
    <row r="5314" spans="5:13">
      <c r="E5314" s="1077"/>
      <c r="F5314" s="1077"/>
      <c r="G5314" s="1077"/>
      <c r="H5314" s="1077"/>
      <c r="I5314" s="1077"/>
      <c r="J5314" s="1077"/>
      <c r="K5314" s="1077"/>
      <c r="L5314" s="1077"/>
      <c r="M5314" s="1077"/>
    </row>
    <row r="5315" spans="5:13">
      <c r="E5315" s="1077"/>
      <c r="F5315" s="1077"/>
      <c r="G5315" s="1077"/>
      <c r="H5315" s="1077"/>
      <c r="I5315" s="1077"/>
      <c r="J5315" s="1077"/>
      <c r="K5315" s="1077"/>
      <c r="L5315" s="1077"/>
      <c r="M5315" s="1077"/>
    </row>
    <row r="5316" spans="5:13">
      <c r="E5316" s="1077"/>
      <c r="F5316" s="1077"/>
      <c r="G5316" s="1077"/>
      <c r="H5316" s="1077"/>
      <c r="I5316" s="1077"/>
      <c r="J5316" s="1077"/>
      <c r="K5316" s="1077"/>
      <c r="L5316" s="1077"/>
      <c r="M5316" s="1077"/>
    </row>
    <row r="5317" spans="5:13">
      <c r="E5317" s="1077"/>
      <c r="F5317" s="1077"/>
      <c r="G5317" s="1077"/>
      <c r="H5317" s="1077"/>
      <c r="I5317" s="1077"/>
      <c r="J5317" s="1077"/>
      <c r="K5317" s="1077"/>
      <c r="L5317" s="1077"/>
      <c r="M5317" s="1077"/>
    </row>
    <row r="5318" spans="5:13">
      <c r="E5318" s="1077"/>
      <c r="F5318" s="1077"/>
      <c r="G5318" s="1077"/>
      <c r="H5318" s="1077"/>
      <c r="I5318" s="1077"/>
      <c r="J5318" s="1077"/>
      <c r="K5318" s="1077"/>
      <c r="L5318" s="1077"/>
      <c r="M5318" s="1077"/>
    </row>
    <row r="5319" spans="5:13">
      <c r="E5319" s="1077"/>
      <c r="F5319" s="1077"/>
      <c r="G5319" s="1077"/>
      <c r="H5319" s="1077"/>
      <c r="I5319" s="1077"/>
      <c r="J5319" s="1077"/>
      <c r="K5319" s="1077"/>
      <c r="L5319" s="1077"/>
      <c r="M5319" s="1077"/>
    </row>
    <row r="5320" spans="5:13">
      <c r="E5320" s="1077"/>
      <c r="F5320" s="1077"/>
      <c r="G5320" s="1077"/>
      <c r="H5320" s="1077"/>
      <c r="I5320" s="1077"/>
      <c r="J5320" s="1077"/>
      <c r="K5320" s="1077"/>
      <c r="L5320" s="1077"/>
      <c r="M5320" s="1077"/>
    </row>
    <row r="5321" spans="5:13">
      <c r="E5321" s="1077"/>
      <c r="F5321" s="1077"/>
      <c r="G5321" s="1077"/>
      <c r="H5321" s="1077"/>
      <c r="I5321" s="1077"/>
      <c r="J5321" s="1077"/>
      <c r="K5321" s="1077"/>
      <c r="L5321" s="1077"/>
      <c r="M5321" s="1077"/>
    </row>
    <row r="5322" spans="5:13">
      <c r="E5322" s="1077"/>
      <c r="F5322" s="1077"/>
      <c r="G5322" s="1077"/>
      <c r="H5322" s="1077"/>
      <c r="I5322" s="1077"/>
      <c r="J5322" s="1077"/>
      <c r="K5322" s="1077"/>
      <c r="L5322" s="1077"/>
      <c r="M5322" s="1077"/>
    </row>
    <row r="5323" spans="5:13">
      <c r="E5323" s="1077"/>
      <c r="F5323" s="1077"/>
      <c r="G5323" s="1077"/>
      <c r="H5323" s="1077"/>
      <c r="I5323" s="1077"/>
      <c r="J5323" s="1077"/>
      <c r="K5323" s="1077"/>
      <c r="L5323" s="1077"/>
      <c r="M5323" s="1077"/>
    </row>
    <row r="5324" spans="5:13">
      <c r="E5324" s="1077"/>
      <c r="F5324" s="1077"/>
      <c r="G5324" s="1077"/>
      <c r="H5324" s="1077"/>
      <c r="I5324" s="1077"/>
      <c r="J5324" s="1077"/>
      <c r="K5324" s="1077"/>
      <c r="L5324" s="1077"/>
      <c r="M5324" s="1077"/>
    </row>
    <row r="5325" spans="5:13">
      <c r="E5325" s="1077"/>
      <c r="F5325" s="1077"/>
      <c r="G5325" s="1077"/>
      <c r="H5325" s="1077"/>
      <c r="I5325" s="1077"/>
      <c r="J5325" s="1077"/>
      <c r="K5325" s="1077"/>
      <c r="L5325" s="1077"/>
      <c r="M5325" s="1077"/>
    </row>
    <row r="5326" spans="5:13">
      <c r="E5326" s="1077"/>
      <c r="F5326" s="1077"/>
      <c r="G5326" s="1077"/>
      <c r="H5326" s="1077"/>
      <c r="I5326" s="1077"/>
      <c r="J5326" s="1077"/>
      <c r="K5326" s="1077"/>
      <c r="L5326" s="1077"/>
      <c r="M5326" s="1077"/>
    </row>
    <row r="5327" spans="5:13">
      <c r="E5327" s="1077"/>
      <c r="F5327" s="1077"/>
      <c r="G5327" s="1077"/>
      <c r="H5327" s="1077"/>
      <c r="I5327" s="1077"/>
      <c r="J5327" s="1077"/>
      <c r="K5327" s="1077"/>
      <c r="L5327" s="1077"/>
      <c r="M5327" s="1077"/>
    </row>
    <row r="5328" spans="5:13">
      <c r="E5328" s="1077"/>
      <c r="F5328" s="1077"/>
      <c r="G5328" s="1077"/>
      <c r="H5328" s="1077"/>
      <c r="I5328" s="1077"/>
      <c r="J5328" s="1077"/>
      <c r="K5328" s="1077"/>
      <c r="L5328" s="1077"/>
      <c r="M5328" s="1077"/>
    </row>
    <row r="5329" spans="5:13">
      <c r="E5329" s="1077"/>
      <c r="F5329" s="1077"/>
      <c r="G5329" s="1077"/>
      <c r="H5329" s="1077"/>
      <c r="I5329" s="1077"/>
      <c r="J5329" s="1077"/>
      <c r="K5329" s="1077"/>
      <c r="L5329" s="1077"/>
      <c r="M5329" s="1077"/>
    </row>
    <row r="5330" spans="5:13">
      <c r="E5330" s="1077"/>
      <c r="F5330" s="1077"/>
      <c r="G5330" s="1077"/>
      <c r="H5330" s="1077"/>
      <c r="I5330" s="1077"/>
      <c r="J5330" s="1077"/>
      <c r="K5330" s="1077"/>
      <c r="L5330" s="1077"/>
      <c r="M5330" s="1077"/>
    </row>
    <row r="5331" spans="5:13">
      <c r="E5331" s="1077"/>
      <c r="F5331" s="1077"/>
      <c r="G5331" s="1077"/>
      <c r="H5331" s="1077"/>
      <c r="I5331" s="1077"/>
      <c r="J5331" s="1077"/>
      <c r="K5331" s="1077"/>
      <c r="L5331" s="1077"/>
      <c r="M5331" s="1077"/>
    </row>
    <row r="5332" spans="5:13">
      <c r="E5332" s="1077"/>
      <c r="F5332" s="1077"/>
      <c r="G5332" s="1077"/>
      <c r="H5332" s="1077"/>
      <c r="I5332" s="1077"/>
      <c r="J5332" s="1077"/>
      <c r="K5332" s="1077"/>
      <c r="L5332" s="1077"/>
      <c r="M5332" s="1077"/>
    </row>
    <row r="5333" spans="5:13">
      <c r="E5333" s="1077"/>
      <c r="F5333" s="1077"/>
      <c r="G5333" s="1077"/>
      <c r="H5333" s="1077"/>
      <c r="I5333" s="1077"/>
      <c r="J5333" s="1077"/>
      <c r="K5333" s="1077"/>
      <c r="L5333" s="1077"/>
      <c r="M5333" s="1077"/>
    </row>
    <row r="5334" spans="5:13">
      <c r="E5334" s="1077"/>
      <c r="F5334" s="1077"/>
      <c r="G5334" s="1077"/>
      <c r="H5334" s="1077"/>
      <c r="I5334" s="1077"/>
      <c r="J5334" s="1077"/>
      <c r="K5334" s="1077"/>
      <c r="L5334" s="1077"/>
      <c r="M5334" s="1077"/>
    </row>
    <row r="5335" spans="5:13">
      <c r="E5335" s="1077"/>
      <c r="F5335" s="1077"/>
      <c r="G5335" s="1077"/>
      <c r="H5335" s="1077"/>
      <c r="I5335" s="1077"/>
      <c r="J5335" s="1077"/>
      <c r="K5335" s="1077"/>
      <c r="L5335" s="1077"/>
      <c r="M5335" s="1077"/>
    </row>
    <row r="5336" spans="5:13">
      <c r="E5336" s="1077"/>
      <c r="F5336" s="1077"/>
      <c r="G5336" s="1077"/>
      <c r="H5336" s="1077"/>
      <c r="I5336" s="1077"/>
      <c r="J5336" s="1077"/>
      <c r="K5336" s="1077"/>
      <c r="L5336" s="1077"/>
      <c r="M5336" s="1077"/>
    </row>
    <row r="5337" spans="5:13">
      <c r="E5337" s="1077"/>
      <c r="F5337" s="1077"/>
      <c r="G5337" s="1077"/>
      <c r="H5337" s="1077"/>
      <c r="I5337" s="1077"/>
      <c r="J5337" s="1077"/>
      <c r="K5337" s="1077"/>
      <c r="L5337" s="1077"/>
      <c r="M5337" s="1077"/>
    </row>
    <row r="5338" spans="5:13">
      <c r="E5338" s="1077"/>
      <c r="F5338" s="1077"/>
      <c r="G5338" s="1077"/>
      <c r="H5338" s="1077"/>
      <c r="I5338" s="1077"/>
      <c r="J5338" s="1077"/>
      <c r="K5338" s="1077"/>
      <c r="L5338" s="1077"/>
      <c r="M5338" s="1077"/>
    </row>
    <row r="5339" spans="5:13">
      <c r="E5339" s="1077"/>
      <c r="F5339" s="1077"/>
      <c r="G5339" s="1077"/>
      <c r="H5339" s="1077"/>
      <c r="I5339" s="1077"/>
      <c r="J5339" s="1077"/>
      <c r="K5339" s="1077"/>
      <c r="L5339" s="1077"/>
      <c r="M5339" s="1077"/>
    </row>
    <row r="5340" spans="5:13">
      <c r="E5340" s="1077"/>
      <c r="F5340" s="1077"/>
      <c r="G5340" s="1077"/>
      <c r="H5340" s="1077"/>
      <c r="I5340" s="1077"/>
      <c r="J5340" s="1077"/>
      <c r="K5340" s="1077"/>
      <c r="L5340" s="1077"/>
      <c r="M5340" s="1077"/>
    </row>
    <row r="5341" spans="5:13">
      <c r="E5341" s="1077"/>
      <c r="F5341" s="1077"/>
      <c r="G5341" s="1077"/>
      <c r="H5341" s="1077"/>
      <c r="I5341" s="1077"/>
      <c r="J5341" s="1077"/>
      <c r="K5341" s="1077"/>
      <c r="L5341" s="1077"/>
      <c r="M5341" s="1077"/>
    </row>
    <row r="5342" spans="5:13">
      <c r="E5342" s="1077"/>
      <c r="F5342" s="1077"/>
      <c r="G5342" s="1077"/>
      <c r="H5342" s="1077"/>
      <c r="I5342" s="1077"/>
      <c r="J5342" s="1077"/>
      <c r="K5342" s="1077"/>
      <c r="L5342" s="1077"/>
      <c r="M5342" s="1077"/>
    </row>
    <row r="5343" spans="5:13">
      <c r="E5343" s="1077"/>
      <c r="F5343" s="1077"/>
      <c r="G5343" s="1077"/>
      <c r="H5343" s="1077"/>
      <c r="I5343" s="1077"/>
      <c r="J5343" s="1077"/>
      <c r="K5343" s="1077"/>
      <c r="L5343" s="1077"/>
      <c r="M5343" s="1077"/>
    </row>
    <row r="5344" spans="5:13">
      <c r="E5344" s="1077"/>
      <c r="F5344" s="1077"/>
      <c r="G5344" s="1077"/>
      <c r="H5344" s="1077"/>
      <c r="I5344" s="1077"/>
      <c r="J5344" s="1077"/>
      <c r="K5344" s="1077"/>
      <c r="L5344" s="1077"/>
      <c r="M5344" s="1077"/>
    </row>
    <row r="5345" spans="5:13">
      <c r="E5345" s="1077"/>
      <c r="F5345" s="1077"/>
      <c r="G5345" s="1077"/>
      <c r="H5345" s="1077"/>
      <c r="I5345" s="1077"/>
      <c r="J5345" s="1077"/>
      <c r="K5345" s="1077"/>
      <c r="L5345" s="1077"/>
      <c r="M5345" s="1077"/>
    </row>
    <row r="5346" spans="5:13">
      <c r="E5346" s="1077"/>
      <c r="F5346" s="1077"/>
      <c r="G5346" s="1077"/>
      <c r="H5346" s="1077"/>
      <c r="I5346" s="1077"/>
      <c r="J5346" s="1077"/>
      <c r="K5346" s="1077"/>
      <c r="L5346" s="1077"/>
      <c r="M5346" s="1077"/>
    </row>
    <row r="5347" spans="5:13">
      <c r="E5347" s="1077"/>
      <c r="F5347" s="1077"/>
      <c r="G5347" s="1077"/>
      <c r="H5347" s="1077"/>
      <c r="I5347" s="1077"/>
      <c r="J5347" s="1077"/>
      <c r="K5347" s="1077"/>
      <c r="L5347" s="1077"/>
      <c r="M5347" s="1077"/>
    </row>
    <row r="5348" spans="5:13">
      <c r="E5348" s="1077"/>
      <c r="F5348" s="1077"/>
      <c r="G5348" s="1077"/>
      <c r="H5348" s="1077"/>
      <c r="I5348" s="1077"/>
      <c r="J5348" s="1077"/>
      <c r="K5348" s="1077"/>
      <c r="L5348" s="1077"/>
      <c r="M5348" s="1077"/>
    </row>
    <row r="5349" spans="5:13">
      <c r="E5349" s="1077"/>
      <c r="F5349" s="1077"/>
      <c r="G5349" s="1077"/>
      <c r="H5349" s="1077"/>
      <c r="I5349" s="1077"/>
      <c r="J5349" s="1077"/>
      <c r="K5349" s="1077"/>
      <c r="L5349" s="1077"/>
      <c r="M5349" s="1077"/>
    </row>
    <row r="5350" spans="5:13">
      <c r="E5350" s="1077"/>
      <c r="F5350" s="1077"/>
      <c r="G5350" s="1077"/>
      <c r="H5350" s="1077"/>
      <c r="I5350" s="1077"/>
      <c r="J5350" s="1077"/>
      <c r="K5350" s="1077"/>
      <c r="L5350" s="1077"/>
      <c r="M5350" s="1077"/>
    </row>
    <row r="5351" spans="5:13">
      <c r="E5351" s="1077"/>
      <c r="F5351" s="1077"/>
      <c r="G5351" s="1077"/>
      <c r="H5351" s="1077"/>
      <c r="I5351" s="1077"/>
      <c r="J5351" s="1077"/>
      <c r="K5351" s="1077"/>
      <c r="L5351" s="1077"/>
      <c r="M5351" s="1077"/>
    </row>
    <row r="5352" spans="5:13">
      <c r="E5352" s="1077"/>
      <c r="F5352" s="1077"/>
      <c r="G5352" s="1077"/>
      <c r="H5352" s="1077"/>
      <c r="I5352" s="1077"/>
      <c r="J5352" s="1077"/>
      <c r="K5352" s="1077"/>
      <c r="L5352" s="1077"/>
      <c r="M5352" s="1077"/>
    </row>
    <row r="5353" spans="5:13">
      <c r="E5353" s="1077"/>
      <c r="F5353" s="1077"/>
      <c r="G5353" s="1077"/>
      <c r="H5353" s="1077"/>
      <c r="I5353" s="1077"/>
      <c r="J5353" s="1077"/>
      <c r="K5353" s="1077"/>
      <c r="L5353" s="1077"/>
      <c r="M5353" s="1077"/>
    </row>
    <row r="5354" spans="5:13">
      <c r="E5354" s="1077"/>
      <c r="F5354" s="1077"/>
      <c r="G5354" s="1077"/>
      <c r="H5354" s="1077"/>
      <c r="I5354" s="1077"/>
      <c r="J5354" s="1077"/>
      <c r="K5354" s="1077"/>
      <c r="L5354" s="1077"/>
      <c r="M5354" s="1077"/>
    </row>
    <row r="5355" spans="5:13">
      <c r="E5355" s="1077"/>
      <c r="F5355" s="1077"/>
      <c r="G5355" s="1077"/>
      <c r="H5355" s="1077"/>
      <c r="I5355" s="1077"/>
      <c r="J5355" s="1077"/>
      <c r="K5355" s="1077"/>
      <c r="L5355" s="1077"/>
      <c r="M5355" s="1077"/>
    </row>
    <row r="5356" spans="5:13">
      <c r="E5356" s="1077"/>
      <c r="F5356" s="1077"/>
      <c r="G5356" s="1077"/>
      <c r="H5356" s="1077"/>
      <c r="I5356" s="1077"/>
      <c r="J5356" s="1077"/>
      <c r="K5356" s="1077"/>
      <c r="L5356" s="1077"/>
      <c r="M5356" s="1077"/>
    </row>
    <row r="5357" spans="5:13">
      <c r="E5357" s="1077"/>
      <c r="F5357" s="1077"/>
      <c r="G5357" s="1077"/>
      <c r="H5357" s="1077"/>
      <c r="I5357" s="1077"/>
      <c r="J5357" s="1077"/>
      <c r="K5357" s="1077"/>
      <c r="L5357" s="1077"/>
      <c r="M5357" s="1077"/>
    </row>
    <row r="5358" spans="5:13">
      <c r="E5358" s="1077"/>
      <c r="F5358" s="1077"/>
      <c r="G5358" s="1077"/>
      <c r="H5358" s="1077"/>
      <c r="I5358" s="1077"/>
      <c r="J5358" s="1077"/>
      <c r="K5358" s="1077"/>
      <c r="L5358" s="1077"/>
      <c r="M5358" s="1077"/>
    </row>
    <row r="5359" spans="5:13">
      <c r="E5359" s="1077"/>
      <c r="F5359" s="1077"/>
      <c r="G5359" s="1077"/>
      <c r="H5359" s="1077"/>
      <c r="I5359" s="1077"/>
      <c r="J5359" s="1077"/>
      <c r="K5359" s="1077"/>
      <c r="L5359" s="1077"/>
      <c r="M5359" s="1077"/>
    </row>
    <row r="5360" spans="5:13">
      <c r="E5360" s="1077"/>
      <c r="F5360" s="1077"/>
      <c r="G5360" s="1077"/>
      <c r="H5360" s="1077"/>
      <c r="I5360" s="1077"/>
      <c r="J5360" s="1077"/>
      <c r="K5360" s="1077"/>
      <c r="L5360" s="1077"/>
      <c r="M5360" s="1077"/>
    </row>
    <row r="5361" spans="5:13">
      <c r="E5361" s="1077"/>
      <c r="F5361" s="1077"/>
      <c r="G5361" s="1077"/>
      <c r="H5361" s="1077"/>
      <c r="I5361" s="1077"/>
      <c r="J5361" s="1077"/>
      <c r="K5361" s="1077"/>
      <c r="L5361" s="1077"/>
      <c r="M5361" s="1077"/>
    </row>
    <row r="5362" spans="5:13">
      <c r="E5362" s="1077"/>
      <c r="F5362" s="1077"/>
      <c r="G5362" s="1077"/>
      <c r="H5362" s="1077"/>
      <c r="I5362" s="1077"/>
      <c r="J5362" s="1077"/>
      <c r="K5362" s="1077"/>
      <c r="L5362" s="1077"/>
      <c r="M5362" s="1077"/>
    </row>
    <row r="5363" spans="5:13">
      <c r="E5363" s="1077"/>
      <c r="F5363" s="1077"/>
      <c r="G5363" s="1077"/>
      <c r="H5363" s="1077"/>
      <c r="I5363" s="1077"/>
      <c r="J5363" s="1077"/>
      <c r="K5363" s="1077"/>
      <c r="L5363" s="1077"/>
      <c r="M5363" s="1077"/>
    </row>
    <row r="5364" spans="5:13">
      <c r="E5364" s="1077"/>
      <c r="F5364" s="1077"/>
      <c r="G5364" s="1077"/>
      <c r="H5364" s="1077"/>
      <c r="I5364" s="1077"/>
      <c r="J5364" s="1077"/>
      <c r="K5364" s="1077"/>
      <c r="L5364" s="1077"/>
      <c r="M5364" s="1077"/>
    </row>
    <row r="5365" spans="5:13">
      <c r="E5365" s="1077"/>
      <c r="F5365" s="1077"/>
      <c r="G5365" s="1077"/>
      <c r="H5365" s="1077"/>
      <c r="I5365" s="1077"/>
      <c r="J5365" s="1077"/>
      <c r="K5365" s="1077"/>
      <c r="L5365" s="1077"/>
      <c r="M5365" s="1077"/>
    </row>
    <row r="5366" spans="5:13">
      <c r="E5366" s="1077"/>
      <c r="F5366" s="1077"/>
      <c r="G5366" s="1077"/>
      <c r="H5366" s="1077"/>
      <c r="I5366" s="1077"/>
      <c r="J5366" s="1077"/>
      <c r="K5366" s="1077"/>
      <c r="L5366" s="1077"/>
      <c r="M5366" s="1077"/>
    </row>
    <row r="5367" spans="5:13">
      <c r="E5367" s="1077"/>
      <c r="F5367" s="1077"/>
      <c r="G5367" s="1077"/>
      <c r="H5367" s="1077"/>
      <c r="I5367" s="1077"/>
      <c r="J5367" s="1077"/>
      <c r="K5367" s="1077"/>
      <c r="L5367" s="1077"/>
      <c r="M5367" s="1077"/>
    </row>
    <row r="5368" spans="5:13">
      <c r="E5368" s="1077"/>
      <c r="F5368" s="1077"/>
      <c r="G5368" s="1077"/>
      <c r="H5368" s="1077"/>
      <c r="I5368" s="1077"/>
      <c r="J5368" s="1077"/>
      <c r="K5368" s="1077"/>
      <c r="L5368" s="1077"/>
      <c r="M5368" s="1077"/>
    </row>
    <row r="5369" spans="5:13">
      <c r="E5369" s="1077"/>
      <c r="F5369" s="1077"/>
      <c r="G5369" s="1077"/>
      <c r="H5369" s="1077"/>
      <c r="I5369" s="1077"/>
      <c r="J5369" s="1077"/>
      <c r="K5369" s="1077"/>
      <c r="L5369" s="1077"/>
      <c r="M5369" s="1077"/>
    </row>
    <row r="5370" spans="5:13">
      <c r="E5370" s="1077"/>
      <c r="F5370" s="1077"/>
      <c r="G5370" s="1077"/>
      <c r="H5370" s="1077"/>
      <c r="I5370" s="1077"/>
      <c r="J5370" s="1077"/>
      <c r="K5370" s="1077"/>
      <c r="L5370" s="1077"/>
      <c r="M5370" s="1077"/>
    </row>
    <row r="5371" spans="5:13">
      <c r="E5371" s="1077"/>
      <c r="F5371" s="1077"/>
      <c r="G5371" s="1077"/>
      <c r="H5371" s="1077"/>
      <c r="I5371" s="1077"/>
      <c r="J5371" s="1077"/>
      <c r="K5371" s="1077"/>
      <c r="L5371" s="1077"/>
      <c r="M5371" s="1077"/>
    </row>
    <row r="5372" spans="5:13">
      <c r="E5372" s="1077"/>
      <c r="F5372" s="1077"/>
      <c r="G5372" s="1077"/>
      <c r="H5372" s="1077"/>
      <c r="I5372" s="1077"/>
      <c r="J5372" s="1077"/>
      <c r="K5372" s="1077"/>
      <c r="L5372" s="1077"/>
      <c r="M5372" s="1077"/>
    </row>
    <row r="5373" spans="5:13">
      <c r="E5373" s="1077"/>
      <c r="F5373" s="1077"/>
      <c r="G5373" s="1077"/>
      <c r="H5373" s="1077"/>
      <c r="I5373" s="1077"/>
      <c r="J5373" s="1077"/>
      <c r="K5373" s="1077"/>
      <c r="L5373" s="1077"/>
      <c r="M5373" s="1077"/>
    </row>
    <row r="5374" spans="5:13">
      <c r="E5374" s="1077"/>
      <c r="F5374" s="1077"/>
      <c r="G5374" s="1077"/>
      <c r="H5374" s="1077"/>
      <c r="I5374" s="1077"/>
      <c r="J5374" s="1077"/>
      <c r="K5374" s="1077"/>
      <c r="L5374" s="1077"/>
      <c r="M5374" s="1077"/>
    </row>
    <row r="5375" spans="5:13">
      <c r="E5375" s="1077"/>
      <c r="F5375" s="1077"/>
      <c r="G5375" s="1077"/>
      <c r="H5375" s="1077"/>
      <c r="I5375" s="1077"/>
      <c r="J5375" s="1077"/>
      <c r="K5375" s="1077"/>
      <c r="L5375" s="1077"/>
      <c r="M5375" s="1077"/>
    </row>
    <row r="5376" spans="5:13">
      <c r="E5376" s="1077"/>
      <c r="F5376" s="1077"/>
      <c r="G5376" s="1077"/>
      <c r="H5376" s="1077"/>
      <c r="I5376" s="1077"/>
      <c r="J5376" s="1077"/>
      <c r="K5376" s="1077"/>
      <c r="L5376" s="1077"/>
      <c r="M5376" s="1077"/>
    </row>
    <row r="5377" spans="5:13">
      <c r="E5377" s="1077"/>
      <c r="F5377" s="1077"/>
      <c r="G5377" s="1077"/>
      <c r="H5377" s="1077"/>
      <c r="I5377" s="1077"/>
      <c r="J5377" s="1077"/>
      <c r="K5377" s="1077"/>
      <c r="L5377" s="1077"/>
      <c r="M5377" s="1077"/>
    </row>
    <row r="5378" spans="5:13">
      <c r="E5378" s="1077"/>
      <c r="F5378" s="1077"/>
      <c r="G5378" s="1077"/>
      <c r="H5378" s="1077"/>
      <c r="I5378" s="1077"/>
      <c r="J5378" s="1077"/>
      <c r="K5378" s="1077"/>
      <c r="L5378" s="1077"/>
      <c r="M5378" s="1077"/>
    </row>
    <row r="5379" spans="5:13">
      <c r="E5379" s="1077"/>
      <c r="F5379" s="1077"/>
      <c r="G5379" s="1077"/>
      <c r="H5379" s="1077"/>
      <c r="I5379" s="1077"/>
      <c r="J5379" s="1077"/>
      <c r="K5379" s="1077"/>
      <c r="L5379" s="1077"/>
      <c r="M5379" s="1077"/>
    </row>
    <row r="5380" spans="5:13">
      <c r="E5380" s="1077"/>
      <c r="F5380" s="1077"/>
      <c r="G5380" s="1077"/>
      <c r="H5380" s="1077"/>
      <c r="I5380" s="1077"/>
      <c r="J5380" s="1077"/>
      <c r="K5380" s="1077"/>
      <c r="L5380" s="1077"/>
      <c r="M5380" s="1077"/>
    </row>
    <row r="5381" spans="5:13">
      <c r="E5381" s="1077"/>
      <c r="F5381" s="1077"/>
      <c r="G5381" s="1077"/>
      <c r="H5381" s="1077"/>
      <c r="I5381" s="1077"/>
      <c r="J5381" s="1077"/>
      <c r="K5381" s="1077"/>
      <c r="L5381" s="1077"/>
      <c r="M5381" s="1077"/>
    </row>
    <row r="5382" spans="5:13">
      <c r="E5382" s="1077"/>
      <c r="F5382" s="1077"/>
      <c r="G5382" s="1077"/>
      <c r="H5382" s="1077"/>
      <c r="I5382" s="1077"/>
      <c r="J5382" s="1077"/>
      <c r="K5382" s="1077"/>
      <c r="L5382" s="1077"/>
      <c r="M5382" s="1077"/>
    </row>
    <row r="5383" spans="5:13">
      <c r="E5383" s="1077"/>
      <c r="F5383" s="1077"/>
      <c r="G5383" s="1077"/>
      <c r="H5383" s="1077"/>
      <c r="I5383" s="1077"/>
      <c r="J5383" s="1077"/>
      <c r="K5383" s="1077"/>
      <c r="L5383" s="1077"/>
      <c r="M5383" s="1077"/>
    </row>
    <row r="5384" spans="5:13">
      <c r="E5384" s="1077"/>
      <c r="F5384" s="1077"/>
      <c r="G5384" s="1077"/>
      <c r="H5384" s="1077"/>
      <c r="I5384" s="1077"/>
      <c r="J5384" s="1077"/>
      <c r="K5384" s="1077"/>
      <c r="L5384" s="1077"/>
      <c r="M5384" s="1077"/>
    </row>
    <row r="5385" spans="5:13">
      <c r="E5385" s="1077"/>
      <c r="F5385" s="1077"/>
      <c r="G5385" s="1077"/>
      <c r="H5385" s="1077"/>
      <c r="I5385" s="1077"/>
      <c r="J5385" s="1077"/>
      <c r="K5385" s="1077"/>
      <c r="L5385" s="1077"/>
      <c r="M5385" s="1077"/>
    </row>
    <row r="5386" spans="5:13">
      <c r="E5386" s="1077"/>
      <c r="F5386" s="1077"/>
      <c r="G5386" s="1077"/>
      <c r="H5386" s="1077"/>
      <c r="I5386" s="1077"/>
      <c r="J5386" s="1077"/>
      <c r="K5386" s="1077"/>
      <c r="L5386" s="1077"/>
      <c r="M5386" s="1077"/>
    </row>
    <row r="5387" spans="5:13">
      <c r="E5387" s="1077"/>
      <c r="F5387" s="1077"/>
      <c r="G5387" s="1077"/>
      <c r="H5387" s="1077"/>
      <c r="I5387" s="1077"/>
      <c r="J5387" s="1077"/>
      <c r="K5387" s="1077"/>
      <c r="L5387" s="1077"/>
      <c r="M5387" s="1077"/>
    </row>
    <row r="5388" spans="5:13">
      <c r="E5388" s="1077"/>
      <c r="F5388" s="1077"/>
      <c r="G5388" s="1077"/>
      <c r="H5388" s="1077"/>
      <c r="I5388" s="1077"/>
      <c r="J5388" s="1077"/>
      <c r="K5388" s="1077"/>
      <c r="L5388" s="1077"/>
      <c r="M5388" s="1077"/>
    </row>
    <row r="5389" spans="5:13">
      <c r="E5389" s="1077"/>
      <c r="F5389" s="1077"/>
      <c r="G5389" s="1077"/>
      <c r="H5389" s="1077"/>
      <c r="I5389" s="1077"/>
      <c r="J5389" s="1077"/>
      <c r="K5389" s="1077"/>
      <c r="L5389" s="1077"/>
      <c r="M5389" s="1077"/>
    </row>
    <row r="5390" spans="5:13">
      <c r="E5390" s="1077"/>
      <c r="F5390" s="1077"/>
      <c r="G5390" s="1077"/>
      <c r="H5390" s="1077"/>
      <c r="I5390" s="1077"/>
      <c r="J5390" s="1077"/>
      <c r="K5390" s="1077"/>
      <c r="L5390" s="1077"/>
      <c r="M5390" s="1077"/>
    </row>
    <row r="5391" spans="5:13">
      <c r="E5391" s="1077"/>
      <c r="F5391" s="1077"/>
      <c r="G5391" s="1077"/>
      <c r="H5391" s="1077"/>
      <c r="I5391" s="1077"/>
      <c r="J5391" s="1077"/>
      <c r="K5391" s="1077"/>
      <c r="L5391" s="1077"/>
      <c r="M5391" s="1077"/>
    </row>
    <row r="5392" spans="5:13">
      <c r="E5392" s="1077"/>
      <c r="F5392" s="1077"/>
      <c r="G5392" s="1077"/>
      <c r="H5392" s="1077"/>
      <c r="I5392" s="1077"/>
      <c r="J5392" s="1077"/>
      <c r="K5392" s="1077"/>
      <c r="L5392" s="1077"/>
      <c r="M5392" s="1077"/>
    </row>
    <row r="5393" spans="5:13">
      <c r="E5393" s="1077"/>
      <c r="F5393" s="1077"/>
      <c r="G5393" s="1077"/>
      <c r="H5393" s="1077"/>
      <c r="I5393" s="1077"/>
      <c r="J5393" s="1077"/>
      <c r="K5393" s="1077"/>
      <c r="L5393" s="1077"/>
      <c r="M5393" s="1077"/>
    </row>
    <row r="5394" spans="5:13">
      <c r="E5394" s="1077"/>
      <c r="F5394" s="1077"/>
      <c r="G5394" s="1077"/>
      <c r="H5394" s="1077"/>
      <c r="I5394" s="1077"/>
      <c r="J5394" s="1077"/>
      <c r="K5394" s="1077"/>
      <c r="L5394" s="1077"/>
      <c r="M5394" s="1077"/>
    </row>
    <row r="5395" spans="5:13">
      <c r="E5395" s="1077"/>
      <c r="F5395" s="1077"/>
      <c r="G5395" s="1077"/>
      <c r="H5395" s="1077"/>
      <c r="I5395" s="1077"/>
      <c r="J5395" s="1077"/>
      <c r="K5395" s="1077"/>
      <c r="L5395" s="1077"/>
      <c r="M5395" s="1077"/>
    </row>
    <row r="5396" spans="5:13">
      <c r="E5396" s="1077"/>
      <c r="F5396" s="1077"/>
      <c r="G5396" s="1077"/>
      <c r="H5396" s="1077"/>
      <c r="I5396" s="1077"/>
      <c r="J5396" s="1077"/>
      <c r="K5396" s="1077"/>
      <c r="L5396" s="1077"/>
      <c r="M5396" s="1077"/>
    </row>
    <row r="5397" spans="5:13">
      <c r="E5397" s="1077"/>
      <c r="F5397" s="1077"/>
      <c r="G5397" s="1077"/>
      <c r="H5397" s="1077"/>
      <c r="I5397" s="1077"/>
      <c r="J5397" s="1077"/>
      <c r="K5397" s="1077"/>
      <c r="L5397" s="1077"/>
      <c r="M5397" s="1077"/>
    </row>
    <row r="5398" spans="5:13">
      <c r="E5398" s="1077"/>
      <c r="F5398" s="1077"/>
      <c r="G5398" s="1077"/>
      <c r="H5398" s="1077"/>
      <c r="I5398" s="1077"/>
      <c r="J5398" s="1077"/>
      <c r="K5398" s="1077"/>
      <c r="L5398" s="1077"/>
      <c r="M5398" s="1077"/>
    </row>
    <row r="5399" spans="5:13">
      <c r="E5399" s="1077"/>
      <c r="F5399" s="1077"/>
      <c r="G5399" s="1077"/>
      <c r="H5399" s="1077"/>
      <c r="I5399" s="1077"/>
      <c r="J5399" s="1077"/>
      <c r="K5399" s="1077"/>
      <c r="L5399" s="1077"/>
      <c r="M5399" s="1077"/>
    </row>
    <row r="5400" spans="5:13">
      <c r="E5400" s="1077"/>
      <c r="F5400" s="1077"/>
      <c r="G5400" s="1077"/>
      <c r="H5400" s="1077"/>
      <c r="I5400" s="1077"/>
      <c r="J5400" s="1077"/>
      <c r="K5400" s="1077"/>
      <c r="L5400" s="1077"/>
      <c r="M5400" s="1077"/>
    </row>
    <row r="5401" spans="5:13">
      <c r="E5401" s="1077"/>
      <c r="F5401" s="1077"/>
      <c r="G5401" s="1077"/>
      <c r="H5401" s="1077"/>
      <c r="I5401" s="1077"/>
      <c r="J5401" s="1077"/>
      <c r="K5401" s="1077"/>
      <c r="L5401" s="1077"/>
      <c r="M5401" s="1077"/>
    </row>
    <row r="5402" spans="5:13">
      <c r="E5402" s="1077"/>
      <c r="F5402" s="1077"/>
      <c r="G5402" s="1077"/>
      <c r="H5402" s="1077"/>
      <c r="I5402" s="1077"/>
      <c r="J5402" s="1077"/>
      <c r="K5402" s="1077"/>
      <c r="L5402" s="1077"/>
      <c r="M5402" s="1077"/>
    </row>
    <row r="5403" spans="5:13">
      <c r="E5403" s="1077"/>
      <c r="F5403" s="1077"/>
      <c r="G5403" s="1077"/>
      <c r="H5403" s="1077"/>
      <c r="I5403" s="1077"/>
      <c r="J5403" s="1077"/>
      <c r="K5403" s="1077"/>
      <c r="L5403" s="1077"/>
      <c r="M5403" s="1077"/>
    </row>
    <row r="5404" spans="5:13">
      <c r="E5404" s="1077"/>
      <c r="F5404" s="1077"/>
      <c r="G5404" s="1077"/>
      <c r="H5404" s="1077"/>
      <c r="I5404" s="1077"/>
      <c r="J5404" s="1077"/>
      <c r="K5404" s="1077"/>
      <c r="L5404" s="1077"/>
      <c r="M5404" s="1077"/>
    </row>
    <row r="5405" spans="5:13">
      <c r="E5405" s="1077"/>
      <c r="F5405" s="1077"/>
      <c r="G5405" s="1077"/>
      <c r="H5405" s="1077"/>
      <c r="I5405" s="1077"/>
      <c r="J5405" s="1077"/>
      <c r="K5405" s="1077"/>
      <c r="L5405" s="1077"/>
      <c r="M5405" s="1077"/>
    </row>
    <row r="5406" spans="5:13">
      <c r="E5406" s="1077"/>
      <c r="F5406" s="1077"/>
      <c r="G5406" s="1077"/>
      <c r="H5406" s="1077"/>
      <c r="I5406" s="1077"/>
      <c r="J5406" s="1077"/>
      <c r="K5406" s="1077"/>
      <c r="L5406" s="1077"/>
      <c r="M5406" s="1077"/>
    </row>
    <row r="5407" spans="5:13">
      <c r="E5407" s="1077"/>
      <c r="F5407" s="1077"/>
      <c r="G5407" s="1077"/>
      <c r="H5407" s="1077"/>
      <c r="I5407" s="1077"/>
      <c r="J5407" s="1077"/>
      <c r="K5407" s="1077"/>
      <c r="L5407" s="1077"/>
      <c r="M5407" s="1077"/>
    </row>
    <row r="5408" spans="5:13">
      <c r="E5408" s="1077"/>
      <c r="F5408" s="1077"/>
      <c r="G5408" s="1077"/>
      <c r="H5408" s="1077"/>
      <c r="I5408" s="1077"/>
      <c r="J5408" s="1077"/>
      <c r="K5408" s="1077"/>
      <c r="L5408" s="1077"/>
      <c r="M5408" s="1077"/>
    </row>
    <row r="5409" spans="5:13">
      <c r="E5409" s="1077"/>
      <c r="F5409" s="1077"/>
      <c r="G5409" s="1077"/>
      <c r="H5409" s="1077"/>
      <c r="I5409" s="1077"/>
      <c r="J5409" s="1077"/>
      <c r="K5409" s="1077"/>
      <c r="L5409" s="1077"/>
      <c r="M5409" s="1077"/>
    </row>
    <row r="5410" spans="5:13">
      <c r="E5410" s="1077"/>
      <c r="F5410" s="1077"/>
      <c r="G5410" s="1077"/>
      <c r="H5410" s="1077"/>
      <c r="I5410" s="1077"/>
      <c r="J5410" s="1077"/>
      <c r="K5410" s="1077"/>
      <c r="L5410" s="1077"/>
      <c r="M5410" s="1077"/>
    </row>
    <row r="5411" spans="5:13">
      <c r="E5411" s="1077"/>
      <c r="F5411" s="1077"/>
      <c r="G5411" s="1077"/>
      <c r="H5411" s="1077"/>
      <c r="I5411" s="1077"/>
      <c r="J5411" s="1077"/>
      <c r="K5411" s="1077"/>
      <c r="L5411" s="1077"/>
      <c r="M5411" s="1077"/>
    </row>
    <row r="5412" spans="5:13">
      <c r="E5412" s="1077"/>
      <c r="F5412" s="1077"/>
      <c r="G5412" s="1077"/>
      <c r="H5412" s="1077"/>
      <c r="I5412" s="1077"/>
      <c r="J5412" s="1077"/>
      <c r="K5412" s="1077"/>
      <c r="L5412" s="1077"/>
      <c r="M5412" s="1077"/>
    </row>
    <row r="5413" spans="5:13">
      <c r="E5413" s="1077"/>
      <c r="F5413" s="1077"/>
      <c r="G5413" s="1077"/>
      <c r="H5413" s="1077"/>
      <c r="I5413" s="1077"/>
      <c r="J5413" s="1077"/>
      <c r="K5413" s="1077"/>
      <c r="L5413" s="1077"/>
      <c r="M5413" s="1077"/>
    </row>
    <row r="5414" spans="5:13">
      <c r="E5414" s="1077"/>
      <c r="F5414" s="1077"/>
      <c r="G5414" s="1077"/>
      <c r="H5414" s="1077"/>
      <c r="I5414" s="1077"/>
      <c r="J5414" s="1077"/>
      <c r="K5414" s="1077"/>
      <c r="L5414" s="1077"/>
      <c r="M5414" s="1077"/>
    </row>
    <row r="5415" spans="5:13">
      <c r="E5415" s="1077"/>
      <c r="F5415" s="1077"/>
      <c r="G5415" s="1077"/>
      <c r="H5415" s="1077"/>
      <c r="I5415" s="1077"/>
      <c r="J5415" s="1077"/>
      <c r="K5415" s="1077"/>
      <c r="L5415" s="1077"/>
      <c r="M5415" s="1077"/>
    </row>
    <row r="5416" spans="5:13">
      <c r="E5416" s="1077"/>
      <c r="F5416" s="1077"/>
      <c r="G5416" s="1077"/>
      <c r="H5416" s="1077"/>
      <c r="I5416" s="1077"/>
      <c r="J5416" s="1077"/>
      <c r="K5416" s="1077"/>
      <c r="L5416" s="1077"/>
      <c r="M5416" s="1077"/>
    </row>
    <row r="5417" spans="5:13">
      <c r="E5417" s="1077"/>
      <c r="F5417" s="1077"/>
      <c r="G5417" s="1077"/>
      <c r="H5417" s="1077"/>
      <c r="I5417" s="1077"/>
      <c r="J5417" s="1077"/>
      <c r="K5417" s="1077"/>
      <c r="L5417" s="1077"/>
      <c r="M5417" s="1077"/>
    </row>
    <row r="5418" spans="5:13">
      <c r="E5418" s="1077"/>
      <c r="F5418" s="1077"/>
      <c r="G5418" s="1077"/>
      <c r="H5418" s="1077"/>
      <c r="I5418" s="1077"/>
      <c r="J5418" s="1077"/>
      <c r="K5418" s="1077"/>
      <c r="L5418" s="1077"/>
      <c r="M5418" s="1077"/>
    </row>
    <row r="5419" spans="5:13">
      <c r="E5419" s="1077"/>
      <c r="F5419" s="1077"/>
      <c r="G5419" s="1077"/>
      <c r="H5419" s="1077"/>
      <c r="I5419" s="1077"/>
      <c r="J5419" s="1077"/>
      <c r="K5419" s="1077"/>
      <c r="L5419" s="1077"/>
      <c r="M5419" s="1077"/>
    </row>
    <row r="5420" spans="5:13">
      <c r="E5420" s="1077"/>
      <c r="F5420" s="1077"/>
      <c r="G5420" s="1077"/>
      <c r="H5420" s="1077"/>
      <c r="I5420" s="1077"/>
      <c r="J5420" s="1077"/>
      <c r="K5420" s="1077"/>
      <c r="L5420" s="1077"/>
      <c r="M5420" s="1077"/>
    </row>
    <row r="5421" spans="5:13">
      <c r="E5421" s="1077"/>
      <c r="F5421" s="1077"/>
      <c r="G5421" s="1077"/>
      <c r="H5421" s="1077"/>
      <c r="I5421" s="1077"/>
      <c r="J5421" s="1077"/>
      <c r="K5421" s="1077"/>
      <c r="L5421" s="1077"/>
      <c r="M5421" s="1077"/>
    </row>
    <row r="5422" spans="5:13">
      <c r="E5422" s="1077"/>
      <c r="F5422" s="1077"/>
      <c r="G5422" s="1077"/>
      <c r="H5422" s="1077"/>
      <c r="I5422" s="1077"/>
      <c r="J5422" s="1077"/>
      <c r="K5422" s="1077"/>
      <c r="L5422" s="1077"/>
      <c r="M5422" s="1077"/>
    </row>
    <row r="5423" spans="5:13">
      <c r="E5423" s="1077"/>
      <c r="F5423" s="1077"/>
      <c r="G5423" s="1077"/>
      <c r="H5423" s="1077"/>
      <c r="I5423" s="1077"/>
      <c r="J5423" s="1077"/>
      <c r="K5423" s="1077"/>
      <c r="L5423" s="1077"/>
      <c r="M5423" s="1077"/>
    </row>
    <row r="5424" spans="5:13">
      <c r="E5424" s="1077"/>
      <c r="F5424" s="1077"/>
      <c r="G5424" s="1077"/>
      <c r="H5424" s="1077"/>
      <c r="I5424" s="1077"/>
      <c r="J5424" s="1077"/>
      <c r="K5424" s="1077"/>
      <c r="L5424" s="1077"/>
      <c r="M5424" s="1077"/>
    </row>
    <row r="5425" spans="5:13">
      <c r="E5425" s="1077"/>
      <c r="F5425" s="1077"/>
      <c r="G5425" s="1077"/>
      <c r="H5425" s="1077"/>
      <c r="I5425" s="1077"/>
      <c r="J5425" s="1077"/>
      <c r="K5425" s="1077"/>
      <c r="L5425" s="1077"/>
      <c r="M5425" s="1077"/>
    </row>
    <row r="5426" spans="5:13">
      <c r="E5426" s="1077"/>
      <c r="F5426" s="1077"/>
      <c r="G5426" s="1077"/>
      <c r="H5426" s="1077"/>
      <c r="I5426" s="1077"/>
      <c r="J5426" s="1077"/>
      <c r="K5426" s="1077"/>
      <c r="L5426" s="1077"/>
      <c r="M5426" s="1077"/>
    </row>
    <row r="5427" spans="5:13">
      <c r="E5427" s="1077"/>
      <c r="F5427" s="1077"/>
      <c r="G5427" s="1077"/>
      <c r="H5427" s="1077"/>
      <c r="I5427" s="1077"/>
      <c r="J5427" s="1077"/>
      <c r="K5427" s="1077"/>
      <c r="L5427" s="1077"/>
      <c r="M5427" s="1077"/>
    </row>
    <row r="5428" spans="5:13">
      <c r="E5428" s="1077"/>
      <c r="F5428" s="1077"/>
      <c r="G5428" s="1077"/>
      <c r="H5428" s="1077"/>
      <c r="I5428" s="1077"/>
      <c r="J5428" s="1077"/>
      <c r="K5428" s="1077"/>
      <c r="L5428" s="1077"/>
      <c r="M5428" s="1077"/>
    </row>
    <row r="5429" spans="5:13">
      <c r="E5429" s="1077"/>
      <c r="F5429" s="1077"/>
      <c r="G5429" s="1077"/>
      <c r="H5429" s="1077"/>
      <c r="I5429" s="1077"/>
      <c r="J5429" s="1077"/>
      <c r="K5429" s="1077"/>
      <c r="L5429" s="1077"/>
      <c r="M5429" s="1077"/>
    </row>
    <row r="5430" spans="5:13">
      <c r="E5430" s="1077"/>
      <c r="F5430" s="1077"/>
      <c r="G5430" s="1077"/>
      <c r="H5430" s="1077"/>
      <c r="I5430" s="1077"/>
      <c r="J5430" s="1077"/>
      <c r="K5430" s="1077"/>
      <c r="L5430" s="1077"/>
      <c r="M5430" s="1077"/>
    </row>
    <row r="5431" spans="5:13">
      <c r="E5431" s="1077"/>
      <c r="F5431" s="1077"/>
      <c r="G5431" s="1077"/>
      <c r="H5431" s="1077"/>
      <c r="I5431" s="1077"/>
      <c r="J5431" s="1077"/>
      <c r="K5431" s="1077"/>
      <c r="L5431" s="1077"/>
      <c r="M5431" s="1077"/>
    </row>
    <row r="5432" spans="5:13">
      <c r="E5432" s="1077"/>
      <c r="F5432" s="1077"/>
      <c r="G5432" s="1077"/>
      <c r="H5432" s="1077"/>
      <c r="I5432" s="1077"/>
      <c r="J5432" s="1077"/>
      <c r="K5432" s="1077"/>
      <c r="L5432" s="1077"/>
      <c r="M5432" s="1077"/>
    </row>
    <row r="5433" spans="5:13">
      <c r="E5433" s="1077"/>
      <c r="F5433" s="1077"/>
      <c r="G5433" s="1077"/>
      <c r="H5433" s="1077"/>
      <c r="I5433" s="1077"/>
      <c r="J5433" s="1077"/>
      <c r="K5433" s="1077"/>
      <c r="L5433" s="1077"/>
      <c r="M5433" s="1077"/>
    </row>
    <row r="5434" spans="5:13">
      <c r="E5434" s="1077"/>
      <c r="F5434" s="1077"/>
      <c r="G5434" s="1077"/>
      <c r="H5434" s="1077"/>
      <c r="I5434" s="1077"/>
      <c r="J5434" s="1077"/>
      <c r="K5434" s="1077"/>
      <c r="L5434" s="1077"/>
      <c r="M5434" s="1077"/>
    </row>
    <row r="5435" spans="5:13">
      <c r="E5435" s="1077"/>
      <c r="F5435" s="1077"/>
      <c r="G5435" s="1077"/>
      <c r="H5435" s="1077"/>
      <c r="I5435" s="1077"/>
      <c r="J5435" s="1077"/>
      <c r="K5435" s="1077"/>
      <c r="L5435" s="1077"/>
      <c r="M5435" s="1077"/>
    </row>
    <row r="5436" spans="5:13">
      <c r="E5436" s="1077"/>
      <c r="F5436" s="1077"/>
      <c r="G5436" s="1077"/>
      <c r="H5436" s="1077"/>
      <c r="I5436" s="1077"/>
      <c r="J5436" s="1077"/>
      <c r="K5436" s="1077"/>
      <c r="L5436" s="1077"/>
      <c r="M5436" s="1077"/>
    </row>
    <row r="5437" spans="5:13">
      <c r="E5437" s="1077"/>
      <c r="F5437" s="1077"/>
      <c r="G5437" s="1077"/>
      <c r="H5437" s="1077"/>
      <c r="I5437" s="1077"/>
      <c r="J5437" s="1077"/>
      <c r="K5437" s="1077"/>
      <c r="L5437" s="1077"/>
      <c r="M5437" s="1077"/>
    </row>
    <row r="5438" spans="5:13">
      <c r="E5438" s="1077"/>
      <c r="F5438" s="1077"/>
      <c r="G5438" s="1077"/>
      <c r="H5438" s="1077"/>
      <c r="I5438" s="1077"/>
      <c r="J5438" s="1077"/>
      <c r="K5438" s="1077"/>
      <c r="L5438" s="1077"/>
      <c r="M5438" s="1077"/>
    </row>
    <row r="5439" spans="5:13">
      <c r="E5439" s="1077"/>
      <c r="F5439" s="1077"/>
      <c r="G5439" s="1077"/>
      <c r="H5439" s="1077"/>
      <c r="I5439" s="1077"/>
      <c r="J5439" s="1077"/>
      <c r="K5439" s="1077"/>
      <c r="L5439" s="1077"/>
      <c r="M5439" s="1077"/>
    </row>
    <row r="5440" spans="5:13">
      <c r="E5440" s="1077"/>
      <c r="F5440" s="1077"/>
      <c r="G5440" s="1077"/>
      <c r="H5440" s="1077"/>
      <c r="I5440" s="1077"/>
      <c r="J5440" s="1077"/>
      <c r="K5440" s="1077"/>
      <c r="L5440" s="1077"/>
      <c r="M5440" s="1077"/>
    </row>
    <row r="5441" spans="5:13">
      <c r="E5441" s="1077"/>
      <c r="F5441" s="1077"/>
      <c r="G5441" s="1077"/>
      <c r="H5441" s="1077"/>
      <c r="I5441" s="1077"/>
      <c r="J5441" s="1077"/>
      <c r="K5441" s="1077"/>
      <c r="L5441" s="1077"/>
      <c r="M5441" s="1077"/>
    </row>
    <row r="5442" spans="5:13">
      <c r="E5442" s="1077"/>
      <c r="F5442" s="1077"/>
      <c r="G5442" s="1077"/>
      <c r="H5442" s="1077"/>
      <c r="I5442" s="1077"/>
      <c r="J5442" s="1077"/>
      <c r="K5442" s="1077"/>
      <c r="L5442" s="1077"/>
      <c r="M5442" s="1077"/>
    </row>
    <row r="5443" spans="5:13">
      <c r="E5443" s="1077"/>
      <c r="F5443" s="1077"/>
      <c r="G5443" s="1077"/>
      <c r="H5443" s="1077"/>
      <c r="I5443" s="1077"/>
      <c r="J5443" s="1077"/>
      <c r="K5443" s="1077"/>
      <c r="L5443" s="1077"/>
      <c r="M5443" s="1077"/>
    </row>
    <row r="5444" spans="5:13">
      <c r="E5444" s="1077"/>
      <c r="F5444" s="1077"/>
      <c r="G5444" s="1077"/>
      <c r="H5444" s="1077"/>
      <c r="I5444" s="1077"/>
      <c r="J5444" s="1077"/>
      <c r="K5444" s="1077"/>
      <c r="L5444" s="1077"/>
      <c r="M5444" s="1077"/>
    </row>
    <row r="5445" spans="5:13">
      <c r="E5445" s="1077"/>
      <c r="F5445" s="1077"/>
      <c r="G5445" s="1077"/>
      <c r="H5445" s="1077"/>
      <c r="I5445" s="1077"/>
      <c r="J5445" s="1077"/>
      <c r="K5445" s="1077"/>
      <c r="L5445" s="1077"/>
      <c r="M5445" s="1077"/>
    </row>
    <row r="5446" spans="5:13">
      <c r="E5446" s="1077"/>
      <c r="F5446" s="1077"/>
      <c r="G5446" s="1077"/>
      <c r="H5446" s="1077"/>
      <c r="I5446" s="1077"/>
      <c r="J5446" s="1077"/>
      <c r="K5446" s="1077"/>
      <c r="L5446" s="1077"/>
      <c r="M5446" s="1077"/>
    </row>
    <row r="5447" spans="5:13">
      <c r="E5447" s="1077"/>
      <c r="F5447" s="1077"/>
      <c r="G5447" s="1077"/>
      <c r="H5447" s="1077"/>
      <c r="I5447" s="1077"/>
      <c r="J5447" s="1077"/>
      <c r="K5447" s="1077"/>
      <c r="L5447" s="1077"/>
      <c r="M5447" s="1077"/>
    </row>
    <row r="5448" spans="5:13">
      <c r="E5448" s="1077"/>
      <c r="F5448" s="1077"/>
      <c r="G5448" s="1077"/>
      <c r="H5448" s="1077"/>
      <c r="I5448" s="1077"/>
      <c r="J5448" s="1077"/>
      <c r="K5448" s="1077"/>
      <c r="L5448" s="1077"/>
      <c r="M5448" s="1077"/>
    </row>
    <row r="5449" spans="5:13">
      <c r="E5449" s="1077"/>
      <c r="F5449" s="1077"/>
      <c r="G5449" s="1077"/>
      <c r="H5449" s="1077"/>
      <c r="I5449" s="1077"/>
      <c r="J5449" s="1077"/>
      <c r="K5449" s="1077"/>
      <c r="L5449" s="1077"/>
      <c r="M5449" s="1077"/>
    </row>
    <row r="5450" spans="5:13">
      <c r="E5450" s="1077"/>
      <c r="F5450" s="1077"/>
      <c r="G5450" s="1077"/>
      <c r="H5450" s="1077"/>
      <c r="I5450" s="1077"/>
      <c r="J5450" s="1077"/>
      <c r="K5450" s="1077"/>
      <c r="L5450" s="1077"/>
      <c r="M5450" s="1077"/>
    </row>
    <row r="5451" spans="5:13">
      <c r="E5451" s="1077"/>
      <c r="F5451" s="1077"/>
      <c r="G5451" s="1077"/>
      <c r="H5451" s="1077"/>
      <c r="I5451" s="1077"/>
      <c r="J5451" s="1077"/>
      <c r="K5451" s="1077"/>
      <c r="L5451" s="1077"/>
      <c r="M5451" s="1077"/>
    </row>
    <row r="5452" spans="5:13">
      <c r="E5452" s="1077"/>
      <c r="F5452" s="1077"/>
      <c r="G5452" s="1077"/>
      <c r="H5452" s="1077"/>
      <c r="I5452" s="1077"/>
      <c r="J5452" s="1077"/>
      <c r="K5452" s="1077"/>
      <c r="L5452" s="1077"/>
      <c r="M5452" s="1077"/>
    </row>
    <row r="5453" spans="5:13">
      <c r="E5453" s="1077"/>
      <c r="F5453" s="1077"/>
      <c r="G5453" s="1077"/>
      <c r="H5453" s="1077"/>
      <c r="I5453" s="1077"/>
      <c r="J5453" s="1077"/>
      <c r="K5453" s="1077"/>
      <c r="L5453" s="1077"/>
      <c r="M5453" s="1077"/>
    </row>
    <row r="5454" spans="5:13">
      <c r="E5454" s="1077"/>
      <c r="F5454" s="1077"/>
      <c r="G5454" s="1077"/>
      <c r="H5454" s="1077"/>
      <c r="I5454" s="1077"/>
      <c r="J5454" s="1077"/>
      <c r="K5454" s="1077"/>
      <c r="L5454" s="1077"/>
      <c r="M5454" s="1077"/>
    </row>
    <row r="5455" spans="5:13">
      <c r="E5455" s="1077"/>
      <c r="F5455" s="1077"/>
      <c r="G5455" s="1077"/>
      <c r="H5455" s="1077"/>
      <c r="I5455" s="1077"/>
      <c r="J5455" s="1077"/>
      <c r="K5455" s="1077"/>
      <c r="L5455" s="1077"/>
      <c r="M5455" s="1077"/>
    </row>
    <row r="5456" spans="5:13">
      <c r="E5456" s="1077"/>
      <c r="F5456" s="1077"/>
      <c r="G5456" s="1077"/>
      <c r="H5456" s="1077"/>
      <c r="I5456" s="1077"/>
      <c r="J5456" s="1077"/>
      <c r="K5456" s="1077"/>
      <c r="L5456" s="1077"/>
      <c r="M5456" s="1077"/>
    </row>
    <row r="5457" spans="5:13">
      <c r="E5457" s="1077"/>
      <c r="F5457" s="1077"/>
      <c r="G5457" s="1077"/>
      <c r="H5457" s="1077"/>
      <c r="I5457" s="1077"/>
      <c r="J5457" s="1077"/>
      <c r="K5457" s="1077"/>
      <c r="L5457" s="1077"/>
      <c r="M5457" s="1077"/>
    </row>
    <row r="5458" spans="5:13">
      <c r="E5458" s="1077"/>
      <c r="F5458" s="1077"/>
      <c r="G5458" s="1077"/>
      <c r="H5458" s="1077"/>
      <c r="I5458" s="1077"/>
      <c r="J5458" s="1077"/>
      <c r="K5458" s="1077"/>
      <c r="L5458" s="1077"/>
      <c r="M5458" s="1077"/>
    </row>
    <row r="5459" spans="5:13">
      <c r="E5459" s="1077"/>
      <c r="F5459" s="1077"/>
      <c r="G5459" s="1077"/>
      <c r="H5459" s="1077"/>
      <c r="I5459" s="1077"/>
      <c r="J5459" s="1077"/>
      <c r="K5459" s="1077"/>
      <c r="L5459" s="1077"/>
      <c r="M5459" s="1077"/>
    </row>
    <row r="5460" spans="5:13">
      <c r="E5460" s="1077"/>
      <c r="F5460" s="1077"/>
      <c r="G5460" s="1077"/>
      <c r="H5460" s="1077"/>
      <c r="I5460" s="1077"/>
      <c r="J5460" s="1077"/>
      <c r="K5460" s="1077"/>
      <c r="L5460" s="1077"/>
      <c r="M5460" s="1077"/>
    </row>
    <row r="5461" spans="5:13">
      <c r="E5461" s="1077"/>
      <c r="F5461" s="1077"/>
      <c r="G5461" s="1077"/>
      <c r="H5461" s="1077"/>
      <c r="I5461" s="1077"/>
      <c r="J5461" s="1077"/>
      <c r="K5461" s="1077"/>
      <c r="L5461" s="1077"/>
      <c r="M5461" s="1077"/>
    </row>
    <row r="5462" spans="5:13">
      <c r="E5462" s="1077"/>
      <c r="F5462" s="1077"/>
      <c r="G5462" s="1077"/>
      <c r="H5462" s="1077"/>
      <c r="I5462" s="1077"/>
      <c r="J5462" s="1077"/>
      <c r="K5462" s="1077"/>
      <c r="L5462" s="1077"/>
      <c r="M5462" s="1077"/>
    </row>
    <row r="5463" spans="5:13">
      <c r="E5463" s="1077"/>
      <c r="F5463" s="1077"/>
      <c r="G5463" s="1077"/>
      <c r="H5463" s="1077"/>
      <c r="I5463" s="1077"/>
      <c r="J5463" s="1077"/>
      <c r="K5463" s="1077"/>
      <c r="L5463" s="1077"/>
      <c r="M5463" s="1077"/>
    </row>
    <row r="5464" spans="5:13">
      <c r="E5464" s="1077"/>
      <c r="F5464" s="1077"/>
      <c r="G5464" s="1077"/>
      <c r="H5464" s="1077"/>
      <c r="I5464" s="1077"/>
      <c r="J5464" s="1077"/>
      <c r="K5464" s="1077"/>
      <c r="L5464" s="1077"/>
      <c r="M5464" s="1077"/>
    </row>
    <row r="5465" spans="5:13">
      <c r="E5465" s="1077"/>
      <c r="F5465" s="1077"/>
      <c r="G5465" s="1077"/>
      <c r="H5465" s="1077"/>
      <c r="I5465" s="1077"/>
      <c r="J5465" s="1077"/>
      <c r="K5465" s="1077"/>
      <c r="L5465" s="1077"/>
      <c r="M5465" s="1077"/>
    </row>
    <row r="5466" spans="5:13">
      <c r="E5466" s="1077"/>
      <c r="F5466" s="1077"/>
      <c r="G5466" s="1077"/>
      <c r="H5466" s="1077"/>
      <c r="I5466" s="1077"/>
      <c r="J5466" s="1077"/>
      <c r="K5466" s="1077"/>
      <c r="L5466" s="1077"/>
      <c r="M5466" s="1077"/>
    </row>
    <row r="5467" spans="5:13">
      <c r="E5467" s="1077"/>
      <c r="F5467" s="1077"/>
      <c r="G5467" s="1077"/>
      <c r="H5467" s="1077"/>
      <c r="I5467" s="1077"/>
      <c r="J5467" s="1077"/>
      <c r="K5467" s="1077"/>
      <c r="L5467" s="1077"/>
      <c r="M5467" s="1077"/>
    </row>
    <row r="5468" spans="5:13">
      <c r="E5468" s="1077"/>
      <c r="F5468" s="1077"/>
      <c r="G5468" s="1077"/>
      <c r="H5468" s="1077"/>
      <c r="I5468" s="1077"/>
      <c r="J5468" s="1077"/>
      <c r="K5468" s="1077"/>
      <c r="L5468" s="1077"/>
      <c r="M5468" s="1077"/>
    </row>
    <row r="5469" spans="5:13">
      <c r="E5469" s="1077"/>
      <c r="F5469" s="1077"/>
      <c r="G5469" s="1077"/>
      <c r="H5469" s="1077"/>
      <c r="I5469" s="1077"/>
      <c r="J5469" s="1077"/>
      <c r="K5469" s="1077"/>
      <c r="L5469" s="1077"/>
      <c r="M5469" s="1077"/>
    </row>
    <row r="5470" spans="5:13">
      <c r="E5470" s="1077"/>
      <c r="F5470" s="1077"/>
      <c r="G5470" s="1077"/>
      <c r="H5470" s="1077"/>
      <c r="I5470" s="1077"/>
      <c r="J5470" s="1077"/>
      <c r="K5470" s="1077"/>
      <c r="L5470" s="1077"/>
      <c r="M5470" s="1077"/>
    </row>
    <row r="5471" spans="5:13">
      <c r="E5471" s="1077"/>
      <c r="F5471" s="1077"/>
      <c r="G5471" s="1077"/>
      <c r="H5471" s="1077"/>
      <c r="I5471" s="1077"/>
      <c r="J5471" s="1077"/>
      <c r="K5471" s="1077"/>
      <c r="L5471" s="1077"/>
      <c r="M5471" s="1077"/>
    </row>
    <row r="5472" spans="5:13">
      <c r="E5472" s="1077"/>
      <c r="F5472" s="1077"/>
      <c r="G5472" s="1077"/>
      <c r="H5472" s="1077"/>
      <c r="I5472" s="1077"/>
      <c r="J5472" s="1077"/>
      <c r="K5472" s="1077"/>
      <c r="L5472" s="1077"/>
      <c r="M5472" s="1077"/>
    </row>
    <row r="5473" spans="5:13">
      <c r="E5473" s="1077"/>
      <c r="F5473" s="1077"/>
      <c r="G5473" s="1077"/>
      <c r="H5473" s="1077"/>
      <c r="I5473" s="1077"/>
      <c r="J5473" s="1077"/>
      <c r="K5473" s="1077"/>
      <c r="L5473" s="1077"/>
      <c r="M5473" s="1077"/>
    </row>
    <row r="5474" spans="5:13">
      <c r="E5474" s="1077"/>
      <c r="F5474" s="1077"/>
      <c r="G5474" s="1077"/>
      <c r="H5474" s="1077"/>
      <c r="I5474" s="1077"/>
      <c r="J5474" s="1077"/>
      <c r="K5474" s="1077"/>
      <c r="L5474" s="1077"/>
      <c r="M5474" s="1077"/>
    </row>
    <row r="5475" spans="5:13">
      <c r="E5475" s="1077"/>
      <c r="F5475" s="1077"/>
      <c r="G5475" s="1077"/>
      <c r="H5475" s="1077"/>
      <c r="I5475" s="1077"/>
      <c r="J5475" s="1077"/>
      <c r="K5475" s="1077"/>
      <c r="L5475" s="1077"/>
      <c r="M5475" s="1077"/>
    </row>
    <row r="5476" spans="5:13">
      <c r="E5476" s="1077"/>
      <c r="F5476" s="1077"/>
      <c r="G5476" s="1077"/>
      <c r="H5476" s="1077"/>
      <c r="I5476" s="1077"/>
      <c r="J5476" s="1077"/>
      <c r="K5476" s="1077"/>
      <c r="L5476" s="1077"/>
      <c r="M5476" s="1077"/>
    </row>
    <row r="5477" spans="5:13">
      <c r="E5477" s="1077"/>
      <c r="F5477" s="1077"/>
      <c r="G5477" s="1077"/>
      <c r="H5477" s="1077"/>
      <c r="I5477" s="1077"/>
      <c r="J5477" s="1077"/>
      <c r="K5477" s="1077"/>
      <c r="L5477" s="1077"/>
      <c r="M5477" s="1077"/>
    </row>
    <row r="5478" spans="5:13">
      <c r="E5478" s="1077"/>
      <c r="F5478" s="1077"/>
      <c r="G5478" s="1077"/>
      <c r="H5478" s="1077"/>
      <c r="I5478" s="1077"/>
      <c r="J5478" s="1077"/>
      <c r="K5478" s="1077"/>
      <c r="L5478" s="1077"/>
      <c r="M5478" s="1077"/>
    </row>
    <row r="5479" spans="5:13">
      <c r="E5479" s="1077"/>
      <c r="F5479" s="1077"/>
      <c r="G5479" s="1077"/>
      <c r="H5479" s="1077"/>
      <c r="I5479" s="1077"/>
      <c r="J5479" s="1077"/>
      <c r="K5479" s="1077"/>
      <c r="L5479" s="1077"/>
      <c r="M5479" s="1077"/>
    </row>
    <row r="5480" spans="5:13">
      <c r="E5480" s="1077"/>
      <c r="F5480" s="1077"/>
      <c r="G5480" s="1077"/>
      <c r="H5480" s="1077"/>
      <c r="I5480" s="1077"/>
      <c r="J5480" s="1077"/>
      <c r="K5480" s="1077"/>
      <c r="L5480" s="1077"/>
      <c r="M5480" s="1077"/>
    </row>
    <row r="5481" spans="5:13">
      <c r="E5481" s="1077"/>
      <c r="F5481" s="1077"/>
      <c r="G5481" s="1077"/>
      <c r="H5481" s="1077"/>
      <c r="I5481" s="1077"/>
      <c r="J5481" s="1077"/>
      <c r="K5481" s="1077"/>
      <c r="L5481" s="1077"/>
      <c r="M5481" s="1077"/>
    </row>
    <row r="5482" spans="5:13">
      <c r="E5482" s="1077"/>
      <c r="F5482" s="1077"/>
      <c r="G5482" s="1077"/>
      <c r="H5482" s="1077"/>
      <c r="I5482" s="1077"/>
      <c r="J5482" s="1077"/>
      <c r="K5482" s="1077"/>
      <c r="L5482" s="1077"/>
      <c r="M5482" s="1077"/>
    </row>
    <row r="5483" spans="5:13">
      <c r="E5483" s="1077"/>
      <c r="F5483" s="1077"/>
      <c r="G5483" s="1077"/>
      <c r="H5483" s="1077"/>
      <c r="I5483" s="1077"/>
      <c r="J5483" s="1077"/>
      <c r="K5483" s="1077"/>
      <c r="L5483" s="1077"/>
      <c r="M5483" s="1077"/>
    </row>
    <row r="5484" spans="5:13">
      <c r="E5484" s="1077"/>
      <c r="F5484" s="1077"/>
      <c r="G5484" s="1077"/>
      <c r="H5484" s="1077"/>
      <c r="I5484" s="1077"/>
      <c r="J5484" s="1077"/>
      <c r="K5484" s="1077"/>
      <c r="L5484" s="1077"/>
      <c r="M5484" s="1077"/>
    </row>
    <row r="5485" spans="5:13">
      <c r="E5485" s="1077"/>
      <c r="F5485" s="1077"/>
      <c r="G5485" s="1077"/>
      <c r="H5485" s="1077"/>
      <c r="I5485" s="1077"/>
      <c r="J5485" s="1077"/>
      <c r="K5485" s="1077"/>
      <c r="L5485" s="1077"/>
      <c r="M5485" s="1077"/>
    </row>
    <row r="5486" spans="5:13">
      <c r="E5486" s="1077"/>
      <c r="F5486" s="1077"/>
      <c r="G5486" s="1077"/>
      <c r="H5486" s="1077"/>
      <c r="I5486" s="1077"/>
      <c r="J5486" s="1077"/>
      <c r="K5486" s="1077"/>
      <c r="L5486" s="1077"/>
      <c r="M5486" s="1077"/>
    </row>
    <row r="5487" spans="5:13">
      <c r="E5487" s="1077"/>
      <c r="F5487" s="1077"/>
      <c r="G5487" s="1077"/>
      <c r="H5487" s="1077"/>
      <c r="I5487" s="1077"/>
      <c r="J5487" s="1077"/>
      <c r="K5487" s="1077"/>
      <c r="L5487" s="1077"/>
      <c r="M5487" s="1077"/>
    </row>
    <row r="5488" spans="5:13">
      <c r="E5488" s="1077"/>
      <c r="F5488" s="1077"/>
      <c r="G5488" s="1077"/>
      <c r="H5488" s="1077"/>
      <c r="I5488" s="1077"/>
      <c r="J5488" s="1077"/>
      <c r="K5488" s="1077"/>
      <c r="L5488" s="1077"/>
      <c r="M5488" s="1077"/>
    </row>
    <row r="5489" spans="5:13">
      <c r="E5489" s="1077"/>
      <c r="F5489" s="1077"/>
      <c r="G5489" s="1077"/>
      <c r="H5489" s="1077"/>
      <c r="I5489" s="1077"/>
      <c r="J5489" s="1077"/>
      <c r="K5489" s="1077"/>
      <c r="L5489" s="1077"/>
      <c r="M5489" s="1077"/>
    </row>
    <row r="5490" spans="5:13">
      <c r="E5490" s="1077"/>
      <c r="F5490" s="1077"/>
      <c r="G5490" s="1077"/>
      <c r="H5490" s="1077"/>
      <c r="I5490" s="1077"/>
      <c r="J5490" s="1077"/>
      <c r="K5490" s="1077"/>
      <c r="L5490" s="1077"/>
      <c r="M5490" s="1077"/>
    </row>
    <row r="5491" spans="5:13">
      <c r="E5491" s="1077"/>
      <c r="F5491" s="1077"/>
      <c r="G5491" s="1077"/>
      <c r="H5491" s="1077"/>
      <c r="I5491" s="1077"/>
      <c r="J5491" s="1077"/>
      <c r="K5491" s="1077"/>
      <c r="L5491" s="1077"/>
      <c r="M5491" s="1077"/>
    </row>
    <row r="5492" spans="5:13">
      <c r="E5492" s="1077"/>
      <c r="F5492" s="1077"/>
      <c r="G5492" s="1077"/>
      <c r="H5492" s="1077"/>
      <c r="I5492" s="1077"/>
      <c r="J5492" s="1077"/>
      <c r="K5492" s="1077"/>
      <c r="L5492" s="1077"/>
      <c r="M5492" s="1077"/>
    </row>
    <row r="5493" spans="5:13">
      <c r="E5493" s="1077"/>
      <c r="F5493" s="1077"/>
      <c r="G5493" s="1077"/>
      <c r="H5493" s="1077"/>
      <c r="I5493" s="1077"/>
      <c r="J5493" s="1077"/>
      <c r="K5493" s="1077"/>
      <c r="L5493" s="1077"/>
      <c r="M5493" s="1077"/>
    </row>
    <row r="5494" spans="5:13">
      <c r="E5494" s="1077"/>
      <c r="F5494" s="1077"/>
      <c r="G5494" s="1077"/>
      <c r="H5494" s="1077"/>
      <c r="I5494" s="1077"/>
      <c r="J5494" s="1077"/>
      <c r="K5494" s="1077"/>
      <c r="L5494" s="1077"/>
      <c r="M5494" s="1077"/>
    </row>
    <row r="5495" spans="5:13">
      <c r="E5495" s="1077"/>
      <c r="F5495" s="1077"/>
      <c r="G5495" s="1077"/>
      <c r="H5495" s="1077"/>
      <c r="I5495" s="1077"/>
      <c r="J5495" s="1077"/>
      <c r="K5495" s="1077"/>
      <c r="L5495" s="1077"/>
      <c r="M5495" s="1077"/>
    </row>
    <row r="5496" spans="5:13">
      <c r="E5496" s="1077"/>
      <c r="F5496" s="1077"/>
      <c r="G5496" s="1077"/>
      <c r="H5496" s="1077"/>
      <c r="I5496" s="1077"/>
      <c r="J5496" s="1077"/>
      <c r="K5496" s="1077"/>
      <c r="L5496" s="1077"/>
      <c r="M5496" s="1077"/>
    </row>
    <row r="5497" spans="5:13">
      <c r="E5497" s="1077"/>
      <c r="F5497" s="1077"/>
      <c r="G5497" s="1077"/>
      <c r="H5497" s="1077"/>
      <c r="I5497" s="1077"/>
      <c r="J5497" s="1077"/>
      <c r="K5497" s="1077"/>
      <c r="L5497" s="1077"/>
      <c r="M5497" s="1077"/>
    </row>
    <row r="5498" spans="5:13">
      <c r="E5498" s="1077"/>
      <c r="F5498" s="1077"/>
      <c r="G5498" s="1077"/>
      <c r="H5498" s="1077"/>
      <c r="I5498" s="1077"/>
      <c r="J5498" s="1077"/>
      <c r="K5498" s="1077"/>
      <c r="L5498" s="1077"/>
      <c r="M5498" s="1077"/>
    </row>
    <row r="5499" spans="5:13">
      <c r="E5499" s="1077"/>
      <c r="F5499" s="1077"/>
      <c r="G5499" s="1077"/>
      <c r="H5499" s="1077"/>
      <c r="I5499" s="1077"/>
      <c r="J5499" s="1077"/>
      <c r="K5499" s="1077"/>
      <c r="L5499" s="1077"/>
      <c r="M5499" s="1077"/>
    </row>
    <row r="5500" spans="5:13">
      <c r="E5500" s="1077"/>
      <c r="F5500" s="1077"/>
      <c r="G5500" s="1077"/>
      <c r="H5500" s="1077"/>
      <c r="I5500" s="1077"/>
      <c r="J5500" s="1077"/>
      <c r="K5500" s="1077"/>
      <c r="L5500" s="1077"/>
      <c r="M5500" s="1077"/>
    </row>
    <row r="5501" spans="5:13">
      <c r="E5501" s="1077"/>
      <c r="F5501" s="1077"/>
      <c r="G5501" s="1077"/>
      <c r="H5501" s="1077"/>
      <c r="I5501" s="1077"/>
      <c r="J5501" s="1077"/>
      <c r="K5501" s="1077"/>
      <c r="L5501" s="1077"/>
      <c r="M5501" s="1077"/>
    </row>
    <row r="5502" spans="5:13">
      <c r="E5502" s="1077"/>
      <c r="F5502" s="1077"/>
      <c r="G5502" s="1077"/>
      <c r="H5502" s="1077"/>
      <c r="I5502" s="1077"/>
      <c r="J5502" s="1077"/>
      <c r="K5502" s="1077"/>
      <c r="L5502" s="1077"/>
      <c r="M5502" s="1077"/>
    </row>
    <row r="5503" spans="5:13">
      <c r="E5503" s="1077"/>
      <c r="F5503" s="1077"/>
      <c r="G5503" s="1077"/>
      <c r="H5503" s="1077"/>
      <c r="I5503" s="1077"/>
      <c r="J5503" s="1077"/>
      <c r="K5503" s="1077"/>
      <c r="L5503" s="1077"/>
      <c r="M5503" s="1077"/>
    </row>
    <row r="5504" spans="5:13">
      <c r="E5504" s="1077"/>
      <c r="F5504" s="1077"/>
      <c r="G5504" s="1077"/>
      <c r="H5504" s="1077"/>
      <c r="I5504" s="1077"/>
      <c r="J5504" s="1077"/>
      <c r="K5504" s="1077"/>
      <c r="L5504" s="1077"/>
      <c r="M5504" s="1077"/>
    </row>
    <row r="5505" spans="5:13">
      <c r="E5505" s="1077"/>
      <c r="F5505" s="1077"/>
      <c r="G5505" s="1077"/>
      <c r="H5505" s="1077"/>
      <c r="I5505" s="1077"/>
      <c r="J5505" s="1077"/>
      <c r="K5505" s="1077"/>
      <c r="L5505" s="1077"/>
      <c r="M5505" s="1077"/>
    </row>
    <row r="5506" spans="5:13">
      <c r="E5506" s="1077"/>
      <c r="F5506" s="1077"/>
      <c r="G5506" s="1077"/>
      <c r="H5506" s="1077"/>
      <c r="I5506" s="1077"/>
      <c r="J5506" s="1077"/>
      <c r="K5506" s="1077"/>
      <c r="L5506" s="1077"/>
      <c r="M5506" s="1077"/>
    </row>
    <row r="5507" spans="5:13">
      <c r="E5507" s="1077"/>
      <c r="F5507" s="1077"/>
      <c r="G5507" s="1077"/>
      <c r="H5507" s="1077"/>
      <c r="I5507" s="1077"/>
      <c r="J5507" s="1077"/>
      <c r="K5507" s="1077"/>
      <c r="L5507" s="1077"/>
      <c r="M5507" s="1077"/>
    </row>
    <row r="5508" spans="5:13">
      <c r="E5508" s="1077"/>
      <c r="F5508" s="1077"/>
      <c r="G5508" s="1077"/>
      <c r="H5508" s="1077"/>
      <c r="I5508" s="1077"/>
      <c r="J5508" s="1077"/>
      <c r="K5508" s="1077"/>
      <c r="L5508" s="1077"/>
      <c r="M5508" s="1077"/>
    </row>
    <row r="5509" spans="5:13">
      <c r="E5509" s="1077"/>
      <c r="F5509" s="1077"/>
      <c r="G5509" s="1077"/>
      <c r="H5509" s="1077"/>
      <c r="I5509" s="1077"/>
      <c r="J5509" s="1077"/>
      <c r="K5509" s="1077"/>
      <c r="L5509" s="1077"/>
      <c r="M5509" s="1077"/>
    </row>
    <row r="5510" spans="5:13">
      <c r="E5510" s="1077"/>
      <c r="F5510" s="1077"/>
      <c r="G5510" s="1077"/>
      <c r="H5510" s="1077"/>
      <c r="I5510" s="1077"/>
      <c r="J5510" s="1077"/>
      <c r="K5510" s="1077"/>
      <c r="L5510" s="1077"/>
      <c r="M5510" s="1077"/>
    </row>
    <row r="5511" spans="5:13">
      <c r="E5511" s="1077"/>
      <c r="F5511" s="1077"/>
      <c r="G5511" s="1077"/>
      <c r="H5511" s="1077"/>
      <c r="I5511" s="1077"/>
      <c r="J5511" s="1077"/>
      <c r="K5511" s="1077"/>
      <c r="L5511" s="1077"/>
      <c r="M5511" s="1077"/>
    </row>
    <row r="5512" spans="5:13">
      <c r="E5512" s="1077"/>
      <c r="F5512" s="1077"/>
      <c r="G5512" s="1077"/>
      <c r="H5512" s="1077"/>
      <c r="I5512" s="1077"/>
      <c r="J5512" s="1077"/>
      <c r="K5512" s="1077"/>
      <c r="L5512" s="1077"/>
      <c r="M5512" s="1077"/>
    </row>
    <row r="5513" spans="5:13">
      <c r="E5513" s="1077"/>
      <c r="F5513" s="1077"/>
      <c r="G5513" s="1077"/>
      <c r="H5513" s="1077"/>
      <c r="I5513" s="1077"/>
      <c r="J5513" s="1077"/>
      <c r="K5513" s="1077"/>
      <c r="L5513" s="1077"/>
      <c r="M5513" s="1077"/>
    </row>
    <row r="5514" spans="5:13">
      <c r="E5514" s="1077"/>
      <c r="F5514" s="1077"/>
      <c r="G5514" s="1077"/>
      <c r="H5514" s="1077"/>
      <c r="I5514" s="1077"/>
      <c r="J5514" s="1077"/>
      <c r="K5514" s="1077"/>
      <c r="L5514" s="1077"/>
      <c r="M5514" s="1077"/>
    </row>
    <row r="5515" spans="5:13">
      <c r="E5515" s="1077"/>
      <c r="F5515" s="1077"/>
      <c r="G5515" s="1077"/>
      <c r="H5515" s="1077"/>
      <c r="I5515" s="1077"/>
      <c r="J5515" s="1077"/>
      <c r="K5515" s="1077"/>
      <c r="L5515" s="1077"/>
      <c r="M5515" s="1077"/>
    </row>
    <row r="5516" spans="5:13">
      <c r="E5516" s="1077"/>
      <c r="F5516" s="1077"/>
      <c r="G5516" s="1077"/>
      <c r="H5516" s="1077"/>
      <c r="I5516" s="1077"/>
      <c r="J5516" s="1077"/>
      <c r="K5516" s="1077"/>
      <c r="L5516" s="1077"/>
      <c r="M5516" s="1077"/>
    </row>
    <row r="5517" spans="5:13">
      <c r="E5517" s="1077"/>
      <c r="F5517" s="1077"/>
      <c r="G5517" s="1077"/>
      <c r="H5517" s="1077"/>
      <c r="I5517" s="1077"/>
      <c r="J5517" s="1077"/>
      <c r="K5517" s="1077"/>
      <c r="L5517" s="1077"/>
      <c r="M5517" s="1077"/>
    </row>
    <row r="5518" spans="5:13">
      <c r="E5518" s="1077"/>
      <c r="F5518" s="1077"/>
      <c r="G5518" s="1077"/>
      <c r="H5518" s="1077"/>
      <c r="I5518" s="1077"/>
      <c r="J5518" s="1077"/>
      <c r="K5518" s="1077"/>
      <c r="L5518" s="1077"/>
      <c r="M5518" s="1077"/>
    </row>
    <row r="5519" spans="5:13">
      <c r="E5519" s="1077"/>
      <c r="F5519" s="1077"/>
      <c r="G5519" s="1077"/>
      <c r="H5519" s="1077"/>
      <c r="I5519" s="1077"/>
      <c r="J5519" s="1077"/>
      <c r="K5519" s="1077"/>
      <c r="L5519" s="1077"/>
      <c r="M5519" s="1077"/>
    </row>
    <row r="5520" spans="5:13">
      <c r="E5520" s="1077"/>
      <c r="F5520" s="1077"/>
      <c r="G5520" s="1077"/>
      <c r="H5520" s="1077"/>
      <c r="I5520" s="1077"/>
      <c r="J5520" s="1077"/>
      <c r="K5520" s="1077"/>
      <c r="L5520" s="1077"/>
      <c r="M5520" s="1077"/>
    </row>
    <row r="5521" spans="5:13">
      <c r="E5521" s="1077"/>
      <c r="F5521" s="1077"/>
      <c r="G5521" s="1077"/>
      <c r="H5521" s="1077"/>
      <c r="I5521" s="1077"/>
      <c r="J5521" s="1077"/>
      <c r="K5521" s="1077"/>
      <c r="L5521" s="1077"/>
      <c r="M5521" s="1077"/>
    </row>
    <row r="5522" spans="5:13">
      <c r="E5522" s="1077"/>
      <c r="F5522" s="1077"/>
      <c r="G5522" s="1077"/>
      <c r="H5522" s="1077"/>
      <c r="I5522" s="1077"/>
      <c r="J5522" s="1077"/>
      <c r="K5522" s="1077"/>
      <c r="L5522" s="1077"/>
      <c r="M5522" s="1077"/>
    </row>
    <row r="5523" spans="5:13">
      <c r="E5523" s="1077"/>
      <c r="F5523" s="1077"/>
      <c r="G5523" s="1077"/>
      <c r="H5523" s="1077"/>
      <c r="I5523" s="1077"/>
      <c r="J5523" s="1077"/>
      <c r="K5523" s="1077"/>
      <c r="L5523" s="1077"/>
      <c r="M5523" s="1077"/>
    </row>
    <row r="5524" spans="5:13">
      <c r="E5524" s="1077"/>
      <c r="F5524" s="1077"/>
      <c r="G5524" s="1077"/>
      <c r="H5524" s="1077"/>
      <c r="I5524" s="1077"/>
      <c r="J5524" s="1077"/>
      <c r="K5524" s="1077"/>
      <c r="L5524" s="1077"/>
      <c r="M5524" s="1077"/>
    </row>
    <row r="5525" spans="5:13">
      <c r="E5525" s="1077"/>
      <c r="F5525" s="1077"/>
      <c r="G5525" s="1077"/>
      <c r="H5525" s="1077"/>
      <c r="I5525" s="1077"/>
      <c r="J5525" s="1077"/>
      <c r="K5525" s="1077"/>
      <c r="L5525" s="1077"/>
      <c r="M5525" s="1077"/>
    </row>
    <row r="5526" spans="5:13">
      <c r="E5526" s="1077"/>
      <c r="F5526" s="1077"/>
      <c r="G5526" s="1077"/>
      <c r="H5526" s="1077"/>
      <c r="I5526" s="1077"/>
      <c r="J5526" s="1077"/>
      <c r="K5526" s="1077"/>
      <c r="L5526" s="1077"/>
      <c r="M5526" s="1077"/>
    </row>
    <row r="5527" spans="5:13">
      <c r="E5527" s="1077"/>
      <c r="F5527" s="1077"/>
      <c r="G5527" s="1077"/>
      <c r="H5527" s="1077"/>
      <c r="I5527" s="1077"/>
      <c r="J5527" s="1077"/>
      <c r="K5527" s="1077"/>
      <c r="L5527" s="1077"/>
      <c r="M5527" s="1077"/>
    </row>
    <row r="5528" spans="5:13">
      <c r="E5528" s="1077"/>
      <c r="F5528" s="1077"/>
      <c r="G5528" s="1077"/>
      <c r="H5528" s="1077"/>
      <c r="I5528" s="1077"/>
      <c r="J5528" s="1077"/>
      <c r="K5528" s="1077"/>
      <c r="L5528" s="1077"/>
      <c r="M5528" s="1077"/>
    </row>
    <row r="5529" spans="5:13">
      <c r="E5529" s="1077"/>
      <c r="F5529" s="1077"/>
      <c r="G5529" s="1077"/>
      <c r="H5529" s="1077"/>
      <c r="I5529" s="1077"/>
      <c r="J5529" s="1077"/>
      <c r="K5529" s="1077"/>
      <c r="L5529" s="1077"/>
      <c r="M5529" s="1077"/>
    </row>
    <row r="5530" spans="5:13">
      <c r="E5530" s="1077"/>
      <c r="F5530" s="1077"/>
      <c r="G5530" s="1077"/>
      <c r="H5530" s="1077"/>
      <c r="I5530" s="1077"/>
      <c r="J5530" s="1077"/>
      <c r="K5530" s="1077"/>
      <c r="L5530" s="1077"/>
      <c r="M5530" s="1077"/>
    </row>
    <row r="5531" spans="5:13">
      <c r="E5531" s="1077"/>
      <c r="F5531" s="1077"/>
      <c r="G5531" s="1077"/>
      <c r="H5531" s="1077"/>
      <c r="I5531" s="1077"/>
      <c r="J5531" s="1077"/>
      <c r="K5531" s="1077"/>
      <c r="L5531" s="1077"/>
      <c r="M5531" s="1077"/>
    </row>
    <row r="5532" spans="5:13">
      <c r="E5532" s="1077"/>
      <c r="F5532" s="1077"/>
      <c r="G5532" s="1077"/>
      <c r="H5532" s="1077"/>
      <c r="I5532" s="1077"/>
      <c r="J5532" s="1077"/>
      <c r="K5532" s="1077"/>
      <c r="L5532" s="1077"/>
      <c r="M5532" s="1077"/>
    </row>
    <row r="5533" spans="5:13">
      <c r="E5533" s="1077"/>
      <c r="F5533" s="1077"/>
      <c r="G5533" s="1077"/>
      <c r="H5533" s="1077"/>
      <c r="I5533" s="1077"/>
      <c r="J5533" s="1077"/>
      <c r="K5533" s="1077"/>
      <c r="L5533" s="1077"/>
      <c r="M5533" s="1077"/>
    </row>
    <row r="5534" spans="5:13">
      <c r="E5534" s="1077"/>
      <c r="F5534" s="1077"/>
      <c r="G5534" s="1077"/>
      <c r="H5534" s="1077"/>
      <c r="I5534" s="1077"/>
      <c r="J5534" s="1077"/>
      <c r="K5534" s="1077"/>
      <c r="L5534" s="1077"/>
      <c r="M5534" s="1077"/>
    </row>
    <row r="5535" spans="5:13">
      <c r="E5535" s="1077"/>
      <c r="F5535" s="1077"/>
      <c r="G5535" s="1077"/>
      <c r="H5535" s="1077"/>
      <c r="I5535" s="1077"/>
      <c r="J5535" s="1077"/>
      <c r="K5535" s="1077"/>
      <c r="L5535" s="1077"/>
      <c r="M5535" s="1077"/>
    </row>
    <row r="5536" spans="5:13">
      <c r="E5536" s="1077"/>
      <c r="F5536" s="1077"/>
      <c r="G5536" s="1077"/>
      <c r="H5536" s="1077"/>
      <c r="I5536" s="1077"/>
      <c r="J5536" s="1077"/>
      <c r="K5536" s="1077"/>
      <c r="L5536" s="1077"/>
      <c r="M5536" s="1077"/>
    </row>
    <row r="5537" spans="5:13">
      <c r="E5537" s="1077"/>
      <c r="F5537" s="1077"/>
      <c r="G5537" s="1077"/>
      <c r="H5537" s="1077"/>
      <c r="I5537" s="1077"/>
      <c r="J5537" s="1077"/>
      <c r="K5537" s="1077"/>
      <c r="L5537" s="1077"/>
      <c r="M5537" s="1077"/>
    </row>
    <row r="5538" spans="5:13">
      <c r="E5538" s="1077"/>
      <c r="F5538" s="1077"/>
      <c r="G5538" s="1077"/>
      <c r="H5538" s="1077"/>
      <c r="I5538" s="1077"/>
      <c r="J5538" s="1077"/>
      <c r="K5538" s="1077"/>
      <c r="L5538" s="1077"/>
      <c r="M5538" s="1077"/>
    </row>
    <row r="5539" spans="5:13">
      <c r="E5539" s="1077"/>
      <c r="F5539" s="1077"/>
      <c r="G5539" s="1077"/>
      <c r="H5539" s="1077"/>
      <c r="I5539" s="1077"/>
      <c r="J5539" s="1077"/>
      <c r="K5539" s="1077"/>
      <c r="L5539" s="1077"/>
      <c r="M5539" s="1077"/>
    </row>
    <row r="5540" spans="5:13">
      <c r="E5540" s="1077"/>
      <c r="F5540" s="1077"/>
      <c r="G5540" s="1077"/>
      <c r="H5540" s="1077"/>
      <c r="I5540" s="1077"/>
      <c r="J5540" s="1077"/>
      <c r="K5540" s="1077"/>
      <c r="L5540" s="1077"/>
      <c r="M5540" s="1077"/>
    </row>
    <row r="5541" spans="5:13">
      <c r="E5541" s="1077"/>
      <c r="F5541" s="1077"/>
      <c r="G5541" s="1077"/>
      <c r="H5541" s="1077"/>
      <c r="I5541" s="1077"/>
      <c r="J5541" s="1077"/>
      <c r="K5541" s="1077"/>
      <c r="L5541" s="1077"/>
      <c r="M5541" s="1077"/>
    </row>
    <row r="5542" spans="5:13">
      <c r="E5542" s="1077"/>
      <c r="F5542" s="1077"/>
      <c r="G5542" s="1077"/>
      <c r="H5542" s="1077"/>
      <c r="I5542" s="1077"/>
      <c r="J5542" s="1077"/>
      <c r="K5542" s="1077"/>
      <c r="L5542" s="1077"/>
      <c r="M5542" s="1077"/>
    </row>
    <row r="5543" spans="5:13">
      <c r="E5543" s="1077"/>
      <c r="F5543" s="1077"/>
      <c r="G5543" s="1077"/>
      <c r="H5543" s="1077"/>
      <c r="I5543" s="1077"/>
      <c r="J5543" s="1077"/>
      <c r="K5543" s="1077"/>
      <c r="L5543" s="1077"/>
      <c r="M5543" s="1077"/>
    </row>
    <row r="5544" spans="5:13">
      <c r="E5544" s="1077"/>
      <c r="F5544" s="1077"/>
      <c r="G5544" s="1077"/>
      <c r="H5544" s="1077"/>
      <c r="I5544" s="1077"/>
      <c r="J5544" s="1077"/>
      <c r="K5544" s="1077"/>
      <c r="L5544" s="1077"/>
      <c r="M5544" s="1077"/>
    </row>
    <row r="5545" spans="5:13">
      <c r="E5545" s="1077"/>
      <c r="F5545" s="1077"/>
      <c r="G5545" s="1077"/>
      <c r="H5545" s="1077"/>
      <c r="I5545" s="1077"/>
      <c r="J5545" s="1077"/>
      <c r="K5545" s="1077"/>
      <c r="L5545" s="1077"/>
      <c r="M5545" s="1077"/>
    </row>
    <row r="5546" spans="5:13">
      <c r="E5546" s="1077"/>
      <c r="F5546" s="1077"/>
      <c r="G5546" s="1077"/>
      <c r="H5546" s="1077"/>
      <c r="I5546" s="1077"/>
      <c r="J5546" s="1077"/>
      <c r="K5546" s="1077"/>
      <c r="L5546" s="1077"/>
      <c r="M5546" s="1077"/>
    </row>
    <row r="5547" spans="5:13">
      <c r="E5547" s="1077"/>
      <c r="F5547" s="1077"/>
      <c r="G5547" s="1077"/>
      <c r="H5547" s="1077"/>
      <c r="I5547" s="1077"/>
      <c r="J5547" s="1077"/>
      <c r="K5547" s="1077"/>
      <c r="L5547" s="1077"/>
      <c r="M5547" s="1077"/>
    </row>
    <row r="5548" spans="5:13">
      <c r="E5548" s="1077"/>
      <c r="F5548" s="1077"/>
      <c r="G5548" s="1077"/>
      <c r="H5548" s="1077"/>
      <c r="I5548" s="1077"/>
      <c r="J5548" s="1077"/>
      <c r="K5548" s="1077"/>
      <c r="L5548" s="1077"/>
      <c r="M5548" s="1077"/>
    </row>
    <row r="5549" spans="5:13">
      <c r="E5549" s="1077"/>
      <c r="F5549" s="1077"/>
      <c r="G5549" s="1077"/>
      <c r="H5549" s="1077"/>
      <c r="I5549" s="1077"/>
      <c r="J5549" s="1077"/>
      <c r="K5549" s="1077"/>
      <c r="L5549" s="1077"/>
      <c r="M5549" s="1077"/>
    </row>
    <row r="5550" spans="5:13">
      <c r="E5550" s="1077"/>
      <c r="F5550" s="1077"/>
      <c r="G5550" s="1077"/>
      <c r="H5550" s="1077"/>
      <c r="I5550" s="1077"/>
      <c r="J5550" s="1077"/>
      <c r="K5550" s="1077"/>
      <c r="L5550" s="1077"/>
      <c r="M5550" s="1077"/>
    </row>
    <row r="5551" spans="5:13">
      <c r="E5551" s="1077"/>
      <c r="F5551" s="1077"/>
      <c r="G5551" s="1077"/>
      <c r="H5551" s="1077"/>
      <c r="I5551" s="1077"/>
      <c r="J5551" s="1077"/>
      <c r="K5551" s="1077"/>
      <c r="L5551" s="1077"/>
      <c r="M5551" s="1077"/>
    </row>
    <row r="5552" spans="5:13">
      <c r="E5552" s="1077"/>
      <c r="F5552" s="1077"/>
      <c r="G5552" s="1077"/>
      <c r="H5552" s="1077"/>
      <c r="I5552" s="1077"/>
      <c r="J5552" s="1077"/>
      <c r="K5552" s="1077"/>
      <c r="L5552" s="1077"/>
      <c r="M5552" s="1077"/>
    </row>
    <row r="5553" spans="5:13">
      <c r="E5553" s="1077"/>
      <c r="F5553" s="1077"/>
      <c r="G5553" s="1077"/>
      <c r="H5553" s="1077"/>
      <c r="I5553" s="1077"/>
      <c r="J5553" s="1077"/>
      <c r="K5553" s="1077"/>
      <c r="L5553" s="1077"/>
      <c r="M5553" s="1077"/>
    </row>
    <row r="5554" spans="5:13">
      <c r="E5554" s="1077"/>
      <c r="F5554" s="1077"/>
      <c r="G5554" s="1077"/>
      <c r="H5554" s="1077"/>
      <c r="I5554" s="1077"/>
      <c r="J5554" s="1077"/>
      <c r="K5554" s="1077"/>
      <c r="L5554" s="1077"/>
      <c r="M5554" s="1077"/>
    </row>
    <row r="5555" spans="5:13">
      <c r="E5555" s="1077"/>
      <c r="F5555" s="1077"/>
      <c r="G5555" s="1077"/>
      <c r="H5555" s="1077"/>
      <c r="I5555" s="1077"/>
      <c r="J5555" s="1077"/>
      <c r="K5555" s="1077"/>
      <c r="L5555" s="1077"/>
      <c r="M5555" s="1077"/>
    </row>
    <row r="5556" spans="5:13">
      <c r="E5556" s="1077"/>
      <c r="F5556" s="1077"/>
      <c r="G5556" s="1077"/>
      <c r="H5556" s="1077"/>
      <c r="I5556" s="1077"/>
      <c r="J5556" s="1077"/>
      <c r="K5556" s="1077"/>
      <c r="L5556" s="1077"/>
      <c r="M5556" s="1077"/>
    </row>
    <row r="5557" spans="5:13">
      <c r="E5557" s="1077"/>
      <c r="F5557" s="1077"/>
      <c r="G5557" s="1077"/>
      <c r="H5557" s="1077"/>
      <c r="I5557" s="1077"/>
      <c r="J5557" s="1077"/>
      <c r="K5557" s="1077"/>
      <c r="L5557" s="1077"/>
      <c r="M5557" s="1077"/>
    </row>
    <row r="5558" spans="5:13">
      <c r="E5558" s="1077"/>
      <c r="F5558" s="1077"/>
      <c r="G5558" s="1077"/>
      <c r="H5558" s="1077"/>
      <c r="I5558" s="1077"/>
      <c r="J5558" s="1077"/>
      <c r="K5558" s="1077"/>
      <c r="L5558" s="1077"/>
      <c r="M5558" s="1077"/>
    </row>
    <row r="5559" spans="5:13">
      <c r="E5559" s="1077"/>
      <c r="F5559" s="1077"/>
      <c r="G5559" s="1077"/>
      <c r="H5559" s="1077"/>
      <c r="I5559" s="1077"/>
      <c r="J5559" s="1077"/>
      <c r="K5559" s="1077"/>
      <c r="L5559" s="1077"/>
      <c r="M5559" s="1077"/>
    </row>
    <row r="5560" spans="5:13">
      <c r="E5560" s="1077"/>
      <c r="F5560" s="1077"/>
      <c r="G5560" s="1077"/>
      <c r="H5560" s="1077"/>
      <c r="I5560" s="1077"/>
      <c r="J5560" s="1077"/>
      <c r="K5560" s="1077"/>
      <c r="L5560" s="1077"/>
      <c r="M5560" s="1077"/>
    </row>
    <row r="5561" spans="5:13">
      <c r="E5561" s="1077"/>
      <c r="F5561" s="1077"/>
      <c r="G5561" s="1077"/>
      <c r="H5561" s="1077"/>
      <c r="I5561" s="1077"/>
      <c r="J5561" s="1077"/>
      <c r="K5561" s="1077"/>
      <c r="L5561" s="1077"/>
      <c r="M5561" s="1077"/>
    </row>
    <row r="5562" spans="5:13">
      <c r="E5562" s="1077"/>
      <c r="F5562" s="1077"/>
      <c r="G5562" s="1077"/>
      <c r="H5562" s="1077"/>
      <c r="I5562" s="1077"/>
      <c r="J5562" s="1077"/>
      <c r="K5562" s="1077"/>
      <c r="L5562" s="1077"/>
      <c r="M5562" s="1077"/>
    </row>
    <row r="5563" spans="5:13">
      <c r="E5563" s="1077"/>
      <c r="F5563" s="1077"/>
      <c r="G5563" s="1077"/>
      <c r="H5563" s="1077"/>
      <c r="I5563" s="1077"/>
      <c r="J5563" s="1077"/>
      <c r="K5563" s="1077"/>
      <c r="L5563" s="1077"/>
      <c r="M5563" s="1077"/>
    </row>
    <row r="5564" spans="5:13">
      <c r="E5564" s="1077"/>
      <c r="F5564" s="1077"/>
      <c r="G5564" s="1077"/>
      <c r="H5564" s="1077"/>
      <c r="I5564" s="1077"/>
      <c r="J5564" s="1077"/>
      <c r="K5564" s="1077"/>
      <c r="L5564" s="1077"/>
      <c r="M5564" s="1077"/>
    </row>
    <row r="5565" spans="5:13">
      <c r="E5565" s="1077"/>
      <c r="F5565" s="1077"/>
      <c r="G5565" s="1077"/>
      <c r="H5565" s="1077"/>
      <c r="I5565" s="1077"/>
      <c r="J5565" s="1077"/>
      <c r="K5565" s="1077"/>
      <c r="L5565" s="1077"/>
      <c r="M5565" s="1077"/>
    </row>
    <row r="5566" spans="5:13">
      <c r="E5566" s="1077"/>
      <c r="F5566" s="1077"/>
      <c r="G5566" s="1077"/>
      <c r="H5566" s="1077"/>
      <c r="I5566" s="1077"/>
      <c r="J5566" s="1077"/>
      <c r="K5566" s="1077"/>
      <c r="L5566" s="1077"/>
      <c r="M5566" s="1077"/>
    </row>
    <row r="5567" spans="5:13">
      <c r="E5567" s="1077"/>
      <c r="F5567" s="1077"/>
      <c r="G5567" s="1077"/>
      <c r="H5567" s="1077"/>
      <c r="I5567" s="1077"/>
      <c r="J5567" s="1077"/>
      <c r="K5567" s="1077"/>
      <c r="L5567" s="1077"/>
      <c r="M5567" s="1077"/>
    </row>
    <row r="5568" spans="5:13">
      <c r="E5568" s="1077"/>
      <c r="F5568" s="1077"/>
      <c r="G5568" s="1077"/>
      <c r="H5568" s="1077"/>
      <c r="I5568" s="1077"/>
      <c r="J5568" s="1077"/>
      <c r="K5568" s="1077"/>
      <c r="L5568" s="1077"/>
      <c r="M5568" s="1077"/>
    </row>
    <row r="5569" spans="5:13">
      <c r="E5569" s="1077"/>
      <c r="F5569" s="1077"/>
      <c r="G5569" s="1077"/>
      <c r="H5569" s="1077"/>
      <c r="I5569" s="1077"/>
      <c r="J5569" s="1077"/>
      <c r="K5569" s="1077"/>
      <c r="L5569" s="1077"/>
      <c r="M5569" s="1077"/>
    </row>
    <row r="5570" spans="5:13">
      <c r="E5570" s="1077"/>
      <c r="F5570" s="1077"/>
      <c r="G5570" s="1077"/>
      <c r="H5570" s="1077"/>
      <c r="I5570" s="1077"/>
      <c r="J5570" s="1077"/>
      <c r="K5570" s="1077"/>
      <c r="L5570" s="1077"/>
      <c r="M5570" s="1077"/>
    </row>
    <row r="5571" spans="5:13">
      <c r="E5571" s="1077"/>
      <c r="F5571" s="1077"/>
      <c r="G5571" s="1077"/>
      <c r="H5571" s="1077"/>
      <c r="I5571" s="1077"/>
      <c r="J5571" s="1077"/>
      <c r="K5571" s="1077"/>
      <c r="L5571" s="1077"/>
      <c r="M5571" s="1077"/>
    </row>
    <row r="5572" spans="5:13">
      <c r="E5572" s="1077"/>
      <c r="F5572" s="1077"/>
      <c r="G5572" s="1077"/>
      <c r="H5572" s="1077"/>
      <c r="I5572" s="1077"/>
      <c r="J5572" s="1077"/>
      <c r="K5572" s="1077"/>
      <c r="L5572" s="1077"/>
      <c r="M5572" s="1077"/>
    </row>
    <row r="5573" spans="5:13">
      <c r="E5573" s="1077"/>
      <c r="F5573" s="1077"/>
      <c r="G5573" s="1077"/>
      <c r="H5573" s="1077"/>
      <c r="I5573" s="1077"/>
      <c r="J5573" s="1077"/>
      <c r="K5573" s="1077"/>
      <c r="L5573" s="1077"/>
      <c r="M5573" s="1077"/>
    </row>
    <row r="5574" spans="5:13">
      <c r="E5574" s="1077"/>
      <c r="F5574" s="1077"/>
      <c r="G5574" s="1077"/>
      <c r="H5574" s="1077"/>
      <c r="I5574" s="1077"/>
      <c r="J5574" s="1077"/>
      <c r="K5574" s="1077"/>
      <c r="L5574" s="1077"/>
      <c r="M5574" s="1077"/>
    </row>
    <row r="5575" spans="5:13">
      <c r="E5575" s="1077"/>
      <c r="F5575" s="1077"/>
      <c r="G5575" s="1077"/>
      <c r="H5575" s="1077"/>
      <c r="I5575" s="1077"/>
      <c r="J5575" s="1077"/>
      <c r="K5575" s="1077"/>
      <c r="L5575" s="1077"/>
      <c r="M5575" s="1077"/>
    </row>
    <row r="5576" spans="5:13">
      <c r="E5576" s="1077"/>
      <c r="F5576" s="1077"/>
      <c r="G5576" s="1077"/>
      <c r="H5576" s="1077"/>
      <c r="I5576" s="1077"/>
      <c r="J5576" s="1077"/>
      <c r="K5576" s="1077"/>
      <c r="L5576" s="1077"/>
      <c r="M5576" s="1077"/>
    </row>
    <row r="5577" spans="5:13">
      <c r="E5577" s="1077"/>
      <c r="F5577" s="1077"/>
      <c r="G5577" s="1077"/>
      <c r="H5577" s="1077"/>
      <c r="I5577" s="1077"/>
      <c r="J5577" s="1077"/>
      <c r="K5577" s="1077"/>
      <c r="L5577" s="1077"/>
      <c r="M5577" s="1077"/>
    </row>
    <row r="5578" spans="5:13">
      <c r="E5578" s="1077"/>
      <c r="F5578" s="1077"/>
      <c r="G5578" s="1077"/>
      <c r="H5578" s="1077"/>
      <c r="I5578" s="1077"/>
      <c r="J5578" s="1077"/>
      <c r="K5578" s="1077"/>
      <c r="L5578" s="1077"/>
      <c r="M5578" s="1077"/>
    </row>
    <row r="5579" spans="5:13">
      <c r="E5579" s="1077"/>
      <c r="F5579" s="1077"/>
      <c r="G5579" s="1077"/>
      <c r="H5579" s="1077"/>
      <c r="I5579" s="1077"/>
      <c r="J5579" s="1077"/>
      <c r="K5579" s="1077"/>
      <c r="L5579" s="1077"/>
      <c r="M5579" s="1077"/>
    </row>
    <row r="5580" spans="5:13">
      <c r="E5580" s="1077"/>
      <c r="F5580" s="1077"/>
      <c r="G5580" s="1077"/>
      <c r="H5580" s="1077"/>
      <c r="I5580" s="1077"/>
      <c r="J5580" s="1077"/>
      <c r="K5580" s="1077"/>
      <c r="L5580" s="1077"/>
      <c r="M5580" s="1077"/>
    </row>
    <row r="5581" spans="5:13">
      <c r="E5581" s="1077"/>
      <c r="F5581" s="1077"/>
      <c r="G5581" s="1077"/>
      <c r="H5581" s="1077"/>
      <c r="I5581" s="1077"/>
      <c r="J5581" s="1077"/>
      <c r="K5581" s="1077"/>
      <c r="L5581" s="1077"/>
      <c r="M5581" s="1077"/>
    </row>
    <row r="5582" spans="5:13">
      <c r="E5582" s="1077"/>
      <c r="F5582" s="1077"/>
      <c r="G5582" s="1077"/>
      <c r="H5582" s="1077"/>
      <c r="I5582" s="1077"/>
      <c r="J5582" s="1077"/>
      <c r="K5582" s="1077"/>
      <c r="L5582" s="1077"/>
      <c r="M5582" s="1077"/>
    </row>
    <row r="5583" spans="5:13">
      <c r="E5583" s="1077"/>
      <c r="F5583" s="1077"/>
      <c r="G5583" s="1077"/>
      <c r="H5583" s="1077"/>
      <c r="I5583" s="1077"/>
      <c r="J5583" s="1077"/>
      <c r="K5583" s="1077"/>
      <c r="L5583" s="1077"/>
      <c r="M5583" s="1077"/>
    </row>
    <row r="5584" spans="5:13">
      <c r="E5584" s="1077"/>
      <c r="F5584" s="1077"/>
      <c r="G5584" s="1077"/>
      <c r="H5584" s="1077"/>
      <c r="I5584" s="1077"/>
      <c r="J5584" s="1077"/>
      <c r="K5584" s="1077"/>
      <c r="L5584" s="1077"/>
      <c r="M5584" s="1077"/>
    </row>
    <row r="5585" spans="5:13">
      <c r="E5585" s="1077"/>
      <c r="F5585" s="1077"/>
      <c r="G5585" s="1077"/>
      <c r="H5585" s="1077"/>
      <c r="I5585" s="1077"/>
      <c r="J5585" s="1077"/>
      <c r="K5585" s="1077"/>
      <c r="L5585" s="1077"/>
      <c r="M5585" s="1077"/>
    </row>
    <row r="5586" spans="5:13">
      <c r="E5586" s="1077"/>
      <c r="F5586" s="1077"/>
      <c r="G5586" s="1077"/>
      <c r="H5586" s="1077"/>
      <c r="I5586" s="1077"/>
      <c r="J5586" s="1077"/>
      <c r="K5586" s="1077"/>
      <c r="L5586" s="1077"/>
      <c r="M5586" s="1077"/>
    </row>
    <row r="5587" spans="5:13">
      <c r="E5587" s="1077"/>
      <c r="F5587" s="1077"/>
      <c r="G5587" s="1077"/>
      <c r="H5587" s="1077"/>
      <c r="I5587" s="1077"/>
      <c r="J5587" s="1077"/>
      <c r="K5587" s="1077"/>
      <c r="L5587" s="1077"/>
      <c r="M5587" s="1077"/>
    </row>
    <row r="5588" spans="5:13">
      <c r="E5588" s="1077"/>
      <c r="F5588" s="1077"/>
      <c r="G5588" s="1077"/>
      <c r="H5588" s="1077"/>
      <c r="I5588" s="1077"/>
      <c r="J5588" s="1077"/>
      <c r="K5588" s="1077"/>
      <c r="L5588" s="1077"/>
      <c r="M5588" s="1077"/>
    </row>
    <row r="5589" spans="5:13">
      <c r="E5589" s="1077"/>
      <c r="F5589" s="1077"/>
      <c r="G5589" s="1077"/>
      <c r="H5589" s="1077"/>
      <c r="I5589" s="1077"/>
      <c r="J5589" s="1077"/>
      <c r="K5589" s="1077"/>
      <c r="L5589" s="1077"/>
      <c r="M5589" s="1077"/>
    </row>
    <row r="5590" spans="5:13">
      <c r="E5590" s="1077"/>
      <c r="F5590" s="1077"/>
      <c r="G5590" s="1077"/>
      <c r="H5590" s="1077"/>
      <c r="I5590" s="1077"/>
      <c r="J5590" s="1077"/>
      <c r="K5590" s="1077"/>
      <c r="L5590" s="1077"/>
      <c r="M5590" s="1077"/>
    </row>
    <row r="5591" spans="5:13">
      <c r="E5591" s="1077"/>
      <c r="F5591" s="1077"/>
      <c r="G5591" s="1077"/>
      <c r="H5591" s="1077"/>
      <c r="I5591" s="1077"/>
      <c r="J5591" s="1077"/>
      <c r="K5591" s="1077"/>
      <c r="L5591" s="1077"/>
      <c r="M5591" s="1077"/>
    </row>
    <row r="5592" spans="5:13">
      <c r="E5592" s="1077"/>
      <c r="F5592" s="1077"/>
      <c r="G5592" s="1077"/>
      <c r="H5592" s="1077"/>
      <c r="I5592" s="1077"/>
      <c r="J5592" s="1077"/>
      <c r="K5592" s="1077"/>
      <c r="L5592" s="1077"/>
      <c r="M5592" s="1077"/>
    </row>
    <row r="5593" spans="5:13">
      <c r="E5593" s="1077"/>
      <c r="F5593" s="1077"/>
      <c r="G5593" s="1077"/>
      <c r="H5593" s="1077"/>
      <c r="I5593" s="1077"/>
      <c r="J5593" s="1077"/>
      <c r="K5593" s="1077"/>
      <c r="L5593" s="1077"/>
      <c r="M5593" s="1077"/>
    </row>
    <row r="5594" spans="5:13">
      <c r="E5594" s="1077"/>
      <c r="F5594" s="1077"/>
      <c r="G5594" s="1077"/>
      <c r="H5594" s="1077"/>
      <c r="I5594" s="1077"/>
      <c r="J5594" s="1077"/>
      <c r="K5594" s="1077"/>
      <c r="L5594" s="1077"/>
      <c r="M5594" s="1077"/>
    </row>
    <row r="5595" spans="5:13">
      <c r="E5595" s="1077"/>
      <c r="F5595" s="1077"/>
      <c r="G5595" s="1077"/>
      <c r="H5595" s="1077"/>
      <c r="I5595" s="1077"/>
      <c r="J5595" s="1077"/>
      <c r="K5595" s="1077"/>
      <c r="L5595" s="1077"/>
      <c r="M5595" s="1077"/>
    </row>
    <row r="5596" spans="5:13">
      <c r="E5596" s="1077"/>
      <c r="F5596" s="1077"/>
      <c r="G5596" s="1077"/>
      <c r="H5596" s="1077"/>
      <c r="I5596" s="1077"/>
      <c r="J5596" s="1077"/>
      <c r="K5596" s="1077"/>
      <c r="L5596" s="1077"/>
      <c r="M5596" s="1077"/>
    </row>
    <row r="5597" spans="5:13">
      <c r="E5597" s="1077"/>
      <c r="F5597" s="1077"/>
      <c r="G5597" s="1077"/>
      <c r="H5597" s="1077"/>
      <c r="I5597" s="1077"/>
      <c r="J5597" s="1077"/>
      <c r="K5597" s="1077"/>
      <c r="L5597" s="1077"/>
      <c r="M5597" s="1077"/>
    </row>
    <row r="5598" spans="5:13">
      <c r="E5598" s="1077"/>
      <c r="F5598" s="1077"/>
      <c r="G5598" s="1077"/>
      <c r="H5598" s="1077"/>
      <c r="I5598" s="1077"/>
      <c r="J5598" s="1077"/>
      <c r="K5598" s="1077"/>
      <c r="L5598" s="1077"/>
      <c r="M5598" s="1077"/>
    </row>
    <row r="5599" spans="5:13">
      <c r="E5599" s="1077"/>
      <c r="F5599" s="1077"/>
      <c r="G5599" s="1077"/>
      <c r="H5599" s="1077"/>
      <c r="I5599" s="1077"/>
      <c r="J5599" s="1077"/>
      <c r="K5599" s="1077"/>
      <c r="L5599" s="1077"/>
      <c r="M5599" s="1077"/>
    </row>
    <row r="5600" spans="5:13">
      <c r="E5600" s="1077"/>
      <c r="F5600" s="1077"/>
      <c r="G5600" s="1077"/>
      <c r="H5600" s="1077"/>
      <c r="I5600" s="1077"/>
      <c r="J5600" s="1077"/>
      <c r="K5600" s="1077"/>
      <c r="L5600" s="1077"/>
      <c r="M5600" s="1077"/>
    </row>
    <row r="5601" spans="5:13">
      <c r="E5601" s="1077"/>
      <c r="F5601" s="1077"/>
      <c r="G5601" s="1077"/>
      <c r="H5601" s="1077"/>
      <c r="I5601" s="1077"/>
      <c r="J5601" s="1077"/>
      <c r="K5601" s="1077"/>
      <c r="L5601" s="1077"/>
      <c r="M5601" s="1077"/>
    </row>
    <row r="5602" spans="5:13">
      <c r="E5602" s="1077"/>
      <c r="F5602" s="1077"/>
      <c r="G5602" s="1077"/>
      <c r="H5602" s="1077"/>
      <c r="I5602" s="1077"/>
      <c r="J5602" s="1077"/>
      <c r="K5602" s="1077"/>
      <c r="L5602" s="1077"/>
      <c r="M5602" s="1077"/>
    </row>
    <row r="5603" spans="5:13">
      <c r="E5603" s="1077"/>
      <c r="F5603" s="1077"/>
      <c r="G5603" s="1077"/>
      <c r="H5603" s="1077"/>
      <c r="I5603" s="1077"/>
      <c r="J5603" s="1077"/>
      <c r="K5603" s="1077"/>
      <c r="L5603" s="1077"/>
      <c r="M5603" s="1077"/>
    </row>
    <row r="5604" spans="5:13">
      <c r="E5604" s="1077"/>
      <c r="F5604" s="1077"/>
      <c r="G5604" s="1077"/>
      <c r="H5604" s="1077"/>
      <c r="I5604" s="1077"/>
      <c r="J5604" s="1077"/>
      <c r="K5604" s="1077"/>
      <c r="L5604" s="1077"/>
      <c r="M5604" s="1077"/>
    </row>
    <row r="5605" spans="5:13">
      <c r="E5605" s="1077"/>
      <c r="F5605" s="1077"/>
      <c r="G5605" s="1077"/>
      <c r="H5605" s="1077"/>
      <c r="I5605" s="1077"/>
      <c r="J5605" s="1077"/>
      <c r="K5605" s="1077"/>
      <c r="L5605" s="1077"/>
      <c r="M5605" s="1077"/>
    </row>
    <row r="5606" spans="5:13">
      <c r="E5606" s="1077"/>
      <c r="F5606" s="1077"/>
      <c r="G5606" s="1077"/>
      <c r="H5606" s="1077"/>
      <c r="I5606" s="1077"/>
      <c r="J5606" s="1077"/>
      <c r="K5606" s="1077"/>
      <c r="L5606" s="1077"/>
      <c r="M5606" s="1077"/>
    </row>
    <row r="5607" spans="5:13">
      <c r="E5607" s="1077"/>
      <c r="F5607" s="1077"/>
      <c r="G5607" s="1077"/>
      <c r="H5607" s="1077"/>
      <c r="I5607" s="1077"/>
      <c r="J5607" s="1077"/>
      <c r="K5607" s="1077"/>
      <c r="L5607" s="1077"/>
      <c r="M5607" s="1077"/>
    </row>
    <row r="5608" spans="5:13">
      <c r="E5608" s="1077"/>
      <c r="F5608" s="1077"/>
      <c r="G5608" s="1077"/>
      <c r="H5608" s="1077"/>
      <c r="I5608" s="1077"/>
      <c r="J5608" s="1077"/>
      <c r="K5608" s="1077"/>
      <c r="L5608" s="1077"/>
      <c r="M5608" s="1077"/>
    </row>
    <row r="5609" spans="5:13">
      <c r="E5609" s="1077"/>
      <c r="F5609" s="1077"/>
      <c r="G5609" s="1077"/>
      <c r="H5609" s="1077"/>
      <c r="I5609" s="1077"/>
      <c r="J5609" s="1077"/>
      <c r="K5609" s="1077"/>
      <c r="L5609" s="1077"/>
      <c r="M5609" s="1077"/>
    </row>
    <row r="5610" spans="5:13">
      <c r="E5610" s="1077"/>
      <c r="F5610" s="1077"/>
      <c r="G5610" s="1077"/>
      <c r="H5610" s="1077"/>
      <c r="I5610" s="1077"/>
      <c r="J5610" s="1077"/>
      <c r="K5610" s="1077"/>
      <c r="L5610" s="1077"/>
      <c r="M5610" s="1077"/>
    </row>
    <row r="5611" spans="5:13">
      <c r="E5611" s="1077"/>
      <c r="F5611" s="1077"/>
      <c r="G5611" s="1077"/>
      <c r="H5611" s="1077"/>
      <c r="I5611" s="1077"/>
      <c r="J5611" s="1077"/>
      <c r="K5611" s="1077"/>
      <c r="L5611" s="1077"/>
      <c r="M5611" s="1077"/>
    </row>
    <row r="5612" spans="5:13">
      <c r="E5612" s="1077"/>
      <c r="F5612" s="1077"/>
      <c r="G5612" s="1077"/>
      <c r="H5612" s="1077"/>
      <c r="I5612" s="1077"/>
      <c r="J5612" s="1077"/>
      <c r="K5612" s="1077"/>
      <c r="L5612" s="1077"/>
      <c r="M5612" s="1077"/>
    </row>
    <row r="5613" spans="5:13">
      <c r="E5613" s="1077"/>
      <c r="F5613" s="1077"/>
      <c r="G5613" s="1077"/>
      <c r="H5613" s="1077"/>
      <c r="I5613" s="1077"/>
      <c r="J5613" s="1077"/>
      <c r="K5613" s="1077"/>
      <c r="L5613" s="1077"/>
      <c r="M5613" s="1077"/>
    </row>
    <row r="5614" spans="5:13">
      <c r="E5614" s="1077"/>
      <c r="F5614" s="1077"/>
      <c r="G5614" s="1077"/>
      <c r="H5614" s="1077"/>
      <c r="I5614" s="1077"/>
      <c r="J5614" s="1077"/>
      <c r="K5614" s="1077"/>
      <c r="L5614" s="1077"/>
      <c r="M5614" s="1077"/>
    </row>
    <row r="5615" spans="5:13">
      <c r="E5615" s="1077"/>
      <c r="F5615" s="1077"/>
      <c r="G5615" s="1077"/>
      <c r="H5615" s="1077"/>
      <c r="I5615" s="1077"/>
      <c r="J5615" s="1077"/>
      <c r="K5615" s="1077"/>
      <c r="L5615" s="1077"/>
      <c r="M5615" s="1077"/>
    </row>
    <row r="5616" spans="5:13">
      <c r="E5616" s="1077"/>
      <c r="F5616" s="1077"/>
      <c r="G5616" s="1077"/>
      <c r="H5616" s="1077"/>
      <c r="I5616" s="1077"/>
      <c r="J5616" s="1077"/>
      <c r="K5616" s="1077"/>
      <c r="L5616" s="1077"/>
      <c r="M5616" s="1077"/>
    </row>
    <row r="5617" spans="5:13">
      <c r="E5617" s="1077"/>
      <c r="F5617" s="1077"/>
      <c r="G5617" s="1077"/>
      <c r="H5617" s="1077"/>
      <c r="I5617" s="1077"/>
      <c r="J5617" s="1077"/>
      <c r="K5617" s="1077"/>
      <c r="L5617" s="1077"/>
      <c r="M5617" s="1077"/>
    </row>
    <row r="5618" spans="5:13">
      <c r="E5618" s="1077"/>
      <c r="F5618" s="1077"/>
      <c r="G5618" s="1077"/>
      <c r="H5618" s="1077"/>
      <c r="I5618" s="1077"/>
      <c r="J5618" s="1077"/>
      <c r="K5618" s="1077"/>
      <c r="L5618" s="1077"/>
      <c r="M5618" s="1077"/>
    </row>
    <row r="5619" spans="5:13">
      <c r="E5619" s="1077"/>
      <c r="F5619" s="1077"/>
      <c r="G5619" s="1077"/>
      <c r="H5619" s="1077"/>
      <c r="I5619" s="1077"/>
      <c r="J5619" s="1077"/>
      <c r="K5619" s="1077"/>
      <c r="L5619" s="1077"/>
      <c r="M5619" s="1077"/>
    </row>
    <row r="5620" spans="5:13">
      <c r="E5620" s="1077"/>
      <c r="F5620" s="1077"/>
      <c r="G5620" s="1077"/>
      <c r="H5620" s="1077"/>
      <c r="I5620" s="1077"/>
      <c r="J5620" s="1077"/>
      <c r="K5620" s="1077"/>
      <c r="L5620" s="1077"/>
      <c r="M5620" s="1077"/>
    </row>
    <row r="5621" spans="5:13">
      <c r="E5621" s="1077"/>
      <c r="F5621" s="1077"/>
      <c r="G5621" s="1077"/>
      <c r="H5621" s="1077"/>
      <c r="I5621" s="1077"/>
      <c r="J5621" s="1077"/>
      <c r="K5621" s="1077"/>
      <c r="L5621" s="1077"/>
      <c r="M5621" s="1077"/>
    </row>
    <row r="5622" spans="5:13">
      <c r="E5622" s="1077"/>
      <c r="F5622" s="1077"/>
      <c r="G5622" s="1077"/>
      <c r="H5622" s="1077"/>
      <c r="I5622" s="1077"/>
      <c r="J5622" s="1077"/>
      <c r="K5622" s="1077"/>
      <c r="L5622" s="1077"/>
      <c r="M5622" s="1077"/>
    </row>
    <row r="5623" spans="5:13">
      <c r="E5623" s="1077"/>
      <c r="F5623" s="1077"/>
      <c r="G5623" s="1077"/>
      <c r="H5623" s="1077"/>
      <c r="I5623" s="1077"/>
      <c r="J5623" s="1077"/>
      <c r="K5623" s="1077"/>
      <c r="L5623" s="1077"/>
      <c r="M5623" s="1077"/>
    </row>
    <row r="5624" spans="5:13">
      <c r="E5624" s="1077"/>
      <c r="F5624" s="1077"/>
      <c r="G5624" s="1077"/>
      <c r="H5624" s="1077"/>
      <c r="I5624" s="1077"/>
      <c r="J5624" s="1077"/>
      <c r="K5624" s="1077"/>
      <c r="L5624" s="1077"/>
      <c r="M5624" s="1077"/>
    </row>
    <row r="5625" spans="5:13">
      <c r="E5625" s="1077"/>
      <c r="F5625" s="1077"/>
      <c r="G5625" s="1077"/>
      <c r="H5625" s="1077"/>
      <c r="I5625" s="1077"/>
      <c r="J5625" s="1077"/>
      <c r="K5625" s="1077"/>
      <c r="L5625" s="1077"/>
      <c r="M5625" s="1077"/>
    </row>
    <row r="5626" spans="5:13">
      <c r="E5626" s="1077"/>
      <c r="F5626" s="1077"/>
      <c r="G5626" s="1077"/>
      <c r="H5626" s="1077"/>
      <c r="I5626" s="1077"/>
      <c r="J5626" s="1077"/>
      <c r="K5626" s="1077"/>
      <c r="L5626" s="1077"/>
      <c r="M5626" s="1077"/>
    </row>
    <row r="5627" spans="5:13">
      <c r="E5627" s="1077"/>
      <c r="F5627" s="1077"/>
      <c r="G5627" s="1077"/>
      <c r="H5627" s="1077"/>
      <c r="I5627" s="1077"/>
      <c r="J5627" s="1077"/>
      <c r="K5627" s="1077"/>
      <c r="L5627" s="1077"/>
      <c r="M5627" s="1077"/>
    </row>
    <row r="5628" spans="5:13">
      <c r="E5628" s="1077"/>
      <c r="F5628" s="1077"/>
      <c r="G5628" s="1077"/>
      <c r="H5628" s="1077"/>
      <c r="I5628" s="1077"/>
      <c r="J5628" s="1077"/>
      <c r="K5628" s="1077"/>
      <c r="L5628" s="1077"/>
      <c r="M5628" s="1077"/>
    </row>
    <row r="5629" spans="5:13">
      <c r="E5629" s="1077"/>
      <c r="F5629" s="1077"/>
      <c r="G5629" s="1077"/>
      <c r="H5629" s="1077"/>
      <c r="I5629" s="1077"/>
      <c r="J5629" s="1077"/>
      <c r="K5629" s="1077"/>
      <c r="L5629" s="1077"/>
      <c r="M5629" s="1077"/>
    </row>
    <row r="5630" spans="5:13">
      <c r="E5630" s="1077"/>
      <c r="F5630" s="1077"/>
      <c r="G5630" s="1077"/>
      <c r="H5630" s="1077"/>
      <c r="I5630" s="1077"/>
      <c r="J5630" s="1077"/>
      <c r="K5630" s="1077"/>
      <c r="L5630" s="1077"/>
      <c r="M5630" s="1077"/>
    </row>
    <row r="5631" spans="5:13">
      <c r="E5631" s="1077"/>
      <c r="F5631" s="1077"/>
      <c r="G5631" s="1077"/>
      <c r="H5631" s="1077"/>
      <c r="I5631" s="1077"/>
      <c r="J5631" s="1077"/>
      <c r="K5631" s="1077"/>
      <c r="L5631" s="1077"/>
      <c r="M5631" s="1077"/>
    </row>
    <row r="5632" spans="5:13">
      <c r="E5632" s="1077"/>
      <c r="F5632" s="1077"/>
      <c r="G5632" s="1077"/>
      <c r="H5632" s="1077"/>
      <c r="I5632" s="1077"/>
      <c r="J5632" s="1077"/>
      <c r="K5632" s="1077"/>
      <c r="L5632" s="1077"/>
      <c r="M5632" s="1077"/>
    </row>
    <row r="5633" spans="5:13">
      <c r="E5633" s="1077"/>
      <c r="F5633" s="1077"/>
      <c r="G5633" s="1077"/>
      <c r="H5633" s="1077"/>
      <c r="I5633" s="1077"/>
      <c r="J5633" s="1077"/>
      <c r="K5633" s="1077"/>
      <c r="L5633" s="1077"/>
      <c r="M5633" s="1077"/>
    </row>
    <row r="5634" spans="5:13">
      <c r="E5634" s="1077"/>
      <c r="F5634" s="1077"/>
      <c r="G5634" s="1077"/>
      <c r="H5634" s="1077"/>
      <c r="I5634" s="1077"/>
      <c r="J5634" s="1077"/>
      <c r="K5634" s="1077"/>
      <c r="L5634" s="1077"/>
      <c r="M5634" s="1077"/>
    </row>
    <row r="5635" spans="5:13">
      <c r="E5635" s="1077"/>
      <c r="F5635" s="1077"/>
      <c r="G5635" s="1077"/>
      <c r="H5635" s="1077"/>
      <c r="I5635" s="1077"/>
      <c r="J5635" s="1077"/>
      <c r="K5635" s="1077"/>
      <c r="L5635" s="1077"/>
      <c r="M5635" s="1077"/>
    </row>
    <row r="5636" spans="5:13">
      <c r="E5636" s="1077"/>
      <c r="F5636" s="1077"/>
      <c r="G5636" s="1077"/>
      <c r="H5636" s="1077"/>
      <c r="I5636" s="1077"/>
      <c r="J5636" s="1077"/>
      <c r="K5636" s="1077"/>
      <c r="L5636" s="1077"/>
      <c r="M5636" s="1077"/>
    </row>
    <row r="5637" spans="5:13">
      <c r="E5637" s="1077"/>
      <c r="F5637" s="1077"/>
      <c r="G5637" s="1077"/>
      <c r="H5637" s="1077"/>
      <c r="I5637" s="1077"/>
      <c r="J5637" s="1077"/>
      <c r="K5637" s="1077"/>
      <c r="L5637" s="1077"/>
      <c r="M5637" s="1077"/>
    </row>
    <row r="5638" spans="5:13">
      <c r="E5638" s="1077"/>
      <c r="F5638" s="1077"/>
      <c r="G5638" s="1077"/>
      <c r="H5638" s="1077"/>
      <c r="I5638" s="1077"/>
      <c r="J5638" s="1077"/>
      <c r="K5638" s="1077"/>
      <c r="L5638" s="1077"/>
      <c r="M5638" s="1077"/>
    </row>
    <row r="5639" spans="5:13">
      <c r="E5639" s="1077"/>
      <c r="F5639" s="1077"/>
      <c r="G5639" s="1077"/>
      <c r="H5639" s="1077"/>
      <c r="I5639" s="1077"/>
      <c r="J5639" s="1077"/>
      <c r="K5639" s="1077"/>
      <c r="L5639" s="1077"/>
      <c r="M5639" s="1077"/>
    </row>
    <row r="5640" spans="5:13">
      <c r="E5640" s="1077"/>
      <c r="F5640" s="1077"/>
      <c r="G5640" s="1077"/>
      <c r="H5640" s="1077"/>
      <c r="I5640" s="1077"/>
      <c r="J5640" s="1077"/>
      <c r="K5640" s="1077"/>
      <c r="L5640" s="1077"/>
      <c r="M5640" s="1077"/>
    </row>
    <row r="5641" spans="5:13">
      <c r="E5641" s="1077"/>
      <c r="F5641" s="1077"/>
      <c r="G5641" s="1077"/>
      <c r="H5641" s="1077"/>
      <c r="I5641" s="1077"/>
      <c r="J5641" s="1077"/>
      <c r="K5641" s="1077"/>
      <c r="L5641" s="1077"/>
      <c r="M5641" s="1077"/>
    </row>
    <row r="5642" spans="5:13">
      <c r="E5642" s="1077"/>
      <c r="F5642" s="1077"/>
      <c r="G5642" s="1077"/>
      <c r="H5642" s="1077"/>
      <c r="I5642" s="1077"/>
      <c r="J5642" s="1077"/>
      <c r="K5642" s="1077"/>
      <c r="L5642" s="1077"/>
      <c r="M5642" s="1077"/>
    </row>
    <row r="5643" spans="5:13">
      <c r="E5643" s="1077"/>
      <c r="F5643" s="1077"/>
      <c r="G5643" s="1077"/>
      <c r="H5643" s="1077"/>
      <c r="I5643" s="1077"/>
      <c r="J5643" s="1077"/>
      <c r="K5643" s="1077"/>
      <c r="L5643" s="1077"/>
      <c r="M5643" s="1077"/>
    </row>
    <row r="5644" spans="5:13">
      <c r="E5644" s="1077"/>
      <c r="F5644" s="1077"/>
      <c r="G5644" s="1077"/>
      <c r="H5644" s="1077"/>
      <c r="I5644" s="1077"/>
      <c r="J5644" s="1077"/>
      <c r="K5644" s="1077"/>
      <c r="L5644" s="1077"/>
      <c r="M5644" s="1077"/>
    </row>
    <row r="5645" spans="5:13">
      <c r="E5645" s="1077"/>
      <c r="F5645" s="1077"/>
      <c r="G5645" s="1077"/>
      <c r="H5645" s="1077"/>
      <c r="I5645" s="1077"/>
      <c r="J5645" s="1077"/>
      <c r="K5645" s="1077"/>
      <c r="L5645" s="1077"/>
      <c r="M5645" s="1077"/>
    </row>
    <row r="5646" spans="5:13">
      <c r="E5646" s="1077"/>
      <c r="F5646" s="1077"/>
      <c r="G5646" s="1077"/>
      <c r="H5646" s="1077"/>
      <c r="I5646" s="1077"/>
      <c r="J5646" s="1077"/>
      <c r="K5646" s="1077"/>
      <c r="L5646" s="1077"/>
      <c r="M5646" s="1077"/>
    </row>
    <row r="5647" spans="5:13">
      <c r="E5647" s="1077"/>
      <c r="F5647" s="1077"/>
      <c r="G5647" s="1077"/>
      <c r="H5647" s="1077"/>
      <c r="I5647" s="1077"/>
      <c r="J5647" s="1077"/>
      <c r="K5647" s="1077"/>
      <c r="L5647" s="1077"/>
      <c r="M5647" s="1077"/>
    </row>
    <row r="5648" spans="5:13">
      <c r="E5648" s="1077"/>
      <c r="F5648" s="1077"/>
      <c r="G5648" s="1077"/>
      <c r="H5648" s="1077"/>
      <c r="I5648" s="1077"/>
      <c r="J5648" s="1077"/>
      <c r="K5648" s="1077"/>
      <c r="L5648" s="1077"/>
      <c r="M5648" s="1077"/>
    </row>
    <row r="5649" spans="5:13">
      <c r="E5649" s="1077"/>
      <c r="F5649" s="1077"/>
      <c r="G5649" s="1077"/>
      <c r="H5649" s="1077"/>
      <c r="I5649" s="1077"/>
      <c r="J5649" s="1077"/>
      <c r="K5649" s="1077"/>
      <c r="L5649" s="1077"/>
      <c r="M5649" s="1077"/>
    </row>
    <row r="5650" spans="5:13">
      <c r="E5650" s="1077"/>
      <c r="F5650" s="1077"/>
      <c r="G5650" s="1077"/>
      <c r="H5650" s="1077"/>
      <c r="I5650" s="1077"/>
      <c r="J5650" s="1077"/>
      <c r="K5650" s="1077"/>
      <c r="L5650" s="1077"/>
      <c r="M5650" s="1077"/>
    </row>
    <row r="5651" spans="5:13">
      <c r="E5651" s="1077"/>
      <c r="F5651" s="1077"/>
      <c r="G5651" s="1077"/>
      <c r="H5651" s="1077"/>
      <c r="I5651" s="1077"/>
      <c r="J5651" s="1077"/>
      <c r="K5651" s="1077"/>
      <c r="L5651" s="1077"/>
      <c r="M5651" s="1077"/>
    </row>
    <row r="5652" spans="5:13">
      <c r="E5652" s="1077"/>
      <c r="F5652" s="1077"/>
      <c r="G5652" s="1077"/>
      <c r="H5652" s="1077"/>
      <c r="I5652" s="1077"/>
      <c r="J5652" s="1077"/>
      <c r="K5652" s="1077"/>
      <c r="L5652" s="1077"/>
      <c r="M5652" s="1077"/>
    </row>
    <row r="5653" spans="5:13">
      <c r="E5653" s="1077"/>
      <c r="F5653" s="1077"/>
      <c r="G5653" s="1077"/>
      <c r="H5653" s="1077"/>
      <c r="I5653" s="1077"/>
      <c r="J5653" s="1077"/>
      <c r="K5653" s="1077"/>
      <c r="L5653" s="1077"/>
      <c r="M5653" s="1077"/>
    </row>
    <row r="5654" spans="5:13">
      <c r="E5654" s="1077"/>
      <c r="F5654" s="1077"/>
      <c r="G5654" s="1077"/>
      <c r="H5654" s="1077"/>
      <c r="I5654" s="1077"/>
      <c r="J5654" s="1077"/>
      <c r="K5654" s="1077"/>
      <c r="L5654" s="1077"/>
      <c r="M5654" s="1077"/>
    </row>
    <row r="5655" spans="5:13">
      <c r="E5655" s="1077"/>
      <c r="F5655" s="1077"/>
      <c r="G5655" s="1077"/>
      <c r="H5655" s="1077"/>
      <c r="I5655" s="1077"/>
      <c r="J5655" s="1077"/>
      <c r="K5655" s="1077"/>
      <c r="L5655" s="1077"/>
      <c r="M5655" s="1077"/>
    </row>
    <row r="5656" spans="5:13">
      <c r="E5656" s="1077"/>
      <c r="F5656" s="1077"/>
      <c r="G5656" s="1077"/>
      <c r="H5656" s="1077"/>
      <c r="I5656" s="1077"/>
      <c r="J5656" s="1077"/>
      <c r="K5656" s="1077"/>
      <c r="L5656" s="1077"/>
      <c r="M5656" s="1077"/>
    </row>
    <row r="5657" spans="5:13">
      <c r="E5657" s="1077"/>
      <c r="F5657" s="1077"/>
      <c r="G5657" s="1077"/>
      <c r="H5657" s="1077"/>
      <c r="I5657" s="1077"/>
      <c r="J5657" s="1077"/>
      <c r="K5657" s="1077"/>
      <c r="L5657" s="1077"/>
      <c r="M5657" s="1077"/>
    </row>
    <row r="5658" spans="5:13">
      <c r="E5658" s="1077"/>
      <c r="F5658" s="1077"/>
      <c r="G5658" s="1077"/>
      <c r="H5658" s="1077"/>
      <c r="I5658" s="1077"/>
      <c r="J5658" s="1077"/>
      <c r="K5658" s="1077"/>
      <c r="L5658" s="1077"/>
      <c r="M5658" s="1077"/>
    </row>
    <row r="5659" spans="5:13">
      <c r="E5659" s="1077"/>
      <c r="F5659" s="1077"/>
      <c r="G5659" s="1077"/>
      <c r="H5659" s="1077"/>
      <c r="I5659" s="1077"/>
      <c r="J5659" s="1077"/>
      <c r="K5659" s="1077"/>
      <c r="L5659" s="1077"/>
      <c r="M5659" s="1077"/>
    </row>
    <row r="5660" spans="5:13">
      <c r="E5660" s="1077"/>
      <c r="F5660" s="1077"/>
      <c r="G5660" s="1077"/>
      <c r="H5660" s="1077"/>
      <c r="I5660" s="1077"/>
      <c r="J5660" s="1077"/>
      <c r="K5660" s="1077"/>
      <c r="L5660" s="1077"/>
      <c r="M5660" s="1077"/>
    </row>
    <row r="5661" spans="5:13">
      <c r="E5661" s="1077"/>
      <c r="F5661" s="1077"/>
      <c r="G5661" s="1077"/>
      <c r="H5661" s="1077"/>
      <c r="I5661" s="1077"/>
      <c r="J5661" s="1077"/>
      <c r="K5661" s="1077"/>
      <c r="L5661" s="1077"/>
      <c r="M5661" s="1077"/>
    </row>
    <row r="5662" spans="5:13">
      <c r="E5662" s="1077"/>
      <c r="F5662" s="1077"/>
      <c r="G5662" s="1077"/>
      <c r="H5662" s="1077"/>
      <c r="I5662" s="1077"/>
      <c r="J5662" s="1077"/>
      <c r="K5662" s="1077"/>
      <c r="L5662" s="1077"/>
      <c r="M5662" s="1077"/>
    </row>
    <row r="5663" spans="5:13">
      <c r="E5663" s="1077"/>
      <c r="F5663" s="1077"/>
      <c r="G5663" s="1077"/>
      <c r="H5663" s="1077"/>
      <c r="I5663" s="1077"/>
      <c r="J5663" s="1077"/>
      <c r="K5663" s="1077"/>
      <c r="L5663" s="1077"/>
      <c r="M5663" s="1077"/>
    </row>
    <row r="5664" spans="5:13">
      <c r="E5664" s="1077"/>
      <c r="F5664" s="1077"/>
      <c r="G5664" s="1077"/>
      <c r="H5664" s="1077"/>
      <c r="I5664" s="1077"/>
      <c r="J5664" s="1077"/>
      <c r="K5664" s="1077"/>
      <c r="L5664" s="1077"/>
      <c r="M5664" s="1077"/>
    </row>
    <row r="5665" spans="5:13">
      <c r="E5665" s="1077"/>
      <c r="F5665" s="1077"/>
      <c r="G5665" s="1077"/>
      <c r="H5665" s="1077"/>
      <c r="I5665" s="1077"/>
      <c r="J5665" s="1077"/>
      <c r="K5665" s="1077"/>
      <c r="L5665" s="1077"/>
      <c r="M5665" s="1077"/>
    </row>
    <row r="5666" spans="5:13">
      <c r="E5666" s="1077"/>
      <c r="F5666" s="1077"/>
      <c r="G5666" s="1077"/>
      <c r="H5666" s="1077"/>
      <c r="I5666" s="1077"/>
      <c r="J5666" s="1077"/>
      <c r="K5666" s="1077"/>
      <c r="L5666" s="1077"/>
      <c r="M5666" s="1077"/>
    </row>
    <row r="5667" spans="5:13">
      <c r="E5667" s="1077"/>
      <c r="F5667" s="1077"/>
      <c r="G5667" s="1077"/>
      <c r="H5667" s="1077"/>
      <c r="I5667" s="1077"/>
      <c r="J5667" s="1077"/>
      <c r="K5667" s="1077"/>
      <c r="L5667" s="1077"/>
      <c r="M5667" s="1077"/>
    </row>
    <row r="5668" spans="5:13">
      <c r="E5668" s="1077"/>
      <c r="F5668" s="1077"/>
      <c r="G5668" s="1077"/>
      <c r="H5668" s="1077"/>
      <c r="I5668" s="1077"/>
      <c r="J5668" s="1077"/>
      <c r="K5668" s="1077"/>
      <c r="L5668" s="1077"/>
      <c r="M5668" s="1077"/>
    </row>
    <row r="5669" spans="5:13">
      <c r="E5669" s="1077"/>
      <c r="F5669" s="1077"/>
      <c r="G5669" s="1077"/>
      <c r="H5669" s="1077"/>
      <c r="I5669" s="1077"/>
      <c r="J5669" s="1077"/>
      <c r="K5669" s="1077"/>
      <c r="L5669" s="1077"/>
      <c r="M5669" s="1077"/>
    </row>
    <row r="5670" spans="5:13">
      <c r="E5670" s="1077"/>
      <c r="F5670" s="1077"/>
      <c r="G5670" s="1077"/>
      <c r="H5670" s="1077"/>
      <c r="I5670" s="1077"/>
      <c r="J5670" s="1077"/>
      <c r="K5670" s="1077"/>
      <c r="L5670" s="1077"/>
      <c r="M5670" s="1077"/>
    </row>
    <row r="5671" spans="5:13">
      <c r="E5671" s="1077"/>
      <c r="F5671" s="1077"/>
      <c r="G5671" s="1077"/>
      <c r="H5671" s="1077"/>
      <c r="I5671" s="1077"/>
      <c r="J5671" s="1077"/>
      <c r="K5671" s="1077"/>
      <c r="L5671" s="1077"/>
      <c r="M5671" s="1077"/>
    </row>
    <row r="5672" spans="5:13">
      <c r="E5672" s="1077"/>
      <c r="F5672" s="1077"/>
      <c r="G5672" s="1077"/>
      <c r="H5672" s="1077"/>
      <c r="I5672" s="1077"/>
      <c r="J5672" s="1077"/>
      <c r="K5672" s="1077"/>
      <c r="L5672" s="1077"/>
      <c r="M5672" s="1077"/>
    </row>
    <row r="5673" spans="5:13">
      <c r="E5673" s="1077"/>
      <c r="F5673" s="1077"/>
      <c r="G5673" s="1077"/>
      <c r="H5673" s="1077"/>
      <c r="I5673" s="1077"/>
      <c r="J5673" s="1077"/>
      <c r="K5673" s="1077"/>
      <c r="L5673" s="1077"/>
      <c r="M5673" s="1077"/>
    </row>
    <row r="5674" spans="5:13">
      <c r="E5674" s="1077"/>
      <c r="F5674" s="1077"/>
      <c r="G5674" s="1077"/>
      <c r="H5674" s="1077"/>
      <c r="I5674" s="1077"/>
      <c r="J5674" s="1077"/>
      <c r="K5674" s="1077"/>
      <c r="L5674" s="1077"/>
      <c r="M5674" s="1077"/>
    </row>
    <row r="5675" spans="5:13">
      <c r="E5675" s="1077"/>
      <c r="F5675" s="1077"/>
      <c r="G5675" s="1077"/>
      <c r="H5675" s="1077"/>
      <c r="I5675" s="1077"/>
      <c r="J5675" s="1077"/>
      <c r="K5675" s="1077"/>
      <c r="L5675" s="1077"/>
      <c r="M5675" s="1077"/>
    </row>
    <row r="5676" spans="5:13">
      <c r="E5676" s="1077"/>
      <c r="F5676" s="1077"/>
      <c r="G5676" s="1077"/>
      <c r="H5676" s="1077"/>
      <c r="I5676" s="1077"/>
      <c r="J5676" s="1077"/>
      <c r="K5676" s="1077"/>
      <c r="L5676" s="1077"/>
      <c r="M5676" s="1077"/>
    </row>
    <row r="5677" spans="5:13">
      <c r="E5677" s="1077"/>
      <c r="F5677" s="1077"/>
      <c r="G5677" s="1077"/>
      <c r="H5677" s="1077"/>
      <c r="I5677" s="1077"/>
      <c r="J5677" s="1077"/>
      <c r="K5677" s="1077"/>
      <c r="L5677" s="1077"/>
      <c r="M5677" s="1077"/>
    </row>
    <row r="5678" spans="5:13">
      <c r="E5678" s="1077"/>
      <c r="F5678" s="1077"/>
      <c r="G5678" s="1077"/>
      <c r="H5678" s="1077"/>
      <c r="I5678" s="1077"/>
      <c r="J5678" s="1077"/>
      <c r="K5678" s="1077"/>
      <c r="L5678" s="1077"/>
      <c r="M5678" s="1077"/>
    </row>
    <row r="5679" spans="5:13">
      <c r="E5679" s="1077"/>
      <c r="F5679" s="1077"/>
      <c r="G5679" s="1077"/>
      <c r="H5679" s="1077"/>
      <c r="I5679" s="1077"/>
      <c r="J5679" s="1077"/>
      <c r="K5679" s="1077"/>
      <c r="L5679" s="1077"/>
      <c r="M5679" s="1077"/>
    </row>
    <row r="5680" spans="5:13">
      <c r="E5680" s="1077"/>
      <c r="F5680" s="1077"/>
      <c r="G5680" s="1077"/>
      <c r="H5680" s="1077"/>
      <c r="I5680" s="1077"/>
      <c r="J5680" s="1077"/>
      <c r="K5680" s="1077"/>
      <c r="L5680" s="1077"/>
      <c r="M5680" s="1077"/>
    </row>
    <row r="5681" spans="5:13">
      <c r="E5681" s="1077"/>
      <c r="F5681" s="1077"/>
      <c r="G5681" s="1077"/>
      <c r="H5681" s="1077"/>
      <c r="I5681" s="1077"/>
      <c r="J5681" s="1077"/>
      <c r="K5681" s="1077"/>
      <c r="L5681" s="1077"/>
      <c r="M5681" s="1077"/>
    </row>
    <row r="5682" spans="5:13">
      <c r="E5682" s="1077"/>
      <c r="F5682" s="1077"/>
      <c r="G5682" s="1077"/>
      <c r="H5682" s="1077"/>
      <c r="I5682" s="1077"/>
      <c r="J5682" s="1077"/>
      <c r="K5682" s="1077"/>
      <c r="L5682" s="1077"/>
      <c r="M5682" s="1077"/>
    </row>
    <row r="5683" spans="5:13">
      <c r="E5683" s="1077"/>
      <c r="F5683" s="1077"/>
      <c r="G5683" s="1077"/>
      <c r="H5683" s="1077"/>
      <c r="I5683" s="1077"/>
      <c r="J5683" s="1077"/>
      <c r="K5683" s="1077"/>
      <c r="L5683" s="1077"/>
      <c r="M5683" s="1077"/>
    </row>
    <row r="5684" spans="5:13">
      <c r="E5684" s="1077"/>
      <c r="F5684" s="1077"/>
      <c r="G5684" s="1077"/>
      <c r="H5684" s="1077"/>
      <c r="I5684" s="1077"/>
      <c r="J5684" s="1077"/>
      <c r="K5684" s="1077"/>
      <c r="L5684" s="1077"/>
      <c r="M5684" s="1077"/>
    </row>
    <row r="5685" spans="5:13">
      <c r="E5685" s="1077"/>
      <c r="F5685" s="1077"/>
      <c r="G5685" s="1077"/>
      <c r="H5685" s="1077"/>
      <c r="I5685" s="1077"/>
      <c r="J5685" s="1077"/>
      <c r="K5685" s="1077"/>
      <c r="L5685" s="1077"/>
      <c r="M5685" s="1077"/>
    </row>
    <row r="5686" spans="5:13">
      <c r="E5686" s="1077"/>
      <c r="F5686" s="1077"/>
      <c r="G5686" s="1077"/>
      <c r="H5686" s="1077"/>
      <c r="I5686" s="1077"/>
      <c r="J5686" s="1077"/>
      <c r="K5686" s="1077"/>
      <c r="L5686" s="1077"/>
      <c r="M5686" s="1077"/>
    </row>
    <row r="5687" spans="5:13">
      <c r="E5687" s="1077"/>
      <c r="F5687" s="1077"/>
      <c r="G5687" s="1077"/>
      <c r="H5687" s="1077"/>
      <c r="I5687" s="1077"/>
      <c r="J5687" s="1077"/>
      <c r="K5687" s="1077"/>
      <c r="L5687" s="1077"/>
      <c r="M5687" s="1077"/>
    </row>
    <row r="5688" spans="5:13">
      <c r="E5688" s="1077"/>
      <c r="F5688" s="1077"/>
      <c r="G5688" s="1077"/>
      <c r="H5688" s="1077"/>
      <c r="I5688" s="1077"/>
      <c r="J5688" s="1077"/>
      <c r="K5688" s="1077"/>
      <c r="L5688" s="1077"/>
      <c r="M5688" s="1077"/>
    </row>
    <row r="5689" spans="5:13">
      <c r="E5689" s="1077"/>
      <c r="F5689" s="1077"/>
      <c r="G5689" s="1077"/>
      <c r="H5689" s="1077"/>
      <c r="I5689" s="1077"/>
      <c r="J5689" s="1077"/>
      <c r="K5689" s="1077"/>
      <c r="L5689" s="1077"/>
      <c r="M5689" s="1077"/>
    </row>
    <row r="5690" spans="5:13">
      <c r="E5690" s="1077"/>
      <c r="F5690" s="1077"/>
      <c r="G5690" s="1077"/>
      <c r="H5690" s="1077"/>
      <c r="I5690" s="1077"/>
      <c r="J5690" s="1077"/>
      <c r="K5690" s="1077"/>
      <c r="L5690" s="1077"/>
      <c r="M5690" s="1077"/>
    </row>
    <row r="5691" spans="5:13">
      <c r="E5691" s="1077"/>
      <c r="F5691" s="1077"/>
      <c r="G5691" s="1077"/>
      <c r="H5691" s="1077"/>
      <c r="I5691" s="1077"/>
      <c r="J5691" s="1077"/>
      <c r="K5691" s="1077"/>
      <c r="L5691" s="1077"/>
      <c r="M5691" s="1077"/>
    </row>
    <row r="5692" spans="5:13">
      <c r="E5692" s="1077"/>
      <c r="F5692" s="1077"/>
      <c r="G5692" s="1077"/>
      <c r="H5692" s="1077"/>
      <c r="I5692" s="1077"/>
      <c r="J5692" s="1077"/>
      <c r="K5692" s="1077"/>
      <c r="L5692" s="1077"/>
      <c r="M5692" s="1077"/>
    </row>
    <row r="5693" spans="5:13">
      <c r="E5693" s="1077"/>
      <c r="F5693" s="1077"/>
      <c r="G5693" s="1077"/>
      <c r="H5693" s="1077"/>
      <c r="I5693" s="1077"/>
      <c r="J5693" s="1077"/>
      <c r="K5693" s="1077"/>
      <c r="L5693" s="1077"/>
      <c r="M5693" s="1077"/>
    </row>
    <row r="5694" spans="5:13">
      <c r="E5694" s="1077"/>
      <c r="F5694" s="1077"/>
      <c r="G5694" s="1077"/>
      <c r="H5694" s="1077"/>
      <c r="I5694" s="1077"/>
      <c r="J5694" s="1077"/>
      <c r="K5694" s="1077"/>
      <c r="L5694" s="1077"/>
      <c r="M5694" s="1077"/>
    </row>
    <row r="5695" spans="5:13">
      <c r="E5695" s="1077"/>
      <c r="F5695" s="1077"/>
      <c r="G5695" s="1077"/>
      <c r="H5695" s="1077"/>
      <c r="I5695" s="1077"/>
      <c r="J5695" s="1077"/>
      <c r="K5695" s="1077"/>
      <c r="L5695" s="1077"/>
      <c r="M5695" s="1077"/>
    </row>
    <row r="5696" spans="5:13">
      <c r="E5696" s="1077"/>
      <c r="F5696" s="1077"/>
      <c r="G5696" s="1077"/>
      <c r="H5696" s="1077"/>
      <c r="I5696" s="1077"/>
      <c r="J5696" s="1077"/>
      <c r="K5696" s="1077"/>
      <c r="L5696" s="1077"/>
      <c r="M5696" s="1077"/>
    </row>
    <row r="5697" spans="5:13">
      <c r="E5697" s="1077"/>
      <c r="F5697" s="1077"/>
      <c r="G5697" s="1077"/>
      <c r="H5697" s="1077"/>
      <c r="I5697" s="1077"/>
      <c r="J5697" s="1077"/>
      <c r="K5697" s="1077"/>
      <c r="L5697" s="1077"/>
      <c r="M5697" s="1077"/>
    </row>
    <row r="5698" spans="5:13">
      <c r="E5698" s="1077"/>
      <c r="F5698" s="1077"/>
      <c r="G5698" s="1077"/>
      <c r="H5698" s="1077"/>
      <c r="I5698" s="1077"/>
      <c r="J5698" s="1077"/>
      <c r="K5698" s="1077"/>
      <c r="L5698" s="1077"/>
      <c r="M5698" s="1077"/>
    </row>
    <row r="5699" spans="5:13">
      <c r="E5699" s="1077"/>
      <c r="F5699" s="1077"/>
      <c r="G5699" s="1077"/>
      <c r="H5699" s="1077"/>
      <c r="I5699" s="1077"/>
      <c r="J5699" s="1077"/>
      <c r="K5699" s="1077"/>
      <c r="L5699" s="1077"/>
      <c r="M5699" s="1077"/>
    </row>
    <row r="5700" spans="5:13">
      <c r="E5700" s="1077"/>
      <c r="F5700" s="1077"/>
      <c r="G5700" s="1077"/>
      <c r="H5700" s="1077"/>
      <c r="I5700" s="1077"/>
      <c r="J5700" s="1077"/>
      <c r="K5700" s="1077"/>
      <c r="L5700" s="1077"/>
      <c r="M5700" s="1077"/>
    </row>
    <row r="5701" spans="5:13">
      <c r="E5701" s="1077"/>
      <c r="F5701" s="1077"/>
      <c r="G5701" s="1077"/>
      <c r="H5701" s="1077"/>
      <c r="I5701" s="1077"/>
      <c r="J5701" s="1077"/>
      <c r="K5701" s="1077"/>
      <c r="L5701" s="1077"/>
      <c r="M5701" s="1077"/>
    </row>
    <row r="5702" spans="5:13">
      <c r="E5702" s="1077"/>
      <c r="F5702" s="1077"/>
      <c r="G5702" s="1077"/>
      <c r="H5702" s="1077"/>
      <c r="I5702" s="1077"/>
      <c r="J5702" s="1077"/>
      <c r="K5702" s="1077"/>
      <c r="L5702" s="1077"/>
      <c r="M5702" s="1077"/>
    </row>
    <row r="5703" spans="5:13">
      <c r="E5703" s="1077"/>
      <c r="F5703" s="1077"/>
      <c r="G5703" s="1077"/>
      <c r="H5703" s="1077"/>
      <c r="I5703" s="1077"/>
      <c r="J5703" s="1077"/>
      <c r="K5703" s="1077"/>
      <c r="L5703" s="1077"/>
      <c r="M5703" s="1077"/>
    </row>
    <row r="5704" spans="5:13">
      <c r="E5704" s="1077"/>
      <c r="F5704" s="1077"/>
      <c r="G5704" s="1077"/>
      <c r="H5704" s="1077"/>
      <c r="I5704" s="1077"/>
      <c r="J5704" s="1077"/>
      <c r="K5704" s="1077"/>
      <c r="L5704" s="1077"/>
      <c r="M5704" s="1077"/>
    </row>
    <row r="5705" spans="5:13">
      <c r="E5705" s="1077"/>
      <c r="F5705" s="1077"/>
      <c r="G5705" s="1077"/>
      <c r="H5705" s="1077"/>
      <c r="I5705" s="1077"/>
      <c r="J5705" s="1077"/>
      <c r="K5705" s="1077"/>
      <c r="L5705" s="1077"/>
      <c r="M5705" s="1077"/>
    </row>
    <row r="5706" spans="5:13">
      <c r="E5706" s="1077"/>
      <c r="F5706" s="1077"/>
      <c r="G5706" s="1077"/>
      <c r="H5706" s="1077"/>
      <c r="I5706" s="1077"/>
      <c r="J5706" s="1077"/>
      <c r="K5706" s="1077"/>
      <c r="L5706" s="1077"/>
      <c r="M5706" s="1077"/>
    </row>
    <row r="5707" spans="5:13">
      <c r="E5707" s="1077"/>
      <c r="F5707" s="1077"/>
      <c r="G5707" s="1077"/>
      <c r="H5707" s="1077"/>
      <c r="I5707" s="1077"/>
      <c r="J5707" s="1077"/>
      <c r="K5707" s="1077"/>
      <c r="L5707" s="1077"/>
      <c r="M5707" s="1077"/>
    </row>
    <row r="5708" spans="5:13">
      <c r="E5708" s="1077"/>
      <c r="F5708" s="1077"/>
      <c r="G5708" s="1077"/>
      <c r="H5708" s="1077"/>
      <c r="I5708" s="1077"/>
      <c r="J5708" s="1077"/>
      <c r="K5708" s="1077"/>
      <c r="L5708" s="1077"/>
      <c r="M5708" s="1077"/>
    </row>
    <row r="5709" spans="5:13">
      <c r="E5709" s="1077"/>
      <c r="F5709" s="1077"/>
      <c r="G5709" s="1077"/>
      <c r="H5709" s="1077"/>
      <c r="I5709" s="1077"/>
      <c r="J5709" s="1077"/>
      <c r="K5709" s="1077"/>
      <c r="L5709" s="1077"/>
      <c r="M5709" s="1077"/>
    </row>
    <row r="5710" spans="5:13">
      <c r="E5710" s="1077"/>
      <c r="F5710" s="1077"/>
      <c r="G5710" s="1077"/>
      <c r="H5710" s="1077"/>
      <c r="I5710" s="1077"/>
      <c r="J5710" s="1077"/>
      <c r="K5710" s="1077"/>
      <c r="L5710" s="1077"/>
      <c r="M5710" s="1077"/>
    </row>
    <row r="5711" spans="5:13">
      <c r="E5711" s="1077"/>
      <c r="F5711" s="1077"/>
      <c r="G5711" s="1077"/>
      <c r="H5711" s="1077"/>
      <c r="I5711" s="1077"/>
      <c r="J5711" s="1077"/>
      <c r="K5711" s="1077"/>
      <c r="L5711" s="1077"/>
      <c r="M5711" s="1077"/>
    </row>
    <row r="5712" spans="5:13">
      <c r="E5712" s="1077"/>
      <c r="F5712" s="1077"/>
      <c r="G5712" s="1077"/>
      <c r="H5712" s="1077"/>
      <c r="I5712" s="1077"/>
      <c r="J5712" s="1077"/>
      <c r="K5712" s="1077"/>
      <c r="L5712" s="1077"/>
      <c r="M5712" s="1077"/>
    </row>
    <row r="5713" spans="5:13">
      <c r="E5713" s="1077"/>
      <c r="F5713" s="1077"/>
      <c r="G5713" s="1077"/>
      <c r="H5713" s="1077"/>
      <c r="I5713" s="1077"/>
      <c r="J5713" s="1077"/>
      <c r="K5713" s="1077"/>
      <c r="L5713" s="1077"/>
      <c r="M5713" s="1077"/>
    </row>
    <row r="5714" spans="5:13">
      <c r="E5714" s="1077"/>
      <c r="F5714" s="1077"/>
      <c r="G5714" s="1077"/>
      <c r="H5714" s="1077"/>
      <c r="I5714" s="1077"/>
      <c r="J5714" s="1077"/>
      <c r="K5714" s="1077"/>
      <c r="L5714" s="1077"/>
      <c r="M5714" s="1077"/>
    </row>
    <row r="5715" spans="5:13">
      <c r="E5715" s="1077"/>
      <c r="F5715" s="1077"/>
      <c r="G5715" s="1077"/>
      <c r="H5715" s="1077"/>
      <c r="I5715" s="1077"/>
      <c r="J5715" s="1077"/>
      <c r="K5715" s="1077"/>
      <c r="L5715" s="1077"/>
      <c r="M5715" s="1077"/>
    </row>
    <row r="5716" spans="5:13">
      <c r="E5716" s="1077"/>
      <c r="F5716" s="1077"/>
      <c r="G5716" s="1077"/>
      <c r="H5716" s="1077"/>
      <c r="I5716" s="1077"/>
      <c r="J5716" s="1077"/>
      <c r="K5716" s="1077"/>
      <c r="L5716" s="1077"/>
      <c r="M5716" s="1077"/>
    </row>
    <row r="5717" spans="5:13">
      <c r="E5717" s="1077"/>
      <c r="F5717" s="1077"/>
      <c r="G5717" s="1077"/>
      <c r="H5717" s="1077"/>
      <c r="I5717" s="1077"/>
      <c r="J5717" s="1077"/>
      <c r="K5717" s="1077"/>
      <c r="L5717" s="1077"/>
      <c r="M5717" s="1077"/>
    </row>
    <row r="5718" spans="5:13">
      <c r="E5718" s="1077"/>
      <c r="F5718" s="1077"/>
      <c r="G5718" s="1077"/>
      <c r="H5718" s="1077"/>
      <c r="I5718" s="1077"/>
      <c r="J5718" s="1077"/>
      <c r="K5718" s="1077"/>
      <c r="L5718" s="1077"/>
      <c r="M5718" s="1077"/>
    </row>
    <row r="5719" spans="5:13">
      <c r="E5719" s="1077"/>
      <c r="F5719" s="1077"/>
      <c r="G5719" s="1077"/>
      <c r="H5719" s="1077"/>
      <c r="I5719" s="1077"/>
      <c r="J5719" s="1077"/>
      <c r="K5719" s="1077"/>
      <c r="L5719" s="1077"/>
      <c r="M5719" s="1077"/>
    </row>
    <row r="5720" spans="5:13">
      <c r="E5720" s="1077"/>
      <c r="F5720" s="1077"/>
      <c r="G5720" s="1077"/>
      <c r="H5720" s="1077"/>
      <c r="I5720" s="1077"/>
      <c r="J5720" s="1077"/>
      <c r="K5720" s="1077"/>
      <c r="L5720" s="1077"/>
      <c r="M5720" s="1077"/>
    </row>
    <row r="5721" spans="5:13">
      <c r="E5721" s="1077"/>
      <c r="F5721" s="1077"/>
      <c r="G5721" s="1077"/>
      <c r="H5721" s="1077"/>
      <c r="I5721" s="1077"/>
      <c r="J5721" s="1077"/>
      <c r="K5721" s="1077"/>
      <c r="L5721" s="1077"/>
      <c r="M5721" s="1077"/>
    </row>
    <row r="5722" spans="5:13">
      <c r="E5722" s="1077"/>
      <c r="F5722" s="1077"/>
      <c r="G5722" s="1077"/>
      <c r="H5722" s="1077"/>
      <c r="I5722" s="1077"/>
      <c r="J5722" s="1077"/>
      <c r="K5722" s="1077"/>
      <c r="L5722" s="1077"/>
      <c r="M5722" s="1077"/>
    </row>
    <row r="5723" spans="5:13">
      <c r="E5723" s="1077"/>
      <c r="F5723" s="1077"/>
      <c r="G5723" s="1077"/>
      <c r="H5723" s="1077"/>
      <c r="I5723" s="1077"/>
      <c r="J5723" s="1077"/>
      <c r="K5723" s="1077"/>
      <c r="L5723" s="1077"/>
      <c r="M5723" s="1077"/>
    </row>
    <row r="5724" spans="5:13">
      <c r="E5724" s="1077"/>
      <c r="F5724" s="1077"/>
      <c r="G5724" s="1077"/>
      <c r="H5724" s="1077"/>
      <c r="I5724" s="1077"/>
      <c r="J5724" s="1077"/>
      <c r="K5724" s="1077"/>
      <c r="L5724" s="1077"/>
      <c r="M5724" s="1077"/>
    </row>
    <row r="5725" spans="5:13">
      <c r="E5725" s="1077"/>
      <c r="F5725" s="1077"/>
      <c r="G5725" s="1077"/>
      <c r="H5725" s="1077"/>
      <c r="I5725" s="1077"/>
      <c r="J5725" s="1077"/>
      <c r="K5725" s="1077"/>
      <c r="L5725" s="1077"/>
      <c r="M5725" s="1077"/>
    </row>
    <row r="5726" spans="5:13">
      <c r="E5726" s="1077"/>
      <c r="F5726" s="1077"/>
      <c r="G5726" s="1077"/>
      <c r="H5726" s="1077"/>
      <c r="I5726" s="1077"/>
      <c r="J5726" s="1077"/>
      <c r="K5726" s="1077"/>
      <c r="L5726" s="1077"/>
      <c r="M5726" s="1077"/>
    </row>
    <row r="5727" spans="5:13">
      <c r="E5727" s="1077"/>
      <c r="F5727" s="1077"/>
      <c r="G5727" s="1077"/>
      <c r="H5727" s="1077"/>
      <c r="I5727" s="1077"/>
      <c r="J5727" s="1077"/>
      <c r="K5727" s="1077"/>
      <c r="L5727" s="1077"/>
      <c r="M5727" s="1077"/>
    </row>
    <row r="5728" spans="5:13">
      <c r="E5728" s="1077"/>
      <c r="F5728" s="1077"/>
      <c r="G5728" s="1077"/>
      <c r="H5728" s="1077"/>
      <c r="I5728" s="1077"/>
      <c r="J5728" s="1077"/>
      <c r="K5728" s="1077"/>
      <c r="L5728" s="1077"/>
      <c r="M5728" s="1077"/>
    </row>
    <row r="5729" spans="5:13">
      <c r="E5729" s="1077"/>
      <c r="F5729" s="1077"/>
      <c r="G5729" s="1077"/>
      <c r="H5729" s="1077"/>
      <c r="I5729" s="1077"/>
      <c r="J5729" s="1077"/>
      <c r="K5729" s="1077"/>
      <c r="L5729" s="1077"/>
      <c r="M5729" s="1077"/>
    </row>
    <row r="5730" spans="5:13">
      <c r="E5730" s="1077"/>
      <c r="F5730" s="1077"/>
      <c r="G5730" s="1077"/>
      <c r="H5730" s="1077"/>
      <c r="I5730" s="1077"/>
      <c r="J5730" s="1077"/>
      <c r="K5730" s="1077"/>
      <c r="L5730" s="1077"/>
      <c r="M5730" s="1077"/>
    </row>
    <row r="5731" spans="5:13">
      <c r="E5731" s="1077"/>
      <c r="F5731" s="1077"/>
      <c r="G5731" s="1077"/>
      <c r="H5731" s="1077"/>
      <c r="I5731" s="1077"/>
      <c r="J5731" s="1077"/>
      <c r="K5731" s="1077"/>
      <c r="L5731" s="1077"/>
      <c r="M5731" s="1077"/>
    </row>
    <row r="5732" spans="5:13">
      <c r="E5732" s="1077"/>
      <c r="F5732" s="1077"/>
      <c r="G5732" s="1077"/>
      <c r="H5732" s="1077"/>
      <c r="I5732" s="1077"/>
      <c r="J5732" s="1077"/>
      <c r="K5732" s="1077"/>
      <c r="L5732" s="1077"/>
      <c r="M5732" s="1077"/>
    </row>
    <row r="5733" spans="5:13">
      <c r="E5733" s="1077"/>
      <c r="F5733" s="1077"/>
      <c r="G5733" s="1077"/>
      <c r="H5733" s="1077"/>
      <c r="I5733" s="1077"/>
      <c r="J5733" s="1077"/>
      <c r="K5733" s="1077"/>
      <c r="L5733" s="1077"/>
      <c r="M5733" s="1077"/>
    </row>
    <row r="5734" spans="5:13">
      <c r="E5734" s="1077"/>
      <c r="F5734" s="1077"/>
      <c r="G5734" s="1077"/>
      <c r="H5734" s="1077"/>
      <c r="I5734" s="1077"/>
      <c r="J5734" s="1077"/>
      <c r="K5734" s="1077"/>
      <c r="L5734" s="1077"/>
      <c r="M5734" s="1077"/>
    </row>
    <row r="5735" spans="5:13">
      <c r="E5735" s="1077"/>
      <c r="F5735" s="1077"/>
      <c r="G5735" s="1077"/>
      <c r="H5735" s="1077"/>
      <c r="I5735" s="1077"/>
      <c r="J5735" s="1077"/>
      <c r="K5735" s="1077"/>
      <c r="L5735" s="1077"/>
      <c r="M5735" s="1077"/>
    </row>
    <row r="5736" spans="5:13">
      <c r="E5736" s="1077"/>
      <c r="F5736" s="1077"/>
      <c r="G5736" s="1077"/>
      <c r="H5736" s="1077"/>
      <c r="I5736" s="1077"/>
      <c r="J5736" s="1077"/>
      <c r="K5736" s="1077"/>
      <c r="L5736" s="1077"/>
      <c r="M5736" s="1077"/>
    </row>
    <row r="5737" spans="5:13">
      <c r="E5737" s="1077"/>
      <c r="F5737" s="1077"/>
      <c r="G5737" s="1077"/>
      <c r="H5737" s="1077"/>
      <c r="I5737" s="1077"/>
      <c r="J5737" s="1077"/>
      <c r="K5737" s="1077"/>
      <c r="L5737" s="1077"/>
      <c r="M5737" s="1077"/>
    </row>
    <row r="5738" spans="5:13">
      <c r="E5738" s="1077"/>
      <c r="F5738" s="1077"/>
      <c r="G5738" s="1077"/>
      <c r="H5738" s="1077"/>
      <c r="I5738" s="1077"/>
      <c r="J5738" s="1077"/>
      <c r="K5738" s="1077"/>
      <c r="L5738" s="1077"/>
      <c r="M5738" s="1077"/>
    </row>
    <row r="5739" spans="5:13">
      <c r="E5739" s="1077"/>
      <c r="F5739" s="1077"/>
      <c r="G5739" s="1077"/>
      <c r="H5739" s="1077"/>
      <c r="I5739" s="1077"/>
      <c r="J5739" s="1077"/>
      <c r="K5739" s="1077"/>
      <c r="L5739" s="1077"/>
      <c r="M5739" s="1077"/>
    </row>
    <row r="5740" spans="5:13">
      <c r="E5740" s="1077"/>
      <c r="F5740" s="1077"/>
      <c r="G5740" s="1077"/>
      <c r="H5740" s="1077"/>
      <c r="I5740" s="1077"/>
      <c r="J5740" s="1077"/>
      <c r="K5740" s="1077"/>
      <c r="L5740" s="1077"/>
      <c r="M5740" s="1077"/>
    </row>
    <row r="5741" spans="5:13">
      <c r="E5741" s="1077"/>
      <c r="F5741" s="1077"/>
      <c r="G5741" s="1077"/>
      <c r="H5741" s="1077"/>
      <c r="I5741" s="1077"/>
      <c r="J5741" s="1077"/>
      <c r="K5741" s="1077"/>
      <c r="L5741" s="1077"/>
      <c r="M5741" s="1077"/>
    </row>
    <row r="5742" spans="5:13">
      <c r="E5742" s="1077"/>
      <c r="F5742" s="1077"/>
      <c r="G5742" s="1077"/>
      <c r="H5742" s="1077"/>
      <c r="I5742" s="1077"/>
      <c r="J5742" s="1077"/>
      <c r="K5742" s="1077"/>
      <c r="L5742" s="1077"/>
      <c r="M5742" s="1077"/>
    </row>
    <row r="5743" spans="5:13">
      <c r="E5743" s="1077"/>
      <c r="F5743" s="1077"/>
      <c r="G5743" s="1077"/>
      <c r="H5743" s="1077"/>
      <c r="I5743" s="1077"/>
      <c r="J5743" s="1077"/>
      <c r="K5743" s="1077"/>
      <c r="L5743" s="1077"/>
      <c r="M5743" s="1077"/>
    </row>
    <row r="5744" spans="5:13">
      <c r="E5744" s="1077"/>
      <c r="F5744" s="1077"/>
      <c r="G5744" s="1077"/>
      <c r="H5744" s="1077"/>
      <c r="I5744" s="1077"/>
      <c r="J5744" s="1077"/>
      <c r="K5744" s="1077"/>
      <c r="L5744" s="1077"/>
      <c r="M5744" s="1077"/>
    </row>
    <row r="5745" spans="5:13">
      <c r="E5745" s="1077"/>
      <c r="F5745" s="1077"/>
      <c r="G5745" s="1077"/>
      <c r="H5745" s="1077"/>
      <c r="I5745" s="1077"/>
      <c r="J5745" s="1077"/>
      <c r="K5745" s="1077"/>
      <c r="L5745" s="1077"/>
      <c r="M5745" s="1077"/>
    </row>
    <row r="5746" spans="5:13">
      <c r="E5746" s="1077"/>
      <c r="F5746" s="1077"/>
      <c r="G5746" s="1077"/>
      <c r="H5746" s="1077"/>
      <c r="I5746" s="1077"/>
      <c r="J5746" s="1077"/>
      <c r="K5746" s="1077"/>
      <c r="L5746" s="1077"/>
      <c r="M5746" s="1077"/>
    </row>
    <row r="5747" spans="5:13">
      <c r="E5747" s="1077"/>
      <c r="F5747" s="1077"/>
      <c r="G5747" s="1077"/>
      <c r="H5747" s="1077"/>
      <c r="I5747" s="1077"/>
      <c r="J5747" s="1077"/>
      <c r="K5747" s="1077"/>
      <c r="L5747" s="1077"/>
      <c r="M5747" s="1077"/>
    </row>
    <row r="5748" spans="5:13">
      <c r="E5748" s="1077"/>
      <c r="F5748" s="1077"/>
      <c r="G5748" s="1077"/>
      <c r="H5748" s="1077"/>
      <c r="I5748" s="1077"/>
      <c r="J5748" s="1077"/>
      <c r="K5748" s="1077"/>
      <c r="L5748" s="1077"/>
      <c r="M5748" s="1077"/>
    </row>
    <row r="5749" spans="5:13">
      <c r="E5749" s="1077"/>
      <c r="F5749" s="1077"/>
      <c r="G5749" s="1077"/>
      <c r="H5749" s="1077"/>
      <c r="I5749" s="1077"/>
      <c r="J5749" s="1077"/>
      <c r="K5749" s="1077"/>
      <c r="L5749" s="1077"/>
      <c r="M5749" s="1077"/>
    </row>
    <row r="5750" spans="5:13">
      <c r="E5750" s="1077"/>
      <c r="F5750" s="1077"/>
      <c r="G5750" s="1077"/>
      <c r="H5750" s="1077"/>
      <c r="I5750" s="1077"/>
      <c r="J5750" s="1077"/>
      <c r="K5750" s="1077"/>
      <c r="L5750" s="1077"/>
      <c r="M5750" s="1077"/>
    </row>
    <row r="5751" spans="5:13">
      <c r="E5751" s="1077"/>
      <c r="F5751" s="1077"/>
      <c r="G5751" s="1077"/>
      <c r="H5751" s="1077"/>
      <c r="I5751" s="1077"/>
      <c r="J5751" s="1077"/>
      <c r="K5751" s="1077"/>
      <c r="L5751" s="1077"/>
      <c r="M5751" s="1077"/>
    </row>
    <row r="5752" spans="5:13">
      <c r="E5752" s="1077"/>
      <c r="F5752" s="1077"/>
      <c r="G5752" s="1077"/>
      <c r="H5752" s="1077"/>
      <c r="I5752" s="1077"/>
      <c r="J5752" s="1077"/>
      <c r="K5752" s="1077"/>
      <c r="L5752" s="1077"/>
      <c r="M5752" s="1077"/>
    </row>
    <row r="5753" spans="5:13">
      <c r="E5753" s="1077"/>
      <c r="F5753" s="1077"/>
      <c r="G5753" s="1077"/>
      <c r="H5753" s="1077"/>
      <c r="I5753" s="1077"/>
      <c r="J5753" s="1077"/>
      <c r="K5753" s="1077"/>
      <c r="L5753" s="1077"/>
      <c r="M5753" s="1077"/>
    </row>
    <row r="5754" spans="5:13">
      <c r="E5754" s="1077"/>
      <c r="F5754" s="1077"/>
      <c r="G5754" s="1077"/>
      <c r="H5754" s="1077"/>
      <c r="I5754" s="1077"/>
      <c r="J5754" s="1077"/>
      <c r="K5754" s="1077"/>
      <c r="L5754" s="1077"/>
      <c r="M5754" s="1077"/>
    </row>
    <row r="5755" spans="5:13">
      <c r="E5755" s="1077"/>
      <c r="F5755" s="1077"/>
      <c r="G5755" s="1077"/>
      <c r="H5755" s="1077"/>
      <c r="I5755" s="1077"/>
      <c r="J5755" s="1077"/>
      <c r="K5755" s="1077"/>
      <c r="L5755" s="1077"/>
      <c r="M5755" s="1077"/>
    </row>
    <row r="5756" spans="5:13">
      <c r="E5756" s="1077"/>
      <c r="F5756" s="1077"/>
      <c r="G5756" s="1077"/>
      <c r="H5756" s="1077"/>
      <c r="I5756" s="1077"/>
      <c r="J5756" s="1077"/>
      <c r="K5756" s="1077"/>
      <c r="L5756" s="1077"/>
      <c r="M5756" s="1077"/>
    </row>
    <row r="5757" spans="5:13">
      <c r="E5757" s="1077"/>
      <c r="F5757" s="1077"/>
      <c r="G5757" s="1077"/>
      <c r="H5757" s="1077"/>
      <c r="I5757" s="1077"/>
      <c r="J5757" s="1077"/>
      <c r="K5757" s="1077"/>
      <c r="L5757" s="1077"/>
      <c r="M5757" s="1077"/>
    </row>
    <row r="5758" spans="5:13">
      <c r="E5758" s="1077"/>
      <c r="F5758" s="1077"/>
      <c r="G5758" s="1077"/>
      <c r="H5758" s="1077"/>
      <c r="I5758" s="1077"/>
      <c r="J5758" s="1077"/>
      <c r="K5758" s="1077"/>
      <c r="L5758" s="1077"/>
      <c r="M5758" s="1077"/>
    </row>
    <row r="5759" spans="5:13">
      <c r="E5759" s="1077"/>
      <c r="F5759" s="1077"/>
      <c r="G5759" s="1077"/>
      <c r="H5759" s="1077"/>
      <c r="I5759" s="1077"/>
      <c r="J5759" s="1077"/>
      <c r="K5759" s="1077"/>
      <c r="L5759" s="1077"/>
      <c r="M5759" s="1077"/>
    </row>
    <row r="5760" spans="5:13">
      <c r="E5760" s="1077"/>
      <c r="F5760" s="1077"/>
      <c r="G5760" s="1077"/>
      <c r="H5760" s="1077"/>
      <c r="I5760" s="1077"/>
      <c r="J5760" s="1077"/>
      <c r="K5760" s="1077"/>
      <c r="L5760" s="1077"/>
      <c r="M5760" s="1077"/>
    </row>
    <row r="5761" spans="5:13">
      <c r="E5761" s="1077"/>
      <c r="F5761" s="1077"/>
      <c r="G5761" s="1077"/>
      <c r="H5761" s="1077"/>
      <c r="I5761" s="1077"/>
      <c r="J5761" s="1077"/>
      <c r="K5761" s="1077"/>
      <c r="L5761" s="1077"/>
      <c r="M5761" s="1077"/>
    </row>
    <row r="5762" spans="5:13">
      <c r="E5762" s="1077"/>
      <c r="F5762" s="1077"/>
      <c r="G5762" s="1077"/>
      <c r="H5762" s="1077"/>
      <c r="I5762" s="1077"/>
      <c r="J5762" s="1077"/>
      <c r="K5762" s="1077"/>
      <c r="L5762" s="1077"/>
      <c r="M5762" s="1077"/>
    </row>
    <row r="5763" spans="5:13">
      <c r="E5763" s="1077"/>
      <c r="F5763" s="1077"/>
      <c r="G5763" s="1077"/>
      <c r="H5763" s="1077"/>
      <c r="I5763" s="1077"/>
      <c r="J5763" s="1077"/>
      <c r="K5763" s="1077"/>
      <c r="L5763" s="1077"/>
      <c r="M5763" s="1077"/>
    </row>
    <row r="5764" spans="5:13">
      <c r="E5764" s="1077"/>
      <c r="F5764" s="1077"/>
      <c r="G5764" s="1077"/>
      <c r="H5764" s="1077"/>
      <c r="I5764" s="1077"/>
      <c r="J5764" s="1077"/>
      <c r="K5764" s="1077"/>
      <c r="L5764" s="1077"/>
      <c r="M5764" s="1077"/>
    </row>
    <row r="5765" spans="5:13">
      <c r="E5765" s="1077"/>
      <c r="F5765" s="1077"/>
      <c r="G5765" s="1077"/>
      <c r="H5765" s="1077"/>
      <c r="I5765" s="1077"/>
      <c r="J5765" s="1077"/>
      <c r="K5765" s="1077"/>
      <c r="L5765" s="1077"/>
      <c r="M5765" s="1077"/>
    </row>
    <row r="5766" spans="5:13">
      <c r="E5766" s="1077"/>
      <c r="F5766" s="1077"/>
      <c r="G5766" s="1077"/>
      <c r="H5766" s="1077"/>
      <c r="I5766" s="1077"/>
      <c r="J5766" s="1077"/>
      <c r="K5766" s="1077"/>
      <c r="L5766" s="1077"/>
      <c r="M5766" s="1077"/>
    </row>
    <row r="5767" spans="5:13">
      <c r="E5767" s="1077"/>
      <c r="F5767" s="1077"/>
      <c r="G5767" s="1077"/>
      <c r="H5767" s="1077"/>
      <c r="I5767" s="1077"/>
      <c r="J5767" s="1077"/>
      <c r="K5767" s="1077"/>
      <c r="L5767" s="1077"/>
      <c r="M5767" s="1077"/>
    </row>
    <row r="5768" spans="5:13">
      <c r="E5768" s="1077"/>
      <c r="F5768" s="1077"/>
      <c r="G5768" s="1077"/>
      <c r="H5768" s="1077"/>
      <c r="I5768" s="1077"/>
      <c r="J5768" s="1077"/>
      <c r="K5768" s="1077"/>
      <c r="L5768" s="1077"/>
      <c r="M5768" s="1077"/>
    </row>
    <row r="5769" spans="5:13">
      <c r="E5769" s="1077"/>
      <c r="F5769" s="1077"/>
      <c r="G5769" s="1077"/>
      <c r="H5769" s="1077"/>
      <c r="I5769" s="1077"/>
      <c r="J5769" s="1077"/>
      <c r="K5769" s="1077"/>
      <c r="L5769" s="1077"/>
      <c r="M5769" s="1077"/>
    </row>
    <row r="5770" spans="5:13">
      <c r="E5770" s="1077"/>
      <c r="F5770" s="1077"/>
      <c r="G5770" s="1077"/>
      <c r="H5770" s="1077"/>
      <c r="I5770" s="1077"/>
      <c r="J5770" s="1077"/>
      <c r="K5770" s="1077"/>
      <c r="L5770" s="1077"/>
      <c r="M5770" s="1077"/>
    </row>
    <row r="5771" spans="5:13">
      <c r="E5771" s="1077"/>
      <c r="F5771" s="1077"/>
      <c r="G5771" s="1077"/>
      <c r="H5771" s="1077"/>
      <c r="I5771" s="1077"/>
      <c r="J5771" s="1077"/>
      <c r="K5771" s="1077"/>
      <c r="L5771" s="1077"/>
      <c r="M5771" s="1077"/>
    </row>
    <row r="5772" spans="5:13">
      <c r="E5772" s="1077"/>
      <c r="F5772" s="1077"/>
      <c r="G5772" s="1077"/>
      <c r="H5772" s="1077"/>
      <c r="I5772" s="1077"/>
      <c r="J5772" s="1077"/>
      <c r="K5772" s="1077"/>
      <c r="L5772" s="1077"/>
      <c r="M5772" s="1077"/>
    </row>
    <row r="5773" spans="5:13">
      <c r="E5773" s="1077"/>
      <c r="F5773" s="1077"/>
      <c r="G5773" s="1077"/>
      <c r="H5773" s="1077"/>
      <c r="I5773" s="1077"/>
      <c r="J5773" s="1077"/>
      <c r="K5773" s="1077"/>
      <c r="L5773" s="1077"/>
      <c r="M5773" s="1077"/>
    </row>
    <row r="5774" spans="5:13">
      <c r="E5774" s="1077"/>
      <c r="F5774" s="1077"/>
      <c r="G5774" s="1077"/>
      <c r="H5774" s="1077"/>
      <c r="I5774" s="1077"/>
      <c r="J5774" s="1077"/>
      <c r="K5774" s="1077"/>
      <c r="L5774" s="1077"/>
      <c r="M5774" s="1077"/>
    </row>
    <row r="5775" spans="5:13">
      <c r="E5775" s="1077"/>
      <c r="F5775" s="1077"/>
      <c r="G5775" s="1077"/>
      <c r="H5775" s="1077"/>
      <c r="I5775" s="1077"/>
      <c r="J5775" s="1077"/>
      <c r="K5775" s="1077"/>
      <c r="L5775" s="1077"/>
      <c r="M5775" s="1077"/>
    </row>
    <row r="5776" spans="5:13">
      <c r="E5776" s="1077"/>
      <c r="F5776" s="1077"/>
      <c r="G5776" s="1077"/>
      <c r="H5776" s="1077"/>
      <c r="I5776" s="1077"/>
      <c r="J5776" s="1077"/>
      <c r="K5776" s="1077"/>
      <c r="L5776" s="1077"/>
      <c r="M5776" s="1077"/>
    </row>
    <row r="5777" spans="5:13">
      <c r="E5777" s="1077"/>
      <c r="F5777" s="1077"/>
      <c r="G5777" s="1077"/>
      <c r="H5777" s="1077"/>
      <c r="I5777" s="1077"/>
      <c r="J5777" s="1077"/>
      <c r="K5777" s="1077"/>
      <c r="L5777" s="1077"/>
      <c r="M5777" s="1077"/>
    </row>
    <row r="5778" spans="5:13">
      <c r="E5778" s="1077"/>
      <c r="F5778" s="1077"/>
      <c r="G5778" s="1077"/>
      <c r="H5778" s="1077"/>
      <c r="I5778" s="1077"/>
      <c r="J5778" s="1077"/>
      <c r="K5778" s="1077"/>
      <c r="L5778" s="1077"/>
      <c r="M5778" s="1077"/>
    </row>
    <row r="5779" spans="5:13">
      <c r="E5779" s="1077"/>
      <c r="F5779" s="1077"/>
      <c r="G5779" s="1077"/>
      <c r="H5779" s="1077"/>
      <c r="I5779" s="1077"/>
      <c r="J5779" s="1077"/>
      <c r="K5779" s="1077"/>
      <c r="L5779" s="1077"/>
      <c r="M5779" s="1077"/>
    </row>
    <row r="5780" spans="5:13">
      <c r="E5780" s="1077"/>
      <c r="F5780" s="1077"/>
      <c r="G5780" s="1077"/>
      <c r="H5780" s="1077"/>
      <c r="I5780" s="1077"/>
      <c r="J5780" s="1077"/>
      <c r="K5780" s="1077"/>
      <c r="L5780" s="1077"/>
      <c r="M5780" s="1077"/>
    </row>
    <row r="5781" spans="5:13">
      <c r="E5781" s="1077"/>
      <c r="F5781" s="1077"/>
      <c r="G5781" s="1077"/>
      <c r="H5781" s="1077"/>
      <c r="I5781" s="1077"/>
      <c r="J5781" s="1077"/>
      <c r="K5781" s="1077"/>
      <c r="L5781" s="1077"/>
      <c r="M5781" s="1077"/>
    </row>
    <row r="5782" spans="5:13">
      <c r="E5782" s="1077"/>
      <c r="F5782" s="1077"/>
      <c r="G5782" s="1077"/>
      <c r="H5782" s="1077"/>
      <c r="I5782" s="1077"/>
      <c r="J5782" s="1077"/>
      <c r="K5782" s="1077"/>
      <c r="L5782" s="1077"/>
      <c r="M5782" s="1077"/>
    </row>
    <row r="5783" spans="5:13">
      <c r="E5783" s="1077"/>
      <c r="F5783" s="1077"/>
      <c r="G5783" s="1077"/>
      <c r="H5783" s="1077"/>
      <c r="I5783" s="1077"/>
      <c r="J5783" s="1077"/>
      <c r="K5783" s="1077"/>
      <c r="L5783" s="1077"/>
      <c r="M5783" s="1077"/>
    </row>
    <row r="5784" spans="5:13">
      <c r="E5784" s="1077"/>
      <c r="F5784" s="1077"/>
      <c r="G5784" s="1077"/>
      <c r="H5784" s="1077"/>
      <c r="I5784" s="1077"/>
      <c r="J5784" s="1077"/>
      <c r="K5784" s="1077"/>
      <c r="L5784" s="1077"/>
      <c r="M5784" s="1077"/>
    </row>
    <row r="5785" spans="5:13">
      <c r="E5785" s="1077"/>
      <c r="F5785" s="1077"/>
      <c r="G5785" s="1077"/>
      <c r="H5785" s="1077"/>
      <c r="I5785" s="1077"/>
      <c r="J5785" s="1077"/>
      <c r="K5785" s="1077"/>
      <c r="L5785" s="1077"/>
      <c r="M5785" s="1077"/>
    </row>
    <row r="5786" spans="5:13">
      <c r="E5786" s="1077"/>
      <c r="F5786" s="1077"/>
      <c r="G5786" s="1077"/>
      <c r="H5786" s="1077"/>
      <c r="I5786" s="1077"/>
      <c r="J5786" s="1077"/>
      <c r="K5786" s="1077"/>
      <c r="L5786" s="1077"/>
      <c r="M5786" s="1077"/>
    </row>
    <row r="5787" spans="5:13">
      <c r="E5787" s="1077"/>
      <c r="F5787" s="1077"/>
      <c r="G5787" s="1077"/>
      <c r="H5787" s="1077"/>
      <c r="I5787" s="1077"/>
      <c r="J5787" s="1077"/>
      <c r="K5787" s="1077"/>
      <c r="L5787" s="1077"/>
      <c r="M5787" s="1077"/>
    </row>
    <row r="5788" spans="5:13">
      <c r="E5788" s="1077"/>
      <c r="F5788" s="1077"/>
      <c r="G5788" s="1077"/>
      <c r="H5788" s="1077"/>
      <c r="I5788" s="1077"/>
      <c r="J5788" s="1077"/>
      <c r="K5788" s="1077"/>
      <c r="L5788" s="1077"/>
      <c r="M5788" s="1077"/>
    </row>
    <row r="5789" spans="5:13">
      <c r="E5789" s="1077"/>
      <c r="F5789" s="1077"/>
      <c r="G5789" s="1077"/>
      <c r="H5789" s="1077"/>
      <c r="I5789" s="1077"/>
      <c r="J5789" s="1077"/>
      <c r="K5789" s="1077"/>
      <c r="L5789" s="1077"/>
      <c r="M5789" s="1077"/>
    </row>
    <row r="5790" spans="5:13">
      <c r="E5790" s="1077"/>
      <c r="F5790" s="1077"/>
      <c r="G5790" s="1077"/>
      <c r="H5790" s="1077"/>
      <c r="I5790" s="1077"/>
      <c r="J5790" s="1077"/>
      <c r="K5790" s="1077"/>
      <c r="L5790" s="1077"/>
      <c r="M5790" s="1077"/>
    </row>
    <row r="5791" spans="5:13">
      <c r="E5791" s="1077"/>
      <c r="F5791" s="1077"/>
      <c r="G5791" s="1077"/>
      <c r="H5791" s="1077"/>
      <c r="I5791" s="1077"/>
      <c r="J5791" s="1077"/>
      <c r="K5791" s="1077"/>
      <c r="L5791" s="1077"/>
      <c r="M5791" s="1077"/>
    </row>
    <row r="5792" spans="5:13">
      <c r="E5792" s="1077"/>
      <c r="F5792" s="1077"/>
      <c r="G5792" s="1077"/>
      <c r="H5792" s="1077"/>
      <c r="I5792" s="1077"/>
      <c r="J5792" s="1077"/>
      <c r="K5792" s="1077"/>
      <c r="L5792" s="1077"/>
      <c r="M5792" s="1077"/>
    </row>
    <row r="5793" spans="5:13">
      <c r="E5793" s="1077"/>
      <c r="F5793" s="1077"/>
      <c r="G5793" s="1077"/>
      <c r="H5793" s="1077"/>
      <c r="I5793" s="1077"/>
      <c r="J5793" s="1077"/>
      <c r="K5793" s="1077"/>
      <c r="L5793" s="1077"/>
      <c r="M5793" s="1077"/>
    </row>
    <row r="5794" spans="5:13">
      <c r="E5794" s="1077"/>
      <c r="F5794" s="1077"/>
      <c r="G5794" s="1077"/>
      <c r="H5794" s="1077"/>
      <c r="I5794" s="1077"/>
      <c r="J5794" s="1077"/>
      <c r="K5794" s="1077"/>
      <c r="L5794" s="1077"/>
      <c r="M5794" s="1077"/>
    </row>
    <row r="5795" spans="5:13">
      <c r="E5795" s="1077"/>
      <c r="F5795" s="1077"/>
      <c r="G5795" s="1077"/>
      <c r="H5795" s="1077"/>
      <c r="I5795" s="1077"/>
      <c r="J5795" s="1077"/>
      <c r="K5795" s="1077"/>
      <c r="L5795" s="1077"/>
      <c r="M5795" s="1077"/>
    </row>
    <row r="5796" spans="5:13">
      <c r="E5796" s="1077"/>
      <c r="F5796" s="1077"/>
      <c r="G5796" s="1077"/>
      <c r="H5796" s="1077"/>
      <c r="I5796" s="1077"/>
      <c r="J5796" s="1077"/>
      <c r="K5796" s="1077"/>
      <c r="L5796" s="1077"/>
      <c r="M5796" s="1077"/>
    </row>
    <row r="5797" spans="5:13">
      <c r="E5797" s="1077"/>
      <c r="F5797" s="1077"/>
      <c r="G5797" s="1077"/>
      <c r="H5797" s="1077"/>
      <c r="I5797" s="1077"/>
      <c r="J5797" s="1077"/>
      <c r="K5797" s="1077"/>
      <c r="L5797" s="1077"/>
      <c r="M5797" s="1077"/>
    </row>
    <row r="5798" spans="5:13">
      <c r="E5798" s="1077"/>
      <c r="F5798" s="1077"/>
      <c r="G5798" s="1077"/>
      <c r="H5798" s="1077"/>
      <c r="I5798" s="1077"/>
      <c r="J5798" s="1077"/>
      <c r="K5798" s="1077"/>
      <c r="L5798" s="1077"/>
      <c r="M5798" s="1077"/>
    </row>
    <row r="5799" spans="5:13">
      <c r="E5799" s="1077"/>
      <c r="F5799" s="1077"/>
      <c r="G5799" s="1077"/>
      <c r="H5799" s="1077"/>
      <c r="I5799" s="1077"/>
      <c r="J5799" s="1077"/>
      <c r="K5799" s="1077"/>
      <c r="L5799" s="1077"/>
      <c r="M5799" s="1077"/>
    </row>
    <row r="5800" spans="5:13">
      <c r="E5800" s="1077"/>
      <c r="F5800" s="1077"/>
      <c r="G5800" s="1077"/>
      <c r="H5800" s="1077"/>
      <c r="I5800" s="1077"/>
      <c r="J5800" s="1077"/>
      <c r="K5800" s="1077"/>
      <c r="L5800" s="1077"/>
      <c r="M5800" s="1077"/>
    </row>
    <row r="5801" spans="5:13">
      <c r="E5801" s="1077"/>
      <c r="F5801" s="1077"/>
      <c r="G5801" s="1077"/>
      <c r="H5801" s="1077"/>
      <c r="I5801" s="1077"/>
      <c r="J5801" s="1077"/>
      <c r="K5801" s="1077"/>
      <c r="L5801" s="1077"/>
      <c r="M5801" s="1077"/>
    </row>
    <row r="5802" spans="5:13">
      <c r="E5802" s="1077"/>
      <c r="F5802" s="1077"/>
      <c r="G5802" s="1077"/>
      <c r="H5802" s="1077"/>
      <c r="I5802" s="1077"/>
      <c r="J5802" s="1077"/>
      <c r="K5802" s="1077"/>
      <c r="L5802" s="1077"/>
      <c r="M5802" s="1077"/>
    </row>
    <row r="5803" spans="5:13">
      <c r="E5803" s="1077"/>
      <c r="F5803" s="1077"/>
      <c r="G5803" s="1077"/>
      <c r="H5803" s="1077"/>
      <c r="I5803" s="1077"/>
      <c r="J5803" s="1077"/>
      <c r="K5803" s="1077"/>
      <c r="L5803" s="1077"/>
      <c r="M5803" s="1077"/>
    </row>
    <row r="5804" spans="5:13">
      <c r="E5804" s="1077"/>
      <c r="F5804" s="1077"/>
      <c r="G5804" s="1077"/>
      <c r="H5804" s="1077"/>
      <c r="I5804" s="1077"/>
      <c r="J5804" s="1077"/>
      <c r="K5804" s="1077"/>
      <c r="L5804" s="1077"/>
      <c r="M5804" s="1077"/>
    </row>
    <row r="5805" spans="5:13">
      <c r="E5805" s="1077"/>
      <c r="F5805" s="1077"/>
      <c r="G5805" s="1077"/>
      <c r="H5805" s="1077"/>
      <c r="I5805" s="1077"/>
      <c r="J5805" s="1077"/>
      <c r="K5805" s="1077"/>
      <c r="L5805" s="1077"/>
      <c r="M5805" s="1077"/>
    </row>
    <row r="5806" spans="5:13">
      <c r="E5806" s="1077"/>
      <c r="F5806" s="1077"/>
      <c r="G5806" s="1077"/>
      <c r="H5806" s="1077"/>
      <c r="I5806" s="1077"/>
      <c r="J5806" s="1077"/>
      <c r="K5806" s="1077"/>
      <c r="L5806" s="1077"/>
      <c r="M5806" s="1077"/>
    </row>
    <row r="5807" spans="5:13">
      <c r="E5807" s="1077"/>
      <c r="F5807" s="1077"/>
      <c r="G5807" s="1077"/>
      <c r="H5807" s="1077"/>
      <c r="I5807" s="1077"/>
      <c r="J5807" s="1077"/>
      <c r="K5807" s="1077"/>
      <c r="L5807" s="1077"/>
      <c r="M5807" s="1077"/>
    </row>
    <row r="5808" spans="5:13">
      <c r="E5808" s="1077"/>
      <c r="F5808" s="1077"/>
      <c r="G5808" s="1077"/>
      <c r="H5808" s="1077"/>
      <c r="I5808" s="1077"/>
      <c r="J5808" s="1077"/>
      <c r="K5808" s="1077"/>
      <c r="L5808" s="1077"/>
      <c r="M5808" s="1077"/>
    </row>
    <row r="5809" spans="5:13">
      <c r="E5809" s="1077"/>
      <c r="F5809" s="1077"/>
      <c r="G5809" s="1077"/>
      <c r="H5809" s="1077"/>
      <c r="I5809" s="1077"/>
      <c r="J5809" s="1077"/>
      <c r="K5809" s="1077"/>
      <c r="L5809" s="1077"/>
      <c r="M5809" s="1077"/>
    </row>
    <row r="5810" spans="5:13">
      <c r="E5810" s="1077"/>
      <c r="F5810" s="1077"/>
      <c r="G5810" s="1077"/>
      <c r="H5810" s="1077"/>
      <c r="I5810" s="1077"/>
      <c r="J5810" s="1077"/>
      <c r="K5810" s="1077"/>
      <c r="L5810" s="1077"/>
      <c r="M5810" s="1077"/>
    </row>
    <row r="5811" spans="5:13">
      <c r="E5811" s="1077"/>
      <c r="F5811" s="1077"/>
      <c r="G5811" s="1077"/>
      <c r="H5811" s="1077"/>
      <c r="I5811" s="1077"/>
      <c r="J5811" s="1077"/>
      <c r="K5811" s="1077"/>
      <c r="L5811" s="1077"/>
      <c r="M5811" s="1077"/>
    </row>
    <row r="5812" spans="5:13">
      <c r="E5812" s="1077"/>
      <c r="F5812" s="1077"/>
      <c r="G5812" s="1077"/>
      <c r="H5812" s="1077"/>
      <c r="I5812" s="1077"/>
      <c r="J5812" s="1077"/>
      <c r="K5812" s="1077"/>
      <c r="L5812" s="1077"/>
      <c r="M5812" s="1077"/>
    </row>
    <row r="5813" spans="5:13">
      <c r="E5813" s="1077"/>
      <c r="F5813" s="1077"/>
      <c r="G5813" s="1077"/>
      <c r="H5813" s="1077"/>
      <c r="I5813" s="1077"/>
      <c r="J5813" s="1077"/>
      <c r="K5813" s="1077"/>
      <c r="L5813" s="1077"/>
      <c r="M5813" s="1077"/>
    </row>
    <row r="5814" spans="5:13">
      <c r="E5814" s="1077"/>
      <c r="F5814" s="1077"/>
      <c r="G5814" s="1077"/>
      <c r="H5814" s="1077"/>
      <c r="I5814" s="1077"/>
      <c r="J5814" s="1077"/>
      <c r="K5814" s="1077"/>
      <c r="L5814" s="1077"/>
      <c r="M5814" s="1077"/>
    </row>
    <row r="5815" spans="5:13">
      <c r="E5815" s="1077"/>
      <c r="F5815" s="1077"/>
      <c r="G5815" s="1077"/>
      <c r="H5815" s="1077"/>
      <c r="I5815" s="1077"/>
      <c r="J5815" s="1077"/>
      <c r="K5815" s="1077"/>
      <c r="L5815" s="1077"/>
      <c r="M5815" s="1077"/>
    </row>
    <row r="5816" spans="5:13">
      <c r="E5816" s="1077"/>
      <c r="F5816" s="1077"/>
      <c r="G5816" s="1077"/>
      <c r="H5816" s="1077"/>
      <c r="I5816" s="1077"/>
      <c r="J5816" s="1077"/>
      <c r="K5816" s="1077"/>
      <c r="L5816" s="1077"/>
      <c r="M5816" s="1077"/>
    </row>
    <row r="5817" spans="5:13">
      <c r="E5817" s="1077"/>
      <c r="F5817" s="1077"/>
      <c r="G5817" s="1077"/>
      <c r="H5817" s="1077"/>
      <c r="I5817" s="1077"/>
      <c r="J5817" s="1077"/>
      <c r="K5817" s="1077"/>
      <c r="L5817" s="1077"/>
      <c r="M5817" s="1077"/>
    </row>
    <row r="5818" spans="5:13">
      <c r="E5818" s="1077"/>
      <c r="F5818" s="1077"/>
      <c r="G5818" s="1077"/>
      <c r="H5818" s="1077"/>
      <c r="I5818" s="1077"/>
      <c r="J5818" s="1077"/>
      <c r="K5818" s="1077"/>
      <c r="L5818" s="1077"/>
      <c r="M5818" s="1077"/>
    </row>
    <row r="5819" spans="5:13">
      <c r="E5819" s="1077"/>
      <c r="F5819" s="1077"/>
      <c r="G5819" s="1077"/>
      <c r="H5819" s="1077"/>
      <c r="I5819" s="1077"/>
      <c r="J5819" s="1077"/>
      <c r="K5819" s="1077"/>
      <c r="L5819" s="1077"/>
      <c r="M5819" s="1077"/>
    </row>
    <row r="5820" spans="5:13">
      <c r="E5820" s="1077"/>
      <c r="F5820" s="1077"/>
      <c r="G5820" s="1077"/>
      <c r="H5820" s="1077"/>
      <c r="I5820" s="1077"/>
      <c r="J5820" s="1077"/>
      <c r="K5820" s="1077"/>
      <c r="L5820" s="1077"/>
      <c r="M5820" s="1077"/>
    </row>
    <row r="5821" spans="5:13">
      <c r="E5821" s="1077"/>
      <c r="F5821" s="1077"/>
      <c r="G5821" s="1077"/>
      <c r="H5821" s="1077"/>
      <c r="I5821" s="1077"/>
      <c r="J5821" s="1077"/>
      <c r="K5821" s="1077"/>
      <c r="L5821" s="1077"/>
      <c r="M5821" s="1077"/>
    </row>
    <row r="5822" spans="5:13">
      <c r="E5822" s="1077"/>
      <c r="F5822" s="1077"/>
      <c r="G5822" s="1077"/>
      <c r="H5822" s="1077"/>
      <c r="I5822" s="1077"/>
      <c r="J5822" s="1077"/>
      <c r="K5822" s="1077"/>
      <c r="L5822" s="1077"/>
      <c r="M5822" s="1077"/>
    </row>
    <row r="5823" spans="5:13">
      <c r="E5823" s="1077"/>
      <c r="F5823" s="1077"/>
      <c r="G5823" s="1077"/>
      <c r="H5823" s="1077"/>
      <c r="I5823" s="1077"/>
      <c r="J5823" s="1077"/>
      <c r="K5823" s="1077"/>
      <c r="L5823" s="1077"/>
      <c r="M5823" s="1077"/>
    </row>
    <row r="5824" spans="5:13">
      <c r="E5824" s="1077"/>
      <c r="F5824" s="1077"/>
      <c r="G5824" s="1077"/>
      <c r="H5824" s="1077"/>
      <c r="I5824" s="1077"/>
      <c r="J5824" s="1077"/>
      <c r="K5824" s="1077"/>
      <c r="L5824" s="1077"/>
      <c r="M5824" s="1077"/>
    </row>
    <row r="5825" spans="5:13">
      <c r="E5825" s="1077"/>
      <c r="F5825" s="1077"/>
      <c r="G5825" s="1077"/>
      <c r="H5825" s="1077"/>
      <c r="I5825" s="1077"/>
      <c r="J5825" s="1077"/>
      <c r="K5825" s="1077"/>
      <c r="L5825" s="1077"/>
      <c r="M5825" s="1077"/>
    </row>
    <row r="5826" spans="5:13">
      <c r="E5826" s="1077"/>
      <c r="F5826" s="1077"/>
      <c r="G5826" s="1077"/>
      <c r="H5826" s="1077"/>
      <c r="I5826" s="1077"/>
      <c r="J5826" s="1077"/>
      <c r="K5826" s="1077"/>
      <c r="L5826" s="1077"/>
      <c r="M5826" s="1077"/>
    </row>
    <row r="5827" spans="5:13">
      <c r="E5827" s="1077"/>
      <c r="F5827" s="1077"/>
      <c r="G5827" s="1077"/>
      <c r="H5827" s="1077"/>
      <c r="I5827" s="1077"/>
      <c r="J5827" s="1077"/>
      <c r="K5827" s="1077"/>
      <c r="L5827" s="1077"/>
      <c r="M5827" s="1077"/>
    </row>
    <row r="5828" spans="5:13">
      <c r="E5828" s="1077"/>
      <c r="F5828" s="1077"/>
      <c r="G5828" s="1077"/>
      <c r="H5828" s="1077"/>
      <c r="I5828" s="1077"/>
      <c r="J5828" s="1077"/>
      <c r="K5828" s="1077"/>
      <c r="L5828" s="1077"/>
      <c r="M5828" s="1077"/>
    </row>
    <row r="5829" spans="5:13">
      <c r="E5829" s="1077"/>
      <c r="F5829" s="1077"/>
      <c r="G5829" s="1077"/>
      <c r="H5829" s="1077"/>
      <c r="I5829" s="1077"/>
      <c r="J5829" s="1077"/>
      <c r="K5829" s="1077"/>
      <c r="L5829" s="1077"/>
      <c r="M5829" s="1077"/>
    </row>
    <row r="5830" spans="5:13">
      <c r="E5830" s="1077"/>
      <c r="F5830" s="1077"/>
      <c r="G5830" s="1077"/>
      <c r="H5830" s="1077"/>
      <c r="I5830" s="1077"/>
      <c r="J5830" s="1077"/>
      <c r="K5830" s="1077"/>
      <c r="L5830" s="1077"/>
      <c r="M5830" s="1077"/>
    </row>
    <row r="5831" spans="5:13">
      <c r="E5831" s="1077"/>
      <c r="F5831" s="1077"/>
      <c r="G5831" s="1077"/>
      <c r="H5831" s="1077"/>
      <c r="I5831" s="1077"/>
      <c r="J5831" s="1077"/>
      <c r="K5831" s="1077"/>
      <c r="L5831" s="1077"/>
      <c r="M5831" s="1077"/>
    </row>
    <row r="5832" spans="5:13">
      <c r="E5832" s="1077"/>
      <c r="F5832" s="1077"/>
      <c r="G5832" s="1077"/>
      <c r="H5832" s="1077"/>
      <c r="I5832" s="1077"/>
      <c r="J5832" s="1077"/>
      <c r="K5832" s="1077"/>
      <c r="L5832" s="1077"/>
      <c r="M5832" s="1077"/>
    </row>
    <row r="5833" spans="5:13">
      <c r="E5833" s="1077"/>
      <c r="F5833" s="1077"/>
      <c r="G5833" s="1077"/>
      <c r="H5833" s="1077"/>
      <c r="I5833" s="1077"/>
      <c r="J5833" s="1077"/>
      <c r="K5833" s="1077"/>
      <c r="L5833" s="1077"/>
      <c r="M5833" s="1077"/>
    </row>
    <row r="5834" spans="5:13">
      <c r="E5834" s="1077"/>
      <c r="F5834" s="1077"/>
      <c r="G5834" s="1077"/>
      <c r="H5834" s="1077"/>
      <c r="I5834" s="1077"/>
      <c r="J5834" s="1077"/>
      <c r="K5834" s="1077"/>
      <c r="L5834" s="1077"/>
      <c r="M5834" s="1077"/>
    </row>
    <row r="5835" spans="5:13">
      <c r="E5835" s="1077"/>
      <c r="F5835" s="1077"/>
      <c r="G5835" s="1077"/>
      <c r="H5835" s="1077"/>
      <c r="I5835" s="1077"/>
      <c r="J5835" s="1077"/>
      <c r="K5835" s="1077"/>
      <c r="L5835" s="1077"/>
      <c r="M5835" s="1077"/>
    </row>
    <row r="5836" spans="5:13">
      <c r="E5836" s="1077"/>
      <c r="F5836" s="1077"/>
      <c r="G5836" s="1077"/>
      <c r="H5836" s="1077"/>
      <c r="I5836" s="1077"/>
      <c r="J5836" s="1077"/>
      <c r="K5836" s="1077"/>
      <c r="L5836" s="1077"/>
      <c r="M5836" s="1077"/>
    </row>
    <row r="5837" spans="5:13">
      <c r="E5837" s="1077"/>
      <c r="F5837" s="1077"/>
      <c r="G5837" s="1077"/>
      <c r="H5837" s="1077"/>
      <c r="I5837" s="1077"/>
      <c r="J5837" s="1077"/>
      <c r="K5837" s="1077"/>
      <c r="L5837" s="1077"/>
      <c r="M5837" s="1077"/>
    </row>
    <row r="5838" spans="5:13">
      <c r="E5838" s="1077"/>
      <c r="F5838" s="1077"/>
      <c r="G5838" s="1077"/>
      <c r="H5838" s="1077"/>
      <c r="I5838" s="1077"/>
      <c r="J5838" s="1077"/>
      <c r="K5838" s="1077"/>
      <c r="L5838" s="1077"/>
      <c r="M5838" s="1077"/>
    </row>
    <row r="5839" spans="5:13">
      <c r="E5839" s="1077"/>
      <c r="F5839" s="1077"/>
      <c r="G5839" s="1077"/>
      <c r="H5839" s="1077"/>
      <c r="I5839" s="1077"/>
      <c r="J5839" s="1077"/>
      <c r="K5839" s="1077"/>
      <c r="L5839" s="1077"/>
      <c r="M5839" s="1077"/>
    </row>
    <row r="5840" spans="5:13">
      <c r="E5840" s="1077"/>
      <c r="F5840" s="1077"/>
      <c r="G5840" s="1077"/>
      <c r="H5840" s="1077"/>
      <c r="I5840" s="1077"/>
      <c r="J5840" s="1077"/>
      <c r="K5840" s="1077"/>
      <c r="L5840" s="1077"/>
      <c r="M5840" s="1077"/>
    </row>
    <row r="5841" spans="5:13">
      <c r="E5841" s="1077"/>
      <c r="F5841" s="1077"/>
      <c r="G5841" s="1077"/>
      <c r="H5841" s="1077"/>
      <c r="I5841" s="1077"/>
      <c r="J5841" s="1077"/>
      <c r="K5841" s="1077"/>
      <c r="L5841" s="1077"/>
      <c r="M5841" s="1077"/>
    </row>
    <row r="5842" spans="5:13">
      <c r="E5842" s="1077"/>
      <c r="F5842" s="1077"/>
      <c r="G5842" s="1077"/>
      <c r="H5842" s="1077"/>
      <c r="I5842" s="1077"/>
      <c r="J5842" s="1077"/>
      <c r="K5842" s="1077"/>
      <c r="L5842" s="1077"/>
      <c r="M5842" s="1077"/>
    </row>
    <row r="5843" spans="5:13">
      <c r="E5843" s="1077"/>
      <c r="F5843" s="1077"/>
      <c r="G5843" s="1077"/>
      <c r="H5843" s="1077"/>
      <c r="I5843" s="1077"/>
      <c r="J5843" s="1077"/>
      <c r="K5843" s="1077"/>
      <c r="L5843" s="1077"/>
      <c r="M5843" s="1077"/>
    </row>
    <row r="5844" spans="5:13">
      <c r="E5844" s="1077"/>
      <c r="F5844" s="1077"/>
      <c r="G5844" s="1077"/>
      <c r="H5844" s="1077"/>
      <c r="I5844" s="1077"/>
      <c r="J5844" s="1077"/>
      <c r="K5844" s="1077"/>
      <c r="L5844" s="1077"/>
      <c r="M5844" s="1077"/>
    </row>
    <row r="5845" spans="5:13">
      <c r="E5845" s="1077"/>
      <c r="F5845" s="1077"/>
      <c r="G5845" s="1077"/>
      <c r="H5845" s="1077"/>
      <c r="I5845" s="1077"/>
      <c r="J5845" s="1077"/>
      <c r="K5845" s="1077"/>
      <c r="L5845" s="1077"/>
      <c r="M5845" s="1077"/>
    </row>
    <row r="5846" spans="5:13">
      <c r="E5846" s="1077"/>
      <c r="F5846" s="1077"/>
      <c r="G5846" s="1077"/>
      <c r="H5846" s="1077"/>
      <c r="I5846" s="1077"/>
      <c r="J5846" s="1077"/>
      <c r="K5846" s="1077"/>
      <c r="L5846" s="1077"/>
      <c r="M5846" s="1077"/>
    </row>
    <row r="5847" spans="5:13">
      <c r="E5847" s="1077"/>
      <c r="F5847" s="1077"/>
      <c r="G5847" s="1077"/>
      <c r="H5847" s="1077"/>
      <c r="I5847" s="1077"/>
      <c r="J5847" s="1077"/>
      <c r="K5847" s="1077"/>
      <c r="L5847" s="1077"/>
      <c r="M5847" s="1077"/>
    </row>
    <row r="5848" spans="5:13">
      <c r="E5848" s="1077"/>
      <c r="F5848" s="1077"/>
      <c r="G5848" s="1077"/>
      <c r="H5848" s="1077"/>
      <c r="I5848" s="1077"/>
      <c r="J5848" s="1077"/>
      <c r="K5848" s="1077"/>
      <c r="L5848" s="1077"/>
      <c r="M5848" s="1077"/>
    </row>
    <row r="5849" spans="5:13">
      <c r="E5849" s="1077"/>
      <c r="F5849" s="1077"/>
      <c r="G5849" s="1077"/>
      <c r="H5849" s="1077"/>
      <c r="I5849" s="1077"/>
      <c r="J5849" s="1077"/>
      <c r="K5849" s="1077"/>
      <c r="L5849" s="1077"/>
      <c r="M5849" s="1077"/>
    </row>
    <row r="5850" spans="5:13">
      <c r="E5850" s="1077"/>
      <c r="F5850" s="1077"/>
      <c r="G5850" s="1077"/>
      <c r="H5850" s="1077"/>
      <c r="I5850" s="1077"/>
      <c r="J5850" s="1077"/>
      <c r="K5850" s="1077"/>
      <c r="L5850" s="1077"/>
      <c r="M5850" s="1077"/>
    </row>
    <row r="5851" spans="5:13">
      <c r="E5851" s="1077"/>
      <c r="F5851" s="1077"/>
      <c r="G5851" s="1077"/>
      <c r="H5851" s="1077"/>
      <c r="I5851" s="1077"/>
      <c r="J5851" s="1077"/>
      <c r="K5851" s="1077"/>
      <c r="L5851" s="1077"/>
      <c r="M5851" s="1077"/>
    </row>
    <row r="5852" spans="5:13">
      <c r="E5852" s="1077"/>
      <c r="F5852" s="1077"/>
      <c r="G5852" s="1077"/>
      <c r="H5852" s="1077"/>
      <c r="I5852" s="1077"/>
      <c r="J5852" s="1077"/>
      <c r="K5852" s="1077"/>
      <c r="L5852" s="1077"/>
      <c r="M5852" s="1077"/>
    </row>
    <row r="5853" spans="5:13">
      <c r="E5853" s="1077"/>
      <c r="F5853" s="1077"/>
      <c r="G5853" s="1077"/>
      <c r="H5853" s="1077"/>
      <c r="I5853" s="1077"/>
      <c r="J5853" s="1077"/>
      <c r="K5853" s="1077"/>
      <c r="L5853" s="1077"/>
      <c r="M5853" s="1077"/>
    </row>
    <row r="5854" spans="5:13">
      <c r="E5854" s="1077"/>
      <c r="F5854" s="1077"/>
      <c r="G5854" s="1077"/>
      <c r="H5854" s="1077"/>
      <c r="I5854" s="1077"/>
      <c r="J5854" s="1077"/>
      <c r="K5854" s="1077"/>
      <c r="L5854" s="1077"/>
      <c r="M5854" s="1077"/>
    </row>
    <row r="5855" spans="5:13">
      <c r="E5855" s="1077"/>
      <c r="F5855" s="1077"/>
      <c r="G5855" s="1077"/>
      <c r="H5855" s="1077"/>
      <c r="I5855" s="1077"/>
      <c r="J5855" s="1077"/>
      <c r="K5855" s="1077"/>
      <c r="L5855" s="1077"/>
      <c r="M5855" s="1077"/>
    </row>
    <row r="5856" spans="5:13">
      <c r="E5856" s="1077"/>
      <c r="F5856" s="1077"/>
      <c r="G5856" s="1077"/>
      <c r="H5856" s="1077"/>
      <c r="I5856" s="1077"/>
      <c r="J5856" s="1077"/>
      <c r="K5856" s="1077"/>
      <c r="L5856" s="1077"/>
      <c r="M5856" s="1077"/>
    </row>
    <row r="5857" spans="5:13">
      <c r="E5857" s="1077"/>
      <c r="F5857" s="1077"/>
      <c r="G5857" s="1077"/>
      <c r="H5857" s="1077"/>
      <c r="I5857" s="1077"/>
      <c r="J5857" s="1077"/>
      <c r="K5857" s="1077"/>
      <c r="L5857" s="1077"/>
      <c r="M5857" s="1077"/>
    </row>
    <row r="5858" spans="5:13">
      <c r="E5858" s="1077"/>
      <c r="F5858" s="1077"/>
      <c r="G5858" s="1077"/>
      <c r="H5858" s="1077"/>
      <c r="I5858" s="1077"/>
      <c r="J5858" s="1077"/>
      <c r="K5858" s="1077"/>
      <c r="L5858" s="1077"/>
      <c r="M5858" s="1077"/>
    </row>
    <row r="5859" spans="5:13">
      <c r="E5859" s="1077"/>
      <c r="F5859" s="1077"/>
      <c r="G5859" s="1077"/>
      <c r="H5859" s="1077"/>
      <c r="I5859" s="1077"/>
      <c r="J5859" s="1077"/>
      <c r="K5859" s="1077"/>
      <c r="L5859" s="1077"/>
      <c r="M5859" s="1077"/>
    </row>
    <row r="5860" spans="5:13">
      <c r="E5860" s="1077"/>
      <c r="F5860" s="1077"/>
      <c r="G5860" s="1077"/>
      <c r="H5860" s="1077"/>
      <c r="I5860" s="1077"/>
      <c r="J5860" s="1077"/>
      <c r="K5860" s="1077"/>
      <c r="L5860" s="1077"/>
      <c r="M5860" s="1077"/>
    </row>
    <row r="5861" spans="5:13">
      <c r="E5861" s="1077"/>
      <c r="F5861" s="1077"/>
      <c r="G5861" s="1077"/>
      <c r="H5861" s="1077"/>
      <c r="I5861" s="1077"/>
      <c r="J5861" s="1077"/>
      <c r="K5861" s="1077"/>
      <c r="L5861" s="1077"/>
      <c r="M5861" s="1077"/>
    </row>
    <row r="5862" spans="5:13">
      <c r="E5862" s="1077"/>
      <c r="F5862" s="1077"/>
      <c r="G5862" s="1077"/>
      <c r="H5862" s="1077"/>
      <c r="I5862" s="1077"/>
      <c r="J5862" s="1077"/>
      <c r="K5862" s="1077"/>
      <c r="L5862" s="1077"/>
      <c r="M5862" s="1077"/>
    </row>
    <row r="5863" spans="5:13">
      <c r="E5863" s="1077"/>
      <c r="F5863" s="1077"/>
      <c r="G5863" s="1077"/>
      <c r="H5863" s="1077"/>
      <c r="I5863" s="1077"/>
      <c r="J5863" s="1077"/>
      <c r="K5863" s="1077"/>
      <c r="L5863" s="1077"/>
      <c r="M5863" s="1077"/>
    </row>
    <row r="5864" spans="5:13">
      <c r="E5864" s="1077"/>
      <c r="F5864" s="1077"/>
      <c r="G5864" s="1077"/>
      <c r="H5864" s="1077"/>
      <c r="I5864" s="1077"/>
      <c r="J5864" s="1077"/>
      <c r="K5864" s="1077"/>
      <c r="L5864" s="1077"/>
      <c r="M5864" s="1077"/>
    </row>
    <row r="5865" spans="5:13">
      <c r="E5865" s="1077"/>
      <c r="F5865" s="1077"/>
      <c r="G5865" s="1077"/>
      <c r="H5865" s="1077"/>
      <c r="I5865" s="1077"/>
      <c r="J5865" s="1077"/>
      <c r="K5865" s="1077"/>
      <c r="L5865" s="1077"/>
      <c r="M5865" s="1077"/>
    </row>
    <row r="5866" spans="5:13">
      <c r="E5866" s="1077"/>
      <c r="F5866" s="1077"/>
      <c r="G5866" s="1077"/>
      <c r="H5866" s="1077"/>
      <c r="I5866" s="1077"/>
      <c r="J5866" s="1077"/>
      <c r="K5866" s="1077"/>
      <c r="L5866" s="1077"/>
      <c r="M5866" s="1077"/>
    </row>
    <row r="5867" spans="5:13">
      <c r="E5867" s="1077"/>
      <c r="F5867" s="1077"/>
      <c r="G5867" s="1077"/>
      <c r="H5867" s="1077"/>
      <c r="I5867" s="1077"/>
      <c r="J5867" s="1077"/>
      <c r="K5867" s="1077"/>
      <c r="L5867" s="1077"/>
      <c r="M5867" s="1077"/>
    </row>
    <row r="5868" spans="5:13">
      <c r="E5868" s="1077"/>
      <c r="F5868" s="1077"/>
      <c r="G5868" s="1077"/>
      <c r="H5868" s="1077"/>
      <c r="I5868" s="1077"/>
      <c r="J5868" s="1077"/>
      <c r="K5868" s="1077"/>
      <c r="L5868" s="1077"/>
      <c r="M5868" s="1077"/>
    </row>
    <row r="5869" spans="5:13">
      <c r="E5869" s="1077"/>
      <c r="F5869" s="1077"/>
      <c r="G5869" s="1077"/>
      <c r="H5869" s="1077"/>
      <c r="I5869" s="1077"/>
      <c r="J5869" s="1077"/>
      <c r="K5869" s="1077"/>
      <c r="L5869" s="1077"/>
      <c r="M5869" s="1077"/>
    </row>
    <row r="5870" spans="5:13">
      <c r="E5870" s="1077"/>
      <c r="F5870" s="1077"/>
      <c r="G5870" s="1077"/>
      <c r="H5870" s="1077"/>
      <c r="I5870" s="1077"/>
      <c r="J5870" s="1077"/>
      <c r="K5870" s="1077"/>
      <c r="L5870" s="1077"/>
      <c r="M5870" s="1077"/>
    </row>
    <row r="5871" spans="5:13">
      <c r="E5871" s="1077"/>
      <c r="F5871" s="1077"/>
      <c r="G5871" s="1077"/>
      <c r="H5871" s="1077"/>
      <c r="I5871" s="1077"/>
      <c r="J5871" s="1077"/>
      <c r="K5871" s="1077"/>
      <c r="L5871" s="1077"/>
      <c r="M5871" s="1077"/>
    </row>
    <row r="5872" spans="5:13">
      <c r="E5872" s="1077"/>
      <c r="F5872" s="1077"/>
      <c r="G5872" s="1077"/>
      <c r="H5872" s="1077"/>
      <c r="I5872" s="1077"/>
      <c r="J5872" s="1077"/>
      <c r="K5872" s="1077"/>
      <c r="L5872" s="1077"/>
      <c r="M5872" s="1077"/>
    </row>
    <row r="5873" spans="5:13">
      <c r="E5873" s="1077"/>
      <c r="F5873" s="1077"/>
      <c r="G5873" s="1077"/>
      <c r="H5873" s="1077"/>
      <c r="I5873" s="1077"/>
      <c r="J5873" s="1077"/>
      <c r="K5873" s="1077"/>
      <c r="L5873" s="1077"/>
      <c r="M5873" s="1077"/>
    </row>
    <row r="5874" spans="5:13">
      <c r="E5874" s="1077"/>
      <c r="F5874" s="1077"/>
      <c r="G5874" s="1077"/>
      <c r="H5874" s="1077"/>
      <c r="I5874" s="1077"/>
      <c r="J5874" s="1077"/>
      <c r="K5874" s="1077"/>
      <c r="L5874" s="1077"/>
      <c r="M5874" s="1077"/>
    </row>
    <row r="5875" spans="5:13">
      <c r="E5875" s="1077"/>
      <c r="F5875" s="1077"/>
      <c r="G5875" s="1077"/>
      <c r="H5875" s="1077"/>
      <c r="I5875" s="1077"/>
      <c r="J5875" s="1077"/>
      <c r="K5875" s="1077"/>
      <c r="L5875" s="1077"/>
      <c r="M5875" s="1077"/>
    </row>
    <row r="5876" spans="5:13">
      <c r="E5876" s="1077"/>
      <c r="F5876" s="1077"/>
      <c r="G5876" s="1077"/>
      <c r="H5876" s="1077"/>
      <c r="I5876" s="1077"/>
      <c r="J5876" s="1077"/>
      <c r="K5876" s="1077"/>
      <c r="L5876" s="1077"/>
      <c r="M5876" s="1077"/>
    </row>
    <row r="5877" spans="5:13">
      <c r="E5877" s="1077"/>
      <c r="F5877" s="1077"/>
      <c r="G5877" s="1077"/>
      <c r="H5877" s="1077"/>
      <c r="I5877" s="1077"/>
      <c r="J5877" s="1077"/>
      <c r="K5877" s="1077"/>
      <c r="L5877" s="1077"/>
      <c r="M5877" s="1077"/>
    </row>
    <row r="5878" spans="5:13">
      <c r="E5878" s="1077"/>
      <c r="F5878" s="1077"/>
      <c r="G5878" s="1077"/>
      <c r="H5878" s="1077"/>
      <c r="I5878" s="1077"/>
      <c r="J5878" s="1077"/>
      <c r="K5878" s="1077"/>
      <c r="L5878" s="1077"/>
      <c r="M5878" s="1077"/>
    </row>
    <row r="5879" spans="5:13">
      <c r="E5879" s="1077"/>
      <c r="F5879" s="1077"/>
      <c r="G5879" s="1077"/>
      <c r="H5879" s="1077"/>
      <c r="I5879" s="1077"/>
      <c r="J5879" s="1077"/>
      <c r="K5879" s="1077"/>
      <c r="L5879" s="1077"/>
      <c r="M5879" s="1077"/>
    </row>
    <row r="5880" spans="5:13">
      <c r="E5880" s="1077"/>
      <c r="F5880" s="1077"/>
      <c r="G5880" s="1077"/>
      <c r="H5880" s="1077"/>
      <c r="I5880" s="1077"/>
      <c r="J5880" s="1077"/>
      <c r="K5880" s="1077"/>
      <c r="L5880" s="1077"/>
      <c r="M5880" s="1077"/>
    </row>
    <row r="5881" spans="5:13">
      <c r="E5881" s="1077"/>
      <c r="F5881" s="1077"/>
      <c r="G5881" s="1077"/>
      <c r="H5881" s="1077"/>
      <c r="I5881" s="1077"/>
      <c r="J5881" s="1077"/>
      <c r="K5881" s="1077"/>
      <c r="L5881" s="1077"/>
      <c r="M5881" s="1077"/>
    </row>
    <row r="5882" spans="5:13">
      <c r="E5882" s="1077"/>
      <c r="F5882" s="1077"/>
      <c r="G5882" s="1077"/>
      <c r="H5882" s="1077"/>
      <c r="I5882" s="1077"/>
      <c r="J5882" s="1077"/>
      <c r="K5882" s="1077"/>
      <c r="L5882" s="1077"/>
      <c r="M5882" s="1077"/>
    </row>
    <row r="5883" spans="5:13">
      <c r="E5883" s="1077"/>
      <c r="F5883" s="1077"/>
      <c r="G5883" s="1077"/>
      <c r="H5883" s="1077"/>
      <c r="I5883" s="1077"/>
      <c r="J5883" s="1077"/>
      <c r="K5883" s="1077"/>
      <c r="L5883" s="1077"/>
      <c r="M5883" s="1077"/>
    </row>
    <row r="5884" spans="5:13">
      <c r="E5884" s="1077"/>
      <c r="F5884" s="1077"/>
      <c r="G5884" s="1077"/>
      <c r="H5884" s="1077"/>
      <c r="I5884" s="1077"/>
      <c r="J5884" s="1077"/>
      <c r="K5884" s="1077"/>
      <c r="L5884" s="1077"/>
      <c r="M5884" s="1077"/>
    </row>
    <row r="5885" spans="5:13">
      <c r="E5885" s="1077"/>
      <c r="F5885" s="1077"/>
      <c r="G5885" s="1077"/>
      <c r="H5885" s="1077"/>
      <c r="I5885" s="1077"/>
      <c r="J5885" s="1077"/>
      <c r="K5885" s="1077"/>
      <c r="L5885" s="1077"/>
      <c r="M5885" s="1077"/>
    </row>
    <row r="5886" spans="5:13">
      <c r="E5886" s="1077"/>
      <c r="F5886" s="1077"/>
      <c r="G5886" s="1077"/>
      <c r="H5886" s="1077"/>
      <c r="I5886" s="1077"/>
      <c r="J5886" s="1077"/>
      <c r="K5886" s="1077"/>
      <c r="L5886" s="1077"/>
      <c r="M5886" s="1077"/>
    </row>
    <row r="5887" spans="5:13">
      <c r="E5887" s="1077"/>
      <c r="F5887" s="1077"/>
      <c r="G5887" s="1077"/>
      <c r="H5887" s="1077"/>
      <c r="I5887" s="1077"/>
      <c r="J5887" s="1077"/>
      <c r="K5887" s="1077"/>
      <c r="L5887" s="1077"/>
      <c r="M5887" s="1077"/>
    </row>
    <row r="5888" spans="5:13">
      <c r="E5888" s="1077"/>
      <c r="F5888" s="1077"/>
      <c r="G5888" s="1077"/>
      <c r="H5888" s="1077"/>
      <c r="I5888" s="1077"/>
      <c r="J5888" s="1077"/>
      <c r="K5888" s="1077"/>
      <c r="L5888" s="1077"/>
      <c r="M5888" s="1077"/>
    </row>
    <row r="5889" spans="5:13">
      <c r="E5889" s="1077"/>
      <c r="F5889" s="1077"/>
      <c r="G5889" s="1077"/>
      <c r="H5889" s="1077"/>
      <c r="I5889" s="1077"/>
      <c r="J5889" s="1077"/>
      <c r="K5889" s="1077"/>
      <c r="L5889" s="1077"/>
      <c r="M5889" s="1077"/>
    </row>
    <row r="5890" spans="5:13">
      <c r="E5890" s="1077"/>
      <c r="F5890" s="1077"/>
      <c r="G5890" s="1077"/>
      <c r="H5890" s="1077"/>
      <c r="I5890" s="1077"/>
      <c r="J5890" s="1077"/>
      <c r="K5890" s="1077"/>
      <c r="L5890" s="1077"/>
      <c r="M5890" s="1077"/>
    </row>
    <row r="5891" spans="5:13">
      <c r="E5891" s="1077"/>
      <c r="F5891" s="1077"/>
      <c r="G5891" s="1077"/>
      <c r="H5891" s="1077"/>
      <c r="I5891" s="1077"/>
      <c r="J5891" s="1077"/>
      <c r="K5891" s="1077"/>
      <c r="L5891" s="1077"/>
      <c r="M5891" s="1077"/>
    </row>
    <row r="5892" spans="5:13">
      <c r="E5892" s="1077"/>
      <c r="F5892" s="1077"/>
      <c r="G5892" s="1077"/>
      <c r="H5892" s="1077"/>
      <c r="I5892" s="1077"/>
      <c r="J5892" s="1077"/>
      <c r="K5892" s="1077"/>
      <c r="L5892" s="1077"/>
      <c r="M5892" s="1077"/>
    </row>
    <row r="5893" spans="5:13">
      <c r="E5893" s="1077"/>
      <c r="F5893" s="1077"/>
      <c r="G5893" s="1077"/>
      <c r="H5893" s="1077"/>
      <c r="I5893" s="1077"/>
      <c r="J5893" s="1077"/>
      <c r="K5893" s="1077"/>
      <c r="L5893" s="1077"/>
      <c r="M5893" s="1077"/>
    </row>
    <row r="5894" spans="5:13">
      <c r="E5894" s="1077"/>
      <c r="F5894" s="1077"/>
      <c r="G5894" s="1077"/>
      <c r="H5894" s="1077"/>
      <c r="I5894" s="1077"/>
      <c r="J5894" s="1077"/>
      <c r="K5894" s="1077"/>
      <c r="L5894" s="1077"/>
      <c r="M5894" s="1077"/>
    </row>
    <row r="5895" spans="5:13">
      <c r="E5895" s="1077"/>
      <c r="F5895" s="1077"/>
      <c r="G5895" s="1077"/>
      <c r="H5895" s="1077"/>
      <c r="I5895" s="1077"/>
      <c r="J5895" s="1077"/>
      <c r="K5895" s="1077"/>
      <c r="L5895" s="1077"/>
      <c r="M5895" s="1077"/>
    </row>
    <row r="5896" spans="5:13">
      <c r="E5896" s="1077"/>
      <c r="F5896" s="1077"/>
      <c r="G5896" s="1077"/>
      <c r="H5896" s="1077"/>
      <c r="I5896" s="1077"/>
      <c r="J5896" s="1077"/>
      <c r="K5896" s="1077"/>
      <c r="L5896" s="1077"/>
      <c r="M5896" s="1077"/>
    </row>
    <row r="5897" spans="5:13">
      <c r="E5897" s="1077"/>
      <c r="F5897" s="1077"/>
      <c r="G5897" s="1077"/>
      <c r="H5897" s="1077"/>
      <c r="I5897" s="1077"/>
      <c r="J5897" s="1077"/>
      <c r="K5897" s="1077"/>
      <c r="L5897" s="1077"/>
      <c r="M5897" s="1077"/>
    </row>
    <row r="5898" spans="5:13">
      <c r="E5898" s="1077"/>
      <c r="F5898" s="1077"/>
      <c r="G5898" s="1077"/>
      <c r="H5898" s="1077"/>
      <c r="I5898" s="1077"/>
      <c r="J5898" s="1077"/>
      <c r="K5898" s="1077"/>
      <c r="L5898" s="1077"/>
      <c r="M5898" s="1077"/>
    </row>
    <row r="5899" spans="5:13">
      <c r="E5899" s="1077"/>
      <c r="F5899" s="1077"/>
      <c r="G5899" s="1077"/>
      <c r="H5899" s="1077"/>
      <c r="I5899" s="1077"/>
      <c r="J5899" s="1077"/>
      <c r="K5899" s="1077"/>
      <c r="L5899" s="1077"/>
      <c r="M5899" s="1077"/>
    </row>
    <row r="5900" spans="5:13">
      <c r="E5900" s="1077"/>
      <c r="F5900" s="1077"/>
      <c r="G5900" s="1077"/>
      <c r="H5900" s="1077"/>
      <c r="I5900" s="1077"/>
      <c r="J5900" s="1077"/>
      <c r="K5900" s="1077"/>
      <c r="L5900" s="1077"/>
      <c r="M5900" s="1077"/>
    </row>
    <row r="5901" spans="5:13">
      <c r="E5901" s="1077"/>
      <c r="F5901" s="1077"/>
      <c r="G5901" s="1077"/>
      <c r="H5901" s="1077"/>
      <c r="I5901" s="1077"/>
      <c r="J5901" s="1077"/>
      <c r="K5901" s="1077"/>
      <c r="L5901" s="1077"/>
      <c r="M5901" s="1077"/>
    </row>
    <row r="5902" spans="5:13">
      <c r="E5902" s="1077"/>
      <c r="F5902" s="1077"/>
      <c r="G5902" s="1077"/>
      <c r="H5902" s="1077"/>
      <c r="I5902" s="1077"/>
      <c r="J5902" s="1077"/>
      <c r="K5902" s="1077"/>
      <c r="L5902" s="1077"/>
      <c r="M5902" s="1077"/>
    </row>
    <row r="5903" spans="5:13">
      <c r="E5903" s="1077"/>
      <c r="F5903" s="1077"/>
      <c r="G5903" s="1077"/>
      <c r="H5903" s="1077"/>
      <c r="I5903" s="1077"/>
      <c r="J5903" s="1077"/>
      <c r="K5903" s="1077"/>
      <c r="L5903" s="1077"/>
      <c r="M5903" s="1077"/>
    </row>
    <row r="5904" spans="5:13">
      <c r="E5904" s="1077"/>
      <c r="F5904" s="1077"/>
      <c r="G5904" s="1077"/>
      <c r="H5904" s="1077"/>
      <c r="I5904" s="1077"/>
      <c r="J5904" s="1077"/>
      <c r="K5904" s="1077"/>
      <c r="L5904" s="1077"/>
      <c r="M5904" s="1077"/>
    </row>
    <row r="5905" spans="5:13">
      <c r="E5905" s="1077"/>
      <c r="F5905" s="1077"/>
      <c r="G5905" s="1077"/>
      <c r="H5905" s="1077"/>
      <c r="I5905" s="1077"/>
      <c r="J5905" s="1077"/>
      <c r="K5905" s="1077"/>
      <c r="L5905" s="1077"/>
      <c r="M5905" s="1077"/>
    </row>
    <row r="5906" spans="5:13">
      <c r="E5906" s="1077"/>
      <c r="F5906" s="1077"/>
      <c r="G5906" s="1077"/>
      <c r="H5906" s="1077"/>
      <c r="I5906" s="1077"/>
      <c r="J5906" s="1077"/>
      <c r="K5906" s="1077"/>
      <c r="L5906" s="1077"/>
      <c r="M5906" s="1077"/>
    </row>
    <row r="5907" spans="5:13">
      <c r="E5907" s="1077"/>
      <c r="F5907" s="1077"/>
      <c r="G5907" s="1077"/>
      <c r="H5907" s="1077"/>
      <c r="I5907" s="1077"/>
      <c r="J5907" s="1077"/>
      <c r="K5907" s="1077"/>
      <c r="L5907" s="1077"/>
      <c r="M5907" s="1077"/>
    </row>
    <row r="5908" spans="5:13">
      <c r="E5908" s="1077"/>
      <c r="F5908" s="1077"/>
      <c r="G5908" s="1077"/>
      <c r="H5908" s="1077"/>
      <c r="I5908" s="1077"/>
      <c r="J5908" s="1077"/>
      <c r="K5908" s="1077"/>
      <c r="L5908" s="1077"/>
      <c r="M5908" s="1077"/>
    </row>
    <row r="5909" spans="5:13">
      <c r="E5909" s="1077"/>
      <c r="F5909" s="1077"/>
      <c r="G5909" s="1077"/>
      <c r="H5909" s="1077"/>
      <c r="I5909" s="1077"/>
      <c r="J5909" s="1077"/>
      <c r="K5909" s="1077"/>
      <c r="L5909" s="1077"/>
      <c r="M5909" s="1077"/>
    </row>
    <row r="5910" spans="5:13">
      <c r="E5910" s="1077"/>
      <c r="F5910" s="1077"/>
      <c r="G5910" s="1077"/>
      <c r="H5910" s="1077"/>
      <c r="I5910" s="1077"/>
      <c r="J5910" s="1077"/>
      <c r="K5910" s="1077"/>
      <c r="L5910" s="1077"/>
      <c r="M5910" s="1077"/>
    </row>
    <row r="5911" spans="5:13">
      <c r="E5911" s="1077"/>
      <c r="F5911" s="1077"/>
      <c r="G5911" s="1077"/>
      <c r="H5911" s="1077"/>
      <c r="I5911" s="1077"/>
      <c r="J5911" s="1077"/>
      <c r="K5911" s="1077"/>
      <c r="L5911" s="1077"/>
      <c r="M5911" s="1077"/>
    </row>
    <row r="5912" spans="5:13">
      <c r="E5912" s="1077"/>
      <c r="F5912" s="1077"/>
      <c r="G5912" s="1077"/>
      <c r="H5912" s="1077"/>
      <c r="I5912" s="1077"/>
      <c r="J5912" s="1077"/>
      <c r="K5912" s="1077"/>
      <c r="L5912" s="1077"/>
      <c r="M5912" s="1077"/>
    </row>
    <row r="5913" spans="5:13">
      <c r="E5913" s="1077"/>
      <c r="F5913" s="1077"/>
      <c r="G5913" s="1077"/>
      <c r="H5913" s="1077"/>
      <c r="I5913" s="1077"/>
      <c r="J5913" s="1077"/>
      <c r="K5913" s="1077"/>
      <c r="L5913" s="1077"/>
      <c r="M5913" s="1077"/>
    </row>
    <row r="5914" spans="5:13">
      <c r="E5914" s="1077"/>
      <c r="F5914" s="1077"/>
      <c r="G5914" s="1077"/>
      <c r="H5914" s="1077"/>
      <c r="I5914" s="1077"/>
      <c r="J5914" s="1077"/>
      <c r="K5914" s="1077"/>
      <c r="L5914" s="1077"/>
      <c r="M5914" s="1077"/>
    </row>
    <row r="5915" spans="5:13">
      <c r="E5915" s="1077"/>
      <c r="F5915" s="1077"/>
      <c r="G5915" s="1077"/>
      <c r="H5915" s="1077"/>
      <c r="I5915" s="1077"/>
      <c r="J5915" s="1077"/>
      <c r="K5915" s="1077"/>
      <c r="L5915" s="1077"/>
      <c r="M5915" s="1077"/>
    </row>
    <row r="5916" spans="5:13">
      <c r="E5916" s="1077"/>
      <c r="F5916" s="1077"/>
      <c r="G5916" s="1077"/>
      <c r="H5916" s="1077"/>
      <c r="I5916" s="1077"/>
      <c r="J5916" s="1077"/>
      <c r="K5916" s="1077"/>
      <c r="L5916" s="1077"/>
      <c r="M5916" s="1077"/>
    </row>
    <row r="5917" spans="5:13">
      <c r="E5917" s="1077"/>
      <c r="F5917" s="1077"/>
      <c r="G5917" s="1077"/>
      <c r="H5917" s="1077"/>
      <c r="I5917" s="1077"/>
      <c r="J5917" s="1077"/>
      <c r="K5917" s="1077"/>
      <c r="L5917" s="1077"/>
      <c r="M5917" s="1077"/>
    </row>
    <row r="5918" spans="5:13">
      <c r="E5918" s="1077"/>
      <c r="F5918" s="1077"/>
      <c r="G5918" s="1077"/>
      <c r="H5918" s="1077"/>
      <c r="I5918" s="1077"/>
      <c r="J5918" s="1077"/>
      <c r="K5918" s="1077"/>
      <c r="L5918" s="1077"/>
      <c r="M5918" s="1077"/>
    </row>
    <row r="5919" spans="5:13">
      <c r="E5919" s="1077"/>
      <c r="F5919" s="1077"/>
      <c r="G5919" s="1077"/>
      <c r="H5919" s="1077"/>
      <c r="I5919" s="1077"/>
      <c r="J5919" s="1077"/>
      <c r="K5919" s="1077"/>
      <c r="L5919" s="1077"/>
      <c r="M5919" s="1077"/>
    </row>
    <row r="5920" spans="5:13">
      <c r="E5920" s="1077"/>
      <c r="F5920" s="1077"/>
      <c r="G5920" s="1077"/>
      <c r="H5920" s="1077"/>
      <c r="I5920" s="1077"/>
      <c r="J5920" s="1077"/>
      <c r="K5920" s="1077"/>
      <c r="L5920" s="1077"/>
      <c r="M5920" s="1077"/>
    </row>
    <row r="5921" spans="5:13">
      <c r="E5921" s="1077"/>
      <c r="F5921" s="1077"/>
      <c r="G5921" s="1077"/>
      <c r="H5921" s="1077"/>
      <c r="I5921" s="1077"/>
      <c r="J5921" s="1077"/>
      <c r="K5921" s="1077"/>
      <c r="L5921" s="1077"/>
      <c r="M5921" s="1077"/>
    </row>
    <row r="5922" spans="5:13">
      <c r="E5922" s="1077"/>
      <c r="F5922" s="1077"/>
      <c r="G5922" s="1077"/>
      <c r="H5922" s="1077"/>
      <c r="I5922" s="1077"/>
      <c r="J5922" s="1077"/>
      <c r="K5922" s="1077"/>
      <c r="L5922" s="1077"/>
      <c r="M5922" s="1077"/>
    </row>
    <row r="5923" spans="5:13">
      <c r="E5923" s="1077"/>
      <c r="F5923" s="1077"/>
      <c r="G5923" s="1077"/>
      <c r="H5923" s="1077"/>
      <c r="I5923" s="1077"/>
      <c r="J5923" s="1077"/>
      <c r="K5923" s="1077"/>
      <c r="L5923" s="1077"/>
      <c r="M5923" s="1077"/>
    </row>
    <row r="5924" spans="5:13">
      <c r="E5924" s="1077"/>
      <c r="F5924" s="1077"/>
      <c r="G5924" s="1077"/>
      <c r="H5924" s="1077"/>
      <c r="I5924" s="1077"/>
      <c r="J5924" s="1077"/>
      <c r="K5924" s="1077"/>
      <c r="L5924" s="1077"/>
      <c r="M5924" s="1077"/>
    </row>
    <row r="5925" spans="5:13">
      <c r="E5925" s="1077"/>
      <c r="F5925" s="1077"/>
      <c r="G5925" s="1077"/>
      <c r="H5925" s="1077"/>
      <c r="I5925" s="1077"/>
      <c r="J5925" s="1077"/>
      <c r="K5925" s="1077"/>
      <c r="L5925" s="1077"/>
      <c r="M5925" s="1077"/>
    </row>
    <row r="5926" spans="5:13">
      <c r="E5926" s="1077"/>
      <c r="F5926" s="1077"/>
      <c r="G5926" s="1077"/>
      <c r="H5926" s="1077"/>
      <c r="I5926" s="1077"/>
      <c r="J5926" s="1077"/>
      <c r="K5926" s="1077"/>
      <c r="L5926" s="1077"/>
      <c r="M5926" s="1077"/>
    </row>
    <row r="5927" spans="5:13">
      <c r="E5927" s="1077"/>
      <c r="F5927" s="1077"/>
      <c r="G5927" s="1077"/>
      <c r="H5927" s="1077"/>
      <c r="I5927" s="1077"/>
      <c r="J5927" s="1077"/>
      <c r="K5927" s="1077"/>
      <c r="L5927" s="1077"/>
      <c r="M5927" s="1077"/>
    </row>
    <row r="5928" spans="5:13">
      <c r="E5928" s="1077"/>
      <c r="F5928" s="1077"/>
      <c r="G5928" s="1077"/>
      <c r="H5928" s="1077"/>
      <c r="I5928" s="1077"/>
      <c r="J5928" s="1077"/>
      <c r="K5928" s="1077"/>
      <c r="L5928" s="1077"/>
      <c r="M5928" s="1077"/>
    </row>
    <row r="5929" spans="5:13">
      <c r="E5929" s="1077"/>
      <c r="F5929" s="1077"/>
      <c r="G5929" s="1077"/>
      <c r="H5929" s="1077"/>
      <c r="I5929" s="1077"/>
      <c r="J5929" s="1077"/>
      <c r="K5929" s="1077"/>
      <c r="L5929" s="1077"/>
      <c r="M5929" s="1077"/>
    </row>
    <row r="5930" spans="5:13">
      <c r="E5930" s="1077"/>
      <c r="F5930" s="1077"/>
      <c r="G5930" s="1077"/>
      <c r="H5930" s="1077"/>
      <c r="I5930" s="1077"/>
      <c r="J5930" s="1077"/>
      <c r="K5930" s="1077"/>
      <c r="L5930" s="1077"/>
      <c r="M5930" s="1077"/>
    </row>
    <row r="5931" spans="5:13">
      <c r="E5931" s="1077"/>
      <c r="F5931" s="1077"/>
      <c r="G5931" s="1077"/>
      <c r="H5931" s="1077"/>
      <c r="I5931" s="1077"/>
      <c r="J5931" s="1077"/>
      <c r="K5931" s="1077"/>
      <c r="L5931" s="1077"/>
      <c r="M5931" s="1077"/>
    </row>
    <row r="5932" spans="5:13">
      <c r="E5932" s="1077"/>
      <c r="F5932" s="1077"/>
      <c r="G5932" s="1077"/>
      <c r="H5932" s="1077"/>
      <c r="I5932" s="1077"/>
      <c r="J5932" s="1077"/>
      <c r="K5932" s="1077"/>
      <c r="L5932" s="1077"/>
      <c r="M5932" s="1077"/>
    </row>
    <row r="5933" spans="5:13">
      <c r="E5933" s="1077"/>
      <c r="F5933" s="1077"/>
      <c r="G5933" s="1077"/>
      <c r="H5933" s="1077"/>
      <c r="I5933" s="1077"/>
      <c r="J5933" s="1077"/>
      <c r="K5933" s="1077"/>
      <c r="L5933" s="1077"/>
      <c r="M5933" s="1077"/>
    </row>
    <row r="5934" spans="5:13">
      <c r="E5934" s="1077"/>
      <c r="F5934" s="1077"/>
      <c r="G5934" s="1077"/>
      <c r="H5934" s="1077"/>
      <c r="I5934" s="1077"/>
      <c r="J5934" s="1077"/>
      <c r="K5934" s="1077"/>
      <c r="L5934" s="1077"/>
      <c r="M5934" s="1077"/>
    </row>
    <row r="5935" spans="5:13">
      <c r="E5935" s="1077"/>
      <c r="F5935" s="1077"/>
      <c r="G5935" s="1077"/>
      <c r="H5935" s="1077"/>
      <c r="I5935" s="1077"/>
      <c r="J5935" s="1077"/>
      <c r="K5935" s="1077"/>
      <c r="L5935" s="1077"/>
      <c r="M5935" s="1077"/>
    </row>
    <row r="5936" spans="5:13">
      <c r="E5936" s="1077"/>
      <c r="F5936" s="1077"/>
      <c r="G5936" s="1077"/>
      <c r="H5936" s="1077"/>
      <c r="I5936" s="1077"/>
      <c r="J5936" s="1077"/>
      <c r="K5936" s="1077"/>
      <c r="L5936" s="1077"/>
      <c r="M5936" s="1077"/>
    </row>
    <row r="5937" spans="5:13">
      <c r="E5937" s="1077"/>
      <c r="F5937" s="1077"/>
      <c r="G5937" s="1077"/>
      <c r="H5937" s="1077"/>
      <c r="I5937" s="1077"/>
      <c r="J5937" s="1077"/>
      <c r="K5937" s="1077"/>
      <c r="L5937" s="1077"/>
      <c r="M5937" s="1077"/>
    </row>
    <row r="5938" spans="5:13">
      <c r="E5938" s="1077"/>
      <c r="F5938" s="1077"/>
      <c r="G5938" s="1077"/>
      <c r="H5938" s="1077"/>
      <c r="I5938" s="1077"/>
      <c r="J5938" s="1077"/>
      <c r="K5938" s="1077"/>
      <c r="L5938" s="1077"/>
      <c r="M5938" s="1077"/>
    </row>
    <row r="5939" spans="5:13">
      <c r="E5939" s="1077"/>
      <c r="F5939" s="1077"/>
      <c r="G5939" s="1077"/>
      <c r="H5939" s="1077"/>
      <c r="I5939" s="1077"/>
      <c r="J5939" s="1077"/>
      <c r="K5939" s="1077"/>
      <c r="L5939" s="1077"/>
      <c r="M5939" s="1077"/>
    </row>
    <row r="5940" spans="5:13">
      <c r="E5940" s="1077"/>
      <c r="F5940" s="1077"/>
      <c r="G5940" s="1077"/>
      <c r="H5940" s="1077"/>
      <c r="I5940" s="1077"/>
      <c r="J5940" s="1077"/>
      <c r="K5940" s="1077"/>
      <c r="L5940" s="1077"/>
      <c r="M5940" s="1077"/>
    </row>
    <row r="5941" spans="5:13">
      <c r="E5941" s="1077"/>
      <c r="F5941" s="1077"/>
      <c r="G5941" s="1077"/>
      <c r="H5941" s="1077"/>
      <c r="I5941" s="1077"/>
      <c r="J5941" s="1077"/>
      <c r="K5941" s="1077"/>
      <c r="L5941" s="1077"/>
      <c r="M5941" s="1077"/>
    </row>
    <row r="5942" spans="5:13">
      <c r="E5942" s="1077"/>
      <c r="F5942" s="1077"/>
      <c r="G5942" s="1077"/>
      <c r="H5942" s="1077"/>
      <c r="I5942" s="1077"/>
      <c r="J5942" s="1077"/>
      <c r="K5942" s="1077"/>
      <c r="L5942" s="1077"/>
      <c r="M5942" s="1077"/>
    </row>
    <row r="5943" spans="5:13">
      <c r="E5943" s="1077"/>
      <c r="F5943" s="1077"/>
      <c r="G5943" s="1077"/>
      <c r="H5943" s="1077"/>
      <c r="I5943" s="1077"/>
      <c r="J5943" s="1077"/>
      <c r="K5943" s="1077"/>
      <c r="L5943" s="1077"/>
      <c r="M5943" s="1077"/>
    </row>
    <row r="5944" spans="5:13">
      <c r="E5944" s="1077"/>
      <c r="F5944" s="1077"/>
      <c r="G5944" s="1077"/>
      <c r="H5944" s="1077"/>
      <c r="I5944" s="1077"/>
      <c r="J5944" s="1077"/>
      <c r="K5944" s="1077"/>
      <c r="L5944" s="1077"/>
      <c r="M5944" s="1077"/>
    </row>
    <row r="5945" spans="5:13">
      <c r="E5945" s="1077"/>
      <c r="F5945" s="1077"/>
      <c r="G5945" s="1077"/>
      <c r="H5945" s="1077"/>
      <c r="I5945" s="1077"/>
      <c r="J5945" s="1077"/>
      <c r="K5945" s="1077"/>
      <c r="L5945" s="1077"/>
      <c r="M5945" s="1077"/>
    </row>
    <row r="5946" spans="5:13">
      <c r="E5946" s="1077"/>
      <c r="F5946" s="1077"/>
      <c r="G5946" s="1077"/>
      <c r="H5946" s="1077"/>
      <c r="I5946" s="1077"/>
      <c r="J5946" s="1077"/>
      <c r="K5946" s="1077"/>
      <c r="L5946" s="1077"/>
      <c r="M5946" s="1077"/>
    </row>
    <row r="5947" spans="5:13">
      <c r="E5947" s="1077"/>
      <c r="F5947" s="1077"/>
      <c r="G5947" s="1077"/>
      <c r="H5947" s="1077"/>
      <c r="I5947" s="1077"/>
      <c r="J5947" s="1077"/>
      <c r="K5947" s="1077"/>
      <c r="L5947" s="1077"/>
      <c r="M5947" s="1077"/>
    </row>
    <row r="5948" spans="5:13">
      <c r="E5948" s="1077"/>
      <c r="F5948" s="1077"/>
      <c r="G5948" s="1077"/>
      <c r="H5948" s="1077"/>
      <c r="I5948" s="1077"/>
      <c r="J5948" s="1077"/>
      <c r="K5948" s="1077"/>
      <c r="L5948" s="1077"/>
      <c r="M5948" s="1077"/>
    </row>
    <row r="5949" spans="5:13">
      <c r="E5949" s="1077"/>
      <c r="F5949" s="1077"/>
      <c r="G5949" s="1077"/>
      <c r="H5949" s="1077"/>
      <c r="I5949" s="1077"/>
      <c r="J5949" s="1077"/>
      <c r="K5949" s="1077"/>
      <c r="L5949" s="1077"/>
      <c r="M5949" s="1077"/>
    </row>
    <row r="5950" spans="5:13">
      <c r="E5950" s="1077"/>
      <c r="F5950" s="1077"/>
      <c r="G5950" s="1077"/>
      <c r="H5950" s="1077"/>
      <c r="I5950" s="1077"/>
      <c r="J5950" s="1077"/>
      <c r="K5950" s="1077"/>
      <c r="L5950" s="1077"/>
      <c r="M5950" s="1077"/>
    </row>
    <row r="5951" spans="5:13">
      <c r="E5951" s="1077"/>
      <c r="F5951" s="1077"/>
      <c r="G5951" s="1077"/>
      <c r="H5951" s="1077"/>
      <c r="I5951" s="1077"/>
      <c r="J5951" s="1077"/>
      <c r="K5951" s="1077"/>
      <c r="L5951" s="1077"/>
      <c r="M5951" s="1077"/>
    </row>
    <row r="5952" spans="5:13">
      <c r="E5952" s="1077"/>
      <c r="F5952" s="1077"/>
      <c r="G5952" s="1077"/>
      <c r="H5952" s="1077"/>
      <c r="I5952" s="1077"/>
      <c r="J5952" s="1077"/>
      <c r="K5952" s="1077"/>
      <c r="L5952" s="1077"/>
      <c r="M5952" s="1077"/>
    </row>
    <row r="5953" spans="5:13">
      <c r="E5953" s="1077"/>
      <c r="F5953" s="1077"/>
      <c r="G5953" s="1077"/>
      <c r="H5953" s="1077"/>
      <c r="I5953" s="1077"/>
      <c r="J5953" s="1077"/>
      <c r="K5953" s="1077"/>
      <c r="L5953" s="1077"/>
      <c r="M5953" s="1077"/>
    </row>
    <row r="5954" spans="5:13">
      <c r="E5954" s="1077"/>
      <c r="F5954" s="1077"/>
      <c r="G5954" s="1077"/>
      <c r="H5954" s="1077"/>
      <c r="I5954" s="1077"/>
      <c r="J5954" s="1077"/>
      <c r="K5954" s="1077"/>
      <c r="L5954" s="1077"/>
      <c r="M5954" s="1077"/>
    </row>
    <row r="5955" spans="5:13">
      <c r="E5955" s="1077"/>
      <c r="F5955" s="1077"/>
      <c r="G5955" s="1077"/>
      <c r="H5955" s="1077"/>
      <c r="I5955" s="1077"/>
      <c r="J5955" s="1077"/>
      <c r="K5955" s="1077"/>
      <c r="L5955" s="1077"/>
      <c r="M5955" s="1077"/>
    </row>
    <row r="5956" spans="5:13">
      <c r="E5956" s="1077"/>
      <c r="F5956" s="1077"/>
      <c r="G5956" s="1077"/>
      <c r="H5956" s="1077"/>
      <c r="I5956" s="1077"/>
      <c r="J5956" s="1077"/>
      <c r="K5956" s="1077"/>
      <c r="L5956" s="1077"/>
      <c r="M5956" s="1077"/>
    </row>
    <row r="5957" spans="5:13">
      <c r="E5957" s="1077"/>
      <c r="F5957" s="1077"/>
      <c r="G5957" s="1077"/>
      <c r="H5957" s="1077"/>
      <c r="I5957" s="1077"/>
      <c r="J5957" s="1077"/>
      <c r="K5957" s="1077"/>
      <c r="L5957" s="1077"/>
      <c r="M5957" s="1077"/>
    </row>
    <row r="5958" spans="5:13">
      <c r="E5958" s="1077"/>
      <c r="F5958" s="1077"/>
      <c r="G5958" s="1077"/>
      <c r="H5958" s="1077"/>
      <c r="I5958" s="1077"/>
      <c r="J5958" s="1077"/>
      <c r="K5958" s="1077"/>
      <c r="L5958" s="1077"/>
      <c r="M5958" s="1077"/>
    </row>
    <row r="5959" spans="5:13">
      <c r="E5959" s="1077"/>
      <c r="F5959" s="1077"/>
      <c r="G5959" s="1077"/>
      <c r="H5959" s="1077"/>
      <c r="I5959" s="1077"/>
      <c r="J5959" s="1077"/>
      <c r="K5959" s="1077"/>
      <c r="L5959" s="1077"/>
      <c r="M5959" s="1077"/>
    </row>
    <row r="5960" spans="5:13">
      <c r="E5960" s="1077"/>
      <c r="F5960" s="1077"/>
      <c r="G5960" s="1077"/>
      <c r="H5960" s="1077"/>
      <c r="I5960" s="1077"/>
      <c r="J5960" s="1077"/>
      <c r="K5960" s="1077"/>
      <c r="L5960" s="1077"/>
      <c r="M5960" s="1077"/>
    </row>
    <row r="5961" spans="5:13">
      <c r="E5961" s="1077"/>
      <c r="F5961" s="1077"/>
      <c r="G5961" s="1077"/>
      <c r="H5961" s="1077"/>
      <c r="I5961" s="1077"/>
      <c r="J5961" s="1077"/>
      <c r="K5961" s="1077"/>
      <c r="L5961" s="1077"/>
      <c r="M5961" s="1077"/>
    </row>
    <row r="5962" spans="5:13">
      <c r="E5962" s="1077"/>
      <c r="F5962" s="1077"/>
      <c r="G5962" s="1077"/>
      <c r="H5962" s="1077"/>
      <c r="I5962" s="1077"/>
      <c r="J5962" s="1077"/>
      <c r="K5962" s="1077"/>
      <c r="L5962" s="1077"/>
      <c r="M5962" s="1077"/>
    </row>
    <row r="5963" spans="5:13">
      <c r="E5963" s="1077"/>
      <c r="F5963" s="1077"/>
      <c r="G5963" s="1077"/>
      <c r="H5963" s="1077"/>
      <c r="I5963" s="1077"/>
      <c r="J5963" s="1077"/>
      <c r="K5963" s="1077"/>
      <c r="L5963" s="1077"/>
      <c r="M5963" s="1077"/>
    </row>
    <row r="5964" spans="5:13">
      <c r="E5964" s="1077"/>
      <c r="F5964" s="1077"/>
      <c r="G5964" s="1077"/>
      <c r="H5964" s="1077"/>
      <c r="I5964" s="1077"/>
      <c r="J5964" s="1077"/>
      <c r="K5964" s="1077"/>
      <c r="L5964" s="1077"/>
      <c r="M5964" s="1077"/>
    </row>
    <row r="5965" spans="5:13">
      <c r="E5965" s="1077"/>
      <c r="F5965" s="1077"/>
      <c r="G5965" s="1077"/>
      <c r="H5965" s="1077"/>
      <c r="I5965" s="1077"/>
      <c r="J5965" s="1077"/>
      <c r="K5965" s="1077"/>
      <c r="L5965" s="1077"/>
      <c r="M5965" s="1077"/>
    </row>
    <row r="5966" spans="5:13">
      <c r="E5966" s="1077"/>
      <c r="F5966" s="1077"/>
      <c r="G5966" s="1077"/>
      <c r="H5966" s="1077"/>
      <c r="I5966" s="1077"/>
      <c r="J5966" s="1077"/>
      <c r="K5966" s="1077"/>
      <c r="L5966" s="1077"/>
      <c r="M5966" s="1077"/>
    </row>
    <row r="5967" spans="5:13">
      <c r="E5967" s="1077"/>
      <c r="F5967" s="1077"/>
      <c r="G5967" s="1077"/>
      <c r="H5967" s="1077"/>
      <c r="I5967" s="1077"/>
      <c r="J5967" s="1077"/>
      <c r="K5967" s="1077"/>
      <c r="L5967" s="1077"/>
      <c r="M5967" s="1077"/>
    </row>
    <row r="5968" spans="5:13">
      <c r="E5968" s="1077"/>
      <c r="F5968" s="1077"/>
      <c r="G5968" s="1077"/>
      <c r="H5968" s="1077"/>
      <c r="I5968" s="1077"/>
      <c r="J5968" s="1077"/>
      <c r="K5968" s="1077"/>
      <c r="L5968" s="1077"/>
      <c r="M5968" s="1077"/>
    </row>
    <row r="5969" spans="5:13">
      <c r="E5969" s="1077"/>
      <c r="F5969" s="1077"/>
      <c r="G5969" s="1077"/>
      <c r="H5969" s="1077"/>
      <c r="I5969" s="1077"/>
      <c r="J5969" s="1077"/>
      <c r="K5969" s="1077"/>
      <c r="L5969" s="1077"/>
      <c r="M5969" s="1077"/>
    </row>
    <row r="5970" spans="5:13">
      <c r="E5970" s="1077"/>
      <c r="F5970" s="1077"/>
      <c r="G5970" s="1077"/>
      <c r="H5970" s="1077"/>
      <c r="I5970" s="1077"/>
      <c r="J5970" s="1077"/>
      <c r="K5970" s="1077"/>
      <c r="L5970" s="1077"/>
      <c r="M5970" s="1077"/>
    </row>
    <row r="5971" spans="5:13">
      <c r="E5971" s="1077"/>
      <c r="F5971" s="1077"/>
      <c r="G5971" s="1077"/>
      <c r="H5971" s="1077"/>
      <c r="I5971" s="1077"/>
      <c r="J5971" s="1077"/>
      <c r="K5971" s="1077"/>
      <c r="L5971" s="1077"/>
      <c r="M5971" s="1077"/>
    </row>
    <row r="5972" spans="5:13">
      <c r="E5972" s="1077"/>
      <c r="F5972" s="1077"/>
      <c r="G5972" s="1077"/>
      <c r="H5972" s="1077"/>
      <c r="I5972" s="1077"/>
      <c r="J5972" s="1077"/>
      <c r="K5972" s="1077"/>
      <c r="L5972" s="1077"/>
      <c r="M5972" s="1077"/>
    </row>
    <row r="5973" spans="5:13">
      <c r="E5973" s="1077"/>
      <c r="F5973" s="1077"/>
      <c r="G5973" s="1077"/>
      <c r="H5973" s="1077"/>
      <c r="I5973" s="1077"/>
      <c r="J5973" s="1077"/>
      <c r="K5973" s="1077"/>
      <c r="L5973" s="1077"/>
      <c r="M5973" s="1077"/>
    </row>
    <row r="5974" spans="5:13">
      <c r="E5974" s="1077"/>
      <c r="F5974" s="1077"/>
      <c r="G5974" s="1077"/>
      <c r="H5974" s="1077"/>
      <c r="I5974" s="1077"/>
      <c r="J5974" s="1077"/>
      <c r="K5974" s="1077"/>
      <c r="L5974" s="1077"/>
      <c r="M5974" s="1077"/>
    </row>
    <row r="5975" spans="5:13">
      <c r="E5975" s="1077"/>
      <c r="F5975" s="1077"/>
      <c r="G5975" s="1077"/>
      <c r="H5975" s="1077"/>
      <c r="I5975" s="1077"/>
      <c r="J5975" s="1077"/>
      <c r="K5975" s="1077"/>
      <c r="L5975" s="1077"/>
      <c r="M5975" s="1077"/>
    </row>
    <row r="5976" spans="5:13">
      <c r="E5976" s="1077"/>
      <c r="F5976" s="1077"/>
      <c r="G5976" s="1077"/>
      <c r="H5976" s="1077"/>
      <c r="I5976" s="1077"/>
      <c r="J5976" s="1077"/>
      <c r="K5976" s="1077"/>
      <c r="L5976" s="1077"/>
      <c r="M5976" s="1077"/>
    </row>
    <row r="5977" spans="5:13">
      <c r="E5977" s="1077"/>
      <c r="F5977" s="1077"/>
      <c r="G5977" s="1077"/>
      <c r="H5977" s="1077"/>
      <c r="I5977" s="1077"/>
      <c r="J5977" s="1077"/>
      <c r="K5977" s="1077"/>
      <c r="L5977" s="1077"/>
      <c r="M5977" s="1077"/>
    </row>
    <row r="5978" spans="5:13">
      <c r="E5978" s="1077"/>
      <c r="F5978" s="1077"/>
      <c r="G5978" s="1077"/>
      <c r="H5978" s="1077"/>
      <c r="I5978" s="1077"/>
      <c r="J5978" s="1077"/>
      <c r="K5978" s="1077"/>
      <c r="L5978" s="1077"/>
      <c r="M5978" s="1077"/>
    </row>
    <row r="5979" spans="5:13">
      <c r="E5979" s="1077"/>
      <c r="F5979" s="1077"/>
      <c r="G5979" s="1077"/>
      <c r="H5979" s="1077"/>
      <c r="I5979" s="1077"/>
      <c r="J5979" s="1077"/>
      <c r="K5979" s="1077"/>
      <c r="L5979" s="1077"/>
      <c r="M5979" s="1077"/>
    </row>
    <row r="5980" spans="5:13">
      <c r="E5980" s="1077"/>
      <c r="F5980" s="1077"/>
      <c r="G5980" s="1077"/>
      <c r="H5980" s="1077"/>
      <c r="I5980" s="1077"/>
      <c r="J5980" s="1077"/>
      <c r="K5980" s="1077"/>
      <c r="L5980" s="1077"/>
      <c r="M5980" s="1077"/>
    </row>
    <row r="5981" spans="5:13">
      <c r="E5981" s="1077"/>
      <c r="F5981" s="1077"/>
      <c r="G5981" s="1077"/>
      <c r="H5981" s="1077"/>
      <c r="I5981" s="1077"/>
      <c r="J5981" s="1077"/>
      <c r="K5981" s="1077"/>
      <c r="L5981" s="1077"/>
      <c r="M5981" s="1077"/>
    </row>
    <row r="5982" spans="5:13">
      <c r="E5982" s="1077"/>
      <c r="F5982" s="1077"/>
      <c r="G5982" s="1077"/>
      <c r="H5982" s="1077"/>
      <c r="I5982" s="1077"/>
      <c r="J5982" s="1077"/>
      <c r="K5982" s="1077"/>
      <c r="L5982" s="1077"/>
      <c r="M5982" s="1077"/>
    </row>
    <row r="5983" spans="5:13">
      <c r="E5983" s="1077"/>
      <c r="F5983" s="1077"/>
      <c r="G5983" s="1077"/>
      <c r="H5983" s="1077"/>
      <c r="I5983" s="1077"/>
      <c r="J5983" s="1077"/>
      <c r="K5983" s="1077"/>
      <c r="L5983" s="1077"/>
      <c r="M5983" s="1077"/>
    </row>
    <row r="5984" spans="5:13">
      <c r="E5984" s="1077"/>
      <c r="F5984" s="1077"/>
      <c r="G5984" s="1077"/>
      <c r="H5984" s="1077"/>
      <c r="I5984" s="1077"/>
      <c r="J5984" s="1077"/>
      <c r="K5984" s="1077"/>
      <c r="L5984" s="1077"/>
      <c r="M5984" s="1077"/>
    </row>
    <row r="5985" spans="5:13">
      <c r="E5985" s="1077"/>
      <c r="F5985" s="1077"/>
      <c r="G5985" s="1077"/>
      <c r="H5985" s="1077"/>
      <c r="I5985" s="1077"/>
      <c r="J5985" s="1077"/>
      <c r="K5985" s="1077"/>
      <c r="L5985" s="1077"/>
      <c r="M5985" s="1077"/>
    </row>
    <row r="5986" spans="5:13">
      <c r="E5986" s="1077"/>
      <c r="F5986" s="1077"/>
      <c r="G5986" s="1077"/>
      <c r="H5986" s="1077"/>
      <c r="I5986" s="1077"/>
      <c r="J5986" s="1077"/>
      <c r="K5986" s="1077"/>
      <c r="L5986" s="1077"/>
      <c r="M5986" s="1077"/>
    </row>
    <row r="5987" spans="5:13">
      <c r="E5987" s="1077"/>
      <c r="F5987" s="1077"/>
      <c r="G5987" s="1077"/>
      <c r="H5987" s="1077"/>
      <c r="I5987" s="1077"/>
      <c r="J5987" s="1077"/>
      <c r="K5987" s="1077"/>
      <c r="L5987" s="1077"/>
      <c r="M5987" s="1077"/>
    </row>
    <row r="5988" spans="5:13">
      <c r="E5988" s="1077"/>
      <c r="F5988" s="1077"/>
      <c r="G5988" s="1077"/>
      <c r="H5988" s="1077"/>
      <c r="I5988" s="1077"/>
      <c r="J5988" s="1077"/>
      <c r="K5988" s="1077"/>
      <c r="L5988" s="1077"/>
      <c r="M5988" s="1077"/>
    </row>
    <row r="5989" spans="5:13">
      <c r="E5989" s="1077"/>
      <c r="F5989" s="1077"/>
      <c r="G5989" s="1077"/>
      <c r="H5989" s="1077"/>
      <c r="I5989" s="1077"/>
      <c r="J5989" s="1077"/>
      <c r="K5989" s="1077"/>
      <c r="L5989" s="1077"/>
      <c r="M5989" s="1077"/>
    </row>
    <row r="5990" spans="5:13">
      <c r="E5990" s="1077"/>
      <c r="F5990" s="1077"/>
      <c r="G5990" s="1077"/>
      <c r="H5990" s="1077"/>
      <c r="I5990" s="1077"/>
      <c r="J5990" s="1077"/>
      <c r="K5990" s="1077"/>
      <c r="L5990" s="1077"/>
      <c r="M5990" s="1077"/>
    </row>
    <row r="5991" spans="5:13">
      <c r="E5991" s="1077"/>
      <c r="F5991" s="1077"/>
      <c r="G5991" s="1077"/>
      <c r="H5991" s="1077"/>
      <c r="I5991" s="1077"/>
      <c r="J5991" s="1077"/>
      <c r="K5991" s="1077"/>
      <c r="L5991" s="1077"/>
      <c r="M5991" s="1077"/>
    </row>
    <row r="5992" spans="5:13">
      <c r="E5992" s="1077"/>
      <c r="F5992" s="1077"/>
      <c r="G5992" s="1077"/>
      <c r="H5992" s="1077"/>
      <c r="I5992" s="1077"/>
      <c r="J5992" s="1077"/>
      <c r="K5992" s="1077"/>
      <c r="L5992" s="1077"/>
      <c r="M5992" s="1077"/>
    </row>
    <row r="5993" spans="5:13">
      <c r="E5993" s="1077"/>
      <c r="F5993" s="1077"/>
      <c r="G5993" s="1077"/>
      <c r="H5993" s="1077"/>
      <c r="I5993" s="1077"/>
      <c r="J5993" s="1077"/>
      <c r="K5993" s="1077"/>
      <c r="L5993" s="1077"/>
      <c r="M5993" s="1077"/>
    </row>
    <row r="5994" spans="5:13">
      <c r="E5994" s="1077"/>
      <c r="F5994" s="1077"/>
      <c r="G5994" s="1077"/>
      <c r="H5994" s="1077"/>
      <c r="I5994" s="1077"/>
      <c r="J5994" s="1077"/>
      <c r="K5994" s="1077"/>
      <c r="L5994" s="1077"/>
      <c r="M5994" s="1077"/>
    </row>
    <row r="5995" spans="5:13">
      <c r="E5995" s="1077"/>
      <c r="F5995" s="1077"/>
      <c r="G5995" s="1077"/>
      <c r="H5995" s="1077"/>
      <c r="I5995" s="1077"/>
      <c r="J5995" s="1077"/>
      <c r="K5995" s="1077"/>
      <c r="L5995" s="1077"/>
      <c r="M5995" s="1077"/>
    </row>
    <row r="5996" spans="5:13">
      <c r="E5996" s="1077"/>
      <c r="F5996" s="1077"/>
      <c r="G5996" s="1077"/>
      <c r="H5996" s="1077"/>
      <c r="I5996" s="1077"/>
      <c r="J5996" s="1077"/>
      <c r="K5996" s="1077"/>
      <c r="L5996" s="1077"/>
      <c r="M5996" s="1077"/>
    </row>
    <row r="5997" spans="5:13">
      <c r="E5997" s="1077"/>
      <c r="F5997" s="1077"/>
      <c r="G5997" s="1077"/>
      <c r="H5997" s="1077"/>
      <c r="I5997" s="1077"/>
      <c r="J5997" s="1077"/>
      <c r="K5997" s="1077"/>
      <c r="L5997" s="1077"/>
      <c r="M5997" s="1077"/>
    </row>
    <row r="5998" spans="5:13">
      <c r="E5998" s="1077"/>
      <c r="F5998" s="1077"/>
      <c r="G5998" s="1077"/>
      <c r="H5998" s="1077"/>
      <c r="I5998" s="1077"/>
      <c r="J5998" s="1077"/>
      <c r="K5998" s="1077"/>
      <c r="L5998" s="1077"/>
      <c r="M5998" s="1077"/>
    </row>
    <row r="5999" spans="5:13">
      <c r="E5999" s="1077"/>
      <c r="F5999" s="1077"/>
      <c r="G5999" s="1077"/>
      <c r="H5999" s="1077"/>
      <c r="I5999" s="1077"/>
      <c r="J5999" s="1077"/>
      <c r="K5999" s="1077"/>
      <c r="L5999" s="1077"/>
      <c r="M5999" s="1077"/>
    </row>
    <row r="6000" spans="5:13">
      <c r="E6000" s="1077"/>
      <c r="F6000" s="1077"/>
      <c r="G6000" s="1077"/>
      <c r="H6000" s="1077"/>
      <c r="I6000" s="1077"/>
      <c r="J6000" s="1077"/>
      <c r="K6000" s="1077"/>
      <c r="L6000" s="1077"/>
      <c r="M6000" s="1077"/>
    </row>
    <row r="6001" spans="5:13">
      <c r="E6001" s="1077"/>
      <c r="F6001" s="1077"/>
      <c r="G6001" s="1077"/>
      <c r="H6001" s="1077"/>
      <c r="I6001" s="1077"/>
      <c r="J6001" s="1077"/>
      <c r="K6001" s="1077"/>
      <c r="L6001" s="1077"/>
      <c r="M6001" s="1077"/>
    </row>
    <row r="6002" spans="5:13">
      <c r="E6002" s="1077"/>
      <c r="F6002" s="1077"/>
      <c r="G6002" s="1077"/>
      <c r="H6002" s="1077"/>
      <c r="I6002" s="1077"/>
      <c r="J6002" s="1077"/>
      <c r="K6002" s="1077"/>
      <c r="L6002" s="1077"/>
      <c r="M6002" s="1077"/>
    </row>
    <row r="6003" spans="5:13">
      <c r="E6003" s="1077"/>
      <c r="F6003" s="1077"/>
      <c r="G6003" s="1077"/>
      <c r="H6003" s="1077"/>
      <c r="I6003" s="1077"/>
      <c r="J6003" s="1077"/>
      <c r="K6003" s="1077"/>
      <c r="L6003" s="1077"/>
      <c r="M6003" s="1077"/>
    </row>
    <row r="6004" spans="5:13">
      <c r="E6004" s="1077"/>
      <c r="F6004" s="1077"/>
      <c r="G6004" s="1077"/>
      <c r="H6004" s="1077"/>
      <c r="I6004" s="1077"/>
      <c r="J6004" s="1077"/>
      <c r="K6004" s="1077"/>
      <c r="L6004" s="1077"/>
      <c r="M6004" s="1077"/>
    </row>
    <row r="6005" spans="5:13">
      <c r="E6005" s="1077"/>
      <c r="F6005" s="1077"/>
      <c r="G6005" s="1077"/>
      <c r="H6005" s="1077"/>
      <c r="I6005" s="1077"/>
      <c r="J6005" s="1077"/>
      <c r="K6005" s="1077"/>
      <c r="L6005" s="1077"/>
      <c r="M6005" s="1077"/>
    </row>
    <row r="6006" spans="5:13">
      <c r="E6006" s="1077"/>
      <c r="F6006" s="1077"/>
      <c r="G6006" s="1077"/>
      <c r="H6006" s="1077"/>
      <c r="I6006" s="1077"/>
      <c r="J6006" s="1077"/>
      <c r="K6006" s="1077"/>
      <c r="L6006" s="1077"/>
      <c r="M6006" s="1077"/>
    </row>
    <row r="6007" spans="5:13">
      <c r="E6007" s="1077"/>
      <c r="F6007" s="1077"/>
      <c r="G6007" s="1077"/>
      <c r="H6007" s="1077"/>
      <c r="I6007" s="1077"/>
      <c r="J6007" s="1077"/>
      <c r="K6007" s="1077"/>
      <c r="L6007" s="1077"/>
      <c r="M6007" s="1077"/>
    </row>
    <row r="6008" spans="5:13">
      <c r="E6008" s="1077"/>
      <c r="F6008" s="1077"/>
      <c r="G6008" s="1077"/>
      <c r="H6008" s="1077"/>
      <c r="I6008" s="1077"/>
      <c r="J6008" s="1077"/>
      <c r="K6008" s="1077"/>
      <c r="L6008" s="1077"/>
      <c r="M6008" s="1077"/>
    </row>
    <row r="6009" spans="5:13">
      <c r="E6009" s="1077"/>
      <c r="F6009" s="1077"/>
      <c r="G6009" s="1077"/>
      <c r="H6009" s="1077"/>
      <c r="I6009" s="1077"/>
      <c r="J6009" s="1077"/>
      <c r="K6009" s="1077"/>
      <c r="L6009" s="1077"/>
      <c r="M6009" s="1077"/>
    </row>
    <row r="6010" spans="5:13">
      <c r="E6010" s="1077"/>
      <c r="F6010" s="1077"/>
      <c r="G6010" s="1077"/>
      <c r="H6010" s="1077"/>
      <c r="I6010" s="1077"/>
      <c r="J6010" s="1077"/>
      <c r="K6010" s="1077"/>
      <c r="L6010" s="1077"/>
      <c r="M6010" s="1077"/>
    </row>
    <row r="6011" spans="5:13">
      <c r="E6011" s="1077"/>
      <c r="F6011" s="1077"/>
      <c r="G6011" s="1077"/>
      <c r="H6011" s="1077"/>
      <c r="I6011" s="1077"/>
      <c r="J6011" s="1077"/>
      <c r="K6011" s="1077"/>
      <c r="L6011" s="1077"/>
      <c r="M6011" s="1077"/>
    </row>
    <row r="6012" spans="5:13">
      <c r="E6012" s="1077"/>
      <c r="F6012" s="1077"/>
      <c r="G6012" s="1077"/>
      <c r="H6012" s="1077"/>
      <c r="I6012" s="1077"/>
      <c r="J6012" s="1077"/>
      <c r="K6012" s="1077"/>
      <c r="L6012" s="1077"/>
      <c r="M6012" s="1077"/>
    </row>
    <row r="6013" spans="5:13">
      <c r="E6013" s="1077"/>
      <c r="F6013" s="1077"/>
      <c r="G6013" s="1077"/>
      <c r="H6013" s="1077"/>
      <c r="I6013" s="1077"/>
      <c r="J6013" s="1077"/>
      <c r="K6013" s="1077"/>
      <c r="L6013" s="1077"/>
      <c r="M6013" s="1077"/>
    </row>
    <row r="6014" spans="5:13">
      <c r="E6014" s="1077"/>
      <c r="F6014" s="1077"/>
      <c r="G6014" s="1077"/>
      <c r="H6014" s="1077"/>
      <c r="I6014" s="1077"/>
      <c r="J6014" s="1077"/>
      <c r="K6014" s="1077"/>
      <c r="L6014" s="1077"/>
      <c r="M6014" s="1077"/>
    </row>
    <row r="6015" spans="5:13">
      <c r="E6015" s="1077"/>
      <c r="F6015" s="1077"/>
      <c r="G6015" s="1077"/>
      <c r="H6015" s="1077"/>
      <c r="I6015" s="1077"/>
      <c r="J6015" s="1077"/>
      <c r="K6015" s="1077"/>
      <c r="L6015" s="1077"/>
      <c r="M6015" s="1077"/>
    </row>
    <row r="6016" spans="5:13">
      <c r="E6016" s="1077"/>
      <c r="F6016" s="1077"/>
      <c r="G6016" s="1077"/>
      <c r="H6016" s="1077"/>
      <c r="I6016" s="1077"/>
      <c r="J6016" s="1077"/>
      <c r="K6016" s="1077"/>
      <c r="L6016" s="1077"/>
      <c r="M6016" s="1077"/>
    </row>
    <row r="6017" spans="5:13">
      <c r="E6017" s="1077"/>
      <c r="F6017" s="1077"/>
      <c r="G6017" s="1077"/>
      <c r="H6017" s="1077"/>
      <c r="I6017" s="1077"/>
      <c r="J6017" s="1077"/>
      <c r="K6017" s="1077"/>
      <c r="L6017" s="1077"/>
      <c r="M6017" s="1077"/>
    </row>
    <row r="6018" spans="5:13">
      <c r="E6018" s="1077"/>
      <c r="F6018" s="1077"/>
      <c r="G6018" s="1077"/>
      <c r="H6018" s="1077"/>
      <c r="I6018" s="1077"/>
      <c r="J6018" s="1077"/>
      <c r="K6018" s="1077"/>
      <c r="L6018" s="1077"/>
      <c r="M6018" s="1077"/>
    </row>
    <row r="6019" spans="5:13">
      <c r="E6019" s="1077"/>
      <c r="F6019" s="1077"/>
      <c r="G6019" s="1077"/>
      <c r="H6019" s="1077"/>
      <c r="I6019" s="1077"/>
      <c r="J6019" s="1077"/>
      <c r="K6019" s="1077"/>
      <c r="L6019" s="1077"/>
      <c r="M6019" s="1077"/>
    </row>
    <row r="6020" spans="5:13">
      <c r="E6020" s="1077"/>
      <c r="F6020" s="1077"/>
      <c r="G6020" s="1077"/>
      <c r="H6020" s="1077"/>
      <c r="I6020" s="1077"/>
      <c r="J6020" s="1077"/>
      <c r="K6020" s="1077"/>
      <c r="L6020" s="1077"/>
      <c r="M6020" s="1077"/>
    </row>
    <row r="6021" spans="5:13">
      <c r="E6021" s="1077"/>
      <c r="F6021" s="1077"/>
      <c r="G6021" s="1077"/>
      <c r="H6021" s="1077"/>
      <c r="I6021" s="1077"/>
      <c r="J6021" s="1077"/>
      <c r="K6021" s="1077"/>
      <c r="L6021" s="1077"/>
      <c r="M6021" s="1077"/>
    </row>
    <row r="6022" spans="5:13">
      <c r="E6022" s="1077"/>
      <c r="F6022" s="1077"/>
      <c r="G6022" s="1077"/>
      <c r="H6022" s="1077"/>
      <c r="I6022" s="1077"/>
      <c r="J6022" s="1077"/>
      <c r="K6022" s="1077"/>
      <c r="L6022" s="1077"/>
      <c r="M6022" s="1077"/>
    </row>
    <row r="6023" spans="5:13">
      <c r="E6023" s="1077"/>
      <c r="F6023" s="1077"/>
      <c r="G6023" s="1077"/>
      <c r="H6023" s="1077"/>
      <c r="I6023" s="1077"/>
      <c r="J6023" s="1077"/>
      <c r="K6023" s="1077"/>
      <c r="L6023" s="1077"/>
      <c r="M6023" s="1077"/>
    </row>
    <row r="6024" spans="5:13">
      <c r="E6024" s="1077"/>
      <c r="F6024" s="1077"/>
      <c r="G6024" s="1077"/>
      <c r="H6024" s="1077"/>
      <c r="I6024" s="1077"/>
      <c r="J6024" s="1077"/>
      <c r="K6024" s="1077"/>
      <c r="L6024" s="1077"/>
      <c r="M6024" s="1077"/>
    </row>
    <row r="6025" spans="5:13">
      <c r="E6025" s="1077"/>
      <c r="F6025" s="1077"/>
      <c r="G6025" s="1077"/>
      <c r="H6025" s="1077"/>
      <c r="I6025" s="1077"/>
      <c r="J6025" s="1077"/>
      <c r="K6025" s="1077"/>
      <c r="L6025" s="1077"/>
      <c r="M6025" s="1077"/>
    </row>
    <row r="6026" spans="5:13">
      <c r="E6026" s="1077"/>
      <c r="F6026" s="1077"/>
      <c r="G6026" s="1077"/>
      <c r="H6026" s="1077"/>
      <c r="I6026" s="1077"/>
      <c r="J6026" s="1077"/>
      <c r="K6026" s="1077"/>
      <c r="L6026" s="1077"/>
      <c r="M6026" s="1077"/>
    </row>
    <row r="6027" spans="5:13">
      <c r="E6027" s="1077"/>
      <c r="F6027" s="1077"/>
      <c r="G6027" s="1077"/>
      <c r="H6027" s="1077"/>
      <c r="I6027" s="1077"/>
      <c r="J6027" s="1077"/>
      <c r="K6027" s="1077"/>
      <c r="L6027" s="1077"/>
      <c r="M6027" s="1077"/>
    </row>
    <row r="6028" spans="5:13">
      <c r="E6028" s="1077"/>
      <c r="F6028" s="1077"/>
      <c r="G6028" s="1077"/>
      <c r="H6028" s="1077"/>
      <c r="I6028" s="1077"/>
      <c r="J6028" s="1077"/>
      <c r="K6028" s="1077"/>
      <c r="L6028" s="1077"/>
      <c r="M6028" s="1077"/>
    </row>
    <row r="6029" spans="5:13">
      <c r="E6029" s="1077"/>
      <c r="F6029" s="1077"/>
      <c r="G6029" s="1077"/>
      <c r="H6029" s="1077"/>
      <c r="I6029" s="1077"/>
      <c r="J6029" s="1077"/>
      <c r="K6029" s="1077"/>
      <c r="L6029" s="1077"/>
      <c r="M6029" s="1077"/>
    </row>
    <row r="6030" spans="5:13">
      <c r="E6030" s="1077"/>
      <c r="F6030" s="1077"/>
      <c r="G6030" s="1077"/>
      <c r="H6030" s="1077"/>
      <c r="I6030" s="1077"/>
      <c r="J6030" s="1077"/>
      <c r="K6030" s="1077"/>
      <c r="L6030" s="1077"/>
      <c r="M6030" s="1077"/>
    </row>
    <row r="6031" spans="5:13">
      <c r="E6031" s="1077"/>
      <c r="F6031" s="1077"/>
      <c r="G6031" s="1077"/>
      <c r="H6031" s="1077"/>
      <c r="I6031" s="1077"/>
      <c r="J6031" s="1077"/>
      <c r="K6031" s="1077"/>
      <c r="L6031" s="1077"/>
      <c r="M6031" s="1077"/>
    </row>
    <row r="6032" spans="5:13">
      <c r="E6032" s="1077"/>
      <c r="F6032" s="1077"/>
      <c r="G6032" s="1077"/>
      <c r="H6032" s="1077"/>
      <c r="I6032" s="1077"/>
      <c r="J6032" s="1077"/>
      <c r="K6032" s="1077"/>
      <c r="L6032" s="1077"/>
      <c r="M6032" s="1077"/>
    </row>
    <row r="6033" spans="5:13">
      <c r="E6033" s="1077"/>
      <c r="F6033" s="1077"/>
      <c r="G6033" s="1077"/>
      <c r="H6033" s="1077"/>
      <c r="I6033" s="1077"/>
      <c r="J6033" s="1077"/>
      <c r="K6033" s="1077"/>
      <c r="L6033" s="1077"/>
      <c r="M6033" s="1077"/>
    </row>
    <row r="6034" spans="5:13">
      <c r="E6034" s="1077"/>
      <c r="F6034" s="1077"/>
      <c r="G6034" s="1077"/>
      <c r="H6034" s="1077"/>
      <c r="I6034" s="1077"/>
      <c r="J6034" s="1077"/>
      <c r="K6034" s="1077"/>
      <c r="L6034" s="1077"/>
      <c r="M6034" s="1077"/>
    </row>
    <row r="6035" spans="5:13">
      <c r="E6035" s="1077"/>
      <c r="F6035" s="1077"/>
      <c r="G6035" s="1077"/>
      <c r="H6035" s="1077"/>
      <c r="I6035" s="1077"/>
      <c r="J6035" s="1077"/>
      <c r="K6035" s="1077"/>
      <c r="L6035" s="1077"/>
      <c r="M6035" s="1077"/>
    </row>
    <row r="6036" spans="5:13">
      <c r="E6036" s="1077"/>
      <c r="F6036" s="1077"/>
      <c r="G6036" s="1077"/>
      <c r="H6036" s="1077"/>
      <c r="I6036" s="1077"/>
      <c r="J6036" s="1077"/>
      <c r="K6036" s="1077"/>
      <c r="L6036" s="1077"/>
      <c r="M6036" s="1077"/>
    </row>
    <row r="6037" spans="5:13">
      <c r="E6037" s="1077"/>
      <c r="F6037" s="1077"/>
      <c r="G6037" s="1077"/>
      <c r="H6037" s="1077"/>
      <c r="I6037" s="1077"/>
      <c r="J6037" s="1077"/>
      <c r="K6037" s="1077"/>
      <c r="L6037" s="1077"/>
      <c r="M6037" s="1077"/>
    </row>
    <row r="6038" spans="5:13">
      <c r="E6038" s="1077"/>
      <c r="F6038" s="1077"/>
      <c r="G6038" s="1077"/>
      <c r="H6038" s="1077"/>
      <c r="I6038" s="1077"/>
      <c r="J6038" s="1077"/>
      <c r="K6038" s="1077"/>
      <c r="L6038" s="1077"/>
      <c r="M6038" s="1077"/>
    </row>
    <row r="6039" spans="5:13">
      <c r="E6039" s="1077"/>
      <c r="F6039" s="1077"/>
      <c r="G6039" s="1077"/>
      <c r="H6039" s="1077"/>
      <c r="I6039" s="1077"/>
      <c r="J6039" s="1077"/>
      <c r="K6039" s="1077"/>
      <c r="L6039" s="1077"/>
      <c r="M6039" s="1077"/>
    </row>
    <row r="6040" spans="5:13">
      <c r="E6040" s="1077"/>
      <c r="F6040" s="1077"/>
      <c r="G6040" s="1077"/>
      <c r="H6040" s="1077"/>
      <c r="I6040" s="1077"/>
      <c r="J6040" s="1077"/>
      <c r="K6040" s="1077"/>
      <c r="L6040" s="1077"/>
      <c r="M6040" s="1077"/>
    </row>
    <row r="6041" spans="5:13">
      <c r="E6041" s="1077"/>
      <c r="F6041" s="1077"/>
      <c r="G6041" s="1077"/>
      <c r="H6041" s="1077"/>
      <c r="I6041" s="1077"/>
      <c r="J6041" s="1077"/>
      <c r="K6041" s="1077"/>
      <c r="L6041" s="1077"/>
      <c r="M6041" s="1077"/>
    </row>
    <row r="6042" spans="5:13">
      <c r="E6042" s="1077"/>
      <c r="F6042" s="1077"/>
      <c r="G6042" s="1077"/>
      <c r="H6042" s="1077"/>
      <c r="I6042" s="1077"/>
      <c r="J6042" s="1077"/>
      <c r="K6042" s="1077"/>
      <c r="L6042" s="1077"/>
      <c r="M6042" s="1077"/>
    </row>
    <row r="6043" spans="5:13">
      <c r="E6043" s="1077"/>
      <c r="F6043" s="1077"/>
      <c r="G6043" s="1077"/>
      <c r="H6043" s="1077"/>
      <c r="I6043" s="1077"/>
      <c r="J6043" s="1077"/>
      <c r="K6043" s="1077"/>
      <c r="L6043" s="1077"/>
      <c r="M6043" s="1077"/>
    </row>
    <row r="6044" spans="5:13">
      <c r="E6044" s="1077"/>
      <c r="F6044" s="1077"/>
      <c r="G6044" s="1077"/>
      <c r="H6044" s="1077"/>
      <c r="I6044" s="1077"/>
      <c r="J6044" s="1077"/>
      <c r="K6044" s="1077"/>
      <c r="L6044" s="1077"/>
      <c r="M6044" s="1077"/>
    </row>
    <row r="6045" spans="5:13">
      <c r="E6045" s="1077"/>
      <c r="F6045" s="1077"/>
      <c r="G6045" s="1077"/>
      <c r="H6045" s="1077"/>
      <c r="I6045" s="1077"/>
      <c r="J6045" s="1077"/>
      <c r="K6045" s="1077"/>
      <c r="L6045" s="1077"/>
      <c r="M6045" s="1077"/>
    </row>
    <row r="6046" spans="5:13">
      <c r="E6046" s="1077"/>
      <c r="F6046" s="1077"/>
      <c r="G6046" s="1077"/>
      <c r="H6046" s="1077"/>
      <c r="I6046" s="1077"/>
      <c r="J6046" s="1077"/>
      <c r="K6046" s="1077"/>
      <c r="L6046" s="1077"/>
      <c r="M6046" s="1077"/>
    </row>
    <row r="6047" spans="5:13">
      <c r="E6047" s="1077"/>
      <c r="F6047" s="1077"/>
      <c r="G6047" s="1077"/>
      <c r="H6047" s="1077"/>
      <c r="I6047" s="1077"/>
      <c r="J6047" s="1077"/>
      <c r="K6047" s="1077"/>
      <c r="L6047" s="1077"/>
      <c r="M6047" s="1077"/>
    </row>
    <row r="6048" spans="5:13">
      <c r="E6048" s="1077"/>
      <c r="F6048" s="1077"/>
      <c r="G6048" s="1077"/>
      <c r="H6048" s="1077"/>
      <c r="I6048" s="1077"/>
      <c r="J6048" s="1077"/>
      <c r="K6048" s="1077"/>
      <c r="L6048" s="1077"/>
      <c r="M6048" s="1077"/>
    </row>
    <row r="6049" spans="5:13">
      <c r="E6049" s="1077"/>
      <c r="F6049" s="1077"/>
      <c r="G6049" s="1077"/>
      <c r="H6049" s="1077"/>
      <c r="I6049" s="1077"/>
      <c r="J6049" s="1077"/>
      <c r="K6049" s="1077"/>
      <c r="L6049" s="1077"/>
      <c r="M6049" s="1077"/>
    </row>
    <row r="6050" spans="5:13">
      <c r="E6050" s="1077"/>
      <c r="F6050" s="1077"/>
      <c r="G6050" s="1077"/>
      <c r="H6050" s="1077"/>
      <c r="I6050" s="1077"/>
      <c r="J6050" s="1077"/>
      <c r="K6050" s="1077"/>
      <c r="L6050" s="1077"/>
      <c r="M6050" s="1077"/>
    </row>
    <row r="6051" spans="5:13">
      <c r="E6051" s="1077"/>
      <c r="F6051" s="1077"/>
      <c r="G6051" s="1077"/>
      <c r="H6051" s="1077"/>
      <c r="I6051" s="1077"/>
      <c r="J6051" s="1077"/>
      <c r="K6051" s="1077"/>
      <c r="L6051" s="1077"/>
      <c r="M6051" s="1077"/>
    </row>
    <row r="6052" spans="5:13">
      <c r="E6052" s="1077"/>
      <c r="F6052" s="1077"/>
      <c r="G6052" s="1077"/>
      <c r="H6052" s="1077"/>
      <c r="I6052" s="1077"/>
      <c r="J6052" s="1077"/>
      <c r="K6052" s="1077"/>
      <c r="L6052" s="1077"/>
      <c r="M6052" s="1077"/>
    </row>
    <row r="6053" spans="5:13">
      <c r="E6053" s="1077"/>
      <c r="F6053" s="1077"/>
      <c r="G6053" s="1077"/>
      <c r="H6053" s="1077"/>
      <c r="I6053" s="1077"/>
      <c r="J6053" s="1077"/>
      <c r="K6053" s="1077"/>
      <c r="L6053" s="1077"/>
      <c r="M6053" s="1077"/>
    </row>
    <row r="6054" spans="5:13">
      <c r="E6054" s="1077"/>
      <c r="F6054" s="1077"/>
      <c r="G6054" s="1077"/>
      <c r="H6054" s="1077"/>
      <c r="I6054" s="1077"/>
      <c r="J6054" s="1077"/>
      <c r="K6054" s="1077"/>
      <c r="L6054" s="1077"/>
      <c r="M6054" s="1077"/>
    </row>
    <row r="6055" spans="5:13">
      <c r="E6055" s="1077"/>
      <c r="F6055" s="1077"/>
      <c r="G6055" s="1077"/>
      <c r="H6055" s="1077"/>
      <c r="I6055" s="1077"/>
      <c r="J6055" s="1077"/>
      <c r="K6055" s="1077"/>
      <c r="L6055" s="1077"/>
      <c r="M6055" s="1077"/>
    </row>
    <row r="6056" spans="5:13">
      <c r="E6056" s="1077"/>
      <c r="F6056" s="1077"/>
      <c r="G6056" s="1077"/>
      <c r="H6056" s="1077"/>
      <c r="I6056" s="1077"/>
      <c r="J6056" s="1077"/>
      <c r="K6056" s="1077"/>
      <c r="L6056" s="1077"/>
      <c r="M6056" s="1077"/>
    </row>
    <row r="6057" spans="5:13">
      <c r="E6057" s="1077"/>
      <c r="F6057" s="1077"/>
      <c r="G6057" s="1077"/>
      <c r="H6057" s="1077"/>
      <c r="I6057" s="1077"/>
      <c r="J6057" s="1077"/>
      <c r="K6057" s="1077"/>
      <c r="L6057" s="1077"/>
      <c r="M6057" s="1077"/>
    </row>
    <row r="6058" spans="5:13">
      <c r="E6058" s="1077"/>
      <c r="F6058" s="1077"/>
      <c r="G6058" s="1077"/>
      <c r="H6058" s="1077"/>
      <c r="I6058" s="1077"/>
      <c r="J6058" s="1077"/>
      <c r="K6058" s="1077"/>
      <c r="L6058" s="1077"/>
      <c r="M6058" s="1077"/>
    </row>
    <row r="6059" spans="5:13">
      <c r="E6059" s="1077"/>
      <c r="F6059" s="1077"/>
      <c r="G6059" s="1077"/>
      <c r="H6059" s="1077"/>
      <c r="I6059" s="1077"/>
      <c r="J6059" s="1077"/>
      <c r="K6059" s="1077"/>
      <c r="L6059" s="1077"/>
      <c r="M6059" s="1077"/>
    </row>
    <row r="6060" spans="5:13">
      <c r="E6060" s="1077"/>
      <c r="F6060" s="1077"/>
      <c r="G6060" s="1077"/>
      <c r="H6060" s="1077"/>
      <c r="I6060" s="1077"/>
      <c r="J6060" s="1077"/>
      <c r="K6060" s="1077"/>
      <c r="L6060" s="1077"/>
      <c r="M6060" s="1077"/>
    </row>
    <row r="6061" spans="5:13">
      <c r="E6061" s="1077"/>
      <c r="F6061" s="1077"/>
      <c r="G6061" s="1077"/>
      <c r="H6061" s="1077"/>
      <c r="I6061" s="1077"/>
      <c r="J6061" s="1077"/>
      <c r="K6061" s="1077"/>
      <c r="L6061" s="1077"/>
      <c r="M6061" s="1077"/>
    </row>
    <row r="6062" spans="5:13">
      <c r="E6062" s="1077"/>
      <c r="F6062" s="1077"/>
      <c r="G6062" s="1077"/>
      <c r="H6062" s="1077"/>
      <c r="I6062" s="1077"/>
      <c r="J6062" s="1077"/>
      <c r="K6062" s="1077"/>
      <c r="L6062" s="1077"/>
      <c r="M6062" s="1077"/>
    </row>
    <row r="6063" spans="5:13">
      <c r="E6063" s="1077"/>
      <c r="F6063" s="1077"/>
      <c r="G6063" s="1077"/>
      <c r="H6063" s="1077"/>
      <c r="I6063" s="1077"/>
      <c r="J6063" s="1077"/>
      <c r="K6063" s="1077"/>
      <c r="L6063" s="1077"/>
      <c r="M6063" s="1077"/>
    </row>
    <row r="6064" spans="5:13">
      <c r="E6064" s="1077"/>
      <c r="F6064" s="1077"/>
      <c r="G6064" s="1077"/>
      <c r="H6064" s="1077"/>
      <c r="I6064" s="1077"/>
      <c r="J6064" s="1077"/>
      <c r="K6064" s="1077"/>
      <c r="L6064" s="1077"/>
      <c r="M6064" s="1077"/>
    </row>
    <row r="6065" spans="5:13">
      <c r="E6065" s="1077"/>
      <c r="F6065" s="1077"/>
      <c r="G6065" s="1077"/>
      <c r="H6065" s="1077"/>
      <c r="I6065" s="1077"/>
      <c r="J6065" s="1077"/>
      <c r="K6065" s="1077"/>
      <c r="L6065" s="1077"/>
      <c r="M6065" s="1077"/>
    </row>
    <row r="6066" spans="5:13">
      <c r="E6066" s="1077"/>
      <c r="F6066" s="1077"/>
      <c r="G6066" s="1077"/>
      <c r="H6066" s="1077"/>
      <c r="I6066" s="1077"/>
      <c r="J6066" s="1077"/>
      <c r="K6066" s="1077"/>
      <c r="L6066" s="1077"/>
      <c r="M6066" s="1077"/>
    </row>
    <row r="6067" spans="5:13">
      <c r="E6067" s="1077"/>
      <c r="F6067" s="1077"/>
      <c r="G6067" s="1077"/>
      <c r="H6067" s="1077"/>
      <c r="I6067" s="1077"/>
      <c r="J6067" s="1077"/>
      <c r="K6067" s="1077"/>
      <c r="L6067" s="1077"/>
      <c r="M6067" s="1077"/>
    </row>
    <row r="6068" spans="5:13">
      <c r="E6068" s="1077"/>
      <c r="F6068" s="1077"/>
      <c r="G6068" s="1077"/>
      <c r="H6068" s="1077"/>
      <c r="I6068" s="1077"/>
      <c r="J6068" s="1077"/>
      <c r="K6068" s="1077"/>
      <c r="L6068" s="1077"/>
      <c r="M6068" s="1077"/>
    </row>
    <row r="6069" spans="5:13">
      <c r="E6069" s="1077"/>
      <c r="F6069" s="1077"/>
      <c r="G6069" s="1077"/>
      <c r="H6069" s="1077"/>
      <c r="I6069" s="1077"/>
      <c r="J6069" s="1077"/>
      <c r="K6069" s="1077"/>
      <c r="L6069" s="1077"/>
      <c r="M6069" s="1077"/>
    </row>
    <row r="6070" spans="5:13">
      <c r="E6070" s="1077"/>
      <c r="F6070" s="1077"/>
      <c r="G6070" s="1077"/>
      <c r="H6070" s="1077"/>
      <c r="I6070" s="1077"/>
      <c r="J6070" s="1077"/>
      <c r="K6070" s="1077"/>
      <c r="L6070" s="1077"/>
      <c r="M6070" s="1077"/>
    </row>
    <row r="6071" spans="5:13">
      <c r="E6071" s="1077"/>
      <c r="F6071" s="1077"/>
      <c r="G6071" s="1077"/>
      <c r="H6071" s="1077"/>
      <c r="I6071" s="1077"/>
      <c r="J6071" s="1077"/>
      <c r="K6071" s="1077"/>
      <c r="L6071" s="1077"/>
      <c r="M6071" s="1077"/>
    </row>
    <row r="6072" spans="5:13">
      <c r="E6072" s="1077"/>
      <c r="F6072" s="1077"/>
      <c r="G6072" s="1077"/>
      <c r="H6072" s="1077"/>
      <c r="I6072" s="1077"/>
      <c r="J6072" s="1077"/>
      <c r="K6072" s="1077"/>
      <c r="L6072" s="1077"/>
      <c r="M6072" s="1077"/>
    </row>
    <row r="6073" spans="5:13">
      <c r="E6073" s="1077"/>
      <c r="F6073" s="1077"/>
      <c r="G6073" s="1077"/>
      <c r="H6073" s="1077"/>
      <c r="I6073" s="1077"/>
      <c r="J6073" s="1077"/>
      <c r="K6073" s="1077"/>
      <c r="L6073" s="1077"/>
      <c r="M6073" s="1077"/>
    </row>
    <row r="6074" spans="5:13">
      <c r="E6074" s="1077"/>
      <c r="F6074" s="1077"/>
      <c r="G6074" s="1077"/>
      <c r="H6074" s="1077"/>
      <c r="I6074" s="1077"/>
      <c r="J6074" s="1077"/>
      <c r="K6074" s="1077"/>
      <c r="L6074" s="1077"/>
      <c r="M6074" s="1077"/>
    </row>
    <row r="6075" spans="5:13">
      <c r="E6075" s="1077"/>
      <c r="F6075" s="1077"/>
      <c r="G6075" s="1077"/>
      <c r="H6075" s="1077"/>
      <c r="I6075" s="1077"/>
      <c r="J6075" s="1077"/>
      <c r="K6075" s="1077"/>
      <c r="L6075" s="1077"/>
      <c r="M6075" s="1077"/>
    </row>
    <row r="6076" spans="5:13">
      <c r="E6076" s="1077"/>
      <c r="F6076" s="1077"/>
      <c r="G6076" s="1077"/>
      <c r="H6076" s="1077"/>
      <c r="I6076" s="1077"/>
      <c r="J6076" s="1077"/>
      <c r="K6076" s="1077"/>
      <c r="L6076" s="1077"/>
      <c r="M6076" s="1077"/>
    </row>
    <row r="6077" spans="5:13">
      <c r="E6077" s="1077"/>
      <c r="F6077" s="1077"/>
      <c r="G6077" s="1077"/>
      <c r="H6077" s="1077"/>
      <c r="I6077" s="1077"/>
      <c r="J6077" s="1077"/>
      <c r="K6077" s="1077"/>
      <c r="L6077" s="1077"/>
      <c r="M6077" s="1077"/>
    </row>
    <row r="6078" spans="5:13">
      <c r="E6078" s="1077"/>
      <c r="F6078" s="1077"/>
      <c r="G6078" s="1077"/>
      <c r="H6078" s="1077"/>
      <c r="I6078" s="1077"/>
      <c r="J6078" s="1077"/>
      <c r="K6078" s="1077"/>
      <c r="L6078" s="1077"/>
      <c r="M6078" s="1077"/>
    </row>
    <row r="6079" spans="5:13">
      <c r="E6079" s="1077"/>
      <c r="F6079" s="1077"/>
      <c r="G6079" s="1077"/>
      <c r="H6079" s="1077"/>
      <c r="I6079" s="1077"/>
      <c r="J6079" s="1077"/>
      <c r="K6079" s="1077"/>
      <c r="L6079" s="1077"/>
      <c r="M6079" s="1077"/>
    </row>
    <row r="6080" spans="5:13">
      <c r="E6080" s="1077"/>
      <c r="F6080" s="1077"/>
      <c r="G6080" s="1077"/>
      <c r="H6080" s="1077"/>
      <c r="I6080" s="1077"/>
      <c r="J6080" s="1077"/>
      <c r="K6080" s="1077"/>
      <c r="L6080" s="1077"/>
      <c r="M6080" s="1077"/>
    </row>
    <row r="6081" spans="5:13">
      <c r="E6081" s="1077"/>
      <c r="F6081" s="1077"/>
      <c r="G6081" s="1077"/>
      <c r="H6081" s="1077"/>
      <c r="I6081" s="1077"/>
      <c r="J6081" s="1077"/>
      <c r="K6081" s="1077"/>
      <c r="L6081" s="1077"/>
      <c r="M6081" s="1077"/>
    </row>
    <row r="6082" spans="5:13">
      <c r="E6082" s="1077"/>
      <c r="F6082" s="1077"/>
      <c r="G6082" s="1077"/>
      <c r="H6082" s="1077"/>
      <c r="I6082" s="1077"/>
      <c r="J6082" s="1077"/>
      <c r="K6082" s="1077"/>
      <c r="L6082" s="1077"/>
      <c r="M6082" s="1077"/>
    </row>
    <row r="6083" spans="5:13">
      <c r="E6083" s="1077"/>
      <c r="F6083" s="1077"/>
      <c r="G6083" s="1077"/>
      <c r="H6083" s="1077"/>
      <c r="I6083" s="1077"/>
      <c r="J6083" s="1077"/>
      <c r="K6083" s="1077"/>
      <c r="L6083" s="1077"/>
      <c r="M6083" s="1077"/>
    </row>
    <row r="6084" spans="5:13">
      <c r="E6084" s="1077"/>
      <c r="F6084" s="1077"/>
      <c r="G6084" s="1077"/>
      <c r="H6084" s="1077"/>
      <c r="I6084" s="1077"/>
      <c r="J6084" s="1077"/>
      <c r="K6084" s="1077"/>
      <c r="L6084" s="1077"/>
      <c r="M6084" s="1077"/>
    </row>
    <row r="6085" spans="5:13">
      <c r="E6085" s="1077"/>
      <c r="F6085" s="1077"/>
      <c r="G6085" s="1077"/>
      <c r="H6085" s="1077"/>
      <c r="I6085" s="1077"/>
      <c r="J6085" s="1077"/>
      <c r="K6085" s="1077"/>
      <c r="L6085" s="1077"/>
      <c r="M6085" s="1077"/>
    </row>
    <row r="6086" spans="5:13">
      <c r="E6086" s="1077"/>
      <c r="F6086" s="1077"/>
      <c r="G6086" s="1077"/>
      <c r="H6086" s="1077"/>
      <c r="I6086" s="1077"/>
      <c r="J6086" s="1077"/>
      <c r="K6086" s="1077"/>
      <c r="L6086" s="1077"/>
      <c r="M6086" s="1077"/>
    </row>
    <row r="6087" spans="5:13">
      <c r="E6087" s="1077"/>
      <c r="F6087" s="1077"/>
      <c r="G6087" s="1077"/>
      <c r="H6087" s="1077"/>
      <c r="I6087" s="1077"/>
      <c r="J6087" s="1077"/>
      <c r="K6087" s="1077"/>
      <c r="L6087" s="1077"/>
      <c r="M6087" s="1077"/>
    </row>
    <row r="6088" spans="5:13">
      <c r="E6088" s="1077"/>
      <c r="F6088" s="1077"/>
      <c r="G6088" s="1077"/>
      <c r="H6088" s="1077"/>
      <c r="I6088" s="1077"/>
      <c r="J6088" s="1077"/>
      <c r="K6088" s="1077"/>
      <c r="L6088" s="1077"/>
      <c r="M6088" s="1077"/>
    </row>
    <row r="6089" spans="5:13">
      <c r="E6089" s="1077"/>
      <c r="F6089" s="1077"/>
      <c r="G6089" s="1077"/>
      <c r="H6089" s="1077"/>
      <c r="I6089" s="1077"/>
      <c r="J6089" s="1077"/>
      <c r="K6089" s="1077"/>
      <c r="L6089" s="1077"/>
      <c r="M6089" s="1077"/>
    </row>
    <row r="6090" spans="5:13">
      <c r="E6090" s="1077"/>
      <c r="F6090" s="1077"/>
      <c r="G6090" s="1077"/>
      <c r="H6090" s="1077"/>
      <c r="I6090" s="1077"/>
      <c r="J6090" s="1077"/>
      <c r="K6090" s="1077"/>
      <c r="L6090" s="1077"/>
      <c r="M6090" s="1077"/>
    </row>
    <row r="6091" spans="5:13">
      <c r="E6091" s="1077"/>
      <c r="F6091" s="1077"/>
      <c r="G6091" s="1077"/>
      <c r="H6091" s="1077"/>
      <c r="I6091" s="1077"/>
      <c r="J6091" s="1077"/>
      <c r="K6091" s="1077"/>
      <c r="L6091" s="1077"/>
      <c r="M6091" s="1077"/>
    </row>
    <row r="6092" spans="5:13">
      <c r="E6092" s="1077"/>
      <c r="F6092" s="1077"/>
      <c r="G6092" s="1077"/>
      <c r="H6092" s="1077"/>
      <c r="I6092" s="1077"/>
      <c r="J6092" s="1077"/>
      <c r="K6092" s="1077"/>
      <c r="L6092" s="1077"/>
      <c r="M6092" s="1077"/>
    </row>
    <row r="6093" spans="5:13">
      <c r="E6093" s="1077"/>
      <c r="F6093" s="1077"/>
      <c r="G6093" s="1077"/>
      <c r="H6093" s="1077"/>
      <c r="I6093" s="1077"/>
      <c r="J6093" s="1077"/>
      <c r="K6093" s="1077"/>
      <c r="L6093" s="1077"/>
      <c r="M6093" s="1077"/>
    </row>
    <row r="6094" spans="5:13">
      <c r="E6094" s="1077"/>
      <c r="F6094" s="1077"/>
      <c r="G6094" s="1077"/>
      <c r="H6094" s="1077"/>
      <c r="I6094" s="1077"/>
      <c r="J6094" s="1077"/>
      <c r="K6094" s="1077"/>
      <c r="L6094" s="1077"/>
      <c r="M6094" s="1077"/>
    </row>
    <row r="6095" spans="5:13">
      <c r="E6095" s="1077"/>
      <c r="F6095" s="1077"/>
      <c r="G6095" s="1077"/>
      <c r="H6095" s="1077"/>
      <c r="I6095" s="1077"/>
      <c r="J6095" s="1077"/>
      <c r="K6095" s="1077"/>
      <c r="L6095" s="1077"/>
      <c r="M6095" s="1077"/>
    </row>
    <row r="6096" spans="5:13">
      <c r="E6096" s="1077"/>
      <c r="F6096" s="1077"/>
      <c r="G6096" s="1077"/>
      <c r="H6096" s="1077"/>
      <c r="I6096" s="1077"/>
      <c r="J6096" s="1077"/>
      <c r="K6096" s="1077"/>
      <c r="L6096" s="1077"/>
      <c r="M6096" s="1077"/>
    </row>
    <row r="6097" spans="5:13">
      <c r="E6097" s="1077"/>
      <c r="F6097" s="1077"/>
      <c r="G6097" s="1077"/>
      <c r="H6097" s="1077"/>
      <c r="I6097" s="1077"/>
      <c r="J6097" s="1077"/>
      <c r="K6097" s="1077"/>
      <c r="L6097" s="1077"/>
      <c r="M6097" s="1077"/>
    </row>
    <row r="6098" spans="5:13">
      <c r="E6098" s="1077"/>
      <c r="F6098" s="1077"/>
      <c r="G6098" s="1077"/>
      <c r="H6098" s="1077"/>
      <c r="I6098" s="1077"/>
      <c r="J6098" s="1077"/>
      <c r="K6098" s="1077"/>
      <c r="L6098" s="1077"/>
      <c r="M6098" s="1077"/>
    </row>
    <row r="6099" spans="5:13">
      <c r="E6099" s="1077"/>
      <c r="F6099" s="1077"/>
      <c r="G6099" s="1077"/>
      <c r="H6099" s="1077"/>
      <c r="I6099" s="1077"/>
      <c r="J6099" s="1077"/>
      <c r="K6099" s="1077"/>
      <c r="L6099" s="1077"/>
      <c r="M6099" s="1077"/>
    </row>
    <row r="6100" spans="5:13">
      <c r="E6100" s="1077"/>
      <c r="F6100" s="1077"/>
      <c r="G6100" s="1077"/>
      <c r="H6100" s="1077"/>
      <c r="I6100" s="1077"/>
      <c r="J6100" s="1077"/>
      <c r="K6100" s="1077"/>
      <c r="L6100" s="1077"/>
      <c r="M6100" s="1077"/>
    </row>
    <row r="6101" spans="5:13">
      <c r="E6101" s="1077"/>
      <c r="F6101" s="1077"/>
      <c r="G6101" s="1077"/>
      <c r="H6101" s="1077"/>
      <c r="I6101" s="1077"/>
      <c r="J6101" s="1077"/>
      <c r="K6101" s="1077"/>
      <c r="L6101" s="1077"/>
      <c r="M6101" s="1077"/>
    </row>
    <row r="6102" spans="5:13">
      <c r="E6102" s="1077"/>
      <c r="F6102" s="1077"/>
      <c r="G6102" s="1077"/>
      <c r="H6102" s="1077"/>
      <c r="I6102" s="1077"/>
      <c r="J6102" s="1077"/>
      <c r="K6102" s="1077"/>
      <c r="L6102" s="1077"/>
      <c r="M6102" s="1077"/>
    </row>
    <row r="6103" spans="5:13">
      <c r="E6103" s="1077"/>
      <c r="F6103" s="1077"/>
      <c r="G6103" s="1077"/>
      <c r="H6103" s="1077"/>
      <c r="I6103" s="1077"/>
      <c r="J6103" s="1077"/>
      <c r="K6103" s="1077"/>
      <c r="L6103" s="1077"/>
      <c r="M6103" s="1077"/>
    </row>
    <row r="6104" spans="5:13">
      <c r="E6104" s="1077"/>
      <c r="F6104" s="1077"/>
      <c r="G6104" s="1077"/>
      <c r="H6104" s="1077"/>
      <c r="I6104" s="1077"/>
      <c r="J6104" s="1077"/>
      <c r="K6104" s="1077"/>
      <c r="L6104" s="1077"/>
      <c r="M6104" s="1077"/>
    </row>
    <row r="6105" spans="5:13">
      <c r="E6105" s="1077"/>
      <c r="F6105" s="1077"/>
      <c r="G6105" s="1077"/>
      <c r="H6105" s="1077"/>
      <c r="I6105" s="1077"/>
      <c r="J6105" s="1077"/>
      <c r="K6105" s="1077"/>
      <c r="L6105" s="1077"/>
      <c r="M6105" s="1077"/>
    </row>
    <row r="6106" spans="5:13">
      <c r="E6106" s="1077"/>
      <c r="F6106" s="1077"/>
      <c r="G6106" s="1077"/>
      <c r="H6106" s="1077"/>
      <c r="I6106" s="1077"/>
      <c r="J6106" s="1077"/>
      <c r="K6106" s="1077"/>
      <c r="L6106" s="1077"/>
      <c r="M6106" s="1077"/>
    </row>
    <row r="6107" spans="5:13">
      <c r="E6107" s="1077"/>
      <c r="F6107" s="1077"/>
      <c r="G6107" s="1077"/>
      <c r="H6107" s="1077"/>
      <c r="I6107" s="1077"/>
      <c r="J6107" s="1077"/>
      <c r="K6107" s="1077"/>
      <c r="L6107" s="1077"/>
      <c r="M6107" s="1077"/>
    </row>
    <row r="6108" spans="5:13">
      <c r="E6108" s="1077"/>
      <c r="F6108" s="1077"/>
      <c r="G6108" s="1077"/>
      <c r="H6108" s="1077"/>
      <c r="I6108" s="1077"/>
      <c r="J6108" s="1077"/>
      <c r="K6108" s="1077"/>
      <c r="L6108" s="1077"/>
      <c r="M6108" s="1077"/>
    </row>
    <row r="6109" spans="5:13">
      <c r="E6109" s="1077"/>
      <c r="F6109" s="1077"/>
      <c r="G6109" s="1077"/>
      <c r="H6109" s="1077"/>
      <c r="I6109" s="1077"/>
      <c r="J6109" s="1077"/>
      <c r="K6109" s="1077"/>
      <c r="L6109" s="1077"/>
      <c r="M6109" s="1077"/>
    </row>
    <row r="6110" spans="5:13">
      <c r="E6110" s="1077"/>
      <c r="F6110" s="1077"/>
      <c r="G6110" s="1077"/>
      <c r="H6110" s="1077"/>
      <c r="I6110" s="1077"/>
      <c r="J6110" s="1077"/>
      <c r="K6110" s="1077"/>
      <c r="L6110" s="1077"/>
      <c r="M6110" s="1077"/>
    </row>
    <row r="6111" spans="5:13">
      <c r="E6111" s="1077"/>
      <c r="F6111" s="1077"/>
      <c r="G6111" s="1077"/>
      <c r="H6111" s="1077"/>
      <c r="I6111" s="1077"/>
      <c r="J6111" s="1077"/>
      <c r="K6111" s="1077"/>
      <c r="L6111" s="1077"/>
      <c r="M6111" s="1077"/>
    </row>
    <row r="6112" spans="5:13">
      <c r="E6112" s="1077"/>
      <c r="F6112" s="1077"/>
      <c r="G6112" s="1077"/>
      <c r="H6112" s="1077"/>
      <c r="I6112" s="1077"/>
      <c r="J6112" s="1077"/>
      <c r="K6112" s="1077"/>
      <c r="L6112" s="1077"/>
      <c r="M6112" s="1077"/>
    </row>
    <row r="6113" spans="5:13">
      <c r="E6113" s="1077"/>
      <c r="F6113" s="1077"/>
      <c r="G6113" s="1077"/>
      <c r="H6113" s="1077"/>
      <c r="I6113" s="1077"/>
      <c r="J6113" s="1077"/>
      <c r="K6113" s="1077"/>
      <c r="L6113" s="1077"/>
      <c r="M6113" s="1077"/>
    </row>
    <row r="6114" spans="5:13">
      <c r="E6114" s="1077"/>
      <c r="F6114" s="1077"/>
      <c r="G6114" s="1077"/>
      <c r="H6114" s="1077"/>
      <c r="I6114" s="1077"/>
      <c r="J6114" s="1077"/>
      <c r="K6114" s="1077"/>
      <c r="L6114" s="1077"/>
      <c r="M6114" s="1077"/>
    </row>
    <row r="6115" spans="5:13">
      <c r="E6115" s="1077"/>
      <c r="F6115" s="1077"/>
      <c r="G6115" s="1077"/>
      <c r="H6115" s="1077"/>
      <c r="I6115" s="1077"/>
      <c r="J6115" s="1077"/>
      <c r="K6115" s="1077"/>
      <c r="L6115" s="1077"/>
      <c r="M6115" s="1077"/>
    </row>
    <row r="6116" spans="5:13">
      <c r="E6116" s="1077"/>
      <c r="F6116" s="1077"/>
      <c r="G6116" s="1077"/>
      <c r="H6116" s="1077"/>
      <c r="I6116" s="1077"/>
      <c r="J6116" s="1077"/>
      <c r="K6116" s="1077"/>
      <c r="L6116" s="1077"/>
      <c r="M6116" s="1077"/>
    </row>
    <row r="6117" spans="5:13">
      <c r="E6117" s="1077"/>
      <c r="F6117" s="1077"/>
      <c r="G6117" s="1077"/>
      <c r="H6117" s="1077"/>
      <c r="I6117" s="1077"/>
      <c r="J6117" s="1077"/>
      <c r="K6117" s="1077"/>
      <c r="L6117" s="1077"/>
      <c r="M6117" s="1077"/>
    </row>
    <row r="6118" spans="5:13">
      <c r="E6118" s="1077"/>
      <c r="F6118" s="1077"/>
      <c r="G6118" s="1077"/>
      <c r="H6118" s="1077"/>
      <c r="I6118" s="1077"/>
      <c r="J6118" s="1077"/>
      <c r="K6118" s="1077"/>
      <c r="L6118" s="1077"/>
      <c r="M6118" s="1077"/>
    </row>
    <row r="6119" spans="5:13">
      <c r="E6119" s="1077"/>
      <c r="F6119" s="1077"/>
      <c r="G6119" s="1077"/>
      <c r="H6119" s="1077"/>
      <c r="I6119" s="1077"/>
      <c r="J6119" s="1077"/>
      <c r="K6119" s="1077"/>
      <c r="L6119" s="1077"/>
      <c r="M6119" s="1077"/>
    </row>
    <row r="6120" spans="5:13">
      <c r="E6120" s="1077"/>
      <c r="F6120" s="1077"/>
      <c r="G6120" s="1077"/>
      <c r="H6120" s="1077"/>
      <c r="I6120" s="1077"/>
      <c r="J6120" s="1077"/>
      <c r="K6120" s="1077"/>
      <c r="L6120" s="1077"/>
      <c r="M6120" s="1077"/>
    </row>
    <row r="6121" spans="5:13">
      <c r="E6121" s="1077"/>
      <c r="F6121" s="1077"/>
      <c r="G6121" s="1077"/>
      <c r="H6121" s="1077"/>
      <c r="I6121" s="1077"/>
      <c r="J6121" s="1077"/>
      <c r="K6121" s="1077"/>
      <c r="L6121" s="1077"/>
      <c r="M6121" s="1077"/>
    </row>
    <row r="6122" spans="5:13">
      <c r="E6122" s="1077"/>
      <c r="F6122" s="1077"/>
      <c r="G6122" s="1077"/>
      <c r="H6122" s="1077"/>
      <c r="I6122" s="1077"/>
      <c r="J6122" s="1077"/>
      <c r="K6122" s="1077"/>
      <c r="L6122" s="1077"/>
      <c r="M6122" s="1077"/>
    </row>
    <row r="6123" spans="5:13">
      <c r="E6123" s="1077"/>
      <c r="F6123" s="1077"/>
      <c r="G6123" s="1077"/>
      <c r="H6123" s="1077"/>
      <c r="I6123" s="1077"/>
      <c r="J6123" s="1077"/>
      <c r="K6123" s="1077"/>
      <c r="L6123" s="1077"/>
      <c r="M6123" s="1077"/>
    </row>
    <row r="6124" spans="5:13">
      <c r="E6124" s="1077"/>
      <c r="F6124" s="1077"/>
      <c r="G6124" s="1077"/>
      <c r="H6124" s="1077"/>
      <c r="I6124" s="1077"/>
      <c r="J6124" s="1077"/>
      <c r="K6124" s="1077"/>
      <c r="L6124" s="1077"/>
      <c r="M6124" s="1077"/>
    </row>
    <row r="6125" spans="5:13">
      <c r="E6125" s="1077"/>
      <c r="F6125" s="1077"/>
      <c r="G6125" s="1077"/>
      <c r="H6125" s="1077"/>
      <c r="I6125" s="1077"/>
      <c r="J6125" s="1077"/>
      <c r="K6125" s="1077"/>
      <c r="L6125" s="1077"/>
      <c r="M6125" s="1077"/>
    </row>
    <row r="6126" spans="5:13">
      <c r="E6126" s="1077"/>
      <c r="F6126" s="1077"/>
      <c r="G6126" s="1077"/>
      <c r="H6126" s="1077"/>
      <c r="I6126" s="1077"/>
      <c r="J6126" s="1077"/>
      <c r="K6126" s="1077"/>
      <c r="L6126" s="1077"/>
      <c r="M6126" s="1077"/>
    </row>
    <row r="6127" spans="5:13">
      <c r="E6127" s="1077"/>
      <c r="F6127" s="1077"/>
      <c r="G6127" s="1077"/>
      <c r="H6127" s="1077"/>
      <c r="I6127" s="1077"/>
      <c r="J6127" s="1077"/>
      <c r="K6127" s="1077"/>
      <c r="L6127" s="1077"/>
      <c r="M6127" s="1077"/>
    </row>
    <row r="6128" spans="5:13">
      <c r="E6128" s="1077"/>
      <c r="F6128" s="1077"/>
      <c r="G6128" s="1077"/>
      <c r="H6128" s="1077"/>
      <c r="I6128" s="1077"/>
      <c r="J6128" s="1077"/>
      <c r="K6128" s="1077"/>
      <c r="L6128" s="1077"/>
      <c r="M6128" s="1077"/>
    </row>
    <row r="6129" spans="5:13">
      <c r="E6129" s="1077"/>
      <c r="F6129" s="1077"/>
      <c r="G6129" s="1077"/>
      <c r="H6129" s="1077"/>
      <c r="I6129" s="1077"/>
      <c r="J6129" s="1077"/>
      <c r="K6129" s="1077"/>
      <c r="L6129" s="1077"/>
      <c r="M6129" s="1077"/>
    </row>
    <row r="6130" spans="5:13">
      <c r="E6130" s="1077"/>
      <c r="F6130" s="1077"/>
      <c r="G6130" s="1077"/>
      <c r="H6130" s="1077"/>
      <c r="I6130" s="1077"/>
      <c r="J6130" s="1077"/>
      <c r="K6130" s="1077"/>
      <c r="L6130" s="1077"/>
      <c r="M6130" s="1077"/>
    </row>
    <row r="6131" spans="5:13">
      <c r="E6131" s="1077"/>
      <c r="F6131" s="1077"/>
      <c r="G6131" s="1077"/>
      <c r="H6131" s="1077"/>
      <c r="I6131" s="1077"/>
      <c r="J6131" s="1077"/>
      <c r="K6131" s="1077"/>
      <c r="L6131" s="1077"/>
      <c r="M6131" s="1077"/>
    </row>
    <row r="6132" spans="5:13">
      <c r="E6132" s="1077"/>
      <c r="F6132" s="1077"/>
      <c r="G6132" s="1077"/>
      <c r="H6132" s="1077"/>
      <c r="I6132" s="1077"/>
      <c r="J6132" s="1077"/>
      <c r="K6132" s="1077"/>
      <c r="L6132" s="1077"/>
      <c r="M6132" s="1077"/>
    </row>
    <row r="6133" spans="5:13">
      <c r="E6133" s="1077"/>
      <c r="F6133" s="1077"/>
      <c r="G6133" s="1077"/>
      <c r="H6133" s="1077"/>
      <c r="I6133" s="1077"/>
      <c r="J6133" s="1077"/>
      <c r="K6133" s="1077"/>
      <c r="L6133" s="1077"/>
      <c r="M6133" s="1077"/>
    </row>
    <row r="6134" spans="5:13">
      <c r="E6134" s="1077"/>
      <c r="F6134" s="1077"/>
      <c r="G6134" s="1077"/>
      <c r="H6134" s="1077"/>
      <c r="I6134" s="1077"/>
      <c r="J6134" s="1077"/>
      <c r="K6134" s="1077"/>
      <c r="L6134" s="1077"/>
      <c r="M6134" s="1077"/>
    </row>
    <row r="6135" spans="5:13">
      <c r="E6135" s="1077"/>
      <c r="F6135" s="1077"/>
      <c r="G6135" s="1077"/>
      <c r="H6135" s="1077"/>
      <c r="I6135" s="1077"/>
      <c r="J6135" s="1077"/>
      <c r="K6135" s="1077"/>
      <c r="L6135" s="1077"/>
      <c r="M6135" s="1077"/>
    </row>
    <row r="6136" spans="5:13">
      <c r="E6136" s="1077"/>
      <c r="F6136" s="1077"/>
      <c r="G6136" s="1077"/>
      <c r="H6136" s="1077"/>
      <c r="I6136" s="1077"/>
      <c r="J6136" s="1077"/>
      <c r="K6136" s="1077"/>
      <c r="L6136" s="1077"/>
      <c r="M6136" s="1077"/>
    </row>
    <row r="6137" spans="5:13">
      <c r="E6137" s="1077"/>
      <c r="F6137" s="1077"/>
      <c r="G6137" s="1077"/>
      <c r="H6137" s="1077"/>
      <c r="I6137" s="1077"/>
      <c r="J6137" s="1077"/>
      <c r="K6137" s="1077"/>
      <c r="L6137" s="1077"/>
      <c r="M6137" s="1077"/>
    </row>
    <row r="6138" spans="5:13">
      <c r="E6138" s="1077"/>
      <c r="F6138" s="1077"/>
      <c r="G6138" s="1077"/>
      <c r="H6138" s="1077"/>
      <c r="I6138" s="1077"/>
      <c r="J6138" s="1077"/>
      <c r="K6138" s="1077"/>
      <c r="L6138" s="1077"/>
      <c r="M6138" s="1077"/>
    </row>
    <row r="6139" spans="5:13">
      <c r="E6139" s="1077"/>
      <c r="F6139" s="1077"/>
      <c r="G6139" s="1077"/>
      <c r="H6139" s="1077"/>
      <c r="I6139" s="1077"/>
      <c r="J6139" s="1077"/>
      <c r="K6139" s="1077"/>
      <c r="L6139" s="1077"/>
      <c r="M6139" s="1077"/>
    </row>
    <row r="6140" spans="5:13">
      <c r="E6140" s="1077"/>
      <c r="F6140" s="1077"/>
      <c r="G6140" s="1077"/>
      <c r="H6140" s="1077"/>
      <c r="I6140" s="1077"/>
      <c r="J6140" s="1077"/>
      <c r="K6140" s="1077"/>
      <c r="L6140" s="1077"/>
      <c r="M6140" s="1077"/>
    </row>
    <row r="6141" spans="5:13">
      <c r="E6141" s="1077"/>
      <c r="F6141" s="1077"/>
      <c r="G6141" s="1077"/>
      <c r="H6141" s="1077"/>
      <c r="I6141" s="1077"/>
      <c r="J6141" s="1077"/>
      <c r="K6141" s="1077"/>
      <c r="L6141" s="1077"/>
      <c r="M6141" s="1077"/>
    </row>
    <row r="6142" spans="5:13">
      <c r="E6142" s="1077"/>
      <c r="F6142" s="1077"/>
      <c r="G6142" s="1077"/>
      <c r="H6142" s="1077"/>
      <c r="I6142" s="1077"/>
      <c r="J6142" s="1077"/>
      <c r="K6142" s="1077"/>
      <c r="L6142" s="1077"/>
      <c r="M6142" s="1077"/>
    </row>
    <row r="6143" spans="5:13">
      <c r="E6143" s="1077"/>
      <c r="F6143" s="1077"/>
      <c r="G6143" s="1077"/>
      <c r="H6143" s="1077"/>
      <c r="I6143" s="1077"/>
      <c r="J6143" s="1077"/>
      <c r="K6143" s="1077"/>
      <c r="L6143" s="1077"/>
      <c r="M6143" s="1077"/>
    </row>
    <row r="6144" spans="5:13">
      <c r="E6144" s="1077"/>
      <c r="F6144" s="1077"/>
      <c r="G6144" s="1077"/>
      <c r="H6144" s="1077"/>
      <c r="I6144" s="1077"/>
      <c r="J6144" s="1077"/>
      <c r="K6144" s="1077"/>
      <c r="L6144" s="1077"/>
      <c r="M6144" s="1077"/>
    </row>
    <row r="6145" spans="5:13">
      <c r="E6145" s="1077"/>
      <c r="F6145" s="1077"/>
      <c r="G6145" s="1077"/>
      <c r="H6145" s="1077"/>
      <c r="I6145" s="1077"/>
      <c r="J6145" s="1077"/>
      <c r="K6145" s="1077"/>
      <c r="L6145" s="1077"/>
      <c r="M6145" s="1077"/>
    </row>
    <row r="6146" spans="5:13">
      <c r="E6146" s="1077"/>
      <c r="F6146" s="1077"/>
      <c r="G6146" s="1077"/>
      <c r="H6146" s="1077"/>
      <c r="I6146" s="1077"/>
      <c r="J6146" s="1077"/>
      <c r="K6146" s="1077"/>
      <c r="L6146" s="1077"/>
      <c r="M6146" s="1077"/>
    </row>
    <row r="6147" spans="5:13">
      <c r="E6147" s="1077"/>
      <c r="F6147" s="1077"/>
      <c r="G6147" s="1077"/>
      <c r="H6147" s="1077"/>
      <c r="I6147" s="1077"/>
      <c r="J6147" s="1077"/>
      <c r="K6147" s="1077"/>
      <c r="L6147" s="1077"/>
      <c r="M6147" s="1077"/>
    </row>
    <row r="6148" spans="5:13">
      <c r="E6148" s="1077"/>
      <c r="F6148" s="1077"/>
      <c r="G6148" s="1077"/>
      <c r="H6148" s="1077"/>
      <c r="I6148" s="1077"/>
      <c r="J6148" s="1077"/>
      <c r="K6148" s="1077"/>
      <c r="L6148" s="1077"/>
      <c r="M6148" s="1077"/>
    </row>
    <row r="6149" spans="5:13">
      <c r="E6149" s="1077"/>
      <c r="F6149" s="1077"/>
      <c r="G6149" s="1077"/>
      <c r="H6149" s="1077"/>
      <c r="I6149" s="1077"/>
      <c r="J6149" s="1077"/>
      <c r="K6149" s="1077"/>
      <c r="L6149" s="1077"/>
      <c r="M6149" s="1077"/>
    </row>
    <row r="6150" spans="5:13">
      <c r="E6150" s="1077"/>
      <c r="F6150" s="1077"/>
      <c r="G6150" s="1077"/>
      <c r="H6150" s="1077"/>
      <c r="I6150" s="1077"/>
      <c r="J6150" s="1077"/>
      <c r="K6150" s="1077"/>
      <c r="L6150" s="1077"/>
      <c r="M6150" s="1077"/>
    </row>
    <row r="6151" spans="5:13">
      <c r="E6151" s="1077"/>
      <c r="F6151" s="1077"/>
      <c r="G6151" s="1077"/>
      <c r="H6151" s="1077"/>
      <c r="I6151" s="1077"/>
      <c r="J6151" s="1077"/>
      <c r="K6151" s="1077"/>
      <c r="L6151" s="1077"/>
      <c r="M6151" s="1077"/>
    </row>
    <row r="6152" spans="5:13">
      <c r="E6152" s="1077"/>
      <c r="F6152" s="1077"/>
      <c r="G6152" s="1077"/>
      <c r="H6152" s="1077"/>
      <c r="I6152" s="1077"/>
      <c r="J6152" s="1077"/>
      <c r="K6152" s="1077"/>
      <c r="L6152" s="1077"/>
      <c r="M6152" s="1077"/>
    </row>
    <row r="6153" spans="5:13">
      <c r="E6153" s="1077"/>
      <c r="F6153" s="1077"/>
      <c r="G6153" s="1077"/>
      <c r="H6153" s="1077"/>
      <c r="I6153" s="1077"/>
      <c r="J6153" s="1077"/>
      <c r="K6153" s="1077"/>
      <c r="L6153" s="1077"/>
      <c r="M6153" s="1077"/>
    </row>
    <row r="6154" spans="5:13">
      <c r="E6154" s="1077"/>
      <c r="F6154" s="1077"/>
      <c r="G6154" s="1077"/>
      <c r="H6154" s="1077"/>
      <c r="I6154" s="1077"/>
      <c r="J6154" s="1077"/>
      <c r="K6154" s="1077"/>
      <c r="L6154" s="1077"/>
      <c r="M6154" s="1077"/>
    </row>
    <row r="6155" spans="5:13">
      <c r="E6155" s="1077"/>
      <c r="F6155" s="1077"/>
      <c r="G6155" s="1077"/>
      <c r="H6155" s="1077"/>
      <c r="I6155" s="1077"/>
      <c r="J6155" s="1077"/>
      <c r="K6155" s="1077"/>
      <c r="L6155" s="1077"/>
      <c r="M6155" s="1077"/>
    </row>
    <row r="6156" spans="5:13">
      <c r="E6156" s="1077"/>
      <c r="F6156" s="1077"/>
      <c r="G6156" s="1077"/>
      <c r="H6156" s="1077"/>
      <c r="I6156" s="1077"/>
      <c r="J6156" s="1077"/>
      <c r="K6156" s="1077"/>
      <c r="L6156" s="1077"/>
      <c r="M6156" s="1077"/>
    </row>
    <row r="6157" spans="5:13">
      <c r="E6157" s="1077"/>
      <c r="F6157" s="1077"/>
      <c r="G6157" s="1077"/>
      <c r="H6157" s="1077"/>
      <c r="I6157" s="1077"/>
      <c r="J6157" s="1077"/>
      <c r="K6157" s="1077"/>
      <c r="L6157" s="1077"/>
      <c r="M6157" s="1077"/>
    </row>
    <row r="6158" spans="5:13">
      <c r="E6158" s="1077"/>
      <c r="F6158" s="1077"/>
      <c r="G6158" s="1077"/>
      <c r="H6158" s="1077"/>
      <c r="I6158" s="1077"/>
      <c r="J6158" s="1077"/>
      <c r="K6158" s="1077"/>
      <c r="L6158" s="1077"/>
      <c r="M6158" s="1077"/>
    </row>
    <row r="6159" spans="5:13">
      <c r="E6159" s="1077"/>
      <c r="F6159" s="1077"/>
      <c r="G6159" s="1077"/>
      <c r="H6159" s="1077"/>
      <c r="I6159" s="1077"/>
      <c r="J6159" s="1077"/>
      <c r="K6159" s="1077"/>
      <c r="L6159" s="1077"/>
      <c r="M6159" s="1077"/>
    </row>
    <row r="6160" spans="5:13">
      <c r="E6160" s="1077"/>
      <c r="F6160" s="1077"/>
      <c r="G6160" s="1077"/>
      <c r="H6160" s="1077"/>
      <c r="I6160" s="1077"/>
      <c r="J6160" s="1077"/>
      <c r="K6160" s="1077"/>
      <c r="L6160" s="1077"/>
      <c r="M6160" s="1077"/>
    </row>
    <row r="6161" spans="5:13">
      <c r="E6161" s="1077"/>
      <c r="F6161" s="1077"/>
      <c r="G6161" s="1077"/>
      <c r="H6161" s="1077"/>
      <c r="I6161" s="1077"/>
      <c r="J6161" s="1077"/>
      <c r="K6161" s="1077"/>
      <c r="L6161" s="1077"/>
      <c r="M6161" s="1077"/>
    </row>
    <row r="6162" spans="5:13">
      <c r="E6162" s="1077"/>
      <c r="F6162" s="1077"/>
      <c r="G6162" s="1077"/>
      <c r="H6162" s="1077"/>
      <c r="I6162" s="1077"/>
      <c r="J6162" s="1077"/>
      <c r="K6162" s="1077"/>
      <c r="L6162" s="1077"/>
      <c r="M6162" s="1077"/>
    </row>
    <row r="6163" spans="5:13">
      <c r="E6163" s="1077"/>
      <c r="F6163" s="1077"/>
      <c r="G6163" s="1077"/>
      <c r="H6163" s="1077"/>
      <c r="I6163" s="1077"/>
      <c r="J6163" s="1077"/>
      <c r="K6163" s="1077"/>
      <c r="L6163" s="1077"/>
      <c r="M6163" s="1077"/>
    </row>
    <row r="6164" spans="5:13">
      <c r="E6164" s="1077"/>
      <c r="F6164" s="1077"/>
      <c r="G6164" s="1077"/>
      <c r="H6164" s="1077"/>
      <c r="I6164" s="1077"/>
      <c r="J6164" s="1077"/>
      <c r="K6164" s="1077"/>
      <c r="L6164" s="1077"/>
      <c r="M6164" s="1077"/>
    </row>
    <row r="6165" spans="5:13">
      <c r="E6165" s="1077"/>
      <c r="F6165" s="1077"/>
      <c r="G6165" s="1077"/>
      <c r="H6165" s="1077"/>
      <c r="I6165" s="1077"/>
      <c r="J6165" s="1077"/>
      <c r="K6165" s="1077"/>
      <c r="L6165" s="1077"/>
      <c r="M6165" s="1077"/>
    </row>
    <row r="6166" spans="5:13">
      <c r="E6166" s="1077"/>
      <c r="F6166" s="1077"/>
      <c r="G6166" s="1077"/>
      <c r="H6166" s="1077"/>
      <c r="I6166" s="1077"/>
      <c r="J6166" s="1077"/>
      <c r="K6166" s="1077"/>
      <c r="L6166" s="1077"/>
      <c r="M6166" s="1077"/>
    </row>
    <row r="6167" spans="5:13">
      <c r="E6167" s="1077"/>
      <c r="F6167" s="1077"/>
      <c r="G6167" s="1077"/>
      <c r="H6167" s="1077"/>
      <c r="I6167" s="1077"/>
      <c r="J6167" s="1077"/>
      <c r="K6167" s="1077"/>
      <c r="L6167" s="1077"/>
      <c r="M6167" s="1077"/>
    </row>
    <row r="6168" spans="5:13">
      <c r="E6168" s="1077"/>
      <c r="F6168" s="1077"/>
      <c r="G6168" s="1077"/>
      <c r="H6168" s="1077"/>
      <c r="I6168" s="1077"/>
      <c r="J6168" s="1077"/>
      <c r="K6168" s="1077"/>
      <c r="L6168" s="1077"/>
      <c r="M6168" s="1077"/>
    </row>
    <row r="6169" spans="5:13">
      <c r="E6169" s="1077"/>
      <c r="F6169" s="1077"/>
      <c r="G6169" s="1077"/>
      <c r="H6169" s="1077"/>
      <c r="I6169" s="1077"/>
      <c r="J6169" s="1077"/>
      <c r="K6169" s="1077"/>
      <c r="L6169" s="1077"/>
      <c r="M6169" s="1077"/>
    </row>
    <row r="6170" spans="5:13">
      <c r="E6170" s="1077"/>
      <c r="F6170" s="1077"/>
      <c r="G6170" s="1077"/>
      <c r="H6170" s="1077"/>
      <c r="I6170" s="1077"/>
      <c r="J6170" s="1077"/>
      <c r="K6170" s="1077"/>
      <c r="L6170" s="1077"/>
      <c r="M6170" s="1077"/>
    </row>
    <row r="6171" spans="5:13">
      <c r="E6171" s="1077"/>
      <c r="F6171" s="1077"/>
      <c r="G6171" s="1077"/>
      <c r="H6171" s="1077"/>
      <c r="I6171" s="1077"/>
      <c r="J6171" s="1077"/>
      <c r="K6171" s="1077"/>
      <c r="L6171" s="1077"/>
      <c r="M6171" s="1077"/>
    </row>
    <row r="6172" spans="5:13">
      <c r="E6172" s="1077"/>
      <c r="F6172" s="1077"/>
      <c r="G6172" s="1077"/>
      <c r="H6172" s="1077"/>
      <c r="I6172" s="1077"/>
      <c r="J6172" s="1077"/>
      <c r="K6172" s="1077"/>
      <c r="L6172" s="1077"/>
      <c r="M6172" s="1077"/>
    </row>
    <row r="6173" spans="5:13">
      <c r="E6173" s="1077"/>
      <c r="F6173" s="1077"/>
      <c r="G6173" s="1077"/>
      <c r="H6173" s="1077"/>
      <c r="I6173" s="1077"/>
      <c r="J6173" s="1077"/>
      <c r="K6173" s="1077"/>
      <c r="L6173" s="1077"/>
      <c r="M6173" s="1077"/>
    </row>
    <row r="6174" spans="5:13">
      <c r="E6174" s="1077"/>
      <c r="F6174" s="1077"/>
      <c r="G6174" s="1077"/>
      <c r="H6174" s="1077"/>
      <c r="I6174" s="1077"/>
      <c r="J6174" s="1077"/>
      <c r="K6174" s="1077"/>
      <c r="L6174" s="1077"/>
      <c r="M6174" s="1077"/>
    </row>
    <row r="6175" spans="5:13">
      <c r="E6175" s="1077"/>
      <c r="F6175" s="1077"/>
      <c r="G6175" s="1077"/>
      <c r="H6175" s="1077"/>
      <c r="I6175" s="1077"/>
      <c r="J6175" s="1077"/>
      <c r="K6175" s="1077"/>
      <c r="L6175" s="1077"/>
      <c r="M6175" s="1077"/>
    </row>
    <row r="6176" spans="5:13">
      <c r="E6176" s="1077"/>
      <c r="F6176" s="1077"/>
      <c r="G6176" s="1077"/>
      <c r="H6176" s="1077"/>
      <c r="I6176" s="1077"/>
      <c r="J6176" s="1077"/>
      <c r="K6176" s="1077"/>
      <c r="L6176" s="1077"/>
      <c r="M6176" s="1077"/>
    </row>
    <row r="6177" spans="5:13">
      <c r="E6177" s="1077"/>
      <c r="F6177" s="1077"/>
      <c r="G6177" s="1077"/>
      <c r="H6177" s="1077"/>
      <c r="I6177" s="1077"/>
      <c r="J6177" s="1077"/>
      <c r="K6177" s="1077"/>
      <c r="L6177" s="1077"/>
      <c r="M6177" s="1077"/>
    </row>
    <row r="6178" spans="5:13">
      <c r="E6178" s="1077"/>
      <c r="F6178" s="1077"/>
      <c r="G6178" s="1077"/>
      <c r="H6178" s="1077"/>
      <c r="I6178" s="1077"/>
      <c r="J6178" s="1077"/>
      <c r="K6178" s="1077"/>
      <c r="L6178" s="1077"/>
      <c r="M6178" s="1077"/>
    </row>
    <row r="6179" spans="5:13">
      <c r="E6179" s="1077"/>
      <c r="F6179" s="1077"/>
      <c r="G6179" s="1077"/>
      <c r="H6179" s="1077"/>
      <c r="I6179" s="1077"/>
      <c r="J6179" s="1077"/>
      <c r="K6179" s="1077"/>
      <c r="L6179" s="1077"/>
      <c r="M6179" s="1077"/>
    </row>
    <row r="6180" spans="5:13">
      <c r="E6180" s="1077"/>
      <c r="F6180" s="1077"/>
      <c r="G6180" s="1077"/>
      <c r="H6180" s="1077"/>
      <c r="I6180" s="1077"/>
      <c r="J6180" s="1077"/>
      <c r="K6180" s="1077"/>
      <c r="L6180" s="1077"/>
      <c r="M6180" s="1077"/>
    </row>
    <row r="6181" spans="5:13">
      <c r="E6181" s="1077"/>
      <c r="F6181" s="1077"/>
      <c r="G6181" s="1077"/>
      <c r="H6181" s="1077"/>
      <c r="I6181" s="1077"/>
      <c r="J6181" s="1077"/>
      <c r="K6181" s="1077"/>
      <c r="L6181" s="1077"/>
      <c r="M6181" s="1077"/>
    </row>
    <row r="6182" spans="5:13">
      <c r="E6182" s="1077"/>
      <c r="F6182" s="1077"/>
      <c r="G6182" s="1077"/>
      <c r="H6182" s="1077"/>
      <c r="I6182" s="1077"/>
      <c r="J6182" s="1077"/>
      <c r="K6182" s="1077"/>
      <c r="L6182" s="1077"/>
      <c r="M6182" s="1077"/>
    </row>
    <row r="6183" spans="5:13">
      <c r="E6183" s="1077"/>
      <c r="F6183" s="1077"/>
      <c r="G6183" s="1077"/>
      <c r="H6183" s="1077"/>
      <c r="I6183" s="1077"/>
      <c r="J6183" s="1077"/>
      <c r="K6183" s="1077"/>
      <c r="L6183" s="1077"/>
      <c r="M6183" s="1077"/>
    </row>
    <row r="6184" spans="5:13">
      <c r="E6184" s="1077"/>
      <c r="F6184" s="1077"/>
      <c r="G6184" s="1077"/>
      <c r="H6184" s="1077"/>
      <c r="I6184" s="1077"/>
      <c r="J6184" s="1077"/>
      <c r="K6184" s="1077"/>
      <c r="L6184" s="1077"/>
      <c r="M6184" s="1077"/>
    </row>
    <row r="6185" spans="5:13">
      <c r="E6185" s="1077"/>
      <c r="F6185" s="1077"/>
      <c r="G6185" s="1077"/>
      <c r="H6185" s="1077"/>
      <c r="I6185" s="1077"/>
      <c r="J6185" s="1077"/>
      <c r="K6185" s="1077"/>
      <c r="L6185" s="1077"/>
      <c r="M6185" s="1077"/>
    </row>
    <row r="6186" spans="5:13">
      <c r="E6186" s="1077"/>
      <c r="F6186" s="1077"/>
      <c r="G6186" s="1077"/>
      <c r="H6186" s="1077"/>
      <c r="I6186" s="1077"/>
      <c r="J6186" s="1077"/>
      <c r="K6186" s="1077"/>
      <c r="L6186" s="1077"/>
      <c r="M6186" s="1077"/>
    </row>
    <row r="6187" spans="5:13">
      <c r="E6187" s="1077"/>
      <c r="F6187" s="1077"/>
      <c r="G6187" s="1077"/>
      <c r="H6187" s="1077"/>
      <c r="I6187" s="1077"/>
      <c r="J6187" s="1077"/>
      <c r="K6187" s="1077"/>
      <c r="L6187" s="1077"/>
      <c r="M6187" s="1077"/>
    </row>
    <row r="6188" spans="5:13">
      <c r="E6188" s="1077"/>
      <c r="F6188" s="1077"/>
      <c r="G6188" s="1077"/>
      <c r="H6188" s="1077"/>
      <c r="I6188" s="1077"/>
      <c r="J6188" s="1077"/>
      <c r="K6188" s="1077"/>
      <c r="L6188" s="1077"/>
      <c r="M6188" s="1077"/>
    </row>
    <row r="6189" spans="5:13">
      <c r="E6189" s="1077"/>
      <c r="F6189" s="1077"/>
      <c r="G6189" s="1077"/>
      <c r="H6189" s="1077"/>
      <c r="I6189" s="1077"/>
      <c r="J6189" s="1077"/>
      <c r="K6189" s="1077"/>
      <c r="L6189" s="1077"/>
      <c r="M6189" s="1077"/>
    </row>
    <row r="6190" spans="5:13">
      <c r="E6190" s="1077"/>
      <c r="F6190" s="1077"/>
      <c r="G6190" s="1077"/>
      <c r="H6190" s="1077"/>
      <c r="I6190" s="1077"/>
      <c r="J6190" s="1077"/>
      <c r="K6190" s="1077"/>
      <c r="L6190" s="1077"/>
      <c r="M6190" s="1077"/>
    </row>
    <row r="6191" spans="5:13">
      <c r="E6191" s="1077"/>
      <c r="F6191" s="1077"/>
      <c r="G6191" s="1077"/>
      <c r="H6191" s="1077"/>
      <c r="I6191" s="1077"/>
      <c r="J6191" s="1077"/>
      <c r="K6191" s="1077"/>
      <c r="L6191" s="1077"/>
      <c r="M6191" s="1077"/>
    </row>
    <row r="6192" spans="5:13">
      <c r="E6192" s="1077"/>
      <c r="F6192" s="1077"/>
      <c r="G6192" s="1077"/>
      <c r="H6192" s="1077"/>
      <c r="I6192" s="1077"/>
      <c r="J6192" s="1077"/>
      <c r="K6192" s="1077"/>
      <c r="L6192" s="1077"/>
      <c r="M6192" s="1077"/>
    </row>
    <row r="6193" spans="5:13">
      <c r="E6193" s="1077"/>
      <c r="F6193" s="1077"/>
      <c r="G6193" s="1077"/>
      <c r="H6193" s="1077"/>
      <c r="I6193" s="1077"/>
      <c r="J6193" s="1077"/>
      <c r="K6193" s="1077"/>
      <c r="L6193" s="1077"/>
      <c r="M6193" s="1077"/>
    </row>
    <row r="6194" spans="5:13">
      <c r="E6194" s="1077"/>
      <c r="F6194" s="1077"/>
      <c r="G6194" s="1077"/>
      <c r="H6194" s="1077"/>
      <c r="I6194" s="1077"/>
      <c r="J6194" s="1077"/>
      <c r="K6194" s="1077"/>
      <c r="L6194" s="1077"/>
      <c r="M6194" s="1077"/>
    </row>
    <row r="6195" spans="5:13">
      <c r="E6195" s="1077"/>
      <c r="F6195" s="1077"/>
      <c r="G6195" s="1077"/>
      <c r="H6195" s="1077"/>
      <c r="I6195" s="1077"/>
      <c r="J6195" s="1077"/>
      <c r="K6195" s="1077"/>
      <c r="L6195" s="1077"/>
      <c r="M6195" s="1077"/>
    </row>
    <row r="6196" spans="5:13">
      <c r="E6196" s="1077"/>
      <c r="F6196" s="1077"/>
      <c r="G6196" s="1077"/>
      <c r="H6196" s="1077"/>
      <c r="I6196" s="1077"/>
      <c r="J6196" s="1077"/>
      <c r="K6196" s="1077"/>
      <c r="L6196" s="1077"/>
      <c r="M6196" s="1077"/>
    </row>
    <row r="6197" spans="5:13">
      <c r="E6197" s="1077"/>
      <c r="F6197" s="1077"/>
      <c r="G6197" s="1077"/>
      <c r="H6197" s="1077"/>
      <c r="I6197" s="1077"/>
      <c r="J6197" s="1077"/>
      <c r="K6197" s="1077"/>
      <c r="L6197" s="1077"/>
      <c r="M6197" s="1077"/>
    </row>
    <row r="6198" spans="5:13">
      <c r="E6198" s="1077"/>
      <c r="F6198" s="1077"/>
      <c r="G6198" s="1077"/>
      <c r="H6198" s="1077"/>
      <c r="I6198" s="1077"/>
      <c r="J6198" s="1077"/>
      <c r="K6198" s="1077"/>
      <c r="L6198" s="1077"/>
      <c r="M6198" s="1077"/>
    </row>
    <row r="6199" spans="5:13">
      <c r="E6199" s="1077"/>
      <c r="F6199" s="1077"/>
      <c r="G6199" s="1077"/>
      <c r="H6199" s="1077"/>
      <c r="I6199" s="1077"/>
      <c r="J6199" s="1077"/>
      <c r="K6199" s="1077"/>
      <c r="L6199" s="1077"/>
      <c r="M6199" s="1077"/>
    </row>
    <row r="6200" spans="5:13">
      <c r="E6200" s="1077"/>
      <c r="F6200" s="1077"/>
      <c r="G6200" s="1077"/>
      <c r="H6200" s="1077"/>
      <c r="I6200" s="1077"/>
      <c r="J6200" s="1077"/>
      <c r="K6200" s="1077"/>
      <c r="L6200" s="1077"/>
      <c r="M6200" s="1077"/>
    </row>
    <row r="6201" spans="5:13">
      <c r="E6201" s="1077"/>
      <c r="F6201" s="1077"/>
      <c r="G6201" s="1077"/>
      <c r="H6201" s="1077"/>
      <c r="I6201" s="1077"/>
      <c r="J6201" s="1077"/>
      <c r="K6201" s="1077"/>
      <c r="L6201" s="1077"/>
      <c r="M6201" s="1077"/>
    </row>
    <row r="6202" spans="5:13">
      <c r="E6202" s="1077"/>
      <c r="F6202" s="1077"/>
      <c r="G6202" s="1077"/>
      <c r="H6202" s="1077"/>
      <c r="I6202" s="1077"/>
      <c r="J6202" s="1077"/>
      <c r="K6202" s="1077"/>
      <c r="L6202" s="1077"/>
      <c r="M6202" s="1077"/>
    </row>
    <row r="6203" spans="5:13">
      <c r="E6203" s="1077"/>
      <c r="F6203" s="1077"/>
      <c r="G6203" s="1077"/>
      <c r="H6203" s="1077"/>
      <c r="I6203" s="1077"/>
      <c r="J6203" s="1077"/>
      <c r="K6203" s="1077"/>
      <c r="L6203" s="1077"/>
      <c r="M6203" s="1077"/>
    </row>
    <row r="6204" spans="5:13">
      <c r="E6204" s="1077"/>
      <c r="F6204" s="1077"/>
      <c r="G6204" s="1077"/>
      <c r="H6204" s="1077"/>
      <c r="I6204" s="1077"/>
      <c r="J6204" s="1077"/>
      <c r="K6204" s="1077"/>
      <c r="L6204" s="1077"/>
      <c r="M6204" s="1077"/>
    </row>
    <row r="6205" spans="5:13">
      <c r="E6205" s="1077"/>
      <c r="F6205" s="1077"/>
      <c r="G6205" s="1077"/>
      <c r="H6205" s="1077"/>
      <c r="I6205" s="1077"/>
      <c r="J6205" s="1077"/>
      <c r="K6205" s="1077"/>
      <c r="L6205" s="1077"/>
      <c r="M6205" s="1077"/>
    </row>
    <row r="6206" spans="5:13">
      <c r="E6206" s="1077"/>
      <c r="F6206" s="1077"/>
      <c r="G6206" s="1077"/>
      <c r="H6206" s="1077"/>
      <c r="I6206" s="1077"/>
      <c r="J6206" s="1077"/>
      <c r="K6206" s="1077"/>
      <c r="L6206" s="1077"/>
      <c r="M6206" s="1077"/>
    </row>
    <row r="6207" spans="5:13">
      <c r="E6207" s="1077"/>
      <c r="F6207" s="1077"/>
      <c r="G6207" s="1077"/>
      <c r="H6207" s="1077"/>
      <c r="I6207" s="1077"/>
      <c r="J6207" s="1077"/>
      <c r="K6207" s="1077"/>
      <c r="L6207" s="1077"/>
      <c r="M6207" s="1077"/>
    </row>
    <row r="6208" spans="5:13">
      <c r="E6208" s="1077"/>
      <c r="F6208" s="1077"/>
      <c r="G6208" s="1077"/>
      <c r="H6208" s="1077"/>
      <c r="I6208" s="1077"/>
      <c r="J6208" s="1077"/>
      <c r="K6208" s="1077"/>
      <c r="L6208" s="1077"/>
      <c r="M6208" s="1077"/>
    </row>
    <row r="6209" spans="5:13">
      <c r="E6209" s="1077"/>
      <c r="F6209" s="1077"/>
      <c r="G6209" s="1077"/>
      <c r="H6209" s="1077"/>
      <c r="I6209" s="1077"/>
      <c r="J6209" s="1077"/>
      <c r="K6209" s="1077"/>
      <c r="L6209" s="1077"/>
      <c r="M6209" s="1077"/>
    </row>
    <row r="6210" spans="5:13">
      <c r="E6210" s="1077"/>
      <c r="F6210" s="1077"/>
      <c r="G6210" s="1077"/>
      <c r="H6210" s="1077"/>
      <c r="I6210" s="1077"/>
      <c r="J6210" s="1077"/>
      <c r="K6210" s="1077"/>
      <c r="L6210" s="1077"/>
      <c r="M6210" s="1077"/>
    </row>
    <row r="6211" spans="5:13">
      <c r="E6211" s="1077"/>
      <c r="F6211" s="1077"/>
      <c r="G6211" s="1077"/>
      <c r="H6211" s="1077"/>
      <c r="I6211" s="1077"/>
      <c r="J6211" s="1077"/>
      <c r="K6211" s="1077"/>
      <c r="L6211" s="1077"/>
      <c r="M6211" s="1077"/>
    </row>
    <row r="6212" spans="5:13">
      <c r="E6212" s="1077"/>
      <c r="F6212" s="1077"/>
      <c r="G6212" s="1077"/>
      <c r="H6212" s="1077"/>
      <c r="I6212" s="1077"/>
      <c r="J6212" s="1077"/>
      <c r="K6212" s="1077"/>
      <c r="L6212" s="1077"/>
      <c r="M6212" s="1077"/>
    </row>
    <row r="6213" spans="5:13">
      <c r="E6213" s="1077"/>
      <c r="F6213" s="1077"/>
      <c r="G6213" s="1077"/>
      <c r="H6213" s="1077"/>
      <c r="I6213" s="1077"/>
      <c r="J6213" s="1077"/>
      <c r="K6213" s="1077"/>
      <c r="L6213" s="1077"/>
      <c r="M6213" s="1077"/>
    </row>
    <row r="6214" spans="5:13">
      <c r="E6214" s="1077"/>
      <c r="F6214" s="1077"/>
      <c r="G6214" s="1077"/>
      <c r="H6214" s="1077"/>
      <c r="I6214" s="1077"/>
      <c r="J6214" s="1077"/>
      <c r="K6214" s="1077"/>
      <c r="L6214" s="1077"/>
      <c r="M6214" s="1077"/>
    </row>
    <row r="6215" spans="5:13">
      <c r="E6215" s="1077"/>
      <c r="F6215" s="1077"/>
      <c r="G6215" s="1077"/>
      <c r="H6215" s="1077"/>
      <c r="I6215" s="1077"/>
      <c r="J6215" s="1077"/>
      <c r="K6215" s="1077"/>
      <c r="L6215" s="1077"/>
      <c r="M6215" s="1077"/>
    </row>
    <row r="6216" spans="5:13">
      <c r="E6216" s="1077"/>
      <c r="F6216" s="1077"/>
      <c r="G6216" s="1077"/>
      <c r="H6216" s="1077"/>
      <c r="I6216" s="1077"/>
      <c r="J6216" s="1077"/>
      <c r="K6216" s="1077"/>
      <c r="L6216" s="1077"/>
      <c r="M6216" s="1077"/>
    </row>
    <row r="6217" spans="5:13">
      <c r="E6217" s="1077"/>
      <c r="F6217" s="1077"/>
      <c r="G6217" s="1077"/>
      <c r="H6217" s="1077"/>
      <c r="I6217" s="1077"/>
      <c r="J6217" s="1077"/>
      <c r="K6217" s="1077"/>
      <c r="L6217" s="1077"/>
      <c r="M6217" s="1077"/>
    </row>
    <row r="6218" spans="5:13">
      <c r="E6218" s="1077"/>
      <c r="F6218" s="1077"/>
      <c r="G6218" s="1077"/>
      <c r="H6218" s="1077"/>
      <c r="I6218" s="1077"/>
      <c r="J6218" s="1077"/>
      <c r="K6218" s="1077"/>
      <c r="L6218" s="1077"/>
      <c r="M6218" s="1077"/>
    </row>
    <row r="6219" spans="5:13">
      <c r="E6219" s="1077"/>
      <c r="F6219" s="1077"/>
      <c r="G6219" s="1077"/>
      <c r="H6219" s="1077"/>
      <c r="I6219" s="1077"/>
      <c r="J6219" s="1077"/>
      <c r="K6219" s="1077"/>
      <c r="L6219" s="1077"/>
      <c r="M6219" s="1077"/>
    </row>
    <row r="6220" spans="5:13">
      <c r="E6220" s="1077"/>
      <c r="F6220" s="1077"/>
      <c r="G6220" s="1077"/>
      <c r="H6220" s="1077"/>
      <c r="I6220" s="1077"/>
      <c r="J6220" s="1077"/>
      <c r="K6220" s="1077"/>
      <c r="L6220" s="1077"/>
      <c r="M6220" s="1077"/>
    </row>
    <row r="6221" spans="5:13">
      <c r="E6221" s="1077"/>
      <c r="F6221" s="1077"/>
      <c r="G6221" s="1077"/>
      <c r="H6221" s="1077"/>
      <c r="I6221" s="1077"/>
      <c r="J6221" s="1077"/>
      <c r="K6221" s="1077"/>
      <c r="L6221" s="1077"/>
      <c r="M6221" s="1077"/>
    </row>
    <row r="6222" spans="5:13">
      <c r="E6222" s="1077"/>
      <c r="F6222" s="1077"/>
      <c r="G6222" s="1077"/>
      <c r="H6222" s="1077"/>
      <c r="I6222" s="1077"/>
      <c r="J6222" s="1077"/>
      <c r="K6222" s="1077"/>
      <c r="L6222" s="1077"/>
      <c r="M6222" s="1077"/>
    </row>
    <row r="6223" spans="5:13">
      <c r="E6223" s="1077"/>
      <c r="F6223" s="1077"/>
      <c r="G6223" s="1077"/>
      <c r="H6223" s="1077"/>
      <c r="I6223" s="1077"/>
      <c r="J6223" s="1077"/>
      <c r="K6223" s="1077"/>
      <c r="L6223" s="1077"/>
      <c r="M6223" s="1077"/>
    </row>
    <row r="6224" spans="5:13">
      <c r="E6224" s="1077"/>
      <c r="F6224" s="1077"/>
      <c r="G6224" s="1077"/>
      <c r="H6224" s="1077"/>
      <c r="I6224" s="1077"/>
      <c r="J6224" s="1077"/>
      <c r="K6224" s="1077"/>
      <c r="L6224" s="1077"/>
      <c r="M6224" s="1077"/>
    </row>
    <row r="6225" spans="5:13">
      <c r="E6225" s="1077"/>
      <c r="F6225" s="1077"/>
      <c r="G6225" s="1077"/>
      <c r="H6225" s="1077"/>
      <c r="I6225" s="1077"/>
      <c r="J6225" s="1077"/>
      <c r="K6225" s="1077"/>
      <c r="L6225" s="1077"/>
      <c r="M6225" s="1077"/>
    </row>
    <row r="6226" spans="5:13">
      <c r="E6226" s="1077"/>
      <c r="F6226" s="1077"/>
      <c r="G6226" s="1077"/>
      <c r="H6226" s="1077"/>
      <c r="I6226" s="1077"/>
      <c r="J6226" s="1077"/>
      <c r="K6226" s="1077"/>
      <c r="L6226" s="1077"/>
      <c r="M6226" s="1077"/>
    </row>
    <row r="6227" spans="5:13">
      <c r="E6227" s="1077"/>
      <c r="F6227" s="1077"/>
      <c r="G6227" s="1077"/>
      <c r="H6227" s="1077"/>
      <c r="I6227" s="1077"/>
      <c r="J6227" s="1077"/>
      <c r="K6227" s="1077"/>
      <c r="L6227" s="1077"/>
      <c r="M6227" s="1077"/>
    </row>
    <row r="6228" spans="5:13">
      <c r="E6228" s="1077"/>
      <c r="F6228" s="1077"/>
      <c r="G6228" s="1077"/>
      <c r="H6228" s="1077"/>
      <c r="I6228" s="1077"/>
      <c r="J6228" s="1077"/>
      <c r="K6228" s="1077"/>
      <c r="L6228" s="1077"/>
      <c r="M6228" s="1077"/>
    </row>
    <row r="6229" spans="5:13">
      <c r="E6229" s="1077"/>
      <c r="F6229" s="1077"/>
      <c r="G6229" s="1077"/>
      <c r="H6229" s="1077"/>
      <c r="I6229" s="1077"/>
      <c r="J6229" s="1077"/>
      <c r="K6229" s="1077"/>
      <c r="L6229" s="1077"/>
      <c r="M6229" s="1077"/>
    </row>
    <row r="6230" spans="5:13">
      <c r="E6230" s="1077"/>
      <c r="F6230" s="1077"/>
      <c r="G6230" s="1077"/>
      <c r="H6230" s="1077"/>
      <c r="I6230" s="1077"/>
      <c r="J6230" s="1077"/>
      <c r="K6230" s="1077"/>
      <c r="L6230" s="1077"/>
      <c r="M6230" s="1077"/>
    </row>
    <row r="6231" spans="5:13">
      <c r="E6231" s="1077"/>
      <c r="F6231" s="1077"/>
      <c r="G6231" s="1077"/>
      <c r="H6231" s="1077"/>
      <c r="I6231" s="1077"/>
      <c r="J6231" s="1077"/>
      <c r="K6231" s="1077"/>
      <c r="L6231" s="1077"/>
      <c r="M6231" s="1077"/>
    </row>
    <row r="6232" spans="5:13">
      <c r="E6232" s="1077"/>
      <c r="F6232" s="1077"/>
      <c r="G6232" s="1077"/>
      <c r="H6232" s="1077"/>
      <c r="I6232" s="1077"/>
      <c r="J6232" s="1077"/>
      <c r="K6232" s="1077"/>
      <c r="L6232" s="1077"/>
      <c r="M6232" s="1077"/>
    </row>
    <row r="6233" spans="5:13">
      <c r="E6233" s="1077"/>
      <c r="F6233" s="1077"/>
      <c r="G6233" s="1077"/>
      <c r="H6233" s="1077"/>
      <c r="I6233" s="1077"/>
      <c r="J6233" s="1077"/>
      <c r="K6233" s="1077"/>
      <c r="L6233" s="1077"/>
      <c r="M6233" s="1077"/>
    </row>
    <row r="6234" spans="5:13">
      <c r="E6234" s="1077"/>
      <c r="F6234" s="1077"/>
      <c r="G6234" s="1077"/>
      <c r="H6234" s="1077"/>
      <c r="I6234" s="1077"/>
      <c r="J6234" s="1077"/>
      <c r="K6234" s="1077"/>
      <c r="L6234" s="1077"/>
      <c r="M6234" s="1077"/>
    </row>
    <row r="6235" spans="5:13">
      <c r="E6235" s="1077"/>
      <c r="F6235" s="1077"/>
      <c r="G6235" s="1077"/>
      <c r="H6235" s="1077"/>
      <c r="I6235" s="1077"/>
      <c r="J6235" s="1077"/>
      <c r="K6235" s="1077"/>
      <c r="L6235" s="1077"/>
      <c r="M6235" s="1077"/>
    </row>
    <row r="6236" spans="5:13">
      <c r="E6236" s="1077"/>
      <c r="F6236" s="1077"/>
      <c r="G6236" s="1077"/>
      <c r="H6236" s="1077"/>
      <c r="I6236" s="1077"/>
      <c r="J6236" s="1077"/>
      <c r="K6236" s="1077"/>
      <c r="L6236" s="1077"/>
      <c r="M6236" s="1077"/>
    </row>
    <row r="6237" spans="5:13">
      <c r="E6237" s="1077"/>
      <c r="F6237" s="1077"/>
      <c r="G6237" s="1077"/>
      <c r="H6237" s="1077"/>
      <c r="I6237" s="1077"/>
      <c r="J6237" s="1077"/>
      <c r="K6237" s="1077"/>
      <c r="L6237" s="1077"/>
      <c r="M6237" s="1077"/>
    </row>
    <row r="6238" spans="5:13">
      <c r="E6238" s="1077"/>
      <c r="F6238" s="1077"/>
      <c r="G6238" s="1077"/>
      <c r="H6238" s="1077"/>
      <c r="I6238" s="1077"/>
      <c r="J6238" s="1077"/>
      <c r="K6238" s="1077"/>
      <c r="L6238" s="1077"/>
      <c r="M6238" s="1077"/>
    </row>
    <row r="6239" spans="5:13">
      <c r="E6239" s="1077"/>
      <c r="F6239" s="1077"/>
      <c r="G6239" s="1077"/>
      <c r="H6239" s="1077"/>
      <c r="I6239" s="1077"/>
      <c r="J6239" s="1077"/>
      <c r="K6239" s="1077"/>
      <c r="L6239" s="1077"/>
      <c r="M6239" s="1077"/>
    </row>
    <row r="6240" spans="5:13">
      <c r="E6240" s="1077"/>
      <c r="F6240" s="1077"/>
      <c r="G6240" s="1077"/>
      <c r="H6240" s="1077"/>
      <c r="I6240" s="1077"/>
      <c r="J6240" s="1077"/>
      <c r="K6240" s="1077"/>
      <c r="L6240" s="1077"/>
      <c r="M6240" s="1077"/>
    </row>
    <row r="6241" spans="5:13">
      <c r="E6241" s="1077"/>
      <c r="F6241" s="1077"/>
      <c r="G6241" s="1077"/>
      <c r="H6241" s="1077"/>
      <c r="I6241" s="1077"/>
      <c r="J6241" s="1077"/>
      <c r="K6241" s="1077"/>
      <c r="L6241" s="1077"/>
      <c r="M6241" s="1077"/>
    </row>
    <row r="6242" spans="5:13">
      <c r="E6242" s="1077"/>
      <c r="F6242" s="1077"/>
      <c r="G6242" s="1077"/>
      <c r="H6242" s="1077"/>
      <c r="I6242" s="1077"/>
      <c r="J6242" s="1077"/>
      <c r="K6242" s="1077"/>
      <c r="L6242" s="1077"/>
      <c r="M6242" s="1077"/>
    </row>
    <row r="6243" spans="5:13">
      <c r="E6243" s="1077"/>
      <c r="F6243" s="1077"/>
      <c r="G6243" s="1077"/>
      <c r="H6243" s="1077"/>
      <c r="I6243" s="1077"/>
      <c r="J6243" s="1077"/>
      <c r="K6243" s="1077"/>
      <c r="L6243" s="1077"/>
      <c r="M6243" s="1077"/>
    </row>
    <row r="6244" spans="5:13">
      <c r="E6244" s="1077"/>
      <c r="F6244" s="1077"/>
      <c r="G6244" s="1077"/>
      <c r="H6244" s="1077"/>
      <c r="I6244" s="1077"/>
      <c r="J6244" s="1077"/>
      <c r="K6244" s="1077"/>
      <c r="L6244" s="1077"/>
      <c r="M6244" s="1077"/>
    </row>
    <row r="6245" spans="5:13">
      <c r="E6245" s="1077"/>
      <c r="F6245" s="1077"/>
      <c r="G6245" s="1077"/>
      <c r="H6245" s="1077"/>
      <c r="I6245" s="1077"/>
      <c r="J6245" s="1077"/>
      <c r="K6245" s="1077"/>
      <c r="L6245" s="1077"/>
      <c r="M6245" s="1077"/>
    </row>
    <row r="6246" spans="5:13">
      <c r="E6246" s="1077"/>
      <c r="F6246" s="1077"/>
      <c r="G6246" s="1077"/>
      <c r="H6246" s="1077"/>
      <c r="I6246" s="1077"/>
      <c r="J6246" s="1077"/>
      <c r="K6246" s="1077"/>
      <c r="L6246" s="1077"/>
      <c r="M6246" s="1077"/>
    </row>
    <row r="6247" spans="5:13">
      <c r="E6247" s="1077"/>
      <c r="F6247" s="1077"/>
      <c r="G6247" s="1077"/>
      <c r="H6247" s="1077"/>
      <c r="I6247" s="1077"/>
      <c r="J6247" s="1077"/>
      <c r="K6247" s="1077"/>
      <c r="L6247" s="1077"/>
      <c r="M6247" s="1077"/>
    </row>
    <row r="6248" spans="5:13">
      <c r="E6248" s="1077"/>
      <c r="F6248" s="1077"/>
      <c r="G6248" s="1077"/>
      <c r="H6248" s="1077"/>
      <c r="I6248" s="1077"/>
      <c r="J6248" s="1077"/>
      <c r="K6248" s="1077"/>
      <c r="L6248" s="1077"/>
      <c r="M6248" s="1077"/>
    </row>
    <row r="6249" spans="5:13">
      <c r="E6249" s="1077"/>
      <c r="F6249" s="1077"/>
      <c r="G6249" s="1077"/>
      <c r="H6249" s="1077"/>
      <c r="I6249" s="1077"/>
      <c r="J6249" s="1077"/>
      <c r="K6249" s="1077"/>
      <c r="L6249" s="1077"/>
      <c r="M6249" s="1077"/>
    </row>
    <row r="6250" spans="5:13">
      <c r="E6250" s="1077"/>
      <c r="F6250" s="1077"/>
      <c r="G6250" s="1077"/>
      <c r="H6250" s="1077"/>
      <c r="I6250" s="1077"/>
      <c r="J6250" s="1077"/>
      <c r="K6250" s="1077"/>
      <c r="L6250" s="1077"/>
      <c r="M6250" s="1077"/>
    </row>
    <row r="6251" spans="5:13">
      <c r="E6251" s="1077"/>
      <c r="F6251" s="1077"/>
      <c r="G6251" s="1077"/>
      <c r="H6251" s="1077"/>
      <c r="I6251" s="1077"/>
      <c r="J6251" s="1077"/>
      <c r="K6251" s="1077"/>
      <c r="L6251" s="1077"/>
      <c r="M6251" s="1077"/>
    </row>
    <row r="6252" spans="5:13">
      <c r="E6252" s="1077"/>
      <c r="F6252" s="1077"/>
      <c r="G6252" s="1077"/>
      <c r="H6252" s="1077"/>
      <c r="I6252" s="1077"/>
      <c r="J6252" s="1077"/>
      <c r="K6252" s="1077"/>
      <c r="L6252" s="1077"/>
      <c r="M6252" s="1077"/>
    </row>
    <row r="6253" spans="5:13">
      <c r="E6253" s="1077"/>
      <c r="F6253" s="1077"/>
      <c r="G6253" s="1077"/>
      <c r="H6253" s="1077"/>
      <c r="I6253" s="1077"/>
      <c r="J6253" s="1077"/>
      <c r="K6253" s="1077"/>
      <c r="L6253" s="1077"/>
      <c r="M6253" s="1077"/>
    </row>
    <row r="6254" spans="5:13">
      <c r="E6254" s="1077"/>
      <c r="F6254" s="1077"/>
      <c r="G6254" s="1077"/>
      <c r="H6254" s="1077"/>
      <c r="I6254" s="1077"/>
      <c r="J6254" s="1077"/>
      <c r="K6254" s="1077"/>
      <c r="L6254" s="1077"/>
      <c r="M6254" s="1077"/>
    </row>
    <row r="6255" spans="5:13">
      <c r="E6255" s="1077"/>
      <c r="F6255" s="1077"/>
      <c r="G6255" s="1077"/>
      <c r="H6255" s="1077"/>
      <c r="I6255" s="1077"/>
      <c r="J6255" s="1077"/>
      <c r="K6255" s="1077"/>
      <c r="L6255" s="1077"/>
      <c r="M6255" s="1077"/>
    </row>
    <row r="6256" spans="5:13">
      <c r="E6256" s="1077"/>
      <c r="F6256" s="1077"/>
      <c r="G6256" s="1077"/>
      <c r="H6256" s="1077"/>
      <c r="I6256" s="1077"/>
      <c r="J6256" s="1077"/>
      <c r="K6256" s="1077"/>
      <c r="L6256" s="1077"/>
      <c r="M6256" s="1077"/>
    </row>
    <row r="6257" spans="5:13">
      <c r="E6257" s="1077"/>
      <c r="F6257" s="1077"/>
      <c r="G6257" s="1077"/>
      <c r="H6257" s="1077"/>
      <c r="I6257" s="1077"/>
      <c r="J6257" s="1077"/>
      <c r="K6257" s="1077"/>
      <c r="L6257" s="1077"/>
      <c r="M6257" s="1077"/>
    </row>
    <row r="6258" spans="5:13">
      <c r="E6258" s="1077"/>
      <c r="F6258" s="1077"/>
      <c r="G6258" s="1077"/>
      <c r="H6258" s="1077"/>
      <c r="I6258" s="1077"/>
      <c r="J6258" s="1077"/>
      <c r="K6258" s="1077"/>
      <c r="L6258" s="1077"/>
      <c r="M6258" s="1077"/>
    </row>
    <row r="6259" spans="5:13">
      <c r="E6259" s="1077"/>
      <c r="F6259" s="1077"/>
      <c r="G6259" s="1077"/>
      <c r="H6259" s="1077"/>
      <c r="I6259" s="1077"/>
      <c r="J6259" s="1077"/>
      <c r="K6259" s="1077"/>
      <c r="L6259" s="1077"/>
      <c r="M6259" s="1077"/>
    </row>
    <row r="6260" spans="5:13">
      <c r="E6260" s="1077"/>
      <c r="F6260" s="1077"/>
      <c r="G6260" s="1077"/>
      <c r="H6260" s="1077"/>
      <c r="I6260" s="1077"/>
      <c r="J6260" s="1077"/>
      <c r="K6260" s="1077"/>
      <c r="L6260" s="1077"/>
      <c r="M6260" s="1077"/>
    </row>
    <row r="6261" spans="5:13">
      <c r="E6261" s="1077"/>
      <c r="F6261" s="1077"/>
      <c r="G6261" s="1077"/>
      <c r="H6261" s="1077"/>
      <c r="I6261" s="1077"/>
      <c r="J6261" s="1077"/>
      <c r="K6261" s="1077"/>
      <c r="L6261" s="1077"/>
      <c r="M6261" s="1077"/>
    </row>
    <row r="6262" spans="5:13">
      <c r="E6262" s="1077"/>
      <c r="F6262" s="1077"/>
      <c r="G6262" s="1077"/>
      <c r="H6262" s="1077"/>
      <c r="I6262" s="1077"/>
      <c r="J6262" s="1077"/>
      <c r="K6262" s="1077"/>
      <c r="L6262" s="1077"/>
      <c r="M6262" s="1077"/>
    </row>
    <row r="6263" spans="5:13">
      <c r="E6263" s="1077"/>
      <c r="F6263" s="1077"/>
      <c r="G6263" s="1077"/>
      <c r="H6263" s="1077"/>
      <c r="I6263" s="1077"/>
      <c r="J6263" s="1077"/>
      <c r="K6263" s="1077"/>
      <c r="L6263" s="1077"/>
      <c r="M6263" s="1077"/>
    </row>
    <row r="6264" spans="5:13">
      <c r="E6264" s="1077"/>
      <c r="F6264" s="1077"/>
      <c r="G6264" s="1077"/>
      <c r="H6264" s="1077"/>
      <c r="I6264" s="1077"/>
      <c r="J6264" s="1077"/>
      <c r="K6264" s="1077"/>
      <c r="L6264" s="1077"/>
      <c r="M6264" s="1077"/>
    </row>
    <row r="6265" spans="5:13">
      <c r="E6265" s="1077"/>
      <c r="F6265" s="1077"/>
      <c r="G6265" s="1077"/>
      <c r="H6265" s="1077"/>
      <c r="I6265" s="1077"/>
      <c r="J6265" s="1077"/>
      <c r="K6265" s="1077"/>
      <c r="L6265" s="1077"/>
      <c r="M6265" s="1077"/>
    </row>
    <row r="6266" spans="5:13">
      <c r="E6266" s="1077"/>
      <c r="F6266" s="1077"/>
      <c r="G6266" s="1077"/>
      <c r="H6266" s="1077"/>
      <c r="I6266" s="1077"/>
      <c r="J6266" s="1077"/>
      <c r="K6266" s="1077"/>
      <c r="L6266" s="1077"/>
      <c r="M6266" s="1077"/>
    </row>
    <row r="6267" spans="5:13">
      <c r="E6267" s="1077"/>
      <c r="F6267" s="1077"/>
      <c r="G6267" s="1077"/>
      <c r="H6267" s="1077"/>
      <c r="I6267" s="1077"/>
      <c r="J6267" s="1077"/>
      <c r="K6267" s="1077"/>
      <c r="L6267" s="1077"/>
      <c r="M6267" s="1077"/>
    </row>
    <row r="6268" spans="5:13">
      <c r="E6268" s="1077"/>
      <c r="F6268" s="1077"/>
      <c r="G6268" s="1077"/>
      <c r="H6268" s="1077"/>
      <c r="I6268" s="1077"/>
      <c r="J6268" s="1077"/>
      <c r="K6268" s="1077"/>
      <c r="L6268" s="1077"/>
      <c r="M6268" s="1077"/>
    </row>
    <row r="6269" spans="5:13">
      <c r="E6269" s="1077"/>
      <c r="F6269" s="1077"/>
      <c r="G6269" s="1077"/>
      <c r="H6269" s="1077"/>
      <c r="I6269" s="1077"/>
      <c r="J6269" s="1077"/>
      <c r="K6269" s="1077"/>
      <c r="L6269" s="1077"/>
      <c r="M6269" s="1077"/>
    </row>
    <row r="6270" spans="5:13">
      <c r="E6270" s="1077"/>
      <c r="F6270" s="1077"/>
      <c r="G6270" s="1077"/>
      <c r="H6270" s="1077"/>
      <c r="I6270" s="1077"/>
      <c r="J6270" s="1077"/>
      <c r="K6270" s="1077"/>
      <c r="L6270" s="1077"/>
      <c r="M6270" s="1077"/>
    </row>
    <row r="6271" spans="5:13">
      <c r="E6271" s="1077"/>
      <c r="F6271" s="1077"/>
      <c r="G6271" s="1077"/>
      <c r="H6271" s="1077"/>
      <c r="I6271" s="1077"/>
      <c r="J6271" s="1077"/>
      <c r="K6271" s="1077"/>
      <c r="L6271" s="1077"/>
      <c r="M6271" s="1077"/>
    </row>
    <row r="6272" spans="5:13">
      <c r="E6272" s="1077"/>
      <c r="F6272" s="1077"/>
      <c r="G6272" s="1077"/>
      <c r="H6272" s="1077"/>
      <c r="I6272" s="1077"/>
      <c r="J6272" s="1077"/>
      <c r="K6272" s="1077"/>
      <c r="L6272" s="1077"/>
      <c r="M6272" s="1077"/>
    </row>
    <row r="6273" spans="5:13">
      <c r="E6273" s="1077"/>
      <c r="F6273" s="1077"/>
      <c r="G6273" s="1077"/>
      <c r="H6273" s="1077"/>
      <c r="I6273" s="1077"/>
      <c r="J6273" s="1077"/>
      <c r="K6273" s="1077"/>
      <c r="L6273" s="1077"/>
      <c r="M6273" s="1077"/>
    </row>
    <row r="6274" spans="5:13">
      <c r="E6274" s="1077"/>
      <c r="F6274" s="1077"/>
      <c r="G6274" s="1077"/>
      <c r="H6274" s="1077"/>
      <c r="I6274" s="1077"/>
      <c r="J6274" s="1077"/>
      <c r="K6274" s="1077"/>
      <c r="L6274" s="1077"/>
      <c r="M6274" s="1077"/>
    </row>
    <row r="6275" spans="5:13">
      <c r="E6275" s="1077"/>
      <c r="F6275" s="1077"/>
      <c r="G6275" s="1077"/>
      <c r="H6275" s="1077"/>
      <c r="I6275" s="1077"/>
      <c r="J6275" s="1077"/>
      <c r="K6275" s="1077"/>
      <c r="L6275" s="1077"/>
      <c r="M6275" s="1077"/>
    </row>
    <row r="6276" spans="5:13">
      <c r="E6276" s="1077"/>
      <c r="F6276" s="1077"/>
      <c r="G6276" s="1077"/>
      <c r="H6276" s="1077"/>
      <c r="I6276" s="1077"/>
      <c r="J6276" s="1077"/>
      <c r="K6276" s="1077"/>
      <c r="L6276" s="1077"/>
      <c r="M6276" s="1077"/>
    </row>
    <row r="6277" spans="5:13">
      <c r="E6277" s="1077"/>
      <c r="F6277" s="1077"/>
      <c r="G6277" s="1077"/>
      <c r="H6277" s="1077"/>
      <c r="I6277" s="1077"/>
      <c r="J6277" s="1077"/>
      <c r="K6277" s="1077"/>
      <c r="L6277" s="1077"/>
      <c r="M6277" s="1077"/>
    </row>
    <row r="6278" spans="5:13">
      <c r="E6278" s="1077"/>
      <c r="F6278" s="1077"/>
      <c r="G6278" s="1077"/>
      <c r="H6278" s="1077"/>
      <c r="I6278" s="1077"/>
      <c r="J6278" s="1077"/>
      <c r="K6278" s="1077"/>
      <c r="L6278" s="1077"/>
      <c r="M6278" s="1077"/>
    </row>
    <row r="6279" spans="5:13">
      <c r="E6279" s="1077"/>
      <c r="F6279" s="1077"/>
      <c r="G6279" s="1077"/>
      <c r="H6279" s="1077"/>
      <c r="I6279" s="1077"/>
      <c r="J6279" s="1077"/>
      <c r="K6279" s="1077"/>
      <c r="L6279" s="1077"/>
      <c r="M6279" s="1077"/>
    </row>
    <row r="6280" spans="5:13">
      <c r="E6280" s="1077"/>
      <c r="F6280" s="1077"/>
      <c r="G6280" s="1077"/>
      <c r="H6280" s="1077"/>
      <c r="I6280" s="1077"/>
      <c r="J6280" s="1077"/>
      <c r="K6280" s="1077"/>
      <c r="L6280" s="1077"/>
      <c r="M6280" s="1077"/>
    </row>
    <row r="6281" spans="5:13">
      <c r="E6281" s="1077"/>
      <c r="F6281" s="1077"/>
      <c r="G6281" s="1077"/>
      <c r="H6281" s="1077"/>
      <c r="I6281" s="1077"/>
      <c r="J6281" s="1077"/>
      <c r="K6281" s="1077"/>
      <c r="L6281" s="1077"/>
      <c r="M6281" s="1077"/>
    </row>
    <row r="6282" spans="5:13">
      <c r="E6282" s="1077"/>
      <c r="F6282" s="1077"/>
      <c r="G6282" s="1077"/>
      <c r="H6282" s="1077"/>
      <c r="I6282" s="1077"/>
      <c r="J6282" s="1077"/>
      <c r="K6282" s="1077"/>
      <c r="L6282" s="1077"/>
      <c r="M6282" s="1077"/>
    </row>
    <row r="6283" spans="5:13">
      <c r="E6283" s="1077"/>
      <c r="F6283" s="1077"/>
      <c r="G6283" s="1077"/>
      <c r="H6283" s="1077"/>
      <c r="I6283" s="1077"/>
      <c r="J6283" s="1077"/>
      <c r="K6283" s="1077"/>
      <c r="L6283" s="1077"/>
      <c r="M6283" s="1077"/>
    </row>
    <row r="6284" spans="5:13">
      <c r="E6284" s="1077"/>
      <c r="F6284" s="1077"/>
      <c r="G6284" s="1077"/>
      <c r="H6284" s="1077"/>
      <c r="I6284" s="1077"/>
      <c r="J6284" s="1077"/>
      <c r="K6284" s="1077"/>
      <c r="L6284" s="1077"/>
      <c r="M6284" s="1077"/>
    </row>
    <row r="6285" spans="5:13">
      <c r="E6285" s="1077"/>
      <c r="F6285" s="1077"/>
      <c r="G6285" s="1077"/>
      <c r="H6285" s="1077"/>
      <c r="I6285" s="1077"/>
      <c r="J6285" s="1077"/>
      <c r="K6285" s="1077"/>
      <c r="L6285" s="1077"/>
      <c r="M6285" s="1077"/>
    </row>
    <row r="6286" spans="5:13">
      <c r="E6286" s="1077"/>
      <c r="F6286" s="1077"/>
      <c r="G6286" s="1077"/>
      <c r="H6286" s="1077"/>
      <c r="I6286" s="1077"/>
      <c r="J6286" s="1077"/>
      <c r="K6286" s="1077"/>
      <c r="L6286" s="1077"/>
      <c r="M6286" s="1077"/>
    </row>
    <row r="6287" spans="5:13">
      <c r="E6287" s="1077"/>
      <c r="F6287" s="1077"/>
      <c r="G6287" s="1077"/>
      <c r="H6287" s="1077"/>
      <c r="I6287" s="1077"/>
      <c r="J6287" s="1077"/>
      <c r="K6287" s="1077"/>
      <c r="L6287" s="1077"/>
      <c r="M6287" s="1077"/>
    </row>
    <row r="6288" spans="5:13">
      <c r="E6288" s="1077"/>
      <c r="F6288" s="1077"/>
      <c r="G6288" s="1077"/>
      <c r="H6288" s="1077"/>
      <c r="I6288" s="1077"/>
      <c r="J6288" s="1077"/>
      <c r="K6288" s="1077"/>
      <c r="L6288" s="1077"/>
      <c r="M6288" s="1077"/>
    </row>
    <row r="6289" spans="5:13">
      <c r="E6289" s="1077"/>
      <c r="F6289" s="1077"/>
      <c r="G6289" s="1077"/>
      <c r="H6289" s="1077"/>
      <c r="I6289" s="1077"/>
      <c r="J6289" s="1077"/>
      <c r="K6289" s="1077"/>
      <c r="L6289" s="1077"/>
      <c r="M6289" s="1077"/>
    </row>
    <row r="6290" spans="5:13">
      <c r="E6290" s="1077"/>
      <c r="F6290" s="1077"/>
      <c r="G6290" s="1077"/>
      <c r="H6290" s="1077"/>
      <c r="I6290" s="1077"/>
      <c r="J6290" s="1077"/>
      <c r="K6290" s="1077"/>
      <c r="L6290" s="1077"/>
      <c r="M6290" s="1077"/>
    </row>
    <row r="6291" spans="5:13">
      <c r="E6291" s="1077"/>
      <c r="F6291" s="1077"/>
      <c r="G6291" s="1077"/>
      <c r="H6291" s="1077"/>
      <c r="I6291" s="1077"/>
      <c r="J6291" s="1077"/>
      <c r="K6291" s="1077"/>
      <c r="L6291" s="1077"/>
      <c r="M6291" s="1077"/>
    </row>
    <row r="6292" spans="5:13">
      <c r="E6292" s="1077"/>
      <c r="F6292" s="1077"/>
      <c r="G6292" s="1077"/>
      <c r="H6292" s="1077"/>
      <c r="I6292" s="1077"/>
      <c r="J6292" s="1077"/>
      <c r="K6292" s="1077"/>
      <c r="L6292" s="1077"/>
      <c r="M6292" s="1077"/>
    </row>
    <row r="6293" spans="5:13">
      <c r="E6293" s="1077"/>
      <c r="F6293" s="1077"/>
      <c r="G6293" s="1077"/>
      <c r="H6293" s="1077"/>
      <c r="I6293" s="1077"/>
      <c r="J6293" s="1077"/>
      <c r="K6293" s="1077"/>
      <c r="L6293" s="1077"/>
      <c r="M6293" s="1077"/>
    </row>
    <row r="6294" spans="5:13">
      <c r="E6294" s="1077"/>
      <c r="F6294" s="1077"/>
      <c r="G6294" s="1077"/>
      <c r="H6294" s="1077"/>
      <c r="I6294" s="1077"/>
      <c r="J6294" s="1077"/>
      <c r="K6294" s="1077"/>
      <c r="L6294" s="1077"/>
      <c r="M6294" s="1077"/>
    </row>
    <row r="6295" spans="5:13">
      <c r="E6295" s="1077"/>
      <c r="F6295" s="1077"/>
      <c r="G6295" s="1077"/>
      <c r="H6295" s="1077"/>
      <c r="I6295" s="1077"/>
      <c r="J6295" s="1077"/>
      <c r="K6295" s="1077"/>
      <c r="L6295" s="1077"/>
      <c r="M6295" s="1077"/>
    </row>
    <row r="6296" spans="5:13">
      <c r="E6296" s="1077"/>
      <c r="F6296" s="1077"/>
      <c r="G6296" s="1077"/>
      <c r="H6296" s="1077"/>
      <c r="I6296" s="1077"/>
      <c r="J6296" s="1077"/>
      <c r="K6296" s="1077"/>
      <c r="L6296" s="1077"/>
      <c r="M6296" s="1077"/>
    </row>
    <row r="6297" spans="5:13">
      <c r="E6297" s="1077"/>
      <c r="F6297" s="1077"/>
      <c r="G6297" s="1077"/>
      <c r="H6297" s="1077"/>
      <c r="I6297" s="1077"/>
      <c r="J6297" s="1077"/>
      <c r="K6297" s="1077"/>
      <c r="L6297" s="1077"/>
      <c r="M6297" s="1077"/>
    </row>
    <row r="6298" spans="5:13">
      <c r="E6298" s="1077"/>
      <c r="F6298" s="1077"/>
      <c r="G6298" s="1077"/>
      <c r="H6298" s="1077"/>
      <c r="I6298" s="1077"/>
      <c r="J6298" s="1077"/>
      <c r="K6298" s="1077"/>
      <c r="L6298" s="1077"/>
      <c r="M6298" s="1077"/>
    </row>
    <row r="6299" spans="5:13">
      <c r="E6299" s="1077"/>
      <c r="F6299" s="1077"/>
      <c r="G6299" s="1077"/>
      <c r="H6299" s="1077"/>
      <c r="I6299" s="1077"/>
      <c r="J6299" s="1077"/>
      <c r="K6299" s="1077"/>
      <c r="L6299" s="1077"/>
      <c r="M6299" s="1077"/>
    </row>
    <row r="6300" spans="5:13">
      <c r="E6300" s="1077"/>
      <c r="F6300" s="1077"/>
      <c r="G6300" s="1077"/>
      <c r="H6300" s="1077"/>
      <c r="I6300" s="1077"/>
      <c r="J6300" s="1077"/>
      <c r="K6300" s="1077"/>
      <c r="L6300" s="1077"/>
      <c r="M6300" s="1077"/>
    </row>
    <row r="6301" spans="5:13">
      <c r="E6301" s="1077"/>
      <c r="F6301" s="1077"/>
      <c r="G6301" s="1077"/>
      <c r="H6301" s="1077"/>
      <c r="I6301" s="1077"/>
      <c r="J6301" s="1077"/>
      <c r="K6301" s="1077"/>
      <c r="L6301" s="1077"/>
      <c r="M6301" s="1077"/>
    </row>
    <row r="6302" spans="5:13">
      <c r="E6302" s="1077"/>
      <c r="F6302" s="1077"/>
      <c r="G6302" s="1077"/>
      <c r="H6302" s="1077"/>
      <c r="I6302" s="1077"/>
      <c r="J6302" s="1077"/>
      <c r="K6302" s="1077"/>
      <c r="L6302" s="1077"/>
      <c r="M6302" s="1077"/>
    </row>
    <row r="6303" spans="5:13">
      <c r="E6303" s="1077"/>
      <c r="F6303" s="1077"/>
      <c r="G6303" s="1077"/>
      <c r="H6303" s="1077"/>
      <c r="I6303" s="1077"/>
      <c r="J6303" s="1077"/>
      <c r="K6303" s="1077"/>
      <c r="L6303" s="1077"/>
      <c r="M6303" s="1077"/>
    </row>
    <row r="6304" spans="5:13">
      <c r="E6304" s="1077"/>
      <c r="F6304" s="1077"/>
      <c r="G6304" s="1077"/>
      <c r="H6304" s="1077"/>
      <c r="I6304" s="1077"/>
      <c r="J6304" s="1077"/>
      <c r="K6304" s="1077"/>
      <c r="L6304" s="1077"/>
      <c r="M6304" s="1077"/>
    </row>
    <row r="6305" spans="5:13">
      <c r="E6305" s="1077"/>
      <c r="F6305" s="1077"/>
      <c r="G6305" s="1077"/>
      <c r="H6305" s="1077"/>
      <c r="I6305" s="1077"/>
      <c r="J6305" s="1077"/>
      <c r="K6305" s="1077"/>
      <c r="L6305" s="1077"/>
      <c r="M6305" s="1077"/>
    </row>
    <row r="6306" spans="5:13">
      <c r="E6306" s="1077"/>
      <c r="F6306" s="1077"/>
      <c r="G6306" s="1077"/>
      <c r="H6306" s="1077"/>
      <c r="I6306" s="1077"/>
      <c r="J6306" s="1077"/>
      <c r="K6306" s="1077"/>
      <c r="L6306" s="1077"/>
      <c r="M6306" s="1077"/>
    </row>
    <row r="6307" spans="5:13">
      <c r="E6307" s="1077"/>
      <c r="F6307" s="1077"/>
      <c r="G6307" s="1077"/>
      <c r="H6307" s="1077"/>
      <c r="I6307" s="1077"/>
      <c r="J6307" s="1077"/>
      <c r="K6307" s="1077"/>
      <c r="L6307" s="1077"/>
      <c r="M6307" s="1077"/>
    </row>
    <row r="6308" spans="5:13">
      <c r="E6308" s="1077"/>
      <c r="F6308" s="1077"/>
      <c r="G6308" s="1077"/>
      <c r="H6308" s="1077"/>
      <c r="I6308" s="1077"/>
      <c r="J6308" s="1077"/>
      <c r="K6308" s="1077"/>
      <c r="L6308" s="1077"/>
      <c r="M6308" s="1077"/>
    </row>
    <row r="6309" spans="5:13">
      <c r="E6309" s="1077"/>
      <c r="F6309" s="1077"/>
      <c r="G6309" s="1077"/>
      <c r="H6309" s="1077"/>
      <c r="I6309" s="1077"/>
      <c r="J6309" s="1077"/>
      <c r="K6309" s="1077"/>
      <c r="L6309" s="1077"/>
      <c r="M6309" s="1077"/>
    </row>
    <row r="6310" spans="5:13">
      <c r="E6310" s="1077"/>
      <c r="F6310" s="1077"/>
      <c r="G6310" s="1077"/>
      <c r="H6310" s="1077"/>
      <c r="I6310" s="1077"/>
      <c r="J6310" s="1077"/>
      <c r="K6310" s="1077"/>
      <c r="L6310" s="1077"/>
      <c r="M6310" s="1077"/>
    </row>
    <row r="6311" spans="5:13">
      <c r="E6311" s="1077"/>
      <c r="F6311" s="1077"/>
      <c r="G6311" s="1077"/>
      <c r="H6311" s="1077"/>
      <c r="I6311" s="1077"/>
      <c r="J6311" s="1077"/>
      <c r="K6311" s="1077"/>
      <c r="L6311" s="1077"/>
      <c r="M6311" s="1077"/>
    </row>
    <row r="6312" spans="5:13">
      <c r="E6312" s="1077"/>
      <c r="F6312" s="1077"/>
      <c r="G6312" s="1077"/>
      <c r="H6312" s="1077"/>
      <c r="I6312" s="1077"/>
      <c r="J6312" s="1077"/>
      <c r="K6312" s="1077"/>
      <c r="L6312" s="1077"/>
      <c r="M6312" s="1077"/>
    </row>
    <row r="6313" spans="5:13">
      <c r="E6313" s="1077"/>
      <c r="F6313" s="1077"/>
      <c r="G6313" s="1077"/>
      <c r="H6313" s="1077"/>
      <c r="I6313" s="1077"/>
      <c r="J6313" s="1077"/>
      <c r="K6313" s="1077"/>
      <c r="L6313" s="1077"/>
      <c r="M6313" s="1077"/>
    </row>
    <row r="6314" spans="5:13">
      <c r="E6314" s="1077"/>
      <c r="F6314" s="1077"/>
      <c r="G6314" s="1077"/>
      <c r="H6314" s="1077"/>
      <c r="I6314" s="1077"/>
      <c r="J6314" s="1077"/>
      <c r="K6314" s="1077"/>
      <c r="L6314" s="1077"/>
      <c r="M6314" s="1077"/>
    </row>
    <row r="6315" spans="5:13">
      <c r="E6315" s="1077"/>
      <c r="F6315" s="1077"/>
      <c r="G6315" s="1077"/>
      <c r="H6315" s="1077"/>
      <c r="I6315" s="1077"/>
      <c r="J6315" s="1077"/>
      <c r="K6315" s="1077"/>
      <c r="L6315" s="1077"/>
      <c r="M6315" s="1077"/>
    </row>
    <row r="6316" spans="5:13">
      <c r="E6316" s="1077"/>
      <c r="F6316" s="1077"/>
      <c r="G6316" s="1077"/>
      <c r="H6316" s="1077"/>
      <c r="I6316" s="1077"/>
      <c r="J6316" s="1077"/>
      <c r="K6316" s="1077"/>
      <c r="L6316" s="1077"/>
      <c r="M6316" s="1077"/>
    </row>
    <row r="6317" spans="5:13">
      <c r="E6317" s="1077"/>
      <c r="F6317" s="1077"/>
      <c r="G6317" s="1077"/>
      <c r="H6317" s="1077"/>
      <c r="I6317" s="1077"/>
      <c r="J6317" s="1077"/>
      <c r="K6317" s="1077"/>
      <c r="L6317" s="1077"/>
      <c r="M6317" s="1077"/>
    </row>
    <row r="6318" spans="5:13">
      <c r="E6318" s="1077"/>
      <c r="F6318" s="1077"/>
      <c r="G6318" s="1077"/>
      <c r="H6318" s="1077"/>
      <c r="I6318" s="1077"/>
      <c r="J6318" s="1077"/>
      <c r="K6318" s="1077"/>
      <c r="L6318" s="1077"/>
      <c r="M6318" s="1077"/>
    </row>
    <row r="6319" spans="5:13">
      <c r="E6319" s="1077"/>
      <c r="F6319" s="1077"/>
      <c r="G6319" s="1077"/>
      <c r="H6319" s="1077"/>
      <c r="I6319" s="1077"/>
      <c r="J6319" s="1077"/>
      <c r="K6319" s="1077"/>
      <c r="L6319" s="1077"/>
      <c r="M6319" s="1077"/>
    </row>
    <row r="6320" spans="5:13">
      <c r="E6320" s="1077"/>
      <c r="F6320" s="1077"/>
      <c r="G6320" s="1077"/>
      <c r="H6320" s="1077"/>
      <c r="I6320" s="1077"/>
      <c r="J6320" s="1077"/>
      <c r="K6320" s="1077"/>
      <c r="L6320" s="1077"/>
      <c r="M6320" s="1077"/>
    </row>
    <row r="6321" spans="5:13">
      <c r="E6321" s="1077"/>
      <c r="F6321" s="1077"/>
      <c r="G6321" s="1077"/>
      <c r="H6321" s="1077"/>
      <c r="I6321" s="1077"/>
      <c r="J6321" s="1077"/>
      <c r="K6321" s="1077"/>
      <c r="L6321" s="1077"/>
      <c r="M6321" s="1077"/>
    </row>
    <row r="6322" spans="5:13">
      <c r="E6322" s="1077"/>
      <c r="F6322" s="1077"/>
      <c r="G6322" s="1077"/>
      <c r="H6322" s="1077"/>
      <c r="I6322" s="1077"/>
      <c r="J6322" s="1077"/>
      <c r="K6322" s="1077"/>
      <c r="L6322" s="1077"/>
      <c r="M6322" s="1077"/>
    </row>
    <row r="6323" spans="5:13">
      <c r="E6323" s="1077"/>
      <c r="F6323" s="1077"/>
      <c r="G6323" s="1077"/>
      <c r="H6323" s="1077"/>
      <c r="I6323" s="1077"/>
      <c r="J6323" s="1077"/>
      <c r="K6323" s="1077"/>
      <c r="L6323" s="1077"/>
      <c r="M6323" s="1077"/>
    </row>
    <row r="6324" spans="5:13">
      <c r="E6324" s="1077"/>
      <c r="F6324" s="1077"/>
      <c r="G6324" s="1077"/>
      <c r="H6324" s="1077"/>
      <c r="I6324" s="1077"/>
      <c r="J6324" s="1077"/>
      <c r="K6324" s="1077"/>
      <c r="L6324" s="1077"/>
      <c r="M6324" s="1077"/>
    </row>
    <row r="6325" spans="5:13">
      <c r="E6325" s="1077"/>
      <c r="F6325" s="1077"/>
      <c r="G6325" s="1077"/>
      <c r="H6325" s="1077"/>
      <c r="I6325" s="1077"/>
      <c r="J6325" s="1077"/>
      <c r="K6325" s="1077"/>
      <c r="L6325" s="1077"/>
      <c r="M6325" s="1077"/>
    </row>
    <row r="6326" spans="5:13">
      <c r="E6326" s="1077"/>
      <c r="F6326" s="1077"/>
      <c r="G6326" s="1077"/>
      <c r="H6326" s="1077"/>
      <c r="I6326" s="1077"/>
      <c r="J6326" s="1077"/>
      <c r="K6326" s="1077"/>
      <c r="L6326" s="1077"/>
      <c r="M6326" s="1077"/>
    </row>
    <row r="6327" spans="5:13">
      <c r="E6327" s="1077"/>
      <c r="F6327" s="1077"/>
      <c r="G6327" s="1077"/>
      <c r="H6327" s="1077"/>
      <c r="I6327" s="1077"/>
      <c r="J6327" s="1077"/>
      <c r="K6327" s="1077"/>
      <c r="L6327" s="1077"/>
      <c r="M6327" s="1077"/>
    </row>
    <row r="6328" spans="5:13">
      <c r="E6328" s="1077"/>
      <c r="F6328" s="1077"/>
      <c r="G6328" s="1077"/>
      <c r="H6328" s="1077"/>
      <c r="I6328" s="1077"/>
      <c r="J6328" s="1077"/>
      <c r="K6328" s="1077"/>
      <c r="L6328" s="1077"/>
      <c r="M6328" s="1077"/>
    </row>
    <row r="6329" spans="5:13">
      <c r="E6329" s="1077"/>
      <c r="F6329" s="1077"/>
      <c r="G6329" s="1077"/>
      <c r="H6329" s="1077"/>
      <c r="I6329" s="1077"/>
      <c r="J6329" s="1077"/>
      <c r="K6329" s="1077"/>
      <c r="L6329" s="1077"/>
      <c r="M6329" s="1077"/>
    </row>
    <row r="6330" spans="5:13">
      <c r="E6330" s="1077"/>
      <c r="F6330" s="1077"/>
      <c r="G6330" s="1077"/>
      <c r="H6330" s="1077"/>
      <c r="I6330" s="1077"/>
      <c r="J6330" s="1077"/>
      <c r="K6330" s="1077"/>
      <c r="L6330" s="1077"/>
      <c r="M6330" s="1077"/>
    </row>
    <row r="6331" spans="5:13">
      <c r="E6331" s="1077"/>
      <c r="F6331" s="1077"/>
      <c r="G6331" s="1077"/>
      <c r="H6331" s="1077"/>
      <c r="I6331" s="1077"/>
      <c r="J6331" s="1077"/>
      <c r="K6331" s="1077"/>
      <c r="L6331" s="1077"/>
      <c r="M6331" s="1077"/>
    </row>
    <row r="6332" spans="5:13">
      <c r="E6332" s="1077"/>
      <c r="F6332" s="1077"/>
      <c r="G6332" s="1077"/>
      <c r="H6332" s="1077"/>
      <c r="I6332" s="1077"/>
      <c r="J6332" s="1077"/>
      <c r="K6332" s="1077"/>
      <c r="L6332" s="1077"/>
      <c r="M6332" s="1077"/>
    </row>
    <row r="6333" spans="5:13">
      <c r="E6333" s="1077"/>
      <c r="F6333" s="1077"/>
      <c r="G6333" s="1077"/>
      <c r="H6333" s="1077"/>
      <c r="I6333" s="1077"/>
      <c r="J6333" s="1077"/>
      <c r="K6333" s="1077"/>
      <c r="L6333" s="1077"/>
      <c r="M6333" s="1077"/>
    </row>
    <row r="6334" spans="5:13">
      <c r="E6334" s="1077"/>
      <c r="F6334" s="1077"/>
      <c r="G6334" s="1077"/>
      <c r="H6334" s="1077"/>
      <c r="I6334" s="1077"/>
      <c r="J6334" s="1077"/>
      <c r="K6334" s="1077"/>
      <c r="L6334" s="1077"/>
      <c r="M6334" s="1077"/>
    </row>
    <row r="6335" spans="5:13">
      <c r="E6335" s="1077"/>
      <c r="F6335" s="1077"/>
      <c r="G6335" s="1077"/>
      <c r="H6335" s="1077"/>
      <c r="I6335" s="1077"/>
      <c r="J6335" s="1077"/>
      <c r="K6335" s="1077"/>
      <c r="L6335" s="1077"/>
      <c r="M6335" s="1077"/>
    </row>
    <row r="6336" spans="5:13">
      <c r="E6336" s="1077"/>
      <c r="F6336" s="1077"/>
      <c r="G6336" s="1077"/>
      <c r="H6336" s="1077"/>
      <c r="I6336" s="1077"/>
      <c r="J6336" s="1077"/>
      <c r="K6336" s="1077"/>
      <c r="L6336" s="1077"/>
      <c r="M6336" s="1077"/>
    </row>
    <row r="6337" spans="5:13">
      <c r="E6337" s="1077"/>
      <c r="F6337" s="1077"/>
      <c r="G6337" s="1077"/>
      <c r="H6337" s="1077"/>
      <c r="I6337" s="1077"/>
      <c r="J6337" s="1077"/>
      <c r="K6337" s="1077"/>
      <c r="L6337" s="1077"/>
      <c r="M6337" s="1077"/>
    </row>
    <row r="6338" spans="5:13">
      <c r="E6338" s="1077"/>
      <c r="F6338" s="1077"/>
      <c r="G6338" s="1077"/>
      <c r="H6338" s="1077"/>
      <c r="I6338" s="1077"/>
      <c r="J6338" s="1077"/>
      <c r="K6338" s="1077"/>
      <c r="L6338" s="1077"/>
      <c r="M6338" s="1077"/>
    </row>
    <row r="6339" spans="5:13">
      <c r="E6339" s="1077"/>
      <c r="F6339" s="1077"/>
      <c r="G6339" s="1077"/>
      <c r="H6339" s="1077"/>
      <c r="I6339" s="1077"/>
      <c r="J6339" s="1077"/>
      <c r="K6339" s="1077"/>
      <c r="L6339" s="1077"/>
      <c r="M6339" s="1077"/>
    </row>
    <row r="6340" spans="5:13">
      <c r="E6340" s="1077"/>
      <c r="F6340" s="1077"/>
      <c r="G6340" s="1077"/>
      <c r="H6340" s="1077"/>
      <c r="I6340" s="1077"/>
      <c r="J6340" s="1077"/>
      <c r="K6340" s="1077"/>
      <c r="L6340" s="1077"/>
      <c r="M6340" s="1077"/>
    </row>
    <row r="6341" spans="5:13">
      <c r="E6341" s="1077"/>
      <c r="F6341" s="1077"/>
      <c r="G6341" s="1077"/>
      <c r="H6341" s="1077"/>
      <c r="I6341" s="1077"/>
      <c r="J6341" s="1077"/>
      <c r="K6341" s="1077"/>
      <c r="L6341" s="1077"/>
      <c r="M6341" s="1077"/>
    </row>
    <row r="6342" spans="5:13">
      <c r="E6342" s="1077"/>
      <c r="F6342" s="1077"/>
      <c r="G6342" s="1077"/>
      <c r="H6342" s="1077"/>
      <c r="I6342" s="1077"/>
      <c r="J6342" s="1077"/>
      <c r="K6342" s="1077"/>
      <c r="L6342" s="1077"/>
      <c r="M6342" s="1077"/>
    </row>
    <row r="6343" spans="5:13">
      <c r="E6343" s="1077"/>
      <c r="F6343" s="1077"/>
      <c r="G6343" s="1077"/>
      <c r="H6343" s="1077"/>
      <c r="I6343" s="1077"/>
      <c r="J6343" s="1077"/>
      <c r="K6343" s="1077"/>
      <c r="L6343" s="1077"/>
      <c r="M6343" s="1077"/>
    </row>
    <row r="6344" spans="5:13">
      <c r="E6344" s="1077"/>
      <c r="F6344" s="1077"/>
      <c r="G6344" s="1077"/>
      <c r="H6344" s="1077"/>
      <c r="I6344" s="1077"/>
      <c r="J6344" s="1077"/>
      <c r="K6344" s="1077"/>
      <c r="L6344" s="1077"/>
      <c r="M6344" s="1077"/>
    </row>
    <row r="6345" spans="5:13">
      <c r="E6345" s="1077"/>
      <c r="F6345" s="1077"/>
      <c r="G6345" s="1077"/>
      <c r="H6345" s="1077"/>
      <c r="I6345" s="1077"/>
      <c r="J6345" s="1077"/>
      <c r="K6345" s="1077"/>
      <c r="L6345" s="1077"/>
      <c r="M6345" s="1077"/>
    </row>
    <row r="6346" spans="5:13">
      <c r="E6346" s="1077"/>
      <c r="F6346" s="1077"/>
      <c r="G6346" s="1077"/>
      <c r="H6346" s="1077"/>
      <c r="I6346" s="1077"/>
      <c r="J6346" s="1077"/>
      <c r="K6346" s="1077"/>
      <c r="L6346" s="1077"/>
      <c r="M6346" s="1077"/>
    </row>
    <row r="6347" spans="5:13">
      <c r="E6347" s="1077"/>
      <c r="F6347" s="1077"/>
      <c r="G6347" s="1077"/>
      <c r="H6347" s="1077"/>
      <c r="I6347" s="1077"/>
      <c r="J6347" s="1077"/>
      <c r="K6347" s="1077"/>
      <c r="L6347" s="1077"/>
      <c r="M6347" s="1077"/>
    </row>
    <row r="6348" spans="5:13">
      <c r="E6348" s="1077"/>
      <c r="F6348" s="1077"/>
      <c r="G6348" s="1077"/>
      <c r="H6348" s="1077"/>
      <c r="I6348" s="1077"/>
      <c r="J6348" s="1077"/>
      <c r="K6348" s="1077"/>
      <c r="L6348" s="1077"/>
      <c r="M6348" s="1077"/>
    </row>
    <row r="6349" spans="5:13">
      <c r="E6349" s="1077"/>
      <c r="F6349" s="1077"/>
      <c r="G6349" s="1077"/>
      <c r="H6349" s="1077"/>
      <c r="I6349" s="1077"/>
      <c r="J6349" s="1077"/>
      <c r="K6349" s="1077"/>
      <c r="L6349" s="1077"/>
      <c r="M6349" s="1077"/>
    </row>
    <row r="6350" spans="5:13">
      <c r="E6350" s="1077"/>
      <c r="F6350" s="1077"/>
      <c r="G6350" s="1077"/>
      <c r="H6350" s="1077"/>
      <c r="I6350" s="1077"/>
      <c r="J6350" s="1077"/>
      <c r="K6350" s="1077"/>
      <c r="L6350" s="1077"/>
      <c r="M6350" s="1077"/>
    </row>
    <row r="6351" spans="5:13">
      <c r="E6351" s="1077"/>
      <c r="F6351" s="1077"/>
      <c r="G6351" s="1077"/>
      <c r="H6351" s="1077"/>
      <c r="I6351" s="1077"/>
      <c r="J6351" s="1077"/>
      <c r="K6351" s="1077"/>
      <c r="L6351" s="1077"/>
      <c r="M6351" s="1077"/>
    </row>
    <row r="6352" spans="5:13">
      <c r="E6352" s="1077"/>
      <c r="F6352" s="1077"/>
      <c r="G6352" s="1077"/>
      <c r="H6352" s="1077"/>
      <c r="I6352" s="1077"/>
      <c r="J6352" s="1077"/>
      <c r="K6352" s="1077"/>
      <c r="L6352" s="1077"/>
      <c r="M6352" s="1077"/>
    </row>
    <row r="6353" spans="5:13">
      <c r="E6353" s="1077"/>
      <c r="F6353" s="1077"/>
      <c r="G6353" s="1077"/>
      <c r="H6353" s="1077"/>
      <c r="I6353" s="1077"/>
      <c r="J6353" s="1077"/>
      <c r="K6353" s="1077"/>
      <c r="L6353" s="1077"/>
      <c r="M6353" s="1077"/>
    </row>
    <row r="6354" spans="5:13">
      <c r="E6354" s="1077"/>
      <c r="F6354" s="1077"/>
      <c r="G6354" s="1077"/>
      <c r="H6354" s="1077"/>
      <c r="I6354" s="1077"/>
      <c r="J6354" s="1077"/>
      <c r="K6354" s="1077"/>
      <c r="L6354" s="1077"/>
      <c r="M6354" s="1077"/>
    </row>
    <row r="6355" spans="5:13">
      <c r="E6355" s="1077"/>
      <c r="F6355" s="1077"/>
      <c r="G6355" s="1077"/>
      <c r="H6355" s="1077"/>
      <c r="I6355" s="1077"/>
      <c r="J6355" s="1077"/>
      <c r="K6355" s="1077"/>
      <c r="L6355" s="1077"/>
      <c r="M6355" s="1077"/>
    </row>
    <row r="6356" spans="5:13">
      <c r="E6356" s="1077"/>
      <c r="F6356" s="1077"/>
      <c r="G6356" s="1077"/>
      <c r="H6356" s="1077"/>
      <c r="I6356" s="1077"/>
      <c r="J6356" s="1077"/>
      <c r="K6356" s="1077"/>
      <c r="L6356" s="1077"/>
      <c r="M6356" s="1077"/>
    </row>
    <row r="6357" spans="5:13">
      <c r="E6357" s="1077"/>
      <c r="F6357" s="1077"/>
      <c r="G6357" s="1077"/>
      <c r="H6357" s="1077"/>
      <c r="I6357" s="1077"/>
      <c r="J6357" s="1077"/>
      <c r="K6357" s="1077"/>
      <c r="L6357" s="1077"/>
      <c r="M6357" s="1077"/>
    </row>
    <row r="6358" spans="5:13">
      <c r="E6358" s="1077"/>
      <c r="F6358" s="1077"/>
      <c r="G6358" s="1077"/>
      <c r="H6358" s="1077"/>
      <c r="I6358" s="1077"/>
      <c r="J6358" s="1077"/>
      <c r="K6358" s="1077"/>
      <c r="L6358" s="1077"/>
      <c r="M6358" s="1077"/>
    </row>
    <row r="6359" spans="5:13">
      <c r="E6359" s="1077"/>
      <c r="F6359" s="1077"/>
      <c r="G6359" s="1077"/>
      <c r="H6359" s="1077"/>
      <c r="I6359" s="1077"/>
      <c r="J6359" s="1077"/>
      <c r="K6359" s="1077"/>
      <c r="L6359" s="1077"/>
      <c r="M6359" s="1077"/>
    </row>
    <row r="6360" spans="5:13">
      <c r="E6360" s="1077"/>
      <c r="F6360" s="1077"/>
      <c r="G6360" s="1077"/>
      <c r="H6360" s="1077"/>
      <c r="I6360" s="1077"/>
      <c r="J6360" s="1077"/>
      <c r="K6360" s="1077"/>
      <c r="L6360" s="1077"/>
      <c r="M6360" s="1077"/>
    </row>
    <row r="6361" spans="5:13">
      <c r="E6361" s="1077"/>
      <c r="F6361" s="1077"/>
      <c r="G6361" s="1077"/>
      <c r="H6361" s="1077"/>
      <c r="I6361" s="1077"/>
      <c r="J6361" s="1077"/>
      <c r="K6361" s="1077"/>
      <c r="L6361" s="1077"/>
      <c r="M6361" s="1077"/>
    </row>
    <row r="6362" spans="5:13">
      <c r="E6362" s="1077"/>
      <c r="F6362" s="1077"/>
      <c r="G6362" s="1077"/>
      <c r="H6362" s="1077"/>
      <c r="I6362" s="1077"/>
      <c r="J6362" s="1077"/>
      <c r="K6362" s="1077"/>
      <c r="L6362" s="1077"/>
      <c r="M6362" s="1077"/>
    </row>
    <row r="6363" spans="5:13">
      <c r="E6363" s="1077"/>
      <c r="F6363" s="1077"/>
      <c r="G6363" s="1077"/>
      <c r="H6363" s="1077"/>
      <c r="I6363" s="1077"/>
      <c r="J6363" s="1077"/>
      <c r="K6363" s="1077"/>
      <c r="L6363" s="1077"/>
      <c r="M6363" s="1077"/>
    </row>
    <row r="6364" spans="5:13">
      <c r="E6364" s="1077"/>
      <c r="F6364" s="1077"/>
      <c r="G6364" s="1077"/>
      <c r="H6364" s="1077"/>
      <c r="I6364" s="1077"/>
      <c r="J6364" s="1077"/>
      <c r="K6364" s="1077"/>
      <c r="L6364" s="1077"/>
      <c r="M6364" s="1077"/>
    </row>
    <row r="6365" spans="5:13">
      <c r="E6365" s="1077"/>
      <c r="F6365" s="1077"/>
      <c r="G6365" s="1077"/>
      <c r="H6365" s="1077"/>
      <c r="I6365" s="1077"/>
      <c r="J6365" s="1077"/>
      <c r="K6365" s="1077"/>
      <c r="L6365" s="1077"/>
      <c r="M6365" s="1077"/>
    </row>
    <row r="6366" spans="5:13">
      <c r="E6366" s="1077"/>
      <c r="F6366" s="1077"/>
      <c r="G6366" s="1077"/>
      <c r="H6366" s="1077"/>
      <c r="I6366" s="1077"/>
      <c r="J6366" s="1077"/>
      <c r="K6366" s="1077"/>
      <c r="L6366" s="1077"/>
      <c r="M6366" s="1077"/>
    </row>
    <row r="6367" spans="5:13">
      <c r="E6367" s="1077"/>
      <c r="F6367" s="1077"/>
      <c r="G6367" s="1077"/>
      <c r="H6367" s="1077"/>
      <c r="I6367" s="1077"/>
      <c r="J6367" s="1077"/>
      <c r="K6367" s="1077"/>
      <c r="L6367" s="1077"/>
      <c r="M6367" s="1077"/>
    </row>
    <row r="6368" spans="5:13">
      <c r="E6368" s="1077"/>
      <c r="F6368" s="1077"/>
      <c r="G6368" s="1077"/>
      <c r="H6368" s="1077"/>
      <c r="I6368" s="1077"/>
      <c r="J6368" s="1077"/>
      <c r="K6368" s="1077"/>
      <c r="L6368" s="1077"/>
      <c r="M6368" s="1077"/>
    </row>
    <row r="6369" spans="5:13">
      <c r="E6369" s="1077"/>
      <c r="F6369" s="1077"/>
      <c r="G6369" s="1077"/>
      <c r="H6369" s="1077"/>
      <c r="I6369" s="1077"/>
      <c r="J6369" s="1077"/>
      <c r="K6369" s="1077"/>
      <c r="L6369" s="1077"/>
      <c r="M6369" s="1077"/>
    </row>
    <row r="6370" spans="5:13">
      <c r="E6370" s="1077"/>
      <c r="F6370" s="1077"/>
      <c r="G6370" s="1077"/>
      <c r="H6370" s="1077"/>
      <c r="I6370" s="1077"/>
      <c r="J6370" s="1077"/>
      <c r="K6370" s="1077"/>
      <c r="L6370" s="1077"/>
      <c r="M6370" s="1077"/>
    </row>
    <row r="6371" spans="5:13">
      <c r="E6371" s="1077"/>
      <c r="F6371" s="1077"/>
      <c r="G6371" s="1077"/>
      <c r="H6371" s="1077"/>
      <c r="I6371" s="1077"/>
      <c r="J6371" s="1077"/>
      <c r="K6371" s="1077"/>
      <c r="L6371" s="1077"/>
      <c r="M6371" s="1077"/>
    </row>
    <row r="6372" spans="5:13">
      <c r="E6372" s="1077"/>
      <c r="F6372" s="1077"/>
      <c r="G6372" s="1077"/>
      <c r="H6372" s="1077"/>
      <c r="I6372" s="1077"/>
      <c r="J6372" s="1077"/>
      <c r="K6372" s="1077"/>
      <c r="L6372" s="1077"/>
      <c r="M6372" s="1077"/>
    </row>
    <row r="6373" spans="5:13">
      <c r="E6373" s="1077"/>
      <c r="F6373" s="1077"/>
      <c r="G6373" s="1077"/>
      <c r="H6373" s="1077"/>
      <c r="I6373" s="1077"/>
      <c r="J6373" s="1077"/>
      <c r="K6373" s="1077"/>
      <c r="L6373" s="1077"/>
      <c r="M6373" s="1077"/>
    </row>
    <row r="6374" spans="5:13">
      <c r="E6374" s="1077"/>
      <c r="F6374" s="1077"/>
      <c r="G6374" s="1077"/>
      <c r="H6374" s="1077"/>
      <c r="I6374" s="1077"/>
      <c r="J6374" s="1077"/>
      <c r="K6374" s="1077"/>
      <c r="L6374" s="1077"/>
      <c r="M6374" s="1077"/>
    </row>
    <row r="6375" spans="5:13">
      <c r="E6375" s="1077"/>
      <c r="F6375" s="1077"/>
      <c r="G6375" s="1077"/>
      <c r="H6375" s="1077"/>
      <c r="I6375" s="1077"/>
      <c r="J6375" s="1077"/>
      <c r="K6375" s="1077"/>
      <c r="L6375" s="1077"/>
      <c r="M6375" s="1077"/>
    </row>
    <row r="6376" spans="5:13">
      <c r="E6376" s="1077"/>
      <c r="F6376" s="1077"/>
      <c r="G6376" s="1077"/>
      <c r="H6376" s="1077"/>
      <c r="I6376" s="1077"/>
      <c r="J6376" s="1077"/>
      <c r="K6376" s="1077"/>
      <c r="L6376" s="1077"/>
      <c r="M6376" s="1077"/>
    </row>
    <row r="6377" spans="5:13">
      <c r="E6377" s="1077"/>
      <c r="F6377" s="1077"/>
      <c r="G6377" s="1077"/>
      <c r="H6377" s="1077"/>
      <c r="I6377" s="1077"/>
      <c r="J6377" s="1077"/>
      <c r="K6377" s="1077"/>
      <c r="L6377" s="1077"/>
      <c r="M6377" s="1077"/>
    </row>
    <row r="6378" spans="5:13">
      <c r="E6378" s="1077"/>
      <c r="F6378" s="1077"/>
      <c r="G6378" s="1077"/>
      <c r="H6378" s="1077"/>
      <c r="I6378" s="1077"/>
      <c r="J6378" s="1077"/>
      <c r="K6378" s="1077"/>
      <c r="L6378" s="1077"/>
      <c r="M6378" s="1077"/>
    </row>
    <row r="6379" spans="5:13">
      <c r="E6379" s="1077"/>
      <c r="F6379" s="1077"/>
      <c r="G6379" s="1077"/>
      <c r="H6379" s="1077"/>
      <c r="I6379" s="1077"/>
      <c r="J6379" s="1077"/>
      <c r="K6379" s="1077"/>
      <c r="L6379" s="1077"/>
      <c r="M6379" s="1077"/>
    </row>
    <row r="6380" spans="5:13">
      <c r="E6380" s="1077"/>
      <c r="F6380" s="1077"/>
      <c r="G6380" s="1077"/>
      <c r="H6380" s="1077"/>
      <c r="I6380" s="1077"/>
      <c r="J6380" s="1077"/>
      <c r="K6380" s="1077"/>
      <c r="L6380" s="1077"/>
      <c r="M6380" s="1077"/>
    </row>
    <row r="6381" spans="5:13">
      <c r="E6381" s="1077"/>
      <c r="F6381" s="1077"/>
      <c r="G6381" s="1077"/>
      <c r="H6381" s="1077"/>
      <c r="I6381" s="1077"/>
      <c r="J6381" s="1077"/>
      <c r="K6381" s="1077"/>
      <c r="L6381" s="1077"/>
      <c r="M6381" s="1077"/>
    </row>
    <row r="6382" spans="5:13">
      <c r="E6382" s="1077"/>
      <c r="F6382" s="1077"/>
      <c r="G6382" s="1077"/>
      <c r="H6382" s="1077"/>
      <c r="I6382" s="1077"/>
      <c r="J6382" s="1077"/>
      <c r="K6382" s="1077"/>
      <c r="L6382" s="1077"/>
      <c r="M6382" s="1077"/>
    </row>
    <row r="6383" spans="5:13">
      <c r="E6383" s="1077"/>
      <c r="F6383" s="1077"/>
      <c r="G6383" s="1077"/>
      <c r="H6383" s="1077"/>
      <c r="I6383" s="1077"/>
      <c r="J6383" s="1077"/>
      <c r="K6383" s="1077"/>
      <c r="L6383" s="1077"/>
      <c r="M6383" s="1077"/>
    </row>
    <row r="6384" spans="5:13">
      <c r="E6384" s="1077"/>
      <c r="F6384" s="1077"/>
      <c r="G6384" s="1077"/>
      <c r="H6384" s="1077"/>
      <c r="I6384" s="1077"/>
      <c r="J6384" s="1077"/>
      <c r="K6384" s="1077"/>
      <c r="L6384" s="1077"/>
      <c r="M6384" s="1077"/>
    </row>
    <row r="6385" spans="5:13">
      <c r="E6385" s="1077"/>
      <c r="F6385" s="1077"/>
      <c r="G6385" s="1077"/>
      <c r="H6385" s="1077"/>
      <c r="I6385" s="1077"/>
      <c r="J6385" s="1077"/>
      <c r="K6385" s="1077"/>
      <c r="L6385" s="1077"/>
      <c r="M6385" s="1077"/>
    </row>
    <row r="6386" spans="5:13">
      <c r="E6386" s="1077"/>
      <c r="F6386" s="1077"/>
      <c r="G6386" s="1077"/>
      <c r="H6386" s="1077"/>
      <c r="I6386" s="1077"/>
      <c r="J6386" s="1077"/>
      <c r="K6386" s="1077"/>
      <c r="L6386" s="1077"/>
      <c r="M6386" s="1077"/>
    </row>
    <row r="6387" spans="5:13">
      <c r="E6387" s="1077"/>
      <c r="F6387" s="1077"/>
      <c r="G6387" s="1077"/>
      <c r="H6387" s="1077"/>
      <c r="I6387" s="1077"/>
      <c r="J6387" s="1077"/>
      <c r="K6387" s="1077"/>
      <c r="L6387" s="1077"/>
      <c r="M6387" s="1077"/>
    </row>
    <row r="6388" spans="5:13">
      <c r="E6388" s="1077"/>
      <c r="F6388" s="1077"/>
      <c r="G6388" s="1077"/>
      <c r="H6388" s="1077"/>
      <c r="I6388" s="1077"/>
      <c r="J6388" s="1077"/>
      <c r="K6388" s="1077"/>
      <c r="L6388" s="1077"/>
      <c r="M6388" s="1077"/>
    </row>
    <row r="6389" spans="5:13">
      <c r="E6389" s="1077"/>
      <c r="F6389" s="1077"/>
      <c r="G6389" s="1077"/>
      <c r="H6389" s="1077"/>
      <c r="I6389" s="1077"/>
      <c r="J6389" s="1077"/>
      <c r="K6389" s="1077"/>
      <c r="L6389" s="1077"/>
      <c r="M6389" s="1077"/>
    </row>
    <row r="6390" spans="5:13">
      <c r="E6390" s="1077"/>
      <c r="F6390" s="1077"/>
      <c r="G6390" s="1077"/>
      <c r="H6390" s="1077"/>
      <c r="I6390" s="1077"/>
      <c r="J6390" s="1077"/>
      <c r="K6390" s="1077"/>
      <c r="L6390" s="1077"/>
      <c r="M6390" s="1077"/>
    </row>
    <row r="6391" spans="5:13">
      <c r="E6391" s="1077"/>
      <c r="F6391" s="1077"/>
      <c r="G6391" s="1077"/>
      <c r="H6391" s="1077"/>
      <c r="I6391" s="1077"/>
      <c r="J6391" s="1077"/>
      <c r="K6391" s="1077"/>
      <c r="L6391" s="1077"/>
      <c r="M6391" s="1077"/>
    </row>
    <row r="6392" spans="5:13">
      <c r="E6392" s="1077"/>
      <c r="F6392" s="1077"/>
      <c r="G6392" s="1077"/>
      <c r="H6392" s="1077"/>
      <c r="I6392" s="1077"/>
      <c r="J6392" s="1077"/>
      <c r="K6392" s="1077"/>
      <c r="L6392" s="1077"/>
      <c r="M6392" s="1077"/>
    </row>
    <row r="6393" spans="5:13">
      <c r="E6393" s="1077"/>
      <c r="F6393" s="1077"/>
      <c r="G6393" s="1077"/>
      <c r="H6393" s="1077"/>
      <c r="I6393" s="1077"/>
      <c r="J6393" s="1077"/>
      <c r="K6393" s="1077"/>
      <c r="L6393" s="1077"/>
      <c r="M6393" s="1077"/>
    </row>
    <row r="6394" spans="5:13">
      <c r="E6394" s="1077"/>
      <c r="F6394" s="1077"/>
      <c r="G6394" s="1077"/>
      <c r="H6394" s="1077"/>
      <c r="I6394" s="1077"/>
      <c r="J6394" s="1077"/>
      <c r="K6394" s="1077"/>
      <c r="L6394" s="1077"/>
      <c r="M6394" s="1077"/>
    </row>
    <row r="6395" spans="5:13">
      <c r="E6395" s="1077"/>
      <c r="F6395" s="1077"/>
      <c r="G6395" s="1077"/>
      <c r="H6395" s="1077"/>
      <c r="I6395" s="1077"/>
      <c r="J6395" s="1077"/>
      <c r="K6395" s="1077"/>
      <c r="L6395" s="1077"/>
      <c r="M6395" s="1077"/>
    </row>
    <row r="6396" spans="5:13">
      <c r="E6396" s="1077"/>
      <c r="F6396" s="1077"/>
      <c r="G6396" s="1077"/>
      <c r="H6396" s="1077"/>
      <c r="I6396" s="1077"/>
      <c r="J6396" s="1077"/>
      <c r="K6396" s="1077"/>
      <c r="L6396" s="1077"/>
      <c r="M6396" s="1077"/>
    </row>
    <row r="6397" spans="5:13">
      <c r="E6397" s="1077"/>
      <c r="F6397" s="1077"/>
      <c r="G6397" s="1077"/>
      <c r="H6397" s="1077"/>
      <c r="I6397" s="1077"/>
      <c r="J6397" s="1077"/>
      <c r="K6397" s="1077"/>
      <c r="L6397" s="1077"/>
      <c r="M6397" s="1077"/>
    </row>
    <row r="6398" spans="5:13">
      <c r="E6398" s="1077"/>
      <c r="F6398" s="1077"/>
      <c r="G6398" s="1077"/>
      <c r="H6398" s="1077"/>
      <c r="I6398" s="1077"/>
      <c r="J6398" s="1077"/>
      <c r="K6398" s="1077"/>
      <c r="L6398" s="1077"/>
      <c r="M6398" s="1077"/>
    </row>
    <row r="6399" spans="5:13">
      <c r="E6399" s="1077"/>
      <c r="F6399" s="1077"/>
      <c r="G6399" s="1077"/>
      <c r="H6399" s="1077"/>
      <c r="I6399" s="1077"/>
      <c r="J6399" s="1077"/>
      <c r="K6399" s="1077"/>
      <c r="L6399" s="1077"/>
      <c r="M6399" s="1077"/>
    </row>
    <row r="6400" spans="5:13">
      <c r="E6400" s="1077"/>
      <c r="F6400" s="1077"/>
      <c r="G6400" s="1077"/>
      <c r="H6400" s="1077"/>
      <c r="I6400" s="1077"/>
      <c r="J6400" s="1077"/>
      <c r="K6400" s="1077"/>
      <c r="L6400" s="1077"/>
      <c r="M6400" s="1077"/>
    </row>
    <row r="6401" spans="5:13">
      <c r="E6401" s="1077"/>
      <c r="F6401" s="1077"/>
      <c r="G6401" s="1077"/>
      <c r="H6401" s="1077"/>
      <c r="I6401" s="1077"/>
      <c r="J6401" s="1077"/>
      <c r="K6401" s="1077"/>
      <c r="L6401" s="1077"/>
      <c r="M6401" s="1077"/>
    </row>
    <row r="6402" spans="5:13">
      <c r="E6402" s="1077"/>
      <c r="F6402" s="1077"/>
      <c r="G6402" s="1077"/>
      <c r="H6402" s="1077"/>
      <c r="I6402" s="1077"/>
      <c r="J6402" s="1077"/>
      <c r="K6402" s="1077"/>
      <c r="L6402" s="1077"/>
      <c r="M6402" s="1077"/>
    </row>
    <row r="6403" spans="5:13">
      <c r="E6403" s="1077"/>
      <c r="F6403" s="1077"/>
      <c r="G6403" s="1077"/>
      <c r="H6403" s="1077"/>
      <c r="I6403" s="1077"/>
      <c r="J6403" s="1077"/>
      <c r="K6403" s="1077"/>
      <c r="L6403" s="1077"/>
      <c r="M6403" s="1077"/>
    </row>
    <row r="6404" spans="5:13">
      <c r="E6404" s="1077"/>
      <c r="F6404" s="1077"/>
      <c r="G6404" s="1077"/>
      <c r="H6404" s="1077"/>
      <c r="I6404" s="1077"/>
      <c r="J6404" s="1077"/>
      <c r="K6404" s="1077"/>
      <c r="L6404" s="1077"/>
      <c r="M6404" s="1077"/>
    </row>
    <row r="6405" spans="5:13">
      <c r="E6405" s="1077"/>
      <c r="F6405" s="1077"/>
      <c r="G6405" s="1077"/>
      <c r="H6405" s="1077"/>
      <c r="I6405" s="1077"/>
      <c r="J6405" s="1077"/>
      <c r="K6405" s="1077"/>
      <c r="L6405" s="1077"/>
      <c r="M6405" s="1077"/>
    </row>
    <row r="6406" spans="5:13">
      <c r="E6406" s="1077"/>
      <c r="F6406" s="1077"/>
      <c r="G6406" s="1077"/>
      <c r="H6406" s="1077"/>
      <c r="I6406" s="1077"/>
      <c r="J6406" s="1077"/>
      <c r="K6406" s="1077"/>
      <c r="L6406" s="1077"/>
      <c r="M6406" s="1077"/>
    </row>
    <row r="6407" spans="5:13">
      <c r="E6407" s="1077"/>
      <c r="F6407" s="1077"/>
      <c r="G6407" s="1077"/>
      <c r="H6407" s="1077"/>
      <c r="I6407" s="1077"/>
      <c r="J6407" s="1077"/>
      <c r="K6407" s="1077"/>
      <c r="L6407" s="1077"/>
      <c r="M6407" s="1077"/>
    </row>
    <row r="6408" spans="5:13">
      <c r="E6408" s="1077"/>
      <c r="F6408" s="1077"/>
      <c r="G6408" s="1077"/>
      <c r="H6408" s="1077"/>
      <c r="I6408" s="1077"/>
      <c r="J6408" s="1077"/>
      <c r="K6408" s="1077"/>
      <c r="L6408" s="1077"/>
      <c r="M6408" s="1077"/>
    </row>
    <row r="6409" spans="5:13">
      <c r="E6409" s="1077"/>
      <c r="F6409" s="1077"/>
      <c r="G6409" s="1077"/>
      <c r="H6409" s="1077"/>
      <c r="I6409" s="1077"/>
      <c r="J6409" s="1077"/>
      <c r="K6409" s="1077"/>
      <c r="L6409" s="1077"/>
      <c r="M6409" s="1077"/>
    </row>
    <row r="6410" spans="5:13">
      <c r="E6410" s="1077"/>
      <c r="F6410" s="1077"/>
      <c r="G6410" s="1077"/>
      <c r="H6410" s="1077"/>
      <c r="I6410" s="1077"/>
      <c r="J6410" s="1077"/>
      <c r="K6410" s="1077"/>
      <c r="L6410" s="1077"/>
      <c r="M6410" s="1077"/>
    </row>
    <row r="6411" spans="5:13">
      <c r="E6411" s="1077"/>
      <c r="F6411" s="1077"/>
      <c r="G6411" s="1077"/>
      <c r="H6411" s="1077"/>
      <c r="I6411" s="1077"/>
      <c r="J6411" s="1077"/>
      <c r="K6411" s="1077"/>
      <c r="L6411" s="1077"/>
      <c r="M6411" s="1077"/>
    </row>
    <row r="6412" spans="5:13">
      <c r="E6412" s="1077"/>
      <c r="F6412" s="1077"/>
      <c r="G6412" s="1077"/>
      <c r="H6412" s="1077"/>
      <c r="I6412" s="1077"/>
      <c r="J6412" s="1077"/>
      <c r="K6412" s="1077"/>
      <c r="L6412" s="1077"/>
      <c r="M6412" s="1077"/>
    </row>
    <row r="6413" spans="5:13">
      <c r="E6413" s="1077"/>
      <c r="F6413" s="1077"/>
      <c r="G6413" s="1077"/>
      <c r="H6413" s="1077"/>
      <c r="I6413" s="1077"/>
      <c r="J6413" s="1077"/>
      <c r="K6413" s="1077"/>
      <c r="L6413" s="1077"/>
      <c r="M6413" s="1077"/>
    </row>
    <row r="6414" spans="5:13">
      <c r="E6414" s="1077"/>
      <c r="F6414" s="1077"/>
      <c r="G6414" s="1077"/>
      <c r="H6414" s="1077"/>
      <c r="I6414" s="1077"/>
      <c r="J6414" s="1077"/>
      <c r="K6414" s="1077"/>
      <c r="L6414" s="1077"/>
      <c r="M6414" s="1077"/>
    </row>
    <row r="6415" spans="5:13">
      <c r="E6415" s="1077"/>
      <c r="F6415" s="1077"/>
      <c r="G6415" s="1077"/>
      <c r="H6415" s="1077"/>
      <c r="I6415" s="1077"/>
      <c r="J6415" s="1077"/>
      <c r="K6415" s="1077"/>
      <c r="L6415" s="1077"/>
      <c r="M6415" s="1077"/>
    </row>
    <row r="6416" spans="5:13">
      <c r="E6416" s="1077"/>
      <c r="F6416" s="1077"/>
      <c r="G6416" s="1077"/>
      <c r="H6416" s="1077"/>
      <c r="I6416" s="1077"/>
      <c r="J6416" s="1077"/>
      <c r="K6416" s="1077"/>
      <c r="L6416" s="1077"/>
      <c r="M6416" s="1077"/>
    </row>
    <row r="6417" spans="5:13">
      <c r="E6417" s="1077"/>
      <c r="F6417" s="1077"/>
      <c r="G6417" s="1077"/>
      <c r="H6417" s="1077"/>
      <c r="I6417" s="1077"/>
      <c r="J6417" s="1077"/>
      <c r="K6417" s="1077"/>
      <c r="L6417" s="1077"/>
      <c r="M6417" s="1077"/>
    </row>
    <row r="6418" spans="5:13">
      <c r="E6418" s="1077"/>
      <c r="F6418" s="1077"/>
      <c r="G6418" s="1077"/>
      <c r="H6418" s="1077"/>
      <c r="I6418" s="1077"/>
      <c r="J6418" s="1077"/>
      <c r="K6418" s="1077"/>
      <c r="L6418" s="1077"/>
      <c r="M6418" s="1077"/>
    </row>
    <row r="6419" spans="5:13">
      <c r="E6419" s="1077"/>
      <c r="F6419" s="1077"/>
      <c r="G6419" s="1077"/>
      <c r="H6419" s="1077"/>
      <c r="I6419" s="1077"/>
      <c r="J6419" s="1077"/>
      <c r="K6419" s="1077"/>
      <c r="L6419" s="1077"/>
      <c r="M6419" s="1077"/>
    </row>
    <row r="6420" spans="5:13">
      <c r="E6420" s="1077"/>
      <c r="F6420" s="1077"/>
      <c r="G6420" s="1077"/>
      <c r="H6420" s="1077"/>
      <c r="I6420" s="1077"/>
      <c r="J6420" s="1077"/>
      <c r="K6420" s="1077"/>
      <c r="L6420" s="1077"/>
      <c r="M6420" s="1077"/>
    </row>
    <row r="6421" spans="5:13">
      <c r="E6421" s="1077"/>
      <c r="F6421" s="1077"/>
      <c r="G6421" s="1077"/>
      <c r="H6421" s="1077"/>
      <c r="I6421" s="1077"/>
      <c r="J6421" s="1077"/>
      <c r="K6421" s="1077"/>
      <c r="L6421" s="1077"/>
      <c r="M6421" s="1077"/>
    </row>
    <row r="6422" spans="5:13">
      <c r="E6422" s="1077"/>
      <c r="F6422" s="1077"/>
      <c r="G6422" s="1077"/>
      <c r="H6422" s="1077"/>
      <c r="I6422" s="1077"/>
      <c r="J6422" s="1077"/>
      <c r="K6422" s="1077"/>
      <c r="L6422" s="1077"/>
      <c r="M6422" s="1077"/>
    </row>
    <row r="6423" spans="5:13">
      <c r="E6423" s="1077"/>
      <c r="F6423" s="1077"/>
      <c r="G6423" s="1077"/>
      <c r="H6423" s="1077"/>
      <c r="I6423" s="1077"/>
      <c r="J6423" s="1077"/>
      <c r="K6423" s="1077"/>
      <c r="L6423" s="1077"/>
      <c r="M6423" s="1077"/>
    </row>
    <row r="6424" spans="5:13">
      <c r="E6424" s="1077"/>
      <c r="F6424" s="1077"/>
      <c r="G6424" s="1077"/>
      <c r="H6424" s="1077"/>
      <c r="I6424" s="1077"/>
      <c r="J6424" s="1077"/>
      <c r="K6424" s="1077"/>
      <c r="L6424" s="1077"/>
      <c r="M6424" s="1077"/>
    </row>
    <row r="6425" spans="5:13">
      <c r="E6425" s="1077"/>
      <c r="F6425" s="1077"/>
      <c r="G6425" s="1077"/>
      <c r="H6425" s="1077"/>
      <c r="I6425" s="1077"/>
      <c r="J6425" s="1077"/>
      <c r="K6425" s="1077"/>
      <c r="L6425" s="1077"/>
      <c r="M6425" s="1077"/>
    </row>
    <row r="6426" spans="5:13">
      <c r="E6426" s="1077"/>
      <c r="F6426" s="1077"/>
      <c r="G6426" s="1077"/>
      <c r="H6426" s="1077"/>
      <c r="I6426" s="1077"/>
      <c r="J6426" s="1077"/>
      <c r="K6426" s="1077"/>
      <c r="L6426" s="1077"/>
      <c r="M6426" s="1077"/>
    </row>
    <row r="6427" spans="5:13">
      <c r="E6427" s="1077"/>
      <c r="F6427" s="1077"/>
      <c r="G6427" s="1077"/>
      <c r="H6427" s="1077"/>
      <c r="I6427" s="1077"/>
      <c r="J6427" s="1077"/>
      <c r="K6427" s="1077"/>
      <c r="L6427" s="1077"/>
      <c r="M6427" s="1077"/>
    </row>
    <row r="6428" spans="5:13">
      <c r="E6428" s="1077"/>
      <c r="F6428" s="1077"/>
      <c r="G6428" s="1077"/>
      <c r="H6428" s="1077"/>
      <c r="I6428" s="1077"/>
      <c r="J6428" s="1077"/>
      <c r="K6428" s="1077"/>
      <c r="L6428" s="1077"/>
      <c r="M6428" s="1077"/>
    </row>
    <row r="6429" spans="5:13">
      <c r="E6429" s="1077"/>
      <c r="F6429" s="1077"/>
      <c r="G6429" s="1077"/>
      <c r="H6429" s="1077"/>
      <c r="I6429" s="1077"/>
      <c r="J6429" s="1077"/>
      <c r="K6429" s="1077"/>
      <c r="L6429" s="1077"/>
      <c r="M6429" s="1077"/>
    </row>
    <row r="6430" spans="5:13">
      <c r="E6430" s="1077"/>
      <c r="F6430" s="1077"/>
      <c r="G6430" s="1077"/>
      <c r="H6430" s="1077"/>
      <c r="I6430" s="1077"/>
      <c r="J6430" s="1077"/>
      <c r="K6430" s="1077"/>
      <c r="L6430" s="1077"/>
      <c r="M6430" s="1077"/>
    </row>
    <row r="6431" spans="5:13">
      <c r="E6431" s="1077"/>
      <c r="F6431" s="1077"/>
      <c r="G6431" s="1077"/>
      <c r="H6431" s="1077"/>
      <c r="I6431" s="1077"/>
      <c r="J6431" s="1077"/>
      <c r="K6431" s="1077"/>
      <c r="L6431" s="1077"/>
      <c r="M6431" s="1077"/>
    </row>
    <row r="6432" spans="5:13">
      <c r="E6432" s="1077"/>
      <c r="F6432" s="1077"/>
      <c r="G6432" s="1077"/>
      <c r="H6432" s="1077"/>
      <c r="I6432" s="1077"/>
      <c r="J6432" s="1077"/>
      <c r="K6432" s="1077"/>
      <c r="L6432" s="1077"/>
      <c r="M6432" s="1077"/>
    </row>
    <row r="6433" spans="5:13">
      <c r="E6433" s="1077"/>
      <c r="F6433" s="1077"/>
      <c r="G6433" s="1077"/>
      <c r="H6433" s="1077"/>
      <c r="I6433" s="1077"/>
      <c r="J6433" s="1077"/>
      <c r="K6433" s="1077"/>
      <c r="L6433" s="1077"/>
      <c r="M6433" s="1077"/>
    </row>
    <row r="6434" spans="5:13">
      <c r="E6434" s="1077"/>
      <c r="F6434" s="1077"/>
      <c r="G6434" s="1077"/>
      <c r="H6434" s="1077"/>
      <c r="I6434" s="1077"/>
      <c r="J6434" s="1077"/>
      <c r="K6434" s="1077"/>
      <c r="L6434" s="1077"/>
      <c r="M6434" s="1077"/>
    </row>
    <row r="6435" spans="5:13">
      <c r="E6435" s="1077"/>
      <c r="F6435" s="1077"/>
      <c r="G6435" s="1077"/>
      <c r="H6435" s="1077"/>
      <c r="I6435" s="1077"/>
      <c r="J6435" s="1077"/>
      <c r="K6435" s="1077"/>
      <c r="L6435" s="1077"/>
      <c r="M6435" s="1077"/>
    </row>
    <row r="6436" spans="5:13">
      <c r="E6436" s="1077"/>
      <c r="F6436" s="1077"/>
      <c r="G6436" s="1077"/>
      <c r="H6436" s="1077"/>
      <c r="I6436" s="1077"/>
      <c r="J6436" s="1077"/>
      <c r="K6436" s="1077"/>
      <c r="L6436" s="1077"/>
      <c r="M6436" s="1077"/>
    </row>
    <row r="6437" spans="5:13">
      <c r="E6437" s="1077"/>
      <c r="F6437" s="1077"/>
      <c r="G6437" s="1077"/>
      <c r="H6437" s="1077"/>
      <c r="I6437" s="1077"/>
      <c r="J6437" s="1077"/>
      <c r="K6437" s="1077"/>
      <c r="L6437" s="1077"/>
      <c r="M6437" s="1077"/>
    </row>
    <row r="6438" spans="5:13">
      <c r="E6438" s="1077"/>
      <c r="F6438" s="1077"/>
      <c r="G6438" s="1077"/>
      <c r="H6438" s="1077"/>
      <c r="I6438" s="1077"/>
      <c r="J6438" s="1077"/>
      <c r="K6438" s="1077"/>
      <c r="L6438" s="1077"/>
      <c r="M6438" s="1077"/>
    </row>
    <row r="6439" spans="5:13">
      <c r="E6439" s="1077"/>
      <c r="F6439" s="1077"/>
      <c r="G6439" s="1077"/>
      <c r="H6439" s="1077"/>
      <c r="I6439" s="1077"/>
      <c r="J6439" s="1077"/>
      <c r="K6439" s="1077"/>
      <c r="L6439" s="1077"/>
      <c r="M6439" s="1077"/>
    </row>
    <row r="6440" spans="5:13">
      <c r="E6440" s="1077"/>
      <c r="F6440" s="1077"/>
      <c r="G6440" s="1077"/>
      <c r="H6440" s="1077"/>
      <c r="I6440" s="1077"/>
      <c r="J6440" s="1077"/>
      <c r="K6440" s="1077"/>
      <c r="L6440" s="1077"/>
      <c r="M6440" s="1077"/>
    </row>
    <row r="6441" spans="5:13">
      <c r="E6441" s="1077"/>
      <c r="F6441" s="1077"/>
      <c r="G6441" s="1077"/>
      <c r="H6441" s="1077"/>
      <c r="I6441" s="1077"/>
      <c r="J6441" s="1077"/>
      <c r="K6441" s="1077"/>
      <c r="L6441" s="1077"/>
      <c r="M6441" s="1077"/>
    </row>
    <row r="6442" spans="5:13">
      <c r="E6442" s="1077"/>
      <c r="F6442" s="1077"/>
      <c r="G6442" s="1077"/>
      <c r="H6442" s="1077"/>
      <c r="I6442" s="1077"/>
      <c r="J6442" s="1077"/>
      <c r="K6442" s="1077"/>
      <c r="L6442" s="1077"/>
      <c r="M6442" s="1077"/>
    </row>
    <row r="6443" spans="5:13">
      <c r="E6443" s="1077"/>
      <c r="F6443" s="1077"/>
      <c r="G6443" s="1077"/>
      <c r="H6443" s="1077"/>
      <c r="I6443" s="1077"/>
      <c r="J6443" s="1077"/>
      <c r="K6443" s="1077"/>
      <c r="L6443" s="1077"/>
      <c r="M6443" s="1077"/>
    </row>
    <row r="6444" spans="5:13">
      <c r="E6444" s="1077"/>
      <c r="F6444" s="1077"/>
      <c r="G6444" s="1077"/>
      <c r="H6444" s="1077"/>
      <c r="I6444" s="1077"/>
      <c r="J6444" s="1077"/>
      <c r="K6444" s="1077"/>
      <c r="L6444" s="1077"/>
      <c r="M6444" s="1077"/>
    </row>
    <row r="6445" spans="5:13">
      <c r="E6445" s="1077"/>
      <c r="F6445" s="1077"/>
      <c r="G6445" s="1077"/>
      <c r="H6445" s="1077"/>
      <c r="I6445" s="1077"/>
      <c r="J6445" s="1077"/>
      <c r="K6445" s="1077"/>
      <c r="L6445" s="1077"/>
      <c r="M6445" s="1077"/>
    </row>
    <row r="6446" spans="5:13">
      <c r="E6446" s="1077"/>
      <c r="F6446" s="1077"/>
      <c r="G6446" s="1077"/>
      <c r="H6446" s="1077"/>
      <c r="I6446" s="1077"/>
      <c r="J6446" s="1077"/>
      <c r="K6446" s="1077"/>
      <c r="L6446" s="1077"/>
      <c r="M6446" s="1077"/>
    </row>
    <row r="6447" spans="5:13">
      <c r="E6447" s="1077"/>
      <c r="F6447" s="1077"/>
      <c r="G6447" s="1077"/>
      <c r="H6447" s="1077"/>
      <c r="I6447" s="1077"/>
      <c r="J6447" s="1077"/>
      <c r="K6447" s="1077"/>
      <c r="L6447" s="1077"/>
      <c r="M6447" s="1077"/>
    </row>
    <row r="6448" spans="5:13">
      <c r="E6448" s="1077"/>
      <c r="F6448" s="1077"/>
      <c r="G6448" s="1077"/>
      <c r="H6448" s="1077"/>
      <c r="I6448" s="1077"/>
      <c r="J6448" s="1077"/>
      <c r="K6448" s="1077"/>
      <c r="L6448" s="1077"/>
      <c r="M6448" s="1077"/>
    </row>
    <row r="6449" spans="5:13">
      <c r="E6449" s="1077"/>
      <c r="F6449" s="1077"/>
      <c r="G6449" s="1077"/>
      <c r="H6449" s="1077"/>
      <c r="I6449" s="1077"/>
      <c r="J6449" s="1077"/>
      <c r="K6449" s="1077"/>
      <c r="L6449" s="1077"/>
      <c r="M6449" s="1077"/>
    </row>
    <row r="6450" spans="5:13">
      <c r="E6450" s="1077"/>
      <c r="F6450" s="1077"/>
      <c r="G6450" s="1077"/>
      <c r="H6450" s="1077"/>
      <c r="I6450" s="1077"/>
      <c r="J6450" s="1077"/>
      <c r="K6450" s="1077"/>
      <c r="L6450" s="1077"/>
      <c r="M6450" s="1077"/>
    </row>
    <row r="6451" spans="5:13">
      <c r="E6451" s="1077"/>
      <c r="F6451" s="1077"/>
      <c r="G6451" s="1077"/>
      <c r="H6451" s="1077"/>
      <c r="I6451" s="1077"/>
      <c r="J6451" s="1077"/>
      <c r="K6451" s="1077"/>
      <c r="L6451" s="1077"/>
      <c r="M6451" s="1077"/>
    </row>
    <row r="6452" spans="5:13">
      <c r="E6452" s="1077"/>
      <c r="F6452" s="1077"/>
      <c r="G6452" s="1077"/>
      <c r="H6452" s="1077"/>
      <c r="I6452" s="1077"/>
      <c r="J6452" s="1077"/>
      <c r="K6452" s="1077"/>
      <c r="L6452" s="1077"/>
      <c r="M6452" s="1077"/>
    </row>
    <row r="6453" spans="5:13">
      <c r="E6453" s="1077"/>
      <c r="F6453" s="1077"/>
      <c r="G6453" s="1077"/>
      <c r="H6453" s="1077"/>
      <c r="I6453" s="1077"/>
      <c r="J6453" s="1077"/>
      <c r="K6453" s="1077"/>
      <c r="L6453" s="1077"/>
      <c r="M6453" s="1077"/>
    </row>
    <row r="6454" spans="5:13">
      <c r="E6454" s="1077"/>
      <c r="F6454" s="1077"/>
      <c r="G6454" s="1077"/>
      <c r="H6454" s="1077"/>
      <c r="I6454" s="1077"/>
      <c r="J6454" s="1077"/>
      <c r="K6454" s="1077"/>
      <c r="L6454" s="1077"/>
      <c r="M6454" s="1077"/>
    </row>
    <row r="6455" spans="5:13">
      <c r="E6455" s="1077"/>
      <c r="F6455" s="1077"/>
      <c r="G6455" s="1077"/>
      <c r="H6455" s="1077"/>
      <c r="I6455" s="1077"/>
      <c r="J6455" s="1077"/>
      <c r="K6455" s="1077"/>
      <c r="L6455" s="1077"/>
      <c r="M6455" s="1077"/>
    </row>
    <row r="6456" spans="5:13">
      <c r="E6456" s="1077"/>
      <c r="F6456" s="1077"/>
      <c r="G6456" s="1077"/>
      <c r="H6456" s="1077"/>
      <c r="I6456" s="1077"/>
      <c r="J6456" s="1077"/>
      <c r="K6456" s="1077"/>
      <c r="L6456" s="1077"/>
      <c r="M6456" s="1077"/>
    </row>
    <row r="6457" spans="5:13">
      <c r="E6457" s="1077"/>
      <c r="F6457" s="1077"/>
      <c r="G6457" s="1077"/>
      <c r="H6457" s="1077"/>
      <c r="I6457" s="1077"/>
      <c r="J6457" s="1077"/>
      <c r="K6457" s="1077"/>
      <c r="L6457" s="1077"/>
      <c r="M6457" s="1077"/>
    </row>
    <row r="6458" spans="5:13">
      <c r="E6458" s="1077"/>
      <c r="F6458" s="1077"/>
      <c r="G6458" s="1077"/>
      <c r="H6458" s="1077"/>
      <c r="I6458" s="1077"/>
      <c r="J6458" s="1077"/>
      <c r="K6458" s="1077"/>
      <c r="L6458" s="1077"/>
      <c r="M6458" s="1077"/>
    </row>
    <row r="6459" spans="5:13">
      <c r="E6459" s="1077"/>
      <c r="F6459" s="1077"/>
      <c r="G6459" s="1077"/>
      <c r="H6459" s="1077"/>
      <c r="I6459" s="1077"/>
      <c r="J6459" s="1077"/>
      <c r="K6459" s="1077"/>
      <c r="L6459" s="1077"/>
      <c r="M6459" s="1077"/>
    </row>
    <row r="6460" spans="5:13">
      <c r="E6460" s="1077"/>
      <c r="F6460" s="1077"/>
      <c r="G6460" s="1077"/>
      <c r="H6460" s="1077"/>
      <c r="I6460" s="1077"/>
      <c r="J6460" s="1077"/>
      <c r="K6460" s="1077"/>
      <c r="L6460" s="1077"/>
      <c r="M6460" s="1077"/>
    </row>
    <row r="6461" spans="5:13">
      <c r="E6461" s="1077"/>
      <c r="F6461" s="1077"/>
      <c r="G6461" s="1077"/>
      <c r="H6461" s="1077"/>
      <c r="I6461" s="1077"/>
      <c r="J6461" s="1077"/>
      <c r="K6461" s="1077"/>
      <c r="L6461" s="1077"/>
      <c r="M6461" s="1077"/>
    </row>
    <row r="6462" spans="5:13">
      <c r="E6462" s="1077"/>
      <c r="F6462" s="1077"/>
      <c r="G6462" s="1077"/>
      <c r="H6462" s="1077"/>
      <c r="I6462" s="1077"/>
      <c r="J6462" s="1077"/>
      <c r="K6462" s="1077"/>
      <c r="L6462" s="1077"/>
      <c r="M6462" s="1077"/>
    </row>
    <row r="6463" spans="5:13">
      <c r="E6463" s="1077"/>
      <c r="F6463" s="1077"/>
      <c r="G6463" s="1077"/>
      <c r="H6463" s="1077"/>
      <c r="I6463" s="1077"/>
      <c r="J6463" s="1077"/>
      <c r="K6463" s="1077"/>
      <c r="L6463" s="1077"/>
      <c r="M6463" s="1077"/>
    </row>
    <row r="6464" spans="5:13">
      <c r="E6464" s="1077"/>
      <c r="F6464" s="1077"/>
      <c r="G6464" s="1077"/>
      <c r="H6464" s="1077"/>
      <c r="I6464" s="1077"/>
      <c r="J6464" s="1077"/>
      <c r="K6464" s="1077"/>
      <c r="L6464" s="1077"/>
      <c r="M6464" s="1077"/>
    </row>
    <row r="6465" spans="5:13">
      <c r="E6465" s="1077"/>
      <c r="F6465" s="1077"/>
      <c r="G6465" s="1077"/>
      <c r="H6465" s="1077"/>
      <c r="I6465" s="1077"/>
      <c r="J6465" s="1077"/>
      <c r="K6465" s="1077"/>
      <c r="L6465" s="1077"/>
      <c r="M6465" s="1077"/>
    </row>
    <row r="6466" spans="5:13">
      <c r="E6466" s="1077"/>
      <c r="F6466" s="1077"/>
      <c r="G6466" s="1077"/>
      <c r="H6466" s="1077"/>
      <c r="I6466" s="1077"/>
      <c r="J6466" s="1077"/>
      <c r="K6466" s="1077"/>
      <c r="L6466" s="1077"/>
      <c r="M6466" s="1077"/>
    </row>
    <row r="6467" spans="5:13">
      <c r="E6467" s="1077"/>
      <c r="F6467" s="1077"/>
      <c r="G6467" s="1077"/>
      <c r="H6467" s="1077"/>
      <c r="I6467" s="1077"/>
      <c r="J6467" s="1077"/>
      <c r="K6467" s="1077"/>
      <c r="L6467" s="1077"/>
      <c r="M6467" s="1077"/>
    </row>
    <row r="6468" spans="5:13">
      <c r="E6468" s="1077"/>
      <c r="F6468" s="1077"/>
      <c r="G6468" s="1077"/>
      <c r="H6468" s="1077"/>
      <c r="I6468" s="1077"/>
      <c r="J6468" s="1077"/>
      <c r="K6468" s="1077"/>
      <c r="L6468" s="1077"/>
      <c r="M6468" s="1077"/>
    </row>
    <row r="6469" spans="5:13">
      <c r="E6469" s="1077"/>
      <c r="F6469" s="1077"/>
      <c r="G6469" s="1077"/>
      <c r="H6469" s="1077"/>
      <c r="I6469" s="1077"/>
      <c r="J6469" s="1077"/>
      <c r="K6469" s="1077"/>
      <c r="L6469" s="1077"/>
      <c r="M6469" s="1077"/>
    </row>
    <row r="6470" spans="5:13">
      <c r="E6470" s="1077"/>
      <c r="F6470" s="1077"/>
      <c r="G6470" s="1077"/>
      <c r="H6470" s="1077"/>
      <c r="I6470" s="1077"/>
      <c r="J6470" s="1077"/>
      <c r="K6470" s="1077"/>
      <c r="L6470" s="1077"/>
      <c r="M6470" s="1077"/>
    </row>
    <row r="6471" spans="5:13">
      <c r="E6471" s="1077"/>
      <c r="F6471" s="1077"/>
      <c r="G6471" s="1077"/>
      <c r="H6471" s="1077"/>
      <c r="I6471" s="1077"/>
      <c r="J6471" s="1077"/>
      <c r="K6471" s="1077"/>
      <c r="L6471" s="1077"/>
      <c r="M6471" s="1077"/>
    </row>
    <row r="6472" spans="5:13">
      <c r="E6472" s="1077"/>
      <c r="F6472" s="1077"/>
      <c r="G6472" s="1077"/>
      <c r="H6472" s="1077"/>
      <c r="I6472" s="1077"/>
      <c r="J6472" s="1077"/>
      <c r="K6472" s="1077"/>
      <c r="L6472" s="1077"/>
      <c r="M6472" s="1077"/>
    </row>
    <row r="6473" spans="5:13">
      <c r="E6473" s="1077"/>
      <c r="F6473" s="1077"/>
      <c r="G6473" s="1077"/>
      <c r="H6473" s="1077"/>
      <c r="I6473" s="1077"/>
      <c r="J6473" s="1077"/>
      <c r="K6473" s="1077"/>
      <c r="L6473" s="1077"/>
      <c r="M6473" s="1077"/>
    </row>
    <row r="6474" spans="5:13">
      <c r="E6474" s="1077"/>
      <c r="F6474" s="1077"/>
      <c r="G6474" s="1077"/>
      <c r="H6474" s="1077"/>
      <c r="I6474" s="1077"/>
      <c r="J6474" s="1077"/>
      <c r="K6474" s="1077"/>
      <c r="L6474" s="1077"/>
      <c r="M6474" s="1077"/>
    </row>
    <row r="6475" spans="5:13">
      <c r="E6475" s="1077"/>
      <c r="F6475" s="1077"/>
      <c r="G6475" s="1077"/>
      <c r="H6475" s="1077"/>
      <c r="I6475" s="1077"/>
      <c r="J6475" s="1077"/>
      <c r="K6475" s="1077"/>
      <c r="L6475" s="1077"/>
      <c r="M6475" s="1077"/>
    </row>
    <row r="6476" spans="5:13">
      <c r="E6476" s="1077"/>
      <c r="F6476" s="1077"/>
      <c r="G6476" s="1077"/>
      <c r="H6476" s="1077"/>
      <c r="I6476" s="1077"/>
      <c r="J6476" s="1077"/>
      <c r="K6476" s="1077"/>
      <c r="L6476" s="1077"/>
      <c r="M6476" s="1077"/>
    </row>
    <row r="6477" spans="5:13">
      <c r="E6477" s="1077"/>
      <c r="F6477" s="1077"/>
      <c r="G6477" s="1077"/>
      <c r="H6477" s="1077"/>
      <c r="I6477" s="1077"/>
      <c r="J6477" s="1077"/>
      <c r="K6477" s="1077"/>
      <c r="L6477" s="1077"/>
      <c r="M6477" s="1077"/>
    </row>
    <row r="6478" spans="5:13">
      <c r="E6478" s="1077"/>
      <c r="F6478" s="1077"/>
      <c r="G6478" s="1077"/>
      <c r="H6478" s="1077"/>
      <c r="I6478" s="1077"/>
      <c r="J6478" s="1077"/>
      <c r="K6478" s="1077"/>
      <c r="L6478" s="1077"/>
      <c r="M6478" s="1077"/>
    </row>
    <row r="6479" spans="5:13">
      <c r="E6479" s="1077"/>
      <c r="F6479" s="1077"/>
      <c r="G6479" s="1077"/>
      <c r="H6479" s="1077"/>
      <c r="I6479" s="1077"/>
      <c r="J6479" s="1077"/>
      <c r="K6479" s="1077"/>
      <c r="L6479" s="1077"/>
      <c r="M6479" s="1077"/>
    </row>
    <row r="6480" spans="5:13">
      <c r="E6480" s="1077"/>
      <c r="F6480" s="1077"/>
      <c r="G6480" s="1077"/>
      <c r="H6480" s="1077"/>
      <c r="I6480" s="1077"/>
      <c r="J6480" s="1077"/>
      <c r="K6480" s="1077"/>
      <c r="L6480" s="1077"/>
      <c r="M6480" s="1077"/>
    </row>
    <row r="6481" spans="5:13">
      <c r="E6481" s="1077"/>
      <c r="F6481" s="1077"/>
      <c r="G6481" s="1077"/>
      <c r="H6481" s="1077"/>
      <c r="I6481" s="1077"/>
      <c r="J6481" s="1077"/>
      <c r="K6481" s="1077"/>
      <c r="L6481" s="1077"/>
      <c r="M6481" s="1077"/>
    </row>
    <row r="6482" spans="5:13">
      <c r="E6482" s="1077"/>
      <c r="F6482" s="1077"/>
      <c r="G6482" s="1077"/>
      <c r="H6482" s="1077"/>
      <c r="I6482" s="1077"/>
      <c r="J6482" s="1077"/>
      <c r="K6482" s="1077"/>
      <c r="L6482" s="1077"/>
      <c r="M6482" s="1077"/>
    </row>
    <row r="6483" spans="5:13">
      <c r="E6483" s="1077"/>
      <c r="F6483" s="1077"/>
      <c r="G6483" s="1077"/>
      <c r="H6483" s="1077"/>
      <c r="I6483" s="1077"/>
      <c r="J6483" s="1077"/>
      <c r="K6483" s="1077"/>
      <c r="L6483" s="1077"/>
      <c r="M6483" s="1077"/>
    </row>
    <row r="6484" spans="5:13">
      <c r="E6484" s="1077"/>
      <c r="F6484" s="1077"/>
      <c r="G6484" s="1077"/>
      <c r="H6484" s="1077"/>
      <c r="I6484" s="1077"/>
      <c r="J6484" s="1077"/>
      <c r="K6484" s="1077"/>
      <c r="L6484" s="1077"/>
      <c r="M6484" s="1077"/>
    </row>
    <row r="6485" spans="5:13">
      <c r="E6485" s="1077"/>
      <c r="F6485" s="1077"/>
      <c r="G6485" s="1077"/>
      <c r="H6485" s="1077"/>
      <c r="I6485" s="1077"/>
      <c r="J6485" s="1077"/>
      <c r="K6485" s="1077"/>
      <c r="L6485" s="1077"/>
      <c r="M6485" s="1077"/>
    </row>
    <row r="6486" spans="5:13">
      <c r="E6486" s="1077"/>
      <c r="F6486" s="1077"/>
      <c r="G6486" s="1077"/>
      <c r="H6486" s="1077"/>
      <c r="I6486" s="1077"/>
      <c r="J6486" s="1077"/>
      <c r="K6486" s="1077"/>
      <c r="L6486" s="1077"/>
      <c r="M6486" s="1077"/>
    </row>
    <row r="6487" spans="5:13">
      <c r="E6487" s="1077"/>
      <c r="F6487" s="1077"/>
      <c r="G6487" s="1077"/>
      <c r="H6487" s="1077"/>
      <c r="I6487" s="1077"/>
      <c r="J6487" s="1077"/>
      <c r="K6487" s="1077"/>
      <c r="L6487" s="1077"/>
      <c r="M6487" s="1077"/>
    </row>
    <row r="6488" spans="5:13">
      <c r="E6488" s="1077"/>
      <c r="F6488" s="1077"/>
      <c r="G6488" s="1077"/>
      <c r="H6488" s="1077"/>
      <c r="I6488" s="1077"/>
      <c r="J6488" s="1077"/>
      <c r="K6488" s="1077"/>
      <c r="L6488" s="1077"/>
      <c r="M6488" s="1077"/>
    </row>
    <row r="6489" spans="5:13">
      <c r="E6489" s="1077"/>
      <c r="F6489" s="1077"/>
      <c r="G6489" s="1077"/>
      <c r="H6489" s="1077"/>
      <c r="I6489" s="1077"/>
      <c r="J6489" s="1077"/>
      <c r="K6489" s="1077"/>
      <c r="L6489" s="1077"/>
      <c r="M6489" s="1077"/>
    </row>
    <row r="6490" spans="5:13">
      <c r="E6490" s="1077"/>
      <c r="F6490" s="1077"/>
      <c r="G6490" s="1077"/>
      <c r="H6490" s="1077"/>
      <c r="I6490" s="1077"/>
      <c r="J6490" s="1077"/>
      <c r="K6490" s="1077"/>
      <c r="L6490" s="1077"/>
      <c r="M6490" s="1077"/>
    </row>
    <row r="6491" spans="5:13">
      <c r="E6491" s="1077"/>
      <c r="F6491" s="1077"/>
      <c r="G6491" s="1077"/>
      <c r="H6491" s="1077"/>
      <c r="I6491" s="1077"/>
      <c r="J6491" s="1077"/>
      <c r="K6491" s="1077"/>
      <c r="L6491" s="1077"/>
      <c r="M6491" s="1077"/>
    </row>
    <row r="6492" spans="5:13">
      <c r="E6492" s="1077"/>
      <c r="F6492" s="1077"/>
      <c r="G6492" s="1077"/>
      <c r="H6492" s="1077"/>
      <c r="I6492" s="1077"/>
      <c r="J6492" s="1077"/>
      <c r="K6492" s="1077"/>
      <c r="L6492" s="1077"/>
      <c r="M6492" s="1077"/>
    </row>
    <row r="6493" spans="5:13">
      <c r="E6493" s="1077"/>
      <c r="F6493" s="1077"/>
      <c r="G6493" s="1077"/>
      <c r="H6493" s="1077"/>
      <c r="I6493" s="1077"/>
      <c r="J6493" s="1077"/>
      <c r="K6493" s="1077"/>
      <c r="L6493" s="1077"/>
      <c r="M6493" s="1077"/>
    </row>
    <row r="6494" spans="5:13">
      <c r="E6494" s="1077"/>
      <c r="F6494" s="1077"/>
      <c r="G6494" s="1077"/>
      <c r="H6494" s="1077"/>
      <c r="I6494" s="1077"/>
      <c r="J6494" s="1077"/>
      <c r="K6494" s="1077"/>
      <c r="L6494" s="1077"/>
      <c r="M6494" s="1077"/>
    </row>
    <row r="6495" spans="5:13">
      <c r="E6495" s="1077"/>
      <c r="F6495" s="1077"/>
      <c r="G6495" s="1077"/>
      <c r="H6495" s="1077"/>
      <c r="I6495" s="1077"/>
      <c r="J6495" s="1077"/>
      <c r="K6495" s="1077"/>
      <c r="L6495" s="1077"/>
      <c r="M6495" s="1077"/>
    </row>
    <row r="6496" spans="5:13">
      <c r="E6496" s="1077"/>
      <c r="F6496" s="1077"/>
      <c r="G6496" s="1077"/>
      <c r="H6496" s="1077"/>
      <c r="I6496" s="1077"/>
      <c r="J6496" s="1077"/>
      <c r="K6496" s="1077"/>
      <c r="L6496" s="1077"/>
      <c r="M6496" s="1077"/>
    </row>
    <row r="6497" spans="5:13">
      <c r="E6497" s="1077"/>
      <c r="F6497" s="1077"/>
      <c r="G6497" s="1077"/>
      <c r="H6497" s="1077"/>
      <c r="I6497" s="1077"/>
      <c r="J6497" s="1077"/>
      <c r="K6497" s="1077"/>
      <c r="L6497" s="1077"/>
      <c r="M6497" s="1077"/>
    </row>
    <row r="6498" spans="5:13">
      <c r="E6498" s="1077"/>
      <c r="F6498" s="1077"/>
      <c r="G6498" s="1077"/>
      <c r="H6498" s="1077"/>
      <c r="I6498" s="1077"/>
      <c r="J6498" s="1077"/>
      <c r="K6498" s="1077"/>
      <c r="L6498" s="1077"/>
      <c r="M6498" s="1077"/>
    </row>
    <row r="6499" spans="5:13">
      <c r="E6499" s="1077"/>
      <c r="F6499" s="1077"/>
      <c r="G6499" s="1077"/>
      <c r="H6499" s="1077"/>
      <c r="I6499" s="1077"/>
      <c r="J6499" s="1077"/>
      <c r="K6499" s="1077"/>
      <c r="L6499" s="1077"/>
      <c r="M6499" s="1077"/>
    </row>
    <row r="6500" spans="5:13">
      <c r="E6500" s="1077"/>
      <c r="F6500" s="1077"/>
      <c r="G6500" s="1077"/>
      <c r="H6500" s="1077"/>
      <c r="I6500" s="1077"/>
      <c r="J6500" s="1077"/>
      <c r="K6500" s="1077"/>
      <c r="L6500" s="1077"/>
      <c r="M6500" s="1077"/>
    </row>
    <row r="6501" spans="5:13">
      <c r="E6501" s="1077"/>
      <c r="F6501" s="1077"/>
      <c r="G6501" s="1077"/>
      <c r="H6501" s="1077"/>
      <c r="I6501" s="1077"/>
      <c r="J6501" s="1077"/>
      <c r="K6501" s="1077"/>
      <c r="L6501" s="1077"/>
      <c r="M6501" s="1077"/>
    </row>
    <row r="6502" spans="5:13">
      <c r="E6502" s="1077"/>
      <c r="F6502" s="1077"/>
      <c r="G6502" s="1077"/>
      <c r="H6502" s="1077"/>
      <c r="I6502" s="1077"/>
      <c r="J6502" s="1077"/>
      <c r="K6502" s="1077"/>
      <c r="L6502" s="1077"/>
      <c r="M6502" s="1077"/>
    </row>
    <row r="6503" spans="5:13">
      <c r="E6503" s="1077"/>
      <c r="F6503" s="1077"/>
      <c r="G6503" s="1077"/>
      <c r="H6503" s="1077"/>
      <c r="I6503" s="1077"/>
      <c r="J6503" s="1077"/>
      <c r="K6503" s="1077"/>
      <c r="L6503" s="1077"/>
      <c r="M6503" s="1077"/>
    </row>
    <row r="6504" spans="5:13">
      <c r="E6504" s="1077"/>
      <c r="F6504" s="1077"/>
      <c r="G6504" s="1077"/>
      <c r="H6504" s="1077"/>
      <c r="I6504" s="1077"/>
      <c r="J6504" s="1077"/>
      <c r="K6504" s="1077"/>
      <c r="L6504" s="1077"/>
      <c r="M6504" s="1077"/>
    </row>
    <row r="6505" spans="5:13">
      <c r="E6505" s="1077"/>
      <c r="F6505" s="1077"/>
      <c r="G6505" s="1077"/>
      <c r="H6505" s="1077"/>
      <c r="I6505" s="1077"/>
      <c r="J6505" s="1077"/>
      <c r="K6505" s="1077"/>
      <c r="L6505" s="1077"/>
      <c r="M6505" s="1077"/>
    </row>
    <row r="6506" spans="5:13">
      <c r="E6506" s="1077"/>
      <c r="F6506" s="1077"/>
      <c r="G6506" s="1077"/>
      <c r="H6506" s="1077"/>
      <c r="I6506" s="1077"/>
      <c r="J6506" s="1077"/>
      <c r="K6506" s="1077"/>
      <c r="L6506" s="1077"/>
      <c r="M6506" s="1077"/>
    </row>
    <row r="6507" spans="5:13">
      <c r="E6507" s="1077"/>
      <c r="F6507" s="1077"/>
      <c r="G6507" s="1077"/>
      <c r="H6507" s="1077"/>
      <c r="I6507" s="1077"/>
      <c r="J6507" s="1077"/>
      <c r="K6507" s="1077"/>
      <c r="L6507" s="1077"/>
      <c r="M6507" s="1077"/>
    </row>
    <row r="6508" spans="5:13">
      <c r="E6508" s="1077"/>
      <c r="F6508" s="1077"/>
      <c r="G6508" s="1077"/>
      <c r="H6508" s="1077"/>
      <c r="I6508" s="1077"/>
      <c r="J6508" s="1077"/>
      <c r="K6508" s="1077"/>
      <c r="L6508" s="1077"/>
      <c r="M6508" s="1077"/>
    </row>
    <row r="6509" spans="5:13">
      <c r="E6509" s="1077"/>
      <c r="F6509" s="1077"/>
      <c r="G6509" s="1077"/>
      <c r="H6509" s="1077"/>
      <c r="I6509" s="1077"/>
      <c r="J6509" s="1077"/>
      <c r="K6509" s="1077"/>
      <c r="L6509" s="1077"/>
      <c r="M6509" s="1077"/>
    </row>
    <row r="6510" spans="5:13">
      <c r="E6510" s="1077"/>
      <c r="F6510" s="1077"/>
      <c r="G6510" s="1077"/>
      <c r="H6510" s="1077"/>
      <c r="I6510" s="1077"/>
      <c r="J6510" s="1077"/>
      <c r="K6510" s="1077"/>
      <c r="L6510" s="1077"/>
      <c r="M6510" s="1077"/>
    </row>
    <row r="6511" spans="5:13">
      <c r="E6511" s="1077"/>
      <c r="F6511" s="1077"/>
      <c r="G6511" s="1077"/>
      <c r="H6511" s="1077"/>
      <c r="I6511" s="1077"/>
      <c r="J6511" s="1077"/>
      <c r="K6511" s="1077"/>
      <c r="L6511" s="1077"/>
      <c r="M6511" s="1077"/>
    </row>
    <row r="6512" spans="5:13">
      <c r="E6512" s="1077"/>
      <c r="F6512" s="1077"/>
      <c r="G6512" s="1077"/>
      <c r="H6512" s="1077"/>
      <c r="I6512" s="1077"/>
      <c r="J6512" s="1077"/>
      <c r="K6512" s="1077"/>
      <c r="L6512" s="1077"/>
      <c r="M6512" s="1077"/>
    </row>
    <row r="6513" spans="5:13">
      <c r="E6513" s="1077"/>
      <c r="F6513" s="1077"/>
      <c r="G6513" s="1077"/>
      <c r="H6513" s="1077"/>
      <c r="I6513" s="1077"/>
      <c r="J6513" s="1077"/>
      <c r="K6513" s="1077"/>
      <c r="L6513" s="1077"/>
      <c r="M6513" s="1077"/>
    </row>
    <row r="6514" spans="5:13">
      <c r="E6514" s="1077"/>
      <c r="F6514" s="1077"/>
      <c r="G6514" s="1077"/>
      <c r="H6514" s="1077"/>
      <c r="I6514" s="1077"/>
      <c r="J6514" s="1077"/>
      <c r="K6514" s="1077"/>
      <c r="L6514" s="1077"/>
      <c r="M6514" s="1077"/>
    </row>
    <row r="6515" spans="5:13">
      <c r="E6515" s="1077"/>
      <c r="F6515" s="1077"/>
      <c r="G6515" s="1077"/>
      <c r="H6515" s="1077"/>
      <c r="I6515" s="1077"/>
      <c r="J6515" s="1077"/>
      <c r="K6515" s="1077"/>
      <c r="L6515" s="1077"/>
      <c r="M6515" s="1077"/>
    </row>
    <row r="6516" spans="5:13">
      <c r="E6516" s="1077"/>
      <c r="F6516" s="1077"/>
      <c r="G6516" s="1077"/>
      <c r="H6516" s="1077"/>
      <c r="I6516" s="1077"/>
      <c r="J6516" s="1077"/>
      <c r="K6516" s="1077"/>
      <c r="L6516" s="1077"/>
      <c r="M6516" s="1077"/>
    </row>
    <row r="6517" spans="5:13">
      <c r="E6517" s="1077"/>
      <c r="F6517" s="1077"/>
      <c r="G6517" s="1077"/>
      <c r="H6517" s="1077"/>
      <c r="I6517" s="1077"/>
      <c r="J6517" s="1077"/>
      <c r="K6517" s="1077"/>
      <c r="L6517" s="1077"/>
      <c r="M6517" s="1077"/>
    </row>
    <row r="6518" spans="5:13">
      <c r="E6518" s="1077"/>
      <c r="F6518" s="1077"/>
      <c r="G6518" s="1077"/>
      <c r="H6518" s="1077"/>
      <c r="I6518" s="1077"/>
      <c r="J6518" s="1077"/>
      <c r="K6518" s="1077"/>
      <c r="L6518" s="1077"/>
      <c r="M6518" s="1077"/>
    </row>
    <row r="6519" spans="5:13">
      <c r="E6519" s="1077"/>
      <c r="F6519" s="1077"/>
      <c r="G6519" s="1077"/>
      <c r="H6519" s="1077"/>
      <c r="I6519" s="1077"/>
      <c r="J6519" s="1077"/>
      <c r="K6519" s="1077"/>
      <c r="L6519" s="1077"/>
      <c r="M6519" s="1077"/>
    </row>
    <row r="6520" spans="5:13">
      <c r="E6520" s="1077"/>
      <c r="F6520" s="1077"/>
      <c r="G6520" s="1077"/>
      <c r="H6520" s="1077"/>
      <c r="I6520" s="1077"/>
      <c r="J6520" s="1077"/>
      <c r="K6520" s="1077"/>
      <c r="L6520" s="1077"/>
      <c r="M6520" s="1077"/>
    </row>
    <row r="6521" spans="5:13">
      <c r="E6521" s="1077"/>
      <c r="F6521" s="1077"/>
      <c r="G6521" s="1077"/>
      <c r="H6521" s="1077"/>
      <c r="I6521" s="1077"/>
      <c r="J6521" s="1077"/>
      <c r="K6521" s="1077"/>
      <c r="L6521" s="1077"/>
      <c r="M6521" s="1077"/>
    </row>
    <row r="6522" spans="5:13">
      <c r="E6522" s="1077"/>
      <c r="F6522" s="1077"/>
      <c r="G6522" s="1077"/>
      <c r="H6522" s="1077"/>
      <c r="I6522" s="1077"/>
      <c r="J6522" s="1077"/>
      <c r="K6522" s="1077"/>
      <c r="L6522" s="1077"/>
      <c r="M6522" s="1077"/>
    </row>
    <row r="6523" spans="5:13">
      <c r="E6523" s="1077"/>
      <c r="F6523" s="1077"/>
      <c r="G6523" s="1077"/>
      <c r="H6523" s="1077"/>
      <c r="I6523" s="1077"/>
      <c r="J6523" s="1077"/>
      <c r="K6523" s="1077"/>
      <c r="L6523" s="1077"/>
      <c r="M6523" s="1077"/>
    </row>
    <row r="6524" spans="5:13">
      <c r="E6524" s="1077"/>
      <c r="F6524" s="1077"/>
      <c r="G6524" s="1077"/>
      <c r="H6524" s="1077"/>
      <c r="I6524" s="1077"/>
      <c r="J6524" s="1077"/>
      <c r="K6524" s="1077"/>
      <c r="L6524" s="1077"/>
      <c r="M6524" s="1077"/>
    </row>
    <row r="6525" spans="5:13">
      <c r="E6525" s="1077"/>
      <c r="F6525" s="1077"/>
      <c r="G6525" s="1077"/>
      <c r="H6525" s="1077"/>
      <c r="I6525" s="1077"/>
      <c r="J6525" s="1077"/>
      <c r="K6525" s="1077"/>
      <c r="L6525" s="1077"/>
      <c r="M6525" s="1077"/>
    </row>
    <row r="6526" spans="5:13">
      <c r="E6526" s="1077"/>
      <c r="F6526" s="1077"/>
      <c r="G6526" s="1077"/>
      <c r="H6526" s="1077"/>
      <c r="I6526" s="1077"/>
      <c r="J6526" s="1077"/>
      <c r="K6526" s="1077"/>
      <c r="L6526" s="1077"/>
      <c r="M6526" s="1077"/>
    </row>
    <row r="6527" spans="5:13">
      <c r="E6527" s="1077"/>
      <c r="F6527" s="1077"/>
      <c r="G6527" s="1077"/>
      <c r="H6527" s="1077"/>
      <c r="I6527" s="1077"/>
      <c r="J6527" s="1077"/>
      <c r="K6527" s="1077"/>
      <c r="L6527" s="1077"/>
      <c r="M6527" s="1077"/>
    </row>
    <row r="6528" spans="5:13">
      <c r="E6528" s="1077"/>
      <c r="F6528" s="1077"/>
      <c r="G6528" s="1077"/>
      <c r="H6528" s="1077"/>
      <c r="I6528" s="1077"/>
      <c r="J6528" s="1077"/>
      <c r="K6528" s="1077"/>
      <c r="L6528" s="1077"/>
      <c r="M6528" s="1077"/>
    </row>
    <row r="6529" spans="5:13">
      <c r="E6529" s="1077"/>
      <c r="F6529" s="1077"/>
      <c r="G6529" s="1077"/>
      <c r="H6529" s="1077"/>
      <c r="I6529" s="1077"/>
      <c r="J6529" s="1077"/>
      <c r="K6529" s="1077"/>
      <c r="L6529" s="1077"/>
      <c r="M6529" s="1077"/>
    </row>
    <row r="6530" spans="5:13">
      <c r="E6530" s="1077"/>
      <c r="F6530" s="1077"/>
      <c r="G6530" s="1077"/>
      <c r="H6530" s="1077"/>
      <c r="I6530" s="1077"/>
      <c r="J6530" s="1077"/>
      <c r="K6530" s="1077"/>
      <c r="L6530" s="1077"/>
      <c r="M6530" s="1077"/>
    </row>
    <row r="6531" spans="5:13">
      <c r="E6531" s="1077"/>
      <c r="F6531" s="1077"/>
      <c r="G6531" s="1077"/>
      <c r="H6531" s="1077"/>
      <c r="I6531" s="1077"/>
      <c r="J6531" s="1077"/>
      <c r="K6531" s="1077"/>
      <c r="L6531" s="1077"/>
      <c r="M6531" s="1077"/>
    </row>
    <row r="6532" spans="5:13">
      <c r="E6532" s="1077"/>
      <c r="F6532" s="1077"/>
      <c r="G6532" s="1077"/>
      <c r="H6532" s="1077"/>
      <c r="I6532" s="1077"/>
      <c r="J6532" s="1077"/>
      <c r="K6532" s="1077"/>
      <c r="L6532" s="1077"/>
      <c r="M6532" s="1077"/>
    </row>
    <row r="6533" spans="5:13">
      <c r="E6533" s="1077"/>
      <c r="F6533" s="1077"/>
      <c r="G6533" s="1077"/>
      <c r="H6533" s="1077"/>
      <c r="I6533" s="1077"/>
      <c r="J6533" s="1077"/>
      <c r="K6533" s="1077"/>
      <c r="L6533" s="1077"/>
      <c r="M6533" s="1077"/>
    </row>
    <row r="6534" spans="5:13">
      <c r="E6534" s="1077"/>
      <c r="F6534" s="1077"/>
      <c r="G6534" s="1077"/>
      <c r="H6534" s="1077"/>
      <c r="I6534" s="1077"/>
      <c r="J6534" s="1077"/>
      <c r="K6534" s="1077"/>
      <c r="L6534" s="1077"/>
      <c r="M6534" s="1077"/>
    </row>
    <row r="6535" spans="5:13">
      <c r="E6535" s="1077"/>
      <c r="F6535" s="1077"/>
      <c r="G6535" s="1077"/>
      <c r="H6535" s="1077"/>
      <c r="I6535" s="1077"/>
      <c r="J6535" s="1077"/>
      <c r="K6535" s="1077"/>
      <c r="L6535" s="1077"/>
      <c r="M6535" s="1077"/>
    </row>
    <row r="6536" spans="5:13">
      <c r="E6536" s="1077"/>
      <c r="F6536" s="1077"/>
      <c r="G6536" s="1077"/>
      <c r="H6536" s="1077"/>
      <c r="I6536" s="1077"/>
      <c r="J6536" s="1077"/>
      <c r="K6536" s="1077"/>
      <c r="L6536" s="1077"/>
      <c r="M6536" s="1077"/>
    </row>
    <row r="6537" spans="5:13">
      <c r="E6537" s="1077"/>
      <c r="F6537" s="1077"/>
      <c r="G6537" s="1077"/>
      <c r="H6537" s="1077"/>
      <c r="I6537" s="1077"/>
      <c r="J6537" s="1077"/>
      <c r="K6537" s="1077"/>
      <c r="L6537" s="1077"/>
      <c r="M6537" s="1077"/>
    </row>
    <row r="6538" spans="5:13">
      <c r="E6538" s="1077"/>
      <c r="F6538" s="1077"/>
      <c r="G6538" s="1077"/>
      <c r="H6538" s="1077"/>
      <c r="I6538" s="1077"/>
      <c r="J6538" s="1077"/>
      <c r="K6538" s="1077"/>
      <c r="L6538" s="1077"/>
      <c r="M6538" s="1077"/>
    </row>
    <row r="6539" spans="5:13">
      <c r="E6539" s="1077"/>
      <c r="F6539" s="1077"/>
      <c r="G6539" s="1077"/>
      <c r="H6539" s="1077"/>
      <c r="I6539" s="1077"/>
      <c r="J6539" s="1077"/>
      <c r="K6539" s="1077"/>
      <c r="L6539" s="1077"/>
      <c r="M6539" s="1077"/>
    </row>
    <row r="6540" spans="5:13">
      <c r="E6540" s="1077"/>
      <c r="F6540" s="1077"/>
      <c r="G6540" s="1077"/>
      <c r="H6540" s="1077"/>
      <c r="I6540" s="1077"/>
      <c r="J6540" s="1077"/>
      <c r="K6540" s="1077"/>
      <c r="L6540" s="1077"/>
      <c r="M6540" s="1077"/>
    </row>
    <row r="6541" spans="5:13">
      <c r="E6541" s="1077"/>
      <c r="F6541" s="1077"/>
      <c r="G6541" s="1077"/>
      <c r="H6541" s="1077"/>
      <c r="I6541" s="1077"/>
      <c r="J6541" s="1077"/>
      <c r="K6541" s="1077"/>
      <c r="L6541" s="1077"/>
      <c r="M6541" s="1077"/>
    </row>
    <row r="6542" spans="5:13">
      <c r="E6542" s="1077"/>
      <c r="F6542" s="1077"/>
      <c r="G6542" s="1077"/>
      <c r="H6542" s="1077"/>
      <c r="I6542" s="1077"/>
      <c r="J6542" s="1077"/>
      <c r="K6542" s="1077"/>
      <c r="L6542" s="1077"/>
      <c r="M6542" s="1077"/>
    </row>
    <row r="6543" spans="5:13">
      <c r="E6543" s="1077"/>
      <c r="F6543" s="1077"/>
      <c r="G6543" s="1077"/>
      <c r="H6543" s="1077"/>
      <c r="I6543" s="1077"/>
      <c r="J6543" s="1077"/>
      <c r="K6543" s="1077"/>
      <c r="L6543" s="1077"/>
      <c r="M6543" s="1077"/>
    </row>
    <row r="6544" spans="5:13">
      <c r="E6544" s="1077"/>
      <c r="F6544" s="1077"/>
      <c r="G6544" s="1077"/>
      <c r="H6544" s="1077"/>
      <c r="I6544" s="1077"/>
      <c r="J6544" s="1077"/>
      <c r="K6544" s="1077"/>
      <c r="L6544" s="1077"/>
      <c r="M6544" s="1077"/>
    </row>
    <row r="6545" spans="5:13">
      <c r="E6545" s="1077"/>
      <c r="F6545" s="1077"/>
      <c r="G6545" s="1077"/>
      <c r="H6545" s="1077"/>
      <c r="I6545" s="1077"/>
      <c r="J6545" s="1077"/>
      <c r="K6545" s="1077"/>
      <c r="L6545" s="1077"/>
      <c r="M6545" s="1077"/>
    </row>
    <row r="6546" spans="5:13">
      <c r="E6546" s="1077"/>
      <c r="F6546" s="1077"/>
      <c r="G6546" s="1077"/>
      <c r="H6546" s="1077"/>
      <c r="I6546" s="1077"/>
      <c r="J6546" s="1077"/>
      <c r="K6546" s="1077"/>
      <c r="L6546" s="1077"/>
      <c r="M6546" s="1077"/>
    </row>
    <row r="6547" spans="5:13">
      <c r="E6547" s="1077"/>
      <c r="F6547" s="1077"/>
      <c r="G6547" s="1077"/>
      <c r="H6547" s="1077"/>
      <c r="I6547" s="1077"/>
      <c r="J6547" s="1077"/>
      <c r="K6547" s="1077"/>
      <c r="L6547" s="1077"/>
      <c r="M6547" s="1077"/>
    </row>
    <row r="6548" spans="5:13">
      <c r="E6548" s="1077"/>
      <c r="F6548" s="1077"/>
      <c r="G6548" s="1077"/>
      <c r="H6548" s="1077"/>
      <c r="I6548" s="1077"/>
      <c r="J6548" s="1077"/>
      <c r="K6548" s="1077"/>
      <c r="L6548" s="1077"/>
      <c r="M6548" s="1077"/>
    </row>
    <row r="6549" spans="5:13">
      <c r="E6549" s="1077"/>
      <c r="F6549" s="1077"/>
      <c r="G6549" s="1077"/>
      <c r="H6549" s="1077"/>
      <c r="I6549" s="1077"/>
      <c r="J6549" s="1077"/>
      <c r="K6549" s="1077"/>
      <c r="L6549" s="1077"/>
      <c r="M6549" s="1077"/>
    </row>
    <row r="6550" spans="5:13">
      <c r="E6550" s="1077"/>
      <c r="F6550" s="1077"/>
      <c r="G6550" s="1077"/>
      <c r="H6550" s="1077"/>
      <c r="I6550" s="1077"/>
      <c r="J6550" s="1077"/>
      <c r="K6550" s="1077"/>
      <c r="L6550" s="1077"/>
      <c r="M6550" s="1077"/>
    </row>
    <row r="6551" spans="5:13">
      <c r="E6551" s="1077"/>
      <c r="F6551" s="1077"/>
      <c r="G6551" s="1077"/>
      <c r="H6551" s="1077"/>
      <c r="I6551" s="1077"/>
      <c r="J6551" s="1077"/>
      <c r="K6551" s="1077"/>
      <c r="L6551" s="1077"/>
      <c r="M6551" s="1077"/>
    </row>
    <row r="6552" spans="5:13">
      <c r="E6552" s="1077"/>
      <c r="F6552" s="1077"/>
      <c r="G6552" s="1077"/>
      <c r="H6552" s="1077"/>
      <c r="I6552" s="1077"/>
      <c r="J6552" s="1077"/>
      <c r="K6552" s="1077"/>
      <c r="L6552" s="1077"/>
      <c r="M6552" s="1077"/>
    </row>
    <row r="6553" spans="5:13">
      <c r="E6553" s="1077"/>
      <c r="F6553" s="1077"/>
      <c r="G6553" s="1077"/>
      <c r="H6553" s="1077"/>
      <c r="I6553" s="1077"/>
      <c r="J6553" s="1077"/>
      <c r="K6553" s="1077"/>
      <c r="L6553" s="1077"/>
      <c r="M6553" s="1077"/>
    </row>
    <row r="6554" spans="5:13">
      <c r="E6554" s="1077"/>
      <c r="F6554" s="1077"/>
      <c r="G6554" s="1077"/>
      <c r="H6554" s="1077"/>
      <c r="I6554" s="1077"/>
      <c r="J6554" s="1077"/>
      <c r="K6554" s="1077"/>
      <c r="L6554" s="1077"/>
      <c r="M6554" s="1077"/>
    </row>
    <row r="6555" spans="5:13">
      <c r="E6555" s="1077"/>
      <c r="F6555" s="1077"/>
      <c r="G6555" s="1077"/>
      <c r="H6555" s="1077"/>
      <c r="I6555" s="1077"/>
      <c r="J6555" s="1077"/>
      <c r="K6555" s="1077"/>
      <c r="L6555" s="1077"/>
      <c r="M6555" s="1077"/>
    </row>
    <row r="6556" spans="5:13">
      <c r="E6556" s="1077"/>
      <c r="F6556" s="1077"/>
      <c r="G6556" s="1077"/>
      <c r="H6556" s="1077"/>
      <c r="I6556" s="1077"/>
      <c r="J6556" s="1077"/>
      <c r="K6556" s="1077"/>
      <c r="L6556" s="1077"/>
      <c r="M6556" s="1077"/>
    </row>
    <row r="6557" spans="5:13">
      <c r="E6557" s="1077"/>
      <c r="F6557" s="1077"/>
      <c r="G6557" s="1077"/>
      <c r="H6557" s="1077"/>
      <c r="I6557" s="1077"/>
      <c r="J6557" s="1077"/>
      <c r="K6557" s="1077"/>
      <c r="L6557" s="1077"/>
      <c r="M6557" s="1077"/>
    </row>
    <row r="6558" spans="5:13">
      <c r="E6558" s="1077"/>
      <c r="F6558" s="1077"/>
      <c r="G6558" s="1077"/>
      <c r="H6558" s="1077"/>
      <c r="I6558" s="1077"/>
      <c r="J6558" s="1077"/>
      <c r="K6558" s="1077"/>
      <c r="L6558" s="1077"/>
      <c r="M6558" s="1077"/>
    </row>
    <row r="6559" spans="5:13">
      <c r="E6559" s="1077"/>
      <c r="F6559" s="1077"/>
      <c r="G6559" s="1077"/>
      <c r="H6559" s="1077"/>
      <c r="I6559" s="1077"/>
      <c r="J6559" s="1077"/>
      <c r="K6559" s="1077"/>
      <c r="L6559" s="1077"/>
      <c r="M6559" s="1077"/>
    </row>
    <row r="6560" spans="5:13">
      <c r="E6560" s="1077"/>
      <c r="F6560" s="1077"/>
      <c r="G6560" s="1077"/>
      <c r="H6560" s="1077"/>
      <c r="I6560" s="1077"/>
      <c r="J6560" s="1077"/>
      <c r="K6560" s="1077"/>
      <c r="L6560" s="1077"/>
      <c r="M6560" s="1077"/>
    </row>
    <row r="6561" spans="5:13">
      <c r="E6561" s="1077"/>
      <c r="F6561" s="1077"/>
      <c r="G6561" s="1077"/>
      <c r="H6561" s="1077"/>
      <c r="I6561" s="1077"/>
      <c r="J6561" s="1077"/>
      <c r="K6561" s="1077"/>
      <c r="L6561" s="1077"/>
      <c r="M6561" s="1077"/>
    </row>
    <row r="6562" spans="5:13">
      <c r="E6562" s="1077"/>
      <c r="F6562" s="1077"/>
      <c r="G6562" s="1077"/>
      <c r="H6562" s="1077"/>
      <c r="I6562" s="1077"/>
      <c r="J6562" s="1077"/>
      <c r="K6562" s="1077"/>
      <c r="L6562" s="1077"/>
      <c r="M6562" s="1077"/>
    </row>
    <row r="6563" spans="5:13">
      <c r="E6563" s="1077"/>
      <c r="F6563" s="1077"/>
      <c r="G6563" s="1077"/>
      <c r="H6563" s="1077"/>
      <c r="I6563" s="1077"/>
      <c r="J6563" s="1077"/>
      <c r="K6563" s="1077"/>
      <c r="L6563" s="1077"/>
      <c r="M6563" s="1077"/>
    </row>
    <row r="6564" spans="5:13">
      <c r="E6564" s="1077"/>
      <c r="F6564" s="1077"/>
      <c r="G6564" s="1077"/>
      <c r="H6564" s="1077"/>
      <c r="I6564" s="1077"/>
      <c r="J6564" s="1077"/>
      <c r="K6564" s="1077"/>
      <c r="L6564" s="1077"/>
      <c r="M6564" s="1077"/>
    </row>
    <row r="6565" spans="5:13">
      <c r="E6565" s="1077"/>
      <c r="F6565" s="1077"/>
      <c r="G6565" s="1077"/>
      <c r="H6565" s="1077"/>
      <c r="I6565" s="1077"/>
      <c r="J6565" s="1077"/>
      <c r="K6565" s="1077"/>
      <c r="L6565" s="1077"/>
      <c r="M6565" s="1077"/>
    </row>
    <row r="6566" spans="5:13">
      <c r="E6566" s="1077"/>
      <c r="F6566" s="1077"/>
      <c r="G6566" s="1077"/>
      <c r="H6566" s="1077"/>
      <c r="I6566" s="1077"/>
      <c r="J6566" s="1077"/>
      <c r="K6566" s="1077"/>
      <c r="L6566" s="1077"/>
      <c r="M6566" s="1077"/>
    </row>
    <row r="6567" spans="5:13">
      <c r="E6567" s="1077"/>
      <c r="F6567" s="1077"/>
      <c r="G6567" s="1077"/>
      <c r="H6567" s="1077"/>
      <c r="I6567" s="1077"/>
      <c r="J6567" s="1077"/>
      <c r="K6567" s="1077"/>
      <c r="L6567" s="1077"/>
      <c r="M6567" s="1077"/>
    </row>
    <row r="6568" spans="5:13">
      <c r="E6568" s="1077"/>
      <c r="F6568" s="1077"/>
      <c r="G6568" s="1077"/>
      <c r="H6568" s="1077"/>
      <c r="I6568" s="1077"/>
      <c r="J6568" s="1077"/>
      <c r="K6568" s="1077"/>
      <c r="L6568" s="1077"/>
      <c r="M6568" s="1077"/>
    </row>
    <row r="6569" spans="5:13">
      <c r="E6569" s="1077"/>
      <c r="F6569" s="1077"/>
      <c r="G6569" s="1077"/>
      <c r="H6569" s="1077"/>
      <c r="I6569" s="1077"/>
      <c r="J6569" s="1077"/>
      <c r="K6569" s="1077"/>
      <c r="L6569" s="1077"/>
      <c r="M6569" s="1077"/>
    </row>
    <row r="6570" spans="5:13">
      <c r="E6570" s="1077"/>
      <c r="F6570" s="1077"/>
      <c r="G6570" s="1077"/>
      <c r="H6570" s="1077"/>
      <c r="I6570" s="1077"/>
      <c r="J6570" s="1077"/>
      <c r="K6570" s="1077"/>
      <c r="L6570" s="1077"/>
      <c r="M6570" s="1077"/>
    </row>
    <row r="6571" spans="5:13">
      <c r="E6571" s="1077"/>
      <c r="F6571" s="1077"/>
      <c r="G6571" s="1077"/>
      <c r="H6571" s="1077"/>
      <c r="I6571" s="1077"/>
      <c r="J6571" s="1077"/>
      <c r="K6571" s="1077"/>
      <c r="L6571" s="1077"/>
      <c r="M6571" s="1077"/>
    </row>
    <row r="6572" spans="5:13">
      <c r="E6572" s="1077"/>
      <c r="F6572" s="1077"/>
      <c r="G6572" s="1077"/>
      <c r="H6572" s="1077"/>
      <c r="I6572" s="1077"/>
      <c r="J6572" s="1077"/>
      <c r="K6572" s="1077"/>
      <c r="L6572" s="1077"/>
      <c r="M6572" s="1077"/>
    </row>
    <row r="6573" spans="5:13">
      <c r="E6573" s="1077"/>
      <c r="F6573" s="1077"/>
      <c r="G6573" s="1077"/>
      <c r="H6573" s="1077"/>
      <c r="I6573" s="1077"/>
      <c r="J6573" s="1077"/>
      <c r="K6573" s="1077"/>
      <c r="L6573" s="1077"/>
      <c r="M6573" s="1077"/>
    </row>
    <row r="6574" spans="5:13">
      <c r="E6574" s="1077"/>
      <c r="F6574" s="1077"/>
      <c r="G6574" s="1077"/>
      <c r="H6574" s="1077"/>
      <c r="I6574" s="1077"/>
      <c r="J6574" s="1077"/>
      <c r="K6574" s="1077"/>
      <c r="L6574" s="1077"/>
      <c r="M6574" s="1077"/>
    </row>
    <row r="6575" spans="5:13">
      <c r="E6575" s="1077"/>
      <c r="F6575" s="1077"/>
      <c r="G6575" s="1077"/>
      <c r="H6575" s="1077"/>
      <c r="I6575" s="1077"/>
      <c r="J6575" s="1077"/>
      <c r="K6575" s="1077"/>
      <c r="L6575" s="1077"/>
      <c r="M6575" s="1077"/>
    </row>
    <row r="6576" spans="5:13">
      <c r="E6576" s="1077"/>
      <c r="F6576" s="1077"/>
      <c r="G6576" s="1077"/>
      <c r="H6576" s="1077"/>
      <c r="I6576" s="1077"/>
      <c r="J6576" s="1077"/>
      <c r="K6576" s="1077"/>
      <c r="L6576" s="1077"/>
      <c r="M6576" s="1077"/>
    </row>
    <row r="6577" spans="5:13">
      <c r="E6577" s="1077"/>
      <c r="F6577" s="1077"/>
      <c r="G6577" s="1077"/>
      <c r="H6577" s="1077"/>
      <c r="I6577" s="1077"/>
      <c r="J6577" s="1077"/>
      <c r="K6577" s="1077"/>
      <c r="L6577" s="1077"/>
      <c r="M6577" s="1077"/>
    </row>
    <row r="6578" spans="5:13">
      <c r="E6578" s="1077"/>
      <c r="F6578" s="1077"/>
      <c r="G6578" s="1077"/>
      <c r="H6578" s="1077"/>
      <c r="I6578" s="1077"/>
      <c r="J6578" s="1077"/>
      <c r="K6578" s="1077"/>
      <c r="L6578" s="1077"/>
      <c r="M6578" s="1077"/>
    </row>
    <row r="6579" spans="5:13">
      <c r="E6579" s="1077"/>
      <c r="F6579" s="1077"/>
      <c r="G6579" s="1077"/>
      <c r="H6579" s="1077"/>
      <c r="I6579" s="1077"/>
      <c r="J6579" s="1077"/>
      <c r="K6579" s="1077"/>
      <c r="L6579" s="1077"/>
      <c r="M6579" s="1077"/>
    </row>
    <row r="6580" spans="5:13">
      <c r="E6580" s="1077"/>
      <c r="F6580" s="1077"/>
      <c r="G6580" s="1077"/>
      <c r="H6580" s="1077"/>
      <c r="I6580" s="1077"/>
      <c r="J6580" s="1077"/>
      <c r="K6580" s="1077"/>
      <c r="L6580" s="1077"/>
      <c r="M6580" s="1077"/>
    </row>
    <row r="6581" spans="5:13">
      <c r="E6581" s="1077"/>
      <c r="F6581" s="1077"/>
      <c r="G6581" s="1077"/>
      <c r="H6581" s="1077"/>
      <c r="I6581" s="1077"/>
      <c r="J6581" s="1077"/>
      <c r="K6581" s="1077"/>
      <c r="L6581" s="1077"/>
      <c r="M6581" s="1077"/>
    </row>
    <row r="6582" spans="5:13">
      <c r="E6582" s="1077"/>
      <c r="F6582" s="1077"/>
      <c r="G6582" s="1077"/>
      <c r="H6582" s="1077"/>
      <c r="I6582" s="1077"/>
      <c r="J6582" s="1077"/>
      <c r="K6582" s="1077"/>
      <c r="L6582" s="1077"/>
      <c r="M6582" s="1077"/>
    </row>
    <row r="6583" spans="5:13">
      <c r="E6583" s="1077"/>
      <c r="F6583" s="1077"/>
      <c r="G6583" s="1077"/>
      <c r="H6583" s="1077"/>
      <c r="I6583" s="1077"/>
      <c r="J6583" s="1077"/>
      <c r="K6583" s="1077"/>
      <c r="L6583" s="1077"/>
      <c r="M6583" s="1077"/>
    </row>
    <row r="6584" spans="5:13">
      <c r="E6584" s="1077"/>
      <c r="F6584" s="1077"/>
      <c r="G6584" s="1077"/>
      <c r="H6584" s="1077"/>
      <c r="I6584" s="1077"/>
      <c r="J6584" s="1077"/>
      <c r="K6584" s="1077"/>
      <c r="L6584" s="1077"/>
      <c r="M6584" s="1077"/>
    </row>
    <row r="6585" spans="5:13">
      <c r="E6585" s="1077"/>
      <c r="F6585" s="1077"/>
      <c r="G6585" s="1077"/>
      <c r="H6585" s="1077"/>
      <c r="I6585" s="1077"/>
      <c r="J6585" s="1077"/>
      <c r="K6585" s="1077"/>
      <c r="L6585" s="1077"/>
      <c r="M6585" s="1077"/>
    </row>
    <row r="6586" spans="5:13">
      <c r="E6586" s="1077"/>
      <c r="F6586" s="1077"/>
      <c r="G6586" s="1077"/>
      <c r="H6586" s="1077"/>
      <c r="I6586" s="1077"/>
      <c r="J6586" s="1077"/>
      <c r="K6586" s="1077"/>
      <c r="L6586" s="1077"/>
      <c r="M6586" s="1077"/>
    </row>
    <row r="6587" spans="5:13">
      <c r="E6587" s="1077"/>
      <c r="F6587" s="1077"/>
      <c r="G6587" s="1077"/>
      <c r="H6587" s="1077"/>
      <c r="I6587" s="1077"/>
      <c r="J6587" s="1077"/>
      <c r="K6587" s="1077"/>
      <c r="L6587" s="1077"/>
      <c r="M6587" s="1077"/>
    </row>
    <row r="6588" spans="5:13">
      <c r="E6588" s="1077"/>
      <c r="F6588" s="1077"/>
      <c r="G6588" s="1077"/>
      <c r="H6588" s="1077"/>
      <c r="I6588" s="1077"/>
      <c r="J6588" s="1077"/>
      <c r="K6588" s="1077"/>
      <c r="L6588" s="1077"/>
      <c r="M6588" s="1077"/>
    </row>
    <row r="6589" spans="5:13">
      <c r="E6589" s="1077"/>
      <c r="F6589" s="1077"/>
      <c r="G6589" s="1077"/>
      <c r="H6589" s="1077"/>
      <c r="I6589" s="1077"/>
      <c r="J6589" s="1077"/>
      <c r="K6589" s="1077"/>
      <c r="L6589" s="1077"/>
      <c r="M6589" s="1077"/>
    </row>
    <row r="6590" spans="5:13">
      <c r="E6590" s="1077"/>
      <c r="F6590" s="1077"/>
      <c r="G6590" s="1077"/>
      <c r="H6590" s="1077"/>
      <c r="I6590" s="1077"/>
      <c r="J6590" s="1077"/>
      <c r="K6590" s="1077"/>
      <c r="L6590" s="1077"/>
      <c r="M6590" s="1077"/>
    </row>
    <row r="6591" spans="5:13">
      <c r="E6591" s="1077"/>
      <c r="F6591" s="1077"/>
      <c r="G6591" s="1077"/>
      <c r="H6591" s="1077"/>
      <c r="I6591" s="1077"/>
      <c r="J6591" s="1077"/>
      <c r="K6591" s="1077"/>
      <c r="L6591" s="1077"/>
      <c r="M6591" s="1077"/>
    </row>
    <row r="6592" spans="5:13">
      <c r="E6592" s="1077"/>
      <c r="F6592" s="1077"/>
      <c r="G6592" s="1077"/>
      <c r="H6592" s="1077"/>
      <c r="I6592" s="1077"/>
      <c r="J6592" s="1077"/>
      <c r="K6592" s="1077"/>
      <c r="L6592" s="1077"/>
      <c r="M6592" s="1077"/>
    </row>
    <row r="6593" spans="5:13">
      <c r="E6593" s="1077"/>
      <c r="F6593" s="1077"/>
      <c r="G6593" s="1077"/>
      <c r="H6593" s="1077"/>
      <c r="I6593" s="1077"/>
      <c r="J6593" s="1077"/>
      <c r="K6593" s="1077"/>
      <c r="L6593" s="1077"/>
      <c r="M6593" s="1077"/>
    </row>
    <row r="6594" spans="5:13">
      <c r="E6594" s="1077"/>
      <c r="F6594" s="1077"/>
      <c r="G6594" s="1077"/>
      <c r="H6594" s="1077"/>
      <c r="I6594" s="1077"/>
      <c r="J6594" s="1077"/>
      <c r="K6594" s="1077"/>
      <c r="L6594" s="1077"/>
      <c r="M6594" s="1077"/>
    </row>
    <row r="6595" spans="5:13">
      <c r="E6595" s="1077"/>
      <c r="F6595" s="1077"/>
      <c r="G6595" s="1077"/>
      <c r="H6595" s="1077"/>
      <c r="I6595" s="1077"/>
      <c r="J6595" s="1077"/>
      <c r="K6595" s="1077"/>
      <c r="L6595" s="1077"/>
      <c r="M6595" s="1077"/>
    </row>
    <row r="6596" spans="5:13">
      <c r="E6596" s="1077"/>
      <c r="F6596" s="1077"/>
      <c r="G6596" s="1077"/>
      <c r="H6596" s="1077"/>
      <c r="I6596" s="1077"/>
      <c r="J6596" s="1077"/>
      <c r="K6596" s="1077"/>
      <c r="L6596" s="1077"/>
      <c r="M6596" s="1077"/>
    </row>
    <row r="6597" spans="5:13">
      <c r="E6597" s="1077"/>
      <c r="F6597" s="1077"/>
      <c r="G6597" s="1077"/>
      <c r="H6597" s="1077"/>
      <c r="I6597" s="1077"/>
      <c r="J6597" s="1077"/>
      <c r="K6597" s="1077"/>
      <c r="L6597" s="1077"/>
      <c r="M6597" s="1077"/>
    </row>
    <row r="6598" spans="5:13">
      <c r="E6598" s="1077"/>
      <c r="F6598" s="1077"/>
      <c r="G6598" s="1077"/>
      <c r="H6598" s="1077"/>
      <c r="I6598" s="1077"/>
      <c r="J6598" s="1077"/>
      <c r="K6598" s="1077"/>
      <c r="L6598" s="1077"/>
      <c r="M6598" s="1077"/>
    </row>
    <row r="6599" spans="5:13">
      <c r="E6599" s="1077"/>
      <c r="F6599" s="1077"/>
      <c r="G6599" s="1077"/>
      <c r="H6599" s="1077"/>
      <c r="I6599" s="1077"/>
      <c r="J6599" s="1077"/>
      <c r="K6599" s="1077"/>
      <c r="L6599" s="1077"/>
      <c r="M6599" s="1077"/>
    </row>
    <row r="6600" spans="5:13">
      <c r="E6600" s="1077"/>
      <c r="F6600" s="1077"/>
      <c r="G6600" s="1077"/>
      <c r="H6600" s="1077"/>
      <c r="I6600" s="1077"/>
      <c r="J6600" s="1077"/>
      <c r="K6600" s="1077"/>
      <c r="L6600" s="1077"/>
      <c r="M6600" s="1077"/>
    </row>
    <row r="6601" spans="5:13">
      <c r="E6601" s="1077"/>
      <c r="F6601" s="1077"/>
      <c r="G6601" s="1077"/>
      <c r="H6601" s="1077"/>
      <c r="I6601" s="1077"/>
      <c r="J6601" s="1077"/>
      <c r="K6601" s="1077"/>
      <c r="L6601" s="1077"/>
      <c r="M6601" s="1077"/>
    </row>
    <row r="6602" spans="5:13">
      <c r="E6602" s="1077"/>
      <c r="F6602" s="1077"/>
      <c r="G6602" s="1077"/>
      <c r="H6602" s="1077"/>
      <c r="I6602" s="1077"/>
      <c r="J6602" s="1077"/>
      <c r="K6602" s="1077"/>
      <c r="L6602" s="1077"/>
      <c r="M6602" s="1077"/>
    </row>
    <row r="6603" spans="5:13">
      <c r="E6603" s="1077"/>
      <c r="F6603" s="1077"/>
      <c r="G6603" s="1077"/>
      <c r="H6603" s="1077"/>
      <c r="I6603" s="1077"/>
      <c r="J6603" s="1077"/>
      <c r="K6603" s="1077"/>
      <c r="L6603" s="1077"/>
      <c r="M6603" s="1077"/>
    </row>
    <row r="6604" spans="5:13">
      <c r="E6604" s="1077"/>
      <c r="F6604" s="1077"/>
      <c r="G6604" s="1077"/>
      <c r="H6604" s="1077"/>
      <c r="I6604" s="1077"/>
      <c r="J6604" s="1077"/>
      <c r="K6604" s="1077"/>
      <c r="L6604" s="1077"/>
      <c r="M6604" s="1077"/>
    </row>
    <row r="6605" spans="5:13">
      <c r="E6605" s="1077"/>
      <c r="F6605" s="1077"/>
      <c r="G6605" s="1077"/>
      <c r="H6605" s="1077"/>
      <c r="I6605" s="1077"/>
      <c r="J6605" s="1077"/>
      <c r="K6605" s="1077"/>
      <c r="L6605" s="1077"/>
      <c r="M6605" s="1077"/>
    </row>
    <row r="6606" spans="5:13">
      <c r="E6606" s="1077"/>
      <c r="F6606" s="1077"/>
      <c r="G6606" s="1077"/>
      <c r="H6606" s="1077"/>
      <c r="I6606" s="1077"/>
      <c r="J6606" s="1077"/>
      <c r="K6606" s="1077"/>
      <c r="L6606" s="1077"/>
      <c r="M6606" s="1077"/>
    </row>
    <row r="6607" spans="5:13">
      <c r="E6607" s="1077"/>
      <c r="F6607" s="1077"/>
      <c r="G6607" s="1077"/>
      <c r="H6607" s="1077"/>
      <c r="I6607" s="1077"/>
      <c r="J6607" s="1077"/>
      <c r="K6607" s="1077"/>
      <c r="L6607" s="1077"/>
      <c r="M6607" s="1077"/>
    </row>
    <row r="6608" spans="5:13">
      <c r="E6608" s="1077"/>
      <c r="F6608" s="1077"/>
      <c r="G6608" s="1077"/>
      <c r="H6608" s="1077"/>
      <c r="I6608" s="1077"/>
      <c r="J6608" s="1077"/>
      <c r="K6608" s="1077"/>
      <c r="L6608" s="1077"/>
      <c r="M6608" s="1077"/>
    </row>
    <row r="6609" spans="5:13">
      <c r="E6609" s="1077"/>
      <c r="F6609" s="1077"/>
      <c r="G6609" s="1077"/>
      <c r="H6609" s="1077"/>
      <c r="I6609" s="1077"/>
      <c r="J6609" s="1077"/>
      <c r="K6609" s="1077"/>
      <c r="L6609" s="1077"/>
      <c r="M6609" s="1077"/>
    </row>
    <row r="6610" spans="5:13">
      <c r="E6610" s="1077"/>
      <c r="F6610" s="1077"/>
      <c r="G6610" s="1077"/>
      <c r="H6610" s="1077"/>
      <c r="I6610" s="1077"/>
      <c r="J6610" s="1077"/>
      <c r="K6610" s="1077"/>
      <c r="L6610" s="1077"/>
      <c r="M6610" s="1077"/>
    </row>
    <row r="6611" spans="5:13">
      <c r="E6611" s="1077"/>
      <c r="F6611" s="1077"/>
      <c r="G6611" s="1077"/>
      <c r="H6611" s="1077"/>
      <c r="I6611" s="1077"/>
      <c r="J6611" s="1077"/>
      <c r="K6611" s="1077"/>
      <c r="L6611" s="1077"/>
      <c r="M6611" s="1077"/>
    </row>
    <row r="6612" spans="5:13">
      <c r="E6612" s="1077"/>
      <c r="F6612" s="1077"/>
      <c r="G6612" s="1077"/>
      <c r="H6612" s="1077"/>
      <c r="I6612" s="1077"/>
      <c r="J6612" s="1077"/>
      <c r="K6612" s="1077"/>
      <c r="L6612" s="1077"/>
      <c r="M6612" s="1077"/>
    </row>
    <row r="6613" spans="5:13">
      <c r="E6613" s="1077"/>
      <c r="F6613" s="1077"/>
      <c r="G6613" s="1077"/>
      <c r="H6613" s="1077"/>
      <c r="I6613" s="1077"/>
      <c r="J6613" s="1077"/>
      <c r="K6613" s="1077"/>
      <c r="L6613" s="1077"/>
      <c r="M6613" s="1077"/>
    </row>
    <row r="6614" spans="5:13">
      <c r="E6614" s="1077"/>
      <c r="F6614" s="1077"/>
      <c r="G6614" s="1077"/>
      <c r="H6614" s="1077"/>
      <c r="I6614" s="1077"/>
      <c r="J6614" s="1077"/>
      <c r="K6614" s="1077"/>
      <c r="L6614" s="1077"/>
      <c r="M6614" s="1077"/>
    </row>
    <row r="6615" spans="5:13">
      <c r="E6615" s="1077"/>
      <c r="F6615" s="1077"/>
      <c r="G6615" s="1077"/>
      <c r="H6615" s="1077"/>
      <c r="I6615" s="1077"/>
      <c r="J6615" s="1077"/>
      <c r="K6615" s="1077"/>
      <c r="L6615" s="1077"/>
      <c r="M6615" s="1077"/>
    </row>
    <row r="6616" spans="5:13">
      <c r="E6616" s="1077"/>
      <c r="F6616" s="1077"/>
      <c r="G6616" s="1077"/>
      <c r="H6616" s="1077"/>
      <c r="I6616" s="1077"/>
      <c r="J6616" s="1077"/>
      <c r="K6616" s="1077"/>
      <c r="L6616" s="1077"/>
      <c r="M6616" s="1077"/>
    </row>
    <row r="6617" spans="5:13">
      <c r="E6617" s="1077"/>
      <c r="F6617" s="1077"/>
      <c r="G6617" s="1077"/>
      <c r="H6617" s="1077"/>
      <c r="I6617" s="1077"/>
      <c r="J6617" s="1077"/>
      <c r="K6617" s="1077"/>
      <c r="L6617" s="1077"/>
      <c r="M6617" s="1077"/>
    </row>
    <row r="6618" spans="5:13">
      <c r="E6618" s="1077"/>
      <c r="F6618" s="1077"/>
      <c r="G6618" s="1077"/>
      <c r="H6618" s="1077"/>
      <c r="I6618" s="1077"/>
      <c r="J6618" s="1077"/>
      <c r="K6618" s="1077"/>
      <c r="L6618" s="1077"/>
      <c r="M6618" s="1077"/>
    </row>
    <row r="6619" spans="5:13">
      <c r="E6619" s="1077"/>
      <c r="F6619" s="1077"/>
      <c r="G6619" s="1077"/>
      <c r="H6619" s="1077"/>
      <c r="I6619" s="1077"/>
      <c r="J6619" s="1077"/>
      <c r="K6619" s="1077"/>
      <c r="L6619" s="1077"/>
      <c r="M6619" s="1077"/>
    </row>
    <row r="6620" spans="5:13">
      <c r="E6620" s="1077"/>
      <c r="F6620" s="1077"/>
      <c r="G6620" s="1077"/>
      <c r="H6620" s="1077"/>
      <c r="I6620" s="1077"/>
      <c r="J6620" s="1077"/>
      <c r="K6620" s="1077"/>
      <c r="L6620" s="1077"/>
      <c r="M6620" s="1077"/>
    </row>
    <row r="6621" spans="5:13">
      <c r="E6621" s="1077"/>
      <c r="F6621" s="1077"/>
      <c r="G6621" s="1077"/>
      <c r="H6621" s="1077"/>
      <c r="I6621" s="1077"/>
      <c r="J6621" s="1077"/>
      <c r="K6621" s="1077"/>
      <c r="L6621" s="1077"/>
      <c r="M6621" s="1077"/>
    </row>
    <row r="6622" spans="5:13">
      <c r="E6622" s="1077"/>
      <c r="F6622" s="1077"/>
      <c r="G6622" s="1077"/>
      <c r="H6622" s="1077"/>
      <c r="I6622" s="1077"/>
      <c r="J6622" s="1077"/>
      <c r="K6622" s="1077"/>
      <c r="L6622" s="1077"/>
      <c r="M6622" s="1077"/>
    </row>
    <row r="6623" spans="5:13">
      <c r="E6623" s="1077"/>
      <c r="F6623" s="1077"/>
      <c r="G6623" s="1077"/>
      <c r="H6623" s="1077"/>
      <c r="I6623" s="1077"/>
      <c r="J6623" s="1077"/>
      <c r="K6623" s="1077"/>
      <c r="L6623" s="1077"/>
      <c r="M6623" s="1077"/>
    </row>
    <row r="6624" spans="5:13">
      <c r="E6624" s="1077"/>
      <c r="F6624" s="1077"/>
      <c r="G6624" s="1077"/>
      <c r="H6624" s="1077"/>
      <c r="I6624" s="1077"/>
      <c r="J6624" s="1077"/>
      <c r="K6624" s="1077"/>
      <c r="L6624" s="1077"/>
      <c r="M6624" s="1077"/>
    </row>
    <row r="6625" spans="5:13">
      <c r="E6625" s="1077"/>
      <c r="F6625" s="1077"/>
      <c r="G6625" s="1077"/>
      <c r="H6625" s="1077"/>
      <c r="I6625" s="1077"/>
      <c r="J6625" s="1077"/>
      <c r="K6625" s="1077"/>
      <c r="L6625" s="1077"/>
      <c r="M6625" s="1077"/>
    </row>
    <row r="6626" spans="5:13">
      <c r="E6626" s="1077"/>
      <c r="F6626" s="1077"/>
      <c r="G6626" s="1077"/>
      <c r="H6626" s="1077"/>
      <c r="I6626" s="1077"/>
      <c r="J6626" s="1077"/>
      <c r="K6626" s="1077"/>
      <c r="L6626" s="1077"/>
      <c r="M6626" s="1077"/>
    </row>
    <row r="6627" spans="5:13">
      <c r="E6627" s="1077"/>
      <c r="F6627" s="1077"/>
      <c r="G6627" s="1077"/>
      <c r="H6627" s="1077"/>
      <c r="I6627" s="1077"/>
      <c r="J6627" s="1077"/>
      <c r="K6627" s="1077"/>
      <c r="L6627" s="1077"/>
      <c r="M6627" s="1077"/>
    </row>
    <row r="6628" spans="5:13">
      <c r="E6628" s="1077"/>
      <c r="F6628" s="1077"/>
      <c r="G6628" s="1077"/>
      <c r="H6628" s="1077"/>
      <c r="I6628" s="1077"/>
      <c r="J6628" s="1077"/>
      <c r="K6628" s="1077"/>
      <c r="L6628" s="1077"/>
      <c r="M6628" s="1077"/>
    </row>
    <row r="6629" spans="5:13">
      <c r="E6629" s="1077"/>
      <c r="F6629" s="1077"/>
      <c r="G6629" s="1077"/>
      <c r="H6629" s="1077"/>
      <c r="I6629" s="1077"/>
      <c r="J6629" s="1077"/>
      <c r="K6629" s="1077"/>
      <c r="L6629" s="1077"/>
      <c r="M6629" s="1077"/>
    </row>
    <row r="6630" spans="5:13">
      <c r="E6630" s="1077"/>
      <c r="F6630" s="1077"/>
      <c r="G6630" s="1077"/>
      <c r="H6630" s="1077"/>
      <c r="I6630" s="1077"/>
      <c r="J6630" s="1077"/>
      <c r="K6630" s="1077"/>
      <c r="L6630" s="1077"/>
      <c r="M6630" s="1077"/>
    </row>
    <row r="6631" spans="5:13">
      <c r="E6631" s="1077"/>
      <c r="F6631" s="1077"/>
      <c r="G6631" s="1077"/>
      <c r="H6631" s="1077"/>
      <c r="I6631" s="1077"/>
      <c r="J6631" s="1077"/>
      <c r="K6631" s="1077"/>
      <c r="L6631" s="1077"/>
      <c r="M6631" s="1077"/>
    </row>
    <row r="6632" spans="5:13">
      <c r="E6632" s="1077"/>
      <c r="F6632" s="1077"/>
      <c r="G6632" s="1077"/>
      <c r="H6632" s="1077"/>
      <c r="I6632" s="1077"/>
      <c r="J6632" s="1077"/>
      <c r="K6632" s="1077"/>
      <c r="L6632" s="1077"/>
      <c r="M6632" s="1077"/>
    </row>
    <row r="6633" spans="5:13">
      <c r="E6633" s="1077"/>
      <c r="F6633" s="1077"/>
      <c r="G6633" s="1077"/>
      <c r="H6633" s="1077"/>
      <c r="I6633" s="1077"/>
      <c r="J6633" s="1077"/>
      <c r="K6633" s="1077"/>
      <c r="L6633" s="1077"/>
      <c r="M6633" s="1077"/>
    </row>
    <row r="6634" spans="5:13">
      <c r="E6634" s="1077"/>
      <c r="F6634" s="1077"/>
      <c r="G6634" s="1077"/>
      <c r="H6634" s="1077"/>
      <c r="I6634" s="1077"/>
      <c r="J6634" s="1077"/>
      <c r="K6634" s="1077"/>
      <c r="L6634" s="1077"/>
      <c r="M6634" s="1077"/>
    </row>
    <row r="6635" spans="5:13">
      <c r="E6635" s="1077"/>
      <c r="F6635" s="1077"/>
      <c r="G6635" s="1077"/>
      <c r="H6635" s="1077"/>
      <c r="I6635" s="1077"/>
      <c r="J6635" s="1077"/>
      <c r="K6635" s="1077"/>
      <c r="L6635" s="1077"/>
      <c r="M6635" s="1077"/>
    </row>
    <row r="6636" spans="5:13">
      <c r="E6636" s="1077"/>
      <c r="F6636" s="1077"/>
      <c r="G6636" s="1077"/>
      <c r="H6636" s="1077"/>
      <c r="I6636" s="1077"/>
      <c r="J6636" s="1077"/>
      <c r="K6636" s="1077"/>
      <c r="L6636" s="1077"/>
      <c r="M6636" s="1077"/>
    </row>
    <row r="6637" spans="5:13">
      <c r="E6637" s="1077"/>
      <c r="F6637" s="1077"/>
      <c r="G6637" s="1077"/>
      <c r="H6637" s="1077"/>
      <c r="I6637" s="1077"/>
      <c r="J6637" s="1077"/>
      <c r="K6637" s="1077"/>
      <c r="L6637" s="1077"/>
      <c r="M6637" s="1077"/>
    </row>
    <row r="6638" spans="5:13">
      <c r="E6638" s="1077"/>
      <c r="F6638" s="1077"/>
      <c r="G6638" s="1077"/>
      <c r="H6638" s="1077"/>
      <c r="I6638" s="1077"/>
      <c r="J6638" s="1077"/>
      <c r="K6638" s="1077"/>
      <c r="L6638" s="1077"/>
      <c r="M6638" s="1077"/>
    </row>
    <row r="6639" spans="5:13">
      <c r="E6639" s="1077"/>
      <c r="F6639" s="1077"/>
      <c r="G6639" s="1077"/>
      <c r="H6639" s="1077"/>
      <c r="I6639" s="1077"/>
      <c r="J6639" s="1077"/>
      <c r="K6639" s="1077"/>
      <c r="L6639" s="1077"/>
      <c r="M6639" s="1077"/>
    </row>
    <row r="6640" spans="5:13">
      <c r="E6640" s="1077"/>
      <c r="F6640" s="1077"/>
      <c r="G6640" s="1077"/>
      <c r="H6640" s="1077"/>
      <c r="I6640" s="1077"/>
      <c r="J6640" s="1077"/>
      <c r="K6640" s="1077"/>
      <c r="L6640" s="1077"/>
      <c r="M6640" s="1077"/>
    </row>
    <row r="6641" spans="5:13">
      <c r="E6641" s="1077"/>
      <c r="F6641" s="1077"/>
      <c r="G6641" s="1077"/>
      <c r="H6641" s="1077"/>
      <c r="I6641" s="1077"/>
      <c r="J6641" s="1077"/>
      <c r="K6641" s="1077"/>
      <c r="L6641" s="1077"/>
      <c r="M6641" s="1077"/>
    </row>
    <row r="6642" spans="5:13">
      <c r="E6642" s="1077"/>
      <c r="F6642" s="1077"/>
      <c r="G6642" s="1077"/>
      <c r="H6642" s="1077"/>
      <c r="I6642" s="1077"/>
      <c r="J6642" s="1077"/>
      <c r="K6642" s="1077"/>
      <c r="L6642" s="1077"/>
      <c r="M6642" s="1077"/>
    </row>
    <row r="6643" spans="5:13">
      <c r="E6643" s="1077"/>
      <c r="F6643" s="1077"/>
      <c r="G6643" s="1077"/>
      <c r="H6643" s="1077"/>
      <c r="I6643" s="1077"/>
      <c r="J6643" s="1077"/>
      <c r="K6643" s="1077"/>
      <c r="L6643" s="1077"/>
      <c r="M6643" s="1077"/>
    </row>
    <row r="6644" spans="5:13">
      <c r="E6644" s="1077"/>
      <c r="F6644" s="1077"/>
      <c r="G6644" s="1077"/>
      <c r="H6644" s="1077"/>
      <c r="I6644" s="1077"/>
      <c r="J6644" s="1077"/>
      <c r="K6644" s="1077"/>
      <c r="L6644" s="1077"/>
      <c r="M6644" s="1077"/>
    </row>
    <row r="6645" spans="5:13">
      <c r="E6645" s="1077"/>
      <c r="F6645" s="1077"/>
      <c r="G6645" s="1077"/>
      <c r="H6645" s="1077"/>
      <c r="I6645" s="1077"/>
      <c r="J6645" s="1077"/>
      <c r="K6645" s="1077"/>
      <c r="L6645" s="1077"/>
      <c r="M6645" s="1077"/>
    </row>
    <row r="6646" spans="5:13">
      <c r="E6646" s="1077"/>
      <c r="F6646" s="1077"/>
      <c r="G6646" s="1077"/>
      <c r="H6646" s="1077"/>
      <c r="I6646" s="1077"/>
      <c r="J6646" s="1077"/>
      <c r="K6646" s="1077"/>
      <c r="L6646" s="1077"/>
      <c r="M6646" s="1077"/>
    </row>
    <row r="6647" spans="5:13">
      <c r="E6647" s="1077"/>
      <c r="F6647" s="1077"/>
      <c r="G6647" s="1077"/>
      <c r="H6647" s="1077"/>
      <c r="I6647" s="1077"/>
      <c r="J6647" s="1077"/>
      <c r="K6647" s="1077"/>
      <c r="L6647" s="1077"/>
      <c r="M6647" s="1077"/>
    </row>
    <row r="6648" spans="5:13">
      <c r="E6648" s="1077"/>
      <c r="F6648" s="1077"/>
      <c r="G6648" s="1077"/>
      <c r="H6648" s="1077"/>
      <c r="I6648" s="1077"/>
      <c r="J6648" s="1077"/>
      <c r="K6648" s="1077"/>
      <c r="L6648" s="1077"/>
      <c r="M6648" s="1077"/>
    </row>
    <row r="6649" spans="5:13">
      <c r="E6649" s="1077"/>
      <c r="F6649" s="1077"/>
      <c r="G6649" s="1077"/>
      <c r="H6649" s="1077"/>
      <c r="I6649" s="1077"/>
      <c r="J6649" s="1077"/>
      <c r="K6649" s="1077"/>
      <c r="L6649" s="1077"/>
      <c r="M6649" s="1077"/>
    </row>
    <row r="6650" spans="5:13">
      <c r="E6650" s="1077"/>
      <c r="F6650" s="1077"/>
      <c r="G6650" s="1077"/>
      <c r="H6650" s="1077"/>
      <c r="I6650" s="1077"/>
      <c r="J6650" s="1077"/>
      <c r="K6650" s="1077"/>
      <c r="L6650" s="1077"/>
      <c r="M6650" s="1077"/>
    </row>
    <row r="6651" spans="5:13">
      <c r="E6651" s="1077"/>
      <c r="F6651" s="1077"/>
      <c r="G6651" s="1077"/>
      <c r="H6651" s="1077"/>
      <c r="I6651" s="1077"/>
      <c r="J6651" s="1077"/>
      <c r="K6651" s="1077"/>
      <c r="L6651" s="1077"/>
      <c r="M6651" s="1077"/>
    </row>
    <row r="6652" spans="5:13">
      <c r="E6652" s="1077"/>
      <c r="F6652" s="1077"/>
      <c r="G6652" s="1077"/>
      <c r="H6652" s="1077"/>
      <c r="I6652" s="1077"/>
      <c r="J6652" s="1077"/>
      <c r="K6652" s="1077"/>
      <c r="L6652" s="1077"/>
      <c r="M6652" s="1077"/>
    </row>
    <row r="6653" spans="5:13">
      <c r="E6653" s="1077"/>
      <c r="F6653" s="1077"/>
      <c r="G6653" s="1077"/>
      <c r="H6653" s="1077"/>
      <c r="I6653" s="1077"/>
      <c r="J6653" s="1077"/>
      <c r="K6653" s="1077"/>
      <c r="L6653" s="1077"/>
      <c r="M6653" s="1077"/>
    </row>
    <row r="6654" spans="5:13">
      <c r="E6654" s="1077"/>
      <c r="F6654" s="1077"/>
      <c r="G6654" s="1077"/>
      <c r="H6654" s="1077"/>
      <c r="I6654" s="1077"/>
      <c r="J6654" s="1077"/>
      <c r="K6654" s="1077"/>
      <c r="L6654" s="1077"/>
      <c r="M6654" s="1077"/>
    </row>
    <row r="6655" spans="5:13">
      <c r="E6655" s="1077"/>
      <c r="F6655" s="1077"/>
      <c r="G6655" s="1077"/>
      <c r="H6655" s="1077"/>
      <c r="I6655" s="1077"/>
      <c r="J6655" s="1077"/>
      <c r="K6655" s="1077"/>
      <c r="L6655" s="1077"/>
      <c r="M6655" s="1077"/>
    </row>
    <row r="6656" spans="5:13">
      <c r="E6656" s="1077"/>
      <c r="F6656" s="1077"/>
      <c r="G6656" s="1077"/>
      <c r="H6656" s="1077"/>
      <c r="I6656" s="1077"/>
      <c r="J6656" s="1077"/>
      <c r="K6656" s="1077"/>
      <c r="L6656" s="1077"/>
      <c r="M6656" s="1077"/>
    </row>
    <row r="6657" spans="5:13">
      <c r="E6657" s="1077"/>
      <c r="F6657" s="1077"/>
      <c r="G6657" s="1077"/>
      <c r="H6657" s="1077"/>
      <c r="I6657" s="1077"/>
      <c r="J6657" s="1077"/>
      <c r="K6657" s="1077"/>
      <c r="L6657" s="1077"/>
      <c r="M6657" s="1077"/>
    </row>
    <row r="6658" spans="5:13">
      <c r="E6658" s="1077"/>
      <c r="F6658" s="1077"/>
      <c r="G6658" s="1077"/>
      <c r="H6658" s="1077"/>
      <c r="I6658" s="1077"/>
      <c r="J6658" s="1077"/>
      <c r="K6658" s="1077"/>
      <c r="L6658" s="1077"/>
      <c r="M6658" s="1077"/>
    </row>
    <row r="6659" spans="5:13">
      <c r="E6659" s="1077"/>
      <c r="F6659" s="1077"/>
      <c r="G6659" s="1077"/>
      <c r="H6659" s="1077"/>
      <c r="I6659" s="1077"/>
      <c r="J6659" s="1077"/>
      <c r="K6659" s="1077"/>
      <c r="L6659" s="1077"/>
      <c r="M6659" s="1077"/>
    </row>
    <row r="6660" spans="5:13">
      <c r="E6660" s="1077"/>
      <c r="F6660" s="1077"/>
      <c r="G6660" s="1077"/>
      <c r="H6660" s="1077"/>
      <c r="I6660" s="1077"/>
      <c r="J6660" s="1077"/>
      <c r="K6660" s="1077"/>
      <c r="L6660" s="1077"/>
      <c r="M6660" s="1077"/>
    </row>
    <row r="6661" spans="5:13">
      <c r="E6661" s="1077"/>
      <c r="F6661" s="1077"/>
      <c r="G6661" s="1077"/>
      <c r="H6661" s="1077"/>
      <c r="I6661" s="1077"/>
      <c r="J6661" s="1077"/>
      <c r="K6661" s="1077"/>
      <c r="L6661" s="1077"/>
      <c r="M6661" s="1077"/>
    </row>
    <row r="6662" spans="5:13">
      <c r="E6662" s="1077"/>
      <c r="F6662" s="1077"/>
      <c r="G6662" s="1077"/>
      <c r="H6662" s="1077"/>
      <c r="I6662" s="1077"/>
      <c r="J6662" s="1077"/>
      <c r="K6662" s="1077"/>
      <c r="L6662" s="1077"/>
      <c r="M6662" s="1077"/>
    </row>
    <row r="6663" spans="5:13">
      <c r="E6663" s="1077"/>
      <c r="F6663" s="1077"/>
      <c r="G6663" s="1077"/>
      <c r="H6663" s="1077"/>
      <c r="I6663" s="1077"/>
      <c r="J6663" s="1077"/>
      <c r="K6663" s="1077"/>
      <c r="L6663" s="1077"/>
      <c r="M6663" s="1077"/>
    </row>
    <row r="6664" spans="5:13">
      <c r="E6664" s="1077"/>
      <c r="F6664" s="1077"/>
      <c r="G6664" s="1077"/>
      <c r="H6664" s="1077"/>
      <c r="I6664" s="1077"/>
      <c r="J6664" s="1077"/>
      <c r="K6664" s="1077"/>
      <c r="L6664" s="1077"/>
      <c r="M6664" s="1077"/>
    </row>
    <row r="6665" spans="5:13">
      <c r="E6665" s="1077"/>
      <c r="F6665" s="1077"/>
      <c r="G6665" s="1077"/>
      <c r="H6665" s="1077"/>
      <c r="I6665" s="1077"/>
      <c r="J6665" s="1077"/>
      <c r="K6665" s="1077"/>
      <c r="L6665" s="1077"/>
      <c r="M6665" s="1077"/>
    </row>
    <row r="6666" spans="5:13">
      <c r="E6666" s="1077"/>
      <c r="F6666" s="1077"/>
      <c r="G6666" s="1077"/>
      <c r="H6666" s="1077"/>
      <c r="I6666" s="1077"/>
      <c r="J6666" s="1077"/>
      <c r="K6666" s="1077"/>
      <c r="L6666" s="1077"/>
      <c r="M6666" s="1077"/>
    </row>
    <row r="6667" spans="5:13">
      <c r="E6667" s="1077"/>
      <c r="F6667" s="1077"/>
      <c r="G6667" s="1077"/>
      <c r="H6667" s="1077"/>
      <c r="I6667" s="1077"/>
      <c r="J6667" s="1077"/>
      <c r="K6667" s="1077"/>
      <c r="L6667" s="1077"/>
      <c r="M6667" s="1077"/>
    </row>
    <row r="6668" spans="5:13">
      <c r="E6668" s="1077"/>
      <c r="F6668" s="1077"/>
      <c r="G6668" s="1077"/>
      <c r="H6668" s="1077"/>
      <c r="I6668" s="1077"/>
      <c r="J6668" s="1077"/>
      <c r="K6668" s="1077"/>
      <c r="L6668" s="1077"/>
      <c r="M6668" s="1077"/>
    </row>
    <row r="6669" spans="5:13">
      <c r="E6669" s="1077"/>
      <c r="F6669" s="1077"/>
      <c r="G6669" s="1077"/>
      <c r="H6669" s="1077"/>
      <c r="I6669" s="1077"/>
      <c r="J6669" s="1077"/>
      <c r="K6669" s="1077"/>
      <c r="L6669" s="1077"/>
      <c r="M6669" s="1077"/>
    </row>
    <row r="6670" spans="5:13">
      <c r="E6670" s="1077"/>
      <c r="F6670" s="1077"/>
      <c r="G6670" s="1077"/>
      <c r="H6670" s="1077"/>
      <c r="I6670" s="1077"/>
      <c r="J6670" s="1077"/>
      <c r="K6670" s="1077"/>
      <c r="L6670" s="1077"/>
      <c r="M6670" s="1077"/>
    </row>
    <row r="6671" spans="5:13">
      <c r="E6671" s="1077"/>
      <c r="F6671" s="1077"/>
      <c r="G6671" s="1077"/>
      <c r="H6671" s="1077"/>
      <c r="I6671" s="1077"/>
      <c r="J6671" s="1077"/>
      <c r="K6671" s="1077"/>
      <c r="L6671" s="1077"/>
      <c r="M6671" s="1077"/>
    </row>
    <row r="6672" spans="5:13">
      <c r="E6672" s="1077"/>
      <c r="F6672" s="1077"/>
      <c r="G6672" s="1077"/>
      <c r="H6672" s="1077"/>
      <c r="I6672" s="1077"/>
      <c r="J6672" s="1077"/>
      <c r="K6672" s="1077"/>
      <c r="L6672" s="1077"/>
      <c r="M6672" s="1077"/>
    </row>
    <row r="6673" spans="5:13">
      <c r="E6673" s="1077"/>
      <c r="F6673" s="1077"/>
      <c r="G6673" s="1077"/>
      <c r="H6673" s="1077"/>
      <c r="I6673" s="1077"/>
      <c r="J6673" s="1077"/>
      <c r="K6673" s="1077"/>
      <c r="L6673" s="1077"/>
      <c r="M6673" s="1077"/>
    </row>
    <row r="6674" spans="5:13">
      <c r="E6674" s="1077"/>
      <c r="F6674" s="1077"/>
      <c r="G6674" s="1077"/>
      <c r="H6674" s="1077"/>
      <c r="I6674" s="1077"/>
      <c r="J6674" s="1077"/>
      <c r="K6674" s="1077"/>
      <c r="L6674" s="1077"/>
      <c r="M6674" s="1077"/>
    </row>
    <row r="6675" spans="5:13">
      <c r="E6675" s="1077"/>
      <c r="F6675" s="1077"/>
      <c r="G6675" s="1077"/>
      <c r="H6675" s="1077"/>
      <c r="I6675" s="1077"/>
      <c r="J6675" s="1077"/>
      <c r="K6675" s="1077"/>
      <c r="L6675" s="1077"/>
      <c r="M6675" s="1077"/>
    </row>
    <row r="6676" spans="5:13">
      <c r="E6676" s="1077"/>
      <c r="F6676" s="1077"/>
      <c r="G6676" s="1077"/>
      <c r="H6676" s="1077"/>
      <c r="I6676" s="1077"/>
      <c r="J6676" s="1077"/>
      <c r="K6676" s="1077"/>
      <c r="L6676" s="1077"/>
      <c r="M6676" s="1077"/>
    </row>
    <row r="6677" spans="5:13">
      <c r="E6677" s="1077"/>
      <c r="F6677" s="1077"/>
      <c r="G6677" s="1077"/>
      <c r="H6677" s="1077"/>
      <c r="I6677" s="1077"/>
      <c r="J6677" s="1077"/>
      <c r="K6677" s="1077"/>
      <c r="L6677" s="1077"/>
      <c r="M6677" s="1077"/>
    </row>
    <row r="6678" spans="5:13">
      <c r="E6678" s="1077"/>
      <c r="F6678" s="1077"/>
      <c r="G6678" s="1077"/>
      <c r="H6678" s="1077"/>
      <c r="I6678" s="1077"/>
      <c r="J6678" s="1077"/>
      <c r="K6678" s="1077"/>
      <c r="L6678" s="1077"/>
      <c r="M6678" s="1077"/>
    </row>
    <row r="6679" spans="5:13">
      <c r="E6679" s="1077"/>
      <c r="F6679" s="1077"/>
      <c r="G6679" s="1077"/>
      <c r="H6679" s="1077"/>
      <c r="I6679" s="1077"/>
      <c r="J6679" s="1077"/>
      <c r="K6679" s="1077"/>
      <c r="L6679" s="1077"/>
      <c r="M6679" s="1077"/>
    </row>
    <row r="6680" spans="5:13">
      <c r="E6680" s="1077"/>
      <c r="F6680" s="1077"/>
      <c r="G6680" s="1077"/>
      <c r="H6680" s="1077"/>
      <c r="I6680" s="1077"/>
      <c r="J6680" s="1077"/>
      <c r="K6680" s="1077"/>
      <c r="L6680" s="1077"/>
      <c r="M6680" s="1077"/>
    </row>
    <row r="6681" spans="5:13">
      <c r="E6681" s="1077"/>
      <c r="F6681" s="1077"/>
      <c r="G6681" s="1077"/>
      <c r="H6681" s="1077"/>
      <c r="I6681" s="1077"/>
      <c r="J6681" s="1077"/>
      <c r="K6681" s="1077"/>
      <c r="L6681" s="1077"/>
      <c r="M6681" s="1077"/>
    </row>
    <row r="6682" spans="5:13">
      <c r="E6682" s="1077"/>
      <c r="F6682" s="1077"/>
      <c r="G6682" s="1077"/>
      <c r="H6682" s="1077"/>
      <c r="I6682" s="1077"/>
      <c r="J6682" s="1077"/>
      <c r="K6682" s="1077"/>
      <c r="L6682" s="1077"/>
      <c r="M6682" s="1077"/>
    </row>
    <row r="6683" spans="5:13">
      <c r="E6683" s="1077"/>
      <c r="F6683" s="1077"/>
      <c r="G6683" s="1077"/>
      <c r="H6683" s="1077"/>
      <c r="I6683" s="1077"/>
      <c r="J6683" s="1077"/>
      <c r="K6683" s="1077"/>
      <c r="L6683" s="1077"/>
      <c r="M6683" s="1077"/>
    </row>
    <row r="6684" spans="5:13">
      <c r="E6684" s="1077"/>
      <c r="F6684" s="1077"/>
      <c r="G6684" s="1077"/>
      <c r="H6684" s="1077"/>
      <c r="I6684" s="1077"/>
      <c r="J6684" s="1077"/>
      <c r="K6684" s="1077"/>
      <c r="L6684" s="1077"/>
      <c r="M6684" s="1077"/>
    </row>
    <row r="6685" spans="5:13">
      <c r="E6685" s="1077"/>
      <c r="F6685" s="1077"/>
      <c r="G6685" s="1077"/>
      <c r="H6685" s="1077"/>
      <c r="I6685" s="1077"/>
      <c r="J6685" s="1077"/>
      <c r="K6685" s="1077"/>
      <c r="L6685" s="1077"/>
      <c r="M6685" s="1077"/>
    </row>
    <row r="6686" spans="5:13">
      <c r="E6686" s="1077"/>
      <c r="F6686" s="1077"/>
      <c r="G6686" s="1077"/>
      <c r="H6686" s="1077"/>
      <c r="I6686" s="1077"/>
      <c r="J6686" s="1077"/>
      <c r="K6686" s="1077"/>
      <c r="L6686" s="1077"/>
      <c r="M6686" s="1077"/>
    </row>
    <row r="6687" spans="5:13">
      <c r="E6687" s="1077"/>
      <c r="F6687" s="1077"/>
      <c r="G6687" s="1077"/>
      <c r="H6687" s="1077"/>
      <c r="I6687" s="1077"/>
      <c r="J6687" s="1077"/>
      <c r="K6687" s="1077"/>
      <c r="L6687" s="1077"/>
      <c r="M6687" s="1077"/>
    </row>
    <row r="6688" spans="5:13">
      <c r="E6688" s="1077"/>
      <c r="F6688" s="1077"/>
      <c r="G6688" s="1077"/>
      <c r="H6688" s="1077"/>
      <c r="I6688" s="1077"/>
      <c r="J6688" s="1077"/>
      <c r="K6688" s="1077"/>
      <c r="L6688" s="1077"/>
      <c r="M6688" s="1077"/>
    </row>
    <row r="6689" spans="5:13">
      <c r="E6689" s="1077"/>
      <c r="F6689" s="1077"/>
      <c r="G6689" s="1077"/>
      <c r="H6689" s="1077"/>
      <c r="I6689" s="1077"/>
      <c r="J6689" s="1077"/>
      <c r="K6689" s="1077"/>
      <c r="L6689" s="1077"/>
      <c r="M6689" s="1077"/>
    </row>
    <row r="6690" spans="5:13">
      <c r="E6690" s="1077"/>
      <c r="F6690" s="1077"/>
      <c r="G6690" s="1077"/>
      <c r="H6690" s="1077"/>
      <c r="I6690" s="1077"/>
      <c r="J6690" s="1077"/>
      <c r="K6690" s="1077"/>
      <c r="L6690" s="1077"/>
      <c r="M6690" s="1077"/>
    </row>
    <row r="6691" spans="5:13">
      <c r="E6691" s="1077"/>
      <c r="F6691" s="1077"/>
      <c r="G6691" s="1077"/>
      <c r="H6691" s="1077"/>
      <c r="I6691" s="1077"/>
      <c r="J6691" s="1077"/>
      <c r="K6691" s="1077"/>
      <c r="L6691" s="1077"/>
      <c r="M6691" s="1077"/>
    </row>
    <row r="6692" spans="5:13">
      <c r="E6692" s="1077"/>
      <c r="F6692" s="1077"/>
      <c r="G6692" s="1077"/>
      <c r="H6692" s="1077"/>
      <c r="I6692" s="1077"/>
      <c r="J6692" s="1077"/>
      <c r="K6692" s="1077"/>
      <c r="L6692" s="1077"/>
      <c r="M6692" s="1077"/>
    </row>
    <row r="6693" spans="5:13">
      <c r="E6693" s="1077"/>
      <c r="F6693" s="1077"/>
      <c r="G6693" s="1077"/>
      <c r="H6693" s="1077"/>
      <c r="I6693" s="1077"/>
      <c r="J6693" s="1077"/>
      <c r="K6693" s="1077"/>
      <c r="L6693" s="1077"/>
      <c r="M6693" s="1077"/>
    </row>
    <row r="6694" spans="5:13">
      <c r="E6694" s="1077"/>
      <c r="F6694" s="1077"/>
      <c r="G6694" s="1077"/>
      <c r="H6694" s="1077"/>
      <c r="I6694" s="1077"/>
      <c r="J6694" s="1077"/>
      <c r="K6694" s="1077"/>
      <c r="L6694" s="1077"/>
      <c r="M6694" s="1077"/>
    </row>
    <row r="6695" spans="5:13">
      <c r="E6695" s="1077"/>
      <c r="F6695" s="1077"/>
      <c r="G6695" s="1077"/>
      <c r="H6695" s="1077"/>
      <c r="I6695" s="1077"/>
      <c r="J6695" s="1077"/>
      <c r="K6695" s="1077"/>
      <c r="L6695" s="1077"/>
      <c r="M6695" s="1077"/>
    </row>
    <row r="6696" spans="5:13">
      <c r="E6696" s="1077"/>
      <c r="F6696" s="1077"/>
      <c r="G6696" s="1077"/>
      <c r="H6696" s="1077"/>
      <c r="I6696" s="1077"/>
      <c r="J6696" s="1077"/>
      <c r="K6696" s="1077"/>
      <c r="L6696" s="1077"/>
      <c r="M6696" s="1077"/>
    </row>
    <row r="6697" spans="5:13">
      <c r="E6697" s="1077"/>
      <c r="F6697" s="1077"/>
      <c r="G6697" s="1077"/>
      <c r="H6697" s="1077"/>
      <c r="I6697" s="1077"/>
      <c r="J6697" s="1077"/>
      <c r="K6697" s="1077"/>
      <c r="L6697" s="1077"/>
      <c r="M6697" s="1077"/>
    </row>
    <row r="6698" spans="5:13">
      <c r="E6698" s="1077"/>
      <c r="F6698" s="1077"/>
      <c r="G6698" s="1077"/>
      <c r="H6698" s="1077"/>
      <c r="I6698" s="1077"/>
      <c r="J6698" s="1077"/>
      <c r="K6698" s="1077"/>
      <c r="L6698" s="1077"/>
      <c r="M6698" s="1077"/>
    </row>
    <row r="6699" spans="5:13">
      <c r="E6699" s="1077"/>
      <c r="F6699" s="1077"/>
      <c r="G6699" s="1077"/>
      <c r="H6699" s="1077"/>
      <c r="I6699" s="1077"/>
      <c r="J6699" s="1077"/>
      <c r="K6699" s="1077"/>
      <c r="L6699" s="1077"/>
      <c r="M6699" s="1077"/>
    </row>
    <row r="6700" spans="5:13">
      <c r="E6700" s="1077"/>
      <c r="F6700" s="1077"/>
      <c r="G6700" s="1077"/>
      <c r="H6700" s="1077"/>
      <c r="I6700" s="1077"/>
      <c r="J6700" s="1077"/>
      <c r="K6700" s="1077"/>
      <c r="L6700" s="1077"/>
      <c r="M6700" s="1077"/>
    </row>
    <row r="6701" spans="5:13">
      <c r="E6701" s="1077"/>
      <c r="F6701" s="1077"/>
      <c r="G6701" s="1077"/>
      <c r="H6701" s="1077"/>
      <c r="I6701" s="1077"/>
      <c r="J6701" s="1077"/>
      <c r="K6701" s="1077"/>
      <c r="L6701" s="1077"/>
      <c r="M6701" s="1077"/>
    </row>
    <row r="6702" spans="5:13">
      <c r="E6702" s="1077"/>
      <c r="F6702" s="1077"/>
      <c r="G6702" s="1077"/>
      <c r="H6702" s="1077"/>
      <c r="I6702" s="1077"/>
      <c r="J6702" s="1077"/>
      <c r="K6702" s="1077"/>
      <c r="L6702" s="1077"/>
      <c r="M6702" s="1077"/>
    </row>
    <row r="6703" spans="5:13">
      <c r="E6703" s="1077"/>
      <c r="F6703" s="1077"/>
      <c r="G6703" s="1077"/>
      <c r="H6703" s="1077"/>
      <c r="I6703" s="1077"/>
      <c r="J6703" s="1077"/>
      <c r="K6703" s="1077"/>
      <c r="L6703" s="1077"/>
      <c r="M6703" s="1077"/>
    </row>
    <row r="6704" spans="5:13">
      <c r="E6704" s="1077"/>
      <c r="F6704" s="1077"/>
      <c r="G6704" s="1077"/>
      <c r="H6704" s="1077"/>
      <c r="I6704" s="1077"/>
      <c r="J6704" s="1077"/>
      <c r="K6704" s="1077"/>
      <c r="L6704" s="1077"/>
      <c r="M6704" s="1077"/>
    </row>
    <row r="6705" spans="5:13">
      <c r="E6705" s="1077"/>
      <c r="F6705" s="1077"/>
      <c r="G6705" s="1077"/>
      <c r="H6705" s="1077"/>
      <c r="I6705" s="1077"/>
      <c r="J6705" s="1077"/>
      <c r="K6705" s="1077"/>
      <c r="L6705" s="1077"/>
      <c r="M6705" s="1077"/>
    </row>
    <row r="6706" spans="5:13">
      <c r="E6706" s="1077"/>
      <c r="F6706" s="1077"/>
      <c r="G6706" s="1077"/>
      <c r="H6706" s="1077"/>
      <c r="I6706" s="1077"/>
      <c r="J6706" s="1077"/>
      <c r="K6706" s="1077"/>
      <c r="L6706" s="1077"/>
      <c r="M6706" s="1077"/>
    </row>
    <row r="6707" spans="5:13">
      <c r="E6707" s="1077"/>
      <c r="F6707" s="1077"/>
      <c r="G6707" s="1077"/>
      <c r="H6707" s="1077"/>
      <c r="I6707" s="1077"/>
      <c r="J6707" s="1077"/>
      <c r="K6707" s="1077"/>
      <c r="L6707" s="1077"/>
      <c r="M6707" s="1077"/>
    </row>
    <row r="6708" spans="5:13">
      <c r="E6708" s="1077"/>
      <c r="F6708" s="1077"/>
      <c r="G6708" s="1077"/>
      <c r="H6708" s="1077"/>
      <c r="I6708" s="1077"/>
      <c r="J6708" s="1077"/>
      <c r="K6708" s="1077"/>
      <c r="L6708" s="1077"/>
      <c r="M6708" s="1077"/>
    </row>
    <row r="6709" spans="5:13">
      <c r="E6709" s="1077"/>
      <c r="F6709" s="1077"/>
      <c r="G6709" s="1077"/>
      <c r="H6709" s="1077"/>
      <c r="I6709" s="1077"/>
      <c r="J6709" s="1077"/>
      <c r="K6709" s="1077"/>
      <c r="L6709" s="1077"/>
      <c r="M6709" s="1077"/>
    </row>
    <row r="6710" spans="5:13">
      <c r="E6710" s="1077"/>
      <c r="F6710" s="1077"/>
      <c r="G6710" s="1077"/>
      <c r="H6710" s="1077"/>
      <c r="I6710" s="1077"/>
      <c r="J6710" s="1077"/>
      <c r="K6710" s="1077"/>
      <c r="L6710" s="1077"/>
      <c r="M6710" s="1077"/>
    </row>
    <row r="6711" spans="5:13">
      <c r="E6711" s="1077"/>
      <c r="F6711" s="1077"/>
      <c r="G6711" s="1077"/>
      <c r="H6711" s="1077"/>
      <c r="I6711" s="1077"/>
      <c r="J6711" s="1077"/>
      <c r="K6711" s="1077"/>
      <c r="L6711" s="1077"/>
      <c r="M6711" s="1077"/>
    </row>
    <row r="6712" spans="5:13">
      <c r="E6712" s="1077"/>
      <c r="F6712" s="1077"/>
      <c r="G6712" s="1077"/>
      <c r="H6712" s="1077"/>
      <c r="I6712" s="1077"/>
      <c r="J6712" s="1077"/>
      <c r="K6712" s="1077"/>
      <c r="L6712" s="1077"/>
      <c r="M6712" s="1077"/>
    </row>
    <row r="6713" spans="5:13">
      <c r="E6713" s="1077"/>
      <c r="F6713" s="1077"/>
      <c r="G6713" s="1077"/>
      <c r="H6713" s="1077"/>
      <c r="I6713" s="1077"/>
      <c r="J6713" s="1077"/>
      <c r="K6713" s="1077"/>
      <c r="L6713" s="1077"/>
      <c r="M6713" s="1077"/>
    </row>
    <row r="6714" spans="5:13">
      <c r="E6714" s="1077"/>
      <c r="F6714" s="1077"/>
      <c r="G6714" s="1077"/>
      <c r="H6714" s="1077"/>
      <c r="I6714" s="1077"/>
      <c r="J6714" s="1077"/>
      <c r="K6714" s="1077"/>
      <c r="L6714" s="1077"/>
      <c r="M6714" s="1077"/>
    </row>
    <row r="6715" spans="5:13">
      <c r="E6715" s="1077"/>
      <c r="F6715" s="1077"/>
      <c r="G6715" s="1077"/>
      <c r="H6715" s="1077"/>
      <c r="I6715" s="1077"/>
      <c r="J6715" s="1077"/>
      <c r="K6715" s="1077"/>
      <c r="L6715" s="1077"/>
      <c r="M6715" s="1077"/>
    </row>
    <row r="6716" spans="5:13">
      <c r="E6716" s="1077"/>
      <c r="F6716" s="1077"/>
      <c r="G6716" s="1077"/>
      <c r="H6716" s="1077"/>
      <c r="I6716" s="1077"/>
      <c r="J6716" s="1077"/>
      <c r="K6716" s="1077"/>
      <c r="L6716" s="1077"/>
      <c r="M6716" s="1077"/>
    </row>
    <row r="6717" spans="5:13">
      <c r="E6717" s="1077"/>
      <c r="F6717" s="1077"/>
      <c r="G6717" s="1077"/>
      <c r="H6717" s="1077"/>
      <c r="I6717" s="1077"/>
      <c r="J6717" s="1077"/>
      <c r="K6717" s="1077"/>
      <c r="L6717" s="1077"/>
      <c r="M6717" s="1077"/>
    </row>
    <row r="6718" spans="5:13">
      <c r="E6718" s="1077"/>
      <c r="F6718" s="1077"/>
      <c r="G6718" s="1077"/>
      <c r="H6718" s="1077"/>
      <c r="I6718" s="1077"/>
      <c r="J6718" s="1077"/>
      <c r="K6718" s="1077"/>
      <c r="L6718" s="1077"/>
      <c r="M6718" s="1077"/>
    </row>
    <row r="6719" spans="5:13">
      <c r="E6719" s="1077"/>
      <c r="F6719" s="1077"/>
      <c r="G6719" s="1077"/>
      <c r="H6719" s="1077"/>
      <c r="I6719" s="1077"/>
      <c r="J6719" s="1077"/>
      <c r="K6719" s="1077"/>
      <c r="L6719" s="1077"/>
      <c r="M6719" s="1077"/>
    </row>
    <row r="6720" spans="5:13">
      <c r="E6720" s="1077"/>
      <c r="F6720" s="1077"/>
      <c r="G6720" s="1077"/>
      <c r="H6720" s="1077"/>
      <c r="I6720" s="1077"/>
      <c r="J6720" s="1077"/>
      <c r="K6720" s="1077"/>
      <c r="L6720" s="1077"/>
      <c r="M6720" s="1077"/>
    </row>
    <row r="6721" spans="5:13">
      <c r="E6721" s="1077"/>
      <c r="F6721" s="1077"/>
      <c r="G6721" s="1077"/>
      <c r="H6721" s="1077"/>
      <c r="I6721" s="1077"/>
      <c r="J6721" s="1077"/>
      <c r="K6721" s="1077"/>
      <c r="L6721" s="1077"/>
      <c r="M6721" s="1077"/>
    </row>
    <row r="6722" spans="5:13">
      <c r="E6722" s="1077"/>
      <c r="F6722" s="1077"/>
      <c r="G6722" s="1077"/>
      <c r="H6722" s="1077"/>
      <c r="I6722" s="1077"/>
      <c r="J6722" s="1077"/>
      <c r="K6722" s="1077"/>
      <c r="L6722" s="1077"/>
      <c r="M6722" s="1077"/>
    </row>
    <row r="6723" spans="5:13">
      <c r="E6723" s="1077"/>
      <c r="F6723" s="1077"/>
      <c r="G6723" s="1077"/>
      <c r="H6723" s="1077"/>
      <c r="I6723" s="1077"/>
      <c r="J6723" s="1077"/>
      <c r="K6723" s="1077"/>
      <c r="L6723" s="1077"/>
      <c r="M6723" s="1077"/>
    </row>
    <row r="6724" spans="5:13">
      <c r="E6724" s="1077"/>
      <c r="F6724" s="1077"/>
      <c r="G6724" s="1077"/>
      <c r="H6724" s="1077"/>
      <c r="I6724" s="1077"/>
      <c r="J6724" s="1077"/>
      <c r="K6724" s="1077"/>
      <c r="L6724" s="1077"/>
      <c r="M6724" s="1077"/>
    </row>
    <row r="6725" spans="5:13">
      <c r="E6725" s="1077"/>
      <c r="F6725" s="1077"/>
      <c r="G6725" s="1077"/>
      <c r="H6725" s="1077"/>
      <c r="I6725" s="1077"/>
      <c r="J6725" s="1077"/>
      <c r="K6725" s="1077"/>
      <c r="L6725" s="1077"/>
      <c r="M6725" s="1077"/>
    </row>
    <row r="6726" spans="5:13">
      <c r="E6726" s="1077"/>
      <c r="F6726" s="1077"/>
      <c r="G6726" s="1077"/>
      <c r="H6726" s="1077"/>
      <c r="I6726" s="1077"/>
      <c r="J6726" s="1077"/>
      <c r="K6726" s="1077"/>
      <c r="L6726" s="1077"/>
      <c r="M6726" s="1077"/>
    </row>
    <row r="6727" spans="5:13">
      <c r="E6727" s="1077"/>
      <c r="F6727" s="1077"/>
      <c r="G6727" s="1077"/>
      <c r="H6727" s="1077"/>
      <c r="I6727" s="1077"/>
      <c r="J6727" s="1077"/>
      <c r="K6727" s="1077"/>
      <c r="L6727" s="1077"/>
      <c r="M6727" s="1077"/>
    </row>
    <row r="6728" spans="5:13">
      <c r="E6728" s="1077"/>
      <c r="F6728" s="1077"/>
      <c r="G6728" s="1077"/>
      <c r="H6728" s="1077"/>
      <c r="I6728" s="1077"/>
      <c r="J6728" s="1077"/>
      <c r="K6728" s="1077"/>
      <c r="L6728" s="1077"/>
      <c r="M6728" s="1077"/>
    </row>
    <row r="6729" spans="5:13">
      <c r="E6729" s="1077"/>
      <c r="F6729" s="1077"/>
      <c r="G6729" s="1077"/>
      <c r="H6729" s="1077"/>
      <c r="I6729" s="1077"/>
      <c r="J6729" s="1077"/>
      <c r="K6729" s="1077"/>
      <c r="L6729" s="1077"/>
      <c r="M6729" s="1077"/>
    </row>
    <row r="6730" spans="5:13">
      <c r="E6730" s="1077"/>
      <c r="F6730" s="1077"/>
      <c r="G6730" s="1077"/>
      <c r="H6730" s="1077"/>
      <c r="I6730" s="1077"/>
      <c r="J6730" s="1077"/>
      <c r="K6730" s="1077"/>
      <c r="L6730" s="1077"/>
      <c r="M6730" s="1077"/>
    </row>
    <row r="6731" spans="5:13">
      <c r="E6731" s="1077"/>
      <c r="F6731" s="1077"/>
      <c r="G6731" s="1077"/>
      <c r="H6731" s="1077"/>
      <c r="I6731" s="1077"/>
      <c r="J6731" s="1077"/>
      <c r="K6731" s="1077"/>
      <c r="L6731" s="1077"/>
      <c r="M6731" s="1077"/>
    </row>
    <row r="6732" spans="5:13">
      <c r="E6732" s="1077"/>
      <c r="F6732" s="1077"/>
      <c r="G6732" s="1077"/>
      <c r="H6732" s="1077"/>
      <c r="I6732" s="1077"/>
      <c r="J6732" s="1077"/>
      <c r="K6732" s="1077"/>
      <c r="L6732" s="1077"/>
      <c r="M6732" s="1077"/>
    </row>
    <row r="6733" spans="5:13">
      <c r="E6733" s="1077"/>
      <c r="F6733" s="1077"/>
      <c r="G6733" s="1077"/>
      <c r="H6733" s="1077"/>
      <c r="I6733" s="1077"/>
      <c r="J6733" s="1077"/>
      <c r="K6733" s="1077"/>
      <c r="L6733" s="1077"/>
      <c r="M6733" s="1077"/>
    </row>
    <row r="6734" spans="5:13">
      <c r="E6734" s="1077"/>
      <c r="F6734" s="1077"/>
      <c r="G6734" s="1077"/>
      <c r="H6734" s="1077"/>
      <c r="I6734" s="1077"/>
      <c r="J6734" s="1077"/>
      <c r="K6734" s="1077"/>
      <c r="L6734" s="1077"/>
      <c r="M6734" s="1077"/>
    </row>
    <row r="6735" spans="5:13">
      <c r="E6735" s="1077"/>
      <c r="F6735" s="1077"/>
      <c r="G6735" s="1077"/>
      <c r="H6735" s="1077"/>
      <c r="I6735" s="1077"/>
      <c r="J6735" s="1077"/>
      <c r="K6735" s="1077"/>
      <c r="L6735" s="1077"/>
      <c r="M6735" s="1077"/>
    </row>
    <row r="6736" spans="5:13">
      <c r="E6736" s="1077"/>
      <c r="F6736" s="1077"/>
      <c r="G6736" s="1077"/>
      <c r="H6736" s="1077"/>
      <c r="I6736" s="1077"/>
      <c r="J6736" s="1077"/>
      <c r="K6736" s="1077"/>
      <c r="L6736" s="1077"/>
      <c r="M6736" s="1077"/>
    </row>
    <row r="6737" spans="5:13">
      <c r="E6737" s="1077"/>
      <c r="F6737" s="1077"/>
      <c r="G6737" s="1077"/>
      <c r="H6737" s="1077"/>
      <c r="I6737" s="1077"/>
      <c r="J6737" s="1077"/>
      <c r="K6737" s="1077"/>
      <c r="L6737" s="1077"/>
      <c r="M6737" s="1077"/>
    </row>
    <row r="6738" spans="5:13">
      <c r="E6738" s="1077"/>
      <c r="F6738" s="1077"/>
      <c r="G6738" s="1077"/>
      <c r="H6738" s="1077"/>
      <c r="I6738" s="1077"/>
      <c r="J6738" s="1077"/>
      <c r="K6738" s="1077"/>
      <c r="L6738" s="1077"/>
      <c r="M6738" s="1077"/>
    </row>
    <row r="6739" spans="5:13">
      <c r="E6739" s="1077"/>
      <c r="F6739" s="1077"/>
      <c r="G6739" s="1077"/>
      <c r="H6739" s="1077"/>
      <c r="I6739" s="1077"/>
      <c r="J6739" s="1077"/>
      <c r="K6739" s="1077"/>
      <c r="L6739" s="1077"/>
      <c r="M6739" s="1077"/>
    </row>
    <row r="6740" spans="5:13">
      <c r="E6740" s="1077"/>
      <c r="F6740" s="1077"/>
      <c r="G6740" s="1077"/>
      <c r="H6740" s="1077"/>
      <c r="I6740" s="1077"/>
      <c r="J6740" s="1077"/>
      <c r="K6740" s="1077"/>
      <c r="L6740" s="1077"/>
      <c r="M6740" s="1077"/>
    </row>
    <row r="6741" spans="5:13">
      <c r="E6741" s="1077"/>
      <c r="F6741" s="1077"/>
      <c r="G6741" s="1077"/>
      <c r="H6741" s="1077"/>
      <c r="I6741" s="1077"/>
      <c r="J6741" s="1077"/>
      <c r="K6741" s="1077"/>
      <c r="L6741" s="1077"/>
      <c r="M6741" s="1077"/>
    </row>
    <row r="6742" spans="5:13">
      <c r="E6742" s="1077"/>
      <c r="F6742" s="1077"/>
      <c r="G6742" s="1077"/>
      <c r="H6742" s="1077"/>
      <c r="I6742" s="1077"/>
      <c r="J6742" s="1077"/>
      <c r="K6742" s="1077"/>
      <c r="L6742" s="1077"/>
      <c r="M6742" s="1077"/>
    </row>
    <row r="6743" spans="5:13">
      <c r="E6743" s="1077"/>
      <c r="F6743" s="1077"/>
      <c r="G6743" s="1077"/>
      <c r="H6743" s="1077"/>
      <c r="I6743" s="1077"/>
      <c r="J6743" s="1077"/>
      <c r="K6743" s="1077"/>
      <c r="L6743" s="1077"/>
      <c r="M6743" s="1077"/>
    </row>
    <row r="6744" spans="5:13">
      <c r="E6744" s="1077"/>
      <c r="F6744" s="1077"/>
      <c r="G6744" s="1077"/>
      <c r="H6744" s="1077"/>
      <c r="I6744" s="1077"/>
      <c r="J6744" s="1077"/>
      <c r="K6744" s="1077"/>
      <c r="L6744" s="1077"/>
      <c r="M6744" s="1077"/>
    </row>
    <row r="6745" spans="5:13">
      <c r="E6745" s="1077"/>
      <c r="F6745" s="1077"/>
      <c r="G6745" s="1077"/>
      <c r="H6745" s="1077"/>
      <c r="I6745" s="1077"/>
      <c r="J6745" s="1077"/>
      <c r="K6745" s="1077"/>
      <c r="L6745" s="1077"/>
      <c r="M6745" s="1077"/>
    </row>
    <row r="6746" spans="5:13">
      <c r="E6746" s="1077"/>
      <c r="F6746" s="1077"/>
      <c r="G6746" s="1077"/>
      <c r="H6746" s="1077"/>
      <c r="I6746" s="1077"/>
      <c r="J6746" s="1077"/>
      <c r="K6746" s="1077"/>
      <c r="L6746" s="1077"/>
      <c r="M6746" s="1077"/>
    </row>
    <row r="6747" spans="5:13">
      <c r="E6747" s="1077"/>
      <c r="F6747" s="1077"/>
      <c r="G6747" s="1077"/>
      <c r="H6747" s="1077"/>
      <c r="I6747" s="1077"/>
      <c r="J6747" s="1077"/>
      <c r="K6747" s="1077"/>
      <c r="L6747" s="1077"/>
      <c r="M6747" s="1077"/>
    </row>
    <row r="6748" spans="5:13">
      <c r="E6748" s="1077"/>
      <c r="F6748" s="1077"/>
      <c r="G6748" s="1077"/>
      <c r="H6748" s="1077"/>
      <c r="I6748" s="1077"/>
      <c r="J6748" s="1077"/>
      <c r="K6748" s="1077"/>
      <c r="L6748" s="1077"/>
      <c r="M6748" s="1077"/>
    </row>
    <row r="6749" spans="5:13">
      <c r="E6749" s="1077"/>
      <c r="F6749" s="1077"/>
      <c r="G6749" s="1077"/>
      <c r="H6749" s="1077"/>
      <c r="I6749" s="1077"/>
      <c r="J6749" s="1077"/>
      <c r="K6749" s="1077"/>
      <c r="L6749" s="1077"/>
      <c r="M6749" s="1077"/>
    </row>
    <row r="6750" spans="5:13">
      <c r="E6750" s="1077"/>
      <c r="F6750" s="1077"/>
      <c r="G6750" s="1077"/>
      <c r="H6750" s="1077"/>
      <c r="I6750" s="1077"/>
      <c r="J6750" s="1077"/>
      <c r="K6750" s="1077"/>
      <c r="L6750" s="1077"/>
      <c r="M6750" s="1077"/>
    </row>
    <row r="6751" spans="5:13">
      <c r="E6751" s="1077"/>
      <c r="F6751" s="1077"/>
      <c r="G6751" s="1077"/>
      <c r="H6751" s="1077"/>
      <c r="I6751" s="1077"/>
      <c r="J6751" s="1077"/>
      <c r="K6751" s="1077"/>
      <c r="L6751" s="1077"/>
      <c r="M6751" s="1077"/>
    </row>
    <row r="6752" spans="5:13">
      <c r="E6752" s="1077"/>
      <c r="F6752" s="1077"/>
      <c r="G6752" s="1077"/>
      <c r="H6752" s="1077"/>
      <c r="I6752" s="1077"/>
      <c r="J6752" s="1077"/>
      <c r="K6752" s="1077"/>
      <c r="L6752" s="1077"/>
      <c r="M6752" s="1077"/>
    </row>
    <row r="6753" spans="5:13">
      <c r="E6753" s="1077"/>
      <c r="F6753" s="1077"/>
      <c r="G6753" s="1077"/>
      <c r="H6753" s="1077"/>
      <c r="I6753" s="1077"/>
      <c r="J6753" s="1077"/>
      <c r="K6753" s="1077"/>
      <c r="L6753" s="1077"/>
      <c r="M6753" s="1077"/>
    </row>
    <row r="6754" spans="5:13">
      <c r="E6754" s="1077"/>
      <c r="F6754" s="1077"/>
      <c r="G6754" s="1077"/>
      <c r="H6754" s="1077"/>
      <c r="I6754" s="1077"/>
      <c r="J6754" s="1077"/>
      <c r="K6754" s="1077"/>
      <c r="L6754" s="1077"/>
      <c r="M6754" s="1077"/>
    </row>
    <row r="6755" spans="5:13">
      <c r="E6755" s="1077"/>
      <c r="F6755" s="1077"/>
      <c r="G6755" s="1077"/>
      <c r="H6755" s="1077"/>
      <c r="I6755" s="1077"/>
      <c r="J6755" s="1077"/>
      <c r="K6755" s="1077"/>
      <c r="L6755" s="1077"/>
      <c r="M6755" s="1077"/>
    </row>
    <row r="6756" spans="5:13">
      <c r="E6756" s="1077"/>
      <c r="F6756" s="1077"/>
      <c r="G6756" s="1077"/>
      <c r="H6756" s="1077"/>
      <c r="I6756" s="1077"/>
      <c r="J6756" s="1077"/>
      <c r="K6756" s="1077"/>
      <c r="L6756" s="1077"/>
      <c r="M6756" s="1077"/>
    </row>
    <row r="6757" spans="5:13">
      <c r="E6757" s="1077"/>
      <c r="F6757" s="1077"/>
      <c r="G6757" s="1077"/>
      <c r="H6757" s="1077"/>
      <c r="I6757" s="1077"/>
      <c r="J6757" s="1077"/>
      <c r="K6757" s="1077"/>
      <c r="L6757" s="1077"/>
      <c r="M6757" s="1077"/>
    </row>
    <row r="6758" spans="5:13">
      <c r="E6758" s="1077"/>
      <c r="F6758" s="1077"/>
      <c r="G6758" s="1077"/>
      <c r="H6758" s="1077"/>
      <c r="I6758" s="1077"/>
      <c r="J6758" s="1077"/>
      <c r="K6758" s="1077"/>
      <c r="L6758" s="1077"/>
      <c r="M6758" s="1077"/>
    </row>
    <row r="6759" spans="5:13">
      <c r="E6759" s="1077"/>
      <c r="F6759" s="1077"/>
      <c r="G6759" s="1077"/>
      <c r="H6759" s="1077"/>
      <c r="I6759" s="1077"/>
      <c r="J6759" s="1077"/>
      <c r="K6759" s="1077"/>
      <c r="L6759" s="1077"/>
      <c r="M6759" s="1077"/>
    </row>
    <row r="6760" spans="5:13">
      <c r="E6760" s="1077"/>
      <c r="F6760" s="1077"/>
      <c r="G6760" s="1077"/>
      <c r="H6760" s="1077"/>
      <c r="I6760" s="1077"/>
      <c r="J6760" s="1077"/>
      <c r="K6760" s="1077"/>
      <c r="L6760" s="1077"/>
      <c r="M6760" s="1077"/>
    </row>
    <row r="6761" spans="5:13">
      <c r="E6761" s="1077"/>
      <c r="F6761" s="1077"/>
      <c r="G6761" s="1077"/>
      <c r="H6761" s="1077"/>
      <c r="I6761" s="1077"/>
      <c r="J6761" s="1077"/>
      <c r="K6761" s="1077"/>
      <c r="L6761" s="1077"/>
      <c r="M6761" s="1077"/>
    </row>
    <row r="6762" spans="5:13">
      <c r="E6762" s="1077"/>
      <c r="F6762" s="1077"/>
      <c r="G6762" s="1077"/>
      <c r="H6762" s="1077"/>
      <c r="I6762" s="1077"/>
      <c r="J6762" s="1077"/>
      <c r="K6762" s="1077"/>
      <c r="L6762" s="1077"/>
      <c r="M6762" s="1077"/>
    </row>
    <row r="6763" spans="5:13">
      <c r="E6763" s="1077"/>
      <c r="F6763" s="1077"/>
      <c r="G6763" s="1077"/>
      <c r="H6763" s="1077"/>
      <c r="I6763" s="1077"/>
      <c r="J6763" s="1077"/>
      <c r="K6763" s="1077"/>
      <c r="L6763" s="1077"/>
      <c r="M6763" s="1077"/>
    </row>
    <row r="6764" spans="5:13">
      <c r="E6764" s="1077"/>
      <c r="F6764" s="1077"/>
      <c r="G6764" s="1077"/>
      <c r="H6764" s="1077"/>
      <c r="I6764" s="1077"/>
      <c r="J6764" s="1077"/>
      <c r="K6764" s="1077"/>
      <c r="L6764" s="1077"/>
      <c r="M6764" s="1077"/>
    </row>
    <row r="6765" spans="5:13">
      <c r="E6765" s="1077"/>
      <c r="F6765" s="1077"/>
      <c r="G6765" s="1077"/>
      <c r="H6765" s="1077"/>
      <c r="I6765" s="1077"/>
      <c r="J6765" s="1077"/>
      <c r="K6765" s="1077"/>
      <c r="L6765" s="1077"/>
      <c r="M6765" s="1077"/>
    </row>
    <row r="6766" spans="5:13">
      <c r="E6766" s="1077"/>
      <c r="F6766" s="1077"/>
      <c r="G6766" s="1077"/>
      <c r="H6766" s="1077"/>
      <c r="I6766" s="1077"/>
      <c r="J6766" s="1077"/>
      <c r="K6766" s="1077"/>
      <c r="L6766" s="1077"/>
      <c r="M6766" s="1077"/>
    </row>
    <row r="6767" spans="5:13">
      <c r="E6767" s="1077"/>
      <c r="F6767" s="1077"/>
      <c r="G6767" s="1077"/>
      <c r="H6767" s="1077"/>
      <c r="I6767" s="1077"/>
      <c r="J6767" s="1077"/>
      <c r="K6767" s="1077"/>
      <c r="L6767" s="1077"/>
      <c r="M6767" s="1077"/>
    </row>
    <row r="6768" spans="5:13">
      <c r="E6768" s="1077"/>
      <c r="F6768" s="1077"/>
      <c r="G6768" s="1077"/>
      <c r="H6768" s="1077"/>
      <c r="I6768" s="1077"/>
      <c r="J6768" s="1077"/>
      <c r="K6768" s="1077"/>
      <c r="L6768" s="1077"/>
      <c r="M6768" s="1077"/>
    </row>
    <row r="6769" spans="5:13">
      <c r="E6769" s="1077"/>
      <c r="F6769" s="1077"/>
      <c r="G6769" s="1077"/>
      <c r="H6769" s="1077"/>
      <c r="I6769" s="1077"/>
      <c r="J6769" s="1077"/>
      <c r="K6769" s="1077"/>
      <c r="L6769" s="1077"/>
      <c r="M6769" s="1077"/>
    </row>
    <row r="6770" spans="5:13">
      <c r="E6770" s="1077"/>
      <c r="F6770" s="1077"/>
      <c r="G6770" s="1077"/>
      <c r="H6770" s="1077"/>
      <c r="I6770" s="1077"/>
      <c r="J6770" s="1077"/>
      <c r="K6770" s="1077"/>
      <c r="L6770" s="1077"/>
      <c r="M6770" s="1077"/>
    </row>
    <row r="6771" spans="5:13">
      <c r="E6771" s="1077"/>
      <c r="F6771" s="1077"/>
      <c r="G6771" s="1077"/>
      <c r="H6771" s="1077"/>
      <c r="I6771" s="1077"/>
      <c r="J6771" s="1077"/>
      <c r="K6771" s="1077"/>
      <c r="L6771" s="1077"/>
      <c r="M6771" s="1077"/>
    </row>
    <row r="6772" spans="5:13">
      <c r="E6772" s="1077"/>
      <c r="F6772" s="1077"/>
      <c r="G6772" s="1077"/>
      <c r="H6772" s="1077"/>
      <c r="I6772" s="1077"/>
      <c r="J6772" s="1077"/>
      <c r="K6772" s="1077"/>
      <c r="L6772" s="1077"/>
      <c r="M6772" s="1077"/>
    </row>
    <row r="6773" spans="5:13">
      <c r="E6773" s="1077"/>
      <c r="F6773" s="1077"/>
      <c r="G6773" s="1077"/>
      <c r="H6773" s="1077"/>
      <c r="I6773" s="1077"/>
      <c r="J6773" s="1077"/>
      <c r="K6773" s="1077"/>
      <c r="L6773" s="1077"/>
      <c r="M6773" s="1077"/>
    </row>
    <row r="6774" spans="5:13">
      <c r="E6774" s="1077"/>
      <c r="F6774" s="1077"/>
      <c r="G6774" s="1077"/>
      <c r="H6774" s="1077"/>
      <c r="I6774" s="1077"/>
      <c r="J6774" s="1077"/>
      <c r="K6774" s="1077"/>
      <c r="L6774" s="1077"/>
      <c r="M6774" s="1077"/>
    </row>
    <row r="6775" spans="5:13">
      <c r="E6775" s="1077"/>
      <c r="F6775" s="1077"/>
      <c r="G6775" s="1077"/>
      <c r="H6775" s="1077"/>
      <c r="I6775" s="1077"/>
      <c r="J6775" s="1077"/>
      <c r="K6775" s="1077"/>
      <c r="L6775" s="1077"/>
      <c r="M6775" s="1077"/>
    </row>
    <row r="6776" spans="5:13">
      <c r="E6776" s="1077"/>
      <c r="F6776" s="1077"/>
      <c r="G6776" s="1077"/>
      <c r="H6776" s="1077"/>
      <c r="I6776" s="1077"/>
      <c r="J6776" s="1077"/>
      <c r="K6776" s="1077"/>
      <c r="L6776" s="1077"/>
      <c r="M6776" s="1077"/>
    </row>
    <row r="6777" spans="5:13">
      <c r="E6777" s="1077"/>
      <c r="F6777" s="1077"/>
      <c r="G6777" s="1077"/>
      <c r="H6777" s="1077"/>
      <c r="I6777" s="1077"/>
      <c r="J6777" s="1077"/>
      <c r="K6777" s="1077"/>
      <c r="L6777" s="1077"/>
      <c r="M6777" s="1077"/>
    </row>
    <row r="6778" spans="5:13">
      <c r="E6778" s="1077"/>
      <c r="F6778" s="1077"/>
      <c r="G6778" s="1077"/>
      <c r="H6778" s="1077"/>
      <c r="I6778" s="1077"/>
      <c r="J6778" s="1077"/>
      <c r="K6778" s="1077"/>
      <c r="L6778" s="1077"/>
      <c r="M6778" s="1077"/>
    </row>
    <row r="6779" spans="5:13">
      <c r="E6779" s="1077"/>
      <c r="F6779" s="1077"/>
      <c r="G6779" s="1077"/>
      <c r="H6779" s="1077"/>
      <c r="I6779" s="1077"/>
      <c r="J6779" s="1077"/>
      <c r="K6779" s="1077"/>
      <c r="L6779" s="1077"/>
      <c r="M6779" s="1077"/>
    </row>
    <row r="6780" spans="5:13">
      <c r="E6780" s="1077"/>
      <c r="F6780" s="1077"/>
      <c r="G6780" s="1077"/>
      <c r="H6780" s="1077"/>
      <c r="I6780" s="1077"/>
      <c r="J6780" s="1077"/>
      <c r="K6780" s="1077"/>
      <c r="L6780" s="1077"/>
      <c r="M6780" s="1077"/>
    </row>
    <row r="6781" spans="5:13">
      <c r="E6781" s="1077"/>
      <c r="F6781" s="1077"/>
      <c r="G6781" s="1077"/>
      <c r="H6781" s="1077"/>
      <c r="I6781" s="1077"/>
      <c r="J6781" s="1077"/>
      <c r="K6781" s="1077"/>
      <c r="L6781" s="1077"/>
      <c r="M6781" s="1077"/>
    </row>
    <row r="6782" spans="5:13">
      <c r="E6782" s="1077"/>
      <c r="F6782" s="1077"/>
      <c r="G6782" s="1077"/>
      <c r="H6782" s="1077"/>
      <c r="I6782" s="1077"/>
      <c r="J6782" s="1077"/>
      <c r="K6782" s="1077"/>
      <c r="L6782" s="1077"/>
      <c r="M6782" s="1077"/>
    </row>
    <row r="6783" spans="5:13">
      <c r="E6783" s="1077"/>
      <c r="F6783" s="1077"/>
      <c r="G6783" s="1077"/>
      <c r="H6783" s="1077"/>
      <c r="I6783" s="1077"/>
      <c r="J6783" s="1077"/>
      <c r="K6783" s="1077"/>
      <c r="L6783" s="1077"/>
      <c r="M6783" s="1077"/>
    </row>
    <row r="6784" spans="5:13">
      <c r="E6784" s="1077"/>
      <c r="F6784" s="1077"/>
      <c r="G6784" s="1077"/>
      <c r="H6784" s="1077"/>
      <c r="I6784" s="1077"/>
      <c r="J6784" s="1077"/>
      <c r="K6784" s="1077"/>
      <c r="L6784" s="1077"/>
      <c r="M6784" s="1077"/>
    </row>
    <row r="6785" spans="5:13">
      <c r="E6785" s="1077"/>
      <c r="F6785" s="1077"/>
      <c r="G6785" s="1077"/>
      <c r="H6785" s="1077"/>
      <c r="I6785" s="1077"/>
      <c r="J6785" s="1077"/>
      <c r="K6785" s="1077"/>
      <c r="L6785" s="1077"/>
      <c r="M6785" s="1077"/>
    </row>
    <row r="6786" spans="5:13">
      <c r="E6786" s="1077"/>
      <c r="F6786" s="1077"/>
      <c r="G6786" s="1077"/>
      <c r="H6786" s="1077"/>
      <c r="I6786" s="1077"/>
      <c r="J6786" s="1077"/>
      <c r="K6786" s="1077"/>
      <c r="L6786" s="1077"/>
      <c r="M6786" s="1077"/>
    </row>
    <row r="6787" spans="5:13">
      <c r="E6787" s="1077"/>
      <c r="F6787" s="1077"/>
      <c r="G6787" s="1077"/>
      <c r="H6787" s="1077"/>
      <c r="I6787" s="1077"/>
      <c r="J6787" s="1077"/>
      <c r="K6787" s="1077"/>
      <c r="L6787" s="1077"/>
      <c r="M6787" s="1077"/>
    </row>
    <row r="6788" spans="5:13">
      <c r="E6788" s="1077"/>
      <c r="F6788" s="1077"/>
      <c r="G6788" s="1077"/>
      <c r="H6788" s="1077"/>
      <c r="I6788" s="1077"/>
      <c r="J6788" s="1077"/>
      <c r="K6788" s="1077"/>
      <c r="L6788" s="1077"/>
      <c r="M6788" s="1077"/>
    </row>
    <row r="6789" spans="5:13">
      <c r="E6789" s="1077"/>
      <c r="F6789" s="1077"/>
      <c r="G6789" s="1077"/>
      <c r="H6789" s="1077"/>
      <c r="I6789" s="1077"/>
      <c r="J6789" s="1077"/>
      <c r="K6789" s="1077"/>
      <c r="L6789" s="1077"/>
      <c r="M6789" s="1077"/>
    </row>
    <row r="6790" spans="5:13">
      <c r="E6790" s="1077"/>
      <c r="F6790" s="1077"/>
      <c r="G6790" s="1077"/>
      <c r="H6790" s="1077"/>
      <c r="I6790" s="1077"/>
      <c r="J6790" s="1077"/>
      <c r="K6790" s="1077"/>
      <c r="L6790" s="1077"/>
      <c r="M6790" s="1077"/>
    </row>
    <row r="6791" spans="5:13">
      <c r="E6791" s="1077"/>
      <c r="F6791" s="1077"/>
      <c r="G6791" s="1077"/>
      <c r="H6791" s="1077"/>
      <c r="I6791" s="1077"/>
      <c r="J6791" s="1077"/>
      <c r="K6791" s="1077"/>
      <c r="L6791" s="1077"/>
      <c r="M6791" s="1077"/>
    </row>
    <row r="6792" spans="5:13">
      <c r="E6792" s="1077"/>
      <c r="F6792" s="1077"/>
      <c r="G6792" s="1077"/>
      <c r="H6792" s="1077"/>
      <c r="I6792" s="1077"/>
      <c r="J6792" s="1077"/>
      <c r="K6792" s="1077"/>
      <c r="L6792" s="1077"/>
      <c r="M6792" s="1077"/>
    </row>
    <row r="6793" spans="5:13">
      <c r="E6793" s="1077"/>
      <c r="F6793" s="1077"/>
      <c r="G6793" s="1077"/>
      <c r="H6793" s="1077"/>
      <c r="I6793" s="1077"/>
      <c r="J6793" s="1077"/>
      <c r="K6793" s="1077"/>
      <c r="L6793" s="1077"/>
      <c r="M6793" s="1077"/>
    </row>
    <row r="6794" spans="5:13">
      <c r="E6794" s="1077"/>
      <c r="F6794" s="1077"/>
      <c r="G6794" s="1077"/>
      <c r="H6794" s="1077"/>
      <c r="I6794" s="1077"/>
      <c r="J6794" s="1077"/>
      <c r="K6794" s="1077"/>
      <c r="L6794" s="1077"/>
      <c r="M6794" s="1077"/>
    </row>
    <row r="6795" spans="5:13">
      <c r="E6795" s="1077"/>
      <c r="F6795" s="1077"/>
      <c r="G6795" s="1077"/>
      <c r="H6795" s="1077"/>
      <c r="I6795" s="1077"/>
      <c r="J6795" s="1077"/>
      <c r="K6795" s="1077"/>
      <c r="L6795" s="1077"/>
      <c r="M6795" s="1077"/>
    </row>
    <row r="6796" spans="5:13">
      <c r="E6796" s="1077"/>
      <c r="F6796" s="1077"/>
      <c r="G6796" s="1077"/>
      <c r="H6796" s="1077"/>
      <c r="I6796" s="1077"/>
      <c r="J6796" s="1077"/>
      <c r="K6796" s="1077"/>
      <c r="L6796" s="1077"/>
      <c r="M6796" s="1077"/>
    </row>
    <row r="6797" spans="5:13">
      <c r="E6797" s="1077"/>
      <c r="F6797" s="1077"/>
      <c r="G6797" s="1077"/>
      <c r="H6797" s="1077"/>
      <c r="I6797" s="1077"/>
      <c r="J6797" s="1077"/>
      <c r="K6797" s="1077"/>
      <c r="L6797" s="1077"/>
      <c r="M6797" s="1077"/>
    </row>
    <row r="6798" spans="5:13">
      <c r="E6798" s="1077"/>
      <c r="F6798" s="1077"/>
      <c r="G6798" s="1077"/>
      <c r="H6798" s="1077"/>
      <c r="I6798" s="1077"/>
      <c r="J6798" s="1077"/>
      <c r="K6798" s="1077"/>
      <c r="L6798" s="1077"/>
      <c r="M6798" s="1077"/>
    </row>
    <row r="6799" spans="5:13">
      <c r="E6799" s="1077"/>
      <c r="F6799" s="1077"/>
      <c r="G6799" s="1077"/>
      <c r="H6799" s="1077"/>
      <c r="I6799" s="1077"/>
      <c r="J6799" s="1077"/>
      <c r="K6799" s="1077"/>
      <c r="L6799" s="1077"/>
      <c r="M6799" s="1077"/>
    </row>
    <row r="6800" spans="5:13">
      <c r="E6800" s="1077"/>
      <c r="F6800" s="1077"/>
      <c r="G6800" s="1077"/>
      <c r="H6800" s="1077"/>
      <c r="I6800" s="1077"/>
      <c r="J6800" s="1077"/>
      <c r="K6800" s="1077"/>
      <c r="L6800" s="1077"/>
      <c r="M6800" s="1077"/>
    </row>
    <row r="6801" spans="5:13">
      <c r="E6801" s="1077"/>
      <c r="F6801" s="1077"/>
      <c r="G6801" s="1077"/>
      <c r="H6801" s="1077"/>
      <c r="I6801" s="1077"/>
      <c r="J6801" s="1077"/>
      <c r="K6801" s="1077"/>
      <c r="L6801" s="1077"/>
      <c r="M6801" s="1077"/>
    </row>
    <row r="6802" spans="5:13">
      <c r="E6802" s="1077"/>
      <c r="F6802" s="1077"/>
      <c r="G6802" s="1077"/>
      <c r="H6802" s="1077"/>
      <c r="I6802" s="1077"/>
      <c r="J6802" s="1077"/>
      <c r="K6802" s="1077"/>
      <c r="L6802" s="1077"/>
      <c r="M6802" s="1077"/>
    </row>
    <row r="6803" spans="5:13">
      <c r="E6803" s="1077"/>
      <c r="F6803" s="1077"/>
      <c r="G6803" s="1077"/>
      <c r="H6803" s="1077"/>
      <c r="I6803" s="1077"/>
      <c r="J6803" s="1077"/>
      <c r="K6803" s="1077"/>
      <c r="L6803" s="1077"/>
      <c r="M6803" s="1077"/>
    </row>
    <row r="6804" spans="5:13">
      <c r="E6804" s="1077"/>
      <c r="F6804" s="1077"/>
      <c r="G6804" s="1077"/>
      <c r="H6804" s="1077"/>
      <c r="I6804" s="1077"/>
      <c r="J6804" s="1077"/>
      <c r="K6804" s="1077"/>
      <c r="L6804" s="1077"/>
      <c r="M6804" s="1077"/>
    </row>
    <row r="6805" spans="5:13">
      <c r="E6805" s="1077"/>
      <c r="F6805" s="1077"/>
      <c r="G6805" s="1077"/>
      <c r="H6805" s="1077"/>
      <c r="I6805" s="1077"/>
      <c r="J6805" s="1077"/>
      <c r="K6805" s="1077"/>
      <c r="L6805" s="1077"/>
      <c r="M6805" s="1077"/>
    </row>
    <row r="6806" spans="5:13">
      <c r="E6806" s="1077"/>
      <c r="F6806" s="1077"/>
      <c r="G6806" s="1077"/>
      <c r="H6806" s="1077"/>
      <c r="I6806" s="1077"/>
      <c r="J6806" s="1077"/>
      <c r="K6806" s="1077"/>
      <c r="L6806" s="1077"/>
      <c r="M6806" s="1077"/>
    </row>
    <row r="6807" spans="5:13">
      <c r="E6807" s="1077"/>
      <c r="F6807" s="1077"/>
      <c r="G6807" s="1077"/>
      <c r="H6807" s="1077"/>
      <c r="I6807" s="1077"/>
      <c r="J6807" s="1077"/>
      <c r="K6807" s="1077"/>
      <c r="L6807" s="1077"/>
      <c r="M6807" s="1077"/>
    </row>
    <row r="6808" spans="5:13">
      <c r="E6808" s="1077"/>
      <c r="F6808" s="1077"/>
      <c r="G6808" s="1077"/>
      <c r="H6808" s="1077"/>
      <c r="I6808" s="1077"/>
      <c r="J6808" s="1077"/>
      <c r="K6808" s="1077"/>
      <c r="L6808" s="1077"/>
      <c r="M6808" s="1077"/>
    </row>
    <row r="6809" spans="5:13">
      <c r="E6809" s="1077"/>
      <c r="F6809" s="1077"/>
      <c r="G6809" s="1077"/>
      <c r="H6809" s="1077"/>
      <c r="I6809" s="1077"/>
      <c r="J6809" s="1077"/>
      <c r="K6809" s="1077"/>
      <c r="L6809" s="1077"/>
      <c r="M6809" s="1077"/>
    </row>
    <row r="6810" spans="5:13">
      <c r="E6810" s="1077"/>
      <c r="F6810" s="1077"/>
      <c r="G6810" s="1077"/>
      <c r="H6810" s="1077"/>
      <c r="I6810" s="1077"/>
      <c r="J6810" s="1077"/>
      <c r="K6810" s="1077"/>
      <c r="L6810" s="1077"/>
      <c r="M6810" s="1077"/>
    </row>
    <row r="6811" spans="5:13">
      <c r="E6811" s="1077"/>
      <c r="F6811" s="1077"/>
      <c r="G6811" s="1077"/>
      <c r="H6811" s="1077"/>
      <c r="I6811" s="1077"/>
      <c r="J6811" s="1077"/>
      <c r="K6811" s="1077"/>
      <c r="L6811" s="1077"/>
      <c r="M6811" s="1077"/>
    </row>
    <row r="6812" spans="5:13">
      <c r="E6812" s="1077"/>
      <c r="F6812" s="1077"/>
      <c r="G6812" s="1077"/>
      <c r="H6812" s="1077"/>
      <c r="I6812" s="1077"/>
      <c r="J6812" s="1077"/>
      <c r="K6812" s="1077"/>
      <c r="L6812" s="1077"/>
      <c r="M6812" s="1077"/>
    </row>
    <row r="6813" spans="5:13">
      <c r="E6813" s="1077"/>
      <c r="F6813" s="1077"/>
      <c r="G6813" s="1077"/>
      <c r="H6813" s="1077"/>
      <c r="I6813" s="1077"/>
      <c r="J6813" s="1077"/>
      <c r="K6813" s="1077"/>
      <c r="L6813" s="1077"/>
      <c r="M6813" s="1077"/>
    </row>
    <row r="6814" spans="5:13">
      <c r="E6814" s="1077"/>
      <c r="F6814" s="1077"/>
      <c r="G6814" s="1077"/>
      <c r="H6814" s="1077"/>
      <c r="I6814" s="1077"/>
      <c r="J6814" s="1077"/>
      <c r="K6814" s="1077"/>
      <c r="L6814" s="1077"/>
      <c r="M6814" s="1077"/>
    </row>
    <row r="6815" spans="5:13">
      <c r="E6815" s="1077"/>
      <c r="F6815" s="1077"/>
      <c r="G6815" s="1077"/>
      <c r="H6815" s="1077"/>
      <c r="I6815" s="1077"/>
      <c r="J6815" s="1077"/>
      <c r="K6815" s="1077"/>
      <c r="L6815" s="1077"/>
      <c r="M6815" s="1077"/>
    </row>
    <row r="6816" spans="5:13">
      <c r="E6816" s="1077"/>
      <c r="F6816" s="1077"/>
      <c r="G6816" s="1077"/>
      <c r="H6816" s="1077"/>
      <c r="I6816" s="1077"/>
      <c r="J6816" s="1077"/>
      <c r="K6816" s="1077"/>
      <c r="L6816" s="1077"/>
      <c r="M6816" s="1077"/>
    </row>
    <row r="6817" spans="5:13">
      <c r="E6817" s="1077"/>
      <c r="F6817" s="1077"/>
      <c r="G6817" s="1077"/>
      <c r="H6817" s="1077"/>
      <c r="I6817" s="1077"/>
      <c r="J6817" s="1077"/>
      <c r="K6817" s="1077"/>
      <c r="L6817" s="1077"/>
      <c r="M6817" s="1077"/>
    </row>
    <row r="6818" spans="5:13">
      <c r="E6818" s="1077"/>
      <c r="F6818" s="1077"/>
      <c r="G6818" s="1077"/>
      <c r="H6818" s="1077"/>
      <c r="I6818" s="1077"/>
      <c r="J6818" s="1077"/>
      <c r="K6818" s="1077"/>
      <c r="L6818" s="1077"/>
      <c r="M6818" s="1077"/>
    </row>
    <row r="6819" spans="5:13">
      <c r="E6819" s="1077"/>
      <c r="F6819" s="1077"/>
      <c r="G6819" s="1077"/>
      <c r="H6819" s="1077"/>
      <c r="I6819" s="1077"/>
      <c r="J6819" s="1077"/>
      <c r="K6819" s="1077"/>
      <c r="L6819" s="1077"/>
      <c r="M6819" s="1077"/>
    </row>
    <row r="6820" spans="5:13">
      <c r="E6820" s="1077"/>
      <c r="F6820" s="1077"/>
      <c r="G6820" s="1077"/>
      <c r="H6820" s="1077"/>
      <c r="I6820" s="1077"/>
      <c r="J6820" s="1077"/>
      <c r="K6820" s="1077"/>
      <c r="L6820" s="1077"/>
      <c r="M6820" s="1077"/>
    </row>
    <row r="6821" spans="5:13">
      <c r="E6821" s="1077"/>
      <c r="F6821" s="1077"/>
      <c r="G6821" s="1077"/>
      <c r="H6821" s="1077"/>
      <c r="I6821" s="1077"/>
      <c r="J6821" s="1077"/>
      <c r="K6821" s="1077"/>
      <c r="L6821" s="1077"/>
      <c r="M6821" s="1077"/>
    </row>
    <row r="6822" spans="5:13">
      <c r="E6822" s="1077"/>
      <c r="F6822" s="1077"/>
      <c r="G6822" s="1077"/>
      <c r="H6822" s="1077"/>
      <c r="I6822" s="1077"/>
      <c r="J6822" s="1077"/>
      <c r="K6822" s="1077"/>
      <c r="L6822" s="1077"/>
      <c r="M6822" s="1077"/>
    </row>
    <row r="6823" spans="5:13">
      <c r="E6823" s="1077"/>
      <c r="F6823" s="1077"/>
      <c r="G6823" s="1077"/>
      <c r="H6823" s="1077"/>
      <c r="I6823" s="1077"/>
      <c r="J6823" s="1077"/>
      <c r="K6823" s="1077"/>
      <c r="L6823" s="1077"/>
      <c r="M6823" s="1077"/>
    </row>
    <row r="6824" spans="5:13">
      <c r="E6824" s="1077"/>
      <c r="F6824" s="1077"/>
      <c r="G6824" s="1077"/>
      <c r="H6824" s="1077"/>
      <c r="I6824" s="1077"/>
      <c r="J6824" s="1077"/>
      <c r="K6824" s="1077"/>
      <c r="L6824" s="1077"/>
      <c r="M6824" s="1077"/>
    </row>
    <row r="6825" spans="5:13">
      <c r="E6825" s="1077"/>
      <c r="F6825" s="1077"/>
      <c r="G6825" s="1077"/>
      <c r="H6825" s="1077"/>
      <c r="I6825" s="1077"/>
      <c r="J6825" s="1077"/>
      <c r="K6825" s="1077"/>
      <c r="L6825" s="1077"/>
      <c r="M6825" s="1077"/>
    </row>
    <row r="6826" spans="5:13">
      <c r="E6826" s="1077"/>
      <c r="F6826" s="1077"/>
      <c r="G6826" s="1077"/>
      <c r="H6826" s="1077"/>
      <c r="I6826" s="1077"/>
      <c r="J6826" s="1077"/>
      <c r="K6826" s="1077"/>
      <c r="L6826" s="1077"/>
      <c r="M6826" s="1077"/>
    </row>
    <row r="6827" spans="5:13">
      <c r="E6827" s="1077"/>
      <c r="F6827" s="1077"/>
      <c r="G6827" s="1077"/>
      <c r="H6827" s="1077"/>
      <c r="I6827" s="1077"/>
      <c r="J6827" s="1077"/>
      <c r="K6827" s="1077"/>
      <c r="L6827" s="1077"/>
      <c r="M6827" s="1077"/>
    </row>
    <row r="6828" spans="5:13">
      <c r="E6828" s="1077"/>
      <c r="F6828" s="1077"/>
      <c r="G6828" s="1077"/>
      <c r="H6828" s="1077"/>
      <c r="I6828" s="1077"/>
      <c r="J6828" s="1077"/>
      <c r="K6828" s="1077"/>
      <c r="L6828" s="1077"/>
      <c r="M6828" s="1077"/>
    </row>
    <row r="6829" spans="5:13">
      <c r="E6829" s="1077"/>
      <c r="F6829" s="1077"/>
      <c r="G6829" s="1077"/>
      <c r="H6829" s="1077"/>
      <c r="I6829" s="1077"/>
      <c r="J6829" s="1077"/>
      <c r="K6829" s="1077"/>
      <c r="L6829" s="1077"/>
      <c r="M6829" s="1077"/>
    </row>
    <row r="6830" spans="5:13">
      <c r="E6830" s="1077"/>
      <c r="F6830" s="1077"/>
      <c r="G6830" s="1077"/>
      <c r="H6830" s="1077"/>
      <c r="I6830" s="1077"/>
      <c r="J6830" s="1077"/>
      <c r="K6830" s="1077"/>
      <c r="L6830" s="1077"/>
      <c r="M6830" s="1077"/>
    </row>
    <row r="6831" spans="5:13">
      <c r="E6831" s="1077"/>
      <c r="F6831" s="1077"/>
      <c r="G6831" s="1077"/>
      <c r="H6831" s="1077"/>
      <c r="I6831" s="1077"/>
      <c r="J6831" s="1077"/>
      <c r="K6831" s="1077"/>
      <c r="L6831" s="1077"/>
      <c r="M6831" s="1077"/>
    </row>
    <row r="6832" spans="5:13">
      <c r="E6832" s="1077"/>
      <c r="F6832" s="1077"/>
      <c r="G6832" s="1077"/>
      <c r="H6832" s="1077"/>
      <c r="I6832" s="1077"/>
      <c r="J6832" s="1077"/>
      <c r="K6832" s="1077"/>
      <c r="L6832" s="1077"/>
      <c r="M6832" s="1077"/>
    </row>
    <row r="6833" spans="5:13">
      <c r="E6833" s="1077"/>
      <c r="F6833" s="1077"/>
      <c r="G6833" s="1077"/>
      <c r="H6833" s="1077"/>
      <c r="I6833" s="1077"/>
      <c r="J6833" s="1077"/>
      <c r="K6833" s="1077"/>
      <c r="L6833" s="1077"/>
      <c r="M6833" s="1077"/>
    </row>
    <row r="6834" spans="5:13">
      <c r="E6834" s="1077"/>
      <c r="F6834" s="1077"/>
      <c r="G6834" s="1077"/>
      <c r="H6834" s="1077"/>
      <c r="I6834" s="1077"/>
      <c r="J6834" s="1077"/>
      <c r="K6834" s="1077"/>
      <c r="L6834" s="1077"/>
      <c r="M6834" s="1077"/>
    </row>
    <row r="6835" spans="5:13">
      <c r="E6835" s="1077"/>
      <c r="F6835" s="1077"/>
      <c r="G6835" s="1077"/>
      <c r="H6835" s="1077"/>
      <c r="I6835" s="1077"/>
      <c r="J6835" s="1077"/>
      <c r="K6835" s="1077"/>
      <c r="L6835" s="1077"/>
      <c r="M6835" s="1077"/>
    </row>
    <row r="6836" spans="5:13">
      <c r="E6836" s="1077"/>
      <c r="F6836" s="1077"/>
      <c r="G6836" s="1077"/>
      <c r="H6836" s="1077"/>
      <c r="I6836" s="1077"/>
      <c r="J6836" s="1077"/>
      <c r="K6836" s="1077"/>
      <c r="L6836" s="1077"/>
      <c r="M6836" s="1077"/>
    </row>
    <row r="6837" spans="5:13">
      <c r="E6837" s="1077"/>
      <c r="F6837" s="1077"/>
      <c r="G6837" s="1077"/>
      <c r="H6837" s="1077"/>
      <c r="I6837" s="1077"/>
      <c r="J6837" s="1077"/>
      <c r="K6837" s="1077"/>
      <c r="L6837" s="1077"/>
      <c r="M6837" s="1077"/>
    </row>
    <row r="6838" spans="5:13">
      <c r="E6838" s="1077"/>
      <c r="F6838" s="1077"/>
      <c r="G6838" s="1077"/>
      <c r="H6838" s="1077"/>
      <c r="I6838" s="1077"/>
      <c r="J6838" s="1077"/>
      <c r="K6838" s="1077"/>
      <c r="L6838" s="1077"/>
      <c r="M6838" s="1077"/>
    </row>
    <row r="6839" spans="5:13">
      <c r="E6839" s="1077"/>
      <c r="F6839" s="1077"/>
      <c r="G6839" s="1077"/>
      <c r="H6839" s="1077"/>
      <c r="I6839" s="1077"/>
      <c r="J6839" s="1077"/>
      <c r="K6839" s="1077"/>
      <c r="L6839" s="1077"/>
      <c r="M6839" s="1077"/>
    </row>
    <row r="6840" spans="5:13">
      <c r="E6840" s="1077"/>
      <c r="F6840" s="1077"/>
      <c r="G6840" s="1077"/>
      <c r="H6840" s="1077"/>
      <c r="I6840" s="1077"/>
      <c r="J6840" s="1077"/>
      <c r="K6840" s="1077"/>
      <c r="L6840" s="1077"/>
      <c r="M6840" s="1077"/>
    </row>
    <row r="6841" spans="5:13">
      <c r="E6841" s="1077"/>
      <c r="F6841" s="1077"/>
      <c r="G6841" s="1077"/>
      <c r="H6841" s="1077"/>
      <c r="I6841" s="1077"/>
      <c r="J6841" s="1077"/>
      <c r="K6841" s="1077"/>
      <c r="L6841" s="1077"/>
      <c r="M6841" s="1077"/>
    </row>
    <row r="6842" spans="5:13">
      <c r="E6842" s="1077"/>
      <c r="F6842" s="1077"/>
      <c r="G6842" s="1077"/>
      <c r="H6842" s="1077"/>
      <c r="I6842" s="1077"/>
      <c r="J6842" s="1077"/>
      <c r="K6842" s="1077"/>
      <c r="L6842" s="1077"/>
      <c r="M6842" s="1077"/>
    </row>
    <row r="6843" spans="5:13">
      <c r="E6843" s="1077"/>
      <c r="F6843" s="1077"/>
      <c r="G6843" s="1077"/>
      <c r="H6843" s="1077"/>
      <c r="I6843" s="1077"/>
      <c r="J6843" s="1077"/>
      <c r="K6843" s="1077"/>
      <c r="L6843" s="1077"/>
      <c r="M6843" s="1077"/>
    </row>
    <row r="6844" spans="5:13">
      <c r="E6844" s="1077"/>
      <c r="F6844" s="1077"/>
      <c r="G6844" s="1077"/>
      <c r="H6844" s="1077"/>
      <c r="I6844" s="1077"/>
      <c r="J6844" s="1077"/>
      <c r="K6844" s="1077"/>
      <c r="L6844" s="1077"/>
      <c r="M6844" s="1077"/>
    </row>
    <row r="6845" spans="5:13">
      <c r="E6845" s="1077"/>
      <c r="F6845" s="1077"/>
      <c r="G6845" s="1077"/>
      <c r="H6845" s="1077"/>
      <c r="I6845" s="1077"/>
      <c r="J6845" s="1077"/>
      <c r="K6845" s="1077"/>
      <c r="L6845" s="1077"/>
      <c r="M6845" s="1077"/>
    </row>
    <row r="6846" spans="5:13">
      <c r="E6846" s="1077"/>
      <c r="F6846" s="1077"/>
      <c r="G6846" s="1077"/>
      <c r="H6846" s="1077"/>
      <c r="I6846" s="1077"/>
      <c r="J6846" s="1077"/>
      <c r="K6846" s="1077"/>
      <c r="L6846" s="1077"/>
      <c r="M6846" s="1077"/>
    </row>
    <row r="6847" spans="5:13">
      <c r="E6847" s="1077"/>
      <c r="F6847" s="1077"/>
      <c r="G6847" s="1077"/>
      <c r="H6847" s="1077"/>
      <c r="I6847" s="1077"/>
      <c r="J6847" s="1077"/>
      <c r="K6847" s="1077"/>
      <c r="L6847" s="1077"/>
      <c r="M6847" s="1077"/>
    </row>
    <row r="6848" spans="5:13">
      <c r="E6848" s="1077"/>
      <c r="F6848" s="1077"/>
      <c r="G6848" s="1077"/>
      <c r="H6848" s="1077"/>
      <c r="I6848" s="1077"/>
      <c r="J6848" s="1077"/>
      <c r="K6848" s="1077"/>
      <c r="L6848" s="1077"/>
      <c r="M6848" s="1077"/>
    </row>
    <row r="6849" spans="5:13">
      <c r="E6849" s="1077"/>
      <c r="F6849" s="1077"/>
      <c r="G6849" s="1077"/>
      <c r="H6849" s="1077"/>
      <c r="I6849" s="1077"/>
      <c r="J6849" s="1077"/>
      <c r="K6849" s="1077"/>
      <c r="L6849" s="1077"/>
      <c r="M6849" s="1077"/>
    </row>
    <row r="6850" spans="5:13">
      <c r="E6850" s="1077"/>
      <c r="F6850" s="1077"/>
      <c r="G6850" s="1077"/>
      <c r="H6850" s="1077"/>
      <c r="I6850" s="1077"/>
      <c r="J6850" s="1077"/>
      <c r="K6850" s="1077"/>
      <c r="L6850" s="1077"/>
      <c r="M6850" s="1077"/>
    </row>
    <row r="6851" spans="5:13">
      <c r="E6851" s="1077"/>
      <c r="F6851" s="1077"/>
      <c r="G6851" s="1077"/>
      <c r="H6851" s="1077"/>
      <c r="I6851" s="1077"/>
      <c r="J6851" s="1077"/>
      <c r="K6851" s="1077"/>
      <c r="L6851" s="1077"/>
      <c r="M6851" s="1077"/>
    </row>
    <row r="6852" spans="5:13">
      <c r="E6852" s="1077"/>
      <c r="F6852" s="1077"/>
      <c r="G6852" s="1077"/>
      <c r="H6852" s="1077"/>
      <c r="I6852" s="1077"/>
      <c r="J6852" s="1077"/>
      <c r="K6852" s="1077"/>
      <c r="L6852" s="1077"/>
      <c r="M6852" s="1077"/>
    </row>
    <row r="6853" spans="5:13">
      <c r="E6853" s="1077"/>
      <c r="F6853" s="1077"/>
      <c r="G6853" s="1077"/>
      <c r="H6853" s="1077"/>
      <c r="I6853" s="1077"/>
      <c r="J6853" s="1077"/>
      <c r="K6853" s="1077"/>
      <c r="L6853" s="1077"/>
      <c r="M6853" s="1077"/>
    </row>
    <row r="6854" spans="5:13">
      <c r="E6854" s="1077"/>
      <c r="F6854" s="1077"/>
      <c r="G6854" s="1077"/>
      <c r="H6854" s="1077"/>
      <c r="I6854" s="1077"/>
      <c r="J6854" s="1077"/>
      <c r="K6854" s="1077"/>
      <c r="L6854" s="1077"/>
      <c r="M6854" s="1077"/>
    </row>
    <row r="6855" spans="5:13">
      <c r="E6855" s="1077"/>
      <c r="F6855" s="1077"/>
      <c r="G6855" s="1077"/>
      <c r="H6855" s="1077"/>
      <c r="I6855" s="1077"/>
      <c r="J6855" s="1077"/>
      <c r="K6855" s="1077"/>
      <c r="L6855" s="1077"/>
      <c r="M6855" s="1077"/>
    </row>
    <row r="6856" spans="5:13">
      <c r="E6856" s="1077"/>
      <c r="F6856" s="1077"/>
      <c r="G6856" s="1077"/>
      <c r="H6856" s="1077"/>
      <c r="I6856" s="1077"/>
      <c r="J6856" s="1077"/>
      <c r="K6856" s="1077"/>
      <c r="L6856" s="1077"/>
      <c r="M6856" s="1077"/>
    </row>
    <row r="6857" spans="5:13">
      <c r="E6857" s="1077"/>
      <c r="F6857" s="1077"/>
      <c r="G6857" s="1077"/>
      <c r="H6857" s="1077"/>
      <c r="I6857" s="1077"/>
      <c r="J6857" s="1077"/>
      <c r="K6857" s="1077"/>
      <c r="L6857" s="1077"/>
      <c r="M6857" s="1077"/>
    </row>
    <row r="6858" spans="5:13">
      <c r="E6858" s="1077"/>
      <c r="F6858" s="1077"/>
      <c r="G6858" s="1077"/>
      <c r="H6858" s="1077"/>
      <c r="I6858" s="1077"/>
      <c r="J6858" s="1077"/>
      <c r="K6858" s="1077"/>
      <c r="L6858" s="1077"/>
      <c r="M6858" s="1077"/>
    </row>
    <row r="6859" spans="5:13">
      <c r="E6859" s="1077"/>
      <c r="F6859" s="1077"/>
      <c r="G6859" s="1077"/>
      <c r="H6859" s="1077"/>
      <c r="I6859" s="1077"/>
      <c r="J6859" s="1077"/>
      <c r="K6859" s="1077"/>
      <c r="L6859" s="1077"/>
      <c r="M6859" s="1077"/>
    </row>
    <row r="6860" spans="5:13">
      <c r="E6860" s="1077"/>
      <c r="F6860" s="1077"/>
      <c r="G6860" s="1077"/>
      <c r="H6860" s="1077"/>
      <c r="I6860" s="1077"/>
      <c r="J6860" s="1077"/>
      <c r="K6860" s="1077"/>
      <c r="L6860" s="1077"/>
      <c r="M6860" s="1077"/>
    </row>
    <row r="6861" spans="5:13">
      <c r="E6861" s="1077"/>
      <c r="F6861" s="1077"/>
      <c r="G6861" s="1077"/>
      <c r="H6861" s="1077"/>
      <c r="I6861" s="1077"/>
      <c r="J6861" s="1077"/>
      <c r="K6861" s="1077"/>
      <c r="L6861" s="1077"/>
      <c r="M6861" s="1077"/>
    </row>
    <row r="6862" spans="5:13">
      <c r="E6862" s="1077"/>
      <c r="F6862" s="1077"/>
      <c r="G6862" s="1077"/>
      <c r="H6862" s="1077"/>
      <c r="I6862" s="1077"/>
      <c r="J6862" s="1077"/>
      <c r="K6862" s="1077"/>
      <c r="L6862" s="1077"/>
      <c r="M6862" s="1077"/>
    </row>
    <row r="6863" spans="5:13">
      <c r="E6863" s="1077"/>
      <c r="F6863" s="1077"/>
      <c r="G6863" s="1077"/>
      <c r="H6863" s="1077"/>
      <c r="I6863" s="1077"/>
      <c r="J6863" s="1077"/>
      <c r="K6863" s="1077"/>
      <c r="L6863" s="1077"/>
      <c r="M6863" s="1077"/>
    </row>
    <row r="6864" spans="5:13">
      <c r="E6864" s="1077"/>
      <c r="F6864" s="1077"/>
      <c r="G6864" s="1077"/>
      <c r="H6864" s="1077"/>
      <c r="I6864" s="1077"/>
      <c r="J6864" s="1077"/>
      <c r="K6864" s="1077"/>
      <c r="L6864" s="1077"/>
      <c r="M6864" s="1077"/>
    </row>
    <row r="6865" spans="5:13">
      <c r="E6865" s="1077"/>
      <c r="F6865" s="1077"/>
      <c r="G6865" s="1077"/>
      <c r="H6865" s="1077"/>
      <c r="I6865" s="1077"/>
      <c r="J6865" s="1077"/>
      <c r="K6865" s="1077"/>
      <c r="L6865" s="1077"/>
      <c r="M6865" s="1077"/>
    </row>
    <row r="6866" spans="5:13">
      <c r="E6866" s="1077"/>
      <c r="F6866" s="1077"/>
      <c r="G6866" s="1077"/>
      <c r="H6866" s="1077"/>
      <c r="I6866" s="1077"/>
      <c r="J6866" s="1077"/>
      <c r="K6866" s="1077"/>
      <c r="L6866" s="1077"/>
      <c r="M6866" s="1077"/>
    </row>
    <row r="6867" spans="5:13">
      <c r="E6867" s="1077"/>
      <c r="F6867" s="1077"/>
      <c r="G6867" s="1077"/>
      <c r="H6867" s="1077"/>
      <c r="I6867" s="1077"/>
      <c r="J6867" s="1077"/>
      <c r="K6867" s="1077"/>
      <c r="L6867" s="1077"/>
      <c r="M6867" s="1077"/>
    </row>
    <row r="6868" spans="5:13">
      <c r="E6868" s="1077"/>
      <c r="F6868" s="1077"/>
      <c r="G6868" s="1077"/>
      <c r="H6868" s="1077"/>
      <c r="I6868" s="1077"/>
      <c r="J6868" s="1077"/>
      <c r="K6868" s="1077"/>
      <c r="L6868" s="1077"/>
      <c r="M6868" s="1077"/>
    </row>
    <row r="6869" spans="5:13">
      <c r="E6869" s="1077"/>
      <c r="F6869" s="1077"/>
      <c r="G6869" s="1077"/>
      <c r="H6869" s="1077"/>
      <c r="I6869" s="1077"/>
      <c r="J6869" s="1077"/>
      <c r="K6869" s="1077"/>
      <c r="L6869" s="1077"/>
      <c r="M6869" s="1077"/>
    </row>
    <row r="6870" spans="5:13">
      <c r="E6870" s="1077"/>
      <c r="F6870" s="1077"/>
      <c r="G6870" s="1077"/>
      <c r="H6870" s="1077"/>
      <c r="I6870" s="1077"/>
      <c r="J6870" s="1077"/>
      <c r="K6870" s="1077"/>
      <c r="L6870" s="1077"/>
      <c r="M6870" s="1077"/>
    </row>
    <row r="6871" spans="5:13">
      <c r="E6871" s="1077"/>
      <c r="F6871" s="1077"/>
      <c r="G6871" s="1077"/>
      <c r="H6871" s="1077"/>
      <c r="I6871" s="1077"/>
      <c r="J6871" s="1077"/>
      <c r="K6871" s="1077"/>
      <c r="L6871" s="1077"/>
      <c r="M6871" s="1077"/>
    </row>
    <row r="6872" spans="5:13">
      <c r="E6872" s="1077"/>
      <c r="F6872" s="1077"/>
      <c r="G6872" s="1077"/>
      <c r="H6872" s="1077"/>
      <c r="I6872" s="1077"/>
      <c r="J6872" s="1077"/>
      <c r="K6872" s="1077"/>
      <c r="L6872" s="1077"/>
      <c r="M6872" s="1077"/>
    </row>
    <row r="6873" spans="5:13">
      <c r="E6873" s="1077"/>
      <c r="F6873" s="1077"/>
      <c r="G6873" s="1077"/>
      <c r="H6873" s="1077"/>
      <c r="I6873" s="1077"/>
      <c r="J6873" s="1077"/>
      <c r="K6873" s="1077"/>
      <c r="L6873" s="1077"/>
      <c r="M6873" s="1077"/>
    </row>
    <row r="6874" spans="5:13">
      <c r="E6874" s="1077"/>
      <c r="F6874" s="1077"/>
      <c r="G6874" s="1077"/>
      <c r="H6874" s="1077"/>
      <c r="I6874" s="1077"/>
      <c r="J6874" s="1077"/>
      <c r="K6874" s="1077"/>
      <c r="L6874" s="1077"/>
      <c r="M6874" s="1077"/>
    </row>
    <row r="6875" spans="5:13">
      <c r="E6875" s="1077"/>
      <c r="F6875" s="1077"/>
      <c r="G6875" s="1077"/>
      <c r="H6875" s="1077"/>
      <c r="I6875" s="1077"/>
      <c r="J6875" s="1077"/>
      <c r="K6875" s="1077"/>
      <c r="L6875" s="1077"/>
      <c r="M6875" s="1077"/>
    </row>
    <row r="6876" spans="5:13">
      <c r="E6876" s="1077"/>
      <c r="F6876" s="1077"/>
      <c r="G6876" s="1077"/>
      <c r="H6876" s="1077"/>
      <c r="I6876" s="1077"/>
      <c r="J6876" s="1077"/>
      <c r="K6876" s="1077"/>
      <c r="L6876" s="1077"/>
      <c r="M6876" s="1077"/>
    </row>
    <row r="6877" spans="5:13">
      <c r="E6877" s="1077"/>
      <c r="F6877" s="1077"/>
      <c r="G6877" s="1077"/>
      <c r="H6877" s="1077"/>
      <c r="I6877" s="1077"/>
      <c r="J6877" s="1077"/>
      <c r="K6877" s="1077"/>
      <c r="L6877" s="1077"/>
      <c r="M6877" s="1077"/>
    </row>
    <row r="6878" spans="5:13">
      <c r="E6878" s="1077"/>
      <c r="F6878" s="1077"/>
      <c r="G6878" s="1077"/>
      <c r="H6878" s="1077"/>
      <c r="I6878" s="1077"/>
      <c r="J6878" s="1077"/>
      <c r="K6878" s="1077"/>
      <c r="L6878" s="1077"/>
      <c r="M6878" s="1077"/>
    </row>
    <row r="6879" spans="5:13">
      <c r="E6879" s="1077"/>
      <c r="F6879" s="1077"/>
      <c r="G6879" s="1077"/>
      <c r="H6879" s="1077"/>
      <c r="I6879" s="1077"/>
      <c r="J6879" s="1077"/>
      <c r="K6879" s="1077"/>
      <c r="L6879" s="1077"/>
      <c r="M6879" s="1077"/>
    </row>
    <row r="6880" spans="5:13">
      <c r="E6880" s="1077"/>
      <c r="F6880" s="1077"/>
      <c r="G6880" s="1077"/>
      <c r="H6880" s="1077"/>
      <c r="I6880" s="1077"/>
      <c r="J6880" s="1077"/>
      <c r="K6880" s="1077"/>
      <c r="L6880" s="1077"/>
      <c r="M6880" s="1077"/>
    </row>
    <row r="6881" spans="5:13">
      <c r="E6881" s="1077"/>
      <c r="F6881" s="1077"/>
      <c r="G6881" s="1077"/>
      <c r="H6881" s="1077"/>
      <c r="I6881" s="1077"/>
      <c r="J6881" s="1077"/>
      <c r="K6881" s="1077"/>
      <c r="L6881" s="1077"/>
      <c r="M6881" s="1077"/>
    </row>
    <row r="6882" spans="5:13">
      <c r="E6882" s="1077"/>
      <c r="F6882" s="1077"/>
      <c r="G6882" s="1077"/>
      <c r="H6882" s="1077"/>
      <c r="I6882" s="1077"/>
      <c r="J6882" s="1077"/>
      <c r="K6882" s="1077"/>
      <c r="L6882" s="1077"/>
      <c r="M6882" s="1077"/>
    </row>
    <row r="6883" spans="5:13">
      <c r="E6883" s="1077"/>
      <c r="F6883" s="1077"/>
      <c r="G6883" s="1077"/>
      <c r="H6883" s="1077"/>
      <c r="I6883" s="1077"/>
      <c r="J6883" s="1077"/>
      <c r="K6883" s="1077"/>
      <c r="L6883" s="1077"/>
      <c r="M6883" s="1077"/>
    </row>
    <row r="6884" spans="5:13">
      <c r="E6884" s="1077"/>
      <c r="F6884" s="1077"/>
      <c r="G6884" s="1077"/>
      <c r="H6884" s="1077"/>
      <c r="I6884" s="1077"/>
      <c r="J6884" s="1077"/>
      <c r="K6884" s="1077"/>
      <c r="L6884" s="1077"/>
      <c r="M6884" s="1077"/>
    </row>
    <row r="6885" spans="5:13">
      <c r="E6885" s="1077"/>
      <c r="F6885" s="1077"/>
      <c r="G6885" s="1077"/>
      <c r="H6885" s="1077"/>
      <c r="I6885" s="1077"/>
      <c r="J6885" s="1077"/>
      <c r="K6885" s="1077"/>
      <c r="L6885" s="1077"/>
      <c r="M6885" s="1077"/>
    </row>
    <row r="6886" spans="5:13">
      <c r="E6886" s="1077"/>
      <c r="F6886" s="1077"/>
      <c r="G6886" s="1077"/>
      <c r="H6886" s="1077"/>
      <c r="I6886" s="1077"/>
      <c r="J6886" s="1077"/>
      <c r="K6886" s="1077"/>
      <c r="L6886" s="1077"/>
      <c r="M6886" s="1077"/>
    </row>
    <row r="6887" spans="5:13">
      <c r="E6887" s="1077"/>
      <c r="F6887" s="1077"/>
      <c r="G6887" s="1077"/>
      <c r="H6887" s="1077"/>
      <c r="I6887" s="1077"/>
      <c r="J6887" s="1077"/>
      <c r="K6887" s="1077"/>
      <c r="L6887" s="1077"/>
      <c r="M6887" s="1077"/>
    </row>
    <row r="6888" spans="5:13">
      <c r="E6888" s="1077"/>
      <c r="F6888" s="1077"/>
      <c r="G6888" s="1077"/>
      <c r="H6888" s="1077"/>
      <c r="I6888" s="1077"/>
      <c r="J6888" s="1077"/>
      <c r="K6888" s="1077"/>
      <c r="L6888" s="1077"/>
      <c r="M6888" s="1077"/>
    </row>
    <row r="6889" spans="5:13">
      <c r="E6889" s="1077"/>
      <c r="F6889" s="1077"/>
      <c r="G6889" s="1077"/>
      <c r="H6889" s="1077"/>
      <c r="I6889" s="1077"/>
      <c r="J6889" s="1077"/>
      <c r="K6889" s="1077"/>
      <c r="L6889" s="1077"/>
      <c r="M6889" s="1077"/>
    </row>
    <row r="6890" spans="5:13">
      <c r="E6890" s="1077"/>
      <c r="F6890" s="1077"/>
      <c r="G6890" s="1077"/>
      <c r="H6890" s="1077"/>
      <c r="I6890" s="1077"/>
      <c r="J6890" s="1077"/>
      <c r="K6890" s="1077"/>
      <c r="L6890" s="1077"/>
      <c r="M6890" s="1077"/>
    </row>
    <row r="6891" spans="5:13">
      <c r="E6891" s="1077"/>
      <c r="F6891" s="1077"/>
      <c r="G6891" s="1077"/>
      <c r="H6891" s="1077"/>
      <c r="I6891" s="1077"/>
      <c r="J6891" s="1077"/>
      <c r="K6891" s="1077"/>
      <c r="L6891" s="1077"/>
      <c r="M6891" s="1077"/>
    </row>
    <row r="6892" spans="5:13">
      <c r="E6892" s="1077"/>
      <c r="F6892" s="1077"/>
      <c r="G6892" s="1077"/>
      <c r="H6892" s="1077"/>
      <c r="I6892" s="1077"/>
      <c r="J6892" s="1077"/>
      <c r="K6892" s="1077"/>
      <c r="L6892" s="1077"/>
      <c r="M6892" s="1077"/>
    </row>
    <row r="6893" spans="5:13">
      <c r="E6893" s="1077"/>
      <c r="F6893" s="1077"/>
      <c r="G6893" s="1077"/>
      <c r="H6893" s="1077"/>
      <c r="I6893" s="1077"/>
      <c r="J6893" s="1077"/>
      <c r="K6893" s="1077"/>
      <c r="L6893" s="1077"/>
      <c r="M6893" s="1077"/>
    </row>
    <row r="6894" spans="5:13">
      <c r="E6894" s="1077"/>
      <c r="F6894" s="1077"/>
      <c r="G6894" s="1077"/>
      <c r="H6894" s="1077"/>
      <c r="I6894" s="1077"/>
      <c r="J6894" s="1077"/>
      <c r="K6894" s="1077"/>
      <c r="L6894" s="1077"/>
      <c r="M6894" s="1077"/>
    </row>
    <row r="6895" spans="5:13">
      <c r="E6895" s="1077"/>
      <c r="F6895" s="1077"/>
      <c r="G6895" s="1077"/>
      <c r="H6895" s="1077"/>
      <c r="I6895" s="1077"/>
      <c r="J6895" s="1077"/>
      <c r="K6895" s="1077"/>
      <c r="L6895" s="1077"/>
      <c r="M6895" s="1077"/>
    </row>
    <row r="6896" spans="5:13">
      <c r="E6896" s="1077"/>
      <c r="F6896" s="1077"/>
      <c r="G6896" s="1077"/>
      <c r="H6896" s="1077"/>
      <c r="I6896" s="1077"/>
      <c r="J6896" s="1077"/>
      <c r="K6896" s="1077"/>
      <c r="L6896" s="1077"/>
      <c r="M6896" s="1077"/>
    </row>
    <row r="6897" spans="5:13">
      <c r="E6897" s="1077"/>
      <c r="F6897" s="1077"/>
      <c r="G6897" s="1077"/>
      <c r="H6897" s="1077"/>
      <c r="I6897" s="1077"/>
      <c r="J6897" s="1077"/>
      <c r="K6897" s="1077"/>
      <c r="L6897" s="1077"/>
      <c r="M6897" s="1077"/>
    </row>
    <row r="6898" spans="5:13">
      <c r="E6898" s="1077"/>
      <c r="F6898" s="1077"/>
      <c r="G6898" s="1077"/>
      <c r="H6898" s="1077"/>
      <c r="I6898" s="1077"/>
      <c r="J6898" s="1077"/>
      <c r="K6898" s="1077"/>
      <c r="L6898" s="1077"/>
      <c r="M6898" s="1077"/>
    </row>
    <row r="6899" spans="5:13">
      <c r="E6899" s="1077"/>
      <c r="F6899" s="1077"/>
      <c r="G6899" s="1077"/>
      <c r="H6899" s="1077"/>
      <c r="I6899" s="1077"/>
      <c r="J6899" s="1077"/>
      <c r="K6899" s="1077"/>
      <c r="L6899" s="1077"/>
      <c r="M6899" s="1077"/>
    </row>
    <row r="6900" spans="5:13">
      <c r="E6900" s="1077"/>
      <c r="F6900" s="1077"/>
      <c r="G6900" s="1077"/>
      <c r="H6900" s="1077"/>
      <c r="I6900" s="1077"/>
      <c r="J6900" s="1077"/>
      <c r="K6900" s="1077"/>
      <c r="L6900" s="1077"/>
      <c r="M6900" s="1077"/>
    </row>
    <row r="6901" spans="5:13">
      <c r="E6901" s="1077"/>
      <c r="F6901" s="1077"/>
      <c r="G6901" s="1077"/>
      <c r="H6901" s="1077"/>
      <c r="I6901" s="1077"/>
      <c r="J6901" s="1077"/>
      <c r="K6901" s="1077"/>
      <c r="L6901" s="1077"/>
      <c r="M6901" s="1077"/>
    </row>
    <row r="6902" spans="5:13">
      <c r="E6902" s="1077"/>
      <c r="F6902" s="1077"/>
      <c r="G6902" s="1077"/>
      <c r="H6902" s="1077"/>
      <c r="I6902" s="1077"/>
      <c r="J6902" s="1077"/>
      <c r="K6902" s="1077"/>
      <c r="L6902" s="1077"/>
      <c r="M6902" s="1077"/>
    </row>
    <row r="6903" spans="5:13">
      <c r="E6903" s="1077"/>
      <c r="F6903" s="1077"/>
      <c r="G6903" s="1077"/>
      <c r="H6903" s="1077"/>
      <c r="I6903" s="1077"/>
      <c r="J6903" s="1077"/>
      <c r="K6903" s="1077"/>
      <c r="L6903" s="1077"/>
      <c r="M6903" s="1077"/>
    </row>
    <row r="6904" spans="5:13">
      <c r="E6904" s="1077"/>
      <c r="F6904" s="1077"/>
      <c r="G6904" s="1077"/>
      <c r="H6904" s="1077"/>
      <c r="I6904" s="1077"/>
      <c r="J6904" s="1077"/>
      <c r="K6904" s="1077"/>
      <c r="L6904" s="1077"/>
      <c r="M6904" s="1077"/>
    </row>
    <row r="6905" spans="5:13">
      <c r="E6905" s="1077"/>
      <c r="F6905" s="1077"/>
      <c r="G6905" s="1077"/>
      <c r="H6905" s="1077"/>
      <c r="I6905" s="1077"/>
      <c r="J6905" s="1077"/>
      <c r="K6905" s="1077"/>
      <c r="L6905" s="1077"/>
      <c r="M6905" s="1077"/>
    </row>
    <row r="6906" spans="5:13">
      <c r="E6906" s="1077"/>
      <c r="F6906" s="1077"/>
      <c r="G6906" s="1077"/>
      <c r="H6906" s="1077"/>
      <c r="I6906" s="1077"/>
      <c r="J6906" s="1077"/>
      <c r="K6906" s="1077"/>
      <c r="L6906" s="1077"/>
      <c r="M6906" s="1077"/>
    </row>
    <row r="6907" spans="5:13">
      <c r="E6907" s="1077"/>
      <c r="F6907" s="1077"/>
      <c r="G6907" s="1077"/>
      <c r="H6907" s="1077"/>
      <c r="I6907" s="1077"/>
      <c r="J6907" s="1077"/>
      <c r="K6907" s="1077"/>
      <c r="L6907" s="1077"/>
      <c r="M6907" s="1077"/>
    </row>
    <row r="6908" spans="5:13">
      <c r="E6908" s="1077"/>
      <c r="F6908" s="1077"/>
      <c r="G6908" s="1077"/>
      <c r="H6908" s="1077"/>
      <c r="I6908" s="1077"/>
      <c r="J6908" s="1077"/>
      <c r="K6908" s="1077"/>
      <c r="L6908" s="1077"/>
      <c r="M6908" s="1077"/>
    </row>
    <row r="6909" spans="5:13">
      <c r="E6909" s="1077"/>
      <c r="F6909" s="1077"/>
      <c r="G6909" s="1077"/>
      <c r="H6909" s="1077"/>
      <c r="I6909" s="1077"/>
      <c r="J6909" s="1077"/>
      <c r="K6909" s="1077"/>
      <c r="L6909" s="1077"/>
      <c r="M6909" s="1077"/>
    </row>
    <row r="6910" spans="5:13">
      <c r="E6910" s="1077"/>
      <c r="F6910" s="1077"/>
      <c r="G6910" s="1077"/>
      <c r="H6910" s="1077"/>
      <c r="I6910" s="1077"/>
      <c r="J6910" s="1077"/>
      <c r="K6910" s="1077"/>
      <c r="L6910" s="1077"/>
      <c r="M6910" s="1077"/>
    </row>
    <row r="6911" spans="5:13">
      <c r="E6911" s="1077"/>
      <c r="F6911" s="1077"/>
      <c r="G6911" s="1077"/>
      <c r="H6911" s="1077"/>
      <c r="I6911" s="1077"/>
      <c r="J6911" s="1077"/>
      <c r="K6911" s="1077"/>
      <c r="L6911" s="1077"/>
      <c r="M6911" s="1077"/>
    </row>
    <row r="6912" spans="5:13">
      <c r="E6912" s="1077"/>
      <c r="F6912" s="1077"/>
      <c r="G6912" s="1077"/>
      <c r="H6912" s="1077"/>
      <c r="I6912" s="1077"/>
      <c r="J6912" s="1077"/>
      <c r="K6912" s="1077"/>
      <c r="L6912" s="1077"/>
      <c r="M6912" s="1077"/>
    </row>
    <row r="6913" spans="5:13">
      <c r="E6913" s="1077"/>
      <c r="F6913" s="1077"/>
      <c r="G6913" s="1077"/>
      <c r="H6913" s="1077"/>
      <c r="I6913" s="1077"/>
      <c r="J6913" s="1077"/>
      <c r="K6913" s="1077"/>
      <c r="L6913" s="1077"/>
      <c r="M6913" s="1077"/>
    </row>
    <row r="6914" spans="5:13">
      <c r="E6914" s="1077"/>
      <c r="F6914" s="1077"/>
      <c r="G6914" s="1077"/>
      <c r="H6914" s="1077"/>
      <c r="I6914" s="1077"/>
      <c r="J6914" s="1077"/>
      <c r="K6914" s="1077"/>
      <c r="L6914" s="1077"/>
      <c r="M6914" s="1077"/>
    </row>
    <row r="6915" spans="5:13">
      <c r="E6915" s="1077"/>
      <c r="F6915" s="1077"/>
      <c r="G6915" s="1077"/>
      <c r="H6915" s="1077"/>
      <c r="I6915" s="1077"/>
      <c r="J6915" s="1077"/>
      <c r="K6915" s="1077"/>
      <c r="L6915" s="1077"/>
      <c r="M6915" s="1077"/>
    </row>
    <row r="6916" spans="5:13">
      <c r="E6916" s="1077"/>
      <c r="F6916" s="1077"/>
      <c r="G6916" s="1077"/>
      <c r="H6916" s="1077"/>
      <c r="I6916" s="1077"/>
      <c r="J6916" s="1077"/>
      <c r="K6916" s="1077"/>
      <c r="L6916" s="1077"/>
      <c r="M6916" s="1077"/>
    </row>
    <row r="6917" spans="5:13">
      <c r="E6917" s="1077"/>
      <c r="F6917" s="1077"/>
      <c r="G6917" s="1077"/>
      <c r="H6917" s="1077"/>
      <c r="I6917" s="1077"/>
      <c r="J6917" s="1077"/>
      <c r="K6917" s="1077"/>
      <c r="L6917" s="1077"/>
      <c r="M6917" s="1077"/>
    </row>
    <row r="6918" spans="5:13">
      <c r="E6918" s="1077"/>
      <c r="F6918" s="1077"/>
      <c r="G6918" s="1077"/>
      <c r="H6918" s="1077"/>
      <c r="I6918" s="1077"/>
      <c r="J6918" s="1077"/>
      <c r="K6918" s="1077"/>
      <c r="L6918" s="1077"/>
      <c r="M6918" s="1077"/>
    </row>
    <row r="6919" spans="5:13">
      <c r="E6919" s="1077"/>
      <c r="F6919" s="1077"/>
      <c r="G6919" s="1077"/>
      <c r="H6919" s="1077"/>
      <c r="I6919" s="1077"/>
      <c r="J6919" s="1077"/>
      <c r="K6919" s="1077"/>
      <c r="L6919" s="1077"/>
      <c r="M6919" s="1077"/>
    </row>
    <row r="6920" spans="5:13">
      <c r="E6920" s="1077"/>
      <c r="F6920" s="1077"/>
      <c r="G6920" s="1077"/>
      <c r="H6920" s="1077"/>
      <c r="I6920" s="1077"/>
      <c r="J6920" s="1077"/>
      <c r="K6920" s="1077"/>
      <c r="L6920" s="1077"/>
      <c r="M6920" s="1077"/>
    </row>
    <row r="6921" spans="5:13">
      <c r="E6921" s="1077"/>
      <c r="F6921" s="1077"/>
      <c r="G6921" s="1077"/>
      <c r="H6921" s="1077"/>
      <c r="I6921" s="1077"/>
      <c r="J6921" s="1077"/>
      <c r="K6921" s="1077"/>
      <c r="L6921" s="1077"/>
      <c r="M6921" s="1077"/>
    </row>
    <row r="6922" spans="5:13">
      <c r="E6922" s="1077"/>
      <c r="F6922" s="1077"/>
      <c r="G6922" s="1077"/>
      <c r="H6922" s="1077"/>
      <c r="I6922" s="1077"/>
      <c r="J6922" s="1077"/>
      <c r="K6922" s="1077"/>
      <c r="L6922" s="1077"/>
      <c r="M6922" s="1077"/>
    </row>
    <row r="6923" spans="5:13">
      <c r="E6923" s="1077"/>
      <c r="F6923" s="1077"/>
      <c r="G6923" s="1077"/>
      <c r="H6923" s="1077"/>
      <c r="I6923" s="1077"/>
      <c r="J6923" s="1077"/>
      <c r="K6923" s="1077"/>
      <c r="L6923" s="1077"/>
      <c r="M6923" s="1077"/>
    </row>
    <row r="6924" spans="5:13">
      <c r="E6924" s="1077"/>
      <c r="F6924" s="1077"/>
      <c r="G6924" s="1077"/>
      <c r="H6924" s="1077"/>
      <c r="I6924" s="1077"/>
      <c r="J6924" s="1077"/>
      <c r="K6924" s="1077"/>
      <c r="L6924" s="1077"/>
      <c r="M6924" s="1077"/>
    </row>
    <row r="6925" spans="5:13">
      <c r="E6925" s="1077"/>
      <c r="F6925" s="1077"/>
      <c r="G6925" s="1077"/>
      <c r="H6925" s="1077"/>
      <c r="I6925" s="1077"/>
      <c r="J6925" s="1077"/>
      <c r="K6925" s="1077"/>
      <c r="L6925" s="1077"/>
      <c r="M6925" s="1077"/>
    </row>
    <row r="6926" spans="5:13">
      <c r="E6926" s="1077"/>
      <c r="F6926" s="1077"/>
      <c r="G6926" s="1077"/>
      <c r="H6926" s="1077"/>
      <c r="I6926" s="1077"/>
      <c r="J6926" s="1077"/>
      <c r="K6926" s="1077"/>
      <c r="L6926" s="1077"/>
      <c r="M6926" s="1077"/>
    </row>
    <row r="6927" spans="5:13">
      <c r="E6927" s="1077"/>
      <c r="F6927" s="1077"/>
      <c r="G6927" s="1077"/>
      <c r="H6927" s="1077"/>
      <c r="I6927" s="1077"/>
      <c r="J6927" s="1077"/>
      <c r="K6927" s="1077"/>
      <c r="L6927" s="1077"/>
      <c r="M6927" s="1077"/>
    </row>
    <row r="6928" spans="5:13">
      <c r="E6928" s="1077"/>
      <c r="F6928" s="1077"/>
      <c r="G6928" s="1077"/>
      <c r="H6928" s="1077"/>
      <c r="I6928" s="1077"/>
      <c r="J6928" s="1077"/>
      <c r="K6928" s="1077"/>
      <c r="L6928" s="1077"/>
      <c r="M6928" s="1077"/>
    </row>
    <row r="6929" spans="5:13">
      <c r="E6929" s="1077"/>
      <c r="F6929" s="1077"/>
      <c r="G6929" s="1077"/>
      <c r="H6929" s="1077"/>
      <c r="I6929" s="1077"/>
      <c r="J6929" s="1077"/>
      <c r="K6929" s="1077"/>
      <c r="L6929" s="1077"/>
      <c r="M6929" s="1077"/>
    </row>
    <row r="6930" spans="5:13">
      <c r="E6930" s="1077"/>
      <c r="F6930" s="1077"/>
      <c r="G6930" s="1077"/>
      <c r="H6930" s="1077"/>
      <c r="I6930" s="1077"/>
      <c r="J6930" s="1077"/>
      <c r="K6930" s="1077"/>
      <c r="L6930" s="1077"/>
      <c r="M6930" s="1077"/>
    </row>
    <row r="6931" spans="5:13">
      <c r="E6931" s="1077"/>
      <c r="F6931" s="1077"/>
      <c r="G6931" s="1077"/>
      <c r="H6931" s="1077"/>
      <c r="I6931" s="1077"/>
      <c r="J6931" s="1077"/>
      <c r="K6931" s="1077"/>
      <c r="L6931" s="1077"/>
      <c r="M6931" s="1077"/>
    </row>
    <row r="6932" spans="5:13">
      <c r="E6932" s="1077"/>
      <c r="F6932" s="1077"/>
      <c r="G6932" s="1077"/>
      <c r="H6932" s="1077"/>
      <c r="I6932" s="1077"/>
      <c r="J6932" s="1077"/>
      <c r="K6932" s="1077"/>
      <c r="L6932" s="1077"/>
      <c r="M6932" s="1077"/>
    </row>
    <row r="6933" spans="5:13">
      <c r="E6933" s="1077"/>
      <c r="F6933" s="1077"/>
      <c r="G6933" s="1077"/>
      <c r="H6933" s="1077"/>
      <c r="I6933" s="1077"/>
      <c r="J6933" s="1077"/>
      <c r="K6933" s="1077"/>
      <c r="L6933" s="1077"/>
      <c r="M6933" s="1077"/>
    </row>
    <row r="6934" spans="5:13">
      <c r="E6934" s="1077"/>
      <c r="F6934" s="1077"/>
      <c r="G6934" s="1077"/>
      <c r="H6934" s="1077"/>
      <c r="I6934" s="1077"/>
      <c r="J6934" s="1077"/>
      <c r="K6934" s="1077"/>
      <c r="L6934" s="1077"/>
      <c r="M6934" s="1077"/>
    </row>
    <row r="6935" spans="5:13">
      <c r="E6935" s="1077"/>
      <c r="F6935" s="1077"/>
      <c r="G6935" s="1077"/>
      <c r="H6935" s="1077"/>
      <c r="I6935" s="1077"/>
      <c r="J6935" s="1077"/>
      <c r="K6935" s="1077"/>
      <c r="L6935" s="1077"/>
      <c r="M6935" s="1077"/>
    </row>
    <row r="6936" spans="5:13">
      <c r="E6936" s="1077"/>
      <c r="F6936" s="1077"/>
      <c r="G6936" s="1077"/>
      <c r="H6936" s="1077"/>
      <c r="I6936" s="1077"/>
      <c r="J6936" s="1077"/>
      <c r="K6936" s="1077"/>
      <c r="L6936" s="1077"/>
      <c r="M6936" s="1077"/>
    </row>
    <row r="6937" spans="5:13">
      <c r="E6937" s="1077"/>
      <c r="F6937" s="1077"/>
      <c r="G6937" s="1077"/>
      <c r="H6937" s="1077"/>
      <c r="I6937" s="1077"/>
      <c r="J6937" s="1077"/>
      <c r="K6937" s="1077"/>
      <c r="L6937" s="1077"/>
      <c r="M6937" s="1077"/>
    </row>
    <row r="6938" spans="5:13">
      <c r="E6938" s="1077"/>
      <c r="F6938" s="1077"/>
      <c r="G6938" s="1077"/>
      <c r="H6938" s="1077"/>
      <c r="I6938" s="1077"/>
      <c r="J6938" s="1077"/>
      <c r="K6938" s="1077"/>
      <c r="L6938" s="1077"/>
      <c r="M6938" s="1077"/>
    </row>
    <row r="6939" spans="5:13">
      <c r="E6939" s="1077"/>
      <c r="F6939" s="1077"/>
      <c r="G6939" s="1077"/>
      <c r="H6939" s="1077"/>
      <c r="I6939" s="1077"/>
      <c r="J6939" s="1077"/>
      <c r="K6939" s="1077"/>
      <c r="L6939" s="1077"/>
      <c r="M6939" s="1077"/>
    </row>
    <row r="6940" spans="5:13">
      <c r="E6940" s="1077"/>
      <c r="F6940" s="1077"/>
      <c r="G6940" s="1077"/>
      <c r="H6940" s="1077"/>
      <c r="I6940" s="1077"/>
      <c r="J6940" s="1077"/>
      <c r="K6940" s="1077"/>
      <c r="L6940" s="1077"/>
      <c r="M6940" s="1077"/>
    </row>
    <row r="6941" spans="5:13">
      <c r="E6941" s="1077"/>
      <c r="F6941" s="1077"/>
      <c r="G6941" s="1077"/>
      <c r="H6941" s="1077"/>
      <c r="I6941" s="1077"/>
      <c r="J6941" s="1077"/>
      <c r="K6941" s="1077"/>
      <c r="L6941" s="1077"/>
      <c r="M6941" s="1077"/>
    </row>
    <row r="6942" spans="5:13">
      <c r="E6942" s="1077"/>
      <c r="F6942" s="1077"/>
      <c r="G6942" s="1077"/>
      <c r="H6942" s="1077"/>
      <c r="I6942" s="1077"/>
      <c r="J6942" s="1077"/>
      <c r="K6942" s="1077"/>
      <c r="L6942" s="1077"/>
      <c r="M6942" s="1077"/>
    </row>
    <row r="6943" spans="5:13">
      <c r="E6943" s="1077"/>
      <c r="F6943" s="1077"/>
      <c r="G6943" s="1077"/>
      <c r="H6943" s="1077"/>
      <c r="I6943" s="1077"/>
      <c r="J6943" s="1077"/>
      <c r="K6943" s="1077"/>
      <c r="L6943" s="1077"/>
      <c r="M6943" s="1077"/>
    </row>
    <row r="6944" spans="5:13">
      <c r="E6944" s="1077"/>
      <c r="F6944" s="1077"/>
      <c r="G6944" s="1077"/>
      <c r="H6944" s="1077"/>
      <c r="I6944" s="1077"/>
      <c r="J6944" s="1077"/>
      <c r="K6944" s="1077"/>
      <c r="L6944" s="1077"/>
      <c r="M6944" s="1077"/>
    </row>
    <row r="6945" spans="5:13">
      <c r="E6945" s="1077"/>
      <c r="F6945" s="1077"/>
      <c r="G6945" s="1077"/>
      <c r="H6945" s="1077"/>
      <c r="I6945" s="1077"/>
      <c r="J6945" s="1077"/>
      <c r="K6945" s="1077"/>
      <c r="L6945" s="1077"/>
      <c r="M6945" s="1077"/>
    </row>
    <row r="6946" spans="5:13">
      <c r="E6946" s="1077"/>
      <c r="F6946" s="1077"/>
      <c r="G6946" s="1077"/>
      <c r="H6946" s="1077"/>
      <c r="I6946" s="1077"/>
      <c r="J6946" s="1077"/>
      <c r="K6946" s="1077"/>
      <c r="L6946" s="1077"/>
      <c r="M6946" s="1077"/>
    </row>
    <row r="6947" spans="5:13">
      <c r="E6947" s="1077"/>
      <c r="F6947" s="1077"/>
      <c r="G6947" s="1077"/>
      <c r="H6947" s="1077"/>
      <c r="I6947" s="1077"/>
      <c r="J6947" s="1077"/>
      <c r="K6947" s="1077"/>
      <c r="L6947" s="1077"/>
      <c r="M6947" s="1077"/>
    </row>
    <row r="6948" spans="5:13">
      <c r="E6948" s="1077"/>
      <c r="F6948" s="1077"/>
      <c r="G6948" s="1077"/>
      <c r="H6948" s="1077"/>
      <c r="I6948" s="1077"/>
      <c r="J6948" s="1077"/>
      <c r="K6948" s="1077"/>
      <c r="L6948" s="1077"/>
      <c r="M6948" s="1077"/>
    </row>
    <row r="6949" spans="5:13">
      <c r="E6949" s="1077"/>
      <c r="F6949" s="1077"/>
      <c r="G6949" s="1077"/>
      <c r="H6949" s="1077"/>
      <c r="I6949" s="1077"/>
      <c r="J6949" s="1077"/>
      <c r="K6949" s="1077"/>
      <c r="L6949" s="1077"/>
      <c r="M6949" s="1077"/>
    </row>
    <row r="6950" spans="5:13">
      <c r="E6950" s="1077"/>
      <c r="F6950" s="1077"/>
      <c r="G6950" s="1077"/>
      <c r="H6950" s="1077"/>
      <c r="I6950" s="1077"/>
      <c r="J6950" s="1077"/>
      <c r="K6950" s="1077"/>
      <c r="L6950" s="1077"/>
      <c r="M6950" s="1077"/>
    </row>
    <row r="6951" spans="5:13">
      <c r="E6951" s="1077"/>
      <c r="F6951" s="1077"/>
      <c r="G6951" s="1077"/>
      <c r="H6951" s="1077"/>
      <c r="I6951" s="1077"/>
      <c r="J6951" s="1077"/>
      <c r="K6951" s="1077"/>
      <c r="L6951" s="1077"/>
      <c r="M6951" s="1077"/>
    </row>
    <row r="6952" spans="5:13">
      <c r="E6952" s="1077"/>
      <c r="F6952" s="1077"/>
      <c r="G6952" s="1077"/>
      <c r="H6952" s="1077"/>
      <c r="I6952" s="1077"/>
      <c r="J6952" s="1077"/>
      <c r="K6952" s="1077"/>
      <c r="L6952" s="1077"/>
      <c r="M6952" s="1077"/>
    </row>
    <row r="6953" spans="5:13">
      <c r="E6953" s="1077"/>
      <c r="F6953" s="1077"/>
      <c r="G6953" s="1077"/>
      <c r="H6953" s="1077"/>
      <c r="I6953" s="1077"/>
      <c r="J6953" s="1077"/>
      <c r="K6953" s="1077"/>
      <c r="L6953" s="1077"/>
      <c r="M6953" s="1077"/>
    </row>
    <row r="6954" spans="5:13">
      <c r="E6954" s="1077"/>
      <c r="F6954" s="1077"/>
      <c r="G6954" s="1077"/>
      <c r="H6954" s="1077"/>
      <c r="I6954" s="1077"/>
      <c r="J6954" s="1077"/>
      <c r="K6954" s="1077"/>
      <c r="L6954" s="1077"/>
      <c r="M6954" s="1077"/>
    </row>
    <row r="6955" spans="5:13">
      <c r="E6955" s="1077"/>
      <c r="F6955" s="1077"/>
      <c r="G6955" s="1077"/>
      <c r="H6955" s="1077"/>
      <c r="I6955" s="1077"/>
      <c r="J6955" s="1077"/>
      <c r="K6955" s="1077"/>
      <c r="L6955" s="1077"/>
      <c r="M6955" s="1077"/>
    </row>
    <row r="6956" spans="5:13">
      <c r="E6956" s="1077"/>
      <c r="F6956" s="1077"/>
      <c r="G6956" s="1077"/>
      <c r="H6956" s="1077"/>
      <c r="I6956" s="1077"/>
      <c r="J6956" s="1077"/>
      <c r="K6956" s="1077"/>
      <c r="L6956" s="1077"/>
      <c r="M6956" s="1077"/>
    </row>
    <row r="6957" spans="5:13">
      <c r="E6957" s="1077"/>
      <c r="F6957" s="1077"/>
      <c r="G6957" s="1077"/>
      <c r="H6957" s="1077"/>
      <c r="I6957" s="1077"/>
      <c r="J6957" s="1077"/>
      <c r="K6957" s="1077"/>
      <c r="L6957" s="1077"/>
      <c r="M6957" s="1077"/>
    </row>
    <row r="6958" spans="5:13">
      <c r="E6958" s="1077"/>
      <c r="F6958" s="1077"/>
      <c r="G6958" s="1077"/>
      <c r="H6958" s="1077"/>
      <c r="I6958" s="1077"/>
      <c r="J6958" s="1077"/>
      <c r="K6958" s="1077"/>
      <c r="L6958" s="1077"/>
      <c r="M6958" s="1077"/>
    </row>
    <row r="6959" spans="5:13">
      <c r="E6959" s="1077"/>
      <c r="F6959" s="1077"/>
      <c r="G6959" s="1077"/>
      <c r="H6959" s="1077"/>
      <c r="I6959" s="1077"/>
      <c r="J6959" s="1077"/>
      <c r="K6959" s="1077"/>
      <c r="L6959" s="1077"/>
      <c r="M6959" s="1077"/>
    </row>
    <row r="6960" spans="5:13">
      <c r="E6960" s="1077"/>
      <c r="F6960" s="1077"/>
      <c r="G6960" s="1077"/>
      <c r="H6960" s="1077"/>
      <c r="I6960" s="1077"/>
      <c r="J6960" s="1077"/>
      <c r="K6960" s="1077"/>
      <c r="L6960" s="1077"/>
      <c r="M6960" s="1077"/>
    </row>
    <row r="6961" spans="5:13">
      <c r="E6961" s="1077"/>
      <c r="F6961" s="1077"/>
      <c r="G6961" s="1077"/>
      <c r="H6961" s="1077"/>
      <c r="I6961" s="1077"/>
      <c r="J6961" s="1077"/>
      <c r="K6961" s="1077"/>
      <c r="L6961" s="1077"/>
      <c r="M6961" s="1077"/>
    </row>
    <row r="6962" spans="5:13">
      <c r="E6962" s="1077"/>
      <c r="F6962" s="1077"/>
      <c r="G6962" s="1077"/>
      <c r="H6962" s="1077"/>
      <c r="I6962" s="1077"/>
      <c r="J6962" s="1077"/>
      <c r="K6962" s="1077"/>
      <c r="L6962" s="1077"/>
      <c r="M6962" s="1077"/>
    </row>
    <row r="6963" spans="5:13">
      <c r="E6963" s="1077"/>
      <c r="F6963" s="1077"/>
      <c r="G6963" s="1077"/>
      <c r="H6963" s="1077"/>
      <c r="I6963" s="1077"/>
      <c r="J6963" s="1077"/>
      <c r="K6963" s="1077"/>
      <c r="L6963" s="1077"/>
      <c r="M6963" s="1077"/>
    </row>
    <row r="6964" spans="5:13">
      <c r="E6964" s="1077"/>
      <c r="F6964" s="1077"/>
      <c r="G6964" s="1077"/>
      <c r="H6964" s="1077"/>
      <c r="I6964" s="1077"/>
      <c r="J6964" s="1077"/>
      <c r="K6964" s="1077"/>
      <c r="L6964" s="1077"/>
      <c r="M6964" s="1077"/>
    </row>
    <row r="6965" spans="5:13">
      <c r="E6965" s="1077"/>
      <c r="F6965" s="1077"/>
      <c r="G6965" s="1077"/>
      <c r="H6965" s="1077"/>
      <c r="I6965" s="1077"/>
      <c r="J6965" s="1077"/>
      <c r="K6965" s="1077"/>
      <c r="L6965" s="1077"/>
      <c r="M6965" s="1077"/>
    </row>
    <row r="6966" spans="5:13">
      <c r="E6966" s="1077"/>
      <c r="F6966" s="1077"/>
      <c r="G6966" s="1077"/>
      <c r="H6966" s="1077"/>
      <c r="I6966" s="1077"/>
      <c r="J6966" s="1077"/>
      <c r="K6966" s="1077"/>
      <c r="L6966" s="1077"/>
      <c r="M6966" s="1077"/>
    </row>
    <row r="6967" spans="5:13">
      <c r="E6967" s="1077"/>
      <c r="F6967" s="1077"/>
      <c r="G6967" s="1077"/>
      <c r="H6967" s="1077"/>
      <c r="I6967" s="1077"/>
      <c r="J6967" s="1077"/>
      <c r="K6967" s="1077"/>
      <c r="L6967" s="1077"/>
      <c r="M6967" s="1077"/>
    </row>
    <row r="6968" spans="5:13">
      <c r="E6968" s="1077"/>
      <c r="F6968" s="1077"/>
      <c r="G6968" s="1077"/>
      <c r="H6968" s="1077"/>
      <c r="I6968" s="1077"/>
      <c r="J6968" s="1077"/>
      <c r="K6968" s="1077"/>
      <c r="L6968" s="1077"/>
      <c r="M6968" s="1077"/>
    </row>
    <row r="6969" spans="5:13">
      <c r="E6969" s="1077"/>
      <c r="F6969" s="1077"/>
      <c r="G6969" s="1077"/>
      <c r="H6969" s="1077"/>
      <c r="I6969" s="1077"/>
      <c r="J6969" s="1077"/>
      <c r="K6969" s="1077"/>
      <c r="L6969" s="1077"/>
      <c r="M6969" s="1077"/>
    </row>
    <row r="6970" spans="5:13">
      <c r="E6970" s="1077"/>
      <c r="F6970" s="1077"/>
      <c r="G6970" s="1077"/>
      <c r="H6970" s="1077"/>
      <c r="I6970" s="1077"/>
      <c r="J6970" s="1077"/>
      <c r="K6970" s="1077"/>
      <c r="L6970" s="1077"/>
      <c r="M6970" s="1077"/>
    </row>
    <row r="6971" spans="5:13">
      <c r="E6971" s="1077"/>
      <c r="F6971" s="1077"/>
      <c r="G6971" s="1077"/>
      <c r="H6971" s="1077"/>
      <c r="I6971" s="1077"/>
      <c r="J6971" s="1077"/>
      <c r="K6971" s="1077"/>
      <c r="L6971" s="1077"/>
      <c r="M6971" s="1077"/>
    </row>
    <row r="6972" spans="5:13">
      <c r="E6972" s="1077"/>
      <c r="F6972" s="1077"/>
      <c r="G6972" s="1077"/>
      <c r="H6972" s="1077"/>
      <c r="I6972" s="1077"/>
      <c r="J6972" s="1077"/>
      <c r="K6972" s="1077"/>
      <c r="L6972" s="1077"/>
      <c r="M6972" s="1077"/>
    </row>
    <row r="6973" spans="5:13">
      <c r="E6973" s="1077"/>
      <c r="F6973" s="1077"/>
      <c r="G6973" s="1077"/>
      <c r="H6973" s="1077"/>
      <c r="I6973" s="1077"/>
      <c r="J6973" s="1077"/>
      <c r="K6973" s="1077"/>
      <c r="L6973" s="1077"/>
      <c r="M6973" s="1077"/>
    </row>
    <row r="6974" spans="5:13">
      <c r="E6974" s="1077"/>
      <c r="F6974" s="1077"/>
      <c r="G6974" s="1077"/>
      <c r="H6974" s="1077"/>
      <c r="I6974" s="1077"/>
      <c r="J6974" s="1077"/>
      <c r="K6974" s="1077"/>
      <c r="L6974" s="1077"/>
      <c r="M6974" s="1077"/>
    </row>
    <row r="6975" spans="5:13">
      <c r="E6975" s="1077"/>
      <c r="F6975" s="1077"/>
      <c r="G6975" s="1077"/>
      <c r="H6975" s="1077"/>
      <c r="I6975" s="1077"/>
      <c r="J6975" s="1077"/>
      <c r="K6975" s="1077"/>
      <c r="L6975" s="1077"/>
      <c r="M6975" s="1077"/>
    </row>
    <row r="6976" spans="5:13">
      <c r="E6976" s="1077"/>
      <c r="F6976" s="1077"/>
      <c r="G6976" s="1077"/>
      <c r="H6976" s="1077"/>
      <c r="I6976" s="1077"/>
      <c r="J6976" s="1077"/>
      <c r="K6976" s="1077"/>
      <c r="L6976" s="1077"/>
      <c r="M6976" s="1077"/>
    </row>
    <row r="6977" spans="5:13">
      <c r="E6977" s="1077"/>
      <c r="F6977" s="1077"/>
      <c r="G6977" s="1077"/>
      <c r="H6977" s="1077"/>
      <c r="I6977" s="1077"/>
      <c r="J6977" s="1077"/>
      <c r="K6977" s="1077"/>
      <c r="L6977" s="1077"/>
      <c r="M6977" s="1077"/>
    </row>
    <row r="6978" spans="5:13">
      <c r="E6978" s="1077"/>
      <c r="F6978" s="1077"/>
      <c r="G6978" s="1077"/>
      <c r="H6978" s="1077"/>
      <c r="I6978" s="1077"/>
      <c r="J6978" s="1077"/>
      <c r="K6978" s="1077"/>
      <c r="L6978" s="1077"/>
      <c r="M6978" s="1077"/>
    </row>
    <row r="6979" spans="5:13">
      <c r="E6979" s="1077"/>
      <c r="F6979" s="1077"/>
      <c r="G6979" s="1077"/>
      <c r="H6979" s="1077"/>
      <c r="I6979" s="1077"/>
      <c r="J6979" s="1077"/>
      <c r="K6979" s="1077"/>
      <c r="L6979" s="1077"/>
      <c r="M6979" s="1077"/>
    </row>
    <row r="6980" spans="5:13">
      <c r="E6980" s="1077"/>
      <c r="F6980" s="1077"/>
      <c r="G6980" s="1077"/>
      <c r="H6980" s="1077"/>
      <c r="I6980" s="1077"/>
      <c r="J6980" s="1077"/>
      <c r="K6980" s="1077"/>
      <c r="L6980" s="1077"/>
      <c r="M6980" s="1077"/>
    </row>
    <row r="6981" spans="5:13">
      <c r="E6981" s="1077"/>
      <c r="F6981" s="1077"/>
      <c r="G6981" s="1077"/>
      <c r="H6981" s="1077"/>
      <c r="I6981" s="1077"/>
      <c r="J6981" s="1077"/>
      <c r="K6981" s="1077"/>
      <c r="L6981" s="1077"/>
      <c r="M6981" s="1077"/>
    </row>
    <row r="6982" spans="5:13">
      <c r="E6982" s="1077"/>
      <c r="F6982" s="1077"/>
      <c r="G6982" s="1077"/>
      <c r="H6982" s="1077"/>
      <c r="I6982" s="1077"/>
      <c r="J6982" s="1077"/>
      <c r="K6982" s="1077"/>
      <c r="L6982" s="1077"/>
      <c r="M6982" s="1077"/>
    </row>
    <row r="6983" spans="5:13">
      <c r="E6983" s="1077"/>
      <c r="F6983" s="1077"/>
      <c r="G6983" s="1077"/>
      <c r="H6983" s="1077"/>
      <c r="I6983" s="1077"/>
      <c r="J6983" s="1077"/>
      <c r="K6983" s="1077"/>
      <c r="L6983" s="1077"/>
      <c r="M6983" s="1077"/>
    </row>
    <row r="6984" spans="5:13">
      <c r="E6984" s="1077"/>
      <c r="F6984" s="1077"/>
      <c r="G6984" s="1077"/>
      <c r="H6984" s="1077"/>
      <c r="I6984" s="1077"/>
      <c r="J6984" s="1077"/>
      <c r="K6984" s="1077"/>
      <c r="L6984" s="1077"/>
      <c r="M6984" s="1077"/>
    </row>
    <row r="6985" spans="5:13">
      <c r="E6985" s="1077"/>
      <c r="F6985" s="1077"/>
      <c r="G6985" s="1077"/>
      <c r="H6985" s="1077"/>
      <c r="I6985" s="1077"/>
      <c r="J6985" s="1077"/>
      <c r="K6985" s="1077"/>
      <c r="L6985" s="1077"/>
      <c r="M6985" s="1077"/>
    </row>
    <row r="6986" spans="5:13">
      <c r="E6986" s="1077"/>
      <c r="F6986" s="1077"/>
      <c r="G6986" s="1077"/>
      <c r="H6986" s="1077"/>
      <c r="I6986" s="1077"/>
      <c r="J6986" s="1077"/>
      <c r="K6986" s="1077"/>
      <c r="L6986" s="1077"/>
      <c r="M6986" s="1077"/>
    </row>
    <row r="6987" spans="5:13">
      <c r="E6987" s="1077"/>
      <c r="F6987" s="1077"/>
      <c r="G6987" s="1077"/>
      <c r="H6987" s="1077"/>
      <c r="I6987" s="1077"/>
      <c r="J6987" s="1077"/>
      <c r="K6987" s="1077"/>
      <c r="L6987" s="1077"/>
      <c r="M6987" s="1077"/>
    </row>
    <row r="6988" spans="5:13">
      <c r="E6988" s="1077"/>
      <c r="F6988" s="1077"/>
      <c r="G6988" s="1077"/>
      <c r="H6988" s="1077"/>
      <c r="I6988" s="1077"/>
      <c r="J6988" s="1077"/>
      <c r="K6988" s="1077"/>
      <c r="L6988" s="1077"/>
      <c r="M6988" s="1077"/>
    </row>
    <row r="6989" spans="5:13">
      <c r="E6989" s="1077"/>
      <c r="F6989" s="1077"/>
      <c r="G6989" s="1077"/>
      <c r="H6989" s="1077"/>
      <c r="I6989" s="1077"/>
      <c r="J6989" s="1077"/>
      <c r="K6989" s="1077"/>
      <c r="L6989" s="1077"/>
      <c r="M6989" s="1077"/>
    </row>
    <row r="6990" spans="5:13">
      <c r="E6990" s="1077"/>
      <c r="F6990" s="1077"/>
      <c r="G6990" s="1077"/>
      <c r="H6990" s="1077"/>
      <c r="I6990" s="1077"/>
      <c r="J6990" s="1077"/>
      <c r="K6990" s="1077"/>
      <c r="L6990" s="1077"/>
      <c r="M6990" s="1077"/>
    </row>
    <row r="6991" spans="5:13">
      <c r="E6991" s="1077"/>
      <c r="F6991" s="1077"/>
      <c r="G6991" s="1077"/>
      <c r="H6991" s="1077"/>
      <c r="I6991" s="1077"/>
      <c r="J6991" s="1077"/>
      <c r="K6991" s="1077"/>
      <c r="L6991" s="1077"/>
      <c r="M6991" s="1077"/>
    </row>
    <row r="6992" spans="5:13">
      <c r="E6992" s="1077"/>
      <c r="F6992" s="1077"/>
      <c r="G6992" s="1077"/>
      <c r="H6992" s="1077"/>
      <c r="I6992" s="1077"/>
      <c r="J6992" s="1077"/>
      <c r="K6992" s="1077"/>
      <c r="L6992" s="1077"/>
      <c r="M6992" s="1077"/>
    </row>
    <row r="6993" spans="5:13">
      <c r="E6993" s="1077"/>
      <c r="F6993" s="1077"/>
      <c r="G6993" s="1077"/>
      <c r="H6993" s="1077"/>
      <c r="I6993" s="1077"/>
      <c r="J6993" s="1077"/>
      <c r="K6993" s="1077"/>
      <c r="L6993" s="1077"/>
      <c r="M6993" s="1077"/>
    </row>
    <row r="6994" spans="5:13">
      <c r="E6994" s="1077"/>
      <c r="F6994" s="1077"/>
      <c r="G6994" s="1077"/>
      <c r="H6994" s="1077"/>
      <c r="I6994" s="1077"/>
      <c r="J6994" s="1077"/>
      <c r="K6994" s="1077"/>
      <c r="L6994" s="1077"/>
      <c r="M6994" s="1077"/>
    </row>
    <row r="6995" spans="5:13">
      <c r="E6995" s="1077"/>
      <c r="F6995" s="1077"/>
      <c r="G6995" s="1077"/>
      <c r="H6995" s="1077"/>
      <c r="I6995" s="1077"/>
      <c r="J6995" s="1077"/>
      <c r="K6995" s="1077"/>
      <c r="L6995" s="1077"/>
      <c r="M6995" s="1077"/>
    </row>
    <row r="6996" spans="5:13">
      <c r="E6996" s="1077"/>
      <c r="F6996" s="1077"/>
      <c r="G6996" s="1077"/>
      <c r="H6996" s="1077"/>
      <c r="I6996" s="1077"/>
      <c r="J6996" s="1077"/>
      <c r="K6996" s="1077"/>
      <c r="L6996" s="1077"/>
      <c r="M6996" s="1077"/>
    </row>
    <row r="6997" spans="5:13">
      <c r="E6997" s="1077"/>
      <c r="F6997" s="1077"/>
      <c r="G6997" s="1077"/>
      <c r="H6997" s="1077"/>
      <c r="I6997" s="1077"/>
      <c r="J6997" s="1077"/>
      <c r="K6997" s="1077"/>
      <c r="L6997" s="1077"/>
      <c r="M6997" s="1077"/>
    </row>
    <row r="6998" spans="5:13">
      <c r="E6998" s="1077"/>
      <c r="F6998" s="1077"/>
      <c r="G6998" s="1077"/>
      <c r="H6998" s="1077"/>
      <c r="I6998" s="1077"/>
      <c r="J6998" s="1077"/>
      <c r="K6998" s="1077"/>
      <c r="L6998" s="1077"/>
      <c r="M6998" s="1077"/>
    </row>
    <row r="6999" spans="5:13">
      <c r="E6999" s="1077"/>
      <c r="F6999" s="1077"/>
      <c r="G6999" s="1077"/>
      <c r="H6999" s="1077"/>
      <c r="I6999" s="1077"/>
      <c r="J6999" s="1077"/>
      <c r="K6999" s="1077"/>
      <c r="L6999" s="1077"/>
      <c r="M6999" s="1077"/>
    </row>
    <row r="7000" spans="5:13">
      <c r="E7000" s="1077"/>
      <c r="F7000" s="1077"/>
      <c r="G7000" s="1077"/>
      <c r="H7000" s="1077"/>
      <c r="I7000" s="1077"/>
      <c r="J7000" s="1077"/>
      <c r="K7000" s="1077"/>
      <c r="L7000" s="1077"/>
      <c r="M7000" s="1077"/>
    </row>
    <row r="7001" spans="5:13">
      <c r="E7001" s="1077"/>
      <c r="F7001" s="1077"/>
      <c r="G7001" s="1077"/>
      <c r="H7001" s="1077"/>
      <c r="I7001" s="1077"/>
      <c r="J7001" s="1077"/>
      <c r="K7001" s="1077"/>
      <c r="L7001" s="1077"/>
      <c r="M7001" s="1077"/>
    </row>
    <row r="7002" spans="5:13">
      <c r="E7002" s="1077"/>
      <c r="F7002" s="1077"/>
      <c r="G7002" s="1077"/>
      <c r="H7002" s="1077"/>
      <c r="I7002" s="1077"/>
      <c r="J7002" s="1077"/>
      <c r="K7002" s="1077"/>
      <c r="L7002" s="1077"/>
      <c r="M7002" s="1077"/>
    </row>
    <row r="7003" spans="5:13">
      <c r="E7003" s="1077"/>
      <c r="F7003" s="1077"/>
      <c r="G7003" s="1077"/>
      <c r="H7003" s="1077"/>
      <c r="I7003" s="1077"/>
      <c r="J7003" s="1077"/>
      <c r="K7003" s="1077"/>
      <c r="L7003" s="1077"/>
      <c r="M7003" s="1077"/>
    </row>
    <row r="7004" spans="5:13">
      <c r="E7004" s="1077"/>
      <c r="F7004" s="1077"/>
      <c r="G7004" s="1077"/>
      <c r="H7004" s="1077"/>
      <c r="I7004" s="1077"/>
      <c r="J7004" s="1077"/>
      <c r="K7004" s="1077"/>
      <c r="L7004" s="1077"/>
      <c r="M7004" s="1077"/>
    </row>
    <row r="7005" spans="5:13">
      <c r="E7005" s="1077"/>
      <c r="F7005" s="1077"/>
      <c r="G7005" s="1077"/>
      <c r="H7005" s="1077"/>
      <c r="I7005" s="1077"/>
      <c r="J7005" s="1077"/>
      <c r="K7005" s="1077"/>
      <c r="L7005" s="1077"/>
      <c r="M7005" s="1077"/>
    </row>
    <row r="7006" spans="5:13">
      <c r="E7006" s="1077"/>
      <c r="F7006" s="1077"/>
      <c r="G7006" s="1077"/>
      <c r="H7006" s="1077"/>
      <c r="I7006" s="1077"/>
      <c r="J7006" s="1077"/>
      <c r="K7006" s="1077"/>
      <c r="L7006" s="1077"/>
      <c r="M7006" s="1077"/>
    </row>
    <row r="7007" spans="5:13">
      <c r="E7007" s="1077"/>
      <c r="F7007" s="1077"/>
      <c r="G7007" s="1077"/>
      <c r="H7007" s="1077"/>
      <c r="I7007" s="1077"/>
      <c r="J7007" s="1077"/>
      <c r="K7007" s="1077"/>
      <c r="L7007" s="1077"/>
      <c r="M7007" s="1077"/>
    </row>
    <row r="7008" spans="5:13">
      <c r="E7008" s="1077"/>
      <c r="F7008" s="1077"/>
      <c r="G7008" s="1077"/>
      <c r="H7008" s="1077"/>
      <c r="I7008" s="1077"/>
      <c r="J7008" s="1077"/>
      <c r="K7008" s="1077"/>
      <c r="L7008" s="1077"/>
      <c r="M7008" s="1077"/>
    </row>
    <row r="7009" spans="5:13">
      <c r="E7009" s="1077"/>
      <c r="F7009" s="1077"/>
      <c r="G7009" s="1077"/>
      <c r="H7009" s="1077"/>
      <c r="I7009" s="1077"/>
      <c r="J7009" s="1077"/>
      <c r="K7009" s="1077"/>
      <c r="L7009" s="1077"/>
      <c r="M7009" s="1077"/>
    </row>
    <row r="7010" spans="5:13">
      <c r="E7010" s="1077"/>
      <c r="F7010" s="1077"/>
      <c r="G7010" s="1077"/>
      <c r="H7010" s="1077"/>
      <c r="I7010" s="1077"/>
      <c r="J7010" s="1077"/>
      <c r="K7010" s="1077"/>
      <c r="L7010" s="1077"/>
      <c r="M7010" s="1077"/>
    </row>
    <row r="7011" spans="5:13">
      <c r="E7011" s="1077"/>
      <c r="F7011" s="1077"/>
      <c r="G7011" s="1077"/>
      <c r="H7011" s="1077"/>
      <c r="I7011" s="1077"/>
      <c r="J7011" s="1077"/>
      <c r="K7011" s="1077"/>
      <c r="L7011" s="1077"/>
      <c r="M7011" s="1077"/>
    </row>
    <row r="7012" spans="5:13">
      <c r="E7012" s="1077"/>
      <c r="F7012" s="1077"/>
      <c r="G7012" s="1077"/>
      <c r="H7012" s="1077"/>
      <c r="I7012" s="1077"/>
      <c r="J7012" s="1077"/>
      <c r="K7012" s="1077"/>
      <c r="L7012" s="1077"/>
      <c r="M7012" s="1077"/>
    </row>
    <row r="7013" spans="5:13">
      <c r="E7013" s="1077"/>
      <c r="F7013" s="1077"/>
      <c r="G7013" s="1077"/>
      <c r="H7013" s="1077"/>
      <c r="I7013" s="1077"/>
      <c r="J7013" s="1077"/>
      <c r="K7013" s="1077"/>
      <c r="L7013" s="1077"/>
      <c r="M7013" s="1077"/>
    </row>
    <row r="7014" spans="5:13">
      <c r="E7014" s="1077"/>
      <c r="F7014" s="1077"/>
      <c r="G7014" s="1077"/>
      <c r="H7014" s="1077"/>
      <c r="I7014" s="1077"/>
      <c r="J7014" s="1077"/>
      <c r="K7014" s="1077"/>
      <c r="L7014" s="1077"/>
      <c r="M7014" s="1077"/>
    </row>
    <row r="7015" spans="5:13">
      <c r="E7015" s="1077"/>
      <c r="F7015" s="1077"/>
      <c r="G7015" s="1077"/>
      <c r="H7015" s="1077"/>
      <c r="I7015" s="1077"/>
      <c r="J7015" s="1077"/>
      <c r="K7015" s="1077"/>
      <c r="L7015" s="1077"/>
      <c r="M7015" s="1077"/>
    </row>
    <row r="7016" spans="5:13">
      <c r="E7016" s="1077"/>
      <c r="F7016" s="1077"/>
      <c r="G7016" s="1077"/>
      <c r="H7016" s="1077"/>
      <c r="I7016" s="1077"/>
      <c r="J7016" s="1077"/>
      <c r="K7016" s="1077"/>
      <c r="L7016" s="1077"/>
      <c r="M7016" s="1077"/>
    </row>
    <row r="7017" spans="5:13">
      <c r="E7017" s="1077"/>
      <c r="F7017" s="1077"/>
      <c r="G7017" s="1077"/>
      <c r="H7017" s="1077"/>
      <c r="I7017" s="1077"/>
      <c r="J7017" s="1077"/>
      <c r="K7017" s="1077"/>
      <c r="L7017" s="1077"/>
      <c r="M7017" s="1077"/>
    </row>
    <row r="7018" spans="5:13">
      <c r="E7018" s="1077"/>
      <c r="F7018" s="1077"/>
      <c r="G7018" s="1077"/>
      <c r="H7018" s="1077"/>
      <c r="I7018" s="1077"/>
      <c r="J7018" s="1077"/>
      <c r="K7018" s="1077"/>
      <c r="L7018" s="1077"/>
      <c r="M7018" s="1077"/>
    </row>
    <row r="7019" spans="5:13">
      <c r="E7019" s="1077"/>
      <c r="F7019" s="1077"/>
      <c r="G7019" s="1077"/>
      <c r="H7019" s="1077"/>
      <c r="I7019" s="1077"/>
      <c r="J7019" s="1077"/>
      <c r="K7019" s="1077"/>
      <c r="L7019" s="1077"/>
      <c r="M7019" s="1077"/>
    </row>
    <row r="7020" spans="5:13">
      <c r="E7020" s="1077"/>
      <c r="F7020" s="1077"/>
      <c r="G7020" s="1077"/>
      <c r="H7020" s="1077"/>
      <c r="I7020" s="1077"/>
      <c r="J7020" s="1077"/>
      <c r="K7020" s="1077"/>
      <c r="L7020" s="1077"/>
      <c r="M7020" s="1077"/>
    </row>
    <row r="7021" spans="5:13">
      <c r="E7021" s="1077"/>
      <c r="F7021" s="1077"/>
      <c r="G7021" s="1077"/>
      <c r="H7021" s="1077"/>
      <c r="I7021" s="1077"/>
      <c r="J7021" s="1077"/>
      <c r="K7021" s="1077"/>
      <c r="L7021" s="1077"/>
      <c r="M7021" s="1077"/>
    </row>
    <row r="7022" spans="5:13">
      <c r="E7022" s="1077"/>
      <c r="F7022" s="1077"/>
      <c r="G7022" s="1077"/>
      <c r="H7022" s="1077"/>
      <c r="I7022" s="1077"/>
      <c r="J7022" s="1077"/>
      <c r="K7022" s="1077"/>
      <c r="L7022" s="1077"/>
      <c r="M7022" s="1077"/>
    </row>
    <row r="7023" spans="5:13">
      <c r="E7023" s="1077"/>
      <c r="F7023" s="1077"/>
      <c r="G7023" s="1077"/>
      <c r="H7023" s="1077"/>
      <c r="I7023" s="1077"/>
      <c r="J7023" s="1077"/>
      <c r="K7023" s="1077"/>
      <c r="L7023" s="1077"/>
      <c r="M7023" s="1077"/>
    </row>
    <row r="7024" spans="5:13">
      <c r="E7024" s="1077"/>
      <c r="F7024" s="1077"/>
      <c r="G7024" s="1077"/>
      <c r="H7024" s="1077"/>
      <c r="I7024" s="1077"/>
      <c r="J7024" s="1077"/>
      <c r="K7024" s="1077"/>
      <c r="L7024" s="1077"/>
      <c r="M7024" s="1077"/>
    </row>
    <row r="7025" spans="5:13">
      <c r="E7025" s="1077"/>
      <c r="F7025" s="1077"/>
      <c r="G7025" s="1077"/>
      <c r="H7025" s="1077"/>
      <c r="I7025" s="1077"/>
      <c r="J7025" s="1077"/>
      <c r="K7025" s="1077"/>
      <c r="L7025" s="1077"/>
      <c r="M7025" s="1077"/>
    </row>
    <row r="7026" spans="5:13">
      <c r="E7026" s="1077"/>
      <c r="F7026" s="1077"/>
      <c r="G7026" s="1077"/>
      <c r="H7026" s="1077"/>
      <c r="I7026" s="1077"/>
      <c r="J7026" s="1077"/>
      <c r="K7026" s="1077"/>
      <c r="L7026" s="1077"/>
      <c r="M7026" s="1077"/>
    </row>
    <row r="7027" spans="5:13">
      <c r="E7027" s="1077"/>
      <c r="F7027" s="1077"/>
      <c r="G7027" s="1077"/>
      <c r="H7027" s="1077"/>
      <c r="I7027" s="1077"/>
      <c r="J7027" s="1077"/>
      <c r="K7027" s="1077"/>
      <c r="L7027" s="1077"/>
      <c r="M7027" s="1077"/>
    </row>
    <row r="7028" spans="5:13">
      <c r="E7028" s="1077"/>
      <c r="F7028" s="1077"/>
      <c r="G7028" s="1077"/>
      <c r="H7028" s="1077"/>
      <c r="I7028" s="1077"/>
      <c r="J7028" s="1077"/>
      <c r="K7028" s="1077"/>
      <c r="L7028" s="1077"/>
      <c r="M7028" s="1077"/>
    </row>
    <row r="7029" spans="5:13">
      <c r="E7029" s="1077"/>
      <c r="F7029" s="1077"/>
      <c r="G7029" s="1077"/>
      <c r="H7029" s="1077"/>
      <c r="I7029" s="1077"/>
      <c r="J7029" s="1077"/>
      <c r="K7029" s="1077"/>
      <c r="L7029" s="1077"/>
      <c r="M7029" s="1077"/>
    </row>
    <row r="7030" spans="5:13">
      <c r="E7030" s="1077"/>
      <c r="F7030" s="1077"/>
      <c r="G7030" s="1077"/>
      <c r="H7030" s="1077"/>
      <c r="I7030" s="1077"/>
      <c r="J7030" s="1077"/>
      <c r="K7030" s="1077"/>
      <c r="L7030" s="1077"/>
      <c r="M7030" s="1077"/>
    </row>
    <row r="7031" spans="5:13">
      <c r="E7031" s="1077"/>
      <c r="F7031" s="1077"/>
      <c r="G7031" s="1077"/>
      <c r="H7031" s="1077"/>
      <c r="I7031" s="1077"/>
      <c r="J7031" s="1077"/>
      <c r="K7031" s="1077"/>
      <c r="L7031" s="1077"/>
      <c r="M7031" s="1077"/>
    </row>
    <row r="7032" spans="5:13">
      <c r="E7032" s="1077"/>
      <c r="F7032" s="1077"/>
      <c r="G7032" s="1077"/>
      <c r="H7032" s="1077"/>
      <c r="I7032" s="1077"/>
      <c r="J7032" s="1077"/>
      <c r="K7032" s="1077"/>
      <c r="L7032" s="1077"/>
      <c r="M7032" s="1077"/>
    </row>
    <row r="7033" spans="5:13">
      <c r="E7033" s="1077"/>
      <c r="F7033" s="1077"/>
      <c r="G7033" s="1077"/>
      <c r="H7033" s="1077"/>
      <c r="I7033" s="1077"/>
      <c r="J7033" s="1077"/>
      <c r="K7033" s="1077"/>
      <c r="L7033" s="1077"/>
      <c r="M7033" s="1077"/>
    </row>
    <row r="7034" spans="5:13">
      <c r="E7034" s="1077"/>
      <c r="F7034" s="1077"/>
      <c r="G7034" s="1077"/>
      <c r="H7034" s="1077"/>
      <c r="I7034" s="1077"/>
      <c r="J7034" s="1077"/>
      <c r="K7034" s="1077"/>
      <c r="L7034" s="1077"/>
      <c r="M7034" s="1077"/>
    </row>
    <row r="7035" spans="5:13">
      <c r="E7035" s="1077"/>
      <c r="F7035" s="1077"/>
      <c r="G7035" s="1077"/>
      <c r="H7035" s="1077"/>
      <c r="I7035" s="1077"/>
      <c r="J7035" s="1077"/>
      <c r="K7035" s="1077"/>
      <c r="L7035" s="1077"/>
      <c r="M7035" s="1077"/>
    </row>
    <row r="7036" spans="5:13">
      <c r="E7036" s="1077"/>
      <c r="F7036" s="1077"/>
      <c r="G7036" s="1077"/>
      <c r="H7036" s="1077"/>
      <c r="I7036" s="1077"/>
      <c r="J7036" s="1077"/>
      <c r="K7036" s="1077"/>
      <c r="L7036" s="1077"/>
      <c r="M7036" s="1077"/>
    </row>
    <row r="7037" spans="5:13">
      <c r="E7037" s="1077"/>
      <c r="F7037" s="1077"/>
      <c r="G7037" s="1077"/>
      <c r="H7037" s="1077"/>
      <c r="I7037" s="1077"/>
      <c r="J7037" s="1077"/>
      <c r="K7037" s="1077"/>
      <c r="L7037" s="1077"/>
      <c r="M7037" s="1077"/>
    </row>
    <row r="7038" spans="5:13">
      <c r="E7038" s="1077"/>
      <c r="F7038" s="1077"/>
      <c r="G7038" s="1077"/>
      <c r="H7038" s="1077"/>
      <c r="I7038" s="1077"/>
      <c r="J7038" s="1077"/>
      <c r="K7038" s="1077"/>
      <c r="L7038" s="1077"/>
      <c r="M7038" s="1077"/>
    </row>
    <row r="7039" spans="5:13">
      <c r="E7039" s="1077"/>
      <c r="F7039" s="1077"/>
      <c r="G7039" s="1077"/>
      <c r="H7039" s="1077"/>
      <c r="I7039" s="1077"/>
      <c r="J7039" s="1077"/>
      <c r="K7039" s="1077"/>
      <c r="L7039" s="1077"/>
      <c r="M7039" s="1077"/>
    </row>
    <row r="7040" spans="5:13">
      <c r="E7040" s="1077"/>
      <c r="F7040" s="1077"/>
      <c r="G7040" s="1077"/>
      <c r="H7040" s="1077"/>
      <c r="I7040" s="1077"/>
      <c r="J7040" s="1077"/>
      <c r="K7040" s="1077"/>
      <c r="L7040" s="1077"/>
      <c r="M7040" s="1077"/>
    </row>
    <row r="7041" spans="5:13">
      <c r="E7041" s="1077"/>
      <c r="F7041" s="1077"/>
      <c r="G7041" s="1077"/>
      <c r="H7041" s="1077"/>
      <c r="I7041" s="1077"/>
      <c r="J7041" s="1077"/>
      <c r="K7041" s="1077"/>
      <c r="L7041" s="1077"/>
      <c r="M7041" s="1077"/>
    </row>
    <row r="7042" spans="5:13">
      <c r="E7042" s="1077"/>
      <c r="F7042" s="1077"/>
      <c r="G7042" s="1077"/>
      <c r="H7042" s="1077"/>
      <c r="I7042" s="1077"/>
      <c r="J7042" s="1077"/>
      <c r="K7042" s="1077"/>
      <c r="L7042" s="1077"/>
      <c r="M7042" s="1077"/>
    </row>
    <row r="7043" spans="5:13">
      <c r="E7043" s="1077"/>
      <c r="F7043" s="1077"/>
      <c r="G7043" s="1077"/>
      <c r="H7043" s="1077"/>
      <c r="I7043" s="1077"/>
      <c r="J7043" s="1077"/>
      <c r="K7043" s="1077"/>
      <c r="L7043" s="1077"/>
      <c r="M7043" s="1077"/>
    </row>
    <row r="7044" spans="5:13">
      <c r="E7044" s="1077"/>
      <c r="F7044" s="1077"/>
      <c r="G7044" s="1077"/>
      <c r="H7044" s="1077"/>
      <c r="I7044" s="1077"/>
      <c r="J7044" s="1077"/>
      <c r="K7044" s="1077"/>
      <c r="L7044" s="1077"/>
      <c r="M7044" s="1077"/>
    </row>
    <row r="7045" spans="5:13">
      <c r="E7045" s="1077"/>
      <c r="F7045" s="1077"/>
      <c r="G7045" s="1077"/>
      <c r="H7045" s="1077"/>
      <c r="I7045" s="1077"/>
      <c r="J7045" s="1077"/>
      <c r="K7045" s="1077"/>
      <c r="L7045" s="1077"/>
      <c r="M7045" s="1077"/>
    </row>
    <row r="7046" spans="5:13">
      <c r="E7046" s="1077"/>
      <c r="F7046" s="1077"/>
      <c r="G7046" s="1077"/>
      <c r="H7046" s="1077"/>
      <c r="I7046" s="1077"/>
      <c r="J7046" s="1077"/>
      <c r="K7046" s="1077"/>
      <c r="L7046" s="1077"/>
      <c r="M7046" s="1077"/>
    </row>
    <row r="7047" spans="5:13">
      <c r="E7047" s="1077"/>
      <c r="F7047" s="1077"/>
      <c r="G7047" s="1077"/>
      <c r="H7047" s="1077"/>
      <c r="I7047" s="1077"/>
      <c r="J7047" s="1077"/>
      <c r="K7047" s="1077"/>
      <c r="L7047" s="1077"/>
      <c r="M7047" s="1077"/>
    </row>
    <row r="7048" spans="5:13">
      <c r="E7048" s="1077"/>
      <c r="F7048" s="1077"/>
      <c r="G7048" s="1077"/>
      <c r="H7048" s="1077"/>
      <c r="I7048" s="1077"/>
      <c r="J7048" s="1077"/>
      <c r="K7048" s="1077"/>
      <c r="L7048" s="1077"/>
      <c r="M7048" s="1077"/>
    </row>
    <row r="7049" spans="5:13">
      <c r="E7049" s="1077"/>
      <c r="F7049" s="1077"/>
      <c r="G7049" s="1077"/>
      <c r="H7049" s="1077"/>
      <c r="I7049" s="1077"/>
      <c r="J7049" s="1077"/>
      <c r="K7049" s="1077"/>
      <c r="L7049" s="1077"/>
      <c r="M7049" s="1077"/>
    </row>
    <row r="7050" spans="5:13">
      <c r="E7050" s="1077"/>
      <c r="F7050" s="1077"/>
      <c r="G7050" s="1077"/>
      <c r="H7050" s="1077"/>
      <c r="I7050" s="1077"/>
      <c r="J7050" s="1077"/>
      <c r="K7050" s="1077"/>
      <c r="L7050" s="1077"/>
      <c r="M7050" s="1077"/>
    </row>
    <row r="7051" spans="5:13">
      <c r="E7051" s="1077"/>
      <c r="F7051" s="1077"/>
      <c r="G7051" s="1077"/>
      <c r="H7051" s="1077"/>
      <c r="I7051" s="1077"/>
      <c r="J7051" s="1077"/>
      <c r="K7051" s="1077"/>
      <c r="L7051" s="1077"/>
      <c r="M7051" s="1077"/>
    </row>
    <row r="7052" spans="5:13">
      <c r="E7052" s="1077"/>
      <c r="F7052" s="1077"/>
      <c r="G7052" s="1077"/>
      <c r="H7052" s="1077"/>
      <c r="I7052" s="1077"/>
      <c r="J7052" s="1077"/>
      <c r="K7052" s="1077"/>
      <c r="L7052" s="1077"/>
      <c r="M7052" s="1077"/>
    </row>
    <row r="7053" spans="5:13">
      <c r="E7053" s="1077"/>
      <c r="F7053" s="1077"/>
      <c r="G7053" s="1077"/>
      <c r="H7053" s="1077"/>
      <c r="I7053" s="1077"/>
      <c r="J7053" s="1077"/>
      <c r="K7053" s="1077"/>
      <c r="L7053" s="1077"/>
      <c r="M7053" s="1077"/>
    </row>
    <row r="7054" spans="5:13">
      <c r="E7054" s="1077"/>
      <c r="F7054" s="1077"/>
      <c r="G7054" s="1077"/>
      <c r="H7054" s="1077"/>
      <c r="I7054" s="1077"/>
      <c r="J7054" s="1077"/>
      <c r="K7054" s="1077"/>
      <c r="L7054" s="1077"/>
      <c r="M7054" s="1077"/>
    </row>
    <row r="7055" spans="5:13">
      <c r="E7055" s="1077"/>
      <c r="F7055" s="1077"/>
      <c r="G7055" s="1077"/>
      <c r="H7055" s="1077"/>
      <c r="I7055" s="1077"/>
      <c r="J7055" s="1077"/>
      <c r="K7055" s="1077"/>
      <c r="L7055" s="1077"/>
      <c r="M7055" s="1077"/>
    </row>
    <row r="7056" spans="5:13">
      <c r="E7056" s="1077"/>
      <c r="F7056" s="1077"/>
      <c r="G7056" s="1077"/>
      <c r="H7056" s="1077"/>
      <c r="I7056" s="1077"/>
      <c r="J7056" s="1077"/>
      <c r="K7056" s="1077"/>
      <c r="L7056" s="1077"/>
      <c r="M7056" s="1077"/>
    </row>
    <row r="7057" spans="5:13">
      <c r="E7057" s="1077"/>
      <c r="F7057" s="1077"/>
      <c r="G7057" s="1077"/>
      <c r="H7057" s="1077"/>
      <c r="I7057" s="1077"/>
      <c r="J7057" s="1077"/>
      <c r="K7057" s="1077"/>
      <c r="L7057" s="1077"/>
      <c r="M7057" s="1077"/>
    </row>
    <row r="7058" spans="5:13">
      <c r="E7058" s="1077"/>
      <c r="F7058" s="1077"/>
      <c r="G7058" s="1077"/>
      <c r="H7058" s="1077"/>
      <c r="I7058" s="1077"/>
      <c r="J7058" s="1077"/>
      <c r="K7058" s="1077"/>
      <c r="L7058" s="1077"/>
      <c r="M7058" s="1077"/>
    </row>
    <row r="7059" spans="5:13">
      <c r="E7059" s="1077"/>
      <c r="F7059" s="1077"/>
      <c r="G7059" s="1077"/>
      <c r="H7059" s="1077"/>
      <c r="I7059" s="1077"/>
      <c r="J7059" s="1077"/>
      <c r="K7059" s="1077"/>
      <c r="L7059" s="1077"/>
      <c r="M7059" s="1077"/>
    </row>
    <row r="7060" spans="5:13">
      <c r="E7060" s="1077"/>
      <c r="F7060" s="1077"/>
      <c r="G7060" s="1077"/>
      <c r="H7060" s="1077"/>
      <c r="I7060" s="1077"/>
      <c r="J7060" s="1077"/>
      <c r="K7060" s="1077"/>
      <c r="L7060" s="1077"/>
      <c r="M7060" s="1077"/>
    </row>
    <row r="7061" spans="5:13">
      <c r="E7061" s="1077"/>
      <c r="F7061" s="1077"/>
      <c r="G7061" s="1077"/>
      <c r="H7061" s="1077"/>
      <c r="I7061" s="1077"/>
      <c r="J7061" s="1077"/>
      <c r="K7061" s="1077"/>
      <c r="L7061" s="1077"/>
      <c r="M7061" s="1077"/>
    </row>
    <row r="7062" spans="5:13">
      <c r="E7062" s="1077"/>
      <c r="F7062" s="1077"/>
      <c r="G7062" s="1077"/>
      <c r="H7062" s="1077"/>
      <c r="I7062" s="1077"/>
      <c r="J7062" s="1077"/>
      <c r="K7062" s="1077"/>
      <c r="L7062" s="1077"/>
      <c r="M7062" s="1077"/>
    </row>
    <row r="7063" spans="5:13">
      <c r="E7063" s="1077"/>
      <c r="F7063" s="1077"/>
      <c r="G7063" s="1077"/>
      <c r="H7063" s="1077"/>
      <c r="I7063" s="1077"/>
      <c r="J7063" s="1077"/>
      <c r="K7063" s="1077"/>
      <c r="L7063" s="1077"/>
      <c r="M7063" s="1077"/>
    </row>
    <row r="7064" spans="5:13">
      <c r="E7064" s="1077"/>
      <c r="F7064" s="1077"/>
      <c r="G7064" s="1077"/>
      <c r="H7064" s="1077"/>
      <c r="I7064" s="1077"/>
      <c r="J7064" s="1077"/>
      <c r="K7064" s="1077"/>
      <c r="L7064" s="1077"/>
      <c r="M7064" s="1077"/>
    </row>
    <row r="7065" spans="5:13">
      <c r="E7065" s="1077"/>
      <c r="F7065" s="1077"/>
      <c r="G7065" s="1077"/>
      <c r="H7065" s="1077"/>
      <c r="I7065" s="1077"/>
      <c r="J7065" s="1077"/>
      <c r="K7065" s="1077"/>
      <c r="L7065" s="1077"/>
      <c r="M7065" s="1077"/>
    </row>
    <row r="7066" spans="5:13">
      <c r="E7066" s="1077"/>
      <c r="F7066" s="1077"/>
      <c r="G7066" s="1077"/>
      <c r="H7066" s="1077"/>
      <c r="I7066" s="1077"/>
      <c r="J7066" s="1077"/>
      <c r="K7066" s="1077"/>
      <c r="L7066" s="1077"/>
      <c r="M7066" s="1077"/>
    </row>
    <row r="7067" spans="5:13">
      <c r="E7067" s="1077"/>
      <c r="F7067" s="1077"/>
      <c r="G7067" s="1077"/>
      <c r="H7067" s="1077"/>
      <c r="I7067" s="1077"/>
      <c r="J7067" s="1077"/>
      <c r="K7067" s="1077"/>
      <c r="L7067" s="1077"/>
      <c r="M7067" s="1077"/>
    </row>
    <row r="7068" spans="5:13">
      <c r="E7068" s="1077"/>
      <c r="F7068" s="1077"/>
      <c r="G7068" s="1077"/>
      <c r="H7068" s="1077"/>
      <c r="I7068" s="1077"/>
      <c r="J7068" s="1077"/>
      <c r="K7068" s="1077"/>
      <c r="L7068" s="1077"/>
      <c r="M7068" s="1077"/>
    </row>
    <row r="7069" spans="5:13">
      <c r="E7069" s="1077"/>
      <c r="F7069" s="1077"/>
      <c r="G7069" s="1077"/>
      <c r="H7069" s="1077"/>
      <c r="I7069" s="1077"/>
      <c r="J7069" s="1077"/>
      <c r="K7069" s="1077"/>
      <c r="L7069" s="1077"/>
      <c r="M7069" s="1077"/>
    </row>
    <row r="7070" spans="5:13">
      <c r="E7070" s="1077"/>
      <c r="F7070" s="1077"/>
      <c r="G7070" s="1077"/>
      <c r="H7070" s="1077"/>
      <c r="I7070" s="1077"/>
      <c r="J7070" s="1077"/>
      <c r="K7070" s="1077"/>
      <c r="L7070" s="1077"/>
      <c r="M7070" s="1077"/>
    </row>
    <row r="7071" spans="5:13">
      <c r="E7071" s="1077"/>
      <c r="F7071" s="1077"/>
      <c r="G7071" s="1077"/>
      <c r="H7071" s="1077"/>
      <c r="I7071" s="1077"/>
      <c r="J7071" s="1077"/>
      <c r="K7071" s="1077"/>
      <c r="L7071" s="1077"/>
      <c r="M7071" s="1077"/>
    </row>
    <row r="7072" spans="5:13">
      <c r="E7072" s="1077"/>
      <c r="F7072" s="1077"/>
      <c r="G7072" s="1077"/>
      <c r="H7072" s="1077"/>
      <c r="I7072" s="1077"/>
      <c r="J7072" s="1077"/>
      <c r="K7072" s="1077"/>
      <c r="L7072" s="1077"/>
      <c r="M7072" s="1077"/>
    </row>
    <row r="7073" spans="5:13">
      <c r="E7073" s="1077"/>
      <c r="F7073" s="1077"/>
      <c r="G7073" s="1077"/>
      <c r="H7073" s="1077"/>
      <c r="I7073" s="1077"/>
      <c r="J7073" s="1077"/>
      <c r="K7073" s="1077"/>
      <c r="L7073" s="1077"/>
      <c r="M7073" s="1077"/>
    </row>
    <row r="7074" spans="5:13">
      <c r="E7074" s="1077"/>
      <c r="F7074" s="1077"/>
      <c r="G7074" s="1077"/>
      <c r="H7074" s="1077"/>
      <c r="I7074" s="1077"/>
      <c r="J7074" s="1077"/>
      <c r="K7074" s="1077"/>
      <c r="L7074" s="1077"/>
      <c r="M7074" s="1077"/>
    </row>
    <row r="7075" spans="5:13">
      <c r="E7075" s="1077"/>
      <c r="F7075" s="1077"/>
      <c r="G7075" s="1077"/>
      <c r="H7075" s="1077"/>
      <c r="I7075" s="1077"/>
      <c r="J7075" s="1077"/>
      <c r="K7075" s="1077"/>
      <c r="L7075" s="1077"/>
      <c r="M7075" s="1077"/>
    </row>
    <row r="7076" spans="5:13">
      <c r="E7076" s="1077"/>
      <c r="F7076" s="1077"/>
      <c r="G7076" s="1077"/>
      <c r="H7076" s="1077"/>
      <c r="I7076" s="1077"/>
      <c r="J7076" s="1077"/>
      <c r="K7076" s="1077"/>
      <c r="L7076" s="1077"/>
      <c r="M7076" s="1077"/>
    </row>
    <row r="7077" spans="5:13">
      <c r="E7077" s="1077"/>
      <c r="F7077" s="1077"/>
      <c r="G7077" s="1077"/>
      <c r="H7077" s="1077"/>
      <c r="I7077" s="1077"/>
      <c r="J7077" s="1077"/>
      <c r="K7077" s="1077"/>
      <c r="L7077" s="1077"/>
      <c r="M7077" s="1077"/>
    </row>
    <row r="7078" spans="5:13">
      <c r="E7078" s="1077"/>
      <c r="F7078" s="1077"/>
      <c r="G7078" s="1077"/>
      <c r="H7078" s="1077"/>
      <c r="I7078" s="1077"/>
      <c r="J7078" s="1077"/>
      <c r="K7078" s="1077"/>
      <c r="L7078" s="1077"/>
      <c r="M7078" s="1077"/>
    </row>
    <row r="7079" spans="5:13">
      <c r="E7079" s="1077"/>
      <c r="F7079" s="1077"/>
      <c r="G7079" s="1077"/>
      <c r="H7079" s="1077"/>
      <c r="I7079" s="1077"/>
      <c r="J7079" s="1077"/>
      <c r="K7079" s="1077"/>
      <c r="L7079" s="1077"/>
      <c r="M7079" s="1077"/>
    </row>
    <row r="7080" spans="5:13">
      <c r="E7080" s="1077"/>
      <c r="F7080" s="1077"/>
      <c r="G7080" s="1077"/>
      <c r="H7080" s="1077"/>
      <c r="I7080" s="1077"/>
      <c r="J7080" s="1077"/>
      <c r="K7080" s="1077"/>
      <c r="L7080" s="1077"/>
      <c r="M7080" s="1077"/>
    </row>
    <row r="7081" spans="5:13">
      <c r="E7081" s="1077"/>
      <c r="F7081" s="1077"/>
      <c r="G7081" s="1077"/>
      <c r="H7081" s="1077"/>
      <c r="I7081" s="1077"/>
      <c r="J7081" s="1077"/>
      <c r="K7081" s="1077"/>
      <c r="L7081" s="1077"/>
      <c r="M7081" s="1077"/>
    </row>
    <row r="7082" spans="5:13">
      <c r="E7082" s="1077"/>
      <c r="F7082" s="1077"/>
      <c r="G7082" s="1077"/>
      <c r="H7082" s="1077"/>
      <c r="I7082" s="1077"/>
      <c r="J7082" s="1077"/>
      <c r="K7082" s="1077"/>
      <c r="L7082" s="1077"/>
      <c r="M7082" s="1077"/>
    </row>
    <row r="7083" spans="5:13">
      <c r="E7083" s="1077"/>
      <c r="F7083" s="1077"/>
      <c r="G7083" s="1077"/>
      <c r="H7083" s="1077"/>
      <c r="I7083" s="1077"/>
      <c r="J7083" s="1077"/>
      <c r="K7083" s="1077"/>
      <c r="L7083" s="1077"/>
      <c r="M7083" s="1077"/>
    </row>
    <row r="7084" spans="5:13">
      <c r="E7084" s="1077"/>
      <c r="F7084" s="1077"/>
      <c r="G7084" s="1077"/>
      <c r="H7084" s="1077"/>
      <c r="I7084" s="1077"/>
      <c r="J7084" s="1077"/>
      <c r="K7084" s="1077"/>
      <c r="L7084" s="1077"/>
      <c r="M7084" s="1077"/>
    </row>
    <row r="7085" spans="5:13">
      <c r="E7085" s="1077"/>
      <c r="F7085" s="1077"/>
      <c r="G7085" s="1077"/>
      <c r="H7085" s="1077"/>
      <c r="I7085" s="1077"/>
      <c r="J7085" s="1077"/>
      <c r="K7085" s="1077"/>
      <c r="L7085" s="1077"/>
      <c r="M7085" s="1077"/>
    </row>
    <row r="7086" spans="5:13">
      <c r="E7086" s="1077"/>
      <c r="F7086" s="1077"/>
      <c r="G7086" s="1077"/>
      <c r="H7086" s="1077"/>
      <c r="I7086" s="1077"/>
      <c r="J7086" s="1077"/>
      <c r="K7086" s="1077"/>
      <c r="L7086" s="1077"/>
      <c r="M7086" s="1077"/>
    </row>
    <row r="7087" spans="5:13">
      <c r="E7087" s="1077"/>
      <c r="F7087" s="1077"/>
      <c r="G7087" s="1077"/>
      <c r="H7087" s="1077"/>
      <c r="I7087" s="1077"/>
      <c r="J7087" s="1077"/>
      <c r="K7087" s="1077"/>
      <c r="L7087" s="1077"/>
      <c r="M7087" s="1077"/>
    </row>
    <row r="7088" spans="5:13">
      <c r="E7088" s="1077"/>
      <c r="F7088" s="1077"/>
      <c r="G7088" s="1077"/>
      <c r="H7088" s="1077"/>
      <c r="I7088" s="1077"/>
      <c r="J7088" s="1077"/>
      <c r="K7088" s="1077"/>
      <c r="L7088" s="1077"/>
      <c r="M7088" s="1077"/>
    </row>
    <row r="7089" spans="5:13">
      <c r="E7089" s="1077"/>
      <c r="F7089" s="1077"/>
      <c r="G7089" s="1077"/>
      <c r="H7089" s="1077"/>
      <c r="I7089" s="1077"/>
      <c r="J7089" s="1077"/>
      <c r="K7089" s="1077"/>
      <c r="L7089" s="1077"/>
      <c r="M7089" s="1077"/>
    </row>
    <row r="7090" spans="5:13">
      <c r="E7090" s="1077"/>
      <c r="F7090" s="1077"/>
      <c r="G7090" s="1077"/>
      <c r="H7090" s="1077"/>
      <c r="I7090" s="1077"/>
      <c r="J7090" s="1077"/>
      <c r="K7090" s="1077"/>
      <c r="L7090" s="1077"/>
      <c r="M7090" s="1077"/>
    </row>
    <row r="7091" spans="5:13">
      <c r="E7091" s="1077"/>
      <c r="F7091" s="1077"/>
      <c r="G7091" s="1077"/>
      <c r="H7091" s="1077"/>
      <c r="I7091" s="1077"/>
      <c r="J7091" s="1077"/>
      <c r="K7091" s="1077"/>
      <c r="L7091" s="1077"/>
      <c r="M7091" s="1077"/>
    </row>
    <row r="7092" spans="5:13">
      <c r="E7092" s="1077"/>
      <c r="F7092" s="1077"/>
      <c r="G7092" s="1077"/>
      <c r="H7092" s="1077"/>
      <c r="I7092" s="1077"/>
      <c r="J7092" s="1077"/>
      <c r="K7092" s="1077"/>
      <c r="L7092" s="1077"/>
      <c r="M7092" s="1077"/>
    </row>
    <row r="7093" spans="5:13">
      <c r="E7093" s="1077"/>
      <c r="F7093" s="1077"/>
      <c r="G7093" s="1077"/>
      <c r="H7093" s="1077"/>
      <c r="I7093" s="1077"/>
      <c r="J7093" s="1077"/>
      <c r="K7093" s="1077"/>
      <c r="L7093" s="1077"/>
      <c r="M7093" s="1077"/>
    </row>
    <row r="7094" spans="5:13">
      <c r="E7094" s="1077"/>
      <c r="F7094" s="1077"/>
      <c r="G7094" s="1077"/>
      <c r="H7094" s="1077"/>
      <c r="I7094" s="1077"/>
      <c r="J7094" s="1077"/>
      <c r="K7094" s="1077"/>
      <c r="L7094" s="1077"/>
      <c r="M7094" s="1077"/>
    </row>
    <row r="7095" spans="5:13">
      <c r="E7095" s="1077"/>
      <c r="F7095" s="1077"/>
      <c r="G7095" s="1077"/>
      <c r="H7095" s="1077"/>
      <c r="I7095" s="1077"/>
      <c r="J7095" s="1077"/>
      <c r="K7095" s="1077"/>
      <c r="L7095" s="1077"/>
      <c r="M7095" s="1077"/>
    </row>
    <row r="7096" spans="5:13">
      <c r="E7096" s="1077"/>
      <c r="F7096" s="1077"/>
      <c r="G7096" s="1077"/>
      <c r="H7096" s="1077"/>
      <c r="I7096" s="1077"/>
      <c r="J7096" s="1077"/>
      <c r="K7096" s="1077"/>
      <c r="L7096" s="1077"/>
      <c r="M7096" s="1077"/>
    </row>
    <row r="7097" spans="5:13">
      <c r="E7097" s="1077"/>
      <c r="F7097" s="1077"/>
      <c r="G7097" s="1077"/>
      <c r="H7097" s="1077"/>
      <c r="I7097" s="1077"/>
      <c r="J7097" s="1077"/>
      <c r="K7097" s="1077"/>
      <c r="L7097" s="1077"/>
      <c r="M7097" s="1077"/>
    </row>
    <row r="7098" spans="5:13">
      <c r="E7098" s="1077"/>
      <c r="F7098" s="1077"/>
      <c r="G7098" s="1077"/>
      <c r="H7098" s="1077"/>
      <c r="I7098" s="1077"/>
      <c r="J7098" s="1077"/>
      <c r="K7098" s="1077"/>
      <c r="L7098" s="1077"/>
      <c r="M7098" s="1077"/>
    </row>
    <row r="7099" spans="5:13">
      <c r="E7099" s="1077"/>
      <c r="F7099" s="1077"/>
      <c r="G7099" s="1077"/>
      <c r="H7099" s="1077"/>
      <c r="I7099" s="1077"/>
      <c r="J7099" s="1077"/>
      <c r="K7099" s="1077"/>
      <c r="L7099" s="1077"/>
      <c r="M7099" s="1077"/>
    </row>
    <row r="7100" spans="5:13">
      <c r="E7100" s="1077"/>
      <c r="F7100" s="1077"/>
      <c r="G7100" s="1077"/>
      <c r="H7100" s="1077"/>
      <c r="I7100" s="1077"/>
      <c r="J7100" s="1077"/>
      <c r="K7100" s="1077"/>
      <c r="L7100" s="1077"/>
      <c r="M7100" s="1077"/>
    </row>
    <row r="7101" spans="5:13">
      <c r="E7101" s="1077"/>
      <c r="F7101" s="1077"/>
      <c r="G7101" s="1077"/>
      <c r="H7101" s="1077"/>
      <c r="I7101" s="1077"/>
      <c r="J7101" s="1077"/>
      <c r="K7101" s="1077"/>
      <c r="L7101" s="1077"/>
      <c r="M7101" s="1077"/>
    </row>
    <row r="7102" spans="5:13">
      <c r="E7102" s="1077"/>
      <c r="F7102" s="1077"/>
      <c r="G7102" s="1077"/>
      <c r="H7102" s="1077"/>
      <c r="I7102" s="1077"/>
      <c r="J7102" s="1077"/>
      <c r="K7102" s="1077"/>
      <c r="L7102" s="1077"/>
      <c r="M7102" s="1077"/>
    </row>
    <row r="7103" spans="5:13">
      <c r="E7103" s="1077"/>
      <c r="F7103" s="1077"/>
      <c r="G7103" s="1077"/>
      <c r="H7103" s="1077"/>
      <c r="I7103" s="1077"/>
      <c r="J7103" s="1077"/>
      <c r="K7103" s="1077"/>
      <c r="L7103" s="1077"/>
      <c r="M7103" s="1077"/>
    </row>
    <row r="7104" spans="5:13">
      <c r="E7104" s="1077"/>
      <c r="F7104" s="1077"/>
      <c r="G7104" s="1077"/>
      <c r="H7104" s="1077"/>
      <c r="I7104" s="1077"/>
      <c r="J7104" s="1077"/>
      <c r="K7104" s="1077"/>
      <c r="L7104" s="1077"/>
      <c r="M7104" s="1077"/>
    </row>
    <row r="7105" spans="5:13">
      <c r="E7105" s="1077"/>
      <c r="F7105" s="1077"/>
      <c r="G7105" s="1077"/>
      <c r="H7105" s="1077"/>
      <c r="I7105" s="1077"/>
      <c r="J7105" s="1077"/>
      <c r="K7105" s="1077"/>
      <c r="L7105" s="1077"/>
      <c r="M7105" s="1077"/>
    </row>
    <row r="7106" spans="5:13">
      <c r="E7106" s="1077"/>
      <c r="F7106" s="1077"/>
      <c r="G7106" s="1077"/>
      <c r="H7106" s="1077"/>
      <c r="I7106" s="1077"/>
      <c r="J7106" s="1077"/>
      <c r="K7106" s="1077"/>
      <c r="L7106" s="1077"/>
      <c r="M7106" s="1077"/>
    </row>
    <row r="7107" spans="5:13">
      <c r="E7107" s="1077"/>
      <c r="F7107" s="1077"/>
      <c r="G7107" s="1077"/>
      <c r="H7107" s="1077"/>
      <c r="I7107" s="1077"/>
      <c r="J7107" s="1077"/>
      <c r="K7107" s="1077"/>
      <c r="L7107" s="1077"/>
      <c r="M7107" s="1077"/>
    </row>
    <row r="7108" spans="5:13">
      <c r="E7108" s="1077"/>
      <c r="F7108" s="1077"/>
      <c r="G7108" s="1077"/>
      <c r="H7108" s="1077"/>
      <c r="I7108" s="1077"/>
      <c r="J7108" s="1077"/>
      <c r="K7108" s="1077"/>
      <c r="L7108" s="1077"/>
      <c r="M7108" s="1077"/>
    </row>
    <row r="7109" spans="5:13">
      <c r="E7109" s="1077"/>
      <c r="F7109" s="1077"/>
      <c r="G7109" s="1077"/>
      <c r="H7109" s="1077"/>
      <c r="I7109" s="1077"/>
      <c r="J7109" s="1077"/>
      <c r="K7109" s="1077"/>
      <c r="L7109" s="1077"/>
      <c r="M7109" s="1077"/>
    </row>
    <row r="7110" spans="5:13">
      <c r="E7110" s="1077"/>
      <c r="F7110" s="1077"/>
      <c r="G7110" s="1077"/>
      <c r="H7110" s="1077"/>
      <c r="I7110" s="1077"/>
      <c r="J7110" s="1077"/>
      <c r="K7110" s="1077"/>
      <c r="L7110" s="1077"/>
      <c r="M7110" s="1077"/>
    </row>
    <row r="7111" spans="5:13">
      <c r="E7111" s="1077"/>
      <c r="F7111" s="1077"/>
      <c r="G7111" s="1077"/>
      <c r="H7111" s="1077"/>
      <c r="I7111" s="1077"/>
      <c r="J7111" s="1077"/>
      <c r="K7111" s="1077"/>
      <c r="L7111" s="1077"/>
      <c r="M7111" s="1077"/>
    </row>
    <row r="7112" spans="5:13">
      <c r="E7112" s="1077"/>
      <c r="F7112" s="1077"/>
      <c r="G7112" s="1077"/>
      <c r="H7112" s="1077"/>
      <c r="I7112" s="1077"/>
      <c r="J7112" s="1077"/>
      <c r="K7112" s="1077"/>
      <c r="L7112" s="1077"/>
      <c r="M7112" s="1077"/>
    </row>
    <row r="7113" spans="5:13">
      <c r="E7113" s="1077"/>
      <c r="F7113" s="1077"/>
      <c r="G7113" s="1077"/>
      <c r="H7113" s="1077"/>
      <c r="I7113" s="1077"/>
      <c r="J7113" s="1077"/>
      <c r="K7113" s="1077"/>
      <c r="L7113" s="1077"/>
      <c r="M7113" s="1077"/>
    </row>
    <row r="7114" spans="5:13">
      <c r="E7114" s="1077"/>
      <c r="F7114" s="1077"/>
      <c r="G7114" s="1077"/>
      <c r="H7114" s="1077"/>
      <c r="I7114" s="1077"/>
      <c r="J7114" s="1077"/>
      <c r="K7114" s="1077"/>
      <c r="L7114" s="1077"/>
      <c r="M7114" s="1077"/>
    </row>
    <row r="7115" spans="5:13">
      <c r="E7115" s="1077"/>
      <c r="F7115" s="1077"/>
      <c r="G7115" s="1077"/>
      <c r="H7115" s="1077"/>
      <c r="I7115" s="1077"/>
      <c r="J7115" s="1077"/>
      <c r="K7115" s="1077"/>
      <c r="L7115" s="1077"/>
      <c r="M7115" s="1077"/>
    </row>
    <row r="7116" spans="5:13">
      <c r="E7116" s="1077"/>
      <c r="F7116" s="1077"/>
      <c r="G7116" s="1077"/>
      <c r="H7116" s="1077"/>
      <c r="I7116" s="1077"/>
      <c r="J7116" s="1077"/>
      <c r="K7116" s="1077"/>
      <c r="L7116" s="1077"/>
      <c r="M7116" s="1077"/>
    </row>
    <row r="7117" spans="5:13">
      <c r="E7117" s="1077"/>
      <c r="F7117" s="1077"/>
      <c r="G7117" s="1077"/>
      <c r="H7117" s="1077"/>
      <c r="I7117" s="1077"/>
      <c r="J7117" s="1077"/>
      <c r="K7117" s="1077"/>
      <c r="L7117" s="1077"/>
      <c r="M7117" s="1077"/>
    </row>
    <row r="7118" spans="5:13">
      <c r="E7118" s="1077"/>
      <c r="F7118" s="1077"/>
      <c r="G7118" s="1077"/>
      <c r="H7118" s="1077"/>
      <c r="I7118" s="1077"/>
      <c r="J7118" s="1077"/>
      <c r="K7118" s="1077"/>
      <c r="L7118" s="1077"/>
      <c r="M7118" s="1077"/>
    </row>
    <row r="7119" spans="5:13">
      <c r="E7119" s="1077"/>
      <c r="F7119" s="1077"/>
      <c r="G7119" s="1077"/>
      <c r="H7119" s="1077"/>
      <c r="I7119" s="1077"/>
      <c r="J7119" s="1077"/>
      <c r="K7119" s="1077"/>
      <c r="L7119" s="1077"/>
      <c r="M7119" s="1077"/>
    </row>
    <row r="7120" spans="5:13">
      <c r="E7120" s="1077"/>
      <c r="F7120" s="1077"/>
      <c r="G7120" s="1077"/>
      <c r="H7120" s="1077"/>
      <c r="I7120" s="1077"/>
      <c r="J7120" s="1077"/>
      <c r="K7120" s="1077"/>
      <c r="L7120" s="1077"/>
      <c r="M7120" s="1077"/>
    </row>
    <row r="7121" spans="5:13">
      <c r="E7121" s="1077"/>
      <c r="F7121" s="1077"/>
      <c r="G7121" s="1077"/>
      <c r="H7121" s="1077"/>
      <c r="I7121" s="1077"/>
      <c r="J7121" s="1077"/>
      <c r="K7121" s="1077"/>
      <c r="L7121" s="1077"/>
      <c r="M7121" s="1077"/>
    </row>
    <row r="7122" spans="5:13">
      <c r="E7122" s="1077"/>
      <c r="F7122" s="1077"/>
      <c r="G7122" s="1077"/>
      <c r="H7122" s="1077"/>
      <c r="I7122" s="1077"/>
      <c r="J7122" s="1077"/>
      <c r="K7122" s="1077"/>
      <c r="L7122" s="1077"/>
      <c r="M7122" s="1077"/>
    </row>
    <row r="7123" spans="5:13">
      <c r="E7123" s="1077"/>
      <c r="F7123" s="1077"/>
      <c r="G7123" s="1077"/>
      <c r="H7123" s="1077"/>
      <c r="I7123" s="1077"/>
      <c r="J7123" s="1077"/>
      <c r="K7123" s="1077"/>
      <c r="L7123" s="1077"/>
      <c r="M7123" s="1077"/>
    </row>
    <row r="7124" spans="5:13">
      <c r="E7124" s="1077"/>
      <c r="F7124" s="1077"/>
      <c r="G7124" s="1077"/>
      <c r="H7124" s="1077"/>
      <c r="I7124" s="1077"/>
      <c r="J7124" s="1077"/>
      <c r="K7124" s="1077"/>
      <c r="L7124" s="1077"/>
      <c r="M7124" s="1077"/>
    </row>
    <row r="7125" spans="5:13">
      <c r="E7125" s="1077"/>
      <c r="F7125" s="1077"/>
      <c r="G7125" s="1077"/>
      <c r="H7125" s="1077"/>
      <c r="I7125" s="1077"/>
      <c r="J7125" s="1077"/>
      <c r="K7125" s="1077"/>
      <c r="L7125" s="1077"/>
      <c r="M7125" s="1077"/>
    </row>
    <row r="7126" spans="5:13">
      <c r="E7126" s="1077"/>
      <c r="F7126" s="1077"/>
      <c r="G7126" s="1077"/>
      <c r="H7126" s="1077"/>
      <c r="I7126" s="1077"/>
      <c r="J7126" s="1077"/>
      <c r="K7126" s="1077"/>
      <c r="L7126" s="1077"/>
      <c r="M7126" s="1077"/>
    </row>
    <row r="7127" spans="5:13">
      <c r="E7127" s="1077"/>
      <c r="F7127" s="1077"/>
      <c r="G7127" s="1077"/>
      <c r="H7127" s="1077"/>
      <c r="I7127" s="1077"/>
      <c r="J7127" s="1077"/>
      <c r="K7127" s="1077"/>
      <c r="L7127" s="1077"/>
      <c r="M7127" s="1077"/>
    </row>
    <row r="7128" spans="5:13">
      <c r="E7128" s="1077"/>
      <c r="F7128" s="1077"/>
      <c r="G7128" s="1077"/>
      <c r="H7128" s="1077"/>
      <c r="I7128" s="1077"/>
      <c r="J7128" s="1077"/>
      <c r="K7128" s="1077"/>
      <c r="L7128" s="1077"/>
      <c r="M7128" s="1077"/>
    </row>
    <row r="7129" spans="5:13">
      <c r="E7129" s="1077"/>
      <c r="F7129" s="1077"/>
      <c r="G7129" s="1077"/>
      <c r="H7129" s="1077"/>
      <c r="I7129" s="1077"/>
      <c r="J7129" s="1077"/>
      <c r="K7129" s="1077"/>
      <c r="L7129" s="1077"/>
      <c r="M7129" s="1077"/>
    </row>
    <row r="7130" spans="5:13">
      <c r="E7130" s="1077"/>
      <c r="F7130" s="1077"/>
      <c r="G7130" s="1077"/>
      <c r="H7130" s="1077"/>
      <c r="I7130" s="1077"/>
      <c r="J7130" s="1077"/>
      <c r="K7130" s="1077"/>
      <c r="L7130" s="1077"/>
      <c r="M7130" s="1077"/>
    </row>
    <row r="7131" spans="5:13">
      <c r="E7131" s="1077"/>
      <c r="F7131" s="1077"/>
      <c r="G7131" s="1077"/>
      <c r="H7131" s="1077"/>
      <c r="I7131" s="1077"/>
      <c r="J7131" s="1077"/>
      <c r="K7131" s="1077"/>
      <c r="L7131" s="1077"/>
      <c r="M7131" s="1077"/>
    </row>
    <row r="7132" spans="5:13">
      <c r="E7132" s="1077"/>
      <c r="F7132" s="1077"/>
      <c r="G7132" s="1077"/>
      <c r="H7132" s="1077"/>
      <c r="I7132" s="1077"/>
      <c r="J7132" s="1077"/>
      <c r="K7132" s="1077"/>
      <c r="L7132" s="1077"/>
      <c r="M7132" s="1077"/>
    </row>
    <row r="7133" spans="5:13">
      <c r="E7133" s="1077"/>
      <c r="F7133" s="1077"/>
      <c r="G7133" s="1077"/>
      <c r="H7133" s="1077"/>
      <c r="I7133" s="1077"/>
      <c r="J7133" s="1077"/>
      <c r="K7133" s="1077"/>
      <c r="L7133" s="1077"/>
      <c r="M7133" s="1077"/>
    </row>
    <row r="7134" spans="5:13">
      <c r="E7134" s="1077"/>
      <c r="F7134" s="1077"/>
      <c r="G7134" s="1077"/>
      <c r="H7134" s="1077"/>
      <c r="I7134" s="1077"/>
      <c r="J7134" s="1077"/>
      <c r="K7134" s="1077"/>
      <c r="L7134" s="1077"/>
      <c r="M7134" s="1077"/>
    </row>
    <row r="7135" spans="5:13">
      <c r="E7135" s="1077"/>
      <c r="F7135" s="1077"/>
      <c r="G7135" s="1077"/>
      <c r="H7135" s="1077"/>
      <c r="I7135" s="1077"/>
      <c r="J7135" s="1077"/>
      <c r="K7135" s="1077"/>
      <c r="L7135" s="1077"/>
      <c r="M7135" s="1077"/>
    </row>
    <row r="7136" spans="5:13">
      <c r="E7136" s="1077"/>
      <c r="F7136" s="1077"/>
      <c r="G7136" s="1077"/>
      <c r="H7136" s="1077"/>
      <c r="I7136" s="1077"/>
      <c r="J7136" s="1077"/>
      <c r="K7136" s="1077"/>
      <c r="L7136" s="1077"/>
      <c r="M7136" s="1077"/>
    </row>
    <row r="7137" spans="5:13">
      <c r="E7137" s="1077"/>
      <c r="F7137" s="1077"/>
      <c r="G7137" s="1077"/>
      <c r="H7137" s="1077"/>
      <c r="I7137" s="1077"/>
      <c r="J7137" s="1077"/>
      <c r="K7137" s="1077"/>
      <c r="L7137" s="1077"/>
      <c r="M7137" s="1077"/>
    </row>
    <row r="7138" spans="5:13">
      <c r="E7138" s="1077"/>
      <c r="F7138" s="1077"/>
      <c r="G7138" s="1077"/>
      <c r="H7138" s="1077"/>
      <c r="I7138" s="1077"/>
      <c r="J7138" s="1077"/>
      <c r="K7138" s="1077"/>
      <c r="L7138" s="1077"/>
      <c r="M7138" s="1077"/>
    </row>
    <row r="7139" spans="5:13">
      <c r="E7139" s="1077"/>
      <c r="F7139" s="1077"/>
      <c r="G7139" s="1077"/>
      <c r="H7139" s="1077"/>
      <c r="I7139" s="1077"/>
      <c r="J7139" s="1077"/>
      <c r="K7139" s="1077"/>
      <c r="L7139" s="1077"/>
      <c r="M7139" s="1077"/>
    </row>
    <row r="7140" spans="5:13">
      <c r="E7140" s="1077"/>
      <c r="F7140" s="1077"/>
      <c r="G7140" s="1077"/>
      <c r="H7140" s="1077"/>
      <c r="I7140" s="1077"/>
      <c r="J7140" s="1077"/>
      <c r="K7140" s="1077"/>
      <c r="L7140" s="1077"/>
      <c r="M7140" s="1077"/>
    </row>
    <row r="7141" spans="5:13">
      <c r="E7141" s="1077"/>
      <c r="F7141" s="1077"/>
      <c r="G7141" s="1077"/>
      <c r="H7141" s="1077"/>
      <c r="I7141" s="1077"/>
      <c r="J7141" s="1077"/>
      <c r="K7141" s="1077"/>
      <c r="L7141" s="1077"/>
      <c r="M7141" s="1077"/>
    </row>
    <row r="7142" spans="5:13">
      <c r="E7142" s="1077"/>
      <c r="F7142" s="1077"/>
      <c r="G7142" s="1077"/>
      <c r="H7142" s="1077"/>
      <c r="I7142" s="1077"/>
      <c r="J7142" s="1077"/>
      <c r="K7142" s="1077"/>
      <c r="L7142" s="1077"/>
      <c r="M7142" s="1077"/>
    </row>
    <row r="7143" spans="5:13">
      <c r="E7143" s="1077"/>
      <c r="F7143" s="1077"/>
      <c r="G7143" s="1077"/>
      <c r="H7143" s="1077"/>
      <c r="I7143" s="1077"/>
      <c r="J7143" s="1077"/>
      <c r="K7143" s="1077"/>
      <c r="L7143" s="1077"/>
      <c r="M7143" s="1077"/>
    </row>
    <row r="7144" spans="5:13">
      <c r="E7144" s="1077"/>
      <c r="F7144" s="1077"/>
      <c r="G7144" s="1077"/>
      <c r="H7144" s="1077"/>
      <c r="I7144" s="1077"/>
      <c r="J7144" s="1077"/>
      <c r="K7144" s="1077"/>
      <c r="L7144" s="1077"/>
      <c r="M7144" s="1077"/>
    </row>
    <row r="7145" spans="5:13">
      <c r="E7145" s="1077"/>
      <c r="F7145" s="1077"/>
      <c r="G7145" s="1077"/>
      <c r="H7145" s="1077"/>
      <c r="I7145" s="1077"/>
      <c r="J7145" s="1077"/>
      <c r="K7145" s="1077"/>
      <c r="L7145" s="1077"/>
      <c r="M7145" s="1077"/>
    </row>
    <row r="7146" spans="5:13">
      <c r="E7146" s="1077"/>
      <c r="F7146" s="1077"/>
      <c r="G7146" s="1077"/>
      <c r="H7146" s="1077"/>
      <c r="I7146" s="1077"/>
      <c r="J7146" s="1077"/>
      <c r="K7146" s="1077"/>
      <c r="L7146" s="1077"/>
      <c r="M7146" s="1077"/>
    </row>
    <row r="7147" spans="5:13">
      <c r="E7147" s="1077"/>
      <c r="F7147" s="1077"/>
      <c r="G7147" s="1077"/>
      <c r="H7147" s="1077"/>
      <c r="I7147" s="1077"/>
      <c r="J7147" s="1077"/>
      <c r="K7147" s="1077"/>
      <c r="L7147" s="1077"/>
      <c r="M7147" s="1077"/>
    </row>
    <row r="7148" spans="5:13">
      <c r="E7148" s="1077"/>
      <c r="F7148" s="1077"/>
      <c r="G7148" s="1077"/>
      <c r="H7148" s="1077"/>
      <c r="I7148" s="1077"/>
      <c r="J7148" s="1077"/>
      <c r="K7148" s="1077"/>
      <c r="L7148" s="1077"/>
      <c r="M7148" s="1077"/>
    </row>
    <row r="7149" spans="5:13">
      <c r="E7149" s="1077"/>
      <c r="F7149" s="1077"/>
      <c r="G7149" s="1077"/>
      <c r="H7149" s="1077"/>
      <c r="I7149" s="1077"/>
      <c r="J7149" s="1077"/>
      <c r="K7149" s="1077"/>
      <c r="L7149" s="1077"/>
      <c r="M7149" s="1077"/>
    </row>
    <row r="7150" spans="5:13">
      <c r="E7150" s="1077"/>
      <c r="F7150" s="1077"/>
      <c r="G7150" s="1077"/>
      <c r="H7150" s="1077"/>
      <c r="I7150" s="1077"/>
      <c r="J7150" s="1077"/>
      <c r="K7150" s="1077"/>
      <c r="L7150" s="1077"/>
      <c r="M7150" s="1077"/>
    </row>
    <row r="7151" spans="5:13">
      <c r="E7151" s="1077"/>
      <c r="F7151" s="1077"/>
      <c r="G7151" s="1077"/>
      <c r="H7151" s="1077"/>
      <c r="I7151" s="1077"/>
      <c r="J7151" s="1077"/>
      <c r="K7151" s="1077"/>
      <c r="L7151" s="1077"/>
      <c r="M7151" s="1077"/>
    </row>
    <row r="7152" spans="5:13">
      <c r="E7152" s="1077"/>
      <c r="F7152" s="1077"/>
      <c r="G7152" s="1077"/>
      <c r="H7152" s="1077"/>
      <c r="I7152" s="1077"/>
      <c r="J7152" s="1077"/>
      <c r="K7152" s="1077"/>
      <c r="L7152" s="1077"/>
      <c r="M7152" s="1077"/>
    </row>
    <row r="7153" spans="5:13">
      <c r="E7153" s="1077"/>
      <c r="F7153" s="1077"/>
      <c r="G7153" s="1077"/>
      <c r="H7153" s="1077"/>
      <c r="I7153" s="1077"/>
      <c r="J7153" s="1077"/>
      <c r="K7153" s="1077"/>
      <c r="L7153" s="1077"/>
      <c r="M7153" s="1077"/>
    </row>
    <row r="7154" spans="5:13">
      <c r="E7154" s="1077"/>
      <c r="F7154" s="1077"/>
      <c r="G7154" s="1077"/>
      <c r="H7154" s="1077"/>
      <c r="I7154" s="1077"/>
      <c r="J7154" s="1077"/>
      <c r="K7154" s="1077"/>
      <c r="L7154" s="1077"/>
      <c r="M7154" s="1077"/>
    </row>
    <row r="7155" spans="5:13">
      <c r="E7155" s="1077"/>
      <c r="F7155" s="1077"/>
      <c r="G7155" s="1077"/>
      <c r="H7155" s="1077"/>
      <c r="I7155" s="1077"/>
      <c r="J7155" s="1077"/>
      <c r="K7155" s="1077"/>
      <c r="L7155" s="1077"/>
      <c r="M7155" s="1077"/>
    </row>
    <row r="7156" spans="5:13">
      <c r="E7156" s="1077"/>
      <c r="F7156" s="1077"/>
      <c r="G7156" s="1077"/>
      <c r="H7156" s="1077"/>
      <c r="I7156" s="1077"/>
      <c r="J7156" s="1077"/>
      <c r="K7156" s="1077"/>
      <c r="L7156" s="1077"/>
      <c r="M7156" s="1077"/>
    </row>
    <row r="7157" spans="5:13">
      <c r="E7157" s="1077"/>
      <c r="F7157" s="1077"/>
      <c r="G7157" s="1077"/>
      <c r="H7157" s="1077"/>
      <c r="I7157" s="1077"/>
      <c r="J7157" s="1077"/>
      <c r="K7157" s="1077"/>
      <c r="L7157" s="1077"/>
      <c r="M7157" s="1077"/>
    </row>
    <row r="7158" spans="5:13">
      <c r="E7158" s="1077"/>
      <c r="F7158" s="1077"/>
      <c r="G7158" s="1077"/>
      <c r="H7158" s="1077"/>
      <c r="I7158" s="1077"/>
      <c r="J7158" s="1077"/>
      <c r="K7158" s="1077"/>
      <c r="L7158" s="1077"/>
      <c r="M7158" s="1077"/>
    </row>
    <row r="7159" spans="5:13">
      <c r="E7159" s="1077"/>
      <c r="F7159" s="1077"/>
      <c r="G7159" s="1077"/>
      <c r="H7159" s="1077"/>
      <c r="I7159" s="1077"/>
      <c r="J7159" s="1077"/>
      <c r="K7159" s="1077"/>
      <c r="L7159" s="1077"/>
      <c r="M7159" s="1077"/>
    </row>
    <row r="7160" spans="5:13">
      <c r="E7160" s="1077"/>
      <c r="F7160" s="1077"/>
      <c r="G7160" s="1077"/>
      <c r="H7160" s="1077"/>
      <c r="I7160" s="1077"/>
      <c r="J7160" s="1077"/>
      <c r="K7160" s="1077"/>
      <c r="L7160" s="1077"/>
      <c r="M7160" s="1077"/>
    </row>
    <row r="7161" spans="5:13">
      <c r="E7161" s="1077"/>
      <c r="F7161" s="1077"/>
      <c r="G7161" s="1077"/>
      <c r="H7161" s="1077"/>
      <c r="I7161" s="1077"/>
      <c r="J7161" s="1077"/>
      <c r="K7161" s="1077"/>
      <c r="L7161" s="1077"/>
      <c r="M7161" s="1077"/>
    </row>
    <row r="7162" spans="5:13">
      <c r="E7162" s="1077"/>
      <c r="F7162" s="1077"/>
      <c r="G7162" s="1077"/>
      <c r="H7162" s="1077"/>
      <c r="I7162" s="1077"/>
      <c r="J7162" s="1077"/>
      <c r="K7162" s="1077"/>
      <c r="L7162" s="1077"/>
      <c r="M7162" s="1077"/>
    </row>
    <row r="7163" spans="5:13">
      <c r="E7163" s="1077"/>
      <c r="F7163" s="1077"/>
      <c r="G7163" s="1077"/>
      <c r="H7163" s="1077"/>
      <c r="I7163" s="1077"/>
      <c r="J7163" s="1077"/>
      <c r="K7163" s="1077"/>
      <c r="L7163" s="1077"/>
      <c r="M7163" s="1077"/>
    </row>
    <row r="7164" spans="5:13">
      <c r="E7164" s="1077"/>
      <c r="F7164" s="1077"/>
      <c r="G7164" s="1077"/>
      <c r="H7164" s="1077"/>
      <c r="I7164" s="1077"/>
      <c r="J7164" s="1077"/>
      <c r="K7164" s="1077"/>
      <c r="L7164" s="1077"/>
      <c r="M7164" s="1077"/>
    </row>
    <row r="7165" spans="5:13">
      <c r="E7165" s="1077"/>
      <c r="F7165" s="1077"/>
      <c r="G7165" s="1077"/>
      <c r="H7165" s="1077"/>
      <c r="I7165" s="1077"/>
      <c r="J7165" s="1077"/>
      <c r="K7165" s="1077"/>
      <c r="L7165" s="1077"/>
      <c r="M7165" s="1077"/>
    </row>
    <row r="7166" spans="5:13">
      <c r="E7166" s="1077"/>
      <c r="F7166" s="1077"/>
      <c r="G7166" s="1077"/>
      <c r="H7166" s="1077"/>
      <c r="I7166" s="1077"/>
      <c r="J7166" s="1077"/>
      <c r="K7166" s="1077"/>
      <c r="L7166" s="1077"/>
      <c r="M7166" s="1077"/>
    </row>
    <row r="7167" spans="5:13">
      <c r="E7167" s="1077"/>
      <c r="F7167" s="1077"/>
      <c r="G7167" s="1077"/>
      <c r="H7167" s="1077"/>
      <c r="I7167" s="1077"/>
      <c r="J7167" s="1077"/>
      <c r="K7167" s="1077"/>
      <c r="L7167" s="1077"/>
      <c r="M7167" s="1077"/>
    </row>
    <row r="7168" spans="5:13">
      <c r="E7168" s="1077"/>
      <c r="F7168" s="1077"/>
      <c r="G7168" s="1077"/>
      <c r="H7168" s="1077"/>
      <c r="I7168" s="1077"/>
      <c r="J7168" s="1077"/>
      <c r="K7168" s="1077"/>
      <c r="L7168" s="1077"/>
      <c r="M7168" s="1077"/>
    </row>
    <row r="7169" spans="5:13">
      <c r="E7169" s="1077"/>
      <c r="F7169" s="1077"/>
      <c r="G7169" s="1077"/>
      <c r="H7169" s="1077"/>
      <c r="I7169" s="1077"/>
      <c r="J7169" s="1077"/>
      <c r="K7169" s="1077"/>
      <c r="L7169" s="1077"/>
      <c r="M7169" s="1077"/>
    </row>
    <row r="7170" spans="5:13">
      <c r="E7170" s="1077"/>
      <c r="F7170" s="1077"/>
      <c r="G7170" s="1077"/>
      <c r="H7170" s="1077"/>
      <c r="I7170" s="1077"/>
      <c r="J7170" s="1077"/>
      <c r="K7170" s="1077"/>
      <c r="L7170" s="1077"/>
      <c r="M7170" s="1077"/>
    </row>
    <row r="7171" spans="5:13">
      <c r="E7171" s="1077"/>
      <c r="F7171" s="1077"/>
      <c r="G7171" s="1077"/>
      <c r="H7171" s="1077"/>
      <c r="I7171" s="1077"/>
      <c r="J7171" s="1077"/>
      <c r="K7171" s="1077"/>
      <c r="L7171" s="1077"/>
      <c r="M7171" s="1077"/>
    </row>
    <row r="7172" spans="5:13">
      <c r="E7172" s="1077"/>
      <c r="F7172" s="1077"/>
      <c r="G7172" s="1077"/>
      <c r="H7172" s="1077"/>
      <c r="I7172" s="1077"/>
      <c r="J7172" s="1077"/>
      <c r="K7172" s="1077"/>
      <c r="L7172" s="1077"/>
      <c r="M7172" s="1077"/>
    </row>
    <row r="7173" spans="5:13">
      <c r="E7173" s="1077"/>
      <c r="F7173" s="1077"/>
      <c r="G7173" s="1077"/>
      <c r="H7173" s="1077"/>
      <c r="I7173" s="1077"/>
      <c r="J7173" s="1077"/>
      <c r="K7173" s="1077"/>
      <c r="L7173" s="1077"/>
      <c r="M7173" s="1077"/>
    </row>
    <row r="7174" spans="5:13">
      <c r="E7174" s="1077"/>
      <c r="F7174" s="1077"/>
      <c r="G7174" s="1077"/>
      <c r="H7174" s="1077"/>
      <c r="I7174" s="1077"/>
      <c r="J7174" s="1077"/>
      <c r="K7174" s="1077"/>
      <c r="L7174" s="1077"/>
      <c r="M7174" s="1077"/>
    </row>
    <row r="7175" spans="5:13">
      <c r="E7175" s="1077"/>
      <c r="F7175" s="1077"/>
      <c r="G7175" s="1077"/>
      <c r="H7175" s="1077"/>
      <c r="I7175" s="1077"/>
      <c r="J7175" s="1077"/>
      <c r="K7175" s="1077"/>
      <c r="L7175" s="1077"/>
      <c r="M7175" s="1077"/>
    </row>
    <row r="7176" spans="5:13">
      <c r="E7176" s="1077"/>
      <c r="F7176" s="1077"/>
      <c r="G7176" s="1077"/>
      <c r="H7176" s="1077"/>
      <c r="I7176" s="1077"/>
      <c r="J7176" s="1077"/>
      <c r="K7176" s="1077"/>
      <c r="L7176" s="1077"/>
      <c r="M7176" s="1077"/>
    </row>
    <row r="7177" spans="5:13">
      <c r="E7177" s="1077"/>
      <c r="F7177" s="1077"/>
      <c r="G7177" s="1077"/>
      <c r="H7177" s="1077"/>
      <c r="I7177" s="1077"/>
      <c r="J7177" s="1077"/>
      <c r="K7177" s="1077"/>
      <c r="L7177" s="1077"/>
      <c r="M7177" s="1077"/>
    </row>
    <row r="7178" spans="5:13">
      <c r="E7178" s="1077"/>
      <c r="F7178" s="1077"/>
      <c r="G7178" s="1077"/>
      <c r="H7178" s="1077"/>
      <c r="I7178" s="1077"/>
      <c r="J7178" s="1077"/>
      <c r="K7178" s="1077"/>
      <c r="L7178" s="1077"/>
      <c r="M7178" s="1077"/>
    </row>
    <row r="7179" spans="5:13">
      <c r="E7179" s="1077"/>
      <c r="F7179" s="1077"/>
      <c r="G7179" s="1077"/>
      <c r="H7179" s="1077"/>
      <c r="I7179" s="1077"/>
      <c r="J7179" s="1077"/>
      <c r="K7179" s="1077"/>
      <c r="L7179" s="1077"/>
      <c r="M7179" s="1077"/>
    </row>
    <row r="7180" spans="5:13">
      <c r="E7180" s="1077"/>
      <c r="F7180" s="1077"/>
      <c r="G7180" s="1077"/>
      <c r="H7180" s="1077"/>
      <c r="I7180" s="1077"/>
      <c r="J7180" s="1077"/>
      <c r="K7180" s="1077"/>
      <c r="L7180" s="1077"/>
      <c r="M7180" s="1077"/>
    </row>
    <row r="7181" spans="5:13">
      <c r="E7181" s="1077"/>
      <c r="F7181" s="1077"/>
      <c r="G7181" s="1077"/>
      <c r="H7181" s="1077"/>
      <c r="I7181" s="1077"/>
      <c r="J7181" s="1077"/>
      <c r="K7181" s="1077"/>
      <c r="L7181" s="1077"/>
      <c r="M7181" s="1077"/>
    </row>
    <row r="7182" spans="5:13">
      <c r="E7182" s="1077"/>
      <c r="F7182" s="1077"/>
      <c r="G7182" s="1077"/>
      <c r="H7182" s="1077"/>
      <c r="I7182" s="1077"/>
      <c r="J7182" s="1077"/>
      <c r="K7182" s="1077"/>
      <c r="L7182" s="1077"/>
      <c r="M7182" s="1077"/>
    </row>
    <row r="7183" spans="5:13">
      <c r="E7183" s="1077"/>
      <c r="F7183" s="1077"/>
      <c r="G7183" s="1077"/>
      <c r="H7183" s="1077"/>
      <c r="I7183" s="1077"/>
      <c r="J7183" s="1077"/>
      <c r="K7183" s="1077"/>
      <c r="L7183" s="1077"/>
      <c r="M7183" s="1077"/>
    </row>
    <row r="7184" spans="5:13">
      <c r="E7184" s="1077"/>
      <c r="F7184" s="1077"/>
      <c r="G7184" s="1077"/>
      <c r="H7184" s="1077"/>
      <c r="I7184" s="1077"/>
      <c r="J7184" s="1077"/>
      <c r="K7184" s="1077"/>
      <c r="L7184" s="1077"/>
      <c r="M7184" s="1077"/>
    </row>
    <row r="7185" spans="5:13">
      <c r="E7185" s="1077"/>
      <c r="F7185" s="1077"/>
      <c r="G7185" s="1077"/>
      <c r="H7185" s="1077"/>
      <c r="I7185" s="1077"/>
      <c r="J7185" s="1077"/>
      <c r="K7185" s="1077"/>
      <c r="L7185" s="1077"/>
      <c r="M7185" s="1077"/>
    </row>
    <row r="7186" spans="5:13">
      <c r="E7186" s="1077"/>
      <c r="F7186" s="1077"/>
      <c r="G7186" s="1077"/>
      <c r="H7186" s="1077"/>
      <c r="I7186" s="1077"/>
      <c r="J7186" s="1077"/>
      <c r="K7186" s="1077"/>
      <c r="L7186" s="1077"/>
      <c r="M7186" s="1077"/>
    </row>
    <row r="7187" spans="5:13">
      <c r="E7187" s="1077"/>
      <c r="F7187" s="1077"/>
      <c r="G7187" s="1077"/>
      <c r="H7187" s="1077"/>
      <c r="I7187" s="1077"/>
      <c r="J7187" s="1077"/>
      <c r="K7187" s="1077"/>
      <c r="L7187" s="1077"/>
      <c r="M7187" s="1077"/>
    </row>
    <row r="7188" spans="5:13">
      <c r="E7188" s="1077"/>
      <c r="F7188" s="1077"/>
      <c r="G7188" s="1077"/>
      <c r="H7188" s="1077"/>
      <c r="I7188" s="1077"/>
      <c r="J7188" s="1077"/>
      <c r="K7188" s="1077"/>
      <c r="L7188" s="1077"/>
      <c r="M7188" s="1077"/>
    </row>
    <row r="7189" spans="5:13">
      <c r="E7189" s="1077"/>
      <c r="F7189" s="1077"/>
      <c r="G7189" s="1077"/>
      <c r="H7189" s="1077"/>
      <c r="I7189" s="1077"/>
      <c r="J7189" s="1077"/>
      <c r="K7189" s="1077"/>
      <c r="L7189" s="1077"/>
      <c r="M7189" s="1077"/>
    </row>
    <row r="7190" spans="5:13">
      <c r="E7190" s="1077"/>
      <c r="F7190" s="1077"/>
      <c r="G7190" s="1077"/>
      <c r="H7190" s="1077"/>
      <c r="I7190" s="1077"/>
      <c r="J7190" s="1077"/>
      <c r="K7190" s="1077"/>
      <c r="L7190" s="1077"/>
      <c r="M7190" s="1077"/>
    </row>
    <row r="7191" spans="5:13">
      <c r="E7191" s="1077"/>
      <c r="F7191" s="1077"/>
      <c r="G7191" s="1077"/>
      <c r="H7191" s="1077"/>
      <c r="I7191" s="1077"/>
      <c r="J7191" s="1077"/>
      <c r="K7191" s="1077"/>
      <c r="L7191" s="1077"/>
      <c r="M7191" s="1077"/>
    </row>
    <row r="7192" spans="5:13">
      <c r="E7192" s="1077"/>
      <c r="F7192" s="1077"/>
      <c r="G7192" s="1077"/>
      <c r="H7192" s="1077"/>
      <c r="I7192" s="1077"/>
      <c r="J7192" s="1077"/>
      <c r="K7192" s="1077"/>
      <c r="L7192" s="1077"/>
      <c r="M7192" s="1077"/>
    </row>
    <row r="7193" spans="5:13">
      <c r="E7193" s="1077"/>
      <c r="F7193" s="1077"/>
      <c r="G7193" s="1077"/>
      <c r="H7193" s="1077"/>
      <c r="I7193" s="1077"/>
      <c r="J7193" s="1077"/>
      <c r="K7193" s="1077"/>
      <c r="L7193" s="1077"/>
      <c r="M7193" s="1077"/>
    </row>
    <row r="7194" spans="5:13">
      <c r="E7194" s="1077"/>
      <c r="F7194" s="1077"/>
      <c r="G7194" s="1077"/>
      <c r="H7194" s="1077"/>
      <c r="I7194" s="1077"/>
      <c r="J7194" s="1077"/>
      <c r="K7194" s="1077"/>
      <c r="L7194" s="1077"/>
      <c r="M7194" s="1077"/>
    </row>
    <row r="7195" spans="5:13">
      <c r="E7195" s="1077"/>
      <c r="F7195" s="1077"/>
      <c r="G7195" s="1077"/>
      <c r="H7195" s="1077"/>
      <c r="I7195" s="1077"/>
      <c r="J7195" s="1077"/>
      <c r="K7195" s="1077"/>
      <c r="L7195" s="1077"/>
      <c r="M7195" s="1077"/>
    </row>
    <row r="7196" spans="5:13">
      <c r="E7196" s="1077"/>
      <c r="F7196" s="1077"/>
      <c r="G7196" s="1077"/>
      <c r="H7196" s="1077"/>
      <c r="I7196" s="1077"/>
      <c r="J7196" s="1077"/>
      <c r="K7196" s="1077"/>
      <c r="L7196" s="1077"/>
      <c r="M7196" s="1077"/>
    </row>
    <row r="7197" spans="5:13">
      <c r="E7197" s="1077"/>
      <c r="F7197" s="1077"/>
      <c r="G7197" s="1077"/>
      <c r="H7197" s="1077"/>
      <c r="I7197" s="1077"/>
      <c r="J7197" s="1077"/>
      <c r="K7197" s="1077"/>
      <c r="L7197" s="1077"/>
      <c r="M7197" s="1077"/>
    </row>
    <row r="7198" spans="5:13">
      <c r="E7198" s="1077"/>
      <c r="F7198" s="1077"/>
      <c r="G7198" s="1077"/>
      <c r="H7198" s="1077"/>
      <c r="I7198" s="1077"/>
      <c r="J7198" s="1077"/>
      <c r="K7198" s="1077"/>
      <c r="L7198" s="1077"/>
      <c r="M7198" s="1077"/>
    </row>
    <row r="7199" spans="5:13">
      <c r="E7199" s="1077"/>
      <c r="F7199" s="1077"/>
      <c r="G7199" s="1077"/>
      <c r="H7199" s="1077"/>
      <c r="I7199" s="1077"/>
      <c r="J7199" s="1077"/>
      <c r="K7199" s="1077"/>
      <c r="L7199" s="1077"/>
      <c r="M7199" s="1077"/>
    </row>
    <row r="7200" spans="5:13">
      <c r="E7200" s="1077"/>
      <c r="F7200" s="1077"/>
      <c r="G7200" s="1077"/>
      <c r="H7200" s="1077"/>
      <c r="I7200" s="1077"/>
      <c r="J7200" s="1077"/>
      <c r="K7200" s="1077"/>
      <c r="L7200" s="1077"/>
      <c r="M7200" s="1077"/>
    </row>
    <row r="7201" spans="5:13">
      <c r="E7201" s="1077"/>
      <c r="F7201" s="1077"/>
      <c r="G7201" s="1077"/>
      <c r="H7201" s="1077"/>
      <c r="I7201" s="1077"/>
      <c r="J7201" s="1077"/>
      <c r="K7201" s="1077"/>
      <c r="L7201" s="1077"/>
      <c r="M7201" s="1077"/>
    </row>
    <row r="7202" spans="5:13">
      <c r="E7202" s="1077"/>
      <c r="F7202" s="1077"/>
      <c r="G7202" s="1077"/>
      <c r="H7202" s="1077"/>
      <c r="I7202" s="1077"/>
      <c r="J7202" s="1077"/>
      <c r="K7202" s="1077"/>
      <c r="L7202" s="1077"/>
      <c r="M7202" s="1077"/>
    </row>
    <row r="7203" spans="5:13">
      <c r="E7203" s="1077"/>
      <c r="F7203" s="1077"/>
      <c r="G7203" s="1077"/>
      <c r="H7203" s="1077"/>
      <c r="I7203" s="1077"/>
      <c r="J7203" s="1077"/>
      <c r="K7203" s="1077"/>
      <c r="L7203" s="1077"/>
      <c r="M7203" s="1077"/>
    </row>
    <row r="7204" spans="5:13">
      <c r="E7204" s="1077"/>
      <c r="F7204" s="1077"/>
      <c r="G7204" s="1077"/>
      <c r="H7204" s="1077"/>
      <c r="I7204" s="1077"/>
      <c r="J7204" s="1077"/>
      <c r="K7204" s="1077"/>
      <c r="L7204" s="1077"/>
      <c r="M7204" s="1077"/>
    </row>
    <row r="7205" spans="5:13">
      <c r="E7205" s="1077"/>
      <c r="F7205" s="1077"/>
      <c r="G7205" s="1077"/>
      <c r="H7205" s="1077"/>
      <c r="I7205" s="1077"/>
      <c r="J7205" s="1077"/>
      <c r="K7205" s="1077"/>
      <c r="L7205" s="1077"/>
      <c r="M7205" s="1077"/>
    </row>
    <row r="7206" spans="5:13">
      <c r="E7206" s="1077"/>
      <c r="F7206" s="1077"/>
      <c r="G7206" s="1077"/>
      <c r="H7206" s="1077"/>
      <c r="I7206" s="1077"/>
      <c r="J7206" s="1077"/>
      <c r="K7206" s="1077"/>
      <c r="L7206" s="1077"/>
      <c r="M7206" s="1077"/>
    </row>
    <row r="7207" spans="5:13">
      <c r="E7207" s="1077"/>
      <c r="F7207" s="1077"/>
      <c r="G7207" s="1077"/>
      <c r="H7207" s="1077"/>
      <c r="I7207" s="1077"/>
      <c r="J7207" s="1077"/>
      <c r="K7207" s="1077"/>
      <c r="L7207" s="1077"/>
      <c r="M7207" s="1077"/>
    </row>
    <row r="7208" spans="5:13">
      <c r="E7208" s="1077"/>
      <c r="F7208" s="1077"/>
      <c r="G7208" s="1077"/>
      <c r="H7208" s="1077"/>
      <c r="I7208" s="1077"/>
      <c r="J7208" s="1077"/>
      <c r="K7208" s="1077"/>
      <c r="L7208" s="1077"/>
      <c r="M7208" s="1077"/>
    </row>
    <row r="7209" spans="5:13">
      <c r="E7209" s="1077"/>
      <c r="F7209" s="1077"/>
      <c r="G7209" s="1077"/>
      <c r="H7209" s="1077"/>
      <c r="I7209" s="1077"/>
      <c r="J7209" s="1077"/>
      <c r="K7209" s="1077"/>
      <c r="L7209" s="1077"/>
      <c r="M7209" s="1077"/>
    </row>
    <row r="7210" spans="5:13">
      <c r="E7210" s="1077"/>
      <c r="F7210" s="1077"/>
      <c r="G7210" s="1077"/>
      <c r="H7210" s="1077"/>
      <c r="I7210" s="1077"/>
      <c r="J7210" s="1077"/>
      <c r="K7210" s="1077"/>
      <c r="L7210" s="1077"/>
      <c r="M7210" s="1077"/>
    </row>
    <row r="7211" spans="5:13">
      <c r="E7211" s="1077"/>
      <c r="F7211" s="1077"/>
      <c r="G7211" s="1077"/>
      <c r="H7211" s="1077"/>
      <c r="I7211" s="1077"/>
      <c r="J7211" s="1077"/>
      <c r="K7211" s="1077"/>
      <c r="L7211" s="1077"/>
      <c r="M7211" s="1077"/>
    </row>
    <row r="7212" spans="5:13">
      <c r="E7212" s="1077"/>
      <c r="F7212" s="1077"/>
      <c r="G7212" s="1077"/>
      <c r="H7212" s="1077"/>
      <c r="I7212" s="1077"/>
      <c r="J7212" s="1077"/>
      <c r="K7212" s="1077"/>
      <c r="L7212" s="1077"/>
      <c r="M7212" s="1077"/>
    </row>
    <row r="7213" spans="5:13">
      <c r="E7213" s="1077"/>
      <c r="F7213" s="1077"/>
      <c r="G7213" s="1077"/>
      <c r="H7213" s="1077"/>
      <c r="I7213" s="1077"/>
      <c r="J7213" s="1077"/>
      <c r="K7213" s="1077"/>
      <c r="L7213" s="1077"/>
      <c r="M7213" s="1077"/>
    </row>
    <row r="7214" spans="5:13">
      <c r="E7214" s="1077"/>
      <c r="F7214" s="1077"/>
      <c r="G7214" s="1077"/>
      <c r="H7214" s="1077"/>
      <c r="I7214" s="1077"/>
      <c r="J7214" s="1077"/>
      <c r="K7214" s="1077"/>
      <c r="L7214" s="1077"/>
      <c r="M7214" s="1077"/>
    </row>
    <row r="7215" spans="5:13">
      <c r="E7215" s="1077"/>
      <c r="F7215" s="1077"/>
      <c r="G7215" s="1077"/>
      <c r="H7215" s="1077"/>
      <c r="I7215" s="1077"/>
      <c r="J7215" s="1077"/>
      <c r="K7215" s="1077"/>
      <c r="L7215" s="1077"/>
      <c r="M7215" s="1077"/>
    </row>
    <row r="7216" spans="5:13">
      <c r="E7216" s="1077"/>
      <c r="F7216" s="1077"/>
      <c r="G7216" s="1077"/>
      <c r="H7216" s="1077"/>
      <c r="I7216" s="1077"/>
      <c r="J7216" s="1077"/>
      <c r="K7216" s="1077"/>
      <c r="L7216" s="1077"/>
      <c r="M7216" s="1077"/>
    </row>
    <row r="7217" spans="5:13">
      <c r="E7217" s="1077"/>
      <c r="F7217" s="1077"/>
      <c r="G7217" s="1077"/>
      <c r="H7217" s="1077"/>
      <c r="I7217" s="1077"/>
      <c r="J7217" s="1077"/>
      <c r="K7217" s="1077"/>
      <c r="L7217" s="1077"/>
      <c r="M7217" s="1077"/>
    </row>
    <row r="7218" spans="5:13">
      <c r="E7218" s="1077"/>
      <c r="F7218" s="1077"/>
      <c r="G7218" s="1077"/>
      <c r="H7218" s="1077"/>
      <c r="I7218" s="1077"/>
      <c r="J7218" s="1077"/>
      <c r="K7218" s="1077"/>
      <c r="L7218" s="1077"/>
      <c r="M7218" s="1077"/>
    </row>
    <row r="7219" spans="5:13">
      <c r="E7219" s="1077"/>
      <c r="F7219" s="1077"/>
      <c r="G7219" s="1077"/>
      <c r="H7219" s="1077"/>
      <c r="I7219" s="1077"/>
      <c r="J7219" s="1077"/>
      <c r="K7219" s="1077"/>
      <c r="L7219" s="1077"/>
      <c r="M7219" s="1077"/>
    </row>
    <row r="7220" spans="5:13">
      <c r="E7220" s="1077"/>
      <c r="F7220" s="1077"/>
      <c r="G7220" s="1077"/>
      <c r="H7220" s="1077"/>
      <c r="I7220" s="1077"/>
      <c r="J7220" s="1077"/>
      <c r="K7220" s="1077"/>
      <c r="L7220" s="1077"/>
      <c r="M7220" s="1077"/>
    </row>
    <row r="7221" spans="5:13">
      <c r="E7221" s="1077"/>
      <c r="F7221" s="1077"/>
      <c r="G7221" s="1077"/>
      <c r="H7221" s="1077"/>
      <c r="I7221" s="1077"/>
      <c r="J7221" s="1077"/>
      <c r="K7221" s="1077"/>
      <c r="L7221" s="1077"/>
      <c r="M7221" s="1077"/>
    </row>
    <row r="7222" spans="5:13">
      <c r="E7222" s="1077"/>
      <c r="F7222" s="1077"/>
      <c r="G7222" s="1077"/>
      <c r="H7222" s="1077"/>
      <c r="I7222" s="1077"/>
      <c r="J7222" s="1077"/>
      <c r="K7222" s="1077"/>
      <c r="L7222" s="1077"/>
      <c r="M7222" s="1077"/>
    </row>
    <row r="7223" spans="5:13">
      <c r="E7223" s="1077"/>
      <c r="F7223" s="1077"/>
      <c r="G7223" s="1077"/>
      <c r="H7223" s="1077"/>
      <c r="I7223" s="1077"/>
      <c r="J7223" s="1077"/>
      <c r="K7223" s="1077"/>
      <c r="L7223" s="1077"/>
      <c r="M7223" s="1077"/>
    </row>
    <row r="7224" spans="5:13">
      <c r="E7224" s="1077"/>
      <c r="F7224" s="1077"/>
      <c r="G7224" s="1077"/>
      <c r="H7224" s="1077"/>
      <c r="I7224" s="1077"/>
      <c r="J7224" s="1077"/>
      <c r="K7224" s="1077"/>
      <c r="L7224" s="1077"/>
      <c r="M7224" s="1077"/>
    </row>
    <row r="7225" spans="5:13">
      <c r="E7225" s="1077"/>
      <c r="F7225" s="1077"/>
      <c r="G7225" s="1077"/>
      <c r="H7225" s="1077"/>
      <c r="I7225" s="1077"/>
      <c r="J7225" s="1077"/>
      <c r="K7225" s="1077"/>
      <c r="L7225" s="1077"/>
      <c r="M7225" s="1077"/>
    </row>
    <row r="7226" spans="5:13">
      <c r="E7226" s="1077"/>
      <c r="F7226" s="1077"/>
      <c r="G7226" s="1077"/>
      <c r="H7226" s="1077"/>
      <c r="I7226" s="1077"/>
      <c r="J7226" s="1077"/>
      <c r="K7226" s="1077"/>
      <c r="L7226" s="1077"/>
      <c r="M7226" s="1077"/>
    </row>
    <row r="7227" spans="5:13">
      <c r="E7227" s="1077"/>
      <c r="F7227" s="1077"/>
      <c r="G7227" s="1077"/>
      <c r="H7227" s="1077"/>
      <c r="I7227" s="1077"/>
      <c r="J7227" s="1077"/>
      <c r="K7227" s="1077"/>
      <c r="L7227" s="1077"/>
      <c r="M7227" s="1077"/>
    </row>
    <row r="7228" spans="5:13">
      <c r="E7228" s="1077"/>
      <c r="F7228" s="1077"/>
      <c r="G7228" s="1077"/>
      <c r="H7228" s="1077"/>
      <c r="I7228" s="1077"/>
      <c r="J7228" s="1077"/>
      <c r="K7228" s="1077"/>
      <c r="L7228" s="1077"/>
      <c r="M7228" s="1077"/>
    </row>
    <row r="7229" spans="5:13">
      <c r="E7229" s="1077"/>
      <c r="F7229" s="1077"/>
      <c r="G7229" s="1077"/>
      <c r="H7229" s="1077"/>
      <c r="I7229" s="1077"/>
      <c r="J7229" s="1077"/>
      <c r="K7229" s="1077"/>
      <c r="L7229" s="1077"/>
      <c r="M7229" s="1077"/>
    </row>
    <row r="7230" spans="5:13">
      <c r="E7230" s="1077"/>
      <c r="F7230" s="1077"/>
      <c r="G7230" s="1077"/>
      <c r="H7230" s="1077"/>
      <c r="I7230" s="1077"/>
      <c r="J7230" s="1077"/>
      <c r="K7230" s="1077"/>
      <c r="L7230" s="1077"/>
      <c r="M7230" s="1077"/>
    </row>
    <row r="7231" spans="5:13">
      <c r="E7231" s="1077"/>
      <c r="F7231" s="1077"/>
      <c r="G7231" s="1077"/>
      <c r="H7231" s="1077"/>
      <c r="I7231" s="1077"/>
      <c r="J7231" s="1077"/>
      <c r="K7231" s="1077"/>
      <c r="L7231" s="1077"/>
      <c r="M7231" s="1077"/>
    </row>
    <row r="7232" spans="5:13">
      <c r="E7232" s="1077"/>
      <c r="F7232" s="1077"/>
      <c r="G7232" s="1077"/>
      <c r="H7232" s="1077"/>
      <c r="I7232" s="1077"/>
      <c r="J7232" s="1077"/>
      <c r="K7232" s="1077"/>
      <c r="L7232" s="1077"/>
      <c r="M7232" s="1077"/>
    </row>
    <row r="7233" spans="5:13">
      <c r="E7233" s="1077"/>
      <c r="F7233" s="1077"/>
      <c r="G7233" s="1077"/>
      <c r="H7233" s="1077"/>
      <c r="I7233" s="1077"/>
      <c r="J7233" s="1077"/>
      <c r="K7233" s="1077"/>
      <c r="L7233" s="1077"/>
      <c r="M7233" s="1077"/>
    </row>
    <row r="7234" spans="5:13">
      <c r="E7234" s="1077"/>
      <c r="F7234" s="1077"/>
      <c r="G7234" s="1077"/>
      <c r="H7234" s="1077"/>
      <c r="I7234" s="1077"/>
      <c r="J7234" s="1077"/>
      <c r="K7234" s="1077"/>
      <c r="L7234" s="1077"/>
      <c r="M7234" s="1077"/>
    </row>
    <row r="7235" spans="5:13">
      <c r="E7235" s="1077"/>
      <c r="F7235" s="1077"/>
      <c r="G7235" s="1077"/>
      <c r="H7235" s="1077"/>
      <c r="I7235" s="1077"/>
      <c r="J7235" s="1077"/>
      <c r="K7235" s="1077"/>
      <c r="L7235" s="1077"/>
      <c r="M7235" s="1077"/>
    </row>
    <row r="7236" spans="5:13">
      <c r="E7236" s="1077"/>
      <c r="F7236" s="1077"/>
      <c r="G7236" s="1077"/>
      <c r="H7236" s="1077"/>
      <c r="I7236" s="1077"/>
      <c r="J7236" s="1077"/>
      <c r="K7236" s="1077"/>
      <c r="L7236" s="1077"/>
      <c r="M7236" s="1077"/>
    </row>
    <row r="7237" spans="5:13">
      <c r="E7237" s="1077"/>
      <c r="F7237" s="1077"/>
      <c r="G7237" s="1077"/>
      <c r="H7237" s="1077"/>
      <c r="I7237" s="1077"/>
      <c r="J7237" s="1077"/>
      <c r="K7237" s="1077"/>
      <c r="L7237" s="1077"/>
      <c r="M7237" s="1077"/>
    </row>
    <row r="7238" spans="5:13">
      <c r="E7238" s="1077"/>
      <c r="F7238" s="1077"/>
      <c r="G7238" s="1077"/>
      <c r="H7238" s="1077"/>
      <c r="I7238" s="1077"/>
      <c r="J7238" s="1077"/>
      <c r="K7238" s="1077"/>
      <c r="L7238" s="1077"/>
      <c r="M7238" s="1077"/>
    </row>
    <row r="7239" spans="5:13">
      <c r="E7239" s="1077"/>
      <c r="F7239" s="1077"/>
      <c r="G7239" s="1077"/>
      <c r="H7239" s="1077"/>
      <c r="I7239" s="1077"/>
      <c r="J7239" s="1077"/>
      <c r="K7239" s="1077"/>
      <c r="L7239" s="1077"/>
      <c r="M7239" s="1077"/>
    </row>
    <row r="7240" spans="5:13">
      <c r="E7240" s="1077"/>
      <c r="F7240" s="1077"/>
      <c r="G7240" s="1077"/>
      <c r="H7240" s="1077"/>
      <c r="I7240" s="1077"/>
      <c r="J7240" s="1077"/>
      <c r="K7240" s="1077"/>
      <c r="L7240" s="1077"/>
      <c r="M7240" s="1077"/>
    </row>
    <row r="7241" spans="5:13">
      <c r="E7241" s="1077"/>
      <c r="F7241" s="1077"/>
      <c r="G7241" s="1077"/>
      <c r="H7241" s="1077"/>
      <c r="I7241" s="1077"/>
      <c r="J7241" s="1077"/>
      <c r="K7241" s="1077"/>
      <c r="L7241" s="1077"/>
      <c r="M7241" s="1077"/>
    </row>
    <row r="7242" spans="5:13">
      <c r="E7242" s="1077"/>
      <c r="F7242" s="1077"/>
      <c r="G7242" s="1077"/>
      <c r="H7242" s="1077"/>
      <c r="I7242" s="1077"/>
      <c r="J7242" s="1077"/>
      <c r="K7242" s="1077"/>
      <c r="L7242" s="1077"/>
      <c r="M7242" s="1077"/>
    </row>
    <row r="7243" spans="5:13">
      <c r="E7243" s="1077"/>
      <c r="F7243" s="1077"/>
      <c r="G7243" s="1077"/>
      <c r="H7243" s="1077"/>
      <c r="I7243" s="1077"/>
      <c r="J7243" s="1077"/>
      <c r="K7243" s="1077"/>
      <c r="L7243" s="1077"/>
      <c r="M7243" s="1077"/>
    </row>
    <row r="7244" spans="5:13">
      <c r="E7244" s="1077"/>
      <c r="F7244" s="1077"/>
      <c r="G7244" s="1077"/>
      <c r="H7244" s="1077"/>
      <c r="I7244" s="1077"/>
      <c r="J7244" s="1077"/>
      <c r="K7244" s="1077"/>
      <c r="L7244" s="1077"/>
      <c r="M7244" s="1077"/>
    </row>
    <row r="7245" spans="5:13">
      <c r="E7245" s="1077"/>
      <c r="F7245" s="1077"/>
      <c r="G7245" s="1077"/>
      <c r="H7245" s="1077"/>
      <c r="I7245" s="1077"/>
      <c r="J7245" s="1077"/>
      <c r="K7245" s="1077"/>
      <c r="L7245" s="1077"/>
      <c r="M7245" s="1077"/>
    </row>
    <row r="7246" spans="5:13">
      <c r="E7246" s="1077"/>
      <c r="F7246" s="1077"/>
      <c r="G7246" s="1077"/>
      <c r="H7246" s="1077"/>
      <c r="I7246" s="1077"/>
      <c r="J7246" s="1077"/>
      <c r="K7246" s="1077"/>
      <c r="L7246" s="1077"/>
      <c r="M7246" s="1077"/>
    </row>
    <row r="7247" spans="5:13">
      <c r="E7247" s="1077"/>
      <c r="F7247" s="1077"/>
      <c r="G7247" s="1077"/>
      <c r="H7247" s="1077"/>
      <c r="I7247" s="1077"/>
      <c r="J7247" s="1077"/>
      <c r="K7247" s="1077"/>
      <c r="L7247" s="1077"/>
      <c r="M7247" s="1077"/>
    </row>
    <row r="7248" spans="5:13">
      <c r="E7248" s="1077"/>
      <c r="F7248" s="1077"/>
      <c r="G7248" s="1077"/>
      <c r="H7248" s="1077"/>
      <c r="I7248" s="1077"/>
      <c r="J7248" s="1077"/>
      <c r="K7248" s="1077"/>
      <c r="L7248" s="1077"/>
      <c r="M7248" s="1077"/>
    </row>
    <row r="7249" spans="5:13">
      <c r="E7249" s="1077"/>
      <c r="F7249" s="1077"/>
      <c r="G7249" s="1077"/>
      <c r="H7249" s="1077"/>
      <c r="I7249" s="1077"/>
      <c r="J7249" s="1077"/>
      <c r="K7249" s="1077"/>
      <c r="L7249" s="1077"/>
      <c r="M7249" s="1077"/>
    </row>
    <row r="7250" spans="5:13">
      <c r="E7250" s="1077"/>
      <c r="F7250" s="1077"/>
      <c r="G7250" s="1077"/>
      <c r="H7250" s="1077"/>
      <c r="I7250" s="1077"/>
      <c r="J7250" s="1077"/>
      <c r="K7250" s="1077"/>
      <c r="L7250" s="1077"/>
      <c r="M7250" s="1077"/>
    </row>
    <row r="7251" spans="5:13">
      <c r="E7251" s="1077"/>
      <c r="F7251" s="1077"/>
      <c r="G7251" s="1077"/>
      <c r="H7251" s="1077"/>
      <c r="I7251" s="1077"/>
      <c r="J7251" s="1077"/>
      <c r="K7251" s="1077"/>
      <c r="L7251" s="1077"/>
      <c r="M7251" s="1077"/>
    </row>
    <row r="7252" spans="5:13">
      <c r="E7252" s="1077"/>
      <c r="F7252" s="1077"/>
      <c r="G7252" s="1077"/>
      <c r="H7252" s="1077"/>
      <c r="I7252" s="1077"/>
      <c r="J7252" s="1077"/>
      <c r="K7252" s="1077"/>
      <c r="L7252" s="1077"/>
      <c r="M7252" s="1077"/>
    </row>
    <row r="7253" spans="5:13">
      <c r="E7253" s="1077"/>
      <c r="F7253" s="1077"/>
      <c r="G7253" s="1077"/>
      <c r="H7253" s="1077"/>
      <c r="I7253" s="1077"/>
      <c r="J7253" s="1077"/>
      <c r="K7253" s="1077"/>
      <c r="L7253" s="1077"/>
      <c r="M7253" s="1077"/>
    </row>
    <row r="7254" spans="5:13">
      <c r="E7254" s="1077"/>
      <c r="F7254" s="1077"/>
      <c r="G7254" s="1077"/>
      <c r="H7254" s="1077"/>
      <c r="I7254" s="1077"/>
      <c r="J7254" s="1077"/>
      <c r="K7254" s="1077"/>
      <c r="L7254" s="1077"/>
      <c r="M7254" s="1077"/>
    </row>
    <row r="7255" spans="5:13">
      <c r="E7255" s="1077"/>
      <c r="F7255" s="1077"/>
      <c r="G7255" s="1077"/>
      <c r="H7255" s="1077"/>
      <c r="I7255" s="1077"/>
      <c r="J7255" s="1077"/>
      <c r="K7255" s="1077"/>
      <c r="L7255" s="1077"/>
      <c r="M7255" s="1077"/>
    </row>
    <row r="7256" spans="5:13">
      <c r="E7256" s="1077"/>
      <c r="F7256" s="1077"/>
      <c r="G7256" s="1077"/>
      <c r="H7256" s="1077"/>
      <c r="I7256" s="1077"/>
      <c r="J7256" s="1077"/>
      <c r="K7256" s="1077"/>
      <c r="L7256" s="1077"/>
      <c r="M7256" s="1077"/>
    </row>
    <row r="7257" spans="5:13">
      <c r="E7257" s="1077"/>
      <c r="F7257" s="1077"/>
      <c r="G7257" s="1077"/>
      <c r="H7257" s="1077"/>
      <c r="I7257" s="1077"/>
      <c r="J7257" s="1077"/>
      <c r="K7257" s="1077"/>
      <c r="L7257" s="1077"/>
      <c r="M7257" s="1077"/>
    </row>
    <row r="7258" spans="5:13">
      <c r="E7258" s="1077"/>
      <c r="F7258" s="1077"/>
      <c r="G7258" s="1077"/>
      <c r="H7258" s="1077"/>
      <c r="I7258" s="1077"/>
      <c r="J7258" s="1077"/>
      <c r="K7258" s="1077"/>
      <c r="L7258" s="1077"/>
      <c r="M7258" s="1077"/>
    </row>
    <row r="7259" spans="5:13">
      <c r="E7259" s="1077"/>
      <c r="F7259" s="1077"/>
      <c r="G7259" s="1077"/>
      <c r="H7259" s="1077"/>
      <c r="I7259" s="1077"/>
      <c r="J7259" s="1077"/>
      <c r="K7259" s="1077"/>
      <c r="L7259" s="1077"/>
      <c r="M7259" s="1077"/>
    </row>
    <row r="7260" spans="5:13">
      <c r="E7260" s="1077"/>
      <c r="F7260" s="1077"/>
      <c r="G7260" s="1077"/>
      <c r="H7260" s="1077"/>
      <c r="I7260" s="1077"/>
      <c r="J7260" s="1077"/>
      <c r="K7260" s="1077"/>
      <c r="L7260" s="1077"/>
      <c r="M7260" s="1077"/>
    </row>
    <row r="7261" spans="5:13">
      <c r="E7261" s="1077"/>
      <c r="F7261" s="1077"/>
      <c r="G7261" s="1077"/>
      <c r="H7261" s="1077"/>
      <c r="I7261" s="1077"/>
      <c r="J7261" s="1077"/>
      <c r="K7261" s="1077"/>
      <c r="L7261" s="1077"/>
      <c r="M7261" s="1077"/>
    </row>
    <row r="7262" spans="5:13">
      <c r="E7262" s="1077"/>
      <c r="F7262" s="1077"/>
      <c r="G7262" s="1077"/>
      <c r="H7262" s="1077"/>
      <c r="I7262" s="1077"/>
      <c r="J7262" s="1077"/>
      <c r="K7262" s="1077"/>
      <c r="L7262" s="1077"/>
      <c r="M7262" s="1077"/>
    </row>
    <row r="7263" spans="5:13">
      <c r="E7263" s="1077"/>
      <c r="F7263" s="1077"/>
      <c r="G7263" s="1077"/>
      <c r="H7263" s="1077"/>
      <c r="I7263" s="1077"/>
      <c r="J7263" s="1077"/>
      <c r="K7263" s="1077"/>
      <c r="L7263" s="1077"/>
      <c r="M7263" s="1077"/>
    </row>
    <row r="7264" spans="5:13">
      <c r="E7264" s="1077"/>
      <c r="F7264" s="1077"/>
      <c r="G7264" s="1077"/>
      <c r="H7264" s="1077"/>
      <c r="I7264" s="1077"/>
      <c r="J7264" s="1077"/>
      <c r="K7264" s="1077"/>
      <c r="L7264" s="1077"/>
      <c r="M7264" s="1077"/>
    </row>
    <row r="7265" spans="5:13">
      <c r="E7265" s="1077"/>
      <c r="F7265" s="1077"/>
      <c r="G7265" s="1077"/>
      <c r="H7265" s="1077"/>
      <c r="I7265" s="1077"/>
      <c r="J7265" s="1077"/>
      <c r="K7265" s="1077"/>
      <c r="L7265" s="1077"/>
      <c r="M7265" s="1077"/>
    </row>
    <row r="7266" spans="5:13">
      <c r="E7266" s="1077"/>
      <c r="F7266" s="1077"/>
      <c r="G7266" s="1077"/>
      <c r="H7266" s="1077"/>
      <c r="I7266" s="1077"/>
      <c r="J7266" s="1077"/>
      <c r="K7266" s="1077"/>
      <c r="L7266" s="1077"/>
      <c r="M7266" s="1077"/>
    </row>
    <row r="7267" spans="5:13">
      <c r="E7267" s="1077"/>
      <c r="F7267" s="1077"/>
      <c r="G7267" s="1077"/>
      <c r="H7267" s="1077"/>
      <c r="I7267" s="1077"/>
      <c r="J7267" s="1077"/>
      <c r="K7267" s="1077"/>
      <c r="L7267" s="1077"/>
      <c r="M7267" s="1077"/>
    </row>
    <row r="7268" spans="5:13">
      <c r="E7268" s="1077"/>
      <c r="F7268" s="1077"/>
      <c r="G7268" s="1077"/>
      <c r="H7268" s="1077"/>
      <c r="I7268" s="1077"/>
      <c r="J7268" s="1077"/>
      <c r="K7268" s="1077"/>
      <c r="L7268" s="1077"/>
      <c r="M7268" s="1077"/>
    </row>
    <row r="7269" spans="5:13">
      <c r="E7269" s="1077"/>
      <c r="F7269" s="1077"/>
      <c r="G7269" s="1077"/>
      <c r="H7269" s="1077"/>
      <c r="I7269" s="1077"/>
      <c r="J7269" s="1077"/>
      <c r="K7269" s="1077"/>
      <c r="L7269" s="1077"/>
      <c r="M7269" s="1077"/>
    </row>
    <row r="7270" spans="5:13">
      <c r="E7270" s="1077"/>
      <c r="F7270" s="1077"/>
      <c r="G7270" s="1077"/>
      <c r="H7270" s="1077"/>
      <c r="I7270" s="1077"/>
      <c r="J7270" s="1077"/>
      <c r="K7270" s="1077"/>
      <c r="L7270" s="1077"/>
      <c r="M7270" s="1077"/>
    </row>
    <row r="7271" spans="5:13">
      <c r="E7271" s="1077"/>
      <c r="F7271" s="1077"/>
      <c r="G7271" s="1077"/>
      <c r="H7271" s="1077"/>
      <c r="I7271" s="1077"/>
      <c r="J7271" s="1077"/>
      <c r="K7271" s="1077"/>
      <c r="L7271" s="1077"/>
      <c r="M7271" s="1077"/>
    </row>
    <row r="7272" spans="5:13">
      <c r="E7272" s="1077"/>
      <c r="F7272" s="1077"/>
      <c r="G7272" s="1077"/>
      <c r="H7272" s="1077"/>
      <c r="I7272" s="1077"/>
      <c r="J7272" s="1077"/>
      <c r="K7272" s="1077"/>
      <c r="L7272" s="1077"/>
      <c r="M7272" s="1077"/>
    </row>
    <row r="7273" spans="5:13">
      <c r="E7273" s="1077"/>
      <c r="F7273" s="1077"/>
      <c r="G7273" s="1077"/>
      <c r="H7273" s="1077"/>
      <c r="I7273" s="1077"/>
      <c r="J7273" s="1077"/>
      <c r="K7273" s="1077"/>
      <c r="L7273" s="1077"/>
      <c r="M7273" s="1077"/>
    </row>
    <row r="7274" spans="5:13">
      <c r="E7274" s="1077"/>
      <c r="F7274" s="1077"/>
      <c r="G7274" s="1077"/>
      <c r="H7274" s="1077"/>
      <c r="I7274" s="1077"/>
      <c r="J7274" s="1077"/>
      <c r="K7274" s="1077"/>
      <c r="L7274" s="1077"/>
      <c r="M7274" s="1077"/>
    </row>
    <row r="7275" spans="5:13">
      <c r="E7275" s="1077"/>
      <c r="F7275" s="1077"/>
      <c r="G7275" s="1077"/>
      <c r="H7275" s="1077"/>
      <c r="I7275" s="1077"/>
      <c r="J7275" s="1077"/>
      <c r="K7275" s="1077"/>
      <c r="L7275" s="1077"/>
      <c r="M7275" s="1077"/>
    </row>
    <row r="7276" spans="5:13">
      <c r="E7276" s="1077"/>
      <c r="F7276" s="1077"/>
      <c r="G7276" s="1077"/>
      <c r="H7276" s="1077"/>
      <c r="I7276" s="1077"/>
      <c r="J7276" s="1077"/>
      <c r="K7276" s="1077"/>
      <c r="L7276" s="1077"/>
      <c r="M7276" s="1077"/>
    </row>
    <row r="7277" spans="5:13">
      <c r="E7277" s="1077"/>
      <c r="F7277" s="1077"/>
      <c r="G7277" s="1077"/>
      <c r="H7277" s="1077"/>
      <c r="I7277" s="1077"/>
      <c r="J7277" s="1077"/>
      <c r="K7277" s="1077"/>
      <c r="L7277" s="1077"/>
      <c r="M7277" s="1077"/>
    </row>
    <row r="7278" spans="5:13">
      <c r="E7278" s="1077"/>
      <c r="F7278" s="1077"/>
      <c r="G7278" s="1077"/>
      <c r="H7278" s="1077"/>
      <c r="I7278" s="1077"/>
      <c r="J7278" s="1077"/>
      <c r="K7278" s="1077"/>
      <c r="L7278" s="1077"/>
      <c r="M7278" s="1077"/>
    </row>
    <row r="7279" spans="5:13">
      <c r="E7279" s="1077"/>
      <c r="F7279" s="1077"/>
      <c r="G7279" s="1077"/>
      <c r="H7279" s="1077"/>
      <c r="I7279" s="1077"/>
      <c r="J7279" s="1077"/>
      <c r="K7279" s="1077"/>
      <c r="L7279" s="1077"/>
      <c r="M7279" s="1077"/>
    </row>
    <row r="7280" spans="5:13">
      <c r="E7280" s="1077"/>
      <c r="F7280" s="1077"/>
      <c r="G7280" s="1077"/>
      <c r="H7280" s="1077"/>
      <c r="I7280" s="1077"/>
      <c r="J7280" s="1077"/>
      <c r="K7280" s="1077"/>
      <c r="L7280" s="1077"/>
      <c r="M7280" s="1077"/>
    </row>
    <row r="7281" spans="5:13">
      <c r="E7281" s="1077"/>
      <c r="F7281" s="1077"/>
      <c r="G7281" s="1077"/>
      <c r="H7281" s="1077"/>
      <c r="I7281" s="1077"/>
      <c r="J7281" s="1077"/>
      <c r="K7281" s="1077"/>
      <c r="L7281" s="1077"/>
      <c r="M7281" s="1077"/>
    </row>
    <row r="7282" spans="5:13">
      <c r="E7282" s="1077"/>
      <c r="F7282" s="1077"/>
      <c r="G7282" s="1077"/>
      <c r="H7282" s="1077"/>
      <c r="I7282" s="1077"/>
      <c r="J7282" s="1077"/>
      <c r="K7282" s="1077"/>
      <c r="L7282" s="1077"/>
      <c r="M7282" s="1077"/>
    </row>
    <row r="7283" spans="5:13">
      <c r="E7283" s="1077"/>
      <c r="F7283" s="1077"/>
      <c r="G7283" s="1077"/>
      <c r="H7283" s="1077"/>
      <c r="I7283" s="1077"/>
      <c r="J7283" s="1077"/>
      <c r="K7283" s="1077"/>
      <c r="L7283" s="1077"/>
      <c r="M7283" s="1077"/>
    </row>
    <row r="7284" spans="5:13">
      <c r="E7284" s="1077"/>
      <c r="F7284" s="1077"/>
      <c r="G7284" s="1077"/>
      <c r="H7284" s="1077"/>
      <c r="I7284" s="1077"/>
      <c r="J7284" s="1077"/>
      <c r="K7284" s="1077"/>
      <c r="L7284" s="1077"/>
      <c r="M7284" s="1077"/>
    </row>
    <row r="7285" spans="5:13">
      <c r="E7285" s="1077"/>
      <c r="F7285" s="1077"/>
      <c r="G7285" s="1077"/>
      <c r="H7285" s="1077"/>
      <c r="I7285" s="1077"/>
      <c r="J7285" s="1077"/>
      <c r="K7285" s="1077"/>
      <c r="L7285" s="1077"/>
      <c r="M7285" s="1077"/>
    </row>
    <row r="7286" spans="5:13">
      <c r="E7286" s="1077"/>
      <c r="F7286" s="1077"/>
      <c r="G7286" s="1077"/>
      <c r="H7286" s="1077"/>
      <c r="I7286" s="1077"/>
      <c r="J7286" s="1077"/>
      <c r="K7286" s="1077"/>
      <c r="L7286" s="1077"/>
      <c r="M7286" s="1077"/>
    </row>
    <row r="7287" spans="5:13">
      <c r="E7287" s="1077"/>
      <c r="F7287" s="1077"/>
      <c r="G7287" s="1077"/>
      <c r="H7287" s="1077"/>
      <c r="I7287" s="1077"/>
      <c r="J7287" s="1077"/>
      <c r="K7287" s="1077"/>
      <c r="L7287" s="1077"/>
      <c r="M7287" s="1077"/>
    </row>
    <row r="7288" spans="5:13">
      <c r="E7288" s="1077"/>
      <c r="F7288" s="1077"/>
      <c r="G7288" s="1077"/>
      <c r="H7288" s="1077"/>
      <c r="I7288" s="1077"/>
      <c r="J7288" s="1077"/>
      <c r="K7288" s="1077"/>
      <c r="L7288" s="1077"/>
      <c r="M7288" s="1077"/>
    </row>
    <row r="7289" spans="5:13">
      <c r="E7289" s="1077"/>
      <c r="F7289" s="1077"/>
      <c r="G7289" s="1077"/>
      <c r="H7289" s="1077"/>
      <c r="I7289" s="1077"/>
      <c r="J7289" s="1077"/>
      <c r="K7289" s="1077"/>
      <c r="L7289" s="1077"/>
      <c r="M7289" s="1077"/>
    </row>
    <row r="7290" spans="5:13">
      <c r="E7290" s="1077"/>
      <c r="F7290" s="1077"/>
      <c r="G7290" s="1077"/>
      <c r="H7290" s="1077"/>
      <c r="I7290" s="1077"/>
      <c r="J7290" s="1077"/>
      <c r="K7290" s="1077"/>
      <c r="L7290" s="1077"/>
      <c r="M7290" s="1077"/>
    </row>
    <row r="7291" spans="5:13">
      <c r="E7291" s="1077"/>
      <c r="F7291" s="1077"/>
      <c r="G7291" s="1077"/>
      <c r="H7291" s="1077"/>
      <c r="I7291" s="1077"/>
      <c r="J7291" s="1077"/>
      <c r="K7291" s="1077"/>
      <c r="L7291" s="1077"/>
      <c r="M7291" s="1077"/>
    </row>
    <row r="7292" spans="5:13">
      <c r="E7292" s="1077"/>
      <c r="F7292" s="1077"/>
      <c r="G7292" s="1077"/>
      <c r="H7292" s="1077"/>
      <c r="I7292" s="1077"/>
      <c r="J7292" s="1077"/>
      <c r="K7292" s="1077"/>
      <c r="L7292" s="1077"/>
      <c r="M7292" s="1077"/>
    </row>
    <row r="7293" spans="5:13">
      <c r="E7293" s="1077"/>
      <c r="F7293" s="1077"/>
      <c r="G7293" s="1077"/>
      <c r="H7293" s="1077"/>
      <c r="I7293" s="1077"/>
      <c r="J7293" s="1077"/>
      <c r="K7293" s="1077"/>
      <c r="L7293" s="1077"/>
      <c r="M7293" s="1077"/>
    </row>
    <row r="7294" spans="5:13">
      <c r="E7294" s="1077"/>
      <c r="F7294" s="1077"/>
      <c r="G7294" s="1077"/>
      <c r="H7294" s="1077"/>
      <c r="I7294" s="1077"/>
      <c r="J7294" s="1077"/>
      <c r="K7294" s="1077"/>
      <c r="L7294" s="1077"/>
      <c r="M7294" s="1077"/>
    </row>
    <row r="7295" spans="5:13">
      <c r="E7295" s="1077"/>
      <c r="F7295" s="1077"/>
      <c r="G7295" s="1077"/>
      <c r="H7295" s="1077"/>
      <c r="I7295" s="1077"/>
      <c r="J7295" s="1077"/>
      <c r="K7295" s="1077"/>
      <c r="L7295" s="1077"/>
      <c r="M7295" s="1077"/>
    </row>
    <row r="7296" spans="5:13">
      <c r="E7296" s="1077"/>
      <c r="F7296" s="1077"/>
      <c r="G7296" s="1077"/>
      <c r="H7296" s="1077"/>
      <c r="I7296" s="1077"/>
      <c r="J7296" s="1077"/>
      <c r="K7296" s="1077"/>
      <c r="L7296" s="1077"/>
      <c r="M7296" s="1077"/>
    </row>
    <row r="7297" spans="5:13">
      <c r="E7297" s="1077"/>
      <c r="F7297" s="1077"/>
      <c r="G7297" s="1077"/>
      <c r="H7297" s="1077"/>
      <c r="I7297" s="1077"/>
      <c r="J7297" s="1077"/>
      <c r="K7297" s="1077"/>
      <c r="L7297" s="1077"/>
      <c r="M7297" s="1077"/>
    </row>
    <row r="7298" spans="5:13">
      <c r="E7298" s="1077"/>
      <c r="F7298" s="1077"/>
      <c r="G7298" s="1077"/>
      <c r="H7298" s="1077"/>
      <c r="I7298" s="1077"/>
      <c r="J7298" s="1077"/>
      <c r="K7298" s="1077"/>
      <c r="L7298" s="1077"/>
      <c r="M7298" s="1077"/>
    </row>
    <row r="7299" spans="5:13">
      <c r="E7299" s="1077"/>
      <c r="F7299" s="1077"/>
      <c r="G7299" s="1077"/>
      <c r="H7299" s="1077"/>
      <c r="I7299" s="1077"/>
      <c r="J7299" s="1077"/>
      <c r="K7299" s="1077"/>
      <c r="L7299" s="1077"/>
      <c r="M7299" s="1077"/>
    </row>
    <row r="7300" spans="5:13">
      <c r="E7300" s="1077"/>
      <c r="F7300" s="1077"/>
      <c r="G7300" s="1077"/>
      <c r="H7300" s="1077"/>
      <c r="I7300" s="1077"/>
      <c r="J7300" s="1077"/>
      <c r="K7300" s="1077"/>
      <c r="L7300" s="1077"/>
      <c r="M7300" s="1077"/>
    </row>
    <row r="7301" spans="5:13">
      <c r="E7301" s="1077"/>
      <c r="F7301" s="1077"/>
      <c r="G7301" s="1077"/>
      <c r="H7301" s="1077"/>
      <c r="I7301" s="1077"/>
      <c r="J7301" s="1077"/>
      <c r="K7301" s="1077"/>
      <c r="L7301" s="1077"/>
      <c r="M7301" s="1077"/>
    </row>
    <row r="7302" spans="5:13">
      <c r="E7302" s="1077"/>
      <c r="F7302" s="1077"/>
      <c r="G7302" s="1077"/>
      <c r="H7302" s="1077"/>
      <c r="I7302" s="1077"/>
      <c r="J7302" s="1077"/>
      <c r="K7302" s="1077"/>
      <c r="L7302" s="1077"/>
      <c r="M7302" s="1077"/>
    </row>
    <row r="7303" spans="5:13">
      <c r="E7303" s="1077"/>
      <c r="F7303" s="1077"/>
      <c r="G7303" s="1077"/>
      <c r="H7303" s="1077"/>
      <c r="I7303" s="1077"/>
      <c r="J7303" s="1077"/>
      <c r="K7303" s="1077"/>
      <c r="L7303" s="1077"/>
      <c r="M7303" s="1077"/>
    </row>
    <row r="7304" spans="5:13">
      <c r="E7304" s="1077"/>
      <c r="F7304" s="1077"/>
      <c r="G7304" s="1077"/>
      <c r="H7304" s="1077"/>
      <c r="I7304" s="1077"/>
      <c r="J7304" s="1077"/>
      <c r="K7304" s="1077"/>
      <c r="L7304" s="1077"/>
      <c r="M7304" s="1077"/>
    </row>
    <row r="7305" spans="5:13">
      <c r="E7305" s="1077"/>
      <c r="F7305" s="1077"/>
      <c r="G7305" s="1077"/>
      <c r="H7305" s="1077"/>
      <c r="I7305" s="1077"/>
      <c r="J7305" s="1077"/>
      <c r="K7305" s="1077"/>
      <c r="L7305" s="1077"/>
      <c r="M7305" s="1077"/>
    </row>
    <row r="7306" spans="5:13">
      <c r="E7306" s="1077"/>
      <c r="F7306" s="1077"/>
      <c r="G7306" s="1077"/>
      <c r="H7306" s="1077"/>
      <c r="I7306" s="1077"/>
      <c r="J7306" s="1077"/>
      <c r="K7306" s="1077"/>
      <c r="L7306" s="1077"/>
      <c r="M7306" s="1077"/>
    </row>
    <row r="7307" spans="5:13">
      <c r="E7307" s="1077"/>
      <c r="F7307" s="1077"/>
      <c r="G7307" s="1077"/>
      <c r="H7307" s="1077"/>
      <c r="I7307" s="1077"/>
      <c r="J7307" s="1077"/>
      <c r="K7307" s="1077"/>
      <c r="L7307" s="1077"/>
      <c r="M7307" s="1077"/>
    </row>
    <row r="7308" spans="5:13">
      <c r="E7308" s="1077"/>
      <c r="F7308" s="1077"/>
      <c r="G7308" s="1077"/>
      <c r="H7308" s="1077"/>
      <c r="I7308" s="1077"/>
      <c r="J7308" s="1077"/>
      <c r="K7308" s="1077"/>
      <c r="L7308" s="1077"/>
      <c r="M7308" s="1077"/>
    </row>
    <row r="7309" spans="5:13">
      <c r="E7309" s="1077"/>
      <c r="F7309" s="1077"/>
      <c r="G7309" s="1077"/>
      <c r="H7309" s="1077"/>
      <c r="I7309" s="1077"/>
      <c r="J7309" s="1077"/>
      <c r="K7309" s="1077"/>
      <c r="L7309" s="1077"/>
      <c r="M7309" s="1077"/>
    </row>
    <row r="7310" spans="5:13">
      <c r="E7310" s="1077"/>
      <c r="F7310" s="1077"/>
      <c r="G7310" s="1077"/>
      <c r="H7310" s="1077"/>
      <c r="I7310" s="1077"/>
      <c r="J7310" s="1077"/>
      <c r="K7310" s="1077"/>
      <c r="L7310" s="1077"/>
      <c r="M7310" s="1077"/>
    </row>
    <row r="7311" spans="5:13">
      <c r="E7311" s="1077"/>
      <c r="F7311" s="1077"/>
      <c r="G7311" s="1077"/>
      <c r="H7311" s="1077"/>
      <c r="I7311" s="1077"/>
      <c r="J7311" s="1077"/>
      <c r="K7311" s="1077"/>
      <c r="L7311" s="1077"/>
      <c r="M7311" s="1077"/>
    </row>
    <row r="7312" spans="5:13">
      <c r="E7312" s="1077"/>
      <c r="F7312" s="1077"/>
      <c r="G7312" s="1077"/>
      <c r="H7312" s="1077"/>
      <c r="I7312" s="1077"/>
      <c r="J7312" s="1077"/>
      <c r="K7312" s="1077"/>
      <c r="L7312" s="1077"/>
      <c r="M7312" s="1077"/>
    </row>
    <row r="7313" spans="5:13">
      <c r="E7313" s="1077"/>
      <c r="F7313" s="1077"/>
      <c r="G7313" s="1077"/>
      <c r="H7313" s="1077"/>
      <c r="I7313" s="1077"/>
      <c r="J7313" s="1077"/>
      <c r="K7313" s="1077"/>
      <c r="L7313" s="1077"/>
      <c r="M7313" s="1077"/>
    </row>
    <row r="7314" spans="5:13">
      <c r="E7314" s="1077"/>
      <c r="F7314" s="1077"/>
      <c r="G7314" s="1077"/>
      <c r="H7314" s="1077"/>
      <c r="I7314" s="1077"/>
      <c r="J7314" s="1077"/>
      <c r="K7314" s="1077"/>
      <c r="L7314" s="1077"/>
      <c r="M7314" s="1077"/>
    </row>
    <row r="7315" spans="5:13">
      <c r="E7315" s="1077"/>
      <c r="F7315" s="1077"/>
      <c r="G7315" s="1077"/>
      <c r="H7315" s="1077"/>
      <c r="I7315" s="1077"/>
      <c r="J7315" s="1077"/>
      <c r="K7315" s="1077"/>
      <c r="L7315" s="1077"/>
      <c r="M7315" s="1077"/>
    </row>
    <row r="7316" spans="5:13">
      <c r="E7316" s="1077"/>
      <c r="F7316" s="1077"/>
      <c r="G7316" s="1077"/>
      <c r="H7316" s="1077"/>
      <c r="I7316" s="1077"/>
      <c r="J7316" s="1077"/>
      <c r="K7316" s="1077"/>
      <c r="L7316" s="1077"/>
      <c r="M7316" s="1077"/>
    </row>
    <row r="7317" spans="5:13">
      <c r="E7317" s="1077"/>
      <c r="F7317" s="1077"/>
      <c r="G7317" s="1077"/>
      <c r="H7317" s="1077"/>
      <c r="I7317" s="1077"/>
      <c r="J7317" s="1077"/>
      <c r="K7317" s="1077"/>
      <c r="L7317" s="1077"/>
      <c r="M7317" s="1077"/>
    </row>
    <row r="7318" spans="5:13">
      <c r="E7318" s="1077"/>
      <c r="F7318" s="1077"/>
      <c r="G7318" s="1077"/>
      <c r="H7318" s="1077"/>
      <c r="I7318" s="1077"/>
      <c r="J7318" s="1077"/>
      <c r="K7318" s="1077"/>
      <c r="L7318" s="1077"/>
      <c r="M7318" s="1077"/>
    </row>
    <row r="7319" spans="5:13">
      <c r="E7319" s="1077"/>
      <c r="F7319" s="1077"/>
      <c r="G7319" s="1077"/>
      <c r="H7319" s="1077"/>
      <c r="I7319" s="1077"/>
      <c r="J7319" s="1077"/>
      <c r="K7319" s="1077"/>
      <c r="L7319" s="1077"/>
      <c r="M7319" s="1077"/>
    </row>
    <row r="7320" spans="5:13">
      <c r="E7320" s="1077"/>
      <c r="F7320" s="1077"/>
      <c r="G7320" s="1077"/>
      <c r="H7320" s="1077"/>
      <c r="I7320" s="1077"/>
      <c r="J7320" s="1077"/>
      <c r="K7320" s="1077"/>
      <c r="L7320" s="1077"/>
      <c r="M7320" s="1077"/>
    </row>
    <row r="7321" spans="5:13">
      <c r="E7321" s="1077"/>
      <c r="F7321" s="1077"/>
      <c r="G7321" s="1077"/>
      <c r="H7321" s="1077"/>
      <c r="I7321" s="1077"/>
      <c r="J7321" s="1077"/>
      <c r="K7321" s="1077"/>
      <c r="L7321" s="1077"/>
      <c r="M7321" s="1077"/>
    </row>
    <row r="7322" spans="5:13">
      <c r="E7322" s="1077"/>
      <c r="F7322" s="1077"/>
      <c r="G7322" s="1077"/>
      <c r="H7322" s="1077"/>
      <c r="I7322" s="1077"/>
      <c r="J7322" s="1077"/>
      <c r="K7322" s="1077"/>
      <c r="L7322" s="1077"/>
      <c r="M7322" s="1077"/>
    </row>
    <row r="7323" spans="5:13">
      <c r="E7323" s="1077"/>
      <c r="F7323" s="1077"/>
      <c r="G7323" s="1077"/>
      <c r="H7323" s="1077"/>
      <c r="I7323" s="1077"/>
      <c r="J7323" s="1077"/>
      <c r="K7323" s="1077"/>
      <c r="L7323" s="1077"/>
      <c r="M7323" s="1077"/>
    </row>
    <row r="7324" spans="5:13">
      <c r="E7324" s="1077"/>
      <c r="F7324" s="1077"/>
      <c r="G7324" s="1077"/>
      <c r="H7324" s="1077"/>
      <c r="I7324" s="1077"/>
      <c r="J7324" s="1077"/>
      <c r="K7324" s="1077"/>
      <c r="L7324" s="1077"/>
      <c r="M7324" s="1077"/>
    </row>
    <row r="7325" spans="5:13">
      <c r="E7325" s="1077"/>
      <c r="F7325" s="1077"/>
      <c r="G7325" s="1077"/>
      <c r="H7325" s="1077"/>
      <c r="I7325" s="1077"/>
      <c r="J7325" s="1077"/>
      <c r="K7325" s="1077"/>
      <c r="L7325" s="1077"/>
      <c r="M7325" s="1077"/>
    </row>
    <row r="7326" spans="5:13">
      <c r="E7326" s="1077"/>
      <c r="F7326" s="1077"/>
      <c r="G7326" s="1077"/>
      <c r="H7326" s="1077"/>
      <c r="I7326" s="1077"/>
      <c r="J7326" s="1077"/>
      <c r="K7326" s="1077"/>
      <c r="L7326" s="1077"/>
      <c r="M7326" s="1077"/>
    </row>
    <row r="7327" spans="5:13">
      <c r="E7327" s="1077"/>
      <c r="F7327" s="1077"/>
      <c r="G7327" s="1077"/>
      <c r="H7327" s="1077"/>
      <c r="I7327" s="1077"/>
      <c r="J7327" s="1077"/>
      <c r="K7327" s="1077"/>
      <c r="L7327" s="1077"/>
      <c r="M7327" s="1077"/>
    </row>
    <row r="7328" spans="5:13">
      <c r="E7328" s="1077"/>
      <c r="F7328" s="1077"/>
      <c r="G7328" s="1077"/>
      <c r="H7328" s="1077"/>
      <c r="I7328" s="1077"/>
      <c r="J7328" s="1077"/>
      <c r="K7328" s="1077"/>
      <c r="L7328" s="1077"/>
      <c r="M7328" s="1077"/>
    </row>
    <row r="7329" spans="5:13">
      <c r="E7329" s="1077"/>
      <c r="F7329" s="1077"/>
      <c r="G7329" s="1077"/>
      <c r="H7329" s="1077"/>
      <c r="I7329" s="1077"/>
      <c r="J7329" s="1077"/>
      <c r="K7329" s="1077"/>
      <c r="L7329" s="1077"/>
      <c r="M7329" s="1077"/>
    </row>
    <row r="7330" spans="5:13">
      <c r="E7330" s="1077"/>
      <c r="F7330" s="1077"/>
      <c r="G7330" s="1077"/>
      <c r="H7330" s="1077"/>
      <c r="I7330" s="1077"/>
      <c r="J7330" s="1077"/>
      <c r="K7330" s="1077"/>
      <c r="L7330" s="1077"/>
      <c r="M7330" s="1077"/>
    </row>
    <row r="7331" spans="5:13">
      <c r="E7331" s="1077"/>
      <c r="F7331" s="1077"/>
      <c r="G7331" s="1077"/>
      <c r="H7331" s="1077"/>
      <c r="I7331" s="1077"/>
      <c r="J7331" s="1077"/>
      <c r="K7331" s="1077"/>
      <c r="L7331" s="1077"/>
      <c r="M7331" s="1077"/>
    </row>
    <row r="7332" spans="5:13">
      <c r="E7332" s="1077"/>
      <c r="F7332" s="1077"/>
      <c r="G7332" s="1077"/>
      <c r="H7332" s="1077"/>
      <c r="I7332" s="1077"/>
      <c r="J7332" s="1077"/>
      <c r="K7332" s="1077"/>
      <c r="L7332" s="1077"/>
      <c r="M7332" s="1077"/>
    </row>
    <row r="7333" spans="5:13">
      <c r="E7333" s="1077"/>
      <c r="F7333" s="1077"/>
      <c r="G7333" s="1077"/>
      <c r="H7333" s="1077"/>
      <c r="I7333" s="1077"/>
      <c r="J7333" s="1077"/>
      <c r="K7333" s="1077"/>
      <c r="L7333" s="1077"/>
      <c r="M7333" s="1077"/>
    </row>
    <row r="7334" spans="5:13">
      <c r="E7334" s="1077"/>
      <c r="F7334" s="1077"/>
      <c r="G7334" s="1077"/>
      <c r="H7334" s="1077"/>
      <c r="I7334" s="1077"/>
      <c r="J7334" s="1077"/>
      <c r="K7334" s="1077"/>
      <c r="L7334" s="1077"/>
      <c r="M7334" s="1077"/>
    </row>
    <row r="7335" spans="5:13">
      <c r="E7335" s="1077"/>
      <c r="F7335" s="1077"/>
      <c r="G7335" s="1077"/>
      <c r="H7335" s="1077"/>
      <c r="I7335" s="1077"/>
      <c r="J7335" s="1077"/>
      <c r="K7335" s="1077"/>
      <c r="L7335" s="1077"/>
      <c r="M7335" s="1077"/>
    </row>
    <row r="7336" spans="5:13">
      <c r="E7336" s="1077"/>
      <c r="F7336" s="1077"/>
      <c r="G7336" s="1077"/>
      <c r="H7336" s="1077"/>
      <c r="I7336" s="1077"/>
      <c r="J7336" s="1077"/>
      <c r="K7336" s="1077"/>
      <c r="L7336" s="1077"/>
      <c r="M7336" s="1077"/>
    </row>
    <row r="7337" spans="5:13">
      <c r="E7337" s="1077"/>
      <c r="F7337" s="1077"/>
      <c r="G7337" s="1077"/>
      <c r="H7337" s="1077"/>
      <c r="I7337" s="1077"/>
      <c r="J7337" s="1077"/>
      <c r="K7337" s="1077"/>
      <c r="L7337" s="1077"/>
      <c r="M7337" s="1077"/>
    </row>
    <row r="7338" spans="5:13">
      <c r="E7338" s="1077"/>
      <c r="F7338" s="1077"/>
      <c r="G7338" s="1077"/>
      <c r="H7338" s="1077"/>
      <c r="I7338" s="1077"/>
      <c r="J7338" s="1077"/>
      <c r="K7338" s="1077"/>
      <c r="L7338" s="1077"/>
      <c r="M7338" s="1077"/>
    </row>
    <row r="7339" spans="5:13">
      <c r="E7339" s="1077"/>
      <c r="F7339" s="1077"/>
      <c r="G7339" s="1077"/>
      <c r="H7339" s="1077"/>
      <c r="I7339" s="1077"/>
      <c r="J7339" s="1077"/>
      <c r="K7339" s="1077"/>
      <c r="L7339" s="1077"/>
      <c r="M7339" s="1077"/>
    </row>
    <row r="7340" spans="5:13">
      <c r="E7340" s="1077"/>
      <c r="F7340" s="1077"/>
      <c r="G7340" s="1077"/>
      <c r="H7340" s="1077"/>
      <c r="I7340" s="1077"/>
      <c r="J7340" s="1077"/>
      <c r="K7340" s="1077"/>
      <c r="L7340" s="1077"/>
      <c r="M7340" s="1077"/>
    </row>
    <row r="7341" spans="5:13">
      <c r="E7341" s="1077"/>
      <c r="F7341" s="1077"/>
      <c r="G7341" s="1077"/>
      <c r="H7341" s="1077"/>
      <c r="I7341" s="1077"/>
      <c r="J7341" s="1077"/>
      <c r="K7341" s="1077"/>
      <c r="L7341" s="1077"/>
      <c r="M7341" s="1077"/>
    </row>
    <row r="7342" spans="5:13">
      <c r="E7342" s="1077"/>
      <c r="F7342" s="1077"/>
      <c r="G7342" s="1077"/>
      <c r="H7342" s="1077"/>
      <c r="I7342" s="1077"/>
      <c r="J7342" s="1077"/>
      <c r="K7342" s="1077"/>
      <c r="L7342" s="1077"/>
      <c r="M7342" s="1077"/>
    </row>
    <row r="7343" spans="5:13">
      <c r="E7343" s="1077"/>
      <c r="F7343" s="1077"/>
      <c r="G7343" s="1077"/>
      <c r="H7343" s="1077"/>
      <c r="I7343" s="1077"/>
      <c r="J7343" s="1077"/>
      <c r="K7343" s="1077"/>
      <c r="L7343" s="1077"/>
      <c r="M7343" s="1077"/>
    </row>
    <row r="7344" spans="5:13">
      <c r="E7344" s="1077"/>
      <c r="F7344" s="1077"/>
      <c r="G7344" s="1077"/>
      <c r="H7344" s="1077"/>
      <c r="I7344" s="1077"/>
      <c r="J7344" s="1077"/>
      <c r="K7344" s="1077"/>
      <c r="L7344" s="1077"/>
      <c r="M7344" s="1077"/>
    </row>
    <row r="7345" spans="5:13">
      <c r="E7345" s="1077"/>
      <c r="F7345" s="1077"/>
      <c r="G7345" s="1077"/>
      <c r="H7345" s="1077"/>
      <c r="I7345" s="1077"/>
      <c r="J7345" s="1077"/>
      <c r="K7345" s="1077"/>
      <c r="L7345" s="1077"/>
      <c r="M7345" s="1077"/>
    </row>
    <row r="7346" spans="5:13">
      <c r="E7346" s="1077"/>
      <c r="F7346" s="1077"/>
      <c r="G7346" s="1077"/>
      <c r="H7346" s="1077"/>
      <c r="I7346" s="1077"/>
      <c r="J7346" s="1077"/>
      <c r="K7346" s="1077"/>
      <c r="L7346" s="1077"/>
      <c r="M7346" s="1077"/>
    </row>
    <row r="7347" spans="5:13">
      <c r="E7347" s="1077"/>
      <c r="F7347" s="1077"/>
      <c r="G7347" s="1077"/>
      <c r="H7347" s="1077"/>
      <c r="I7347" s="1077"/>
      <c r="J7347" s="1077"/>
      <c r="K7347" s="1077"/>
      <c r="L7347" s="1077"/>
      <c r="M7347" s="1077"/>
    </row>
    <row r="7348" spans="5:13">
      <c r="E7348" s="1077"/>
      <c r="F7348" s="1077"/>
      <c r="G7348" s="1077"/>
      <c r="H7348" s="1077"/>
      <c r="I7348" s="1077"/>
      <c r="J7348" s="1077"/>
      <c r="K7348" s="1077"/>
      <c r="L7348" s="1077"/>
      <c r="M7348" s="1077"/>
    </row>
    <row r="7349" spans="5:13">
      <c r="E7349" s="1077"/>
      <c r="F7349" s="1077"/>
      <c r="G7349" s="1077"/>
      <c r="H7349" s="1077"/>
      <c r="I7349" s="1077"/>
      <c r="J7349" s="1077"/>
      <c r="K7349" s="1077"/>
      <c r="L7349" s="1077"/>
      <c r="M7349" s="1077"/>
    </row>
    <row r="7350" spans="5:13">
      <c r="E7350" s="1077"/>
      <c r="F7350" s="1077"/>
      <c r="G7350" s="1077"/>
      <c r="H7350" s="1077"/>
      <c r="I7350" s="1077"/>
      <c r="J7350" s="1077"/>
      <c r="K7350" s="1077"/>
      <c r="L7350" s="1077"/>
      <c r="M7350" s="1077"/>
    </row>
    <row r="7351" spans="5:13">
      <c r="E7351" s="1077"/>
      <c r="F7351" s="1077"/>
      <c r="G7351" s="1077"/>
      <c r="H7351" s="1077"/>
      <c r="I7351" s="1077"/>
      <c r="J7351" s="1077"/>
      <c r="K7351" s="1077"/>
      <c r="L7351" s="1077"/>
      <c r="M7351" s="1077"/>
    </row>
    <row r="7352" spans="5:13">
      <c r="E7352" s="1077"/>
      <c r="F7352" s="1077"/>
      <c r="G7352" s="1077"/>
      <c r="H7352" s="1077"/>
      <c r="I7352" s="1077"/>
      <c r="J7352" s="1077"/>
      <c r="K7352" s="1077"/>
      <c r="L7352" s="1077"/>
      <c r="M7352" s="1077"/>
    </row>
    <row r="7353" spans="5:13">
      <c r="E7353" s="1077"/>
      <c r="F7353" s="1077"/>
      <c r="G7353" s="1077"/>
      <c r="H7353" s="1077"/>
      <c r="I7353" s="1077"/>
      <c r="J7353" s="1077"/>
      <c r="K7353" s="1077"/>
      <c r="L7353" s="1077"/>
      <c r="M7353" s="1077"/>
    </row>
    <row r="7354" spans="5:13">
      <c r="E7354" s="1077"/>
      <c r="F7354" s="1077"/>
      <c r="G7354" s="1077"/>
      <c r="H7354" s="1077"/>
      <c r="I7354" s="1077"/>
      <c r="J7354" s="1077"/>
      <c r="K7354" s="1077"/>
      <c r="L7354" s="1077"/>
      <c r="M7354" s="1077"/>
    </row>
    <row r="7355" spans="5:13">
      <c r="E7355" s="1077"/>
      <c r="F7355" s="1077"/>
      <c r="G7355" s="1077"/>
      <c r="H7355" s="1077"/>
      <c r="I7355" s="1077"/>
      <c r="J7355" s="1077"/>
      <c r="K7355" s="1077"/>
      <c r="L7355" s="1077"/>
      <c r="M7355" s="1077"/>
    </row>
    <row r="7356" spans="5:13">
      <c r="E7356" s="1077"/>
      <c r="F7356" s="1077"/>
      <c r="G7356" s="1077"/>
      <c r="H7356" s="1077"/>
      <c r="I7356" s="1077"/>
      <c r="J7356" s="1077"/>
      <c r="K7356" s="1077"/>
      <c r="L7356" s="1077"/>
      <c r="M7356" s="1077"/>
    </row>
    <row r="7357" spans="5:13">
      <c r="E7357" s="1077"/>
      <c r="F7357" s="1077"/>
      <c r="G7357" s="1077"/>
      <c r="H7357" s="1077"/>
      <c r="I7357" s="1077"/>
      <c r="J7357" s="1077"/>
      <c r="K7357" s="1077"/>
      <c r="L7357" s="1077"/>
      <c r="M7357" s="1077"/>
    </row>
    <row r="7358" spans="5:13">
      <c r="E7358" s="1077"/>
      <c r="F7358" s="1077"/>
      <c r="G7358" s="1077"/>
      <c r="H7358" s="1077"/>
      <c r="I7358" s="1077"/>
      <c r="J7358" s="1077"/>
      <c r="K7358" s="1077"/>
      <c r="L7358" s="1077"/>
      <c r="M7358" s="1077"/>
    </row>
    <row r="7359" spans="5:13">
      <c r="E7359" s="1077"/>
      <c r="F7359" s="1077"/>
      <c r="G7359" s="1077"/>
      <c r="H7359" s="1077"/>
      <c r="I7359" s="1077"/>
      <c r="J7359" s="1077"/>
      <c r="K7359" s="1077"/>
      <c r="L7359" s="1077"/>
      <c r="M7359" s="1077"/>
    </row>
    <row r="7360" spans="5:13">
      <c r="E7360" s="1077"/>
      <c r="F7360" s="1077"/>
      <c r="G7360" s="1077"/>
      <c r="H7360" s="1077"/>
      <c r="I7360" s="1077"/>
      <c r="J7360" s="1077"/>
      <c r="K7360" s="1077"/>
      <c r="L7360" s="1077"/>
      <c r="M7360" s="1077"/>
    </row>
    <row r="7361" spans="5:13">
      <c r="E7361" s="1077"/>
      <c r="F7361" s="1077"/>
      <c r="G7361" s="1077"/>
      <c r="H7361" s="1077"/>
      <c r="I7361" s="1077"/>
      <c r="J7361" s="1077"/>
      <c r="K7361" s="1077"/>
      <c r="L7361" s="1077"/>
      <c r="M7361" s="1077"/>
    </row>
    <row r="7362" spans="5:13">
      <c r="E7362" s="1077"/>
      <c r="F7362" s="1077"/>
      <c r="G7362" s="1077"/>
      <c r="H7362" s="1077"/>
      <c r="I7362" s="1077"/>
      <c r="J7362" s="1077"/>
      <c r="K7362" s="1077"/>
      <c r="L7362" s="1077"/>
      <c r="M7362" s="1077"/>
    </row>
    <row r="7363" spans="5:13">
      <c r="E7363" s="1077"/>
      <c r="F7363" s="1077"/>
      <c r="G7363" s="1077"/>
      <c r="H7363" s="1077"/>
      <c r="I7363" s="1077"/>
      <c r="J7363" s="1077"/>
      <c r="K7363" s="1077"/>
      <c r="L7363" s="1077"/>
      <c r="M7363" s="1077"/>
    </row>
    <row r="7364" spans="5:13">
      <c r="E7364" s="1077"/>
      <c r="F7364" s="1077"/>
      <c r="G7364" s="1077"/>
      <c r="H7364" s="1077"/>
      <c r="I7364" s="1077"/>
      <c r="J7364" s="1077"/>
      <c r="K7364" s="1077"/>
      <c r="L7364" s="1077"/>
      <c r="M7364" s="1077"/>
    </row>
    <row r="7365" spans="5:13">
      <c r="E7365" s="1077"/>
      <c r="F7365" s="1077"/>
      <c r="G7365" s="1077"/>
      <c r="H7365" s="1077"/>
      <c r="I7365" s="1077"/>
      <c r="J7365" s="1077"/>
      <c r="K7365" s="1077"/>
      <c r="L7365" s="1077"/>
      <c r="M7365" s="1077"/>
    </row>
    <row r="7366" spans="5:13">
      <c r="E7366" s="1077"/>
      <c r="F7366" s="1077"/>
      <c r="G7366" s="1077"/>
      <c r="H7366" s="1077"/>
      <c r="I7366" s="1077"/>
      <c r="J7366" s="1077"/>
      <c r="K7366" s="1077"/>
      <c r="L7366" s="1077"/>
      <c r="M7366" s="1077"/>
    </row>
    <row r="7367" spans="5:13">
      <c r="E7367" s="1077"/>
      <c r="F7367" s="1077"/>
      <c r="G7367" s="1077"/>
      <c r="H7367" s="1077"/>
      <c r="I7367" s="1077"/>
      <c r="J7367" s="1077"/>
      <c r="K7367" s="1077"/>
      <c r="L7367" s="1077"/>
      <c r="M7367" s="1077"/>
    </row>
    <row r="7368" spans="5:13">
      <c r="E7368" s="1077"/>
      <c r="F7368" s="1077"/>
      <c r="G7368" s="1077"/>
      <c r="H7368" s="1077"/>
      <c r="I7368" s="1077"/>
      <c r="J7368" s="1077"/>
      <c r="K7368" s="1077"/>
      <c r="L7368" s="1077"/>
      <c r="M7368" s="1077"/>
    </row>
    <row r="7369" spans="5:13">
      <c r="E7369" s="1077"/>
      <c r="F7369" s="1077"/>
      <c r="G7369" s="1077"/>
      <c r="H7369" s="1077"/>
      <c r="I7369" s="1077"/>
      <c r="J7369" s="1077"/>
      <c r="K7369" s="1077"/>
      <c r="L7369" s="1077"/>
      <c r="M7369" s="1077"/>
    </row>
    <row r="7370" spans="5:13">
      <c r="E7370" s="1077"/>
      <c r="F7370" s="1077"/>
      <c r="G7370" s="1077"/>
      <c r="H7370" s="1077"/>
      <c r="I7370" s="1077"/>
      <c r="J7370" s="1077"/>
      <c r="K7370" s="1077"/>
      <c r="L7370" s="1077"/>
      <c r="M7370" s="1077"/>
    </row>
    <row r="7371" spans="5:13">
      <c r="E7371" s="1077"/>
      <c r="F7371" s="1077"/>
      <c r="G7371" s="1077"/>
      <c r="H7371" s="1077"/>
      <c r="I7371" s="1077"/>
      <c r="J7371" s="1077"/>
      <c r="K7371" s="1077"/>
      <c r="L7371" s="1077"/>
      <c r="M7371" s="1077"/>
    </row>
    <row r="7372" spans="5:13">
      <c r="E7372" s="1077"/>
      <c r="F7372" s="1077"/>
      <c r="G7372" s="1077"/>
      <c r="H7372" s="1077"/>
      <c r="I7372" s="1077"/>
      <c r="J7372" s="1077"/>
      <c r="K7372" s="1077"/>
      <c r="L7372" s="1077"/>
      <c r="M7372" s="1077"/>
    </row>
    <row r="7373" spans="5:13">
      <c r="E7373" s="1077"/>
      <c r="F7373" s="1077"/>
      <c r="G7373" s="1077"/>
      <c r="H7373" s="1077"/>
      <c r="I7373" s="1077"/>
      <c r="J7373" s="1077"/>
      <c r="K7373" s="1077"/>
      <c r="L7373" s="1077"/>
      <c r="M7373" s="1077"/>
    </row>
    <row r="7374" spans="5:13">
      <c r="E7374" s="1077"/>
      <c r="F7374" s="1077"/>
      <c r="G7374" s="1077"/>
      <c r="H7374" s="1077"/>
      <c r="I7374" s="1077"/>
      <c r="J7374" s="1077"/>
      <c r="K7374" s="1077"/>
      <c r="L7374" s="1077"/>
      <c r="M7374" s="1077"/>
    </row>
    <row r="7375" spans="5:13">
      <c r="E7375" s="1077"/>
      <c r="F7375" s="1077"/>
      <c r="G7375" s="1077"/>
      <c r="H7375" s="1077"/>
      <c r="I7375" s="1077"/>
      <c r="J7375" s="1077"/>
      <c r="K7375" s="1077"/>
      <c r="L7375" s="1077"/>
      <c r="M7375" s="1077"/>
    </row>
    <row r="7376" spans="5:13">
      <c r="E7376" s="1077"/>
      <c r="F7376" s="1077"/>
      <c r="G7376" s="1077"/>
      <c r="H7376" s="1077"/>
      <c r="I7376" s="1077"/>
      <c r="J7376" s="1077"/>
      <c r="K7376" s="1077"/>
      <c r="L7376" s="1077"/>
      <c r="M7376" s="1077"/>
    </row>
    <row r="7377" spans="5:13">
      <c r="E7377" s="1077"/>
      <c r="F7377" s="1077"/>
      <c r="G7377" s="1077"/>
      <c r="H7377" s="1077"/>
      <c r="I7377" s="1077"/>
      <c r="J7377" s="1077"/>
      <c r="K7377" s="1077"/>
      <c r="L7377" s="1077"/>
      <c r="M7377" s="1077"/>
    </row>
    <row r="7378" spans="5:13">
      <c r="E7378" s="1077"/>
      <c r="F7378" s="1077"/>
      <c r="G7378" s="1077"/>
      <c r="H7378" s="1077"/>
      <c r="I7378" s="1077"/>
      <c r="J7378" s="1077"/>
      <c r="K7378" s="1077"/>
      <c r="L7378" s="1077"/>
      <c r="M7378" s="1077"/>
    </row>
    <row r="7379" spans="5:13">
      <c r="E7379" s="1077"/>
      <c r="F7379" s="1077"/>
      <c r="G7379" s="1077"/>
      <c r="H7379" s="1077"/>
      <c r="I7379" s="1077"/>
      <c r="J7379" s="1077"/>
      <c r="K7379" s="1077"/>
      <c r="L7379" s="1077"/>
      <c r="M7379" s="1077"/>
    </row>
    <row r="7380" spans="5:13">
      <c r="E7380" s="1077"/>
      <c r="F7380" s="1077"/>
      <c r="G7380" s="1077"/>
      <c r="H7380" s="1077"/>
      <c r="I7380" s="1077"/>
      <c r="J7380" s="1077"/>
      <c r="K7380" s="1077"/>
      <c r="L7380" s="1077"/>
      <c r="M7380" s="1077"/>
    </row>
    <row r="7381" spans="5:13">
      <c r="E7381" s="1077"/>
      <c r="F7381" s="1077"/>
      <c r="G7381" s="1077"/>
      <c r="H7381" s="1077"/>
      <c r="I7381" s="1077"/>
      <c r="J7381" s="1077"/>
      <c r="K7381" s="1077"/>
      <c r="L7381" s="1077"/>
      <c r="M7381" s="1077"/>
    </row>
    <row r="7382" spans="5:13">
      <c r="E7382" s="1077"/>
      <c r="F7382" s="1077"/>
      <c r="G7382" s="1077"/>
      <c r="H7382" s="1077"/>
      <c r="I7382" s="1077"/>
      <c r="J7382" s="1077"/>
      <c r="K7382" s="1077"/>
      <c r="L7382" s="1077"/>
      <c r="M7382" s="1077"/>
    </row>
    <row r="7383" spans="5:13">
      <c r="E7383" s="1077"/>
      <c r="F7383" s="1077"/>
      <c r="G7383" s="1077"/>
      <c r="H7383" s="1077"/>
      <c r="I7383" s="1077"/>
      <c r="J7383" s="1077"/>
      <c r="K7383" s="1077"/>
      <c r="L7383" s="1077"/>
      <c r="M7383" s="1077"/>
    </row>
    <row r="7384" spans="5:13">
      <c r="E7384" s="1077"/>
      <c r="F7384" s="1077"/>
      <c r="G7384" s="1077"/>
      <c r="H7384" s="1077"/>
      <c r="I7384" s="1077"/>
      <c r="J7384" s="1077"/>
      <c r="K7384" s="1077"/>
      <c r="L7384" s="1077"/>
      <c r="M7384" s="1077"/>
    </row>
    <row r="7385" spans="5:13">
      <c r="E7385" s="1077"/>
      <c r="F7385" s="1077"/>
      <c r="G7385" s="1077"/>
      <c r="H7385" s="1077"/>
      <c r="I7385" s="1077"/>
      <c r="J7385" s="1077"/>
      <c r="K7385" s="1077"/>
      <c r="L7385" s="1077"/>
      <c r="M7385" s="1077"/>
    </row>
    <row r="7386" spans="5:13">
      <c r="E7386" s="1077"/>
      <c r="F7386" s="1077"/>
      <c r="G7386" s="1077"/>
      <c r="H7386" s="1077"/>
      <c r="I7386" s="1077"/>
      <c r="J7386" s="1077"/>
      <c r="K7386" s="1077"/>
      <c r="L7386" s="1077"/>
      <c r="M7386" s="1077"/>
    </row>
    <row r="7387" spans="5:13">
      <c r="E7387" s="1077"/>
      <c r="F7387" s="1077"/>
      <c r="G7387" s="1077"/>
      <c r="H7387" s="1077"/>
      <c r="I7387" s="1077"/>
      <c r="J7387" s="1077"/>
      <c r="K7387" s="1077"/>
      <c r="L7387" s="1077"/>
      <c r="M7387" s="1077"/>
    </row>
    <row r="7388" spans="5:13">
      <c r="E7388" s="1077"/>
      <c r="F7388" s="1077"/>
      <c r="G7388" s="1077"/>
      <c r="H7388" s="1077"/>
      <c r="I7388" s="1077"/>
      <c r="J7388" s="1077"/>
      <c r="K7388" s="1077"/>
      <c r="L7388" s="1077"/>
      <c r="M7388" s="1077"/>
    </row>
    <row r="7389" spans="5:13">
      <c r="E7389" s="1077"/>
      <c r="F7389" s="1077"/>
      <c r="G7389" s="1077"/>
      <c r="H7389" s="1077"/>
      <c r="I7389" s="1077"/>
      <c r="J7389" s="1077"/>
      <c r="K7389" s="1077"/>
      <c r="L7389" s="1077"/>
      <c r="M7389" s="1077"/>
    </row>
    <row r="7390" spans="5:13">
      <c r="E7390" s="1077"/>
      <c r="F7390" s="1077"/>
      <c r="G7390" s="1077"/>
      <c r="H7390" s="1077"/>
      <c r="I7390" s="1077"/>
      <c r="J7390" s="1077"/>
      <c r="K7390" s="1077"/>
      <c r="L7390" s="1077"/>
      <c r="M7390" s="1077"/>
    </row>
    <row r="7391" spans="5:13">
      <c r="E7391" s="1077"/>
      <c r="F7391" s="1077"/>
      <c r="G7391" s="1077"/>
      <c r="H7391" s="1077"/>
      <c r="I7391" s="1077"/>
      <c r="J7391" s="1077"/>
      <c r="K7391" s="1077"/>
      <c r="L7391" s="1077"/>
      <c r="M7391" s="1077"/>
    </row>
    <row r="7392" spans="5:13">
      <c r="E7392" s="1077"/>
      <c r="F7392" s="1077"/>
      <c r="G7392" s="1077"/>
      <c r="H7392" s="1077"/>
      <c r="I7392" s="1077"/>
      <c r="J7392" s="1077"/>
      <c r="K7392" s="1077"/>
      <c r="L7392" s="1077"/>
      <c r="M7392" s="1077"/>
    </row>
    <row r="7393" spans="5:13">
      <c r="E7393" s="1077"/>
      <c r="F7393" s="1077"/>
      <c r="G7393" s="1077"/>
      <c r="H7393" s="1077"/>
      <c r="I7393" s="1077"/>
      <c r="J7393" s="1077"/>
      <c r="K7393" s="1077"/>
      <c r="L7393" s="1077"/>
      <c r="M7393" s="1077"/>
    </row>
    <row r="7394" spans="5:13">
      <c r="E7394" s="1077"/>
      <c r="F7394" s="1077"/>
      <c r="G7394" s="1077"/>
      <c r="H7394" s="1077"/>
      <c r="I7394" s="1077"/>
      <c r="J7394" s="1077"/>
      <c r="K7394" s="1077"/>
      <c r="L7394" s="1077"/>
      <c r="M7394" s="1077"/>
    </row>
    <row r="7395" spans="5:13">
      <c r="E7395" s="1077"/>
      <c r="F7395" s="1077"/>
      <c r="G7395" s="1077"/>
      <c r="H7395" s="1077"/>
      <c r="I7395" s="1077"/>
      <c r="J7395" s="1077"/>
      <c r="K7395" s="1077"/>
      <c r="L7395" s="1077"/>
      <c r="M7395" s="1077"/>
    </row>
    <row r="7396" spans="5:13">
      <c r="E7396" s="1077"/>
      <c r="F7396" s="1077"/>
      <c r="G7396" s="1077"/>
      <c r="H7396" s="1077"/>
      <c r="I7396" s="1077"/>
      <c r="J7396" s="1077"/>
      <c r="K7396" s="1077"/>
      <c r="L7396" s="1077"/>
      <c r="M7396" s="1077"/>
    </row>
    <row r="7397" spans="5:13">
      <c r="E7397" s="1077"/>
      <c r="F7397" s="1077"/>
      <c r="G7397" s="1077"/>
      <c r="H7397" s="1077"/>
      <c r="I7397" s="1077"/>
      <c r="J7397" s="1077"/>
      <c r="K7397" s="1077"/>
      <c r="L7397" s="1077"/>
      <c r="M7397" s="1077"/>
    </row>
    <row r="7398" spans="5:13">
      <c r="E7398" s="1077"/>
      <c r="F7398" s="1077"/>
      <c r="G7398" s="1077"/>
      <c r="H7398" s="1077"/>
      <c r="I7398" s="1077"/>
      <c r="J7398" s="1077"/>
      <c r="K7398" s="1077"/>
      <c r="L7398" s="1077"/>
      <c r="M7398" s="1077"/>
    </row>
    <row r="7399" spans="5:13">
      <c r="E7399" s="1077"/>
      <c r="F7399" s="1077"/>
      <c r="G7399" s="1077"/>
      <c r="H7399" s="1077"/>
      <c r="I7399" s="1077"/>
      <c r="J7399" s="1077"/>
      <c r="K7399" s="1077"/>
      <c r="L7399" s="1077"/>
      <c r="M7399" s="1077"/>
    </row>
    <row r="7400" spans="5:13">
      <c r="E7400" s="1077"/>
      <c r="F7400" s="1077"/>
      <c r="G7400" s="1077"/>
      <c r="H7400" s="1077"/>
      <c r="I7400" s="1077"/>
      <c r="J7400" s="1077"/>
      <c r="K7400" s="1077"/>
      <c r="L7400" s="1077"/>
      <c r="M7400" s="1077"/>
    </row>
    <row r="7401" spans="5:13">
      <c r="E7401" s="1077"/>
      <c r="F7401" s="1077"/>
      <c r="G7401" s="1077"/>
      <c r="H7401" s="1077"/>
      <c r="I7401" s="1077"/>
      <c r="J7401" s="1077"/>
      <c r="K7401" s="1077"/>
      <c r="L7401" s="1077"/>
      <c r="M7401" s="1077"/>
    </row>
    <row r="7402" spans="5:13">
      <c r="E7402" s="1077"/>
      <c r="F7402" s="1077"/>
      <c r="G7402" s="1077"/>
      <c r="H7402" s="1077"/>
      <c r="I7402" s="1077"/>
      <c r="J7402" s="1077"/>
      <c r="K7402" s="1077"/>
      <c r="L7402" s="1077"/>
      <c r="M7402" s="1077"/>
    </row>
    <row r="7403" spans="5:13">
      <c r="E7403" s="1077"/>
      <c r="F7403" s="1077"/>
      <c r="G7403" s="1077"/>
      <c r="H7403" s="1077"/>
      <c r="I7403" s="1077"/>
      <c r="J7403" s="1077"/>
      <c r="K7403" s="1077"/>
      <c r="L7403" s="1077"/>
      <c r="M7403" s="1077"/>
    </row>
    <row r="7404" spans="5:13">
      <c r="E7404" s="1077"/>
      <c r="F7404" s="1077"/>
      <c r="G7404" s="1077"/>
      <c r="H7404" s="1077"/>
      <c r="I7404" s="1077"/>
      <c r="J7404" s="1077"/>
      <c r="K7404" s="1077"/>
      <c r="L7404" s="1077"/>
      <c r="M7404" s="1077"/>
    </row>
    <row r="7405" spans="5:13">
      <c r="E7405" s="1077"/>
      <c r="F7405" s="1077"/>
      <c r="G7405" s="1077"/>
      <c r="H7405" s="1077"/>
      <c r="I7405" s="1077"/>
      <c r="J7405" s="1077"/>
      <c r="K7405" s="1077"/>
      <c r="L7405" s="1077"/>
      <c r="M7405" s="1077"/>
    </row>
    <row r="7406" spans="5:13">
      <c r="E7406" s="1077"/>
      <c r="F7406" s="1077"/>
      <c r="G7406" s="1077"/>
      <c r="H7406" s="1077"/>
      <c r="I7406" s="1077"/>
      <c r="J7406" s="1077"/>
      <c r="K7406" s="1077"/>
      <c r="L7406" s="1077"/>
      <c r="M7406" s="1077"/>
    </row>
    <row r="7407" spans="5:13">
      <c r="E7407" s="1077"/>
      <c r="F7407" s="1077"/>
      <c r="G7407" s="1077"/>
      <c r="H7407" s="1077"/>
      <c r="I7407" s="1077"/>
      <c r="J7407" s="1077"/>
      <c r="K7407" s="1077"/>
      <c r="L7407" s="1077"/>
      <c r="M7407" s="1077"/>
    </row>
    <row r="7408" spans="5:13">
      <c r="E7408" s="1077"/>
      <c r="F7408" s="1077"/>
      <c r="G7408" s="1077"/>
      <c r="H7408" s="1077"/>
      <c r="I7408" s="1077"/>
      <c r="J7408" s="1077"/>
      <c r="K7408" s="1077"/>
      <c r="L7408" s="1077"/>
      <c r="M7408" s="1077"/>
    </row>
    <row r="7409" spans="5:13">
      <c r="E7409" s="1077"/>
      <c r="F7409" s="1077"/>
      <c r="G7409" s="1077"/>
      <c r="H7409" s="1077"/>
      <c r="I7409" s="1077"/>
      <c r="J7409" s="1077"/>
      <c r="K7409" s="1077"/>
      <c r="L7409" s="1077"/>
      <c r="M7409" s="1077"/>
    </row>
    <row r="7410" spans="5:13">
      <c r="E7410" s="1077"/>
      <c r="F7410" s="1077"/>
      <c r="G7410" s="1077"/>
      <c r="H7410" s="1077"/>
      <c r="I7410" s="1077"/>
      <c r="J7410" s="1077"/>
      <c r="K7410" s="1077"/>
      <c r="L7410" s="1077"/>
      <c r="M7410" s="1077"/>
    </row>
    <row r="7411" spans="5:13">
      <c r="E7411" s="1077"/>
      <c r="F7411" s="1077"/>
      <c r="G7411" s="1077"/>
      <c r="H7411" s="1077"/>
      <c r="I7411" s="1077"/>
      <c r="J7411" s="1077"/>
      <c r="K7411" s="1077"/>
      <c r="L7411" s="1077"/>
      <c r="M7411" s="1077"/>
    </row>
    <row r="7412" spans="5:13">
      <c r="E7412" s="1077"/>
      <c r="F7412" s="1077"/>
      <c r="G7412" s="1077"/>
      <c r="H7412" s="1077"/>
      <c r="I7412" s="1077"/>
      <c r="J7412" s="1077"/>
      <c r="K7412" s="1077"/>
      <c r="L7412" s="1077"/>
      <c r="M7412" s="1077"/>
    </row>
    <row r="7413" spans="5:13">
      <c r="E7413" s="1077"/>
      <c r="F7413" s="1077"/>
      <c r="G7413" s="1077"/>
      <c r="H7413" s="1077"/>
      <c r="I7413" s="1077"/>
      <c r="J7413" s="1077"/>
      <c r="K7413" s="1077"/>
      <c r="L7413" s="1077"/>
      <c r="M7413" s="1077"/>
    </row>
    <row r="7414" spans="5:13">
      <c r="E7414" s="1077"/>
      <c r="F7414" s="1077"/>
      <c r="G7414" s="1077"/>
      <c r="H7414" s="1077"/>
      <c r="I7414" s="1077"/>
      <c r="J7414" s="1077"/>
      <c r="K7414" s="1077"/>
      <c r="L7414" s="1077"/>
      <c r="M7414" s="1077"/>
    </row>
    <row r="7415" spans="5:13">
      <c r="E7415" s="1077"/>
      <c r="F7415" s="1077"/>
      <c r="G7415" s="1077"/>
      <c r="H7415" s="1077"/>
      <c r="I7415" s="1077"/>
      <c r="J7415" s="1077"/>
      <c r="K7415" s="1077"/>
      <c r="L7415" s="1077"/>
      <c r="M7415" s="1077"/>
    </row>
    <row r="7416" spans="5:13">
      <c r="E7416" s="1077"/>
      <c r="F7416" s="1077"/>
      <c r="G7416" s="1077"/>
      <c r="H7416" s="1077"/>
      <c r="I7416" s="1077"/>
      <c r="J7416" s="1077"/>
      <c r="K7416" s="1077"/>
      <c r="L7416" s="1077"/>
      <c r="M7416" s="1077"/>
    </row>
    <row r="7417" spans="5:13">
      <c r="E7417" s="1077"/>
      <c r="F7417" s="1077"/>
      <c r="G7417" s="1077"/>
      <c r="H7417" s="1077"/>
      <c r="I7417" s="1077"/>
      <c r="J7417" s="1077"/>
      <c r="K7417" s="1077"/>
      <c r="L7417" s="1077"/>
      <c r="M7417" s="1077"/>
    </row>
    <row r="7418" spans="5:13">
      <c r="E7418" s="1077"/>
      <c r="F7418" s="1077"/>
      <c r="G7418" s="1077"/>
      <c r="H7418" s="1077"/>
      <c r="I7418" s="1077"/>
      <c r="J7418" s="1077"/>
      <c r="K7418" s="1077"/>
      <c r="L7418" s="1077"/>
      <c r="M7418" s="1077"/>
    </row>
    <row r="7419" spans="5:13">
      <c r="E7419" s="1077"/>
      <c r="F7419" s="1077"/>
      <c r="G7419" s="1077"/>
      <c r="H7419" s="1077"/>
      <c r="I7419" s="1077"/>
      <c r="J7419" s="1077"/>
      <c r="K7419" s="1077"/>
      <c r="L7419" s="1077"/>
      <c r="M7419" s="1077"/>
    </row>
    <row r="7420" spans="5:13">
      <c r="E7420" s="1077"/>
      <c r="F7420" s="1077"/>
      <c r="G7420" s="1077"/>
      <c r="H7420" s="1077"/>
      <c r="I7420" s="1077"/>
      <c r="J7420" s="1077"/>
      <c r="K7420" s="1077"/>
      <c r="L7420" s="1077"/>
      <c r="M7420" s="1077"/>
    </row>
    <row r="7421" spans="5:13">
      <c r="E7421" s="1077"/>
      <c r="F7421" s="1077"/>
      <c r="G7421" s="1077"/>
      <c r="H7421" s="1077"/>
      <c r="I7421" s="1077"/>
      <c r="J7421" s="1077"/>
      <c r="K7421" s="1077"/>
      <c r="L7421" s="1077"/>
      <c r="M7421" s="1077"/>
    </row>
    <row r="7422" spans="5:13">
      <c r="E7422" s="1077"/>
      <c r="F7422" s="1077"/>
      <c r="G7422" s="1077"/>
      <c r="H7422" s="1077"/>
      <c r="I7422" s="1077"/>
      <c r="J7422" s="1077"/>
      <c r="K7422" s="1077"/>
      <c r="L7422" s="1077"/>
      <c r="M7422" s="1077"/>
    </row>
    <row r="7423" spans="5:13">
      <c r="E7423" s="1077"/>
      <c r="F7423" s="1077"/>
      <c r="G7423" s="1077"/>
      <c r="H7423" s="1077"/>
      <c r="I7423" s="1077"/>
      <c r="J7423" s="1077"/>
      <c r="K7423" s="1077"/>
      <c r="L7423" s="1077"/>
      <c r="M7423" s="1077"/>
    </row>
    <row r="7424" spans="5:13">
      <c r="E7424" s="1077"/>
      <c r="F7424" s="1077"/>
      <c r="G7424" s="1077"/>
      <c r="H7424" s="1077"/>
      <c r="I7424" s="1077"/>
      <c r="J7424" s="1077"/>
      <c r="K7424" s="1077"/>
      <c r="L7424" s="1077"/>
      <c r="M7424" s="1077"/>
    </row>
    <row r="7425" spans="5:13">
      <c r="E7425" s="1077"/>
      <c r="F7425" s="1077"/>
      <c r="G7425" s="1077"/>
      <c r="H7425" s="1077"/>
      <c r="I7425" s="1077"/>
      <c r="J7425" s="1077"/>
      <c r="K7425" s="1077"/>
      <c r="L7425" s="1077"/>
      <c r="M7425" s="1077"/>
    </row>
    <row r="7426" spans="5:13">
      <c r="E7426" s="1077"/>
      <c r="F7426" s="1077"/>
      <c r="G7426" s="1077"/>
      <c r="H7426" s="1077"/>
      <c r="I7426" s="1077"/>
      <c r="J7426" s="1077"/>
      <c r="K7426" s="1077"/>
      <c r="L7426" s="1077"/>
      <c r="M7426" s="1077"/>
    </row>
    <row r="7427" spans="5:13">
      <c r="E7427" s="1077"/>
      <c r="F7427" s="1077"/>
      <c r="G7427" s="1077"/>
      <c r="H7427" s="1077"/>
      <c r="I7427" s="1077"/>
      <c r="J7427" s="1077"/>
      <c r="K7427" s="1077"/>
      <c r="L7427" s="1077"/>
      <c r="M7427" s="1077"/>
    </row>
    <row r="7428" spans="5:13">
      <c r="E7428" s="1077"/>
      <c r="F7428" s="1077"/>
      <c r="G7428" s="1077"/>
      <c r="H7428" s="1077"/>
      <c r="I7428" s="1077"/>
      <c r="J7428" s="1077"/>
      <c r="K7428" s="1077"/>
      <c r="L7428" s="1077"/>
      <c r="M7428" s="1077"/>
    </row>
    <row r="7429" spans="5:13">
      <c r="E7429" s="1077"/>
      <c r="F7429" s="1077"/>
      <c r="G7429" s="1077"/>
      <c r="H7429" s="1077"/>
      <c r="I7429" s="1077"/>
      <c r="J7429" s="1077"/>
      <c r="K7429" s="1077"/>
      <c r="L7429" s="1077"/>
      <c r="M7429" s="1077"/>
    </row>
    <row r="7430" spans="5:13">
      <c r="E7430" s="1077"/>
      <c r="F7430" s="1077"/>
      <c r="G7430" s="1077"/>
      <c r="H7430" s="1077"/>
      <c r="I7430" s="1077"/>
      <c r="J7430" s="1077"/>
      <c r="K7430" s="1077"/>
      <c r="L7430" s="1077"/>
      <c r="M7430" s="1077"/>
    </row>
    <row r="7431" spans="5:13">
      <c r="E7431" s="1077"/>
      <c r="F7431" s="1077"/>
      <c r="G7431" s="1077"/>
      <c r="H7431" s="1077"/>
      <c r="I7431" s="1077"/>
      <c r="J7431" s="1077"/>
      <c r="K7431" s="1077"/>
      <c r="L7431" s="1077"/>
      <c r="M7431" s="1077"/>
    </row>
    <row r="7432" spans="5:13">
      <c r="E7432" s="1077"/>
      <c r="F7432" s="1077"/>
      <c r="G7432" s="1077"/>
      <c r="H7432" s="1077"/>
      <c r="I7432" s="1077"/>
      <c r="J7432" s="1077"/>
      <c r="K7432" s="1077"/>
      <c r="L7432" s="1077"/>
      <c r="M7432" s="1077"/>
    </row>
    <row r="7433" spans="5:13">
      <c r="E7433" s="1077"/>
      <c r="F7433" s="1077"/>
      <c r="G7433" s="1077"/>
      <c r="H7433" s="1077"/>
      <c r="I7433" s="1077"/>
      <c r="J7433" s="1077"/>
      <c r="K7433" s="1077"/>
      <c r="L7433" s="1077"/>
      <c r="M7433" s="1077"/>
    </row>
    <row r="7434" spans="5:13">
      <c r="E7434" s="1077"/>
      <c r="F7434" s="1077"/>
      <c r="G7434" s="1077"/>
      <c r="H7434" s="1077"/>
      <c r="I7434" s="1077"/>
      <c r="J7434" s="1077"/>
      <c r="K7434" s="1077"/>
      <c r="L7434" s="1077"/>
      <c r="M7434" s="1077"/>
    </row>
    <row r="7435" spans="5:13">
      <c r="E7435" s="1077"/>
      <c r="F7435" s="1077"/>
      <c r="G7435" s="1077"/>
      <c r="H7435" s="1077"/>
      <c r="I7435" s="1077"/>
      <c r="J7435" s="1077"/>
      <c r="K7435" s="1077"/>
      <c r="L7435" s="1077"/>
      <c r="M7435" s="1077"/>
    </row>
    <row r="7436" spans="5:13">
      <c r="E7436" s="1077"/>
      <c r="F7436" s="1077"/>
      <c r="G7436" s="1077"/>
      <c r="H7436" s="1077"/>
      <c r="I7436" s="1077"/>
      <c r="J7436" s="1077"/>
      <c r="K7436" s="1077"/>
      <c r="L7436" s="1077"/>
      <c r="M7436" s="1077"/>
    </row>
    <row r="7437" spans="5:13">
      <c r="E7437" s="1077"/>
      <c r="F7437" s="1077"/>
      <c r="G7437" s="1077"/>
      <c r="H7437" s="1077"/>
      <c r="I7437" s="1077"/>
      <c r="J7437" s="1077"/>
      <c r="K7437" s="1077"/>
      <c r="L7437" s="1077"/>
      <c r="M7437" s="1077"/>
    </row>
    <row r="7438" spans="5:13">
      <c r="E7438" s="1077"/>
      <c r="F7438" s="1077"/>
      <c r="G7438" s="1077"/>
      <c r="H7438" s="1077"/>
      <c r="I7438" s="1077"/>
      <c r="J7438" s="1077"/>
      <c r="K7438" s="1077"/>
      <c r="L7438" s="1077"/>
      <c r="M7438" s="1077"/>
    </row>
    <row r="7439" spans="5:13">
      <c r="E7439" s="1077"/>
      <c r="F7439" s="1077"/>
      <c r="G7439" s="1077"/>
      <c r="H7439" s="1077"/>
      <c r="I7439" s="1077"/>
      <c r="J7439" s="1077"/>
      <c r="K7439" s="1077"/>
      <c r="L7439" s="1077"/>
      <c r="M7439" s="1077"/>
    </row>
    <row r="7440" spans="5:13">
      <c r="E7440" s="1077"/>
      <c r="F7440" s="1077"/>
      <c r="G7440" s="1077"/>
      <c r="H7440" s="1077"/>
      <c r="I7440" s="1077"/>
      <c r="J7440" s="1077"/>
      <c r="K7440" s="1077"/>
      <c r="L7440" s="1077"/>
      <c r="M7440" s="1077"/>
    </row>
    <row r="7441" spans="5:13">
      <c r="E7441" s="1077"/>
      <c r="F7441" s="1077"/>
      <c r="G7441" s="1077"/>
      <c r="H7441" s="1077"/>
      <c r="I7441" s="1077"/>
      <c r="J7441" s="1077"/>
      <c r="K7441" s="1077"/>
      <c r="L7441" s="1077"/>
      <c r="M7441" s="1077"/>
    </row>
    <row r="7442" spans="5:13">
      <c r="E7442" s="1077"/>
      <c r="F7442" s="1077"/>
      <c r="G7442" s="1077"/>
      <c r="H7442" s="1077"/>
      <c r="I7442" s="1077"/>
      <c r="J7442" s="1077"/>
      <c r="K7442" s="1077"/>
      <c r="L7442" s="1077"/>
      <c r="M7442" s="1077"/>
    </row>
    <row r="7443" spans="5:13">
      <c r="E7443" s="1077"/>
      <c r="F7443" s="1077"/>
      <c r="G7443" s="1077"/>
      <c r="H7443" s="1077"/>
      <c r="I7443" s="1077"/>
      <c r="J7443" s="1077"/>
      <c r="K7443" s="1077"/>
      <c r="L7443" s="1077"/>
      <c r="M7443" s="1077"/>
    </row>
    <row r="7444" spans="5:13">
      <c r="E7444" s="1077"/>
      <c r="F7444" s="1077"/>
      <c r="G7444" s="1077"/>
      <c r="H7444" s="1077"/>
      <c r="I7444" s="1077"/>
      <c r="J7444" s="1077"/>
      <c r="K7444" s="1077"/>
      <c r="L7444" s="1077"/>
      <c r="M7444" s="1077"/>
    </row>
    <row r="7445" spans="5:13">
      <c r="E7445" s="1077"/>
      <c r="F7445" s="1077"/>
      <c r="G7445" s="1077"/>
      <c r="H7445" s="1077"/>
      <c r="I7445" s="1077"/>
      <c r="J7445" s="1077"/>
      <c r="K7445" s="1077"/>
      <c r="L7445" s="1077"/>
      <c r="M7445" s="1077"/>
    </row>
    <row r="7446" spans="5:13">
      <c r="E7446" s="1077"/>
      <c r="F7446" s="1077"/>
      <c r="G7446" s="1077"/>
      <c r="H7446" s="1077"/>
      <c r="I7446" s="1077"/>
      <c r="J7446" s="1077"/>
      <c r="K7446" s="1077"/>
      <c r="L7446" s="1077"/>
      <c r="M7446" s="1077"/>
    </row>
    <row r="7447" spans="5:13">
      <c r="E7447" s="1077"/>
      <c r="F7447" s="1077"/>
      <c r="G7447" s="1077"/>
      <c r="H7447" s="1077"/>
      <c r="I7447" s="1077"/>
      <c r="J7447" s="1077"/>
      <c r="K7447" s="1077"/>
      <c r="L7447" s="1077"/>
      <c r="M7447" s="1077"/>
    </row>
    <row r="7448" spans="5:13">
      <c r="E7448" s="1077"/>
      <c r="F7448" s="1077"/>
      <c r="G7448" s="1077"/>
      <c r="H7448" s="1077"/>
      <c r="I7448" s="1077"/>
      <c r="J7448" s="1077"/>
      <c r="K7448" s="1077"/>
      <c r="L7448" s="1077"/>
      <c r="M7448" s="1077"/>
    </row>
    <row r="7449" spans="5:13">
      <c r="E7449" s="1077"/>
      <c r="F7449" s="1077"/>
      <c r="G7449" s="1077"/>
      <c r="H7449" s="1077"/>
      <c r="I7449" s="1077"/>
      <c r="J7449" s="1077"/>
      <c r="K7449" s="1077"/>
      <c r="L7449" s="1077"/>
      <c r="M7449" s="1077"/>
    </row>
    <row r="7450" spans="5:13">
      <c r="E7450" s="1077"/>
      <c r="F7450" s="1077"/>
      <c r="G7450" s="1077"/>
      <c r="H7450" s="1077"/>
      <c r="I7450" s="1077"/>
      <c r="J7450" s="1077"/>
      <c r="K7450" s="1077"/>
      <c r="L7450" s="1077"/>
      <c r="M7450" s="1077"/>
    </row>
    <row r="7451" spans="5:13">
      <c r="E7451" s="1077"/>
      <c r="F7451" s="1077"/>
      <c r="G7451" s="1077"/>
      <c r="H7451" s="1077"/>
      <c r="I7451" s="1077"/>
      <c r="J7451" s="1077"/>
      <c r="K7451" s="1077"/>
      <c r="L7451" s="1077"/>
      <c r="M7451" s="1077"/>
    </row>
    <row r="7452" spans="5:13">
      <c r="E7452" s="1077"/>
      <c r="F7452" s="1077"/>
      <c r="G7452" s="1077"/>
      <c r="H7452" s="1077"/>
      <c r="I7452" s="1077"/>
      <c r="J7452" s="1077"/>
      <c r="K7452" s="1077"/>
      <c r="L7452" s="1077"/>
      <c r="M7452" s="1077"/>
    </row>
    <row r="7453" spans="5:13">
      <c r="E7453" s="1077"/>
      <c r="F7453" s="1077"/>
      <c r="G7453" s="1077"/>
      <c r="H7453" s="1077"/>
      <c r="I7453" s="1077"/>
      <c r="J7453" s="1077"/>
      <c r="K7453" s="1077"/>
      <c r="L7453" s="1077"/>
      <c r="M7453" s="1077"/>
    </row>
    <row r="7454" spans="5:13">
      <c r="E7454" s="1077"/>
      <c r="F7454" s="1077"/>
      <c r="G7454" s="1077"/>
      <c r="H7454" s="1077"/>
      <c r="I7454" s="1077"/>
      <c r="J7454" s="1077"/>
      <c r="K7454" s="1077"/>
      <c r="L7454" s="1077"/>
      <c r="M7454" s="1077"/>
    </row>
    <row r="7455" spans="5:13">
      <c r="E7455" s="1077"/>
      <c r="F7455" s="1077"/>
      <c r="G7455" s="1077"/>
      <c r="H7455" s="1077"/>
      <c r="I7455" s="1077"/>
      <c r="J7455" s="1077"/>
      <c r="K7455" s="1077"/>
      <c r="L7455" s="1077"/>
      <c r="M7455" s="1077"/>
    </row>
    <row r="7456" spans="5:13">
      <c r="E7456" s="1077"/>
      <c r="F7456" s="1077"/>
      <c r="G7456" s="1077"/>
      <c r="H7456" s="1077"/>
      <c r="I7456" s="1077"/>
      <c r="J7456" s="1077"/>
      <c r="K7456" s="1077"/>
      <c r="L7456" s="1077"/>
      <c r="M7456" s="1077"/>
    </row>
    <row r="7457" spans="5:13">
      <c r="E7457" s="1077"/>
      <c r="F7457" s="1077"/>
      <c r="G7457" s="1077"/>
      <c r="H7457" s="1077"/>
      <c r="I7457" s="1077"/>
      <c r="J7457" s="1077"/>
      <c r="K7457" s="1077"/>
      <c r="L7457" s="1077"/>
      <c r="M7457" s="1077"/>
    </row>
    <row r="7458" spans="5:13">
      <c r="E7458" s="1077"/>
      <c r="F7458" s="1077"/>
      <c r="G7458" s="1077"/>
      <c r="H7458" s="1077"/>
      <c r="I7458" s="1077"/>
      <c r="J7458" s="1077"/>
      <c r="K7458" s="1077"/>
      <c r="L7458" s="1077"/>
      <c r="M7458" s="1077"/>
    </row>
    <row r="7459" spans="5:13">
      <c r="E7459" s="1077"/>
      <c r="F7459" s="1077"/>
      <c r="G7459" s="1077"/>
      <c r="H7459" s="1077"/>
      <c r="I7459" s="1077"/>
      <c r="J7459" s="1077"/>
      <c r="K7459" s="1077"/>
      <c r="L7459" s="1077"/>
      <c r="M7459" s="1077"/>
    </row>
    <row r="7460" spans="5:13">
      <c r="E7460" s="1077"/>
      <c r="F7460" s="1077"/>
      <c r="G7460" s="1077"/>
      <c r="H7460" s="1077"/>
      <c r="I7460" s="1077"/>
      <c r="J7460" s="1077"/>
      <c r="K7460" s="1077"/>
      <c r="L7460" s="1077"/>
      <c r="M7460" s="1077"/>
    </row>
    <row r="7461" spans="5:13">
      <c r="E7461" s="1077"/>
      <c r="F7461" s="1077"/>
      <c r="G7461" s="1077"/>
      <c r="H7461" s="1077"/>
      <c r="I7461" s="1077"/>
      <c r="J7461" s="1077"/>
      <c r="K7461" s="1077"/>
      <c r="L7461" s="1077"/>
      <c r="M7461" s="1077"/>
    </row>
    <row r="7462" spans="5:13">
      <c r="E7462" s="1077"/>
      <c r="F7462" s="1077"/>
      <c r="G7462" s="1077"/>
      <c r="H7462" s="1077"/>
      <c r="I7462" s="1077"/>
      <c r="J7462" s="1077"/>
      <c r="K7462" s="1077"/>
      <c r="L7462" s="1077"/>
      <c r="M7462" s="1077"/>
    </row>
    <row r="7463" spans="5:13">
      <c r="E7463" s="1077"/>
      <c r="F7463" s="1077"/>
      <c r="G7463" s="1077"/>
      <c r="H7463" s="1077"/>
      <c r="I7463" s="1077"/>
      <c r="J7463" s="1077"/>
      <c r="K7463" s="1077"/>
      <c r="L7463" s="1077"/>
      <c r="M7463" s="1077"/>
    </row>
    <row r="7464" spans="5:13">
      <c r="E7464" s="1077"/>
      <c r="F7464" s="1077"/>
      <c r="G7464" s="1077"/>
      <c r="H7464" s="1077"/>
      <c r="I7464" s="1077"/>
      <c r="J7464" s="1077"/>
      <c r="K7464" s="1077"/>
      <c r="L7464" s="1077"/>
      <c r="M7464" s="1077"/>
    </row>
    <row r="7465" spans="5:13">
      <c r="E7465" s="1077"/>
      <c r="F7465" s="1077"/>
      <c r="G7465" s="1077"/>
      <c r="H7465" s="1077"/>
      <c r="I7465" s="1077"/>
      <c r="J7465" s="1077"/>
      <c r="K7465" s="1077"/>
      <c r="L7465" s="1077"/>
      <c r="M7465" s="1077"/>
    </row>
    <row r="7466" spans="5:13">
      <c r="E7466" s="1077"/>
      <c r="F7466" s="1077"/>
      <c r="G7466" s="1077"/>
      <c r="H7466" s="1077"/>
      <c r="I7466" s="1077"/>
      <c r="J7466" s="1077"/>
      <c r="K7466" s="1077"/>
      <c r="L7466" s="1077"/>
      <c r="M7466" s="1077"/>
    </row>
    <row r="7467" spans="5:13">
      <c r="E7467" s="1077"/>
      <c r="F7467" s="1077"/>
      <c r="G7467" s="1077"/>
      <c r="H7467" s="1077"/>
      <c r="I7467" s="1077"/>
      <c r="J7467" s="1077"/>
      <c r="K7467" s="1077"/>
      <c r="L7467" s="1077"/>
      <c r="M7467" s="1077"/>
    </row>
    <row r="7468" spans="5:13">
      <c r="E7468" s="1077"/>
      <c r="F7468" s="1077"/>
      <c r="G7468" s="1077"/>
      <c r="H7468" s="1077"/>
      <c r="I7468" s="1077"/>
      <c r="J7468" s="1077"/>
      <c r="K7468" s="1077"/>
      <c r="L7468" s="1077"/>
      <c r="M7468" s="1077"/>
    </row>
    <row r="7469" spans="5:13">
      <c r="E7469" s="1077"/>
      <c r="F7469" s="1077"/>
      <c r="G7469" s="1077"/>
      <c r="H7469" s="1077"/>
      <c r="I7469" s="1077"/>
      <c r="J7469" s="1077"/>
      <c r="K7469" s="1077"/>
      <c r="L7469" s="1077"/>
      <c r="M7469" s="1077"/>
    </row>
    <row r="7470" spans="5:13">
      <c r="E7470" s="1077"/>
      <c r="F7470" s="1077"/>
      <c r="G7470" s="1077"/>
      <c r="H7470" s="1077"/>
      <c r="I7470" s="1077"/>
      <c r="J7470" s="1077"/>
      <c r="K7470" s="1077"/>
      <c r="L7470" s="1077"/>
      <c r="M7470" s="1077"/>
    </row>
    <row r="7471" spans="5:13">
      <c r="E7471" s="1077"/>
      <c r="F7471" s="1077"/>
      <c r="G7471" s="1077"/>
      <c r="H7471" s="1077"/>
      <c r="I7471" s="1077"/>
      <c r="J7471" s="1077"/>
      <c r="K7471" s="1077"/>
      <c r="L7471" s="1077"/>
      <c r="M7471" s="1077"/>
    </row>
    <row r="7472" spans="5:13">
      <c r="E7472" s="1077"/>
      <c r="F7472" s="1077"/>
      <c r="G7472" s="1077"/>
      <c r="H7472" s="1077"/>
      <c r="I7472" s="1077"/>
      <c r="J7472" s="1077"/>
      <c r="K7472" s="1077"/>
      <c r="L7472" s="1077"/>
      <c r="M7472" s="1077"/>
    </row>
    <row r="7473" spans="5:13">
      <c r="E7473" s="1077"/>
      <c r="F7473" s="1077"/>
      <c r="G7473" s="1077"/>
      <c r="H7473" s="1077"/>
      <c r="I7473" s="1077"/>
      <c r="J7473" s="1077"/>
      <c r="K7473" s="1077"/>
      <c r="L7473" s="1077"/>
      <c r="M7473" s="1077"/>
    </row>
    <row r="7474" spans="5:13">
      <c r="E7474" s="1077"/>
      <c r="F7474" s="1077"/>
      <c r="G7474" s="1077"/>
      <c r="H7474" s="1077"/>
      <c r="I7474" s="1077"/>
      <c r="J7474" s="1077"/>
      <c r="K7474" s="1077"/>
      <c r="L7474" s="1077"/>
      <c r="M7474" s="1077"/>
    </row>
    <row r="7475" spans="5:13">
      <c r="E7475" s="1077"/>
      <c r="F7475" s="1077"/>
      <c r="G7475" s="1077"/>
      <c r="H7475" s="1077"/>
      <c r="I7475" s="1077"/>
      <c r="J7475" s="1077"/>
      <c r="K7475" s="1077"/>
      <c r="L7475" s="1077"/>
      <c r="M7475" s="1077"/>
    </row>
    <row r="7476" spans="5:13">
      <c r="E7476" s="1077"/>
      <c r="F7476" s="1077"/>
      <c r="G7476" s="1077"/>
      <c r="H7476" s="1077"/>
      <c r="I7476" s="1077"/>
      <c r="J7476" s="1077"/>
      <c r="K7476" s="1077"/>
      <c r="L7476" s="1077"/>
      <c r="M7476" s="1077"/>
    </row>
    <row r="7477" spans="5:13">
      <c r="E7477" s="1077"/>
      <c r="F7477" s="1077"/>
      <c r="G7477" s="1077"/>
      <c r="H7477" s="1077"/>
      <c r="I7477" s="1077"/>
      <c r="J7477" s="1077"/>
      <c r="K7477" s="1077"/>
      <c r="L7477" s="1077"/>
      <c r="M7477" s="1077"/>
    </row>
    <row r="7478" spans="5:13">
      <c r="E7478" s="1077"/>
      <c r="F7478" s="1077"/>
      <c r="G7478" s="1077"/>
      <c r="H7478" s="1077"/>
      <c r="I7478" s="1077"/>
      <c r="J7478" s="1077"/>
      <c r="K7478" s="1077"/>
      <c r="L7478" s="1077"/>
      <c r="M7478" s="1077"/>
    </row>
    <row r="7479" spans="5:13">
      <c r="E7479" s="1077"/>
      <c r="F7479" s="1077"/>
      <c r="G7479" s="1077"/>
      <c r="H7479" s="1077"/>
      <c r="I7479" s="1077"/>
      <c r="J7479" s="1077"/>
      <c r="K7479" s="1077"/>
      <c r="L7479" s="1077"/>
      <c r="M7479" s="1077"/>
    </row>
    <row r="7480" spans="5:13">
      <c r="E7480" s="1077"/>
      <c r="F7480" s="1077"/>
      <c r="G7480" s="1077"/>
      <c r="H7480" s="1077"/>
      <c r="I7480" s="1077"/>
      <c r="J7480" s="1077"/>
      <c r="K7480" s="1077"/>
      <c r="L7480" s="1077"/>
      <c r="M7480" s="1077"/>
    </row>
    <row r="7481" spans="5:13">
      <c r="E7481" s="1077"/>
      <c r="F7481" s="1077"/>
      <c r="G7481" s="1077"/>
      <c r="H7481" s="1077"/>
      <c r="I7481" s="1077"/>
      <c r="J7481" s="1077"/>
      <c r="K7481" s="1077"/>
      <c r="L7481" s="1077"/>
      <c r="M7481" s="1077"/>
    </row>
    <row r="7482" spans="5:13">
      <c r="E7482" s="1077"/>
      <c r="F7482" s="1077"/>
      <c r="G7482" s="1077"/>
      <c r="H7482" s="1077"/>
      <c r="I7482" s="1077"/>
      <c r="J7482" s="1077"/>
      <c r="K7482" s="1077"/>
      <c r="L7482" s="1077"/>
      <c r="M7482" s="1077"/>
    </row>
    <row r="7483" spans="5:13">
      <c r="E7483" s="1077"/>
      <c r="F7483" s="1077"/>
      <c r="G7483" s="1077"/>
      <c r="H7483" s="1077"/>
      <c r="I7483" s="1077"/>
      <c r="J7483" s="1077"/>
      <c r="K7483" s="1077"/>
      <c r="L7483" s="1077"/>
      <c r="M7483" s="1077"/>
    </row>
    <row r="7484" spans="5:13">
      <c r="E7484" s="1077"/>
      <c r="F7484" s="1077"/>
      <c r="G7484" s="1077"/>
      <c r="H7484" s="1077"/>
      <c r="I7484" s="1077"/>
      <c r="J7484" s="1077"/>
      <c r="K7484" s="1077"/>
      <c r="L7484" s="1077"/>
      <c r="M7484" s="1077"/>
    </row>
    <row r="7485" spans="5:13">
      <c r="E7485" s="1077"/>
      <c r="F7485" s="1077"/>
      <c r="G7485" s="1077"/>
      <c r="H7485" s="1077"/>
      <c r="I7485" s="1077"/>
      <c r="J7485" s="1077"/>
      <c r="K7485" s="1077"/>
      <c r="L7485" s="1077"/>
      <c r="M7485" s="1077"/>
    </row>
    <row r="7486" spans="5:13">
      <c r="E7486" s="1077"/>
      <c r="F7486" s="1077"/>
      <c r="G7486" s="1077"/>
      <c r="H7486" s="1077"/>
      <c r="I7486" s="1077"/>
      <c r="J7486" s="1077"/>
      <c r="K7486" s="1077"/>
      <c r="L7486" s="1077"/>
      <c r="M7486" s="1077"/>
    </row>
    <row r="7487" spans="5:13">
      <c r="E7487" s="1077"/>
      <c r="F7487" s="1077"/>
      <c r="G7487" s="1077"/>
      <c r="H7487" s="1077"/>
      <c r="I7487" s="1077"/>
      <c r="J7487" s="1077"/>
      <c r="K7487" s="1077"/>
      <c r="L7487" s="1077"/>
      <c r="M7487" s="1077"/>
    </row>
    <row r="7488" spans="5:13">
      <c r="E7488" s="1077"/>
      <c r="F7488" s="1077"/>
      <c r="G7488" s="1077"/>
      <c r="H7488" s="1077"/>
      <c r="I7488" s="1077"/>
      <c r="J7488" s="1077"/>
      <c r="K7488" s="1077"/>
      <c r="L7488" s="1077"/>
      <c r="M7488" s="1077"/>
    </row>
    <row r="7489" spans="5:13">
      <c r="E7489" s="1077"/>
      <c r="F7489" s="1077"/>
      <c r="G7489" s="1077"/>
      <c r="H7489" s="1077"/>
      <c r="I7489" s="1077"/>
      <c r="J7489" s="1077"/>
      <c r="K7489" s="1077"/>
      <c r="L7489" s="1077"/>
      <c r="M7489" s="1077"/>
    </row>
    <row r="7490" spans="5:13">
      <c r="E7490" s="1077"/>
      <c r="F7490" s="1077"/>
      <c r="G7490" s="1077"/>
      <c r="H7490" s="1077"/>
      <c r="I7490" s="1077"/>
      <c r="J7490" s="1077"/>
      <c r="K7490" s="1077"/>
      <c r="L7490" s="1077"/>
      <c r="M7490" s="1077"/>
    </row>
    <row r="7491" spans="5:13">
      <c r="E7491" s="1077"/>
      <c r="F7491" s="1077"/>
      <c r="G7491" s="1077"/>
      <c r="H7491" s="1077"/>
      <c r="I7491" s="1077"/>
      <c r="J7491" s="1077"/>
      <c r="K7491" s="1077"/>
      <c r="L7491" s="1077"/>
      <c r="M7491" s="1077"/>
    </row>
    <row r="7492" spans="5:13">
      <c r="E7492" s="1077"/>
      <c r="F7492" s="1077"/>
      <c r="G7492" s="1077"/>
      <c r="H7492" s="1077"/>
      <c r="I7492" s="1077"/>
      <c r="J7492" s="1077"/>
      <c r="K7492" s="1077"/>
      <c r="L7492" s="1077"/>
      <c r="M7492" s="1077"/>
    </row>
    <row r="7493" spans="5:13">
      <c r="E7493" s="1077"/>
      <c r="F7493" s="1077"/>
      <c r="G7493" s="1077"/>
      <c r="H7493" s="1077"/>
      <c r="I7493" s="1077"/>
      <c r="J7493" s="1077"/>
      <c r="K7493" s="1077"/>
      <c r="L7493" s="1077"/>
      <c r="M7493" s="1077"/>
    </row>
    <row r="7494" spans="5:13">
      <c r="E7494" s="1077"/>
      <c r="F7494" s="1077"/>
      <c r="G7494" s="1077"/>
      <c r="H7494" s="1077"/>
      <c r="I7494" s="1077"/>
      <c r="J7494" s="1077"/>
      <c r="K7494" s="1077"/>
      <c r="L7494" s="1077"/>
      <c r="M7494" s="1077"/>
    </row>
    <row r="7495" spans="5:13">
      <c r="E7495" s="1077"/>
      <c r="F7495" s="1077"/>
      <c r="G7495" s="1077"/>
      <c r="H7495" s="1077"/>
      <c r="I7495" s="1077"/>
      <c r="J7495" s="1077"/>
      <c r="K7495" s="1077"/>
      <c r="L7495" s="1077"/>
      <c r="M7495" s="1077"/>
    </row>
    <row r="7496" spans="5:13">
      <c r="E7496" s="1077"/>
      <c r="F7496" s="1077"/>
      <c r="G7496" s="1077"/>
      <c r="H7496" s="1077"/>
      <c r="I7496" s="1077"/>
      <c r="J7496" s="1077"/>
      <c r="K7496" s="1077"/>
      <c r="L7496" s="1077"/>
      <c r="M7496" s="1077"/>
    </row>
    <row r="7497" spans="5:13">
      <c r="E7497" s="1077"/>
      <c r="F7497" s="1077"/>
      <c r="G7497" s="1077"/>
      <c r="H7497" s="1077"/>
      <c r="I7497" s="1077"/>
      <c r="J7497" s="1077"/>
      <c r="K7497" s="1077"/>
      <c r="L7497" s="1077"/>
      <c r="M7497" s="1077"/>
    </row>
    <row r="7498" spans="5:13">
      <c r="E7498" s="1077"/>
      <c r="F7498" s="1077"/>
      <c r="G7498" s="1077"/>
      <c r="H7498" s="1077"/>
      <c r="I7498" s="1077"/>
      <c r="J7498" s="1077"/>
      <c r="K7498" s="1077"/>
      <c r="L7498" s="1077"/>
      <c r="M7498" s="1077"/>
    </row>
    <row r="7499" spans="5:13">
      <c r="E7499" s="1077"/>
      <c r="F7499" s="1077"/>
      <c r="G7499" s="1077"/>
      <c r="H7499" s="1077"/>
      <c r="I7499" s="1077"/>
      <c r="J7499" s="1077"/>
      <c r="K7499" s="1077"/>
      <c r="L7499" s="1077"/>
      <c r="M7499" s="1077"/>
    </row>
    <row r="7500" spans="5:13">
      <c r="E7500" s="1077"/>
      <c r="F7500" s="1077"/>
      <c r="G7500" s="1077"/>
      <c r="H7500" s="1077"/>
      <c r="I7500" s="1077"/>
      <c r="J7500" s="1077"/>
      <c r="K7500" s="1077"/>
      <c r="L7500" s="1077"/>
      <c r="M7500" s="1077"/>
    </row>
    <row r="7501" spans="5:13">
      <c r="E7501" s="1077"/>
      <c r="F7501" s="1077"/>
      <c r="G7501" s="1077"/>
      <c r="H7501" s="1077"/>
      <c r="I7501" s="1077"/>
      <c r="J7501" s="1077"/>
      <c r="K7501" s="1077"/>
      <c r="L7501" s="1077"/>
      <c r="M7501" s="1077"/>
    </row>
    <row r="7502" spans="5:13">
      <c r="E7502" s="1077"/>
      <c r="F7502" s="1077"/>
      <c r="G7502" s="1077"/>
      <c r="H7502" s="1077"/>
      <c r="I7502" s="1077"/>
      <c r="J7502" s="1077"/>
      <c r="K7502" s="1077"/>
      <c r="L7502" s="1077"/>
      <c r="M7502" s="1077"/>
    </row>
    <row r="7503" spans="5:13">
      <c r="E7503" s="1077"/>
      <c r="F7503" s="1077"/>
      <c r="G7503" s="1077"/>
      <c r="H7503" s="1077"/>
      <c r="I7503" s="1077"/>
      <c r="J7503" s="1077"/>
      <c r="K7503" s="1077"/>
      <c r="L7503" s="1077"/>
      <c r="M7503" s="1077"/>
    </row>
    <row r="7504" spans="5:13">
      <c r="E7504" s="1077"/>
      <c r="F7504" s="1077"/>
      <c r="G7504" s="1077"/>
      <c r="H7504" s="1077"/>
      <c r="I7504" s="1077"/>
      <c r="J7504" s="1077"/>
      <c r="K7504" s="1077"/>
      <c r="L7504" s="1077"/>
      <c r="M7504" s="1077"/>
    </row>
    <row r="7505" spans="5:13">
      <c r="E7505" s="1077"/>
      <c r="F7505" s="1077"/>
      <c r="G7505" s="1077"/>
      <c r="H7505" s="1077"/>
      <c r="I7505" s="1077"/>
      <c r="J7505" s="1077"/>
      <c r="K7505" s="1077"/>
      <c r="L7505" s="1077"/>
      <c r="M7505" s="1077"/>
    </row>
    <row r="7506" spans="5:13">
      <c r="E7506" s="1077"/>
      <c r="F7506" s="1077"/>
      <c r="G7506" s="1077"/>
      <c r="H7506" s="1077"/>
      <c r="I7506" s="1077"/>
      <c r="J7506" s="1077"/>
      <c r="K7506" s="1077"/>
      <c r="L7506" s="1077"/>
      <c r="M7506" s="1077"/>
    </row>
    <row r="7507" spans="5:13">
      <c r="E7507" s="1077"/>
      <c r="F7507" s="1077"/>
      <c r="G7507" s="1077"/>
      <c r="H7507" s="1077"/>
      <c r="I7507" s="1077"/>
      <c r="J7507" s="1077"/>
      <c r="K7507" s="1077"/>
      <c r="L7507" s="1077"/>
      <c r="M7507" s="1077"/>
    </row>
    <row r="7508" spans="5:13">
      <c r="E7508" s="1077"/>
      <c r="F7508" s="1077"/>
      <c r="G7508" s="1077"/>
      <c r="H7508" s="1077"/>
      <c r="I7508" s="1077"/>
      <c r="J7508" s="1077"/>
      <c r="K7508" s="1077"/>
      <c r="L7508" s="1077"/>
      <c r="M7508" s="1077"/>
    </row>
    <row r="7509" spans="5:13">
      <c r="E7509" s="1077"/>
      <c r="F7509" s="1077"/>
      <c r="G7509" s="1077"/>
      <c r="H7509" s="1077"/>
      <c r="I7509" s="1077"/>
      <c r="J7509" s="1077"/>
      <c r="K7509" s="1077"/>
      <c r="L7509" s="1077"/>
      <c r="M7509" s="1077"/>
    </row>
    <row r="7510" spans="5:13">
      <c r="E7510" s="1077"/>
      <c r="F7510" s="1077"/>
      <c r="G7510" s="1077"/>
      <c r="H7510" s="1077"/>
      <c r="I7510" s="1077"/>
      <c r="J7510" s="1077"/>
      <c r="K7510" s="1077"/>
      <c r="L7510" s="1077"/>
      <c r="M7510" s="1077"/>
    </row>
    <row r="7511" spans="5:13">
      <c r="E7511" s="1077"/>
      <c r="F7511" s="1077"/>
      <c r="G7511" s="1077"/>
      <c r="H7511" s="1077"/>
      <c r="I7511" s="1077"/>
      <c r="J7511" s="1077"/>
      <c r="K7511" s="1077"/>
      <c r="L7511" s="1077"/>
      <c r="M7511" s="1077"/>
    </row>
    <row r="7512" spans="5:13">
      <c r="E7512" s="1077"/>
      <c r="F7512" s="1077"/>
      <c r="G7512" s="1077"/>
      <c r="H7512" s="1077"/>
      <c r="I7512" s="1077"/>
      <c r="J7512" s="1077"/>
      <c r="K7512" s="1077"/>
      <c r="L7512" s="1077"/>
      <c r="M7512" s="1077"/>
    </row>
    <row r="7513" spans="5:13">
      <c r="E7513" s="1077"/>
      <c r="F7513" s="1077"/>
      <c r="G7513" s="1077"/>
      <c r="H7513" s="1077"/>
      <c r="I7513" s="1077"/>
      <c r="J7513" s="1077"/>
      <c r="K7513" s="1077"/>
      <c r="L7513" s="1077"/>
      <c r="M7513" s="1077"/>
    </row>
    <row r="7514" spans="5:13">
      <c r="E7514" s="1077"/>
      <c r="F7514" s="1077"/>
      <c r="G7514" s="1077"/>
      <c r="H7514" s="1077"/>
      <c r="I7514" s="1077"/>
      <c r="J7514" s="1077"/>
      <c r="K7514" s="1077"/>
      <c r="L7514" s="1077"/>
      <c r="M7514" s="1077"/>
    </row>
    <row r="7515" spans="5:13">
      <c r="E7515" s="1077"/>
      <c r="F7515" s="1077"/>
      <c r="G7515" s="1077"/>
      <c r="H7515" s="1077"/>
      <c r="I7515" s="1077"/>
      <c r="J7515" s="1077"/>
      <c r="K7515" s="1077"/>
      <c r="L7515" s="1077"/>
      <c r="M7515" s="1077"/>
    </row>
    <row r="7516" spans="5:13">
      <c r="E7516" s="1077"/>
      <c r="F7516" s="1077"/>
      <c r="G7516" s="1077"/>
      <c r="H7516" s="1077"/>
      <c r="I7516" s="1077"/>
      <c r="J7516" s="1077"/>
      <c r="K7516" s="1077"/>
      <c r="L7516" s="1077"/>
      <c r="M7516" s="1077"/>
    </row>
    <row r="7517" spans="5:13">
      <c r="E7517" s="1077"/>
      <c r="F7517" s="1077"/>
      <c r="G7517" s="1077"/>
      <c r="H7517" s="1077"/>
      <c r="I7517" s="1077"/>
      <c r="J7517" s="1077"/>
      <c r="K7517" s="1077"/>
      <c r="L7517" s="1077"/>
      <c r="M7517" s="1077"/>
    </row>
    <row r="7518" spans="5:13">
      <c r="E7518" s="1077"/>
      <c r="F7518" s="1077"/>
      <c r="G7518" s="1077"/>
      <c r="H7518" s="1077"/>
      <c r="I7518" s="1077"/>
      <c r="J7518" s="1077"/>
      <c r="K7518" s="1077"/>
      <c r="L7518" s="1077"/>
      <c r="M7518" s="1077"/>
    </row>
    <row r="7519" spans="5:13">
      <c r="E7519" s="1077"/>
      <c r="F7519" s="1077"/>
      <c r="G7519" s="1077"/>
      <c r="H7519" s="1077"/>
      <c r="I7519" s="1077"/>
      <c r="J7519" s="1077"/>
      <c r="K7519" s="1077"/>
      <c r="L7519" s="1077"/>
      <c r="M7519" s="1077"/>
    </row>
    <row r="7520" spans="5:13">
      <c r="E7520" s="1077"/>
      <c r="F7520" s="1077"/>
      <c r="G7520" s="1077"/>
      <c r="H7520" s="1077"/>
      <c r="I7520" s="1077"/>
      <c r="J7520" s="1077"/>
      <c r="K7520" s="1077"/>
      <c r="L7520" s="1077"/>
      <c r="M7520" s="1077"/>
    </row>
    <row r="7521" spans="5:13">
      <c r="E7521" s="1077"/>
      <c r="F7521" s="1077"/>
      <c r="G7521" s="1077"/>
      <c r="H7521" s="1077"/>
      <c r="I7521" s="1077"/>
      <c r="J7521" s="1077"/>
      <c r="K7521" s="1077"/>
      <c r="L7521" s="1077"/>
      <c r="M7521" s="1077"/>
    </row>
    <row r="7522" spans="5:13">
      <c r="E7522" s="1077"/>
      <c r="F7522" s="1077"/>
      <c r="G7522" s="1077"/>
      <c r="H7522" s="1077"/>
      <c r="I7522" s="1077"/>
      <c r="J7522" s="1077"/>
      <c r="K7522" s="1077"/>
      <c r="L7522" s="1077"/>
      <c r="M7522" s="1077"/>
    </row>
    <row r="7523" spans="5:13">
      <c r="E7523" s="1077"/>
      <c r="F7523" s="1077"/>
      <c r="G7523" s="1077"/>
      <c r="H7523" s="1077"/>
      <c r="I7523" s="1077"/>
      <c r="J7523" s="1077"/>
      <c r="K7523" s="1077"/>
      <c r="L7523" s="1077"/>
      <c r="M7523" s="1077"/>
    </row>
    <row r="7524" spans="5:13">
      <c r="E7524" s="1077"/>
      <c r="F7524" s="1077"/>
      <c r="G7524" s="1077"/>
      <c r="H7524" s="1077"/>
      <c r="I7524" s="1077"/>
      <c r="J7524" s="1077"/>
      <c r="K7524" s="1077"/>
      <c r="L7524" s="1077"/>
      <c r="M7524" s="1077"/>
    </row>
    <row r="7525" spans="5:13">
      <c r="E7525" s="1077"/>
      <c r="F7525" s="1077"/>
      <c r="G7525" s="1077"/>
      <c r="H7525" s="1077"/>
      <c r="I7525" s="1077"/>
      <c r="J7525" s="1077"/>
      <c r="K7525" s="1077"/>
      <c r="L7525" s="1077"/>
      <c r="M7525" s="1077"/>
    </row>
    <row r="7526" spans="5:13">
      <c r="E7526" s="1077"/>
      <c r="F7526" s="1077"/>
      <c r="G7526" s="1077"/>
      <c r="H7526" s="1077"/>
      <c r="I7526" s="1077"/>
      <c r="J7526" s="1077"/>
      <c r="K7526" s="1077"/>
      <c r="L7526" s="1077"/>
      <c r="M7526" s="1077"/>
    </row>
    <row r="7527" spans="5:13">
      <c r="E7527" s="1077"/>
      <c r="F7527" s="1077"/>
      <c r="G7527" s="1077"/>
      <c r="H7527" s="1077"/>
      <c r="I7527" s="1077"/>
      <c r="J7527" s="1077"/>
      <c r="K7527" s="1077"/>
      <c r="L7527" s="1077"/>
      <c r="M7527" s="1077"/>
    </row>
    <row r="7528" spans="5:13">
      <c r="E7528" s="1077"/>
      <c r="F7528" s="1077"/>
      <c r="G7528" s="1077"/>
      <c r="H7528" s="1077"/>
      <c r="I7528" s="1077"/>
      <c r="J7528" s="1077"/>
      <c r="K7528" s="1077"/>
      <c r="L7528" s="1077"/>
      <c r="M7528" s="1077"/>
    </row>
    <row r="7529" spans="5:13">
      <c r="E7529" s="1077"/>
      <c r="F7529" s="1077"/>
      <c r="G7529" s="1077"/>
      <c r="H7529" s="1077"/>
      <c r="I7529" s="1077"/>
      <c r="J7529" s="1077"/>
      <c r="K7529" s="1077"/>
      <c r="L7529" s="1077"/>
      <c r="M7529" s="1077"/>
    </row>
    <row r="7530" spans="5:13">
      <c r="E7530" s="1077"/>
      <c r="F7530" s="1077"/>
      <c r="G7530" s="1077"/>
      <c r="H7530" s="1077"/>
      <c r="I7530" s="1077"/>
      <c r="J7530" s="1077"/>
      <c r="K7530" s="1077"/>
      <c r="L7530" s="1077"/>
      <c r="M7530" s="1077"/>
    </row>
    <row r="7531" spans="5:13">
      <c r="E7531" s="1077"/>
      <c r="F7531" s="1077"/>
      <c r="G7531" s="1077"/>
      <c r="H7531" s="1077"/>
      <c r="I7531" s="1077"/>
      <c r="J7531" s="1077"/>
      <c r="K7531" s="1077"/>
      <c r="L7531" s="1077"/>
      <c r="M7531" s="1077"/>
    </row>
    <row r="7532" spans="5:13">
      <c r="E7532" s="1077"/>
      <c r="F7532" s="1077"/>
      <c r="G7532" s="1077"/>
      <c r="H7532" s="1077"/>
      <c r="I7532" s="1077"/>
      <c r="J7532" s="1077"/>
      <c r="K7532" s="1077"/>
      <c r="L7532" s="1077"/>
      <c r="M7532" s="1077"/>
    </row>
    <row r="7533" spans="5:13">
      <c r="E7533" s="1077"/>
      <c r="F7533" s="1077"/>
      <c r="G7533" s="1077"/>
      <c r="H7533" s="1077"/>
      <c r="I7533" s="1077"/>
      <c r="J7533" s="1077"/>
      <c r="K7533" s="1077"/>
      <c r="L7533" s="1077"/>
      <c r="M7533" s="1077"/>
    </row>
    <row r="7534" spans="5:13">
      <c r="E7534" s="1077"/>
      <c r="F7534" s="1077"/>
      <c r="G7534" s="1077"/>
      <c r="H7534" s="1077"/>
      <c r="I7534" s="1077"/>
      <c r="J7534" s="1077"/>
      <c r="K7534" s="1077"/>
      <c r="L7534" s="1077"/>
      <c r="M7534" s="1077"/>
    </row>
    <row r="7535" spans="5:13">
      <c r="E7535" s="1077"/>
      <c r="F7535" s="1077"/>
      <c r="G7535" s="1077"/>
      <c r="H7535" s="1077"/>
      <c r="I7535" s="1077"/>
      <c r="J7535" s="1077"/>
      <c r="K7535" s="1077"/>
      <c r="L7535" s="1077"/>
      <c r="M7535" s="1077"/>
    </row>
    <row r="7536" spans="5:13">
      <c r="E7536" s="1077"/>
      <c r="F7536" s="1077"/>
      <c r="G7536" s="1077"/>
      <c r="H7536" s="1077"/>
      <c r="I7536" s="1077"/>
      <c r="J7536" s="1077"/>
      <c r="K7536" s="1077"/>
      <c r="L7536" s="1077"/>
      <c r="M7536" s="1077"/>
    </row>
    <row r="7537" spans="5:13">
      <c r="E7537" s="1077"/>
      <c r="F7537" s="1077"/>
      <c r="G7537" s="1077"/>
      <c r="H7537" s="1077"/>
      <c r="I7537" s="1077"/>
      <c r="J7537" s="1077"/>
      <c r="K7537" s="1077"/>
      <c r="L7537" s="1077"/>
      <c r="M7537" s="1077"/>
    </row>
    <row r="7538" spans="5:13">
      <c r="E7538" s="1077"/>
      <c r="F7538" s="1077"/>
      <c r="G7538" s="1077"/>
      <c r="H7538" s="1077"/>
      <c r="I7538" s="1077"/>
      <c r="J7538" s="1077"/>
      <c r="K7538" s="1077"/>
      <c r="L7538" s="1077"/>
      <c r="M7538" s="1077"/>
    </row>
    <row r="7539" spans="5:13">
      <c r="E7539" s="1077"/>
      <c r="F7539" s="1077"/>
      <c r="G7539" s="1077"/>
      <c r="H7539" s="1077"/>
      <c r="I7539" s="1077"/>
      <c r="J7539" s="1077"/>
      <c r="K7539" s="1077"/>
      <c r="L7539" s="1077"/>
      <c r="M7539" s="1077"/>
    </row>
    <row r="7540" spans="5:13">
      <c r="E7540" s="1077"/>
      <c r="F7540" s="1077"/>
      <c r="G7540" s="1077"/>
      <c r="H7540" s="1077"/>
      <c r="I7540" s="1077"/>
      <c r="J7540" s="1077"/>
      <c r="K7540" s="1077"/>
      <c r="L7540" s="1077"/>
      <c r="M7540" s="1077"/>
    </row>
    <row r="7541" spans="5:13">
      <c r="E7541" s="1077"/>
      <c r="F7541" s="1077"/>
      <c r="G7541" s="1077"/>
      <c r="H7541" s="1077"/>
      <c r="I7541" s="1077"/>
      <c r="J7541" s="1077"/>
      <c r="K7541" s="1077"/>
      <c r="L7541" s="1077"/>
      <c r="M7541" s="1077"/>
    </row>
    <row r="7542" spans="5:13">
      <c r="E7542" s="1077"/>
      <c r="F7542" s="1077"/>
      <c r="G7542" s="1077"/>
      <c r="H7542" s="1077"/>
      <c r="I7542" s="1077"/>
      <c r="J7542" s="1077"/>
      <c r="K7542" s="1077"/>
      <c r="L7542" s="1077"/>
      <c r="M7542" s="1077"/>
    </row>
    <row r="7543" spans="5:13">
      <c r="E7543" s="1077"/>
      <c r="F7543" s="1077"/>
      <c r="G7543" s="1077"/>
      <c r="H7543" s="1077"/>
      <c r="I7543" s="1077"/>
      <c r="J7543" s="1077"/>
      <c r="K7543" s="1077"/>
      <c r="L7543" s="1077"/>
      <c r="M7543" s="1077"/>
    </row>
    <row r="7544" spans="5:13">
      <c r="E7544" s="1077"/>
      <c r="F7544" s="1077"/>
      <c r="G7544" s="1077"/>
      <c r="H7544" s="1077"/>
      <c r="I7544" s="1077"/>
      <c r="J7544" s="1077"/>
      <c r="K7544" s="1077"/>
      <c r="L7544" s="1077"/>
      <c r="M7544" s="1077"/>
    </row>
    <row r="7545" spans="5:13">
      <c r="E7545" s="1077"/>
      <c r="F7545" s="1077"/>
      <c r="G7545" s="1077"/>
      <c r="H7545" s="1077"/>
      <c r="I7545" s="1077"/>
      <c r="J7545" s="1077"/>
      <c r="K7545" s="1077"/>
      <c r="L7545" s="1077"/>
      <c r="M7545" s="1077"/>
    </row>
    <row r="7546" spans="5:13">
      <c r="E7546" s="1077"/>
      <c r="F7546" s="1077"/>
      <c r="G7546" s="1077"/>
      <c r="H7546" s="1077"/>
      <c r="I7546" s="1077"/>
      <c r="J7546" s="1077"/>
      <c r="K7546" s="1077"/>
      <c r="L7546" s="1077"/>
      <c r="M7546" s="1077"/>
    </row>
    <row r="7547" spans="5:13">
      <c r="E7547" s="1077"/>
      <c r="F7547" s="1077"/>
      <c r="G7547" s="1077"/>
      <c r="H7547" s="1077"/>
      <c r="I7547" s="1077"/>
      <c r="J7547" s="1077"/>
      <c r="K7547" s="1077"/>
      <c r="L7547" s="1077"/>
      <c r="M7547" s="1077"/>
    </row>
    <row r="7548" spans="5:13">
      <c r="E7548" s="1077"/>
      <c r="F7548" s="1077"/>
      <c r="G7548" s="1077"/>
      <c r="H7548" s="1077"/>
      <c r="I7548" s="1077"/>
      <c r="J7548" s="1077"/>
      <c r="K7548" s="1077"/>
      <c r="L7548" s="1077"/>
      <c r="M7548" s="1077"/>
    </row>
    <row r="7549" spans="5:13">
      <c r="E7549" s="1077"/>
      <c r="F7549" s="1077"/>
      <c r="G7549" s="1077"/>
      <c r="H7549" s="1077"/>
      <c r="I7549" s="1077"/>
      <c r="J7549" s="1077"/>
      <c r="K7549" s="1077"/>
      <c r="L7549" s="1077"/>
      <c r="M7549" s="1077"/>
    </row>
    <row r="7550" spans="5:13">
      <c r="E7550" s="1077"/>
      <c r="F7550" s="1077"/>
      <c r="G7550" s="1077"/>
      <c r="H7550" s="1077"/>
      <c r="I7550" s="1077"/>
      <c r="J7550" s="1077"/>
      <c r="K7550" s="1077"/>
      <c r="L7550" s="1077"/>
      <c r="M7550" s="1077"/>
    </row>
    <row r="7551" spans="5:13">
      <c r="E7551" s="1077"/>
      <c r="F7551" s="1077"/>
      <c r="G7551" s="1077"/>
      <c r="H7551" s="1077"/>
      <c r="I7551" s="1077"/>
      <c r="J7551" s="1077"/>
      <c r="K7551" s="1077"/>
      <c r="L7551" s="1077"/>
      <c r="M7551" s="1077"/>
    </row>
    <row r="7552" spans="5:13">
      <c r="E7552" s="1077"/>
      <c r="F7552" s="1077"/>
      <c r="G7552" s="1077"/>
      <c r="H7552" s="1077"/>
      <c r="I7552" s="1077"/>
      <c r="J7552" s="1077"/>
      <c r="K7552" s="1077"/>
      <c r="L7552" s="1077"/>
      <c r="M7552" s="1077"/>
    </row>
    <row r="7553" spans="5:13">
      <c r="E7553" s="1077"/>
      <c r="F7553" s="1077"/>
      <c r="G7553" s="1077"/>
      <c r="H7553" s="1077"/>
      <c r="I7553" s="1077"/>
      <c r="J7553" s="1077"/>
      <c r="K7553" s="1077"/>
      <c r="L7553" s="1077"/>
      <c r="M7553" s="1077"/>
    </row>
    <row r="7554" spans="5:13">
      <c r="E7554" s="1077"/>
      <c r="F7554" s="1077"/>
      <c r="G7554" s="1077"/>
      <c r="H7554" s="1077"/>
      <c r="I7554" s="1077"/>
      <c r="J7554" s="1077"/>
      <c r="K7554" s="1077"/>
      <c r="L7554" s="1077"/>
      <c r="M7554" s="1077"/>
    </row>
    <row r="7555" spans="5:13">
      <c r="E7555" s="1077"/>
      <c r="F7555" s="1077"/>
      <c r="G7555" s="1077"/>
      <c r="H7555" s="1077"/>
      <c r="I7555" s="1077"/>
      <c r="J7555" s="1077"/>
      <c r="K7555" s="1077"/>
      <c r="L7555" s="1077"/>
      <c r="M7555" s="1077"/>
    </row>
    <row r="7556" spans="5:13">
      <c r="E7556" s="1077"/>
      <c r="F7556" s="1077"/>
      <c r="G7556" s="1077"/>
      <c r="H7556" s="1077"/>
      <c r="I7556" s="1077"/>
      <c r="J7556" s="1077"/>
      <c r="K7556" s="1077"/>
      <c r="L7556" s="1077"/>
      <c r="M7556" s="1077"/>
    </row>
    <row r="7557" spans="5:13">
      <c r="E7557" s="1077"/>
      <c r="F7557" s="1077"/>
      <c r="G7557" s="1077"/>
      <c r="H7557" s="1077"/>
      <c r="I7557" s="1077"/>
      <c r="J7557" s="1077"/>
      <c r="K7557" s="1077"/>
      <c r="L7557" s="1077"/>
      <c r="M7557" s="1077"/>
    </row>
    <row r="7558" spans="5:13">
      <c r="E7558" s="1077"/>
      <c r="F7558" s="1077"/>
      <c r="G7558" s="1077"/>
      <c r="H7558" s="1077"/>
      <c r="I7558" s="1077"/>
      <c r="J7558" s="1077"/>
      <c r="K7558" s="1077"/>
      <c r="L7558" s="1077"/>
      <c r="M7558" s="1077"/>
    </row>
    <row r="7559" spans="5:13">
      <c r="E7559" s="1077"/>
      <c r="F7559" s="1077"/>
      <c r="G7559" s="1077"/>
      <c r="H7559" s="1077"/>
      <c r="I7559" s="1077"/>
      <c r="J7559" s="1077"/>
      <c r="K7559" s="1077"/>
      <c r="L7559" s="1077"/>
      <c r="M7559" s="1077"/>
    </row>
    <row r="7560" spans="5:13">
      <c r="E7560" s="1077"/>
      <c r="F7560" s="1077"/>
      <c r="G7560" s="1077"/>
      <c r="H7560" s="1077"/>
      <c r="I7560" s="1077"/>
      <c r="J7560" s="1077"/>
      <c r="K7560" s="1077"/>
      <c r="L7560" s="1077"/>
      <c r="M7560" s="1077"/>
    </row>
    <row r="7561" spans="5:13">
      <c r="E7561" s="1077"/>
      <c r="F7561" s="1077"/>
      <c r="G7561" s="1077"/>
      <c r="H7561" s="1077"/>
      <c r="I7561" s="1077"/>
      <c r="J7561" s="1077"/>
      <c r="K7561" s="1077"/>
      <c r="L7561" s="1077"/>
      <c r="M7561" s="1077"/>
    </row>
    <row r="7562" spans="5:13">
      <c r="E7562" s="1077"/>
      <c r="F7562" s="1077"/>
      <c r="G7562" s="1077"/>
      <c r="H7562" s="1077"/>
      <c r="I7562" s="1077"/>
      <c r="J7562" s="1077"/>
      <c r="K7562" s="1077"/>
      <c r="L7562" s="1077"/>
      <c r="M7562" s="1077"/>
    </row>
    <row r="7563" spans="5:13">
      <c r="E7563" s="1077"/>
      <c r="F7563" s="1077"/>
      <c r="G7563" s="1077"/>
      <c r="H7563" s="1077"/>
      <c r="I7563" s="1077"/>
      <c r="J7563" s="1077"/>
      <c r="K7563" s="1077"/>
      <c r="L7563" s="1077"/>
      <c r="M7563" s="1077"/>
    </row>
    <row r="7564" spans="5:13">
      <c r="E7564" s="1077"/>
      <c r="F7564" s="1077"/>
      <c r="G7564" s="1077"/>
      <c r="H7564" s="1077"/>
      <c r="I7564" s="1077"/>
      <c r="J7564" s="1077"/>
      <c r="K7564" s="1077"/>
      <c r="L7564" s="1077"/>
      <c r="M7564" s="1077"/>
    </row>
    <row r="7565" spans="5:13">
      <c r="E7565" s="1077"/>
      <c r="F7565" s="1077"/>
      <c r="G7565" s="1077"/>
      <c r="H7565" s="1077"/>
      <c r="I7565" s="1077"/>
      <c r="J7565" s="1077"/>
      <c r="K7565" s="1077"/>
      <c r="L7565" s="1077"/>
      <c r="M7565" s="1077"/>
    </row>
    <row r="7566" spans="5:13">
      <c r="E7566" s="1077"/>
      <c r="F7566" s="1077"/>
      <c r="G7566" s="1077"/>
      <c r="H7566" s="1077"/>
      <c r="I7566" s="1077"/>
      <c r="J7566" s="1077"/>
      <c r="K7566" s="1077"/>
      <c r="L7566" s="1077"/>
      <c r="M7566" s="1077"/>
    </row>
    <row r="7567" spans="5:13">
      <c r="E7567" s="1077"/>
      <c r="F7567" s="1077"/>
      <c r="G7567" s="1077"/>
      <c r="H7567" s="1077"/>
      <c r="I7567" s="1077"/>
      <c r="J7567" s="1077"/>
      <c r="K7567" s="1077"/>
      <c r="L7567" s="1077"/>
      <c r="M7567" s="1077"/>
    </row>
    <row r="7568" spans="5:13">
      <c r="E7568" s="1077"/>
      <c r="F7568" s="1077"/>
      <c r="G7568" s="1077"/>
      <c r="H7568" s="1077"/>
      <c r="I7568" s="1077"/>
      <c r="J7568" s="1077"/>
      <c r="K7568" s="1077"/>
      <c r="L7568" s="1077"/>
      <c r="M7568" s="1077"/>
    </row>
    <row r="7569" spans="5:13">
      <c r="E7569" s="1077"/>
      <c r="F7569" s="1077"/>
      <c r="G7569" s="1077"/>
      <c r="H7569" s="1077"/>
      <c r="I7569" s="1077"/>
      <c r="J7569" s="1077"/>
      <c r="K7569" s="1077"/>
      <c r="L7569" s="1077"/>
      <c r="M7569" s="1077"/>
    </row>
    <row r="7570" spans="5:13">
      <c r="E7570" s="1077"/>
      <c r="F7570" s="1077"/>
      <c r="G7570" s="1077"/>
      <c r="H7570" s="1077"/>
      <c r="I7570" s="1077"/>
      <c r="J7570" s="1077"/>
      <c r="K7570" s="1077"/>
      <c r="L7570" s="1077"/>
      <c r="M7570" s="1077"/>
    </row>
    <row r="7571" spans="5:13">
      <c r="E7571" s="1077"/>
      <c r="F7571" s="1077"/>
      <c r="G7571" s="1077"/>
      <c r="H7571" s="1077"/>
      <c r="I7571" s="1077"/>
      <c r="J7571" s="1077"/>
      <c r="K7571" s="1077"/>
      <c r="L7571" s="1077"/>
      <c r="M7571" s="1077"/>
    </row>
    <row r="7572" spans="5:13">
      <c r="E7572" s="1077"/>
      <c r="F7572" s="1077"/>
      <c r="G7572" s="1077"/>
      <c r="H7572" s="1077"/>
      <c r="I7572" s="1077"/>
      <c r="J7572" s="1077"/>
      <c r="K7572" s="1077"/>
      <c r="L7572" s="1077"/>
      <c r="M7572" s="1077"/>
    </row>
    <row r="7573" spans="5:13">
      <c r="E7573" s="1077"/>
      <c r="F7573" s="1077"/>
      <c r="G7573" s="1077"/>
      <c r="H7573" s="1077"/>
      <c r="I7573" s="1077"/>
      <c r="J7573" s="1077"/>
      <c r="K7573" s="1077"/>
      <c r="L7573" s="1077"/>
      <c r="M7573" s="1077"/>
    </row>
    <row r="7574" spans="5:13">
      <c r="E7574" s="1077"/>
      <c r="F7574" s="1077"/>
      <c r="G7574" s="1077"/>
      <c r="H7574" s="1077"/>
      <c r="I7574" s="1077"/>
      <c r="J7574" s="1077"/>
      <c r="K7574" s="1077"/>
      <c r="L7574" s="1077"/>
      <c r="M7574" s="1077"/>
    </row>
    <row r="7575" spans="5:13">
      <c r="E7575" s="1077"/>
      <c r="F7575" s="1077"/>
      <c r="G7575" s="1077"/>
      <c r="H7575" s="1077"/>
      <c r="I7575" s="1077"/>
      <c r="J7575" s="1077"/>
      <c r="K7575" s="1077"/>
      <c r="L7575" s="1077"/>
      <c r="M7575" s="1077"/>
    </row>
    <row r="7576" spans="5:13">
      <c r="E7576" s="1077"/>
      <c r="F7576" s="1077"/>
      <c r="G7576" s="1077"/>
      <c r="H7576" s="1077"/>
      <c r="I7576" s="1077"/>
      <c r="J7576" s="1077"/>
      <c r="K7576" s="1077"/>
      <c r="L7576" s="1077"/>
      <c r="M7576" s="1077"/>
    </row>
    <row r="7577" spans="5:13">
      <c r="E7577" s="1077"/>
      <c r="F7577" s="1077"/>
      <c r="G7577" s="1077"/>
      <c r="H7577" s="1077"/>
      <c r="I7577" s="1077"/>
      <c r="J7577" s="1077"/>
      <c r="K7577" s="1077"/>
      <c r="L7577" s="1077"/>
      <c r="M7577" s="1077"/>
    </row>
    <row r="7578" spans="5:13">
      <c r="E7578" s="1077"/>
      <c r="F7578" s="1077"/>
      <c r="G7578" s="1077"/>
      <c r="H7578" s="1077"/>
      <c r="I7578" s="1077"/>
      <c r="J7578" s="1077"/>
      <c r="K7578" s="1077"/>
      <c r="L7578" s="1077"/>
      <c r="M7578" s="1077"/>
    </row>
    <row r="7579" spans="5:13">
      <c r="E7579" s="1077"/>
      <c r="F7579" s="1077"/>
      <c r="G7579" s="1077"/>
      <c r="H7579" s="1077"/>
      <c r="I7579" s="1077"/>
      <c r="J7579" s="1077"/>
      <c r="K7579" s="1077"/>
      <c r="L7579" s="1077"/>
      <c r="M7579" s="1077"/>
    </row>
    <row r="7580" spans="5:13">
      <c r="E7580" s="1077"/>
      <c r="F7580" s="1077"/>
      <c r="G7580" s="1077"/>
      <c r="H7580" s="1077"/>
      <c r="I7580" s="1077"/>
      <c r="J7580" s="1077"/>
      <c r="K7580" s="1077"/>
      <c r="L7580" s="1077"/>
      <c r="M7580" s="1077"/>
    </row>
    <row r="7581" spans="5:13">
      <c r="E7581" s="1077"/>
      <c r="F7581" s="1077"/>
      <c r="G7581" s="1077"/>
      <c r="H7581" s="1077"/>
      <c r="I7581" s="1077"/>
      <c r="J7581" s="1077"/>
      <c r="K7581" s="1077"/>
      <c r="L7581" s="1077"/>
      <c r="M7581" s="1077"/>
    </row>
    <row r="7582" spans="5:13">
      <c r="E7582" s="1077"/>
      <c r="F7582" s="1077"/>
      <c r="G7582" s="1077"/>
      <c r="H7582" s="1077"/>
      <c r="I7582" s="1077"/>
      <c r="J7582" s="1077"/>
      <c r="K7582" s="1077"/>
      <c r="L7582" s="1077"/>
      <c r="M7582" s="1077"/>
    </row>
    <row r="7583" spans="5:13">
      <c r="E7583" s="1077"/>
      <c r="F7583" s="1077"/>
      <c r="G7583" s="1077"/>
      <c r="H7583" s="1077"/>
      <c r="I7583" s="1077"/>
      <c r="J7583" s="1077"/>
      <c r="K7583" s="1077"/>
      <c r="L7583" s="1077"/>
      <c r="M7583" s="1077"/>
    </row>
    <row r="7584" spans="5:13">
      <c r="E7584" s="1077"/>
      <c r="F7584" s="1077"/>
      <c r="G7584" s="1077"/>
      <c r="H7584" s="1077"/>
      <c r="I7584" s="1077"/>
      <c r="J7584" s="1077"/>
      <c r="K7584" s="1077"/>
      <c r="L7584" s="1077"/>
      <c r="M7584" s="1077"/>
    </row>
    <row r="7585" spans="5:13">
      <c r="E7585" s="1077"/>
      <c r="F7585" s="1077"/>
      <c r="G7585" s="1077"/>
      <c r="H7585" s="1077"/>
      <c r="I7585" s="1077"/>
      <c r="J7585" s="1077"/>
      <c r="K7585" s="1077"/>
      <c r="L7585" s="1077"/>
      <c r="M7585" s="1077"/>
    </row>
    <row r="7586" spans="5:13">
      <c r="E7586" s="1077"/>
      <c r="F7586" s="1077"/>
      <c r="G7586" s="1077"/>
      <c r="H7586" s="1077"/>
      <c r="I7586" s="1077"/>
      <c r="J7586" s="1077"/>
      <c r="K7586" s="1077"/>
      <c r="L7586" s="1077"/>
      <c r="M7586" s="1077"/>
    </row>
    <row r="7587" spans="5:13">
      <c r="E7587" s="1077"/>
      <c r="F7587" s="1077"/>
      <c r="G7587" s="1077"/>
      <c r="H7587" s="1077"/>
      <c r="I7587" s="1077"/>
      <c r="J7587" s="1077"/>
      <c r="K7587" s="1077"/>
      <c r="L7587" s="1077"/>
      <c r="M7587" s="1077"/>
    </row>
    <row r="7588" spans="5:13">
      <c r="E7588" s="1077"/>
      <c r="F7588" s="1077"/>
      <c r="G7588" s="1077"/>
      <c r="H7588" s="1077"/>
      <c r="I7588" s="1077"/>
      <c r="J7588" s="1077"/>
      <c r="K7588" s="1077"/>
      <c r="L7588" s="1077"/>
      <c r="M7588" s="1077"/>
    </row>
    <row r="7589" spans="5:13">
      <c r="E7589" s="1077"/>
      <c r="F7589" s="1077"/>
      <c r="G7589" s="1077"/>
      <c r="H7589" s="1077"/>
      <c r="I7589" s="1077"/>
      <c r="J7589" s="1077"/>
      <c r="K7589" s="1077"/>
      <c r="L7589" s="1077"/>
      <c r="M7589" s="1077"/>
    </row>
    <row r="7590" spans="5:13">
      <c r="E7590" s="1077"/>
      <c r="F7590" s="1077"/>
      <c r="G7590" s="1077"/>
      <c r="H7590" s="1077"/>
      <c r="I7590" s="1077"/>
      <c r="J7590" s="1077"/>
      <c r="K7590" s="1077"/>
      <c r="L7590" s="1077"/>
      <c r="M7590" s="1077"/>
    </row>
    <row r="7591" spans="5:13">
      <c r="E7591" s="1077"/>
      <c r="F7591" s="1077"/>
      <c r="G7591" s="1077"/>
      <c r="H7591" s="1077"/>
      <c r="I7591" s="1077"/>
      <c r="J7591" s="1077"/>
      <c r="K7591" s="1077"/>
      <c r="L7591" s="1077"/>
      <c r="M7591" s="1077"/>
    </row>
    <row r="7592" spans="5:13">
      <c r="E7592" s="1077"/>
      <c r="F7592" s="1077"/>
      <c r="G7592" s="1077"/>
      <c r="H7592" s="1077"/>
      <c r="I7592" s="1077"/>
      <c r="J7592" s="1077"/>
      <c r="K7592" s="1077"/>
      <c r="L7592" s="1077"/>
      <c r="M7592" s="1077"/>
    </row>
    <row r="7593" spans="5:13">
      <c r="E7593" s="1077"/>
      <c r="F7593" s="1077"/>
      <c r="G7593" s="1077"/>
      <c r="H7593" s="1077"/>
      <c r="I7593" s="1077"/>
      <c r="J7593" s="1077"/>
      <c r="K7593" s="1077"/>
      <c r="L7593" s="1077"/>
      <c r="M7593" s="1077"/>
    </row>
    <row r="7594" spans="5:13">
      <c r="E7594" s="1077"/>
      <c r="F7594" s="1077"/>
      <c r="G7594" s="1077"/>
      <c r="H7594" s="1077"/>
      <c r="I7594" s="1077"/>
      <c r="J7594" s="1077"/>
      <c r="K7594" s="1077"/>
      <c r="L7594" s="1077"/>
      <c r="M7594" s="1077"/>
    </row>
    <row r="7595" spans="5:13">
      <c r="E7595" s="1077"/>
      <c r="F7595" s="1077"/>
      <c r="G7595" s="1077"/>
      <c r="H7595" s="1077"/>
      <c r="I7595" s="1077"/>
      <c r="J7595" s="1077"/>
      <c r="K7595" s="1077"/>
      <c r="L7595" s="1077"/>
      <c r="M7595" s="1077"/>
    </row>
    <row r="7596" spans="5:13">
      <c r="E7596" s="1077"/>
      <c r="F7596" s="1077"/>
      <c r="G7596" s="1077"/>
      <c r="H7596" s="1077"/>
      <c r="I7596" s="1077"/>
      <c r="J7596" s="1077"/>
      <c r="K7596" s="1077"/>
      <c r="L7596" s="1077"/>
      <c r="M7596" s="1077"/>
    </row>
    <row r="7597" spans="5:13">
      <c r="E7597" s="1077"/>
      <c r="F7597" s="1077"/>
      <c r="G7597" s="1077"/>
      <c r="H7597" s="1077"/>
      <c r="I7597" s="1077"/>
      <c r="J7597" s="1077"/>
      <c r="K7597" s="1077"/>
      <c r="L7597" s="1077"/>
      <c r="M7597" s="1077"/>
    </row>
    <row r="7598" spans="5:13">
      <c r="E7598" s="1077"/>
      <c r="F7598" s="1077"/>
      <c r="G7598" s="1077"/>
      <c r="H7598" s="1077"/>
      <c r="I7598" s="1077"/>
      <c r="J7598" s="1077"/>
      <c r="K7598" s="1077"/>
      <c r="L7598" s="1077"/>
      <c r="M7598" s="1077"/>
    </row>
    <row r="7599" spans="5:13">
      <c r="E7599" s="1077"/>
      <c r="F7599" s="1077"/>
      <c r="G7599" s="1077"/>
      <c r="H7599" s="1077"/>
      <c r="I7599" s="1077"/>
      <c r="J7599" s="1077"/>
      <c r="K7599" s="1077"/>
      <c r="L7599" s="1077"/>
      <c r="M7599" s="1077"/>
    </row>
    <row r="7600" spans="5:13">
      <c r="E7600" s="1077"/>
      <c r="F7600" s="1077"/>
      <c r="G7600" s="1077"/>
      <c r="H7600" s="1077"/>
      <c r="I7600" s="1077"/>
      <c r="J7600" s="1077"/>
      <c r="K7600" s="1077"/>
      <c r="L7600" s="1077"/>
      <c r="M7600" s="1077"/>
    </row>
    <row r="7601" spans="5:13">
      <c r="E7601" s="1077"/>
      <c r="F7601" s="1077"/>
      <c r="G7601" s="1077"/>
      <c r="H7601" s="1077"/>
      <c r="I7601" s="1077"/>
      <c r="J7601" s="1077"/>
      <c r="K7601" s="1077"/>
      <c r="L7601" s="1077"/>
      <c r="M7601" s="1077"/>
    </row>
    <row r="7602" spans="5:13">
      <c r="E7602" s="1077"/>
      <c r="F7602" s="1077"/>
      <c r="G7602" s="1077"/>
      <c r="H7602" s="1077"/>
      <c r="I7602" s="1077"/>
      <c r="J7602" s="1077"/>
      <c r="K7602" s="1077"/>
      <c r="L7602" s="1077"/>
      <c r="M7602" s="1077"/>
    </row>
    <row r="7603" spans="5:13">
      <c r="E7603" s="1077"/>
      <c r="F7603" s="1077"/>
      <c r="G7603" s="1077"/>
      <c r="H7603" s="1077"/>
      <c r="I7603" s="1077"/>
      <c r="J7603" s="1077"/>
      <c r="K7603" s="1077"/>
      <c r="L7603" s="1077"/>
      <c r="M7603" s="1077"/>
    </row>
    <row r="7604" spans="5:13">
      <c r="E7604" s="1077"/>
      <c r="F7604" s="1077"/>
      <c r="G7604" s="1077"/>
      <c r="H7604" s="1077"/>
      <c r="I7604" s="1077"/>
      <c r="J7604" s="1077"/>
      <c r="K7604" s="1077"/>
      <c r="L7604" s="1077"/>
      <c r="M7604" s="1077"/>
    </row>
    <row r="7605" spans="5:13">
      <c r="E7605" s="1077"/>
      <c r="F7605" s="1077"/>
      <c r="G7605" s="1077"/>
      <c r="H7605" s="1077"/>
      <c r="I7605" s="1077"/>
      <c r="J7605" s="1077"/>
      <c r="K7605" s="1077"/>
      <c r="L7605" s="1077"/>
      <c r="M7605" s="1077"/>
    </row>
    <row r="7606" spans="5:13">
      <c r="E7606" s="1077"/>
      <c r="F7606" s="1077"/>
      <c r="G7606" s="1077"/>
      <c r="H7606" s="1077"/>
      <c r="I7606" s="1077"/>
      <c r="J7606" s="1077"/>
      <c r="K7606" s="1077"/>
      <c r="L7606" s="1077"/>
      <c r="M7606" s="1077"/>
    </row>
    <row r="7607" spans="5:13">
      <c r="E7607" s="1077"/>
      <c r="F7607" s="1077"/>
      <c r="G7607" s="1077"/>
      <c r="H7607" s="1077"/>
      <c r="I7607" s="1077"/>
      <c r="J7607" s="1077"/>
      <c r="K7607" s="1077"/>
      <c r="L7607" s="1077"/>
      <c r="M7607" s="1077"/>
    </row>
    <row r="7608" spans="5:13">
      <c r="E7608" s="1077"/>
      <c r="F7608" s="1077"/>
      <c r="G7608" s="1077"/>
      <c r="H7608" s="1077"/>
      <c r="I7608" s="1077"/>
      <c r="J7608" s="1077"/>
      <c r="K7608" s="1077"/>
      <c r="L7608" s="1077"/>
      <c r="M7608" s="1077"/>
    </row>
    <row r="7609" spans="5:13">
      <c r="E7609" s="1077"/>
      <c r="F7609" s="1077"/>
      <c r="G7609" s="1077"/>
      <c r="H7609" s="1077"/>
      <c r="I7609" s="1077"/>
      <c r="J7609" s="1077"/>
      <c r="K7609" s="1077"/>
      <c r="L7609" s="1077"/>
      <c r="M7609" s="1077"/>
    </row>
    <row r="7610" spans="5:13">
      <c r="E7610" s="1077"/>
      <c r="F7610" s="1077"/>
      <c r="G7610" s="1077"/>
      <c r="H7610" s="1077"/>
      <c r="I7610" s="1077"/>
      <c r="J7610" s="1077"/>
      <c r="K7610" s="1077"/>
      <c r="L7610" s="1077"/>
      <c r="M7610" s="1077"/>
    </row>
    <row r="7611" spans="5:13">
      <c r="E7611" s="1077"/>
      <c r="F7611" s="1077"/>
      <c r="G7611" s="1077"/>
      <c r="H7611" s="1077"/>
      <c r="I7611" s="1077"/>
      <c r="J7611" s="1077"/>
      <c r="K7611" s="1077"/>
      <c r="L7611" s="1077"/>
      <c r="M7611" s="1077"/>
    </row>
    <row r="7612" spans="5:13">
      <c r="E7612" s="1077"/>
      <c r="F7612" s="1077"/>
      <c r="G7612" s="1077"/>
      <c r="H7612" s="1077"/>
      <c r="I7612" s="1077"/>
      <c r="J7612" s="1077"/>
      <c r="K7612" s="1077"/>
      <c r="L7612" s="1077"/>
      <c r="M7612" s="1077"/>
    </row>
    <row r="7613" spans="5:13">
      <c r="E7613" s="1077"/>
      <c r="F7613" s="1077"/>
      <c r="G7613" s="1077"/>
      <c r="H7613" s="1077"/>
      <c r="I7613" s="1077"/>
      <c r="J7613" s="1077"/>
      <c r="K7613" s="1077"/>
      <c r="L7613" s="1077"/>
      <c r="M7613" s="1077"/>
    </row>
    <row r="7614" spans="5:13">
      <c r="E7614" s="1077"/>
      <c r="F7614" s="1077"/>
      <c r="G7614" s="1077"/>
      <c r="H7614" s="1077"/>
      <c r="I7614" s="1077"/>
      <c r="J7614" s="1077"/>
      <c r="K7614" s="1077"/>
      <c r="L7614" s="1077"/>
      <c r="M7614" s="1077"/>
    </row>
    <row r="7615" spans="5:13">
      <c r="E7615" s="1077"/>
      <c r="F7615" s="1077"/>
      <c r="G7615" s="1077"/>
      <c r="H7615" s="1077"/>
      <c r="I7615" s="1077"/>
      <c r="J7615" s="1077"/>
      <c r="K7615" s="1077"/>
      <c r="L7615" s="1077"/>
      <c r="M7615" s="1077"/>
    </row>
    <row r="7616" spans="5:13">
      <c r="E7616" s="1077"/>
      <c r="F7616" s="1077"/>
      <c r="G7616" s="1077"/>
      <c r="H7616" s="1077"/>
      <c r="I7616" s="1077"/>
      <c r="J7616" s="1077"/>
      <c r="K7616" s="1077"/>
      <c r="L7616" s="1077"/>
      <c r="M7616" s="1077"/>
    </row>
    <row r="7617" spans="5:13">
      <c r="E7617" s="1077"/>
      <c r="F7617" s="1077"/>
      <c r="G7617" s="1077"/>
      <c r="H7617" s="1077"/>
      <c r="I7617" s="1077"/>
      <c r="J7617" s="1077"/>
      <c r="K7617" s="1077"/>
      <c r="L7617" s="1077"/>
      <c r="M7617" s="1077"/>
    </row>
    <row r="7618" spans="5:13">
      <c r="E7618" s="1077"/>
      <c r="F7618" s="1077"/>
      <c r="G7618" s="1077"/>
      <c r="H7618" s="1077"/>
      <c r="I7618" s="1077"/>
      <c r="J7618" s="1077"/>
      <c r="K7618" s="1077"/>
      <c r="L7618" s="1077"/>
      <c r="M7618" s="1077"/>
    </row>
    <row r="7619" spans="5:13">
      <c r="E7619" s="1077"/>
      <c r="F7619" s="1077"/>
      <c r="G7619" s="1077"/>
      <c r="H7619" s="1077"/>
      <c r="I7619" s="1077"/>
      <c r="J7619" s="1077"/>
      <c r="K7619" s="1077"/>
      <c r="L7619" s="1077"/>
      <c r="M7619" s="1077"/>
    </row>
    <row r="7620" spans="5:13">
      <c r="E7620" s="1077"/>
      <c r="F7620" s="1077"/>
      <c r="G7620" s="1077"/>
      <c r="H7620" s="1077"/>
      <c r="I7620" s="1077"/>
      <c r="J7620" s="1077"/>
      <c r="K7620" s="1077"/>
      <c r="L7620" s="1077"/>
      <c r="M7620" s="1077"/>
    </row>
    <row r="7621" spans="5:13">
      <c r="E7621" s="1077"/>
      <c r="F7621" s="1077"/>
      <c r="G7621" s="1077"/>
      <c r="H7621" s="1077"/>
      <c r="I7621" s="1077"/>
      <c r="J7621" s="1077"/>
      <c r="K7621" s="1077"/>
      <c r="L7621" s="1077"/>
      <c r="M7621" s="1077"/>
    </row>
    <row r="7622" spans="5:13">
      <c r="E7622" s="1077"/>
      <c r="F7622" s="1077"/>
      <c r="G7622" s="1077"/>
      <c r="H7622" s="1077"/>
      <c r="I7622" s="1077"/>
      <c r="J7622" s="1077"/>
      <c r="K7622" s="1077"/>
      <c r="L7622" s="1077"/>
      <c r="M7622" s="1077"/>
    </row>
    <row r="7623" spans="5:13">
      <c r="E7623" s="1077"/>
      <c r="F7623" s="1077"/>
      <c r="G7623" s="1077"/>
      <c r="H7623" s="1077"/>
      <c r="I7623" s="1077"/>
      <c r="J7623" s="1077"/>
      <c r="K7623" s="1077"/>
      <c r="L7623" s="1077"/>
      <c r="M7623" s="1077"/>
    </row>
    <row r="7624" spans="5:13">
      <c r="E7624" s="1077"/>
      <c r="F7624" s="1077"/>
      <c r="G7624" s="1077"/>
      <c r="H7624" s="1077"/>
      <c r="I7624" s="1077"/>
      <c r="J7624" s="1077"/>
      <c r="K7624" s="1077"/>
      <c r="L7624" s="1077"/>
      <c r="M7624" s="1077"/>
    </row>
    <row r="7625" spans="5:13">
      <c r="E7625" s="1077"/>
      <c r="F7625" s="1077"/>
      <c r="G7625" s="1077"/>
      <c r="H7625" s="1077"/>
      <c r="I7625" s="1077"/>
      <c r="J7625" s="1077"/>
      <c r="K7625" s="1077"/>
      <c r="L7625" s="1077"/>
      <c r="M7625" s="1077"/>
    </row>
    <row r="7626" spans="5:13">
      <c r="E7626" s="1077"/>
      <c r="F7626" s="1077"/>
      <c r="G7626" s="1077"/>
      <c r="H7626" s="1077"/>
      <c r="I7626" s="1077"/>
      <c r="J7626" s="1077"/>
      <c r="K7626" s="1077"/>
      <c r="L7626" s="1077"/>
      <c r="M7626" s="1077"/>
    </row>
    <row r="7627" spans="5:13">
      <c r="E7627" s="1077"/>
      <c r="F7627" s="1077"/>
      <c r="G7627" s="1077"/>
      <c r="H7627" s="1077"/>
      <c r="I7627" s="1077"/>
      <c r="J7627" s="1077"/>
      <c r="K7627" s="1077"/>
      <c r="L7627" s="1077"/>
      <c r="M7627" s="1077"/>
    </row>
    <row r="7628" spans="5:13">
      <c r="E7628" s="1077"/>
      <c r="F7628" s="1077"/>
      <c r="G7628" s="1077"/>
      <c r="H7628" s="1077"/>
      <c r="I7628" s="1077"/>
      <c r="J7628" s="1077"/>
      <c r="K7628" s="1077"/>
      <c r="L7628" s="1077"/>
      <c r="M7628" s="1077"/>
    </row>
    <row r="7629" spans="5:13">
      <c r="E7629" s="1077"/>
      <c r="F7629" s="1077"/>
      <c r="G7629" s="1077"/>
      <c r="H7629" s="1077"/>
      <c r="I7629" s="1077"/>
      <c r="J7629" s="1077"/>
      <c r="K7629" s="1077"/>
      <c r="L7629" s="1077"/>
      <c r="M7629" s="1077"/>
    </row>
    <row r="7630" spans="5:13">
      <c r="E7630" s="1077"/>
      <c r="F7630" s="1077"/>
      <c r="G7630" s="1077"/>
      <c r="H7630" s="1077"/>
      <c r="I7630" s="1077"/>
      <c r="J7630" s="1077"/>
      <c r="K7630" s="1077"/>
      <c r="L7630" s="1077"/>
      <c r="M7630" s="1077"/>
    </row>
    <row r="7631" spans="5:13">
      <c r="E7631" s="1077"/>
      <c r="F7631" s="1077"/>
      <c r="G7631" s="1077"/>
      <c r="H7631" s="1077"/>
      <c r="I7631" s="1077"/>
      <c r="J7631" s="1077"/>
      <c r="K7631" s="1077"/>
      <c r="L7631" s="1077"/>
      <c r="M7631" s="1077"/>
    </row>
    <row r="7632" spans="5:13">
      <c r="E7632" s="1077"/>
      <c r="F7632" s="1077"/>
      <c r="G7632" s="1077"/>
      <c r="H7632" s="1077"/>
      <c r="I7632" s="1077"/>
      <c r="J7632" s="1077"/>
      <c r="K7632" s="1077"/>
      <c r="L7632" s="1077"/>
      <c r="M7632" s="1077"/>
    </row>
    <row r="7633" spans="5:13">
      <c r="E7633" s="1077"/>
      <c r="F7633" s="1077"/>
      <c r="G7633" s="1077"/>
      <c r="H7633" s="1077"/>
      <c r="I7633" s="1077"/>
      <c r="J7633" s="1077"/>
      <c r="K7633" s="1077"/>
      <c r="L7633" s="1077"/>
      <c r="M7633" s="1077"/>
    </row>
    <row r="7634" spans="5:13">
      <c r="E7634" s="1077"/>
      <c r="F7634" s="1077"/>
      <c r="G7634" s="1077"/>
      <c r="H7634" s="1077"/>
      <c r="I7634" s="1077"/>
      <c r="J7634" s="1077"/>
      <c r="K7634" s="1077"/>
      <c r="L7634" s="1077"/>
      <c r="M7634" s="1077"/>
    </row>
    <row r="7635" spans="5:13">
      <c r="E7635" s="1077"/>
      <c r="F7635" s="1077"/>
      <c r="G7635" s="1077"/>
      <c r="H7635" s="1077"/>
      <c r="I7635" s="1077"/>
      <c r="J7635" s="1077"/>
      <c r="K7635" s="1077"/>
      <c r="L7635" s="1077"/>
      <c r="M7635" s="1077"/>
    </row>
    <row r="7636" spans="5:13">
      <c r="E7636" s="1077"/>
      <c r="F7636" s="1077"/>
      <c r="G7636" s="1077"/>
      <c r="H7636" s="1077"/>
      <c r="I7636" s="1077"/>
      <c r="J7636" s="1077"/>
      <c r="K7636" s="1077"/>
      <c r="L7636" s="1077"/>
      <c r="M7636" s="1077"/>
    </row>
    <row r="7637" spans="5:13">
      <c r="E7637" s="1077"/>
      <c r="F7637" s="1077"/>
      <c r="G7637" s="1077"/>
      <c r="H7637" s="1077"/>
      <c r="I7637" s="1077"/>
      <c r="J7637" s="1077"/>
      <c r="K7637" s="1077"/>
      <c r="L7637" s="1077"/>
      <c r="M7637" s="1077"/>
    </row>
    <row r="7638" spans="5:13">
      <c r="E7638" s="1077"/>
      <c r="F7638" s="1077"/>
      <c r="G7638" s="1077"/>
      <c r="H7638" s="1077"/>
      <c r="I7638" s="1077"/>
      <c r="J7638" s="1077"/>
      <c r="K7638" s="1077"/>
      <c r="L7638" s="1077"/>
      <c r="M7638" s="1077"/>
    </row>
    <row r="7639" spans="5:13">
      <c r="E7639" s="1077"/>
      <c r="F7639" s="1077"/>
      <c r="G7639" s="1077"/>
      <c r="H7639" s="1077"/>
      <c r="I7639" s="1077"/>
      <c r="J7639" s="1077"/>
      <c r="K7639" s="1077"/>
      <c r="L7639" s="1077"/>
      <c r="M7639" s="1077"/>
    </row>
    <row r="7640" spans="5:13">
      <c r="E7640" s="1077"/>
      <c r="F7640" s="1077"/>
      <c r="G7640" s="1077"/>
      <c r="H7640" s="1077"/>
      <c r="I7640" s="1077"/>
      <c r="J7640" s="1077"/>
      <c r="K7640" s="1077"/>
      <c r="L7640" s="1077"/>
      <c r="M7640" s="1077"/>
    </row>
    <row r="7641" spans="5:13">
      <c r="E7641" s="1077"/>
      <c r="F7641" s="1077"/>
      <c r="G7641" s="1077"/>
      <c r="H7641" s="1077"/>
      <c r="I7641" s="1077"/>
      <c r="J7641" s="1077"/>
      <c r="K7641" s="1077"/>
      <c r="L7641" s="1077"/>
      <c r="M7641" s="1077"/>
    </row>
    <row r="7642" spans="5:13">
      <c r="E7642" s="1077"/>
      <c r="F7642" s="1077"/>
      <c r="G7642" s="1077"/>
      <c r="H7642" s="1077"/>
      <c r="I7642" s="1077"/>
      <c r="J7642" s="1077"/>
      <c r="K7642" s="1077"/>
      <c r="L7642" s="1077"/>
      <c r="M7642" s="1077"/>
    </row>
    <row r="7643" spans="5:13">
      <c r="E7643" s="1077"/>
      <c r="F7643" s="1077"/>
      <c r="G7643" s="1077"/>
      <c r="H7643" s="1077"/>
      <c r="I7643" s="1077"/>
      <c r="J7643" s="1077"/>
      <c r="K7643" s="1077"/>
      <c r="L7643" s="1077"/>
      <c r="M7643" s="1077"/>
    </row>
    <row r="7644" spans="5:13">
      <c r="E7644" s="1077"/>
      <c r="F7644" s="1077"/>
      <c r="G7644" s="1077"/>
      <c r="H7644" s="1077"/>
      <c r="I7644" s="1077"/>
      <c r="J7644" s="1077"/>
      <c r="K7644" s="1077"/>
      <c r="L7644" s="1077"/>
      <c r="M7644" s="1077"/>
    </row>
    <row r="7645" spans="5:13">
      <c r="E7645" s="1077"/>
      <c r="F7645" s="1077"/>
      <c r="G7645" s="1077"/>
      <c r="H7645" s="1077"/>
      <c r="I7645" s="1077"/>
      <c r="J7645" s="1077"/>
      <c r="K7645" s="1077"/>
      <c r="L7645" s="1077"/>
      <c r="M7645" s="1077"/>
    </row>
    <row r="7646" spans="5:13">
      <c r="E7646" s="1077"/>
      <c r="F7646" s="1077"/>
      <c r="G7646" s="1077"/>
      <c r="H7646" s="1077"/>
      <c r="I7646" s="1077"/>
      <c r="J7646" s="1077"/>
      <c r="K7646" s="1077"/>
      <c r="L7646" s="1077"/>
      <c r="M7646" s="1077"/>
    </row>
    <row r="7647" spans="5:13">
      <c r="E7647" s="1077"/>
      <c r="F7647" s="1077"/>
      <c r="G7647" s="1077"/>
      <c r="H7647" s="1077"/>
      <c r="I7647" s="1077"/>
      <c r="J7647" s="1077"/>
      <c r="K7647" s="1077"/>
      <c r="L7647" s="1077"/>
      <c r="M7647" s="1077"/>
    </row>
    <row r="7648" spans="5:13">
      <c r="E7648" s="1077"/>
      <c r="F7648" s="1077"/>
      <c r="G7648" s="1077"/>
      <c r="H7648" s="1077"/>
      <c r="I7648" s="1077"/>
      <c r="J7648" s="1077"/>
      <c r="K7648" s="1077"/>
      <c r="L7648" s="1077"/>
      <c r="M7648" s="1077"/>
    </row>
    <row r="7649" spans="5:13">
      <c r="E7649" s="1077"/>
      <c r="F7649" s="1077"/>
      <c r="G7649" s="1077"/>
      <c r="H7649" s="1077"/>
      <c r="I7649" s="1077"/>
      <c r="J7649" s="1077"/>
      <c r="K7649" s="1077"/>
      <c r="L7649" s="1077"/>
      <c r="M7649" s="1077"/>
    </row>
    <row r="7650" spans="5:13">
      <c r="E7650" s="1077"/>
      <c r="F7650" s="1077"/>
      <c r="G7650" s="1077"/>
      <c r="H7650" s="1077"/>
      <c r="I7650" s="1077"/>
      <c r="J7650" s="1077"/>
      <c r="K7650" s="1077"/>
      <c r="L7650" s="1077"/>
      <c r="M7650" s="1077"/>
    </row>
    <row r="7651" spans="5:13">
      <c r="E7651" s="1077"/>
      <c r="F7651" s="1077"/>
      <c r="G7651" s="1077"/>
      <c r="H7651" s="1077"/>
      <c r="I7651" s="1077"/>
      <c r="J7651" s="1077"/>
      <c r="K7651" s="1077"/>
      <c r="L7651" s="1077"/>
      <c r="M7651" s="1077"/>
    </row>
    <row r="7652" spans="5:13">
      <c r="E7652" s="1077"/>
      <c r="F7652" s="1077"/>
      <c r="G7652" s="1077"/>
      <c r="H7652" s="1077"/>
      <c r="I7652" s="1077"/>
      <c r="J7652" s="1077"/>
      <c r="K7652" s="1077"/>
      <c r="L7652" s="1077"/>
      <c r="M7652" s="1077"/>
    </row>
    <row r="7653" spans="5:13">
      <c r="E7653" s="1077"/>
      <c r="F7653" s="1077"/>
      <c r="G7653" s="1077"/>
      <c r="H7653" s="1077"/>
      <c r="I7653" s="1077"/>
      <c r="J7653" s="1077"/>
      <c r="K7653" s="1077"/>
      <c r="L7653" s="1077"/>
      <c r="M7653" s="1077"/>
    </row>
    <row r="7654" spans="5:13">
      <c r="E7654" s="1077"/>
      <c r="F7654" s="1077"/>
      <c r="G7654" s="1077"/>
      <c r="H7654" s="1077"/>
      <c r="I7654" s="1077"/>
      <c r="J7654" s="1077"/>
      <c r="K7654" s="1077"/>
      <c r="L7654" s="1077"/>
      <c r="M7654" s="1077"/>
    </row>
    <row r="7655" spans="5:13">
      <c r="E7655" s="1077"/>
      <c r="F7655" s="1077"/>
      <c r="G7655" s="1077"/>
      <c r="H7655" s="1077"/>
      <c r="I7655" s="1077"/>
      <c r="J7655" s="1077"/>
      <c r="K7655" s="1077"/>
      <c r="L7655" s="1077"/>
      <c r="M7655" s="1077"/>
    </row>
    <row r="7656" spans="5:13">
      <c r="E7656" s="1077"/>
      <c r="F7656" s="1077"/>
      <c r="G7656" s="1077"/>
      <c r="H7656" s="1077"/>
      <c r="I7656" s="1077"/>
      <c r="J7656" s="1077"/>
      <c r="K7656" s="1077"/>
      <c r="L7656" s="1077"/>
      <c r="M7656" s="1077"/>
    </row>
    <row r="7657" spans="5:13">
      <c r="E7657" s="1077"/>
      <c r="F7657" s="1077"/>
      <c r="G7657" s="1077"/>
      <c r="H7657" s="1077"/>
      <c r="I7657" s="1077"/>
      <c r="J7657" s="1077"/>
      <c r="K7657" s="1077"/>
      <c r="L7657" s="1077"/>
      <c r="M7657" s="1077"/>
    </row>
    <row r="7658" spans="5:13">
      <c r="E7658" s="1077"/>
      <c r="F7658" s="1077"/>
      <c r="G7658" s="1077"/>
      <c r="H7658" s="1077"/>
      <c r="I7658" s="1077"/>
      <c r="J7658" s="1077"/>
      <c r="K7658" s="1077"/>
      <c r="L7658" s="1077"/>
      <c r="M7658" s="1077"/>
    </row>
    <row r="7659" spans="5:13">
      <c r="E7659" s="1077"/>
      <c r="F7659" s="1077"/>
      <c r="G7659" s="1077"/>
      <c r="H7659" s="1077"/>
      <c r="I7659" s="1077"/>
      <c r="J7659" s="1077"/>
      <c r="K7659" s="1077"/>
      <c r="L7659" s="1077"/>
      <c r="M7659" s="1077"/>
    </row>
    <row r="7660" spans="5:13">
      <c r="E7660" s="1077"/>
      <c r="F7660" s="1077"/>
      <c r="G7660" s="1077"/>
      <c r="H7660" s="1077"/>
      <c r="I7660" s="1077"/>
      <c r="J7660" s="1077"/>
      <c r="K7660" s="1077"/>
      <c r="L7660" s="1077"/>
      <c r="M7660" s="1077"/>
    </row>
    <row r="7661" spans="5:13">
      <c r="E7661" s="1077"/>
      <c r="F7661" s="1077"/>
      <c r="G7661" s="1077"/>
      <c r="H7661" s="1077"/>
      <c r="I7661" s="1077"/>
      <c r="J7661" s="1077"/>
      <c r="K7661" s="1077"/>
      <c r="L7661" s="1077"/>
      <c r="M7661" s="1077"/>
    </row>
    <row r="7662" spans="5:13">
      <c r="E7662" s="1077"/>
      <c r="F7662" s="1077"/>
      <c r="G7662" s="1077"/>
      <c r="H7662" s="1077"/>
      <c r="I7662" s="1077"/>
      <c r="J7662" s="1077"/>
      <c r="K7662" s="1077"/>
      <c r="L7662" s="1077"/>
      <c r="M7662" s="1077"/>
    </row>
    <row r="7663" spans="5:13">
      <c r="E7663" s="1077"/>
      <c r="F7663" s="1077"/>
      <c r="G7663" s="1077"/>
      <c r="H7663" s="1077"/>
      <c r="I7663" s="1077"/>
      <c r="J7663" s="1077"/>
      <c r="K7663" s="1077"/>
      <c r="L7663" s="1077"/>
      <c r="M7663" s="1077"/>
    </row>
    <row r="7664" spans="5:13">
      <c r="E7664" s="1077"/>
      <c r="F7664" s="1077"/>
      <c r="G7664" s="1077"/>
      <c r="H7664" s="1077"/>
      <c r="I7664" s="1077"/>
      <c r="J7664" s="1077"/>
      <c r="K7664" s="1077"/>
      <c r="L7664" s="1077"/>
      <c r="M7664" s="1077"/>
    </row>
    <row r="7665" spans="5:13">
      <c r="E7665" s="1077"/>
      <c r="F7665" s="1077"/>
      <c r="G7665" s="1077"/>
      <c r="H7665" s="1077"/>
      <c r="I7665" s="1077"/>
      <c r="J7665" s="1077"/>
      <c r="K7665" s="1077"/>
      <c r="L7665" s="1077"/>
      <c r="M7665" s="1077"/>
    </row>
    <row r="7666" spans="5:13">
      <c r="E7666" s="1077"/>
      <c r="F7666" s="1077"/>
      <c r="G7666" s="1077"/>
      <c r="H7666" s="1077"/>
      <c r="I7666" s="1077"/>
      <c r="J7666" s="1077"/>
      <c r="K7666" s="1077"/>
      <c r="L7666" s="1077"/>
      <c r="M7666" s="1077"/>
    </row>
    <row r="7667" spans="5:13">
      <c r="E7667" s="1077"/>
      <c r="F7667" s="1077"/>
      <c r="G7667" s="1077"/>
      <c r="H7667" s="1077"/>
      <c r="I7667" s="1077"/>
      <c r="J7667" s="1077"/>
      <c r="K7667" s="1077"/>
      <c r="L7667" s="1077"/>
      <c r="M7667" s="1077"/>
    </row>
    <row r="7668" spans="5:13">
      <c r="E7668" s="1077"/>
      <c r="F7668" s="1077"/>
      <c r="G7668" s="1077"/>
      <c r="H7668" s="1077"/>
      <c r="I7668" s="1077"/>
      <c r="J7668" s="1077"/>
      <c r="K7668" s="1077"/>
      <c r="L7668" s="1077"/>
      <c r="M7668" s="1077"/>
    </row>
    <row r="7669" spans="5:13">
      <c r="E7669" s="1077"/>
      <c r="F7669" s="1077"/>
      <c r="G7669" s="1077"/>
      <c r="H7669" s="1077"/>
      <c r="I7669" s="1077"/>
      <c r="J7669" s="1077"/>
      <c r="K7669" s="1077"/>
      <c r="L7669" s="1077"/>
      <c r="M7669" s="1077"/>
    </row>
    <row r="7670" spans="5:13">
      <c r="E7670" s="1077"/>
      <c r="F7670" s="1077"/>
      <c r="G7670" s="1077"/>
      <c r="H7670" s="1077"/>
      <c r="I7670" s="1077"/>
      <c r="J7670" s="1077"/>
      <c r="K7670" s="1077"/>
      <c r="L7670" s="1077"/>
      <c r="M7670" s="1077"/>
    </row>
    <row r="7671" spans="5:13">
      <c r="E7671" s="1077"/>
      <c r="F7671" s="1077"/>
      <c r="G7671" s="1077"/>
      <c r="H7671" s="1077"/>
      <c r="I7671" s="1077"/>
      <c r="J7671" s="1077"/>
      <c r="K7671" s="1077"/>
      <c r="L7671" s="1077"/>
      <c r="M7671" s="1077"/>
    </row>
    <row r="7672" spans="5:13">
      <c r="E7672" s="1077"/>
      <c r="F7672" s="1077"/>
      <c r="G7672" s="1077"/>
      <c r="H7672" s="1077"/>
      <c r="I7672" s="1077"/>
      <c r="J7672" s="1077"/>
      <c r="K7672" s="1077"/>
      <c r="L7672" s="1077"/>
      <c r="M7672" s="1077"/>
    </row>
    <row r="7673" spans="5:13">
      <c r="E7673" s="1077"/>
      <c r="F7673" s="1077"/>
      <c r="G7673" s="1077"/>
      <c r="H7673" s="1077"/>
      <c r="I7673" s="1077"/>
      <c r="J7673" s="1077"/>
      <c r="K7673" s="1077"/>
      <c r="L7673" s="1077"/>
      <c r="M7673" s="1077"/>
    </row>
    <row r="7674" spans="5:13">
      <c r="E7674" s="1077"/>
      <c r="F7674" s="1077"/>
      <c r="G7674" s="1077"/>
      <c r="H7674" s="1077"/>
      <c r="I7674" s="1077"/>
      <c r="J7674" s="1077"/>
      <c r="K7674" s="1077"/>
      <c r="L7674" s="1077"/>
      <c r="M7674" s="1077"/>
    </row>
    <row r="7675" spans="5:13">
      <c r="E7675" s="1077"/>
      <c r="F7675" s="1077"/>
      <c r="G7675" s="1077"/>
      <c r="H7675" s="1077"/>
      <c r="I7675" s="1077"/>
      <c r="J7675" s="1077"/>
      <c r="K7675" s="1077"/>
      <c r="L7675" s="1077"/>
      <c r="M7675" s="1077"/>
    </row>
    <row r="7676" spans="5:13">
      <c r="E7676" s="1077"/>
      <c r="F7676" s="1077"/>
      <c r="G7676" s="1077"/>
      <c r="H7676" s="1077"/>
      <c r="I7676" s="1077"/>
      <c r="J7676" s="1077"/>
      <c r="K7676" s="1077"/>
      <c r="L7676" s="1077"/>
      <c r="M7676" s="1077"/>
    </row>
    <row r="7677" spans="5:13">
      <c r="E7677" s="1077"/>
      <c r="F7677" s="1077"/>
      <c r="G7677" s="1077"/>
      <c r="H7677" s="1077"/>
      <c r="I7677" s="1077"/>
      <c r="J7677" s="1077"/>
      <c r="K7677" s="1077"/>
      <c r="L7677" s="1077"/>
      <c r="M7677" s="1077"/>
    </row>
    <row r="7678" spans="5:13">
      <c r="E7678" s="1077"/>
      <c r="F7678" s="1077"/>
      <c r="G7678" s="1077"/>
      <c r="H7678" s="1077"/>
      <c r="I7678" s="1077"/>
      <c r="J7678" s="1077"/>
      <c r="K7678" s="1077"/>
      <c r="L7678" s="1077"/>
      <c r="M7678" s="1077"/>
    </row>
    <row r="7679" spans="5:13">
      <c r="E7679" s="1077"/>
      <c r="F7679" s="1077"/>
      <c r="G7679" s="1077"/>
      <c r="H7679" s="1077"/>
      <c r="I7679" s="1077"/>
      <c r="J7679" s="1077"/>
      <c r="K7679" s="1077"/>
      <c r="L7679" s="1077"/>
      <c r="M7679" s="1077"/>
    </row>
    <row r="7680" spans="5:13">
      <c r="E7680" s="1077"/>
      <c r="F7680" s="1077"/>
      <c r="G7680" s="1077"/>
      <c r="H7680" s="1077"/>
      <c r="I7680" s="1077"/>
      <c r="J7680" s="1077"/>
      <c r="K7680" s="1077"/>
      <c r="L7680" s="1077"/>
      <c r="M7680" s="1077"/>
    </row>
    <row r="7681" spans="5:13">
      <c r="E7681" s="1077"/>
      <c r="F7681" s="1077"/>
      <c r="G7681" s="1077"/>
      <c r="H7681" s="1077"/>
      <c r="I7681" s="1077"/>
      <c r="J7681" s="1077"/>
      <c r="K7681" s="1077"/>
      <c r="L7681" s="1077"/>
      <c r="M7681" s="1077"/>
    </row>
    <row r="7682" spans="5:13">
      <c r="E7682" s="1077"/>
      <c r="F7682" s="1077"/>
      <c r="G7682" s="1077"/>
      <c r="H7682" s="1077"/>
      <c r="I7682" s="1077"/>
      <c r="J7682" s="1077"/>
      <c r="K7682" s="1077"/>
      <c r="L7682" s="1077"/>
      <c r="M7682" s="1077"/>
    </row>
    <row r="7683" spans="5:13">
      <c r="E7683" s="1077"/>
      <c r="F7683" s="1077"/>
      <c r="G7683" s="1077"/>
      <c r="H7683" s="1077"/>
      <c r="I7683" s="1077"/>
      <c r="J7683" s="1077"/>
      <c r="K7683" s="1077"/>
      <c r="L7683" s="1077"/>
      <c r="M7683" s="1077"/>
    </row>
    <row r="7684" spans="5:13">
      <c r="E7684" s="1077"/>
      <c r="F7684" s="1077"/>
      <c r="G7684" s="1077"/>
      <c r="H7684" s="1077"/>
      <c r="I7684" s="1077"/>
      <c r="J7684" s="1077"/>
      <c r="K7684" s="1077"/>
      <c r="L7684" s="1077"/>
      <c r="M7684" s="1077"/>
    </row>
    <row r="7685" spans="5:13">
      <c r="E7685" s="1077"/>
      <c r="F7685" s="1077"/>
      <c r="G7685" s="1077"/>
      <c r="H7685" s="1077"/>
      <c r="I7685" s="1077"/>
      <c r="J7685" s="1077"/>
      <c r="K7685" s="1077"/>
      <c r="L7685" s="1077"/>
      <c r="M7685" s="1077"/>
    </row>
    <row r="7686" spans="5:13">
      <c r="E7686" s="1077"/>
      <c r="F7686" s="1077"/>
      <c r="G7686" s="1077"/>
      <c r="H7686" s="1077"/>
      <c r="I7686" s="1077"/>
      <c r="J7686" s="1077"/>
      <c r="K7686" s="1077"/>
      <c r="L7686" s="1077"/>
      <c r="M7686" s="1077"/>
    </row>
    <row r="7687" spans="5:13">
      <c r="E7687" s="1077"/>
      <c r="F7687" s="1077"/>
      <c r="G7687" s="1077"/>
      <c r="H7687" s="1077"/>
      <c r="I7687" s="1077"/>
      <c r="J7687" s="1077"/>
      <c r="K7687" s="1077"/>
      <c r="L7687" s="1077"/>
      <c r="M7687" s="1077"/>
    </row>
    <row r="7688" spans="5:13">
      <c r="E7688" s="1077"/>
      <c r="F7688" s="1077"/>
      <c r="G7688" s="1077"/>
      <c r="H7688" s="1077"/>
      <c r="I7688" s="1077"/>
      <c r="J7688" s="1077"/>
      <c r="K7688" s="1077"/>
      <c r="L7688" s="1077"/>
      <c r="M7688" s="1077"/>
    </row>
    <row r="7689" spans="5:13">
      <c r="E7689" s="1077"/>
      <c r="F7689" s="1077"/>
      <c r="G7689" s="1077"/>
      <c r="H7689" s="1077"/>
      <c r="I7689" s="1077"/>
      <c r="J7689" s="1077"/>
      <c r="K7689" s="1077"/>
      <c r="L7689" s="1077"/>
      <c r="M7689" s="1077"/>
    </row>
    <row r="7690" spans="5:13">
      <c r="E7690" s="1077"/>
      <c r="F7690" s="1077"/>
      <c r="G7690" s="1077"/>
      <c r="H7690" s="1077"/>
      <c r="I7690" s="1077"/>
      <c r="J7690" s="1077"/>
      <c r="K7690" s="1077"/>
      <c r="L7690" s="1077"/>
      <c r="M7690" s="1077"/>
    </row>
    <row r="7691" spans="5:13">
      <c r="E7691" s="1077"/>
      <c r="F7691" s="1077"/>
      <c r="G7691" s="1077"/>
      <c r="H7691" s="1077"/>
      <c r="I7691" s="1077"/>
      <c r="J7691" s="1077"/>
      <c r="K7691" s="1077"/>
      <c r="L7691" s="1077"/>
      <c r="M7691" s="1077"/>
    </row>
    <row r="7692" spans="5:13">
      <c r="E7692" s="1077"/>
      <c r="F7692" s="1077"/>
      <c r="G7692" s="1077"/>
      <c r="H7692" s="1077"/>
      <c r="I7692" s="1077"/>
      <c r="J7692" s="1077"/>
      <c r="K7692" s="1077"/>
      <c r="L7692" s="1077"/>
      <c r="M7692" s="1077"/>
    </row>
    <row r="7693" spans="5:13">
      <c r="E7693" s="1077"/>
      <c r="F7693" s="1077"/>
      <c r="G7693" s="1077"/>
      <c r="H7693" s="1077"/>
      <c r="I7693" s="1077"/>
      <c r="J7693" s="1077"/>
      <c r="K7693" s="1077"/>
      <c r="L7693" s="1077"/>
      <c r="M7693" s="1077"/>
    </row>
    <row r="7694" spans="5:13">
      <c r="E7694" s="1077"/>
      <c r="F7694" s="1077"/>
      <c r="G7694" s="1077"/>
      <c r="H7694" s="1077"/>
      <c r="I7694" s="1077"/>
      <c r="J7694" s="1077"/>
      <c r="K7694" s="1077"/>
      <c r="L7694" s="1077"/>
      <c r="M7694" s="1077"/>
    </row>
    <row r="7695" spans="5:13">
      <c r="E7695" s="1077"/>
      <c r="F7695" s="1077"/>
      <c r="G7695" s="1077"/>
      <c r="H7695" s="1077"/>
      <c r="I7695" s="1077"/>
      <c r="J7695" s="1077"/>
      <c r="K7695" s="1077"/>
      <c r="L7695" s="1077"/>
      <c r="M7695" s="1077"/>
    </row>
    <row r="7696" spans="5:13">
      <c r="E7696" s="1077"/>
      <c r="F7696" s="1077"/>
      <c r="G7696" s="1077"/>
      <c r="H7696" s="1077"/>
      <c r="I7696" s="1077"/>
      <c r="J7696" s="1077"/>
      <c r="K7696" s="1077"/>
      <c r="L7696" s="1077"/>
      <c r="M7696" s="1077"/>
    </row>
    <row r="7697" spans="5:13">
      <c r="E7697" s="1077"/>
      <c r="F7697" s="1077"/>
      <c r="G7697" s="1077"/>
      <c r="H7697" s="1077"/>
      <c r="I7697" s="1077"/>
      <c r="J7697" s="1077"/>
      <c r="K7697" s="1077"/>
      <c r="L7697" s="1077"/>
      <c r="M7697" s="1077"/>
    </row>
    <row r="7698" spans="5:13">
      <c r="E7698" s="1077"/>
      <c r="F7698" s="1077"/>
      <c r="G7698" s="1077"/>
      <c r="H7698" s="1077"/>
      <c r="I7698" s="1077"/>
      <c r="J7698" s="1077"/>
      <c r="K7698" s="1077"/>
      <c r="L7698" s="1077"/>
      <c r="M7698" s="1077"/>
    </row>
    <row r="7699" spans="5:13">
      <c r="E7699" s="1077"/>
      <c r="F7699" s="1077"/>
      <c r="G7699" s="1077"/>
      <c r="H7699" s="1077"/>
      <c r="I7699" s="1077"/>
      <c r="J7699" s="1077"/>
      <c r="K7699" s="1077"/>
      <c r="L7699" s="1077"/>
      <c r="M7699" s="1077"/>
    </row>
    <row r="7700" spans="5:13">
      <c r="E7700" s="1077"/>
      <c r="F7700" s="1077"/>
      <c r="G7700" s="1077"/>
      <c r="H7700" s="1077"/>
      <c r="I7700" s="1077"/>
      <c r="J7700" s="1077"/>
      <c r="K7700" s="1077"/>
      <c r="L7700" s="1077"/>
      <c r="M7700" s="1077"/>
    </row>
    <row r="7701" spans="5:13">
      <c r="E7701" s="1077"/>
      <c r="F7701" s="1077"/>
      <c r="G7701" s="1077"/>
      <c r="H7701" s="1077"/>
      <c r="I7701" s="1077"/>
      <c r="J7701" s="1077"/>
      <c r="K7701" s="1077"/>
      <c r="L7701" s="1077"/>
      <c r="M7701" s="1077"/>
    </row>
    <row r="7702" spans="5:13">
      <c r="E7702" s="1077"/>
      <c r="F7702" s="1077"/>
      <c r="G7702" s="1077"/>
      <c r="H7702" s="1077"/>
      <c r="I7702" s="1077"/>
      <c r="J7702" s="1077"/>
      <c r="K7702" s="1077"/>
      <c r="L7702" s="1077"/>
      <c r="M7702" s="1077"/>
    </row>
    <row r="7703" spans="5:13">
      <c r="E7703" s="1077"/>
      <c r="F7703" s="1077"/>
      <c r="G7703" s="1077"/>
      <c r="H7703" s="1077"/>
      <c r="I7703" s="1077"/>
      <c r="J7703" s="1077"/>
      <c r="K7703" s="1077"/>
      <c r="L7703" s="1077"/>
      <c r="M7703" s="1077"/>
    </row>
    <row r="7704" spans="5:13">
      <c r="E7704" s="1077"/>
      <c r="F7704" s="1077"/>
      <c r="G7704" s="1077"/>
      <c r="H7704" s="1077"/>
      <c r="I7704" s="1077"/>
      <c r="J7704" s="1077"/>
      <c r="K7704" s="1077"/>
      <c r="L7704" s="1077"/>
      <c r="M7704" s="1077"/>
    </row>
    <row r="7705" spans="5:13">
      <c r="E7705" s="1077"/>
      <c r="F7705" s="1077"/>
      <c r="G7705" s="1077"/>
      <c r="H7705" s="1077"/>
      <c r="I7705" s="1077"/>
      <c r="J7705" s="1077"/>
      <c r="K7705" s="1077"/>
      <c r="L7705" s="1077"/>
      <c r="M7705" s="1077"/>
    </row>
    <row r="7706" spans="5:13">
      <c r="E7706" s="1077"/>
      <c r="F7706" s="1077"/>
      <c r="G7706" s="1077"/>
      <c r="H7706" s="1077"/>
      <c r="I7706" s="1077"/>
      <c r="J7706" s="1077"/>
      <c r="K7706" s="1077"/>
      <c r="L7706" s="1077"/>
      <c r="M7706" s="1077"/>
    </row>
    <row r="7707" spans="5:13">
      <c r="E7707" s="1077"/>
      <c r="F7707" s="1077"/>
      <c r="G7707" s="1077"/>
      <c r="H7707" s="1077"/>
      <c r="I7707" s="1077"/>
      <c r="J7707" s="1077"/>
      <c r="K7707" s="1077"/>
      <c r="L7707" s="1077"/>
      <c r="M7707" s="1077"/>
    </row>
    <row r="7708" spans="5:13">
      <c r="E7708" s="1077"/>
      <c r="F7708" s="1077"/>
      <c r="G7708" s="1077"/>
      <c r="H7708" s="1077"/>
      <c r="I7708" s="1077"/>
      <c r="J7708" s="1077"/>
      <c r="K7708" s="1077"/>
      <c r="L7708" s="1077"/>
      <c r="M7708" s="1077"/>
    </row>
    <row r="7709" spans="5:13">
      <c r="E7709" s="1077"/>
      <c r="F7709" s="1077"/>
      <c r="G7709" s="1077"/>
      <c r="H7709" s="1077"/>
      <c r="I7709" s="1077"/>
      <c r="J7709" s="1077"/>
      <c r="K7709" s="1077"/>
      <c r="L7709" s="1077"/>
      <c r="M7709" s="1077"/>
    </row>
    <row r="7710" spans="5:13">
      <c r="E7710" s="1077"/>
      <c r="F7710" s="1077"/>
      <c r="G7710" s="1077"/>
      <c r="H7710" s="1077"/>
      <c r="I7710" s="1077"/>
      <c r="J7710" s="1077"/>
      <c r="K7710" s="1077"/>
      <c r="L7710" s="1077"/>
      <c r="M7710" s="1077"/>
    </row>
    <row r="7711" spans="5:13">
      <c r="E7711" s="1077"/>
      <c r="F7711" s="1077"/>
      <c r="G7711" s="1077"/>
      <c r="H7711" s="1077"/>
      <c r="I7711" s="1077"/>
      <c r="J7711" s="1077"/>
      <c r="K7711" s="1077"/>
      <c r="L7711" s="1077"/>
      <c r="M7711" s="1077"/>
    </row>
    <row r="7712" spans="5:13">
      <c r="E7712" s="1077"/>
      <c r="F7712" s="1077"/>
      <c r="G7712" s="1077"/>
      <c r="H7712" s="1077"/>
      <c r="I7712" s="1077"/>
      <c r="J7712" s="1077"/>
      <c r="K7712" s="1077"/>
      <c r="L7712" s="1077"/>
      <c r="M7712" s="1077"/>
    </row>
    <row r="7713" spans="5:13">
      <c r="E7713" s="1077"/>
      <c r="F7713" s="1077"/>
      <c r="G7713" s="1077"/>
      <c r="H7713" s="1077"/>
      <c r="I7713" s="1077"/>
      <c r="J7713" s="1077"/>
      <c r="K7713" s="1077"/>
      <c r="L7713" s="1077"/>
      <c r="M7713" s="1077"/>
    </row>
    <row r="7714" spans="5:13">
      <c r="E7714" s="1077"/>
      <c r="F7714" s="1077"/>
      <c r="G7714" s="1077"/>
      <c r="H7714" s="1077"/>
      <c r="I7714" s="1077"/>
      <c r="J7714" s="1077"/>
      <c r="K7714" s="1077"/>
      <c r="L7714" s="1077"/>
      <c r="M7714" s="1077"/>
    </row>
    <row r="7715" spans="5:13">
      <c r="E7715" s="1077"/>
      <c r="F7715" s="1077"/>
      <c r="G7715" s="1077"/>
      <c r="H7715" s="1077"/>
      <c r="I7715" s="1077"/>
      <c r="J7715" s="1077"/>
      <c r="K7715" s="1077"/>
      <c r="L7715" s="1077"/>
      <c r="M7715" s="1077"/>
    </row>
    <row r="7716" spans="5:13">
      <c r="E7716" s="1077"/>
      <c r="F7716" s="1077"/>
      <c r="G7716" s="1077"/>
      <c r="H7716" s="1077"/>
      <c r="I7716" s="1077"/>
      <c r="J7716" s="1077"/>
      <c r="K7716" s="1077"/>
      <c r="L7716" s="1077"/>
      <c r="M7716" s="1077"/>
    </row>
    <row r="7717" spans="5:13">
      <c r="E7717" s="1077"/>
      <c r="F7717" s="1077"/>
      <c r="G7717" s="1077"/>
      <c r="H7717" s="1077"/>
      <c r="I7717" s="1077"/>
      <c r="J7717" s="1077"/>
      <c r="K7717" s="1077"/>
      <c r="L7717" s="1077"/>
      <c r="M7717" s="1077"/>
    </row>
    <row r="7718" spans="5:13">
      <c r="E7718" s="1077"/>
      <c r="F7718" s="1077"/>
      <c r="G7718" s="1077"/>
      <c r="H7718" s="1077"/>
      <c r="I7718" s="1077"/>
      <c r="J7718" s="1077"/>
      <c r="K7718" s="1077"/>
      <c r="L7718" s="1077"/>
      <c r="M7718" s="1077"/>
    </row>
    <row r="7719" spans="5:13">
      <c r="E7719" s="1077"/>
      <c r="F7719" s="1077"/>
      <c r="G7719" s="1077"/>
      <c r="H7719" s="1077"/>
      <c r="I7719" s="1077"/>
      <c r="J7719" s="1077"/>
      <c r="K7719" s="1077"/>
      <c r="L7719" s="1077"/>
      <c r="M7719" s="1077"/>
    </row>
    <row r="7720" spans="5:13">
      <c r="E7720" s="1077"/>
      <c r="F7720" s="1077"/>
      <c r="G7720" s="1077"/>
      <c r="H7720" s="1077"/>
      <c r="I7720" s="1077"/>
      <c r="J7720" s="1077"/>
      <c r="K7720" s="1077"/>
      <c r="L7720" s="1077"/>
      <c r="M7720" s="1077"/>
    </row>
    <row r="7721" spans="5:13">
      <c r="E7721" s="1077"/>
      <c r="F7721" s="1077"/>
      <c r="G7721" s="1077"/>
      <c r="H7721" s="1077"/>
      <c r="I7721" s="1077"/>
      <c r="J7721" s="1077"/>
      <c r="K7721" s="1077"/>
      <c r="L7721" s="1077"/>
      <c r="M7721" s="1077"/>
    </row>
    <row r="7722" spans="5:13">
      <c r="E7722" s="1077"/>
      <c r="F7722" s="1077"/>
      <c r="G7722" s="1077"/>
      <c r="H7722" s="1077"/>
      <c r="I7722" s="1077"/>
      <c r="J7722" s="1077"/>
      <c r="K7722" s="1077"/>
      <c r="L7722" s="1077"/>
      <c r="M7722" s="1077"/>
    </row>
    <row r="7723" spans="5:13">
      <c r="E7723" s="1077"/>
      <c r="F7723" s="1077"/>
      <c r="G7723" s="1077"/>
      <c r="H7723" s="1077"/>
      <c r="I7723" s="1077"/>
      <c r="J7723" s="1077"/>
      <c r="K7723" s="1077"/>
      <c r="L7723" s="1077"/>
      <c r="M7723" s="1077"/>
    </row>
    <row r="7724" spans="5:13">
      <c r="E7724" s="1077"/>
      <c r="F7724" s="1077"/>
      <c r="G7724" s="1077"/>
      <c r="H7724" s="1077"/>
      <c r="I7724" s="1077"/>
      <c r="J7724" s="1077"/>
      <c r="K7724" s="1077"/>
      <c r="L7724" s="1077"/>
      <c r="M7724" s="1077"/>
    </row>
    <row r="7725" spans="5:13">
      <c r="E7725" s="1077"/>
      <c r="F7725" s="1077"/>
      <c r="G7725" s="1077"/>
      <c r="H7725" s="1077"/>
      <c r="I7725" s="1077"/>
      <c r="J7725" s="1077"/>
      <c r="K7725" s="1077"/>
      <c r="L7725" s="1077"/>
      <c r="M7725" s="1077"/>
    </row>
    <row r="7726" spans="5:13">
      <c r="E7726" s="1077"/>
      <c r="F7726" s="1077"/>
      <c r="G7726" s="1077"/>
      <c r="H7726" s="1077"/>
      <c r="I7726" s="1077"/>
      <c r="J7726" s="1077"/>
      <c r="K7726" s="1077"/>
      <c r="L7726" s="1077"/>
      <c r="M7726" s="1077"/>
    </row>
    <row r="7727" spans="5:13">
      <c r="E7727" s="1077"/>
      <c r="F7727" s="1077"/>
      <c r="G7727" s="1077"/>
      <c r="H7727" s="1077"/>
      <c r="I7727" s="1077"/>
      <c r="J7727" s="1077"/>
      <c r="K7727" s="1077"/>
      <c r="L7727" s="1077"/>
      <c r="M7727" s="1077"/>
    </row>
    <row r="7728" spans="5:13">
      <c r="E7728" s="1077"/>
      <c r="F7728" s="1077"/>
      <c r="G7728" s="1077"/>
      <c r="H7728" s="1077"/>
      <c r="I7728" s="1077"/>
      <c r="J7728" s="1077"/>
      <c r="K7728" s="1077"/>
      <c r="L7728" s="1077"/>
      <c r="M7728" s="1077"/>
    </row>
    <row r="7729" spans="5:13">
      <c r="E7729" s="1077"/>
      <c r="F7729" s="1077"/>
      <c r="G7729" s="1077"/>
      <c r="H7729" s="1077"/>
      <c r="I7729" s="1077"/>
      <c r="J7729" s="1077"/>
      <c r="K7729" s="1077"/>
      <c r="L7729" s="1077"/>
      <c r="M7729" s="1077"/>
    </row>
    <row r="7730" spans="5:13">
      <c r="E7730" s="1077"/>
      <c r="F7730" s="1077"/>
      <c r="G7730" s="1077"/>
      <c r="H7730" s="1077"/>
      <c r="I7730" s="1077"/>
      <c r="J7730" s="1077"/>
      <c r="K7730" s="1077"/>
      <c r="L7730" s="1077"/>
      <c r="M7730" s="1077"/>
    </row>
    <row r="7731" spans="5:13">
      <c r="E7731" s="1077"/>
      <c r="F7731" s="1077"/>
      <c r="G7731" s="1077"/>
      <c r="H7731" s="1077"/>
      <c r="I7731" s="1077"/>
      <c r="J7731" s="1077"/>
      <c r="K7731" s="1077"/>
      <c r="L7731" s="1077"/>
      <c r="M7731" s="1077"/>
    </row>
    <row r="7732" spans="5:13">
      <c r="E7732" s="1077"/>
      <c r="F7732" s="1077"/>
      <c r="G7732" s="1077"/>
      <c r="H7732" s="1077"/>
      <c r="I7732" s="1077"/>
      <c r="J7732" s="1077"/>
      <c r="K7732" s="1077"/>
      <c r="L7732" s="1077"/>
      <c r="M7732" s="1077"/>
    </row>
    <row r="7733" spans="5:13">
      <c r="E7733" s="1077"/>
      <c r="F7733" s="1077"/>
      <c r="G7733" s="1077"/>
      <c r="H7733" s="1077"/>
      <c r="I7733" s="1077"/>
      <c r="J7733" s="1077"/>
      <c r="K7733" s="1077"/>
      <c r="L7733" s="1077"/>
      <c r="M7733" s="1077"/>
    </row>
    <row r="7734" spans="5:13">
      <c r="E7734" s="1077"/>
      <c r="F7734" s="1077"/>
      <c r="G7734" s="1077"/>
      <c r="H7734" s="1077"/>
      <c r="I7734" s="1077"/>
      <c r="J7734" s="1077"/>
      <c r="K7734" s="1077"/>
      <c r="L7734" s="1077"/>
      <c r="M7734" s="1077"/>
    </row>
    <row r="7735" spans="5:13">
      <c r="E7735" s="1077"/>
      <c r="F7735" s="1077"/>
      <c r="G7735" s="1077"/>
      <c r="H7735" s="1077"/>
      <c r="I7735" s="1077"/>
      <c r="J7735" s="1077"/>
      <c r="K7735" s="1077"/>
      <c r="L7735" s="1077"/>
      <c r="M7735" s="1077"/>
    </row>
    <row r="7736" spans="5:13">
      <c r="E7736" s="1077"/>
      <c r="F7736" s="1077"/>
      <c r="G7736" s="1077"/>
      <c r="H7736" s="1077"/>
      <c r="I7736" s="1077"/>
      <c r="J7736" s="1077"/>
      <c r="K7736" s="1077"/>
      <c r="L7736" s="1077"/>
      <c r="M7736" s="1077"/>
    </row>
    <row r="7737" spans="5:13">
      <c r="E7737" s="1077"/>
      <c r="F7737" s="1077"/>
      <c r="G7737" s="1077"/>
      <c r="H7737" s="1077"/>
      <c r="I7737" s="1077"/>
      <c r="J7737" s="1077"/>
      <c r="K7737" s="1077"/>
      <c r="L7737" s="1077"/>
      <c r="M7737" s="1077"/>
    </row>
    <row r="7738" spans="5:13">
      <c r="E7738" s="1077"/>
      <c r="F7738" s="1077"/>
      <c r="G7738" s="1077"/>
      <c r="H7738" s="1077"/>
      <c r="I7738" s="1077"/>
      <c r="J7738" s="1077"/>
      <c r="K7738" s="1077"/>
      <c r="L7738" s="1077"/>
      <c r="M7738" s="1077"/>
    </row>
    <row r="7739" spans="5:13">
      <c r="E7739" s="1077"/>
      <c r="F7739" s="1077"/>
      <c r="G7739" s="1077"/>
      <c r="H7739" s="1077"/>
      <c r="I7739" s="1077"/>
      <c r="J7739" s="1077"/>
      <c r="K7739" s="1077"/>
      <c r="L7739" s="1077"/>
      <c r="M7739" s="1077"/>
    </row>
    <row r="7740" spans="5:13">
      <c r="E7740" s="1077"/>
      <c r="F7740" s="1077"/>
      <c r="G7740" s="1077"/>
      <c r="H7740" s="1077"/>
      <c r="I7740" s="1077"/>
      <c r="J7740" s="1077"/>
      <c r="K7740" s="1077"/>
      <c r="L7740" s="1077"/>
      <c r="M7740" s="1077"/>
    </row>
    <row r="7741" spans="5:13">
      <c r="E7741" s="1077"/>
      <c r="F7741" s="1077"/>
      <c r="G7741" s="1077"/>
      <c r="H7741" s="1077"/>
      <c r="I7741" s="1077"/>
      <c r="J7741" s="1077"/>
      <c r="K7741" s="1077"/>
      <c r="L7741" s="1077"/>
      <c r="M7741" s="1077"/>
    </row>
    <row r="7742" spans="5:13">
      <c r="E7742" s="1077"/>
      <c r="F7742" s="1077"/>
      <c r="G7742" s="1077"/>
      <c r="H7742" s="1077"/>
      <c r="I7742" s="1077"/>
      <c r="J7742" s="1077"/>
      <c r="K7742" s="1077"/>
      <c r="L7742" s="1077"/>
      <c r="M7742" s="1077"/>
    </row>
    <row r="7743" spans="5:13">
      <c r="E7743" s="1077"/>
      <c r="F7743" s="1077"/>
      <c r="G7743" s="1077"/>
      <c r="H7743" s="1077"/>
      <c r="I7743" s="1077"/>
      <c r="J7743" s="1077"/>
      <c r="K7743" s="1077"/>
      <c r="L7743" s="1077"/>
      <c r="M7743" s="1077"/>
    </row>
    <row r="7744" spans="5:13">
      <c r="E7744" s="1077"/>
      <c r="F7744" s="1077"/>
      <c r="G7744" s="1077"/>
      <c r="H7744" s="1077"/>
      <c r="I7744" s="1077"/>
      <c r="J7744" s="1077"/>
      <c r="K7744" s="1077"/>
      <c r="L7744" s="1077"/>
      <c r="M7744" s="1077"/>
    </row>
    <row r="7745" spans="5:13">
      <c r="E7745" s="1077"/>
      <c r="F7745" s="1077"/>
      <c r="G7745" s="1077"/>
      <c r="H7745" s="1077"/>
      <c r="I7745" s="1077"/>
      <c r="J7745" s="1077"/>
      <c r="K7745" s="1077"/>
      <c r="L7745" s="1077"/>
      <c r="M7745" s="1077"/>
    </row>
    <row r="7746" spans="5:13">
      <c r="E7746" s="1077"/>
      <c r="F7746" s="1077"/>
      <c r="G7746" s="1077"/>
      <c r="H7746" s="1077"/>
      <c r="I7746" s="1077"/>
      <c r="J7746" s="1077"/>
      <c r="K7746" s="1077"/>
      <c r="L7746" s="1077"/>
      <c r="M7746" s="1077"/>
    </row>
    <row r="7747" spans="5:13">
      <c r="E7747" s="1077"/>
      <c r="F7747" s="1077"/>
      <c r="G7747" s="1077"/>
      <c r="H7747" s="1077"/>
      <c r="I7747" s="1077"/>
      <c r="J7747" s="1077"/>
      <c r="K7747" s="1077"/>
      <c r="L7747" s="1077"/>
      <c r="M7747" s="1077"/>
    </row>
    <row r="7748" spans="5:13">
      <c r="E7748" s="1077"/>
      <c r="F7748" s="1077"/>
      <c r="G7748" s="1077"/>
      <c r="H7748" s="1077"/>
      <c r="I7748" s="1077"/>
      <c r="J7748" s="1077"/>
      <c r="K7748" s="1077"/>
      <c r="L7748" s="1077"/>
      <c r="M7748" s="1077"/>
    </row>
    <row r="7749" spans="5:13">
      <c r="E7749" s="1077"/>
      <c r="F7749" s="1077"/>
      <c r="G7749" s="1077"/>
      <c r="H7749" s="1077"/>
      <c r="I7749" s="1077"/>
      <c r="J7749" s="1077"/>
      <c r="K7749" s="1077"/>
      <c r="L7749" s="1077"/>
      <c r="M7749" s="1077"/>
    </row>
    <row r="7750" spans="5:13">
      <c r="E7750" s="1077"/>
      <c r="F7750" s="1077"/>
      <c r="G7750" s="1077"/>
      <c r="H7750" s="1077"/>
      <c r="I7750" s="1077"/>
      <c r="J7750" s="1077"/>
      <c r="K7750" s="1077"/>
      <c r="L7750" s="1077"/>
      <c r="M7750" s="1077"/>
    </row>
    <row r="7751" spans="5:13">
      <c r="E7751" s="1077"/>
      <c r="F7751" s="1077"/>
      <c r="G7751" s="1077"/>
      <c r="H7751" s="1077"/>
      <c r="I7751" s="1077"/>
      <c r="J7751" s="1077"/>
      <c r="K7751" s="1077"/>
      <c r="L7751" s="1077"/>
      <c r="M7751" s="1077"/>
    </row>
    <row r="7752" spans="5:13">
      <c r="E7752" s="1077"/>
      <c r="F7752" s="1077"/>
      <c r="G7752" s="1077"/>
      <c r="H7752" s="1077"/>
      <c r="I7752" s="1077"/>
      <c r="J7752" s="1077"/>
      <c r="K7752" s="1077"/>
      <c r="L7752" s="1077"/>
      <c r="M7752" s="1077"/>
    </row>
    <row r="7753" spans="5:13">
      <c r="E7753" s="1077"/>
      <c r="F7753" s="1077"/>
      <c r="G7753" s="1077"/>
      <c r="H7753" s="1077"/>
      <c r="I7753" s="1077"/>
      <c r="J7753" s="1077"/>
      <c r="K7753" s="1077"/>
      <c r="L7753" s="1077"/>
      <c r="M7753" s="1077"/>
    </row>
    <row r="7754" spans="5:13">
      <c r="E7754" s="1077"/>
      <c r="F7754" s="1077"/>
      <c r="G7754" s="1077"/>
      <c r="H7754" s="1077"/>
      <c r="I7754" s="1077"/>
      <c r="J7754" s="1077"/>
      <c r="K7754" s="1077"/>
      <c r="L7754" s="1077"/>
      <c r="M7754" s="1077"/>
    </row>
    <row r="7755" spans="5:13">
      <c r="E7755" s="1077"/>
      <c r="F7755" s="1077"/>
      <c r="G7755" s="1077"/>
      <c r="H7755" s="1077"/>
      <c r="I7755" s="1077"/>
      <c r="J7755" s="1077"/>
      <c r="K7755" s="1077"/>
      <c r="L7755" s="1077"/>
      <c r="M7755" s="1077"/>
    </row>
    <row r="7756" spans="5:13">
      <c r="E7756" s="1077"/>
      <c r="F7756" s="1077"/>
      <c r="G7756" s="1077"/>
      <c r="H7756" s="1077"/>
      <c r="I7756" s="1077"/>
      <c r="J7756" s="1077"/>
      <c r="K7756" s="1077"/>
      <c r="L7756" s="1077"/>
      <c r="M7756" s="1077"/>
    </row>
    <row r="7757" spans="5:13">
      <c r="E7757" s="1077"/>
      <c r="F7757" s="1077"/>
      <c r="G7757" s="1077"/>
      <c r="H7757" s="1077"/>
      <c r="I7757" s="1077"/>
      <c r="J7757" s="1077"/>
      <c r="K7757" s="1077"/>
      <c r="L7757" s="1077"/>
      <c r="M7757" s="1077"/>
    </row>
    <row r="7758" spans="5:13">
      <c r="E7758" s="1077"/>
      <c r="F7758" s="1077"/>
      <c r="G7758" s="1077"/>
      <c r="H7758" s="1077"/>
      <c r="I7758" s="1077"/>
      <c r="J7758" s="1077"/>
      <c r="K7758" s="1077"/>
      <c r="L7758" s="1077"/>
      <c r="M7758" s="1077"/>
    </row>
    <row r="7759" spans="5:13">
      <c r="E7759" s="1077"/>
      <c r="F7759" s="1077"/>
      <c r="G7759" s="1077"/>
      <c r="H7759" s="1077"/>
      <c r="I7759" s="1077"/>
      <c r="J7759" s="1077"/>
      <c r="K7759" s="1077"/>
      <c r="L7759" s="1077"/>
      <c r="M7759" s="1077"/>
    </row>
    <row r="7760" spans="5:13">
      <c r="E7760" s="1077"/>
      <c r="F7760" s="1077"/>
      <c r="G7760" s="1077"/>
      <c r="H7760" s="1077"/>
      <c r="I7760" s="1077"/>
      <c r="J7760" s="1077"/>
      <c r="K7760" s="1077"/>
      <c r="L7760" s="1077"/>
      <c r="M7760" s="1077"/>
    </row>
    <row r="7761" spans="5:13">
      <c r="E7761" s="1077"/>
      <c r="F7761" s="1077"/>
      <c r="G7761" s="1077"/>
      <c r="H7761" s="1077"/>
      <c r="I7761" s="1077"/>
      <c r="J7761" s="1077"/>
      <c r="K7761" s="1077"/>
      <c r="L7761" s="1077"/>
      <c r="M7761" s="1077"/>
    </row>
    <row r="7762" spans="5:13">
      <c r="E7762" s="1077"/>
      <c r="F7762" s="1077"/>
      <c r="G7762" s="1077"/>
      <c r="H7762" s="1077"/>
      <c r="I7762" s="1077"/>
      <c r="J7762" s="1077"/>
      <c r="K7762" s="1077"/>
      <c r="L7762" s="1077"/>
      <c r="M7762" s="1077"/>
    </row>
    <row r="7763" spans="5:13">
      <c r="E7763" s="1077"/>
      <c r="F7763" s="1077"/>
      <c r="G7763" s="1077"/>
      <c r="H7763" s="1077"/>
      <c r="I7763" s="1077"/>
      <c r="J7763" s="1077"/>
      <c r="K7763" s="1077"/>
      <c r="L7763" s="1077"/>
      <c r="M7763" s="1077"/>
    </row>
    <row r="7764" spans="5:13">
      <c r="E7764" s="1077"/>
      <c r="F7764" s="1077"/>
      <c r="G7764" s="1077"/>
      <c r="H7764" s="1077"/>
      <c r="I7764" s="1077"/>
      <c r="J7764" s="1077"/>
      <c r="K7764" s="1077"/>
      <c r="L7764" s="1077"/>
      <c r="M7764" s="1077"/>
    </row>
    <row r="7765" spans="5:13">
      <c r="E7765" s="1077"/>
      <c r="F7765" s="1077"/>
      <c r="G7765" s="1077"/>
      <c r="H7765" s="1077"/>
      <c r="I7765" s="1077"/>
      <c r="J7765" s="1077"/>
      <c r="K7765" s="1077"/>
      <c r="L7765" s="1077"/>
      <c r="M7765" s="1077"/>
    </row>
    <row r="7766" spans="5:13">
      <c r="E7766" s="1077"/>
      <c r="F7766" s="1077"/>
      <c r="G7766" s="1077"/>
      <c r="H7766" s="1077"/>
      <c r="I7766" s="1077"/>
      <c r="J7766" s="1077"/>
      <c r="K7766" s="1077"/>
      <c r="L7766" s="1077"/>
      <c r="M7766" s="1077"/>
    </row>
    <row r="7767" spans="5:13">
      <c r="E7767" s="1077"/>
      <c r="F7767" s="1077"/>
      <c r="G7767" s="1077"/>
      <c r="H7767" s="1077"/>
      <c r="I7767" s="1077"/>
      <c r="J7767" s="1077"/>
      <c r="K7767" s="1077"/>
      <c r="L7767" s="1077"/>
      <c r="M7767" s="1077"/>
    </row>
    <row r="7768" spans="5:13">
      <c r="E7768" s="1077"/>
      <c r="F7768" s="1077"/>
      <c r="G7768" s="1077"/>
      <c r="H7768" s="1077"/>
      <c r="I7768" s="1077"/>
      <c r="J7768" s="1077"/>
      <c r="K7768" s="1077"/>
      <c r="L7768" s="1077"/>
      <c r="M7768" s="1077"/>
    </row>
    <row r="7769" spans="5:13">
      <c r="E7769" s="1077"/>
      <c r="F7769" s="1077"/>
      <c r="G7769" s="1077"/>
      <c r="H7769" s="1077"/>
      <c r="I7769" s="1077"/>
      <c r="J7769" s="1077"/>
      <c r="K7769" s="1077"/>
      <c r="L7769" s="1077"/>
      <c r="M7769" s="1077"/>
    </row>
    <row r="7770" spans="5:13">
      <c r="E7770" s="1077"/>
      <c r="F7770" s="1077"/>
      <c r="G7770" s="1077"/>
      <c r="H7770" s="1077"/>
      <c r="I7770" s="1077"/>
      <c r="J7770" s="1077"/>
      <c r="K7770" s="1077"/>
      <c r="L7770" s="1077"/>
      <c r="M7770" s="1077"/>
    </row>
    <row r="7771" spans="5:13">
      <c r="E7771" s="1077"/>
      <c r="F7771" s="1077"/>
      <c r="G7771" s="1077"/>
      <c r="H7771" s="1077"/>
      <c r="I7771" s="1077"/>
      <c r="J7771" s="1077"/>
      <c r="K7771" s="1077"/>
      <c r="L7771" s="1077"/>
      <c r="M7771" s="1077"/>
    </row>
    <row r="7772" spans="5:13">
      <c r="E7772" s="1077"/>
      <c r="F7772" s="1077"/>
      <c r="G7772" s="1077"/>
      <c r="H7772" s="1077"/>
      <c r="I7772" s="1077"/>
      <c r="J7772" s="1077"/>
      <c r="K7772" s="1077"/>
      <c r="L7772" s="1077"/>
      <c r="M7772" s="1077"/>
    </row>
    <row r="7773" spans="5:13">
      <c r="E7773" s="1077"/>
      <c r="F7773" s="1077"/>
      <c r="G7773" s="1077"/>
      <c r="H7773" s="1077"/>
      <c r="I7773" s="1077"/>
      <c r="J7773" s="1077"/>
      <c r="K7773" s="1077"/>
      <c r="L7773" s="1077"/>
      <c r="M7773" s="1077"/>
    </row>
    <row r="7774" spans="5:13">
      <c r="E7774" s="1077"/>
      <c r="F7774" s="1077"/>
      <c r="G7774" s="1077"/>
      <c r="H7774" s="1077"/>
      <c r="I7774" s="1077"/>
      <c r="J7774" s="1077"/>
      <c r="K7774" s="1077"/>
      <c r="L7774" s="1077"/>
      <c r="M7774" s="1077"/>
    </row>
    <row r="7775" spans="5:13">
      <c r="E7775" s="1077"/>
      <c r="F7775" s="1077"/>
      <c r="G7775" s="1077"/>
      <c r="H7775" s="1077"/>
      <c r="I7775" s="1077"/>
      <c r="J7775" s="1077"/>
      <c r="K7775" s="1077"/>
      <c r="L7775" s="1077"/>
      <c r="M7775" s="1077"/>
    </row>
    <row r="7776" spans="5:13">
      <c r="E7776" s="1077"/>
      <c r="F7776" s="1077"/>
      <c r="G7776" s="1077"/>
      <c r="H7776" s="1077"/>
      <c r="I7776" s="1077"/>
      <c r="J7776" s="1077"/>
      <c r="K7776" s="1077"/>
      <c r="L7776" s="1077"/>
      <c r="M7776" s="1077"/>
    </row>
    <row r="7777" spans="5:13">
      <c r="E7777" s="1077"/>
      <c r="F7777" s="1077"/>
      <c r="G7777" s="1077"/>
      <c r="H7777" s="1077"/>
      <c r="I7777" s="1077"/>
      <c r="J7777" s="1077"/>
      <c r="K7777" s="1077"/>
      <c r="L7777" s="1077"/>
      <c r="M7777" s="1077"/>
    </row>
    <row r="7778" spans="5:13">
      <c r="E7778" s="1077"/>
      <c r="F7778" s="1077"/>
      <c r="G7778" s="1077"/>
      <c r="H7778" s="1077"/>
      <c r="I7778" s="1077"/>
      <c r="J7778" s="1077"/>
      <c r="K7778" s="1077"/>
      <c r="L7778" s="1077"/>
      <c r="M7778" s="1077"/>
    </row>
    <row r="7779" spans="5:13">
      <c r="E7779" s="1077"/>
      <c r="F7779" s="1077"/>
      <c r="G7779" s="1077"/>
      <c r="H7779" s="1077"/>
      <c r="I7779" s="1077"/>
      <c r="J7779" s="1077"/>
      <c r="K7779" s="1077"/>
      <c r="L7779" s="1077"/>
      <c r="M7779" s="1077"/>
    </row>
    <row r="7780" spans="5:13">
      <c r="E7780" s="1077"/>
      <c r="F7780" s="1077"/>
      <c r="G7780" s="1077"/>
      <c r="H7780" s="1077"/>
      <c r="I7780" s="1077"/>
      <c r="J7780" s="1077"/>
      <c r="K7780" s="1077"/>
      <c r="L7780" s="1077"/>
      <c r="M7780" s="1077"/>
    </row>
    <row r="7781" spans="5:13">
      <c r="E7781" s="1077"/>
      <c r="F7781" s="1077"/>
      <c r="G7781" s="1077"/>
      <c r="H7781" s="1077"/>
      <c r="I7781" s="1077"/>
      <c r="J7781" s="1077"/>
      <c r="K7781" s="1077"/>
      <c r="L7781" s="1077"/>
      <c r="M7781" s="1077"/>
    </row>
    <row r="7782" spans="5:13">
      <c r="E7782" s="1077"/>
      <c r="F7782" s="1077"/>
      <c r="G7782" s="1077"/>
      <c r="H7782" s="1077"/>
      <c r="I7782" s="1077"/>
      <c r="J7782" s="1077"/>
      <c r="K7782" s="1077"/>
      <c r="L7782" s="1077"/>
      <c r="M7782" s="1077"/>
    </row>
    <row r="7783" spans="5:13">
      <c r="E7783" s="1077"/>
      <c r="F7783" s="1077"/>
      <c r="G7783" s="1077"/>
      <c r="H7783" s="1077"/>
      <c r="I7783" s="1077"/>
      <c r="J7783" s="1077"/>
      <c r="K7783" s="1077"/>
      <c r="L7783" s="1077"/>
      <c r="M7783" s="1077"/>
    </row>
    <row r="7784" spans="5:13">
      <c r="E7784" s="1077"/>
      <c r="F7784" s="1077"/>
      <c r="G7784" s="1077"/>
      <c r="H7784" s="1077"/>
      <c r="I7784" s="1077"/>
      <c r="J7784" s="1077"/>
      <c r="K7784" s="1077"/>
      <c r="L7784" s="1077"/>
      <c r="M7784" s="1077"/>
    </row>
    <row r="7785" spans="5:13">
      <c r="E7785" s="1077"/>
      <c r="F7785" s="1077"/>
      <c r="G7785" s="1077"/>
      <c r="H7785" s="1077"/>
      <c r="I7785" s="1077"/>
      <c r="J7785" s="1077"/>
      <c r="K7785" s="1077"/>
      <c r="L7785" s="1077"/>
      <c r="M7785" s="1077"/>
    </row>
    <row r="7786" spans="5:13">
      <c r="E7786" s="1077"/>
      <c r="F7786" s="1077"/>
      <c r="G7786" s="1077"/>
      <c r="H7786" s="1077"/>
      <c r="I7786" s="1077"/>
      <c r="J7786" s="1077"/>
      <c r="K7786" s="1077"/>
      <c r="L7786" s="1077"/>
      <c r="M7786" s="1077"/>
    </row>
    <row r="7787" spans="5:13">
      <c r="E7787" s="1077"/>
      <c r="F7787" s="1077"/>
      <c r="G7787" s="1077"/>
      <c r="H7787" s="1077"/>
      <c r="I7787" s="1077"/>
      <c r="J7787" s="1077"/>
      <c r="K7787" s="1077"/>
      <c r="L7787" s="1077"/>
      <c r="M7787" s="1077"/>
    </row>
    <row r="7788" spans="5:13">
      <c r="E7788" s="1077"/>
      <c r="F7788" s="1077"/>
      <c r="G7788" s="1077"/>
      <c r="H7788" s="1077"/>
      <c r="I7788" s="1077"/>
      <c r="J7788" s="1077"/>
      <c r="K7788" s="1077"/>
      <c r="L7788" s="1077"/>
      <c r="M7788" s="1077"/>
    </row>
    <row r="7789" spans="5:13">
      <c r="E7789" s="1077"/>
      <c r="F7789" s="1077"/>
      <c r="G7789" s="1077"/>
      <c r="H7789" s="1077"/>
      <c r="I7789" s="1077"/>
      <c r="J7789" s="1077"/>
      <c r="K7789" s="1077"/>
      <c r="L7789" s="1077"/>
      <c r="M7789" s="1077"/>
    </row>
    <row r="7790" spans="5:13">
      <c r="E7790" s="1077"/>
      <c r="F7790" s="1077"/>
      <c r="G7790" s="1077"/>
      <c r="H7790" s="1077"/>
      <c r="I7790" s="1077"/>
      <c r="J7790" s="1077"/>
      <c r="K7790" s="1077"/>
      <c r="L7790" s="1077"/>
      <c r="M7790" s="1077"/>
    </row>
    <row r="7791" spans="5:13">
      <c r="E7791" s="1077"/>
      <c r="F7791" s="1077"/>
      <c r="G7791" s="1077"/>
      <c r="H7791" s="1077"/>
      <c r="I7791" s="1077"/>
      <c r="J7791" s="1077"/>
      <c r="K7791" s="1077"/>
      <c r="L7791" s="1077"/>
      <c r="M7791" s="1077"/>
    </row>
    <row r="7792" spans="5:13">
      <c r="E7792" s="1077"/>
      <c r="F7792" s="1077"/>
      <c r="G7792" s="1077"/>
      <c r="H7792" s="1077"/>
      <c r="I7792" s="1077"/>
      <c r="J7792" s="1077"/>
      <c r="K7792" s="1077"/>
      <c r="L7792" s="1077"/>
      <c r="M7792" s="1077"/>
    </row>
    <row r="7793" spans="5:13">
      <c r="E7793" s="1077"/>
      <c r="F7793" s="1077"/>
      <c r="G7793" s="1077"/>
      <c r="H7793" s="1077"/>
      <c r="I7793" s="1077"/>
      <c r="J7793" s="1077"/>
      <c r="K7793" s="1077"/>
      <c r="L7793" s="1077"/>
      <c r="M7793" s="1077"/>
    </row>
    <row r="7794" spans="5:13">
      <c r="E7794" s="1077"/>
      <c r="F7794" s="1077"/>
      <c r="G7794" s="1077"/>
      <c r="H7794" s="1077"/>
      <c r="I7794" s="1077"/>
      <c r="J7794" s="1077"/>
      <c r="K7794" s="1077"/>
      <c r="L7794" s="1077"/>
      <c r="M7794" s="1077"/>
    </row>
    <row r="7795" spans="5:13">
      <c r="E7795" s="1077"/>
      <c r="F7795" s="1077"/>
      <c r="G7795" s="1077"/>
      <c r="H7795" s="1077"/>
      <c r="I7795" s="1077"/>
      <c r="J7795" s="1077"/>
      <c r="K7795" s="1077"/>
      <c r="L7795" s="1077"/>
      <c r="M7795" s="1077"/>
    </row>
    <row r="7796" spans="5:13">
      <c r="E7796" s="1077"/>
      <c r="F7796" s="1077"/>
      <c r="G7796" s="1077"/>
      <c r="H7796" s="1077"/>
      <c r="I7796" s="1077"/>
      <c r="J7796" s="1077"/>
      <c r="K7796" s="1077"/>
      <c r="L7796" s="1077"/>
      <c r="M7796" s="1077"/>
    </row>
    <row r="7797" spans="5:13">
      <c r="E7797" s="1077"/>
      <c r="F7797" s="1077"/>
      <c r="G7797" s="1077"/>
      <c r="H7797" s="1077"/>
      <c r="I7797" s="1077"/>
      <c r="J7797" s="1077"/>
      <c r="K7797" s="1077"/>
      <c r="L7797" s="1077"/>
      <c r="M7797" s="1077"/>
    </row>
    <row r="7798" spans="5:13">
      <c r="E7798" s="1077"/>
      <c r="F7798" s="1077"/>
      <c r="G7798" s="1077"/>
      <c r="H7798" s="1077"/>
      <c r="I7798" s="1077"/>
      <c r="J7798" s="1077"/>
      <c r="K7798" s="1077"/>
      <c r="L7798" s="1077"/>
      <c r="M7798" s="1077"/>
    </row>
    <row r="7799" spans="5:13">
      <c r="E7799" s="1077"/>
      <c r="F7799" s="1077"/>
      <c r="G7799" s="1077"/>
      <c r="H7799" s="1077"/>
      <c r="I7799" s="1077"/>
      <c r="J7799" s="1077"/>
      <c r="K7799" s="1077"/>
      <c r="L7799" s="1077"/>
      <c r="M7799" s="1077"/>
    </row>
    <row r="7800" spans="5:13">
      <c r="E7800" s="1077"/>
      <c r="F7800" s="1077"/>
      <c r="G7800" s="1077"/>
      <c r="H7800" s="1077"/>
      <c r="I7800" s="1077"/>
      <c r="J7800" s="1077"/>
      <c r="K7800" s="1077"/>
      <c r="L7800" s="1077"/>
      <c r="M7800" s="1077"/>
    </row>
    <row r="7801" spans="5:13">
      <c r="E7801" s="1077"/>
      <c r="F7801" s="1077"/>
      <c r="G7801" s="1077"/>
      <c r="H7801" s="1077"/>
      <c r="I7801" s="1077"/>
      <c r="J7801" s="1077"/>
      <c r="K7801" s="1077"/>
      <c r="L7801" s="1077"/>
      <c r="M7801" s="1077"/>
    </row>
    <row r="7802" spans="5:13">
      <c r="E7802" s="1077"/>
      <c r="F7802" s="1077"/>
      <c r="G7802" s="1077"/>
      <c r="H7802" s="1077"/>
      <c r="I7802" s="1077"/>
      <c r="J7802" s="1077"/>
      <c r="K7802" s="1077"/>
      <c r="L7802" s="1077"/>
      <c r="M7802" s="1077"/>
    </row>
    <row r="7803" spans="5:13">
      <c r="E7803" s="1077"/>
      <c r="F7803" s="1077"/>
      <c r="G7803" s="1077"/>
      <c r="H7803" s="1077"/>
      <c r="I7803" s="1077"/>
      <c r="J7803" s="1077"/>
      <c r="K7803" s="1077"/>
      <c r="L7803" s="1077"/>
      <c r="M7803" s="1077"/>
    </row>
    <row r="7804" spans="5:13">
      <c r="E7804" s="1077"/>
      <c r="F7804" s="1077"/>
      <c r="G7804" s="1077"/>
      <c r="H7804" s="1077"/>
      <c r="I7804" s="1077"/>
      <c r="J7804" s="1077"/>
      <c r="K7804" s="1077"/>
      <c r="L7804" s="1077"/>
      <c r="M7804" s="1077"/>
    </row>
    <row r="7805" spans="5:13">
      <c r="E7805" s="1077"/>
      <c r="F7805" s="1077"/>
      <c r="G7805" s="1077"/>
      <c r="H7805" s="1077"/>
      <c r="I7805" s="1077"/>
      <c r="J7805" s="1077"/>
      <c r="K7805" s="1077"/>
      <c r="L7805" s="1077"/>
      <c r="M7805" s="1077"/>
    </row>
    <row r="7806" spans="5:13">
      <c r="E7806" s="1077"/>
      <c r="F7806" s="1077"/>
      <c r="G7806" s="1077"/>
      <c r="H7806" s="1077"/>
      <c r="I7806" s="1077"/>
      <c r="J7806" s="1077"/>
      <c r="K7806" s="1077"/>
      <c r="L7806" s="1077"/>
      <c r="M7806" s="1077"/>
    </row>
    <row r="7807" spans="5:13">
      <c r="E7807" s="1077"/>
      <c r="F7807" s="1077"/>
      <c r="G7807" s="1077"/>
      <c r="H7807" s="1077"/>
      <c r="I7807" s="1077"/>
      <c r="J7807" s="1077"/>
      <c r="K7807" s="1077"/>
      <c r="L7807" s="1077"/>
      <c r="M7807" s="1077"/>
    </row>
    <row r="7808" spans="5:13">
      <c r="E7808" s="1077"/>
      <c r="F7808" s="1077"/>
      <c r="G7808" s="1077"/>
      <c r="H7808" s="1077"/>
      <c r="I7808" s="1077"/>
      <c r="J7808" s="1077"/>
      <c r="K7808" s="1077"/>
      <c r="L7808" s="1077"/>
      <c r="M7808" s="1077"/>
    </row>
    <row r="7809" spans="5:13">
      <c r="E7809" s="1077"/>
      <c r="F7809" s="1077"/>
      <c r="G7809" s="1077"/>
      <c r="H7809" s="1077"/>
      <c r="I7809" s="1077"/>
      <c r="J7809" s="1077"/>
      <c r="K7809" s="1077"/>
      <c r="L7809" s="1077"/>
      <c r="M7809" s="1077"/>
    </row>
    <row r="7810" spans="5:13">
      <c r="E7810" s="1077"/>
      <c r="F7810" s="1077"/>
      <c r="G7810" s="1077"/>
      <c r="H7810" s="1077"/>
      <c r="I7810" s="1077"/>
      <c r="J7810" s="1077"/>
      <c r="K7810" s="1077"/>
      <c r="L7810" s="1077"/>
      <c r="M7810" s="1077"/>
    </row>
    <row r="7811" spans="5:13">
      <c r="E7811" s="1077"/>
      <c r="F7811" s="1077"/>
      <c r="G7811" s="1077"/>
      <c r="H7811" s="1077"/>
      <c r="I7811" s="1077"/>
      <c r="J7811" s="1077"/>
      <c r="K7811" s="1077"/>
      <c r="L7811" s="1077"/>
      <c r="M7811" s="1077"/>
    </row>
    <row r="7812" spans="5:13">
      <c r="E7812" s="1077"/>
      <c r="F7812" s="1077"/>
      <c r="G7812" s="1077"/>
      <c r="H7812" s="1077"/>
      <c r="I7812" s="1077"/>
      <c r="J7812" s="1077"/>
      <c r="K7812" s="1077"/>
      <c r="L7812" s="1077"/>
      <c r="M7812" s="1077"/>
    </row>
    <row r="7813" spans="5:13">
      <c r="E7813" s="1077"/>
      <c r="F7813" s="1077"/>
      <c r="G7813" s="1077"/>
      <c r="H7813" s="1077"/>
      <c r="I7813" s="1077"/>
      <c r="J7813" s="1077"/>
      <c r="K7813" s="1077"/>
      <c r="L7813" s="1077"/>
      <c r="M7813" s="1077"/>
    </row>
    <row r="7814" spans="5:13">
      <c r="E7814" s="1077"/>
      <c r="F7814" s="1077"/>
      <c r="G7814" s="1077"/>
      <c r="H7814" s="1077"/>
      <c r="I7814" s="1077"/>
      <c r="J7814" s="1077"/>
      <c r="K7814" s="1077"/>
      <c r="L7814" s="1077"/>
      <c r="M7814" s="1077"/>
    </row>
    <row r="7815" spans="5:13">
      <c r="E7815" s="1077"/>
      <c r="F7815" s="1077"/>
      <c r="G7815" s="1077"/>
      <c r="H7815" s="1077"/>
      <c r="I7815" s="1077"/>
      <c r="J7815" s="1077"/>
      <c r="K7815" s="1077"/>
      <c r="L7815" s="1077"/>
      <c r="M7815" s="1077"/>
    </row>
    <row r="7816" spans="5:13">
      <c r="E7816" s="1077"/>
      <c r="F7816" s="1077"/>
      <c r="G7816" s="1077"/>
      <c r="H7816" s="1077"/>
      <c r="I7816" s="1077"/>
      <c r="J7816" s="1077"/>
      <c r="K7816" s="1077"/>
      <c r="L7816" s="1077"/>
      <c r="M7816" s="1077"/>
    </row>
    <row r="7817" spans="5:13">
      <c r="E7817" s="1077"/>
      <c r="F7817" s="1077"/>
      <c r="G7817" s="1077"/>
      <c r="H7817" s="1077"/>
      <c r="I7817" s="1077"/>
      <c r="J7817" s="1077"/>
      <c r="K7817" s="1077"/>
      <c r="L7817" s="1077"/>
      <c r="M7817" s="1077"/>
    </row>
    <row r="7818" spans="5:13">
      <c r="E7818" s="1077"/>
      <c r="F7818" s="1077"/>
      <c r="G7818" s="1077"/>
      <c r="H7818" s="1077"/>
      <c r="I7818" s="1077"/>
      <c r="J7818" s="1077"/>
      <c r="K7818" s="1077"/>
      <c r="L7818" s="1077"/>
      <c r="M7818" s="1077"/>
    </row>
    <row r="7819" spans="5:13">
      <c r="E7819" s="1077"/>
      <c r="F7819" s="1077"/>
      <c r="G7819" s="1077"/>
      <c r="H7819" s="1077"/>
      <c r="I7819" s="1077"/>
      <c r="J7819" s="1077"/>
      <c r="K7819" s="1077"/>
      <c r="L7819" s="1077"/>
      <c r="M7819" s="1077"/>
    </row>
    <row r="7820" spans="5:13">
      <c r="E7820" s="1077"/>
      <c r="F7820" s="1077"/>
      <c r="G7820" s="1077"/>
      <c r="H7820" s="1077"/>
      <c r="I7820" s="1077"/>
      <c r="J7820" s="1077"/>
      <c r="K7820" s="1077"/>
      <c r="L7820" s="1077"/>
      <c r="M7820" s="1077"/>
    </row>
    <row r="7821" spans="5:13">
      <c r="E7821" s="1077"/>
      <c r="F7821" s="1077"/>
      <c r="G7821" s="1077"/>
      <c r="H7821" s="1077"/>
      <c r="I7821" s="1077"/>
      <c r="J7821" s="1077"/>
      <c r="K7821" s="1077"/>
      <c r="L7821" s="1077"/>
      <c r="M7821" s="1077"/>
    </row>
    <row r="7822" spans="5:13">
      <c r="E7822" s="1077"/>
      <c r="F7822" s="1077"/>
      <c r="G7822" s="1077"/>
      <c r="H7822" s="1077"/>
      <c r="I7822" s="1077"/>
      <c r="J7822" s="1077"/>
      <c r="K7822" s="1077"/>
      <c r="L7822" s="1077"/>
      <c r="M7822" s="1077"/>
    </row>
    <row r="7823" spans="5:13">
      <c r="E7823" s="1077"/>
      <c r="F7823" s="1077"/>
      <c r="G7823" s="1077"/>
      <c r="H7823" s="1077"/>
      <c r="I7823" s="1077"/>
      <c r="J7823" s="1077"/>
      <c r="K7823" s="1077"/>
      <c r="L7823" s="1077"/>
      <c r="M7823" s="1077"/>
    </row>
    <row r="7824" spans="5:13">
      <c r="E7824" s="1077"/>
      <c r="F7824" s="1077"/>
      <c r="G7824" s="1077"/>
      <c r="H7824" s="1077"/>
      <c r="I7824" s="1077"/>
      <c r="J7824" s="1077"/>
      <c r="K7824" s="1077"/>
      <c r="L7824" s="1077"/>
      <c r="M7824" s="1077"/>
    </row>
    <row r="7825" spans="5:13">
      <c r="E7825" s="1077"/>
      <c r="F7825" s="1077"/>
      <c r="G7825" s="1077"/>
      <c r="H7825" s="1077"/>
      <c r="I7825" s="1077"/>
      <c r="J7825" s="1077"/>
      <c r="K7825" s="1077"/>
      <c r="L7825" s="1077"/>
      <c r="M7825" s="1077"/>
    </row>
    <row r="7826" spans="5:13">
      <c r="E7826" s="1077"/>
      <c r="F7826" s="1077"/>
      <c r="G7826" s="1077"/>
      <c r="H7826" s="1077"/>
      <c r="I7826" s="1077"/>
      <c r="J7826" s="1077"/>
      <c r="K7826" s="1077"/>
      <c r="L7826" s="1077"/>
      <c r="M7826" s="1077"/>
    </row>
    <row r="7827" spans="5:13">
      <c r="E7827" s="1077"/>
      <c r="F7827" s="1077"/>
      <c r="G7827" s="1077"/>
      <c r="H7827" s="1077"/>
      <c r="I7827" s="1077"/>
      <c r="J7827" s="1077"/>
      <c r="K7827" s="1077"/>
      <c r="L7827" s="1077"/>
      <c r="M7827" s="1077"/>
    </row>
    <row r="7828" spans="5:13">
      <c r="E7828" s="1077"/>
      <c r="F7828" s="1077"/>
      <c r="G7828" s="1077"/>
      <c r="H7828" s="1077"/>
      <c r="I7828" s="1077"/>
      <c r="J7828" s="1077"/>
      <c r="K7828" s="1077"/>
      <c r="L7828" s="1077"/>
      <c r="M7828" s="1077"/>
    </row>
    <row r="7829" spans="5:13">
      <c r="E7829" s="1077"/>
      <c r="F7829" s="1077"/>
      <c r="G7829" s="1077"/>
      <c r="H7829" s="1077"/>
      <c r="I7829" s="1077"/>
      <c r="J7829" s="1077"/>
      <c r="K7829" s="1077"/>
      <c r="L7829" s="1077"/>
      <c r="M7829" s="1077"/>
    </row>
    <row r="7830" spans="5:13">
      <c r="E7830" s="1077"/>
      <c r="F7830" s="1077"/>
      <c r="G7830" s="1077"/>
      <c r="H7830" s="1077"/>
      <c r="I7830" s="1077"/>
      <c r="J7830" s="1077"/>
      <c r="K7830" s="1077"/>
      <c r="L7830" s="1077"/>
      <c r="M7830" s="1077"/>
    </row>
    <row r="7831" spans="5:13">
      <c r="E7831" s="1077"/>
      <c r="F7831" s="1077"/>
      <c r="G7831" s="1077"/>
      <c r="H7831" s="1077"/>
      <c r="I7831" s="1077"/>
      <c r="J7831" s="1077"/>
      <c r="K7831" s="1077"/>
      <c r="L7831" s="1077"/>
      <c r="M7831" s="1077"/>
    </row>
    <row r="7832" spans="5:13">
      <c r="E7832" s="1077"/>
      <c r="F7832" s="1077"/>
      <c r="G7832" s="1077"/>
      <c r="H7832" s="1077"/>
      <c r="I7832" s="1077"/>
      <c r="J7832" s="1077"/>
      <c r="K7832" s="1077"/>
      <c r="L7832" s="1077"/>
      <c r="M7832" s="1077"/>
    </row>
    <row r="7833" spans="5:13">
      <c r="E7833" s="1077"/>
      <c r="F7833" s="1077"/>
      <c r="G7833" s="1077"/>
      <c r="H7833" s="1077"/>
      <c r="I7833" s="1077"/>
      <c r="J7833" s="1077"/>
      <c r="K7833" s="1077"/>
      <c r="L7833" s="1077"/>
      <c r="M7833" s="1077"/>
    </row>
    <row r="7834" spans="5:13">
      <c r="E7834" s="1077"/>
      <c r="F7834" s="1077"/>
      <c r="G7834" s="1077"/>
      <c r="H7834" s="1077"/>
      <c r="I7834" s="1077"/>
      <c r="J7834" s="1077"/>
      <c r="K7834" s="1077"/>
      <c r="L7834" s="1077"/>
      <c r="M7834" s="1077"/>
    </row>
    <row r="7835" spans="5:13">
      <c r="E7835" s="1077"/>
      <c r="F7835" s="1077"/>
      <c r="G7835" s="1077"/>
      <c r="H7835" s="1077"/>
      <c r="I7835" s="1077"/>
      <c r="J7835" s="1077"/>
      <c r="K7835" s="1077"/>
      <c r="L7835" s="1077"/>
      <c r="M7835" s="1077"/>
    </row>
    <row r="7836" spans="5:13">
      <c r="E7836" s="1077"/>
      <c r="F7836" s="1077"/>
      <c r="G7836" s="1077"/>
      <c r="H7836" s="1077"/>
      <c r="I7836" s="1077"/>
      <c r="J7836" s="1077"/>
      <c r="K7836" s="1077"/>
      <c r="L7836" s="1077"/>
      <c r="M7836" s="1077"/>
    </row>
    <row r="7837" spans="5:13">
      <c r="E7837" s="1077"/>
      <c r="F7837" s="1077"/>
      <c r="G7837" s="1077"/>
      <c r="H7837" s="1077"/>
      <c r="I7837" s="1077"/>
      <c r="J7837" s="1077"/>
      <c r="K7837" s="1077"/>
      <c r="L7837" s="1077"/>
      <c r="M7837" s="1077"/>
    </row>
    <row r="7838" spans="5:13">
      <c r="E7838" s="1077"/>
      <c r="F7838" s="1077"/>
      <c r="G7838" s="1077"/>
      <c r="H7838" s="1077"/>
      <c r="I7838" s="1077"/>
      <c r="J7838" s="1077"/>
      <c r="K7838" s="1077"/>
      <c r="L7838" s="1077"/>
      <c r="M7838" s="1077"/>
    </row>
    <row r="7839" spans="5:13">
      <c r="E7839" s="1077"/>
      <c r="F7839" s="1077"/>
      <c r="G7839" s="1077"/>
      <c r="H7839" s="1077"/>
      <c r="I7839" s="1077"/>
      <c r="J7839" s="1077"/>
      <c r="K7839" s="1077"/>
      <c r="L7839" s="1077"/>
      <c r="M7839" s="1077"/>
    </row>
    <row r="7840" spans="5:13">
      <c r="E7840" s="1077"/>
      <c r="F7840" s="1077"/>
      <c r="G7840" s="1077"/>
      <c r="H7840" s="1077"/>
      <c r="I7840" s="1077"/>
      <c r="J7840" s="1077"/>
      <c r="K7840" s="1077"/>
      <c r="L7840" s="1077"/>
      <c r="M7840" s="1077"/>
    </row>
    <row r="7841" spans="5:13">
      <c r="E7841" s="1077"/>
      <c r="F7841" s="1077"/>
      <c r="G7841" s="1077"/>
      <c r="H7841" s="1077"/>
      <c r="I7841" s="1077"/>
      <c r="J7841" s="1077"/>
      <c r="K7841" s="1077"/>
      <c r="L7841" s="1077"/>
      <c r="M7841" s="1077"/>
    </row>
    <row r="7842" spans="5:13">
      <c r="E7842" s="1077"/>
      <c r="F7842" s="1077"/>
      <c r="G7842" s="1077"/>
      <c r="H7842" s="1077"/>
      <c r="I7842" s="1077"/>
      <c r="J7842" s="1077"/>
      <c r="K7842" s="1077"/>
      <c r="L7842" s="1077"/>
      <c r="M7842" s="1077"/>
    </row>
    <row r="7843" spans="5:13">
      <c r="E7843" s="1077"/>
      <c r="F7843" s="1077"/>
      <c r="G7843" s="1077"/>
      <c r="H7843" s="1077"/>
      <c r="I7843" s="1077"/>
      <c r="J7843" s="1077"/>
      <c r="K7843" s="1077"/>
      <c r="L7843" s="1077"/>
      <c r="M7843" s="1077"/>
    </row>
    <row r="7844" spans="5:13">
      <c r="E7844" s="1077"/>
      <c r="F7844" s="1077"/>
      <c r="G7844" s="1077"/>
      <c r="H7844" s="1077"/>
      <c r="I7844" s="1077"/>
      <c r="J7844" s="1077"/>
      <c r="K7844" s="1077"/>
      <c r="L7844" s="1077"/>
      <c r="M7844" s="1077"/>
    </row>
    <row r="7845" spans="5:13">
      <c r="E7845" s="1077"/>
      <c r="F7845" s="1077"/>
      <c r="G7845" s="1077"/>
      <c r="H7845" s="1077"/>
      <c r="I7845" s="1077"/>
      <c r="J7845" s="1077"/>
      <c r="K7845" s="1077"/>
      <c r="L7845" s="1077"/>
      <c r="M7845" s="1077"/>
    </row>
    <row r="7846" spans="5:13">
      <c r="E7846" s="1077"/>
      <c r="F7846" s="1077"/>
      <c r="G7846" s="1077"/>
      <c r="H7846" s="1077"/>
      <c r="I7846" s="1077"/>
      <c r="J7846" s="1077"/>
      <c r="K7846" s="1077"/>
      <c r="L7846" s="1077"/>
      <c r="M7846" s="1077"/>
    </row>
    <row r="7847" spans="5:13">
      <c r="E7847" s="1077"/>
      <c r="F7847" s="1077"/>
      <c r="G7847" s="1077"/>
      <c r="H7847" s="1077"/>
      <c r="I7847" s="1077"/>
      <c r="J7847" s="1077"/>
      <c r="K7847" s="1077"/>
      <c r="L7847" s="1077"/>
      <c r="M7847" s="1077"/>
    </row>
    <row r="7848" spans="5:13">
      <c r="E7848" s="1077"/>
      <c r="F7848" s="1077"/>
      <c r="G7848" s="1077"/>
      <c r="H7848" s="1077"/>
      <c r="I7848" s="1077"/>
      <c r="J7848" s="1077"/>
      <c r="K7848" s="1077"/>
      <c r="L7848" s="1077"/>
      <c r="M7848" s="1077"/>
    </row>
    <row r="7849" spans="5:13">
      <c r="E7849" s="1077"/>
      <c r="F7849" s="1077"/>
      <c r="G7849" s="1077"/>
      <c r="H7849" s="1077"/>
      <c r="I7849" s="1077"/>
      <c r="J7849" s="1077"/>
      <c r="K7849" s="1077"/>
      <c r="L7849" s="1077"/>
      <c r="M7849" s="1077"/>
    </row>
    <row r="7850" spans="5:13">
      <c r="E7850" s="1077"/>
      <c r="F7850" s="1077"/>
      <c r="G7850" s="1077"/>
      <c r="H7850" s="1077"/>
      <c r="I7850" s="1077"/>
      <c r="J7850" s="1077"/>
      <c r="K7850" s="1077"/>
      <c r="L7850" s="1077"/>
      <c r="M7850" s="1077"/>
    </row>
    <row r="7851" spans="5:13">
      <c r="E7851" s="1077"/>
      <c r="F7851" s="1077"/>
      <c r="G7851" s="1077"/>
      <c r="H7851" s="1077"/>
      <c r="I7851" s="1077"/>
      <c r="J7851" s="1077"/>
      <c r="K7851" s="1077"/>
      <c r="L7851" s="1077"/>
      <c r="M7851" s="1077"/>
    </row>
    <row r="7852" spans="5:13">
      <c r="E7852" s="1077"/>
      <c r="F7852" s="1077"/>
      <c r="G7852" s="1077"/>
      <c r="H7852" s="1077"/>
      <c r="I7852" s="1077"/>
      <c r="J7852" s="1077"/>
      <c r="K7852" s="1077"/>
      <c r="L7852" s="1077"/>
      <c r="M7852" s="1077"/>
    </row>
    <row r="7853" spans="5:13">
      <c r="E7853" s="1077"/>
      <c r="F7853" s="1077"/>
      <c r="G7853" s="1077"/>
      <c r="H7853" s="1077"/>
      <c r="I7853" s="1077"/>
      <c r="J7853" s="1077"/>
      <c r="K7853" s="1077"/>
      <c r="L7853" s="1077"/>
      <c r="M7853" s="1077"/>
    </row>
    <row r="7854" spans="5:13">
      <c r="E7854" s="1077"/>
      <c r="F7854" s="1077"/>
      <c r="G7854" s="1077"/>
      <c r="H7854" s="1077"/>
      <c r="I7854" s="1077"/>
      <c r="J7854" s="1077"/>
      <c r="K7854" s="1077"/>
      <c r="L7854" s="1077"/>
      <c r="M7854" s="1077"/>
    </row>
    <row r="7855" spans="5:13">
      <c r="E7855" s="1077"/>
      <c r="F7855" s="1077"/>
      <c r="G7855" s="1077"/>
      <c r="H7855" s="1077"/>
      <c r="I7855" s="1077"/>
      <c r="J7855" s="1077"/>
      <c r="K7855" s="1077"/>
      <c r="L7855" s="1077"/>
      <c r="M7855" s="1077"/>
    </row>
    <row r="7856" spans="5:13">
      <c r="E7856" s="1077"/>
      <c r="F7856" s="1077"/>
      <c r="G7856" s="1077"/>
      <c r="H7856" s="1077"/>
      <c r="I7856" s="1077"/>
      <c r="J7856" s="1077"/>
      <c r="K7856" s="1077"/>
      <c r="L7856" s="1077"/>
      <c r="M7856" s="1077"/>
    </row>
    <row r="7857" spans="5:13">
      <c r="E7857" s="1077"/>
      <c r="F7857" s="1077"/>
      <c r="G7857" s="1077"/>
      <c r="H7857" s="1077"/>
      <c r="I7857" s="1077"/>
      <c r="J7857" s="1077"/>
      <c r="K7857" s="1077"/>
      <c r="L7857" s="1077"/>
      <c r="M7857" s="1077"/>
    </row>
    <row r="7858" spans="5:13">
      <c r="E7858" s="1077"/>
      <c r="F7858" s="1077"/>
      <c r="G7858" s="1077"/>
      <c r="H7858" s="1077"/>
      <c r="I7858" s="1077"/>
      <c r="J7858" s="1077"/>
      <c r="K7858" s="1077"/>
      <c r="L7858" s="1077"/>
      <c r="M7858" s="1077"/>
    </row>
    <row r="7859" spans="5:13">
      <c r="E7859" s="1077"/>
      <c r="F7859" s="1077"/>
      <c r="G7859" s="1077"/>
      <c r="H7859" s="1077"/>
      <c r="I7859" s="1077"/>
      <c r="J7859" s="1077"/>
      <c r="K7859" s="1077"/>
      <c r="L7859" s="1077"/>
      <c r="M7859" s="1077"/>
    </row>
    <row r="7860" spans="5:13">
      <c r="E7860" s="1077"/>
      <c r="F7860" s="1077"/>
      <c r="G7860" s="1077"/>
      <c r="H7860" s="1077"/>
      <c r="I7860" s="1077"/>
      <c r="J7860" s="1077"/>
      <c r="K7860" s="1077"/>
      <c r="L7860" s="1077"/>
      <c r="M7860" s="1077"/>
    </row>
    <row r="7861" spans="5:13">
      <c r="E7861" s="1077"/>
      <c r="F7861" s="1077"/>
      <c r="G7861" s="1077"/>
      <c r="H7861" s="1077"/>
      <c r="I7861" s="1077"/>
      <c r="J7861" s="1077"/>
      <c r="K7861" s="1077"/>
      <c r="L7861" s="1077"/>
      <c r="M7861" s="1077"/>
    </row>
    <row r="7862" spans="5:13">
      <c r="E7862" s="1077"/>
      <c r="F7862" s="1077"/>
      <c r="G7862" s="1077"/>
      <c r="H7862" s="1077"/>
      <c r="I7862" s="1077"/>
      <c r="J7862" s="1077"/>
      <c r="K7862" s="1077"/>
      <c r="L7862" s="1077"/>
      <c r="M7862" s="1077"/>
    </row>
    <row r="7863" spans="5:13">
      <c r="E7863" s="1077"/>
      <c r="F7863" s="1077"/>
      <c r="G7863" s="1077"/>
      <c r="H7863" s="1077"/>
      <c r="I7863" s="1077"/>
      <c r="J7863" s="1077"/>
      <c r="K7863" s="1077"/>
      <c r="L7863" s="1077"/>
      <c r="M7863" s="1077"/>
    </row>
    <row r="7864" spans="5:13">
      <c r="E7864" s="1077"/>
      <c r="F7864" s="1077"/>
      <c r="G7864" s="1077"/>
      <c r="H7864" s="1077"/>
      <c r="I7864" s="1077"/>
      <c r="J7864" s="1077"/>
      <c r="K7864" s="1077"/>
      <c r="L7864" s="1077"/>
      <c r="M7864" s="1077"/>
    </row>
    <row r="7865" spans="5:13">
      <c r="E7865" s="1077"/>
      <c r="F7865" s="1077"/>
      <c r="G7865" s="1077"/>
      <c r="H7865" s="1077"/>
      <c r="I7865" s="1077"/>
      <c r="J7865" s="1077"/>
      <c r="K7865" s="1077"/>
      <c r="L7865" s="1077"/>
      <c r="M7865" s="1077"/>
    </row>
    <row r="7866" spans="5:13">
      <c r="E7866" s="1077"/>
      <c r="F7866" s="1077"/>
      <c r="G7866" s="1077"/>
      <c r="H7866" s="1077"/>
      <c r="I7866" s="1077"/>
      <c r="J7866" s="1077"/>
      <c r="K7866" s="1077"/>
      <c r="L7866" s="1077"/>
      <c r="M7866" s="1077"/>
    </row>
    <row r="7867" spans="5:13">
      <c r="E7867" s="1077"/>
      <c r="F7867" s="1077"/>
      <c r="G7867" s="1077"/>
      <c r="H7867" s="1077"/>
      <c r="I7867" s="1077"/>
      <c r="J7867" s="1077"/>
      <c r="K7867" s="1077"/>
      <c r="L7867" s="1077"/>
      <c r="M7867" s="1077"/>
    </row>
    <row r="7868" spans="5:13">
      <c r="E7868" s="1077"/>
      <c r="F7868" s="1077"/>
      <c r="G7868" s="1077"/>
      <c r="H7868" s="1077"/>
      <c r="I7868" s="1077"/>
      <c r="J7868" s="1077"/>
      <c r="K7868" s="1077"/>
      <c r="L7868" s="1077"/>
      <c r="M7868" s="1077"/>
    </row>
    <row r="7869" spans="5:13">
      <c r="E7869" s="1077"/>
      <c r="F7869" s="1077"/>
      <c r="G7869" s="1077"/>
      <c r="H7869" s="1077"/>
      <c r="I7869" s="1077"/>
      <c r="J7869" s="1077"/>
      <c r="K7869" s="1077"/>
      <c r="L7869" s="1077"/>
      <c r="M7869" s="1077"/>
    </row>
    <row r="7870" spans="5:13">
      <c r="E7870" s="1077"/>
      <c r="F7870" s="1077"/>
      <c r="G7870" s="1077"/>
      <c r="H7870" s="1077"/>
      <c r="I7870" s="1077"/>
      <c r="J7870" s="1077"/>
      <c r="K7870" s="1077"/>
      <c r="L7870" s="1077"/>
      <c r="M7870" s="1077"/>
    </row>
    <row r="7871" spans="5:13">
      <c r="E7871" s="1077"/>
      <c r="F7871" s="1077"/>
      <c r="G7871" s="1077"/>
      <c r="H7871" s="1077"/>
      <c r="I7871" s="1077"/>
      <c r="J7871" s="1077"/>
      <c r="K7871" s="1077"/>
      <c r="L7871" s="1077"/>
      <c r="M7871" s="1077"/>
    </row>
    <row r="7872" spans="5:13">
      <c r="E7872" s="1077"/>
      <c r="F7872" s="1077"/>
      <c r="G7872" s="1077"/>
      <c r="H7872" s="1077"/>
      <c r="I7872" s="1077"/>
      <c r="J7872" s="1077"/>
      <c r="K7872" s="1077"/>
      <c r="L7872" s="1077"/>
      <c r="M7872" s="1077"/>
    </row>
    <row r="7873" spans="5:13">
      <c r="E7873" s="1077"/>
      <c r="F7873" s="1077"/>
      <c r="G7873" s="1077"/>
      <c r="H7873" s="1077"/>
      <c r="I7873" s="1077"/>
      <c r="J7873" s="1077"/>
      <c r="K7873" s="1077"/>
      <c r="L7873" s="1077"/>
      <c r="M7873" s="1077"/>
    </row>
    <row r="7874" spans="5:13">
      <c r="E7874" s="1077"/>
      <c r="F7874" s="1077"/>
      <c r="G7874" s="1077"/>
      <c r="H7874" s="1077"/>
      <c r="I7874" s="1077"/>
      <c r="J7874" s="1077"/>
      <c r="K7874" s="1077"/>
      <c r="L7874" s="1077"/>
      <c r="M7874" s="1077"/>
    </row>
    <row r="7875" spans="5:13">
      <c r="E7875" s="1077"/>
      <c r="F7875" s="1077"/>
      <c r="G7875" s="1077"/>
      <c r="H7875" s="1077"/>
      <c r="I7875" s="1077"/>
      <c r="J7875" s="1077"/>
      <c r="K7875" s="1077"/>
      <c r="L7875" s="1077"/>
      <c r="M7875" s="1077"/>
    </row>
    <row r="7876" spans="5:13">
      <c r="E7876" s="1077"/>
      <c r="F7876" s="1077"/>
      <c r="G7876" s="1077"/>
      <c r="H7876" s="1077"/>
      <c r="I7876" s="1077"/>
      <c r="J7876" s="1077"/>
      <c r="K7876" s="1077"/>
      <c r="L7876" s="1077"/>
      <c r="M7876" s="1077"/>
    </row>
    <row r="7877" spans="5:13">
      <c r="E7877" s="1077"/>
      <c r="F7877" s="1077"/>
      <c r="G7877" s="1077"/>
      <c r="H7877" s="1077"/>
      <c r="I7877" s="1077"/>
      <c r="J7877" s="1077"/>
      <c r="K7877" s="1077"/>
      <c r="L7877" s="1077"/>
      <c r="M7877" s="1077"/>
    </row>
    <row r="7878" spans="5:13">
      <c r="E7878" s="1077"/>
      <c r="F7878" s="1077"/>
      <c r="G7878" s="1077"/>
      <c r="H7878" s="1077"/>
      <c r="I7878" s="1077"/>
      <c r="J7878" s="1077"/>
      <c r="K7878" s="1077"/>
      <c r="L7878" s="1077"/>
      <c r="M7878" s="1077"/>
    </row>
    <row r="7879" spans="5:13">
      <c r="E7879" s="1077"/>
      <c r="F7879" s="1077"/>
      <c r="G7879" s="1077"/>
      <c r="H7879" s="1077"/>
      <c r="I7879" s="1077"/>
      <c r="J7879" s="1077"/>
      <c r="K7879" s="1077"/>
      <c r="L7879" s="1077"/>
      <c r="M7879" s="1077"/>
    </row>
    <row r="7880" spans="5:13">
      <c r="E7880" s="1077"/>
      <c r="F7880" s="1077"/>
      <c r="G7880" s="1077"/>
      <c r="H7880" s="1077"/>
      <c r="I7880" s="1077"/>
      <c r="J7880" s="1077"/>
      <c r="K7880" s="1077"/>
      <c r="L7880" s="1077"/>
      <c r="M7880" s="1077"/>
    </row>
    <row r="7881" spans="5:13">
      <c r="E7881" s="1077"/>
      <c r="F7881" s="1077"/>
      <c r="G7881" s="1077"/>
      <c r="H7881" s="1077"/>
      <c r="I7881" s="1077"/>
      <c r="J7881" s="1077"/>
      <c r="K7881" s="1077"/>
      <c r="L7881" s="1077"/>
      <c r="M7881" s="1077"/>
    </row>
    <row r="7882" spans="5:13">
      <c r="E7882" s="1077"/>
      <c r="F7882" s="1077"/>
      <c r="G7882" s="1077"/>
      <c r="H7882" s="1077"/>
      <c r="I7882" s="1077"/>
      <c r="J7882" s="1077"/>
      <c r="K7882" s="1077"/>
      <c r="L7882" s="1077"/>
      <c r="M7882" s="1077"/>
    </row>
    <row r="7883" spans="5:13">
      <c r="E7883" s="1077"/>
      <c r="F7883" s="1077"/>
      <c r="G7883" s="1077"/>
      <c r="H7883" s="1077"/>
      <c r="I7883" s="1077"/>
      <c r="J7883" s="1077"/>
      <c r="K7883" s="1077"/>
      <c r="L7883" s="1077"/>
      <c r="M7883" s="1077"/>
    </row>
    <row r="7884" spans="5:13">
      <c r="E7884" s="1077"/>
      <c r="F7884" s="1077"/>
      <c r="G7884" s="1077"/>
      <c r="H7884" s="1077"/>
      <c r="I7884" s="1077"/>
      <c r="J7884" s="1077"/>
      <c r="K7884" s="1077"/>
      <c r="L7884" s="1077"/>
      <c r="M7884" s="1077"/>
    </row>
    <row r="7885" spans="5:13">
      <c r="E7885" s="1077"/>
      <c r="F7885" s="1077"/>
      <c r="G7885" s="1077"/>
      <c r="H7885" s="1077"/>
      <c r="I7885" s="1077"/>
      <c r="J7885" s="1077"/>
      <c r="K7885" s="1077"/>
      <c r="L7885" s="1077"/>
      <c r="M7885" s="1077"/>
    </row>
    <row r="7886" spans="5:13">
      <c r="E7886" s="1077"/>
      <c r="F7886" s="1077"/>
      <c r="G7886" s="1077"/>
      <c r="H7886" s="1077"/>
      <c r="I7886" s="1077"/>
      <c r="J7886" s="1077"/>
      <c r="K7886" s="1077"/>
      <c r="L7886" s="1077"/>
      <c r="M7886" s="1077"/>
    </row>
    <row r="7887" spans="5:13">
      <c r="E7887" s="1077"/>
      <c r="F7887" s="1077"/>
      <c r="G7887" s="1077"/>
      <c r="H7887" s="1077"/>
      <c r="I7887" s="1077"/>
      <c r="J7887" s="1077"/>
      <c r="K7887" s="1077"/>
      <c r="L7887" s="1077"/>
      <c r="M7887" s="1077"/>
    </row>
    <row r="7888" spans="5:13">
      <c r="E7888" s="1077"/>
      <c r="F7888" s="1077"/>
      <c r="G7888" s="1077"/>
      <c r="H7888" s="1077"/>
      <c r="I7888" s="1077"/>
      <c r="J7888" s="1077"/>
      <c r="K7888" s="1077"/>
      <c r="L7888" s="1077"/>
      <c r="M7888" s="1077"/>
    </row>
    <row r="7889" spans="5:13">
      <c r="E7889" s="1077"/>
      <c r="F7889" s="1077"/>
      <c r="G7889" s="1077"/>
      <c r="H7889" s="1077"/>
      <c r="I7889" s="1077"/>
      <c r="J7889" s="1077"/>
      <c r="K7889" s="1077"/>
      <c r="L7889" s="1077"/>
      <c r="M7889" s="1077"/>
    </row>
    <row r="7890" spans="5:13">
      <c r="E7890" s="1077"/>
      <c r="F7890" s="1077"/>
      <c r="G7890" s="1077"/>
      <c r="H7890" s="1077"/>
      <c r="I7890" s="1077"/>
      <c r="J7890" s="1077"/>
      <c r="K7890" s="1077"/>
      <c r="L7890" s="1077"/>
      <c r="M7890" s="1077"/>
    </row>
    <row r="7891" spans="5:13">
      <c r="E7891" s="1077"/>
      <c r="F7891" s="1077"/>
      <c r="G7891" s="1077"/>
      <c r="H7891" s="1077"/>
      <c r="I7891" s="1077"/>
      <c r="J7891" s="1077"/>
      <c r="K7891" s="1077"/>
      <c r="L7891" s="1077"/>
      <c r="M7891" s="1077"/>
    </row>
    <row r="7892" spans="5:13">
      <c r="E7892" s="1077"/>
      <c r="F7892" s="1077"/>
      <c r="G7892" s="1077"/>
      <c r="H7892" s="1077"/>
      <c r="I7892" s="1077"/>
      <c r="J7892" s="1077"/>
      <c r="K7892" s="1077"/>
      <c r="L7892" s="1077"/>
      <c r="M7892" s="1077"/>
    </row>
    <row r="7893" spans="5:13">
      <c r="E7893" s="1077"/>
      <c r="F7893" s="1077"/>
      <c r="G7893" s="1077"/>
      <c r="H7893" s="1077"/>
      <c r="I7893" s="1077"/>
      <c r="J7893" s="1077"/>
      <c r="K7893" s="1077"/>
      <c r="L7893" s="1077"/>
      <c r="M7893" s="1077"/>
    </row>
    <row r="7894" spans="5:13">
      <c r="E7894" s="1077"/>
      <c r="F7894" s="1077"/>
      <c r="G7894" s="1077"/>
      <c r="H7894" s="1077"/>
      <c r="I7894" s="1077"/>
      <c r="J7894" s="1077"/>
      <c r="K7894" s="1077"/>
      <c r="L7894" s="1077"/>
      <c r="M7894" s="1077"/>
    </row>
    <row r="7895" spans="5:13">
      <c r="E7895" s="1077"/>
      <c r="F7895" s="1077"/>
      <c r="G7895" s="1077"/>
      <c r="H7895" s="1077"/>
      <c r="I7895" s="1077"/>
      <c r="J7895" s="1077"/>
      <c r="K7895" s="1077"/>
      <c r="L7895" s="1077"/>
      <c r="M7895" s="1077"/>
    </row>
    <row r="7896" spans="5:13">
      <c r="E7896" s="1077"/>
      <c r="F7896" s="1077"/>
      <c r="G7896" s="1077"/>
      <c r="H7896" s="1077"/>
      <c r="I7896" s="1077"/>
      <c r="J7896" s="1077"/>
      <c r="K7896" s="1077"/>
      <c r="L7896" s="1077"/>
      <c r="M7896" s="1077"/>
    </row>
    <row r="7897" spans="5:13">
      <c r="E7897" s="1077"/>
      <c r="F7897" s="1077"/>
      <c r="G7897" s="1077"/>
      <c r="H7897" s="1077"/>
      <c r="I7897" s="1077"/>
      <c r="J7897" s="1077"/>
      <c r="K7897" s="1077"/>
      <c r="L7897" s="1077"/>
      <c r="M7897" s="1077"/>
    </row>
    <row r="7898" spans="5:13">
      <c r="E7898" s="1077"/>
      <c r="F7898" s="1077"/>
      <c r="G7898" s="1077"/>
      <c r="H7898" s="1077"/>
      <c r="I7898" s="1077"/>
      <c r="J7898" s="1077"/>
      <c r="K7898" s="1077"/>
      <c r="L7898" s="1077"/>
      <c r="M7898" s="1077"/>
    </row>
    <row r="7899" spans="5:13">
      <c r="E7899" s="1077"/>
      <c r="F7899" s="1077"/>
      <c r="G7899" s="1077"/>
      <c r="H7899" s="1077"/>
      <c r="I7899" s="1077"/>
      <c r="J7899" s="1077"/>
      <c r="K7899" s="1077"/>
      <c r="L7899" s="1077"/>
      <c r="M7899" s="1077"/>
    </row>
    <row r="7900" spans="5:13">
      <c r="E7900" s="1077"/>
      <c r="F7900" s="1077"/>
      <c r="G7900" s="1077"/>
      <c r="H7900" s="1077"/>
      <c r="I7900" s="1077"/>
      <c r="J7900" s="1077"/>
      <c r="K7900" s="1077"/>
      <c r="L7900" s="1077"/>
      <c r="M7900" s="1077"/>
    </row>
    <row r="7901" spans="5:13">
      <c r="E7901" s="1077"/>
      <c r="F7901" s="1077"/>
      <c r="G7901" s="1077"/>
      <c r="H7901" s="1077"/>
      <c r="I7901" s="1077"/>
      <c r="J7901" s="1077"/>
      <c r="K7901" s="1077"/>
      <c r="L7901" s="1077"/>
      <c r="M7901" s="1077"/>
    </row>
    <row r="7902" spans="5:13">
      <c r="E7902" s="1077"/>
      <c r="F7902" s="1077"/>
      <c r="G7902" s="1077"/>
      <c r="H7902" s="1077"/>
      <c r="I7902" s="1077"/>
      <c r="J7902" s="1077"/>
      <c r="K7902" s="1077"/>
      <c r="L7902" s="1077"/>
      <c r="M7902" s="1077"/>
    </row>
    <row r="7903" spans="5:13">
      <c r="E7903" s="1077"/>
      <c r="F7903" s="1077"/>
      <c r="G7903" s="1077"/>
      <c r="H7903" s="1077"/>
      <c r="I7903" s="1077"/>
      <c r="J7903" s="1077"/>
      <c r="K7903" s="1077"/>
      <c r="L7903" s="1077"/>
      <c r="M7903" s="1077"/>
    </row>
    <row r="7904" spans="5:13">
      <c r="E7904" s="1077"/>
      <c r="F7904" s="1077"/>
      <c r="G7904" s="1077"/>
      <c r="H7904" s="1077"/>
      <c r="I7904" s="1077"/>
      <c r="J7904" s="1077"/>
      <c r="K7904" s="1077"/>
      <c r="L7904" s="1077"/>
      <c r="M7904" s="1077"/>
    </row>
    <row r="7905" spans="8:8" s="930" customFormat="1">
      <c r="H7905" s="989"/>
    </row>
    <row r="7906" spans="8:8" s="930" customFormat="1">
      <c r="H7906" s="989"/>
    </row>
    <row r="7907" spans="8:8" s="930" customFormat="1">
      <c r="H7907" s="989"/>
    </row>
    <row r="7908" spans="8:8" s="930" customFormat="1">
      <c r="H7908" s="989"/>
    </row>
    <row r="7909" spans="8:8" s="930" customFormat="1">
      <c r="H7909" s="989"/>
    </row>
    <row r="7910" spans="8:8" s="930" customFormat="1">
      <c r="H7910" s="989"/>
    </row>
    <row r="7911" spans="8:8" s="930" customFormat="1">
      <c r="H7911" s="989"/>
    </row>
    <row r="7912" spans="8:8" s="930" customFormat="1">
      <c r="H7912" s="989"/>
    </row>
    <row r="7913" spans="8:8" s="930" customFormat="1">
      <c r="H7913" s="989"/>
    </row>
    <row r="7914" spans="8:8" s="930" customFormat="1">
      <c r="H7914" s="989"/>
    </row>
    <row r="7915" spans="8:8" s="930" customFormat="1">
      <c r="H7915" s="989"/>
    </row>
    <row r="7916" spans="8:8" s="930" customFormat="1">
      <c r="H7916" s="989"/>
    </row>
    <row r="7917" spans="8:8" s="930" customFormat="1">
      <c r="H7917" s="989"/>
    </row>
    <row r="7918" spans="8:8" s="930" customFormat="1">
      <c r="H7918" s="989"/>
    </row>
    <row r="7919" spans="8:8" s="930" customFormat="1">
      <c r="H7919" s="989"/>
    </row>
    <row r="7920" spans="8:8" s="930" customFormat="1">
      <c r="H7920" s="989"/>
    </row>
    <row r="7921" spans="8:8" s="930" customFormat="1">
      <c r="H7921" s="989"/>
    </row>
    <row r="7922" spans="8:8" s="930" customFormat="1">
      <c r="H7922" s="989"/>
    </row>
    <row r="7923" spans="8:8" s="930" customFormat="1">
      <c r="H7923" s="989"/>
    </row>
    <row r="7924" spans="8:8" s="930" customFormat="1">
      <c r="H7924" s="989"/>
    </row>
    <row r="7925" spans="8:8" s="930" customFormat="1">
      <c r="H7925" s="989"/>
    </row>
    <row r="7926" spans="8:8" s="930" customFormat="1">
      <c r="H7926" s="989"/>
    </row>
    <row r="7927" spans="8:8" s="930" customFormat="1">
      <c r="H7927" s="989"/>
    </row>
    <row r="7928" spans="8:8" s="930" customFormat="1">
      <c r="H7928" s="989"/>
    </row>
    <row r="7929" spans="8:8" s="930" customFormat="1">
      <c r="H7929" s="989"/>
    </row>
    <row r="7930" spans="8:8" s="930" customFormat="1">
      <c r="H7930" s="989"/>
    </row>
    <row r="7931" spans="8:8" s="930" customFormat="1">
      <c r="H7931" s="989"/>
    </row>
    <row r="7932" spans="8:8" s="930" customFormat="1">
      <c r="H7932" s="989"/>
    </row>
    <row r="7933" spans="8:8" s="930" customFormat="1">
      <c r="H7933" s="989"/>
    </row>
    <row r="7934" spans="8:8" s="930" customFormat="1">
      <c r="H7934" s="989"/>
    </row>
    <row r="7935" spans="8:8" s="930" customFormat="1">
      <c r="H7935" s="989"/>
    </row>
    <row r="7936" spans="8:8" s="930" customFormat="1">
      <c r="H7936" s="989"/>
    </row>
    <row r="7937" spans="8:8" s="930" customFormat="1">
      <c r="H7937" s="989"/>
    </row>
    <row r="7938" spans="8:8" s="930" customFormat="1">
      <c r="H7938" s="989"/>
    </row>
    <row r="7939" spans="8:8" s="930" customFormat="1">
      <c r="H7939" s="989"/>
    </row>
    <row r="7940" spans="8:8" s="930" customFormat="1">
      <c r="H7940" s="989"/>
    </row>
    <row r="7941" spans="8:8" s="930" customFormat="1">
      <c r="H7941" s="989"/>
    </row>
    <row r="7942" spans="8:8" s="930" customFormat="1">
      <c r="H7942" s="989"/>
    </row>
    <row r="7943" spans="8:8" s="930" customFormat="1">
      <c r="H7943" s="989"/>
    </row>
    <row r="7944" spans="8:8" s="930" customFormat="1">
      <c r="H7944" s="989"/>
    </row>
    <row r="7945" spans="8:8" s="930" customFormat="1">
      <c r="H7945" s="989"/>
    </row>
    <row r="7946" spans="8:8" s="930" customFormat="1">
      <c r="H7946" s="989"/>
    </row>
    <row r="7947" spans="8:8" s="930" customFormat="1">
      <c r="H7947" s="989"/>
    </row>
    <row r="7948" spans="8:8" s="930" customFormat="1">
      <c r="H7948" s="989"/>
    </row>
    <row r="7949" spans="8:8" s="930" customFormat="1">
      <c r="H7949" s="989"/>
    </row>
    <row r="7950" spans="8:8" s="930" customFormat="1">
      <c r="H7950" s="989"/>
    </row>
    <row r="7951" spans="8:8" s="930" customFormat="1">
      <c r="H7951" s="989"/>
    </row>
    <row r="7952" spans="8:8" s="930" customFormat="1">
      <c r="H7952" s="989"/>
    </row>
    <row r="7953" spans="8:8" s="930" customFormat="1">
      <c r="H7953" s="989"/>
    </row>
    <row r="7954" spans="8:8" s="930" customFormat="1">
      <c r="H7954" s="989"/>
    </row>
    <row r="7955" spans="8:8" s="930" customFormat="1">
      <c r="H7955" s="989"/>
    </row>
    <row r="7956" spans="8:8" s="930" customFormat="1">
      <c r="H7956" s="989"/>
    </row>
    <row r="7957" spans="8:8" s="930" customFormat="1">
      <c r="H7957" s="989"/>
    </row>
    <row r="7958" spans="8:8" s="930" customFormat="1">
      <c r="H7958" s="989"/>
    </row>
    <row r="7959" spans="8:8" s="930" customFormat="1">
      <c r="H7959" s="989"/>
    </row>
    <row r="7960" spans="8:8" s="930" customFormat="1">
      <c r="H7960" s="989"/>
    </row>
    <row r="7961" spans="8:8" s="930" customFormat="1">
      <c r="H7961" s="989"/>
    </row>
    <row r="7962" spans="8:8" s="930" customFormat="1">
      <c r="H7962" s="989"/>
    </row>
    <row r="7963" spans="8:8" s="930" customFormat="1">
      <c r="H7963" s="989"/>
    </row>
    <row r="7964" spans="8:8" s="930" customFormat="1">
      <c r="H7964" s="989"/>
    </row>
    <row r="7965" spans="8:8" s="930" customFormat="1">
      <c r="H7965" s="989"/>
    </row>
    <row r="7966" spans="8:8" s="930" customFormat="1">
      <c r="H7966" s="989"/>
    </row>
    <row r="7967" spans="8:8" s="930" customFormat="1">
      <c r="H7967" s="989"/>
    </row>
    <row r="7968" spans="8:8" s="930" customFormat="1">
      <c r="H7968" s="989"/>
    </row>
    <row r="7969" spans="8:8" s="930" customFormat="1">
      <c r="H7969" s="989"/>
    </row>
    <row r="7970" spans="8:8" s="930" customFormat="1">
      <c r="H7970" s="989"/>
    </row>
    <row r="7971" spans="8:8" s="930" customFormat="1">
      <c r="H7971" s="989"/>
    </row>
    <row r="7972" spans="8:8" s="930" customFormat="1">
      <c r="H7972" s="989"/>
    </row>
    <row r="7973" spans="8:8" s="930" customFormat="1">
      <c r="H7973" s="989"/>
    </row>
    <row r="7974" spans="8:8" s="930" customFormat="1">
      <c r="H7974" s="989"/>
    </row>
    <row r="7975" spans="8:8" s="930" customFormat="1">
      <c r="H7975" s="989"/>
    </row>
    <row r="7976" spans="8:8" s="930" customFormat="1">
      <c r="H7976" s="989"/>
    </row>
    <row r="7977" spans="8:8" s="930" customFormat="1">
      <c r="H7977" s="989"/>
    </row>
    <row r="7978" spans="8:8" s="930" customFormat="1">
      <c r="H7978" s="989"/>
    </row>
    <row r="7979" spans="8:8" s="930" customFormat="1">
      <c r="H7979" s="989"/>
    </row>
    <row r="7980" spans="8:8" s="930" customFormat="1">
      <c r="H7980" s="989"/>
    </row>
    <row r="7981" spans="8:8" s="930" customFormat="1">
      <c r="H7981" s="989"/>
    </row>
    <row r="7982" spans="8:8" s="930" customFormat="1">
      <c r="H7982" s="989"/>
    </row>
    <row r="7983" spans="8:8" s="930" customFormat="1">
      <c r="H7983" s="989"/>
    </row>
    <row r="7984" spans="8:8" s="930" customFormat="1">
      <c r="H7984" s="989"/>
    </row>
    <row r="7985" spans="8:8" s="930" customFormat="1">
      <c r="H7985" s="989"/>
    </row>
    <row r="7986" spans="8:8" s="930" customFormat="1">
      <c r="H7986" s="989"/>
    </row>
    <row r="7987" spans="8:8" s="930" customFormat="1">
      <c r="H7987" s="989"/>
    </row>
    <row r="7988" spans="8:8" s="930" customFormat="1">
      <c r="H7988" s="989"/>
    </row>
    <row r="7989" spans="8:8" s="930" customFormat="1">
      <c r="H7989" s="989"/>
    </row>
    <row r="7990" spans="8:8" s="930" customFormat="1">
      <c r="H7990" s="989"/>
    </row>
    <row r="7991" spans="8:8" s="930" customFormat="1">
      <c r="H7991" s="989"/>
    </row>
    <row r="7992" spans="8:8" s="930" customFormat="1">
      <c r="H7992" s="989"/>
    </row>
    <row r="7993" spans="8:8" s="930" customFormat="1">
      <c r="H7993" s="989"/>
    </row>
    <row r="7994" spans="8:8" s="930" customFormat="1">
      <c r="H7994" s="989"/>
    </row>
    <row r="7995" spans="8:8" s="930" customFormat="1">
      <c r="H7995" s="989"/>
    </row>
    <row r="7996" spans="8:8" s="930" customFormat="1">
      <c r="H7996" s="989"/>
    </row>
    <row r="7997" spans="8:8" s="930" customFormat="1">
      <c r="H7997" s="989"/>
    </row>
    <row r="7998" spans="8:8" s="930" customFormat="1">
      <c r="H7998" s="989"/>
    </row>
    <row r="7999" spans="8:8" s="930" customFormat="1">
      <c r="H7999" s="989"/>
    </row>
    <row r="8000" spans="8:8" s="930" customFormat="1">
      <c r="H8000" s="989"/>
    </row>
    <row r="8001" spans="8:8" s="930" customFormat="1">
      <c r="H8001" s="989"/>
    </row>
    <row r="8002" spans="8:8" s="930" customFormat="1">
      <c r="H8002" s="989"/>
    </row>
    <row r="8003" spans="8:8" s="930" customFormat="1">
      <c r="H8003" s="989"/>
    </row>
    <row r="8004" spans="8:8" s="930" customFormat="1">
      <c r="H8004" s="989"/>
    </row>
    <row r="8005" spans="8:8" s="930" customFormat="1">
      <c r="H8005" s="989"/>
    </row>
    <row r="8006" spans="8:8" s="930" customFormat="1">
      <c r="H8006" s="989"/>
    </row>
    <row r="8007" spans="8:8" s="930" customFormat="1">
      <c r="H8007" s="989"/>
    </row>
    <row r="8008" spans="8:8" s="930" customFormat="1">
      <c r="H8008" s="989"/>
    </row>
    <row r="8009" spans="8:8" s="930" customFormat="1">
      <c r="H8009" s="989"/>
    </row>
    <row r="8010" spans="8:8" s="930" customFormat="1">
      <c r="H8010" s="989"/>
    </row>
    <row r="8011" spans="8:8" s="930" customFormat="1">
      <c r="H8011" s="989"/>
    </row>
    <row r="8012" spans="8:8" s="930" customFormat="1">
      <c r="H8012" s="989"/>
    </row>
    <row r="8013" spans="8:8" s="930" customFormat="1">
      <c r="H8013" s="989"/>
    </row>
    <row r="8014" spans="8:8" s="930" customFormat="1">
      <c r="H8014" s="989"/>
    </row>
    <row r="8015" spans="8:8" s="930" customFormat="1">
      <c r="H8015" s="989"/>
    </row>
    <row r="8016" spans="8:8" s="930" customFormat="1">
      <c r="H8016" s="989"/>
    </row>
    <row r="8017" spans="8:8" s="930" customFormat="1">
      <c r="H8017" s="989"/>
    </row>
    <row r="8018" spans="8:8" s="930" customFormat="1">
      <c r="H8018" s="989"/>
    </row>
    <row r="8019" spans="8:8" s="930" customFormat="1">
      <c r="H8019" s="989"/>
    </row>
    <row r="8020" spans="8:8" s="930" customFormat="1">
      <c r="H8020" s="989"/>
    </row>
    <row r="8021" spans="8:8" s="930" customFormat="1">
      <c r="H8021" s="989"/>
    </row>
    <row r="8022" spans="8:8" s="930" customFormat="1">
      <c r="H8022" s="989"/>
    </row>
    <row r="8023" spans="8:8" s="930" customFormat="1">
      <c r="H8023" s="989"/>
    </row>
    <row r="8024" spans="8:8" s="930" customFormat="1">
      <c r="H8024" s="989"/>
    </row>
    <row r="8025" spans="8:8" s="930" customFormat="1">
      <c r="H8025" s="989"/>
    </row>
    <row r="8026" spans="8:8" s="930" customFormat="1">
      <c r="H8026" s="989"/>
    </row>
    <row r="8027" spans="8:8" s="930" customFormat="1">
      <c r="H8027" s="989"/>
    </row>
    <row r="8028" spans="8:8" s="930" customFormat="1">
      <c r="H8028" s="989"/>
    </row>
    <row r="8029" spans="8:8" s="930" customFormat="1">
      <c r="H8029" s="989"/>
    </row>
    <row r="8030" spans="8:8" s="930" customFormat="1">
      <c r="H8030" s="989"/>
    </row>
    <row r="8031" spans="8:8" s="930" customFormat="1">
      <c r="H8031" s="989"/>
    </row>
    <row r="8032" spans="8:8" s="930" customFormat="1">
      <c r="H8032" s="989"/>
    </row>
    <row r="8033" spans="8:8" s="930" customFormat="1">
      <c r="H8033" s="989"/>
    </row>
    <row r="8034" spans="8:8" s="930" customFormat="1">
      <c r="H8034" s="989"/>
    </row>
    <row r="8035" spans="8:8" s="930" customFormat="1">
      <c r="H8035" s="989"/>
    </row>
    <row r="8036" spans="8:8" s="930" customFormat="1">
      <c r="H8036" s="989"/>
    </row>
    <row r="8037" spans="8:8" s="930" customFormat="1">
      <c r="H8037" s="989"/>
    </row>
    <row r="8038" spans="8:8" s="930" customFormat="1">
      <c r="H8038" s="989"/>
    </row>
    <row r="8039" spans="8:8" s="930" customFormat="1">
      <c r="H8039" s="989"/>
    </row>
    <row r="8040" spans="8:8" s="930" customFormat="1">
      <c r="H8040" s="989"/>
    </row>
    <row r="8041" spans="8:8" s="930" customFormat="1">
      <c r="H8041" s="989"/>
    </row>
    <row r="8042" spans="8:8" s="930" customFormat="1">
      <c r="H8042" s="989"/>
    </row>
    <row r="8043" spans="8:8" s="930" customFormat="1">
      <c r="H8043" s="989"/>
    </row>
    <row r="8044" spans="8:8" s="930" customFormat="1">
      <c r="H8044" s="989"/>
    </row>
    <row r="8045" spans="8:8" s="930" customFormat="1">
      <c r="H8045" s="989"/>
    </row>
    <row r="8046" spans="8:8" s="930" customFormat="1">
      <c r="H8046" s="989"/>
    </row>
    <row r="8047" spans="8:8" s="930" customFormat="1">
      <c r="H8047" s="989"/>
    </row>
    <row r="8048" spans="8:8" s="930" customFormat="1">
      <c r="H8048" s="989"/>
    </row>
    <row r="8049" spans="8:8" s="930" customFormat="1">
      <c r="H8049" s="989"/>
    </row>
    <row r="8050" spans="8:8" s="930" customFormat="1">
      <c r="H8050" s="989"/>
    </row>
    <row r="8051" spans="8:8" s="930" customFormat="1">
      <c r="H8051" s="989"/>
    </row>
    <row r="8052" spans="8:8" s="930" customFormat="1">
      <c r="H8052" s="989"/>
    </row>
    <row r="8053" spans="8:8" s="930" customFormat="1">
      <c r="H8053" s="989"/>
    </row>
    <row r="8054" spans="8:8" s="930" customFormat="1">
      <c r="H8054" s="989"/>
    </row>
    <row r="8055" spans="8:8" s="930" customFormat="1">
      <c r="H8055" s="989"/>
    </row>
    <row r="8056" spans="8:8" s="930" customFormat="1">
      <c r="H8056" s="989"/>
    </row>
    <row r="8057" spans="8:8" s="930" customFormat="1">
      <c r="H8057" s="989"/>
    </row>
    <row r="8058" spans="8:8" s="930" customFormat="1">
      <c r="H8058" s="989"/>
    </row>
    <row r="8059" spans="8:8" s="930" customFormat="1">
      <c r="H8059" s="989"/>
    </row>
    <row r="8060" spans="8:8" s="930" customFormat="1">
      <c r="H8060" s="989"/>
    </row>
    <row r="8061" spans="8:8" s="930" customFormat="1">
      <c r="H8061" s="989"/>
    </row>
    <row r="8062" spans="8:8" s="930" customFormat="1">
      <c r="H8062" s="989"/>
    </row>
    <row r="8063" spans="8:8" s="930" customFormat="1">
      <c r="H8063" s="989"/>
    </row>
    <row r="8064" spans="8:8" s="930" customFormat="1">
      <c r="H8064" s="989"/>
    </row>
    <row r="8065" spans="8:8" s="930" customFormat="1">
      <c r="H8065" s="989"/>
    </row>
    <row r="8066" spans="8:8" s="930" customFormat="1">
      <c r="H8066" s="989"/>
    </row>
    <row r="8067" spans="8:8" s="930" customFormat="1">
      <c r="H8067" s="989"/>
    </row>
    <row r="8068" spans="8:8" s="930" customFormat="1">
      <c r="H8068" s="989"/>
    </row>
    <row r="8069" spans="8:8" s="930" customFormat="1">
      <c r="H8069" s="989"/>
    </row>
    <row r="8070" spans="8:8" s="930" customFormat="1">
      <c r="H8070" s="989"/>
    </row>
    <row r="8071" spans="8:8" s="930" customFormat="1">
      <c r="H8071" s="989"/>
    </row>
    <row r="8072" spans="8:8" s="930" customFormat="1">
      <c r="H8072" s="989"/>
    </row>
    <row r="8073" spans="8:8" s="930" customFormat="1">
      <c r="H8073" s="989"/>
    </row>
    <row r="8074" spans="8:8" s="930" customFormat="1">
      <c r="H8074" s="989"/>
    </row>
    <row r="8075" spans="8:8" s="930" customFormat="1">
      <c r="H8075" s="989"/>
    </row>
    <row r="8076" spans="8:8" s="930" customFormat="1">
      <c r="H8076" s="989"/>
    </row>
    <row r="8077" spans="8:8" s="930" customFormat="1">
      <c r="H8077" s="989"/>
    </row>
    <row r="8078" spans="8:8" s="930" customFormat="1">
      <c r="H8078" s="989"/>
    </row>
    <row r="8079" spans="8:8" s="930" customFormat="1">
      <c r="H8079" s="989"/>
    </row>
    <row r="8080" spans="8:8" s="930" customFormat="1">
      <c r="H8080" s="989"/>
    </row>
    <row r="8081" spans="8:8" s="930" customFormat="1">
      <c r="H8081" s="989"/>
    </row>
    <row r="8082" spans="8:8" s="930" customFormat="1">
      <c r="H8082" s="989"/>
    </row>
    <row r="8083" spans="8:8" s="930" customFormat="1">
      <c r="H8083" s="989"/>
    </row>
    <row r="8084" spans="8:8" s="930" customFormat="1">
      <c r="H8084" s="989"/>
    </row>
    <row r="8085" spans="8:8" s="930" customFormat="1">
      <c r="H8085" s="989"/>
    </row>
    <row r="8086" spans="8:8" s="930" customFormat="1">
      <c r="H8086" s="989"/>
    </row>
    <row r="8087" spans="8:8" s="930" customFormat="1">
      <c r="H8087" s="989"/>
    </row>
    <row r="8088" spans="8:8" s="930" customFormat="1">
      <c r="H8088" s="989"/>
    </row>
    <row r="8089" spans="8:8" s="930" customFormat="1">
      <c r="H8089" s="989"/>
    </row>
    <row r="8090" spans="8:8" s="930" customFormat="1">
      <c r="H8090" s="989"/>
    </row>
    <row r="8091" spans="8:8" s="930" customFormat="1">
      <c r="H8091" s="989"/>
    </row>
    <row r="8092" spans="8:8" s="930" customFormat="1">
      <c r="H8092" s="989"/>
    </row>
    <row r="8093" spans="8:8" s="930" customFormat="1">
      <c r="H8093" s="989"/>
    </row>
    <row r="8094" spans="8:8" s="930" customFormat="1">
      <c r="H8094" s="989"/>
    </row>
    <row r="8095" spans="8:8" s="930" customFormat="1">
      <c r="H8095" s="989"/>
    </row>
    <row r="8096" spans="8:8" s="930" customFormat="1">
      <c r="H8096" s="989"/>
    </row>
    <row r="8097" spans="8:8" s="930" customFormat="1">
      <c r="H8097" s="989"/>
    </row>
    <row r="8098" spans="8:8" s="930" customFormat="1">
      <c r="H8098" s="989"/>
    </row>
    <row r="8099" spans="8:8" s="930" customFormat="1">
      <c r="H8099" s="989"/>
    </row>
    <row r="8100" spans="8:8" s="930" customFormat="1">
      <c r="H8100" s="989"/>
    </row>
    <row r="8101" spans="8:8" s="930" customFormat="1">
      <c r="H8101" s="989"/>
    </row>
    <row r="8102" spans="8:8" s="930" customFormat="1">
      <c r="H8102" s="989"/>
    </row>
    <row r="8103" spans="8:8" s="930" customFormat="1">
      <c r="H8103" s="989"/>
    </row>
    <row r="8104" spans="8:8" s="930" customFormat="1">
      <c r="H8104" s="989"/>
    </row>
    <row r="8105" spans="8:8" s="930" customFormat="1">
      <c r="H8105" s="989"/>
    </row>
    <row r="8106" spans="8:8" s="930" customFormat="1">
      <c r="H8106" s="989"/>
    </row>
    <row r="8107" spans="8:8" s="930" customFormat="1">
      <c r="H8107" s="989"/>
    </row>
    <row r="8108" spans="8:8" s="930" customFormat="1">
      <c r="H8108" s="989"/>
    </row>
    <row r="8109" spans="8:8" s="930" customFormat="1">
      <c r="H8109" s="989"/>
    </row>
    <row r="8110" spans="8:8" s="930" customFormat="1">
      <c r="H8110" s="989"/>
    </row>
    <row r="8111" spans="8:8" s="930" customFormat="1">
      <c r="H8111" s="989"/>
    </row>
    <row r="8112" spans="8:8" s="930" customFormat="1">
      <c r="H8112" s="989"/>
    </row>
    <row r="8113" spans="8:8" s="930" customFormat="1">
      <c r="H8113" s="989"/>
    </row>
    <row r="8114" spans="8:8" s="930" customFormat="1">
      <c r="H8114" s="989"/>
    </row>
    <row r="8115" spans="8:8" s="930" customFormat="1">
      <c r="H8115" s="989"/>
    </row>
    <row r="8116" spans="8:8" s="930" customFormat="1">
      <c r="H8116" s="989"/>
    </row>
    <row r="8117" spans="8:8" s="930" customFormat="1">
      <c r="H8117" s="989"/>
    </row>
    <row r="8118" spans="8:8" s="930" customFormat="1">
      <c r="H8118" s="989"/>
    </row>
    <row r="8119" spans="8:8" s="930" customFormat="1">
      <c r="H8119" s="989"/>
    </row>
    <row r="8120" spans="8:8" s="930" customFormat="1">
      <c r="H8120" s="989"/>
    </row>
    <row r="8121" spans="8:8" s="930" customFormat="1">
      <c r="H8121" s="989"/>
    </row>
    <row r="8122" spans="8:8" s="930" customFormat="1">
      <c r="H8122" s="989"/>
    </row>
    <row r="8123" spans="8:8" s="930" customFormat="1">
      <c r="H8123" s="989"/>
    </row>
    <row r="8124" spans="8:8" s="930" customFormat="1">
      <c r="H8124" s="989"/>
    </row>
    <row r="8125" spans="8:8" s="930" customFormat="1">
      <c r="H8125" s="989"/>
    </row>
    <row r="8126" spans="8:8" s="930" customFormat="1">
      <c r="H8126" s="989"/>
    </row>
    <row r="8127" spans="8:8" s="930" customFormat="1">
      <c r="H8127" s="989"/>
    </row>
    <row r="8128" spans="8:8" s="930" customFormat="1">
      <c r="H8128" s="989"/>
    </row>
    <row r="8129" spans="8:8" s="930" customFormat="1">
      <c r="H8129" s="989"/>
    </row>
    <row r="8130" spans="8:8" s="930" customFormat="1">
      <c r="H8130" s="989"/>
    </row>
    <row r="8131" spans="8:8" s="930" customFormat="1">
      <c r="H8131" s="989"/>
    </row>
    <row r="8132" spans="8:8" s="930" customFormat="1">
      <c r="H8132" s="989"/>
    </row>
    <row r="8133" spans="8:8" s="930" customFormat="1">
      <c r="H8133" s="989"/>
    </row>
    <row r="8134" spans="8:8" s="930" customFormat="1">
      <c r="H8134" s="989"/>
    </row>
    <row r="8135" spans="8:8" s="930" customFormat="1">
      <c r="H8135" s="989"/>
    </row>
    <row r="8136" spans="8:8" s="930" customFormat="1">
      <c r="H8136" s="989"/>
    </row>
    <row r="8137" spans="8:8" s="930" customFormat="1">
      <c r="H8137" s="989"/>
    </row>
    <row r="8138" spans="8:8" s="930" customFormat="1">
      <c r="H8138" s="989"/>
    </row>
    <row r="8139" spans="8:8" s="930" customFormat="1">
      <c r="H8139" s="989"/>
    </row>
    <row r="8140" spans="8:8" s="930" customFormat="1">
      <c r="H8140" s="989"/>
    </row>
    <row r="8141" spans="8:8" s="930" customFormat="1">
      <c r="H8141" s="989"/>
    </row>
    <row r="8142" spans="8:8" s="930" customFormat="1">
      <c r="H8142" s="989"/>
    </row>
    <row r="8143" spans="8:8" s="930" customFormat="1">
      <c r="H8143" s="989"/>
    </row>
    <row r="8144" spans="8:8" s="930" customFormat="1">
      <c r="H8144" s="989"/>
    </row>
    <row r="8145" spans="8:8" s="930" customFormat="1">
      <c r="H8145" s="989"/>
    </row>
    <row r="8146" spans="8:8" s="930" customFormat="1">
      <c r="H8146" s="989"/>
    </row>
    <row r="8147" spans="8:8" s="930" customFormat="1">
      <c r="H8147" s="989"/>
    </row>
    <row r="8148" spans="8:8" s="930" customFormat="1">
      <c r="H8148" s="989"/>
    </row>
    <row r="8149" spans="8:8" s="930" customFormat="1">
      <c r="H8149" s="989"/>
    </row>
    <row r="8150" spans="8:8" s="930" customFormat="1">
      <c r="H8150" s="989"/>
    </row>
    <row r="8151" spans="8:8" s="930" customFormat="1">
      <c r="H8151" s="989"/>
    </row>
    <row r="8152" spans="8:8" s="930" customFormat="1">
      <c r="H8152" s="989"/>
    </row>
    <row r="8153" spans="8:8" s="930" customFormat="1">
      <c r="H8153" s="989"/>
    </row>
    <row r="8154" spans="8:8" s="930" customFormat="1">
      <c r="H8154" s="989"/>
    </row>
    <row r="8155" spans="8:8" s="930" customFormat="1">
      <c r="H8155" s="989"/>
    </row>
    <row r="8156" spans="8:8" s="930" customFormat="1">
      <c r="H8156" s="989"/>
    </row>
    <row r="8157" spans="8:8" s="930" customFormat="1">
      <c r="H8157" s="989"/>
    </row>
    <row r="8158" spans="8:8" s="930" customFormat="1">
      <c r="H8158" s="989"/>
    </row>
    <row r="8159" spans="8:8" s="930" customFormat="1">
      <c r="H8159" s="989"/>
    </row>
    <row r="8160" spans="8:8" s="930" customFormat="1">
      <c r="H8160" s="989"/>
    </row>
    <row r="8161" spans="8:8" s="930" customFormat="1">
      <c r="H8161" s="989"/>
    </row>
    <row r="8162" spans="8:8" s="930" customFormat="1">
      <c r="H8162" s="989"/>
    </row>
    <row r="8163" spans="8:8" s="930" customFormat="1">
      <c r="H8163" s="989"/>
    </row>
    <row r="8164" spans="8:8" s="930" customFormat="1">
      <c r="H8164" s="989"/>
    </row>
    <row r="8165" spans="8:8" s="930" customFormat="1">
      <c r="H8165" s="989"/>
    </row>
    <row r="8166" spans="8:8" s="930" customFormat="1">
      <c r="H8166" s="989"/>
    </row>
    <row r="8167" spans="8:8" s="930" customFormat="1">
      <c r="H8167" s="989"/>
    </row>
    <row r="8168" spans="8:8" s="930" customFormat="1">
      <c r="H8168" s="989"/>
    </row>
    <row r="8169" spans="8:8" s="930" customFormat="1">
      <c r="H8169" s="989"/>
    </row>
    <row r="8170" spans="8:8" s="930" customFormat="1">
      <c r="H8170" s="989"/>
    </row>
    <row r="8171" spans="8:8" s="930" customFormat="1">
      <c r="H8171" s="989"/>
    </row>
    <row r="8172" spans="8:8" s="930" customFormat="1">
      <c r="H8172" s="989"/>
    </row>
    <row r="8173" spans="8:8" s="930" customFormat="1">
      <c r="H8173" s="989"/>
    </row>
    <row r="8174" spans="8:8" s="930" customFormat="1">
      <c r="H8174" s="989"/>
    </row>
    <row r="8175" spans="8:8" s="930" customFormat="1">
      <c r="H8175" s="989"/>
    </row>
    <row r="8176" spans="8:8" s="930" customFormat="1">
      <c r="H8176" s="989"/>
    </row>
    <row r="8177" spans="8:8" s="930" customFormat="1">
      <c r="H8177" s="989"/>
    </row>
    <row r="8178" spans="8:8" s="930" customFormat="1">
      <c r="H8178" s="989"/>
    </row>
    <row r="8179" spans="8:8" s="930" customFormat="1">
      <c r="H8179" s="989"/>
    </row>
    <row r="8180" spans="8:8" s="930" customFormat="1">
      <c r="H8180" s="989"/>
    </row>
    <row r="8181" spans="8:8" s="930" customFormat="1">
      <c r="H8181" s="989"/>
    </row>
    <row r="8182" spans="8:8" s="930" customFormat="1">
      <c r="H8182" s="989"/>
    </row>
    <row r="8183" spans="8:8" s="930" customFormat="1">
      <c r="H8183" s="989"/>
    </row>
    <row r="8184" spans="8:8" s="930" customFormat="1">
      <c r="H8184" s="989"/>
    </row>
    <row r="8185" spans="8:8" s="930" customFormat="1">
      <c r="H8185" s="989"/>
    </row>
    <row r="8186" spans="8:8" s="930" customFormat="1">
      <c r="H8186" s="989"/>
    </row>
    <row r="8187" spans="8:8" s="930" customFormat="1">
      <c r="H8187" s="989"/>
    </row>
    <row r="8188" spans="8:8" s="930" customFormat="1">
      <c r="H8188" s="989"/>
    </row>
    <row r="8189" spans="8:8" s="930" customFormat="1">
      <c r="H8189" s="989"/>
    </row>
    <row r="8190" spans="8:8" s="930" customFormat="1">
      <c r="H8190" s="989"/>
    </row>
    <row r="8191" spans="8:8" s="930" customFormat="1">
      <c r="H8191" s="989"/>
    </row>
    <row r="8192" spans="8:8" s="930" customFormat="1">
      <c r="H8192" s="989"/>
    </row>
    <row r="8193" spans="8:8" s="930" customFormat="1">
      <c r="H8193" s="989"/>
    </row>
    <row r="8194" spans="8:8" s="930" customFormat="1">
      <c r="H8194" s="989"/>
    </row>
    <row r="8195" spans="8:8" s="930" customFormat="1">
      <c r="H8195" s="989"/>
    </row>
    <row r="8196" spans="8:8" s="930" customFormat="1">
      <c r="H8196" s="989"/>
    </row>
    <row r="8197" spans="8:8" s="930" customFormat="1">
      <c r="H8197" s="989"/>
    </row>
    <row r="8198" spans="8:8" s="930" customFormat="1">
      <c r="H8198" s="989"/>
    </row>
    <row r="8199" spans="8:8" s="930" customFormat="1">
      <c r="H8199" s="989"/>
    </row>
    <row r="8200" spans="8:8" s="930" customFormat="1">
      <c r="H8200" s="989"/>
    </row>
    <row r="8201" spans="8:8" s="930" customFormat="1">
      <c r="H8201" s="989"/>
    </row>
    <row r="8202" spans="8:8" s="930" customFormat="1">
      <c r="H8202" s="989"/>
    </row>
    <row r="8203" spans="8:8" s="930" customFormat="1">
      <c r="H8203" s="989"/>
    </row>
    <row r="8204" spans="8:8" s="930" customFormat="1">
      <c r="H8204" s="989"/>
    </row>
    <row r="8205" spans="8:8" s="930" customFormat="1">
      <c r="H8205" s="989"/>
    </row>
    <row r="8206" spans="8:8" s="930" customFormat="1">
      <c r="H8206" s="989"/>
    </row>
    <row r="8207" spans="8:8" s="930" customFormat="1">
      <c r="H8207" s="989"/>
    </row>
    <row r="8208" spans="8:8" s="930" customFormat="1">
      <c r="H8208" s="989"/>
    </row>
    <row r="8209" spans="8:8" s="930" customFormat="1">
      <c r="H8209" s="989"/>
    </row>
    <row r="8210" spans="8:8" s="930" customFormat="1">
      <c r="H8210" s="989"/>
    </row>
    <row r="8211" spans="8:8" s="930" customFormat="1">
      <c r="H8211" s="989"/>
    </row>
    <row r="8212" spans="8:8" s="930" customFormat="1">
      <c r="H8212" s="989"/>
    </row>
    <row r="8213" spans="8:8" s="930" customFormat="1">
      <c r="H8213" s="989"/>
    </row>
    <row r="8214" spans="8:8" s="930" customFormat="1">
      <c r="H8214" s="989"/>
    </row>
    <row r="8215" spans="8:8" s="930" customFormat="1">
      <c r="H8215" s="989"/>
    </row>
    <row r="8216" spans="8:8" s="930" customFormat="1">
      <c r="H8216" s="989"/>
    </row>
    <row r="8217" spans="8:8" s="930" customFormat="1">
      <c r="H8217" s="989"/>
    </row>
    <row r="8218" spans="8:8" s="930" customFormat="1">
      <c r="H8218" s="989"/>
    </row>
    <row r="8219" spans="8:8" s="930" customFormat="1">
      <c r="H8219" s="989"/>
    </row>
    <row r="8220" spans="8:8" s="930" customFormat="1">
      <c r="H8220" s="989"/>
    </row>
    <row r="8221" spans="8:8" s="930" customFormat="1">
      <c r="H8221" s="989"/>
    </row>
    <row r="8222" spans="8:8" s="930" customFormat="1">
      <c r="H8222" s="989"/>
    </row>
    <row r="8223" spans="8:8" s="930" customFormat="1">
      <c r="H8223" s="989"/>
    </row>
    <row r="8224" spans="8:8" s="930" customFormat="1">
      <c r="H8224" s="989"/>
    </row>
    <row r="8225" spans="8:8" s="930" customFormat="1">
      <c r="H8225" s="989"/>
    </row>
    <row r="8226" spans="8:8" s="930" customFormat="1">
      <c r="H8226" s="989"/>
    </row>
    <row r="8227" spans="8:8" s="930" customFormat="1">
      <c r="H8227" s="989"/>
    </row>
    <row r="8228" spans="8:8" s="930" customFormat="1">
      <c r="H8228" s="989"/>
    </row>
    <row r="8229" spans="8:8" s="930" customFormat="1">
      <c r="H8229" s="989"/>
    </row>
    <row r="8230" spans="8:8" s="930" customFormat="1">
      <c r="H8230" s="989"/>
    </row>
    <row r="8231" spans="8:8" s="930" customFormat="1">
      <c r="H8231" s="989"/>
    </row>
    <row r="8232" spans="8:8" s="930" customFormat="1">
      <c r="H8232" s="989"/>
    </row>
    <row r="8233" spans="8:8" s="930" customFormat="1">
      <c r="H8233" s="989"/>
    </row>
    <row r="8234" spans="8:8" s="930" customFormat="1">
      <c r="H8234" s="989"/>
    </row>
    <row r="8235" spans="8:8" s="930" customFormat="1">
      <c r="H8235" s="989"/>
    </row>
    <row r="8236" spans="8:8" s="930" customFormat="1">
      <c r="H8236" s="989"/>
    </row>
    <row r="8237" spans="8:8" s="930" customFormat="1">
      <c r="H8237" s="989"/>
    </row>
    <row r="8238" spans="8:8" s="930" customFormat="1">
      <c r="H8238" s="989"/>
    </row>
    <row r="8239" spans="8:8" s="930" customFormat="1">
      <c r="H8239" s="989"/>
    </row>
    <row r="8240" spans="8:8" s="930" customFormat="1">
      <c r="H8240" s="989"/>
    </row>
    <row r="8241" spans="8:8" s="930" customFormat="1">
      <c r="H8241" s="989"/>
    </row>
    <row r="8242" spans="8:8" s="930" customFormat="1">
      <c r="H8242" s="989"/>
    </row>
    <row r="8243" spans="8:8" s="930" customFormat="1">
      <c r="H8243" s="989"/>
    </row>
    <row r="8244" spans="8:8" s="930" customFormat="1">
      <c r="H8244" s="989"/>
    </row>
    <row r="8245" spans="8:8" s="930" customFormat="1">
      <c r="H8245" s="989"/>
    </row>
    <row r="8246" spans="8:8" s="930" customFormat="1">
      <c r="H8246" s="989"/>
    </row>
    <row r="8247" spans="8:8" s="930" customFormat="1">
      <c r="H8247" s="989"/>
    </row>
    <row r="8248" spans="8:8" s="930" customFormat="1">
      <c r="H8248" s="989"/>
    </row>
    <row r="8249" spans="8:8" s="930" customFormat="1">
      <c r="H8249" s="989"/>
    </row>
    <row r="8250" spans="8:8" s="930" customFormat="1">
      <c r="H8250" s="989"/>
    </row>
    <row r="8251" spans="8:8" s="930" customFormat="1">
      <c r="H8251" s="989"/>
    </row>
    <row r="8252" spans="8:8" s="930" customFormat="1">
      <c r="H8252" s="989"/>
    </row>
    <row r="8253" spans="8:8" s="930" customFormat="1">
      <c r="H8253" s="989"/>
    </row>
    <row r="8254" spans="8:8" s="930" customFormat="1">
      <c r="H8254" s="989"/>
    </row>
    <row r="8255" spans="8:8" s="930" customFormat="1">
      <c r="H8255" s="989"/>
    </row>
    <row r="8256" spans="8:8" s="930" customFormat="1">
      <c r="H8256" s="989"/>
    </row>
    <row r="8257" spans="8:8" s="930" customFormat="1">
      <c r="H8257" s="989"/>
    </row>
    <row r="8258" spans="8:8" s="930" customFormat="1">
      <c r="H8258" s="989"/>
    </row>
    <row r="8259" spans="8:8" s="930" customFormat="1">
      <c r="H8259" s="989"/>
    </row>
    <row r="8260" spans="8:8" s="930" customFormat="1">
      <c r="H8260" s="989"/>
    </row>
    <row r="8261" spans="8:8" s="930" customFormat="1">
      <c r="H8261" s="989"/>
    </row>
    <row r="8262" spans="8:8" s="930" customFormat="1">
      <c r="H8262" s="989"/>
    </row>
    <row r="8263" spans="8:8" s="930" customFormat="1">
      <c r="H8263" s="989"/>
    </row>
    <row r="8264" spans="8:8" s="930" customFormat="1">
      <c r="H8264" s="989"/>
    </row>
    <row r="8265" spans="8:8" s="930" customFormat="1">
      <c r="H8265" s="989"/>
    </row>
    <row r="8266" spans="8:8" s="930" customFormat="1">
      <c r="H8266" s="989"/>
    </row>
    <row r="8267" spans="8:8" s="930" customFormat="1">
      <c r="H8267" s="989"/>
    </row>
    <row r="8268" spans="8:8" s="930" customFormat="1">
      <c r="H8268" s="989"/>
    </row>
    <row r="8269" spans="8:8" s="930" customFormat="1">
      <c r="H8269" s="989"/>
    </row>
    <row r="8270" spans="8:8" s="930" customFormat="1">
      <c r="H8270" s="989"/>
    </row>
    <row r="8271" spans="8:8" s="930" customFormat="1">
      <c r="H8271" s="989"/>
    </row>
    <row r="8272" spans="8:8" s="930" customFormat="1">
      <c r="H8272" s="989"/>
    </row>
    <row r="8273" spans="8:8" s="930" customFormat="1">
      <c r="H8273" s="989"/>
    </row>
    <row r="8274" spans="8:8" s="930" customFormat="1">
      <c r="H8274" s="989"/>
    </row>
    <row r="8275" spans="8:8" s="930" customFormat="1">
      <c r="H8275" s="989"/>
    </row>
    <row r="8276" spans="8:8" s="930" customFormat="1">
      <c r="H8276" s="989"/>
    </row>
    <row r="8277" spans="8:8" s="930" customFormat="1">
      <c r="H8277" s="989"/>
    </row>
    <row r="8278" spans="8:8" s="930" customFormat="1">
      <c r="H8278" s="989"/>
    </row>
    <row r="8279" spans="8:8" s="930" customFormat="1">
      <c r="H8279" s="989"/>
    </row>
    <row r="8280" spans="8:8" s="930" customFormat="1">
      <c r="H8280" s="989"/>
    </row>
    <row r="8281" spans="8:8" s="930" customFormat="1">
      <c r="H8281" s="989"/>
    </row>
    <row r="8282" spans="8:8" s="930" customFormat="1">
      <c r="H8282" s="989"/>
    </row>
    <row r="8283" spans="8:8" s="930" customFormat="1">
      <c r="H8283" s="989"/>
    </row>
    <row r="8284" spans="8:8" s="930" customFormat="1">
      <c r="H8284" s="989"/>
    </row>
    <row r="8285" spans="8:8" s="930" customFormat="1">
      <c r="H8285" s="989"/>
    </row>
    <row r="8286" spans="8:8" s="930" customFormat="1">
      <c r="H8286" s="989"/>
    </row>
    <row r="8287" spans="8:8" s="930" customFormat="1">
      <c r="H8287" s="989"/>
    </row>
    <row r="8288" spans="8:8" s="930" customFormat="1">
      <c r="H8288" s="989"/>
    </row>
    <row r="8289" spans="8:8" s="930" customFormat="1">
      <c r="H8289" s="989"/>
    </row>
    <row r="8290" spans="8:8" s="930" customFormat="1">
      <c r="H8290" s="989"/>
    </row>
    <row r="8291" spans="8:8" s="930" customFormat="1">
      <c r="H8291" s="989"/>
    </row>
    <row r="8292" spans="8:8" s="930" customFormat="1">
      <c r="H8292" s="989"/>
    </row>
    <row r="8293" spans="8:8" s="930" customFormat="1">
      <c r="H8293" s="989"/>
    </row>
    <row r="8294" spans="8:8" s="930" customFormat="1">
      <c r="H8294" s="989"/>
    </row>
    <row r="8295" spans="8:8" s="930" customFormat="1">
      <c r="H8295" s="989"/>
    </row>
    <row r="8296" spans="8:8" s="930" customFormat="1">
      <c r="H8296" s="989"/>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3999999999999996"/>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8.xml><?xml version="1.0" encoding="utf-8"?>
<worksheet xmlns="http://schemas.openxmlformats.org/spreadsheetml/2006/main" xmlns:r="http://schemas.openxmlformats.org/officeDocument/2006/relationships">
  <sheetPr codeName="Sheet8"/>
  <dimension ref="A1:V33"/>
  <sheetViews>
    <sheetView view="pageBreakPreview" zoomScaleNormal="70" workbookViewId="0">
      <pane ySplit="1" topLeftCell="A10" activePane="bottomLeft" state="frozen"/>
      <selection pane="bottomLeft" activeCell="D12" sqref="D12"/>
    </sheetView>
  </sheetViews>
  <sheetFormatPr defaultColWidth="7.109375" defaultRowHeight="12.75"/>
  <cols>
    <col min="1" max="3" width="7.109375" style="914"/>
    <col min="4" max="4" width="11.21875" style="914" customWidth="1"/>
    <col min="5" max="5" width="7.109375" style="914"/>
    <col min="6" max="6" width="4.88671875" style="914" customWidth="1"/>
    <col min="7" max="7" width="8" style="914" customWidth="1"/>
    <col min="8" max="8" width="6.44140625" style="914" customWidth="1"/>
    <col min="9" max="9" width="4.21875" style="914" customWidth="1"/>
    <col min="10" max="10" width="8.21875" style="914" customWidth="1"/>
    <col min="11" max="11" width="5.88671875" style="914" customWidth="1"/>
    <col min="12" max="12" width="6.109375" style="914" customWidth="1"/>
    <col min="13" max="16384" width="7.109375" style="914"/>
  </cols>
  <sheetData>
    <row r="1" spans="1:22" s="913" customFormat="1" ht="178.5">
      <c r="B1" s="915" t="s">
        <v>2794</v>
      </c>
      <c r="C1" s="915"/>
      <c r="D1" s="915" t="s">
        <v>2795</v>
      </c>
      <c r="E1" s="915"/>
      <c r="F1" s="915"/>
      <c r="G1" s="915" t="s">
        <v>2796</v>
      </c>
      <c r="H1" s="915"/>
      <c r="I1" s="915"/>
      <c r="J1" s="915" t="s">
        <v>2797</v>
      </c>
      <c r="K1" s="915"/>
      <c r="L1" s="915"/>
      <c r="M1" s="915" t="s">
        <v>2798</v>
      </c>
      <c r="N1" s="915"/>
      <c r="O1" s="915"/>
      <c r="P1" s="915" t="s">
        <v>2799</v>
      </c>
      <c r="Q1" s="915"/>
    </row>
    <row r="2" spans="1:22">
      <c r="B2" s="916" t="s">
        <v>2800</v>
      </c>
      <c r="C2" s="916"/>
      <c r="D2" s="917" t="s">
        <v>2801</v>
      </c>
      <c r="G2" s="918" t="s">
        <v>2802</v>
      </c>
    </row>
    <row r="3" spans="1:22">
      <c r="A3" s="919" t="s">
        <v>2803</v>
      </c>
      <c r="B3" s="920">
        <v>7.16</v>
      </c>
      <c r="C3" s="919">
        <f>10*B3</f>
        <v>71.599999999999994</v>
      </c>
      <c r="D3" s="920">
        <v>11.45</v>
      </c>
      <c r="E3" s="919">
        <f>10*D3</f>
        <v>114.5</v>
      </c>
      <c r="F3" s="919"/>
      <c r="G3" s="920">
        <v>9.66</v>
      </c>
      <c r="H3" s="919">
        <f>10*G3</f>
        <v>96.6</v>
      </c>
      <c r="I3" s="919"/>
      <c r="J3" s="920">
        <v>12.88</v>
      </c>
      <c r="K3" s="919">
        <f>10*J3</f>
        <v>128.80000000000001</v>
      </c>
      <c r="L3" s="919"/>
      <c r="M3" s="920">
        <v>16.09</v>
      </c>
      <c r="N3" s="919">
        <f>10*M3</f>
        <v>160.9</v>
      </c>
      <c r="O3" s="919"/>
      <c r="P3" s="920">
        <v>7.86</v>
      </c>
      <c r="Q3" s="923">
        <f>10*P3</f>
        <v>78.599999999999994</v>
      </c>
      <c r="R3" s="919"/>
    </row>
    <row r="4" spans="1:22">
      <c r="A4" s="1163" t="s">
        <v>2804</v>
      </c>
      <c r="B4" s="920">
        <v>6.13</v>
      </c>
      <c r="C4" s="919">
        <f>+C3+10*B4</f>
        <v>132.9</v>
      </c>
      <c r="D4" s="920">
        <v>9.7899999999999991</v>
      </c>
      <c r="E4" s="919">
        <f>+E3+10*D4</f>
        <v>212.4</v>
      </c>
      <c r="F4" s="919"/>
      <c r="G4" s="921">
        <v>8.27</v>
      </c>
      <c r="H4" s="919">
        <f>+H3+10*G4</f>
        <v>179.3</v>
      </c>
      <c r="I4" s="919"/>
      <c r="J4" s="920">
        <v>11.03</v>
      </c>
      <c r="K4" s="919">
        <f>+K3+10*J4</f>
        <v>239.1</v>
      </c>
      <c r="L4" s="919"/>
      <c r="M4" s="926">
        <v>13.78</v>
      </c>
      <c r="N4" s="919">
        <f>+N3+10*M4</f>
        <v>298.7</v>
      </c>
      <c r="O4" s="919"/>
      <c r="P4" s="920">
        <v>6.73</v>
      </c>
      <c r="Q4" s="919">
        <f>+Q3+10*P4</f>
        <v>145.9</v>
      </c>
      <c r="R4" s="919"/>
    </row>
    <row r="5" spans="1:22">
      <c r="A5" s="919" t="s">
        <v>2805</v>
      </c>
      <c r="B5" s="920">
        <v>5.27</v>
      </c>
      <c r="C5" s="919">
        <f>+C4+20*B5</f>
        <v>238.3</v>
      </c>
      <c r="D5" s="920">
        <v>8.43</v>
      </c>
      <c r="E5" s="919">
        <f>+E4+20*D5</f>
        <v>381</v>
      </c>
      <c r="F5" s="919"/>
      <c r="G5" s="920">
        <v>7.1</v>
      </c>
      <c r="H5" s="919">
        <f>+H4+20*G5</f>
        <v>321.3</v>
      </c>
      <c r="I5" s="919"/>
      <c r="J5" s="920">
        <v>9.49</v>
      </c>
      <c r="K5" s="919">
        <f>+K4+20*J5</f>
        <v>428.9</v>
      </c>
      <c r="L5" s="919"/>
      <c r="M5" s="920">
        <v>11.85</v>
      </c>
      <c r="N5" s="919">
        <f>+N4+20*M5</f>
        <v>535.70000000000005</v>
      </c>
      <c r="O5" s="919"/>
      <c r="P5" s="920">
        <v>5.8</v>
      </c>
      <c r="Q5" s="919">
        <f>+Q4+20*P5</f>
        <v>261.89999999999998</v>
      </c>
      <c r="R5" s="919"/>
    </row>
    <row r="6" spans="1:22">
      <c r="A6" s="919" t="s">
        <v>2806</v>
      </c>
      <c r="B6" s="920">
        <v>4.54</v>
      </c>
      <c r="C6" s="919">
        <f>+C5+40*B6</f>
        <v>419.9</v>
      </c>
      <c r="D6" s="920">
        <v>7.91</v>
      </c>
      <c r="E6" s="919">
        <f>+E5+40*D6</f>
        <v>697.4</v>
      </c>
      <c r="F6" s="919"/>
      <c r="G6" s="920">
        <v>6.13</v>
      </c>
      <c r="H6" s="919">
        <f>+H5+40*G6</f>
        <v>566.5</v>
      </c>
      <c r="I6" s="919"/>
      <c r="J6" s="920">
        <v>8.17</v>
      </c>
      <c r="K6" s="919">
        <f>+K5+40*J6</f>
        <v>755.7</v>
      </c>
      <c r="L6" s="919"/>
      <c r="M6" s="920">
        <v>10.23</v>
      </c>
      <c r="N6" s="919">
        <f>+N5+40*M6</f>
        <v>944.9</v>
      </c>
      <c r="O6" s="919"/>
      <c r="P6" s="920">
        <v>5.01</v>
      </c>
      <c r="Q6" s="919">
        <f>+Q5+40*P6</f>
        <v>462.3</v>
      </c>
      <c r="R6" s="919"/>
    </row>
    <row r="7" spans="1:22">
      <c r="A7" s="919" t="s">
        <v>2807</v>
      </c>
      <c r="B7" s="920">
        <v>4.1399999999999997</v>
      </c>
      <c r="C7" s="919"/>
      <c r="D7" s="920">
        <v>6.63</v>
      </c>
      <c r="E7" s="919"/>
      <c r="F7" s="919"/>
      <c r="G7" s="920">
        <v>5.61</v>
      </c>
      <c r="H7" s="919"/>
      <c r="I7" s="919"/>
      <c r="J7" s="920">
        <v>7.46</v>
      </c>
      <c r="K7" s="919"/>
      <c r="L7" s="919"/>
      <c r="M7" s="920">
        <v>9.33</v>
      </c>
      <c r="N7" s="919"/>
      <c r="O7" s="919"/>
      <c r="P7" s="920">
        <v>4.5599999999999996</v>
      </c>
      <c r="Q7" s="919"/>
      <c r="R7" s="919"/>
    </row>
    <row r="8" spans="1:22" ht="5.25" customHeight="1">
      <c r="A8" s="919"/>
      <c r="B8" s="919"/>
      <c r="C8" s="919"/>
      <c r="D8" s="919"/>
      <c r="E8" s="919"/>
      <c r="F8" s="919"/>
      <c r="G8" s="919"/>
      <c r="H8" s="919"/>
      <c r="I8" s="919"/>
      <c r="J8" s="919"/>
      <c r="K8" s="919"/>
      <c r="L8" s="919"/>
      <c r="M8" s="919"/>
      <c r="N8" s="919"/>
      <c r="O8" s="919"/>
      <c r="P8" s="919"/>
      <c r="Q8" s="919"/>
      <c r="R8" s="919"/>
    </row>
    <row r="9" spans="1:22" ht="6.75" customHeight="1">
      <c r="A9" s="919"/>
      <c r="B9" s="922"/>
      <c r="C9" s="922"/>
      <c r="D9" s="919"/>
      <c r="E9" s="919"/>
      <c r="F9" s="919"/>
      <c r="G9" s="919"/>
      <c r="H9" s="919"/>
      <c r="I9" s="919"/>
      <c r="J9" s="919"/>
      <c r="K9" s="919"/>
      <c r="L9" s="919"/>
      <c r="M9" s="919"/>
      <c r="N9" s="919"/>
      <c r="O9" s="919"/>
      <c r="P9" s="919"/>
      <c r="Q9" s="919"/>
      <c r="R9" s="919"/>
    </row>
    <row r="10" spans="1:22" ht="28.5" customHeight="1">
      <c r="A10" s="919"/>
      <c r="B10" s="919" t="s">
        <v>2808</v>
      </c>
      <c r="C10" s="919"/>
      <c r="D10" s="919">
        <v>26</v>
      </c>
      <c r="E10" s="923">
        <f>IF(D10&lt;11,D10*$D$3,IF(D10&lt;21,($E$3+(D10-10)*$D$4),IF(D10&lt;41,$E$4+(D10-20)*$D$5,IF(D10&lt;81,($E$5+(D10-40)*$D$6),$E$6+(D10-80)*$D$7))))</f>
        <v>262.98</v>
      </c>
      <c r="F10" s="919"/>
      <c r="G10" s="919">
        <v>15</v>
      </c>
      <c r="H10" s="919">
        <f>IF(G10&lt;11,G10*$G$3,IF(G10&lt;21,($H$3+(G10-10)*$G$4),IF(G10&lt;41,$H$4+(G10-20)*$G$5,IF(G10&lt;81,($H$5+(G10-40)*$G$6),$H$6+(G10-80)*$G$7))))</f>
        <v>137.94999999999999</v>
      </c>
      <c r="I10" s="919"/>
      <c r="J10" s="919"/>
      <c r="K10" s="919"/>
      <c r="L10" s="924" t="s">
        <v>2809</v>
      </c>
      <c r="M10" s="919">
        <v>15</v>
      </c>
      <c r="N10" s="919">
        <f>IF(M10&lt;11,M10*$M$3,IF(M10&lt;21,($N$3+(M10-10)*$M$4),IF(M10&lt;41,$N$4+(M10-20)*$M$5,IF(M10&lt;81,($N$5+(M10-40)*$M$6),$N$6+(M10-80)*$M$7))))</f>
        <v>229.8</v>
      </c>
      <c r="O10" s="919"/>
      <c r="P10" s="919">
        <f>G10</f>
        <v>15</v>
      </c>
      <c r="Q10" s="914">
        <f>IF(P10&lt;11,P10*$P$3,IF(P10&lt;21,($Q$3+(P10-10)*$P$4),IF(P10&lt;41,$Q$4+(P10-20)*$P$5,IF(P10&lt;81,($Q$5+(P10-40)*$P$6),$Q$6+(P10-80)*$P$7))))</f>
        <v>112.25</v>
      </c>
      <c r="R10" s="919" t="s">
        <v>2810</v>
      </c>
    </row>
    <row r="11" spans="1:22">
      <c r="A11" s="919"/>
      <c r="B11" s="919" t="s">
        <v>2811</v>
      </c>
      <c r="C11" s="919"/>
      <c r="D11" s="919">
        <v>34</v>
      </c>
      <c r="E11" s="923">
        <f>IF(D11&lt;11,D11*$D$3,(IF(D11&lt;21,($E$3+(D11-10)*$D$4),(IF(D11&lt;41,$E$4+(D11-20)*$D$5,IF(D11&lt;81,($E$5+(D11-40)*$D$6),$E$6+(D11-80)*$D$7))))))</f>
        <v>330.42</v>
      </c>
      <c r="F11" s="919"/>
      <c r="G11" s="919"/>
      <c r="H11" s="919">
        <f>IF(G11&lt;11,G11*$G$3,IF(G11&lt;21,($H$3+(G11-10)*$G$4),IF(G11&lt;41,$H$4+(G11-20)*$G$5,IF(G11&lt;81,($H$5+(G11-40)*$G$6),$H$6+(G11-80)*$G$7))))</f>
        <v>0</v>
      </c>
      <c r="I11" s="919"/>
      <c r="J11" s="919">
        <v>0</v>
      </c>
      <c r="K11" s="919">
        <f>IF(J11&lt;11,J11*$J$3,IF(J11&lt;21,($K$3+(J11-10)*$J$4),IF(J11&lt;41,$K$4+(J11-20)*$J$5,IF(J11&lt;81,($K$5+(J11-40)*$J$6),$K$6+(J11-80)*$J$7))))/2</f>
        <v>0</v>
      </c>
      <c r="L11" s="927" t="s">
        <v>2812</v>
      </c>
      <c r="M11" s="919"/>
      <c r="N11" s="919"/>
      <c r="O11" s="919"/>
      <c r="P11" s="919">
        <v>3</v>
      </c>
      <c r="Q11" s="914">
        <f>IF(P11&lt;11,P11*$P$3,IF(P11&lt;21,($Q$3+(P11-10)*$P$4),IF(P11&lt;41,$Q$4+(P11-20)*$P$5,IF(P11&lt;81,($Q$5+(P11-40)*$P$6),$Q$6+(P11-80)*$P$7))))</f>
        <v>23.58</v>
      </c>
      <c r="R11" s="919" t="s">
        <v>2813</v>
      </c>
      <c r="T11" s="919" t="s">
        <v>2814</v>
      </c>
    </row>
    <row r="12" spans="1:22" ht="21" customHeight="1">
      <c r="A12" s="919"/>
      <c r="B12" s="924" t="s">
        <v>2815</v>
      </c>
      <c r="C12" s="924"/>
      <c r="D12" s="919">
        <v>53</v>
      </c>
      <c r="E12" s="919">
        <f>IF(D12&lt;11,D12*$D$3,(IF(D12&lt;21,($E$3+(D12-10)*$D$4),(IF(D12&lt;41,$E$4+(D12-20)*$D$5,IF(D12&lt;81,($E$5+(D12-40)*$D$6),$E$6+(D12-80)*$D$7))))))</f>
        <v>483.83</v>
      </c>
      <c r="F12" s="919"/>
      <c r="G12" s="919"/>
      <c r="H12" s="919"/>
      <c r="I12" s="919"/>
      <c r="J12" s="919">
        <v>0</v>
      </c>
      <c r="K12" s="919">
        <f>IF(J12&lt;11,J12*$J$3,IF(J12&lt;21,($K$3+(J12-10)*$J$4),IF(J12&lt;41,$K$4+(J12-20)*$J$5,IF(J12&lt;81,($K$5+(J12-40)*$J$6),$K$6+(J12-80)*$J$7))))/2</f>
        <v>0</v>
      </c>
      <c r="L12" s="919"/>
      <c r="M12" s="919"/>
      <c r="N12" s="919">
        <f>90+77.5+6.85*20+5.7*23</f>
        <v>435.6</v>
      </c>
      <c r="O12" s="919"/>
      <c r="P12" s="919">
        <v>0</v>
      </c>
      <c r="Q12" s="914">
        <f>IF(P12&lt;11,P12*$P$3,IF(P12&lt;21,($Q$3+(P12-10)*$P$4),IF(P12&lt;41,$Q$4+(P12-20)*$P$5,IF(P12&lt;81,($Q$5+(P12-40)*$P$6),$Q$6+(P12-80)*$P$7))))</f>
        <v>0</v>
      </c>
      <c r="R12" s="919" t="s">
        <v>2816</v>
      </c>
      <c r="T12" s="914">
        <f>8.69*6</f>
        <v>52.14</v>
      </c>
      <c r="U12" s="918" t="s">
        <v>2817</v>
      </c>
    </row>
    <row r="13" spans="1:22">
      <c r="A13" s="919"/>
      <c r="B13" s="919" t="s">
        <v>276</v>
      </c>
      <c r="C13" s="919"/>
      <c r="D13" s="919">
        <v>12</v>
      </c>
      <c r="E13" s="923">
        <f>IF(D13&lt;11,D13*$D$3,(IF(D13&lt;21,($E$3+(D13-10)*$D$4),(IF(D13&lt;41,$E$4+(D13-20)*$D$5,IF(D13&lt;81,($E$5+(D13-40)*$D$6),$E$6+(D13-80)*$D$7))))))</f>
        <v>134.08000000000001</v>
      </c>
      <c r="F13" s="919"/>
      <c r="G13" s="919"/>
      <c r="H13" s="919"/>
      <c r="I13" s="919"/>
      <c r="J13" s="919"/>
      <c r="K13" s="919"/>
      <c r="L13" s="919"/>
      <c r="M13" s="919"/>
      <c r="N13" s="919"/>
      <c r="O13" s="919"/>
      <c r="P13" s="919">
        <v>26</v>
      </c>
      <c r="Q13" s="914">
        <f>IF(P13&lt;11,P13*$P$3,IF(P13&lt;21,($Q$3+(P13-10)*$P$4),IF(P13&lt;41,$Q$4+(P13-20)*$P$5,IF(P13&lt;81,($Q$5+(P13-40)*$P$6),$Q$6+(P13-80)*$P$7))))</f>
        <v>180.7</v>
      </c>
      <c r="R13" s="919" t="s">
        <v>2818</v>
      </c>
    </row>
    <row r="14" spans="1:22">
      <c r="A14" s="919"/>
      <c r="B14" s="919" t="s">
        <v>38</v>
      </c>
      <c r="C14" s="919"/>
      <c r="D14" s="919">
        <v>0</v>
      </c>
      <c r="E14" s="919">
        <f>IF(D14&lt;11,D14*$B$3,(IF(D14&lt;21,($C$3+(D14-10)*$B$4),(IF(D14&lt;41,$C$4+(D14-20)*$B$5,IF(D14&lt;81,($C$5+(D14-40)*$B$6),$C$6+(D14-80)*$B$7))))))</f>
        <v>0</v>
      </c>
      <c r="F14" s="919"/>
      <c r="G14" s="919"/>
      <c r="H14" s="919"/>
      <c r="I14" s="919"/>
      <c r="J14" s="919"/>
      <c r="K14" s="919"/>
      <c r="L14" s="919"/>
      <c r="M14" s="919"/>
      <c r="N14" s="919"/>
      <c r="O14" s="919"/>
      <c r="P14" s="919"/>
      <c r="R14" s="919"/>
      <c r="S14" s="914" t="s">
        <v>85</v>
      </c>
      <c r="T14" s="919" t="s">
        <v>85</v>
      </c>
      <c r="U14" s="914">
        <f>8.69+7.44+6.4+6</f>
        <v>28.53</v>
      </c>
      <c r="V14" s="914">
        <f>U14*44</f>
        <v>1255.32</v>
      </c>
    </row>
    <row r="15" spans="1:22">
      <c r="A15" s="919"/>
      <c r="B15" s="919" t="s">
        <v>2819</v>
      </c>
      <c r="C15" s="919"/>
      <c r="D15" s="919">
        <v>0</v>
      </c>
      <c r="E15" s="919">
        <f>IF(D15&lt;11,D15*$B$3,(IF(D15&lt;21,($C$3+(D15-10)*$B$4),(IF(D15&lt;41,$C$4+(D15-20)*$B$5,IF(D15&lt;81,($C$5+(D15-40)*$B$6),$C$6+(D15-80)*$B$7))))))</f>
        <v>0</v>
      </c>
      <c r="F15" s="919"/>
      <c r="G15" s="919"/>
      <c r="H15" s="919"/>
      <c r="I15" s="919"/>
      <c r="J15" s="919"/>
      <c r="K15" s="919"/>
      <c r="L15" s="919"/>
      <c r="M15" s="919"/>
      <c r="N15" s="919"/>
      <c r="O15" s="919"/>
      <c r="P15" s="919"/>
      <c r="R15" s="919"/>
    </row>
    <row r="16" spans="1:22">
      <c r="A16" s="919"/>
      <c r="B16" s="919" t="s">
        <v>2820</v>
      </c>
      <c r="C16" s="919"/>
      <c r="D16" s="919">
        <v>12</v>
      </c>
      <c r="E16" s="923">
        <f t="shared" ref="E16:E21" si="0">IF(D16&lt;11,D16*$D$3,(IF(D16&lt;21,($E$3+(D16-10)*$D$4),(IF(D16&lt;41,$E$4+(D16-20)*$D$5,IF(D16&lt;81,($E$5+(D16-40)*$D$6),$E$6+(D16-80)*$D$7))))))</f>
        <v>134.08000000000001</v>
      </c>
      <c r="F16" s="919"/>
      <c r="G16" s="919"/>
      <c r="H16" s="919"/>
      <c r="I16" s="919"/>
      <c r="J16" s="919"/>
      <c r="K16" s="919"/>
      <c r="L16" s="919"/>
      <c r="M16" s="919"/>
      <c r="N16" s="919"/>
      <c r="O16" s="919"/>
      <c r="P16" s="919"/>
      <c r="R16" s="919"/>
      <c r="U16" s="914">
        <f>8.69*10</f>
        <v>86.9</v>
      </c>
    </row>
    <row r="17" spans="1:21">
      <c r="A17" s="919"/>
      <c r="B17" s="919"/>
      <c r="C17" s="919"/>
      <c r="D17" s="919">
        <v>0</v>
      </c>
      <c r="E17" s="919">
        <f t="shared" si="0"/>
        <v>0</v>
      </c>
      <c r="F17" s="919"/>
      <c r="G17" s="919"/>
      <c r="H17" s="919"/>
      <c r="I17" s="919"/>
      <c r="J17" s="919"/>
      <c r="K17" s="919"/>
      <c r="L17" s="919"/>
      <c r="M17" s="919"/>
      <c r="N17" s="919"/>
      <c r="O17" s="919"/>
      <c r="P17" s="919"/>
      <c r="Q17" s="919"/>
      <c r="R17" s="919"/>
      <c r="U17" s="914">
        <f>7.44*10</f>
        <v>74.400000000000006</v>
      </c>
    </row>
    <row r="18" spans="1:21">
      <c r="A18" s="919"/>
      <c r="B18" s="919"/>
      <c r="C18" s="919"/>
      <c r="D18" s="919">
        <v>0</v>
      </c>
      <c r="E18" s="919">
        <f t="shared" si="0"/>
        <v>0</v>
      </c>
      <c r="F18" s="919"/>
      <c r="G18" s="923"/>
      <c r="H18" s="923">
        <f>(G18+G19)/2</f>
        <v>0</v>
      </c>
      <c r="I18" s="919"/>
      <c r="J18" s="919"/>
      <c r="K18" s="919"/>
      <c r="L18" s="919"/>
      <c r="M18" s="919"/>
      <c r="N18" s="919"/>
      <c r="O18" s="919"/>
      <c r="P18" s="919"/>
      <c r="Q18" s="919"/>
      <c r="R18" s="919"/>
      <c r="U18" s="914">
        <f>6.4*20</f>
        <v>128</v>
      </c>
    </row>
    <row r="19" spans="1:21">
      <c r="A19" s="919"/>
      <c r="B19" s="919"/>
      <c r="C19" s="919"/>
      <c r="D19" s="919">
        <v>0</v>
      </c>
      <c r="E19" s="919">
        <f t="shared" si="0"/>
        <v>0</v>
      </c>
      <c r="F19" s="919"/>
      <c r="G19" s="923"/>
      <c r="H19" s="919">
        <f>15+20+25+0.2</f>
        <v>60.2</v>
      </c>
      <c r="I19" s="919"/>
      <c r="J19" s="919"/>
      <c r="K19" s="919"/>
      <c r="L19" s="919"/>
      <c r="M19" s="919"/>
      <c r="N19" s="919"/>
      <c r="O19" s="919"/>
      <c r="P19" s="919"/>
      <c r="Q19" s="919"/>
      <c r="R19" s="919"/>
      <c r="U19" s="914">
        <f>6*4</f>
        <v>24</v>
      </c>
    </row>
    <row r="20" spans="1:21">
      <c r="D20" s="919">
        <v>0</v>
      </c>
      <c r="E20" s="914">
        <f t="shared" si="0"/>
        <v>0</v>
      </c>
      <c r="G20" s="925"/>
      <c r="U20" s="918">
        <f>SUM(U16:U19)</f>
        <v>313.3</v>
      </c>
    </row>
    <row r="21" spans="1:21">
      <c r="D21" s="919">
        <v>0</v>
      </c>
      <c r="E21" s="914">
        <f t="shared" si="0"/>
        <v>0</v>
      </c>
      <c r="G21" s="925"/>
    </row>
    <row r="22" spans="1:21">
      <c r="G22" s="925"/>
    </row>
    <row r="23" spans="1:21">
      <c r="G23" s="925"/>
    </row>
    <row r="24" spans="1:21">
      <c r="G24" s="925"/>
    </row>
    <row r="25" spans="1:21">
      <c r="G25" s="925"/>
      <c r="H25" s="914">
        <f>SUM(G20:G25)/6</f>
        <v>0</v>
      </c>
    </row>
    <row r="26" spans="1:21">
      <c r="G26" s="925"/>
    </row>
    <row r="27" spans="1:21">
      <c r="G27" s="925"/>
    </row>
    <row r="28" spans="1:21">
      <c r="G28" s="925"/>
    </row>
    <row r="29" spans="1:21">
      <c r="G29" s="925"/>
    </row>
    <row r="30" spans="1:21">
      <c r="G30" s="925"/>
    </row>
    <row r="31" spans="1:21">
      <c r="G31" s="925"/>
    </row>
    <row r="32" spans="1:21">
      <c r="G32" s="925"/>
    </row>
    <row r="33" spans="7:7">
      <c r="G33" s="925"/>
    </row>
  </sheetData>
  <pageMargins left="0.45999999999999996" right="0.19" top="1" bottom="1" header="0.5" footer="0.5"/>
  <pageSetup paperSize="9" scale="88" orientation="landscape" r:id="rId1"/>
  <headerFooter alignWithMargins="0"/>
</worksheet>
</file>

<file path=xl/worksheets/sheet9.xml><?xml version="1.0" encoding="utf-8"?>
<worksheet xmlns="http://schemas.openxmlformats.org/spreadsheetml/2006/main" xmlns:r="http://schemas.openxmlformats.org/officeDocument/2006/relationships">
  <sheetPr codeName="Sheet9"/>
  <dimension ref="A1:DZ5475"/>
  <sheetViews>
    <sheetView view="pageBreakPreview" topLeftCell="F373" zoomScale="80" zoomScaleNormal="60" workbookViewId="0">
      <selection activeCell="I375" sqref="I375"/>
    </sheetView>
  </sheetViews>
  <sheetFormatPr defaultColWidth="7.44140625" defaultRowHeight="15.75"/>
  <cols>
    <col min="1" max="1" width="7.77734375" style="325" hidden="1" customWidth="1"/>
    <col min="2" max="2" width="45.77734375" style="325" hidden="1" customWidth="1"/>
    <col min="3" max="3" width="11.77734375" style="325" hidden="1" customWidth="1"/>
    <col min="4" max="4" width="9.77734375" style="325" hidden="1" customWidth="1"/>
    <col min="5" max="5" width="9.21875" style="325" hidden="1" customWidth="1"/>
    <col min="6" max="6" width="7.77734375" style="325" customWidth="1"/>
    <col min="7" max="7" width="6.5546875" style="320" customWidth="1"/>
    <col min="8" max="8" width="46.88671875" style="325" customWidth="1"/>
    <col min="9" max="9" width="10" style="325" customWidth="1"/>
    <col min="10" max="10" width="8.21875" style="458" customWidth="1"/>
    <col min="11" max="11" width="11.44140625" style="325" customWidth="1"/>
    <col min="12" max="12" width="9.77734375" style="325" customWidth="1"/>
    <col min="13" max="13" width="9.5546875" style="325" customWidth="1"/>
    <col min="14" max="14" width="10.88671875" style="325" customWidth="1"/>
    <col min="15" max="15" width="48.109375" style="325" customWidth="1"/>
    <col min="16" max="16" width="9.77734375" style="325" customWidth="1"/>
    <col min="17" max="17" width="9.21875" style="325" customWidth="1"/>
    <col min="18" max="18" width="10.33203125" style="325" customWidth="1"/>
    <col min="19" max="19" width="9.5546875" style="325" customWidth="1"/>
    <col min="20" max="20" width="9" style="325" customWidth="1"/>
    <col min="21" max="21" width="9.21875" style="325" customWidth="1"/>
    <col min="22" max="22" width="52.5546875" style="325" customWidth="1"/>
    <col min="23" max="23" width="14.77734375" style="325" customWidth="1"/>
    <col min="24" max="24" width="10.6640625" style="325" customWidth="1"/>
    <col min="25" max="25" width="13.44140625" style="325" customWidth="1"/>
    <col min="26" max="26" width="9.6640625" style="325" customWidth="1"/>
    <col min="27" max="27" width="8.6640625" style="325" customWidth="1"/>
    <col min="28" max="28" width="9.6640625" style="325" customWidth="1"/>
    <col min="29" max="29" width="10.6640625" style="325" customWidth="1"/>
    <col min="30" max="30" width="59.33203125" style="325" customWidth="1"/>
    <col min="31" max="31" width="8.77734375" style="325" customWidth="1"/>
    <col min="32" max="32" width="8.109375" style="325" bestFit="1" customWidth="1"/>
    <col min="33" max="33" width="9" style="325" customWidth="1"/>
    <col min="34" max="34" width="8.77734375" style="325" customWidth="1"/>
    <col min="35" max="35" width="8.33203125" style="325" bestFit="1" customWidth="1"/>
    <col min="36" max="16384" width="7.44140625" style="325"/>
  </cols>
  <sheetData>
    <row r="1" spans="1:18">
      <c r="A1" s="831"/>
    </row>
    <row r="2" spans="1:18" ht="18.75">
      <c r="A2" s="831"/>
      <c r="H2" s="832" t="s">
        <v>2296</v>
      </c>
    </row>
    <row r="3" spans="1:18">
      <c r="A3" s="831"/>
      <c r="H3" s="833" t="s">
        <v>2821</v>
      </c>
    </row>
    <row r="4" spans="1:18">
      <c r="A4" s="831"/>
    </row>
    <row r="5" spans="1:18" ht="20.25" customHeight="1">
      <c r="A5" s="831"/>
      <c r="H5" s="834" t="s">
        <v>2298</v>
      </c>
    </row>
    <row r="6" spans="1:18" ht="31.5">
      <c r="A6" s="831"/>
      <c r="H6" s="835" t="s">
        <v>2299</v>
      </c>
      <c r="O6" s="842" t="s">
        <v>2300</v>
      </c>
    </row>
    <row r="7" spans="1:18" ht="25.5" customHeight="1">
      <c r="A7" s="831"/>
      <c r="H7" s="835" t="s">
        <v>2301</v>
      </c>
    </row>
    <row r="8" spans="1:18">
      <c r="A8" s="831"/>
      <c r="H8" s="836"/>
    </row>
    <row r="9" spans="1:18" ht="25.5" customHeight="1">
      <c r="A9" s="831"/>
      <c r="H9" s="835" t="s">
        <v>2302</v>
      </c>
    </row>
    <row r="10" spans="1:18">
      <c r="A10" s="831"/>
    </row>
    <row r="11" spans="1:18" ht="187.5" customHeight="1">
      <c r="A11" s="831"/>
      <c r="H11" s="51" t="s">
        <v>2303</v>
      </c>
      <c r="M11" s="49"/>
      <c r="N11" s="49"/>
      <c r="O11" s="51" t="s">
        <v>2822</v>
      </c>
      <c r="P11" s="49"/>
      <c r="Q11" s="49"/>
      <c r="R11" s="49"/>
    </row>
    <row r="12" spans="1:18" ht="36.75" customHeight="1">
      <c r="A12" s="831"/>
      <c r="F12" s="49">
        <v>90</v>
      </c>
      <c r="G12" s="49" t="s">
        <v>13</v>
      </c>
      <c r="H12" s="837" t="s">
        <v>2823</v>
      </c>
      <c r="I12" s="844">
        <v>16.55</v>
      </c>
      <c r="J12" s="49" t="s">
        <v>2306</v>
      </c>
      <c r="K12" s="49">
        <f>F12*I12</f>
        <v>1489.5</v>
      </c>
      <c r="M12" s="49"/>
      <c r="N12" s="49"/>
      <c r="O12" s="842"/>
      <c r="P12" s="49"/>
      <c r="Q12" s="49"/>
      <c r="R12" s="49"/>
    </row>
    <row r="13" spans="1:18" ht="42.75" customHeight="1">
      <c r="A13" s="831"/>
      <c r="E13" s="49"/>
      <c r="F13" s="49">
        <v>45</v>
      </c>
      <c r="G13" s="49" t="s">
        <v>13</v>
      </c>
      <c r="H13" s="51" t="s">
        <v>2824</v>
      </c>
      <c r="I13" s="844">
        <v>20</v>
      </c>
      <c r="J13" s="49" t="s">
        <v>2308</v>
      </c>
      <c r="K13" s="49">
        <f t="shared" ref="K13:K25" si="0">F13*I13</f>
        <v>900</v>
      </c>
      <c r="L13" s="49"/>
      <c r="M13" s="49"/>
      <c r="N13" s="49"/>
      <c r="P13" s="49" t="s">
        <v>85</v>
      </c>
      <c r="Q13" s="49"/>
      <c r="R13" s="49"/>
    </row>
    <row r="14" spans="1:18" ht="24.95" customHeight="1">
      <c r="A14" s="831"/>
      <c r="E14" s="49"/>
      <c r="F14" s="49">
        <v>20</v>
      </c>
      <c r="G14" s="49" t="s">
        <v>1034</v>
      </c>
      <c r="H14" s="49" t="s">
        <v>2825</v>
      </c>
      <c r="I14" s="844">
        <v>3.15</v>
      </c>
      <c r="J14" s="49" t="s">
        <v>1034</v>
      </c>
      <c r="K14" s="49">
        <f t="shared" si="0"/>
        <v>63</v>
      </c>
      <c r="L14" s="49"/>
      <c r="M14" s="49"/>
      <c r="N14" s="49"/>
      <c r="O14" s="49"/>
      <c r="P14" s="49"/>
      <c r="Q14" s="49"/>
      <c r="R14" s="49"/>
    </row>
    <row r="15" spans="1:18" ht="34.5" customHeight="1">
      <c r="A15" s="831"/>
      <c r="E15" s="49"/>
      <c r="F15" s="49">
        <v>10</v>
      </c>
      <c r="G15" s="49" t="s">
        <v>1034</v>
      </c>
      <c r="H15" s="49" t="s">
        <v>2826</v>
      </c>
      <c r="I15" s="52">
        <f>16.05/12</f>
        <v>1.34</v>
      </c>
      <c r="J15" s="49" t="s">
        <v>1034</v>
      </c>
      <c r="K15" s="49">
        <f t="shared" si="0"/>
        <v>13.4</v>
      </c>
      <c r="L15" s="49"/>
      <c r="M15" s="49">
        <v>90</v>
      </c>
      <c r="N15" s="49" t="s">
        <v>13</v>
      </c>
      <c r="O15" s="837" t="s">
        <v>2311</v>
      </c>
      <c r="P15" s="49">
        <f>I25</f>
        <v>16.55</v>
      </c>
      <c r="Q15" s="49" t="s">
        <v>13</v>
      </c>
      <c r="R15" s="49">
        <f>M15*P15</f>
        <v>1489.5</v>
      </c>
    </row>
    <row r="16" spans="1:18" ht="40.5" customHeight="1">
      <c r="A16" s="831"/>
      <c r="E16" s="49"/>
      <c r="F16" s="49">
        <v>1</v>
      </c>
      <c r="G16" s="49" t="s">
        <v>1034</v>
      </c>
      <c r="H16" s="49" t="s">
        <v>2827</v>
      </c>
      <c r="I16" s="52">
        <v>70.7</v>
      </c>
      <c r="J16" s="49" t="s">
        <v>1034</v>
      </c>
      <c r="K16" s="49">
        <f t="shared" si="0"/>
        <v>70.7</v>
      </c>
      <c r="L16" s="49"/>
      <c r="M16" s="49">
        <v>45</v>
      </c>
      <c r="N16" s="49" t="s">
        <v>13</v>
      </c>
      <c r="O16" s="51" t="s">
        <v>2313</v>
      </c>
      <c r="P16" s="49">
        <f>I13</f>
        <v>20</v>
      </c>
      <c r="Q16" s="49" t="s">
        <v>2308</v>
      </c>
      <c r="R16" s="49">
        <f t="shared" ref="R16:R28" si="1">M16*P16</f>
        <v>900</v>
      </c>
    </row>
    <row r="17" spans="1:20">
      <c r="A17" s="831"/>
      <c r="E17" s="49"/>
      <c r="F17" s="49"/>
      <c r="G17" s="49"/>
      <c r="H17" s="49"/>
      <c r="I17" s="49"/>
      <c r="J17" s="49"/>
      <c r="K17" s="49"/>
      <c r="L17" s="49"/>
      <c r="M17" s="49">
        <v>75</v>
      </c>
      <c r="N17" s="49" t="s">
        <v>1034</v>
      </c>
      <c r="O17" s="49" t="s">
        <v>2828</v>
      </c>
      <c r="P17" s="52">
        <v>3.45</v>
      </c>
      <c r="Q17" s="49" t="s">
        <v>2315</v>
      </c>
      <c r="R17" s="49">
        <f>M17*P17/12</f>
        <v>21.56</v>
      </c>
    </row>
    <row r="18" spans="1:20" ht="24.95" customHeight="1">
      <c r="A18" s="831"/>
      <c r="E18" s="49"/>
      <c r="F18" s="838">
        <v>1.4999999999999999E-2</v>
      </c>
      <c r="G18" s="49" t="s">
        <v>724</v>
      </c>
      <c r="H18" s="49" t="s">
        <v>2829</v>
      </c>
      <c r="I18" s="844">
        <v>661</v>
      </c>
      <c r="J18" s="49" t="s">
        <v>724</v>
      </c>
      <c r="K18" s="49">
        <f t="shared" si="0"/>
        <v>9.92</v>
      </c>
      <c r="L18" s="49"/>
      <c r="M18" s="49">
        <v>12</v>
      </c>
      <c r="N18" s="49" t="s">
        <v>1034</v>
      </c>
      <c r="O18" s="49" t="s">
        <v>2317</v>
      </c>
      <c r="P18" s="49">
        <f>I14</f>
        <v>3.15</v>
      </c>
      <c r="Q18" s="49" t="s">
        <v>1034</v>
      </c>
      <c r="R18" s="49">
        <f t="shared" si="1"/>
        <v>37.799999999999997</v>
      </c>
    </row>
    <row r="19" spans="1:20" ht="24.95" customHeight="1">
      <c r="A19" s="831"/>
      <c r="E19" s="49"/>
      <c r="F19" s="49">
        <v>10</v>
      </c>
      <c r="G19" s="49" t="s">
        <v>1034</v>
      </c>
      <c r="H19" s="49" t="s">
        <v>2830</v>
      </c>
      <c r="I19" s="844">
        <f>194.5/12</f>
        <v>16.21</v>
      </c>
      <c r="J19" s="49" t="s">
        <v>1034</v>
      </c>
      <c r="K19" s="49">
        <f t="shared" si="0"/>
        <v>162.1</v>
      </c>
      <c r="L19" s="49"/>
      <c r="M19" s="49">
        <v>6</v>
      </c>
      <c r="N19" s="49" t="s">
        <v>1034</v>
      </c>
      <c r="O19" s="49" t="s">
        <v>2319</v>
      </c>
      <c r="P19" s="49">
        <f>I15</f>
        <v>1.34</v>
      </c>
      <c r="Q19" s="49" t="s">
        <v>1034</v>
      </c>
      <c r="R19" s="49">
        <f t="shared" si="1"/>
        <v>8.0399999999999991</v>
      </c>
    </row>
    <row r="20" spans="1:20" ht="24.95" customHeight="1">
      <c r="A20" s="831"/>
      <c r="E20" s="49"/>
      <c r="F20" s="49">
        <v>10</v>
      </c>
      <c r="G20" s="49" t="s">
        <v>1034</v>
      </c>
      <c r="H20" s="49" t="s">
        <v>2831</v>
      </c>
      <c r="I20" s="844">
        <v>13.8</v>
      </c>
      <c r="J20" s="49" t="s">
        <v>1034</v>
      </c>
      <c r="K20" s="49">
        <f t="shared" si="0"/>
        <v>138</v>
      </c>
      <c r="L20" s="49"/>
      <c r="M20" s="49">
        <v>150</v>
      </c>
      <c r="N20" s="49" t="s">
        <v>41</v>
      </c>
      <c r="O20" s="49" t="s">
        <v>2832</v>
      </c>
      <c r="P20" s="49">
        <f>I749</f>
        <v>287</v>
      </c>
      <c r="Q20" s="49">
        <v>1000</v>
      </c>
      <c r="R20" s="49">
        <f>(M20*P20)/1000</f>
        <v>43.05</v>
      </c>
    </row>
    <row r="21" spans="1:20" ht="24.95" customHeight="1">
      <c r="A21" s="831"/>
      <c r="E21" s="49"/>
      <c r="F21" s="49">
        <v>10</v>
      </c>
      <c r="G21" s="49" t="s">
        <v>1034</v>
      </c>
      <c r="H21" s="49" t="s">
        <v>2833</v>
      </c>
      <c r="I21" s="844">
        <f>43.25/12</f>
        <v>3.6</v>
      </c>
      <c r="J21" s="49" t="s">
        <v>1034</v>
      </c>
      <c r="K21" s="49">
        <f t="shared" si="0"/>
        <v>36</v>
      </c>
      <c r="L21" s="49"/>
      <c r="M21" s="838">
        <v>7</v>
      </c>
      <c r="N21" s="49" t="s">
        <v>41</v>
      </c>
      <c r="O21" s="49" t="s">
        <v>2323</v>
      </c>
      <c r="P21" s="49">
        <f>I21</f>
        <v>3.6</v>
      </c>
      <c r="Q21" s="49" t="s">
        <v>1034</v>
      </c>
      <c r="R21" s="49">
        <f t="shared" si="1"/>
        <v>25.2</v>
      </c>
    </row>
    <row r="22" spans="1:20" ht="24.95" customHeight="1">
      <c r="A22" s="831"/>
      <c r="E22" s="49"/>
      <c r="F22" s="49">
        <v>1.25</v>
      </c>
      <c r="G22" s="49" t="s">
        <v>2324</v>
      </c>
      <c r="H22" s="49" t="s">
        <v>38</v>
      </c>
      <c r="I22" s="844">
        <f>Data!C67/20</f>
        <v>302</v>
      </c>
      <c r="J22" s="49" t="s">
        <v>2324</v>
      </c>
      <c r="K22" s="49">
        <f t="shared" si="0"/>
        <v>377.5</v>
      </c>
      <c r="L22" s="49"/>
      <c r="M22" s="49">
        <v>6</v>
      </c>
      <c r="N22" s="49" t="s">
        <v>1034</v>
      </c>
      <c r="O22" s="49" t="s">
        <v>2325</v>
      </c>
      <c r="P22" s="49">
        <f>I20</f>
        <v>13.8</v>
      </c>
      <c r="Q22" s="49" t="s">
        <v>729</v>
      </c>
      <c r="R22" s="49">
        <f t="shared" si="1"/>
        <v>82.8</v>
      </c>
    </row>
    <row r="23" spans="1:20" ht="24.95" customHeight="1">
      <c r="A23" s="831"/>
      <c r="E23" s="49"/>
      <c r="F23" s="49">
        <v>10</v>
      </c>
      <c r="G23" s="49" t="s">
        <v>1034</v>
      </c>
      <c r="H23" s="49" t="s">
        <v>2834</v>
      </c>
      <c r="I23" s="49">
        <f>I16</f>
        <v>70.7</v>
      </c>
      <c r="J23" s="49" t="s">
        <v>1034</v>
      </c>
      <c r="K23" s="49">
        <f t="shared" si="0"/>
        <v>707</v>
      </c>
      <c r="L23" s="49"/>
      <c r="M23" s="49">
        <v>6</v>
      </c>
      <c r="N23" s="49" t="s">
        <v>1034</v>
      </c>
      <c r="O23" s="49" t="str">
        <f>H19</f>
        <v>5 amps flush type switch p-118, Part-C,1 a ( 194.5/12=16.21)</v>
      </c>
      <c r="P23" s="49">
        <f>I19</f>
        <v>16.21</v>
      </c>
      <c r="Q23" s="49" t="str">
        <f>J19</f>
        <v>No</v>
      </c>
      <c r="R23" s="49">
        <f>(M23*P23)</f>
        <v>97.26</v>
      </c>
    </row>
    <row r="24" spans="1:20" ht="24.95" customHeight="1">
      <c r="A24" s="831"/>
      <c r="E24" s="49"/>
      <c r="F24" s="49">
        <v>0.15</v>
      </c>
      <c r="G24" s="49" t="s">
        <v>724</v>
      </c>
      <c r="H24" s="49" t="s">
        <v>2835</v>
      </c>
      <c r="I24" s="49">
        <f>I18</f>
        <v>661</v>
      </c>
      <c r="J24" s="49" t="s">
        <v>724</v>
      </c>
      <c r="K24" s="49">
        <f t="shared" si="0"/>
        <v>99.15</v>
      </c>
      <c r="L24" s="49"/>
      <c r="M24" s="49">
        <v>1</v>
      </c>
      <c r="N24" s="49" t="s">
        <v>2327</v>
      </c>
      <c r="O24" s="49" t="s">
        <v>2836</v>
      </c>
      <c r="P24" s="49">
        <f>I748</f>
        <v>68.8</v>
      </c>
      <c r="Q24" s="49" t="s">
        <v>2327</v>
      </c>
      <c r="R24" s="49">
        <f>(M24*P24)</f>
        <v>68.8</v>
      </c>
    </row>
    <row r="25" spans="1:20" ht="44.25" customHeight="1">
      <c r="A25" s="831"/>
      <c r="E25" s="49"/>
      <c r="F25" s="49">
        <v>45</v>
      </c>
      <c r="G25" s="49" t="s">
        <v>13</v>
      </c>
      <c r="H25" s="837" t="s">
        <v>2837</v>
      </c>
      <c r="I25" s="49">
        <f>I12</f>
        <v>16.55</v>
      </c>
      <c r="J25" s="49" t="s">
        <v>2330</v>
      </c>
      <c r="K25" s="49">
        <f t="shared" si="0"/>
        <v>744.75</v>
      </c>
      <c r="L25" s="49"/>
      <c r="M25" s="49">
        <v>6</v>
      </c>
      <c r="N25" s="49" t="s">
        <v>41</v>
      </c>
      <c r="O25" s="51" t="s">
        <v>2838</v>
      </c>
      <c r="P25" s="843">
        <v>9.4499999999999993</v>
      </c>
      <c r="Q25" s="49" t="s">
        <v>1034</v>
      </c>
      <c r="R25" s="49">
        <f t="shared" si="1"/>
        <v>56.7</v>
      </c>
    </row>
    <row r="26" spans="1:20" ht="24.95" customHeight="1">
      <c r="A26" s="831"/>
      <c r="E26" s="49"/>
      <c r="F26" s="49" t="s">
        <v>49</v>
      </c>
      <c r="G26" s="49"/>
      <c r="H26" s="49" t="s">
        <v>478</v>
      </c>
      <c r="I26" s="49"/>
      <c r="J26" s="49" t="s">
        <v>49</v>
      </c>
      <c r="K26" s="49">
        <f>K42</f>
        <v>11454</v>
      </c>
      <c r="L26" s="49"/>
      <c r="M26" s="845">
        <v>0.16666666666666666</v>
      </c>
      <c r="N26" s="49" t="s">
        <v>2332</v>
      </c>
      <c r="O26" s="49" t="s">
        <v>38</v>
      </c>
      <c r="P26" s="49">
        <f>I22</f>
        <v>302</v>
      </c>
      <c r="Q26" s="49" t="s">
        <v>2332</v>
      </c>
      <c r="R26" s="49">
        <f t="shared" si="1"/>
        <v>50.33</v>
      </c>
    </row>
    <row r="27" spans="1:20" ht="54" customHeight="1">
      <c r="A27" s="831"/>
      <c r="E27" s="49"/>
      <c r="F27" s="49" t="s">
        <v>49</v>
      </c>
      <c r="G27" s="49"/>
      <c r="H27" s="49" t="s">
        <v>2161</v>
      </c>
      <c r="I27" s="49"/>
      <c r="J27" s="49" t="s">
        <v>49</v>
      </c>
      <c r="K27" s="49">
        <v>34.979999999999997</v>
      </c>
      <c r="L27" s="49"/>
      <c r="M27" s="49">
        <v>45</v>
      </c>
      <c r="N27" s="49" t="s">
        <v>2092</v>
      </c>
      <c r="O27" s="846" t="s">
        <v>2333</v>
      </c>
      <c r="P27" s="49">
        <f>P15</f>
        <v>16.55</v>
      </c>
      <c r="Q27" s="49" t="s">
        <v>724</v>
      </c>
      <c r="R27" s="49">
        <f t="shared" si="1"/>
        <v>744.75</v>
      </c>
    </row>
    <row r="28" spans="1:20" ht="24.95" customHeight="1">
      <c r="A28" s="831"/>
      <c r="E28" s="49"/>
      <c r="F28" s="49"/>
      <c r="G28" s="49"/>
      <c r="H28" s="839" t="s">
        <v>2334</v>
      </c>
      <c r="I28" s="49"/>
      <c r="J28" s="49"/>
      <c r="K28" s="847">
        <f>SUM(K12:K27)</f>
        <v>16300</v>
      </c>
      <c r="L28" s="49">
        <f>1630*10</f>
        <v>16300</v>
      </c>
      <c r="M28" s="49">
        <v>6</v>
      </c>
      <c r="N28" s="49" t="s">
        <v>2335</v>
      </c>
      <c r="O28" s="49" t="s">
        <v>478</v>
      </c>
      <c r="P28" s="49">
        <f>R46</f>
        <v>1207</v>
      </c>
      <c r="Q28" s="49" t="s">
        <v>2335</v>
      </c>
      <c r="R28" s="49">
        <f t="shared" si="1"/>
        <v>7242</v>
      </c>
    </row>
    <row r="29" spans="1:20" ht="24.95" customHeight="1">
      <c r="A29" s="831"/>
      <c r="E29" s="49"/>
      <c r="F29" s="49"/>
      <c r="G29" s="49"/>
      <c r="H29" s="840" t="s">
        <v>2336</v>
      </c>
      <c r="I29" s="49"/>
      <c r="J29" s="49"/>
      <c r="K29" s="50">
        <f>K28/10</f>
        <v>1630</v>
      </c>
      <c r="L29" s="49">
        <f>L28-K28</f>
        <v>0</v>
      </c>
      <c r="M29" s="49"/>
      <c r="N29" s="49" t="s">
        <v>2120</v>
      </c>
      <c r="O29" s="49" t="s">
        <v>2337</v>
      </c>
      <c r="P29" s="49"/>
      <c r="Q29" s="49"/>
      <c r="R29" s="49">
        <v>40.409999999999997</v>
      </c>
    </row>
    <row r="30" spans="1:20">
      <c r="A30" s="831"/>
      <c r="E30" s="49"/>
      <c r="F30" s="49"/>
      <c r="G30" s="49"/>
      <c r="H30" s="49"/>
      <c r="I30" s="49"/>
      <c r="J30" s="49"/>
      <c r="K30" s="49"/>
      <c r="L30" s="49"/>
      <c r="M30" s="49"/>
      <c r="N30" s="49"/>
      <c r="P30" s="49"/>
      <c r="Q30" s="49"/>
      <c r="R30" s="49">
        <f>SUM(R15:R29)</f>
        <v>10908.2</v>
      </c>
    </row>
    <row r="31" spans="1:20" ht="24.95" customHeight="1">
      <c r="A31" s="831"/>
      <c r="E31" s="49"/>
      <c r="F31" s="49"/>
      <c r="G31" s="49"/>
      <c r="H31" s="50" t="s">
        <v>2338</v>
      </c>
      <c r="I31" s="49"/>
      <c r="J31" s="49"/>
      <c r="K31" s="49"/>
      <c r="L31" s="49"/>
      <c r="M31" s="49"/>
      <c r="N31" s="49"/>
      <c r="O31" s="839" t="s">
        <v>2339</v>
      </c>
      <c r="P31" s="49"/>
      <c r="Q31" s="49"/>
      <c r="R31" s="847"/>
    </row>
    <row r="32" spans="1:20">
      <c r="A32" s="831"/>
      <c r="E32" s="49"/>
      <c r="F32" s="49"/>
      <c r="G32" s="49"/>
      <c r="H32" s="49"/>
      <c r="I32" s="49"/>
      <c r="J32" s="49"/>
      <c r="K32" s="49"/>
      <c r="L32" s="49"/>
      <c r="M32" s="49"/>
      <c r="N32" s="49"/>
      <c r="O32" s="840" t="s">
        <v>2336</v>
      </c>
      <c r="P32" s="49"/>
      <c r="Q32" s="49"/>
      <c r="R32" s="50">
        <f>R30/6</f>
        <v>1818.03</v>
      </c>
      <c r="S32" s="325">
        <f>1677.8*6</f>
        <v>10066.799999999999</v>
      </c>
      <c r="T32" s="325">
        <f>S32-R31</f>
        <v>10066.799999999999</v>
      </c>
    </row>
    <row r="33" spans="1:19" ht="24.95" customHeight="1">
      <c r="A33" s="831"/>
      <c r="E33" s="49"/>
      <c r="F33" s="49"/>
      <c r="G33" s="49"/>
      <c r="H33" s="50" t="s">
        <v>2106</v>
      </c>
      <c r="I33" s="49"/>
      <c r="J33" s="49"/>
      <c r="K33" s="49"/>
      <c r="L33" s="49"/>
      <c r="M33" s="49"/>
      <c r="N33" s="49"/>
      <c r="O33" s="49"/>
      <c r="P33" s="49"/>
      <c r="Q33" s="49"/>
      <c r="R33" s="49"/>
      <c r="S33" s="325">
        <f>S32-R30</f>
        <v>-841.4</v>
      </c>
    </row>
    <row r="34" spans="1:19" ht="24.95" customHeight="1">
      <c r="A34" s="831"/>
      <c r="E34" s="49"/>
      <c r="F34" s="49"/>
      <c r="G34" s="49"/>
      <c r="H34" s="49"/>
      <c r="I34" s="49"/>
      <c r="J34" s="49"/>
      <c r="K34" s="49"/>
      <c r="L34" s="49"/>
      <c r="M34" s="49"/>
    </row>
    <row r="35" spans="1:19" ht="24.95" customHeight="1">
      <c r="A35" s="831"/>
      <c r="E35" s="49"/>
      <c r="F35" s="49">
        <v>1</v>
      </c>
      <c r="G35" s="49" t="s">
        <v>1034</v>
      </c>
      <c r="H35" s="49" t="s">
        <v>2839</v>
      </c>
      <c r="I35" s="52">
        <v>898</v>
      </c>
      <c r="J35" s="49" t="s">
        <v>1034</v>
      </c>
      <c r="K35" s="49">
        <f>F35*I35</f>
        <v>898</v>
      </c>
      <c r="L35" s="49"/>
      <c r="M35" s="49"/>
      <c r="N35" s="50" t="s">
        <v>2338</v>
      </c>
      <c r="O35" s="49"/>
      <c r="P35" s="49"/>
      <c r="Q35" s="49"/>
    </row>
    <row r="36" spans="1:19" ht="24.95" customHeight="1">
      <c r="A36" s="831"/>
      <c r="E36" s="49"/>
      <c r="F36" s="49">
        <v>2</v>
      </c>
      <c r="G36" s="49" t="s">
        <v>1034</v>
      </c>
      <c r="H36" s="49" t="s">
        <v>2840</v>
      </c>
      <c r="I36" s="52">
        <v>783</v>
      </c>
      <c r="J36" s="49" t="s">
        <v>1034</v>
      </c>
      <c r="K36" s="49">
        <f t="shared" ref="K36:K41" si="2">F36*I36</f>
        <v>1566</v>
      </c>
      <c r="L36" s="49"/>
      <c r="M36" s="49"/>
      <c r="N36" s="49"/>
      <c r="O36" s="49"/>
      <c r="P36" s="49"/>
      <c r="Q36" s="49"/>
    </row>
    <row r="37" spans="1:19" ht="24.95" customHeight="1">
      <c r="A37" s="831"/>
      <c r="E37" s="49"/>
      <c r="F37" s="49">
        <v>3</v>
      </c>
      <c r="G37" s="49" t="s">
        <v>1034</v>
      </c>
      <c r="H37" s="49" t="s">
        <v>2841</v>
      </c>
      <c r="I37" s="52">
        <v>778</v>
      </c>
      <c r="J37" s="49" t="s">
        <v>1034</v>
      </c>
      <c r="K37" s="49">
        <f t="shared" si="2"/>
        <v>2334</v>
      </c>
      <c r="L37" s="49"/>
      <c r="M37" s="49"/>
      <c r="N37" s="50" t="s">
        <v>2106</v>
      </c>
      <c r="O37" s="49"/>
      <c r="P37" s="49"/>
      <c r="Q37" s="49"/>
    </row>
    <row r="38" spans="1:19" ht="24.95" customHeight="1">
      <c r="A38" s="831"/>
      <c r="E38" s="49"/>
      <c r="F38" s="49">
        <v>4</v>
      </c>
      <c r="G38" s="49" t="s">
        <v>1034</v>
      </c>
      <c r="H38" s="49" t="s">
        <v>2842</v>
      </c>
      <c r="I38" s="52">
        <v>611</v>
      </c>
      <c r="J38" s="49" t="s">
        <v>1034</v>
      </c>
      <c r="K38" s="49">
        <f t="shared" si="2"/>
        <v>2444</v>
      </c>
      <c r="L38" s="49"/>
      <c r="M38" s="49"/>
      <c r="N38" s="49"/>
      <c r="O38" s="49"/>
      <c r="P38" s="49"/>
      <c r="Q38" s="49"/>
    </row>
    <row r="39" spans="1:19" ht="24.95" customHeight="1">
      <c r="A39" s="831"/>
      <c r="E39" s="49"/>
      <c r="F39" s="49"/>
      <c r="G39" s="49"/>
      <c r="H39" s="50" t="s">
        <v>2343</v>
      </c>
      <c r="I39" s="49"/>
      <c r="J39" s="49"/>
      <c r="K39" s="49"/>
      <c r="M39" s="49">
        <v>1</v>
      </c>
      <c r="N39" s="49" t="s">
        <v>1034</v>
      </c>
      <c r="O39" s="49" t="s">
        <v>2340</v>
      </c>
      <c r="P39" s="49">
        <f>I35</f>
        <v>898</v>
      </c>
      <c r="Q39" s="49" t="s">
        <v>1034</v>
      </c>
      <c r="R39" s="49">
        <f>M39*P39</f>
        <v>898</v>
      </c>
    </row>
    <row r="40" spans="1:19" ht="24.95" customHeight="1">
      <c r="A40" s="831"/>
      <c r="E40" s="49"/>
      <c r="F40" s="49">
        <v>2</v>
      </c>
      <c r="G40" s="49" t="s">
        <v>1034</v>
      </c>
      <c r="H40" s="49" t="s">
        <v>2843</v>
      </c>
      <c r="I40" s="52">
        <v>884</v>
      </c>
      <c r="J40" s="49" t="s">
        <v>1034</v>
      </c>
      <c r="K40" s="49">
        <f t="shared" si="2"/>
        <v>1768</v>
      </c>
      <c r="M40" s="49">
        <v>2</v>
      </c>
      <c r="N40" s="49" t="s">
        <v>1034</v>
      </c>
      <c r="O40" s="49" t="s">
        <v>2341</v>
      </c>
      <c r="P40" s="49">
        <f>I36</f>
        <v>783</v>
      </c>
      <c r="Q40" s="49" t="s">
        <v>1034</v>
      </c>
      <c r="R40" s="49">
        <f>M40*P40</f>
        <v>1566</v>
      </c>
    </row>
    <row r="41" spans="1:19" ht="24.95" customHeight="1">
      <c r="A41" s="831"/>
      <c r="E41" s="49"/>
      <c r="F41" s="49">
        <v>4</v>
      </c>
      <c r="G41" s="49" t="s">
        <v>1034</v>
      </c>
      <c r="H41" s="49" t="str">
        <f>H38</f>
        <v>Electrical HELPERp-12 it-102</v>
      </c>
      <c r="I41" s="52">
        <f>I38</f>
        <v>611</v>
      </c>
      <c r="J41" s="49" t="s">
        <v>1034</v>
      </c>
      <c r="K41" s="49">
        <f t="shared" si="2"/>
        <v>2444</v>
      </c>
      <c r="M41" s="49">
        <v>3</v>
      </c>
      <c r="N41" s="49" t="s">
        <v>1034</v>
      </c>
      <c r="O41" s="49" t="s">
        <v>2342</v>
      </c>
      <c r="P41" s="49">
        <f>I37</f>
        <v>778</v>
      </c>
      <c r="Q41" s="49" t="s">
        <v>1034</v>
      </c>
      <c r="R41" s="49">
        <f>M41*P41</f>
        <v>2334</v>
      </c>
    </row>
    <row r="42" spans="1:19" ht="24.95" customHeight="1">
      <c r="A42" s="831"/>
      <c r="E42" s="49"/>
      <c r="F42" s="49"/>
      <c r="G42" s="49"/>
      <c r="H42" s="49"/>
      <c r="I42" s="49"/>
      <c r="J42" s="49"/>
      <c r="K42" s="848">
        <f>SUM(K35:K41)</f>
        <v>11454</v>
      </c>
      <c r="M42" s="49">
        <v>4</v>
      </c>
      <c r="N42" s="49" t="s">
        <v>1034</v>
      </c>
      <c r="O42" s="49" t="s">
        <v>2166</v>
      </c>
      <c r="P42" s="49">
        <f>I38</f>
        <v>611</v>
      </c>
      <c r="Q42" s="49" t="s">
        <v>1034</v>
      </c>
      <c r="R42" s="49">
        <f>M42*P42</f>
        <v>2444</v>
      </c>
    </row>
    <row r="43" spans="1:19" ht="16.5" customHeight="1">
      <c r="A43" s="831"/>
      <c r="E43" s="49"/>
      <c r="F43" s="49"/>
      <c r="G43" s="49"/>
      <c r="H43" s="49"/>
      <c r="I43" s="49"/>
      <c r="J43" s="49"/>
      <c r="K43" s="847"/>
      <c r="M43" s="49"/>
      <c r="N43" s="49"/>
      <c r="O43" s="49"/>
      <c r="P43" s="49"/>
      <c r="Q43" s="49"/>
      <c r="R43" s="49"/>
    </row>
    <row r="44" spans="1:19" ht="78.75" customHeight="1">
      <c r="A44" s="831"/>
      <c r="E44" s="49"/>
      <c r="F44" s="49"/>
      <c r="G44" s="49"/>
      <c r="H44" s="344" t="s">
        <v>2345</v>
      </c>
      <c r="I44" s="49"/>
      <c r="J44" s="49"/>
      <c r="K44" s="49"/>
      <c r="L44" s="49"/>
      <c r="M44" s="49"/>
      <c r="O44" s="849" t="s">
        <v>2844</v>
      </c>
      <c r="R44" s="850">
        <f>SUM(R39:R42)</f>
        <v>7242</v>
      </c>
    </row>
    <row r="45" spans="1:19" ht="39.950000000000003" customHeight="1">
      <c r="A45" s="831"/>
      <c r="E45" s="49"/>
      <c r="F45" s="49"/>
      <c r="G45" s="49"/>
      <c r="H45" s="344" t="s">
        <v>2347</v>
      </c>
      <c r="I45" s="49"/>
      <c r="J45" s="49"/>
      <c r="K45" s="49"/>
      <c r="L45" s="49"/>
      <c r="M45" s="49"/>
    </row>
    <row r="46" spans="1:19">
      <c r="A46" s="831"/>
      <c r="E46" s="49"/>
      <c r="F46" s="49"/>
      <c r="G46" s="49"/>
      <c r="H46" s="49"/>
      <c r="I46" s="49"/>
      <c r="J46" s="49"/>
      <c r="K46" s="49"/>
      <c r="L46" s="49"/>
      <c r="M46" s="49"/>
      <c r="Q46" s="851" t="s">
        <v>2348</v>
      </c>
      <c r="R46" s="345">
        <f>R44/6</f>
        <v>1207</v>
      </c>
    </row>
    <row r="47" spans="1:19" ht="215.25" customHeight="1">
      <c r="A47" s="831"/>
      <c r="E47" s="49"/>
      <c r="F47" s="49"/>
      <c r="G47" s="49"/>
      <c r="H47" s="51" t="s">
        <v>2349</v>
      </c>
      <c r="I47" s="49"/>
      <c r="J47" s="49"/>
      <c r="K47" s="49"/>
      <c r="L47" s="49"/>
      <c r="M47" s="49"/>
      <c r="O47" s="51" t="s">
        <v>2350</v>
      </c>
    </row>
    <row r="48" spans="1:19" ht="42.75" customHeight="1">
      <c r="A48" s="831"/>
      <c r="E48" s="49"/>
      <c r="F48" s="49"/>
      <c r="G48" s="49"/>
      <c r="H48" s="49" t="s">
        <v>2351</v>
      </c>
      <c r="I48" s="49"/>
      <c r="J48" s="49"/>
      <c r="K48" s="49">
        <f>K28-K27</f>
        <v>16265.02</v>
      </c>
      <c r="L48" s="49"/>
      <c r="M48" s="49">
        <v>90</v>
      </c>
      <c r="N48" s="49" t="s">
        <v>13</v>
      </c>
      <c r="O48" s="837" t="s">
        <v>2311</v>
      </c>
      <c r="P48" s="49">
        <f>P15</f>
        <v>16.55</v>
      </c>
      <c r="Q48" s="49" t="s">
        <v>13</v>
      </c>
      <c r="R48" s="49">
        <f>M48*P48</f>
        <v>1489.5</v>
      </c>
    </row>
    <row r="49" spans="1:20" ht="30" customHeight="1">
      <c r="A49" s="831"/>
      <c r="E49" s="49"/>
      <c r="F49" s="49"/>
      <c r="G49" s="49"/>
      <c r="H49" s="49" t="s">
        <v>2352</v>
      </c>
      <c r="I49" s="49"/>
      <c r="J49" s="49"/>
      <c r="K49" s="49">
        <f>K20</f>
        <v>138</v>
      </c>
      <c r="L49" s="49"/>
      <c r="M49" s="49">
        <v>45</v>
      </c>
      <c r="N49" s="49" t="s">
        <v>13</v>
      </c>
      <c r="O49" s="51" t="s">
        <v>2313</v>
      </c>
      <c r="P49" s="49">
        <f t="shared" ref="P49:P57" si="3">P16</f>
        <v>20</v>
      </c>
      <c r="Q49" s="49" t="s">
        <v>2308</v>
      </c>
      <c r="R49" s="49">
        <f>M49*P49</f>
        <v>900</v>
      </c>
    </row>
    <row r="50" spans="1:20" ht="30" customHeight="1">
      <c r="A50" s="831"/>
      <c r="E50" s="49"/>
      <c r="F50" s="49"/>
      <c r="G50" s="49"/>
      <c r="H50" s="841" t="s">
        <v>2845</v>
      </c>
      <c r="I50" s="52"/>
      <c r="J50" s="52"/>
      <c r="K50" s="52">
        <f>16.65*10</f>
        <v>166.5</v>
      </c>
      <c r="L50" s="49"/>
      <c r="M50" s="49">
        <v>75</v>
      </c>
      <c r="N50" s="49" t="s">
        <v>1034</v>
      </c>
      <c r="O50" s="49" t="s">
        <v>2354</v>
      </c>
      <c r="P50" s="49">
        <f t="shared" si="3"/>
        <v>3.45</v>
      </c>
      <c r="Q50" s="49" t="s">
        <v>2315</v>
      </c>
      <c r="R50" s="49">
        <f>M50*P50/12</f>
        <v>21.56</v>
      </c>
    </row>
    <row r="51" spans="1:20" ht="30" customHeight="1">
      <c r="A51" s="831"/>
      <c r="E51" s="49"/>
      <c r="F51" s="49"/>
      <c r="G51" s="49"/>
      <c r="H51" s="49" t="s">
        <v>1557</v>
      </c>
      <c r="I51" s="49"/>
      <c r="J51" s="49"/>
      <c r="K51" s="49">
        <v>36.479999999999997</v>
      </c>
      <c r="L51" s="49"/>
      <c r="M51" s="49">
        <v>12</v>
      </c>
      <c r="N51" s="49" t="s">
        <v>1034</v>
      </c>
      <c r="O51" s="49" t="s">
        <v>2317</v>
      </c>
      <c r="P51" s="49">
        <f t="shared" si="3"/>
        <v>3.15</v>
      </c>
      <c r="Q51" s="49" t="s">
        <v>1034</v>
      </c>
      <c r="R51" s="49">
        <f>M51*P51</f>
        <v>37.799999999999997</v>
      </c>
    </row>
    <row r="52" spans="1:20" ht="39.950000000000003" customHeight="1">
      <c r="A52" s="831"/>
      <c r="E52" s="49"/>
      <c r="F52" s="49"/>
      <c r="G52" s="49"/>
      <c r="H52" s="839" t="s">
        <v>2355</v>
      </c>
      <c r="I52" s="49"/>
      <c r="J52" s="49"/>
      <c r="K52" s="847">
        <f>K48-K49+K50+K51</f>
        <v>16330</v>
      </c>
      <c r="L52" s="49">
        <f>1638*10</f>
        <v>16380</v>
      </c>
      <c r="M52" s="49">
        <v>6</v>
      </c>
      <c r="N52" s="49" t="s">
        <v>1034</v>
      </c>
      <c r="O52" s="49" t="s">
        <v>2319</v>
      </c>
      <c r="P52" s="49">
        <f t="shared" si="3"/>
        <v>1.34</v>
      </c>
      <c r="Q52" s="49" t="s">
        <v>1034</v>
      </c>
      <c r="R52" s="49">
        <f>M52*P52</f>
        <v>8.0399999999999991</v>
      </c>
    </row>
    <row r="53" spans="1:20" ht="39.950000000000003" customHeight="1">
      <c r="A53" s="831"/>
      <c r="E53" s="49"/>
      <c r="F53" s="49"/>
      <c r="G53" s="49"/>
      <c r="H53" s="840" t="s">
        <v>2356</v>
      </c>
      <c r="I53" s="49"/>
      <c r="J53" s="49"/>
      <c r="K53" s="50">
        <f>K52/10</f>
        <v>1633</v>
      </c>
      <c r="L53" s="49">
        <f>L52-K52</f>
        <v>50</v>
      </c>
      <c r="M53" s="49">
        <v>150</v>
      </c>
      <c r="N53" s="49" t="s">
        <v>41</v>
      </c>
      <c r="O53" s="49" t="str">
        <f>O20</f>
        <v>Teakwood plugs 1.5"x1"x2"</v>
      </c>
      <c r="P53" s="49">
        <f t="shared" si="3"/>
        <v>287</v>
      </c>
      <c r="Q53" s="49">
        <v>1000</v>
      </c>
      <c r="R53" s="49">
        <f>(M53*P53)/1000</f>
        <v>43.05</v>
      </c>
    </row>
    <row r="54" spans="1:20">
      <c r="A54" s="831"/>
      <c r="E54" s="49"/>
      <c r="F54" s="49"/>
      <c r="G54" s="49"/>
      <c r="H54" s="49"/>
      <c r="I54" s="49"/>
      <c r="J54" s="49"/>
      <c r="K54" s="49"/>
      <c r="L54" s="49"/>
      <c r="M54" s="838">
        <v>7</v>
      </c>
      <c r="N54" s="49" t="s">
        <v>41</v>
      </c>
      <c r="O54" s="49" t="s">
        <v>2323</v>
      </c>
      <c r="P54" s="49">
        <f t="shared" si="3"/>
        <v>3.6</v>
      </c>
      <c r="Q54" s="49" t="s">
        <v>1034</v>
      </c>
      <c r="R54" s="49">
        <f>M54*P54</f>
        <v>25.2</v>
      </c>
    </row>
    <row r="55" spans="1:20" ht="24.95" customHeight="1">
      <c r="A55" s="831"/>
      <c r="E55" s="49"/>
      <c r="F55" s="49"/>
      <c r="G55" s="49"/>
      <c r="H55" s="50" t="s">
        <v>2357</v>
      </c>
      <c r="I55" s="49"/>
      <c r="J55" s="49"/>
      <c r="K55" s="49"/>
      <c r="L55" s="49"/>
      <c r="M55" s="49">
        <v>6</v>
      </c>
      <c r="N55" s="49" t="s">
        <v>1034</v>
      </c>
      <c r="O55" s="49" t="s">
        <v>2325</v>
      </c>
      <c r="P55" s="49">
        <f t="shared" si="3"/>
        <v>13.8</v>
      </c>
      <c r="Q55" s="49" t="s">
        <v>729</v>
      </c>
      <c r="R55" s="49">
        <f>M55*P55</f>
        <v>82.8</v>
      </c>
    </row>
    <row r="56" spans="1:20" ht="56.25" customHeight="1">
      <c r="A56" s="831"/>
      <c r="E56" s="49"/>
      <c r="F56" s="49"/>
      <c r="G56" s="49"/>
      <c r="H56" s="842" t="s">
        <v>2358</v>
      </c>
      <c r="I56" s="49"/>
      <c r="J56" s="49"/>
      <c r="K56" s="49"/>
      <c r="L56" s="49"/>
      <c r="M56" s="49">
        <v>6</v>
      </c>
      <c r="N56" s="49" t="s">
        <v>1034</v>
      </c>
      <c r="O56" s="49" t="str">
        <f>O23</f>
        <v>5 amps flush type switch p-118, Part-C,1 a ( 194.5/12=16.21)</v>
      </c>
      <c r="P56" s="49">
        <f t="shared" si="3"/>
        <v>16.21</v>
      </c>
      <c r="Q56" s="49" t="s">
        <v>2315</v>
      </c>
      <c r="R56" s="49">
        <f>(M56*P56)</f>
        <v>97.26</v>
      </c>
    </row>
    <row r="57" spans="1:20">
      <c r="A57" s="831"/>
      <c r="E57" s="49"/>
      <c r="F57" s="49"/>
      <c r="G57" s="49"/>
      <c r="H57" s="49"/>
      <c r="I57" s="49"/>
      <c r="J57" s="49"/>
      <c r="K57" s="49"/>
      <c r="L57" s="49"/>
      <c r="M57" s="49">
        <v>1</v>
      </c>
      <c r="N57" s="49" t="s">
        <v>2327</v>
      </c>
      <c r="O57" s="49" t="str">
        <f>O24</f>
        <v>Brass screws  ( 40 mm x 6 no) P-85 Part-L c</v>
      </c>
      <c r="P57" s="49">
        <f t="shared" si="3"/>
        <v>68.8</v>
      </c>
      <c r="Q57" s="49" t="s">
        <v>2327</v>
      </c>
      <c r="R57" s="49">
        <f>(M57*P57)</f>
        <v>68.8</v>
      </c>
    </row>
    <row r="58" spans="1:20" ht="84.75" customHeight="1">
      <c r="A58" s="831"/>
      <c r="E58" s="49"/>
      <c r="F58" s="49"/>
      <c r="G58" s="49"/>
      <c r="H58" s="51" t="s">
        <v>2359</v>
      </c>
      <c r="I58" s="49"/>
      <c r="J58" s="49"/>
      <c r="K58" s="49"/>
      <c r="L58" s="49"/>
      <c r="M58" s="49">
        <v>6</v>
      </c>
      <c r="N58" s="49" t="s">
        <v>41</v>
      </c>
      <c r="O58" s="51" t="s">
        <v>2846</v>
      </c>
      <c r="P58" s="843">
        <v>60.25</v>
      </c>
      <c r="Q58" s="49" t="s">
        <v>2847</v>
      </c>
      <c r="R58" s="49">
        <f>M58*P58</f>
        <v>361.5</v>
      </c>
    </row>
    <row r="59" spans="1:20" ht="30" customHeight="1">
      <c r="A59" s="831"/>
      <c r="E59" s="49"/>
      <c r="F59" s="49"/>
      <c r="G59" s="49"/>
      <c r="H59" s="49" t="s">
        <v>2361</v>
      </c>
      <c r="I59" s="49"/>
      <c r="J59" s="49"/>
      <c r="K59" s="49">
        <f>K48</f>
        <v>16265.02</v>
      </c>
      <c r="L59" s="49"/>
      <c r="M59" s="845">
        <v>0.16666666666666666</v>
      </c>
      <c r="N59" s="49" t="s">
        <v>2332</v>
      </c>
      <c r="O59" s="49" t="s">
        <v>38</v>
      </c>
      <c r="P59" s="49">
        <f>P26</f>
        <v>302</v>
      </c>
      <c r="Q59" s="49" t="s">
        <v>2332</v>
      </c>
      <c r="R59" s="49">
        <f>M59*P59</f>
        <v>50.33</v>
      </c>
    </row>
    <row r="60" spans="1:20" ht="30" customHeight="1">
      <c r="A60" s="831"/>
      <c r="E60" s="49"/>
      <c r="F60" s="49"/>
      <c r="G60" s="49"/>
      <c r="H60" s="49" t="s">
        <v>2362</v>
      </c>
      <c r="I60" s="49"/>
      <c r="J60" s="49"/>
      <c r="K60" s="49">
        <f>K49</f>
        <v>138</v>
      </c>
      <c r="L60" s="49"/>
      <c r="M60" s="49"/>
      <c r="N60" s="49"/>
      <c r="O60" s="846"/>
      <c r="P60" s="49"/>
      <c r="Q60" s="49"/>
      <c r="R60" s="49"/>
    </row>
    <row r="61" spans="1:20" ht="30" customHeight="1">
      <c r="A61" s="831"/>
      <c r="E61" s="49"/>
      <c r="F61" s="49"/>
      <c r="G61" s="49"/>
      <c r="H61" s="49" t="s">
        <v>2363</v>
      </c>
      <c r="I61" s="49"/>
      <c r="J61" s="49"/>
      <c r="K61" s="49">
        <f>K21</f>
        <v>36</v>
      </c>
      <c r="L61" s="49"/>
      <c r="M61" s="49">
        <v>6</v>
      </c>
      <c r="N61" s="49" t="s">
        <v>2335</v>
      </c>
      <c r="O61" s="49" t="s">
        <v>478</v>
      </c>
      <c r="P61" s="49">
        <f>R46</f>
        <v>1207</v>
      </c>
      <c r="Q61" s="49" t="s">
        <v>2335</v>
      </c>
      <c r="R61" s="49">
        <f>M61*P61</f>
        <v>7242</v>
      </c>
    </row>
    <row r="62" spans="1:20" ht="30" customHeight="1">
      <c r="A62" s="831"/>
      <c r="E62" s="49"/>
      <c r="F62" s="49"/>
      <c r="G62" s="49"/>
      <c r="H62" s="49" t="s">
        <v>2364</v>
      </c>
      <c r="I62" s="49"/>
      <c r="J62" s="49"/>
      <c r="K62" s="49">
        <f>K19</f>
        <v>162.1</v>
      </c>
      <c r="L62" s="49"/>
      <c r="M62" s="49"/>
      <c r="N62" s="49" t="s">
        <v>2120</v>
      </c>
      <c r="O62" s="49" t="s">
        <v>2337</v>
      </c>
      <c r="P62" s="49"/>
      <c r="Q62" s="49"/>
      <c r="R62" s="49">
        <v>17.91</v>
      </c>
    </row>
    <row r="63" spans="1:20" ht="30" customHeight="1">
      <c r="A63" s="831"/>
      <c r="E63" s="49"/>
      <c r="F63" s="49"/>
      <c r="G63" s="49"/>
      <c r="H63" s="49" t="s">
        <v>2848</v>
      </c>
      <c r="I63" s="49"/>
      <c r="J63" s="49"/>
      <c r="K63" s="844">
        <f>10*41.7</f>
        <v>417</v>
      </c>
      <c r="L63" s="49"/>
      <c r="M63" s="49"/>
      <c r="N63" s="49"/>
      <c r="P63" s="49"/>
      <c r="Q63" s="49"/>
      <c r="R63" s="49"/>
    </row>
    <row r="64" spans="1:20" ht="30" customHeight="1">
      <c r="A64" s="831"/>
      <c r="E64" s="49"/>
      <c r="F64" s="49"/>
      <c r="G64" s="49"/>
      <c r="H64" s="843" t="s">
        <v>2849</v>
      </c>
      <c r="I64" s="49"/>
      <c r="J64" s="49"/>
      <c r="K64" s="52">
        <f>10*16.65</f>
        <v>166.5</v>
      </c>
      <c r="L64" s="49"/>
      <c r="M64" s="49"/>
      <c r="N64" s="49"/>
      <c r="O64" s="839" t="s">
        <v>2339</v>
      </c>
      <c r="P64" s="49"/>
      <c r="Q64" s="49"/>
      <c r="R64" s="847">
        <f>SUM(R48:R63)</f>
        <v>10445.75</v>
      </c>
      <c r="T64" s="325">
        <f>T65-R64</f>
        <v>-9651.6</v>
      </c>
    </row>
    <row r="65" spans="1:20" ht="30" customHeight="1">
      <c r="A65" s="831"/>
      <c r="E65" s="49"/>
      <c r="F65" s="49"/>
      <c r="G65" s="49"/>
      <c r="H65" s="49" t="s">
        <v>2850</v>
      </c>
      <c r="I65" s="49"/>
      <c r="J65" s="49"/>
      <c r="K65" s="844">
        <f>16.5*10</f>
        <v>165</v>
      </c>
      <c r="L65" s="49"/>
      <c r="M65" s="49"/>
      <c r="N65" s="49"/>
      <c r="O65" s="840" t="s">
        <v>2336</v>
      </c>
      <c r="P65" s="49"/>
      <c r="Q65" s="49"/>
      <c r="R65" s="50">
        <f>R64/6</f>
        <v>1740.96</v>
      </c>
      <c r="S65" s="325">
        <f>1608.6*6</f>
        <v>9651.6</v>
      </c>
      <c r="T65" s="325">
        <f>R64-S65</f>
        <v>794.15</v>
      </c>
    </row>
    <row r="66" spans="1:20" ht="30" customHeight="1">
      <c r="A66" s="831"/>
      <c r="E66" s="49"/>
      <c r="F66" s="49"/>
      <c r="G66" s="49"/>
      <c r="H66" s="49" t="s">
        <v>1557</v>
      </c>
      <c r="I66" s="49"/>
      <c r="J66" s="49"/>
      <c r="K66" s="49">
        <v>22.58</v>
      </c>
      <c r="L66" s="49"/>
      <c r="M66" s="49"/>
      <c r="S66" s="325">
        <f>1152*6</f>
        <v>6912</v>
      </c>
    </row>
    <row r="67" spans="1:20" ht="25.5" customHeight="1">
      <c r="A67" s="831"/>
      <c r="E67" s="49"/>
      <c r="F67" s="49"/>
      <c r="G67" s="49"/>
      <c r="H67" s="839" t="s">
        <v>2355</v>
      </c>
      <c r="I67" s="49"/>
      <c r="J67" s="49"/>
      <c r="K67" s="847">
        <f>(K59-K60-K61-K62)+(K63+K64+K65+K66)</f>
        <v>16700</v>
      </c>
      <c r="L67" s="49">
        <f>1670*10</f>
        <v>16700</v>
      </c>
      <c r="M67" s="49"/>
      <c r="S67" s="325">
        <f>S66-R64</f>
        <v>-3533.75</v>
      </c>
    </row>
    <row r="68" spans="1:20" ht="27.75" customHeight="1">
      <c r="A68" s="831"/>
      <c r="E68" s="49"/>
      <c r="F68" s="49"/>
      <c r="G68" s="49"/>
      <c r="H68" s="840" t="s">
        <v>2368</v>
      </c>
      <c r="I68" s="49"/>
      <c r="J68" s="49"/>
      <c r="K68" s="50">
        <f>K67/10</f>
        <v>1670</v>
      </c>
      <c r="L68" s="49">
        <f>L67-K67</f>
        <v>0</v>
      </c>
      <c r="M68" s="49"/>
    </row>
    <row r="69" spans="1:20">
      <c r="A69" s="831"/>
      <c r="E69" s="49"/>
      <c r="F69" s="49"/>
      <c r="G69" s="49"/>
      <c r="H69" s="49"/>
      <c r="I69" s="49"/>
      <c r="J69" s="49"/>
      <c r="K69" s="49"/>
      <c r="L69" s="49"/>
      <c r="M69" s="49"/>
    </row>
    <row r="70" spans="1:20">
      <c r="A70" s="831"/>
      <c r="E70" s="49"/>
      <c r="F70" s="49"/>
      <c r="G70" s="49"/>
      <c r="H70" s="50" t="s">
        <v>2369</v>
      </c>
      <c r="I70" s="49"/>
      <c r="J70" s="49"/>
      <c r="K70" s="49"/>
      <c r="L70" s="49"/>
      <c r="M70" s="49"/>
    </row>
    <row r="71" spans="1:20">
      <c r="A71" s="831"/>
      <c r="E71" s="49"/>
      <c r="F71" s="49"/>
      <c r="G71" s="49"/>
      <c r="H71" s="50" t="s">
        <v>2370</v>
      </c>
      <c r="I71" s="49"/>
      <c r="J71" s="49"/>
      <c r="K71" s="49"/>
      <c r="L71" s="49"/>
      <c r="M71" s="49"/>
    </row>
    <row r="72" spans="1:20" ht="141.75">
      <c r="A72" s="831"/>
      <c r="E72" s="49"/>
      <c r="F72" s="49"/>
      <c r="G72" s="49"/>
      <c r="H72" s="51" t="s">
        <v>2371</v>
      </c>
      <c r="I72" s="49"/>
      <c r="J72" s="49"/>
      <c r="K72" s="49"/>
      <c r="L72" s="49"/>
      <c r="M72" s="49"/>
    </row>
    <row r="73" spans="1:20">
      <c r="A73" s="831"/>
      <c r="E73" s="49"/>
      <c r="F73" s="49"/>
      <c r="G73" s="49"/>
      <c r="H73" s="49"/>
      <c r="I73" s="49"/>
      <c r="J73" s="49"/>
      <c r="K73" s="49"/>
      <c r="L73" s="49"/>
      <c r="M73" s="49"/>
    </row>
    <row r="74" spans="1:20" ht="31.5">
      <c r="A74" s="831"/>
      <c r="E74" s="49"/>
      <c r="F74" s="49">
        <v>90</v>
      </c>
      <c r="G74" s="49" t="s">
        <v>13</v>
      </c>
      <c r="H74" s="846" t="str">
        <f t="shared" ref="H74:I77" si="4">H12</f>
        <v>1.5 sqmm copper PVC insulated unsheathed single core cable (P-125 it-2/b)</v>
      </c>
      <c r="I74" s="49">
        <f t="shared" si="4"/>
        <v>16.55</v>
      </c>
      <c r="J74" s="49" t="s">
        <v>2330</v>
      </c>
      <c r="K74" s="49">
        <f>F74*I74</f>
        <v>1489.5</v>
      </c>
      <c r="L74" s="49"/>
      <c r="M74" s="49"/>
    </row>
    <row r="75" spans="1:20" ht="31.5">
      <c r="A75" s="831"/>
      <c r="E75" s="49"/>
      <c r="F75" s="49">
        <v>45</v>
      </c>
      <c r="G75" s="49" t="s">
        <v>13</v>
      </c>
      <c r="H75" s="51" t="str">
        <f t="shared" si="4"/>
        <v>PVC rigid conduit pipe 19 mm / 20mm heavy duty with ISI mark p-128 part -I IX-1 b</v>
      </c>
      <c r="I75" s="49">
        <f t="shared" si="4"/>
        <v>20</v>
      </c>
      <c r="J75" s="49" t="s">
        <v>13</v>
      </c>
      <c r="K75" s="49">
        <f t="shared" ref="K75:K86" si="5">F75*I75</f>
        <v>900</v>
      </c>
      <c r="L75" s="49"/>
      <c r="M75" s="49"/>
    </row>
    <row r="76" spans="1:20">
      <c r="A76" s="831"/>
      <c r="E76" s="49"/>
      <c r="F76" s="49">
        <v>20</v>
      </c>
      <c r="G76" s="49" t="s">
        <v>1034</v>
      </c>
      <c r="H76" s="49" t="str">
        <f t="shared" si="4"/>
        <v>19 mm PVC rigid bends - p-128 part -I IX-2b</v>
      </c>
      <c r="I76" s="49">
        <f t="shared" si="4"/>
        <v>3.15</v>
      </c>
      <c r="J76" s="49" t="s">
        <v>1034</v>
      </c>
      <c r="K76" s="49">
        <f t="shared" si="5"/>
        <v>63</v>
      </c>
      <c r="L76" s="49"/>
      <c r="M76" s="49"/>
    </row>
    <row r="77" spans="1:20">
      <c r="A77" s="831"/>
      <c r="E77" s="49"/>
      <c r="F77" s="49">
        <v>10</v>
      </c>
      <c r="G77" s="49" t="s">
        <v>1034</v>
      </c>
      <c r="H77" s="49" t="str">
        <f t="shared" si="4"/>
        <v>19 mm PVC rigid tees (p-129 4b, 16.05/12=1.34)</v>
      </c>
      <c r="I77" s="49">
        <f t="shared" si="4"/>
        <v>1.34</v>
      </c>
      <c r="J77" s="49" t="s">
        <v>1034</v>
      </c>
      <c r="K77" s="49">
        <f t="shared" si="5"/>
        <v>13.4</v>
      </c>
      <c r="L77" s="49"/>
      <c r="M77" s="49"/>
    </row>
    <row r="78" spans="1:20">
      <c r="A78" s="831"/>
      <c r="E78" s="49"/>
      <c r="F78" s="49">
        <v>10</v>
      </c>
      <c r="G78" s="49" t="s">
        <v>1034</v>
      </c>
      <c r="H78" s="49" t="str">
        <f>H21</f>
        <v>19 mm PVC junction box  ( p-129,6-b( 43.25/12=3.6)</v>
      </c>
      <c r="I78" s="49">
        <f>I21</f>
        <v>3.6</v>
      </c>
      <c r="J78" s="49" t="s">
        <v>1034</v>
      </c>
      <c r="K78" s="49">
        <f t="shared" si="5"/>
        <v>36</v>
      </c>
      <c r="L78" s="49"/>
      <c r="M78" s="49"/>
    </row>
    <row r="79" spans="1:20">
      <c r="A79" s="831"/>
      <c r="E79" s="49"/>
      <c r="F79" s="49">
        <v>10</v>
      </c>
      <c r="G79" s="49" t="s">
        <v>1034</v>
      </c>
      <c r="H79" s="49" t="str">
        <f>H20</f>
        <v>Ceiling rose p-116 it-27</v>
      </c>
      <c r="I79" s="49">
        <f>I20</f>
        <v>13.8</v>
      </c>
      <c r="J79" s="49" t="s">
        <v>1034</v>
      </c>
      <c r="K79" s="49">
        <f t="shared" si="5"/>
        <v>138</v>
      </c>
      <c r="L79" s="49"/>
      <c r="M79" s="49"/>
    </row>
    <row r="80" spans="1:20">
      <c r="A80" s="831"/>
      <c r="E80" s="49"/>
      <c r="F80" s="49">
        <v>10</v>
      </c>
      <c r="G80" s="49" t="s">
        <v>1034</v>
      </c>
      <c r="H80" s="49" t="str">
        <f>H19</f>
        <v>5 amps flush type switch p-118, Part-C,1 a ( 194.5/12=16.21)</v>
      </c>
      <c r="I80" s="49">
        <f>I19</f>
        <v>16.21</v>
      </c>
      <c r="J80" s="49" t="s">
        <v>1034</v>
      </c>
      <c r="K80" s="49">
        <f t="shared" si="5"/>
        <v>162.1</v>
      </c>
      <c r="L80" s="49"/>
      <c r="M80" s="49"/>
    </row>
    <row r="81" spans="1:13">
      <c r="A81" s="831"/>
      <c r="E81" s="49"/>
      <c r="F81" s="49">
        <v>10</v>
      </c>
      <c r="G81" s="49" t="s">
        <v>1034</v>
      </c>
      <c r="H81" s="49" t="s">
        <v>2851</v>
      </c>
      <c r="I81" s="844">
        <v>115.1</v>
      </c>
      <c r="J81" s="49" t="s">
        <v>1034</v>
      </c>
      <c r="K81" s="49">
        <f t="shared" si="5"/>
        <v>1151</v>
      </c>
      <c r="L81" s="49"/>
      <c r="M81" s="49"/>
    </row>
    <row r="82" spans="1:13" ht="24" customHeight="1">
      <c r="A82" s="831"/>
      <c r="E82" s="49"/>
      <c r="F82" s="49">
        <v>0.6</v>
      </c>
      <c r="G82" s="49" t="s">
        <v>724</v>
      </c>
      <c r="H82" s="49" t="str">
        <f>H24</f>
        <v>3 mm thick laminated Hylem sheet p-128 it-7a part-I</v>
      </c>
      <c r="I82" s="49">
        <f>I18</f>
        <v>661</v>
      </c>
      <c r="J82" s="49" t="s">
        <v>724</v>
      </c>
      <c r="K82" s="49">
        <f t="shared" si="5"/>
        <v>396.6</v>
      </c>
      <c r="L82" s="49"/>
      <c r="M82" s="49"/>
    </row>
    <row r="83" spans="1:13">
      <c r="A83" s="831"/>
      <c r="E83" s="49"/>
      <c r="F83" s="49">
        <v>1</v>
      </c>
      <c r="G83" s="49" t="s">
        <v>1034</v>
      </c>
      <c r="H83" s="49" t="s">
        <v>2852</v>
      </c>
      <c r="I83" s="49">
        <f>I23</f>
        <v>70.7</v>
      </c>
      <c r="J83" s="49" t="s">
        <v>1034</v>
      </c>
      <c r="K83" s="49">
        <f t="shared" si="5"/>
        <v>70.7</v>
      </c>
      <c r="L83" s="49"/>
      <c r="M83" s="49"/>
    </row>
    <row r="84" spans="1:13">
      <c r="A84" s="831"/>
      <c r="E84" s="49"/>
      <c r="F84" s="838">
        <v>1.4999999999999999E-2</v>
      </c>
      <c r="G84" s="49" t="s">
        <v>724</v>
      </c>
      <c r="H84" s="49" t="str">
        <f>H82</f>
        <v>3 mm thick laminated Hylem sheet p-128 it-7a part-I</v>
      </c>
      <c r="I84" s="49">
        <f>I82</f>
        <v>661</v>
      </c>
      <c r="J84" s="49" t="s">
        <v>724</v>
      </c>
      <c r="K84" s="49">
        <f t="shared" si="5"/>
        <v>9.92</v>
      </c>
      <c r="L84" s="49"/>
      <c r="M84" s="49"/>
    </row>
    <row r="85" spans="1:13">
      <c r="A85" s="831"/>
      <c r="E85" s="49"/>
      <c r="F85" s="49">
        <v>1.25</v>
      </c>
      <c r="G85" s="49" t="s">
        <v>2324</v>
      </c>
      <c r="H85" s="49" t="s">
        <v>38</v>
      </c>
      <c r="I85" s="49">
        <f>I22</f>
        <v>302</v>
      </c>
      <c r="J85" s="49" t="s">
        <v>2324</v>
      </c>
      <c r="K85" s="49">
        <f t="shared" si="5"/>
        <v>377.5</v>
      </c>
      <c r="L85" s="49"/>
      <c r="M85" s="49"/>
    </row>
    <row r="86" spans="1:13" ht="31.5">
      <c r="A86" s="831"/>
      <c r="E86" s="49"/>
      <c r="F86" s="49">
        <v>45</v>
      </c>
      <c r="G86" s="49" t="s">
        <v>13</v>
      </c>
      <c r="H86" s="846" t="str">
        <f>H25</f>
        <v>1.5 sqmm copper PVC insulated unsheathed single core cable (P-123 it-2/b)</v>
      </c>
      <c r="I86" s="49">
        <f>I12</f>
        <v>16.55</v>
      </c>
      <c r="J86" s="49" t="s">
        <v>2330</v>
      </c>
      <c r="K86" s="49">
        <f t="shared" si="5"/>
        <v>744.75</v>
      </c>
      <c r="L86" s="49"/>
      <c r="M86" s="49"/>
    </row>
    <row r="87" spans="1:13">
      <c r="A87" s="831"/>
      <c r="E87" s="49"/>
      <c r="F87" s="49" t="s">
        <v>49</v>
      </c>
      <c r="G87" s="49"/>
      <c r="H87" s="49" t="s">
        <v>478</v>
      </c>
      <c r="I87" s="49"/>
      <c r="J87" s="49"/>
      <c r="K87" s="49">
        <f>K42</f>
        <v>11454</v>
      </c>
      <c r="L87" s="49"/>
      <c r="M87" s="49"/>
    </row>
    <row r="88" spans="1:13">
      <c r="A88" s="831"/>
      <c r="E88" s="49"/>
      <c r="F88" s="49" t="s">
        <v>49</v>
      </c>
      <c r="G88" s="49"/>
      <c r="H88" s="49" t="s">
        <v>1557</v>
      </c>
      <c r="I88" s="49"/>
      <c r="J88" s="49"/>
      <c r="K88" s="49">
        <v>43.53</v>
      </c>
      <c r="L88" s="49"/>
      <c r="M88" s="49"/>
    </row>
    <row r="89" spans="1:13">
      <c r="A89" s="831"/>
      <c r="E89" s="49"/>
      <c r="F89" s="49"/>
      <c r="G89" s="49"/>
      <c r="H89" s="839" t="s">
        <v>2355</v>
      </c>
      <c r="I89" s="49"/>
      <c r="J89" s="49"/>
      <c r="K89" s="847">
        <f>SUM(K74:K88)</f>
        <v>17050</v>
      </c>
      <c r="L89" s="49">
        <f>1705*10</f>
        <v>17050</v>
      </c>
      <c r="M89" s="49">
        <f>11920-K89</f>
        <v>-5130</v>
      </c>
    </row>
    <row r="90" spans="1:13">
      <c r="A90" s="831"/>
      <c r="E90" s="49"/>
      <c r="F90" s="49"/>
      <c r="G90" s="49"/>
      <c r="H90" s="840" t="s">
        <v>2368</v>
      </c>
      <c r="I90" s="49"/>
      <c r="J90" s="49"/>
      <c r="K90" s="50">
        <f>K89/10</f>
        <v>1705</v>
      </c>
      <c r="L90" s="49">
        <f>L89-K89</f>
        <v>0</v>
      </c>
      <c r="M90" s="49"/>
    </row>
    <row r="91" spans="1:13">
      <c r="A91" s="831"/>
      <c r="E91" s="49"/>
      <c r="F91" s="49"/>
      <c r="G91" s="49"/>
      <c r="H91" s="50" t="s">
        <v>2374</v>
      </c>
      <c r="I91" s="49"/>
      <c r="J91" s="49"/>
      <c r="K91" s="50"/>
      <c r="L91" s="49">
        <f>L90*10</f>
        <v>0</v>
      </c>
      <c r="M91" s="49"/>
    </row>
    <row r="92" spans="1:13">
      <c r="A92" s="831"/>
      <c r="E92" s="49"/>
      <c r="F92" s="49"/>
      <c r="G92" s="49"/>
      <c r="H92" s="839" t="s">
        <v>2375</v>
      </c>
      <c r="I92" s="49">
        <f>90</f>
        <v>90</v>
      </c>
      <c r="J92" s="49"/>
      <c r="K92" s="50"/>
      <c r="L92" s="49"/>
      <c r="M92" s="49"/>
    </row>
    <row r="93" spans="1:13">
      <c r="A93" s="831"/>
      <c r="E93" s="49"/>
      <c r="F93" s="49"/>
      <c r="G93" s="49"/>
      <c r="H93" s="839" t="s">
        <v>2376</v>
      </c>
      <c r="I93" s="852">
        <v>8.2500000000000004E-2</v>
      </c>
      <c r="J93" s="49"/>
      <c r="K93" s="50"/>
      <c r="L93" s="49"/>
      <c r="M93" s="49"/>
    </row>
    <row r="94" spans="1:13" ht="18.75">
      <c r="A94" s="831"/>
      <c r="E94" s="49"/>
      <c r="F94" s="49"/>
      <c r="G94" s="49"/>
      <c r="H94" s="839" t="s">
        <v>2853</v>
      </c>
      <c r="I94" s="838">
        <v>0.13500000000000001</v>
      </c>
      <c r="J94" s="49"/>
      <c r="K94" s="50">
        <f>I92*I94/I93</f>
        <v>147.27000000000001</v>
      </c>
      <c r="L94" s="49"/>
      <c r="M94" s="49"/>
    </row>
    <row r="95" spans="1:13">
      <c r="A95" s="831"/>
      <c r="E95" s="49"/>
      <c r="F95" s="49"/>
      <c r="G95" s="49"/>
      <c r="H95" s="840"/>
      <c r="I95" s="49"/>
      <c r="J95" s="49"/>
      <c r="K95" s="50"/>
      <c r="L95" s="49"/>
      <c r="M95" s="49"/>
    </row>
    <row r="96" spans="1:13">
      <c r="A96" s="831"/>
      <c r="E96" s="49"/>
      <c r="F96" s="49"/>
      <c r="G96" s="49"/>
      <c r="H96" s="49"/>
      <c r="I96" s="49"/>
      <c r="J96" s="49"/>
      <c r="K96" s="49"/>
      <c r="L96" s="49"/>
      <c r="M96" s="49"/>
    </row>
    <row r="97" spans="1:13">
      <c r="A97" s="831"/>
      <c r="E97" s="49"/>
      <c r="F97" s="49"/>
      <c r="G97" s="49"/>
      <c r="H97" s="50" t="s">
        <v>2378</v>
      </c>
      <c r="I97" s="49"/>
      <c r="J97" s="49"/>
      <c r="K97" s="49"/>
      <c r="L97" s="49"/>
      <c r="M97" s="49"/>
    </row>
    <row r="98" spans="1:13">
      <c r="A98" s="831"/>
      <c r="E98" s="49"/>
      <c r="F98" s="49"/>
      <c r="G98" s="49"/>
      <c r="H98" s="50" t="s">
        <v>2379</v>
      </c>
      <c r="I98" s="49"/>
      <c r="J98" s="49"/>
      <c r="K98" s="49"/>
      <c r="L98" s="49"/>
      <c r="M98" s="49"/>
    </row>
    <row r="99" spans="1:13" ht="177.75" customHeight="1">
      <c r="A99" s="831"/>
      <c r="E99" s="49"/>
      <c r="F99" s="49"/>
      <c r="G99" s="49"/>
      <c r="H99" s="51" t="s">
        <v>2380</v>
      </c>
      <c r="I99" s="49"/>
      <c r="J99" s="49"/>
      <c r="K99" s="49"/>
      <c r="L99" s="49"/>
      <c r="M99" s="49"/>
    </row>
    <row r="100" spans="1:13">
      <c r="A100" s="831"/>
      <c r="E100" s="49"/>
      <c r="F100" s="49">
        <v>90</v>
      </c>
      <c r="G100" s="49" t="s">
        <v>13</v>
      </c>
      <c r="H100" s="846" t="s">
        <v>2311</v>
      </c>
      <c r="I100" s="49">
        <f>I12</f>
        <v>16.55</v>
      </c>
      <c r="J100" s="49" t="s">
        <v>2306</v>
      </c>
      <c r="K100" s="49">
        <f>F100*I100</f>
        <v>1489.5</v>
      </c>
      <c r="L100" s="49"/>
      <c r="M100" s="49"/>
    </row>
    <row r="101" spans="1:13">
      <c r="A101" s="831"/>
      <c r="E101" s="49"/>
      <c r="F101" s="49">
        <v>30</v>
      </c>
      <c r="G101" s="49" t="s">
        <v>13</v>
      </c>
      <c r="H101" s="51" t="s">
        <v>2313</v>
      </c>
      <c r="I101" s="49">
        <f>I75</f>
        <v>20</v>
      </c>
      <c r="J101" s="49" t="s">
        <v>13</v>
      </c>
      <c r="K101" s="49">
        <f t="shared" ref="K101:K110" si="6">F101*I101</f>
        <v>600</v>
      </c>
      <c r="L101" s="49"/>
      <c r="M101" s="49"/>
    </row>
    <row r="102" spans="1:13">
      <c r="A102" s="831"/>
      <c r="E102" s="49"/>
      <c r="F102" s="49">
        <v>10</v>
      </c>
      <c r="G102" s="49" t="s">
        <v>1034</v>
      </c>
      <c r="H102" s="49" t="s">
        <v>2317</v>
      </c>
      <c r="I102" s="49">
        <f>I76</f>
        <v>3.15</v>
      </c>
      <c r="J102" s="49" t="s">
        <v>1034</v>
      </c>
      <c r="K102" s="49">
        <f t="shared" si="6"/>
        <v>31.5</v>
      </c>
      <c r="L102" s="49"/>
      <c r="M102" s="49"/>
    </row>
    <row r="103" spans="1:13">
      <c r="A103" s="831"/>
      <c r="E103" s="49"/>
      <c r="F103" s="49">
        <v>5</v>
      </c>
      <c r="G103" s="49" t="s">
        <v>1034</v>
      </c>
      <c r="H103" s="49" t="s">
        <v>2319</v>
      </c>
      <c r="I103" s="49">
        <f>I77</f>
        <v>1.34</v>
      </c>
      <c r="J103" s="49" t="s">
        <v>1034</v>
      </c>
      <c r="K103" s="49">
        <f t="shared" si="6"/>
        <v>6.7</v>
      </c>
      <c r="L103" s="49"/>
      <c r="M103" s="49"/>
    </row>
    <row r="104" spans="1:13">
      <c r="A104" s="831"/>
      <c r="E104" s="49"/>
      <c r="F104" s="49">
        <v>10</v>
      </c>
      <c r="G104" s="49" t="s">
        <v>1034</v>
      </c>
      <c r="H104" s="51" t="s">
        <v>2854</v>
      </c>
      <c r="I104" s="52">
        <f>241.3/12</f>
        <v>20.11</v>
      </c>
      <c r="J104" s="49" t="s">
        <v>1034</v>
      </c>
      <c r="K104" s="49">
        <f t="shared" si="6"/>
        <v>201.1</v>
      </c>
      <c r="L104" s="49"/>
      <c r="M104" s="49">
        <f>253/12</f>
        <v>21.08</v>
      </c>
    </row>
    <row r="105" spans="1:13">
      <c r="A105" s="831"/>
      <c r="E105" s="49"/>
      <c r="F105" s="49">
        <v>5</v>
      </c>
      <c r="G105" s="49" t="s">
        <v>1034</v>
      </c>
      <c r="H105" s="49" t="s">
        <v>2325</v>
      </c>
      <c r="I105" s="49">
        <f>I79</f>
        <v>13.8</v>
      </c>
      <c r="J105" s="49" t="s">
        <v>1034</v>
      </c>
      <c r="K105" s="49">
        <f t="shared" si="6"/>
        <v>69</v>
      </c>
      <c r="L105" s="49"/>
      <c r="M105" s="49"/>
    </row>
    <row r="106" spans="1:13">
      <c r="A106" s="831"/>
      <c r="E106" s="49"/>
      <c r="F106" s="49">
        <v>5</v>
      </c>
      <c r="G106" s="49" t="s">
        <v>1034</v>
      </c>
      <c r="H106" s="49" t="s">
        <v>2406</v>
      </c>
      <c r="I106" s="49">
        <f>I78</f>
        <v>3.6</v>
      </c>
      <c r="J106" s="49" t="s">
        <v>1034</v>
      </c>
      <c r="K106" s="49">
        <f t="shared" si="6"/>
        <v>18</v>
      </c>
      <c r="L106" s="49"/>
      <c r="M106" s="49"/>
    </row>
    <row r="107" spans="1:13">
      <c r="A107" s="831"/>
      <c r="E107" s="49"/>
      <c r="F107" s="49">
        <v>6</v>
      </c>
      <c r="G107" s="49" t="s">
        <v>1034</v>
      </c>
      <c r="H107" s="49" t="s">
        <v>2855</v>
      </c>
      <c r="I107" s="49">
        <f>I83</f>
        <v>70.7</v>
      </c>
      <c r="J107" s="49" t="s">
        <v>1034</v>
      </c>
      <c r="K107" s="49">
        <f t="shared" si="6"/>
        <v>424.2</v>
      </c>
      <c r="L107" s="49"/>
      <c r="M107" s="49"/>
    </row>
    <row r="108" spans="1:13">
      <c r="A108" s="831"/>
      <c r="E108" s="49"/>
      <c r="F108" s="49">
        <v>0.09</v>
      </c>
      <c r="G108" s="49" t="s">
        <v>724</v>
      </c>
      <c r="H108" s="49" t="s">
        <v>2386</v>
      </c>
      <c r="I108" s="49">
        <f>I82</f>
        <v>661</v>
      </c>
      <c r="J108" s="49" t="s">
        <v>724</v>
      </c>
      <c r="K108" s="49">
        <f t="shared" si="6"/>
        <v>59.49</v>
      </c>
      <c r="L108" s="49"/>
      <c r="M108" s="49"/>
    </row>
    <row r="109" spans="1:13">
      <c r="A109" s="831"/>
      <c r="E109" s="49"/>
      <c r="F109" s="49">
        <v>1.25</v>
      </c>
      <c r="G109" s="49" t="s">
        <v>2324</v>
      </c>
      <c r="H109" s="49" t="s">
        <v>38</v>
      </c>
      <c r="I109" s="49">
        <f>I85</f>
        <v>302</v>
      </c>
      <c r="J109" s="49" t="s">
        <v>2324</v>
      </c>
      <c r="K109" s="49">
        <f t="shared" si="6"/>
        <v>377.5</v>
      </c>
      <c r="L109" s="49"/>
      <c r="M109" s="49"/>
    </row>
    <row r="110" spans="1:13" ht="31.5">
      <c r="A110" s="831"/>
      <c r="E110" s="49"/>
      <c r="F110" s="49">
        <v>30</v>
      </c>
      <c r="G110" s="49" t="s">
        <v>13</v>
      </c>
      <c r="H110" s="846" t="s">
        <v>2333</v>
      </c>
      <c r="I110" s="49">
        <f>I100</f>
        <v>16.55</v>
      </c>
      <c r="J110" s="49" t="s">
        <v>2330</v>
      </c>
      <c r="K110" s="49">
        <f t="shared" si="6"/>
        <v>496.5</v>
      </c>
      <c r="L110" s="49"/>
      <c r="M110" s="49"/>
    </row>
    <row r="111" spans="1:13">
      <c r="A111" s="831"/>
      <c r="E111" s="49"/>
      <c r="F111" s="49"/>
      <c r="G111" s="49"/>
      <c r="H111" s="49" t="s">
        <v>478</v>
      </c>
      <c r="I111" s="49"/>
      <c r="J111" s="49"/>
      <c r="K111" s="49">
        <f>K42</f>
        <v>11454</v>
      </c>
      <c r="L111" s="49"/>
      <c r="M111" s="49"/>
    </row>
    <row r="112" spans="1:13">
      <c r="A112" s="831"/>
      <c r="E112" s="49"/>
      <c r="F112" s="49"/>
      <c r="G112" s="49"/>
      <c r="H112" s="49" t="s">
        <v>1557</v>
      </c>
      <c r="I112" s="49"/>
      <c r="J112" s="49"/>
      <c r="K112" s="49">
        <v>32.51</v>
      </c>
      <c r="L112" s="49"/>
      <c r="M112" s="49"/>
    </row>
    <row r="113" spans="1:14">
      <c r="A113" s="831"/>
      <c r="E113" s="49"/>
      <c r="F113" s="49"/>
      <c r="G113" s="49"/>
      <c r="H113" s="839" t="s">
        <v>2382</v>
      </c>
      <c r="I113" s="49"/>
      <c r="J113" s="49"/>
      <c r="K113" s="847">
        <f>SUM(K100:K112)</f>
        <v>15260</v>
      </c>
      <c r="L113" s="49">
        <f>3052*5</f>
        <v>15260</v>
      </c>
      <c r="M113" s="49"/>
    </row>
    <row r="114" spans="1:14">
      <c r="A114" s="831"/>
      <c r="E114" s="49"/>
      <c r="F114" s="49"/>
      <c r="G114" s="49"/>
      <c r="H114" s="840" t="s">
        <v>2368</v>
      </c>
      <c r="I114" s="49"/>
      <c r="J114" s="49"/>
      <c r="K114" s="50">
        <f>K113/5</f>
        <v>3052</v>
      </c>
      <c r="L114" s="49">
        <f>L113-K113</f>
        <v>0</v>
      </c>
      <c r="M114" s="49"/>
    </row>
    <row r="115" spans="1:14">
      <c r="A115" s="831"/>
      <c r="E115" s="49"/>
      <c r="F115" s="49"/>
      <c r="G115" s="49"/>
      <c r="H115" s="49"/>
      <c r="I115" s="49"/>
      <c r="J115" s="49"/>
      <c r="K115" s="49"/>
      <c r="L115" s="49"/>
      <c r="M115" s="49"/>
    </row>
    <row r="116" spans="1:14">
      <c r="A116" s="831"/>
      <c r="E116" s="49"/>
      <c r="F116" s="49"/>
      <c r="G116" s="49"/>
      <c r="H116" s="50" t="s">
        <v>2383</v>
      </c>
      <c r="I116" s="49"/>
      <c r="J116" s="49"/>
      <c r="K116" s="49"/>
      <c r="L116" s="49"/>
      <c r="M116" s="49"/>
    </row>
    <row r="117" spans="1:14">
      <c r="A117" s="831"/>
      <c r="E117" s="49"/>
      <c r="F117" s="49"/>
      <c r="G117" s="49"/>
      <c r="H117" s="50" t="s">
        <v>2384</v>
      </c>
      <c r="I117" s="49"/>
      <c r="J117" s="49"/>
      <c r="K117" s="49"/>
      <c r="L117" s="49"/>
      <c r="M117" s="49"/>
    </row>
    <row r="118" spans="1:14">
      <c r="A118" s="831"/>
      <c r="E118" s="49"/>
      <c r="F118" s="49"/>
      <c r="G118" s="49"/>
      <c r="H118" s="49"/>
      <c r="I118" s="49"/>
      <c r="J118" s="49"/>
      <c r="K118" s="49"/>
      <c r="L118" s="49"/>
      <c r="M118" s="49"/>
    </row>
    <row r="119" spans="1:14" ht="141.75">
      <c r="A119" s="831"/>
      <c r="E119" s="49"/>
      <c r="F119" s="49"/>
      <c r="G119" s="49"/>
      <c r="H119" s="51" t="s">
        <v>2385</v>
      </c>
      <c r="I119" s="49"/>
      <c r="J119" s="49"/>
      <c r="K119" s="49"/>
      <c r="L119" s="49"/>
      <c r="M119" s="49"/>
    </row>
    <row r="120" spans="1:14">
      <c r="A120" s="831"/>
      <c r="E120" s="49"/>
      <c r="F120" s="49">
        <v>90</v>
      </c>
      <c r="G120" s="49" t="s">
        <v>13</v>
      </c>
      <c r="H120" s="846" t="s">
        <v>2311</v>
      </c>
      <c r="I120" s="49">
        <f>I100</f>
        <v>16.55</v>
      </c>
      <c r="J120" s="49" t="s">
        <v>2330</v>
      </c>
      <c r="K120" s="49">
        <f>F120*I120</f>
        <v>1489.5</v>
      </c>
      <c r="L120" s="49"/>
      <c r="M120" s="49"/>
    </row>
    <row r="121" spans="1:14">
      <c r="E121" s="49"/>
      <c r="F121" s="49">
        <v>45</v>
      </c>
      <c r="G121" s="49" t="s">
        <v>13</v>
      </c>
      <c r="H121" s="51" t="s">
        <v>2313</v>
      </c>
      <c r="I121" s="49">
        <f>I101</f>
        <v>20</v>
      </c>
      <c r="J121" s="49" t="s">
        <v>13</v>
      </c>
      <c r="K121" s="49">
        <f t="shared" ref="K121:K130" si="7">F121*I121</f>
        <v>900</v>
      </c>
      <c r="L121" s="49"/>
      <c r="M121" s="49"/>
    </row>
    <row r="122" spans="1:14" ht="20.100000000000001" customHeight="1">
      <c r="E122" s="49"/>
      <c r="F122" s="49">
        <v>20</v>
      </c>
      <c r="G122" s="49" t="s">
        <v>1034</v>
      </c>
      <c r="H122" s="49" t="s">
        <v>2317</v>
      </c>
      <c r="I122" s="49">
        <f>I102</f>
        <v>3.15</v>
      </c>
      <c r="J122" s="49" t="s">
        <v>2315</v>
      </c>
      <c r="K122" s="49">
        <f t="shared" si="7"/>
        <v>63</v>
      </c>
      <c r="L122" s="49"/>
      <c r="M122" s="49"/>
    </row>
    <row r="123" spans="1:14" ht="20.100000000000001" customHeight="1">
      <c r="E123" s="49"/>
      <c r="F123" s="49">
        <v>10</v>
      </c>
      <c r="G123" s="49" t="s">
        <v>1034</v>
      </c>
      <c r="H123" s="49" t="s">
        <v>2319</v>
      </c>
      <c r="I123" s="49">
        <f>I103</f>
        <v>1.34</v>
      </c>
      <c r="J123" s="49" t="s">
        <v>2315</v>
      </c>
      <c r="K123" s="49">
        <f t="shared" si="7"/>
        <v>13.4</v>
      </c>
      <c r="L123" s="49"/>
      <c r="M123" s="49"/>
    </row>
    <row r="124" spans="1:14" ht="20.100000000000001" customHeight="1">
      <c r="E124" s="49"/>
      <c r="F124" s="49">
        <v>1</v>
      </c>
      <c r="G124" s="49" t="s">
        <v>1034</v>
      </c>
      <c r="H124" s="49" t="s">
        <v>2855</v>
      </c>
      <c r="I124" s="49">
        <f>I107</f>
        <v>70.7</v>
      </c>
      <c r="J124" s="49" t="s">
        <v>1034</v>
      </c>
      <c r="K124" s="49">
        <f t="shared" si="7"/>
        <v>70.7</v>
      </c>
      <c r="L124" s="49"/>
      <c r="M124" s="49"/>
    </row>
    <row r="125" spans="1:14" ht="20.100000000000001" customHeight="1">
      <c r="E125" s="49"/>
      <c r="F125" s="838">
        <v>1.4999999999999999E-2</v>
      </c>
      <c r="G125" s="49" t="s">
        <v>724</v>
      </c>
      <c r="H125" s="49" t="s">
        <v>2386</v>
      </c>
      <c r="I125" s="49">
        <f>I18</f>
        <v>661</v>
      </c>
      <c r="J125" s="49" t="s">
        <v>724</v>
      </c>
      <c r="K125" s="49">
        <f t="shared" si="7"/>
        <v>9.92</v>
      </c>
      <c r="L125" s="49"/>
      <c r="M125" s="49"/>
    </row>
    <row r="126" spans="1:14" ht="31.5" customHeight="1">
      <c r="E126" s="49"/>
      <c r="F126" s="49">
        <v>15</v>
      </c>
      <c r="G126" s="49" t="s">
        <v>1034</v>
      </c>
      <c r="H126" s="51" t="s">
        <v>2856</v>
      </c>
      <c r="I126" s="52">
        <f>(194.5/12)+24.1</f>
        <v>40.31</v>
      </c>
      <c r="J126" s="49" t="s">
        <v>1034</v>
      </c>
      <c r="K126" s="49">
        <f t="shared" si="7"/>
        <v>604.65</v>
      </c>
      <c r="L126" s="853">
        <f>192.6+239</f>
        <v>431.6</v>
      </c>
      <c r="M126" s="49">
        <f>L126/12</f>
        <v>35.97</v>
      </c>
      <c r="N126" s="325">
        <f>M126/12</f>
        <v>3</v>
      </c>
    </row>
    <row r="127" spans="1:14" ht="20.100000000000001" customHeight="1">
      <c r="E127" s="49"/>
      <c r="F127" s="49">
        <v>15</v>
      </c>
      <c r="G127" s="49" t="s">
        <v>1034</v>
      </c>
      <c r="H127" s="49" t="s">
        <v>2855</v>
      </c>
      <c r="I127" s="49">
        <f>I124</f>
        <v>70.7</v>
      </c>
      <c r="J127" s="49" t="s">
        <v>1034</v>
      </c>
      <c r="K127" s="49">
        <f t="shared" si="7"/>
        <v>1060.5</v>
      </c>
      <c r="L127" s="49"/>
      <c r="M127" s="49"/>
    </row>
    <row r="128" spans="1:14" ht="20.100000000000001" customHeight="1">
      <c r="E128" s="49"/>
      <c r="F128" s="838">
        <v>0.22500000000000001</v>
      </c>
      <c r="G128" s="49" t="s">
        <v>724</v>
      </c>
      <c r="H128" s="49" t="s">
        <v>2386</v>
      </c>
      <c r="I128" s="49">
        <f>I125</f>
        <v>661</v>
      </c>
      <c r="J128" s="49" t="s">
        <v>2388</v>
      </c>
      <c r="K128" s="49">
        <f t="shared" si="7"/>
        <v>148.72999999999999</v>
      </c>
      <c r="L128" s="49"/>
      <c r="M128" s="49"/>
    </row>
    <row r="129" spans="5:13" ht="20.100000000000001" customHeight="1">
      <c r="E129" s="49"/>
      <c r="F129" s="49">
        <v>1.25</v>
      </c>
      <c r="G129" s="49" t="s">
        <v>2324</v>
      </c>
      <c r="H129" s="49" t="s">
        <v>38</v>
      </c>
      <c r="I129" s="49">
        <f>I109</f>
        <v>302</v>
      </c>
      <c r="J129" s="49" t="s">
        <v>2324</v>
      </c>
      <c r="K129" s="49">
        <f t="shared" si="7"/>
        <v>377.5</v>
      </c>
      <c r="L129" s="49"/>
      <c r="M129" s="49"/>
    </row>
    <row r="130" spans="5:13" ht="31.5">
      <c r="E130" s="49"/>
      <c r="F130" s="49">
        <v>45</v>
      </c>
      <c r="G130" s="49" t="s">
        <v>724</v>
      </c>
      <c r="H130" s="846" t="s">
        <v>2333</v>
      </c>
      <c r="I130" s="49">
        <f>I120</f>
        <v>16.55</v>
      </c>
      <c r="J130" s="49" t="s">
        <v>2330</v>
      </c>
      <c r="K130" s="49">
        <f t="shared" si="7"/>
        <v>744.75</v>
      </c>
      <c r="L130" s="49"/>
      <c r="M130" s="49"/>
    </row>
    <row r="131" spans="5:13" ht="15.75" customHeight="1">
      <c r="E131" s="49"/>
      <c r="F131" s="49"/>
      <c r="G131" s="49"/>
      <c r="H131" s="49" t="s">
        <v>478</v>
      </c>
      <c r="I131" s="49"/>
      <c r="J131" s="49"/>
      <c r="K131" s="49">
        <f>K87</f>
        <v>11454</v>
      </c>
      <c r="L131" s="49"/>
      <c r="M131" s="49"/>
    </row>
    <row r="132" spans="5:13" ht="17.25" customHeight="1">
      <c r="E132" s="49"/>
      <c r="F132" s="49"/>
      <c r="G132" s="49"/>
      <c r="H132" s="49" t="s">
        <v>1557</v>
      </c>
      <c r="I132" s="49"/>
      <c r="J132" s="49"/>
      <c r="K132" s="49">
        <v>58.35</v>
      </c>
      <c r="L132" s="49"/>
      <c r="M132" s="49"/>
    </row>
    <row r="133" spans="5:13">
      <c r="E133" s="49"/>
      <c r="F133" s="49"/>
      <c r="G133" s="49"/>
      <c r="H133" s="839" t="s">
        <v>2389</v>
      </c>
      <c r="I133" s="49"/>
      <c r="J133" s="49"/>
      <c r="K133" s="847">
        <f>SUM(K120:K132)</f>
        <v>16995</v>
      </c>
      <c r="L133" s="49">
        <f>1133*15</f>
        <v>16995</v>
      </c>
      <c r="M133" s="49"/>
    </row>
    <row r="134" spans="5:13">
      <c r="E134" s="49"/>
      <c r="F134" s="49"/>
      <c r="G134" s="49"/>
      <c r="H134" s="840" t="s">
        <v>2368</v>
      </c>
      <c r="I134" s="49"/>
      <c r="J134" s="49"/>
      <c r="K134" s="50">
        <f>K133/15</f>
        <v>1133</v>
      </c>
      <c r="L134" s="49">
        <f>L133-K133</f>
        <v>0</v>
      </c>
      <c r="M134" s="49"/>
    </row>
    <row r="135" spans="5:13" ht="12.75" customHeight="1">
      <c r="E135" s="49"/>
      <c r="F135" s="49"/>
      <c r="G135" s="49"/>
      <c r="H135" s="49"/>
      <c r="I135" s="49"/>
      <c r="J135" s="49"/>
      <c r="K135" s="49"/>
      <c r="L135" s="49"/>
      <c r="M135" s="49"/>
    </row>
    <row r="136" spans="5:13">
      <c r="E136" s="49"/>
      <c r="F136" s="49"/>
      <c r="G136" s="49"/>
      <c r="H136" s="50" t="s">
        <v>2390</v>
      </c>
      <c r="I136" s="49"/>
      <c r="J136" s="49"/>
      <c r="K136" s="49"/>
      <c r="L136" s="49"/>
      <c r="M136" s="49"/>
    </row>
    <row r="137" spans="5:13">
      <c r="E137" s="49"/>
      <c r="F137" s="49"/>
      <c r="G137" s="49"/>
      <c r="H137" s="50" t="s">
        <v>2391</v>
      </c>
      <c r="I137" s="49"/>
      <c r="J137" s="49"/>
      <c r="K137" s="49"/>
      <c r="L137" s="49"/>
      <c r="M137" s="49"/>
    </row>
    <row r="138" spans="5:13">
      <c r="E138" s="49"/>
      <c r="F138" s="49"/>
      <c r="G138" s="49"/>
      <c r="H138" s="49"/>
      <c r="I138" s="49"/>
      <c r="J138" s="49"/>
      <c r="K138" s="49"/>
      <c r="L138" s="49"/>
      <c r="M138" s="49"/>
    </row>
    <row r="139" spans="5:13" ht="141.75">
      <c r="E139" s="49"/>
      <c r="F139" s="49"/>
      <c r="G139" s="49"/>
      <c r="H139" s="51" t="s">
        <v>2392</v>
      </c>
      <c r="I139" s="49"/>
      <c r="J139" s="49"/>
      <c r="K139" s="49"/>
      <c r="L139" s="49"/>
      <c r="M139" s="49"/>
    </row>
    <row r="140" spans="5:13">
      <c r="E140" s="49"/>
      <c r="F140" s="49"/>
      <c r="G140" s="49"/>
      <c r="H140" s="49"/>
      <c r="I140" s="49"/>
      <c r="J140" s="49"/>
      <c r="K140" s="49"/>
      <c r="L140" s="49"/>
      <c r="M140" s="49"/>
    </row>
    <row r="141" spans="5:13">
      <c r="E141" s="49"/>
      <c r="F141" s="49">
        <v>5</v>
      </c>
      <c r="G141" s="49" t="s">
        <v>13</v>
      </c>
      <c r="H141" s="837" t="s">
        <v>2311</v>
      </c>
      <c r="I141" s="49">
        <f>I120</f>
        <v>16.55</v>
      </c>
      <c r="J141" s="49" t="s">
        <v>2308</v>
      </c>
      <c r="K141" s="49">
        <f>F141*I141</f>
        <v>82.75</v>
      </c>
      <c r="L141" s="49"/>
      <c r="M141" s="49"/>
    </row>
    <row r="142" spans="5:13" ht="33" customHeight="1">
      <c r="E142" s="49"/>
      <c r="F142" s="49">
        <v>2.5</v>
      </c>
      <c r="G142" s="49" t="s">
        <v>13</v>
      </c>
      <c r="H142" s="51" t="s">
        <v>2313</v>
      </c>
      <c r="I142" s="49">
        <f>I121</f>
        <v>20</v>
      </c>
      <c r="J142" s="49" t="s">
        <v>13</v>
      </c>
      <c r="K142" s="49">
        <f>F142*I142</f>
        <v>50</v>
      </c>
      <c r="L142" s="49"/>
      <c r="M142" s="49"/>
    </row>
    <row r="143" spans="5:13" ht="35.25" customHeight="1">
      <c r="E143" s="49"/>
      <c r="F143" s="49">
        <v>1</v>
      </c>
      <c r="G143" s="49" t="s">
        <v>1034</v>
      </c>
      <c r="H143" s="51" t="str">
        <f>H126</f>
        <v>5 A 5 pin non - inter locking switch and plug ( flush type ) part - c (I a) + part - d (I a)( Rs. 194.50/12 + 24.10) p-118 +123 part d a</v>
      </c>
      <c r="I143" s="49">
        <f>I126</f>
        <v>40.31</v>
      </c>
      <c r="J143" s="49" t="s">
        <v>1034</v>
      </c>
      <c r="K143" s="49">
        <f>F143*I143</f>
        <v>40.31</v>
      </c>
      <c r="L143" s="49"/>
      <c r="M143" s="49"/>
    </row>
    <row r="144" spans="5:13">
      <c r="E144" s="49"/>
      <c r="F144" s="49"/>
      <c r="G144" s="49"/>
      <c r="H144" s="49" t="s">
        <v>478</v>
      </c>
      <c r="I144" s="49"/>
      <c r="J144" s="49"/>
      <c r="K144" s="49">
        <f>ROUND(K42*5/90,2)</f>
        <v>636.33000000000004</v>
      </c>
      <c r="L144" s="49"/>
      <c r="M144" s="49"/>
    </row>
    <row r="145" spans="5:13">
      <c r="E145" s="49"/>
      <c r="F145" s="49"/>
      <c r="G145" s="49"/>
      <c r="H145" s="49" t="s">
        <v>1557</v>
      </c>
      <c r="I145" s="49"/>
      <c r="J145" s="49"/>
      <c r="K145" s="49">
        <v>25.61</v>
      </c>
      <c r="L145" s="49"/>
      <c r="M145" s="49"/>
    </row>
    <row r="146" spans="5:13">
      <c r="E146" s="49"/>
      <c r="F146" s="49"/>
      <c r="G146" s="49"/>
      <c r="H146" s="840" t="s">
        <v>2368</v>
      </c>
      <c r="I146" s="49"/>
      <c r="J146" s="49"/>
      <c r="K146" s="848">
        <f>SUM(K141:K145)</f>
        <v>835</v>
      </c>
      <c r="L146" s="49">
        <f>835-K146</f>
        <v>0</v>
      </c>
      <c r="M146" s="49"/>
    </row>
    <row r="147" spans="5:13">
      <c r="E147" s="49"/>
      <c r="F147" s="49"/>
      <c r="G147" s="49"/>
      <c r="H147" s="49"/>
      <c r="I147" s="49"/>
      <c r="J147" s="49"/>
      <c r="K147" s="49"/>
      <c r="L147" s="49"/>
      <c r="M147" s="49"/>
    </row>
    <row r="148" spans="5:13">
      <c r="E148" s="49"/>
      <c r="F148" s="49"/>
      <c r="G148" s="49"/>
      <c r="H148" s="50" t="s">
        <v>2394</v>
      </c>
      <c r="I148" s="49"/>
      <c r="J148" s="49"/>
      <c r="K148" s="49"/>
      <c r="L148" s="49"/>
      <c r="M148" s="49"/>
    </row>
    <row r="149" spans="5:13" ht="14.25" customHeight="1">
      <c r="E149" s="49"/>
      <c r="F149" s="49"/>
      <c r="G149" s="49"/>
      <c r="H149" s="50" t="s">
        <v>2395</v>
      </c>
      <c r="I149" s="49"/>
      <c r="J149" s="49"/>
      <c r="K149" s="49"/>
      <c r="L149" s="49"/>
      <c r="M149" s="49"/>
    </row>
    <row r="150" spans="5:13">
      <c r="E150" s="49"/>
      <c r="F150" s="49"/>
      <c r="G150" s="49"/>
      <c r="H150" s="49"/>
      <c r="I150" s="49"/>
      <c r="J150" s="49"/>
      <c r="K150" s="49"/>
      <c r="L150" s="49"/>
      <c r="M150" s="49"/>
    </row>
    <row r="151" spans="5:13" ht="65.25" customHeight="1">
      <c r="E151" s="49"/>
      <c r="F151" s="49"/>
      <c r="G151" s="49"/>
      <c r="H151" s="51" t="s">
        <v>2857</v>
      </c>
      <c r="I151" s="49"/>
      <c r="J151" s="49"/>
      <c r="K151" s="49"/>
      <c r="L151" s="49"/>
      <c r="M151" s="49"/>
    </row>
    <row r="152" spans="5:13">
      <c r="E152" s="49"/>
      <c r="F152" s="49"/>
      <c r="G152" s="49"/>
      <c r="H152" s="49"/>
      <c r="I152" s="49"/>
      <c r="J152" s="49"/>
      <c r="K152" s="49"/>
      <c r="L152" s="49"/>
      <c r="M152" s="49"/>
    </row>
    <row r="153" spans="5:13" ht="22.5" customHeight="1">
      <c r="E153" s="49"/>
      <c r="F153" s="49">
        <v>1</v>
      </c>
      <c r="G153" s="49" t="s">
        <v>1034</v>
      </c>
      <c r="H153" s="49" t="s">
        <v>2858</v>
      </c>
      <c r="I153" s="52">
        <v>54.5</v>
      </c>
      <c r="J153" s="49" t="s">
        <v>1034</v>
      </c>
      <c r="K153" s="49">
        <f>F153*I153</f>
        <v>54.5</v>
      </c>
      <c r="L153" s="49"/>
      <c r="M153" s="49"/>
    </row>
    <row r="154" spans="5:13" ht="22.5" customHeight="1">
      <c r="E154" s="49"/>
      <c r="F154" s="49">
        <v>1</v>
      </c>
      <c r="G154" s="49" t="s">
        <v>1034</v>
      </c>
      <c r="H154" s="49" t="s">
        <v>2859</v>
      </c>
      <c r="I154" s="49">
        <f>I124</f>
        <v>70.7</v>
      </c>
      <c r="J154" s="49" t="s">
        <v>1034</v>
      </c>
      <c r="K154" s="49">
        <f>F154*I154</f>
        <v>70.7</v>
      </c>
      <c r="L154" s="49"/>
      <c r="M154" s="49"/>
    </row>
    <row r="155" spans="5:13" ht="22.5" customHeight="1">
      <c r="E155" s="49"/>
      <c r="F155" s="838">
        <v>1.4999999999999999E-2</v>
      </c>
      <c r="G155" s="49" t="s">
        <v>724</v>
      </c>
      <c r="H155" s="49" t="s">
        <v>2398</v>
      </c>
      <c r="I155" s="49">
        <f>I125</f>
        <v>661</v>
      </c>
      <c r="J155" s="49" t="s">
        <v>724</v>
      </c>
      <c r="K155" s="49">
        <f>F155*I155</f>
        <v>9.92</v>
      </c>
      <c r="L155" s="49"/>
      <c r="M155" s="49"/>
    </row>
    <row r="156" spans="5:13" ht="37.5" customHeight="1">
      <c r="E156" s="49"/>
      <c r="F156" s="49" t="s">
        <v>49</v>
      </c>
      <c r="G156" s="49"/>
      <c r="H156" s="51" t="s">
        <v>2399</v>
      </c>
      <c r="I156" s="49"/>
      <c r="J156" s="49"/>
      <c r="K156" s="49">
        <v>14.88</v>
      </c>
      <c r="L156" s="49">
        <f>(K153+K154+K155)*2%</f>
        <v>2.7</v>
      </c>
      <c r="M156" s="49"/>
    </row>
    <row r="157" spans="5:13" ht="17.25" customHeight="1">
      <c r="E157" s="49"/>
      <c r="F157" s="49"/>
      <c r="G157" s="49"/>
      <c r="H157" s="840" t="s">
        <v>2400</v>
      </c>
      <c r="I157" s="49"/>
      <c r="J157" s="49"/>
      <c r="K157" s="848">
        <f>SUM(K153:K156)</f>
        <v>150</v>
      </c>
      <c r="L157" s="49">
        <f>150-K157</f>
        <v>0</v>
      </c>
      <c r="M157" s="49"/>
    </row>
    <row r="158" spans="5:13" ht="20.25" customHeight="1">
      <c r="E158" s="49"/>
      <c r="F158" s="49"/>
      <c r="G158" s="49"/>
      <c r="H158" s="49"/>
      <c r="I158" s="49"/>
      <c r="J158" s="49"/>
      <c r="K158" s="49">
        <f>K157*18</f>
        <v>2700</v>
      </c>
      <c r="L158" s="49"/>
      <c r="M158" s="49"/>
    </row>
    <row r="159" spans="5:13">
      <c r="E159" s="49"/>
      <c r="F159" s="49"/>
      <c r="G159" s="49"/>
      <c r="H159" s="50" t="s">
        <v>2401</v>
      </c>
      <c r="I159" s="49"/>
      <c r="J159" s="49"/>
      <c r="K159" s="49"/>
      <c r="L159" s="49"/>
      <c r="M159" s="49"/>
    </row>
    <row r="160" spans="5:13" ht="47.25">
      <c r="E160" s="49"/>
      <c r="F160" s="49"/>
      <c r="G160" s="49"/>
      <c r="H160" s="842" t="s">
        <v>2402</v>
      </c>
      <c r="I160" s="49"/>
      <c r="J160" s="49"/>
      <c r="K160" s="49"/>
      <c r="L160" s="49"/>
      <c r="M160" s="49"/>
    </row>
    <row r="161" spans="5:13">
      <c r="E161" s="49"/>
      <c r="F161" s="49"/>
      <c r="G161" s="49"/>
      <c r="H161" s="842"/>
      <c r="I161" s="49"/>
      <c r="J161" s="49"/>
      <c r="K161" s="49"/>
      <c r="L161" s="49"/>
      <c r="M161" s="49"/>
    </row>
    <row r="162" spans="5:13" ht="173.25">
      <c r="E162" s="49"/>
      <c r="F162" s="49"/>
      <c r="G162" s="49"/>
      <c r="H162" s="51" t="s">
        <v>2403</v>
      </c>
      <c r="I162" s="49"/>
      <c r="J162" s="49"/>
      <c r="K162" s="49"/>
      <c r="L162" s="49"/>
      <c r="M162" s="49"/>
    </row>
    <row r="163" spans="5:13" ht="26.25" customHeight="1">
      <c r="E163" s="49"/>
      <c r="F163" s="49"/>
      <c r="G163" s="49"/>
      <c r="H163" s="49"/>
      <c r="I163" s="49"/>
      <c r="J163" s="49"/>
      <c r="K163" s="49"/>
      <c r="L163" s="49"/>
      <c r="M163" s="49"/>
    </row>
    <row r="164" spans="5:13">
      <c r="E164" s="49"/>
      <c r="F164" s="49">
        <v>90</v>
      </c>
      <c r="G164" s="49" t="s">
        <v>13</v>
      </c>
      <c r="H164" s="846" t="s">
        <v>2311</v>
      </c>
      <c r="I164" s="49">
        <f>I12</f>
        <v>16.55</v>
      </c>
      <c r="J164" s="49" t="s">
        <v>13</v>
      </c>
      <c r="K164" s="49">
        <f>F164*I164</f>
        <v>1489.5</v>
      </c>
      <c r="L164" s="49"/>
      <c r="M164" s="49"/>
    </row>
    <row r="165" spans="5:13">
      <c r="E165" s="49"/>
      <c r="F165" s="49">
        <v>45</v>
      </c>
      <c r="G165" s="49" t="s">
        <v>13</v>
      </c>
      <c r="H165" s="51" t="s">
        <v>2313</v>
      </c>
      <c r="I165" s="49">
        <f>I13</f>
        <v>20</v>
      </c>
      <c r="J165" s="49" t="s">
        <v>2308</v>
      </c>
      <c r="K165" s="49">
        <f t="shared" ref="K165:K176" si="8">F165*I165</f>
        <v>900</v>
      </c>
      <c r="L165" s="49"/>
      <c r="M165" s="49"/>
    </row>
    <row r="166" spans="5:13">
      <c r="E166" s="49"/>
      <c r="F166" s="49">
        <v>12</v>
      </c>
      <c r="G166" s="49" t="s">
        <v>1034</v>
      </c>
      <c r="H166" s="49" t="s">
        <v>2317</v>
      </c>
      <c r="I166" s="49">
        <f>I14</f>
        <v>3.15</v>
      </c>
      <c r="J166" s="49" t="s">
        <v>1034</v>
      </c>
      <c r="K166" s="49">
        <f t="shared" si="8"/>
        <v>37.799999999999997</v>
      </c>
      <c r="L166" s="49"/>
      <c r="M166" s="49"/>
    </row>
    <row r="167" spans="5:13">
      <c r="E167" s="49"/>
      <c r="F167" s="49">
        <v>6</v>
      </c>
      <c r="G167" s="49" t="s">
        <v>1034</v>
      </c>
      <c r="H167" s="49" t="s">
        <v>2319</v>
      </c>
      <c r="I167" s="49">
        <f>I15</f>
        <v>1.34</v>
      </c>
      <c r="J167" s="49" t="s">
        <v>1034</v>
      </c>
      <c r="K167" s="49">
        <f t="shared" si="8"/>
        <v>8.0399999999999991</v>
      </c>
      <c r="L167" s="49"/>
      <c r="M167" s="49"/>
    </row>
    <row r="168" spans="5:13">
      <c r="E168" s="49"/>
      <c r="F168" s="49">
        <v>1</v>
      </c>
      <c r="G168" s="49" t="s">
        <v>1034</v>
      </c>
      <c r="H168" s="49" t="s">
        <v>2860</v>
      </c>
      <c r="I168" s="49">
        <f>I16</f>
        <v>70.7</v>
      </c>
      <c r="J168" s="49" t="s">
        <v>1034</v>
      </c>
      <c r="K168" s="49">
        <f t="shared" si="8"/>
        <v>70.7</v>
      </c>
      <c r="L168" s="49"/>
      <c r="M168" s="49"/>
    </row>
    <row r="169" spans="5:13">
      <c r="E169" s="49"/>
      <c r="F169" s="838">
        <v>1.4999999999999999E-2</v>
      </c>
      <c r="G169" s="49" t="s">
        <v>724</v>
      </c>
      <c r="H169" s="49" t="s">
        <v>2404</v>
      </c>
      <c r="I169" s="49">
        <f t="shared" ref="I169:I176" si="9">I18</f>
        <v>661</v>
      </c>
      <c r="J169" s="49" t="s">
        <v>724</v>
      </c>
      <c r="K169" s="49">
        <f t="shared" si="8"/>
        <v>9.92</v>
      </c>
      <c r="L169" s="49"/>
      <c r="M169" s="49"/>
    </row>
    <row r="170" spans="5:13">
      <c r="E170" s="49"/>
      <c r="F170" s="49">
        <v>6</v>
      </c>
      <c r="G170" s="49" t="s">
        <v>1034</v>
      </c>
      <c r="H170" s="49" t="s">
        <v>2405</v>
      </c>
      <c r="I170" s="49">
        <f t="shared" si="9"/>
        <v>16.21</v>
      </c>
      <c r="J170" s="49" t="s">
        <v>2315</v>
      </c>
      <c r="K170" s="49">
        <f t="shared" si="8"/>
        <v>97.26</v>
      </c>
      <c r="L170" s="49"/>
      <c r="M170" s="49"/>
    </row>
    <row r="171" spans="5:13">
      <c r="E171" s="49"/>
      <c r="F171" s="49">
        <v>6</v>
      </c>
      <c r="G171" s="49" t="s">
        <v>1034</v>
      </c>
      <c r="H171" s="49" t="s">
        <v>2325</v>
      </c>
      <c r="I171" s="49">
        <f t="shared" si="9"/>
        <v>13.8</v>
      </c>
      <c r="J171" s="49" t="s">
        <v>1034</v>
      </c>
      <c r="K171" s="49">
        <f t="shared" si="8"/>
        <v>82.8</v>
      </c>
      <c r="L171" s="49"/>
      <c r="M171" s="49"/>
    </row>
    <row r="172" spans="5:13">
      <c r="E172" s="49"/>
      <c r="F172" s="49">
        <v>6</v>
      </c>
      <c r="G172" s="49" t="s">
        <v>1034</v>
      </c>
      <c r="H172" s="49" t="s">
        <v>2406</v>
      </c>
      <c r="I172" s="49">
        <f t="shared" si="9"/>
        <v>3.6</v>
      </c>
      <c r="J172" s="49" t="s">
        <v>1034</v>
      </c>
      <c r="K172" s="49">
        <f t="shared" si="8"/>
        <v>21.6</v>
      </c>
      <c r="L172" s="49"/>
      <c r="M172" s="49"/>
    </row>
    <row r="173" spans="5:13">
      <c r="E173" s="49"/>
      <c r="F173" s="49">
        <v>1.25</v>
      </c>
      <c r="G173" s="49" t="s">
        <v>2324</v>
      </c>
      <c r="H173" s="49" t="s">
        <v>38</v>
      </c>
      <c r="I173" s="49">
        <f t="shared" si="9"/>
        <v>302</v>
      </c>
      <c r="J173" s="49" t="s">
        <v>2324</v>
      </c>
      <c r="K173" s="49">
        <f t="shared" si="8"/>
        <v>377.5</v>
      </c>
      <c r="L173" s="49"/>
      <c r="M173" s="49"/>
    </row>
    <row r="174" spans="5:13">
      <c r="E174" s="49"/>
      <c r="F174" s="49">
        <v>6</v>
      </c>
      <c r="G174" s="49" t="s">
        <v>1034</v>
      </c>
      <c r="H174" s="49" t="s">
        <v>2861</v>
      </c>
      <c r="I174" s="49">
        <f t="shared" si="9"/>
        <v>70.7</v>
      </c>
      <c r="J174" s="49" t="s">
        <v>1034</v>
      </c>
      <c r="K174" s="49">
        <f t="shared" si="8"/>
        <v>424.2</v>
      </c>
      <c r="L174" s="49"/>
      <c r="M174" s="49"/>
    </row>
    <row r="175" spans="5:13">
      <c r="E175" s="49"/>
      <c r="F175" s="49">
        <v>0.09</v>
      </c>
      <c r="G175" s="49" t="s">
        <v>724</v>
      </c>
      <c r="H175" s="49" t="s">
        <v>2373</v>
      </c>
      <c r="I175" s="49">
        <f t="shared" si="9"/>
        <v>661</v>
      </c>
      <c r="J175" s="49" t="s">
        <v>724</v>
      </c>
      <c r="K175" s="49">
        <f t="shared" si="8"/>
        <v>59.49</v>
      </c>
      <c r="L175" s="49"/>
      <c r="M175" s="49"/>
    </row>
    <row r="176" spans="5:13" ht="31.5">
      <c r="E176" s="49"/>
      <c r="F176" s="49">
        <v>45</v>
      </c>
      <c r="G176" s="49"/>
      <c r="H176" s="846" t="s">
        <v>2333</v>
      </c>
      <c r="I176" s="49">
        <f t="shared" si="9"/>
        <v>16.55</v>
      </c>
      <c r="J176" s="49" t="s">
        <v>2330</v>
      </c>
      <c r="K176" s="49">
        <f t="shared" si="8"/>
        <v>744.75</v>
      </c>
      <c r="L176" s="49"/>
      <c r="M176" s="49"/>
    </row>
    <row r="177" spans="5:13">
      <c r="E177" s="49"/>
      <c r="F177" s="49"/>
      <c r="G177" s="49"/>
      <c r="H177" s="49" t="s">
        <v>478</v>
      </c>
      <c r="I177" s="49"/>
      <c r="J177" s="49" t="s">
        <v>49</v>
      </c>
      <c r="K177" s="49">
        <f>K26</f>
        <v>11454</v>
      </c>
      <c r="L177" s="49"/>
      <c r="M177" s="49"/>
    </row>
    <row r="178" spans="5:13">
      <c r="E178" s="49"/>
      <c r="F178" s="49"/>
      <c r="G178" s="49"/>
      <c r="H178" s="49" t="s">
        <v>1557</v>
      </c>
      <c r="I178" s="49"/>
      <c r="J178" s="49" t="s">
        <v>49</v>
      </c>
      <c r="K178" s="49">
        <v>62.44</v>
      </c>
      <c r="L178" s="49"/>
      <c r="M178" s="49"/>
    </row>
    <row r="179" spans="5:13">
      <c r="E179" s="49"/>
      <c r="F179" s="49"/>
      <c r="G179" s="49"/>
      <c r="H179" s="839" t="s">
        <v>2339</v>
      </c>
      <c r="I179" s="49"/>
      <c r="J179" s="49"/>
      <c r="K179" s="847">
        <f>SUM(K164:K178)</f>
        <v>15840</v>
      </c>
      <c r="L179" s="49"/>
      <c r="M179" s="49"/>
    </row>
    <row r="180" spans="5:13" ht="30" customHeight="1">
      <c r="E180" s="49"/>
      <c r="F180" s="49"/>
      <c r="G180" s="49"/>
      <c r="H180" s="840" t="s">
        <v>2336</v>
      </c>
      <c r="I180" s="49"/>
      <c r="J180" s="49"/>
      <c r="K180" s="50">
        <f>K179/6</f>
        <v>2640</v>
      </c>
      <c r="L180" s="49">
        <f>2640*6</f>
        <v>15840</v>
      </c>
      <c r="M180" s="49">
        <f>L180-K179</f>
        <v>0</v>
      </c>
    </row>
    <row r="181" spans="5:13" ht="30" customHeight="1">
      <c r="E181" s="49"/>
      <c r="F181" s="49"/>
      <c r="G181" s="49"/>
      <c r="H181" s="49"/>
      <c r="I181" s="49"/>
      <c r="J181" s="49"/>
      <c r="K181" s="49"/>
      <c r="L181" s="49">
        <f>L180-K179</f>
        <v>0</v>
      </c>
      <c r="M181" s="49"/>
    </row>
    <row r="182" spans="5:13">
      <c r="E182" s="49"/>
      <c r="F182" s="49"/>
      <c r="G182" s="49"/>
      <c r="H182" s="50" t="s">
        <v>2407</v>
      </c>
      <c r="I182" s="49"/>
      <c r="J182" s="49"/>
      <c r="K182" s="49"/>
      <c r="L182" s="49">
        <f>L181*6</f>
        <v>0</v>
      </c>
      <c r="M182" s="49"/>
    </row>
    <row r="183" spans="5:13" ht="30" customHeight="1">
      <c r="E183" s="49"/>
      <c r="F183" s="49"/>
      <c r="G183" s="49"/>
      <c r="H183" s="842" t="s">
        <v>2408</v>
      </c>
      <c r="I183" s="49"/>
      <c r="J183" s="49"/>
      <c r="K183" s="49"/>
      <c r="L183" s="49"/>
      <c r="M183" s="49"/>
    </row>
    <row r="184" spans="5:13">
      <c r="E184" s="49"/>
      <c r="F184" s="49"/>
      <c r="G184" s="49"/>
      <c r="H184" s="49"/>
      <c r="I184" s="49"/>
      <c r="J184" s="49"/>
      <c r="K184" s="49"/>
      <c r="L184" s="49"/>
      <c r="M184" s="49"/>
    </row>
    <row r="185" spans="5:13" ht="173.25">
      <c r="E185" s="49"/>
      <c r="F185" s="49"/>
      <c r="G185" s="49"/>
      <c r="H185" s="51" t="s">
        <v>2409</v>
      </c>
      <c r="I185" s="49"/>
      <c r="J185" s="49"/>
      <c r="K185" s="49"/>
      <c r="L185" s="49"/>
      <c r="M185" s="49"/>
    </row>
    <row r="186" spans="5:13" ht="14.25" customHeight="1">
      <c r="E186" s="49"/>
      <c r="F186" s="49"/>
      <c r="G186" s="49"/>
      <c r="H186" s="49"/>
      <c r="I186" s="49"/>
      <c r="J186" s="49"/>
      <c r="K186" s="49"/>
      <c r="L186" s="49"/>
      <c r="M186" s="49"/>
    </row>
    <row r="187" spans="5:13">
      <c r="E187" s="49"/>
      <c r="F187" s="49"/>
      <c r="G187" s="49"/>
      <c r="H187" s="49" t="s">
        <v>2410</v>
      </c>
      <c r="I187" s="49"/>
      <c r="J187" s="49"/>
      <c r="K187" s="49">
        <f>K179-K178</f>
        <v>15777.56</v>
      </c>
      <c r="L187" s="49"/>
      <c r="M187" s="49"/>
    </row>
    <row r="188" spans="5:13" ht="30" customHeight="1">
      <c r="E188" s="49"/>
      <c r="F188" s="49"/>
      <c r="G188" s="49"/>
      <c r="H188" s="49" t="s">
        <v>2411</v>
      </c>
      <c r="I188" s="49"/>
      <c r="J188" s="49"/>
      <c r="K188" s="49">
        <f>K171</f>
        <v>82.8</v>
      </c>
      <c r="L188" s="49"/>
      <c r="M188" s="49"/>
    </row>
    <row r="189" spans="5:13" ht="30" customHeight="1">
      <c r="E189" s="49"/>
      <c r="F189" s="49"/>
      <c r="G189" s="49"/>
      <c r="H189" s="51" t="s">
        <v>2862</v>
      </c>
      <c r="I189" s="49"/>
      <c r="J189" s="49"/>
      <c r="K189" s="52">
        <f>16.65*6</f>
        <v>99.9</v>
      </c>
      <c r="L189" s="49"/>
      <c r="M189" s="49"/>
    </row>
    <row r="190" spans="5:13" ht="30" customHeight="1">
      <c r="E190" s="49"/>
      <c r="F190" s="49"/>
      <c r="G190" s="49"/>
      <c r="H190" s="49" t="s">
        <v>1557</v>
      </c>
      <c r="I190" s="49"/>
      <c r="J190" s="49"/>
      <c r="K190" s="49">
        <v>45.34</v>
      </c>
      <c r="L190" s="49"/>
      <c r="M190" s="49"/>
    </row>
    <row r="191" spans="5:13" ht="30" customHeight="1">
      <c r="E191" s="49"/>
      <c r="F191" s="49"/>
      <c r="G191" s="49"/>
      <c r="H191" s="839" t="s">
        <v>2413</v>
      </c>
      <c r="I191" s="49"/>
      <c r="J191" s="49"/>
      <c r="K191" s="847">
        <f>(K187-K188)+K189+K190</f>
        <v>15840</v>
      </c>
      <c r="L191" s="49">
        <f>2640*6</f>
        <v>15840</v>
      </c>
      <c r="M191" s="49"/>
    </row>
    <row r="192" spans="5:13" ht="24" customHeight="1">
      <c r="E192" s="49"/>
      <c r="F192" s="49"/>
      <c r="G192" s="49"/>
      <c r="H192" s="840" t="s">
        <v>2414</v>
      </c>
      <c r="I192" s="49"/>
      <c r="J192" s="49"/>
      <c r="K192" s="50">
        <f>K191/6</f>
        <v>2640</v>
      </c>
      <c r="L192" s="49">
        <f>L191-K191</f>
        <v>0</v>
      </c>
      <c r="M192" s="49"/>
    </row>
    <row r="193" spans="5:13" ht="24" customHeight="1">
      <c r="E193" s="49"/>
      <c r="F193" s="49"/>
      <c r="G193" s="49"/>
      <c r="H193" s="49"/>
      <c r="I193" s="49"/>
      <c r="J193" s="49"/>
      <c r="K193" s="49"/>
      <c r="L193" s="49"/>
      <c r="M193" s="49"/>
    </row>
    <row r="194" spans="5:13">
      <c r="E194" s="49"/>
      <c r="F194" s="49"/>
      <c r="G194" s="49"/>
      <c r="H194" s="50" t="s">
        <v>2415</v>
      </c>
      <c r="I194" s="49"/>
      <c r="J194" s="49"/>
      <c r="K194" s="49"/>
      <c r="L194" s="49"/>
      <c r="M194" s="49"/>
    </row>
    <row r="195" spans="5:13" ht="31.5">
      <c r="E195" s="49"/>
      <c r="F195" s="49"/>
      <c r="G195" s="49"/>
      <c r="H195" s="842" t="s">
        <v>2300</v>
      </c>
      <c r="I195" s="49"/>
      <c r="J195" s="49"/>
      <c r="K195" s="49"/>
      <c r="L195" s="49"/>
      <c r="M195" s="49"/>
    </row>
    <row r="196" spans="5:13" ht="30.75" customHeight="1">
      <c r="E196" s="49"/>
      <c r="F196" s="49"/>
      <c r="G196" s="49"/>
      <c r="H196" s="51" t="s">
        <v>2416</v>
      </c>
      <c r="I196" s="49"/>
      <c r="J196" s="49"/>
      <c r="K196" s="49"/>
      <c r="L196" s="49"/>
      <c r="M196" s="49"/>
    </row>
    <row r="197" spans="5:13">
      <c r="E197" s="49"/>
      <c r="F197" s="49">
        <v>90</v>
      </c>
      <c r="G197" s="49" t="s">
        <v>13</v>
      </c>
      <c r="H197" s="846" t="s">
        <v>2311</v>
      </c>
      <c r="I197" s="49">
        <f t="shared" ref="I197:I209" si="10">I74</f>
        <v>16.55</v>
      </c>
      <c r="J197" s="49" t="s">
        <v>2306</v>
      </c>
      <c r="K197" s="49">
        <f>F197*I197</f>
        <v>1489.5</v>
      </c>
      <c r="L197" s="49"/>
      <c r="M197" s="49"/>
    </row>
    <row r="198" spans="5:13" ht="30.75" customHeight="1">
      <c r="E198" s="49"/>
      <c r="F198" s="49">
        <v>45</v>
      </c>
      <c r="G198" s="49" t="s">
        <v>13</v>
      </c>
      <c r="H198" s="51" t="s">
        <v>2313</v>
      </c>
      <c r="I198" s="49">
        <f t="shared" si="10"/>
        <v>20</v>
      </c>
      <c r="J198" s="49" t="s">
        <v>13</v>
      </c>
      <c r="K198" s="49">
        <f t="shared" ref="K198:K209" si="11">F198*I198</f>
        <v>900</v>
      </c>
      <c r="L198" s="49"/>
      <c r="M198" s="49"/>
    </row>
    <row r="199" spans="5:13" ht="27.75" customHeight="1">
      <c r="E199" s="49"/>
      <c r="F199" s="49">
        <v>12</v>
      </c>
      <c r="G199" s="49" t="s">
        <v>1034</v>
      </c>
      <c r="H199" s="49" t="s">
        <v>2317</v>
      </c>
      <c r="I199" s="49">
        <f t="shared" si="10"/>
        <v>3.15</v>
      </c>
      <c r="J199" s="49" t="s">
        <v>1034</v>
      </c>
      <c r="K199" s="49">
        <f t="shared" si="11"/>
        <v>37.799999999999997</v>
      </c>
      <c r="L199" s="49"/>
      <c r="M199" s="49"/>
    </row>
    <row r="200" spans="5:13">
      <c r="E200" s="49"/>
      <c r="F200" s="49">
        <v>6</v>
      </c>
      <c r="G200" s="49" t="s">
        <v>1034</v>
      </c>
      <c r="H200" s="49" t="s">
        <v>2319</v>
      </c>
      <c r="I200" s="49">
        <f t="shared" si="10"/>
        <v>1.34</v>
      </c>
      <c r="J200" s="49" t="s">
        <v>1034</v>
      </c>
      <c r="K200" s="49">
        <f t="shared" si="11"/>
        <v>8.0399999999999991</v>
      </c>
      <c r="L200" s="49"/>
      <c r="M200" s="49"/>
    </row>
    <row r="201" spans="5:13">
      <c r="E201" s="49"/>
      <c r="F201" s="49">
        <v>6</v>
      </c>
      <c r="G201" s="49" t="s">
        <v>1034</v>
      </c>
      <c r="H201" s="49" t="s">
        <v>2417</v>
      </c>
      <c r="I201" s="49">
        <f t="shared" si="10"/>
        <v>3.6</v>
      </c>
      <c r="J201" s="49" t="s">
        <v>1034</v>
      </c>
      <c r="K201" s="49">
        <f t="shared" si="11"/>
        <v>21.6</v>
      </c>
      <c r="L201" s="49"/>
      <c r="M201" s="49"/>
    </row>
    <row r="202" spans="5:13">
      <c r="E202" s="49"/>
      <c r="F202" s="49">
        <v>6</v>
      </c>
      <c r="G202" s="49" t="s">
        <v>1034</v>
      </c>
      <c r="H202" s="49" t="s">
        <v>2325</v>
      </c>
      <c r="I202" s="49">
        <f t="shared" si="10"/>
        <v>13.8</v>
      </c>
      <c r="J202" s="49" t="s">
        <v>1034</v>
      </c>
      <c r="K202" s="49">
        <f t="shared" si="11"/>
        <v>82.8</v>
      </c>
      <c r="L202" s="49"/>
      <c r="M202" s="49"/>
    </row>
    <row r="203" spans="5:13">
      <c r="E203" s="49"/>
      <c r="F203" s="49">
        <v>6</v>
      </c>
      <c r="G203" s="49" t="s">
        <v>1034</v>
      </c>
      <c r="H203" s="49" t="s">
        <v>2405</v>
      </c>
      <c r="I203" s="49">
        <f t="shared" si="10"/>
        <v>16.21</v>
      </c>
      <c r="J203" s="49" t="s">
        <v>2315</v>
      </c>
      <c r="K203" s="49">
        <f t="shared" si="11"/>
        <v>97.26</v>
      </c>
      <c r="L203" s="49"/>
      <c r="M203" s="49"/>
    </row>
    <row r="204" spans="5:13">
      <c r="E204" s="49"/>
      <c r="F204" s="49">
        <v>6</v>
      </c>
      <c r="G204" s="49" t="s">
        <v>1034</v>
      </c>
      <c r="H204" s="49" t="s">
        <v>2863</v>
      </c>
      <c r="I204" s="49">
        <f t="shared" si="10"/>
        <v>115.1</v>
      </c>
      <c r="J204" s="49" t="s">
        <v>1034</v>
      </c>
      <c r="K204" s="49">
        <f t="shared" si="11"/>
        <v>690.6</v>
      </c>
      <c r="L204" s="49"/>
      <c r="M204" s="49"/>
    </row>
    <row r="205" spans="5:13">
      <c r="E205" s="49"/>
      <c r="F205" s="49">
        <v>0.36</v>
      </c>
      <c r="G205" s="49" t="s">
        <v>724</v>
      </c>
      <c r="H205" s="49" t="s">
        <v>2373</v>
      </c>
      <c r="I205" s="49">
        <f t="shared" si="10"/>
        <v>661</v>
      </c>
      <c r="J205" s="49" t="s">
        <v>724</v>
      </c>
      <c r="K205" s="49">
        <f t="shared" si="11"/>
        <v>237.96</v>
      </c>
      <c r="L205" s="49"/>
      <c r="M205" s="49"/>
    </row>
    <row r="206" spans="5:13">
      <c r="E206" s="49"/>
      <c r="F206" s="49">
        <v>1</v>
      </c>
      <c r="G206" s="49" t="s">
        <v>1034</v>
      </c>
      <c r="H206" s="49" t="s">
        <v>2852</v>
      </c>
      <c r="I206" s="49">
        <f t="shared" si="10"/>
        <v>70.7</v>
      </c>
      <c r="J206" s="49" t="s">
        <v>1034</v>
      </c>
      <c r="K206" s="49">
        <f t="shared" si="11"/>
        <v>70.7</v>
      </c>
      <c r="L206" s="49"/>
      <c r="M206" s="49"/>
    </row>
    <row r="207" spans="5:13">
      <c r="E207" s="49"/>
      <c r="F207" s="838">
        <v>1.4999999999999999E-2</v>
      </c>
      <c r="G207" s="49" t="s">
        <v>724</v>
      </c>
      <c r="H207" s="49" t="s">
        <v>2373</v>
      </c>
      <c r="I207" s="49">
        <f t="shared" si="10"/>
        <v>661</v>
      </c>
      <c r="J207" s="49" t="s">
        <v>724</v>
      </c>
      <c r="K207" s="49">
        <f t="shared" si="11"/>
        <v>9.92</v>
      </c>
      <c r="L207" s="49"/>
      <c r="M207" s="49"/>
    </row>
    <row r="208" spans="5:13">
      <c r="E208" s="49"/>
      <c r="F208" s="49">
        <v>1.25</v>
      </c>
      <c r="G208" s="49" t="s">
        <v>2324</v>
      </c>
      <c r="H208" s="49" t="s">
        <v>38</v>
      </c>
      <c r="I208" s="49">
        <f t="shared" si="10"/>
        <v>302</v>
      </c>
      <c r="J208" s="49" t="s">
        <v>2324</v>
      </c>
      <c r="K208" s="49">
        <f t="shared" si="11"/>
        <v>377.5</v>
      </c>
      <c r="L208" s="49"/>
      <c r="M208" s="49"/>
    </row>
    <row r="209" spans="5:13" ht="31.5">
      <c r="E209" s="49"/>
      <c r="F209" s="49">
        <v>45</v>
      </c>
      <c r="G209" s="49" t="s">
        <v>13</v>
      </c>
      <c r="H209" s="846" t="s">
        <v>2333</v>
      </c>
      <c r="I209" s="49">
        <f t="shared" si="10"/>
        <v>16.55</v>
      </c>
      <c r="J209" s="49" t="s">
        <v>2306</v>
      </c>
      <c r="K209" s="49">
        <f t="shared" si="11"/>
        <v>744.75</v>
      </c>
      <c r="L209" s="49"/>
      <c r="M209" s="49"/>
    </row>
    <row r="210" spans="5:13">
      <c r="E210" s="49"/>
      <c r="F210" s="49"/>
      <c r="G210" s="49"/>
      <c r="H210" s="49" t="s">
        <v>478</v>
      </c>
      <c r="I210" s="49"/>
      <c r="J210" s="49"/>
      <c r="K210" s="49">
        <f>K87</f>
        <v>11454</v>
      </c>
      <c r="L210" s="49"/>
      <c r="M210" s="49"/>
    </row>
    <row r="211" spans="5:13">
      <c r="E211" s="49"/>
      <c r="F211" s="49"/>
      <c r="G211" s="49"/>
      <c r="H211" s="49" t="s">
        <v>1557</v>
      </c>
      <c r="I211" s="49"/>
      <c r="J211" s="49"/>
      <c r="K211" s="49">
        <v>49.57</v>
      </c>
      <c r="L211" s="49">
        <f>43.19-K211</f>
        <v>-6.38</v>
      </c>
      <c r="M211" s="49"/>
    </row>
    <row r="212" spans="5:13">
      <c r="E212" s="49"/>
      <c r="F212" s="49"/>
      <c r="G212" s="49"/>
      <c r="H212" s="839" t="s">
        <v>2413</v>
      </c>
      <c r="I212" s="49"/>
      <c r="J212" s="49"/>
      <c r="K212" s="847">
        <f>SUM(K197:K211)</f>
        <v>16272</v>
      </c>
      <c r="L212" s="49">
        <f>2712*6</f>
        <v>16272</v>
      </c>
      <c r="M212" s="49"/>
    </row>
    <row r="213" spans="5:13">
      <c r="E213" s="49"/>
      <c r="F213" s="49"/>
      <c r="G213" s="49"/>
      <c r="H213" s="840" t="s">
        <v>2368</v>
      </c>
      <c r="I213" s="49"/>
      <c r="J213" s="49"/>
      <c r="K213" s="50">
        <f>K212/6</f>
        <v>2712</v>
      </c>
      <c r="L213" s="49">
        <f>L212-K212</f>
        <v>0</v>
      </c>
      <c r="M213" s="49"/>
    </row>
    <row r="214" spans="5:13">
      <c r="E214" s="49"/>
      <c r="F214" s="49"/>
      <c r="G214" s="49"/>
      <c r="H214" s="49"/>
      <c r="I214" s="49"/>
      <c r="J214" s="49"/>
      <c r="K214" s="49"/>
      <c r="L214" s="49"/>
      <c r="M214" s="49"/>
    </row>
    <row r="215" spans="5:13">
      <c r="E215" s="49"/>
      <c r="F215" s="49"/>
      <c r="G215" s="49"/>
      <c r="H215" s="50" t="s">
        <v>2418</v>
      </c>
      <c r="I215" s="49"/>
      <c r="J215" s="49"/>
      <c r="K215" s="49">
        <f>0.13*6</f>
        <v>0.78</v>
      </c>
      <c r="L215" s="49"/>
      <c r="M215" s="49"/>
    </row>
    <row r="216" spans="5:13" ht="31.5">
      <c r="E216" s="49"/>
      <c r="F216" s="49"/>
      <c r="G216" s="49"/>
      <c r="H216" s="842" t="s">
        <v>2419</v>
      </c>
      <c r="I216" s="49"/>
      <c r="J216" s="49"/>
      <c r="K216" s="49"/>
      <c r="L216" s="49"/>
      <c r="M216" s="49"/>
    </row>
    <row r="217" spans="5:13" ht="48.75" customHeight="1">
      <c r="E217" s="49"/>
      <c r="F217" s="49"/>
      <c r="G217" s="49"/>
      <c r="H217" s="51" t="s">
        <v>2420</v>
      </c>
      <c r="I217" s="49"/>
      <c r="J217" s="49"/>
      <c r="K217" s="49"/>
      <c r="L217" s="49"/>
      <c r="M217" s="49"/>
    </row>
    <row r="218" spans="5:13" ht="46.5" customHeight="1">
      <c r="E218" s="49"/>
      <c r="F218" s="49">
        <v>90</v>
      </c>
      <c r="G218" s="49" t="s">
        <v>13</v>
      </c>
      <c r="H218" s="837" t="s">
        <v>2311</v>
      </c>
      <c r="I218" s="49">
        <f t="shared" ref="I218:I228" si="12">I100</f>
        <v>16.55</v>
      </c>
      <c r="J218" s="49" t="s">
        <v>2306</v>
      </c>
      <c r="K218" s="49">
        <f>F218*I218</f>
        <v>1489.5</v>
      </c>
      <c r="L218" s="49"/>
      <c r="M218" s="49"/>
    </row>
    <row r="219" spans="5:13" ht="30" customHeight="1">
      <c r="E219" s="49"/>
      <c r="F219" s="49">
        <v>30</v>
      </c>
      <c r="G219" s="49" t="s">
        <v>13</v>
      </c>
      <c r="H219" s="51" t="s">
        <v>2313</v>
      </c>
      <c r="I219" s="49">
        <f t="shared" si="12"/>
        <v>20</v>
      </c>
      <c r="J219" s="49" t="s">
        <v>13</v>
      </c>
      <c r="K219" s="49">
        <f t="shared" ref="K219:K228" si="13">F219*I219</f>
        <v>600</v>
      </c>
      <c r="L219" s="49"/>
      <c r="M219" s="49"/>
    </row>
    <row r="220" spans="5:13" ht="27.75" customHeight="1">
      <c r="E220" s="49"/>
      <c r="F220" s="49">
        <v>6</v>
      </c>
      <c r="G220" s="49" t="s">
        <v>1034</v>
      </c>
      <c r="H220" s="49" t="s">
        <v>2317</v>
      </c>
      <c r="I220" s="49">
        <f t="shared" si="12"/>
        <v>3.15</v>
      </c>
      <c r="J220" s="49" t="s">
        <v>1034</v>
      </c>
      <c r="K220" s="49">
        <f t="shared" si="13"/>
        <v>18.899999999999999</v>
      </c>
      <c r="L220" s="49"/>
      <c r="M220" s="49"/>
    </row>
    <row r="221" spans="5:13">
      <c r="E221" s="49"/>
      <c r="F221" s="49">
        <v>3</v>
      </c>
      <c r="G221" s="49" t="s">
        <v>1034</v>
      </c>
      <c r="H221" s="49" t="s">
        <v>2319</v>
      </c>
      <c r="I221" s="49">
        <f t="shared" si="12"/>
        <v>1.34</v>
      </c>
      <c r="J221" s="49" t="s">
        <v>1034</v>
      </c>
      <c r="K221" s="49">
        <f t="shared" si="13"/>
        <v>4.0199999999999996</v>
      </c>
      <c r="L221" s="49"/>
      <c r="M221" s="49"/>
    </row>
    <row r="222" spans="5:13">
      <c r="E222" s="49"/>
      <c r="F222" s="49">
        <v>6</v>
      </c>
      <c r="G222" s="49" t="s">
        <v>1034</v>
      </c>
      <c r="H222" s="49" t="s">
        <v>2421</v>
      </c>
      <c r="I222" s="49">
        <f t="shared" si="12"/>
        <v>20.11</v>
      </c>
      <c r="J222" s="49" t="s">
        <v>1034</v>
      </c>
      <c r="K222" s="49">
        <f t="shared" si="13"/>
        <v>120.66</v>
      </c>
      <c r="L222" s="49"/>
      <c r="M222" s="49"/>
    </row>
    <row r="223" spans="5:13">
      <c r="E223" s="49"/>
      <c r="F223" s="49">
        <v>3</v>
      </c>
      <c r="G223" s="49" t="s">
        <v>1034</v>
      </c>
      <c r="H223" s="49" t="s">
        <v>2325</v>
      </c>
      <c r="I223" s="49">
        <f t="shared" si="12"/>
        <v>13.8</v>
      </c>
      <c r="J223" s="49" t="s">
        <v>1034</v>
      </c>
      <c r="K223" s="49">
        <f t="shared" si="13"/>
        <v>41.4</v>
      </c>
      <c r="L223" s="49"/>
      <c r="M223" s="49"/>
    </row>
    <row r="224" spans="5:13">
      <c r="E224" s="49"/>
      <c r="F224" s="49">
        <v>3</v>
      </c>
      <c r="G224" s="49" t="s">
        <v>1034</v>
      </c>
      <c r="H224" s="49" t="s">
        <v>2406</v>
      </c>
      <c r="I224" s="49">
        <f t="shared" si="12"/>
        <v>3.6</v>
      </c>
      <c r="J224" s="49" t="s">
        <v>1034</v>
      </c>
      <c r="K224" s="49">
        <f t="shared" si="13"/>
        <v>10.8</v>
      </c>
      <c r="L224" s="49"/>
      <c r="M224" s="49"/>
    </row>
    <row r="225" spans="5:33">
      <c r="E225" s="49"/>
      <c r="F225" s="49">
        <v>3</v>
      </c>
      <c r="G225" s="49" t="s">
        <v>1034</v>
      </c>
      <c r="H225" s="49" t="s">
        <v>2855</v>
      </c>
      <c r="I225" s="49">
        <f t="shared" si="12"/>
        <v>70.7</v>
      </c>
      <c r="J225" s="49" t="s">
        <v>1034</v>
      </c>
      <c r="K225" s="49">
        <f t="shared" si="13"/>
        <v>212.1</v>
      </c>
      <c r="L225" s="49"/>
      <c r="M225" s="49"/>
    </row>
    <row r="226" spans="5:33">
      <c r="E226" s="49"/>
      <c r="F226" s="838">
        <v>5.3999999999999999E-2</v>
      </c>
      <c r="G226" s="49" t="s">
        <v>724</v>
      </c>
      <c r="H226" s="49" t="s">
        <v>2386</v>
      </c>
      <c r="I226" s="49">
        <f t="shared" si="12"/>
        <v>661</v>
      </c>
      <c r="J226" s="49" t="s">
        <v>724</v>
      </c>
      <c r="K226" s="49">
        <f t="shared" si="13"/>
        <v>35.69</v>
      </c>
      <c r="L226" s="49"/>
      <c r="M226" s="49"/>
    </row>
    <row r="227" spans="5:33">
      <c r="E227" s="49"/>
      <c r="F227" s="49">
        <v>1.25</v>
      </c>
      <c r="G227" s="49" t="s">
        <v>2324</v>
      </c>
      <c r="H227" s="49" t="s">
        <v>38</v>
      </c>
      <c r="I227" s="49">
        <f t="shared" si="12"/>
        <v>302</v>
      </c>
      <c r="J227" s="49" t="s">
        <v>2324</v>
      </c>
      <c r="K227" s="49">
        <f t="shared" si="13"/>
        <v>377.5</v>
      </c>
      <c r="L227" s="49"/>
      <c r="M227" s="49"/>
    </row>
    <row r="228" spans="5:33" ht="31.5">
      <c r="E228" s="49"/>
      <c r="F228" s="49">
        <v>30</v>
      </c>
      <c r="G228" s="49" t="s">
        <v>13</v>
      </c>
      <c r="H228" s="846" t="s">
        <v>2333</v>
      </c>
      <c r="I228" s="49">
        <f t="shared" si="12"/>
        <v>16.55</v>
      </c>
      <c r="J228" s="49" t="s">
        <v>2306</v>
      </c>
      <c r="K228" s="49">
        <f t="shared" si="13"/>
        <v>496.5</v>
      </c>
      <c r="L228" s="49"/>
      <c r="M228" s="49"/>
    </row>
    <row r="229" spans="5:33" ht="29.25" customHeight="1">
      <c r="E229" s="49"/>
      <c r="F229" s="49"/>
      <c r="G229" s="49"/>
      <c r="H229" s="49" t="s">
        <v>478</v>
      </c>
      <c r="I229" s="49"/>
      <c r="J229" s="49"/>
      <c r="K229" s="49">
        <f>K111</f>
        <v>11454</v>
      </c>
      <c r="L229" s="49"/>
      <c r="M229" s="49"/>
    </row>
    <row r="230" spans="5:33">
      <c r="E230" s="49"/>
      <c r="F230" s="49"/>
      <c r="G230" s="49"/>
      <c r="H230" s="49" t="s">
        <v>1557</v>
      </c>
      <c r="I230" s="49"/>
      <c r="J230" s="49"/>
      <c r="K230" s="49">
        <v>18.93</v>
      </c>
      <c r="L230" s="49"/>
      <c r="M230" s="49"/>
    </row>
    <row r="231" spans="5:33">
      <c r="E231" s="49"/>
      <c r="F231" s="49"/>
      <c r="G231" s="49"/>
      <c r="H231" s="839" t="s">
        <v>2422</v>
      </c>
      <c r="I231" s="49"/>
      <c r="J231" s="49"/>
      <c r="K231" s="847">
        <f>SUM(K218:K230)</f>
        <v>14880</v>
      </c>
      <c r="L231" s="49">
        <f>4960*3</f>
        <v>14880</v>
      </c>
      <c r="M231" s="49"/>
    </row>
    <row r="232" spans="5:33">
      <c r="E232" s="49"/>
      <c r="F232" s="49"/>
      <c r="G232" s="49"/>
      <c r="H232" s="840" t="s">
        <v>2368</v>
      </c>
      <c r="I232" s="49"/>
      <c r="J232" s="49"/>
      <c r="K232" s="50">
        <f>K231/3</f>
        <v>4960</v>
      </c>
      <c r="L232" s="49">
        <f>L231-K231</f>
        <v>0</v>
      </c>
      <c r="M232" s="49"/>
    </row>
    <row r="233" spans="5:33">
      <c r="E233" s="49"/>
      <c r="F233" s="49"/>
      <c r="G233" s="49"/>
      <c r="H233" s="49"/>
      <c r="I233" s="49"/>
      <c r="J233" s="49"/>
      <c r="K233" s="49"/>
      <c r="L233" s="49"/>
      <c r="M233" s="49"/>
    </row>
    <row r="234" spans="5:33">
      <c r="E234" s="49"/>
      <c r="F234" s="49"/>
      <c r="G234" s="49"/>
      <c r="H234" s="854" t="s">
        <v>2423</v>
      </c>
      <c r="I234" s="49"/>
      <c r="J234" s="49"/>
      <c r="K234" s="49"/>
      <c r="L234" s="49"/>
      <c r="M234" s="49"/>
    </row>
    <row r="235" spans="5:33" ht="22.5" customHeight="1">
      <c r="E235" s="49"/>
      <c r="F235" s="49"/>
      <c r="G235" s="49"/>
      <c r="H235" s="49"/>
      <c r="I235" s="49"/>
      <c r="J235" s="49"/>
      <c r="K235" s="49"/>
      <c r="L235" s="49"/>
      <c r="M235" s="49"/>
    </row>
    <row r="236" spans="5:33">
      <c r="E236" s="49"/>
      <c r="F236" s="49"/>
      <c r="G236" s="49"/>
      <c r="H236" s="50" t="s">
        <v>2424</v>
      </c>
      <c r="I236" s="49"/>
      <c r="J236" s="49"/>
      <c r="K236" s="49"/>
      <c r="L236" s="49"/>
      <c r="M236" s="49"/>
      <c r="N236" s="49"/>
      <c r="O236" s="50" t="s">
        <v>2425</v>
      </c>
      <c r="P236" s="49"/>
      <c r="Q236" s="49"/>
      <c r="R236" s="49"/>
    </row>
    <row r="237" spans="5:33" ht="24.75" customHeight="1">
      <c r="E237" s="49"/>
      <c r="F237" s="49"/>
      <c r="G237" s="49"/>
      <c r="H237" s="50" t="s">
        <v>2426</v>
      </c>
      <c r="I237" s="49"/>
      <c r="J237" s="49"/>
      <c r="K237" s="49"/>
      <c r="L237" s="49"/>
      <c r="M237" s="49"/>
      <c r="N237" s="49"/>
      <c r="O237" s="50" t="s">
        <v>2427</v>
      </c>
      <c r="P237" s="49"/>
      <c r="Q237" s="49"/>
      <c r="R237" s="49"/>
      <c r="AA237" s="49"/>
      <c r="AB237" s="49"/>
      <c r="AC237" s="49"/>
      <c r="AD237" s="50" t="s">
        <v>2864</v>
      </c>
      <c r="AE237" s="49"/>
      <c r="AF237" s="49"/>
      <c r="AG237" s="49"/>
    </row>
    <row r="238" spans="5:33" ht="23.25" customHeight="1">
      <c r="E238" s="49"/>
      <c r="F238" s="49"/>
      <c r="G238" s="49"/>
      <c r="H238" s="49"/>
      <c r="I238" s="49"/>
      <c r="J238" s="49"/>
      <c r="K238" s="49"/>
      <c r="L238" s="49"/>
      <c r="M238" s="49"/>
      <c r="N238" s="49"/>
      <c r="O238" s="49"/>
      <c r="P238" s="49"/>
      <c r="Q238" s="49"/>
      <c r="R238" s="49"/>
      <c r="AA238" s="49"/>
      <c r="AB238" s="49"/>
      <c r="AC238" s="49"/>
      <c r="AD238" s="49"/>
      <c r="AE238" s="49"/>
      <c r="AF238" s="49"/>
      <c r="AG238" s="49"/>
    </row>
    <row r="239" spans="5:33" ht="94.5">
      <c r="E239" s="49"/>
      <c r="F239" s="49"/>
      <c r="G239" s="49"/>
      <c r="H239" s="51" t="s">
        <v>2428</v>
      </c>
      <c r="I239" s="49"/>
      <c r="J239" s="49"/>
      <c r="K239" s="49"/>
      <c r="L239" s="49"/>
      <c r="M239" s="49"/>
      <c r="N239" s="49"/>
      <c r="O239" s="51" t="s">
        <v>2865</v>
      </c>
      <c r="P239" s="49"/>
      <c r="Q239" s="49"/>
      <c r="R239" s="49"/>
      <c r="AA239" s="49"/>
      <c r="AB239" s="49"/>
      <c r="AC239" s="49"/>
      <c r="AD239" s="51" t="s">
        <v>2866</v>
      </c>
      <c r="AE239" s="49"/>
      <c r="AF239" s="49"/>
      <c r="AG239" s="49"/>
    </row>
    <row r="240" spans="5:33" ht="35.25" customHeight="1">
      <c r="E240" s="49"/>
      <c r="F240" s="49"/>
      <c r="G240" s="49"/>
      <c r="H240" s="49"/>
      <c r="I240" s="49"/>
      <c r="J240" s="49"/>
      <c r="K240" s="49"/>
      <c r="L240" s="49"/>
      <c r="M240" s="49">
        <v>180</v>
      </c>
      <c r="N240" s="49" t="s">
        <v>13</v>
      </c>
      <c r="O240" s="846" t="s">
        <v>2867</v>
      </c>
      <c r="P240" s="52">
        <v>56.7</v>
      </c>
      <c r="Q240" s="49" t="s">
        <v>2306</v>
      </c>
      <c r="R240" s="49">
        <f>M240*P240</f>
        <v>10206</v>
      </c>
      <c r="AA240" s="49"/>
      <c r="AB240" s="49">
        <v>180</v>
      </c>
      <c r="AC240" s="49" t="s">
        <v>13</v>
      </c>
      <c r="AD240" s="846" t="s">
        <v>2868</v>
      </c>
      <c r="AE240" s="52">
        <v>85.3</v>
      </c>
      <c r="AF240" s="49" t="s">
        <v>2306</v>
      </c>
      <c r="AG240" s="49">
        <f>AB240*AE240</f>
        <v>15354</v>
      </c>
    </row>
    <row r="241" spans="5:35">
      <c r="E241" s="49"/>
      <c r="F241" s="49">
        <v>180</v>
      </c>
      <c r="G241" s="49" t="s">
        <v>13</v>
      </c>
      <c r="H241" s="837" t="s">
        <v>2311</v>
      </c>
      <c r="I241" s="49">
        <f>I218</f>
        <v>16.55</v>
      </c>
      <c r="J241" s="49" t="s">
        <v>13</v>
      </c>
      <c r="K241" s="49">
        <f>F241*I241</f>
        <v>2979</v>
      </c>
      <c r="L241" s="49"/>
      <c r="M241" s="49">
        <v>90</v>
      </c>
      <c r="N241" s="49" t="s">
        <v>13</v>
      </c>
      <c r="O241" s="51" t="s">
        <v>2313</v>
      </c>
      <c r="P241" s="49">
        <f>I268</f>
        <v>20</v>
      </c>
      <c r="Q241" s="49" t="s">
        <v>13</v>
      </c>
      <c r="R241" s="49">
        <f>M241*P241</f>
        <v>1800</v>
      </c>
      <c r="AA241" s="49"/>
      <c r="AB241" s="49">
        <v>90</v>
      </c>
      <c r="AC241" s="49" t="s">
        <v>13</v>
      </c>
      <c r="AD241" s="51" t="s">
        <v>2313</v>
      </c>
      <c r="AE241" s="49">
        <v>19.100000000000001</v>
      </c>
      <c r="AF241" s="49" t="s">
        <v>13</v>
      </c>
      <c r="AG241" s="49">
        <f>AB241*AE241</f>
        <v>1719</v>
      </c>
    </row>
    <row r="242" spans="5:35" ht="38.25" customHeight="1">
      <c r="E242" s="49"/>
      <c r="F242" s="49">
        <v>90</v>
      </c>
      <c r="G242" s="49" t="s">
        <v>13</v>
      </c>
      <c r="H242" s="51" t="s">
        <v>2313</v>
      </c>
      <c r="I242" s="49">
        <f>I219</f>
        <v>20</v>
      </c>
      <c r="J242" s="49" t="s">
        <v>13</v>
      </c>
      <c r="K242" s="49">
        <f>F242*I242</f>
        <v>1800</v>
      </c>
      <c r="L242" s="49"/>
      <c r="M242" s="49">
        <v>3</v>
      </c>
      <c r="N242" s="49" t="s">
        <v>2324</v>
      </c>
      <c r="O242" s="49" t="s">
        <v>38</v>
      </c>
      <c r="P242" s="49">
        <f>I269</f>
        <v>302</v>
      </c>
      <c r="Q242" s="49" t="s">
        <v>2324</v>
      </c>
      <c r="R242" s="49">
        <f>M242*P242</f>
        <v>906</v>
      </c>
      <c r="AA242" s="49"/>
      <c r="AB242" s="49">
        <v>3</v>
      </c>
      <c r="AC242" s="49" t="s">
        <v>2324</v>
      </c>
      <c r="AD242" s="49" t="s">
        <v>38</v>
      </c>
      <c r="AE242" s="49">
        <f>P242</f>
        <v>302</v>
      </c>
      <c r="AF242" s="49" t="s">
        <v>2324</v>
      </c>
      <c r="AG242" s="49">
        <f>AB242*AE242</f>
        <v>906</v>
      </c>
    </row>
    <row r="243" spans="5:35" ht="37.5" customHeight="1">
      <c r="E243" s="49"/>
      <c r="F243" s="49">
        <v>3</v>
      </c>
      <c r="G243" s="49" t="s">
        <v>2324</v>
      </c>
      <c r="H243" s="49" t="s">
        <v>38</v>
      </c>
      <c r="I243" s="49">
        <f>I227</f>
        <v>302</v>
      </c>
      <c r="J243" s="49" t="s">
        <v>2324</v>
      </c>
      <c r="K243" s="49">
        <f>F243*I243</f>
        <v>906</v>
      </c>
      <c r="L243" s="49"/>
      <c r="M243" s="49">
        <v>90</v>
      </c>
      <c r="N243" s="49" t="s">
        <v>13</v>
      </c>
      <c r="O243" s="846" t="s">
        <v>2869</v>
      </c>
      <c r="P243" s="49">
        <v>38.299999999999997</v>
      </c>
      <c r="Q243" s="49" t="s">
        <v>2306</v>
      </c>
      <c r="R243" s="49">
        <f>M243*P243</f>
        <v>3447</v>
      </c>
      <c r="AA243" s="49"/>
      <c r="AB243" s="49">
        <v>90</v>
      </c>
      <c r="AC243" s="49" t="s">
        <v>13</v>
      </c>
      <c r="AD243" s="846" t="s">
        <v>2870</v>
      </c>
      <c r="AE243" s="49">
        <v>56.7</v>
      </c>
      <c r="AF243" s="49" t="s">
        <v>2306</v>
      </c>
      <c r="AG243" s="49">
        <f>AB243*AE243</f>
        <v>5103</v>
      </c>
    </row>
    <row r="244" spans="5:35" ht="35.25" customHeight="1">
      <c r="E244" s="49"/>
      <c r="F244" s="49">
        <v>90</v>
      </c>
      <c r="G244" s="49" t="s">
        <v>13</v>
      </c>
      <c r="H244" s="837" t="s">
        <v>2333</v>
      </c>
      <c r="I244" s="49">
        <f>I241</f>
        <v>16.55</v>
      </c>
      <c r="J244" s="49" t="s">
        <v>2306</v>
      </c>
      <c r="K244" s="49">
        <f>F244*I244</f>
        <v>1489.5</v>
      </c>
      <c r="L244" s="49"/>
      <c r="M244" s="49"/>
      <c r="N244" s="49"/>
      <c r="O244" s="49" t="s">
        <v>478</v>
      </c>
      <c r="P244" s="49"/>
      <c r="Q244" s="49"/>
      <c r="R244" s="49">
        <f>K271</f>
        <v>11454</v>
      </c>
      <c r="AA244" s="49"/>
      <c r="AB244" s="49"/>
      <c r="AC244" s="49"/>
      <c r="AD244" s="49" t="s">
        <v>478</v>
      </c>
      <c r="AE244" s="49"/>
      <c r="AF244" s="49"/>
      <c r="AG244" s="49">
        <f>R244</f>
        <v>11454</v>
      </c>
    </row>
    <row r="245" spans="5:35" ht="39.75" customHeight="1">
      <c r="E245" s="49"/>
      <c r="F245" s="49"/>
      <c r="G245" s="49"/>
      <c r="H245" s="49" t="s">
        <v>478</v>
      </c>
      <c r="I245" s="49"/>
      <c r="J245" s="49"/>
      <c r="K245" s="49">
        <f>K229</f>
        <v>11454</v>
      </c>
      <c r="L245" s="49"/>
      <c r="M245" s="49"/>
      <c r="N245" s="49"/>
      <c r="O245" s="49" t="s">
        <v>1557</v>
      </c>
      <c r="P245" s="49"/>
      <c r="Q245" s="49"/>
      <c r="R245" s="49">
        <v>79</v>
      </c>
      <c r="AA245" s="49"/>
      <c r="AB245" s="49"/>
      <c r="AC245" s="49"/>
      <c r="AD245" s="49" t="s">
        <v>1557</v>
      </c>
      <c r="AE245" s="49"/>
      <c r="AF245" s="49"/>
      <c r="AG245" s="49">
        <v>79</v>
      </c>
    </row>
    <row r="246" spans="5:35" ht="20.25" customHeight="1">
      <c r="E246" s="49"/>
      <c r="F246" s="49"/>
      <c r="G246" s="49"/>
      <c r="H246" s="49"/>
      <c r="I246" s="49"/>
      <c r="J246" s="49"/>
      <c r="K246" s="49">
        <f>SUM(K241:K245)</f>
        <v>18628.5</v>
      </c>
      <c r="L246" s="49"/>
      <c r="M246" s="49"/>
      <c r="N246" s="49"/>
      <c r="O246" s="839" t="s">
        <v>2432</v>
      </c>
      <c r="P246" s="49"/>
      <c r="Q246" s="49"/>
      <c r="R246" s="847">
        <f>SUM(R240:R245)</f>
        <v>27892</v>
      </c>
      <c r="AA246" s="49"/>
      <c r="AB246" s="49"/>
      <c r="AC246" s="49"/>
      <c r="AD246" s="839" t="s">
        <v>2432</v>
      </c>
      <c r="AE246" s="49"/>
      <c r="AF246" s="49"/>
      <c r="AG246" s="847">
        <f>SUM(AG240:AG245)</f>
        <v>34615</v>
      </c>
      <c r="AH246" s="325">
        <f>345.6*90</f>
        <v>31104</v>
      </c>
      <c r="AI246" s="325">
        <f>AH246-AG246</f>
        <v>-3511</v>
      </c>
    </row>
    <row r="247" spans="5:35">
      <c r="E247" s="49"/>
      <c r="F247" s="49"/>
      <c r="G247" s="49"/>
      <c r="H247" s="49" t="s">
        <v>1557</v>
      </c>
      <c r="I247" s="49"/>
      <c r="J247" s="49"/>
      <c r="K247" s="49">
        <v>91.5</v>
      </c>
      <c r="L247" s="49"/>
      <c r="M247" s="49"/>
      <c r="N247" s="49"/>
      <c r="O247" s="840" t="s">
        <v>2433</v>
      </c>
      <c r="P247" s="49"/>
      <c r="Q247" s="49"/>
      <c r="R247" s="50">
        <f>R246/90</f>
        <v>309.91000000000003</v>
      </c>
      <c r="S247" s="325">
        <f>297.4*90</f>
        <v>26766</v>
      </c>
      <c r="T247" s="325">
        <f>S247-R246</f>
        <v>-1126</v>
      </c>
      <c r="V247" s="325">
        <f>R246-R240</f>
        <v>17686</v>
      </c>
      <c r="AA247" s="49"/>
      <c r="AB247" s="49"/>
      <c r="AC247" s="49"/>
      <c r="AD247" s="840" t="s">
        <v>2433</v>
      </c>
      <c r="AE247" s="49"/>
      <c r="AF247" s="49"/>
      <c r="AG247" s="50">
        <f>AG246/90</f>
        <v>384.61</v>
      </c>
      <c r="AH247" s="325">
        <f>AH246/90</f>
        <v>345.6</v>
      </c>
      <c r="AI247" s="325">
        <f>AG247-AH247</f>
        <v>39.01</v>
      </c>
    </row>
    <row r="248" spans="5:35" ht="20.25" customHeight="1">
      <c r="E248" s="49"/>
      <c r="F248" s="49"/>
      <c r="G248" s="49"/>
      <c r="H248" s="839" t="s">
        <v>2432</v>
      </c>
      <c r="I248" s="49"/>
      <c r="J248" s="49"/>
      <c r="K248" s="847">
        <f>SUM(K246:K247)</f>
        <v>18720</v>
      </c>
      <c r="L248" s="49"/>
      <c r="M248" s="49"/>
      <c r="N248" s="49"/>
      <c r="O248" s="49"/>
      <c r="P248" s="49"/>
      <c r="Q248" s="49"/>
      <c r="R248" s="49"/>
      <c r="S248" s="325">
        <f>S247-R246</f>
        <v>-1126</v>
      </c>
      <c r="V248" s="325">
        <f>V247+AG240</f>
        <v>33040</v>
      </c>
      <c r="AA248" s="49"/>
      <c r="AB248" s="49"/>
      <c r="AC248" s="49"/>
      <c r="AD248" s="49"/>
      <c r="AE248" s="49"/>
      <c r="AF248" s="49"/>
      <c r="AG248" s="49"/>
      <c r="AI248" s="325">
        <f>AI247*90</f>
        <v>3510.9</v>
      </c>
    </row>
    <row r="249" spans="5:35">
      <c r="E249" s="49"/>
      <c r="F249" s="49"/>
      <c r="G249" s="49"/>
      <c r="H249" s="840" t="s">
        <v>2433</v>
      </c>
      <c r="I249" s="49"/>
      <c r="J249" s="49"/>
      <c r="K249" s="50">
        <f>K248/90</f>
        <v>208</v>
      </c>
      <c r="L249" s="49">
        <f>208*90</f>
        <v>18720</v>
      </c>
      <c r="M249" s="49"/>
      <c r="S249" s="325">
        <f>212.5*90</f>
        <v>19125</v>
      </c>
      <c r="V249" s="325">
        <f>V248/90</f>
        <v>367.11</v>
      </c>
    </row>
    <row r="250" spans="5:35" ht="21.75" customHeight="1">
      <c r="E250" s="49"/>
      <c r="F250" s="49"/>
      <c r="G250" s="49"/>
      <c r="H250" s="49"/>
      <c r="I250" s="49"/>
      <c r="J250" s="49"/>
      <c r="K250" s="49"/>
      <c r="L250" s="49">
        <f>L249-K248</f>
        <v>0</v>
      </c>
      <c r="M250" s="49"/>
      <c r="S250" s="325">
        <f>S249-R246</f>
        <v>-8767</v>
      </c>
    </row>
    <row r="251" spans="5:35">
      <c r="E251" s="49"/>
      <c r="F251" s="49"/>
      <c r="G251" s="49"/>
      <c r="H251" s="50" t="s">
        <v>2434</v>
      </c>
      <c r="I251" s="49"/>
      <c r="J251" s="49"/>
      <c r="K251" s="49"/>
      <c r="L251" s="49"/>
      <c r="M251" s="49"/>
    </row>
    <row r="252" spans="5:35">
      <c r="E252" s="49"/>
      <c r="F252" s="49"/>
      <c r="G252" s="49"/>
      <c r="H252" s="50" t="s">
        <v>2435</v>
      </c>
      <c r="I252" s="49"/>
      <c r="J252" s="49"/>
      <c r="K252" s="49"/>
      <c r="L252" s="49"/>
      <c r="M252" s="49"/>
    </row>
    <row r="253" spans="5:35">
      <c r="E253" s="49"/>
      <c r="F253" s="49"/>
      <c r="G253" s="49"/>
      <c r="H253" s="49"/>
      <c r="I253" s="49"/>
      <c r="J253" s="49"/>
      <c r="K253" s="49"/>
      <c r="L253" s="49"/>
      <c r="M253" s="49"/>
    </row>
    <row r="254" spans="5:35" ht="94.5">
      <c r="E254" s="49"/>
      <c r="F254" s="49"/>
      <c r="G254" s="49"/>
      <c r="H254" s="51" t="s">
        <v>2436</v>
      </c>
      <c r="I254" s="49"/>
      <c r="J254" s="49"/>
      <c r="K254" s="49"/>
      <c r="L254" s="49"/>
      <c r="M254" s="49"/>
    </row>
    <row r="255" spans="5:35" ht="20.25" customHeight="1">
      <c r="E255" s="49"/>
      <c r="F255" s="49"/>
      <c r="G255" s="49"/>
      <c r="H255" s="49"/>
      <c r="I255" s="49"/>
      <c r="J255" s="49"/>
      <c r="K255" s="49"/>
      <c r="L255" s="49"/>
      <c r="M255" s="49"/>
    </row>
    <row r="256" spans="5:35">
      <c r="E256" s="49"/>
      <c r="F256" s="49"/>
      <c r="G256" s="49"/>
      <c r="H256" s="49" t="s">
        <v>2437</v>
      </c>
      <c r="I256" s="49"/>
      <c r="J256" s="49"/>
      <c r="K256" s="49">
        <f>K246</f>
        <v>18628.5</v>
      </c>
      <c r="L256" s="49"/>
      <c r="M256" s="49"/>
    </row>
    <row r="257" spans="5:18" ht="31.5">
      <c r="E257" s="49"/>
      <c r="F257" s="49">
        <v>180</v>
      </c>
      <c r="G257" s="49" t="s">
        <v>13</v>
      </c>
      <c r="H257" s="51" t="s">
        <v>2871</v>
      </c>
      <c r="I257" s="52">
        <v>25.75</v>
      </c>
      <c r="J257" s="49" t="s">
        <v>13</v>
      </c>
      <c r="K257" s="49">
        <f>F257*I257</f>
        <v>4635</v>
      </c>
      <c r="L257" s="49"/>
      <c r="M257" s="49"/>
    </row>
    <row r="258" spans="5:18" ht="34.5" customHeight="1">
      <c r="E258" s="49"/>
      <c r="F258" s="49">
        <v>180</v>
      </c>
      <c r="G258" s="49" t="s">
        <v>13</v>
      </c>
      <c r="H258" s="51" t="s">
        <v>2439</v>
      </c>
      <c r="I258" s="49">
        <f>I244</f>
        <v>16.55</v>
      </c>
      <c r="J258" s="49" t="s">
        <v>2306</v>
      </c>
      <c r="K258" s="49">
        <f>F258*I258</f>
        <v>2979</v>
      </c>
      <c r="L258" s="49"/>
      <c r="M258" s="49"/>
    </row>
    <row r="259" spans="5:18" ht="36.75" customHeight="1">
      <c r="E259" s="49"/>
      <c r="F259" s="49"/>
      <c r="G259" s="49"/>
      <c r="H259" s="49" t="s">
        <v>1557</v>
      </c>
      <c r="I259" s="49"/>
      <c r="J259" s="49"/>
      <c r="K259" s="49">
        <v>55.5</v>
      </c>
      <c r="L259" s="49"/>
      <c r="M259" s="49"/>
    </row>
    <row r="260" spans="5:18" ht="25.5" customHeight="1">
      <c r="E260" s="49"/>
      <c r="F260" s="49"/>
      <c r="G260" s="49"/>
      <c r="H260" s="839" t="s">
        <v>2440</v>
      </c>
      <c r="I260" s="49"/>
      <c r="J260" s="49"/>
      <c r="K260" s="847">
        <f>K256+K257-K258+K259</f>
        <v>20340</v>
      </c>
      <c r="L260" s="49">
        <f>L261-K260</f>
        <v>0</v>
      </c>
      <c r="M260" s="49"/>
    </row>
    <row r="261" spans="5:18">
      <c r="E261" s="49"/>
      <c r="F261" s="49"/>
      <c r="G261" s="49"/>
      <c r="H261" s="840" t="s">
        <v>2433</v>
      </c>
      <c r="I261" s="49"/>
      <c r="J261" s="49"/>
      <c r="K261" s="50">
        <f>K260/90</f>
        <v>226</v>
      </c>
      <c r="L261" s="325">
        <f>226*90</f>
        <v>20340</v>
      </c>
      <c r="M261" s="49"/>
    </row>
    <row r="262" spans="5:18">
      <c r="E262" s="49"/>
      <c r="F262" s="49"/>
      <c r="G262" s="49"/>
      <c r="H262" s="49"/>
      <c r="I262" s="49"/>
      <c r="J262" s="49"/>
      <c r="K262" s="49"/>
      <c r="L262" s="49"/>
      <c r="M262" s="49"/>
    </row>
    <row r="263" spans="5:18">
      <c r="E263" s="49"/>
      <c r="F263" s="49"/>
      <c r="G263" s="49"/>
      <c r="H263" s="50" t="s">
        <v>2425</v>
      </c>
      <c r="I263" s="49"/>
      <c r="J263" s="49"/>
      <c r="K263" s="49"/>
      <c r="L263" s="49"/>
      <c r="M263" s="49"/>
    </row>
    <row r="264" spans="5:18">
      <c r="E264" s="49"/>
      <c r="F264" s="49"/>
      <c r="G264" s="49"/>
      <c r="H264" s="50" t="s">
        <v>2441</v>
      </c>
      <c r="I264" s="49"/>
      <c r="J264" s="49"/>
      <c r="K264" s="49"/>
      <c r="L264" s="49"/>
      <c r="M264" s="49"/>
    </row>
    <row r="265" spans="5:18">
      <c r="E265" s="49"/>
      <c r="F265" s="49"/>
      <c r="G265" s="49"/>
      <c r="H265" s="49"/>
      <c r="I265" s="49"/>
      <c r="J265" s="49"/>
      <c r="K265" s="49"/>
      <c r="L265" s="49"/>
      <c r="M265" s="49"/>
    </row>
    <row r="266" spans="5:18" ht="94.5">
      <c r="E266" s="49"/>
      <c r="F266" s="49"/>
      <c r="G266" s="49"/>
      <c r="H266" s="51" t="s">
        <v>2429</v>
      </c>
      <c r="I266" s="49"/>
      <c r="J266" s="49"/>
      <c r="K266" s="49"/>
      <c r="L266" s="49"/>
      <c r="M266" s="49"/>
      <c r="N266" s="49"/>
      <c r="O266" s="51"/>
      <c r="P266" s="49"/>
      <c r="Q266" s="49"/>
      <c r="R266" s="49"/>
    </row>
    <row r="267" spans="5:18" ht="52.5" customHeight="1">
      <c r="E267" s="49"/>
      <c r="F267" s="49">
        <v>180</v>
      </c>
      <c r="G267" s="49" t="s">
        <v>13</v>
      </c>
      <c r="H267" s="837" t="s">
        <v>2872</v>
      </c>
      <c r="I267" s="52">
        <v>40.950000000000003</v>
      </c>
      <c r="J267" s="49" t="s">
        <v>2306</v>
      </c>
      <c r="K267" s="49">
        <f>F267*I267</f>
        <v>7371</v>
      </c>
      <c r="L267" s="49"/>
      <c r="M267" s="49"/>
      <c r="N267" s="49"/>
      <c r="O267" s="846"/>
      <c r="P267" s="49"/>
      <c r="Q267" s="49"/>
      <c r="R267" s="49"/>
    </row>
    <row r="268" spans="5:18" ht="36" customHeight="1">
      <c r="E268" s="49"/>
      <c r="F268" s="49">
        <v>90</v>
      </c>
      <c r="G268" s="49" t="s">
        <v>13</v>
      </c>
      <c r="H268" s="51" t="s">
        <v>2313</v>
      </c>
      <c r="I268" s="49">
        <f>I242</f>
        <v>20</v>
      </c>
      <c r="J268" s="49" t="s">
        <v>13</v>
      </c>
      <c r="K268" s="49">
        <f>F268*I268</f>
        <v>1800</v>
      </c>
      <c r="L268" s="49"/>
      <c r="M268" s="49"/>
      <c r="N268" s="49"/>
      <c r="O268" s="51"/>
      <c r="P268" s="49"/>
      <c r="Q268" s="49"/>
      <c r="R268" s="49"/>
    </row>
    <row r="269" spans="5:18" ht="39" customHeight="1">
      <c r="E269" s="49"/>
      <c r="F269" s="49">
        <v>3</v>
      </c>
      <c r="G269" s="49" t="s">
        <v>2324</v>
      </c>
      <c r="H269" s="49" t="s">
        <v>38</v>
      </c>
      <c r="I269" s="49">
        <f>I243</f>
        <v>302</v>
      </c>
      <c r="J269" s="49" t="s">
        <v>2324</v>
      </c>
      <c r="K269" s="49">
        <f>F269*I269</f>
        <v>906</v>
      </c>
      <c r="L269" s="49"/>
      <c r="M269" s="49"/>
      <c r="N269" s="49"/>
      <c r="O269" s="49"/>
      <c r="P269" s="49"/>
      <c r="Q269" s="49"/>
      <c r="R269" s="49"/>
    </row>
    <row r="270" spans="5:18" ht="36.75" customHeight="1">
      <c r="E270" s="49"/>
      <c r="F270" s="49">
        <v>90</v>
      </c>
      <c r="G270" s="49" t="s">
        <v>13</v>
      </c>
      <c r="H270" s="837" t="s">
        <v>2873</v>
      </c>
      <c r="I270" s="49">
        <f>I257</f>
        <v>25.75</v>
      </c>
      <c r="J270" s="49" t="s">
        <v>2306</v>
      </c>
      <c r="K270" s="49">
        <f>F270*I270</f>
        <v>2317.5</v>
      </c>
      <c r="L270" s="49"/>
      <c r="M270" s="49"/>
      <c r="N270" s="49"/>
      <c r="O270" s="846"/>
      <c r="P270" s="49"/>
      <c r="Q270" s="49"/>
      <c r="R270" s="49"/>
    </row>
    <row r="271" spans="5:18" ht="38.25" customHeight="1">
      <c r="E271" s="49"/>
      <c r="F271" s="49"/>
      <c r="G271" s="49"/>
      <c r="H271" s="49" t="s">
        <v>478</v>
      </c>
      <c r="I271" s="49"/>
      <c r="J271" s="49"/>
      <c r="K271" s="49">
        <f>K245</f>
        <v>11454</v>
      </c>
      <c r="L271" s="49"/>
      <c r="M271" s="49"/>
      <c r="N271" s="49"/>
      <c r="O271" s="49"/>
      <c r="P271" s="49"/>
      <c r="Q271" s="49"/>
      <c r="R271" s="49"/>
    </row>
    <row r="272" spans="5:18">
      <c r="E272" s="49"/>
      <c r="F272" s="49"/>
      <c r="G272" s="49"/>
      <c r="H272" s="49" t="s">
        <v>1557</v>
      </c>
      <c r="I272" s="49"/>
      <c r="J272" s="49"/>
      <c r="K272" s="49">
        <v>91.5</v>
      </c>
      <c r="L272" s="49"/>
      <c r="M272" s="49"/>
      <c r="N272" s="49"/>
      <c r="O272" s="49"/>
      <c r="P272" s="49"/>
      <c r="Q272" s="49"/>
      <c r="R272" s="49"/>
    </row>
    <row r="273" spans="5:21">
      <c r="E273" s="49"/>
      <c r="F273" s="49"/>
      <c r="G273" s="49"/>
      <c r="H273" s="839" t="s">
        <v>2432</v>
      </c>
      <c r="I273" s="49"/>
      <c r="J273" s="49"/>
      <c r="K273" s="847">
        <f>SUM(K267:K272)</f>
        <v>23940</v>
      </c>
      <c r="L273" s="49"/>
      <c r="M273" s="49"/>
      <c r="N273" s="49"/>
      <c r="O273" s="839"/>
      <c r="P273" s="49"/>
      <c r="Q273" s="49"/>
      <c r="R273" s="847"/>
    </row>
    <row r="274" spans="5:21">
      <c r="E274" s="49"/>
      <c r="F274" s="49"/>
      <c r="G274" s="49"/>
      <c r="H274" s="840" t="s">
        <v>2433</v>
      </c>
      <c r="I274" s="49"/>
      <c r="J274" s="49"/>
      <c r="K274" s="50">
        <f>K273/90</f>
        <v>266</v>
      </c>
      <c r="L274" s="49">
        <f>266*90</f>
        <v>23940</v>
      </c>
      <c r="M274" s="49"/>
      <c r="N274" s="49"/>
      <c r="O274" s="840"/>
      <c r="P274" s="49"/>
      <c r="Q274" s="49"/>
      <c r="R274" s="50"/>
    </row>
    <row r="275" spans="5:21">
      <c r="E275" s="49"/>
      <c r="F275" s="49"/>
      <c r="G275" s="49"/>
      <c r="H275" s="49"/>
      <c r="I275" s="49"/>
      <c r="J275" s="49"/>
      <c r="K275" s="49"/>
      <c r="L275" s="49">
        <f>L274-K273</f>
        <v>0</v>
      </c>
      <c r="M275" s="49"/>
    </row>
    <row r="276" spans="5:21">
      <c r="E276" s="49"/>
      <c r="F276" s="49"/>
      <c r="G276" s="49"/>
      <c r="H276" s="49"/>
      <c r="I276" s="49"/>
      <c r="J276" s="49"/>
      <c r="K276" s="49"/>
      <c r="L276" s="49"/>
      <c r="M276" s="49"/>
    </row>
    <row r="277" spans="5:21">
      <c r="E277" s="49"/>
      <c r="F277" s="49"/>
      <c r="G277" s="49"/>
      <c r="H277" s="50" t="s">
        <v>2443</v>
      </c>
      <c r="I277" s="49"/>
      <c r="J277" s="49"/>
      <c r="K277" s="49"/>
      <c r="L277" s="49"/>
      <c r="M277" s="49"/>
      <c r="N277" s="49"/>
      <c r="O277" s="50" t="s">
        <v>2443</v>
      </c>
      <c r="P277" s="49"/>
      <c r="Q277" s="49"/>
      <c r="R277" s="49"/>
      <c r="S277" s="49"/>
    </row>
    <row r="278" spans="5:21">
      <c r="E278" s="49"/>
      <c r="F278" s="49"/>
      <c r="G278" s="49"/>
      <c r="H278" s="50" t="s">
        <v>2444</v>
      </c>
      <c r="I278" s="49"/>
      <c r="J278" s="49"/>
      <c r="K278" s="49"/>
      <c r="L278" s="49"/>
      <c r="M278" s="49"/>
      <c r="N278" s="49"/>
      <c r="O278" s="50" t="s">
        <v>2445</v>
      </c>
      <c r="P278" s="49"/>
      <c r="Q278" s="49"/>
      <c r="R278" s="49"/>
      <c r="S278" s="49"/>
    </row>
    <row r="279" spans="5:21">
      <c r="E279" s="49"/>
      <c r="F279" s="49"/>
      <c r="G279" s="49"/>
      <c r="H279" s="49"/>
      <c r="I279" s="49"/>
      <c r="J279" s="49"/>
      <c r="K279" s="49"/>
      <c r="L279" s="49"/>
      <c r="M279" s="49"/>
      <c r="N279" s="49"/>
      <c r="O279" s="49"/>
      <c r="P279" s="49"/>
      <c r="Q279" s="49"/>
      <c r="R279" s="49"/>
      <c r="S279" s="49"/>
    </row>
    <row r="280" spans="5:21" ht="94.5">
      <c r="E280" s="49"/>
      <c r="F280" s="49"/>
      <c r="G280" s="49"/>
      <c r="H280" s="51" t="s">
        <v>2446</v>
      </c>
      <c r="I280" s="49"/>
      <c r="J280" s="49"/>
      <c r="K280" s="49"/>
      <c r="L280" s="49"/>
      <c r="M280" s="49"/>
      <c r="N280" s="49"/>
      <c r="O280" s="1777" t="s">
        <v>2447</v>
      </c>
      <c r="P280" s="1777"/>
      <c r="Q280" s="49"/>
      <c r="R280" s="49"/>
      <c r="S280" s="49"/>
    </row>
    <row r="281" spans="5:21" ht="31.5">
      <c r="E281" s="49"/>
      <c r="F281" s="49">
        <v>360</v>
      </c>
      <c r="G281" s="49"/>
      <c r="H281" s="837" t="s">
        <v>2874</v>
      </c>
      <c r="I281" s="49">
        <f>I267</f>
        <v>40.950000000000003</v>
      </c>
      <c r="J281" s="49" t="s">
        <v>2306</v>
      </c>
      <c r="K281" s="49">
        <f>F281*I281</f>
        <v>14742</v>
      </c>
      <c r="L281" s="49"/>
      <c r="M281" s="49">
        <v>360</v>
      </c>
      <c r="N281" s="49"/>
      <c r="O281" s="846" t="s">
        <v>2875</v>
      </c>
      <c r="P281" s="49">
        <f>P240</f>
        <v>56.7</v>
      </c>
      <c r="Q281" s="49" t="s">
        <v>2306</v>
      </c>
      <c r="R281" s="49">
        <f>M281*P281</f>
        <v>20412</v>
      </c>
      <c r="S281" s="49"/>
    </row>
    <row r="282" spans="5:21" ht="34.5" customHeight="1">
      <c r="E282" s="49"/>
      <c r="F282" s="49">
        <v>90</v>
      </c>
      <c r="G282" s="49"/>
      <c r="H282" s="51" t="s">
        <v>2876</v>
      </c>
      <c r="I282" s="52">
        <v>29.8</v>
      </c>
      <c r="J282" s="49" t="s">
        <v>13</v>
      </c>
      <c r="K282" s="49">
        <f>F282*I282</f>
        <v>2682</v>
      </c>
      <c r="L282" s="49"/>
      <c r="M282" s="49">
        <v>90</v>
      </c>
      <c r="N282" s="49"/>
      <c r="O282" s="51" t="s">
        <v>2877</v>
      </c>
      <c r="P282" s="49">
        <f>I282</f>
        <v>29.8</v>
      </c>
      <c r="Q282" s="49" t="s">
        <v>13</v>
      </c>
      <c r="R282" s="49">
        <f>M282*P282</f>
        <v>2682</v>
      </c>
      <c r="S282" s="49"/>
    </row>
    <row r="283" spans="5:21" ht="36" customHeight="1">
      <c r="E283" s="49"/>
      <c r="F283" s="49">
        <v>3</v>
      </c>
      <c r="G283" s="49"/>
      <c r="H283" s="49" t="s">
        <v>38</v>
      </c>
      <c r="I283" s="49">
        <f>I269</f>
        <v>302</v>
      </c>
      <c r="J283" s="49" t="s">
        <v>2324</v>
      </c>
      <c r="K283" s="49">
        <f>F283*I283</f>
        <v>906</v>
      </c>
      <c r="L283" s="49"/>
      <c r="M283" s="49">
        <v>3</v>
      </c>
      <c r="N283" s="49"/>
      <c r="O283" s="49" t="s">
        <v>38</v>
      </c>
      <c r="P283" s="49">
        <f>I283</f>
        <v>302</v>
      </c>
      <c r="Q283" s="49" t="s">
        <v>2324</v>
      </c>
      <c r="R283" s="49">
        <f>M283*P283</f>
        <v>906</v>
      </c>
      <c r="S283" s="49"/>
    </row>
    <row r="284" spans="5:21" ht="21" customHeight="1">
      <c r="E284" s="49"/>
      <c r="F284" s="49">
        <v>90</v>
      </c>
      <c r="G284" s="49"/>
      <c r="H284" s="837" t="s">
        <v>2878</v>
      </c>
      <c r="I284" s="49">
        <f>I270</f>
        <v>25.75</v>
      </c>
      <c r="J284" s="49" t="s">
        <v>2306</v>
      </c>
      <c r="K284" s="49">
        <f>F284*I284</f>
        <v>2317.5</v>
      </c>
      <c r="L284" s="49"/>
      <c r="M284" s="49">
        <v>90</v>
      </c>
      <c r="N284" s="49"/>
      <c r="O284" s="846" t="s">
        <v>2879</v>
      </c>
      <c r="P284" s="49">
        <f>P243</f>
        <v>38.299999999999997</v>
      </c>
      <c r="Q284" s="49" t="s">
        <v>2306</v>
      </c>
      <c r="R284" s="49">
        <f>M284*P284</f>
        <v>3447</v>
      </c>
      <c r="S284" s="49"/>
    </row>
    <row r="285" spans="5:21" ht="33.75" customHeight="1">
      <c r="E285" s="49"/>
      <c r="F285" s="49"/>
      <c r="G285" s="49"/>
      <c r="H285" s="49" t="s">
        <v>478</v>
      </c>
      <c r="I285" s="49"/>
      <c r="J285" s="49"/>
      <c r="K285" s="49">
        <f>I291</f>
        <v>15075</v>
      </c>
      <c r="L285" s="49"/>
      <c r="M285" s="49"/>
      <c r="N285" s="49"/>
      <c r="O285" s="49" t="s">
        <v>478</v>
      </c>
      <c r="P285" s="49"/>
      <c r="Q285" s="49"/>
      <c r="R285" s="49">
        <f>K285</f>
        <v>15075</v>
      </c>
      <c r="S285" s="49"/>
    </row>
    <row r="286" spans="5:21">
      <c r="E286" s="49"/>
      <c r="F286" s="49"/>
      <c r="G286" s="49"/>
      <c r="H286" s="49" t="s">
        <v>1557</v>
      </c>
      <c r="I286" s="49"/>
      <c r="J286" s="49"/>
      <c r="K286" s="49">
        <v>97.5</v>
      </c>
      <c r="L286" s="49"/>
      <c r="M286" s="49"/>
      <c r="N286" s="49"/>
      <c r="O286" s="49" t="s">
        <v>1557</v>
      </c>
      <c r="P286" s="49"/>
      <c r="Q286" s="49"/>
      <c r="R286" s="49">
        <f>111.6+83.67</f>
        <v>195.27</v>
      </c>
      <c r="S286" s="49"/>
    </row>
    <row r="287" spans="5:21">
      <c r="E287" s="49"/>
      <c r="F287" s="49"/>
      <c r="G287" s="49"/>
      <c r="H287" s="839" t="s">
        <v>2432</v>
      </c>
      <c r="I287" s="49"/>
      <c r="J287" s="49"/>
      <c r="K287" s="847">
        <f>SUM(K281:K286)</f>
        <v>35820</v>
      </c>
      <c r="L287" s="49"/>
      <c r="M287" s="49"/>
      <c r="N287" s="49"/>
      <c r="O287" s="839" t="s">
        <v>2432</v>
      </c>
      <c r="P287" s="49"/>
      <c r="Q287" s="49"/>
      <c r="R287" s="847">
        <f>SUM(R281:R286)</f>
        <v>42717.27</v>
      </c>
      <c r="S287" s="49">
        <f>217.3*90</f>
        <v>19557</v>
      </c>
    </row>
    <row r="288" spans="5:21">
      <c r="E288" s="49"/>
      <c r="F288" s="49"/>
      <c r="G288" s="49"/>
      <c r="H288" s="840" t="s">
        <v>2433</v>
      </c>
      <c r="I288" s="49"/>
      <c r="J288" s="49"/>
      <c r="K288" s="50">
        <f>K287/90</f>
        <v>398</v>
      </c>
      <c r="L288" s="49">
        <f>398*90</f>
        <v>35820</v>
      </c>
      <c r="M288" s="49"/>
      <c r="N288" s="49"/>
      <c r="O288" s="840" t="s">
        <v>2433</v>
      </c>
      <c r="P288" s="49"/>
      <c r="Q288" s="49"/>
      <c r="R288" s="50">
        <f>R287/90</f>
        <v>474.64</v>
      </c>
      <c r="S288" s="49">
        <f>336*90</f>
        <v>30240</v>
      </c>
      <c r="T288" s="325">
        <f>375.8*90</f>
        <v>33822</v>
      </c>
      <c r="U288" s="325">
        <f>T288-R287</f>
        <v>-8895.27</v>
      </c>
    </row>
    <row r="289" spans="5:130">
      <c r="E289" s="49"/>
      <c r="F289" s="49"/>
      <c r="G289" s="49"/>
      <c r="H289" s="49"/>
      <c r="I289" s="49"/>
      <c r="J289" s="49"/>
      <c r="K289" s="49"/>
      <c r="L289" s="49">
        <f>L288-K287</f>
        <v>0</v>
      </c>
      <c r="M289" s="49"/>
      <c r="S289" s="325">
        <f>S288-R287</f>
        <v>-12477.27</v>
      </c>
    </row>
    <row r="290" spans="5:130">
      <c r="E290" s="49"/>
      <c r="F290" s="49"/>
      <c r="G290" s="49"/>
      <c r="H290" s="50" t="s">
        <v>2451</v>
      </c>
      <c r="I290" s="49"/>
      <c r="J290" s="49"/>
      <c r="K290" s="49"/>
      <c r="L290" s="49"/>
      <c r="M290" s="49"/>
    </row>
    <row r="291" spans="5:130">
      <c r="E291" s="49"/>
      <c r="F291" s="855"/>
      <c r="G291" s="855"/>
      <c r="H291" s="856" t="s">
        <v>2880</v>
      </c>
      <c r="I291" s="860">
        <f>(1.5*K42)-((K40+K41)/2)</f>
        <v>15075</v>
      </c>
      <c r="J291" s="855"/>
      <c r="K291" s="855"/>
      <c r="L291" s="855">
        <f>(1.5*5914)-((888+1232)/2)</f>
        <v>7811</v>
      </c>
      <c r="M291" s="49"/>
      <c r="N291" s="49"/>
      <c r="O291" s="50" t="s">
        <v>2443</v>
      </c>
      <c r="P291" s="49"/>
      <c r="Q291" s="49"/>
      <c r="R291" s="49"/>
      <c r="S291" s="829"/>
      <c r="T291" s="829"/>
      <c r="U291" s="829"/>
      <c r="V291" s="829"/>
      <c r="W291" s="829"/>
      <c r="X291" s="829"/>
      <c r="Y291" s="829"/>
      <c r="Z291" s="829"/>
      <c r="AA291" s="829"/>
      <c r="AB291" s="829"/>
      <c r="AC291" s="829"/>
      <c r="AD291" s="829"/>
      <c r="AE291" s="829"/>
      <c r="AF291" s="829"/>
      <c r="AG291" s="829"/>
      <c r="AH291" s="829"/>
      <c r="AI291" s="829"/>
      <c r="AJ291" s="829"/>
      <c r="AK291" s="829"/>
      <c r="AL291" s="829"/>
      <c r="AM291" s="829"/>
      <c r="AN291" s="829"/>
      <c r="AO291" s="829"/>
      <c r="AP291" s="829"/>
      <c r="AQ291" s="829"/>
      <c r="AR291" s="829"/>
      <c r="AS291" s="829"/>
      <c r="AT291" s="829"/>
      <c r="AU291" s="829"/>
      <c r="AV291" s="829"/>
      <c r="AW291" s="829"/>
      <c r="AX291" s="829"/>
      <c r="AY291" s="829"/>
      <c r="AZ291" s="829"/>
      <c r="BA291" s="829"/>
      <c r="BB291" s="829"/>
      <c r="BC291" s="829"/>
      <c r="BD291" s="829"/>
      <c r="BE291" s="829"/>
      <c r="BF291" s="829"/>
      <c r="BG291" s="829"/>
      <c r="BH291" s="829"/>
      <c r="BI291" s="829"/>
      <c r="BJ291" s="829"/>
      <c r="BK291" s="829"/>
      <c r="BL291" s="829"/>
      <c r="BM291" s="829"/>
      <c r="BN291" s="829"/>
      <c r="BO291" s="829"/>
      <c r="BP291" s="829"/>
      <c r="BQ291" s="829"/>
      <c r="BR291" s="829"/>
      <c r="BS291" s="829"/>
      <c r="BT291" s="829"/>
      <c r="BU291" s="829"/>
      <c r="BV291" s="829"/>
      <c r="BW291" s="829"/>
      <c r="BX291" s="829"/>
      <c r="BY291" s="829"/>
      <c r="BZ291" s="829"/>
      <c r="CA291" s="829"/>
      <c r="CB291" s="829"/>
      <c r="CC291" s="829"/>
      <c r="CD291" s="829"/>
      <c r="CE291" s="829"/>
      <c r="CF291" s="829"/>
      <c r="CG291" s="829"/>
      <c r="CH291" s="829"/>
      <c r="CI291" s="829"/>
      <c r="CJ291" s="829"/>
      <c r="CK291" s="829"/>
      <c r="CL291" s="829"/>
      <c r="CM291" s="829"/>
      <c r="CN291" s="829"/>
      <c r="CO291" s="829"/>
      <c r="CP291" s="829"/>
      <c r="CQ291" s="829"/>
      <c r="CR291" s="829"/>
      <c r="CS291" s="829"/>
      <c r="CT291" s="829"/>
      <c r="CU291" s="829"/>
      <c r="CV291" s="829"/>
      <c r="CW291" s="829"/>
      <c r="CX291" s="829"/>
      <c r="CY291" s="829"/>
      <c r="CZ291" s="829"/>
      <c r="DA291" s="829"/>
      <c r="DB291" s="829"/>
      <c r="DC291" s="829"/>
      <c r="DD291" s="829"/>
      <c r="DE291" s="829"/>
      <c r="DF291" s="829"/>
      <c r="DG291" s="829"/>
      <c r="DH291" s="829"/>
      <c r="DI291" s="829"/>
      <c r="DJ291" s="829"/>
      <c r="DK291" s="829"/>
      <c r="DL291" s="829"/>
      <c r="DM291" s="829"/>
      <c r="DN291" s="829"/>
      <c r="DO291" s="829"/>
      <c r="DP291" s="829"/>
      <c r="DQ291" s="829"/>
      <c r="DR291" s="829"/>
      <c r="DS291" s="829"/>
      <c r="DT291" s="829"/>
      <c r="DU291" s="829"/>
      <c r="DV291" s="829"/>
      <c r="DW291" s="829"/>
      <c r="DX291" s="829"/>
      <c r="DY291" s="829"/>
      <c r="DZ291" s="829"/>
    </row>
    <row r="292" spans="5:130" s="829" customFormat="1">
      <c r="E292" s="855"/>
      <c r="F292" s="49"/>
      <c r="G292" s="49"/>
      <c r="H292" s="49">
        <f>1.5*K42-(K40+K41)/2</f>
        <v>15075</v>
      </c>
      <c r="I292" s="49"/>
      <c r="J292" s="49"/>
      <c r="K292" s="49"/>
      <c r="L292" s="49"/>
      <c r="M292" s="49"/>
      <c r="N292" s="49"/>
      <c r="O292" s="50" t="s">
        <v>2453</v>
      </c>
      <c r="P292" s="49"/>
      <c r="Q292" s="49"/>
      <c r="R292" s="49"/>
      <c r="S292" s="325"/>
      <c r="T292" s="325"/>
      <c r="U292" s="325"/>
      <c r="V292" s="325"/>
      <c r="W292" s="325"/>
      <c r="X292" s="325"/>
      <c r="Y292" s="325"/>
      <c r="Z292" s="325"/>
      <c r="AA292" s="325"/>
      <c r="AB292" s="325"/>
      <c r="AC292" s="325"/>
      <c r="AD292" s="325"/>
      <c r="AE292" s="325"/>
      <c r="AF292" s="325"/>
      <c r="AG292" s="325"/>
      <c r="AH292" s="325"/>
      <c r="AI292" s="325"/>
      <c r="AJ292" s="325"/>
      <c r="AK292" s="325"/>
      <c r="AL292" s="325"/>
      <c r="AM292" s="325"/>
      <c r="AN292" s="325"/>
      <c r="AO292" s="325"/>
      <c r="AP292" s="325"/>
      <c r="AQ292" s="325"/>
      <c r="AR292" s="325"/>
      <c r="AS292" s="325"/>
      <c r="AT292" s="325"/>
      <c r="AU292" s="325"/>
      <c r="AV292" s="325"/>
      <c r="AW292" s="325"/>
      <c r="AX292" s="325"/>
      <c r="AY292" s="325"/>
      <c r="AZ292" s="325"/>
      <c r="BA292" s="325"/>
      <c r="BB292" s="325"/>
      <c r="BC292" s="325"/>
      <c r="BD292" s="325"/>
      <c r="BE292" s="325"/>
      <c r="BF292" s="325"/>
      <c r="BG292" s="325"/>
      <c r="BH292" s="325"/>
      <c r="BI292" s="325"/>
      <c r="BJ292" s="325"/>
      <c r="BK292" s="325"/>
      <c r="BL292" s="325"/>
      <c r="BM292" s="325"/>
      <c r="BN292" s="325"/>
      <c r="BO292" s="325"/>
      <c r="BP292" s="325"/>
      <c r="BQ292" s="325"/>
      <c r="BR292" s="325"/>
      <c r="BS292" s="325"/>
      <c r="BT292" s="325"/>
      <c r="BU292" s="325"/>
      <c r="BV292" s="325"/>
      <c r="BW292" s="325"/>
      <c r="BX292" s="325"/>
      <c r="BY292" s="325"/>
      <c r="BZ292" s="325"/>
      <c r="CA292" s="325"/>
      <c r="CB292" s="325"/>
      <c r="CC292" s="325"/>
      <c r="CD292" s="325"/>
      <c r="CE292" s="325"/>
      <c r="CF292" s="325"/>
      <c r="CG292" s="325"/>
      <c r="CH292" s="325"/>
      <c r="CI292" s="325"/>
      <c r="CJ292" s="325"/>
      <c r="CK292" s="325"/>
      <c r="CL292" s="325"/>
      <c r="CM292" s="325"/>
      <c r="CN292" s="325"/>
      <c r="CO292" s="325"/>
      <c r="CP292" s="325"/>
      <c r="CQ292" s="325"/>
      <c r="CR292" s="325"/>
      <c r="CS292" s="325"/>
      <c r="CT292" s="325"/>
      <c r="CU292" s="325"/>
      <c r="CV292" s="325"/>
      <c r="CW292" s="325"/>
      <c r="CX292" s="325"/>
      <c r="CY292" s="325"/>
      <c r="CZ292" s="325"/>
      <c r="DA292" s="325"/>
      <c r="DB292" s="325"/>
      <c r="DC292" s="325"/>
      <c r="DD292" s="325"/>
      <c r="DE292" s="325"/>
      <c r="DF292" s="325"/>
      <c r="DG292" s="325"/>
      <c r="DH292" s="325"/>
      <c r="DI292" s="325"/>
      <c r="DJ292" s="325"/>
      <c r="DK292" s="325"/>
      <c r="DL292" s="325"/>
      <c r="DM292" s="325"/>
      <c r="DN292" s="325"/>
      <c r="DO292" s="325"/>
      <c r="DP292" s="325"/>
      <c r="DQ292" s="325"/>
      <c r="DR292" s="325"/>
      <c r="DS292" s="325"/>
      <c r="DT292" s="325"/>
      <c r="DU292" s="325"/>
      <c r="DV292" s="325"/>
      <c r="DW292" s="325"/>
      <c r="DX292" s="325"/>
      <c r="DY292" s="325"/>
      <c r="DZ292" s="325"/>
    </row>
    <row r="293" spans="5:130">
      <c r="E293" s="49"/>
      <c r="F293" s="49"/>
      <c r="G293" s="49"/>
      <c r="H293" s="49"/>
      <c r="I293" s="49"/>
      <c r="J293" s="49"/>
      <c r="K293" s="49"/>
      <c r="L293" s="49"/>
      <c r="M293" s="49"/>
      <c r="N293" s="49"/>
      <c r="O293" s="49"/>
      <c r="P293" s="49"/>
      <c r="Q293" s="49"/>
      <c r="R293" s="49"/>
    </row>
    <row r="294" spans="5:130" ht="94.5">
      <c r="E294" s="49"/>
      <c r="F294" s="49"/>
      <c r="G294" s="49"/>
      <c r="I294" s="49"/>
      <c r="J294" s="49"/>
      <c r="K294" s="49"/>
      <c r="L294" s="49"/>
      <c r="M294" s="49"/>
      <c r="N294" s="49"/>
      <c r="O294" s="51" t="s">
        <v>2455</v>
      </c>
      <c r="P294" s="49"/>
      <c r="Q294" s="49"/>
      <c r="R294" s="49"/>
    </row>
    <row r="295" spans="5:130" ht="96" customHeight="1">
      <c r="E295" s="49"/>
      <c r="F295" s="49"/>
      <c r="G295" s="49"/>
      <c r="H295" s="854" t="s">
        <v>2454</v>
      </c>
      <c r="I295" s="49"/>
      <c r="J295" s="49"/>
      <c r="K295" s="49"/>
      <c r="L295" s="49"/>
      <c r="M295" s="49">
        <v>360</v>
      </c>
      <c r="N295" s="49"/>
      <c r="O295" s="861" t="s">
        <v>2881</v>
      </c>
      <c r="P295" s="52">
        <v>85.3</v>
      </c>
      <c r="Q295" s="49" t="s">
        <v>2306</v>
      </c>
      <c r="R295" s="49">
        <f>M295*P295</f>
        <v>30708</v>
      </c>
    </row>
    <row r="296" spans="5:130" ht="31.5">
      <c r="E296" s="49"/>
      <c r="F296" s="49"/>
      <c r="G296" s="49"/>
      <c r="H296" s="50" t="s">
        <v>2457</v>
      </c>
      <c r="I296" s="49"/>
      <c r="J296" s="49"/>
      <c r="K296" s="49"/>
      <c r="L296" s="49"/>
      <c r="M296" s="49">
        <v>90</v>
      </c>
      <c r="N296" s="49"/>
      <c r="O296" s="51" t="s">
        <v>2882</v>
      </c>
      <c r="P296" s="49">
        <f>P282</f>
        <v>29.8</v>
      </c>
      <c r="Q296" s="49" t="s">
        <v>13</v>
      </c>
      <c r="R296" s="49">
        <f>M296*P296</f>
        <v>2682</v>
      </c>
    </row>
    <row r="297" spans="5:130" ht="18" customHeight="1">
      <c r="E297" s="49"/>
      <c r="F297" s="49"/>
      <c r="G297" s="49"/>
      <c r="H297" s="49"/>
      <c r="I297" s="49"/>
      <c r="J297" s="49"/>
      <c r="K297" s="49"/>
      <c r="L297" s="49"/>
      <c r="M297" s="49">
        <v>3</v>
      </c>
      <c r="N297" s="49"/>
      <c r="O297" s="49" t="s">
        <v>38</v>
      </c>
      <c r="P297" s="49">
        <f>P283</f>
        <v>302</v>
      </c>
      <c r="Q297" s="49" t="s">
        <v>2324</v>
      </c>
      <c r="R297" s="49">
        <f>M297*P297</f>
        <v>906</v>
      </c>
    </row>
    <row r="298" spans="5:130" ht="31.5">
      <c r="E298" s="49"/>
      <c r="F298" s="49"/>
      <c r="G298" s="49"/>
      <c r="H298" s="50" t="s">
        <v>2883</v>
      </c>
      <c r="I298" s="49"/>
      <c r="J298" s="49"/>
      <c r="K298" s="49"/>
      <c r="L298" s="49"/>
      <c r="M298" s="49">
        <v>90</v>
      </c>
      <c r="N298" s="49"/>
      <c r="O298" s="846" t="s">
        <v>2884</v>
      </c>
      <c r="P298" s="49">
        <f>P281</f>
        <v>56.7</v>
      </c>
      <c r="Q298" s="49" t="s">
        <v>2306</v>
      </c>
      <c r="R298" s="49">
        <f>M298*P298</f>
        <v>5103</v>
      </c>
    </row>
    <row r="299" spans="5:130" ht="33.75" customHeight="1">
      <c r="E299" s="49"/>
      <c r="F299" s="49"/>
      <c r="G299" s="49"/>
      <c r="H299" s="49"/>
      <c r="I299" s="49"/>
      <c r="J299" s="49"/>
      <c r="K299" s="49"/>
      <c r="L299" s="49"/>
      <c r="M299" s="49"/>
      <c r="N299" s="49"/>
      <c r="O299" s="49" t="s">
        <v>478</v>
      </c>
      <c r="P299" s="49"/>
      <c r="Q299" s="49"/>
      <c r="R299" s="49">
        <f>R285</f>
        <v>15075</v>
      </c>
    </row>
    <row r="300" spans="5:130" ht="47.25">
      <c r="E300" s="49"/>
      <c r="F300" s="49"/>
      <c r="G300" s="49"/>
      <c r="H300" s="51" t="s">
        <v>2459</v>
      </c>
      <c r="I300" s="49"/>
      <c r="J300" s="49"/>
      <c r="K300" s="49"/>
      <c r="L300" s="49"/>
      <c r="M300" s="49"/>
      <c r="N300" s="49"/>
      <c r="O300" s="49" t="s">
        <v>1557</v>
      </c>
      <c r="P300" s="49"/>
      <c r="Q300" s="49"/>
      <c r="R300" s="49">
        <v>60.5</v>
      </c>
    </row>
    <row r="301" spans="5:130">
      <c r="E301" s="49"/>
      <c r="F301" s="49">
        <v>1</v>
      </c>
      <c r="G301" s="49" t="s">
        <v>1034</v>
      </c>
      <c r="H301" s="49" t="s">
        <v>2885</v>
      </c>
      <c r="I301" s="52">
        <v>277.60000000000002</v>
      </c>
      <c r="J301" s="49" t="s">
        <v>1034</v>
      </c>
      <c r="K301" s="49">
        <f>F301*I301</f>
        <v>277.60000000000002</v>
      </c>
      <c r="L301" s="49"/>
      <c r="M301" s="49"/>
      <c r="N301" s="49"/>
      <c r="O301" s="839" t="s">
        <v>2432</v>
      </c>
      <c r="P301" s="49"/>
      <c r="Q301" s="49"/>
      <c r="R301" s="847">
        <f>SUM(R295:R300)</f>
        <v>54534.5</v>
      </c>
    </row>
    <row r="302" spans="5:130">
      <c r="E302" s="49"/>
      <c r="F302" s="49"/>
      <c r="G302" s="49"/>
      <c r="H302" s="49" t="s">
        <v>1557</v>
      </c>
      <c r="I302" s="49"/>
      <c r="J302" s="49"/>
      <c r="K302" s="49">
        <f>13.88-0.41</f>
        <v>13.47</v>
      </c>
      <c r="L302" s="49">
        <f>K301*5%</f>
        <v>13.88</v>
      </c>
      <c r="M302" s="49"/>
      <c r="N302" s="49"/>
      <c r="O302" s="840" t="s">
        <v>2433</v>
      </c>
      <c r="P302" s="49"/>
      <c r="Q302" s="49"/>
      <c r="R302" s="50">
        <f>R301/90</f>
        <v>605.94000000000005</v>
      </c>
      <c r="S302" s="325">
        <f>589.3*90</f>
        <v>53037</v>
      </c>
    </row>
    <row r="303" spans="5:130">
      <c r="E303" s="49"/>
      <c r="F303" s="49"/>
      <c r="G303" s="49"/>
      <c r="H303" s="49" t="s">
        <v>478</v>
      </c>
      <c r="I303" s="49"/>
      <c r="J303" s="49"/>
      <c r="K303" s="49">
        <f>K311</f>
        <v>225.93</v>
      </c>
      <c r="L303" s="49"/>
      <c r="M303" s="49"/>
      <c r="S303" s="325">
        <f>S302-R301</f>
        <v>-1497.5</v>
      </c>
    </row>
    <row r="304" spans="5:130">
      <c r="E304" s="49"/>
      <c r="F304" s="49"/>
      <c r="G304" s="49"/>
      <c r="H304" s="840" t="s">
        <v>2461</v>
      </c>
      <c r="I304" s="49"/>
      <c r="J304" s="49"/>
      <c r="K304" s="50">
        <f>SUM(K301:K303)</f>
        <v>517</v>
      </c>
      <c r="L304" s="49">
        <f>K304-517</f>
        <v>0</v>
      </c>
      <c r="M304" s="49"/>
    </row>
    <row r="305" spans="5:130">
      <c r="E305" s="49"/>
      <c r="F305" s="49"/>
      <c r="G305" s="49"/>
      <c r="H305" s="49"/>
      <c r="I305" s="49"/>
      <c r="J305" s="49"/>
      <c r="K305" s="49"/>
      <c r="L305" s="49"/>
      <c r="M305" s="49"/>
    </row>
    <row r="306" spans="5:130">
      <c r="E306" s="49"/>
      <c r="F306" s="49"/>
      <c r="G306" s="49"/>
      <c r="H306" s="49"/>
      <c r="I306" s="49"/>
      <c r="J306" s="49"/>
      <c r="K306" s="49"/>
      <c r="L306" s="49"/>
      <c r="M306" s="49"/>
    </row>
    <row r="307" spans="5:130">
      <c r="E307" s="49"/>
      <c r="F307" s="49"/>
      <c r="G307" s="49"/>
      <c r="H307" s="848" t="s">
        <v>2462</v>
      </c>
      <c r="I307" s="49"/>
      <c r="J307" s="49"/>
      <c r="K307" s="49"/>
      <c r="L307" s="49"/>
      <c r="M307" s="49"/>
    </row>
    <row r="308" spans="5:130">
      <c r="E308" s="49"/>
      <c r="F308" s="49">
        <v>2</v>
      </c>
      <c r="G308" s="49" t="s">
        <v>1034</v>
      </c>
      <c r="H308" s="49" t="s">
        <v>2463</v>
      </c>
      <c r="I308" s="49">
        <f>I37</f>
        <v>778</v>
      </c>
      <c r="J308" s="49" t="s">
        <v>1034</v>
      </c>
      <c r="K308" s="49">
        <f>F308*I308</f>
        <v>1556</v>
      </c>
      <c r="L308" s="49"/>
      <c r="M308" s="49"/>
    </row>
    <row r="309" spans="5:130" ht="19.5" customHeight="1">
      <c r="E309" s="49"/>
      <c r="F309" s="49">
        <v>3</v>
      </c>
      <c r="G309" s="49" t="s">
        <v>1034</v>
      </c>
      <c r="H309" s="49" t="s">
        <v>2464</v>
      </c>
      <c r="I309" s="49">
        <f>I38</f>
        <v>611</v>
      </c>
      <c r="J309" s="49" t="s">
        <v>1034</v>
      </c>
      <c r="K309" s="49">
        <f>F309*I309</f>
        <v>1833</v>
      </c>
      <c r="L309" s="49"/>
      <c r="M309" s="49"/>
    </row>
    <row r="310" spans="5:130" ht="19.5" customHeight="1">
      <c r="E310" s="49"/>
      <c r="F310" s="49"/>
      <c r="G310" s="49"/>
      <c r="H310" s="839" t="s">
        <v>2465</v>
      </c>
      <c r="I310" s="49"/>
      <c r="J310" s="49"/>
      <c r="K310" s="847">
        <f>SUM(K308:K309)</f>
        <v>3389</v>
      </c>
      <c r="L310" s="49"/>
      <c r="M310" s="49"/>
    </row>
    <row r="311" spans="5:130" ht="19.5" customHeight="1">
      <c r="E311" s="49"/>
      <c r="F311" s="49"/>
      <c r="G311" s="49"/>
      <c r="H311" s="840" t="s">
        <v>2058</v>
      </c>
      <c r="I311" s="49"/>
      <c r="J311" s="49"/>
      <c r="K311" s="50">
        <f>K310/15</f>
        <v>225.93</v>
      </c>
      <c r="L311" s="49"/>
      <c r="M311" s="49"/>
    </row>
    <row r="312" spans="5:130" ht="19.5" customHeight="1">
      <c r="E312" s="49"/>
      <c r="F312" s="49"/>
      <c r="G312" s="49"/>
      <c r="H312" s="49"/>
      <c r="I312" s="49"/>
      <c r="J312" s="49"/>
      <c r="K312" s="49"/>
      <c r="L312" s="49"/>
      <c r="M312" s="49"/>
    </row>
    <row r="313" spans="5:130">
      <c r="E313" s="49"/>
      <c r="F313" s="49"/>
      <c r="G313" s="49"/>
      <c r="H313" s="50" t="s">
        <v>2466</v>
      </c>
      <c r="I313" s="49"/>
      <c r="J313" s="49"/>
      <c r="K313" s="49"/>
      <c r="L313" s="49"/>
      <c r="M313" s="49"/>
    </row>
    <row r="314" spans="5:130">
      <c r="E314" s="49"/>
      <c r="F314" s="49"/>
      <c r="G314" s="49"/>
      <c r="H314" s="49"/>
      <c r="I314" s="49"/>
      <c r="J314" s="49"/>
      <c r="K314" s="49"/>
      <c r="L314" s="49"/>
      <c r="M314" s="49"/>
    </row>
    <row r="315" spans="5:130" ht="47.25">
      <c r="E315" s="49"/>
      <c r="F315" s="49"/>
      <c r="G315" s="49"/>
      <c r="H315" s="842" t="s">
        <v>2467</v>
      </c>
      <c r="I315" s="49"/>
      <c r="J315" s="49"/>
      <c r="K315" s="49"/>
      <c r="L315" s="49"/>
      <c r="M315" s="49"/>
    </row>
    <row r="316" spans="5:130" ht="65.25" customHeight="1">
      <c r="E316" s="49"/>
      <c r="F316" s="49"/>
      <c r="G316" s="49"/>
      <c r="H316" s="49"/>
      <c r="I316" s="49"/>
      <c r="J316" s="49"/>
      <c r="K316" s="49"/>
      <c r="L316" s="49"/>
      <c r="M316" s="49"/>
    </row>
    <row r="317" spans="5:130" ht="63">
      <c r="E317" s="49"/>
      <c r="F317" s="49"/>
      <c r="G317" s="49"/>
      <c r="H317" s="51" t="s">
        <v>2468</v>
      </c>
      <c r="I317" s="49"/>
      <c r="J317" s="49"/>
      <c r="K317" s="49"/>
      <c r="L317" s="49"/>
      <c r="M317" s="49"/>
    </row>
    <row r="318" spans="5:130" ht="78" customHeight="1">
      <c r="E318" s="49"/>
      <c r="F318" s="49"/>
      <c r="G318" s="49"/>
      <c r="H318" s="49"/>
      <c r="I318" s="49"/>
      <c r="J318" s="49"/>
      <c r="K318" s="49"/>
      <c r="L318" s="49"/>
      <c r="M318" s="49"/>
    </row>
    <row r="319" spans="5:130" ht="31.5">
      <c r="E319" s="49"/>
      <c r="F319" s="857">
        <v>1</v>
      </c>
      <c r="G319" s="858" t="s">
        <v>1034</v>
      </c>
      <c r="H319" s="859" t="s">
        <v>2886</v>
      </c>
      <c r="I319" s="862">
        <v>344</v>
      </c>
      <c r="J319" s="858" t="s">
        <v>1034</v>
      </c>
      <c r="K319" s="857">
        <f>F319*I319</f>
        <v>344</v>
      </c>
      <c r="L319" s="857"/>
      <c r="M319" s="857"/>
      <c r="N319" s="830"/>
      <c r="O319" s="830"/>
      <c r="P319" s="830"/>
      <c r="Q319" s="830"/>
      <c r="R319" s="830"/>
      <c r="S319" s="830"/>
      <c r="T319" s="830"/>
      <c r="U319" s="830"/>
      <c r="V319" s="830"/>
      <c r="W319" s="830"/>
      <c r="X319" s="830"/>
      <c r="Y319" s="830"/>
      <c r="Z319" s="830"/>
      <c r="AA319" s="830"/>
      <c r="AB319" s="830"/>
      <c r="AC319" s="830"/>
      <c r="AD319" s="830"/>
      <c r="AE319" s="830"/>
      <c r="AF319" s="830"/>
      <c r="AG319" s="830"/>
      <c r="AH319" s="830"/>
      <c r="AI319" s="830"/>
      <c r="AJ319" s="830"/>
      <c r="AK319" s="830"/>
      <c r="AL319" s="830"/>
      <c r="AM319" s="830"/>
      <c r="AN319" s="830"/>
      <c r="AO319" s="830"/>
      <c r="AP319" s="830"/>
      <c r="AQ319" s="830"/>
      <c r="AR319" s="830"/>
      <c r="AS319" s="830"/>
      <c r="AT319" s="830"/>
      <c r="AU319" s="830"/>
      <c r="AV319" s="830"/>
      <c r="AW319" s="830"/>
      <c r="AX319" s="830"/>
      <c r="AY319" s="830"/>
      <c r="AZ319" s="830"/>
      <c r="BA319" s="830"/>
      <c r="BB319" s="830"/>
      <c r="BC319" s="830"/>
      <c r="BD319" s="830"/>
      <c r="BE319" s="830"/>
      <c r="BF319" s="830"/>
      <c r="BG319" s="830"/>
      <c r="BH319" s="830"/>
      <c r="BI319" s="830"/>
      <c r="BJ319" s="830"/>
      <c r="BK319" s="830"/>
      <c r="BL319" s="830"/>
      <c r="BM319" s="830"/>
      <c r="BN319" s="830"/>
      <c r="BO319" s="830"/>
      <c r="BP319" s="830"/>
      <c r="BQ319" s="830"/>
      <c r="BR319" s="830"/>
      <c r="BS319" s="830"/>
      <c r="BT319" s="830"/>
      <c r="BU319" s="830"/>
      <c r="BV319" s="830"/>
      <c r="BW319" s="830"/>
      <c r="BX319" s="830"/>
      <c r="BY319" s="830"/>
      <c r="BZ319" s="830"/>
      <c r="CA319" s="830"/>
      <c r="CB319" s="830"/>
      <c r="CC319" s="830"/>
      <c r="CD319" s="830"/>
      <c r="CE319" s="830"/>
      <c r="CF319" s="830"/>
      <c r="CG319" s="830"/>
      <c r="CH319" s="830"/>
      <c r="CI319" s="830"/>
      <c r="CJ319" s="830"/>
      <c r="CK319" s="830"/>
      <c r="CL319" s="830"/>
      <c r="CM319" s="830"/>
      <c r="CN319" s="830"/>
      <c r="CO319" s="830"/>
      <c r="CP319" s="830"/>
      <c r="CQ319" s="830"/>
      <c r="CR319" s="830"/>
      <c r="CS319" s="830"/>
      <c r="CT319" s="830"/>
      <c r="CU319" s="830"/>
      <c r="CV319" s="830"/>
      <c r="CW319" s="830"/>
      <c r="CX319" s="830"/>
      <c r="CY319" s="830"/>
      <c r="CZ319" s="830"/>
      <c r="DA319" s="830"/>
      <c r="DB319" s="830"/>
      <c r="DC319" s="830"/>
      <c r="DD319" s="830"/>
      <c r="DE319" s="830"/>
      <c r="DF319" s="830"/>
      <c r="DG319" s="830"/>
      <c r="DH319" s="830"/>
      <c r="DI319" s="830"/>
      <c r="DJ319" s="830"/>
      <c r="DK319" s="830"/>
      <c r="DL319" s="830"/>
      <c r="DM319" s="830"/>
      <c r="DN319" s="830"/>
      <c r="DO319" s="830"/>
      <c r="DP319" s="830"/>
      <c r="DQ319" s="830"/>
      <c r="DR319" s="830"/>
      <c r="DS319" s="830"/>
      <c r="DT319" s="830"/>
      <c r="DU319" s="830"/>
      <c r="DV319" s="830"/>
      <c r="DW319" s="830"/>
      <c r="DX319" s="830"/>
      <c r="DY319" s="830"/>
      <c r="DZ319" s="830"/>
    </row>
    <row r="320" spans="5:130" s="830" customFormat="1" ht="31.5">
      <c r="E320" s="857"/>
      <c r="F320" s="857">
        <v>1</v>
      </c>
      <c r="G320" s="858" t="s">
        <v>1034</v>
      </c>
      <c r="H320" s="859" t="s">
        <v>2887</v>
      </c>
      <c r="I320" s="863">
        <v>60.5</v>
      </c>
      <c r="J320" s="858" t="s">
        <v>1034</v>
      </c>
      <c r="K320" s="857">
        <f>F320*I320</f>
        <v>60.5</v>
      </c>
      <c r="L320" s="857"/>
      <c r="M320" s="857"/>
    </row>
    <row r="321" spans="5:130" s="830" customFormat="1">
      <c r="E321" s="857"/>
      <c r="F321" s="49"/>
      <c r="G321" s="49"/>
      <c r="H321" s="51" t="s">
        <v>2471</v>
      </c>
      <c r="I321" s="49"/>
      <c r="J321" s="49"/>
      <c r="K321" s="49">
        <v>10.25</v>
      </c>
      <c r="L321" s="49"/>
      <c r="M321" s="49"/>
      <c r="N321" s="325"/>
      <c r="O321" s="325"/>
      <c r="P321" s="325"/>
      <c r="Q321" s="325"/>
      <c r="R321" s="325"/>
      <c r="S321" s="325"/>
      <c r="T321" s="325"/>
      <c r="U321" s="325"/>
      <c r="V321" s="325"/>
      <c r="W321" s="325"/>
      <c r="X321" s="325"/>
      <c r="Y321" s="325"/>
      <c r="Z321" s="325"/>
      <c r="AA321" s="325"/>
      <c r="AB321" s="325"/>
      <c r="AC321" s="325"/>
      <c r="AD321" s="325"/>
      <c r="AE321" s="325"/>
      <c r="AF321" s="325"/>
      <c r="AG321" s="325"/>
      <c r="AH321" s="325"/>
      <c r="AI321" s="325"/>
      <c r="AJ321" s="325"/>
      <c r="AK321" s="325"/>
      <c r="AL321" s="325"/>
      <c r="AM321" s="325"/>
      <c r="AN321" s="325"/>
      <c r="AO321" s="325"/>
      <c r="AP321" s="325"/>
      <c r="AQ321" s="325"/>
      <c r="AR321" s="325"/>
      <c r="AS321" s="325"/>
      <c r="AT321" s="325"/>
      <c r="AU321" s="325"/>
      <c r="AV321" s="325"/>
      <c r="AW321" s="325"/>
      <c r="AX321" s="325"/>
      <c r="AY321" s="325"/>
      <c r="AZ321" s="325"/>
      <c r="BA321" s="325"/>
      <c r="BB321" s="325"/>
      <c r="BC321" s="325"/>
      <c r="BD321" s="325"/>
      <c r="BE321" s="325"/>
      <c r="BF321" s="325"/>
      <c r="BG321" s="325"/>
      <c r="BH321" s="325"/>
      <c r="BI321" s="325"/>
      <c r="BJ321" s="325"/>
      <c r="BK321" s="325"/>
      <c r="BL321" s="325"/>
      <c r="BM321" s="325"/>
      <c r="BN321" s="325"/>
      <c r="BO321" s="325"/>
      <c r="BP321" s="325"/>
      <c r="BQ321" s="325"/>
      <c r="BR321" s="325"/>
      <c r="BS321" s="325"/>
      <c r="BT321" s="325"/>
      <c r="BU321" s="325"/>
      <c r="BV321" s="325"/>
      <c r="BW321" s="325"/>
      <c r="BX321" s="325"/>
      <c r="BY321" s="325"/>
      <c r="BZ321" s="325"/>
      <c r="CA321" s="325"/>
      <c r="CB321" s="325"/>
      <c r="CC321" s="325"/>
      <c r="CD321" s="325"/>
      <c r="CE321" s="325"/>
      <c r="CF321" s="325"/>
      <c r="CG321" s="325"/>
      <c r="CH321" s="325"/>
      <c r="CI321" s="325"/>
      <c r="CJ321" s="325"/>
      <c r="CK321" s="325"/>
      <c r="CL321" s="325"/>
      <c r="CM321" s="325"/>
      <c r="CN321" s="325"/>
      <c r="CO321" s="325"/>
      <c r="CP321" s="325"/>
      <c r="CQ321" s="325"/>
      <c r="CR321" s="325"/>
      <c r="CS321" s="325"/>
      <c r="CT321" s="325"/>
      <c r="CU321" s="325"/>
      <c r="CV321" s="325"/>
      <c r="CW321" s="325"/>
      <c r="CX321" s="325"/>
      <c r="CY321" s="325"/>
      <c r="CZ321" s="325"/>
      <c r="DA321" s="325"/>
      <c r="DB321" s="325"/>
      <c r="DC321" s="325"/>
      <c r="DD321" s="325"/>
      <c r="DE321" s="325"/>
      <c r="DF321" s="325"/>
      <c r="DG321" s="325"/>
      <c r="DH321" s="325"/>
      <c r="DI321" s="325"/>
      <c r="DJ321" s="325"/>
      <c r="DK321" s="325"/>
      <c r="DL321" s="325"/>
      <c r="DM321" s="325"/>
      <c r="DN321" s="325"/>
      <c r="DO321" s="325"/>
      <c r="DP321" s="325"/>
      <c r="DQ321" s="325"/>
      <c r="DR321" s="325"/>
      <c r="DS321" s="325"/>
      <c r="DT321" s="325"/>
      <c r="DU321" s="325"/>
      <c r="DV321" s="325"/>
      <c r="DW321" s="325"/>
      <c r="DX321" s="325"/>
      <c r="DY321" s="325"/>
      <c r="DZ321" s="325"/>
    </row>
    <row r="322" spans="5:130">
      <c r="E322" s="49"/>
      <c r="F322" s="49"/>
      <c r="G322" s="49"/>
      <c r="H322" s="49" t="s">
        <v>478</v>
      </c>
      <c r="I322" s="49"/>
      <c r="J322" s="49"/>
      <c r="K322" s="49">
        <f>K330</f>
        <v>501.25</v>
      </c>
      <c r="L322" s="49"/>
      <c r="M322" s="49"/>
    </row>
    <row r="323" spans="5:130">
      <c r="E323" s="49"/>
      <c r="F323" s="49"/>
      <c r="G323" s="49"/>
      <c r="H323" s="840" t="s">
        <v>2058</v>
      </c>
      <c r="I323" s="49"/>
      <c r="J323" s="49"/>
      <c r="K323" s="50">
        <f>SUM(K319:K322)</f>
        <v>916</v>
      </c>
      <c r="L323" s="49">
        <f>K323-916</f>
        <v>0</v>
      </c>
      <c r="M323" s="49">
        <f>577-576.75</f>
        <v>0.25</v>
      </c>
    </row>
    <row r="324" spans="5:130" ht="19.5" customHeight="1">
      <c r="E324" s="49"/>
      <c r="F324" s="49"/>
      <c r="G324" s="49"/>
      <c r="H324" s="49"/>
      <c r="I324" s="49"/>
      <c r="J324" s="49"/>
      <c r="K324" s="49"/>
      <c r="L324" s="49"/>
      <c r="M324" s="49"/>
    </row>
    <row r="325" spans="5:130">
      <c r="E325" s="49"/>
      <c r="F325" s="49"/>
      <c r="G325" s="49"/>
      <c r="H325" s="49"/>
      <c r="I325" s="49"/>
      <c r="J325" s="49"/>
      <c r="K325" s="49"/>
      <c r="L325" s="49"/>
      <c r="M325" s="49"/>
    </row>
    <row r="326" spans="5:130">
      <c r="E326" s="49"/>
      <c r="F326" s="49"/>
      <c r="G326" s="49"/>
      <c r="H326" s="848" t="s">
        <v>478</v>
      </c>
      <c r="I326" s="49"/>
      <c r="J326" s="49"/>
      <c r="K326" s="49"/>
      <c r="L326" s="49"/>
      <c r="M326" s="49"/>
    </row>
    <row r="327" spans="5:130">
      <c r="E327" s="49"/>
      <c r="F327" s="49">
        <v>1</v>
      </c>
      <c r="G327" s="49" t="s">
        <v>1034</v>
      </c>
      <c r="H327" s="49" t="s">
        <v>2472</v>
      </c>
      <c r="I327" s="49">
        <f>I36</f>
        <v>783</v>
      </c>
      <c r="J327" s="49" t="s">
        <v>1034</v>
      </c>
      <c r="K327" s="49">
        <f>F327*I327</f>
        <v>783</v>
      </c>
      <c r="L327" s="49"/>
      <c r="M327" s="49"/>
    </row>
    <row r="328" spans="5:130" ht="18.75" customHeight="1">
      <c r="E328" s="49"/>
      <c r="F328" s="49">
        <v>2</v>
      </c>
      <c r="G328" s="49" t="s">
        <v>1034</v>
      </c>
      <c r="H328" s="49" t="s">
        <v>2464</v>
      </c>
      <c r="I328" s="49">
        <f>I309</f>
        <v>611</v>
      </c>
      <c r="J328" s="49" t="s">
        <v>1034</v>
      </c>
      <c r="K328" s="49">
        <f>F328*I328</f>
        <v>1222</v>
      </c>
      <c r="L328" s="49"/>
      <c r="M328" s="49"/>
    </row>
    <row r="329" spans="5:130" ht="18.75" customHeight="1">
      <c r="E329" s="49"/>
      <c r="F329" s="49"/>
      <c r="G329" s="49"/>
      <c r="H329" s="839" t="s">
        <v>2473</v>
      </c>
      <c r="I329" s="49"/>
      <c r="J329" s="49"/>
      <c r="K329" s="847">
        <f>SUM(K327:K328)</f>
        <v>2005</v>
      </c>
      <c r="L329" s="49"/>
      <c r="M329" s="49"/>
    </row>
    <row r="330" spans="5:130" ht="15" customHeight="1">
      <c r="E330" s="49"/>
      <c r="F330" s="49"/>
      <c r="G330" s="49"/>
      <c r="H330" s="840" t="s">
        <v>2295</v>
      </c>
      <c r="I330" s="49"/>
      <c r="J330" s="49"/>
      <c r="K330" s="50">
        <f>K329/4</f>
        <v>501.25</v>
      </c>
      <c r="L330" s="49"/>
      <c r="M330" s="49"/>
    </row>
    <row r="331" spans="5:130" ht="20.25" customHeight="1">
      <c r="E331" s="49"/>
      <c r="F331" s="49"/>
      <c r="G331" s="49"/>
      <c r="H331" s="49"/>
      <c r="I331" s="49"/>
      <c r="J331" s="49"/>
      <c r="K331" s="49"/>
      <c r="L331" s="49"/>
      <c r="M331" s="49"/>
    </row>
    <row r="332" spans="5:130">
      <c r="E332" s="49"/>
      <c r="F332" s="49"/>
      <c r="G332" s="49"/>
      <c r="H332" s="50" t="s">
        <v>2474</v>
      </c>
      <c r="I332" s="49"/>
      <c r="J332" s="49"/>
      <c r="K332" s="49"/>
      <c r="L332" s="49"/>
      <c r="M332" s="49"/>
    </row>
    <row r="333" spans="5:130">
      <c r="E333" s="49"/>
      <c r="F333" s="49"/>
      <c r="G333" s="49"/>
      <c r="H333" s="49"/>
      <c r="I333" s="49"/>
      <c r="J333" s="49"/>
      <c r="K333" s="49"/>
      <c r="L333" s="49"/>
      <c r="M333" s="49"/>
    </row>
    <row r="334" spans="5:130" ht="47.25">
      <c r="E334" s="49"/>
      <c r="F334" s="49"/>
      <c r="G334" s="49"/>
      <c r="H334" s="842" t="s">
        <v>2475</v>
      </c>
      <c r="I334" s="49"/>
      <c r="J334" s="49"/>
      <c r="K334" s="49"/>
      <c r="L334" s="49"/>
      <c r="M334" s="49"/>
    </row>
    <row r="335" spans="5:130">
      <c r="E335" s="49"/>
      <c r="F335" s="49"/>
      <c r="G335" s="49"/>
      <c r="H335" s="49"/>
      <c r="I335" s="49"/>
      <c r="J335" s="49"/>
      <c r="K335" s="49"/>
      <c r="L335" s="49"/>
      <c r="M335" s="49"/>
    </row>
    <row r="336" spans="5:130" ht="63">
      <c r="E336" s="49"/>
      <c r="F336" s="49"/>
      <c r="G336" s="49"/>
      <c r="H336" s="51" t="s">
        <v>2476</v>
      </c>
      <c r="I336" s="49"/>
      <c r="J336" s="49"/>
      <c r="K336" s="49"/>
      <c r="L336" s="49"/>
      <c r="M336" s="49"/>
    </row>
    <row r="337" spans="5:130">
      <c r="E337" s="49"/>
      <c r="F337" s="49"/>
      <c r="G337" s="49"/>
      <c r="H337" s="49"/>
      <c r="I337" s="49"/>
      <c r="J337" s="49"/>
      <c r="K337" s="49"/>
      <c r="L337" s="49"/>
      <c r="M337" s="49"/>
    </row>
    <row r="338" spans="5:130" ht="31.5">
      <c r="E338" s="49"/>
      <c r="F338" s="857">
        <v>1</v>
      </c>
      <c r="G338" s="858" t="s">
        <v>1034</v>
      </c>
      <c r="H338" s="859" t="s">
        <v>2888</v>
      </c>
      <c r="I338" s="862">
        <v>775</v>
      </c>
      <c r="J338" s="858" t="s">
        <v>1034</v>
      </c>
      <c r="K338" s="857">
        <f>F338*I338</f>
        <v>775</v>
      </c>
      <c r="L338" s="857"/>
      <c r="M338" s="857"/>
      <c r="N338" s="830"/>
      <c r="O338" s="830"/>
      <c r="P338" s="830"/>
      <c r="Q338" s="830"/>
      <c r="R338" s="830"/>
      <c r="S338" s="830"/>
      <c r="T338" s="830"/>
      <c r="U338" s="830"/>
      <c r="V338" s="830"/>
      <c r="W338" s="830"/>
      <c r="X338" s="830"/>
      <c r="Y338" s="830"/>
      <c r="Z338" s="830"/>
      <c r="AA338" s="830"/>
      <c r="AB338" s="830"/>
      <c r="AC338" s="830"/>
      <c r="AD338" s="830"/>
      <c r="AE338" s="830"/>
      <c r="AF338" s="830"/>
      <c r="AG338" s="830"/>
      <c r="AH338" s="830"/>
      <c r="AI338" s="830"/>
      <c r="AJ338" s="830"/>
      <c r="AK338" s="830"/>
      <c r="AL338" s="830"/>
      <c r="AM338" s="830"/>
      <c r="AN338" s="830"/>
      <c r="AO338" s="830"/>
      <c r="AP338" s="830"/>
      <c r="AQ338" s="830"/>
      <c r="AR338" s="830"/>
      <c r="AS338" s="830"/>
      <c r="AT338" s="830"/>
      <c r="AU338" s="830"/>
      <c r="AV338" s="830"/>
      <c r="AW338" s="830"/>
      <c r="AX338" s="830"/>
      <c r="AY338" s="830"/>
      <c r="AZ338" s="830"/>
      <c r="BA338" s="830"/>
      <c r="BB338" s="830"/>
      <c r="BC338" s="830"/>
      <c r="BD338" s="830"/>
      <c r="BE338" s="830"/>
      <c r="BF338" s="830"/>
      <c r="BG338" s="830"/>
      <c r="BH338" s="830"/>
      <c r="BI338" s="830"/>
      <c r="BJ338" s="830"/>
      <c r="BK338" s="830"/>
      <c r="BL338" s="830"/>
      <c r="BM338" s="830"/>
      <c r="BN338" s="830"/>
      <c r="BO338" s="830"/>
      <c r="BP338" s="830"/>
      <c r="BQ338" s="830"/>
      <c r="BR338" s="830"/>
      <c r="BS338" s="830"/>
      <c r="BT338" s="830"/>
      <c r="BU338" s="830"/>
      <c r="BV338" s="830"/>
      <c r="BW338" s="830"/>
      <c r="BX338" s="830"/>
      <c r="BY338" s="830"/>
      <c r="BZ338" s="830"/>
      <c r="CA338" s="830"/>
      <c r="CB338" s="830"/>
      <c r="CC338" s="830"/>
      <c r="CD338" s="830"/>
      <c r="CE338" s="830"/>
      <c r="CF338" s="830"/>
      <c r="CG338" s="830"/>
      <c r="CH338" s="830"/>
      <c r="CI338" s="830"/>
      <c r="CJ338" s="830"/>
      <c r="CK338" s="830"/>
      <c r="CL338" s="830"/>
      <c r="CM338" s="830"/>
      <c r="CN338" s="830"/>
      <c r="CO338" s="830"/>
      <c r="CP338" s="830"/>
      <c r="CQ338" s="830"/>
      <c r="CR338" s="830"/>
      <c r="CS338" s="830"/>
      <c r="CT338" s="830"/>
      <c r="CU338" s="830"/>
      <c r="CV338" s="830"/>
      <c r="CW338" s="830"/>
      <c r="CX338" s="830"/>
      <c r="CY338" s="830"/>
      <c r="CZ338" s="830"/>
      <c r="DA338" s="830"/>
      <c r="DB338" s="830"/>
      <c r="DC338" s="830"/>
      <c r="DD338" s="830"/>
      <c r="DE338" s="830"/>
      <c r="DF338" s="830"/>
      <c r="DG338" s="830"/>
      <c r="DH338" s="830"/>
      <c r="DI338" s="830"/>
      <c r="DJ338" s="830"/>
      <c r="DK338" s="830"/>
      <c r="DL338" s="830"/>
      <c r="DM338" s="830"/>
      <c r="DN338" s="830"/>
      <c r="DO338" s="830"/>
      <c r="DP338" s="830"/>
      <c r="DQ338" s="830"/>
      <c r="DR338" s="830"/>
      <c r="DS338" s="830"/>
      <c r="DT338" s="830"/>
      <c r="DU338" s="830"/>
      <c r="DV338" s="830"/>
      <c r="DW338" s="830"/>
      <c r="DX338" s="830"/>
      <c r="DY338" s="830"/>
      <c r="DZ338" s="830"/>
    </row>
    <row r="339" spans="5:130" s="830" customFormat="1" ht="39.75" customHeight="1">
      <c r="E339" s="857"/>
      <c r="F339" s="857">
        <v>1</v>
      </c>
      <c r="G339" s="858" t="s">
        <v>1034</v>
      </c>
      <c r="H339" s="864" t="s">
        <v>2478</v>
      </c>
      <c r="I339" s="857">
        <f>I320</f>
        <v>60.5</v>
      </c>
      <c r="J339" s="858" t="s">
        <v>1034</v>
      </c>
      <c r="K339" s="857">
        <f>F339*I339</f>
        <v>60.5</v>
      </c>
      <c r="L339" s="857"/>
      <c r="M339" s="857"/>
    </row>
    <row r="340" spans="5:130" s="830" customFormat="1" ht="39" customHeight="1">
      <c r="E340" s="857"/>
      <c r="F340" s="49"/>
      <c r="G340" s="49"/>
      <c r="H340" s="51" t="s">
        <v>2471</v>
      </c>
      <c r="I340" s="49"/>
      <c r="J340" s="49"/>
      <c r="K340" s="49">
        <v>8.85</v>
      </c>
      <c r="L340" s="49"/>
      <c r="M340" s="49"/>
      <c r="N340" s="325"/>
      <c r="O340" s="325"/>
      <c r="P340" s="325"/>
      <c r="Q340" s="325"/>
      <c r="R340" s="325"/>
      <c r="S340" s="325"/>
      <c r="T340" s="325"/>
      <c r="U340" s="325"/>
      <c r="V340" s="325"/>
      <c r="W340" s="325"/>
      <c r="X340" s="325"/>
      <c r="Y340" s="325"/>
      <c r="Z340" s="325"/>
      <c r="AA340" s="325"/>
      <c r="AB340" s="325"/>
      <c r="AC340" s="325"/>
      <c r="AD340" s="325"/>
      <c r="AE340" s="325"/>
      <c r="AF340" s="325"/>
      <c r="AG340" s="325"/>
      <c r="AH340" s="325"/>
      <c r="AI340" s="325"/>
      <c r="AJ340" s="325"/>
      <c r="AK340" s="325"/>
      <c r="AL340" s="325"/>
      <c r="AM340" s="325"/>
      <c r="AN340" s="325"/>
      <c r="AO340" s="325"/>
      <c r="AP340" s="325"/>
      <c r="AQ340" s="325"/>
      <c r="AR340" s="325"/>
      <c r="AS340" s="325"/>
      <c r="AT340" s="325"/>
      <c r="AU340" s="325"/>
      <c r="AV340" s="325"/>
      <c r="AW340" s="325"/>
      <c r="AX340" s="325"/>
      <c r="AY340" s="325"/>
      <c r="AZ340" s="325"/>
      <c r="BA340" s="325"/>
      <c r="BB340" s="325"/>
      <c r="BC340" s="325"/>
      <c r="BD340" s="325"/>
      <c r="BE340" s="325"/>
      <c r="BF340" s="325"/>
      <c r="BG340" s="325"/>
      <c r="BH340" s="325"/>
      <c r="BI340" s="325"/>
      <c r="BJ340" s="325"/>
      <c r="BK340" s="325"/>
      <c r="BL340" s="325"/>
      <c r="BM340" s="325"/>
      <c r="BN340" s="325"/>
      <c r="BO340" s="325"/>
      <c r="BP340" s="325"/>
      <c r="BQ340" s="325"/>
      <c r="BR340" s="325"/>
      <c r="BS340" s="325"/>
      <c r="BT340" s="325"/>
      <c r="BU340" s="325"/>
      <c r="BV340" s="325"/>
      <c r="BW340" s="325"/>
      <c r="BX340" s="325"/>
      <c r="BY340" s="325"/>
      <c r="BZ340" s="325"/>
      <c r="CA340" s="325"/>
      <c r="CB340" s="325"/>
      <c r="CC340" s="325"/>
      <c r="CD340" s="325"/>
      <c r="CE340" s="325"/>
      <c r="CF340" s="325"/>
      <c r="CG340" s="325"/>
      <c r="CH340" s="325"/>
      <c r="CI340" s="325"/>
      <c r="CJ340" s="325"/>
      <c r="CK340" s="325"/>
      <c r="CL340" s="325"/>
      <c r="CM340" s="325"/>
      <c r="CN340" s="325"/>
      <c r="CO340" s="325"/>
      <c r="CP340" s="325"/>
      <c r="CQ340" s="325"/>
      <c r="CR340" s="325"/>
      <c r="CS340" s="325"/>
      <c r="CT340" s="325"/>
      <c r="CU340" s="325"/>
      <c r="CV340" s="325"/>
      <c r="CW340" s="325"/>
      <c r="CX340" s="325"/>
      <c r="CY340" s="325"/>
      <c r="CZ340" s="325"/>
      <c r="DA340" s="325"/>
      <c r="DB340" s="325"/>
      <c r="DC340" s="325"/>
      <c r="DD340" s="325"/>
      <c r="DE340" s="325"/>
      <c r="DF340" s="325"/>
      <c r="DG340" s="325"/>
      <c r="DH340" s="325"/>
      <c r="DI340" s="325"/>
      <c r="DJ340" s="325"/>
      <c r="DK340" s="325"/>
      <c r="DL340" s="325"/>
      <c r="DM340" s="325"/>
      <c r="DN340" s="325"/>
      <c r="DO340" s="325"/>
      <c r="DP340" s="325"/>
      <c r="DQ340" s="325"/>
      <c r="DR340" s="325"/>
      <c r="DS340" s="325"/>
      <c r="DT340" s="325"/>
      <c r="DU340" s="325"/>
      <c r="DV340" s="325"/>
      <c r="DW340" s="325"/>
      <c r="DX340" s="325"/>
      <c r="DY340" s="325"/>
      <c r="DZ340" s="325"/>
    </row>
    <row r="341" spans="5:130" ht="42.75" customHeight="1">
      <c r="E341" s="49"/>
      <c r="F341" s="49"/>
      <c r="G341" s="49"/>
      <c r="H341" s="49" t="s">
        <v>478</v>
      </c>
      <c r="I341" s="49"/>
      <c r="J341" s="49"/>
      <c r="K341" s="49">
        <f>K330</f>
        <v>501.25</v>
      </c>
      <c r="L341" s="49"/>
      <c r="M341" s="49"/>
    </row>
    <row r="342" spans="5:130" ht="20.100000000000001" customHeight="1">
      <c r="E342" s="49"/>
      <c r="F342" s="49"/>
      <c r="G342" s="49"/>
      <c r="H342" s="840" t="s">
        <v>2058</v>
      </c>
      <c r="I342" s="49"/>
      <c r="J342" s="49"/>
      <c r="K342" s="50">
        <f>SUM(K338:K341)</f>
        <v>1345.6</v>
      </c>
      <c r="L342" s="49"/>
      <c r="M342" s="49">
        <f>K342-1345</f>
        <v>0.6</v>
      </c>
    </row>
    <row r="343" spans="5:130" ht="30" customHeight="1">
      <c r="E343" s="49"/>
      <c r="F343" s="49"/>
      <c r="G343" s="49"/>
      <c r="H343" s="49"/>
      <c r="I343" s="49"/>
      <c r="J343" s="49"/>
      <c r="K343" s="49"/>
      <c r="L343" s="49"/>
      <c r="M343" s="49"/>
    </row>
    <row r="344" spans="5:130">
      <c r="E344" s="49"/>
      <c r="F344" s="49"/>
      <c r="G344" s="49"/>
      <c r="H344" s="49"/>
      <c r="I344" s="49"/>
      <c r="J344" s="49"/>
      <c r="K344" s="49"/>
      <c r="L344" s="49"/>
      <c r="M344" s="49"/>
    </row>
    <row r="345" spans="5:130">
      <c r="E345" s="49"/>
      <c r="F345" s="49"/>
      <c r="G345" s="49"/>
      <c r="H345" s="50" t="s">
        <v>2479</v>
      </c>
      <c r="I345" s="49"/>
      <c r="J345" s="49"/>
      <c r="K345" s="49"/>
      <c r="L345" s="49"/>
      <c r="M345" s="49"/>
    </row>
    <row r="346" spans="5:130" ht="20.100000000000001" customHeight="1">
      <c r="E346" s="49"/>
      <c r="F346" s="49"/>
      <c r="G346" s="49"/>
      <c r="H346" s="49"/>
      <c r="I346" s="49"/>
      <c r="J346" s="49"/>
      <c r="K346" s="49"/>
      <c r="L346" s="49"/>
      <c r="M346" s="49"/>
    </row>
    <row r="347" spans="5:130" ht="47.25">
      <c r="E347" s="49"/>
      <c r="F347" s="49"/>
      <c r="G347" s="49"/>
      <c r="H347" s="51" t="s">
        <v>2480</v>
      </c>
      <c r="I347" s="49"/>
      <c r="J347" s="49"/>
      <c r="K347" s="49"/>
      <c r="L347" s="49"/>
      <c r="M347" s="49"/>
    </row>
    <row r="348" spans="5:130" ht="58.5" customHeight="1">
      <c r="E348" s="49"/>
      <c r="F348" s="49"/>
      <c r="G348" s="49"/>
      <c r="H348" s="49"/>
      <c r="I348" s="49"/>
      <c r="J348" s="49"/>
      <c r="K348" s="49"/>
      <c r="L348" s="49"/>
      <c r="M348" s="49"/>
    </row>
    <row r="349" spans="5:130" ht="31.5">
      <c r="E349" s="49"/>
      <c r="F349" s="49">
        <v>1</v>
      </c>
      <c r="G349" s="49" t="s">
        <v>1034</v>
      </c>
      <c r="H349" s="51" t="s">
        <v>2889</v>
      </c>
      <c r="I349" s="844">
        <v>462</v>
      </c>
      <c r="J349" s="49" t="s">
        <v>1034</v>
      </c>
      <c r="K349" s="49">
        <f>F349*I349</f>
        <v>462</v>
      </c>
      <c r="L349" s="49"/>
      <c r="M349" s="49"/>
    </row>
    <row r="350" spans="5:130" ht="40.5" customHeight="1">
      <c r="E350" s="49"/>
      <c r="F350" s="49">
        <v>1</v>
      </c>
      <c r="G350" s="49" t="s">
        <v>1034</v>
      </c>
      <c r="H350" s="49" t="s">
        <v>2890</v>
      </c>
      <c r="I350" s="49">
        <f>I339</f>
        <v>60.5</v>
      </c>
      <c r="J350" s="49" t="s">
        <v>1034</v>
      </c>
      <c r="K350" s="49">
        <f>F350*I350</f>
        <v>60.5</v>
      </c>
      <c r="L350" s="49"/>
      <c r="M350" s="49"/>
    </row>
    <row r="351" spans="5:130" ht="20.100000000000001" customHeight="1">
      <c r="E351" s="49"/>
      <c r="F351" s="49"/>
      <c r="G351" s="49"/>
      <c r="H351" s="49" t="s">
        <v>1557</v>
      </c>
      <c r="I351" s="49"/>
      <c r="J351" s="49"/>
      <c r="K351" s="49">
        <v>11.85</v>
      </c>
      <c r="L351" s="49"/>
      <c r="M351" s="49"/>
    </row>
    <row r="352" spans="5:130" ht="20.100000000000001" customHeight="1">
      <c r="E352" s="49"/>
      <c r="F352" s="49"/>
      <c r="G352" s="49"/>
      <c r="H352" s="49" t="s">
        <v>2483</v>
      </c>
      <c r="I352" s="49"/>
      <c r="J352" s="49"/>
      <c r="K352" s="49">
        <f>K330</f>
        <v>501.25</v>
      </c>
      <c r="L352" s="49"/>
      <c r="M352" s="49"/>
    </row>
    <row r="353" spans="5:13" ht="19.5" customHeight="1">
      <c r="E353" s="49"/>
      <c r="F353" s="49"/>
      <c r="G353" s="49"/>
      <c r="H353" s="840" t="s">
        <v>2400</v>
      </c>
      <c r="I353" s="49"/>
      <c r="J353" s="49"/>
      <c r="K353" s="50">
        <f>SUM(K349:K352)</f>
        <v>1035.5999999999999</v>
      </c>
      <c r="L353" s="49">
        <f>K353-1035</f>
        <v>0.6</v>
      </c>
      <c r="M353" s="49">
        <f>917-K353</f>
        <v>-118.6</v>
      </c>
    </row>
    <row r="354" spans="5:13" ht="30" customHeight="1">
      <c r="E354" s="49"/>
      <c r="F354" s="49"/>
      <c r="G354" s="49"/>
      <c r="H354" s="49"/>
      <c r="I354" s="49"/>
      <c r="J354" s="49"/>
      <c r="K354" s="49"/>
      <c r="L354" s="49"/>
      <c r="M354" s="49"/>
    </row>
    <row r="355" spans="5:13">
      <c r="E355" s="49"/>
      <c r="F355" s="49"/>
      <c r="G355" s="49"/>
      <c r="H355" s="50" t="s">
        <v>2474</v>
      </c>
      <c r="I355" s="49"/>
      <c r="J355" s="49"/>
      <c r="K355" s="49"/>
      <c r="L355" s="49"/>
      <c r="M355" s="49"/>
    </row>
    <row r="356" spans="5:13" ht="20.100000000000001" customHeight="1">
      <c r="E356" s="49"/>
      <c r="F356" s="49"/>
      <c r="G356" s="49"/>
      <c r="H356" s="49"/>
      <c r="I356" s="49"/>
      <c r="J356" s="49"/>
      <c r="K356" s="49"/>
      <c r="L356" s="49"/>
      <c r="M356" s="49"/>
    </row>
    <row r="357" spans="5:13" ht="28.5" customHeight="1">
      <c r="E357" s="49"/>
      <c r="F357" s="49"/>
      <c r="G357" s="49"/>
      <c r="H357" s="842" t="s">
        <v>2484</v>
      </c>
      <c r="I357" s="49"/>
      <c r="J357" s="49"/>
      <c r="K357" s="49"/>
      <c r="L357" s="49"/>
      <c r="M357" s="49"/>
    </row>
    <row r="358" spans="5:13" ht="52.5" customHeight="1">
      <c r="E358" s="49"/>
      <c r="F358" s="49"/>
      <c r="G358" s="49"/>
      <c r="H358" s="49"/>
      <c r="I358" s="49"/>
      <c r="J358" s="49"/>
      <c r="K358" s="49"/>
      <c r="L358" s="49"/>
      <c r="M358" s="49"/>
    </row>
    <row r="359" spans="5:13" ht="63">
      <c r="E359" s="49"/>
      <c r="F359" s="49"/>
      <c r="G359" s="49"/>
      <c r="H359" s="51" t="s">
        <v>2485</v>
      </c>
      <c r="I359" s="49"/>
      <c r="J359" s="49"/>
      <c r="K359" s="49"/>
      <c r="L359" s="49"/>
      <c r="M359" s="49"/>
    </row>
    <row r="360" spans="5:13" ht="88.5" customHeight="1">
      <c r="E360" s="49"/>
      <c r="F360" s="49">
        <v>1</v>
      </c>
      <c r="G360" s="49" t="s">
        <v>1034</v>
      </c>
      <c r="H360" s="865" t="s">
        <v>2891</v>
      </c>
      <c r="I360" s="843">
        <v>881</v>
      </c>
      <c r="J360" s="49" t="s">
        <v>1034</v>
      </c>
      <c r="K360" s="49">
        <f>F360*I360</f>
        <v>881</v>
      </c>
      <c r="L360" s="49"/>
      <c r="M360" s="49"/>
    </row>
    <row r="361" spans="5:13" ht="38.25" customHeight="1">
      <c r="E361" s="49"/>
      <c r="F361" s="49">
        <v>1</v>
      </c>
      <c r="G361" s="49" t="s">
        <v>1034</v>
      </c>
      <c r="H361" s="51" t="s">
        <v>2892</v>
      </c>
      <c r="I361" s="49">
        <v>159.69999999999999</v>
      </c>
      <c r="J361" s="49" t="s">
        <v>1034</v>
      </c>
      <c r="K361" s="49">
        <f>F361*I361</f>
        <v>159.69999999999999</v>
      </c>
      <c r="L361" s="49"/>
      <c r="M361" s="49"/>
    </row>
    <row r="362" spans="5:13" ht="40.5" customHeight="1">
      <c r="E362" s="49"/>
      <c r="F362" s="49"/>
      <c r="G362" s="49"/>
      <c r="H362" s="51" t="s">
        <v>2488</v>
      </c>
      <c r="I362" s="49"/>
      <c r="J362" s="49"/>
      <c r="K362" s="49">
        <v>13.97</v>
      </c>
      <c r="L362" s="49"/>
      <c r="M362" s="49"/>
    </row>
    <row r="363" spans="5:13" ht="38.25" customHeight="1">
      <c r="E363" s="49"/>
      <c r="F363" s="49"/>
      <c r="G363" s="49"/>
      <c r="H363" s="49" t="s">
        <v>478</v>
      </c>
      <c r="I363" s="49"/>
      <c r="J363" s="49"/>
      <c r="K363" s="49">
        <f>K370</f>
        <v>668.33</v>
      </c>
      <c r="L363" s="49"/>
      <c r="M363" s="49"/>
    </row>
    <row r="364" spans="5:13" ht="23.25" customHeight="1">
      <c r="E364" s="49"/>
      <c r="F364" s="49"/>
      <c r="G364" s="49"/>
      <c r="H364" s="840" t="s">
        <v>2400</v>
      </c>
      <c r="I364" s="49"/>
      <c r="J364" s="49"/>
      <c r="K364" s="50">
        <f>SUM(K360:K363)</f>
        <v>1723</v>
      </c>
      <c r="L364" s="49">
        <f>1723-K364</f>
        <v>0</v>
      </c>
      <c r="M364" s="49">
        <f>K364-1003</f>
        <v>720</v>
      </c>
    </row>
    <row r="365" spans="5:13" ht="30" customHeight="1">
      <c r="E365" s="49"/>
      <c r="F365" s="49"/>
      <c r="G365" s="49"/>
      <c r="H365" s="49"/>
      <c r="I365" s="49"/>
      <c r="J365" s="49"/>
      <c r="K365" s="49"/>
      <c r="L365" s="49"/>
      <c r="M365" s="49"/>
    </row>
    <row r="366" spans="5:13">
      <c r="E366" s="49"/>
      <c r="F366" s="49"/>
      <c r="G366" s="49"/>
      <c r="H366" s="847" t="s">
        <v>478</v>
      </c>
      <c r="I366" s="49"/>
      <c r="J366" s="49"/>
      <c r="K366" s="49"/>
      <c r="L366" s="49"/>
      <c r="M366" s="49"/>
    </row>
    <row r="367" spans="5:13" ht="20.100000000000001" customHeight="1">
      <c r="E367" s="49"/>
      <c r="F367" s="49">
        <v>1</v>
      </c>
      <c r="G367" s="49" t="s">
        <v>1034</v>
      </c>
      <c r="H367" s="49" t="s">
        <v>2489</v>
      </c>
      <c r="I367" s="49">
        <f>I327</f>
        <v>783</v>
      </c>
      <c r="J367" s="49" t="s">
        <v>1034</v>
      </c>
      <c r="K367" s="49">
        <f>F367*I367</f>
        <v>783</v>
      </c>
      <c r="L367" s="49"/>
      <c r="M367" s="49"/>
    </row>
    <row r="368" spans="5:13">
      <c r="E368" s="49"/>
      <c r="F368" s="49">
        <v>2</v>
      </c>
      <c r="G368" s="49" t="s">
        <v>1034</v>
      </c>
      <c r="H368" s="49" t="s">
        <v>2236</v>
      </c>
      <c r="I368" s="49">
        <f>I328</f>
        <v>611</v>
      </c>
      <c r="J368" s="49" t="s">
        <v>1034</v>
      </c>
      <c r="K368" s="49">
        <f>F368*I368</f>
        <v>1222</v>
      </c>
      <c r="L368" s="49"/>
      <c r="M368" s="49"/>
    </row>
    <row r="369" spans="5:13">
      <c r="E369" s="49"/>
      <c r="F369" s="49"/>
      <c r="G369" s="49"/>
      <c r="H369" s="839" t="s">
        <v>2238</v>
      </c>
      <c r="I369" s="49"/>
      <c r="J369" s="49"/>
      <c r="K369" s="49">
        <f>SUM(K367:K368)</f>
        <v>2005</v>
      </c>
      <c r="L369" s="49"/>
      <c r="M369" s="49"/>
    </row>
    <row r="370" spans="5:13" ht="20.100000000000001" customHeight="1">
      <c r="E370" s="49"/>
      <c r="F370" s="49"/>
      <c r="G370" s="49"/>
      <c r="H370" s="840" t="s">
        <v>2058</v>
      </c>
      <c r="I370" s="49"/>
      <c r="J370" s="49"/>
      <c r="K370" s="50">
        <f>K369/3</f>
        <v>668.33</v>
      </c>
      <c r="L370" s="49"/>
      <c r="M370" s="49"/>
    </row>
    <row r="371" spans="5:13" ht="20.100000000000001" customHeight="1">
      <c r="E371" s="49"/>
      <c r="F371" s="49"/>
      <c r="G371" s="49"/>
      <c r="H371" s="49"/>
      <c r="I371" s="49"/>
      <c r="J371" s="49"/>
      <c r="K371" s="49"/>
      <c r="L371" s="49"/>
      <c r="M371" s="49"/>
    </row>
    <row r="372" spans="5:13">
      <c r="E372" s="49"/>
      <c r="F372" s="49"/>
      <c r="G372" s="49"/>
      <c r="H372" s="50" t="s">
        <v>2490</v>
      </c>
      <c r="I372" s="49"/>
      <c r="J372" s="49"/>
      <c r="K372" s="49"/>
      <c r="L372" s="49"/>
      <c r="M372" s="49"/>
    </row>
    <row r="373" spans="5:13" ht="30" customHeight="1">
      <c r="E373" s="49"/>
      <c r="F373" s="49"/>
      <c r="G373" s="49"/>
      <c r="H373" s="49"/>
      <c r="I373" s="49"/>
      <c r="J373" s="49"/>
      <c r="K373" s="49"/>
      <c r="L373" s="49"/>
      <c r="M373" s="49"/>
    </row>
    <row r="374" spans="5:13" ht="63">
      <c r="E374" s="49"/>
      <c r="F374" s="49"/>
      <c r="G374" s="49"/>
      <c r="H374" s="842" t="s">
        <v>2893</v>
      </c>
      <c r="I374" s="49"/>
      <c r="J374" s="49"/>
      <c r="K374" s="49"/>
      <c r="L374" s="49"/>
      <c r="M374" s="49"/>
    </row>
    <row r="375" spans="5:13" ht="91.5" customHeight="1">
      <c r="E375" s="49"/>
      <c r="F375" s="49">
        <v>1</v>
      </c>
      <c r="G375" s="49" t="s">
        <v>1034</v>
      </c>
      <c r="H375" s="51" t="s">
        <v>2894</v>
      </c>
      <c r="I375" s="52">
        <v>1315</v>
      </c>
      <c r="J375" s="49" t="s">
        <v>1034</v>
      </c>
      <c r="K375" s="49">
        <f>F375*I375</f>
        <v>1315</v>
      </c>
      <c r="L375" s="49"/>
      <c r="M375" s="49"/>
    </row>
    <row r="376" spans="5:13" ht="30" customHeight="1">
      <c r="E376" s="49"/>
      <c r="F376" s="49">
        <v>1</v>
      </c>
      <c r="G376" s="49" t="s">
        <v>1034</v>
      </c>
      <c r="H376" s="51" t="s">
        <v>2892</v>
      </c>
      <c r="I376" s="49">
        <f>I361</f>
        <v>159.69999999999999</v>
      </c>
      <c r="J376" s="49" t="s">
        <v>1034</v>
      </c>
      <c r="K376" s="49">
        <f>F376*I376</f>
        <v>159.69999999999999</v>
      </c>
      <c r="L376" s="49"/>
      <c r="M376" s="49"/>
    </row>
    <row r="377" spans="5:13" ht="43.5" customHeight="1">
      <c r="E377" s="49"/>
      <c r="F377" s="49"/>
      <c r="G377" s="49"/>
      <c r="H377" s="51" t="s">
        <v>2488</v>
      </c>
      <c r="I377" s="49"/>
      <c r="J377" s="49"/>
      <c r="K377" s="49">
        <v>14</v>
      </c>
      <c r="L377" s="49"/>
      <c r="M377" s="49"/>
    </row>
    <row r="378" spans="5:13" ht="41.25" customHeight="1">
      <c r="E378" s="49"/>
      <c r="F378" s="49"/>
      <c r="G378" s="49"/>
      <c r="H378" s="49" t="s">
        <v>478</v>
      </c>
      <c r="I378" s="49"/>
      <c r="J378" s="49"/>
      <c r="K378" s="49">
        <f>K370</f>
        <v>668.33</v>
      </c>
      <c r="L378" s="49"/>
      <c r="M378" s="49"/>
    </row>
    <row r="379" spans="5:13" ht="30" customHeight="1">
      <c r="E379" s="49"/>
      <c r="F379" s="49"/>
      <c r="G379" s="49"/>
      <c r="H379" s="840" t="s">
        <v>2400</v>
      </c>
      <c r="I379" s="49"/>
      <c r="J379" s="49"/>
      <c r="K379" s="50">
        <f>SUM(K375:K378)</f>
        <v>2157.0300000000002</v>
      </c>
      <c r="L379" s="49">
        <f>2083.7-K379</f>
        <v>-73.33</v>
      </c>
      <c r="M379" s="49">
        <f>1322-K379</f>
        <v>-835.03</v>
      </c>
    </row>
    <row r="380" spans="5:13" ht="30" customHeight="1">
      <c r="E380" s="49"/>
      <c r="F380" s="49"/>
      <c r="G380" s="49"/>
      <c r="H380" s="49"/>
      <c r="I380" s="49"/>
      <c r="J380" s="49"/>
      <c r="K380" s="49"/>
      <c r="L380" s="49"/>
      <c r="M380" s="49"/>
    </row>
    <row r="381" spans="5:13">
      <c r="E381" s="49"/>
      <c r="F381" s="49"/>
      <c r="G381" s="49"/>
      <c r="H381" s="50" t="s">
        <v>2493</v>
      </c>
      <c r="I381" s="49"/>
      <c r="J381" s="49"/>
      <c r="K381" s="49"/>
      <c r="L381" s="49"/>
      <c r="M381" s="49"/>
    </row>
    <row r="382" spans="5:13" ht="30" customHeight="1">
      <c r="E382" s="49"/>
      <c r="F382" s="49"/>
      <c r="G382" s="49"/>
      <c r="H382" s="49"/>
      <c r="I382" s="49"/>
      <c r="J382" s="49"/>
      <c r="K382" s="49"/>
      <c r="L382" s="49"/>
      <c r="M382" s="49"/>
    </row>
    <row r="383" spans="5:13" ht="30.75" customHeight="1">
      <c r="E383" s="49"/>
      <c r="F383" s="49"/>
      <c r="G383" s="49"/>
      <c r="H383" s="842" t="s">
        <v>2494</v>
      </c>
      <c r="I383" s="49"/>
      <c r="J383" s="49"/>
      <c r="K383" s="49"/>
      <c r="L383" s="49"/>
      <c r="M383" s="49"/>
    </row>
    <row r="384" spans="5:13" ht="74.25" customHeight="1">
      <c r="E384" s="49"/>
      <c r="F384" s="49"/>
      <c r="G384" s="49"/>
      <c r="H384" s="51" t="s">
        <v>2495</v>
      </c>
      <c r="I384" s="49"/>
      <c r="J384" s="49"/>
      <c r="K384" s="49"/>
      <c r="L384" s="49"/>
      <c r="M384" s="49"/>
    </row>
    <row r="385" spans="5:14" ht="95.25" customHeight="1">
      <c r="E385" s="49"/>
      <c r="F385" s="49"/>
      <c r="G385" s="49"/>
      <c r="H385" s="49"/>
      <c r="I385" s="49"/>
      <c r="J385" s="49"/>
      <c r="K385" s="49"/>
      <c r="L385" s="49"/>
      <c r="M385" s="49"/>
    </row>
    <row r="386" spans="5:14" ht="31.5">
      <c r="E386" s="49"/>
      <c r="F386" s="49">
        <v>1</v>
      </c>
      <c r="G386" s="49" t="s">
        <v>1034</v>
      </c>
      <c r="H386" s="51" t="s">
        <v>2895</v>
      </c>
      <c r="I386" s="844">
        <v>2311</v>
      </c>
      <c r="J386" s="49" t="s">
        <v>1034</v>
      </c>
      <c r="K386" s="49">
        <f>F386*I386</f>
        <v>2311</v>
      </c>
      <c r="L386" s="49"/>
      <c r="M386" s="49"/>
    </row>
    <row r="387" spans="5:14" ht="45" customHeight="1">
      <c r="E387" s="49"/>
      <c r="F387" s="49">
        <v>1</v>
      </c>
      <c r="G387" s="49" t="s">
        <v>1034</v>
      </c>
      <c r="H387" s="49" t="s">
        <v>2497</v>
      </c>
      <c r="I387" s="49">
        <f>K391</f>
        <v>422.33</v>
      </c>
      <c r="J387" s="49" t="s">
        <v>1034</v>
      </c>
      <c r="K387" s="49">
        <f>F387*I387</f>
        <v>422.33</v>
      </c>
      <c r="L387" s="49"/>
      <c r="M387" s="49"/>
    </row>
    <row r="388" spans="5:14" ht="30" customHeight="1">
      <c r="E388" s="49"/>
      <c r="F388" s="49"/>
      <c r="G388" s="49"/>
      <c r="H388" s="51" t="s">
        <v>2498</v>
      </c>
      <c r="I388" s="49"/>
      <c r="J388" s="49"/>
      <c r="K388" s="49">
        <v>28.34</v>
      </c>
      <c r="L388" s="49"/>
      <c r="M388" s="49"/>
    </row>
    <row r="389" spans="5:14" ht="44.25" customHeight="1">
      <c r="E389" s="49"/>
      <c r="F389" s="49"/>
      <c r="G389" s="49"/>
      <c r="H389" s="49" t="s">
        <v>478</v>
      </c>
      <c r="I389" s="49"/>
      <c r="J389" s="49"/>
      <c r="K389" s="49">
        <f>K370</f>
        <v>668.33</v>
      </c>
      <c r="L389" s="49"/>
      <c r="M389" s="49"/>
    </row>
    <row r="390" spans="5:14" ht="30" customHeight="1">
      <c r="E390" s="49"/>
      <c r="F390" s="49"/>
      <c r="G390" s="49"/>
      <c r="H390" s="840" t="s">
        <v>2400</v>
      </c>
      <c r="I390" s="49"/>
      <c r="J390" s="49"/>
      <c r="K390" s="50">
        <f>SUM(K386:K389)</f>
        <v>3430</v>
      </c>
      <c r="L390" s="49">
        <f>3343-K390</f>
        <v>-87</v>
      </c>
      <c r="M390" s="49">
        <f>3533-K390</f>
        <v>103</v>
      </c>
    </row>
    <row r="391" spans="5:14" ht="30" customHeight="1">
      <c r="E391" s="49"/>
      <c r="F391" s="49"/>
      <c r="G391" s="49"/>
      <c r="H391" s="51" t="s">
        <v>2896</v>
      </c>
      <c r="I391" s="844">
        <f>N391</f>
        <v>104280</v>
      </c>
      <c r="J391" s="866">
        <f>0.75*0.45*0.012</f>
        <v>4.0499999999999998E-3</v>
      </c>
      <c r="K391" s="49">
        <f>J391*I391</f>
        <v>422.33</v>
      </c>
      <c r="L391" s="49"/>
      <c r="M391" s="49"/>
      <c r="N391" s="325">
        <f>12980+91300</f>
        <v>104280</v>
      </c>
    </row>
    <row r="392" spans="5:14" ht="42.75" customHeight="1">
      <c r="E392" s="49"/>
      <c r="F392" s="49"/>
      <c r="G392" s="49"/>
      <c r="H392" s="50" t="s">
        <v>2500</v>
      </c>
      <c r="I392" s="49"/>
      <c r="J392" s="49"/>
      <c r="K392" s="49"/>
      <c r="L392" s="49"/>
      <c r="M392" s="49"/>
    </row>
    <row r="393" spans="5:14" ht="30" customHeight="1">
      <c r="E393" s="49"/>
      <c r="F393" s="49"/>
      <c r="G393" s="49"/>
      <c r="H393" s="49"/>
      <c r="I393" s="49"/>
      <c r="J393" s="49"/>
      <c r="K393" s="49"/>
      <c r="L393" s="49"/>
      <c r="M393" s="49"/>
    </row>
    <row r="394" spans="5:14" ht="63">
      <c r="E394" s="49"/>
      <c r="F394" s="49"/>
      <c r="G394" s="49"/>
      <c r="H394" s="842" t="s">
        <v>2501</v>
      </c>
      <c r="I394" s="49"/>
      <c r="J394" s="49"/>
      <c r="K394" s="49"/>
      <c r="L394" s="49"/>
      <c r="M394" s="49"/>
    </row>
    <row r="395" spans="5:14" ht="92.25" customHeight="1">
      <c r="E395" s="49"/>
      <c r="F395" s="49"/>
      <c r="G395" s="49"/>
      <c r="H395" s="49"/>
      <c r="I395" s="49"/>
      <c r="J395" s="49"/>
      <c r="K395" s="49"/>
      <c r="L395" s="49"/>
      <c r="M395" s="49"/>
    </row>
    <row r="396" spans="5:14">
      <c r="E396" s="49"/>
      <c r="F396" s="49"/>
      <c r="G396" s="49"/>
      <c r="H396" s="49" t="s">
        <v>2502</v>
      </c>
      <c r="I396" s="49"/>
      <c r="J396" s="49"/>
      <c r="K396" s="49"/>
      <c r="L396" s="49"/>
      <c r="M396" s="49"/>
    </row>
    <row r="397" spans="5:14" ht="30" customHeight="1">
      <c r="E397" s="49"/>
      <c r="F397" s="49"/>
      <c r="G397" s="49"/>
      <c r="H397" s="49"/>
      <c r="I397" s="49"/>
      <c r="J397" s="49"/>
      <c r="K397" s="49"/>
      <c r="L397" s="49"/>
      <c r="M397" s="49"/>
    </row>
    <row r="398" spans="5:14">
      <c r="E398" s="49"/>
      <c r="F398" s="49"/>
      <c r="G398" s="49"/>
      <c r="H398" s="49" t="s">
        <v>2503</v>
      </c>
      <c r="I398" s="49"/>
      <c r="J398" s="49"/>
      <c r="K398" s="49">
        <f>K390</f>
        <v>3430</v>
      </c>
      <c r="L398" s="49"/>
      <c r="M398" s="49"/>
    </row>
    <row r="399" spans="5:14" ht="30" customHeight="1">
      <c r="E399" s="49"/>
      <c r="F399" s="49">
        <v>1</v>
      </c>
      <c r="G399" s="49" t="s">
        <v>1034</v>
      </c>
      <c r="H399" s="49" t="s">
        <v>2897</v>
      </c>
      <c r="I399" s="844">
        <v>3093</v>
      </c>
      <c r="J399" s="49" t="s">
        <v>1034</v>
      </c>
      <c r="K399" s="49">
        <f>F399*I399</f>
        <v>3093</v>
      </c>
      <c r="L399" s="49"/>
      <c r="M399" s="49"/>
    </row>
    <row r="400" spans="5:14" ht="30" customHeight="1">
      <c r="E400" s="49"/>
      <c r="F400" s="49">
        <v>1</v>
      </c>
      <c r="G400" s="49" t="s">
        <v>1034</v>
      </c>
      <c r="H400" s="49" t="s">
        <v>2898</v>
      </c>
      <c r="I400" s="49">
        <f>I386</f>
        <v>2311</v>
      </c>
      <c r="J400" s="49" t="s">
        <v>1034</v>
      </c>
      <c r="K400" s="49">
        <f>F400*I400</f>
        <v>2311</v>
      </c>
      <c r="L400" s="49"/>
      <c r="M400" s="49"/>
    </row>
    <row r="401" spans="5:19" ht="30" customHeight="1">
      <c r="E401" s="49"/>
      <c r="F401" s="49"/>
      <c r="G401" s="49"/>
      <c r="H401" s="49" t="s">
        <v>1557</v>
      </c>
      <c r="I401" s="49"/>
      <c r="J401" s="49"/>
      <c r="K401" s="49"/>
      <c r="L401" s="49"/>
      <c r="M401" s="49"/>
    </row>
    <row r="402" spans="5:19" ht="30" customHeight="1">
      <c r="E402" s="49"/>
      <c r="F402" s="49"/>
      <c r="G402" s="49"/>
      <c r="H402" s="840" t="s">
        <v>2400</v>
      </c>
      <c r="I402" s="49"/>
      <c r="J402" s="49"/>
      <c r="K402" s="50">
        <f>K398+K399-K400+K401</f>
        <v>4212</v>
      </c>
      <c r="L402" s="49">
        <f>4017-K402</f>
        <v>-195</v>
      </c>
      <c r="M402" s="49"/>
    </row>
    <row r="403" spans="5:19" ht="30" customHeight="1">
      <c r="E403" s="49"/>
      <c r="F403" s="49"/>
      <c r="G403" s="49"/>
      <c r="H403" s="49"/>
      <c r="I403" s="49"/>
      <c r="J403" s="49"/>
      <c r="K403" s="49">
        <f>K402*2</f>
        <v>8424</v>
      </c>
      <c r="L403" s="49"/>
      <c r="M403" s="49"/>
    </row>
    <row r="404" spans="5:19" ht="39.75" customHeight="1">
      <c r="E404" s="49"/>
      <c r="F404" s="49"/>
      <c r="G404" s="49"/>
      <c r="H404" s="50" t="s">
        <v>2490</v>
      </c>
      <c r="I404" s="49"/>
      <c r="J404" s="49"/>
      <c r="K404" s="49"/>
      <c r="L404" s="49"/>
      <c r="M404" s="49"/>
    </row>
    <row r="405" spans="5:19" ht="24.95" customHeight="1">
      <c r="E405" s="49"/>
      <c r="F405" s="49"/>
      <c r="G405" s="49"/>
      <c r="H405" s="49"/>
      <c r="I405" s="49"/>
      <c r="J405" s="49"/>
      <c r="K405" s="49"/>
      <c r="L405" s="49"/>
      <c r="M405" s="49"/>
      <c r="P405" s="325" t="s">
        <v>2899</v>
      </c>
    </row>
    <row r="406" spans="5:19" ht="31.5">
      <c r="E406" s="49"/>
      <c r="F406" s="49"/>
      <c r="G406" s="49"/>
      <c r="H406" s="842" t="s">
        <v>2506</v>
      </c>
      <c r="I406" s="49"/>
      <c r="J406" s="49"/>
      <c r="K406" s="49"/>
      <c r="L406" s="49"/>
      <c r="M406" s="49"/>
      <c r="O406" s="842" t="s">
        <v>2900</v>
      </c>
    </row>
    <row r="407" spans="5:19" ht="39" customHeight="1">
      <c r="E407" s="49"/>
      <c r="F407" s="49"/>
      <c r="G407" s="49"/>
      <c r="H407" s="49"/>
      <c r="I407" s="49"/>
      <c r="J407" s="49"/>
      <c r="K407" s="49"/>
      <c r="L407" s="49"/>
      <c r="M407" s="49"/>
    </row>
    <row r="408" spans="5:19" ht="63">
      <c r="E408" s="49"/>
      <c r="F408" s="49"/>
      <c r="G408" s="49"/>
      <c r="H408" s="51" t="s">
        <v>2507</v>
      </c>
      <c r="I408" s="49"/>
      <c r="J408" s="49"/>
      <c r="K408" s="49"/>
      <c r="L408" s="49"/>
      <c r="M408" s="49">
        <v>1</v>
      </c>
      <c r="N408" s="49" t="s">
        <v>1034</v>
      </c>
      <c r="O408" s="836" t="s">
        <v>2901</v>
      </c>
      <c r="P408" s="49">
        <v>2487</v>
      </c>
      <c r="Q408" s="49" t="s">
        <v>1034</v>
      </c>
      <c r="R408" s="49">
        <f>P408*M408</f>
        <v>2487</v>
      </c>
    </row>
    <row r="409" spans="5:19" ht="95.25" customHeight="1">
      <c r="E409" s="49"/>
      <c r="F409" s="49">
        <v>2</v>
      </c>
      <c r="G409" s="49" t="s">
        <v>1034</v>
      </c>
      <c r="H409" s="49" t="s">
        <v>2902</v>
      </c>
      <c r="I409" s="844">
        <v>558</v>
      </c>
      <c r="J409" s="49" t="s">
        <v>2288</v>
      </c>
      <c r="K409" s="49">
        <f>F409*(I409/100)</f>
        <v>11.16</v>
      </c>
      <c r="L409" s="49"/>
      <c r="M409" s="49"/>
      <c r="N409" s="49"/>
      <c r="O409" s="49"/>
      <c r="P409" s="844"/>
      <c r="Q409" s="49"/>
      <c r="R409" s="49"/>
    </row>
    <row r="410" spans="5:19" ht="24.95" customHeight="1">
      <c r="E410" s="49"/>
      <c r="F410" s="49">
        <v>2</v>
      </c>
      <c r="G410" s="49" t="s">
        <v>13</v>
      </c>
      <c r="H410" s="49" t="s">
        <v>2509</v>
      </c>
      <c r="I410" s="867">
        <v>914.1</v>
      </c>
      <c r="J410" s="49" t="s">
        <v>2510</v>
      </c>
      <c r="K410" s="49">
        <f>F410*(I410/100)</f>
        <v>18.28</v>
      </c>
      <c r="L410" s="49"/>
      <c r="M410" s="49">
        <v>1</v>
      </c>
      <c r="N410" s="49" t="s">
        <v>13</v>
      </c>
      <c r="O410" s="49" t="s">
        <v>2903</v>
      </c>
      <c r="P410" s="867">
        <v>8.5500000000000007</v>
      </c>
      <c r="Q410" s="49" t="s">
        <v>2904</v>
      </c>
      <c r="R410" s="49">
        <f>P410*M410</f>
        <v>8.5500000000000007</v>
      </c>
      <c r="S410" s="325">
        <f>R408+R410</f>
        <v>2495.5500000000002</v>
      </c>
    </row>
    <row r="411" spans="5:19" ht="24.95" customHeight="1">
      <c r="E411" s="49"/>
      <c r="F411" s="49"/>
      <c r="G411" s="49"/>
      <c r="H411" s="49" t="s">
        <v>2511</v>
      </c>
      <c r="I411" s="49"/>
      <c r="J411" s="49"/>
      <c r="K411" s="49">
        <v>8.61</v>
      </c>
      <c r="L411" s="49"/>
      <c r="M411" s="49"/>
      <c r="N411" s="49"/>
      <c r="O411" s="49" t="s">
        <v>2905</v>
      </c>
      <c r="P411" s="49"/>
      <c r="Q411" s="49"/>
      <c r="R411" s="49">
        <v>25.2</v>
      </c>
    </row>
    <row r="412" spans="5:19" ht="24.95" customHeight="1">
      <c r="E412" s="49"/>
      <c r="F412" s="49"/>
      <c r="G412" s="49"/>
      <c r="H412" s="49" t="s">
        <v>2512</v>
      </c>
      <c r="I412" s="49"/>
      <c r="J412" s="49"/>
      <c r="K412" s="49">
        <f>K420</f>
        <v>260.75</v>
      </c>
      <c r="L412" s="49"/>
      <c r="M412" s="49"/>
      <c r="N412" s="49"/>
      <c r="O412" s="49" t="s">
        <v>2512</v>
      </c>
      <c r="P412" s="49"/>
      <c r="Q412" s="49"/>
      <c r="R412" s="49">
        <f>K412</f>
        <v>260.75</v>
      </c>
    </row>
    <row r="413" spans="5:19" ht="24.95" customHeight="1">
      <c r="E413" s="49"/>
      <c r="F413" s="49"/>
      <c r="G413" s="49"/>
      <c r="H413" s="840" t="s">
        <v>2400</v>
      </c>
      <c r="I413" s="49"/>
      <c r="J413" s="49"/>
      <c r="K413" s="50">
        <f>SUM(K409:K412)</f>
        <v>298.8</v>
      </c>
      <c r="L413" s="49">
        <f>384.3+249</f>
        <v>633.29999999999995</v>
      </c>
      <c r="M413" s="49"/>
      <c r="N413" s="49"/>
      <c r="O413" s="840" t="s">
        <v>2400</v>
      </c>
      <c r="P413" s="49"/>
      <c r="Q413" s="49"/>
      <c r="R413" s="50">
        <f>SUM(R408:R412)</f>
        <v>2781.5</v>
      </c>
    </row>
    <row r="414" spans="5:19" ht="24.95" customHeight="1">
      <c r="E414" s="49"/>
      <c r="F414" s="49"/>
      <c r="G414" s="49"/>
      <c r="H414" s="49"/>
      <c r="I414" s="49"/>
      <c r="J414" s="49"/>
      <c r="K414" s="49"/>
      <c r="L414" s="49"/>
      <c r="M414" s="49"/>
    </row>
    <row r="415" spans="5:19">
      <c r="E415" s="49"/>
      <c r="F415" s="49"/>
      <c r="H415" s="847" t="s">
        <v>2513</v>
      </c>
      <c r="I415" s="49"/>
      <c r="J415" s="49"/>
      <c r="K415" s="49"/>
      <c r="L415" s="49"/>
      <c r="M415" s="49"/>
    </row>
    <row r="416" spans="5:19">
      <c r="E416" s="49"/>
      <c r="F416" s="49">
        <v>1</v>
      </c>
      <c r="G416" s="49" t="s">
        <v>1034</v>
      </c>
      <c r="H416" s="49" t="s">
        <v>2472</v>
      </c>
      <c r="I416" s="49">
        <f>I36</f>
        <v>783</v>
      </c>
      <c r="J416" s="49" t="s">
        <v>1034</v>
      </c>
      <c r="K416" s="49">
        <f>F416*I416</f>
        <v>783</v>
      </c>
      <c r="L416" s="49"/>
      <c r="M416" s="49"/>
    </row>
    <row r="417" spans="5:13">
      <c r="E417" s="49"/>
      <c r="F417" s="49">
        <v>2</v>
      </c>
      <c r="G417" s="49" t="s">
        <v>1034</v>
      </c>
      <c r="H417" s="49" t="s">
        <v>2463</v>
      </c>
      <c r="I417" s="49">
        <f>I37</f>
        <v>778</v>
      </c>
      <c r="J417" s="49" t="s">
        <v>1034</v>
      </c>
      <c r="K417" s="49">
        <f>F417*I417</f>
        <v>1556</v>
      </c>
      <c r="L417" s="49"/>
      <c r="M417" s="49"/>
    </row>
    <row r="418" spans="5:13">
      <c r="E418" s="49"/>
      <c r="F418" s="49">
        <v>3</v>
      </c>
      <c r="G418" s="49" t="s">
        <v>1034</v>
      </c>
      <c r="H418" s="49" t="s">
        <v>2236</v>
      </c>
      <c r="I418" s="49">
        <f>I38</f>
        <v>611</v>
      </c>
      <c r="J418" s="49" t="s">
        <v>1034</v>
      </c>
      <c r="K418" s="49">
        <f>F418*I418</f>
        <v>1833</v>
      </c>
      <c r="L418" s="49"/>
      <c r="M418" s="49"/>
    </row>
    <row r="419" spans="5:13">
      <c r="E419" s="49"/>
      <c r="F419" s="49"/>
      <c r="G419" s="49"/>
      <c r="H419" s="839" t="s">
        <v>2514</v>
      </c>
      <c r="I419" s="49"/>
      <c r="J419" s="49"/>
      <c r="K419" s="847">
        <f>SUM(K416:K418)</f>
        <v>4172</v>
      </c>
      <c r="L419" s="49"/>
      <c r="M419" s="49"/>
    </row>
    <row r="420" spans="5:13">
      <c r="E420" s="49"/>
      <c r="F420" s="49"/>
      <c r="G420" s="49"/>
      <c r="H420" s="840" t="s">
        <v>2058</v>
      </c>
      <c r="I420" s="49"/>
      <c r="J420" s="49"/>
      <c r="K420" s="50">
        <f>K419/16</f>
        <v>260.75</v>
      </c>
      <c r="L420" s="49"/>
      <c r="M420" s="49"/>
    </row>
    <row r="421" spans="5:13">
      <c r="E421" s="49"/>
      <c r="F421" s="49"/>
      <c r="G421" s="49"/>
      <c r="H421" s="49"/>
      <c r="I421" s="49"/>
      <c r="J421" s="49"/>
      <c r="K421" s="49"/>
      <c r="L421" s="49"/>
      <c r="M421" s="49"/>
    </row>
    <row r="422" spans="5:13">
      <c r="E422" s="49"/>
      <c r="F422" s="49"/>
      <c r="G422" s="49"/>
      <c r="H422" s="50" t="s">
        <v>2515</v>
      </c>
      <c r="I422" s="49"/>
      <c r="J422" s="49"/>
      <c r="K422" s="49"/>
      <c r="L422" s="49"/>
      <c r="M422" s="49"/>
    </row>
    <row r="423" spans="5:13" ht="31.5">
      <c r="E423" s="49"/>
      <c r="F423" s="49"/>
      <c r="G423" s="49"/>
      <c r="H423" s="842" t="s">
        <v>2516</v>
      </c>
      <c r="I423" s="49"/>
      <c r="J423" s="49"/>
      <c r="K423" s="49"/>
      <c r="L423" s="49"/>
      <c r="M423" s="49"/>
    </row>
    <row r="424" spans="5:13" ht="36" customHeight="1">
      <c r="E424" s="49"/>
      <c r="F424" s="49"/>
      <c r="G424" s="49"/>
      <c r="H424" s="49"/>
      <c r="I424" s="49"/>
      <c r="J424" s="49"/>
      <c r="K424" s="49"/>
      <c r="L424" s="49"/>
      <c r="M424" s="49"/>
    </row>
    <row r="425" spans="5:13" ht="94.5">
      <c r="E425" s="49"/>
      <c r="F425" s="49"/>
      <c r="G425" s="49"/>
      <c r="H425" s="51" t="s">
        <v>2517</v>
      </c>
      <c r="I425" s="49"/>
      <c r="J425" s="49"/>
      <c r="K425" s="49"/>
      <c r="L425" s="49"/>
      <c r="M425" s="49"/>
    </row>
    <row r="426" spans="5:13" ht="112.5" customHeight="1">
      <c r="E426" s="49"/>
      <c r="F426" s="49">
        <v>1.5</v>
      </c>
      <c r="G426" s="49" t="s">
        <v>13</v>
      </c>
      <c r="H426" s="49" t="s">
        <v>2906</v>
      </c>
      <c r="I426" s="844">
        <v>36.200000000000003</v>
      </c>
      <c r="J426" s="49" t="s">
        <v>13</v>
      </c>
      <c r="K426" s="49">
        <f>F426*I426</f>
        <v>54.3</v>
      </c>
      <c r="L426" s="49"/>
      <c r="M426" s="49"/>
    </row>
    <row r="427" spans="5:13">
      <c r="E427" s="49"/>
      <c r="F427" s="49">
        <v>2</v>
      </c>
      <c r="G427" s="49" t="s">
        <v>1034</v>
      </c>
      <c r="H427" s="49" t="s">
        <v>2519</v>
      </c>
      <c r="I427" s="49">
        <f>I409</f>
        <v>558</v>
      </c>
      <c r="J427" s="49" t="s">
        <v>2288</v>
      </c>
      <c r="K427" s="49">
        <f>F427*(I427/100)</f>
        <v>11.16</v>
      </c>
      <c r="L427" s="49"/>
      <c r="M427" s="49"/>
    </row>
    <row r="428" spans="5:13">
      <c r="E428" s="49"/>
      <c r="F428" s="49">
        <v>2</v>
      </c>
      <c r="G428" s="49" t="s">
        <v>13</v>
      </c>
      <c r="H428" s="49" t="s">
        <v>2509</v>
      </c>
      <c r="I428" s="49">
        <f>I410</f>
        <v>914.1</v>
      </c>
      <c r="J428" s="49" t="s">
        <v>13</v>
      </c>
      <c r="K428" s="49">
        <f>F428*(I428/100)</f>
        <v>18.28</v>
      </c>
      <c r="L428" s="49"/>
      <c r="M428" s="49"/>
    </row>
    <row r="429" spans="5:13" ht="31.5">
      <c r="E429" s="49"/>
      <c r="F429" s="49"/>
      <c r="G429" s="49"/>
      <c r="H429" s="51" t="s">
        <v>2520</v>
      </c>
      <c r="I429" s="49"/>
      <c r="J429" s="49"/>
      <c r="K429" s="49">
        <v>6.06</v>
      </c>
      <c r="L429" s="49"/>
      <c r="M429" s="49"/>
    </row>
    <row r="430" spans="5:13" ht="31.5" customHeight="1">
      <c r="E430" s="49"/>
      <c r="F430" s="49"/>
      <c r="G430" s="49"/>
      <c r="H430" s="49" t="s">
        <v>478</v>
      </c>
      <c r="I430" s="49"/>
      <c r="J430" s="49"/>
      <c r="K430" s="49">
        <f>K438</f>
        <v>417.2</v>
      </c>
      <c r="L430" s="49"/>
      <c r="M430" s="49"/>
    </row>
    <row r="431" spans="5:13">
      <c r="E431" s="49"/>
      <c r="F431" s="49"/>
      <c r="G431" s="49"/>
      <c r="H431" s="840" t="s">
        <v>2400</v>
      </c>
      <c r="I431" s="49"/>
      <c r="J431" s="49"/>
      <c r="K431" s="50">
        <f>SUM(K426:K430)</f>
        <v>507</v>
      </c>
      <c r="L431" s="49">
        <f>K431-320</f>
        <v>187</v>
      </c>
      <c r="M431" s="49"/>
    </row>
    <row r="432" spans="5:13" ht="24.95" customHeight="1">
      <c r="E432" s="49"/>
      <c r="F432" s="49"/>
      <c r="G432" s="49"/>
      <c r="H432" s="49"/>
      <c r="I432" s="49"/>
      <c r="J432" s="49"/>
      <c r="K432" s="49"/>
      <c r="L432" s="49"/>
      <c r="M432" s="49"/>
    </row>
    <row r="433" spans="5:13">
      <c r="E433" s="49"/>
      <c r="F433" s="49"/>
      <c r="G433" s="49"/>
      <c r="H433" s="50" t="s">
        <v>1978</v>
      </c>
      <c r="I433" s="49"/>
      <c r="J433" s="49"/>
      <c r="K433" s="49"/>
      <c r="L433" s="49"/>
      <c r="M433" s="49"/>
    </row>
    <row r="434" spans="5:13">
      <c r="E434" s="49"/>
      <c r="F434" s="49">
        <v>1</v>
      </c>
      <c r="G434" s="49" t="s">
        <v>1034</v>
      </c>
      <c r="H434" s="49" t="s">
        <v>2472</v>
      </c>
      <c r="I434" s="49">
        <f>I416</f>
        <v>783</v>
      </c>
      <c r="J434" s="49" t="s">
        <v>1034</v>
      </c>
      <c r="K434" s="49">
        <f>F434*I434</f>
        <v>783</v>
      </c>
      <c r="L434" s="49"/>
      <c r="M434" s="49"/>
    </row>
    <row r="435" spans="5:13">
      <c r="E435" s="49"/>
      <c r="F435" s="49">
        <v>2</v>
      </c>
      <c r="G435" s="49" t="s">
        <v>1034</v>
      </c>
      <c r="H435" s="49" t="s">
        <v>2463</v>
      </c>
      <c r="I435" s="49">
        <f>I417</f>
        <v>778</v>
      </c>
      <c r="J435" s="49" t="s">
        <v>1034</v>
      </c>
      <c r="K435" s="49">
        <f>F435*I435</f>
        <v>1556</v>
      </c>
      <c r="L435" s="49"/>
      <c r="M435" s="49"/>
    </row>
    <row r="436" spans="5:13">
      <c r="E436" s="49"/>
      <c r="F436" s="49">
        <v>3</v>
      </c>
      <c r="G436" s="49" t="s">
        <v>1034</v>
      </c>
      <c r="H436" s="49" t="s">
        <v>2236</v>
      </c>
      <c r="I436" s="49">
        <f>I418</f>
        <v>611</v>
      </c>
      <c r="J436" s="49" t="s">
        <v>1034</v>
      </c>
      <c r="K436" s="49">
        <f>F436*I436</f>
        <v>1833</v>
      </c>
      <c r="L436" s="49"/>
      <c r="M436" s="49"/>
    </row>
    <row r="437" spans="5:13">
      <c r="E437" s="49"/>
      <c r="F437" s="49"/>
      <c r="G437" s="49"/>
      <c r="H437" s="839" t="s">
        <v>2521</v>
      </c>
      <c r="I437" s="49"/>
      <c r="J437" s="49"/>
      <c r="K437" s="847">
        <f>SUM(K434:K436)</f>
        <v>4172</v>
      </c>
      <c r="L437" s="49"/>
      <c r="M437" s="49"/>
    </row>
    <row r="438" spans="5:13">
      <c r="E438" s="49"/>
      <c r="F438" s="49"/>
      <c r="G438" s="49"/>
      <c r="H438" s="840" t="s">
        <v>2058</v>
      </c>
      <c r="I438" s="49"/>
      <c r="J438" s="49"/>
      <c r="K438" s="50">
        <f>K437/10</f>
        <v>417.2</v>
      </c>
      <c r="L438" s="49"/>
      <c r="M438" s="49"/>
    </row>
    <row r="439" spans="5:13">
      <c r="E439" s="49"/>
      <c r="F439" s="49"/>
      <c r="G439" s="49"/>
      <c r="H439" s="49"/>
      <c r="I439" s="49"/>
      <c r="J439" s="49"/>
      <c r="K439" s="49"/>
      <c r="L439" s="49"/>
      <c r="M439" s="49"/>
    </row>
    <row r="440" spans="5:13">
      <c r="E440" s="49"/>
      <c r="F440" s="49"/>
      <c r="G440" s="49"/>
      <c r="H440" s="50" t="s">
        <v>2500</v>
      </c>
      <c r="I440" s="49"/>
      <c r="J440" s="49"/>
      <c r="K440" s="49"/>
      <c r="L440" s="49"/>
      <c r="M440" s="49"/>
    </row>
    <row r="441" spans="5:13" ht="63">
      <c r="E441" s="49"/>
      <c r="F441" s="49"/>
      <c r="G441" s="49"/>
      <c r="H441" s="51" t="s">
        <v>2522</v>
      </c>
      <c r="I441" s="49"/>
      <c r="J441" s="49"/>
      <c r="K441" s="49"/>
      <c r="L441" s="49"/>
      <c r="M441" s="49"/>
    </row>
    <row r="442" spans="5:13" ht="83.25" customHeight="1">
      <c r="E442" s="49"/>
      <c r="F442" s="49"/>
      <c r="G442" s="49"/>
      <c r="H442" s="49"/>
      <c r="I442" s="49"/>
      <c r="J442" s="49"/>
      <c r="K442" s="49"/>
      <c r="L442" s="49"/>
      <c r="M442" s="49"/>
    </row>
    <row r="443" spans="5:13">
      <c r="E443" s="49"/>
      <c r="F443" s="49">
        <v>1</v>
      </c>
      <c r="G443" s="49" t="s">
        <v>13</v>
      </c>
      <c r="H443" s="49" t="s">
        <v>2509</v>
      </c>
      <c r="I443" s="49">
        <f>I428</f>
        <v>914.1</v>
      </c>
      <c r="J443" s="49" t="s">
        <v>2523</v>
      </c>
      <c r="K443" s="49">
        <f>F443*(I443/100)</f>
        <v>9.14</v>
      </c>
      <c r="L443" s="49"/>
      <c r="M443" s="49"/>
    </row>
    <row r="444" spans="5:13" ht="22.5" customHeight="1">
      <c r="E444" s="49"/>
      <c r="F444" s="49"/>
      <c r="G444" s="49"/>
      <c r="H444" s="49" t="s">
        <v>1978</v>
      </c>
      <c r="I444" s="49"/>
      <c r="J444" s="49"/>
      <c r="K444" s="49">
        <f>K451</f>
        <v>556.6</v>
      </c>
      <c r="L444" s="49"/>
      <c r="M444" s="49"/>
    </row>
    <row r="445" spans="5:13" ht="24.95" customHeight="1">
      <c r="E445" s="49"/>
      <c r="F445" s="49"/>
      <c r="G445" s="49"/>
      <c r="H445" s="49" t="s">
        <v>2161</v>
      </c>
      <c r="J445" s="49"/>
      <c r="K445" s="49">
        <v>5.26</v>
      </c>
      <c r="L445" s="49"/>
      <c r="M445" s="49"/>
    </row>
    <row r="446" spans="5:13" ht="24.95" customHeight="1">
      <c r="E446" s="49"/>
      <c r="F446" s="49"/>
      <c r="G446" s="49"/>
      <c r="H446" s="847" t="s">
        <v>2524</v>
      </c>
      <c r="I446" s="50" t="s">
        <v>2400</v>
      </c>
      <c r="J446" s="49"/>
      <c r="K446" s="50">
        <f>SUM(K443:K445)</f>
        <v>571</v>
      </c>
      <c r="L446" s="49">
        <f>467-K446</f>
        <v>-104</v>
      </c>
      <c r="M446" s="49"/>
    </row>
    <row r="447" spans="5:13" ht="24.95" customHeight="1">
      <c r="E447" s="49"/>
      <c r="F447" s="49">
        <v>1</v>
      </c>
      <c r="G447" s="49" t="s">
        <v>1034</v>
      </c>
      <c r="H447" s="49" t="s">
        <v>2472</v>
      </c>
      <c r="I447" s="49">
        <f>I434</f>
        <v>783</v>
      </c>
      <c r="J447" s="49" t="s">
        <v>1034</v>
      </c>
      <c r="K447" s="49">
        <f>F447*I447</f>
        <v>783</v>
      </c>
      <c r="L447" s="49"/>
      <c r="M447" s="49"/>
    </row>
    <row r="448" spans="5:13" ht="21" customHeight="1">
      <c r="E448" s="49"/>
      <c r="F448" s="49">
        <v>1</v>
      </c>
      <c r="G448" s="49" t="s">
        <v>1034</v>
      </c>
      <c r="H448" s="49" t="s">
        <v>2463</v>
      </c>
      <c r="I448" s="49">
        <f>I435</f>
        <v>778</v>
      </c>
      <c r="J448" s="49" t="s">
        <v>1034</v>
      </c>
      <c r="K448" s="49">
        <f>F448*I448</f>
        <v>778</v>
      </c>
      <c r="L448" s="49"/>
      <c r="M448" s="49"/>
    </row>
    <row r="449" spans="5:13" ht="21" customHeight="1">
      <c r="E449" s="49"/>
      <c r="F449" s="49">
        <v>2</v>
      </c>
      <c r="G449" s="49" t="s">
        <v>1034</v>
      </c>
      <c r="H449" s="49" t="s">
        <v>2236</v>
      </c>
      <c r="I449" s="49">
        <f>I436</f>
        <v>611</v>
      </c>
      <c r="J449" s="49" t="s">
        <v>1034</v>
      </c>
      <c r="K449" s="49">
        <f>F449*I449</f>
        <v>1222</v>
      </c>
      <c r="L449" s="49"/>
      <c r="M449" s="49"/>
    </row>
    <row r="450" spans="5:13" ht="21" customHeight="1">
      <c r="E450" s="49"/>
      <c r="F450" s="49"/>
      <c r="G450" s="49"/>
      <c r="H450" s="839" t="s">
        <v>2525</v>
      </c>
      <c r="I450" s="49"/>
      <c r="J450" s="49"/>
      <c r="K450" s="847">
        <f>SUM(K447:K449)</f>
        <v>2783</v>
      </c>
      <c r="L450" s="49"/>
      <c r="M450" s="49"/>
    </row>
    <row r="451" spans="5:13" ht="24.95" customHeight="1">
      <c r="E451" s="49"/>
      <c r="F451" s="49"/>
      <c r="G451" s="49"/>
      <c r="H451" s="840" t="s">
        <v>2400</v>
      </c>
      <c r="I451" s="49"/>
      <c r="J451" s="49"/>
      <c r="K451" s="50">
        <f>K450/5</f>
        <v>556.6</v>
      </c>
      <c r="L451" s="49"/>
      <c r="M451" s="49"/>
    </row>
    <row r="452" spans="5:13" ht="19.5" customHeight="1">
      <c r="E452" s="49"/>
      <c r="F452" s="49"/>
      <c r="G452" s="49"/>
      <c r="H452" s="868" t="s">
        <v>2526</v>
      </c>
      <c r="I452" s="49"/>
      <c r="J452" s="49"/>
      <c r="K452" s="49"/>
      <c r="L452" s="49"/>
      <c r="M452" s="49"/>
    </row>
    <row r="453" spans="5:13" ht="24.95" customHeight="1">
      <c r="E453" s="49"/>
      <c r="F453" s="49"/>
      <c r="G453" s="49"/>
      <c r="H453" s="50" t="s">
        <v>2527</v>
      </c>
      <c r="I453" s="49"/>
      <c r="J453" s="49"/>
      <c r="K453" s="49"/>
      <c r="L453" s="49"/>
      <c r="M453" s="49"/>
    </row>
    <row r="454" spans="5:13">
      <c r="E454" s="49"/>
      <c r="F454" s="49"/>
      <c r="G454" s="49"/>
      <c r="H454" s="50" t="s">
        <v>2528</v>
      </c>
      <c r="I454" s="49"/>
      <c r="J454" s="49"/>
      <c r="K454" s="49"/>
      <c r="L454" s="49"/>
      <c r="M454" s="49"/>
    </row>
    <row r="455" spans="5:13">
      <c r="E455" s="49"/>
      <c r="F455" s="49"/>
      <c r="G455" s="49"/>
      <c r="H455" s="49" t="s">
        <v>2529</v>
      </c>
      <c r="I455" s="49"/>
      <c r="J455" s="49"/>
      <c r="K455" s="49"/>
      <c r="L455" s="49"/>
      <c r="M455" s="49"/>
    </row>
    <row r="456" spans="5:13" ht="47.25">
      <c r="E456" s="49"/>
      <c r="F456" s="49"/>
      <c r="G456" s="49"/>
      <c r="H456" s="51" t="s">
        <v>2530</v>
      </c>
      <c r="I456" s="49"/>
      <c r="J456" s="49"/>
      <c r="K456" s="49"/>
      <c r="L456" s="49"/>
      <c r="M456" s="49"/>
    </row>
    <row r="457" spans="5:13" ht="68.25" customHeight="1">
      <c r="E457" s="49"/>
      <c r="F457" s="49"/>
      <c r="G457" s="49"/>
      <c r="H457" s="49"/>
      <c r="I457" s="49"/>
      <c r="J457" s="49"/>
      <c r="K457" s="49"/>
      <c r="L457" s="49"/>
      <c r="M457" s="49"/>
    </row>
    <row r="458" spans="5:13">
      <c r="E458" s="49"/>
      <c r="F458" s="49">
        <v>9.5</v>
      </c>
      <c r="G458" s="49" t="s">
        <v>39</v>
      </c>
      <c r="H458" s="49" t="s">
        <v>2907</v>
      </c>
      <c r="I458" s="844">
        <v>101.5</v>
      </c>
      <c r="J458" s="49" t="s">
        <v>39</v>
      </c>
      <c r="K458" s="49">
        <f>F458*I458</f>
        <v>964.25</v>
      </c>
      <c r="L458" s="49"/>
      <c r="M458" s="49"/>
    </row>
    <row r="459" spans="5:13">
      <c r="E459" s="49"/>
      <c r="F459" s="49">
        <v>0.5</v>
      </c>
      <c r="G459" s="49" t="s">
        <v>39</v>
      </c>
      <c r="H459" s="49" t="s">
        <v>2908</v>
      </c>
      <c r="I459" s="843">
        <v>21.1</v>
      </c>
      <c r="J459" s="49"/>
      <c r="K459" s="49">
        <f>F459*I459</f>
        <v>10.55</v>
      </c>
      <c r="L459" s="49"/>
      <c r="M459" s="49"/>
    </row>
    <row r="460" spans="5:13">
      <c r="E460" s="49"/>
      <c r="F460" s="49"/>
      <c r="G460" s="49"/>
      <c r="H460" s="49" t="s">
        <v>2234</v>
      </c>
      <c r="I460" s="49"/>
      <c r="J460" s="49"/>
      <c r="K460" s="49">
        <f>K468</f>
        <v>1389</v>
      </c>
      <c r="L460" s="49"/>
      <c r="M460" s="49"/>
    </row>
    <row r="461" spans="5:13">
      <c r="E461" s="49"/>
      <c r="F461" s="49"/>
      <c r="G461" s="49"/>
      <c r="H461" s="49" t="s">
        <v>1557</v>
      </c>
      <c r="I461" s="49"/>
      <c r="J461" s="49"/>
      <c r="K461" s="49">
        <v>3.2</v>
      </c>
      <c r="L461" s="49">
        <f>24.2*90</f>
        <v>2178</v>
      </c>
      <c r="M461" s="49"/>
    </row>
    <row r="462" spans="5:13">
      <c r="E462" s="49"/>
      <c r="F462" s="49"/>
      <c r="G462" s="49"/>
      <c r="H462" s="839" t="s">
        <v>2533</v>
      </c>
      <c r="I462" s="49"/>
      <c r="J462" s="49"/>
      <c r="K462" s="847">
        <f>SUM(K458:K461)</f>
        <v>2367</v>
      </c>
      <c r="L462" s="49">
        <f>L461-K462</f>
        <v>-189</v>
      </c>
      <c r="M462" s="49"/>
    </row>
    <row r="463" spans="5:13">
      <c r="E463" s="49"/>
      <c r="F463" s="49"/>
      <c r="G463" s="49"/>
      <c r="H463" s="840" t="s">
        <v>2534</v>
      </c>
      <c r="I463" s="49"/>
      <c r="J463" s="49"/>
      <c r="K463" s="50">
        <f>K462/90</f>
        <v>26.3</v>
      </c>
      <c r="L463" s="49">
        <f>26.3*90</f>
        <v>2367</v>
      </c>
      <c r="M463" s="49">
        <f>L463-K462</f>
        <v>0</v>
      </c>
    </row>
    <row r="464" spans="5:13">
      <c r="E464" s="49"/>
      <c r="F464" s="49"/>
      <c r="G464" s="49"/>
      <c r="H464" s="49"/>
      <c r="I464" s="49"/>
      <c r="J464" s="49"/>
      <c r="K464" s="50"/>
      <c r="L464" s="49">
        <f>L463-K462</f>
        <v>0</v>
      </c>
      <c r="M464" s="49"/>
    </row>
    <row r="465" spans="5:13">
      <c r="E465" s="49"/>
      <c r="F465" s="49"/>
      <c r="G465" s="49"/>
      <c r="H465" s="847" t="s">
        <v>14</v>
      </c>
      <c r="I465" s="49"/>
      <c r="J465" s="49"/>
      <c r="K465" s="49"/>
      <c r="L465" s="49"/>
      <c r="M465" s="49"/>
    </row>
    <row r="466" spans="5:13">
      <c r="E466" s="49"/>
      <c r="F466" s="49">
        <v>1</v>
      </c>
      <c r="G466" s="49"/>
      <c r="H466" s="49" t="s">
        <v>2463</v>
      </c>
      <c r="I466" s="49">
        <f>I448</f>
        <v>778</v>
      </c>
      <c r="J466" s="49" t="s">
        <v>1034</v>
      </c>
      <c r="K466" s="49">
        <f>F466*I466</f>
        <v>778</v>
      </c>
      <c r="L466" s="49"/>
      <c r="M466" s="49"/>
    </row>
    <row r="467" spans="5:13">
      <c r="E467" s="49"/>
      <c r="F467" s="49">
        <v>1</v>
      </c>
      <c r="G467" s="49"/>
      <c r="H467" s="49" t="s">
        <v>2236</v>
      </c>
      <c r="I467" s="49">
        <f>I449</f>
        <v>611</v>
      </c>
      <c r="J467" s="49" t="s">
        <v>1034</v>
      </c>
      <c r="K467" s="49">
        <f>F467*I467</f>
        <v>611</v>
      </c>
      <c r="L467" s="49"/>
      <c r="M467" s="49"/>
    </row>
    <row r="468" spans="5:13" ht="25.5">
      <c r="E468" s="49"/>
      <c r="F468" s="49"/>
      <c r="G468" s="49"/>
      <c r="H468" s="49"/>
      <c r="I468" s="49"/>
      <c r="J468" s="49"/>
      <c r="K468" s="50">
        <f>SUM(K466:K467)</f>
        <v>1389</v>
      </c>
      <c r="L468" s="869" t="s">
        <v>2909</v>
      </c>
      <c r="M468" s="49"/>
    </row>
    <row r="469" spans="5:13">
      <c r="E469" s="49"/>
      <c r="F469" s="49" t="s">
        <v>2535</v>
      </c>
      <c r="G469" s="49"/>
      <c r="H469" s="49"/>
      <c r="I469" s="49"/>
      <c r="J469" s="49"/>
      <c r="K469" s="49"/>
      <c r="L469" s="49"/>
      <c r="M469" s="49"/>
    </row>
    <row r="470" spans="5:13">
      <c r="E470" s="49"/>
      <c r="F470" s="49"/>
      <c r="G470" s="49"/>
      <c r="H470" s="49"/>
      <c r="I470" s="49"/>
      <c r="J470" s="49"/>
      <c r="K470" s="49"/>
      <c r="L470" s="49"/>
      <c r="M470" s="49"/>
    </row>
    <row r="471" spans="5:13">
      <c r="E471" s="49"/>
      <c r="F471" s="49"/>
      <c r="G471" s="49"/>
      <c r="H471" s="50" t="s">
        <v>2536</v>
      </c>
      <c r="I471" s="49"/>
      <c r="J471" s="49"/>
      <c r="K471" s="49"/>
      <c r="L471" s="49"/>
      <c r="M471" s="49"/>
    </row>
    <row r="472" spans="5:13">
      <c r="E472" s="49"/>
      <c r="F472" s="49"/>
      <c r="G472" s="49"/>
      <c r="H472" s="50" t="s">
        <v>2537</v>
      </c>
      <c r="I472" s="49"/>
      <c r="J472" s="49"/>
      <c r="K472" s="49"/>
      <c r="L472" s="49"/>
      <c r="M472" s="49"/>
    </row>
    <row r="473" spans="5:13">
      <c r="E473" s="49"/>
      <c r="F473" s="49"/>
      <c r="G473" s="49"/>
      <c r="H473" s="49"/>
      <c r="I473" s="49"/>
      <c r="J473" s="49"/>
      <c r="K473" s="49"/>
      <c r="L473" s="49"/>
      <c r="M473" s="49"/>
    </row>
    <row r="474" spans="5:13" ht="47.25">
      <c r="E474" s="49"/>
      <c r="F474" s="49"/>
      <c r="G474" s="49"/>
      <c r="H474" s="51" t="s">
        <v>2538</v>
      </c>
      <c r="I474" s="49"/>
      <c r="J474" s="49"/>
      <c r="K474" s="49"/>
      <c r="L474" s="49"/>
      <c r="M474" s="49"/>
    </row>
    <row r="475" spans="5:13" ht="57" customHeight="1">
      <c r="E475" s="49"/>
      <c r="F475" s="49">
        <v>2.5</v>
      </c>
      <c r="G475" s="49" t="s">
        <v>13</v>
      </c>
      <c r="H475" s="49" t="s">
        <v>2910</v>
      </c>
      <c r="I475" s="844">
        <v>163</v>
      </c>
      <c r="J475" s="49" t="s">
        <v>13</v>
      </c>
      <c r="K475" s="49">
        <f>F475*I475</f>
        <v>407.5</v>
      </c>
      <c r="L475" s="49"/>
      <c r="M475" s="49"/>
    </row>
    <row r="476" spans="5:13">
      <c r="E476" s="49"/>
      <c r="F476" s="49">
        <v>1</v>
      </c>
      <c r="G476" s="49" t="s">
        <v>13</v>
      </c>
      <c r="H476" s="49" t="s">
        <v>2911</v>
      </c>
      <c r="I476" s="844">
        <v>98.6</v>
      </c>
      <c r="J476" s="49" t="s">
        <v>13</v>
      </c>
      <c r="K476" s="49">
        <f t="shared" ref="K476:K485" si="14">F476*I476</f>
        <v>98.6</v>
      </c>
      <c r="L476" s="49"/>
      <c r="M476" s="49"/>
    </row>
    <row r="477" spans="5:13">
      <c r="E477" s="49"/>
      <c r="F477" s="49">
        <v>1</v>
      </c>
      <c r="G477" s="49" t="s">
        <v>13</v>
      </c>
      <c r="H477" s="49" t="s">
        <v>2912</v>
      </c>
      <c r="I477" s="844">
        <v>69.8</v>
      </c>
      <c r="J477" s="49" t="s">
        <v>13</v>
      </c>
      <c r="K477" s="49">
        <f t="shared" si="14"/>
        <v>69.8</v>
      </c>
      <c r="L477" s="49"/>
      <c r="M477" s="49"/>
    </row>
    <row r="478" spans="5:13">
      <c r="E478" s="49"/>
      <c r="F478" s="49">
        <v>1</v>
      </c>
      <c r="G478" s="49" t="s">
        <v>1034</v>
      </c>
      <c r="H478" s="49" t="s">
        <v>2913</v>
      </c>
      <c r="I478" s="844">
        <v>52</v>
      </c>
      <c r="J478" s="49" t="s">
        <v>1034</v>
      </c>
      <c r="K478" s="49">
        <f t="shared" si="14"/>
        <v>52</v>
      </c>
      <c r="L478" s="49"/>
      <c r="M478" s="49"/>
    </row>
    <row r="479" spans="5:13">
      <c r="E479" s="49"/>
      <c r="F479" s="49">
        <v>1</v>
      </c>
      <c r="G479" s="49" t="s">
        <v>1715</v>
      </c>
      <c r="H479" s="49" t="s">
        <v>2543</v>
      </c>
      <c r="I479" s="49" t="s">
        <v>49</v>
      </c>
      <c r="J479" s="49" t="s">
        <v>1715</v>
      </c>
      <c r="K479" s="49">
        <v>15</v>
      </c>
      <c r="L479" s="49"/>
      <c r="M479" s="49"/>
    </row>
    <row r="480" spans="5:13">
      <c r="E480" s="49"/>
      <c r="F480" s="49"/>
      <c r="G480" s="49" t="s">
        <v>49</v>
      </c>
      <c r="H480" s="49" t="s">
        <v>2914</v>
      </c>
      <c r="I480" s="49" t="s">
        <v>49</v>
      </c>
      <c r="J480" s="49" t="s">
        <v>49</v>
      </c>
      <c r="K480" s="49">
        <v>405.95</v>
      </c>
      <c r="L480" s="49"/>
      <c r="M480" s="49"/>
    </row>
    <row r="481" spans="5:14">
      <c r="E481" s="49"/>
      <c r="F481" s="49">
        <v>1</v>
      </c>
      <c r="G481" s="49" t="s">
        <v>1034</v>
      </c>
      <c r="H481" s="49" t="s">
        <v>2545</v>
      </c>
      <c r="I481" s="843">
        <v>100</v>
      </c>
      <c r="J481" s="49" t="s">
        <v>1034</v>
      </c>
      <c r="K481" s="49">
        <f t="shared" si="14"/>
        <v>100</v>
      </c>
      <c r="L481" s="49"/>
      <c r="M481" s="49"/>
    </row>
    <row r="482" spans="5:14">
      <c r="E482" s="49"/>
      <c r="F482" s="49">
        <v>40</v>
      </c>
      <c r="G482" s="49" t="s">
        <v>39</v>
      </c>
      <c r="H482" s="49" t="s">
        <v>2915</v>
      </c>
      <c r="I482" s="52">
        <f>100.7/20.32</f>
        <v>4.96</v>
      </c>
      <c r="J482" s="49" t="s">
        <v>39</v>
      </c>
      <c r="K482" s="49">
        <f t="shared" si="14"/>
        <v>198.4</v>
      </c>
      <c r="L482" s="49">
        <f>100.7/20.32</f>
        <v>4.96</v>
      </c>
      <c r="M482" s="49"/>
    </row>
    <row r="483" spans="5:14">
      <c r="E483" s="49"/>
      <c r="F483" s="49">
        <v>2</v>
      </c>
      <c r="G483" s="49" t="s">
        <v>1034</v>
      </c>
      <c r="H483" s="49" t="s">
        <v>2916</v>
      </c>
      <c r="I483" s="844">
        <v>13.6</v>
      </c>
      <c r="J483" s="49" t="s">
        <v>1034</v>
      </c>
      <c r="K483" s="49">
        <f t="shared" si="14"/>
        <v>27.2</v>
      </c>
      <c r="L483" s="49"/>
      <c r="M483" s="49"/>
      <c r="N483" s="325">
        <f>97.15/20.32</f>
        <v>4.78</v>
      </c>
    </row>
    <row r="484" spans="5:14">
      <c r="E484" s="49"/>
      <c r="F484" s="49">
        <v>4</v>
      </c>
      <c r="G484" s="49" t="s">
        <v>1034</v>
      </c>
      <c r="H484" s="49" t="s">
        <v>2917</v>
      </c>
      <c r="I484" s="844">
        <v>13.6</v>
      </c>
      <c r="J484" s="49" t="s">
        <v>1034</v>
      </c>
      <c r="K484" s="49">
        <f t="shared" si="14"/>
        <v>54.4</v>
      </c>
      <c r="L484" s="49"/>
      <c r="M484" s="49"/>
    </row>
    <row r="485" spans="5:14">
      <c r="E485" s="49"/>
      <c r="F485" s="49">
        <v>10</v>
      </c>
      <c r="G485" s="49" t="s">
        <v>39</v>
      </c>
      <c r="H485" s="49" t="s">
        <v>2918</v>
      </c>
      <c r="I485" s="844">
        <v>3.7</v>
      </c>
      <c r="J485" s="49" t="s">
        <v>39</v>
      </c>
      <c r="K485" s="49">
        <f t="shared" si="14"/>
        <v>37</v>
      </c>
      <c r="L485" s="49"/>
      <c r="M485" s="49"/>
    </row>
    <row r="486" spans="5:14">
      <c r="E486" s="49"/>
      <c r="F486" s="49"/>
      <c r="G486" s="49"/>
      <c r="H486" s="49" t="s">
        <v>1557</v>
      </c>
      <c r="I486" s="49"/>
      <c r="J486" s="49"/>
      <c r="K486" s="49">
        <v>12.15</v>
      </c>
      <c r="L486" s="49"/>
      <c r="M486" s="49"/>
    </row>
    <row r="487" spans="5:14">
      <c r="E487" s="49"/>
      <c r="F487" s="49"/>
      <c r="G487" s="49"/>
      <c r="H487" s="49" t="s">
        <v>478</v>
      </c>
      <c r="I487" s="49"/>
      <c r="J487" s="49"/>
      <c r="K487" s="49">
        <f>K493</f>
        <v>1394</v>
      </c>
      <c r="L487" s="49"/>
      <c r="M487" s="49"/>
    </row>
    <row r="488" spans="5:14">
      <c r="E488" s="49"/>
      <c r="F488" s="49"/>
      <c r="G488" s="49"/>
      <c r="H488" s="840" t="s">
        <v>2400</v>
      </c>
      <c r="I488" s="49"/>
      <c r="J488" s="49"/>
      <c r="K488" s="50">
        <f>SUM(K475:K487)</f>
        <v>2872</v>
      </c>
      <c r="L488" s="49">
        <f>K488-2020</f>
        <v>852</v>
      </c>
      <c r="M488" s="49"/>
    </row>
    <row r="489" spans="5:14">
      <c r="E489" s="49"/>
      <c r="F489" s="49"/>
      <c r="G489" s="49"/>
      <c r="H489" s="49"/>
      <c r="I489" s="49"/>
      <c r="J489" s="49"/>
      <c r="K489" s="49"/>
      <c r="L489" s="49"/>
      <c r="M489" s="49"/>
    </row>
    <row r="490" spans="5:14">
      <c r="E490" s="49"/>
      <c r="F490" s="49"/>
      <c r="G490" s="49"/>
      <c r="H490" s="847" t="s">
        <v>478</v>
      </c>
      <c r="I490" s="49"/>
      <c r="J490" s="49"/>
      <c r="K490" s="49"/>
      <c r="L490" s="49"/>
      <c r="M490" s="49"/>
    </row>
    <row r="491" spans="5:14">
      <c r="E491" s="49"/>
      <c r="F491" s="49">
        <v>1</v>
      </c>
      <c r="G491" s="49" t="s">
        <v>1034</v>
      </c>
      <c r="H491" s="49" t="s">
        <v>2472</v>
      </c>
      <c r="I491" s="49">
        <f>I447</f>
        <v>783</v>
      </c>
      <c r="J491" s="49" t="s">
        <v>1034</v>
      </c>
      <c r="K491" s="49">
        <f>F491*I491</f>
        <v>783</v>
      </c>
      <c r="L491" s="49"/>
      <c r="M491" s="49"/>
    </row>
    <row r="492" spans="5:14">
      <c r="E492" s="49"/>
      <c r="F492" s="49">
        <v>1</v>
      </c>
      <c r="G492" s="49" t="s">
        <v>1034</v>
      </c>
      <c r="H492" s="49" t="s">
        <v>2236</v>
      </c>
      <c r="I492" s="49">
        <f>I467</f>
        <v>611</v>
      </c>
      <c r="J492" s="49" t="s">
        <v>1034</v>
      </c>
      <c r="K492" s="49">
        <f>F492*I492</f>
        <v>611</v>
      </c>
      <c r="L492" s="49"/>
      <c r="M492" s="49"/>
    </row>
    <row r="493" spans="5:14">
      <c r="E493" s="49"/>
      <c r="F493" s="49"/>
      <c r="G493" s="49"/>
      <c r="H493" s="49"/>
      <c r="I493" s="49"/>
      <c r="J493" s="49"/>
      <c r="K493" s="50">
        <f>SUM(K491:K492)</f>
        <v>1394</v>
      </c>
      <c r="L493" s="49"/>
      <c r="M493" s="49"/>
    </row>
    <row r="494" spans="5:14">
      <c r="E494" s="49"/>
      <c r="F494" s="49"/>
      <c r="G494" s="49"/>
      <c r="H494" s="50" t="s">
        <v>2550</v>
      </c>
      <c r="I494" s="49"/>
      <c r="J494" s="49"/>
      <c r="K494" s="49"/>
      <c r="L494" s="49"/>
      <c r="M494" s="49"/>
    </row>
    <row r="495" spans="5:14">
      <c r="E495" s="49"/>
      <c r="F495" s="49"/>
      <c r="G495" s="49"/>
      <c r="H495" s="50" t="s">
        <v>2551</v>
      </c>
      <c r="I495" s="49"/>
      <c r="J495" s="49"/>
      <c r="K495" s="49"/>
      <c r="L495" s="49"/>
      <c r="M495" s="49"/>
    </row>
    <row r="496" spans="5:14">
      <c r="E496" s="49"/>
      <c r="F496" s="49"/>
      <c r="G496" s="49"/>
      <c r="H496" s="49"/>
      <c r="I496" s="49"/>
      <c r="J496" s="49"/>
      <c r="K496" s="49"/>
      <c r="L496" s="49"/>
      <c r="M496" s="49"/>
    </row>
    <row r="497" spans="5:13" ht="63">
      <c r="E497" s="49"/>
      <c r="F497" s="49"/>
      <c r="G497" s="49"/>
      <c r="H497" s="51" t="s">
        <v>2552</v>
      </c>
      <c r="I497" s="49"/>
      <c r="J497" s="49"/>
      <c r="K497" s="49"/>
      <c r="L497" s="49"/>
      <c r="M497" s="49"/>
    </row>
    <row r="498" spans="5:13" ht="86.25" customHeight="1">
      <c r="E498" s="49"/>
      <c r="F498" s="49"/>
      <c r="G498" s="49"/>
      <c r="H498" s="49"/>
      <c r="I498" s="49"/>
      <c r="J498" s="49"/>
      <c r="K498" s="49"/>
      <c r="L498" s="49"/>
      <c r="M498" s="49"/>
    </row>
    <row r="499" spans="5:13">
      <c r="E499" s="49"/>
      <c r="F499" s="49">
        <v>1</v>
      </c>
      <c r="G499" s="49" t="s">
        <v>1034</v>
      </c>
      <c r="H499" s="49" t="s">
        <v>2553</v>
      </c>
      <c r="I499" s="49">
        <f>K504</f>
        <v>62.57</v>
      </c>
      <c r="J499" s="49" t="s">
        <v>729</v>
      </c>
      <c r="K499" s="49">
        <f>F499*I499</f>
        <v>62.57</v>
      </c>
      <c r="L499" s="49"/>
      <c r="M499" s="49"/>
    </row>
    <row r="500" spans="5:13" ht="31.5">
      <c r="E500" s="49"/>
      <c r="F500" s="49"/>
      <c r="G500" s="49"/>
      <c r="H500" s="51" t="s">
        <v>2554</v>
      </c>
      <c r="I500" s="49"/>
      <c r="J500" s="49" t="s">
        <v>49</v>
      </c>
      <c r="K500" s="49">
        <v>15.64</v>
      </c>
      <c r="L500" s="49"/>
      <c r="M500" s="49"/>
    </row>
    <row r="501" spans="5:13" ht="56.25" customHeight="1">
      <c r="E501" s="49"/>
      <c r="F501" s="49"/>
      <c r="G501" s="49"/>
      <c r="H501" s="49" t="s">
        <v>1978</v>
      </c>
      <c r="I501" s="49"/>
      <c r="J501" s="49"/>
      <c r="K501" s="49">
        <f>K509</f>
        <v>311.7</v>
      </c>
      <c r="L501" s="49"/>
      <c r="M501" s="49"/>
    </row>
    <row r="502" spans="5:13">
      <c r="E502" s="49"/>
      <c r="F502" s="49"/>
      <c r="G502" s="49"/>
      <c r="H502" s="840" t="s">
        <v>2400</v>
      </c>
      <c r="I502" s="49"/>
      <c r="J502" s="49"/>
      <c r="K502" s="50">
        <f>SUM(K499:K501)</f>
        <v>389.91</v>
      </c>
      <c r="L502" s="49">
        <f>K502-261</f>
        <v>128.91</v>
      </c>
      <c r="M502" s="49"/>
    </row>
    <row r="503" spans="5:13">
      <c r="E503" s="49"/>
      <c r="F503" s="49"/>
      <c r="G503" s="49"/>
      <c r="H503" s="49"/>
      <c r="I503" s="49"/>
      <c r="J503" s="49"/>
      <c r="K503" s="49"/>
      <c r="L503" s="49"/>
      <c r="M503" s="49"/>
    </row>
    <row r="504" spans="5:13">
      <c r="E504" s="49"/>
      <c r="F504" s="49"/>
      <c r="G504" s="49"/>
      <c r="H504" s="50" t="s">
        <v>2555</v>
      </c>
      <c r="I504" s="49">
        <f>I391</f>
        <v>104280</v>
      </c>
      <c r="J504" s="852">
        <v>5.9999999999999995E-4</v>
      </c>
      <c r="K504" s="49">
        <f>ROUND(I504*J504,2)</f>
        <v>62.57</v>
      </c>
      <c r="L504" s="49"/>
      <c r="M504" s="49"/>
    </row>
    <row r="505" spans="5:13">
      <c r="E505" s="49"/>
      <c r="F505" s="49"/>
      <c r="G505" s="49"/>
      <c r="H505" s="49" t="s">
        <v>1978</v>
      </c>
      <c r="I505" s="49"/>
      <c r="J505" s="49"/>
      <c r="K505" s="49"/>
      <c r="L505" s="49"/>
      <c r="M505" s="49"/>
    </row>
    <row r="506" spans="5:13">
      <c r="E506" s="49"/>
      <c r="F506" s="49">
        <v>1</v>
      </c>
      <c r="G506" s="49" t="s">
        <v>1034</v>
      </c>
      <c r="H506" s="49" t="s">
        <v>2556</v>
      </c>
      <c r="I506" s="49">
        <f>I447</f>
        <v>783</v>
      </c>
      <c r="J506" s="49" t="s">
        <v>729</v>
      </c>
      <c r="K506" s="49">
        <f>F506*I506</f>
        <v>783</v>
      </c>
      <c r="L506" s="49"/>
      <c r="M506" s="49"/>
    </row>
    <row r="507" spans="5:13">
      <c r="E507" s="49"/>
      <c r="F507" s="49">
        <v>3</v>
      </c>
      <c r="G507" s="49" t="s">
        <v>1034</v>
      </c>
      <c r="H507" s="49" t="s">
        <v>2463</v>
      </c>
      <c r="I507" s="49">
        <f>I448</f>
        <v>778</v>
      </c>
      <c r="J507" s="49" t="s">
        <v>729</v>
      </c>
      <c r="K507" s="49">
        <f>F507*I507</f>
        <v>2334</v>
      </c>
      <c r="L507" s="49"/>
      <c r="M507" s="49"/>
    </row>
    <row r="508" spans="5:13">
      <c r="E508" s="49"/>
      <c r="F508" s="49"/>
      <c r="G508" s="49"/>
      <c r="H508" s="839" t="s">
        <v>2557</v>
      </c>
      <c r="I508" s="49"/>
      <c r="J508" s="49"/>
      <c r="K508" s="49">
        <f>SUM(K506:K507)</f>
        <v>3117</v>
      </c>
      <c r="L508" s="49"/>
      <c r="M508" s="49"/>
    </row>
    <row r="509" spans="5:13">
      <c r="E509" s="49"/>
      <c r="F509" s="49"/>
      <c r="G509" s="49"/>
      <c r="H509" s="839" t="s">
        <v>2558</v>
      </c>
      <c r="I509" s="49"/>
      <c r="J509" s="49"/>
      <c r="K509" s="50">
        <f>K508/10</f>
        <v>311.7</v>
      </c>
      <c r="L509" s="49"/>
      <c r="M509" s="49"/>
    </row>
    <row r="510" spans="5:13">
      <c r="E510" s="49"/>
      <c r="F510" s="49"/>
      <c r="G510" s="49"/>
      <c r="H510" s="49"/>
      <c r="I510" s="49"/>
      <c r="J510" s="49"/>
      <c r="K510" s="49"/>
      <c r="L510" s="49"/>
      <c r="M510" s="49"/>
    </row>
    <row r="511" spans="5:13">
      <c r="E511" s="49"/>
      <c r="F511" s="49"/>
      <c r="G511" s="49"/>
      <c r="H511" s="50" t="s">
        <v>2559</v>
      </c>
      <c r="I511" s="49"/>
      <c r="J511" s="49"/>
      <c r="K511" s="49"/>
      <c r="L511" s="49"/>
      <c r="M511" s="49"/>
    </row>
    <row r="512" spans="5:13" ht="78.75">
      <c r="E512" s="49"/>
      <c r="F512" s="49"/>
      <c r="G512" s="49"/>
      <c r="H512" s="51" t="s">
        <v>2919</v>
      </c>
      <c r="I512" s="49"/>
      <c r="J512" s="49"/>
      <c r="K512" s="49"/>
      <c r="L512" s="49"/>
      <c r="M512" s="49"/>
    </row>
    <row r="513" spans="5:13" ht="103.5" customHeight="1">
      <c r="E513" s="49"/>
      <c r="F513" s="49"/>
      <c r="G513" s="49"/>
      <c r="H513" s="49"/>
      <c r="I513" s="49"/>
      <c r="J513" s="49"/>
      <c r="K513" s="49"/>
      <c r="L513" s="49"/>
      <c r="M513" s="49"/>
    </row>
    <row r="514" spans="5:13">
      <c r="E514" s="49"/>
      <c r="F514" s="49">
        <v>1</v>
      </c>
      <c r="G514" s="49" t="s">
        <v>1034</v>
      </c>
      <c r="H514" s="49" t="s">
        <v>2920</v>
      </c>
      <c r="I514" s="844">
        <v>348</v>
      </c>
      <c r="J514" s="49" t="s">
        <v>1034</v>
      </c>
      <c r="K514" s="49">
        <f>F514*I514</f>
        <v>348</v>
      </c>
      <c r="L514" s="49"/>
      <c r="M514" s="49"/>
    </row>
    <row r="515" spans="5:13" ht="31.5">
      <c r="E515" s="49"/>
      <c r="F515" s="49"/>
      <c r="G515" s="49"/>
      <c r="H515" s="51" t="s">
        <v>2561</v>
      </c>
      <c r="I515" s="49"/>
      <c r="J515" s="49"/>
      <c r="K515" s="49">
        <v>20.85</v>
      </c>
      <c r="L515" s="49"/>
      <c r="M515" s="49"/>
    </row>
    <row r="516" spans="5:13" ht="52.5" customHeight="1">
      <c r="E516" s="49"/>
      <c r="F516" s="49"/>
      <c r="G516" s="49"/>
      <c r="H516" s="49" t="s">
        <v>478</v>
      </c>
      <c r="I516" s="49"/>
      <c r="J516" s="49"/>
      <c r="K516" s="49">
        <f>K525</f>
        <v>420.15</v>
      </c>
      <c r="L516" s="49"/>
      <c r="M516" s="49"/>
    </row>
    <row r="517" spans="5:13">
      <c r="E517" s="49"/>
      <c r="F517" s="49"/>
      <c r="G517" s="49"/>
      <c r="H517" s="840" t="s">
        <v>2400</v>
      </c>
      <c r="I517" s="49"/>
      <c r="J517" s="49"/>
      <c r="K517" s="50">
        <f>SUM(K514:K516)</f>
        <v>789</v>
      </c>
      <c r="L517" s="49">
        <f>789-K517</f>
        <v>0</v>
      </c>
      <c r="M517" s="49"/>
    </row>
    <row r="518" spans="5:13">
      <c r="E518" s="49"/>
      <c r="F518" s="49"/>
      <c r="G518" s="49"/>
      <c r="H518" s="840"/>
      <c r="I518" s="49"/>
      <c r="J518" s="49"/>
      <c r="K518" s="50"/>
      <c r="L518" s="49"/>
      <c r="M518" s="49"/>
    </row>
    <row r="519" spans="5:13">
      <c r="E519" s="49"/>
      <c r="F519" s="49"/>
      <c r="G519" s="49"/>
      <c r="H519" s="49" t="s">
        <v>1978</v>
      </c>
      <c r="I519" s="49"/>
      <c r="J519" s="49"/>
      <c r="K519" s="49"/>
      <c r="L519" s="49"/>
      <c r="M519" s="49"/>
    </row>
    <row r="520" spans="5:13">
      <c r="E520" s="49"/>
      <c r="F520" s="49">
        <v>1</v>
      </c>
      <c r="G520" s="49"/>
      <c r="H520" s="49" t="s">
        <v>2472</v>
      </c>
      <c r="I520" s="49">
        <f>I36</f>
        <v>783</v>
      </c>
      <c r="J520" s="49" t="s">
        <v>1034</v>
      </c>
      <c r="K520" s="49">
        <f>F520*I520</f>
        <v>783</v>
      </c>
      <c r="L520" s="49"/>
      <c r="M520" s="49"/>
    </row>
    <row r="521" spans="5:13">
      <c r="E521" s="49"/>
      <c r="F521" s="49">
        <v>3</v>
      </c>
      <c r="G521" s="49"/>
      <c r="H521" s="49" t="s">
        <v>2463</v>
      </c>
      <c r="I521" s="49">
        <f>I37</f>
        <v>778</v>
      </c>
      <c r="J521" s="49" t="s">
        <v>1034</v>
      </c>
      <c r="K521" s="49">
        <f>F521*I521</f>
        <v>2334</v>
      </c>
      <c r="L521" s="49"/>
      <c r="M521" s="49"/>
    </row>
    <row r="522" spans="5:13">
      <c r="E522" s="49"/>
      <c r="F522" s="49">
        <v>1</v>
      </c>
      <c r="G522" s="49"/>
      <c r="H522" s="49" t="s">
        <v>2166</v>
      </c>
      <c r="I522" s="49">
        <f>I38</f>
        <v>611</v>
      </c>
      <c r="J522" s="49" t="s">
        <v>1034</v>
      </c>
      <c r="K522" s="49">
        <f>F522*I522</f>
        <v>611</v>
      </c>
      <c r="L522" s="49"/>
      <c r="M522" s="49"/>
    </row>
    <row r="523" spans="5:13">
      <c r="E523" s="49"/>
      <c r="F523" s="49">
        <v>0.5</v>
      </c>
      <c r="G523" s="49"/>
      <c r="H523" s="49" t="s">
        <v>2921</v>
      </c>
      <c r="I523" s="844">
        <f>Data!AF9</f>
        <v>947</v>
      </c>
      <c r="J523" s="49" t="s">
        <v>1034</v>
      </c>
      <c r="K523" s="49">
        <f>F523*I523</f>
        <v>473.5</v>
      </c>
      <c r="L523" s="49"/>
      <c r="M523" s="49"/>
    </row>
    <row r="524" spans="5:13">
      <c r="E524" s="49"/>
      <c r="F524" s="49"/>
      <c r="G524" s="49"/>
      <c r="H524" s="839" t="s">
        <v>2562</v>
      </c>
      <c r="I524" s="49"/>
      <c r="J524" s="49"/>
      <c r="K524" s="847">
        <f>SUM(K520:K523)</f>
        <v>4201.5</v>
      </c>
      <c r="L524" s="49"/>
      <c r="M524" s="49"/>
    </row>
    <row r="525" spans="5:13">
      <c r="E525" s="49"/>
      <c r="F525" s="49"/>
      <c r="G525" s="49"/>
      <c r="H525" s="840" t="s">
        <v>2563</v>
      </c>
      <c r="I525" s="50"/>
      <c r="J525" s="50"/>
      <c r="K525" s="50">
        <f>K524/10</f>
        <v>420.15</v>
      </c>
      <c r="L525" s="49"/>
      <c r="M525" s="49"/>
    </row>
    <row r="526" spans="5:13">
      <c r="E526" s="49"/>
      <c r="F526" s="49"/>
      <c r="G526" s="49"/>
      <c r="H526" s="49"/>
      <c r="I526" s="49"/>
      <c r="J526" s="49"/>
      <c r="K526" s="49"/>
      <c r="L526" s="49"/>
      <c r="M526" s="49"/>
    </row>
    <row r="527" spans="5:13">
      <c r="E527" s="49"/>
      <c r="F527" s="49"/>
      <c r="G527" s="49"/>
      <c r="H527" s="50" t="s">
        <v>2564</v>
      </c>
      <c r="I527" s="49"/>
      <c r="J527" s="49"/>
      <c r="K527" s="49"/>
      <c r="L527" s="49"/>
      <c r="M527" s="49"/>
    </row>
    <row r="528" spans="5:13">
      <c r="E528" s="49"/>
      <c r="F528" s="49"/>
      <c r="G528" s="49"/>
      <c r="H528" s="50" t="s">
        <v>2565</v>
      </c>
      <c r="I528" s="49"/>
      <c r="J528" s="49"/>
      <c r="K528" s="49"/>
      <c r="L528" s="49"/>
      <c r="M528" s="49"/>
    </row>
    <row r="529" spans="5:13">
      <c r="E529" s="49"/>
      <c r="F529" s="49"/>
      <c r="G529" s="49"/>
      <c r="H529" s="49"/>
      <c r="I529" s="49"/>
      <c r="J529" s="49"/>
      <c r="K529" s="49"/>
      <c r="L529" s="49"/>
      <c r="M529" s="49"/>
    </row>
    <row r="530" spans="5:13" ht="78.75">
      <c r="E530" s="49"/>
      <c r="F530" s="49"/>
      <c r="G530" s="49"/>
      <c r="H530" s="51" t="s">
        <v>2566</v>
      </c>
      <c r="I530" s="49"/>
      <c r="J530" s="49"/>
      <c r="K530" s="49"/>
      <c r="L530" s="49"/>
      <c r="M530" s="49"/>
    </row>
    <row r="531" spans="5:13" ht="103.5" customHeight="1">
      <c r="E531" s="49"/>
      <c r="F531" s="49"/>
      <c r="G531" s="49"/>
      <c r="H531" s="49"/>
      <c r="I531" s="49"/>
      <c r="J531" s="49"/>
      <c r="K531" s="49"/>
      <c r="L531" s="49"/>
      <c r="M531" s="49"/>
    </row>
    <row r="532" spans="5:13">
      <c r="E532" s="49"/>
      <c r="F532" s="49">
        <v>1</v>
      </c>
      <c r="G532" s="49" t="s">
        <v>1034</v>
      </c>
      <c r="H532" s="49" t="s">
        <v>2567</v>
      </c>
      <c r="I532" s="49">
        <f>K537</f>
        <v>125.14</v>
      </c>
      <c r="J532" s="49" t="s">
        <v>729</v>
      </c>
      <c r="K532" s="49">
        <f>F532*I532</f>
        <v>125.14</v>
      </c>
      <c r="L532" s="49"/>
      <c r="M532" s="49"/>
    </row>
    <row r="533" spans="5:13" ht="31.5">
      <c r="E533" s="49"/>
      <c r="F533" s="49" t="s">
        <v>49</v>
      </c>
      <c r="G533" s="49" t="s">
        <v>49</v>
      </c>
      <c r="H533" s="51" t="s">
        <v>2568</v>
      </c>
      <c r="I533" s="49" t="s">
        <v>49</v>
      </c>
      <c r="J533" s="49" t="s">
        <v>49</v>
      </c>
      <c r="K533" s="49">
        <v>43.16</v>
      </c>
      <c r="L533" s="49"/>
      <c r="M533" s="49"/>
    </row>
    <row r="534" spans="5:13" ht="51" customHeight="1">
      <c r="E534" s="49"/>
      <c r="F534" s="49"/>
      <c r="G534" s="49"/>
      <c r="H534" s="49" t="s">
        <v>1978</v>
      </c>
      <c r="I534" s="49"/>
      <c r="J534" s="49"/>
      <c r="K534" s="49">
        <f>K509</f>
        <v>311.7</v>
      </c>
      <c r="L534" s="49"/>
      <c r="M534" s="49"/>
    </row>
    <row r="535" spans="5:13">
      <c r="E535" s="49"/>
      <c r="F535" s="49"/>
      <c r="G535" s="49"/>
      <c r="H535" s="840" t="s">
        <v>2400</v>
      </c>
      <c r="I535" s="49"/>
      <c r="J535" s="49"/>
      <c r="K535" s="50">
        <f>SUM(K532:K534)</f>
        <v>480</v>
      </c>
      <c r="L535" s="49">
        <f>K535-480</f>
        <v>0</v>
      </c>
      <c r="M535" s="49"/>
    </row>
    <row r="536" spans="5:13">
      <c r="E536" s="49"/>
      <c r="F536" s="49"/>
      <c r="G536" s="49"/>
      <c r="H536" s="49"/>
      <c r="I536" s="49"/>
      <c r="J536" s="49"/>
      <c r="K536" s="50"/>
      <c r="L536" s="49"/>
      <c r="M536" s="49"/>
    </row>
    <row r="537" spans="5:13">
      <c r="E537" s="49"/>
      <c r="F537" s="49"/>
      <c r="G537" s="49"/>
      <c r="H537" s="50" t="s">
        <v>2567</v>
      </c>
      <c r="I537" s="49">
        <f>I504</f>
        <v>104280</v>
      </c>
      <c r="J537" s="852">
        <f>0.0012</f>
        <v>1.1999999999999999E-3</v>
      </c>
      <c r="K537" s="50">
        <f>I537*J537</f>
        <v>125.14</v>
      </c>
      <c r="L537" s="49"/>
      <c r="M537" s="49"/>
    </row>
    <row r="538" spans="5:13">
      <c r="E538" s="49"/>
      <c r="F538" s="49"/>
      <c r="G538" s="49"/>
      <c r="H538" s="49"/>
      <c r="I538" s="49"/>
      <c r="J538" s="49"/>
      <c r="K538" s="49"/>
      <c r="L538" s="49"/>
      <c r="M538" s="49"/>
    </row>
    <row r="539" spans="5:13">
      <c r="E539" s="49"/>
      <c r="F539" s="49"/>
      <c r="G539" s="49"/>
      <c r="H539" s="50" t="s">
        <v>2550</v>
      </c>
      <c r="I539" s="49"/>
      <c r="J539" s="49"/>
      <c r="K539" s="49"/>
      <c r="L539" s="49"/>
      <c r="M539" s="49"/>
    </row>
    <row r="540" spans="5:13">
      <c r="E540" s="49"/>
      <c r="F540" s="49"/>
      <c r="G540" s="49"/>
      <c r="H540" s="49"/>
      <c r="I540" s="49"/>
      <c r="J540" s="49"/>
      <c r="K540" s="49"/>
      <c r="L540" s="49"/>
      <c r="M540" s="49"/>
    </row>
    <row r="541" spans="5:13">
      <c r="E541" s="49"/>
      <c r="F541" s="49"/>
      <c r="G541" s="49"/>
      <c r="H541" s="50" t="s">
        <v>2569</v>
      </c>
      <c r="I541" s="49"/>
      <c r="J541" s="49"/>
      <c r="K541" s="49"/>
      <c r="L541" s="49"/>
      <c r="M541" s="49"/>
    </row>
    <row r="542" spans="5:13">
      <c r="E542" s="49"/>
      <c r="F542" s="49"/>
      <c r="G542" s="49"/>
      <c r="H542" s="49"/>
      <c r="I542" s="49"/>
      <c r="J542" s="49"/>
      <c r="K542" s="49"/>
      <c r="L542" s="49"/>
      <c r="M542" s="49"/>
    </row>
    <row r="543" spans="5:13" ht="78.75">
      <c r="E543" s="49"/>
      <c r="F543" s="49"/>
      <c r="G543" s="49"/>
      <c r="H543" s="51" t="s">
        <v>2922</v>
      </c>
      <c r="I543" s="49"/>
      <c r="J543" s="49"/>
      <c r="K543" s="49"/>
      <c r="L543" s="49"/>
      <c r="M543" s="49"/>
    </row>
    <row r="544" spans="5:13" ht="102" customHeight="1">
      <c r="E544" s="49"/>
      <c r="F544" s="49"/>
      <c r="G544" s="49"/>
      <c r="H544" s="49"/>
      <c r="I544" s="49"/>
      <c r="J544" s="49"/>
      <c r="K544" s="49"/>
      <c r="L544" s="49"/>
      <c r="M544" s="49"/>
    </row>
    <row r="545" spans="5:13">
      <c r="E545" s="49"/>
      <c r="F545" s="49">
        <v>1</v>
      </c>
      <c r="G545" s="49" t="s">
        <v>1034</v>
      </c>
      <c r="H545" s="49" t="s">
        <v>2923</v>
      </c>
      <c r="I545" s="49">
        <f>I514</f>
        <v>348</v>
      </c>
      <c r="J545" s="49" t="s">
        <v>1034</v>
      </c>
      <c r="K545" s="49">
        <f>F545*I545</f>
        <v>348</v>
      </c>
      <c r="L545" s="49"/>
      <c r="M545" s="49"/>
    </row>
    <row r="546" spans="5:13" ht="31.5">
      <c r="E546" s="49"/>
      <c r="F546" s="49"/>
      <c r="G546" s="49"/>
      <c r="H546" s="51" t="s">
        <v>2561</v>
      </c>
      <c r="I546" s="49"/>
      <c r="J546" s="49"/>
      <c r="K546" s="49">
        <v>35.35</v>
      </c>
      <c r="L546" s="49"/>
      <c r="M546" s="49"/>
    </row>
    <row r="547" spans="5:13">
      <c r="E547" s="49"/>
      <c r="F547" s="49"/>
      <c r="G547" s="49"/>
      <c r="H547" s="49" t="s">
        <v>478</v>
      </c>
      <c r="I547" s="49"/>
      <c r="J547" s="49"/>
      <c r="K547" s="49">
        <f>K525</f>
        <v>420.15</v>
      </c>
      <c r="L547" s="49"/>
      <c r="M547" s="49"/>
    </row>
    <row r="548" spans="5:13">
      <c r="E548" s="49"/>
      <c r="F548" s="49"/>
      <c r="G548" s="49"/>
      <c r="H548" s="840" t="s">
        <v>2400</v>
      </c>
      <c r="I548" s="49"/>
      <c r="J548" s="49"/>
      <c r="K548" s="50">
        <f>SUM(K545:K547)</f>
        <v>803.5</v>
      </c>
      <c r="L548" s="49">
        <f>K548-551</f>
        <v>252.5</v>
      </c>
      <c r="M548" s="49"/>
    </row>
    <row r="549" spans="5:13">
      <c r="E549" s="49"/>
      <c r="F549" s="49"/>
      <c r="G549" s="49"/>
      <c r="H549" s="49"/>
      <c r="I549" s="49"/>
      <c r="J549" s="49"/>
      <c r="K549" s="49"/>
      <c r="L549" s="49"/>
      <c r="M549" s="49"/>
    </row>
    <row r="550" spans="5:13">
      <c r="E550" s="49"/>
      <c r="F550" s="49"/>
      <c r="G550" s="49"/>
      <c r="H550" s="50" t="s">
        <v>2571</v>
      </c>
      <c r="I550" s="49"/>
      <c r="J550" s="49"/>
      <c r="K550" s="49"/>
      <c r="L550" s="49"/>
      <c r="M550" s="49"/>
    </row>
    <row r="551" spans="5:13">
      <c r="E551" s="49"/>
      <c r="F551" s="49"/>
      <c r="G551" s="49"/>
      <c r="H551" s="50" t="s">
        <v>2572</v>
      </c>
      <c r="I551" s="49"/>
      <c r="J551" s="49"/>
      <c r="K551" s="49"/>
      <c r="L551" s="49"/>
      <c r="M551" s="49"/>
    </row>
    <row r="552" spans="5:13">
      <c r="E552" s="49"/>
      <c r="F552" s="49"/>
      <c r="G552" s="49"/>
      <c r="H552" s="49"/>
      <c r="I552" s="49"/>
      <c r="J552" s="49"/>
      <c r="K552" s="49"/>
      <c r="L552" s="49"/>
      <c r="M552" s="49"/>
    </row>
    <row r="553" spans="5:13" ht="31.5">
      <c r="E553" s="49"/>
      <c r="F553" s="49">
        <v>1</v>
      </c>
      <c r="G553" s="49" t="s">
        <v>1034</v>
      </c>
      <c r="H553" s="51" t="s">
        <v>2924</v>
      </c>
      <c r="I553" s="844">
        <v>1520</v>
      </c>
      <c r="J553" s="49" t="s">
        <v>1034</v>
      </c>
      <c r="K553" s="50">
        <f>F553*I553</f>
        <v>1520</v>
      </c>
      <c r="L553" s="49"/>
      <c r="M553" s="49"/>
    </row>
    <row r="554" spans="5:13" ht="39" customHeight="1">
      <c r="E554" s="49"/>
      <c r="F554" s="49"/>
      <c r="G554" s="49"/>
      <c r="H554" s="49"/>
      <c r="I554" s="49"/>
      <c r="J554" s="49"/>
      <c r="K554" s="49"/>
      <c r="L554" s="49"/>
      <c r="M554" s="49"/>
    </row>
    <row r="555" spans="5:13">
      <c r="E555" s="49"/>
      <c r="F555" s="49"/>
      <c r="G555" s="49"/>
      <c r="H555" s="50" t="s">
        <v>2573</v>
      </c>
      <c r="I555" s="49"/>
      <c r="J555" s="49"/>
      <c r="K555" s="49"/>
      <c r="L555" s="49"/>
      <c r="M555" s="49"/>
    </row>
    <row r="556" spans="5:13">
      <c r="E556" s="49"/>
      <c r="F556" s="49"/>
      <c r="G556" s="49"/>
      <c r="H556" s="50" t="s">
        <v>2574</v>
      </c>
      <c r="I556" s="49"/>
      <c r="J556" s="49"/>
      <c r="K556" s="49"/>
      <c r="L556" s="49"/>
      <c r="M556" s="49"/>
    </row>
    <row r="557" spans="5:13">
      <c r="E557" s="49"/>
      <c r="F557" s="49"/>
      <c r="G557" s="49"/>
      <c r="H557" s="49"/>
      <c r="I557" s="49"/>
      <c r="J557" s="49"/>
      <c r="K557" s="49"/>
      <c r="L557" s="49"/>
      <c r="M557" s="49"/>
    </row>
    <row r="558" spans="5:13" ht="31.5">
      <c r="E558" s="49"/>
      <c r="F558" s="49">
        <v>1</v>
      </c>
      <c r="G558" s="49" t="s">
        <v>1034</v>
      </c>
      <c r="H558" s="51" t="s">
        <v>2925</v>
      </c>
      <c r="I558" s="844">
        <v>1876</v>
      </c>
      <c r="J558" s="49" t="s">
        <v>1034</v>
      </c>
      <c r="K558" s="50">
        <f>F558*I558</f>
        <v>1876</v>
      </c>
      <c r="L558" s="49"/>
      <c r="M558" s="49"/>
    </row>
    <row r="559" spans="5:13" ht="36.75" customHeight="1">
      <c r="E559" s="49"/>
      <c r="F559" s="49"/>
      <c r="G559" s="49"/>
      <c r="H559" s="49"/>
      <c r="I559" s="49"/>
      <c r="J559" s="49"/>
      <c r="K559" s="49"/>
      <c r="L559" s="49"/>
      <c r="M559" s="49"/>
    </row>
    <row r="560" spans="5:13" ht="7.5" customHeight="1">
      <c r="E560" s="49"/>
      <c r="F560" s="49"/>
      <c r="G560" s="49"/>
      <c r="H560" s="50" t="s">
        <v>2576</v>
      </c>
      <c r="I560" s="49"/>
      <c r="J560" s="49"/>
      <c r="K560" s="49"/>
      <c r="L560" s="49"/>
      <c r="M560" s="49"/>
    </row>
    <row r="561" spans="5:16">
      <c r="E561" s="49"/>
      <c r="F561" s="49"/>
      <c r="G561" s="49"/>
      <c r="H561" s="50" t="s">
        <v>2577</v>
      </c>
      <c r="I561" s="49"/>
      <c r="J561" s="49"/>
      <c r="K561" s="49"/>
      <c r="L561" s="49"/>
      <c r="M561" s="49"/>
    </row>
    <row r="562" spans="5:16">
      <c r="E562" s="49"/>
      <c r="F562" s="49"/>
      <c r="G562" s="49"/>
      <c r="H562" s="847" t="s">
        <v>2578</v>
      </c>
      <c r="I562" s="49"/>
      <c r="J562" s="49"/>
      <c r="K562" s="49"/>
      <c r="L562" s="49"/>
      <c r="M562" s="49"/>
    </row>
    <row r="563" spans="5:16">
      <c r="E563" s="49"/>
      <c r="F563" s="49"/>
      <c r="G563" s="49"/>
      <c r="H563" s="49"/>
      <c r="I563" s="49"/>
      <c r="J563" s="49"/>
      <c r="K563" s="49"/>
      <c r="L563" s="49"/>
      <c r="M563" s="49"/>
    </row>
    <row r="564" spans="5:16" ht="63">
      <c r="E564" s="49"/>
      <c r="F564" s="49"/>
      <c r="G564" s="49"/>
      <c r="H564" s="51" t="s">
        <v>2579</v>
      </c>
      <c r="I564" s="49"/>
      <c r="J564" s="49"/>
      <c r="K564" s="49"/>
      <c r="L564" s="51" t="s">
        <v>2580</v>
      </c>
      <c r="M564" s="51" t="s">
        <v>2581</v>
      </c>
      <c r="N564" s="51" t="s">
        <v>2582</v>
      </c>
      <c r="O564" s="51" t="s">
        <v>2583</v>
      </c>
    </row>
    <row r="565" spans="5:16">
      <c r="E565" s="49"/>
      <c r="F565" s="49">
        <v>1</v>
      </c>
      <c r="G565" s="49" t="s">
        <v>1034</v>
      </c>
      <c r="H565" s="49" t="s">
        <v>2926</v>
      </c>
      <c r="I565" s="844">
        <v>85.2</v>
      </c>
      <c r="J565" s="49" t="s">
        <v>1034</v>
      </c>
      <c r="K565" s="49">
        <f>F565*I565</f>
        <v>85.2</v>
      </c>
      <c r="L565" s="52">
        <v>190.2</v>
      </c>
      <c r="M565" s="52">
        <v>48.05</v>
      </c>
      <c r="N565" s="52">
        <v>343.7</v>
      </c>
      <c r="O565" s="870">
        <v>555</v>
      </c>
    </row>
    <row r="566" spans="5:16">
      <c r="E566" s="49"/>
      <c r="F566" s="49">
        <v>1</v>
      </c>
      <c r="G566" s="49" t="s">
        <v>1034</v>
      </c>
      <c r="H566" s="49" t="s">
        <v>2585</v>
      </c>
      <c r="I566" s="49">
        <f>K571</f>
        <v>31.28</v>
      </c>
      <c r="J566" s="49" t="s">
        <v>1034</v>
      </c>
      <c r="K566" s="49">
        <f>F566*I566</f>
        <v>31.28</v>
      </c>
      <c r="L566" s="49">
        <f t="shared" ref="L566:O568" si="15">K566</f>
        <v>31.28</v>
      </c>
      <c r="M566" s="49">
        <f t="shared" si="15"/>
        <v>31.28</v>
      </c>
      <c r="N566" s="49">
        <f t="shared" si="15"/>
        <v>31.28</v>
      </c>
      <c r="O566" s="339">
        <f t="shared" si="15"/>
        <v>31.28</v>
      </c>
    </row>
    <row r="567" spans="5:16">
      <c r="E567" s="49"/>
      <c r="F567" s="49"/>
      <c r="G567" s="49"/>
      <c r="H567" s="49" t="s">
        <v>478</v>
      </c>
      <c r="I567" s="49"/>
      <c r="J567" s="49"/>
      <c r="K567" s="49">
        <f>K578</f>
        <v>424.25</v>
      </c>
      <c r="L567" s="49">
        <f t="shared" si="15"/>
        <v>424.25</v>
      </c>
      <c r="M567" s="49">
        <f t="shared" si="15"/>
        <v>424.25</v>
      </c>
      <c r="N567" s="49">
        <f t="shared" si="15"/>
        <v>424.25</v>
      </c>
      <c r="O567" s="339">
        <f t="shared" si="15"/>
        <v>424.25</v>
      </c>
    </row>
    <row r="568" spans="5:16">
      <c r="E568" s="49"/>
      <c r="F568" s="49"/>
      <c r="G568" s="49"/>
      <c r="H568" s="49" t="s">
        <v>2586</v>
      </c>
      <c r="I568" s="49" t="s">
        <v>49</v>
      </c>
      <c r="J568" s="49"/>
      <c r="K568" s="49">
        <v>9.27</v>
      </c>
      <c r="L568" s="49">
        <f t="shared" si="15"/>
        <v>9.27</v>
      </c>
      <c r="M568" s="49">
        <f>L568+0.15</f>
        <v>9.42</v>
      </c>
      <c r="N568" s="49">
        <f>M568+0.05</f>
        <v>9.4700000000000006</v>
      </c>
      <c r="O568" s="339">
        <f>N568</f>
        <v>9.4700000000000006</v>
      </c>
      <c r="P568" s="851">
        <f>515-M569</f>
        <v>2</v>
      </c>
    </row>
    <row r="569" spans="5:16">
      <c r="E569" s="49"/>
      <c r="F569" s="49"/>
      <c r="G569" s="49"/>
      <c r="H569" s="840" t="s">
        <v>2400</v>
      </c>
      <c r="I569" s="49"/>
      <c r="J569" s="49"/>
      <c r="K569" s="50">
        <f>SUM(K565:K568)</f>
        <v>550</v>
      </c>
      <c r="L569" s="50">
        <f>SUM(L565:L568)</f>
        <v>655</v>
      </c>
      <c r="M569" s="50">
        <f>SUM(M565:M568)</f>
        <v>513</v>
      </c>
      <c r="N569" s="50">
        <f>SUM(N565:N568)</f>
        <v>808.7</v>
      </c>
      <c r="O569" s="50">
        <f>SUM(O565:O568)</f>
        <v>1020</v>
      </c>
    </row>
    <row r="570" spans="5:16">
      <c r="E570" s="49"/>
      <c r="F570" s="49"/>
      <c r="G570" s="49"/>
      <c r="H570" s="49"/>
      <c r="I570" s="49"/>
      <c r="J570" s="49"/>
      <c r="K570" s="49"/>
      <c r="L570" s="49"/>
      <c r="M570" s="49"/>
    </row>
    <row r="571" spans="5:16" ht="9.75" customHeight="1">
      <c r="E571" s="49"/>
      <c r="F571" s="49"/>
      <c r="G571" s="49"/>
      <c r="H571" s="50" t="s">
        <v>2587</v>
      </c>
      <c r="I571" s="49">
        <f>I537</f>
        <v>104280</v>
      </c>
      <c r="J571" s="852">
        <v>2.9999999999999997E-4</v>
      </c>
      <c r="K571" s="50">
        <f>I571*J571</f>
        <v>31.28</v>
      </c>
      <c r="L571" s="49">
        <f>K569-368</f>
        <v>182</v>
      </c>
      <c r="M571" s="49"/>
    </row>
    <row r="572" spans="5:16">
      <c r="E572" s="49"/>
      <c r="F572" s="49"/>
      <c r="G572" s="49"/>
      <c r="H572" s="49"/>
      <c r="I572" s="49"/>
      <c r="J572" s="49"/>
      <c r="K572" s="49"/>
      <c r="L572" s="49"/>
      <c r="M572" s="49"/>
    </row>
    <row r="573" spans="5:16">
      <c r="E573" s="49"/>
      <c r="F573" s="49"/>
      <c r="G573" s="49"/>
      <c r="H573" s="847" t="s">
        <v>1978</v>
      </c>
      <c r="I573" s="49"/>
      <c r="J573" s="49"/>
      <c r="K573" s="49"/>
      <c r="L573" s="49"/>
      <c r="M573" s="49"/>
    </row>
    <row r="574" spans="5:16">
      <c r="E574" s="49"/>
      <c r="F574" s="49">
        <v>1</v>
      </c>
      <c r="G574" s="49" t="s">
        <v>1034</v>
      </c>
      <c r="H574" s="49" t="s">
        <v>2472</v>
      </c>
      <c r="I574" s="49">
        <f>I520</f>
        <v>783</v>
      </c>
      <c r="J574" s="49" t="s">
        <v>1034</v>
      </c>
      <c r="K574" s="49">
        <f>F574*I574</f>
        <v>783</v>
      </c>
      <c r="L574" s="49"/>
      <c r="M574" s="49"/>
    </row>
    <row r="575" spans="5:16">
      <c r="E575" s="49"/>
      <c r="F575" s="49">
        <v>1</v>
      </c>
      <c r="G575" s="49" t="s">
        <v>1034</v>
      </c>
      <c r="H575" s="49" t="s">
        <v>2463</v>
      </c>
      <c r="I575" s="49">
        <f>I521</f>
        <v>778</v>
      </c>
      <c r="J575" s="49" t="s">
        <v>1034</v>
      </c>
      <c r="K575" s="49">
        <f>F575*I575</f>
        <v>778</v>
      </c>
      <c r="L575" s="49"/>
      <c r="M575" s="49"/>
    </row>
    <row r="576" spans="5:16">
      <c r="E576" s="49"/>
      <c r="F576" s="49">
        <v>3</v>
      </c>
      <c r="G576" s="49" t="s">
        <v>1034</v>
      </c>
      <c r="H576" s="49" t="s">
        <v>2166</v>
      </c>
      <c r="I576" s="49">
        <f>I522</f>
        <v>611</v>
      </c>
      <c r="J576" s="49" t="s">
        <v>1034</v>
      </c>
      <c r="K576" s="49">
        <f>F576*I576</f>
        <v>1833</v>
      </c>
      <c r="L576" s="49"/>
      <c r="M576" s="49"/>
    </row>
    <row r="577" spans="5:15">
      <c r="E577" s="49"/>
      <c r="F577" s="49"/>
      <c r="G577" s="49"/>
      <c r="H577" s="839" t="s">
        <v>2588</v>
      </c>
      <c r="I577" s="49"/>
      <c r="J577" s="49"/>
      <c r="K577" s="49">
        <f>SUM(K574:K576)</f>
        <v>3394</v>
      </c>
      <c r="L577" s="49"/>
      <c r="M577" s="49"/>
    </row>
    <row r="578" spans="5:15">
      <c r="E578" s="49"/>
      <c r="F578" s="49"/>
      <c r="G578" s="49"/>
      <c r="H578" s="840" t="s">
        <v>2058</v>
      </c>
      <c r="I578" s="49"/>
      <c r="J578" s="49"/>
      <c r="K578" s="50">
        <f>K577/8</f>
        <v>424.25</v>
      </c>
      <c r="L578" s="49"/>
      <c r="M578" s="49"/>
    </row>
    <row r="579" spans="5:15">
      <c r="E579" s="49"/>
      <c r="F579" s="49"/>
      <c r="G579" s="49"/>
      <c r="H579" s="49"/>
      <c r="I579" s="49"/>
      <c r="J579" s="49"/>
      <c r="K579" s="49"/>
      <c r="L579" s="49"/>
      <c r="M579" s="49"/>
    </row>
    <row r="580" spans="5:15" ht="9" customHeight="1">
      <c r="E580" s="49"/>
      <c r="F580" s="49"/>
      <c r="G580" s="49"/>
      <c r="H580" s="50" t="s">
        <v>2589</v>
      </c>
      <c r="I580" s="49"/>
      <c r="J580" s="49"/>
      <c r="K580" s="49"/>
      <c r="L580" s="49"/>
      <c r="M580" s="49"/>
    </row>
    <row r="581" spans="5:15">
      <c r="E581" s="49"/>
      <c r="F581" s="49"/>
      <c r="G581" s="49"/>
      <c r="H581" s="50" t="s">
        <v>2590</v>
      </c>
      <c r="I581" s="49"/>
      <c r="J581" s="49"/>
      <c r="K581" s="49"/>
      <c r="L581" s="49"/>
      <c r="M581" s="49"/>
    </row>
    <row r="582" spans="5:15">
      <c r="E582" s="49"/>
      <c r="F582" s="49"/>
      <c r="G582" s="49"/>
      <c r="H582" s="49"/>
      <c r="I582" s="49"/>
      <c r="J582" s="49"/>
      <c r="K582" s="49"/>
      <c r="L582" s="49"/>
      <c r="M582" s="49"/>
    </row>
    <row r="583" spans="5:15" ht="63">
      <c r="E583" s="49"/>
      <c r="F583" s="49"/>
      <c r="G583" s="49"/>
      <c r="H583" s="51" t="s">
        <v>2591</v>
      </c>
      <c r="I583" s="49"/>
      <c r="J583" s="49"/>
      <c r="K583" s="49"/>
      <c r="L583" s="49" t="s">
        <v>2592</v>
      </c>
      <c r="M583" s="51" t="s">
        <v>2581</v>
      </c>
      <c r="N583" s="51" t="s">
        <v>2582</v>
      </c>
      <c r="O583" s="51" t="s">
        <v>2583</v>
      </c>
    </row>
    <row r="584" spans="5:15">
      <c r="E584" s="49"/>
      <c r="F584" s="49">
        <v>3</v>
      </c>
      <c r="G584" s="49" t="s">
        <v>1034</v>
      </c>
      <c r="H584" s="49" t="str">
        <f>H565</f>
        <v>32 Amps 500 V fuse units P-120 6-b</v>
      </c>
      <c r="I584" s="49">
        <f>I565</f>
        <v>85.2</v>
      </c>
      <c r="J584" s="49" t="s">
        <v>729</v>
      </c>
      <c r="K584" s="49">
        <f>F584*I584</f>
        <v>255.6</v>
      </c>
      <c r="L584" s="49">
        <f>L565*3</f>
        <v>570.6</v>
      </c>
      <c r="M584" s="49">
        <f>M565*3</f>
        <v>144.15</v>
      </c>
      <c r="N584" s="49">
        <f>N565*3</f>
        <v>1031.0999999999999</v>
      </c>
      <c r="O584" s="49">
        <f>O565*3</f>
        <v>1665</v>
      </c>
    </row>
    <row r="585" spans="5:15">
      <c r="E585" s="49"/>
      <c r="F585" s="49">
        <v>1</v>
      </c>
      <c r="G585" s="49" t="s">
        <v>1034</v>
      </c>
      <c r="H585" s="49" t="s">
        <v>2553</v>
      </c>
      <c r="I585" s="49">
        <f>K590</f>
        <v>62.57</v>
      </c>
      <c r="J585" s="49" t="s">
        <v>1034</v>
      </c>
      <c r="K585" s="49">
        <f>F585*I585</f>
        <v>62.57</v>
      </c>
      <c r="L585" s="49">
        <f t="shared" ref="L585:O587" si="16">K585</f>
        <v>62.57</v>
      </c>
      <c r="M585" s="49">
        <f t="shared" si="16"/>
        <v>62.57</v>
      </c>
      <c r="N585" s="49">
        <f t="shared" si="16"/>
        <v>62.57</v>
      </c>
      <c r="O585" s="49">
        <f t="shared" si="16"/>
        <v>62.57</v>
      </c>
    </row>
    <row r="586" spans="5:15">
      <c r="E586" s="49"/>
      <c r="F586" s="49"/>
      <c r="G586" s="49"/>
      <c r="H586" s="49" t="s">
        <v>478</v>
      </c>
      <c r="I586" s="49"/>
      <c r="J586" s="49"/>
      <c r="K586" s="49">
        <f>K597</f>
        <v>500.63</v>
      </c>
      <c r="L586" s="49">
        <f t="shared" si="16"/>
        <v>500.63</v>
      </c>
      <c r="M586" s="49">
        <f t="shared" si="16"/>
        <v>500.63</v>
      </c>
      <c r="N586" s="49">
        <f t="shared" si="16"/>
        <v>500.63</v>
      </c>
      <c r="O586" s="49">
        <f t="shared" si="16"/>
        <v>500.63</v>
      </c>
    </row>
    <row r="587" spans="5:15">
      <c r="E587" s="49"/>
      <c r="F587" s="49"/>
      <c r="G587" s="49"/>
      <c r="H587" s="49" t="s">
        <v>2586</v>
      </c>
      <c r="I587" s="49" t="s">
        <v>49</v>
      </c>
      <c r="J587" s="49"/>
      <c r="K587" s="49">
        <v>6.2</v>
      </c>
      <c r="L587" s="49">
        <f t="shared" si="16"/>
        <v>6.2</v>
      </c>
      <c r="M587" s="49">
        <f t="shared" si="16"/>
        <v>6.2</v>
      </c>
      <c r="N587" s="49">
        <f t="shared" si="16"/>
        <v>6.2</v>
      </c>
      <c r="O587" s="49">
        <f t="shared" si="16"/>
        <v>6.2</v>
      </c>
    </row>
    <row r="588" spans="5:15">
      <c r="E588" s="49"/>
      <c r="F588" s="49"/>
      <c r="G588" s="49"/>
      <c r="H588" s="840" t="s">
        <v>2400</v>
      </c>
      <c r="I588" s="49"/>
      <c r="J588" s="49"/>
      <c r="K588" s="50">
        <f>SUM(K584:K587)</f>
        <v>825</v>
      </c>
      <c r="L588" s="50">
        <f>SUM(L584:L587)</f>
        <v>1140</v>
      </c>
      <c r="M588" s="50">
        <f>SUM(M584:M587)</f>
        <v>713.55</v>
      </c>
      <c r="N588" s="50">
        <f>SUM(N584:N587)</f>
        <v>1600.5</v>
      </c>
      <c r="O588" s="50">
        <f>SUM(O584:O587)</f>
        <v>2234.4</v>
      </c>
    </row>
    <row r="589" spans="5:15">
      <c r="E589" s="49"/>
      <c r="F589" s="49"/>
      <c r="G589" s="49"/>
      <c r="H589" s="840"/>
      <c r="I589" s="49"/>
      <c r="J589" s="49"/>
      <c r="K589" s="50"/>
      <c r="L589" s="49">
        <f>825-K588</f>
        <v>0</v>
      </c>
      <c r="M589" s="49"/>
    </row>
    <row r="590" spans="5:15">
      <c r="E590" s="49"/>
      <c r="F590" s="49"/>
      <c r="G590" s="49"/>
      <c r="H590" s="50" t="s">
        <v>2553</v>
      </c>
      <c r="I590" s="49">
        <f>I571</f>
        <v>104280</v>
      </c>
      <c r="J590" s="852">
        <v>5.9999999999999995E-4</v>
      </c>
      <c r="K590" s="50">
        <f>I590*J590</f>
        <v>62.57</v>
      </c>
      <c r="L590" s="49"/>
      <c r="M590" s="49"/>
    </row>
    <row r="591" spans="5:15">
      <c r="E591" s="49"/>
      <c r="F591" s="49"/>
      <c r="G591" s="49"/>
      <c r="H591" s="840"/>
      <c r="I591" s="49"/>
      <c r="J591" s="49"/>
      <c r="K591" s="49"/>
      <c r="L591" s="49"/>
      <c r="M591" s="49"/>
    </row>
    <row r="592" spans="5:15">
      <c r="E592" s="49"/>
      <c r="F592" s="49"/>
      <c r="G592" s="49"/>
      <c r="H592" s="847" t="s">
        <v>1978</v>
      </c>
      <c r="I592" s="49"/>
      <c r="J592" s="49"/>
      <c r="K592" s="49"/>
      <c r="L592" s="49"/>
      <c r="M592" s="49"/>
    </row>
    <row r="593" spans="5:13">
      <c r="E593" s="49"/>
      <c r="F593" s="49">
        <v>1</v>
      </c>
      <c r="G593" s="49" t="s">
        <v>1034</v>
      </c>
      <c r="H593" s="49" t="s">
        <v>2472</v>
      </c>
      <c r="I593" s="49">
        <f>I574</f>
        <v>783</v>
      </c>
      <c r="J593" s="49" t="s">
        <v>1034</v>
      </c>
      <c r="K593" s="49">
        <f>F593*I593</f>
        <v>783</v>
      </c>
      <c r="L593" s="49"/>
      <c r="M593" s="49"/>
    </row>
    <row r="594" spans="5:13">
      <c r="E594" s="49"/>
      <c r="F594" s="49">
        <v>1</v>
      </c>
      <c r="G594" s="49" t="s">
        <v>1034</v>
      </c>
      <c r="H594" s="49" t="s">
        <v>2463</v>
      </c>
      <c r="I594" s="49">
        <f>I575</f>
        <v>778</v>
      </c>
      <c r="J594" s="49" t="s">
        <v>1034</v>
      </c>
      <c r="K594" s="49">
        <f>F594*I594</f>
        <v>778</v>
      </c>
      <c r="L594" s="49"/>
      <c r="M594" s="49"/>
    </row>
    <row r="595" spans="5:13">
      <c r="E595" s="49"/>
      <c r="F595" s="49">
        <v>4</v>
      </c>
      <c r="G595" s="49" t="s">
        <v>1034</v>
      </c>
      <c r="H595" s="49" t="s">
        <v>2166</v>
      </c>
      <c r="I595" s="49">
        <f>I576</f>
        <v>611</v>
      </c>
      <c r="J595" s="49" t="s">
        <v>1034</v>
      </c>
      <c r="K595" s="49">
        <f>F595*I595</f>
        <v>2444</v>
      </c>
      <c r="L595" s="49"/>
      <c r="M595" s="49"/>
    </row>
    <row r="596" spans="5:13">
      <c r="E596" s="49"/>
      <c r="F596" s="49"/>
      <c r="G596" s="49"/>
      <c r="H596" s="839" t="s">
        <v>2588</v>
      </c>
      <c r="I596" s="49"/>
      <c r="J596" s="49"/>
      <c r="K596" s="49">
        <f>SUM(K593:K595)</f>
        <v>4005</v>
      </c>
      <c r="L596" s="49"/>
      <c r="M596" s="49"/>
    </row>
    <row r="597" spans="5:13">
      <c r="E597" s="49"/>
      <c r="F597" s="49"/>
      <c r="G597" s="49"/>
      <c r="H597" s="840" t="s">
        <v>2295</v>
      </c>
      <c r="I597" s="49"/>
      <c r="J597" s="49"/>
      <c r="K597" s="50">
        <f>K596/8</f>
        <v>500.63</v>
      </c>
      <c r="L597" s="49"/>
      <c r="M597" s="49"/>
    </row>
    <row r="598" spans="5:13">
      <c r="E598" s="49"/>
      <c r="F598" s="49"/>
      <c r="G598" s="49"/>
      <c r="H598" s="49"/>
      <c r="I598" s="49"/>
      <c r="J598" s="49"/>
      <c r="K598" s="49"/>
      <c r="L598" s="49"/>
      <c r="M598" s="49"/>
    </row>
    <row r="599" spans="5:13">
      <c r="E599" s="49"/>
      <c r="F599" s="49"/>
      <c r="G599" s="49"/>
      <c r="H599" s="50" t="s">
        <v>2593</v>
      </c>
      <c r="I599" s="49"/>
      <c r="J599" s="49"/>
      <c r="K599" s="49"/>
      <c r="L599" s="49"/>
      <c r="M599" s="49"/>
    </row>
    <row r="600" spans="5:13">
      <c r="E600" s="49"/>
      <c r="F600" s="49"/>
      <c r="G600" s="49"/>
      <c r="H600" s="49"/>
      <c r="I600" s="49"/>
      <c r="J600" s="49"/>
      <c r="K600" s="49"/>
      <c r="L600" s="49"/>
      <c r="M600" s="49"/>
    </row>
    <row r="601" spans="5:13">
      <c r="E601" s="49"/>
      <c r="F601" s="49"/>
      <c r="G601" s="49"/>
      <c r="H601" s="50" t="s">
        <v>2594</v>
      </c>
      <c r="I601" s="49"/>
      <c r="J601" s="49"/>
      <c r="K601" s="49"/>
      <c r="L601" s="49"/>
      <c r="M601" s="49"/>
    </row>
    <row r="602" spans="5:13">
      <c r="E602" s="49"/>
      <c r="F602" s="49"/>
      <c r="G602" s="49"/>
      <c r="H602" s="49"/>
      <c r="I602" s="49"/>
      <c r="J602" s="49"/>
      <c r="K602" s="49"/>
      <c r="L602" s="49"/>
      <c r="M602" s="49"/>
    </row>
    <row r="603" spans="5:13" ht="63">
      <c r="E603" s="49"/>
      <c r="F603" s="49"/>
      <c r="G603" s="49"/>
      <c r="H603" s="51" t="s">
        <v>2595</v>
      </c>
      <c r="I603" s="49"/>
      <c r="J603" s="49"/>
      <c r="K603" s="49"/>
      <c r="L603" s="49"/>
      <c r="M603" s="49"/>
    </row>
    <row r="604" spans="5:13" ht="81" customHeight="1">
      <c r="E604" s="49"/>
      <c r="F604" s="49"/>
      <c r="G604" s="49"/>
      <c r="H604" s="49"/>
      <c r="I604" s="49"/>
      <c r="J604" s="49"/>
      <c r="K604" s="49"/>
      <c r="L604" s="49"/>
      <c r="M604" s="49"/>
    </row>
    <row r="605" spans="5:13">
      <c r="E605" s="49"/>
      <c r="F605" s="49">
        <v>1</v>
      </c>
      <c r="G605" s="49" t="s">
        <v>1034</v>
      </c>
      <c r="H605" s="49" t="s">
        <v>2927</v>
      </c>
      <c r="I605" s="52">
        <v>48.05</v>
      </c>
      <c r="J605" s="49" t="s">
        <v>1034</v>
      </c>
      <c r="K605" s="49">
        <f>F605*I605</f>
        <v>48.05</v>
      </c>
      <c r="L605" s="49"/>
      <c r="M605" s="49"/>
    </row>
    <row r="606" spans="5:13">
      <c r="E606" s="49"/>
      <c r="F606" s="49">
        <v>1</v>
      </c>
      <c r="G606" s="49" t="s">
        <v>1034</v>
      </c>
      <c r="H606" s="51" t="s">
        <v>2597</v>
      </c>
      <c r="I606" s="49">
        <f>K612</f>
        <v>234.63</v>
      </c>
      <c r="J606" s="49" t="s">
        <v>1034</v>
      </c>
      <c r="K606" s="49">
        <f>F606*I606</f>
        <v>234.63</v>
      </c>
      <c r="L606" s="49"/>
      <c r="M606" s="49"/>
    </row>
    <row r="607" spans="5:13">
      <c r="E607" s="49"/>
      <c r="F607" s="49">
        <v>1</v>
      </c>
      <c r="G607" s="49" t="s">
        <v>1034</v>
      </c>
      <c r="H607" s="49" t="s">
        <v>2598</v>
      </c>
      <c r="I607" s="867">
        <v>25</v>
      </c>
      <c r="J607" s="49" t="s">
        <v>2599</v>
      </c>
      <c r="K607" s="49">
        <f>F607*I607</f>
        <v>25</v>
      </c>
      <c r="L607" s="49"/>
      <c r="M607" s="49"/>
    </row>
    <row r="608" spans="5:13">
      <c r="E608" s="49"/>
      <c r="F608" s="49"/>
      <c r="G608" s="49"/>
      <c r="H608" s="49" t="s">
        <v>1978</v>
      </c>
      <c r="I608" s="49"/>
      <c r="J608" s="49"/>
      <c r="K608" s="49">
        <f>K618</f>
        <v>501.25</v>
      </c>
      <c r="L608" s="49"/>
      <c r="M608" s="49"/>
    </row>
    <row r="609" spans="5:13">
      <c r="E609" s="49"/>
      <c r="F609" s="49"/>
      <c r="G609" s="49"/>
      <c r="H609" s="49" t="s">
        <v>2600</v>
      </c>
      <c r="I609" s="49"/>
      <c r="J609" s="49"/>
      <c r="K609" s="49">
        <v>9.82</v>
      </c>
      <c r="L609" s="49"/>
      <c r="M609" s="49"/>
    </row>
    <row r="610" spans="5:13">
      <c r="E610" s="49"/>
      <c r="F610" s="49"/>
      <c r="G610" s="49"/>
      <c r="H610" s="840" t="s">
        <v>2601</v>
      </c>
      <c r="I610" s="49"/>
      <c r="J610" s="49"/>
      <c r="K610" s="50">
        <f>SUM(K605:K609)</f>
        <v>818.75</v>
      </c>
      <c r="L610" s="49">
        <f>K610-592</f>
        <v>226.75</v>
      </c>
      <c r="M610" s="49"/>
    </row>
    <row r="611" spans="5:13">
      <c r="E611" s="49"/>
      <c r="F611" s="49"/>
      <c r="G611" s="49"/>
      <c r="H611" s="49"/>
      <c r="I611" s="49"/>
      <c r="J611" s="49"/>
      <c r="K611" s="49"/>
      <c r="L611" s="49"/>
      <c r="M611" s="49"/>
    </row>
    <row r="612" spans="5:13" ht="8.25" customHeight="1">
      <c r="E612" s="49"/>
      <c r="F612" s="49"/>
      <c r="G612" s="49"/>
      <c r="H612" s="50" t="s">
        <v>2602</v>
      </c>
      <c r="I612" s="49">
        <f>I590</f>
        <v>104280</v>
      </c>
      <c r="J612" s="871">
        <v>2.2499999999999998E-3</v>
      </c>
      <c r="K612" s="49">
        <f>I612*J612</f>
        <v>234.63</v>
      </c>
      <c r="L612" s="49"/>
      <c r="M612" s="49"/>
    </row>
    <row r="613" spans="5:13">
      <c r="E613" s="49"/>
      <c r="F613" s="49"/>
      <c r="G613" s="49"/>
      <c r="H613" s="49"/>
      <c r="I613" s="49"/>
      <c r="J613" s="49"/>
      <c r="K613" s="49"/>
      <c r="L613" s="49"/>
      <c r="M613" s="49"/>
    </row>
    <row r="614" spans="5:13" ht="7.5" customHeight="1">
      <c r="E614" s="49"/>
      <c r="F614" s="49"/>
      <c r="G614" s="49"/>
      <c r="H614" s="50" t="s">
        <v>478</v>
      </c>
      <c r="I614" s="49"/>
      <c r="J614" s="49"/>
      <c r="K614" s="49"/>
      <c r="L614" s="49"/>
      <c r="M614" s="49"/>
    </row>
    <row r="615" spans="5:13">
      <c r="E615" s="49"/>
      <c r="F615" s="49">
        <v>1</v>
      </c>
      <c r="G615" s="49" t="s">
        <v>1034</v>
      </c>
      <c r="H615" s="49" t="s">
        <v>2472</v>
      </c>
      <c r="I615" s="339">
        <f>I593</f>
        <v>783</v>
      </c>
      <c r="J615" s="49" t="s">
        <v>1034</v>
      </c>
      <c r="K615" s="49">
        <f>F615*I615</f>
        <v>783</v>
      </c>
      <c r="L615" s="49"/>
      <c r="M615" s="49"/>
    </row>
    <row r="616" spans="5:13">
      <c r="E616" s="49"/>
      <c r="F616" s="49">
        <v>2</v>
      </c>
      <c r="G616" s="49" t="s">
        <v>1034</v>
      </c>
      <c r="H616" s="49" t="s">
        <v>2464</v>
      </c>
      <c r="I616" s="339">
        <f>I595</f>
        <v>611</v>
      </c>
      <c r="J616" s="49" t="s">
        <v>1034</v>
      </c>
      <c r="K616" s="49">
        <f>F616*I616</f>
        <v>1222</v>
      </c>
      <c r="L616" s="49"/>
      <c r="M616" s="49"/>
    </row>
    <row r="617" spans="5:13">
      <c r="E617" s="49"/>
      <c r="F617" s="49"/>
      <c r="G617" s="49"/>
      <c r="H617" s="839" t="s">
        <v>2473</v>
      </c>
      <c r="I617" s="49"/>
      <c r="J617" s="49"/>
      <c r="K617" s="49">
        <f>SUM(K615:K616)</f>
        <v>2005</v>
      </c>
      <c r="L617" s="49"/>
      <c r="M617" s="49"/>
    </row>
    <row r="618" spans="5:13">
      <c r="E618" s="49"/>
      <c r="F618" s="49"/>
      <c r="G618" s="49"/>
      <c r="H618" s="840" t="s">
        <v>2058</v>
      </c>
      <c r="I618" s="49"/>
      <c r="J618" s="49"/>
      <c r="K618" s="50">
        <f>K617/4</f>
        <v>501.25</v>
      </c>
      <c r="L618" s="49"/>
      <c r="M618" s="49"/>
    </row>
    <row r="619" spans="5:13">
      <c r="E619" s="49"/>
      <c r="F619" s="49"/>
      <c r="G619" s="49"/>
      <c r="H619" s="49"/>
      <c r="I619" s="49"/>
      <c r="J619" s="49"/>
      <c r="K619" s="49"/>
      <c r="L619" s="49"/>
      <c r="M619" s="49"/>
    </row>
    <row r="620" spans="5:13" s="478" customFormat="1">
      <c r="E620" s="851"/>
      <c r="F620" s="851"/>
      <c r="G620" s="851"/>
      <c r="H620" s="850" t="s">
        <v>2603</v>
      </c>
      <c r="I620" s="851"/>
      <c r="J620" s="851"/>
      <c r="K620" s="851"/>
      <c r="L620" s="851"/>
      <c r="M620" s="851"/>
    </row>
    <row r="621" spans="5:13">
      <c r="E621" s="49"/>
      <c r="F621" s="49"/>
      <c r="G621" s="49"/>
      <c r="H621" s="50" t="s">
        <v>2604</v>
      </c>
      <c r="I621" s="49"/>
      <c r="J621" s="49"/>
      <c r="K621" s="49"/>
      <c r="L621" s="49"/>
      <c r="M621" s="49"/>
    </row>
    <row r="622" spans="5:13">
      <c r="E622" s="49"/>
      <c r="F622" s="49"/>
      <c r="G622" s="49"/>
      <c r="H622" s="49" t="s">
        <v>85</v>
      </c>
      <c r="I622" s="49"/>
      <c r="J622" s="49"/>
      <c r="K622" s="49"/>
      <c r="L622" s="49"/>
      <c r="M622" s="49"/>
    </row>
    <row r="623" spans="5:13">
      <c r="E623" s="49"/>
      <c r="F623" s="49">
        <v>1</v>
      </c>
      <c r="G623" s="49" t="s">
        <v>1034</v>
      </c>
      <c r="H623" s="49" t="s">
        <v>2928</v>
      </c>
      <c r="I623" s="49">
        <f>I553</f>
        <v>1520</v>
      </c>
      <c r="J623" s="49" t="s">
        <v>1034</v>
      </c>
      <c r="K623" s="49">
        <f>F623*I623</f>
        <v>1520</v>
      </c>
      <c r="L623" s="49"/>
      <c r="M623" s="49"/>
    </row>
    <row r="624" spans="5:13">
      <c r="E624" s="49"/>
      <c r="F624" s="49">
        <v>3</v>
      </c>
      <c r="G624" s="49" t="s">
        <v>1034</v>
      </c>
      <c r="H624" s="49" t="s">
        <v>2929</v>
      </c>
      <c r="I624" s="52">
        <v>128</v>
      </c>
      <c r="J624" s="49" t="s">
        <v>1034</v>
      </c>
      <c r="K624" s="49">
        <f>F624*I624</f>
        <v>384</v>
      </c>
      <c r="L624" s="49"/>
      <c r="M624" s="49"/>
    </row>
    <row r="625" spans="5:13">
      <c r="E625" s="49"/>
      <c r="F625" s="49"/>
      <c r="G625" s="49"/>
      <c r="H625" s="49" t="s">
        <v>2606</v>
      </c>
      <c r="I625" s="49"/>
      <c r="J625" s="49"/>
      <c r="K625" s="49">
        <f>K517</f>
        <v>789</v>
      </c>
      <c r="L625" s="49"/>
      <c r="M625" s="49"/>
    </row>
    <row r="626" spans="5:13">
      <c r="E626" s="49"/>
      <c r="F626" s="49"/>
      <c r="G626" s="49"/>
      <c r="H626" s="49" t="s">
        <v>1557</v>
      </c>
      <c r="I626" s="49"/>
      <c r="J626" s="49"/>
      <c r="K626" s="49">
        <v>2</v>
      </c>
      <c r="L626" s="49"/>
      <c r="M626" s="49"/>
    </row>
    <row r="627" spans="5:13">
      <c r="E627" s="49"/>
      <c r="F627" s="49"/>
      <c r="G627" s="49"/>
      <c r="H627" s="840" t="s">
        <v>2607</v>
      </c>
      <c r="I627" s="49"/>
      <c r="J627" s="49"/>
      <c r="K627" s="50">
        <f>SUM(K623:K626)</f>
        <v>2695</v>
      </c>
      <c r="L627" s="49"/>
      <c r="M627" s="49"/>
    </row>
    <row r="628" spans="5:13">
      <c r="E628" s="49"/>
      <c r="F628" s="49"/>
      <c r="G628" s="49"/>
      <c r="H628" s="49"/>
      <c r="I628" s="49"/>
      <c r="J628" s="49"/>
      <c r="K628" s="49"/>
      <c r="L628" s="49"/>
      <c r="M628" s="49"/>
    </row>
    <row r="629" spans="5:13">
      <c r="E629" s="49"/>
      <c r="F629" s="49"/>
      <c r="G629" s="49"/>
      <c r="H629" s="50" t="s">
        <v>2603</v>
      </c>
      <c r="I629" s="49"/>
      <c r="J629" s="49"/>
      <c r="K629" s="49"/>
      <c r="L629" s="49"/>
      <c r="M629" s="49"/>
    </row>
    <row r="630" spans="5:13">
      <c r="E630" s="49"/>
      <c r="F630" s="49"/>
      <c r="G630" s="49"/>
      <c r="H630" s="49"/>
      <c r="I630" s="49"/>
      <c r="J630" s="49"/>
      <c r="K630" s="49"/>
      <c r="L630" s="49"/>
      <c r="M630" s="49"/>
    </row>
    <row r="631" spans="5:13">
      <c r="E631" s="49"/>
      <c r="F631" s="49"/>
      <c r="G631" s="49"/>
      <c r="H631" s="50" t="s">
        <v>2608</v>
      </c>
      <c r="I631" s="49"/>
      <c r="J631" s="49"/>
      <c r="K631" s="49"/>
      <c r="L631" s="49"/>
      <c r="M631" s="49"/>
    </row>
    <row r="632" spans="5:13">
      <c r="E632" s="49"/>
      <c r="F632" s="49"/>
      <c r="G632" s="49"/>
      <c r="H632" s="49"/>
      <c r="I632" s="49"/>
      <c r="J632" s="49"/>
      <c r="K632" s="49"/>
      <c r="L632" s="49"/>
      <c r="M632" s="49"/>
    </row>
    <row r="633" spans="5:13">
      <c r="E633" s="49"/>
      <c r="F633" s="49">
        <v>1</v>
      </c>
      <c r="G633" s="49" t="s">
        <v>1034</v>
      </c>
      <c r="H633" s="49" t="s">
        <v>2930</v>
      </c>
      <c r="I633" s="339">
        <f>I558</f>
        <v>1876</v>
      </c>
      <c r="J633" s="49" t="s">
        <v>1034</v>
      </c>
      <c r="K633" s="49">
        <f>F633*I633</f>
        <v>1876</v>
      </c>
      <c r="L633" s="49"/>
      <c r="M633" s="49"/>
    </row>
    <row r="634" spans="5:13">
      <c r="E634" s="49"/>
      <c r="F634" s="49">
        <v>3</v>
      </c>
      <c r="G634" s="49" t="s">
        <v>1034</v>
      </c>
      <c r="H634" s="49" t="s">
        <v>2931</v>
      </c>
      <c r="I634" s="49">
        <f>I624</f>
        <v>128</v>
      </c>
      <c r="J634" s="49" t="s">
        <v>1034</v>
      </c>
      <c r="K634" s="49">
        <f>F634*I634</f>
        <v>384</v>
      </c>
      <c r="L634" s="49"/>
      <c r="M634" s="49"/>
    </row>
    <row r="635" spans="5:13">
      <c r="E635" s="49"/>
      <c r="F635" s="49"/>
      <c r="G635" s="49"/>
      <c r="H635" s="49" t="s">
        <v>2609</v>
      </c>
      <c r="I635" s="49"/>
      <c r="J635" s="49"/>
      <c r="K635" s="49">
        <f>K548</f>
        <v>803.5</v>
      </c>
      <c r="L635" s="49"/>
      <c r="M635" s="49"/>
    </row>
    <row r="636" spans="5:13">
      <c r="E636" s="49"/>
      <c r="F636" s="49"/>
      <c r="G636" s="49"/>
      <c r="H636" s="49" t="s">
        <v>1557</v>
      </c>
      <c r="I636" s="49"/>
      <c r="J636" s="49"/>
      <c r="K636" s="49">
        <f>5</f>
        <v>5</v>
      </c>
      <c r="L636" s="49"/>
      <c r="M636" s="49"/>
    </row>
    <row r="637" spans="5:13">
      <c r="E637" s="49"/>
      <c r="F637" s="49"/>
      <c r="G637" s="49"/>
      <c r="H637" s="840" t="s">
        <v>2610</v>
      </c>
      <c r="I637" s="49"/>
      <c r="J637" s="49"/>
      <c r="K637" s="50">
        <f>SUM(K633:K636)</f>
        <v>3068.5</v>
      </c>
      <c r="L637" s="49">
        <f>K637-2695</f>
        <v>373.5</v>
      </c>
      <c r="M637" s="49"/>
    </row>
    <row r="638" spans="5:13">
      <c r="E638" s="49"/>
      <c r="F638" s="49"/>
      <c r="G638" s="49"/>
      <c r="H638" s="49"/>
      <c r="I638" s="49"/>
      <c r="J638" s="49"/>
      <c r="K638" s="49"/>
      <c r="L638" s="49"/>
      <c r="M638" s="49"/>
    </row>
    <row r="639" spans="5:13">
      <c r="E639" s="49"/>
      <c r="F639" s="49"/>
      <c r="G639" s="49"/>
      <c r="H639" s="50" t="s">
        <v>2611</v>
      </c>
      <c r="I639" s="49"/>
      <c r="J639" s="49"/>
      <c r="K639" s="49"/>
      <c r="L639" s="49"/>
      <c r="M639" s="49"/>
    </row>
    <row r="640" spans="5:13">
      <c r="E640" s="49"/>
      <c r="F640" s="49"/>
      <c r="G640" s="49"/>
      <c r="H640" s="49"/>
      <c r="I640" s="49"/>
      <c r="J640" s="49"/>
      <c r="K640" s="49"/>
      <c r="L640" s="49"/>
      <c r="M640" s="49"/>
    </row>
    <row r="641" spans="5:13">
      <c r="E641" s="49"/>
      <c r="F641" s="49"/>
      <c r="G641" s="49"/>
      <c r="H641" s="50" t="s">
        <v>2612</v>
      </c>
      <c r="I641" s="49"/>
      <c r="J641" s="49"/>
      <c r="K641" s="49"/>
      <c r="L641" s="49"/>
      <c r="M641" s="49"/>
    </row>
    <row r="642" spans="5:13">
      <c r="E642" s="49"/>
      <c r="F642" s="49"/>
      <c r="G642" s="49"/>
      <c r="H642" s="49"/>
      <c r="I642" s="49"/>
      <c r="J642" s="49"/>
      <c r="K642" s="49"/>
      <c r="L642" s="49"/>
      <c r="M642" s="49"/>
    </row>
    <row r="643" spans="5:13" ht="78.75">
      <c r="E643" s="49"/>
      <c r="F643" s="49"/>
      <c r="G643" s="49"/>
      <c r="H643" s="51" t="s">
        <v>2932</v>
      </c>
      <c r="I643" s="49"/>
      <c r="J643" s="49"/>
      <c r="K643" s="49"/>
      <c r="L643" s="49"/>
      <c r="M643" s="49"/>
    </row>
    <row r="644" spans="5:13">
      <c r="E644" s="49"/>
      <c r="F644" s="49"/>
      <c r="G644" s="49"/>
      <c r="H644" s="49"/>
      <c r="I644" s="49"/>
      <c r="J644" s="49"/>
      <c r="K644" s="49"/>
      <c r="L644" s="49"/>
      <c r="M644" s="49"/>
    </row>
    <row r="645" spans="5:13">
      <c r="E645" s="49"/>
      <c r="F645" s="49">
        <v>3</v>
      </c>
      <c r="G645" s="49" t="s">
        <v>1034</v>
      </c>
      <c r="H645" s="49" t="s">
        <v>2614</v>
      </c>
      <c r="I645" s="49">
        <f>I565</f>
        <v>85.2</v>
      </c>
      <c r="J645" s="49" t="s">
        <v>1034</v>
      </c>
      <c r="K645" s="49">
        <f>F645*I645</f>
        <v>255.6</v>
      </c>
      <c r="L645" s="49"/>
      <c r="M645" s="49"/>
    </row>
    <row r="646" spans="5:13" ht="24.95" customHeight="1">
      <c r="E646" s="49"/>
      <c r="F646" s="49">
        <v>1</v>
      </c>
      <c r="G646" s="49" t="s">
        <v>1034</v>
      </c>
      <c r="H646" s="51" t="s">
        <v>2615</v>
      </c>
      <c r="I646" s="49">
        <f>K652</f>
        <v>351.95</v>
      </c>
      <c r="J646" s="49" t="s">
        <v>1034</v>
      </c>
      <c r="K646" s="49">
        <f>F646*I646</f>
        <v>351.95</v>
      </c>
      <c r="L646" s="49"/>
      <c r="M646" s="49"/>
    </row>
    <row r="647" spans="5:13" ht="24.95" customHeight="1">
      <c r="E647" s="49"/>
      <c r="F647" s="49">
        <v>1</v>
      </c>
      <c r="G647" s="49" t="s">
        <v>1034</v>
      </c>
      <c r="H647" s="49" t="s">
        <v>2598</v>
      </c>
      <c r="I647" s="49">
        <f>I607</f>
        <v>25</v>
      </c>
      <c r="J647" s="49" t="s">
        <v>2599</v>
      </c>
      <c r="K647" s="49">
        <f>F647*I647</f>
        <v>25</v>
      </c>
      <c r="L647" s="49"/>
      <c r="M647" s="49"/>
    </row>
    <row r="648" spans="5:13" ht="24.95" customHeight="1">
      <c r="E648" s="49"/>
      <c r="F648" s="49"/>
      <c r="G648" s="49"/>
      <c r="H648" s="49" t="s">
        <v>1978</v>
      </c>
      <c r="I648" s="49"/>
      <c r="J648" s="49"/>
      <c r="K648" s="49">
        <f>K658</f>
        <v>668.33</v>
      </c>
      <c r="L648" s="49"/>
      <c r="M648" s="49"/>
    </row>
    <row r="649" spans="5:13" ht="24.95" customHeight="1">
      <c r="E649" s="49"/>
      <c r="F649" s="49"/>
      <c r="G649" s="49"/>
      <c r="H649" s="49" t="s">
        <v>2600</v>
      </c>
      <c r="I649" s="49"/>
      <c r="J649" s="49"/>
      <c r="K649" s="49">
        <v>8.09</v>
      </c>
      <c r="L649" s="49"/>
      <c r="M649" s="49"/>
    </row>
    <row r="650" spans="5:13">
      <c r="E650" s="49"/>
      <c r="F650" s="49"/>
      <c r="G650" s="49"/>
      <c r="H650" s="840" t="s">
        <v>2601</v>
      </c>
      <c r="I650" s="49"/>
      <c r="J650" s="49"/>
      <c r="K650" s="50">
        <f>SUM(K645:K649)</f>
        <v>1308.97</v>
      </c>
      <c r="L650" s="49">
        <f>990-K650</f>
        <v>-318.97000000000003</v>
      </c>
      <c r="M650" s="49"/>
    </row>
    <row r="651" spans="5:13" ht="24.95" customHeight="1">
      <c r="E651" s="49"/>
      <c r="F651" s="49"/>
      <c r="G651" s="49"/>
      <c r="H651" s="49"/>
      <c r="I651" s="49"/>
      <c r="J651" s="49"/>
      <c r="K651" s="49"/>
      <c r="L651" s="49"/>
      <c r="M651" s="49"/>
    </row>
    <row r="652" spans="5:13">
      <c r="E652" s="49"/>
      <c r="F652" s="49"/>
      <c r="G652" s="49"/>
      <c r="H652" s="50" t="s">
        <v>2616</v>
      </c>
      <c r="I652" s="49">
        <f>I612</f>
        <v>104280</v>
      </c>
      <c r="J652" s="871">
        <v>3.375E-3</v>
      </c>
      <c r="K652" s="49">
        <f>I652*J652</f>
        <v>351.95</v>
      </c>
      <c r="L652" s="49"/>
      <c r="M652" s="49"/>
    </row>
    <row r="653" spans="5:13">
      <c r="E653" s="49"/>
      <c r="F653" s="49"/>
      <c r="G653" s="49"/>
      <c r="H653" s="49"/>
      <c r="I653" s="49"/>
      <c r="J653" s="49"/>
      <c r="K653" s="49"/>
      <c r="L653" s="49"/>
      <c r="M653" s="49"/>
    </row>
    <row r="654" spans="5:13">
      <c r="E654" s="49"/>
      <c r="F654" s="49"/>
      <c r="G654" s="49"/>
      <c r="H654" s="847" t="s">
        <v>478</v>
      </c>
      <c r="I654" s="49"/>
      <c r="J654" s="49"/>
      <c r="K654" s="49"/>
      <c r="L654" s="49"/>
      <c r="M654" s="49"/>
    </row>
    <row r="655" spans="5:13" ht="21.75" customHeight="1">
      <c r="E655" s="49"/>
      <c r="F655" s="49">
        <v>1</v>
      </c>
      <c r="G655" s="49" t="s">
        <v>1034</v>
      </c>
      <c r="H655" s="49" t="s">
        <v>2472</v>
      </c>
      <c r="I655" s="49">
        <f>I615</f>
        <v>783</v>
      </c>
      <c r="J655" s="49" t="s">
        <v>1034</v>
      </c>
      <c r="K655" s="49">
        <f>F655*I655</f>
        <v>783</v>
      </c>
      <c r="L655" s="49"/>
      <c r="M655" s="49"/>
    </row>
    <row r="656" spans="5:13" ht="21.75" customHeight="1">
      <c r="E656" s="49"/>
      <c r="F656" s="49">
        <v>2</v>
      </c>
      <c r="G656" s="49" t="s">
        <v>1034</v>
      </c>
      <c r="H656" s="49" t="s">
        <v>2464</v>
      </c>
      <c r="I656" s="49">
        <f>I616</f>
        <v>611</v>
      </c>
      <c r="J656" s="49" t="s">
        <v>1034</v>
      </c>
      <c r="K656" s="49">
        <f>F656*I656</f>
        <v>1222</v>
      </c>
      <c r="L656" s="49"/>
      <c r="M656" s="49"/>
    </row>
    <row r="657" spans="5:20" ht="21.75" customHeight="1">
      <c r="E657" s="49"/>
      <c r="F657" s="49"/>
      <c r="G657" s="49"/>
      <c r="H657" s="839" t="s">
        <v>2617</v>
      </c>
      <c r="I657" s="49"/>
      <c r="J657" s="50"/>
      <c r="K657" s="49">
        <f>SUM(K655:K656)</f>
        <v>2005</v>
      </c>
      <c r="L657" s="49"/>
      <c r="M657" s="49"/>
    </row>
    <row r="658" spans="5:20" ht="21.75" customHeight="1">
      <c r="E658" s="49"/>
      <c r="F658" s="49"/>
      <c r="G658" s="49"/>
      <c r="H658" s="840" t="s">
        <v>2058</v>
      </c>
      <c r="I658" s="49"/>
      <c r="J658" s="50"/>
      <c r="K658" s="50">
        <f>K657/3</f>
        <v>668.33</v>
      </c>
      <c r="L658" s="49"/>
      <c r="M658" s="49"/>
    </row>
    <row r="659" spans="5:20" ht="21.75" customHeight="1">
      <c r="E659" s="49"/>
      <c r="F659" s="49"/>
      <c r="G659" s="49"/>
      <c r="H659" s="49"/>
      <c r="I659" s="49"/>
      <c r="J659" s="49"/>
      <c r="K659" s="49"/>
      <c r="L659" s="49"/>
      <c r="M659" s="49"/>
    </row>
    <row r="660" spans="5:20">
      <c r="E660" s="49"/>
      <c r="F660" s="49"/>
      <c r="G660" s="49"/>
      <c r="H660" s="50" t="s">
        <v>2618</v>
      </c>
      <c r="I660" s="49"/>
      <c r="J660" s="49"/>
      <c r="K660" s="49"/>
      <c r="L660" s="49"/>
      <c r="M660" s="49"/>
    </row>
    <row r="661" spans="5:20">
      <c r="E661" s="49"/>
      <c r="F661" s="49"/>
      <c r="G661" s="49"/>
      <c r="H661" s="49"/>
      <c r="I661" s="49"/>
      <c r="J661" s="49"/>
      <c r="K661" s="49"/>
      <c r="L661" s="49"/>
      <c r="M661" s="49"/>
    </row>
    <row r="662" spans="5:20" ht="31.5">
      <c r="E662" s="49"/>
      <c r="F662" s="49"/>
      <c r="G662" s="49"/>
      <c r="H662" s="842" t="s">
        <v>2619</v>
      </c>
      <c r="I662" s="49"/>
      <c r="J662" s="49"/>
      <c r="K662" s="49"/>
      <c r="L662" s="49"/>
      <c r="M662" s="49"/>
      <c r="N662" s="49"/>
      <c r="O662" s="842" t="s">
        <v>2620</v>
      </c>
      <c r="P662" s="49"/>
      <c r="Q662" s="49"/>
      <c r="R662" s="49"/>
    </row>
    <row r="663" spans="5:20" ht="61.5" customHeight="1">
      <c r="E663" s="49"/>
      <c r="F663" s="49">
        <v>180</v>
      </c>
      <c r="G663" s="49" t="s">
        <v>13</v>
      </c>
      <c r="H663" s="51" t="s">
        <v>2621</v>
      </c>
      <c r="I663" s="49">
        <f>I281</f>
        <v>40.950000000000003</v>
      </c>
      <c r="J663" s="49" t="s">
        <v>13</v>
      </c>
      <c r="K663" s="49">
        <f>F663*I663</f>
        <v>7371</v>
      </c>
      <c r="L663" s="49"/>
      <c r="M663" s="49">
        <v>180</v>
      </c>
      <c r="N663" s="49" t="s">
        <v>13</v>
      </c>
      <c r="O663" s="51" t="s">
        <v>2933</v>
      </c>
      <c r="P663" s="844">
        <f>I270</f>
        <v>25.75</v>
      </c>
      <c r="Q663" s="49" t="s">
        <v>13</v>
      </c>
      <c r="R663" s="49">
        <f>M663*P663</f>
        <v>4635</v>
      </c>
    </row>
    <row r="664" spans="5:20" ht="36" customHeight="1">
      <c r="E664" s="49"/>
      <c r="F664" s="49">
        <v>4</v>
      </c>
      <c r="G664" s="49" t="s">
        <v>39</v>
      </c>
      <c r="H664" s="49" t="s">
        <v>2934</v>
      </c>
      <c r="I664" s="844">
        <v>101.5</v>
      </c>
      <c r="J664" s="49" t="s">
        <v>39</v>
      </c>
      <c r="K664" s="49">
        <f>F664*I664</f>
        <v>406</v>
      </c>
      <c r="L664" s="49"/>
      <c r="M664" s="49">
        <v>4</v>
      </c>
      <c r="N664" s="49" t="s">
        <v>39</v>
      </c>
      <c r="O664" s="49" t="s">
        <v>2205</v>
      </c>
      <c r="P664" s="844">
        <f>I664</f>
        <v>101.5</v>
      </c>
      <c r="Q664" s="49" t="s">
        <v>39</v>
      </c>
      <c r="R664" s="49">
        <f>M664*P664</f>
        <v>406</v>
      </c>
    </row>
    <row r="665" spans="5:20" ht="24.95" customHeight="1">
      <c r="E665" s="49"/>
      <c r="F665" s="49">
        <v>180</v>
      </c>
      <c r="G665" s="49" t="s">
        <v>729</v>
      </c>
      <c r="H665" s="49" t="s">
        <v>2935</v>
      </c>
      <c r="I665" s="844">
        <f>ROUND(6.6/12,2)</f>
        <v>0.55000000000000004</v>
      </c>
      <c r="J665" s="49" t="s">
        <v>729</v>
      </c>
      <c r="K665" s="49">
        <f>F665*I665</f>
        <v>99</v>
      </c>
      <c r="L665" s="49"/>
      <c r="M665" s="49">
        <v>180</v>
      </c>
      <c r="N665" s="49" t="s">
        <v>729</v>
      </c>
      <c r="O665" s="49" t="s">
        <v>2623</v>
      </c>
      <c r="P665" s="844">
        <f>I665</f>
        <v>0.55000000000000004</v>
      </c>
      <c r="Q665" s="49" t="s">
        <v>729</v>
      </c>
      <c r="R665" s="49">
        <f>M665*P665</f>
        <v>99</v>
      </c>
    </row>
    <row r="666" spans="5:20" ht="24.95" customHeight="1">
      <c r="E666" s="49"/>
      <c r="F666" s="49">
        <v>1</v>
      </c>
      <c r="G666" s="49" t="s">
        <v>39</v>
      </c>
      <c r="H666" s="49" t="s">
        <v>2624</v>
      </c>
      <c r="I666" s="49">
        <f>I664</f>
        <v>101.5</v>
      </c>
      <c r="J666" s="49" t="s">
        <v>39</v>
      </c>
      <c r="K666" s="49">
        <f>F666*I666</f>
        <v>101.5</v>
      </c>
      <c r="L666" s="49"/>
      <c r="M666" s="49">
        <v>1</v>
      </c>
      <c r="N666" s="49" t="s">
        <v>39</v>
      </c>
      <c r="O666" s="49" t="s">
        <v>2624</v>
      </c>
      <c r="P666" s="844">
        <f>I666</f>
        <v>101.5</v>
      </c>
      <c r="Q666" s="49" t="s">
        <v>39</v>
      </c>
      <c r="R666" s="49">
        <f>M666*P666</f>
        <v>101.5</v>
      </c>
    </row>
    <row r="667" spans="5:20" ht="24.95" customHeight="1">
      <c r="E667" s="49"/>
      <c r="F667" s="49"/>
      <c r="G667" s="49"/>
      <c r="H667" s="49" t="s">
        <v>478</v>
      </c>
      <c r="I667" s="49"/>
      <c r="J667" s="49"/>
      <c r="K667" s="49">
        <f>K676</f>
        <v>5853</v>
      </c>
      <c r="L667" s="49"/>
      <c r="M667" s="49"/>
      <c r="N667" s="49"/>
      <c r="O667" s="49" t="s">
        <v>478</v>
      </c>
      <c r="P667" s="49"/>
      <c r="Q667" s="49"/>
      <c r="R667" s="49">
        <f>R676</f>
        <v>5853</v>
      </c>
    </row>
    <row r="668" spans="5:20" ht="24.95" customHeight="1">
      <c r="E668" s="49"/>
      <c r="F668" s="49"/>
      <c r="G668" s="49"/>
      <c r="H668" s="49" t="s">
        <v>2625</v>
      </c>
      <c r="I668" s="49"/>
      <c r="J668" s="49"/>
      <c r="K668" s="49">
        <v>81.099999999999994</v>
      </c>
      <c r="L668" s="49"/>
      <c r="M668" s="49"/>
      <c r="N668" s="49"/>
      <c r="O668" s="49" t="s">
        <v>2625</v>
      </c>
      <c r="P668" s="49"/>
      <c r="Q668" s="49"/>
      <c r="R668" s="49">
        <v>45.1</v>
      </c>
    </row>
    <row r="669" spans="5:20" ht="24.95" customHeight="1">
      <c r="E669" s="49"/>
      <c r="F669" s="49"/>
      <c r="G669" s="49"/>
      <c r="H669" s="839" t="s">
        <v>2626</v>
      </c>
      <c r="I669" s="49"/>
      <c r="J669" s="49"/>
      <c r="K669" s="49">
        <f>SUM(K663:K668)</f>
        <v>13911.6</v>
      </c>
      <c r="L669" s="49">
        <f>143*90</f>
        <v>12870</v>
      </c>
      <c r="M669" s="49"/>
      <c r="N669" s="49"/>
      <c r="O669" s="839" t="s">
        <v>2626</v>
      </c>
      <c r="P669" s="49"/>
      <c r="Q669" s="49"/>
      <c r="R669" s="49">
        <f>SUM(R663:R668)</f>
        <v>11139.6</v>
      </c>
    </row>
    <row r="670" spans="5:20" ht="24.95" customHeight="1">
      <c r="E670" s="49"/>
      <c r="F670" s="49"/>
      <c r="G670" s="49"/>
      <c r="H670" s="840" t="s">
        <v>2433</v>
      </c>
      <c r="I670" s="49"/>
      <c r="J670" s="49"/>
      <c r="K670" s="50">
        <f>K669/90</f>
        <v>154.57</v>
      </c>
      <c r="L670" s="49">
        <f>L669-K669</f>
        <v>-1041.5999999999999</v>
      </c>
      <c r="M670" s="49"/>
      <c r="N670" s="49"/>
      <c r="O670" s="840" t="s">
        <v>2433</v>
      </c>
      <c r="P670" s="49"/>
      <c r="Q670" s="49"/>
      <c r="R670" s="50">
        <f>R669/90</f>
        <v>123.77</v>
      </c>
      <c r="S670" s="325">
        <f>114.2*90</f>
        <v>10278</v>
      </c>
      <c r="T670" s="325">
        <f>S670-R669</f>
        <v>-861.6</v>
      </c>
    </row>
    <row r="671" spans="5:20" ht="24.95" customHeight="1">
      <c r="E671" s="49"/>
      <c r="F671" s="49"/>
      <c r="G671" s="49"/>
      <c r="H671" s="847" t="s">
        <v>14</v>
      </c>
      <c r="I671" s="49"/>
      <c r="J671" s="49"/>
      <c r="K671" s="49"/>
      <c r="L671" s="49"/>
      <c r="M671" s="49"/>
      <c r="N671" s="49"/>
      <c r="O671" s="847" t="s">
        <v>14</v>
      </c>
      <c r="P671" s="49"/>
      <c r="Q671" s="49"/>
      <c r="R671" s="49"/>
    </row>
    <row r="672" spans="5:20">
      <c r="E672" s="49"/>
      <c r="F672" s="49">
        <v>1</v>
      </c>
      <c r="G672" s="49" t="s">
        <v>1034</v>
      </c>
      <c r="H672" s="49" t="s">
        <v>2627</v>
      </c>
      <c r="I672" s="49">
        <f>I35</f>
        <v>898</v>
      </c>
      <c r="J672" s="49" t="s">
        <v>1034</v>
      </c>
      <c r="K672" s="49">
        <f>F672*I672</f>
        <v>898</v>
      </c>
      <c r="L672" s="49"/>
      <c r="M672" s="49">
        <v>1</v>
      </c>
      <c r="N672" s="49" t="s">
        <v>1034</v>
      </c>
      <c r="O672" s="49" t="s">
        <v>2627</v>
      </c>
      <c r="P672" s="49">
        <f>I672</f>
        <v>898</v>
      </c>
      <c r="Q672" s="49" t="s">
        <v>1034</v>
      </c>
      <c r="R672" s="49">
        <f>M672*P672</f>
        <v>898</v>
      </c>
    </row>
    <row r="673" spans="5:18">
      <c r="E673" s="49"/>
      <c r="F673" s="49">
        <v>2</v>
      </c>
      <c r="G673" s="49" t="s">
        <v>1034</v>
      </c>
      <c r="H673" s="49" t="s">
        <v>2472</v>
      </c>
      <c r="I673" s="49">
        <f>I36</f>
        <v>783</v>
      </c>
      <c r="J673" s="49" t="s">
        <v>1034</v>
      </c>
      <c r="K673" s="49">
        <f>F673*I673</f>
        <v>1566</v>
      </c>
      <c r="L673" s="49"/>
      <c r="M673" s="49">
        <v>2</v>
      </c>
      <c r="N673" s="49" t="s">
        <v>1034</v>
      </c>
      <c r="O673" s="49" t="s">
        <v>2472</v>
      </c>
      <c r="P673" s="49">
        <f>I673</f>
        <v>783</v>
      </c>
      <c r="Q673" s="49" t="s">
        <v>1034</v>
      </c>
      <c r="R673" s="49">
        <f>M673*P673</f>
        <v>1566</v>
      </c>
    </row>
    <row r="674" spans="5:18">
      <c r="E674" s="49"/>
      <c r="F674" s="49">
        <v>2</v>
      </c>
      <c r="G674" s="49" t="s">
        <v>1034</v>
      </c>
      <c r="H674" s="49" t="s">
        <v>2463</v>
      </c>
      <c r="I674" s="49">
        <f>I37</f>
        <v>778</v>
      </c>
      <c r="J674" s="49" t="s">
        <v>1034</v>
      </c>
      <c r="K674" s="49">
        <f>F674*I674</f>
        <v>1556</v>
      </c>
      <c r="L674" s="49"/>
      <c r="M674" s="49">
        <v>2</v>
      </c>
      <c r="N674" s="49" t="s">
        <v>1034</v>
      </c>
      <c r="O674" s="49" t="s">
        <v>2463</v>
      </c>
      <c r="P674" s="49">
        <f>I674</f>
        <v>778</v>
      </c>
      <c r="Q674" s="49" t="s">
        <v>1034</v>
      </c>
      <c r="R674" s="49">
        <f>M674*P674</f>
        <v>1556</v>
      </c>
    </row>
    <row r="675" spans="5:18">
      <c r="E675" s="49"/>
      <c r="F675" s="49">
        <v>3</v>
      </c>
      <c r="G675" s="49" t="s">
        <v>1034</v>
      </c>
      <c r="H675" s="49" t="s">
        <v>2166</v>
      </c>
      <c r="I675" s="49">
        <f>I38</f>
        <v>611</v>
      </c>
      <c r="J675" s="49" t="s">
        <v>1034</v>
      </c>
      <c r="K675" s="49">
        <f>F675*I675</f>
        <v>1833</v>
      </c>
      <c r="L675" s="49"/>
      <c r="M675" s="49">
        <v>3</v>
      </c>
      <c r="N675" s="49" t="s">
        <v>1034</v>
      </c>
      <c r="O675" s="49" t="s">
        <v>2166</v>
      </c>
      <c r="P675" s="49">
        <f>I675</f>
        <v>611</v>
      </c>
      <c r="Q675" s="49" t="s">
        <v>1034</v>
      </c>
      <c r="R675" s="49">
        <f>M675*P675</f>
        <v>1833</v>
      </c>
    </row>
    <row r="676" spans="5:18">
      <c r="E676" s="49"/>
      <c r="F676" s="49"/>
      <c r="G676" s="49"/>
      <c r="H676" s="49"/>
      <c r="I676" s="49"/>
      <c r="J676" s="49"/>
      <c r="K676" s="50">
        <f>SUM(K672:K675)</f>
        <v>5853</v>
      </c>
      <c r="L676" s="49"/>
      <c r="M676" s="49"/>
      <c r="N676" s="49"/>
      <c r="O676" s="49"/>
      <c r="P676" s="49"/>
      <c r="Q676" s="49"/>
      <c r="R676" s="50">
        <f>SUM(R672:R675)</f>
        <v>5853</v>
      </c>
    </row>
    <row r="677" spans="5:18" ht="24.95" customHeight="1">
      <c r="E677" s="49"/>
      <c r="F677" s="49"/>
      <c r="G677" s="49"/>
      <c r="H677" s="49"/>
      <c r="I677" s="49"/>
      <c r="J677" s="49"/>
      <c r="K677" s="49"/>
      <c r="L677" s="49"/>
      <c r="M677" s="49"/>
    </row>
    <row r="678" spans="5:18" ht="4.5" customHeight="1">
      <c r="E678" s="49"/>
      <c r="F678" s="49"/>
      <c r="G678" s="49"/>
      <c r="H678" s="50" t="s">
        <v>2628</v>
      </c>
      <c r="I678" s="49"/>
      <c r="J678" s="49"/>
      <c r="K678" s="49"/>
      <c r="L678" s="49"/>
      <c r="M678" s="49"/>
    </row>
    <row r="679" spans="5:18" ht="4.5" customHeight="1">
      <c r="E679" s="49"/>
      <c r="F679" s="49"/>
      <c r="G679" s="49"/>
      <c r="H679" s="842" t="s">
        <v>2629</v>
      </c>
      <c r="I679" s="49"/>
      <c r="J679" s="49"/>
      <c r="K679" s="49"/>
      <c r="L679" s="49"/>
      <c r="M679" s="49"/>
    </row>
    <row r="680" spans="5:18" ht="29.25" customHeight="1">
      <c r="E680" s="49"/>
      <c r="F680" s="49"/>
      <c r="G680" s="49"/>
      <c r="H680" s="49"/>
      <c r="I680" s="49"/>
      <c r="J680" s="49"/>
      <c r="K680" s="49"/>
      <c r="L680" s="49"/>
      <c r="M680" s="49"/>
    </row>
    <row r="681" spans="5:18" ht="18" customHeight="1">
      <c r="E681" s="49"/>
      <c r="F681" s="49"/>
      <c r="G681" s="49"/>
      <c r="H681" s="51" t="s">
        <v>2936</v>
      </c>
      <c r="I681" s="49"/>
      <c r="J681" s="49"/>
      <c r="K681" s="49"/>
      <c r="L681" s="49"/>
      <c r="M681" s="49"/>
    </row>
    <row r="682" spans="5:18" ht="47.25" customHeight="1">
      <c r="E682" s="49"/>
      <c r="F682" s="49">
        <v>1</v>
      </c>
      <c r="G682" s="49" t="s">
        <v>13</v>
      </c>
      <c r="H682" s="49" t="s">
        <v>2937</v>
      </c>
      <c r="I682" s="844">
        <v>128</v>
      </c>
      <c r="J682" s="49" t="s">
        <v>13</v>
      </c>
      <c r="K682" s="839">
        <f>F682*I682</f>
        <v>128</v>
      </c>
      <c r="L682" s="49"/>
      <c r="M682" s="49"/>
    </row>
    <row r="683" spans="5:18">
      <c r="E683" s="49"/>
      <c r="F683" s="49"/>
      <c r="G683" s="49"/>
      <c r="H683" s="49" t="s">
        <v>1557</v>
      </c>
      <c r="I683" s="49"/>
      <c r="J683" s="49"/>
      <c r="K683" s="839">
        <v>2</v>
      </c>
      <c r="L683" s="49"/>
      <c r="M683" s="49"/>
    </row>
    <row r="684" spans="5:18">
      <c r="E684" s="49"/>
      <c r="F684" s="49"/>
      <c r="G684" s="49"/>
      <c r="H684" s="840" t="s">
        <v>2632</v>
      </c>
      <c r="I684" s="49"/>
      <c r="J684" s="49"/>
      <c r="K684" s="840">
        <f>SUM(K682:K683)</f>
        <v>130</v>
      </c>
      <c r="L684" s="49"/>
      <c r="M684" s="49">
        <f>K684-123</f>
        <v>7</v>
      </c>
    </row>
    <row r="685" spans="5:18">
      <c r="E685" s="49"/>
      <c r="F685" s="49"/>
      <c r="G685" s="49"/>
      <c r="H685" s="49"/>
      <c r="I685" s="49"/>
      <c r="J685" s="49"/>
      <c r="K685" s="49"/>
      <c r="L685" s="49"/>
      <c r="M685" s="49"/>
    </row>
    <row r="686" spans="5:18" ht="9.75" customHeight="1">
      <c r="E686" s="49"/>
      <c r="F686" s="49"/>
      <c r="G686" s="49"/>
      <c r="H686" s="50" t="s">
        <v>2633</v>
      </c>
      <c r="I686" s="49"/>
      <c r="J686" s="49"/>
      <c r="K686" s="49"/>
      <c r="L686" s="49"/>
      <c r="M686" s="49"/>
    </row>
    <row r="687" spans="5:18">
      <c r="E687" s="49"/>
      <c r="F687" s="49"/>
      <c r="G687" s="49"/>
      <c r="H687" s="50" t="s">
        <v>2634</v>
      </c>
      <c r="I687" s="49"/>
      <c r="J687" s="49"/>
      <c r="K687" s="49"/>
      <c r="L687" s="49"/>
      <c r="M687" s="49"/>
    </row>
    <row r="688" spans="5:18">
      <c r="E688" s="49"/>
      <c r="F688" s="49"/>
      <c r="G688" s="49"/>
      <c r="H688" s="49"/>
      <c r="I688" s="49"/>
      <c r="J688" s="49"/>
      <c r="K688" s="49"/>
      <c r="L688" s="49"/>
      <c r="M688" s="49"/>
    </row>
    <row r="689" spans="5:13" ht="47.25">
      <c r="E689" s="49"/>
      <c r="F689" s="49"/>
      <c r="G689" s="49"/>
      <c r="H689" s="51" t="s">
        <v>2635</v>
      </c>
      <c r="I689" s="49"/>
      <c r="J689" s="49"/>
      <c r="K689" s="49"/>
      <c r="L689" s="49"/>
      <c r="M689" s="49"/>
    </row>
    <row r="690" spans="5:13" ht="49.5" customHeight="1">
      <c r="E690" s="49"/>
      <c r="F690" s="49">
        <v>1</v>
      </c>
      <c r="G690" s="49" t="s">
        <v>13</v>
      </c>
      <c r="H690" s="49" t="s">
        <v>2938</v>
      </c>
      <c r="I690" s="844">
        <v>57.6</v>
      </c>
      <c r="J690" s="49" t="s">
        <v>1791</v>
      </c>
      <c r="K690" s="49">
        <f>F691*I690</f>
        <v>187.2</v>
      </c>
      <c r="L690" s="49"/>
      <c r="M690" s="49"/>
    </row>
    <row r="691" spans="5:13">
      <c r="E691" s="49"/>
      <c r="F691" s="49">
        <v>3.25</v>
      </c>
      <c r="G691" s="49" t="s">
        <v>2637</v>
      </c>
      <c r="H691" s="49"/>
      <c r="I691" s="49"/>
      <c r="J691" s="49"/>
      <c r="K691" s="49"/>
      <c r="L691" s="49"/>
      <c r="M691" s="49"/>
    </row>
    <row r="692" spans="5:13">
      <c r="E692" s="49"/>
      <c r="F692" s="49"/>
      <c r="G692" s="49"/>
      <c r="H692" s="49" t="s">
        <v>1557</v>
      </c>
      <c r="I692" s="49"/>
      <c r="J692" s="49"/>
      <c r="K692" s="49">
        <v>2.75</v>
      </c>
      <c r="L692" s="49"/>
      <c r="M692" s="49"/>
    </row>
    <row r="693" spans="5:13">
      <c r="E693" s="49"/>
      <c r="F693" s="49"/>
      <c r="G693" s="49"/>
      <c r="H693" s="840" t="s">
        <v>2534</v>
      </c>
      <c r="I693" s="49"/>
      <c r="J693" s="49"/>
      <c r="K693" s="50">
        <f>SUM(K690:K692)</f>
        <v>189.95</v>
      </c>
      <c r="L693" s="49">
        <f>K693-145</f>
        <v>44.95</v>
      </c>
      <c r="M693" s="49"/>
    </row>
    <row r="694" spans="5:13">
      <c r="E694" s="49"/>
      <c r="F694" s="49"/>
      <c r="G694" s="49"/>
      <c r="H694" s="840"/>
      <c r="I694" s="49"/>
      <c r="J694" s="49"/>
      <c r="K694" s="50"/>
      <c r="L694" s="49"/>
      <c r="M694" s="49"/>
    </row>
    <row r="695" spans="5:13">
      <c r="E695" s="49"/>
      <c r="F695" s="49"/>
      <c r="G695" s="49"/>
      <c r="H695" s="50" t="s">
        <v>2638</v>
      </c>
      <c r="I695" s="49"/>
      <c r="J695" s="49"/>
      <c r="K695" s="49"/>
      <c r="L695" s="49"/>
      <c r="M695" s="49"/>
    </row>
    <row r="696" spans="5:13">
      <c r="E696" s="49"/>
      <c r="F696" s="49"/>
      <c r="G696" s="49"/>
      <c r="H696" s="49"/>
      <c r="I696" s="49"/>
      <c r="J696" s="49"/>
      <c r="K696" s="49"/>
      <c r="L696" s="49"/>
      <c r="M696" s="49"/>
    </row>
    <row r="697" spans="5:13" ht="31.5">
      <c r="E697" s="49"/>
      <c r="F697" s="49"/>
      <c r="G697" s="49"/>
      <c r="H697" s="842" t="s">
        <v>2639</v>
      </c>
      <c r="I697" s="49"/>
      <c r="J697" s="49"/>
      <c r="K697" s="49"/>
      <c r="L697" s="49"/>
      <c r="M697" s="49"/>
    </row>
    <row r="698" spans="5:13" ht="45" customHeight="1">
      <c r="E698" s="49"/>
      <c r="F698" s="49"/>
      <c r="G698" s="49"/>
      <c r="H698" s="49"/>
      <c r="I698" s="49"/>
      <c r="J698" s="49"/>
      <c r="K698" s="49"/>
      <c r="L698" s="49"/>
      <c r="M698" s="49"/>
    </row>
    <row r="699" spans="5:13" ht="110.25">
      <c r="E699" s="49"/>
      <c r="F699" s="49"/>
      <c r="G699" s="49"/>
      <c r="H699" s="51" t="s">
        <v>2640</v>
      </c>
      <c r="I699" s="49"/>
      <c r="J699" s="49"/>
      <c r="K699" s="49"/>
      <c r="L699" s="49"/>
      <c r="M699" s="49"/>
    </row>
    <row r="700" spans="5:13" ht="135.75" customHeight="1">
      <c r="E700" s="49"/>
      <c r="F700" s="49"/>
      <c r="G700" s="49"/>
      <c r="H700" s="49"/>
      <c r="I700" s="49"/>
      <c r="J700" s="49"/>
      <c r="K700" s="49"/>
      <c r="L700" s="49"/>
      <c r="M700" s="49"/>
    </row>
    <row r="701" spans="5:13" ht="31.5">
      <c r="E701" s="49"/>
      <c r="F701" s="49">
        <v>360</v>
      </c>
      <c r="G701" s="49" t="s">
        <v>13</v>
      </c>
      <c r="H701" s="51" t="s">
        <v>2621</v>
      </c>
      <c r="I701" s="49">
        <f>I663</f>
        <v>40.950000000000003</v>
      </c>
      <c r="J701" s="49" t="s">
        <v>13</v>
      </c>
      <c r="K701" s="49">
        <f>F701*I701</f>
        <v>14742</v>
      </c>
      <c r="L701" s="49"/>
      <c r="M701" s="49"/>
    </row>
    <row r="702" spans="5:13" ht="37.5" customHeight="1">
      <c r="E702" s="49"/>
      <c r="F702" s="49">
        <v>4</v>
      </c>
      <c r="G702" s="49" t="s">
        <v>39</v>
      </c>
      <c r="H702" s="49" t="s">
        <v>2205</v>
      </c>
      <c r="I702" s="49">
        <f>I664</f>
        <v>101.5</v>
      </c>
      <c r="J702" s="49" t="s">
        <v>39</v>
      </c>
      <c r="K702" s="49">
        <f>F702*I702</f>
        <v>406</v>
      </c>
      <c r="L702" s="49"/>
      <c r="M702" s="49"/>
    </row>
    <row r="703" spans="5:13" ht="15.75" customHeight="1">
      <c r="E703" s="49"/>
      <c r="F703" s="49">
        <v>360</v>
      </c>
      <c r="G703" s="49" t="s">
        <v>729</v>
      </c>
      <c r="H703" s="49" t="s">
        <v>2623</v>
      </c>
      <c r="I703" s="49">
        <f>I665</f>
        <v>0.55000000000000004</v>
      </c>
      <c r="J703" s="49" t="s">
        <v>729</v>
      </c>
      <c r="K703" s="49">
        <f>F703*I703</f>
        <v>198</v>
      </c>
      <c r="L703" s="49"/>
      <c r="M703" s="49"/>
    </row>
    <row r="704" spans="5:13">
      <c r="E704" s="49"/>
      <c r="F704" s="49">
        <v>1.5</v>
      </c>
      <c r="G704" s="49" t="s">
        <v>39</v>
      </c>
      <c r="H704" s="49" t="s">
        <v>2624</v>
      </c>
      <c r="I704" s="49">
        <f>I666</f>
        <v>101.5</v>
      </c>
      <c r="J704" s="49" t="s">
        <v>39</v>
      </c>
      <c r="K704" s="49">
        <f>F704*I704</f>
        <v>152.25</v>
      </c>
      <c r="L704" s="49"/>
      <c r="M704" s="49"/>
    </row>
    <row r="705" spans="5:13">
      <c r="E705" s="49"/>
      <c r="F705" s="49"/>
      <c r="G705" s="49"/>
      <c r="H705" s="49" t="s">
        <v>2939</v>
      </c>
      <c r="I705" s="49"/>
      <c r="J705" s="49"/>
      <c r="K705" s="49">
        <f>K676*1.5</f>
        <v>8779.5</v>
      </c>
      <c r="L705" s="49"/>
      <c r="M705" s="49"/>
    </row>
    <row r="706" spans="5:13">
      <c r="E706" s="49"/>
      <c r="F706" s="49"/>
      <c r="G706" s="49"/>
      <c r="H706" s="49" t="s">
        <v>2625</v>
      </c>
      <c r="I706" s="49"/>
      <c r="J706" s="49"/>
      <c r="K706" s="49">
        <v>119.75</v>
      </c>
      <c r="L706" s="49"/>
      <c r="M706" s="49"/>
    </row>
    <row r="707" spans="5:13">
      <c r="E707" s="49"/>
      <c r="F707" s="49"/>
      <c r="G707" s="49"/>
      <c r="H707" s="839" t="s">
        <v>2626</v>
      </c>
      <c r="I707" s="49"/>
      <c r="J707" s="49"/>
      <c r="K707" s="49">
        <f>SUM(K701:K706)</f>
        <v>24397.5</v>
      </c>
      <c r="L707" s="49"/>
      <c r="M707" s="49"/>
    </row>
    <row r="708" spans="5:13">
      <c r="E708" s="49"/>
      <c r="F708" s="49"/>
      <c r="G708" s="49"/>
      <c r="H708" s="840" t="s">
        <v>2433</v>
      </c>
      <c r="I708" s="49"/>
      <c r="J708" s="49"/>
      <c r="K708" s="50">
        <f>K707/90</f>
        <v>271.08</v>
      </c>
      <c r="L708" s="49">
        <f>251.2*90</f>
        <v>22608</v>
      </c>
      <c r="M708" s="49"/>
    </row>
    <row r="709" spans="5:13">
      <c r="E709" s="49"/>
      <c r="F709" s="49"/>
      <c r="G709" s="49"/>
      <c r="H709" s="49"/>
      <c r="I709" s="49"/>
      <c r="J709" s="49"/>
      <c r="K709" s="49"/>
      <c r="L709" s="49">
        <f>L708-K707</f>
        <v>-1789.5</v>
      </c>
      <c r="M709" s="49"/>
    </row>
    <row r="710" spans="5:13" ht="20.25" customHeight="1">
      <c r="E710" s="49"/>
      <c r="F710" s="49"/>
      <c r="G710" s="49"/>
      <c r="H710" s="50" t="s">
        <v>2643</v>
      </c>
      <c r="I710" s="49"/>
      <c r="J710" s="49"/>
      <c r="K710" s="49"/>
      <c r="L710" s="49"/>
      <c r="M710" s="49"/>
    </row>
    <row r="711" spans="5:13" ht="31.5">
      <c r="E711" s="49"/>
      <c r="F711" s="49"/>
      <c r="G711" s="49"/>
      <c r="H711" s="842" t="s">
        <v>2644</v>
      </c>
      <c r="I711" s="49"/>
      <c r="J711" s="49"/>
      <c r="K711" s="49"/>
      <c r="L711" s="49"/>
      <c r="M711" s="49"/>
    </row>
    <row r="712" spans="5:13" ht="32.25" customHeight="1">
      <c r="E712" s="49"/>
      <c r="F712" s="49"/>
      <c r="G712" s="49"/>
      <c r="H712" s="49"/>
      <c r="I712" s="49"/>
      <c r="J712" s="49"/>
      <c r="K712" s="49"/>
      <c r="L712" s="49"/>
      <c r="M712" s="49"/>
    </row>
    <row r="713" spans="5:13" ht="47.25">
      <c r="E713" s="49"/>
      <c r="F713" s="49"/>
      <c r="G713" s="49"/>
      <c r="H713" s="51" t="s">
        <v>2645</v>
      </c>
      <c r="I713" s="49"/>
      <c r="J713" s="49"/>
      <c r="K713" s="49"/>
      <c r="L713" s="49"/>
      <c r="M713" s="49"/>
    </row>
    <row r="714" spans="5:13" ht="47.25" customHeight="1">
      <c r="E714" s="49"/>
      <c r="F714" s="49">
        <v>1</v>
      </c>
      <c r="G714" s="49" t="s">
        <v>13</v>
      </c>
      <c r="H714" s="49" t="s">
        <v>2940</v>
      </c>
      <c r="I714" s="52">
        <v>163</v>
      </c>
      <c r="J714" s="49" t="s">
        <v>13</v>
      </c>
      <c r="K714" s="839">
        <f>F714*I714</f>
        <v>163</v>
      </c>
      <c r="L714" s="49"/>
      <c r="M714" s="49"/>
    </row>
    <row r="715" spans="5:13">
      <c r="E715" s="49"/>
      <c r="F715" s="49"/>
      <c r="G715" s="49"/>
      <c r="H715" s="49" t="s">
        <v>1557</v>
      </c>
      <c r="I715" s="49"/>
      <c r="J715" s="49"/>
      <c r="K715" s="839">
        <v>2</v>
      </c>
      <c r="L715" s="49"/>
      <c r="M715" s="49"/>
    </row>
    <row r="716" spans="5:13">
      <c r="E716" s="49"/>
      <c r="F716" s="49"/>
      <c r="G716" s="49"/>
      <c r="H716" s="840" t="s">
        <v>2632</v>
      </c>
      <c r="I716" s="49"/>
      <c r="J716" s="49"/>
      <c r="K716" s="840">
        <f>SUM(K714:K715)</f>
        <v>165</v>
      </c>
      <c r="L716" s="49"/>
      <c r="M716" s="49">
        <f>K716-154</f>
        <v>11</v>
      </c>
    </row>
    <row r="717" spans="5:13">
      <c r="E717" s="49"/>
      <c r="F717" s="49"/>
      <c r="G717" s="49"/>
      <c r="H717" s="49"/>
      <c r="I717" s="49"/>
      <c r="J717" s="49"/>
      <c r="K717" s="49"/>
      <c r="L717" s="49"/>
      <c r="M717" s="49"/>
    </row>
    <row r="718" spans="5:13" ht="7.5" customHeight="1">
      <c r="E718" s="49"/>
      <c r="F718" s="49"/>
      <c r="G718" s="49"/>
      <c r="H718" s="50" t="s">
        <v>2646</v>
      </c>
      <c r="I718" s="49"/>
      <c r="J718" s="49"/>
      <c r="K718" s="49"/>
      <c r="L718" s="49"/>
      <c r="M718" s="49"/>
    </row>
    <row r="719" spans="5:13">
      <c r="E719" s="49"/>
      <c r="F719" s="49"/>
      <c r="G719" s="49"/>
      <c r="H719" s="50" t="s">
        <v>2634</v>
      </c>
      <c r="I719" s="49"/>
      <c r="J719" s="49"/>
      <c r="K719" s="49"/>
      <c r="L719" s="49"/>
      <c r="M719" s="49"/>
    </row>
    <row r="720" spans="5:13">
      <c r="E720" s="49"/>
      <c r="F720" s="49"/>
      <c r="G720" s="49"/>
      <c r="H720" s="49"/>
      <c r="I720" s="49"/>
      <c r="J720" s="49"/>
      <c r="K720" s="49"/>
      <c r="L720" s="49"/>
      <c r="M720" s="49"/>
    </row>
    <row r="721" spans="5:15" ht="47.25">
      <c r="E721" s="49"/>
      <c r="F721" s="49"/>
      <c r="G721" s="49"/>
      <c r="H721" s="51" t="s">
        <v>2635</v>
      </c>
      <c r="I721" s="49"/>
      <c r="J721" s="49"/>
      <c r="K721" s="49"/>
      <c r="L721" s="49"/>
      <c r="M721" s="49"/>
    </row>
    <row r="722" spans="5:15">
      <c r="E722" s="49"/>
      <c r="F722" s="49">
        <v>1</v>
      </c>
      <c r="G722" s="49" t="s">
        <v>13</v>
      </c>
      <c r="H722" s="49" t="str">
        <f>H690</f>
        <v>40 x 40 x 6 mm MS angle (P-126  part -G)</v>
      </c>
      <c r="I722" s="49">
        <f>I690</f>
        <v>57.6</v>
      </c>
      <c r="J722" s="49" t="s">
        <v>1791</v>
      </c>
      <c r="K722" s="49">
        <f>F723*I722</f>
        <v>187.2</v>
      </c>
      <c r="L722" s="49"/>
      <c r="M722" s="49"/>
    </row>
    <row r="723" spans="5:15">
      <c r="E723" s="49"/>
      <c r="F723" s="49">
        <v>3.25</v>
      </c>
      <c r="G723" s="49" t="s">
        <v>2637</v>
      </c>
      <c r="H723" s="49"/>
      <c r="I723" s="49"/>
      <c r="J723" s="49"/>
      <c r="K723" s="49"/>
      <c r="L723" s="49"/>
      <c r="M723" s="49"/>
    </row>
    <row r="724" spans="5:15">
      <c r="E724" s="49"/>
      <c r="F724" s="49"/>
      <c r="G724" s="49"/>
      <c r="H724" s="49" t="s">
        <v>1557</v>
      </c>
      <c r="I724" s="49"/>
      <c r="J724" s="49"/>
      <c r="K724" s="49">
        <v>2.8</v>
      </c>
      <c r="L724" s="49"/>
      <c r="M724" s="49"/>
    </row>
    <row r="725" spans="5:15">
      <c r="E725" s="49"/>
      <c r="F725" s="49"/>
      <c r="G725" s="49"/>
      <c r="H725" s="840" t="s">
        <v>2534</v>
      </c>
      <c r="I725" s="49"/>
      <c r="J725" s="49"/>
      <c r="K725" s="50">
        <f>SUM(K722:K724)</f>
        <v>190</v>
      </c>
      <c r="L725" s="49">
        <f>K725-190</f>
        <v>0</v>
      </c>
      <c r="M725" s="49">
        <f>147.6-148.6</f>
        <v>-1</v>
      </c>
    </row>
    <row r="726" spans="5:15">
      <c r="E726" s="49"/>
      <c r="F726" s="49"/>
      <c r="G726" s="49"/>
      <c r="H726" s="49"/>
      <c r="I726" s="49"/>
      <c r="J726" s="49"/>
      <c r="K726" s="49"/>
      <c r="L726" s="49"/>
      <c r="M726" s="49"/>
    </row>
    <row r="727" spans="5:15">
      <c r="E727" s="49"/>
      <c r="F727" s="49"/>
      <c r="G727" s="49"/>
      <c r="H727" s="50" t="s">
        <v>2647</v>
      </c>
      <c r="I727" s="49"/>
      <c r="J727" s="49"/>
      <c r="K727" s="49"/>
      <c r="L727" s="49"/>
      <c r="M727" s="49"/>
    </row>
    <row r="728" spans="5:15">
      <c r="E728" s="49"/>
      <c r="F728" s="49"/>
      <c r="G728" s="49"/>
      <c r="H728" s="49"/>
      <c r="I728" s="49"/>
      <c r="J728" s="49"/>
      <c r="K728" s="49"/>
      <c r="L728" s="49"/>
      <c r="M728" s="49"/>
    </row>
    <row r="729" spans="5:15" ht="66">
      <c r="E729" s="49"/>
      <c r="F729" s="49"/>
      <c r="G729" s="49"/>
      <c r="H729" s="51" t="s">
        <v>2941</v>
      </c>
      <c r="I729" s="49"/>
      <c r="J729" s="49"/>
      <c r="K729" s="49"/>
      <c r="L729" s="49"/>
      <c r="M729" s="49"/>
    </row>
    <row r="730" spans="5:15" ht="80.25" customHeight="1">
      <c r="E730" s="49"/>
      <c r="F730" s="49">
        <v>30.42</v>
      </c>
      <c r="G730" s="49" t="s">
        <v>5</v>
      </c>
      <c r="H730" s="49" t="s">
        <v>2942</v>
      </c>
      <c r="I730" s="872">
        <f>106.25+106.25+(36.95/3)</f>
        <v>224.82</v>
      </c>
      <c r="J730" s="49" t="s">
        <v>5</v>
      </c>
      <c r="K730" s="49">
        <f>F730*I730</f>
        <v>6839.02</v>
      </c>
      <c r="L730" s="49">
        <f>61.1*2</f>
        <v>122.2</v>
      </c>
      <c r="M730" s="49">
        <f>21.4/3</f>
        <v>7.13</v>
      </c>
      <c r="N730" s="325">
        <f>73.1+73.1</f>
        <v>146.19999999999999</v>
      </c>
      <c r="O730" s="325">
        <f>M730+N730</f>
        <v>153.33000000000001</v>
      </c>
    </row>
    <row r="731" spans="5:15" ht="15.75" customHeight="1">
      <c r="E731" s="49"/>
      <c r="F731" s="49">
        <v>6.1</v>
      </c>
      <c r="G731" s="49" t="s">
        <v>5</v>
      </c>
      <c r="H731" s="120" t="s">
        <v>2650</v>
      </c>
      <c r="I731" s="49">
        <f>Data!Y16</f>
        <v>1312</v>
      </c>
      <c r="J731" s="49" t="s">
        <v>5</v>
      </c>
      <c r="K731" s="49">
        <f>F731*I731</f>
        <v>8003.2</v>
      </c>
      <c r="L731" s="49">
        <f>L730+M730</f>
        <v>129.33000000000001</v>
      </c>
      <c r="M731" s="49"/>
      <c r="N731" s="325">
        <f>25.5/3</f>
        <v>8.5</v>
      </c>
    </row>
    <row r="732" spans="5:15" ht="15.75" customHeight="1">
      <c r="E732" s="49"/>
      <c r="F732" s="49">
        <v>750</v>
      </c>
      <c r="G732" s="49" t="s">
        <v>1034</v>
      </c>
      <c r="H732" s="49" t="s">
        <v>2943</v>
      </c>
      <c r="I732" s="49">
        <f>Data!Y18</f>
        <v>5709</v>
      </c>
      <c r="J732" s="49" t="s">
        <v>341</v>
      </c>
      <c r="K732" s="49">
        <f>F732*I732/1000</f>
        <v>4281.75</v>
      </c>
      <c r="L732" s="49"/>
      <c r="M732" s="49"/>
      <c r="N732" s="325">
        <f>SUM(N730:N731)</f>
        <v>154.69999999999999</v>
      </c>
    </row>
    <row r="733" spans="5:15" ht="15.75" customHeight="1">
      <c r="E733" s="49"/>
      <c r="F733" s="49"/>
      <c r="G733" s="49"/>
      <c r="H733" s="49" t="s">
        <v>478</v>
      </c>
      <c r="I733" s="49"/>
      <c r="J733" s="49"/>
      <c r="K733" s="49">
        <f>K742</f>
        <v>4125</v>
      </c>
      <c r="L733" s="49"/>
      <c r="M733" s="49"/>
    </row>
    <row r="734" spans="5:15" ht="15.75" customHeight="1">
      <c r="E734" s="49"/>
      <c r="F734" s="49"/>
      <c r="G734" s="49"/>
      <c r="H734" s="49" t="s">
        <v>1557</v>
      </c>
      <c r="I734" s="49"/>
      <c r="J734" s="49"/>
      <c r="K734" s="49">
        <f>138-2.7</f>
        <v>135.30000000000001</v>
      </c>
      <c r="L734" s="49">
        <f>112.2-K734</f>
        <v>-23.1</v>
      </c>
      <c r="M734" s="49"/>
    </row>
    <row r="735" spans="5:15" ht="15.75" customHeight="1">
      <c r="E735" s="49"/>
      <c r="F735" s="49"/>
      <c r="G735" s="49"/>
      <c r="H735" s="839" t="s">
        <v>2626</v>
      </c>
      <c r="I735" s="49"/>
      <c r="J735" s="49"/>
      <c r="K735" s="49">
        <f>SUM(K730:K734)</f>
        <v>23384.27</v>
      </c>
      <c r="L735" s="49">
        <f>K735-14460</f>
        <v>8924.27</v>
      </c>
      <c r="M735" s="49"/>
    </row>
    <row r="736" spans="5:15" ht="15.75" customHeight="1">
      <c r="E736" s="49"/>
      <c r="F736" s="49"/>
      <c r="G736" s="49"/>
      <c r="H736" s="840" t="s">
        <v>2433</v>
      </c>
      <c r="I736" s="49"/>
      <c r="J736" s="49"/>
      <c r="K736" s="50">
        <f>K735/90</f>
        <v>259.83</v>
      </c>
      <c r="L736" s="49"/>
      <c r="M736" s="49">
        <f>128*90</f>
        <v>11520</v>
      </c>
    </row>
    <row r="737" spans="5:13" ht="37.5" customHeight="1">
      <c r="E737" s="49"/>
      <c r="F737" s="49"/>
      <c r="G737" s="49"/>
      <c r="H737" s="49"/>
      <c r="I737" s="49"/>
      <c r="J737" s="49"/>
      <c r="K737" s="49"/>
      <c r="L737" s="49"/>
      <c r="M737" s="49">
        <f>M736-K735</f>
        <v>-11864.27</v>
      </c>
    </row>
    <row r="738" spans="5:13" ht="25.5" customHeight="1">
      <c r="E738" s="49"/>
      <c r="F738" s="49"/>
      <c r="G738" s="49"/>
      <c r="H738" s="847" t="s">
        <v>1978</v>
      </c>
      <c r="K738" s="49"/>
      <c r="L738" s="49"/>
      <c r="M738" s="49"/>
    </row>
    <row r="739" spans="5:13" ht="15.75" customHeight="1">
      <c r="E739" s="49"/>
      <c r="F739" s="49">
        <v>1</v>
      </c>
      <c r="G739" s="49" t="s">
        <v>1034</v>
      </c>
      <c r="H739" s="49" t="s">
        <v>2627</v>
      </c>
      <c r="I739" s="339">
        <f>I672</f>
        <v>898</v>
      </c>
      <c r="J739" s="49" t="s">
        <v>1034</v>
      </c>
      <c r="K739" s="49">
        <f>F739*I739</f>
        <v>898</v>
      </c>
      <c r="L739" s="49"/>
      <c r="M739" s="49"/>
    </row>
    <row r="740" spans="5:13" ht="15.75" customHeight="1">
      <c r="E740" s="49"/>
      <c r="F740" s="49">
        <v>1</v>
      </c>
      <c r="G740" s="49" t="s">
        <v>1034</v>
      </c>
      <c r="H740" s="49" t="s">
        <v>2472</v>
      </c>
      <c r="I740" s="339">
        <f>I673</f>
        <v>783</v>
      </c>
      <c r="J740" s="49" t="s">
        <v>1034</v>
      </c>
      <c r="K740" s="49">
        <f>F740*I740</f>
        <v>783</v>
      </c>
      <c r="L740" s="49"/>
      <c r="M740" s="49"/>
    </row>
    <row r="741" spans="5:13" ht="15.75" customHeight="1">
      <c r="E741" s="49"/>
      <c r="F741" s="49">
        <v>4</v>
      </c>
      <c r="G741" s="49" t="s">
        <v>1034</v>
      </c>
      <c r="H741" s="49" t="s">
        <v>2166</v>
      </c>
      <c r="I741" s="49">
        <f>I675</f>
        <v>611</v>
      </c>
      <c r="J741" s="49" t="s">
        <v>1034</v>
      </c>
      <c r="K741" s="49">
        <f>F741*I741</f>
        <v>2444</v>
      </c>
      <c r="L741" s="49"/>
      <c r="M741" s="49"/>
    </row>
    <row r="742" spans="5:13" ht="15.75" customHeight="1">
      <c r="E742" s="49"/>
      <c r="F742" s="49"/>
      <c r="G742" s="49"/>
      <c r="H742" s="49"/>
      <c r="I742" s="49"/>
      <c r="J742" s="49"/>
      <c r="K742" s="50">
        <f>SUM(K739:K741)</f>
        <v>4125</v>
      </c>
      <c r="L742" s="49"/>
      <c r="M742" s="49"/>
    </row>
    <row r="743" spans="5:13" ht="15.75" customHeight="1">
      <c r="E743" s="49"/>
      <c r="F743" s="49"/>
      <c r="G743" s="49"/>
      <c r="H743" s="50" t="s">
        <v>2652</v>
      </c>
      <c r="I743" s="49"/>
      <c r="J743" s="49"/>
      <c r="K743" s="49"/>
      <c r="L743" s="49"/>
      <c r="M743" s="49"/>
    </row>
    <row r="744" spans="5:13">
      <c r="E744" s="49"/>
      <c r="F744" s="49"/>
      <c r="G744" s="49"/>
      <c r="H744" s="49"/>
      <c r="I744" s="49"/>
      <c r="J744" s="49"/>
      <c r="K744" s="49"/>
      <c r="L744" s="49"/>
      <c r="M744" s="49"/>
    </row>
    <row r="745" spans="5:13">
      <c r="E745" s="49"/>
      <c r="F745" s="49"/>
      <c r="G745" s="49"/>
      <c r="H745" s="50" t="s">
        <v>2653</v>
      </c>
      <c r="I745" s="49"/>
      <c r="J745" s="49"/>
      <c r="K745" s="49"/>
      <c r="L745" s="49"/>
      <c r="M745" s="49"/>
    </row>
    <row r="746" spans="5:13" ht="29.25" customHeight="1">
      <c r="E746" s="49"/>
      <c r="F746" s="49"/>
      <c r="G746" s="49"/>
      <c r="H746" s="51" t="s">
        <v>2654</v>
      </c>
      <c r="I746" s="49"/>
      <c r="J746" s="49"/>
      <c r="K746" s="49"/>
      <c r="L746" s="49"/>
      <c r="M746" s="49"/>
    </row>
    <row r="747" spans="5:13" ht="75" customHeight="1">
      <c r="E747" s="49"/>
      <c r="F747" s="49">
        <v>1</v>
      </c>
      <c r="G747" s="49" t="s">
        <v>2327</v>
      </c>
      <c r="H747" s="49" t="s">
        <v>2944</v>
      </c>
      <c r="I747" s="844">
        <v>59.6</v>
      </c>
      <c r="J747" s="49" t="s">
        <v>2327</v>
      </c>
      <c r="K747" s="49">
        <f>F747*I747</f>
        <v>59.6</v>
      </c>
      <c r="L747" s="49"/>
      <c r="M747" s="49"/>
    </row>
    <row r="748" spans="5:13" ht="26.25" customHeight="1">
      <c r="E748" s="49"/>
      <c r="F748" s="49">
        <v>300</v>
      </c>
      <c r="G748" s="49" t="s">
        <v>1034</v>
      </c>
      <c r="H748" s="49" t="s">
        <v>2945</v>
      </c>
      <c r="I748" s="844">
        <v>68.8</v>
      </c>
      <c r="J748" s="49" t="s">
        <v>2327</v>
      </c>
      <c r="K748" s="49">
        <f>F748*(I748/144)</f>
        <v>143.33000000000001</v>
      </c>
      <c r="L748" s="49"/>
      <c r="M748" s="49"/>
    </row>
    <row r="749" spans="5:13" ht="26.25" customHeight="1">
      <c r="E749" s="49"/>
      <c r="F749" s="49">
        <v>300</v>
      </c>
      <c r="G749" s="49" t="s">
        <v>1034</v>
      </c>
      <c r="H749" s="49" t="s">
        <v>2946</v>
      </c>
      <c r="I749" s="844">
        <v>287</v>
      </c>
      <c r="J749" s="49" t="s">
        <v>341</v>
      </c>
      <c r="K749" s="49">
        <f>F749*(I749/1000)</f>
        <v>86.1</v>
      </c>
      <c r="L749" s="49"/>
      <c r="M749" s="49"/>
    </row>
    <row r="750" spans="5:13" ht="26.25" customHeight="1">
      <c r="E750" s="49"/>
      <c r="F750" s="49"/>
      <c r="G750" s="49"/>
      <c r="H750" s="49" t="s">
        <v>2655</v>
      </c>
      <c r="I750" s="49"/>
      <c r="J750" s="49"/>
      <c r="K750" s="49">
        <v>7.97</v>
      </c>
      <c r="L750" s="49"/>
      <c r="M750" s="49"/>
    </row>
    <row r="751" spans="5:13" ht="26.25" customHeight="1">
      <c r="E751" s="49"/>
      <c r="F751" s="49"/>
      <c r="G751" s="49"/>
      <c r="H751" s="49" t="s">
        <v>478</v>
      </c>
      <c r="I751" s="49"/>
      <c r="J751" s="49"/>
      <c r="K751" s="49">
        <f>K761</f>
        <v>14582</v>
      </c>
      <c r="L751" s="49"/>
      <c r="M751" s="49"/>
    </row>
    <row r="752" spans="5:13" ht="26.25" customHeight="1">
      <c r="E752" s="49"/>
      <c r="F752" s="49"/>
      <c r="G752" s="49"/>
      <c r="H752" s="839" t="s">
        <v>2656</v>
      </c>
      <c r="I752" s="49"/>
      <c r="J752" s="49"/>
      <c r="K752" s="847">
        <f>SUM(K747:K751)</f>
        <v>14879</v>
      </c>
      <c r="L752" s="49"/>
      <c r="M752" s="49"/>
    </row>
    <row r="753" spans="5:13" ht="26.25" customHeight="1">
      <c r="E753" s="49"/>
      <c r="F753" s="49"/>
      <c r="G753" s="49"/>
      <c r="H753" s="840" t="s">
        <v>2534</v>
      </c>
      <c r="I753" s="49"/>
      <c r="J753" s="49"/>
      <c r="K753" s="50">
        <f>K752/90</f>
        <v>165.32</v>
      </c>
      <c r="L753" s="49">
        <f>150.7*90</f>
        <v>13563</v>
      </c>
      <c r="M753" s="49">
        <f>L753-K752</f>
        <v>-1316</v>
      </c>
    </row>
    <row r="754" spans="5:13" ht="26.25" customHeight="1">
      <c r="E754" s="49"/>
      <c r="F754" s="49"/>
      <c r="G754" s="49"/>
      <c r="H754" s="49"/>
      <c r="I754" s="49"/>
      <c r="J754" s="49"/>
      <c r="K754" s="49"/>
      <c r="L754" s="49"/>
      <c r="M754" s="49"/>
    </row>
    <row r="755" spans="5:13">
      <c r="E755" s="49"/>
      <c r="F755" s="49"/>
      <c r="G755" s="49"/>
      <c r="H755" s="847" t="s">
        <v>14</v>
      </c>
      <c r="I755" s="49"/>
      <c r="J755" s="49"/>
      <c r="K755" s="49"/>
      <c r="L755" s="49"/>
      <c r="M755" s="49"/>
    </row>
    <row r="756" spans="5:13" ht="24.95" customHeight="1">
      <c r="E756" s="49"/>
      <c r="F756" s="49">
        <v>1</v>
      </c>
      <c r="G756" s="49" t="s">
        <v>1034</v>
      </c>
      <c r="H756" s="49" t="s">
        <v>2657</v>
      </c>
      <c r="I756" s="49">
        <f>I523</f>
        <v>947</v>
      </c>
      <c r="J756" s="49" t="s">
        <v>1034</v>
      </c>
      <c r="K756" s="49">
        <f>F756*I756</f>
        <v>947</v>
      </c>
      <c r="L756" s="49"/>
      <c r="M756" s="49"/>
    </row>
    <row r="757" spans="5:13" ht="24.95" customHeight="1">
      <c r="E757" s="49"/>
      <c r="F757" s="49">
        <v>2</v>
      </c>
      <c r="G757" s="49" t="s">
        <v>1034</v>
      </c>
      <c r="H757" s="49" t="s">
        <v>2472</v>
      </c>
      <c r="I757" s="49">
        <f>I673</f>
        <v>783</v>
      </c>
      <c r="J757" s="49" t="s">
        <v>1034</v>
      </c>
      <c r="K757" s="49">
        <f>F757*I757</f>
        <v>1566</v>
      </c>
      <c r="L757" s="49"/>
      <c r="M757" s="49"/>
    </row>
    <row r="758" spans="5:13" ht="24.95" customHeight="1">
      <c r="E758" s="49"/>
      <c r="F758" s="49">
        <v>3</v>
      </c>
      <c r="G758" s="49" t="s">
        <v>1034</v>
      </c>
      <c r="H758" s="49" t="s">
        <v>2463</v>
      </c>
      <c r="I758" s="49">
        <f>I674</f>
        <v>778</v>
      </c>
      <c r="J758" s="49" t="s">
        <v>1034</v>
      </c>
      <c r="K758" s="49">
        <f>F758*I758</f>
        <v>2334</v>
      </c>
      <c r="L758" s="49"/>
      <c r="M758" s="49"/>
    </row>
    <row r="759" spans="5:13" ht="24.95" customHeight="1">
      <c r="E759" s="49"/>
      <c r="F759" s="49">
        <v>4</v>
      </c>
      <c r="G759" s="49" t="s">
        <v>1034</v>
      </c>
      <c r="H759" s="49" t="s">
        <v>2166</v>
      </c>
      <c r="I759" s="49">
        <f>I675</f>
        <v>611</v>
      </c>
      <c r="J759" s="49" t="s">
        <v>1034</v>
      </c>
      <c r="K759" s="49">
        <f>F759*I759</f>
        <v>2444</v>
      </c>
      <c r="L759" s="49"/>
      <c r="M759" s="49"/>
    </row>
    <row r="760" spans="5:13" ht="24.95" customHeight="1">
      <c r="E760" s="49"/>
      <c r="F760" s="49"/>
      <c r="G760" s="49"/>
      <c r="H760" s="839" t="s">
        <v>2658</v>
      </c>
      <c r="I760" s="49"/>
      <c r="J760" s="49"/>
      <c r="K760" s="49">
        <f>SUM(K756:K759)</f>
        <v>7291</v>
      </c>
      <c r="L760" s="49"/>
      <c r="M760" s="49"/>
    </row>
    <row r="761" spans="5:13" ht="24.95" customHeight="1">
      <c r="E761" s="49"/>
      <c r="F761" s="49"/>
      <c r="G761" s="49"/>
      <c r="H761" s="840" t="s">
        <v>2659</v>
      </c>
      <c r="I761" s="49"/>
      <c r="J761" s="49"/>
      <c r="K761" s="50">
        <f>K760*2</f>
        <v>14582</v>
      </c>
      <c r="L761" s="49"/>
      <c r="M761" s="49"/>
    </row>
    <row r="762" spans="5:13" ht="24.95" customHeight="1">
      <c r="E762" s="49"/>
      <c r="F762" s="49"/>
      <c r="G762" s="49"/>
      <c r="H762" s="49"/>
      <c r="I762" s="49"/>
      <c r="J762" s="49"/>
      <c r="K762" s="49"/>
      <c r="L762" s="49"/>
      <c r="M762" s="49"/>
    </row>
    <row r="763" spans="5:13">
      <c r="E763" s="49"/>
      <c r="F763" s="49"/>
      <c r="G763" s="49"/>
      <c r="H763" s="50" t="s">
        <v>2660</v>
      </c>
      <c r="I763" s="49"/>
      <c r="J763" s="49"/>
      <c r="K763" s="49"/>
      <c r="L763" s="49"/>
      <c r="M763" s="49"/>
    </row>
    <row r="764" spans="5:13" ht="21" customHeight="1">
      <c r="E764" s="49"/>
      <c r="F764" s="49"/>
      <c r="G764" s="49"/>
      <c r="H764" s="49"/>
      <c r="I764" s="49"/>
      <c r="J764" s="49"/>
      <c r="K764" s="49"/>
      <c r="L764" s="49"/>
      <c r="M764" s="49"/>
    </row>
    <row r="765" spans="5:13">
      <c r="E765" s="49"/>
      <c r="F765" s="49"/>
      <c r="G765" s="49"/>
      <c r="H765" s="50" t="s">
        <v>2661</v>
      </c>
      <c r="I765" s="49"/>
      <c r="J765" s="49"/>
      <c r="K765" s="49"/>
      <c r="L765" s="49"/>
      <c r="M765" s="49"/>
    </row>
    <row r="766" spans="5:13" ht="27" customHeight="1">
      <c r="E766" s="49"/>
      <c r="F766" s="49"/>
      <c r="G766" s="49"/>
      <c r="H766" s="49"/>
      <c r="I766" s="49"/>
      <c r="J766" s="49"/>
      <c r="K766" s="49"/>
      <c r="L766" s="49"/>
      <c r="M766" s="49"/>
    </row>
    <row r="767" spans="5:13" ht="141.75">
      <c r="E767" s="49"/>
      <c r="F767" s="49"/>
      <c r="G767" s="49"/>
      <c r="H767" s="51" t="s">
        <v>2662</v>
      </c>
      <c r="I767" s="49"/>
      <c r="J767" s="49"/>
      <c r="K767" s="49"/>
      <c r="L767" s="49"/>
      <c r="M767" s="49"/>
    </row>
    <row r="768" spans="5:13" ht="182.25" customHeight="1">
      <c r="E768" s="49"/>
      <c r="F768" s="49"/>
      <c r="G768" s="49"/>
      <c r="H768" s="50" t="s">
        <v>2663</v>
      </c>
      <c r="I768" s="49"/>
      <c r="J768" s="49"/>
      <c r="K768" s="49"/>
      <c r="L768" s="49"/>
      <c r="M768" s="49"/>
    </row>
    <row r="769" spans="5:20" ht="26.25" customHeight="1">
      <c r="E769" s="49"/>
      <c r="F769" s="49"/>
      <c r="G769" s="49"/>
      <c r="H769" s="49"/>
      <c r="I769" s="49"/>
      <c r="J769" s="49"/>
      <c r="K769" s="49"/>
      <c r="L769" s="49"/>
      <c r="M769" s="49"/>
    </row>
    <row r="770" spans="5:20" ht="173.25">
      <c r="E770" s="49"/>
      <c r="F770" s="49"/>
      <c r="G770" s="49"/>
      <c r="H770" s="51" t="s">
        <v>2664</v>
      </c>
      <c r="I770" s="49"/>
      <c r="J770" s="49"/>
      <c r="K770" s="49"/>
      <c r="L770" s="49"/>
      <c r="M770" s="49"/>
    </row>
    <row r="771" spans="5:20" ht="225" customHeight="1">
      <c r="E771" s="49"/>
      <c r="F771" s="49"/>
      <c r="G771" s="49"/>
      <c r="H771" s="847" t="s">
        <v>2665</v>
      </c>
      <c r="I771" s="847" t="s">
        <v>2666</v>
      </c>
      <c r="J771" s="847" t="s">
        <v>2667</v>
      </c>
      <c r="K771" s="847" t="s">
        <v>2668</v>
      </c>
      <c r="L771" s="847" t="s">
        <v>2669</v>
      </c>
      <c r="M771" s="49"/>
    </row>
    <row r="772" spans="5:20" ht="22.5" customHeight="1">
      <c r="E772" s="49"/>
      <c r="F772" s="49"/>
      <c r="G772" s="49"/>
      <c r="H772" s="49" t="s">
        <v>2670</v>
      </c>
      <c r="I772" s="844">
        <v>3110</v>
      </c>
      <c r="J772" s="843">
        <v>2970</v>
      </c>
      <c r="K772" s="844">
        <v>2983</v>
      </c>
      <c r="L772" s="844">
        <v>3025</v>
      </c>
      <c r="M772" s="49"/>
    </row>
    <row r="773" spans="5:20" ht="22.5" customHeight="1">
      <c r="E773" s="49"/>
      <c r="F773" s="49"/>
      <c r="G773" s="49"/>
      <c r="H773" s="49" t="s">
        <v>2947</v>
      </c>
      <c r="I773" s="52">
        <v>173.7</v>
      </c>
      <c r="J773" s="52">
        <v>424</v>
      </c>
      <c r="K773" s="874">
        <v>572</v>
      </c>
      <c r="L773" s="874">
        <v>668</v>
      </c>
      <c r="M773" s="49"/>
    </row>
    <row r="774" spans="5:20" ht="22.5" customHeight="1">
      <c r="E774" s="49"/>
      <c r="F774" s="49"/>
      <c r="G774" s="49"/>
      <c r="H774" s="840" t="s">
        <v>2672</v>
      </c>
      <c r="I774" s="50">
        <f>SUM(I772:I773)</f>
        <v>3283.7</v>
      </c>
      <c r="J774" s="50">
        <f>SUM(J772:J773)</f>
        <v>3394</v>
      </c>
      <c r="K774" s="873">
        <f>SUM(K772:K773)</f>
        <v>3555</v>
      </c>
      <c r="L774" s="873">
        <f>SUM(L772:L773)</f>
        <v>3693</v>
      </c>
      <c r="M774" s="49"/>
    </row>
    <row r="775" spans="5:20" ht="29.25" customHeight="1">
      <c r="E775" s="49"/>
      <c r="F775" s="49"/>
      <c r="G775" s="49"/>
      <c r="H775" s="49"/>
      <c r="I775" s="49"/>
      <c r="J775" s="49"/>
      <c r="K775" s="49"/>
      <c r="L775" s="49"/>
      <c r="M775" s="49"/>
    </row>
    <row r="776" spans="5:20">
      <c r="E776" s="49"/>
      <c r="F776" s="49"/>
      <c r="G776" s="49"/>
      <c r="H776" s="50" t="s">
        <v>2673</v>
      </c>
      <c r="I776" s="49"/>
      <c r="J776" s="49"/>
      <c r="K776" s="49"/>
      <c r="L776" s="49"/>
      <c r="M776" s="49"/>
    </row>
    <row r="777" spans="5:20">
      <c r="E777" s="49"/>
      <c r="F777" s="49"/>
      <c r="G777" s="49"/>
      <c r="H777" s="49"/>
      <c r="I777" s="49"/>
      <c r="J777" s="49"/>
      <c r="K777" s="49"/>
      <c r="L777" s="49"/>
      <c r="M777" s="49"/>
    </row>
    <row r="778" spans="5:20" ht="15.75" customHeight="1">
      <c r="E778" s="49"/>
      <c r="F778" s="49"/>
      <c r="G778" s="49"/>
      <c r="H778" s="50" t="s">
        <v>2674</v>
      </c>
      <c r="I778" s="49"/>
      <c r="J778" s="49"/>
      <c r="K778" s="49"/>
      <c r="L778" s="49"/>
      <c r="M778" s="49"/>
    </row>
    <row r="779" spans="5:20" ht="63">
      <c r="E779" s="49"/>
      <c r="F779" s="49"/>
      <c r="G779" s="49"/>
      <c r="H779" s="51" t="s">
        <v>2675</v>
      </c>
      <c r="I779" s="49"/>
      <c r="J779" s="49"/>
      <c r="K779" s="49"/>
      <c r="L779" s="49"/>
      <c r="M779" s="1778" t="s">
        <v>2948</v>
      </c>
      <c r="N779" s="1778"/>
      <c r="O779" s="1778"/>
      <c r="P779" s="1778"/>
      <c r="Q779" s="1778"/>
      <c r="R779" s="1778"/>
    </row>
    <row r="780" spans="5:20" ht="69" customHeight="1">
      <c r="E780" s="49"/>
      <c r="F780" s="49"/>
      <c r="G780" s="49"/>
      <c r="H780" s="49"/>
      <c r="I780" s="49"/>
      <c r="J780" s="49"/>
      <c r="K780" s="49"/>
      <c r="L780" s="49"/>
      <c r="M780" s="1779" t="s">
        <v>2949</v>
      </c>
      <c r="N780" s="1779"/>
      <c r="O780" s="1779"/>
      <c r="P780" s="1779"/>
      <c r="Q780" s="1779"/>
      <c r="R780" s="1779"/>
    </row>
    <row r="781" spans="5:20" ht="15.75" customHeight="1">
      <c r="E781" s="49"/>
      <c r="F781" s="49">
        <v>2</v>
      </c>
      <c r="G781" s="49" t="s">
        <v>13</v>
      </c>
      <c r="H781" s="49" t="s">
        <v>2950</v>
      </c>
      <c r="I781" s="844">
        <v>98.6</v>
      </c>
      <c r="J781" s="49" t="s">
        <v>13</v>
      </c>
      <c r="K781" s="49">
        <f>F781*I781</f>
        <v>197.2</v>
      </c>
      <c r="L781" s="49"/>
      <c r="M781" s="49"/>
      <c r="N781" s="49"/>
      <c r="O781" s="49"/>
      <c r="P781" s="49"/>
      <c r="Q781" s="49"/>
      <c r="R781" s="49"/>
    </row>
    <row r="782" spans="5:20" ht="26.25" customHeight="1">
      <c r="E782" s="49"/>
      <c r="F782" s="49">
        <v>2</v>
      </c>
      <c r="G782" s="49" t="s">
        <v>1521</v>
      </c>
      <c r="H782" s="49" t="s">
        <v>2678</v>
      </c>
      <c r="I782" s="49">
        <v>35</v>
      </c>
      <c r="J782" s="49" t="s">
        <v>1521</v>
      </c>
      <c r="K782" s="49">
        <f>F782*I782</f>
        <v>70</v>
      </c>
      <c r="L782" s="49"/>
      <c r="M782" s="839">
        <v>1.5</v>
      </c>
      <c r="N782" s="49" t="s">
        <v>13</v>
      </c>
      <c r="O782" s="49" t="s">
        <v>2951</v>
      </c>
      <c r="P782" s="839">
        <f>I682</f>
        <v>128</v>
      </c>
      <c r="Q782" s="49" t="s">
        <v>13</v>
      </c>
      <c r="R782" s="839">
        <f>P782*M782</f>
        <v>192</v>
      </c>
    </row>
    <row r="783" spans="5:20" ht="26.25" customHeight="1">
      <c r="E783" s="49"/>
      <c r="F783" s="49">
        <v>1</v>
      </c>
      <c r="G783" s="49" t="s">
        <v>1034</v>
      </c>
      <c r="H783" s="49" t="s">
        <v>2952</v>
      </c>
      <c r="I783" s="49">
        <f>M565</f>
        <v>48.05</v>
      </c>
      <c r="J783" s="49" t="s">
        <v>729</v>
      </c>
      <c r="K783" s="49">
        <f>F783*I783</f>
        <v>48.05</v>
      </c>
      <c r="L783" s="49"/>
      <c r="M783" s="839">
        <v>2</v>
      </c>
      <c r="N783" s="49" t="s">
        <v>1521</v>
      </c>
      <c r="O783" s="49" t="s">
        <v>2678</v>
      </c>
      <c r="P783" s="839">
        <f>I782</f>
        <v>35</v>
      </c>
      <c r="Q783" s="49" t="s">
        <v>1521</v>
      </c>
      <c r="R783" s="839">
        <f>M783*P783</f>
        <v>70</v>
      </c>
      <c r="T783" s="325" t="s">
        <v>2953</v>
      </c>
    </row>
    <row r="784" spans="5:20" ht="26.25" customHeight="1">
      <c r="E784" s="49"/>
      <c r="F784" s="49">
        <v>1</v>
      </c>
      <c r="G784" s="49" t="s">
        <v>1034</v>
      </c>
      <c r="H784" s="49" t="s">
        <v>2681</v>
      </c>
      <c r="I784" s="49">
        <f>K797</f>
        <v>31.28</v>
      </c>
      <c r="J784" s="49" t="s">
        <v>729</v>
      </c>
      <c r="K784" s="49">
        <f>F784*I784</f>
        <v>31.28</v>
      </c>
      <c r="L784" s="49"/>
      <c r="M784" s="839"/>
      <c r="N784" s="49"/>
      <c r="O784" s="49"/>
      <c r="P784" s="875"/>
      <c r="Q784" s="49"/>
      <c r="R784" s="839"/>
    </row>
    <row r="785" spans="5:25" ht="26.25" customHeight="1">
      <c r="E785" s="49"/>
      <c r="F785" s="49">
        <v>8</v>
      </c>
      <c r="G785" s="49" t="s">
        <v>13</v>
      </c>
      <c r="H785" s="49" t="s">
        <v>2682</v>
      </c>
      <c r="I785" s="49">
        <f>I270</f>
        <v>25.75</v>
      </c>
      <c r="J785" s="49" t="s">
        <v>2330</v>
      </c>
      <c r="K785" s="49">
        <f>F785*I785</f>
        <v>206</v>
      </c>
      <c r="L785" s="49"/>
      <c r="M785" s="839"/>
      <c r="N785" s="49"/>
      <c r="O785" s="49"/>
      <c r="P785" s="839"/>
      <c r="Q785" s="49"/>
      <c r="R785" s="839"/>
    </row>
    <row r="786" spans="5:25" ht="26.25" customHeight="1">
      <c r="E786" s="49"/>
      <c r="F786" s="49">
        <v>1</v>
      </c>
      <c r="G786" s="49" t="s">
        <v>1034</v>
      </c>
      <c r="H786" s="51" t="s">
        <v>2683</v>
      </c>
      <c r="I786" s="49"/>
      <c r="J786" s="49"/>
      <c r="K786" s="49">
        <f>K796</f>
        <v>1690</v>
      </c>
      <c r="L786" s="49"/>
      <c r="M786" s="839">
        <v>8</v>
      </c>
      <c r="N786" s="49" t="s">
        <v>13</v>
      </c>
      <c r="O786" s="51" t="s">
        <v>2682</v>
      </c>
      <c r="P786" s="839">
        <f>I785</f>
        <v>25.75</v>
      </c>
      <c r="Q786" s="49" t="s">
        <v>2330</v>
      </c>
      <c r="R786" s="839">
        <f>M786*P786</f>
        <v>206</v>
      </c>
    </row>
    <row r="787" spans="5:25" ht="25.5" customHeight="1">
      <c r="E787" s="49"/>
      <c r="F787" s="49"/>
      <c r="G787" s="49"/>
      <c r="H787" s="51" t="s">
        <v>2684</v>
      </c>
      <c r="I787" s="49" t="s">
        <v>49</v>
      </c>
      <c r="J787" s="49"/>
      <c r="K787" s="49">
        <v>15.8</v>
      </c>
      <c r="L787" s="49"/>
      <c r="M787" s="839">
        <v>1</v>
      </c>
      <c r="N787" s="49" t="s">
        <v>1034</v>
      </c>
      <c r="O787" s="51" t="s">
        <v>2683</v>
      </c>
      <c r="P787" s="839">
        <f>R797</f>
        <v>1690</v>
      </c>
      <c r="Q787" s="49" t="s">
        <v>729</v>
      </c>
      <c r="R787" s="839">
        <f>R797</f>
        <v>1690</v>
      </c>
    </row>
    <row r="788" spans="5:25" ht="49.5" customHeight="1">
      <c r="E788" s="49"/>
      <c r="F788" s="49"/>
      <c r="G788" s="49"/>
      <c r="H788" s="840" t="s">
        <v>2601</v>
      </c>
      <c r="I788" s="49"/>
      <c r="J788" s="49"/>
      <c r="K788" s="50">
        <f>SUM(K781:K787)</f>
        <v>2258.33</v>
      </c>
      <c r="L788" s="49">
        <f>K788-1616</f>
        <v>642.33000000000004</v>
      </c>
      <c r="M788" s="839"/>
      <c r="N788" s="49"/>
      <c r="O788" s="51" t="s">
        <v>2684</v>
      </c>
      <c r="P788" s="1776" t="s">
        <v>49</v>
      </c>
      <c r="Q788" s="1776"/>
      <c r="R788" s="839">
        <v>16</v>
      </c>
    </row>
    <row r="789" spans="5:25" ht="29.25" customHeight="1">
      <c r="E789" s="49"/>
      <c r="F789" s="49"/>
      <c r="G789" s="49"/>
      <c r="H789" s="49"/>
      <c r="I789" s="49"/>
      <c r="J789" s="49"/>
      <c r="K789" s="49"/>
      <c r="L789" s="49"/>
      <c r="M789" s="839"/>
      <c r="N789" s="49"/>
      <c r="O789" s="840" t="s">
        <v>2601</v>
      </c>
      <c r="P789" s="49"/>
      <c r="Q789" s="49"/>
      <c r="R789" s="840">
        <f>SUM(R782:R788)</f>
        <v>2174</v>
      </c>
    </row>
    <row r="790" spans="5:25">
      <c r="E790" s="49"/>
      <c r="F790" s="49"/>
      <c r="G790" s="49"/>
      <c r="H790" s="847" t="s">
        <v>2685</v>
      </c>
      <c r="I790" s="49"/>
      <c r="J790" s="49"/>
      <c r="K790" s="49"/>
      <c r="L790" s="49"/>
      <c r="M790" s="839"/>
      <c r="N790" s="49"/>
      <c r="O790" s="49"/>
      <c r="P790" s="49"/>
      <c r="Q790" s="49"/>
      <c r="R790" s="49"/>
    </row>
    <row r="791" spans="5:25">
      <c r="E791" s="49"/>
      <c r="F791" s="49">
        <v>1</v>
      </c>
      <c r="G791" s="49" t="s">
        <v>1034</v>
      </c>
      <c r="H791" s="49" t="s">
        <v>2627</v>
      </c>
      <c r="I791" s="49">
        <f>I672</f>
        <v>898</v>
      </c>
      <c r="J791" s="49" t="s">
        <v>1034</v>
      </c>
      <c r="K791" s="49">
        <f>F791*I791</f>
        <v>898</v>
      </c>
      <c r="L791" s="49"/>
      <c r="M791" s="839"/>
      <c r="N791" s="49"/>
      <c r="O791" s="847" t="s">
        <v>2685</v>
      </c>
      <c r="P791" s="49"/>
      <c r="Q791" s="49"/>
      <c r="R791" s="49"/>
    </row>
    <row r="792" spans="5:25">
      <c r="E792" s="49"/>
      <c r="F792" s="49">
        <v>1</v>
      </c>
      <c r="G792" s="49" t="s">
        <v>1034</v>
      </c>
      <c r="H792" s="49" t="s">
        <v>2472</v>
      </c>
      <c r="I792" s="49">
        <f>I673</f>
        <v>783</v>
      </c>
      <c r="J792" s="49" t="s">
        <v>1034</v>
      </c>
      <c r="K792" s="49">
        <f>F792*I792</f>
        <v>783</v>
      </c>
      <c r="L792" s="49"/>
      <c r="M792" s="839">
        <v>1</v>
      </c>
      <c r="N792" s="49" t="s">
        <v>1034</v>
      </c>
      <c r="O792" s="49" t="s">
        <v>2627</v>
      </c>
      <c r="P792" s="839">
        <f>I791</f>
        <v>898</v>
      </c>
      <c r="Q792" s="49" t="s">
        <v>1034</v>
      </c>
      <c r="R792" s="49">
        <f>M792*P792</f>
        <v>898</v>
      </c>
    </row>
    <row r="793" spans="5:25">
      <c r="E793" s="49"/>
      <c r="F793" s="49">
        <v>2</v>
      </c>
      <c r="G793" s="49" t="s">
        <v>1034</v>
      </c>
      <c r="H793" s="49" t="s">
        <v>2463</v>
      </c>
      <c r="I793" s="49">
        <f>I674</f>
        <v>778</v>
      </c>
      <c r="J793" s="49" t="s">
        <v>1034</v>
      </c>
      <c r="K793" s="49">
        <f>F793*I793</f>
        <v>1556</v>
      </c>
      <c r="L793" s="49"/>
      <c r="M793" s="839">
        <v>1</v>
      </c>
      <c r="N793" s="49" t="s">
        <v>1034</v>
      </c>
      <c r="O793" s="49" t="s">
        <v>2472</v>
      </c>
      <c r="P793" s="839">
        <f>I792</f>
        <v>783</v>
      </c>
      <c r="Q793" s="49" t="s">
        <v>1034</v>
      </c>
      <c r="R793" s="49">
        <f>M793*P793</f>
        <v>783</v>
      </c>
    </row>
    <row r="794" spans="5:25">
      <c r="E794" s="49"/>
      <c r="F794" s="49">
        <v>3</v>
      </c>
      <c r="G794" s="49" t="s">
        <v>1034</v>
      </c>
      <c r="H794" s="49" t="s">
        <v>2166</v>
      </c>
      <c r="I794" s="49">
        <f>I675</f>
        <v>611</v>
      </c>
      <c r="J794" s="49" t="s">
        <v>1034</v>
      </c>
      <c r="K794" s="49">
        <f>F794*I794</f>
        <v>1833</v>
      </c>
      <c r="L794" s="49"/>
      <c r="M794" s="839">
        <v>2</v>
      </c>
      <c r="N794" s="49" t="s">
        <v>1034</v>
      </c>
      <c r="O794" s="49" t="s">
        <v>2463</v>
      </c>
      <c r="P794" s="839">
        <f>I793</f>
        <v>778</v>
      </c>
      <c r="Q794" s="49" t="s">
        <v>1034</v>
      </c>
      <c r="R794" s="49">
        <f>M794*P794</f>
        <v>1556</v>
      </c>
    </row>
    <row r="795" spans="5:25">
      <c r="E795" s="49"/>
      <c r="F795" s="49"/>
      <c r="G795" s="49"/>
      <c r="H795" s="839" t="s">
        <v>2617</v>
      </c>
      <c r="I795" s="49"/>
      <c r="J795" s="49"/>
      <c r="K795" s="847">
        <f>SUM(K791:K794)</f>
        <v>5070</v>
      </c>
      <c r="L795" s="49"/>
      <c r="M795" s="839">
        <v>3</v>
      </c>
      <c r="N795" s="49" t="s">
        <v>1034</v>
      </c>
      <c r="O795" s="49" t="s">
        <v>2166</v>
      </c>
      <c r="P795" s="839">
        <f>I794</f>
        <v>611</v>
      </c>
      <c r="Q795" s="49" t="s">
        <v>1034</v>
      </c>
      <c r="R795" s="49">
        <f>M795*P795</f>
        <v>1833</v>
      </c>
    </row>
    <row r="796" spans="5:25">
      <c r="E796" s="49"/>
      <c r="F796" s="49"/>
      <c r="G796" s="49"/>
      <c r="H796" s="840" t="s">
        <v>2058</v>
      </c>
      <c r="I796" s="49"/>
      <c r="J796" s="49"/>
      <c r="K796" s="50">
        <f>K795/3</f>
        <v>1690</v>
      </c>
      <c r="L796" s="49"/>
      <c r="M796" s="49"/>
      <c r="N796" s="49"/>
      <c r="O796" s="839" t="s">
        <v>2617</v>
      </c>
      <c r="P796" s="49"/>
      <c r="Q796" s="49"/>
      <c r="R796" s="847">
        <f>SUM(R792:R795)</f>
        <v>5070</v>
      </c>
    </row>
    <row r="797" spans="5:25">
      <c r="E797" s="49"/>
      <c r="F797" s="49"/>
      <c r="G797" s="49"/>
      <c r="H797" s="50" t="s">
        <v>2686</v>
      </c>
      <c r="I797" s="49">
        <f>I652</f>
        <v>104280</v>
      </c>
      <c r="J797" s="852">
        <v>2.9999999999999997E-4</v>
      </c>
      <c r="K797" s="50">
        <f>I797*J797</f>
        <v>31.28</v>
      </c>
      <c r="L797" s="49"/>
      <c r="M797" s="49"/>
      <c r="N797" s="49"/>
      <c r="O797" s="840" t="s">
        <v>2058</v>
      </c>
      <c r="P797" s="49"/>
      <c r="Q797" s="49"/>
      <c r="R797" s="50">
        <f>R796/3</f>
        <v>1690</v>
      </c>
    </row>
    <row r="798" spans="5:25">
      <c r="E798" s="49"/>
      <c r="F798" s="49"/>
      <c r="G798" s="49"/>
      <c r="H798" s="49"/>
      <c r="I798" s="49"/>
      <c r="J798" s="49"/>
      <c r="K798" s="49"/>
      <c r="L798" s="49"/>
      <c r="M798" s="49"/>
      <c r="N798" s="49"/>
      <c r="O798" s="876"/>
      <c r="P798" s="853"/>
      <c r="Q798" s="883"/>
      <c r="R798" s="876"/>
    </row>
    <row r="799" spans="5:25">
      <c r="E799" s="49"/>
      <c r="F799" s="49"/>
      <c r="G799" s="49"/>
      <c r="H799" s="50" t="s">
        <v>2603</v>
      </c>
      <c r="I799" s="49"/>
      <c r="J799" s="49"/>
      <c r="K799" s="49"/>
      <c r="L799" s="49"/>
      <c r="M799" s="49"/>
      <c r="N799" s="49"/>
      <c r="O799" s="49"/>
      <c r="P799" s="49"/>
      <c r="Q799" s="49"/>
      <c r="R799" s="49"/>
    </row>
    <row r="800" spans="5:25" ht="23.25" customHeight="1">
      <c r="E800" s="49"/>
      <c r="F800" s="49"/>
      <c r="G800" s="49"/>
      <c r="H800" s="49"/>
      <c r="I800" s="49"/>
      <c r="J800" s="49"/>
      <c r="K800" s="49"/>
      <c r="L800" s="49"/>
      <c r="M800" s="49"/>
      <c r="N800" s="49"/>
      <c r="O800" s="50" t="s">
        <v>2603</v>
      </c>
      <c r="P800" s="49"/>
      <c r="Q800" s="49"/>
      <c r="R800" s="49"/>
      <c r="T800" s="49"/>
      <c r="U800" s="49"/>
      <c r="V800" s="50" t="s">
        <v>2603</v>
      </c>
      <c r="W800" s="49"/>
      <c r="X800" s="49"/>
      <c r="Y800" s="49"/>
    </row>
    <row r="801" spans="5:26" ht="15.75" customHeight="1">
      <c r="E801" s="49"/>
      <c r="F801" s="49"/>
      <c r="G801" s="49"/>
      <c r="H801" s="50" t="s">
        <v>2687</v>
      </c>
      <c r="I801" s="49"/>
      <c r="J801" s="49"/>
      <c r="K801" s="49"/>
      <c r="L801" s="49"/>
      <c r="M801" s="49"/>
      <c r="N801" s="49"/>
      <c r="O801" s="50"/>
      <c r="P801" s="49"/>
      <c r="Q801" s="49"/>
      <c r="R801" s="49"/>
      <c r="T801" s="49"/>
      <c r="U801" s="49"/>
      <c r="V801" s="50"/>
      <c r="W801" s="49"/>
      <c r="X801" s="49"/>
      <c r="Y801" s="49"/>
    </row>
    <row r="802" spans="5:26" ht="24.95" customHeight="1">
      <c r="E802" s="49"/>
      <c r="F802" s="49"/>
      <c r="G802" s="49"/>
      <c r="H802" s="49"/>
      <c r="I802" s="49"/>
      <c r="J802" s="49"/>
      <c r="K802" s="49"/>
      <c r="L802" s="49"/>
      <c r="M802" s="49"/>
      <c r="N802" s="49"/>
      <c r="O802" s="50" t="s">
        <v>2954</v>
      </c>
      <c r="P802" s="49"/>
      <c r="Q802" s="49"/>
      <c r="R802" s="49"/>
      <c r="T802" s="49"/>
      <c r="U802" s="49"/>
      <c r="V802" s="50" t="s">
        <v>2955</v>
      </c>
      <c r="W802" s="49"/>
      <c r="X802" s="49"/>
      <c r="Y802" s="49"/>
    </row>
    <row r="803" spans="5:26" ht="15.75" customHeight="1">
      <c r="E803" s="49"/>
      <c r="F803" s="49">
        <v>1</v>
      </c>
      <c r="G803" s="49" t="s">
        <v>1034</v>
      </c>
      <c r="H803" s="51" t="s">
        <v>2956</v>
      </c>
      <c r="I803" s="52">
        <v>648</v>
      </c>
      <c r="J803" s="49" t="s">
        <v>1034</v>
      </c>
      <c r="K803" s="49">
        <f>F803*I803</f>
        <v>648</v>
      </c>
      <c r="L803" s="49"/>
      <c r="M803" s="49"/>
      <c r="N803" s="49"/>
      <c r="O803" s="50"/>
      <c r="P803" s="49"/>
      <c r="Q803" s="49"/>
      <c r="R803" s="49"/>
      <c r="T803" s="49"/>
      <c r="U803" s="49"/>
      <c r="V803" s="50"/>
      <c r="W803" s="49"/>
      <c r="X803" s="49"/>
      <c r="Y803" s="49"/>
    </row>
    <row r="804" spans="5:26" ht="24.95" customHeight="1">
      <c r="E804" s="49"/>
      <c r="F804" s="49">
        <v>1</v>
      </c>
      <c r="G804" s="49" t="s">
        <v>1034</v>
      </c>
      <c r="H804" s="51" t="s">
        <v>2957</v>
      </c>
      <c r="I804" s="52">
        <v>36.200000000000003</v>
      </c>
      <c r="J804" s="49" t="s">
        <v>1034</v>
      </c>
      <c r="K804" s="49">
        <f>F804*I804</f>
        <v>36.200000000000003</v>
      </c>
      <c r="L804" s="49"/>
      <c r="M804" s="49">
        <v>1</v>
      </c>
      <c r="N804" s="49" t="s">
        <v>1034</v>
      </c>
      <c r="O804" s="51" t="s">
        <v>2958</v>
      </c>
      <c r="P804" s="407">
        <v>1193</v>
      </c>
      <c r="Q804" s="49" t="s">
        <v>1034</v>
      </c>
      <c r="R804" s="49">
        <f>M804*P804</f>
        <v>1193</v>
      </c>
      <c r="T804" s="49">
        <v>1</v>
      </c>
      <c r="U804" s="49" t="s">
        <v>1034</v>
      </c>
      <c r="V804" s="51" t="s">
        <v>2959</v>
      </c>
      <c r="W804" s="407">
        <v>1856</v>
      </c>
      <c r="X804" s="49" t="s">
        <v>1034</v>
      </c>
      <c r="Y804" s="49">
        <f>T804*W804</f>
        <v>1856</v>
      </c>
    </row>
    <row r="805" spans="5:26" ht="45" customHeight="1">
      <c r="E805" s="49"/>
      <c r="F805" s="49">
        <v>1</v>
      </c>
      <c r="G805" s="49" t="s">
        <v>1034</v>
      </c>
      <c r="H805" s="51" t="s">
        <v>478</v>
      </c>
      <c r="I805" s="49">
        <f>K788</f>
        <v>2258.33</v>
      </c>
      <c r="J805" s="49" t="s">
        <v>1034</v>
      </c>
      <c r="K805" s="49">
        <f>F805*I805</f>
        <v>2258.33</v>
      </c>
      <c r="L805" s="49"/>
      <c r="M805" s="49">
        <v>1</v>
      </c>
      <c r="N805" s="49" t="s">
        <v>1034</v>
      </c>
      <c r="O805" s="51" t="s">
        <v>478</v>
      </c>
      <c r="P805" s="839">
        <f>R789</f>
        <v>2174</v>
      </c>
      <c r="Q805" s="49" t="s">
        <v>1034</v>
      </c>
      <c r="R805" s="49">
        <f>M805*P805</f>
        <v>2174</v>
      </c>
      <c r="T805" s="49">
        <v>1</v>
      </c>
      <c r="U805" s="49" t="s">
        <v>1034</v>
      </c>
      <c r="V805" s="51" t="s">
        <v>478</v>
      </c>
      <c r="W805" s="839">
        <f>P805</f>
        <v>2174</v>
      </c>
      <c r="X805" s="49" t="s">
        <v>1034</v>
      </c>
      <c r="Y805" s="49">
        <f>T805*W805</f>
        <v>2174</v>
      </c>
    </row>
    <row r="806" spans="5:26" ht="39.75" customHeight="1">
      <c r="E806" s="49"/>
      <c r="F806" s="49"/>
      <c r="G806" s="49"/>
      <c r="H806" s="51" t="s">
        <v>1557</v>
      </c>
      <c r="I806" s="49"/>
      <c r="J806" s="49"/>
      <c r="K806" s="49">
        <v>3.47</v>
      </c>
      <c r="L806" s="49"/>
      <c r="M806" s="49"/>
      <c r="N806" s="49"/>
      <c r="O806" s="51" t="s">
        <v>1557</v>
      </c>
      <c r="P806" s="49"/>
      <c r="Q806" s="49"/>
      <c r="R806" s="49"/>
      <c r="T806" s="49"/>
      <c r="U806" s="49"/>
      <c r="V806" s="51" t="s">
        <v>1557</v>
      </c>
      <c r="W806" s="49"/>
      <c r="X806" s="49"/>
      <c r="Y806" s="49"/>
    </row>
    <row r="807" spans="5:26" ht="24.95" customHeight="1">
      <c r="E807" s="49"/>
      <c r="F807" s="49"/>
      <c r="G807" s="49"/>
      <c r="H807" s="840" t="s">
        <v>2400</v>
      </c>
      <c r="I807" s="49"/>
      <c r="J807" s="49"/>
      <c r="K807" s="50">
        <f>SUM(K803:K806)</f>
        <v>2946</v>
      </c>
      <c r="L807" s="49">
        <f>K807-2946</f>
        <v>0</v>
      </c>
      <c r="M807" s="49"/>
      <c r="N807" s="49"/>
      <c r="O807" s="840" t="s">
        <v>2400</v>
      </c>
      <c r="P807" s="49"/>
      <c r="Q807" s="49"/>
      <c r="R807" s="50">
        <f>SUM(R804:R806)</f>
        <v>3367</v>
      </c>
      <c r="S807" s="325">
        <f>R807-2219</f>
        <v>1148</v>
      </c>
      <c r="T807" s="49"/>
      <c r="U807" s="49"/>
      <c r="V807" s="840" t="s">
        <v>2400</v>
      </c>
      <c r="W807" s="49"/>
      <c r="X807" s="49"/>
      <c r="Y807" s="50">
        <f>SUM(Y804:Y806)</f>
        <v>4030</v>
      </c>
      <c r="Z807" s="325">
        <f>Y807-2219</f>
        <v>1811</v>
      </c>
    </row>
    <row r="808" spans="5:26" ht="24.95" customHeight="1">
      <c r="E808" s="49"/>
      <c r="F808" s="49"/>
      <c r="G808" s="49"/>
      <c r="H808" s="49"/>
      <c r="I808" s="49"/>
      <c r="J808" s="49"/>
      <c r="K808" s="49"/>
      <c r="L808" s="49"/>
      <c r="M808" s="49"/>
      <c r="N808" s="49"/>
      <c r="P808" s="49"/>
      <c r="Q808" s="49"/>
      <c r="R808" s="50"/>
      <c r="T808" s="49"/>
      <c r="U808" s="49"/>
      <c r="W808" s="49"/>
      <c r="X808" s="49"/>
      <c r="Y808" s="50"/>
    </row>
    <row r="809" spans="5:26">
      <c r="E809" s="49"/>
      <c r="F809" s="49"/>
      <c r="G809" s="49"/>
      <c r="H809" s="50" t="s">
        <v>2690</v>
      </c>
      <c r="I809" s="49"/>
      <c r="J809" s="49"/>
      <c r="K809" s="49"/>
      <c r="L809" s="49"/>
      <c r="M809" s="49"/>
    </row>
    <row r="810" spans="5:26" ht="43.5" customHeight="1">
      <c r="E810" s="49"/>
      <c r="F810" s="49"/>
      <c r="G810" s="49"/>
      <c r="H810" s="51" t="s">
        <v>2691</v>
      </c>
      <c r="I810" s="49"/>
      <c r="J810" s="49"/>
      <c r="K810" s="49"/>
      <c r="L810" s="49"/>
      <c r="M810" s="1778" t="s">
        <v>2960</v>
      </c>
      <c r="N810" s="1778"/>
      <c r="O810" s="1778"/>
      <c r="P810" s="1778"/>
      <c r="Q810" s="1778"/>
      <c r="R810" s="1778"/>
      <c r="T810" s="49"/>
      <c r="U810" s="49"/>
      <c r="V810" s="50" t="s">
        <v>2603</v>
      </c>
      <c r="W810" s="49"/>
      <c r="X810" s="49"/>
      <c r="Y810" s="49"/>
    </row>
    <row r="811" spans="5:26" ht="43.5" customHeight="1">
      <c r="E811" s="49"/>
      <c r="F811" s="49"/>
      <c r="G811" s="49"/>
      <c r="H811" s="49"/>
      <c r="I811" s="49"/>
      <c r="J811" s="49"/>
      <c r="K811" s="49"/>
      <c r="L811" s="49"/>
      <c r="M811" s="837">
        <v>1</v>
      </c>
      <c r="N811" s="837" t="s">
        <v>1034</v>
      </c>
      <c r="O811" s="837" t="s">
        <v>2961</v>
      </c>
      <c r="P811" s="877">
        <v>7000</v>
      </c>
      <c r="Q811" s="837" t="s">
        <v>2962</v>
      </c>
      <c r="R811" s="837">
        <f>P811*M811</f>
        <v>7000</v>
      </c>
      <c r="T811" s="49"/>
      <c r="U811" s="49"/>
      <c r="V811" s="50"/>
      <c r="W811" s="49"/>
      <c r="X811" s="49"/>
      <c r="Y811" s="49"/>
    </row>
    <row r="812" spans="5:26" ht="43.5" customHeight="1">
      <c r="E812" s="49"/>
      <c r="F812" s="49">
        <v>1.5</v>
      </c>
      <c r="G812" s="49" t="s">
        <v>13</v>
      </c>
      <c r="H812" s="49" t="s">
        <v>2963</v>
      </c>
      <c r="I812" s="844">
        <v>209</v>
      </c>
      <c r="J812" s="49" t="s">
        <v>13</v>
      </c>
      <c r="K812" s="49">
        <f>F812*I812</f>
        <v>313.5</v>
      </c>
      <c r="L812" s="49"/>
      <c r="M812" s="839">
        <v>2</v>
      </c>
      <c r="N812" s="49" t="s">
        <v>1521</v>
      </c>
      <c r="O812" s="49" t="s">
        <v>2678</v>
      </c>
      <c r="P812" s="878">
        <f>I782</f>
        <v>35</v>
      </c>
      <c r="Q812" s="49" t="s">
        <v>1521</v>
      </c>
      <c r="R812" s="837">
        <f>P812*M812</f>
        <v>70</v>
      </c>
      <c r="T812" s="49"/>
      <c r="U812" s="49"/>
      <c r="V812" s="50" t="s">
        <v>2964</v>
      </c>
      <c r="W812" s="49"/>
      <c r="X812" s="49"/>
      <c r="Y812" s="49"/>
    </row>
    <row r="813" spans="5:26" ht="43.5" customHeight="1">
      <c r="E813" s="49"/>
      <c r="F813" s="49">
        <v>2</v>
      </c>
      <c r="G813" s="49" t="s">
        <v>2692</v>
      </c>
      <c r="H813" s="49" t="s">
        <v>2693</v>
      </c>
      <c r="I813" s="49">
        <f>I782</f>
        <v>35</v>
      </c>
      <c r="J813" s="49" t="s">
        <v>2692</v>
      </c>
      <c r="K813" s="49">
        <f>F813*I813</f>
        <v>70</v>
      </c>
      <c r="L813" s="49"/>
      <c r="M813" s="839">
        <v>1</v>
      </c>
      <c r="N813" s="49" t="s">
        <v>1034</v>
      </c>
      <c r="O813" s="51" t="s">
        <v>2683</v>
      </c>
      <c r="P813" s="839">
        <f>R822</f>
        <v>1690</v>
      </c>
      <c r="Q813" s="49" t="s">
        <v>729</v>
      </c>
      <c r="R813" s="837">
        <f>P813*M813</f>
        <v>1690</v>
      </c>
      <c r="T813" s="49"/>
      <c r="U813" s="49"/>
      <c r="V813" s="50"/>
      <c r="W813" s="49"/>
      <c r="X813" s="49"/>
      <c r="Y813" s="49"/>
    </row>
    <row r="814" spans="5:26" ht="43.5" customHeight="1">
      <c r="E814" s="49"/>
      <c r="F814" s="49">
        <v>1</v>
      </c>
      <c r="G814" s="49" t="s">
        <v>1034</v>
      </c>
      <c r="H814" s="49" t="s">
        <v>2965</v>
      </c>
      <c r="I814" s="49">
        <f>I783</f>
        <v>48.05</v>
      </c>
      <c r="J814" s="49" t="s">
        <v>1034</v>
      </c>
      <c r="K814" s="49">
        <f>F814*I814</f>
        <v>48.05</v>
      </c>
      <c r="L814" s="49"/>
      <c r="M814" s="836"/>
      <c r="N814" s="836"/>
      <c r="O814" s="51" t="s">
        <v>2684</v>
      </c>
      <c r="P814" s="1776" t="s">
        <v>49</v>
      </c>
      <c r="Q814" s="1776"/>
      <c r="R814" s="839">
        <v>17</v>
      </c>
      <c r="T814" s="49">
        <v>1</v>
      </c>
      <c r="U814" s="49" t="s">
        <v>1034</v>
      </c>
      <c r="V814" s="51" t="s">
        <v>2966</v>
      </c>
      <c r="W814" s="884">
        <v>11775</v>
      </c>
      <c r="X814" s="49" t="s">
        <v>1034</v>
      </c>
      <c r="Y814" s="49">
        <f>T814*W814</f>
        <v>11775</v>
      </c>
    </row>
    <row r="815" spans="5:26" ht="43.5" customHeight="1">
      <c r="E815" s="49"/>
      <c r="F815" s="49">
        <v>1</v>
      </c>
      <c r="G815" s="49" t="s">
        <v>1034</v>
      </c>
      <c r="H815" s="49" t="s">
        <v>2695</v>
      </c>
      <c r="I815" s="49">
        <f>I784</f>
        <v>31.28</v>
      </c>
      <c r="J815" s="49" t="s">
        <v>1034</v>
      </c>
      <c r="K815" s="49">
        <f>F815*I815</f>
        <v>31.28</v>
      </c>
      <c r="L815" s="49"/>
      <c r="M815" s="839"/>
      <c r="N815" s="49"/>
      <c r="O815" s="50" t="s">
        <v>2058</v>
      </c>
      <c r="P815" s="879"/>
      <c r="Q815" s="50"/>
      <c r="R815" s="840">
        <f>SUM(R811:R814)</f>
        <v>8777</v>
      </c>
      <c r="S815" s="325">
        <f>R815-8625</f>
        <v>152</v>
      </c>
      <c r="T815" s="49">
        <v>1</v>
      </c>
      <c r="U815" s="49" t="s">
        <v>1034</v>
      </c>
      <c r="V815" s="51" t="s">
        <v>478</v>
      </c>
      <c r="W815" s="884">
        <f>W805</f>
        <v>2174</v>
      </c>
      <c r="X815" s="49" t="s">
        <v>1034</v>
      </c>
      <c r="Y815" s="49">
        <f>T815*W815</f>
        <v>2174</v>
      </c>
    </row>
    <row r="816" spans="5:26" ht="24.75" customHeight="1">
      <c r="E816" s="49"/>
      <c r="F816" s="49">
        <v>8</v>
      </c>
      <c r="G816" s="49" t="s">
        <v>13</v>
      </c>
      <c r="H816" s="49" t="s">
        <v>2682</v>
      </c>
      <c r="I816" s="49">
        <f>I785</f>
        <v>25.75</v>
      </c>
      <c r="J816" s="49" t="s">
        <v>2330</v>
      </c>
      <c r="K816" s="49">
        <f>F816*I816</f>
        <v>206</v>
      </c>
      <c r="L816" s="49"/>
      <c r="M816" s="839"/>
      <c r="N816" s="49"/>
      <c r="O816" s="847" t="s">
        <v>2685</v>
      </c>
      <c r="P816" s="49"/>
      <c r="Q816" s="49"/>
      <c r="R816" s="49"/>
      <c r="T816" s="49"/>
      <c r="U816" s="49"/>
      <c r="V816" s="51" t="s">
        <v>1557</v>
      </c>
      <c r="W816" s="49"/>
      <c r="X816" s="49"/>
      <c r="Y816" s="49"/>
    </row>
    <row r="817" spans="5:25" ht="24.75" customHeight="1">
      <c r="E817" s="49"/>
      <c r="F817" s="49"/>
      <c r="G817" s="49"/>
      <c r="H817" s="51" t="s">
        <v>2683</v>
      </c>
      <c r="I817" s="49"/>
      <c r="J817" s="49"/>
      <c r="K817" s="49">
        <f>K796</f>
        <v>1690</v>
      </c>
      <c r="L817" s="49"/>
      <c r="M817" s="839">
        <v>1</v>
      </c>
      <c r="N817" s="49" t="s">
        <v>1034</v>
      </c>
      <c r="O817" s="49" t="s">
        <v>2627</v>
      </c>
      <c r="P817" s="839">
        <f>P792</f>
        <v>898</v>
      </c>
      <c r="Q817" s="49" t="s">
        <v>1034</v>
      </c>
      <c r="R817" s="49">
        <f>M817*P817</f>
        <v>898</v>
      </c>
      <c r="T817" s="49"/>
      <c r="U817" s="49"/>
      <c r="V817" s="840" t="s">
        <v>2400</v>
      </c>
      <c r="W817" s="49"/>
      <c r="X817" s="49"/>
      <c r="Y817" s="50">
        <f>SUM(Y814:Y816)</f>
        <v>13949</v>
      </c>
    </row>
    <row r="818" spans="5:25" ht="61.5" customHeight="1">
      <c r="E818" s="49"/>
      <c r="F818" s="49"/>
      <c r="G818" s="49"/>
      <c r="H818" s="51" t="s">
        <v>2684</v>
      </c>
      <c r="I818" s="49"/>
      <c r="J818" s="49" t="s">
        <v>49</v>
      </c>
      <c r="K818" s="49">
        <v>14.5</v>
      </c>
      <c r="L818" s="49"/>
      <c r="M818" s="839">
        <v>1</v>
      </c>
      <c r="N818" s="49" t="s">
        <v>1034</v>
      </c>
      <c r="O818" s="49" t="s">
        <v>2472</v>
      </c>
      <c r="P818" s="839">
        <f>P793</f>
        <v>783</v>
      </c>
      <c r="Q818" s="49" t="s">
        <v>1034</v>
      </c>
      <c r="R818" s="49">
        <f>M818*P818</f>
        <v>783</v>
      </c>
    </row>
    <row r="819" spans="5:25" ht="52.5" customHeight="1">
      <c r="E819" s="49"/>
      <c r="F819" s="49"/>
      <c r="G819" s="49"/>
      <c r="H819" s="840" t="s">
        <v>2601</v>
      </c>
      <c r="I819" s="49"/>
      <c r="J819" s="49"/>
      <c r="K819" s="50">
        <f>SUM(K812:K818)</f>
        <v>2373.33</v>
      </c>
      <c r="L819" s="49">
        <f>1625-K819</f>
        <v>-748.33</v>
      </c>
      <c r="M819" s="839">
        <v>2</v>
      </c>
      <c r="N819" s="49" t="s">
        <v>1034</v>
      </c>
      <c r="O819" s="49" t="s">
        <v>2463</v>
      </c>
      <c r="P819" s="839">
        <f>P794</f>
        <v>778</v>
      </c>
      <c r="Q819" s="49" t="s">
        <v>1034</v>
      </c>
      <c r="R819" s="49">
        <f>M819*P819</f>
        <v>1556</v>
      </c>
    </row>
    <row r="820" spans="5:25" ht="24" customHeight="1">
      <c r="E820" s="49"/>
      <c r="F820" s="49"/>
      <c r="G820" s="49"/>
      <c r="H820" s="49"/>
      <c r="I820" s="49"/>
      <c r="J820" s="49"/>
      <c r="K820" s="49"/>
      <c r="L820" s="49"/>
      <c r="M820" s="839">
        <v>3</v>
      </c>
      <c r="N820" s="49" t="s">
        <v>1034</v>
      </c>
      <c r="O820" s="49" t="s">
        <v>2166</v>
      </c>
      <c r="P820" s="839">
        <f>P795</f>
        <v>611</v>
      </c>
      <c r="Q820" s="49" t="s">
        <v>1034</v>
      </c>
      <c r="R820" s="49">
        <f>M820*P820</f>
        <v>1833</v>
      </c>
    </row>
    <row r="821" spans="5:25">
      <c r="E821" s="49"/>
      <c r="F821" s="49"/>
      <c r="G821" s="49"/>
      <c r="H821" s="49"/>
      <c r="I821" s="49"/>
      <c r="J821" s="49"/>
      <c r="K821" s="49"/>
      <c r="L821" s="49"/>
      <c r="M821" s="49"/>
      <c r="N821" s="49"/>
      <c r="O821" s="839" t="s">
        <v>2617</v>
      </c>
      <c r="P821" s="49"/>
      <c r="Q821" s="49"/>
      <c r="R821" s="847">
        <f>SUM(R817:R820)</f>
        <v>5070</v>
      </c>
    </row>
    <row r="822" spans="5:25">
      <c r="E822" s="49"/>
      <c r="F822" s="49"/>
      <c r="G822" s="49"/>
      <c r="H822" s="49"/>
      <c r="I822" s="49"/>
      <c r="J822" s="49"/>
      <c r="K822" s="49"/>
      <c r="L822" s="49"/>
      <c r="M822" s="49"/>
      <c r="N822" s="49"/>
      <c r="O822" s="840" t="s">
        <v>2058</v>
      </c>
      <c r="P822" s="49"/>
      <c r="Q822" s="49"/>
      <c r="R822" s="50">
        <f>R821/3</f>
        <v>1690</v>
      </c>
    </row>
    <row r="823" spans="5:25">
      <c r="E823" s="49"/>
      <c r="F823" s="49"/>
      <c r="G823" s="49"/>
      <c r="H823" s="49"/>
      <c r="I823" s="49"/>
      <c r="J823" s="49"/>
      <c r="K823" s="49"/>
      <c r="L823" s="49"/>
      <c r="M823" s="49"/>
    </row>
    <row r="824" spans="5:25">
      <c r="E824" s="49"/>
      <c r="F824" s="49"/>
      <c r="G824" s="49"/>
      <c r="H824" s="873" t="s">
        <v>2673</v>
      </c>
      <c r="I824" s="49"/>
      <c r="J824" s="49"/>
      <c r="K824" s="49"/>
      <c r="L824" s="49"/>
      <c r="M824" s="49"/>
    </row>
    <row r="825" spans="5:25">
      <c r="E825" s="49"/>
      <c r="F825" s="49"/>
      <c r="G825" s="49"/>
      <c r="H825" s="49"/>
      <c r="I825" s="49"/>
      <c r="J825" s="49"/>
      <c r="K825" s="49"/>
      <c r="L825" s="49"/>
      <c r="M825" s="49"/>
    </row>
    <row r="826" spans="5:25">
      <c r="E826" s="49"/>
      <c r="F826" s="49"/>
      <c r="G826" s="49"/>
      <c r="H826" s="873" t="s">
        <v>2696</v>
      </c>
      <c r="I826" s="49"/>
      <c r="J826" s="49"/>
      <c r="K826" s="49"/>
      <c r="L826" s="49"/>
      <c r="M826" s="49"/>
    </row>
    <row r="827" spans="5:25">
      <c r="E827" s="49"/>
      <c r="F827" s="49"/>
      <c r="G827" s="49"/>
      <c r="H827" s="49"/>
      <c r="I827" s="49"/>
      <c r="J827" s="49"/>
      <c r="K827" s="49"/>
      <c r="L827" s="49"/>
      <c r="M827" s="49"/>
    </row>
    <row r="828" spans="5:25" ht="89.25" customHeight="1">
      <c r="E828" s="49"/>
      <c r="F828" s="49"/>
      <c r="G828" s="49"/>
      <c r="H828" s="51" t="s">
        <v>2697</v>
      </c>
      <c r="I828" s="49"/>
      <c r="J828" s="49"/>
      <c r="K828" s="49"/>
      <c r="L828" s="49"/>
      <c r="M828" s="1775" t="s">
        <v>2967</v>
      </c>
      <c r="N828" s="1775"/>
      <c r="O828" s="1775"/>
      <c r="P828" s="1775"/>
      <c r="Q828" s="1775"/>
      <c r="R828" s="1775"/>
    </row>
    <row r="829" spans="5:25" ht="49.5" customHeight="1">
      <c r="E829" s="49"/>
      <c r="F829" s="49"/>
      <c r="G829" s="49"/>
      <c r="H829" s="49"/>
      <c r="I829" s="49"/>
      <c r="J829" s="49"/>
      <c r="K829" s="49"/>
      <c r="L829" s="49"/>
      <c r="M829" s="49"/>
      <c r="N829" s="49"/>
      <c r="O829" s="49"/>
      <c r="P829" s="49"/>
      <c r="Q829" s="49"/>
      <c r="R829" s="49"/>
    </row>
    <row r="830" spans="5:25">
      <c r="E830" s="49"/>
      <c r="F830" s="49"/>
      <c r="G830" s="49"/>
      <c r="H830" s="50" t="s">
        <v>2698</v>
      </c>
      <c r="I830" s="49"/>
      <c r="K830" s="49"/>
      <c r="L830" s="49"/>
      <c r="M830" s="839">
        <v>1</v>
      </c>
      <c r="N830" s="49" t="s">
        <v>727</v>
      </c>
      <c r="O830" s="49" t="s">
        <v>2968</v>
      </c>
      <c r="P830" s="407">
        <v>5310</v>
      </c>
      <c r="Q830" s="49" t="s">
        <v>727</v>
      </c>
      <c r="R830" s="839">
        <f>P830*M830</f>
        <v>5310</v>
      </c>
    </row>
    <row r="831" spans="5:25" ht="47.25">
      <c r="E831" s="49"/>
      <c r="F831" s="49">
        <v>1</v>
      </c>
      <c r="G831" s="49" t="s">
        <v>1034</v>
      </c>
      <c r="H831" s="51" t="s">
        <v>2969</v>
      </c>
      <c r="I831" s="49">
        <f>I545</f>
        <v>348</v>
      </c>
      <c r="J831" s="49" t="s">
        <v>1034</v>
      </c>
      <c r="K831" s="49">
        <f>F831*I831</f>
        <v>348</v>
      </c>
      <c r="L831" s="49"/>
      <c r="M831" s="880">
        <v>1</v>
      </c>
      <c r="N831" s="881" t="s">
        <v>727</v>
      </c>
      <c r="O831" s="881" t="s">
        <v>2970</v>
      </c>
      <c r="P831" s="882">
        <v>1287</v>
      </c>
      <c r="Q831" s="881" t="s">
        <v>727</v>
      </c>
      <c r="R831" s="880">
        <f>M831*P831</f>
        <v>1287</v>
      </c>
    </row>
    <row r="832" spans="5:25">
      <c r="E832" s="49"/>
      <c r="F832" s="49">
        <v>1</v>
      </c>
      <c r="G832" s="49" t="s">
        <v>1034</v>
      </c>
      <c r="H832" s="49" t="s">
        <v>2700</v>
      </c>
      <c r="I832" s="49">
        <f>K846</f>
        <v>281.56</v>
      </c>
      <c r="J832" s="49" t="s">
        <v>1034</v>
      </c>
      <c r="K832" s="49">
        <f t="shared" ref="K832:K842" si="17">F832*I832</f>
        <v>281.56</v>
      </c>
      <c r="L832" s="49"/>
      <c r="M832" s="880">
        <v>3</v>
      </c>
      <c r="N832" s="881" t="s">
        <v>727</v>
      </c>
      <c r="O832" s="881" t="s">
        <v>2971</v>
      </c>
      <c r="P832" s="882">
        <v>1591</v>
      </c>
      <c r="Q832" s="881" t="s">
        <v>727</v>
      </c>
      <c r="R832" s="880">
        <f>M832*P832</f>
        <v>4773</v>
      </c>
    </row>
    <row r="833" spans="4:18" ht="20.100000000000001" customHeight="1">
      <c r="E833" s="49"/>
      <c r="F833" s="49">
        <v>1</v>
      </c>
      <c r="G833" s="49" t="s">
        <v>1034</v>
      </c>
      <c r="H833" s="49" t="s">
        <v>2972</v>
      </c>
      <c r="I833" s="49">
        <f>I584</f>
        <v>85.2</v>
      </c>
      <c r="J833" s="49" t="s">
        <v>1034</v>
      </c>
      <c r="K833" s="49">
        <f t="shared" si="17"/>
        <v>85.2</v>
      </c>
      <c r="L833" s="49"/>
      <c r="M833" s="880">
        <v>3</v>
      </c>
      <c r="N833" s="881" t="s">
        <v>727</v>
      </c>
      <c r="O833" s="881" t="s">
        <v>2973</v>
      </c>
      <c r="P833" s="882">
        <v>581</v>
      </c>
      <c r="Q833" s="881" t="s">
        <v>727</v>
      </c>
      <c r="R833" s="880">
        <f>M833*P833</f>
        <v>1743</v>
      </c>
    </row>
    <row r="834" spans="4:18" ht="20.100000000000001" customHeight="1">
      <c r="E834" s="49"/>
      <c r="F834" s="49">
        <v>1</v>
      </c>
      <c r="G834" s="49" t="s">
        <v>1034</v>
      </c>
      <c r="H834" s="49" t="s">
        <v>2702</v>
      </c>
      <c r="I834" s="49">
        <f>I647</f>
        <v>25</v>
      </c>
      <c r="J834" s="49" t="s">
        <v>1034</v>
      </c>
      <c r="K834" s="49">
        <f t="shared" si="17"/>
        <v>25</v>
      </c>
      <c r="L834" s="49"/>
      <c r="M834" s="839">
        <v>12</v>
      </c>
      <c r="N834" s="881" t="s">
        <v>727</v>
      </c>
      <c r="O834" s="51" t="s">
        <v>2974</v>
      </c>
      <c r="P834" s="839">
        <v>127</v>
      </c>
      <c r="Q834" s="881" t="s">
        <v>727</v>
      </c>
      <c r="R834" s="839">
        <f>M834*P834</f>
        <v>1524</v>
      </c>
    </row>
    <row r="835" spans="4:18" ht="20.100000000000001" customHeight="1">
      <c r="E835" s="49"/>
      <c r="F835" s="49">
        <v>5</v>
      </c>
      <c r="G835" s="49" t="s">
        <v>13</v>
      </c>
      <c r="H835" s="49" t="s">
        <v>2975</v>
      </c>
      <c r="I835" s="844">
        <f>I781</f>
        <v>98.6</v>
      </c>
      <c r="J835" s="49" t="s">
        <v>13</v>
      </c>
      <c r="K835" s="49">
        <f t="shared" si="17"/>
        <v>493</v>
      </c>
      <c r="L835" s="49"/>
      <c r="M835" s="839"/>
      <c r="N835" s="49" t="s">
        <v>49</v>
      </c>
      <c r="O835" s="51" t="s">
        <v>2976</v>
      </c>
      <c r="P835" s="839"/>
      <c r="Q835" s="49" t="s">
        <v>49</v>
      </c>
      <c r="R835" s="407">
        <v>60.8</v>
      </c>
    </row>
    <row r="836" spans="4:18" ht="20.100000000000001" customHeight="1">
      <c r="E836" s="49"/>
      <c r="F836" s="49">
        <v>20</v>
      </c>
      <c r="G836" s="49" t="s">
        <v>13</v>
      </c>
      <c r="H836" s="51" t="s">
        <v>2641</v>
      </c>
      <c r="I836" s="49">
        <f>I267</f>
        <v>40.950000000000003</v>
      </c>
      <c r="J836" s="49" t="s">
        <v>13</v>
      </c>
      <c r="K836" s="49">
        <f t="shared" si="17"/>
        <v>819</v>
      </c>
      <c r="L836" s="49"/>
      <c r="M836" s="839"/>
      <c r="N836" s="49" t="s">
        <v>49</v>
      </c>
      <c r="O836" s="51" t="s">
        <v>2977</v>
      </c>
      <c r="P836" s="1776" t="s">
        <v>49</v>
      </c>
      <c r="Q836" s="1776"/>
      <c r="R836" s="878"/>
    </row>
    <row r="837" spans="4:18">
      <c r="E837" s="49"/>
      <c r="F837" s="49"/>
      <c r="G837" s="49"/>
      <c r="H837" s="50" t="s">
        <v>2704</v>
      </c>
      <c r="I837" s="49"/>
      <c r="J837" s="49"/>
      <c r="K837" s="49"/>
      <c r="L837" s="49"/>
      <c r="M837" s="839"/>
      <c r="N837" s="49"/>
      <c r="P837" s="49"/>
      <c r="Q837" s="49"/>
      <c r="R837" s="840">
        <f>SUM(R830:R836)</f>
        <v>14697.8</v>
      </c>
    </row>
    <row r="838" spans="4:18" ht="20.100000000000001" customHeight="1">
      <c r="E838" s="49"/>
      <c r="F838" s="49">
        <v>1</v>
      </c>
      <c r="G838" s="49" t="s">
        <v>1034</v>
      </c>
      <c r="H838" s="51" t="s">
        <v>2705</v>
      </c>
      <c r="I838" s="49">
        <f>I831</f>
        <v>348</v>
      </c>
      <c r="J838" s="49" t="s">
        <v>1034</v>
      </c>
      <c r="K838" s="49">
        <f t="shared" si="17"/>
        <v>348</v>
      </c>
      <c r="L838" s="49"/>
      <c r="M838" s="839"/>
      <c r="N838" s="49"/>
      <c r="O838" s="881" t="s">
        <v>2279</v>
      </c>
      <c r="P838" s="881"/>
      <c r="Q838" s="881"/>
      <c r="R838" s="880">
        <f>R837*1%</f>
        <v>146.97999999999999</v>
      </c>
    </row>
    <row r="839" spans="4:18" ht="56.25" customHeight="1">
      <c r="E839" s="49"/>
      <c r="F839" s="49">
        <v>1</v>
      </c>
      <c r="G839" s="49" t="s">
        <v>1034</v>
      </c>
      <c r="H839" s="49" t="s">
        <v>2978</v>
      </c>
      <c r="I839" s="52">
        <v>768</v>
      </c>
      <c r="J839" s="49" t="s">
        <v>1034</v>
      </c>
      <c r="K839" s="49">
        <f t="shared" si="17"/>
        <v>768</v>
      </c>
      <c r="L839" s="49"/>
      <c r="M839" s="49"/>
      <c r="O839" s="886" t="s">
        <v>2979</v>
      </c>
      <c r="R839" s="460">
        <v>1898</v>
      </c>
    </row>
    <row r="840" spans="4:18">
      <c r="E840" s="49"/>
      <c r="F840" s="49">
        <v>1</v>
      </c>
      <c r="G840" s="49" t="s">
        <v>1034</v>
      </c>
      <c r="H840" s="49" t="s">
        <v>2980</v>
      </c>
      <c r="I840" s="887">
        <v>93.5</v>
      </c>
      <c r="J840" s="49" t="s">
        <v>1034</v>
      </c>
      <c r="K840" s="49">
        <f t="shared" si="17"/>
        <v>93.5</v>
      </c>
      <c r="L840" s="49"/>
      <c r="M840" s="49"/>
      <c r="O840" s="840" t="s">
        <v>2601</v>
      </c>
      <c r="R840" s="325">
        <f>R839+R838+R837</f>
        <v>16742.78</v>
      </c>
    </row>
    <row r="841" spans="4:18">
      <c r="E841" s="49"/>
      <c r="F841" s="49">
        <v>1</v>
      </c>
      <c r="G841" s="49" t="s">
        <v>1034</v>
      </c>
      <c r="H841" s="49" t="s">
        <v>2707</v>
      </c>
      <c r="I841" s="887">
        <v>89.6</v>
      </c>
      <c r="J841" s="49" t="s">
        <v>1034</v>
      </c>
      <c r="K841" s="49">
        <f t="shared" si="17"/>
        <v>89.6</v>
      </c>
      <c r="L841" s="49"/>
      <c r="M841" s="49"/>
      <c r="O841" s="840" t="s">
        <v>2981</v>
      </c>
      <c r="R841" s="344">
        <v>16417</v>
      </c>
    </row>
    <row r="842" spans="4:18">
      <c r="E842" s="49"/>
      <c r="F842" s="49">
        <v>1</v>
      </c>
      <c r="G842" s="49" t="s">
        <v>1034</v>
      </c>
      <c r="H842" s="49" t="s">
        <v>2700</v>
      </c>
      <c r="I842" s="49">
        <f>K846</f>
        <v>281.56</v>
      </c>
      <c r="J842" s="49" t="s">
        <v>1034</v>
      </c>
      <c r="K842" s="49">
        <f t="shared" si="17"/>
        <v>281.56</v>
      </c>
      <c r="L842" s="49"/>
      <c r="M842" s="49"/>
    </row>
    <row r="843" spans="4:18">
      <c r="E843" s="49"/>
      <c r="F843" s="49"/>
      <c r="G843" s="49"/>
      <c r="H843" s="49" t="s">
        <v>2708</v>
      </c>
      <c r="I843" s="49"/>
      <c r="J843" s="49"/>
      <c r="K843" s="49">
        <f>K796</f>
        <v>1690</v>
      </c>
      <c r="L843" s="49"/>
      <c r="M843" s="49"/>
    </row>
    <row r="844" spans="4:18" ht="31.5">
      <c r="D844" s="477">
        <f>0.6*0.225*0.02</f>
        <v>2.7000000000000001E-3</v>
      </c>
      <c r="E844" s="49"/>
      <c r="F844" s="49"/>
      <c r="G844" s="49"/>
      <c r="H844" s="51" t="s">
        <v>2709</v>
      </c>
      <c r="I844" s="49"/>
      <c r="J844" s="49"/>
      <c r="K844" s="49">
        <v>10.49</v>
      </c>
      <c r="L844" s="49"/>
      <c r="M844" s="49"/>
    </row>
    <row r="845" spans="4:18" ht="41.25" customHeight="1">
      <c r="E845" s="49"/>
      <c r="F845" s="49"/>
      <c r="G845" s="49"/>
      <c r="H845" s="839" t="s">
        <v>2400</v>
      </c>
      <c r="I845" s="49"/>
      <c r="J845" s="49"/>
      <c r="K845" s="50">
        <f>SUM(K831:K844)</f>
        <v>5332.91</v>
      </c>
      <c r="L845" s="49"/>
      <c r="M845" s="839">
        <v>1</v>
      </c>
      <c r="N845" s="49" t="s">
        <v>727</v>
      </c>
      <c r="O845" s="49" t="s">
        <v>2968</v>
      </c>
      <c r="P845" s="407">
        <v>5310</v>
      </c>
      <c r="Q845" s="49" t="s">
        <v>727</v>
      </c>
      <c r="R845" s="839">
        <f>P845*M845</f>
        <v>5310</v>
      </c>
    </row>
    <row r="846" spans="4:18" ht="24.95" customHeight="1">
      <c r="E846" s="49"/>
      <c r="F846" s="49"/>
      <c r="G846" s="49"/>
      <c r="H846" s="50" t="s">
        <v>2982</v>
      </c>
      <c r="I846" s="49">
        <f>I797</f>
        <v>104280</v>
      </c>
      <c r="J846" s="852">
        <v>2.7000000000000001E-3</v>
      </c>
      <c r="K846" s="50">
        <f>I846*J846</f>
        <v>281.56</v>
      </c>
      <c r="L846" s="49"/>
      <c r="M846" s="880">
        <v>1</v>
      </c>
      <c r="N846" s="881" t="s">
        <v>727</v>
      </c>
      <c r="O846" s="881" t="s">
        <v>2983</v>
      </c>
      <c r="P846" s="882">
        <v>6920</v>
      </c>
      <c r="Q846" s="881" t="s">
        <v>727</v>
      </c>
      <c r="R846" s="839">
        <f>P846*M846</f>
        <v>6920</v>
      </c>
    </row>
    <row r="847" spans="4:18" ht="20.100000000000001" customHeight="1">
      <c r="E847" s="49"/>
      <c r="F847" s="49"/>
      <c r="G847" s="49"/>
      <c r="H847" s="50" t="s">
        <v>2710</v>
      </c>
      <c r="I847" s="49"/>
      <c r="J847" s="49"/>
      <c r="K847" s="49"/>
      <c r="L847" s="49"/>
      <c r="M847" s="880">
        <v>3</v>
      </c>
      <c r="N847" s="881" t="s">
        <v>727</v>
      </c>
      <c r="O847" s="881" t="s">
        <v>2984</v>
      </c>
      <c r="P847" s="882">
        <v>496</v>
      </c>
      <c r="Q847" s="881" t="s">
        <v>727</v>
      </c>
      <c r="R847" s="839">
        <f>P847*M847</f>
        <v>1488</v>
      </c>
    </row>
    <row r="848" spans="4:18">
      <c r="E848" s="49"/>
      <c r="F848" s="49"/>
      <c r="G848" s="49"/>
      <c r="H848" s="50"/>
      <c r="I848" s="49"/>
      <c r="J848" s="49"/>
      <c r="K848" s="49"/>
      <c r="L848" s="49"/>
      <c r="M848" s="880">
        <v>3</v>
      </c>
      <c r="N848" s="881" t="s">
        <v>727</v>
      </c>
      <c r="O848" s="881" t="s">
        <v>2973</v>
      </c>
      <c r="P848" s="882">
        <v>1591</v>
      </c>
      <c r="Q848" s="881" t="s">
        <v>727</v>
      </c>
      <c r="R848" s="839">
        <f>P848*M848</f>
        <v>4773</v>
      </c>
    </row>
    <row r="849" spans="5:18" ht="31.5">
      <c r="E849" s="49"/>
      <c r="F849" s="49"/>
      <c r="G849" s="49"/>
      <c r="H849" s="842" t="s">
        <v>2006</v>
      </c>
      <c r="I849" s="49"/>
      <c r="J849" s="49"/>
      <c r="K849" s="49"/>
      <c r="L849" s="49"/>
      <c r="M849" s="839">
        <v>12</v>
      </c>
      <c r="N849" s="881" t="s">
        <v>727</v>
      </c>
      <c r="O849" s="51" t="s">
        <v>2974</v>
      </c>
      <c r="P849" s="839">
        <v>127</v>
      </c>
      <c r="Q849" s="881" t="s">
        <v>727</v>
      </c>
      <c r="R849" s="839">
        <f>P849*M849</f>
        <v>1524</v>
      </c>
    </row>
    <row r="850" spans="5:18">
      <c r="E850" s="49"/>
      <c r="F850" s="49"/>
      <c r="G850" s="49"/>
      <c r="H850" s="49" t="s">
        <v>1982</v>
      </c>
      <c r="I850" s="49"/>
      <c r="J850" s="49"/>
      <c r="K850" s="49"/>
      <c r="L850" s="49"/>
      <c r="M850" s="839"/>
      <c r="N850" s="49" t="s">
        <v>49</v>
      </c>
      <c r="O850" s="51" t="s">
        <v>2976</v>
      </c>
      <c r="P850" s="839"/>
      <c r="Q850" s="49" t="s">
        <v>49</v>
      </c>
      <c r="R850" s="839">
        <f>R836</f>
        <v>0</v>
      </c>
    </row>
    <row r="851" spans="5:18" ht="31.5">
      <c r="E851" s="49"/>
      <c r="F851" s="49">
        <v>90</v>
      </c>
      <c r="G851" s="49" t="s">
        <v>2007</v>
      </c>
      <c r="H851" s="51" t="s">
        <v>2008</v>
      </c>
      <c r="I851" s="49">
        <f>I165</f>
        <v>20</v>
      </c>
      <c r="J851" s="49" t="s">
        <v>2007</v>
      </c>
      <c r="K851" s="49">
        <f>F851*I851</f>
        <v>1800</v>
      </c>
      <c r="L851" s="49"/>
      <c r="M851" s="839"/>
      <c r="N851" s="49" t="s">
        <v>49</v>
      </c>
      <c r="O851" s="51" t="s">
        <v>2977</v>
      </c>
      <c r="P851" s="1776" t="s">
        <v>49</v>
      </c>
      <c r="Q851" s="1776"/>
      <c r="R851" s="839">
        <f>R837</f>
        <v>14697.8</v>
      </c>
    </row>
    <row r="852" spans="5:18" ht="35.25" customHeight="1">
      <c r="E852" s="49"/>
      <c r="F852" s="49">
        <v>0.15</v>
      </c>
      <c r="G852" s="49" t="s">
        <v>11</v>
      </c>
      <c r="H852" s="49" t="s">
        <v>123</v>
      </c>
      <c r="I852" s="49">
        <f>[5]Data!Y31</f>
        <v>5960</v>
      </c>
      <c r="J852" s="49" t="s">
        <v>11</v>
      </c>
      <c r="K852" s="49">
        <f>F852*I852</f>
        <v>894</v>
      </c>
      <c r="L852" s="49"/>
      <c r="M852" s="839"/>
      <c r="N852" s="49"/>
      <c r="P852" s="49"/>
      <c r="Q852" s="49"/>
      <c r="R852" s="840">
        <f>SUM(R845:R851)</f>
        <v>34712.800000000003</v>
      </c>
    </row>
    <row r="853" spans="5:18">
      <c r="E853" s="49"/>
      <c r="F853" s="49">
        <v>1</v>
      </c>
      <c r="G853" s="49" t="s">
        <v>237</v>
      </c>
      <c r="H853" s="49" t="s">
        <v>2009</v>
      </c>
      <c r="I853" s="49">
        <f>I792</f>
        <v>783</v>
      </c>
      <c r="J853" s="49" t="s">
        <v>237</v>
      </c>
      <c r="K853" s="49">
        <f>F853*I853</f>
        <v>783</v>
      </c>
      <c r="L853" s="49"/>
      <c r="M853" s="839"/>
      <c r="N853" s="49"/>
      <c r="O853" s="881" t="s">
        <v>2279</v>
      </c>
      <c r="P853" s="881"/>
      <c r="Q853" s="881"/>
      <c r="R853" s="880">
        <f>R852*1%</f>
        <v>347.13</v>
      </c>
    </row>
    <row r="854" spans="5:18">
      <c r="E854" s="49"/>
      <c r="F854" s="49">
        <v>2</v>
      </c>
      <c r="G854" s="49" t="s">
        <v>237</v>
      </c>
      <c r="H854" s="49" t="s">
        <v>302</v>
      </c>
      <c r="I854" s="49">
        <f>I40</f>
        <v>884</v>
      </c>
      <c r="J854" s="49" t="s">
        <v>237</v>
      </c>
      <c r="K854" s="49">
        <f>F854*I854</f>
        <v>1768</v>
      </c>
      <c r="L854" s="49"/>
      <c r="M854" s="49"/>
      <c r="O854" s="886" t="s">
        <v>2979</v>
      </c>
      <c r="R854" s="460">
        <v>1898</v>
      </c>
    </row>
    <row r="855" spans="5:18">
      <c r="E855" s="49"/>
      <c r="F855" s="49">
        <v>4</v>
      </c>
      <c r="G855" s="49" t="s">
        <v>237</v>
      </c>
      <c r="H855" s="49" t="s">
        <v>1142</v>
      </c>
      <c r="I855" s="49">
        <f>I759</f>
        <v>611</v>
      </c>
      <c r="J855" s="49" t="s">
        <v>237</v>
      </c>
      <c r="K855" s="49">
        <f>F855*I855</f>
        <v>2444</v>
      </c>
      <c r="L855" s="49"/>
      <c r="M855" s="49"/>
      <c r="O855" s="840" t="s">
        <v>2601</v>
      </c>
      <c r="R855" s="325">
        <f>R854+R853+R852</f>
        <v>36957.93</v>
      </c>
    </row>
    <row r="856" spans="5:18">
      <c r="E856" s="49"/>
      <c r="F856" s="49"/>
      <c r="G856" s="49"/>
      <c r="H856" s="51" t="s">
        <v>2010</v>
      </c>
      <c r="I856" s="49"/>
      <c r="J856" s="49"/>
      <c r="K856" s="49">
        <v>106</v>
      </c>
      <c r="L856" s="49"/>
      <c r="M856" s="49"/>
      <c r="O856" s="840" t="s">
        <v>2981</v>
      </c>
      <c r="R856" s="344">
        <v>37000</v>
      </c>
    </row>
    <row r="857" spans="5:18" ht="30" customHeight="1">
      <c r="E857" s="49"/>
      <c r="F857" s="49"/>
      <c r="G857" s="49"/>
      <c r="H857" s="839" t="s">
        <v>2011</v>
      </c>
      <c r="I857" s="49"/>
      <c r="J857" s="49"/>
      <c r="K857" s="49">
        <f>SUM(K851:K856)</f>
        <v>7795</v>
      </c>
      <c r="L857" s="49"/>
      <c r="M857" s="49">
        <f>K857-M858</f>
        <v>2071</v>
      </c>
    </row>
    <row r="858" spans="5:18" ht="18.75" customHeight="1">
      <c r="E858" s="49"/>
      <c r="F858" s="49"/>
      <c r="G858" s="49"/>
      <c r="H858" s="840" t="s">
        <v>1932</v>
      </c>
      <c r="I858" s="49"/>
      <c r="J858" s="49"/>
      <c r="K858" s="50">
        <f>K857/90</f>
        <v>86.61</v>
      </c>
      <c r="L858" s="49">
        <f>80.7*90</f>
        <v>7263</v>
      </c>
      <c r="M858" s="49">
        <f>63.6*90</f>
        <v>5724</v>
      </c>
    </row>
    <row r="859" spans="5:18" ht="18.75" customHeight="1">
      <c r="E859" s="49"/>
      <c r="F859" s="49"/>
      <c r="G859" s="49"/>
      <c r="H859" s="49"/>
      <c r="I859" s="49"/>
      <c r="J859" s="49"/>
      <c r="K859" s="49"/>
      <c r="L859" s="49">
        <f>L858-K857</f>
        <v>-532</v>
      </c>
      <c r="M859" s="49"/>
    </row>
    <row r="860" spans="5:18">
      <c r="E860" s="49"/>
      <c r="F860" s="49"/>
      <c r="G860" s="49"/>
      <c r="H860" s="50" t="s">
        <v>2711</v>
      </c>
      <c r="I860" s="49"/>
      <c r="J860" s="49"/>
      <c r="K860" s="49"/>
      <c r="L860" s="49"/>
      <c r="M860" s="49"/>
    </row>
    <row r="861" spans="5:18" ht="57.75" customHeight="1">
      <c r="E861" s="49"/>
      <c r="F861" s="49"/>
      <c r="G861" s="49"/>
      <c r="H861" s="49" t="s">
        <v>2712</v>
      </c>
      <c r="I861" s="49"/>
      <c r="J861" s="49"/>
      <c r="K861" s="49">
        <f>K858</f>
        <v>86.61</v>
      </c>
      <c r="L861" s="49"/>
      <c r="M861" s="49"/>
      <c r="O861" s="51" t="s">
        <v>2967</v>
      </c>
    </row>
    <row r="862" spans="5:18" ht="50.25" customHeight="1">
      <c r="E862" s="49"/>
      <c r="F862" s="49">
        <v>1</v>
      </c>
      <c r="G862" s="49" t="s">
        <v>13</v>
      </c>
      <c r="H862" s="49" t="s">
        <v>2985</v>
      </c>
      <c r="I862" s="49">
        <f>I851</f>
        <v>20</v>
      </c>
      <c r="J862" s="49" t="s">
        <v>13</v>
      </c>
      <c r="K862" s="49">
        <f>F862*I862</f>
        <v>20</v>
      </c>
      <c r="L862" s="49"/>
      <c r="M862" s="839">
        <v>1</v>
      </c>
      <c r="N862" s="49" t="s">
        <v>727</v>
      </c>
      <c r="O862" s="51" t="s">
        <v>2968</v>
      </c>
      <c r="P862" s="839">
        <v>5310</v>
      </c>
      <c r="Q862" s="49" t="s">
        <v>727</v>
      </c>
      <c r="R862" s="839">
        <f>P862*M862</f>
        <v>5310</v>
      </c>
    </row>
    <row r="863" spans="5:18" ht="20.25" customHeight="1">
      <c r="E863" s="49"/>
      <c r="F863" s="49">
        <v>1</v>
      </c>
      <c r="G863" s="49" t="s">
        <v>13</v>
      </c>
      <c r="H863" s="49" t="s">
        <v>2986</v>
      </c>
      <c r="I863" s="49">
        <f>I282</f>
        <v>29.8</v>
      </c>
      <c r="J863" s="49" t="s">
        <v>13</v>
      </c>
      <c r="K863" s="49">
        <f>F863*I863</f>
        <v>29.8</v>
      </c>
      <c r="L863" s="49"/>
      <c r="M863" s="880">
        <v>1</v>
      </c>
      <c r="N863" s="881" t="s">
        <v>727</v>
      </c>
      <c r="O863" s="881" t="s">
        <v>2970</v>
      </c>
      <c r="P863" s="880">
        <v>1617</v>
      </c>
      <c r="Q863" s="881" t="s">
        <v>727</v>
      </c>
      <c r="R863" s="839">
        <f>P863*M863</f>
        <v>1617</v>
      </c>
    </row>
    <row r="864" spans="5:18" ht="20.25" customHeight="1">
      <c r="E864" s="49"/>
      <c r="F864" s="49"/>
      <c r="G864" s="49"/>
      <c r="H864" s="49"/>
      <c r="I864" s="49"/>
      <c r="J864" s="49"/>
      <c r="K864" s="50">
        <f>(K861-K862)+K863</f>
        <v>96.41</v>
      </c>
      <c r="L864" s="49"/>
      <c r="M864" s="880">
        <v>3</v>
      </c>
      <c r="N864" s="881" t="s">
        <v>727</v>
      </c>
      <c r="O864" s="881" t="s">
        <v>2987</v>
      </c>
      <c r="P864" s="880">
        <v>2157</v>
      </c>
      <c r="Q864" s="881" t="s">
        <v>727</v>
      </c>
      <c r="R864" s="839">
        <f>P864*M864</f>
        <v>6471</v>
      </c>
    </row>
    <row r="865" spans="5:18" ht="20.25" customHeight="1">
      <c r="E865" s="49"/>
      <c r="F865" s="49"/>
      <c r="G865" s="49"/>
      <c r="H865" s="50" t="s">
        <v>2714</v>
      </c>
      <c r="I865" s="49"/>
      <c r="J865" s="49"/>
      <c r="K865" s="49"/>
      <c r="L865" s="49"/>
      <c r="M865" s="880">
        <v>3</v>
      </c>
      <c r="N865" s="881" t="s">
        <v>727</v>
      </c>
      <c r="O865" s="881" t="s">
        <v>2988</v>
      </c>
      <c r="P865" s="880">
        <v>829</v>
      </c>
      <c r="Q865" s="881" t="s">
        <v>727</v>
      </c>
      <c r="R865" s="839">
        <f>P865*M865</f>
        <v>2487</v>
      </c>
    </row>
    <row r="866" spans="5:18" ht="20.25" customHeight="1">
      <c r="E866" s="49"/>
      <c r="F866" s="49"/>
      <c r="G866" s="49"/>
      <c r="H866" s="50"/>
      <c r="I866" s="49"/>
      <c r="J866" s="49"/>
      <c r="K866" s="49"/>
      <c r="L866" s="49"/>
      <c r="M866" s="839">
        <v>12</v>
      </c>
      <c r="N866" s="881" t="s">
        <v>727</v>
      </c>
      <c r="O866" s="51" t="s">
        <v>2974</v>
      </c>
      <c r="P866" s="839">
        <v>173</v>
      </c>
      <c r="Q866" s="881" t="s">
        <v>727</v>
      </c>
      <c r="R866" s="839">
        <f>P866*M866</f>
        <v>2076</v>
      </c>
    </row>
    <row r="867" spans="5:18">
      <c r="E867" s="49"/>
      <c r="F867" s="49"/>
      <c r="G867" s="49"/>
      <c r="H867" s="50" t="s">
        <v>2715</v>
      </c>
      <c r="I867" s="49"/>
      <c r="J867" s="49"/>
      <c r="K867" s="49"/>
      <c r="L867" s="49"/>
      <c r="M867" s="839"/>
      <c r="N867" s="49" t="s">
        <v>49</v>
      </c>
      <c r="O867" s="51" t="s">
        <v>2976</v>
      </c>
      <c r="P867" s="839"/>
      <c r="Q867" s="49" t="s">
        <v>49</v>
      </c>
      <c r="R867" s="888">
        <v>55.3</v>
      </c>
    </row>
    <row r="868" spans="5:18" ht="19.5" customHeight="1">
      <c r="E868" s="49"/>
      <c r="F868" s="49">
        <v>1</v>
      </c>
      <c r="G868" s="49" t="s">
        <v>1034</v>
      </c>
      <c r="H868" s="49" t="s">
        <v>2989</v>
      </c>
      <c r="I868" s="844">
        <v>37.1</v>
      </c>
      <c r="J868" s="49" t="s">
        <v>1034</v>
      </c>
      <c r="K868" s="49">
        <f>F868*I868</f>
        <v>37.1</v>
      </c>
      <c r="L868" s="49"/>
      <c r="M868" s="839"/>
      <c r="N868" s="49" t="s">
        <v>49</v>
      </c>
      <c r="O868" s="51" t="s">
        <v>2977</v>
      </c>
      <c r="P868" s="1776" t="s">
        <v>49</v>
      </c>
      <c r="Q868" s="1776"/>
      <c r="R868" s="839">
        <v>24</v>
      </c>
    </row>
    <row r="869" spans="5:18" ht="21.75" customHeight="1">
      <c r="E869" s="49"/>
      <c r="F869" s="838">
        <v>1.4999999999999999E-2</v>
      </c>
      <c r="G869" s="49" t="s">
        <v>724</v>
      </c>
      <c r="H869" s="51" t="s">
        <v>2716</v>
      </c>
      <c r="I869" s="49">
        <f>I169</f>
        <v>661</v>
      </c>
      <c r="J869" s="49" t="s">
        <v>724</v>
      </c>
      <c r="K869" s="49">
        <f>F869*I869</f>
        <v>9.92</v>
      </c>
      <c r="L869" s="49"/>
      <c r="M869" s="839"/>
      <c r="N869" s="49"/>
      <c r="P869" s="49"/>
      <c r="Q869" s="49"/>
      <c r="R869" s="840">
        <f>SUM(R862:R868)</f>
        <v>18040.3</v>
      </c>
    </row>
    <row r="870" spans="5:18" ht="21.75" customHeight="1">
      <c r="E870" s="49"/>
      <c r="F870" s="49"/>
      <c r="G870" s="49"/>
      <c r="H870" s="49" t="s">
        <v>2717</v>
      </c>
      <c r="I870" s="49"/>
      <c r="J870" s="49" t="s">
        <v>49</v>
      </c>
      <c r="K870" s="49">
        <v>7.45</v>
      </c>
      <c r="L870" s="49"/>
      <c r="M870" s="839"/>
      <c r="N870" s="49"/>
      <c r="O870" s="881" t="s">
        <v>2279</v>
      </c>
      <c r="P870" s="881"/>
      <c r="Q870" s="881"/>
      <c r="R870" s="880">
        <f>R869*1%</f>
        <v>180.4</v>
      </c>
    </row>
    <row r="871" spans="5:18" ht="21.75" customHeight="1">
      <c r="E871" s="49"/>
      <c r="F871" s="49"/>
      <c r="G871" s="49"/>
      <c r="H871" s="840" t="s">
        <v>2400</v>
      </c>
      <c r="I871" s="49"/>
      <c r="J871" s="49"/>
      <c r="K871" s="50">
        <f>SUM(K868:K870)</f>
        <v>54.47</v>
      </c>
      <c r="L871" s="49">
        <f>K871-49</f>
        <v>5.47</v>
      </c>
      <c r="M871" s="49"/>
      <c r="O871" s="886" t="s">
        <v>2990</v>
      </c>
      <c r="R871" s="325">
        <v>2252</v>
      </c>
    </row>
    <row r="872" spans="5:18" ht="21.75" customHeight="1">
      <c r="E872" s="49"/>
      <c r="F872" s="49"/>
      <c r="G872" s="49"/>
      <c r="H872" s="49"/>
      <c r="I872" s="49"/>
      <c r="J872" s="49"/>
      <c r="K872" s="49"/>
      <c r="L872" s="49"/>
      <c r="M872" s="49"/>
      <c r="O872" s="840" t="s">
        <v>2601</v>
      </c>
      <c r="R872" s="325">
        <f>SUM(R869:R871)</f>
        <v>20472.7</v>
      </c>
    </row>
    <row r="873" spans="5:18">
      <c r="E873" s="49"/>
      <c r="F873" s="49"/>
      <c r="G873" s="49"/>
      <c r="H873" s="50" t="s">
        <v>2718</v>
      </c>
      <c r="I873" s="49"/>
      <c r="J873" s="49"/>
      <c r="K873" s="49"/>
      <c r="L873" s="49"/>
      <c r="M873" s="49"/>
      <c r="O873" s="840" t="s">
        <v>2981</v>
      </c>
      <c r="R873" s="344">
        <v>20473</v>
      </c>
    </row>
    <row r="874" spans="5:18">
      <c r="E874" s="49"/>
      <c r="F874" s="49"/>
      <c r="G874" s="49"/>
      <c r="H874" s="49"/>
      <c r="I874" s="49"/>
      <c r="J874" s="49"/>
      <c r="K874" s="49"/>
      <c r="L874" s="49"/>
      <c r="M874" s="49"/>
    </row>
    <row r="875" spans="5:18" ht="47.25">
      <c r="E875" s="49"/>
      <c r="F875" s="49"/>
      <c r="G875" s="49"/>
      <c r="H875" s="51" t="s">
        <v>2991</v>
      </c>
      <c r="I875" s="49"/>
      <c r="J875" s="49"/>
      <c r="K875" s="49"/>
      <c r="L875" s="49"/>
      <c r="M875" s="49"/>
    </row>
    <row r="876" spans="5:18" ht="57.75" customHeight="1">
      <c r="E876" s="49"/>
      <c r="F876" s="49"/>
      <c r="G876" s="49"/>
      <c r="H876" s="49"/>
      <c r="I876" s="49"/>
      <c r="J876" s="49"/>
      <c r="K876" s="49"/>
      <c r="L876" s="49"/>
      <c r="M876" s="49"/>
    </row>
    <row r="877" spans="5:18">
      <c r="E877" s="49"/>
      <c r="F877" s="49">
        <v>1</v>
      </c>
      <c r="G877" s="49" t="s">
        <v>1034</v>
      </c>
      <c r="H877" s="49" t="s">
        <v>2992</v>
      </c>
      <c r="I877" s="844">
        <v>13.8</v>
      </c>
      <c r="J877" s="49" t="s">
        <v>1034</v>
      </c>
      <c r="K877" s="49">
        <f>F877*I877</f>
        <v>13.8</v>
      </c>
      <c r="L877" s="49"/>
      <c r="M877" s="49"/>
    </row>
    <row r="878" spans="5:18" ht="21.75" customHeight="1">
      <c r="E878" s="49"/>
      <c r="F878" s="49">
        <v>0.01</v>
      </c>
      <c r="G878" s="49" t="s">
        <v>2720</v>
      </c>
      <c r="H878" s="49" t="s">
        <v>2716</v>
      </c>
      <c r="I878" s="49">
        <f>I869</f>
        <v>661</v>
      </c>
      <c r="J878" s="49" t="s">
        <v>724</v>
      </c>
      <c r="K878" s="49">
        <f>F878*I878</f>
        <v>6.61</v>
      </c>
      <c r="L878" s="49"/>
      <c r="M878" s="49"/>
    </row>
    <row r="879" spans="5:18" ht="21.75" customHeight="1">
      <c r="E879" s="49"/>
      <c r="F879" s="49">
        <v>1</v>
      </c>
      <c r="G879" s="49" t="s">
        <v>1034</v>
      </c>
      <c r="H879" s="49" t="s">
        <v>2721</v>
      </c>
      <c r="I879" s="843">
        <v>49.5</v>
      </c>
      <c r="J879" s="49" t="s">
        <v>1034</v>
      </c>
      <c r="K879" s="49">
        <f>F879*I879</f>
        <v>49.5</v>
      </c>
      <c r="L879" s="49"/>
      <c r="M879" s="49"/>
    </row>
    <row r="880" spans="5:18" ht="21.75" customHeight="1">
      <c r="E880" s="49"/>
      <c r="F880" s="49"/>
      <c r="G880" s="49"/>
      <c r="H880" s="49" t="s">
        <v>2722</v>
      </c>
      <c r="I880" s="49" t="s">
        <v>49</v>
      </c>
      <c r="J880" s="49"/>
      <c r="K880" s="49">
        <v>7.09</v>
      </c>
      <c r="L880" s="49"/>
      <c r="M880" s="49"/>
    </row>
    <row r="881" spans="5:13" ht="21.75" customHeight="1">
      <c r="E881" s="49"/>
      <c r="F881" s="49"/>
      <c r="G881" s="49"/>
      <c r="H881" s="840" t="s">
        <v>2723</v>
      </c>
      <c r="I881" s="49"/>
      <c r="J881" s="49"/>
      <c r="K881" s="50">
        <f>SUM(K877:K880)</f>
        <v>77</v>
      </c>
      <c r="L881" s="49"/>
      <c r="M881" s="49">
        <f>K881-77</f>
        <v>0</v>
      </c>
    </row>
    <row r="882" spans="5:13" ht="21.75" customHeight="1">
      <c r="E882" s="49"/>
      <c r="F882" s="49"/>
      <c r="G882" s="49"/>
      <c r="H882" s="49"/>
      <c r="I882" s="49"/>
      <c r="J882" s="49"/>
      <c r="K882" s="49"/>
      <c r="L882" s="49"/>
      <c r="M882" s="49"/>
    </row>
    <row r="883" spans="5:13">
      <c r="E883" s="49"/>
      <c r="F883" s="49"/>
      <c r="G883" s="49"/>
      <c r="H883" s="50" t="s">
        <v>2724</v>
      </c>
      <c r="I883" s="49"/>
      <c r="J883" s="49"/>
      <c r="K883" s="49"/>
      <c r="L883" s="49"/>
      <c r="M883" s="49"/>
    </row>
    <row r="884" spans="5:13">
      <c r="E884" s="49"/>
      <c r="F884" s="49"/>
      <c r="G884" s="49"/>
      <c r="H884" s="49"/>
      <c r="I884" s="49"/>
      <c r="J884" s="49"/>
      <c r="K884" s="49"/>
      <c r="L884" s="49"/>
      <c r="M884" s="49"/>
    </row>
    <row r="885" spans="5:13" ht="236.25">
      <c r="E885" s="49"/>
      <c r="F885" s="49"/>
      <c r="G885" s="49"/>
      <c r="H885" s="885" t="s">
        <v>2725</v>
      </c>
      <c r="I885" s="49"/>
      <c r="J885" s="49"/>
      <c r="K885" s="49"/>
      <c r="L885" s="49"/>
      <c r="M885" s="49"/>
    </row>
    <row r="886" spans="5:13" ht="99.95" customHeight="1">
      <c r="E886" s="49"/>
      <c r="F886" s="49"/>
      <c r="G886" s="49"/>
      <c r="H886" s="49"/>
      <c r="I886" s="49"/>
      <c r="J886" s="49"/>
      <c r="K886" s="49"/>
      <c r="L886" s="49"/>
      <c r="M886" s="49"/>
    </row>
    <row r="887" spans="5:13">
      <c r="E887" s="49"/>
      <c r="F887" s="49">
        <v>6</v>
      </c>
      <c r="G887" s="49" t="s">
        <v>13</v>
      </c>
      <c r="H887" s="49" t="s">
        <v>2993</v>
      </c>
      <c r="I887" s="844">
        <v>244.4</v>
      </c>
      <c r="J887" s="49" t="s">
        <v>13</v>
      </c>
      <c r="K887" s="49">
        <f>F887*I887</f>
        <v>1466.4</v>
      </c>
      <c r="L887" s="49"/>
      <c r="M887" s="49"/>
    </row>
    <row r="888" spans="5:13" ht="22.5" customHeight="1">
      <c r="F888" s="49">
        <v>2</v>
      </c>
      <c r="G888" s="49" t="s">
        <v>13</v>
      </c>
      <c r="H888" s="49" t="str">
        <f>H835</f>
        <v>20 mm dia 'B' class GI pipe p- 50 it-142 iv</v>
      </c>
      <c r="I888" s="49">
        <f>I835</f>
        <v>98.6</v>
      </c>
      <c r="J888" s="49" t="s">
        <v>13</v>
      </c>
      <c r="K888" s="49">
        <f>F888*I888</f>
        <v>197.2</v>
      </c>
      <c r="L888" s="49"/>
      <c r="M888" s="49"/>
    </row>
    <row r="889" spans="5:13" ht="22.5" customHeight="1">
      <c r="F889" s="49">
        <v>1</v>
      </c>
      <c r="G889" s="49" t="s">
        <v>1034</v>
      </c>
      <c r="H889" s="49" t="s">
        <v>2994</v>
      </c>
      <c r="I889" s="843" t="s">
        <v>85</v>
      </c>
      <c r="J889" s="49" t="s">
        <v>1034</v>
      </c>
      <c r="K889" s="49"/>
      <c r="L889" s="49"/>
      <c r="M889" s="49"/>
    </row>
    <row r="890" spans="5:13" ht="22.5" customHeight="1">
      <c r="F890" s="49">
        <v>1</v>
      </c>
      <c r="G890" s="49" t="s">
        <v>1034</v>
      </c>
      <c r="H890" s="49" t="s">
        <v>2995</v>
      </c>
      <c r="I890" s="52">
        <v>102.7</v>
      </c>
      <c r="J890" s="49" t="s">
        <v>1034</v>
      </c>
      <c r="K890" s="49">
        <f>F890*I890</f>
        <v>102.7</v>
      </c>
      <c r="L890" s="49"/>
      <c r="M890" s="49"/>
    </row>
    <row r="891" spans="5:13" ht="22.5" customHeight="1">
      <c r="F891" s="838">
        <v>0.23799999999999999</v>
      </c>
      <c r="G891" s="49" t="s">
        <v>5</v>
      </c>
      <c r="H891" s="49" t="s">
        <v>2996</v>
      </c>
      <c r="I891" s="843">
        <v>6400</v>
      </c>
      <c r="J891" s="49" t="s">
        <v>5</v>
      </c>
      <c r="K891" s="49">
        <f>F891*I891</f>
        <v>1523.2</v>
      </c>
      <c r="L891" s="49"/>
      <c r="M891" s="49"/>
    </row>
    <row r="892" spans="5:13" ht="22.5" customHeight="1">
      <c r="F892" s="49"/>
      <c r="G892" s="49" t="s">
        <v>49</v>
      </c>
      <c r="H892" s="51" t="s">
        <v>2729</v>
      </c>
      <c r="I892" s="49" t="s">
        <v>49</v>
      </c>
      <c r="J892" s="49"/>
      <c r="K892" s="49">
        <v>250</v>
      </c>
      <c r="L892" s="49"/>
      <c r="M892" s="49"/>
    </row>
    <row r="893" spans="5:13" ht="43.5" customHeight="1">
      <c r="F893" s="49">
        <v>1</v>
      </c>
      <c r="G893" s="49" t="s">
        <v>1034</v>
      </c>
      <c r="H893" s="51" t="s">
        <v>2730</v>
      </c>
      <c r="I893" s="49" t="s">
        <v>49</v>
      </c>
      <c r="J893" s="49"/>
      <c r="K893" s="49">
        <v>97.7</v>
      </c>
      <c r="L893" s="49"/>
      <c r="M893" s="49"/>
    </row>
    <row r="894" spans="5:13" ht="60.75" customHeight="1">
      <c r="F894" s="49">
        <v>8</v>
      </c>
      <c r="G894" s="49" t="s">
        <v>13</v>
      </c>
      <c r="H894" s="51" t="s">
        <v>2731</v>
      </c>
      <c r="I894" s="49">
        <f>I12</f>
        <v>16.55</v>
      </c>
      <c r="J894" s="49"/>
      <c r="K894" s="49">
        <f>F894*I894</f>
        <v>132.4</v>
      </c>
      <c r="L894" s="49"/>
      <c r="M894" s="49"/>
    </row>
    <row r="895" spans="5:13" ht="37.5" customHeight="1">
      <c r="F895" s="49"/>
      <c r="G895" s="49"/>
      <c r="H895" s="49" t="s">
        <v>478</v>
      </c>
      <c r="I895" s="49"/>
      <c r="J895" s="49"/>
      <c r="K895" s="49">
        <f>K902</f>
        <v>3169.5</v>
      </c>
      <c r="L895" s="49"/>
      <c r="M895" s="49"/>
    </row>
    <row r="896" spans="5:13">
      <c r="E896" s="49"/>
      <c r="F896" s="49"/>
      <c r="G896" s="49"/>
      <c r="H896" s="840" t="s">
        <v>2400</v>
      </c>
      <c r="I896" s="49"/>
      <c r="J896" s="49"/>
      <c r="K896" s="50">
        <f>SUM(K887:K895)+1.1</f>
        <v>6940.2</v>
      </c>
      <c r="L896" s="49"/>
      <c r="M896" s="49">
        <f>K896-5160</f>
        <v>1780.2</v>
      </c>
    </row>
    <row r="897" spans="5:13">
      <c r="E897" s="49"/>
      <c r="F897" s="49"/>
      <c r="G897" s="49"/>
      <c r="H897" s="49"/>
      <c r="I897" s="49"/>
      <c r="J897" s="49"/>
      <c r="K897" s="49"/>
      <c r="L897" s="49"/>
      <c r="M897" s="49"/>
    </row>
    <row r="898" spans="5:13" ht="3.75" customHeight="1">
      <c r="E898" s="49"/>
      <c r="F898" s="49"/>
      <c r="G898" s="49"/>
      <c r="H898" s="847" t="s">
        <v>1978</v>
      </c>
      <c r="I898" s="49"/>
      <c r="J898" s="49"/>
      <c r="K898" s="49"/>
      <c r="L898" s="49"/>
      <c r="M898" s="49"/>
    </row>
    <row r="899" spans="5:13">
      <c r="E899" s="49"/>
      <c r="F899" s="49">
        <v>0.5</v>
      </c>
      <c r="G899" s="49" t="s">
        <v>1034</v>
      </c>
      <c r="H899" s="49" t="s">
        <v>2472</v>
      </c>
      <c r="I899" s="49">
        <f>I792</f>
        <v>783</v>
      </c>
      <c r="J899" s="49" t="s">
        <v>1034</v>
      </c>
      <c r="K899" s="49">
        <f>F899*I899</f>
        <v>391.5</v>
      </c>
      <c r="L899" s="49"/>
      <c r="M899" s="49"/>
    </row>
    <row r="900" spans="5:13">
      <c r="E900" s="49"/>
      <c r="F900" s="49">
        <v>2</v>
      </c>
      <c r="G900" s="49" t="s">
        <v>1034</v>
      </c>
      <c r="H900" s="49" t="s">
        <v>2463</v>
      </c>
      <c r="I900" s="49">
        <f>I793</f>
        <v>778</v>
      </c>
      <c r="J900" s="49" t="s">
        <v>1034</v>
      </c>
      <c r="K900" s="49">
        <f>F900*I900</f>
        <v>1556</v>
      </c>
      <c r="L900" s="49"/>
      <c r="M900" s="49"/>
    </row>
    <row r="901" spans="5:13">
      <c r="E901" s="49"/>
      <c r="F901" s="49">
        <v>2</v>
      </c>
      <c r="G901" s="49" t="s">
        <v>1034</v>
      </c>
      <c r="H901" s="49" t="s">
        <v>2166</v>
      </c>
      <c r="I901" s="49">
        <f>I794</f>
        <v>611</v>
      </c>
      <c r="J901" s="49" t="s">
        <v>1034</v>
      </c>
      <c r="K901" s="49">
        <f>F901*I901</f>
        <v>1222</v>
      </c>
      <c r="L901" s="49"/>
      <c r="M901" s="49"/>
    </row>
    <row r="902" spans="5:13">
      <c r="E902" s="49"/>
      <c r="F902" s="49"/>
      <c r="G902" s="49"/>
      <c r="H902" s="49"/>
      <c r="I902" s="49"/>
      <c r="J902" s="49"/>
      <c r="K902" s="847">
        <f>SUM(K899:K901)</f>
        <v>3169.5</v>
      </c>
      <c r="L902" s="49"/>
      <c r="M902" s="49"/>
    </row>
    <row r="903" spans="5:13">
      <c r="E903" s="49"/>
      <c r="F903" s="49"/>
      <c r="G903" s="49"/>
      <c r="H903" s="49"/>
      <c r="I903" s="49"/>
      <c r="J903" s="49"/>
      <c r="K903" s="49"/>
      <c r="L903" s="49"/>
      <c r="M903" s="49"/>
    </row>
    <row r="904" spans="5:13">
      <c r="E904" s="49"/>
      <c r="F904" s="49"/>
      <c r="G904" s="49"/>
      <c r="H904" s="50" t="s">
        <v>2732</v>
      </c>
      <c r="I904" s="49"/>
      <c r="J904" s="49"/>
      <c r="K904" s="49"/>
      <c r="L904" s="49"/>
      <c r="M904" s="49"/>
    </row>
    <row r="905" spans="5:13" ht="24.95" customHeight="1">
      <c r="E905" s="49"/>
      <c r="F905" s="49"/>
      <c r="G905" s="49"/>
      <c r="H905" s="49"/>
      <c r="I905" s="49"/>
      <c r="J905" s="49"/>
      <c r="K905" s="49"/>
      <c r="L905" s="49"/>
      <c r="M905" s="49"/>
    </row>
    <row r="906" spans="5:13">
      <c r="E906" s="49"/>
      <c r="F906" s="49"/>
      <c r="G906" s="49"/>
      <c r="H906" s="50" t="s">
        <v>2997</v>
      </c>
      <c r="I906" s="49"/>
      <c r="J906" s="49"/>
      <c r="K906" s="49"/>
      <c r="L906" s="49"/>
      <c r="M906" s="49"/>
    </row>
    <row r="907" spans="5:13" ht="24.95" customHeight="1">
      <c r="E907" s="49"/>
      <c r="F907" s="49"/>
      <c r="G907" s="49"/>
      <c r="H907" s="49"/>
      <c r="I907" s="49"/>
      <c r="J907" s="49"/>
      <c r="K907" s="49"/>
      <c r="L907" s="49"/>
      <c r="M907" s="49"/>
    </row>
    <row r="908" spans="5:13">
      <c r="E908" s="49"/>
      <c r="F908" s="49">
        <v>1</v>
      </c>
      <c r="G908" s="49" t="s">
        <v>1034</v>
      </c>
      <c r="H908" s="49" t="s">
        <v>2998</v>
      </c>
      <c r="I908" s="874">
        <v>1447</v>
      </c>
      <c r="J908" s="49" t="s">
        <v>1034</v>
      </c>
      <c r="K908" s="49">
        <f>F908*I908</f>
        <v>1447</v>
      </c>
      <c r="L908" s="49"/>
      <c r="M908" s="49"/>
    </row>
    <row r="909" spans="5:13">
      <c r="E909" s="49"/>
      <c r="F909" s="49"/>
      <c r="G909" s="49"/>
      <c r="H909" s="49" t="s">
        <v>2277</v>
      </c>
      <c r="I909" s="844">
        <v>337.6</v>
      </c>
      <c r="J909" s="49" t="s">
        <v>1034</v>
      </c>
      <c r="K909" s="49">
        <f>I909</f>
        <v>337.6</v>
      </c>
      <c r="L909" s="49"/>
      <c r="M909" s="49"/>
    </row>
    <row r="910" spans="5:13" ht="31.5">
      <c r="E910" s="49"/>
      <c r="F910" s="49"/>
      <c r="G910" s="49"/>
      <c r="H910" s="51" t="s">
        <v>2999</v>
      </c>
      <c r="I910" s="49"/>
      <c r="J910" s="49"/>
      <c r="K910" s="843">
        <v>31.6</v>
      </c>
      <c r="L910" s="49"/>
      <c r="M910" s="49">
        <f>K908+K909+K910</f>
        <v>1816.2</v>
      </c>
    </row>
    <row r="911" spans="5:13" ht="39" customHeight="1">
      <c r="E911" s="49"/>
      <c r="F911" s="49"/>
      <c r="G911" s="49"/>
      <c r="H911" s="49" t="s">
        <v>2736</v>
      </c>
      <c r="I911" s="49"/>
      <c r="J911" s="49">
        <f>SUM(K908:K910)</f>
        <v>1816.2</v>
      </c>
      <c r="K911" s="49">
        <f>J911*1%+0.39</f>
        <v>18.55</v>
      </c>
      <c r="L911" s="49"/>
      <c r="M911" s="49"/>
    </row>
    <row r="912" spans="5:13">
      <c r="E912" s="49"/>
      <c r="F912" s="49"/>
      <c r="G912" s="49"/>
      <c r="H912" s="49" t="s">
        <v>2737</v>
      </c>
      <c r="I912" s="49"/>
      <c r="J912" s="49"/>
      <c r="K912" s="49">
        <f>K919</f>
        <v>501.25</v>
      </c>
      <c r="L912" s="49"/>
      <c r="M912" s="49"/>
    </row>
    <row r="913" spans="5:13">
      <c r="E913" s="49"/>
      <c r="F913" s="49"/>
      <c r="G913" s="49"/>
      <c r="H913" s="840" t="s">
        <v>2738</v>
      </c>
      <c r="I913" s="49"/>
      <c r="J913" s="49"/>
      <c r="K913" s="50">
        <f>SUM(K908:K912)</f>
        <v>2336</v>
      </c>
      <c r="L913" s="49">
        <f>K913-2336</f>
        <v>0</v>
      </c>
      <c r="M913" s="49">
        <f>1883-K913</f>
        <v>-453</v>
      </c>
    </row>
    <row r="914" spans="5:13" ht="24.95" customHeight="1">
      <c r="E914" s="49"/>
      <c r="F914" s="49"/>
      <c r="G914" s="49"/>
      <c r="H914" s="49"/>
      <c r="I914" s="49"/>
      <c r="J914" s="49"/>
      <c r="K914" s="49"/>
      <c r="L914" s="49"/>
      <c r="M914" s="49"/>
    </row>
    <row r="915" spans="5:13">
      <c r="E915" s="49"/>
      <c r="F915" s="49"/>
      <c r="G915" s="49"/>
      <c r="H915" s="847" t="s">
        <v>478</v>
      </c>
      <c r="I915" s="49"/>
      <c r="J915" s="49"/>
      <c r="K915" s="49"/>
      <c r="L915" s="49"/>
      <c r="M915" s="49"/>
    </row>
    <row r="916" spans="5:13">
      <c r="E916" s="49"/>
      <c r="F916" s="49">
        <v>1</v>
      </c>
      <c r="G916" s="49" t="s">
        <v>1034</v>
      </c>
      <c r="H916" s="49" t="s">
        <v>2472</v>
      </c>
      <c r="I916" s="49">
        <f>I899</f>
        <v>783</v>
      </c>
      <c r="J916" s="49" t="s">
        <v>1034</v>
      </c>
      <c r="K916" s="49">
        <f>F916*I916</f>
        <v>783</v>
      </c>
      <c r="L916" s="49"/>
      <c r="M916" s="49"/>
    </row>
    <row r="917" spans="5:13">
      <c r="E917" s="49"/>
      <c r="F917" s="49">
        <v>2</v>
      </c>
      <c r="G917" s="49" t="s">
        <v>1034</v>
      </c>
      <c r="H917" s="49" t="s">
        <v>2166</v>
      </c>
      <c r="I917" s="49">
        <f>I901</f>
        <v>611</v>
      </c>
      <c r="J917" s="49" t="s">
        <v>1034</v>
      </c>
      <c r="K917" s="49">
        <f>F917*I917</f>
        <v>1222</v>
      </c>
      <c r="L917" s="49"/>
      <c r="M917" s="49"/>
    </row>
    <row r="918" spans="5:13">
      <c r="E918" s="49"/>
      <c r="F918" s="49"/>
      <c r="G918" s="49"/>
      <c r="H918" s="839" t="s">
        <v>2739</v>
      </c>
      <c r="I918" s="49"/>
      <c r="J918" s="49"/>
      <c r="K918" s="847">
        <f>SUM(K916:K917)</f>
        <v>2005</v>
      </c>
      <c r="L918" s="49"/>
      <c r="M918" s="49"/>
    </row>
    <row r="919" spans="5:13">
      <c r="E919" s="49"/>
      <c r="F919" s="49"/>
      <c r="G919" s="49"/>
      <c r="H919" s="840" t="s">
        <v>2058</v>
      </c>
      <c r="I919" s="49"/>
      <c r="J919" s="49"/>
      <c r="K919" s="50">
        <f>K918/4</f>
        <v>501.25</v>
      </c>
      <c r="L919" s="49"/>
      <c r="M919" s="49"/>
    </row>
    <row r="920" spans="5:13" ht="24.95" customHeight="1">
      <c r="E920" s="49"/>
      <c r="F920" s="49"/>
      <c r="G920" s="49"/>
      <c r="H920" s="49"/>
      <c r="I920" s="49"/>
      <c r="J920" s="49"/>
      <c r="K920" s="49"/>
      <c r="L920" s="49"/>
      <c r="M920" s="49"/>
    </row>
    <row r="921" spans="5:13">
      <c r="E921" s="49"/>
      <c r="F921" s="49"/>
      <c r="G921" s="49"/>
      <c r="H921" s="49"/>
      <c r="I921" s="49"/>
      <c r="J921" s="49"/>
      <c r="K921" s="49"/>
      <c r="L921" s="49"/>
      <c r="M921" s="49"/>
    </row>
    <row r="922" spans="5:13">
      <c r="E922" s="49"/>
      <c r="F922" s="49"/>
      <c r="G922" s="49"/>
      <c r="H922" s="50" t="s">
        <v>2740</v>
      </c>
      <c r="I922" s="49"/>
      <c r="J922" s="49"/>
      <c r="K922" s="49"/>
      <c r="L922" s="49"/>
      <c r="M922" s="49"/>
    </row>
    <row r="923" spans="5:13" ht="24.95" customHeight="1">
      <c r="E923" s="49"/>
      <c r="F923" s="49"/>
      <c r="G923" s="49"/>
      <c r="H923" s="49"/>
      <c r="I923" s="49"/>
      <c r="J923" s="49"/>
      <c r="K923" s="49"/>
      <c r="L923" s="49"/>
      <c r="M923" s="49"/>
    </row>
    <row r="924" spans="5:13">
      <c r="E924" s="49"/>
      <c r="F924" s="49"/>
      <c r="G924" s="49"/>
      <c r="H924" s="50" t="s">
        <v>2741</v>
      </c>
      <c r="I924" s="49"/>
      <c r="J924" s="49"/>
      <c r="K924" s="49"/>
      <c r="L924" s="49"/>
      <c r="M924" s="49"/>
    </row>
    <row r="925" spans="5:13" ht="24.95" customHeight="1">
      <c r="E925" s="49"/>
      <c r="F925" s="49"/>
      <c r="G925" s="49"/>
      <c r="H925" s="49"/>
      <c r="I925" s="49"/>
      <c r="J925" s="49"/>
      <c r="K925" s="49"/>
      <c r="L925" s="49"/>
      <c r="M925" s="49"/>
    </row>
    <row r="926" spans="5:13">
      <c r="E926" s="49"/>
      <c r="F926" s="49"/>
      <c r="G926" s="49"/>
      <c r="H926" s="49" t="s">
        <v>3000</v>
      </c>
      <c r="I926" s="874">
        <v>1265</v>
      </c>
      <c r="J926" s="49" t="s">
        <v>1034</v>
      </c>
      <c r="K926" s="49">
        <f>I926</f>
        <v>1265</v>
      </c>
      <c r="L926" s="49"/>
      <c r="M926" s="49"/>
    </row>
    <row r="927" spans="5:13">
      <c r="E927" s="49"/>
      <c r="F927" s="49"/>
      <c r="G927" s="49"/>
      <c r="H927" s="49" t="s">
        <v>2277</v>
      </c>
      <c r="I927" s="49">
        <f>I909</f>
        <v>337.6</v>
      </c>
      <c r="J927" s="49" t="s">
        <v>1034</v>
      </c>
      <c r="K927" s="49">
        <f>I927</f>
        <v>337.6</v>
      </c>
      <c r="L927" s="49"/>
      <c r="M927" s="49"/>
    </row>
    <row r="928" spans="5:13" ht="31.5">
      <c r="E928" s="49"/>
      <c r="F928" s="49"/>
      <c r="G928" s="49"/>
      <c r="H928" s="51" t="str">
        <f>H910</f>
        <v>Clamp fixing by cheche screws bolts and nuts including connections ( as per SD-114, Elec Data 2022-23)</v>
      </c>
      <c r="I928" s="49"/>
      <c r="J928" s="49"/>
      <c r="K928" s="52">
        <f>K910</f>
        <v>31.6</v>
      </c>
      <c r="L928" s="49">
        <f>K926+K927+K928</f>
        <v>1634.2</v>
      </c>
      <c r="M928" s="49"/>
    </row>
    <row r="929" spans="5:13">
      <c r="E929" s="49"/>
      <c r="F929" s="49"/>
      <c r="G929" s="49"/>
      <c r="H929" s="49" t="s">
        <v>2736</v>
      </c>
      <c r="I929" s="49"/>
      <c r="J929" s="49"/>
      <c r="K929" s="49">
        <v>13.7</v>
      </c>
      <c r="L929" s="49"/>
      <c r="M929" s="49"/>
    </row>
    <row r="930" spans="5:13">
      <c r="E930" s="49"/>
      <c r="F930" s="49"/>
      <c r="G930" s="49"/>
      <c r="H930" s="49" t="s">
        <v>2737</v>
      </c>
      <c r="I930" s="49"/>
      <c r="J930" s="49"/>
      <c r="K930" s="49">
        <f>K912</f>
        <v>501.25</v>
      </c>
      <c r="L930" s="49"/>
      <c r="M930" s="49"/>
    </row>
    <row r="931" spans="5:13">
      <c r="E931" s="49"/>
      <c r="F931" s="49"/>
      <c r="G931" s="49"/>
      <c r="H931" s="840" t="s">
        <v>2738</v>
      </c>
      <c r="I931" s="49"/>
      <c r="J931" s="49"/>
      <c r="K931" s="50">
        <f>SUM(K926:K930)</f>
        <v>2149.15</v>
      </c>
      <c r="L931" s="49">
        <f>K931*2</f>
        <v>4298.3</v>
      </c>
      <c r="M931" s="49"/>
    </row>
    <row r="932" spans="5:13" ht="24.95" customHeight="1">
      <c r="E932" s="49"/>
      <c r="F932" s="49"/>
      <c r="G932" s="49"/>
      <c r="H932" s="49"/>
      <c r="I932" s="49"/>
      <c r="J932" s="49"/>
      <c r="K932" s="49"/>
      <c r="L932" s="49"/>
      <c r="M932" s="49"/>
    </row>
    <row r="933" spans="5:13">
      <c r="E933" s="49"/>
      <c r="F933" s="49"/>
      <c r="G933" s="49"/>
      <c r="H933" s="50" t="s">
        <v>2744</v>
      </c>
      <c r="I933" s="49"/>
      <c r="J933" s="49"/>
      <c r="K933" s="49"/>
      <c r="L933" s="49"/>
      <c r="M933" s="49"/>
    </row>
    <row r="934" spans="5:13" ht="24.95" customHeight="1">
      <c r="E934" s="49"/>
      <c r="F934" s="49">
        <v>1</v>
      </c>
      <c r="G934" s="49" t="s">
        <v>1034</v>
      </c>
      <c r="H934" s="49" t="s">
        <v>3001</v>
      </c>
      <c r="I934" s="844">
        <v>1366</v>
      </c>
      <c r="J934" s="49" t="s">
        <v>1034</v>
      </c>
      <c r="K934" s="49">
        <f>F934*I934</f>
        <v>1366</v>
      </c>
      <c r="L934" s="49"/>
      <c r="M934" s="49"/>
    </row>
    <row r="935" spans="5:13" ht="24.95" customHeight="1">
      <c r="E935" s="49"/>
      <c r="F935" s="49">
        <v>1</v>
      </c>
      <c r="G935" s="49" t="s">
        <v>1034</v>
      </c>
      <c r="H935" s="49" t="s">
        <v>3002</v>
      </c>
      <c r="I935" s="52">
        <v>185.9</v>
      </c>
      <c r="J935" s="49" t="s">
        <v>1034</v>
      </c>
      <c r="K935" s="49">
        <f>F935*I935</f>
        <v>185.9</v>
      </c>
      <c r="L935" s="49"/>
      <c r="M935" s="49"/>
    </row>
    <row r="936" spans="5:13" ht="24.95" customHeight="1">
      <c r="E936" s="49"/>
      <c r="F936" s="49"/>
      <c r="G936" s="49"/>
      <c r="H936" s="840" t="s">
        <v>2738</v>
      </c>
      <c r="I936" s="49"/>
      <c r="J936" s="49"/>
      <c r="K936" s="50">
        <f>SUM(K934:K935)+0.8</f>
        <v>1552.7</v>
      </c>
      <c r="L936" s="49"/>
      <c r="M936" s="49"/>
    </row>
    <row r="937" spans="5:13" ht="24.95" customHeight="1">
      <c r="E937" s="49"/>
      <c r="F937" s="49"/>
      <c r="G937" s="49"/>
      <c r="H937" s="840"/>
      <c r="I937" s="49"/>
      <c r="J937" s="49"/>
      <c r="K937" s="50"/>
      <c r="L937" s="49"/>
      <c r="M937" s="49"/>
    </row>
    <row r="938" spans="5:13" ht="23.25" customHeight="1">
      <c r="E938" s="49"/>
      <c r="F938" s="49"/>
      <c r="G938" s="49"/>
      <c r="H938" s="889" t="s">
        <v>3003</v>
      </c>
      <c r="I938" s="49"/>
      <c r="J938" s="49"/>
      <c r="K938" s="49"/>
      <c r="L938" s="49"/>
      <c r="M938" s="49"/>
    </row>
    <row r="939" spans="5:13" ht="24.95" customHeight="1">
      <c r="E939" s="49"/>
      <c r="F939" s="49">
        <v>1</v>
      </c>
      <c r="G939" s="49" t="s">
        <v>1034</v>
      </c>
      <c r="H939" s="49" t="s">
        <v>3004</v>
      </c>
      <c r="I939" s="52">
        <v>306</v>
      </c>
      <c r="J939" s="49" t="s">
        <v>1034</v>
      </c>
      <c r="K939" s="49">
        <f>F939*I939</f>
        <v>306</v>
      </c>
      <c r="L939" s="49"/>
      <c r="M939" s="49"/>
    </row>
    <row r="940" spans="5:13" ht="24.95" customHeight="1">
      <c r="E940" s="49"/>
      <c r="F940" s="49">
        <v>1</v>
      </c>
      <c r="G940" s="49" t="s">
        <v>1034</v>
      </c>
      <c r="H940" s="49" t="s">
        <v>3005</v>
      </c>
      <c r="I940" s="52">
        <v>35.9</v>
      </c>
      <c r="J940" s="49" t="s">
        <v>1034</v>
      </c>
      <c r="K940" s="49">
        <f>F940*I940</f>
        <v>35.9</v>
      </c>
      <c r="L940" s="49"/>
      <c r="M940" s="49"/>
    </row>
    <row r="941" spans="5:13" ht="24.95" customHeight="1">
      <c r="E941" s="49"/>
      <c r="F941" s="49"/>
      <c r="G941" s="49"/>
      <c r="H941" s="49" t="s">
        <v>2751</v>
      </c>
      <c r="I941" s="49"/>
      <c r="J941" s="49"/>
      <c r="K941" s="49">
        <f>K412</f>
        <v>260.75</v>
      </c>
      <c r="L941" s="49"/>
      <c r="M941" s="49"/>
    </row>
    <row r="942" spans="5:13" ht="24.95" customHeight="1">
      <c r="E942" s="49"/>
      <c r="F942" s="49"/>
      <c r="G942" s="49"/>
      <c r="H942" s="49" t="s">
        <v>1557</v>
      </c>
      <c r="I942" s="49"/>
      <c r="J942" s="49"/>
      <c r="K942" s="49">
        <v>3.35</v>
      </c>
      <c r="L942" s="49"/>
      <c r="M942" s="49"/>
    </row>
    <row r="943" spans="5:13" ht="24.95" customHeight="1">
      <c r="E943" s="49"/>
      <c r="F943" s="49"/>
      <c r="G943" s="49"/>
      <c r="H943" s="840" t="s">
        <v>2738</v>
      </c>
      <c r="I943" s="49"/>
      <c r="J943" s="49"/>
      <c r="K943" s="50">
        <f>SUM(K939:K942)</f>
        <v>606</v>
      </c>
      <c r="L943" s="49">
        <f>K943-697</f>
        <v>-91</v>
      </c>
      <c r="M943" s="49"/>
    </row>
    <row r="944" spans="5:13" ht="24.95" customHeight="1">
      <c r="E944" s="49"/>
      <c r="F944" s="49"/>
      <c r="G944" s="49"/>
      <c r="H944" s="49"/>
      <c r="I944" s="49"/>
      <c r="J944" s="49"/>
      <c r="K944" s="49"/>
      <c r="L944" s="49"/>
      <c r="M944" s="49"/>
    </row>
    <row r="945" spans="5:13">
      <c r="E945" s="49"/>
      <c r="F945" s="49"/>
      <c r="G945" s="49"/>
      <c r="H945" s="889" t="s">
        <v>2753</v>
      </c>
      <c r="I945" s="49"/>
      <c r="J945" s="49"/>
      <c r="K945" s="49"/>
      <c r="L945" s="49"/>
      <c r="M945" s="49"/>
    </row>
    <row r="946" spans="5:13" ht="24.95" customHeight="1">
      <c r="E946" s="49"/>
      <c r="F946" s="49">
        <v>1</v>
      </c>
      <c r="G946" s="49" t="s">
        <v>1034</v>
      </c>
      <c r="H946" s="49" t="s">
        <v>3006</v>
      </c>
      <c r="I946" s="52">
        <v>261</v>
      </c>
      <c r="J946" s="49" t="s">
        <v>1034</v>
      </c>
      <c r="K946" s="49">
        <f>F946*I946</f>
        <v>261</v>
      </c>
      <c r="L946" s="49"/>
      <c r="M946" s="49"/>
    </row>
    <row r="947" spans="5:13" ht="24.95" customHeight="1">
      <c r="E947" s="49"/>
      <c r="F947" s="49">
        <v>1</v>
      </c>
      <c r="G947" s="49" t="s">
        <v>1034</v>
      </c>
      <c r="H947" s="49" t="s">
        <v>3007</v>
      </c>
      <c r="I947" s="52">
        <v>35.1</v>
      </c>
      <c r="J947" s="49" t="s">
        <v>1034</v>
      </c>
      <c r="K947" s="49">
        <f>F947*I947</f>
        <v>35.1</v>
      </c>
      <c r="L947" s="49"/>
      <c r="M947" s="49"/>
    </row>
    <row r="948" spans="5:13" ht="24.95" customHeight="1">
      <c r="E948" s="49"/>
      <c r="F948" s="49"/>
      <c r="G948" s="49"/>
      <c r="H948" s="49" t="s">
        <v>2751</v>
      </c>
      <c r="I948" s="49"/>
      <c r="J948" s="49"/>
      <c r="K948" s="49">
        <f>K941</f>
        <v>260.75</v>
      </c>
      <c r="L948" s="49"/>
      <c r="M948" s="49"/>
    </row>
    <row r="949" spans="5:13" ht="24.95" customHeight="1">
      <c r="E949" s="49"/>
      <c r="F949" s="49"/>
      <c r="G949" s="49"/>
      <c r="H949" s="49" t="s">
        <v>1557</v>
      </c>
      <c r="I949" s="49"/>
      <c r="J949" s="49"/>
      <c r="K949" s="49">
        <v>2.15</v>
      </c>
      <c r="L949" s="49"/>
      <c r="M949" s="49"/>
    </row>
    <row r="950" spans="5:13" ht="24.95" customHeight="1">
      <c r="E950" s="49"/>
      <c r="F950" s="49"/>
      <c r="G950" s="49"/>
      <c r="H950" s="840" t="s">
        <v>2738</v>
      </c>
      <c r="I950" s="49"/>
      <c r="J950" s="49"/>
      <c r="K950" s="50">
        <f>SUM(K946:K949)</f>
        <v>559</v>
      </c>
      <c r="L950" s="49">
        <f>K950-496</f>
        <v>63</v>
      </c>
      <c r="M950" s="49"/>
    </row>
    <row r="951" spans="5:13" ht="24.95" customHeight="1">
      <c r="E951" s="49"/>
      <c r="F951" s="49"/>
      <c r="G951" s="49"/>
      <c r="H951" s="49"/>
      <c r="I951" s="49"/>
      <c r="J951" s="49"/>
      <c r="K951" s="49"/>
      <c r="L951" s="49"/>
      <c r="M951" s="49"/>
    </row>
    <row r="952" spans="5:13">
      <c r="E952" s="49"/>
      <c r="F952" s="49"/>
      <c r="G952" s="49"/>
      <c r="H952" s="49"/>
      <c r="I952" s="49"/>
      <c r="J952" s="49"/>
      <c r="K952" s="49"/>
      <c r="L952" s="49"/>
      <c r="M952" s="49"/>
    </row>
    <row r="953" spans="5:13">
      <c r="E953" s="49"/>
      <c r="F953" s="49"/>
      <c r="G953" s="49"/>
      <c r="H953" s="49"/>
      <c r="I953" s="49"/>
      <c r="J953" s="49"/>
      <c r="K953" s="49"/>
      <c r="L953" s="49"/>
      <c r="M953" s="49"/>
    </row>
    <row r="954" spans="5:13" ht="18.75">
      <c r="E954" s="49"/>
      <c r="F954" s="49"/>
      <c r="G954" s="49"/>
      <c r="H954" s="890" t="s">
        <v>3008</v>
      </c>
      <c r="I954" s="49"/>
      <c r="J954" s="49"/>
      <c r="K954" s="49"/>
      <c r="L954" s="49"/>
      <c r="M954" s="49"/>
    </row>
    <row r="955" spans="5:13" ht="30" customHeight="1">
      <c r="E955" s="49"/>
      <c r="F955" s="49">
        <v>1</v>
      </c>
      <c r="G955" s="49" t="s">
        <v>1034</v>
      </c>
      <c r="H955" s="49" t="s">
        <v>3009</v>
      </c>
      <c r="I955" s="52">
        <v>391</v>
      </c>
      <c r="J955" s="49" t="s">
        <v>1034</v>
      </c>
      <c r="K955" s="49">
        <f>F955*I955</f>
        <v>391</v>
      </c>
      <c r="L955" s="49"/>
      <c r="M955" s="49"/>
    </row>
    <row r="956" spans="5:13">
      <c r="E956" s="49"/>
      <c r="F956" s="49"/>
      <c r="G956" s="49"/>
      <c r="H956" s="49"/>
      <c r="I956" s="52"/>
      <c r="J956" s="49" t="s">
        <v>1034</v>
      </c>
      <c r="K956" s="49">
        <f>F956*I956</f>
        <v>0</v>
      </c>
      <c r="L956" s="49"/>
      <c r="M956" s="49"/>
    </row>
    <row r="957" spans="5:13">
      <c r="E957" s="49"/>
      <c r="F957" s="49"/>
      <c r="G957" s="49"/>
      <c r="H957" s="49" t="s">
        <v>3010</v>
      </c>
      <c r="I957" s="49"/>
      <c r="J957" s="49"/>
      <c r="K957" s="49">
        <f>K413</f>
        <v>298.8</v>
      </c>
      <c r="L957" s="49"/>
      <c r="M957" s="49"/>
    </row>
    <row r="958" spans="5:13">
      <c r="E958" s="49"/>
      <c r="F958" s="49"/>
      <c r="G958" s="49"/>
      <c r="H958" s="49" t="s">
        <v>1557</v>
      </c>
      <c r="I958" s="49"/>
      <c r="J958" s="49"/>
      <c r="K958" s="49">
        <v>0.2</v>
      </c>
      <c r="L958" s="49"/>
      <c r="M958" s="49"/>
    </row>
    <row r="959" spans="5:13">
      <c r="E959" s="49"/>
      <c r="F959" s="49"/>
      <c r="G959" s="49"/>
      <c r="H959" s="840" t="s">
        <v>2738</v>
      </c>
      <c r="I959" s="49"/>
      <c r="J959" s="49"/>
      <c r="K959" s="50">
        <f>SUM(K955:K958)</f>
        <v>690</v>
      </c>
      <c r="L959" s="49">
        <f>690-K959</f>
        <v>0</v>
      </c>
      <c r="M959" s="49"/>
    </row>
    <row r="960" spans="5:13">
      <c r="E960" s="49"/>
      <c r="F960" s="49"/>
      <c r="G960" s="49"/>
      <c r="H960" s="49"/>
      <c r="I960" s="49"/>
      <c r="J960" s="49"/>
      <c r="K960" s="49"/>
      <c r="L960" s="49"/>
      <c r="M960" s="49"/>
    </row>
    <row r="961" spans="5:13">
      <c r="E961" s="49"/>
      <c r="F961" s="49"/>
      <c r="G961" s="49"/>
      <c r="H961" s="49"/>
      <c r="I961" s="49"/>
      <c r="J961" s="49"/>
      <c r="K961" s="49"/>
      <c r="L961" s="49"/>
      <c r="M961" s="49"/>
    </row>
    <row r="962" spans="5:13">
      <c r="E962" s="49"/>
      <c r="F962" s="49"/>
      <c r="G962" s="49"/>
      <c r="H962" s="49"/>
      <c r="I962" s="49"/>
      <c r="J962" s="49"/>
      <c r="K962" s="49"/>
      <c r="L962" s="49"/>
      <c r="M962" s="49"/>
    </row>
    <row r="963" spans="5:13">
      <c r="E963" s="49"/>
      <c r="F963" s="49"/>
      <c r="G963" s="49"/>
      <c r="H963" s="49"/>
      <c r="I963" s="49"/>
      <c r="J963" s="49"/>
      <c r="K963" s="49"/>
      <c r="L963" s="49"/>
      <c r="M963" s="49"/>
    </row>
    <row r="964" spans="5:13">
      <c r="E964" s="49"/>
      <c r="F964" s="49"/>
      <c r="G964" s="49"/>
      <c r="H964" s="49"/>
      <c r="I964" s="49"/>
      <c r="J964" s="49"/>
      <c r="K964" s="49"/>
      <c r="L964" s="49"/>
      <c r="M964" s="49"/>
    </row>
    <row r="965" spans="5:13">
      <c r="E965" s="49"/>
      <c r="F965" s="49"/>
      <c r="G965" s="49"/>
      <c r="J965" s="325"/>
      <c r="L965" s="49"/>
      <c r="M965" s="49"/>
    </row>
    <row r="966" spans="5:13">
      <c r="E966" s="49"/>
      <c r="F966" s="49"/>
      <c r="G966" s="49"/>
      <c r="H966" s="49"/>
      <c r="I966" s="49"/>
      <c r="J966" s="49"/>
      <c r="K966" s="50"/>
      <c r="L966" s="49"/>
      <c r="M966" s="49"/>
    </row>
    <row r="967" spans="5:13">
      <c r="E967" s="49"/>
      <c r="F967" s="49"/>
      <c r="G967" s="49"/>
      <c r="H967" s="49"/>
      <c r="I967" s="49"/>
      <c r="J967" s="49"/>
      <c r="K967" s="49"/>
      <c r="L967" s="49"/>
      <c r="M967" s="49"/>
    </row>
    <row r="968" spans="5:13">
      <c r="E968" s="49"/>
      <c r="H968" s="344" t="s">
        <v>2754</v>
      </c>
      <c r="L968" s="49"/>
      <c r="M968" s="49"/>
    </row>
    <row r="969" spans="5:13">
      <c r="E969" s="49"/>
      <c r="L969" s="49"/>
      <c r="M969" s="49"/>
    </row>
    <row r="970" spans="5:13">
      <c r="E970" s="49"/>
      <c r="H970" s="344" t="s">
        <v>2755</v>
      </c>
      <c r="L970" s="49"/>
      <c r="M970" s="49"/>
    </row>
    <row r="971" spans="5:13">
      <c r="E971" s="49"/>
      <c r="L971" s="49"/>
      <c r="M971" s="49"/>
    </row>
    <row r="972" spans="5:13" ht="141.75">
      <c r="E972" s="49"/>
      <c r="H972" s="51" t="s">
        <v>2756</v>
      </c>
      <c r="L972" s="49"/>
      <c r="M972" s="49"/>
    </row>
    <row r="973" spans="5:13">
      <c r="E973" s="49"/>
      <c r="F973" s="49">
        <v>90</v>
      </c>
      <c r="G973" s="49" t="s">
        <v>13</v>
      </c>
      <c r="H973" s="846" t="s">
        <v>2311</v>
      </c>
      <c r="I973" s="49">
        <f>I12</f>
        <v>16.55</v>
      </c>
      <c r="J973" s="49" t="s">
        <v>2306</v>
      </c>
      <c r="K973" s="49">
        <f>F973*I973</f>
        <v>1489.5</v>
      </c>
      <c r="L973" s="49"/>
      <c r="M973" s="49"/>
    </row>
    <row r="974" spans="5:13">
      <c r="E974" s="49"/>
      <c r="F974" s="49">
        <v>45</v>
      </c>
      <c r="G974" s="49" t="s">
        <v>13</v>
      </c>
      <c r="H974" s="51" t="s">
        <v>2313</v>
      </c>
      <c r="I974" s="49">
        <f>I13</f>
        <v>20</v>
      </c>
      <c r="J974" s="49" t="s">
        <v>2308</v>
      </c>
      <c r="K974" s="49">
        <f>F974*I974</f>
        <v>900</v>
      </c>
      <c r="L974" s="49"/>
      <c r="M974" s="49"/>
    </row>
    <row r="975" spans="5:13">
      <c r="E975" s="49"/>
      <c r="F975" s="49">
        <v>20</v>
      </c>
      <c r="G975" s="49" t="s">
        <v>1034</v>
      </c>
      <c r="H975" s="49" t="s">
        <v>2317</v>
      </c>
      <c r="I975" s="49">
        <f>I14</f>
        <v>3.15</v>
      </c>
      <c r="J975" s="49" t="s">
        <v>1034</v>
      </c>
      <c r="K975" s="49">
        <f>F975*I975</f>
        <v>63</v>
      </c>
      <c r="L975" s="49"/>
      <c r="M975" s="49"/>
    </row>
    <row r="976" spans="5:13">
      <c r="E976" s="49"/>
      <c r="F976" s="49">
        <v>150</v>
      </c>
      <c r="G976" s="49" t="s">
        <v>1034</v>
      </c>
      <c r="H976" s="49" t="s">
        <v>3011</v>
      </c>
      <c r="I976" s="844">
        <f>I1112</f>
        <v>287</v>
      </c>
      <c r="J976" s="49" t="s">
        <v>2758</v>
      </c>
      <c r="K976" s="49">
        <f>(F976*I976)/1000</f>
        <v>43.05</v>
      </c>
      <c r="L976" s="49"/>
      <c r="M976" s="49"/>
    </row>
    <row r="977" spans="5:13">
      <c r="E977" s="49"/>
      <c r="F977" s="49">
        <v>10</v>
      </c>
      <c r="G977" s="49" t="s">
        <v>1034</v>
      </c>
      <c r="H977" s="49" t="s">
        <v>2319</v>
      </c>
      <c r="I977" s="49">
        <f>I15</f>
        <v>1.34</v>
      </c>
      <c r="J977" s="49" t="s">
        <v>1034</v>
      </c>
      <c r="K977" s="49">
        <f>F977*I977</f>
        <v>13.4</v>
      </c>
      <c r="L977" s="49"/>
      <c r="M977" s="49"/>
    </row>
    <row r="978" spans="5:13">
      <c r="E978" s="49"/>
      <c r="F978" s="49">
        <v>10</v>
      </c>
      <c r="G978" s="49" t="s">
        <v>1034</v>
      </c>
      <c r="H978" s="49" t="s">
        <v>3012</v>
      </c>
      <c r="I978" s="52">
        <v>41.2</v>
      </c>
      <c r="J978" s="49" t="s">
        <v>2315</v>
      </c>
      <c r="K978" s="49">
        <f>(F978*I978)/12</f>
        <v>34.33</v>
      </c>
      <c r="L978" s="49"/>
      <c r="M978" s="49"/>
    </row>
    <row r="979" spans="5:13">
      <c r="E979" s="49"/>
      <c r="F979" s="838">
        <v>1.4999999999999999E-2</v>
      </c>
      <c r="G979" s="49" t="s">
        <v>724</v>
      </c>
      <c r="H979" s="49" t="s">
        <v>2404</v>
      </c>
      <c r="I979" s="49">
        <f>I18</f>
        <v>661</v>
      </c>
      <c r="J979" s="49" t="s">
        <v>724</v>
      </c>
      <c r="K979" s="49">
        <f t="shared" ref="K979:K989" si="18">F979*I979</f>
        <v>9.92</v>
      </c>
      <c r="L979" s="49"/>
      <c r="M979" s="49"/>
    </row>
    <row r="980" spans="5:13">
      <c r="E980" s="49"/>
      <c r="F980" s="49">
        <v>10</v>
      </c>
      <c r="G980" s="49" t="s">
        <v>1034</v>
      </c>
      <c r="H980" s="49" t="s">
        <v>2405</v>
      </c>
      <c r="I980" s="49">
        <f>I19</f>
        <v>16.21</v>
      </c>
      <c r="J980" s="49" t="s">
        <v>1034</v>
      </c>
      <c r="K980" s="49">
        <f>(F980*I980)</f>
        <v>162.1</v>
      </c>
      <c r="L980" s="49"/>
      <c r="M980" s="49"/>
    </row>
    <row r="981" spans="5:13">
      <c r="E981" s="49"/>
      <c r="F981" s="49">
        <v>10</v>
      </c>
      <c r="G981" s="49" t="s">
        <v>1034</v>
      </c>
      <c r="H981" s="49" t="s">
        <v>2325</v>
      </c>
      <c r="I981" s="49">
        <f>I20</f>
        <v>13.8</v>
      </c>
      <c r="J981" s="49" t="s">
        <v>1034</v>
      </c>
      <c r="K981" s="49">
        <f t="shared" si="18"/>
        <v>138</v>
      </c>
      <c r="L981" s="49"/>
      <c r="M981" s="49"/>
    </row>
    <row r="982" spans="5:13">
      <c r="E982" s="49"/>
      <c r="F982" s="49">
        <v>1</v>
      </c>
      <c r="G982" s="49" t="s">
        <v>2327</v>
      </c>
      <c r="H982" s="49" t="s">
        <v>3013</v>
      </c>
      <c r="I982" s="49">
        <f>I748</f>
        <v>68.8</v>
      </c>
      <c r="J982" s="49" t="s">
        <v>2327</v>
      </c>
      <c r="K982" s="49">
        <f t="shared" si="18"/>
        <v>68.8</v>
      </c>
      <c r="L982" s="49"/>
      <c r="M982" s="49"/>
    </row>
    <row r="983" spans="5:13">
      <c r="E983" s="49"/>
      <c r="F983" s="49">
        <v>72</v>
      </c>
      <c r="G983" s="49" t="s">
        <v>1034</v>
      </c>
      <c r="H983" s="49" t="s">
        <v>3014</v>
      </c>
      <c r="I983" s="863">
        <v>47.7</v>
      </c>
      <c r="J983" s="49" t="s">
        <v>2327</v>
      </c>
      <c r="K983" s="49">
        <f>(F983*I983)/144</f>
        <v>23.85</v>
      </c>
      <c r="L983" s="49"/>
      <c r="M983" s="49"/>
    </row>
    <row r="984" spans="5:13">
      <c r="E984" s="49"/>
      <c r="F984" s="845">
        <v>0.16666666666666666</v>
      </c>
      <c r="G984" s="49" t="s">
        <v>2324</v>
      </c>
      <c r="H984" s="49" t="s">
        <v>38</v>
      </c>
      <c r="I984" s="858">
        <f>I269</f>
        <v>302</v>
      </c>
      <c r="J984" s="49" t="s">
        <v>2324</v>
      </c>
      <c r="K984" s="49">
        <f t="shared" si="18"/>
        <v>50.33</v>
      </c>
      <c r="L984" s="49"/>
      <c r="M984" s="49"/>
    </row>
    <row r="985" spans="5:13">
      <c r="E985" s="49"/>
      <c r="F985" s="49">
        <v>10</v>
      </c>
      <c r="G985" s="49" t="s">
        <v>1034</v>
      </c>
      <c r="H985" s="49" t="s">
        <v>3015</v>
      </c>
      <c r="I985" s="52">
        <v>13.8</v>
      </c>
      <c r="J985" s="49" t="s">
        <v>1034</v>
      </c>
      <c r="K985" s="49">
        <f t="shared" si="18"/>
        <v>138</v>
      </c>
      <c r="L985" s="49"/>
      <c r="M985" s="49"/>
    </row>
    <row r="986" spans="5:13">
      <c r="E986" s="49"/>
      <c r="F986" s="49">
        <v>1</v>
      </c>
      <c r="G986" s="49" t="s">
        <v>1034</v>
      </c>
      <c r="H986" s="49" t="s">
        <v>3016</v>
      </c>
      <c r="I986" s="52">
        <v>16.5</v>
      </c>
      <c r="J986" s="49" t="s">
        <v>1034</v>
      </c>
      <c r="K986" s="49">
        <f t="shared" si="18"/>
        <v>16.5</v>
      </c>
      <c r="L986" s="49"/>
      <c r="M986" s="49"/>
    </row>
    <row r="987" spans="5:13">
      <c r="E987" s="49"/>
      <c r="F987" s="49">
        <v>0.1</v>
      </c>
      <c r="G987" s="49" t="s">
        <v>724</v>
      </c>
      <c r="H987" s="49" t="s">
        <v>2764</v>
      </c>
      <c r="I987" s="49">
        <f>I24</f>
        <v>661</v>
      </c>
      <c r="J987" s="49" t="s">
        <v>724</v>
      </c>
      <c r="K987" s="49">
        <f t="shared" si="18"/>
        <v>66.099999999999994</v>
      </c>
      <c r="L987" s="49"/>
      <c r="M987" s="49"/>
    </row>
    <row r="988" spans="5:13" ht="31.5">
      <c r="E988" s="49"/>
      <c r="F988" s="49">
        <v>45</v>
      </c>
      <c r="G988" s="49" t="s">
        <v>13</v>
      </c>
      <c r="H988" s="846" t="s">
        <v>2333</v>
      </c>
      <c r="I988" s="49">
        <f>I25</f>
        <v>16.55</v>
      </c>
      <c r="J988" s="49" t="s">
        <v>2330</v>
      </c>
      <c r="K988" s="49">
        <f t="shared" si="18"/>
        <v>744.75</v>
      </c>
      <c r="L988" s="49"/>
      <c r="M988" s="49"/>
    </row>
    <row r="989" spans="5:13">
      <c r="E989" s="49"/>
      <c r="F989" s="845">
        <v>0.5</v>
      </c>
      <c r="G989" s="49" t="s">
        <v>2765</v>
      </c>
      <c r="H989" s="846" t="s">
        <v>3017</v>
      </c>
      <c r="I989" s="49">
        <f>Data!I3241</f>
        <v>227.6</v>
      </c>
      <c r="J989" s="49" t="s">
        <v>2765</v>
      </c>
      <c r="K989" s="49">
        <f t="shared" si="18"/>
        <v>113.8</v>
      </c>
      <c r="L989" s="49"/>
      <c r="M989" s="49"/>
    </row>
    <row r="990" spans="5:13">
      <c r="E990" s="49"/>
      <c r="F990" s="49">
        <v>10</v>
      </c>
      <c r="G990" s="49" t="s">
        <v>2335</v>
      </c>
      <c r="H990" s="49" t="s">
        <v>478</v>
      </c>
      <c r="I990" s="49"/>
      <c r="J990" s="49" t="s">
        <v>49</v>
      </c>
      <c r="K990" s="49">
        <f>K1009</f>
        <v>4828</v>
      </c>
      <c r="L990" s="49"/>
      <c r="M990" s="49"/>
    </row>
    <row r="991" spans="5:13">
      <c r="E991" s="49"/>
      <c r="F991" s="49" t="s">
        <v>49</v>
      </c>
      <c r="G991" s="49"/>
      <c r="H991" s="49" t="s">
        <v>2767</v>
      </c>
      <c r="I991" s="49"/>
      <c r="J991" s="49" t="s">
        <v>49</v>
      </c>
      <c r="K991" s="49">
        <v>46.57</v>
      </c>
      <c r="L991" s="49"/>
      <c r="M991" s="49"/>
    </row>
    <row r="992" spans="5:13">
      <c r="E992" s="49"/>
      <c r="F992" s="49"/>
      <c r="G992" s="49"/>
      <c r="H992" s="839" t="s">
        <v>2334</v>
      </c>
      <c r="I992" s="49"/>
      <c r="J992" s="49"/>
      <c r="K992" s="847">
        <f>SUM(K973:K991)</f>
        <v>8950</v>
      </c>
      <c r="L992" s="49"/>
      <c r="M992" s="49"/>
    </row>
    <row r="993" spans="5:13">
      <c r="E993" s="49"/>
      <c r="F993" s="49"/>
      <c r="G993" s="49"/>
      <c r="H993" s="840" t="s">
        <v>2336</v>
      </c>
      <c r="I993" s="49"/>
      <c r="J993" s="49"/>
      <c r="K993" s="50">
        <f>K992/10</f>
        <v>895</v>
      </c>
      <c r="L993" s="49">
        <f>897*10</f>
        <v>8970</v>
      </c>
      <c r="M993" s="49">
        <f>L993-K992</f>
        <v>20</v>
      </c>
    </row>
    <row r="994" spans="5:13">
      <c r="E994" s="49"/>
      <c r="F994" s="49"/>
      <c r="G994" s="49"/>
      <c r="H994" s="49"/>
      <c r="I994" s="49"/>
      <c r="J994" s="49"/>
      <c r="K994" s="49"/>
      <c r="L994" s="49"/>
      <c r="M994" s="49"/>
    </row>
    <row r="995" spans="5:13">
      <c r="E995" s="49"/>
      <c r="F995" s="49"/>
      <c r="G995" s="49"/>
      <c r="H995" s="49"/>
      <c r="I995" s="49"/>
      <c r="J995" s="49"/>
      <c r="K995" s="49"/>
      <c r="L995" s="49"/>
      <c r="M995" s="49"/>
    </row>
    <row r="996" spans="5:13">
      <c r="E996" s="49"/>
      <c r="F996" s="49"/>
      <c r="G996" s="49"/>
      <c r="H996" s="49"/>
      <c r="I996" s="49"/>
      <c r="J996" s="49"/>
      <c r="K996" s="49"/>
      <c r="L996" s="49"/>
      <c r="M996" s="49"/>
    </row>
    <row r="997" spans="5:13">
      <c r="E997" s="49"/>
      <c r="F997" s="49"/>
      <c r="G997" s="49"/>
      <c r="H997" s="49"/>
      <c r="I997" s="49"/>
      <c r="J997" s="49"/>
      <c r="K997" s="49"/>
      <c r="L997" s="49"/>
      <c r="M997" s="49"/>
    </row>
    <row r="998" spans="5:13">
      <c r="E998" s="49"/>
      <c r="F998" s="49"/>
      <c r="G998" s="50" t="s">
        <v>2338</v>
      </c>
      <c r="H998" s="49"/>
      <c r="I998" s="49"/>
      <c r="J998" s="49"/>
      <c r="M998" s="49"/>
    </row>
    <row r="999" spans="5:13">
      <c r="E999" s="49"/>
      <c r="F999" s="49"/>
      <c r="G999" s="49"/>
      <c r="H999" s="49"/>
      <c r="I999" s="49"/>
      <c r="J999" s="49"/>
      <c r="M999" s="49"/>
    </row>
    <row r="1000" spans="5:13">
      <c r="E1000" s="49"/>
      <c r="F1000" s="49"/>
      <c r="G1000" s="50" t="s">
        <v>2106</v>
      </c>
      <c r="H1000" s="49"/>
      <c r="I1000" s="49"/>
      <c r="J1000" s="49"/>
      <c r="M1000" s="49"/>
    </row>
    <row r="1001" spans="5:13">
      <c r="E1001" s="49"/>
      <c r="F1001" s="49"/>
      <c r="G1001" s="49"/>
      <c r="H1001" s="49"/>
      <c r="I1001" s="49"/>
      <c r="J1001" s="49"/>
      <c r="M1001" s="49"/>
    </row>
    <row r="1002" spans="5:13">
      <c r="E1002" s="49"/>
      <c r="F1002" s="49">
        <v>1</v>
      </c>
      <c r="G1002" s="49" t="s">
        <v>1034</v>
      </c>
      <c r="H1002" s="49" t="s">
        <v>2340</v>
      </c>
      <c r="I1002" s="49">
        <f>I35</f>
        <v>898</v>
      </c>
      <c r="J1002" s="49" t="s">
        <v>1034</v>
      </c>
      <c r="K1002" s="49">
        <f>F1002*I1002</f>
        <v>898</v>
      </c>
      <c r="L1002" s="49"/>
      <c r="M1002" s="49"/>
    </row>
    <row r="1003" spans="5:13">
      <c r="F1003" s="49">
        <v>2</v>
      </c>
      <c r="G1003" s="49" t="s">
        <v>1034</v>
      </c>
      <c r="H1003" s="49" t="s">
        <v>2341</v>
      </c>
      <c r="I1003" s="49">
        <f>I36</f>
        <v>783</v>
      </c>
      <c r="J1003" s="49" t="s">
        <v>1034</v>
      </c>
      <c r="K1003" s="49">
        <f>F1003*I1003</f>
        <v>1566</v>
      </c>
      <c r="L1003" s="49"/>
      <c r="M1003" s="49"/>
    </row>
    <row r="1004" spans="5:13">
      <c r="F1004" s="49">
        <v>3</v>
      </c>
      <c r="G1004" s="49" t="s">
        <v>1034</v>
      </c>
      <c r="H1004" s="49" t="s">
        <v>2342</v>
      </c>
      <c r="I1004" s="49">
        <f>I37</f>
        <v>778</v>
      </c>
      <c r="J1004" s="49" t="s">
        <v>1034</v>
      </c>
      <c r="K1004" s="49">
        <f>F1004*I1004</f>
        <v>2334</v>
      </c>
      <c r="L1004" s="49"/>
      <c r="M1004" s="49"/>
    </row>
    <row r="1005" spans="5:13">
      <c r="F1005" s="49">
        <v>4</v>
      </c>
      <c r="G1005" s="49" t="s">
        <v>1034</v>
      </c>
      <c r="H1005" s="49" t="s">
        <v>2166</v>
      </c>
      <c r="I1005" s="49">
        <f>I38</f>
        <v>611</v>
      </c>
      <c r="J1005" s="49" t="s">
        <v>1034</v>
      </c>
      <c r="K1005" s="49">
        <f>F1005*I1005</f>
        <v>2444</v>
      </c>
      <c r="L1005" s="49"/>
      <c r="M1005" s="49"/>
    </row>
    <row r="1006" spans="5:13">
      <c r="F1006" s="49"/>
      <c r="G1006" s="49"/>
      <c r="H1006" s="49"/>
      <c r="I1006" s="49"/>
      <c r="J1006" s="49"/>
      <c r="K1006" s="49"/>
      <c r="L1006" s="49"/>
      <c r="M1006" s="49"/>
    </row>
    <row r="1007" spans="5:13">
      <c r="F1007" s="49"/>
      <c r="G1007" s="325"/>
      <c r="H1007" s="849"/>
      <c r="J1007" s="325"/>
      <c r="K1007" s="850">
        <f>SUM(K1002:K1005)</f>
        <v>7242</v>
      </c>
      <c r="L1007" s="850"/>
      <c r="M1007" s="49"/>
    </row>
    <row r="1008" spans="5:13">
      <c r="E1008" s="49"/>
      <c r="F1008" s="49"/>
      <c r="G1008" s="325"/>
      <c r="H1008" s="849"/>
      <c r="J1008" s="325"/>
      <c r="M1008" s="49"/>
    </row>
    <row r="1009" spans="5:13" ht="50.25">
      <c r="E1009" s="49"/>
      <c r="F1009" s="49"/>
      <c r="G1009" s="325"/>
      <c r="H1009" s="849" t="s">
        <v>2844</v>
      </c>
      <c r="J1009" s="851"/>
      <c r="K1009" s="345">
        <f>K1007*2/3</f>
        <v>4828</v>
      </c>
      <c r="L1009" s="345"/>
      <c r="M1009" s="49"/>
    </row>
    <row r="1010" spans="5:13">
      <c r="E1010" s="49"/>
      <c r="F1010" s="49"/>
      <c r="G1010" s="49"/>
      <c r="H1010" s="49"/>
      <c r="I1010" s="49"/>
      <c r="J1010" s="49"/>
      <c r="K1010" s="49"/>
      <c r="L1010" s="49"/>
      <c r="M1010" s="49"/>
    </row>
    <row r="1011" spans="5:13">
      <c r="E1011" s="49"/>
      <c r="F1011" s="49"/>
      <c r="G1011" s="49"/>
      <c r="H1011" s="344" t="s">
        <v>2768</v>
      </c>
      <c r="I1011" s="49"/>
      <c r="J1011" s="49"/>
      <c r="K1011" s="49"/>
      <c r="L1011" s="49"/>
      <c r="M1011" s="49"/>
    </row>
    <row r="1012" spans="5:13">
      <c r="E1012" s="49"/>
      <c r="F1012" s="49"/>
      <c r="G1012" s="49"/>
      <c r="H1012" s="49"/>
      <c r="I1012" s="49"/>
      <c r="J1012" s="49"/>
      <c r="K1012" s="49"/>
      <c r="L1012" s="49"/>
      <c r="M1012" s="49"/>
    </row>
    <row r="1013" spans="5:13" ht="157.5">
      <c r="E1013" s="49"/>
      <c r="F1013" s="49"/>
      <c r="G1013" s="49"/>
      <c r="H1013" s="51" t="s">
        <v>2769</v>
      </c>
      <c r="I1013" s="49"/>
      <c r="J1013" s="49"/>
      <c r="K1013" s="49"/>
      <c r="L1013" s="49"/>
      <c r="M1013" s="49"/>
    </row>
    <row r="1014" spans="5:13">
      <c r="E1014" s="49"/>
      <c r="F1014" s="49"/>
      <c r="G1014" s="49"/>
      <c r="H1014" s="49" t="s">
        <v>2351</v>
      </c>
      <c r="I1014" s="49"/>
      <c r="J1014" s="49"/>
      <c r="K1014" s="49">
        <f>K992-K991</f>
        <v>8903.43</v>
      </c>
      <c r="L1014" s="49"/>
      <c r="M1014" s="49"/>
    </row>
    <row r="1015" spans="5:13">
      <c r="E1015" s="49"/>
      <c r="F1015" s="49"/>
      <c r="G1015" s="49"/>
      <c r="H1015" s="49" t="s">
        <v>2352</v>
      </c>
      <c r="I1015" s="49"/>
      <c r="J1015" s="49"/>
      <c r="K1015" s="49">
        <f>K981</f>
        <v>138</v>
      </c>
      <c r="L1015" s="49"/>
      <c r="M1015" s="49"/>
    </row>
    <row r="1016" spans="5:13">
      <c r="E1016" s="49"/>
      <c r="F1016" s="49"/>
      <c r="G1016" s="49"/>
      <c r="H1016" s="49" t="str">
        <f>H50</f>
        <v>Add cost of Bakelite battern type holders 10 Nos @ Rs 16.65 / Each p-116,  it-25</v>
      </c>
      <c r="I1016" s="49"/>
      <c r="J1016" s="49"/>
      <c r="K1016" s="49">
        <f>K50</f>
        <v>166.5</v>
      </c>
      <c r="L1016" s="49"/>
      <c r="M1016" s="49"/>
    </row>
    <row r="1017" spans="5:13">
      <c r="E1017" s="49"/>
      <c r="F1017" s="49"/>
      <c r="G1017" s="49"/>
      <c r="H1017" s="49" t="s">
        <v>1557</v>
      </c>
      <c r="I1017" s="49"/>
      <c r="J1017" s="49"/>
      <c r="K1017" s="49">
        <v>38.07</v>
      </c>
      <c r="L1017" s="49"/>
      <c r="M1017" s="49"/>
    </row>
    <row r="1018" spans="5:13">
      <c r="E1018" s="49"/>
      <c r="F1018" s="49"/>
      <c r="G1018" s="49"/>
      <c r="H1018" s="839" t="s">
        <v>2355</v>
      </c>
      <c r="I1018" s="49"/>
      <c r="J1018" s="49"/>
      <c r="K1018" s="847">
        <f>K1014-K1015+K1016+K1017</f>
        <v>8970</v>
      </c>
      <c r="L1018" s="49">
        <f>L1019-K1018</f>
        <v>0</v>
      </c>
      <c r="M1018" s="49"/>
    </row>
    <row r="1019" spans="5:13">
      <c r="E1019" s="49"/>
      <c r="F1019" s="49"/>
      <c r="G1019" s="49"/>
      <c r="H1019" s="840" t="s">
        <v>2356</v>
      </c>
      <c r="I1019" s="49"/>
      <c r="J1019" s="49"/>
      <c r="K1019" s="50">
        <f>K1018/10</f>
        <v>897</v>
      </c>
      <c r="L1019" s="49">
        <f>897*10</f>
        <v>8970</v>
      </c>
      <c r="M1019" s="49"/>
    </row>
    <row r="1020" spans="5:13">
      <c r="E1020" s="49"/>
      <c r="F1020" s="49"/>
      <c r="G1020" s="49"/>
      <c r="H1020" s="49"/>
      <c r="I1020" s="49"/>
      <c r="J1020" s="49"/>
      <c r="K1020" s="49"/>
      <c r="L1020" s="49">
        <f>L1019-K1018</f>
        <v>0</v>
      </c>
      <c r="M1020" s="49"/>
    </row>
    <row r="1021" spans="5:13">
      <c r="E1021" s="49"/>
      <c r="F1021" s="49"/>
      <c r="G1021" s="49"/>
      <c r="H1021" s="49"/>
      <c r="I1021" s="49"/>
      <c r="J1021" s="49"/>
      <c r="K1021" s="49"/>
      <c r="L1021" s="49"/>
      <c r="M1021" s="49"/>
    </row>
    <row r="1022" spans="5:13">
      <c r="E1022" s="49"/>
      <c r="F1022" s="49"/>
      <c r="G1022" s="49"/>
      <c r="H1022" s="49"/>
      <c r="I1022" s="49"/>
      <c r="J1022" s="49"/>
      <c r="K1022" s="49"/>
      <c r="L1022" s="49"/>
      <c r="M1022" s="49"/>
    </row>
    <row r="1023" spans="5:13" ht="47.25">
      <c r="E1023" s="49"/>
      <c r="F1023" s="49"/>
      <c r="G1023" s="49"/>
      <c r="H1023" s="842" t="s">
        <v>2770</v>
      </c>
      <c r="I1023" s="49"/>
      <c r="J1023" s="49"/>
      <c r="K1023" s="49"/>
      <c r="L1023" s="49"/>
      <c r="M1023" s="49"/>
    </row>
    <row r="1024" spans="5:13">
      <c r="E1024" s="49"/>
      <c r="F1024" s="49"/>
      <c r="G1024" s="49"/>
      <c r="H1024" s="49"/>
      <c r="I1024" s="49"/>
      <c r="J1024" s="49"/>
      <c r="K1024" s="49"/>
      <c r="L1024" s="49"/>
      <c r="M1024" s="49"/>
    </row>
    <row r="1025" spans="5:13" ht="157.5">
      <c r="E1025" s="49"/>
      <c r="F1025" s="49"/>
      <c r="G1025" s="49"/>
      <c r="H1025" s="51" t="s">
        <v>2771</v>
      </c>
      <c r="I1025" s="49"/>
      <c r="J1025" s="49"/>
      <c r="K1025" s="49"/>
      <c r="L1025" s="49"/>
      <c r="M1025" s="49"/>
    </row>
    <row r="1026" spans="5:13">
      <c r="E1026" s="49"/>
      <c r="F1026" s="49"/>
      <c r="G1026" s="49"/>
      <c r="H1026" s="49" t="s">
        <v>2361</v>
      </c>
      <c r="I1026" s="49"/>
      <c r="J1026" s="49"/>
      <c r="K1026" s="49">
        <f>K1014</f>
        <v>8903.43</v>
      </c>
      <c r="L1026" s="49"/>
      <c r="M1026" s="49"/>
    </row>
    <row r="1027" spans="5:13">
      <c r="E1027" s="49"/>
      <c r="F1027" s="49"/>
      <c r="G1027" s="49"/>
      <c r="H1027" s="49" t="s">
        <v>2362</v>
      </c>
      <c r="I1027" s="49"/>
      <c r="J1027" s="49"/>
      <c r="K1027" s="49">
        <f>K1015</f>
        <v>138</v>
      </c>
      <c r="L1027" s="49"/>
      <c r="M1027" s="49"/>
    </row>
    <row r="1028" spans="5:13">
      <c r="E1028" s="49"/>
      <c r="F1028" s="49"/>
      <c r="G1028" s="49"/>
      <c r="H1028" s="49" t="s">
        <v>2363</v>
      </c>
      <c r="I1028" s="49"/>
      <c r="J1028" s="49"/>
      <c r="K1028" s="49">
        <f>K978</f>
        <v>34.33</v>
      </c>
      <c r="L1028" s="49"/>
      <c r="M1028" s="49"/>
    </row>
    <row r="1029" spans="5:13">
      <c r="E1029" s="49"/>
      <c r="F1029" s="49"/>
      <c r="G1029" s="49"/>
      <c r="H1029" s="49" t="s">
        <v>2364</v>
      </c>
      <c r="I1029" s="49"/>
      <c r="J1029" s="49"/>
      <c r="K1029" s="49">
        <f>K62</f>
        <v>162.1</v>
      </c>
      <c r="L1029" s="49"/>
      <c r="M1029" s="49"/>
    </row>
    <row r="1030" spans="5:13">
      <c r="E1030" s="49"/>
      <c r="F1030" s="49"/>
      <c r="G1030" s="49"/>
      <c r="H1030" s="49" t="s">
        <v>3018</v>
      </c>
      <c r="I1030" s="49"/>
      <c r="J1030" s="49"/>
      <c r="K1030" s="52">
        <f>K63</f>
        <v>417</v>
      </c>
      <c r="L1030" s="49"/>
      <c r="M1030" s="49"/>
    </row>
    <row r="1031" spans="5:13">
      <c r="E1031" s="49"/>
      <c r="F1031" s="49"/>
      <c r="H1031" s="49" t="s">
        <v>3019</v>
      </c>
      <c r="I1031" s="49"/>
      <c r="J1031" s="49"/>
      <c r="K1031" s="52">
        <f>10*16.05</f>
        <v>160.5</v>
      </c>
      <c r="L1031" s="49"/>
      <c r="M1031" s="49"/>
    </row>
    <row r="1032" spans="5:13">
      <c r="E1032" s="49"/>
      <c r="F1032" s="49"/>
      <c r="G1032" s="49"/>
      <c r="H1032" s="49" t="s">
        <v>3020</v>
      </c>
      <c r="I1032" s="49"/>
      <c r="J1032" s="49"/>
      <c r="K1032" s="52">
        <f>16.5*10</f>
        <v>165</v>
      </c>
      <c r="L1032" s="49"/>
      <c r="M1032" s="49"/>
    </row>
    <row r="1033" spans="5:13">
      <c r="E1033" s="49"/>
      <c r="F1033" s="49"/>
      <c r="G1033" s="49"/>
      <c r="H1033" s="49" t="s">
        <v>1557</v>
      </c>
      <c r="I1033" s="49"/>
      <c r="J1033" s="49"/>
      <c r="K1033" s="49">
        <v>32.01</v>
      </c>
      <c r="L1033" s="49"/>
      <c r="M1033" s="49"/>
    </row>
    <row r="1034" spans="5:13">
      <c r="E1034" s="49"/>
      <c r="F1034" s="49"/>
      <c r="G1034" s="49"/>
      <c r="H1034" s="839" t="s">
        <v>2355</v>
      </c>
      <c r="I1034" s="49"/>
      <c r="J1034" s="49"/>
      <c r="K1034" s="847">
        <f>(K1026-K1027-K1028-K1029)+(K1030+K1031+K1032+K1033)</f>
        <v>9343.51</v>
      </c>
      <c r="L1034" s="49"/>
      <c r="M1034" s="49"/>
    </row>
    <row r="1035" spans="5:13">
      <c r="E1035" s="49"/>
      <c r="F1035" s="49"/>
      <c r="G1035" s="49"/>
      <c r="H1035" s="840" t="s">
        <v>2368</v>
      </c>
      <c r="I1035" s="49"/>
      <c r="J1035" s="49"/>
      <c r="K1035" s="50">
        <f>K1034/10</f>
        <v>934.35</v>
      </c>
      <c r="L1035" s="49">
        <f>871.3*10</f>
        <v>8713</v>
      </c>
      <c r="M1035" s="49">
        <f>L1035-K1034</f>
        <v>-630.51</v>
      </c>
    </row>
    <row r="1036" spans="5:13">
      <c r="E1036" s="49"/>
      <c r="F1036" s="49"/>
      <c r="G1036" s="49"/>
      <c r="H1036" s="49"/>
      <c r="I1036" s="49"/>
      <c r="J1036" s="49"/>
      <c r="K1036" s="49"/>
      <c r="L1036" s="49"/>
      <c r="M1036" s="49"/>
    </row>
    <row r="1037" spans="5:13">
      <c r="E1037" s="49"/>
      <c r="F1037" s="49"/>
      <c r="G1037" s="49"/>
      <c r="H1037" s="49"/>
      <c r="I1037" s="49"/>
      <c r="J1037" s="49"/>
      <c r="K1037" s="49"/>
      <c r="L1037" s="49"/>
      <c r="M1037" s="49"/>
    </row>
    <row r="1038" spans="5:13">
      <c r="E1038" s="49"/>
      <c r="F1038" s="49"/>
      <c r="G1038" s="49"/>
      <c r="H1038" s="49"/>
      <c r="I1038" s="49"/>
      <c r="J1038" s="49"/>
      <c r="K1038" s="49"/>
      <c r="L1038" s="49"/>
      <c r="M1038" s="49"/>
    </row>
    <row r="1039" spans="5:13">
      <c r="E1039" s="49"/>
      <c r="F1039" s="49"/>
      <c r="G1039" s="49"/>
      <c r="H1039" s="49"/>
      <c r="I1039" s="49"/>
      <c r="J1039" s="49"/>
      <c r="K1039" s="49"/>
      <c r="L1039" s="49"/>
      <c r="M1039" s="49"/>
    </row>
    <row r="1040" spans="5:13">
      <c r="E1040" s="49"/>
      <c r="F1040" s="49"/>
      <c r="G1040" s="49"/>
      <c r="H1040" s="49"/>
      <c r="I1040" s="49"/>
      <c r="J1040" s="49"/>
      <c r="K1040" s="49"/>
      <c r="L1040" s="49"/>
      <c r="M1040" s="49"/>
    </row>
    <row r="1041" spans="5:13">
      <c r="E1041" s="49"/>
      <c r="F1041" s="49"/>
      <c r="G1041" s="49"/>
      <c r="H1041" s="842" t="s">
        <v>3021</v>
      </c>
      <c r="I1041" s="49"/>
      <c r="J1041" s="49"/>
      <c r="K1041" s="49"/>
      <c r="L1041" s="49"/>
      <c r="M1041" s="49"/>
    </row>
    <row r="1042" spans="5:13">
      <c r="E1042" s="49"/>
      <c r="F1042" s="49"/>
      <c r="G1042" s="49"/>
      <c r="I1042" s="49"/>
      <c r="J1042" s="49"/>
      <c r="K1042" s="49"/>
      <c r="L1042" s="49"/>
      <c r="M1042" s="49"/>
    </row>
    <row r="1043" spans="5:13">
      <c r="E1043" s="49"/>
      <c r="F1043" s="49"/>
      <c r="G1043" s="49"/>
      <c r="I1043" s="49"/>
      <c r="J1043" s="49"/>
      <c r="K1043" s="49"/>
      <c r="L1043" s="49"/>
      <c r="M1043" s="49"/>
    </row>
    <row r="1044" spans="5:13">
      <c r="E1044" s="49"/>
      <c r="F1044" s="49"/>
      <c r="G1044" s="49"/>
      <c r="I1044" s="49"/>
      <c r="J1044" s="49"/>
      <c r="K1044" s="49"/>
      <c r="L1044" s="49"/>
      <c r="M1044" s="49"/>
    </row>
    <row r="1045" spans="5:13">
      <c r="E1045" s="49"/>
      <c r="F1045" s="49"/>
      <c r="G1045" s="49"/>
      <c r="I1045" s="49"/>
      <c r="J1045" s="49"/>
      <c r="K1045" s="49"/>
      <c r="L1045" s="49"/>
      <c r="M1045" s="49"/>
    </row>
    <row r="1046" spans="5:13" ht="141.75">
      <c r="E1046" s="49"/>
      <c r="F1046" s="49"/>
      <c r="G1046" s="49"/>
      <c r="H1046" s="51" t="s">
        <v>3022</v>
      </c>
      <c r="I1046" s="49"/>
      <c r="J1046" s="49"/>
      <c r="K1046" s="49"/>
      <c r="L1046" s="49"/>
      <c r="M1046" s="49"/>
    </row>
    <row r="1047" spans="5:13">
      <c r="E1047" s="49"/>
      <c r="F1047" s="49"/>
      <c r="G1047" s="49"/>
      <c r="H1047" s="49"/>
      <c r="I1047" s="49"/>
      <c r="J1047" s="49"/>
      <c r="K1047" s="49"/>
      <c r="L1047" s="49"/>
      <c r="M1047" s="49"/>
    </row>
    <row r="1048" spans="5:13">
      <c r="E1048" s="49"/>
      <c r="F1048" s="49"/>
      <c r="G1048" s="49"/>
      <c r="H1048" s="49"/>
      <c r="I1048" s="49"/>
      <c r="J1048" s="49"/>
      <c r="K1048" s="49"/>
      <c r="L1048" s="49"/>
      <c r="M1048" s="49"/>
    </row>
    <row r="1049" spans="5:13">
      <c r="E1049" s="49"/>
      <c r="F1049" s="49"/>
      <c r="G1049" s="49"/>
      <c r="H1049" s="49"/>
      <c r="I1049" s="49"/>
      <c r="J1049" s="49"/>
      <c r="K1049" s="49"/>
      <c r="L1049" s="49"/>
      <c r="M1049" s="49"/>
    </row>
    <row r="1050" spans="5:13">
      <c r="E1050" s="49"/>
      <c r="F1050" s="49"/>
      <c r="G1050" s="49"/>
      <c r="H1050" s="49" t="s">
        <v>2351</v>
      </c>
      <c r="I1050" s="49"/>
      <c r="J1050" s="49"/>
      <c r="K1050" s="49">
        <f>K1026</f>
        <v>8903.43</v>
      </c>
      <c r="L1050" s="49"/>
      <c r="M1050" s="49"/>
    </row>
    <row r="1051" spans="5:13">
      <c r="E1051" s="49"/>
      <c r="F1051" s="49"/>
      <c r="G1051" s="49"/>
      <c r="H1051" s="49" t="s">
        <v>3023</v>
      </c>
      <c r="I1051" s="49"/>
      <c r="J1051" s="49"/>
      <c r="K1051" s="49">
        <f>K985</f>
        <v>138</v>
      </c>
      <c r="L1051" s="49"/>
      <c r="M1051" s="49"/>
    </row>
    <row r="1052" spans="5:13">
      <c r="E1052" s="49"/>
      <c r="F1052" s="49"/>
      <c r="G1052" s="49"/>
      <c r="H1052" s="49" t="s">
        <v>2774</v>
      </c>
      <c r="I1052" s="49"/>
      <c r="J1052" s="49"/>
      <c r="K1052" s="49">
        <f>K987</f>
        <v>66.099999999999994</v>
      </c>
      <c r="L1052" s="49"/>
      <c r="M1052" s="49"/>
    </row>
    <row r="1053" spans="5:13" ht="31.5">
      <c r="E1053" s="49"/>
      <c r="F1053" s="49"/>
      <c r="G1053" s="49"/>
      <c r="H1053" s="51" t="s">
        <v>3024</v>
      </c>
      <c r="I1053" s="49"/>
      <c r="J1053" s="49"/>
      <c r="K1053" s="52">
        <f>69.9*10</f>
        <v>699</v>
      </c>
      <c r="L1053" s="49"/>
      <c r="M1053" s="49"/>
    </row>
    <row r="1054" spans="5:13" ht="33.75" customHeight="1">
      <c r="E1054" s="49"/>
      <c r="F1054" s="49"/>
      <c r="G1054" s="49"/>
      <c r="H1054" s="49" t="s">
        <v>3025</v>
      </c>
      <c r="I1054" s="49"/>
      <c r="J1054" s="49"/>
      <c r="K1054" s="52">
        <f>0.6*630</f>
        <v>378</v>
      </c>
      <c r="L1054" s="49"/>
      <c r="M1054" s="49"/>
    </row>
    <row r="1055" spans="5:13">
      <c r="E1055" s="49"/>
      <c r="F1055" s="49"/>
      <c r="G1055" s="49"/>
      <c r="H1055" s="49" t="s">
        <v>2777</v>
      </c>
      <c r="I1055" s="49"/>
      <c r="J1055" s="49"/>
      <c r="K1055" s="49">
        <v>24.68</v>
      </c>
      <c r="L1055" s="49"/>
      <c r="M1055" s="49"/>
    </row>
    <row r="1056" spans="5:13">
      <c r="E1056" s="49"/>
      <c r="F1056" s="49"/>
      <c r="G1056" s="49"/>
      <c r="H1056" s="839" t="s">
        <v>2355</v>
      </c>
      <c r="I1056" s="49"/>
      <c r="J1056" s="49"/>
      <c r="K1056" s="847">
        <f>K1050-K1051-K1052+K1053+K1054+K1055</f>
        <v>9801.01</v>
      </c>
      <c r="L1056" s="49"/>
      <c r="M1056" s="49"/>
    </row>
    <row r="1057" spans="5:13">
      <c r="E1057" s="49"/>
      <c r="F1057" s="49"/>
      <c r="G1057" s="49"/>
      <c r="H1057" s="840" t="s">
        <v>2356</v>
      </c>
      <c r="I1057" s="49"/>
      <c r="J1057" s="49"/>
      <c r="K1057" s="50">
        <f>K1056/10</f>
        <v>980.1</v>
      </c>
      <c r="L1057" s="49">
        <f>917.4*10</f>
        <v>9174</v>
      </c>
      <c r="M1057" s="49"/>
    </row>
    <row r="1058" spans="5:13">
      <c r="E1058" s="49"/>
      <c r="F1058" s="49"/>
      <c r="G1058" s="49"/>
      <c r="H1058" s="49"/>
      <c r="I1058" s="49"/>
      <c r="J1058" s="49"/>
      <c r="K1058" s="49"/>
      <c r="L1058" s="49">
        <f>L1057-K1056</f>
        <v>-627.01</v>
      </c>
      <c r="M1058" s="49"/>
    </row>
    <row r="1059" spans="5:13">
      <c r="E1059" s="49"/>
      <c r="F1059" s="49"/>
      <c r="G1059" s="49"/>
      <c r="H1059" s="49"/>
      <c r="I1059" s="49"/>
      <c r="J1059" s="49"/>
      <c r="K1059" s="49">
        <f>K1057*6</f>
        <v>5880.6</v>
      </c>
      <c r="L1059" s="49"/>
      <c r="M1059" s="49"/>
    </row>
    <row r="1060" spans="5:13">
      <c r="E1060" s="49"/>
      <c r="F1060" s="49"/>
      <c r="G1060" s="49"/>
      <c r="H1060" s="49"/>
      <c r="I1060" s="49"/>
      <c r="J1060" s="49"/>
      <c r="K1060" s="49"/>
      <c r="L1060" s="49"/>
      <c r="M1060" s="49"/>
    </row>
    <row r="1061" spans="5:13">
      <c r="E1061" s="49"/>
      <c r="F1061" s="49"/>
      <c r="G1061" s="49"/>
      <c r="H1061" s="842" t="s">
        <v>3026</v>
      </c>
      <c r="I1061" s="49"/>
      <c r="J1061" s="49"/>
      <c r="K1061" s="49"/>
      <c r="L1061" s="49"/>
      <c r="M1061" s="49"/>
    </row>
    <row r="1062" spans="5:13" ht="141.75">
      <c r="E1062" s="49"/>
      <c r="F1062" s="49"/>
      <c r="G1062" s="49"/>
      <c r="H1062" s="51" t="s">
        <v>3027</v>
      </c>
      <c r="I1062" s="49"/>
      <c r="J1062" s="49"/>
      <c r="K1062" s="49"/>
      <c r="L1062" s="49"/>
      <c r="M1062" s="49"/>
    </row>
    <row r="1063" spans="5:13" ht="189" customHeight="1">
      <c r="E1063" s="49"/>
      <c r="F1063" s="49">
        <v>90</v>
      </c>
      <c r="G1063" s="49" t="s">
        <v>13</v>
      </c>
      <c r="H1063" s="846" t="s">
        <v>2311</v>
      </c>
      <c r="I1063" s="49">
        <f>I218</f>
        <v>16.55</v>
      </c>
      <c r="J1063" s="49" t="s">
        <v>2306</v>
      </c>
      <c r="K1063" s="49">
        <f>F1063*I1063</f>
        <v>1489.5</v>
      </c>
      <c r="L1063" s="49"/>
      <c r="M1063" s="49"/>
    </row>
    <row r="1064" spans="5:13">
      <c r="E1064" s="49"/>
      <c r="F1064" s="49">
        <v>30</v>
      </c>
      <c r="G1064" s="49" t="s">
        <v>13</v>
      </c>
      <c r="H1064" s="51" t="s">
        <v>2313</v>
      </c>
      <c r="I1064" s="49">
        <f>I219</f>
        <v>20</v>
      </c>
      <c r="J1064" s="49" t="s">
        <v>13</v>
      </c>
      <c r="K1064" s="49">
        <f t="shared" ref="K1064:K1073" si="19">F1064*I1064</f>
        <v>600</v>
      </c>
      <c r="L1064" s="49"/>
      <c r="M1064" s="49"/>
    </row>
    <row r="1065" spans="5:13">
      <c r="E1065" s="49"/>
      <c r="F1065" s="49">
        <v>10</v>
      </c>
      <c r="G1065" s="49" t="s">
        <v>1034</v>
      </c>
      <c r="H1065" s="49" t="s">
        <v>2317</v>
      </c>
      <c r="I1065" s="49">
        <f>I220</f>
        <v>3.15</v>
      </c>
      <c r="J1065" s="49" t="s">
        <v>1034</v>
      </c>
      <c r="K1065" s="49">
        <f t="shared" si="19"/>
        <v>31.5</v>
      </c>
      <c r="L1065" s="49"/>
      <c r="M1065" s="49"/>
    </row>
    <row r="1066" spans="5:13">
      <c r="E1066" s="49"/>
      <c r="F1066" s="49">
        <v>5</v>
      </c>
      <c r="G1066" s="49" t="s">
        <v>1034</v>
      </c>
      <c r="H1066" s="49" t="s">
        <v>2319</v>
      </c>
      <c r="I1066" s="49">
        <f>I221</f>
        <v>1.34</v>
      </c>
      <c r="J1066" s="49" t="s">
        <v>1034</v>
      </c>
      <c r="K1066" s="49">
        <f t="shared" si="19"/>
        <v>6.7</v>
      </c>
      <c r="L1066" s="49"/>
      <c r="M1066" s="49"/>
    </row>
    <row r="1067" spans="5:13">
      <c r="E1067" s="49"/>
      <c r="F1067" s="49">
        <v>10</v>
      </c>
      <c r="G1067" s="49" t="s">
        <v>1034</v>
      </c>
      <c r="H1067" s="49" t="s">
        <v>2421</v>
      </c>
      <c r="I1067" s="49">
        <f>I222</f>
        <v>20.11</v>
      </c>
      <c r="J1067" s="49" t="s">
        <v>1034</v>
      </c>
      <c r="K1067" s="49">
        <f t="shared" si="19"/>
        <v>201.1</v>
      </c>
      <c r="L1067" s="49"/>
      <c r="M1067" s="49"/>
    </row>
    <row r="1068" spans="5:13">
      <c r="E1068" s="49"/>
      <c r="F1068" s="49">
        <v>5</v>
      </c>
      <c r="G1068" s="49" t="s">
        <v>1034</v>
      </c>
      <c r="H1068" s="49" t="s">
        <v>3028</v>
      </c>
      <c r="I1068" s="891">
        <v>5.58</v>
      </c>
      <c r="J1068" s="49" t="s">
        <v>729</v>
      </c>
      <c r="K1068" s="49">
        <f t="shared" si="19"/>
        <v>27.9</v>
      </c>
      <c r="L1068" s="49"/>
      <c r="M1068" s="49"/>
    </row>
    <row r="1069" spans="5:13">
      <c r="E1069" s="49"/>
      <c r="F1069" s="49">
        <v>5</v>
      </c>
      <c r="G1069" s="49" t="s">
        <v>1034</v>
      </c>
      <c r="H1069" s="49" t="s">
        <v>2325</v>
      </c>
      <c r="I1069" s="49">
        <f>I223</f>
        <v>13.8</v>
      </c>
      <c r="J1069" s="49" t="s">
        <v>1034</v>
      </c>
      <c r="K1069" s="49">
        <f t="shared" si="19"/>
        <v>69</v>
      </c>
      <c r="L1069" s="49"/>
      <c r="M1069" s="49"/>
    </row>
    <row r="1070" spans="5:13">
      <c r="E1070" s="49"/>
      <c r="F1070" s="838">
        <v>0.09</v>
      </c>
      <c r="G1070" s="49" t="s">
        <v>724</v>
      </c>
      <c r="H1070" s="49" t="s">
        <v>2386</v>
      </c>
      <c r="I1070" s="49">
        <f>I226</f>
        <v>661</v>
      </c>
      <c r="J1070" s="49" t="s">
        <v>724</v>
      </c>
      <c r="K1070" s="49">
        <f t="shared" si="19"/>
        <v>59.49</v>
      </c>
      <c r="L1070" s="49"/>
      <c r="M1070" s="49"/>
    </row>
    <row r="1071" spans="5:13">
      <c r="E1071" s="49"/>
      <c r="F1071" s="49">
        <v>1</v>
      </c>
      <c r="G1071" s="49" t="s">
        <v>2324</v>
      </c>
      <c r="H1071" s="49" t="s">
        <v>38</v>
      </c>
      <c r="I1071" s="49">
        <f>[5]Data!Y31/20</f>
        <v>298</v>
      </c>
      <c r="J1071" s="49" t="s">
        <v>2324</v>
      </c>
      <c r="K1071" s="49">
        <f t="shared" si="19"/>
        <v>298</v>
      </c>
      <c r="L1071" s="49"/>
      <c r="M1071" s="49"/>
    </row>
    <row r="1072" spans="5:13">
      <c r="E1072" s="49"/>
      <c r="F1072" s="49">
        <v>6</v>
      </c>
      <c r="G1072" s="49" t="s">
        <v>1034</v>
      </c>
      <c r="H1072" s="49" t="s">
        <v>3029</v>
      </c>
      <c r="I1072" s="49">
        <f>I986</f>
        <v>16.5</v>
      </c>
      <c r="J1072" s="49" t="s">
        <v>729</v>
      </c>
      <c r="K1072" s="49">
        <f t="shared" si="19"/>
        <v>99</v>
      </c>
      <c r="L1072" s="49"/>
      <c r="M1072" s="49"/>
    </row>
    <row r="1073" spans="5:13" ht="31.5">
      <c r="E1073" s="49"/>
      <c r="F1073" s="49">
        <v>30</v>
      </c>
      <c r="G1073" s="49" t="s">
        <v>13</v>
      </c>
      <c r="H1073" s="846" t="s">
        <v>2333</v>
      </c>
      <c r="I1073" s="49">
        <f>I1063</f>
        <v>16.55</v>
      </c>
      <c r="J1073" s="49" t="s">
        <v>2306</v>
      </c>
      <c r="K1073" s="49">
        <f t="shared" si="19"/>
        <v>496.5</v>
      </c>
      <c r="L1073" s="49"/>
      <c r="M1073" s="49"/>
    </row>
    <row r="1074" spans="5:13">
      <c r="E1074" s="49"/>
      <c r="F1074" s="49"/>
      <c r="G1074" s="49"/>
      <c r="H1074" s="49" t="s">
        <v>478</v>
      </c>
      <c r="I1074" s="49"/>
      <c r="J1074" s="49"/>
      <c r="K1074" s="49">
        <f>K1007</f>
        <v>7242</v>
      </c>
      <c r="L1074" s="49"/>
      <c r="M1074" s="49"/>
    </row>
    <row r="1075" spans="5:13">
      <c r="E1075" s="49"/>
      <c r="F1075" s="49"/>
      <c r="G1075" s="49"/>
      <c r="H1075" s="49" t="s">
        <v>1557</v>
      </c>
      <c r="I1075" s="49"/>
      <c r="J1075" s="49"/>
      <c r="K1075" s="49">
        <v>12.8</v>
      </c>
      <c r="L1075" s="49"/>
      <c r="M1075" s="49"/>
    </row>
    <row r="1076" spans="5:13">
      <c r="E1076" s="49"/>
      <c r="F1076" s="49"/>
      <c r="G1076" s="49"/>
      <c r="H1076" s="839" t="s">
        <v>2382</v>
      </c>
      <c r="I1076" s="49"/>
      <c r="J1076" s="49"/>
      <c r="K1076" s="847">
        <f>SUM(K1063:K1075)</f>
        <v>10633.49</v>
      </c>
      <c r="L1076" s="49"/>
      <c r="M1076" s="49"/>
    </row>
    <row r="1077" spans="5:13">
      <c r="E1077" s="49"/>
      <c r="F1077" s="49"/>
      <c r="G1077" s="49"/>
      <c r="H1077" s="840" t="s">
        <v>2368</v>
      </c>
      <c r="I1077" s="49"/>
      <c r="J1077" s="49"/>
      <c r="K1077" s="50">
        <f>K1076/5</f>
        <v>2126.6999999999998</v>
      </c>
      <c r="L1077" s="49">
        <f>1964*5</f>
        <v>9820</v>
      </c>
      <c r="M1077" s="49">
        <f>K1076/5</f>
        <v>2126.6999999999998</v>
      </c>
    </row>
    <row r="1078" spans="5:13">
      <c r="E1078" s="49"/>
      <c r="F1078" s="49"/>
      <c r="G1078" s="49"/>
      <c r="H1078" s="50"/>
      <c r="I1078" s="49"/>
      <c r="J1078" s="49"/>
      <c r="K1078" s="49"/>
      <c r="L1078" s="49">
        <f>L1077-K1076</f>
        <v>-813.49</v>
      </c>
      <c r="M1078" s="49"/>
    </row>
    <row r="1079" spans="5:13">
      <c r="E1079" s="49"/>
      <c r="F1079" s="49"/>
      <c r="G1079" s="49"/>
      <c r="H1079" s="50" t="s">
        <v>2782</v>
      </c>
      <c r="I1079" s="49"/>
      <c r="J1079" s="49"/>
      <c r="K1079" s="49"/>
      <c r="L1079" s="49"/>
      <c r="M1079" s="49"/>
    </row>
    <row r="1080" spans="5:13">
      <c r="E1080" s="49"/>
      <c r="F1080" s="49"/>
      <c r="G1080" s="49"/>
      <c r="H1080" s="49"/>
      <c r="I1080" s="49"/>
      <c r="J1080" s="49"/>
      <c r="K1080" s="49"/>
      <c r="L1080" s="49"/>
      <c r="M1080" s="49"/>
    </row>
    <row r="1081" spans="5:13" ht="141.75">
      <c r="E1081" s="49"/>
      <c r="F1081" s="49"/>
      <c r="G1081" s="49"/>
      <c r="H1081" s="51" t="s">
        <v>2385</v>
      </c>
      <c r="I1081" s="49"/>
      <c r="J1081" s="49"/>
      <c r="K1081" s="49"/>
      <c r="L1081" s="49"/>
      <c r="M1081" s="49"/>
    </row>
    <row r="1082" spans="5:13">
      <c r="E1082" s="49"/>
      <c r="F1082" s="49">
        <v>90</v>
      </c>
      <c r="G1082" s="49" t="s">
        <v>13</v>
      </c>
      <c r="H1082" s="846" t="s">
        <v>2311</v>
      </c>
      <c r="I1082" s="49">
        <f>I120</f>
        <v>16.55</v>
      </c>
      <c r="J1082" s="49" t="s">
        <v>13</v>
      </c>
      <c r="K1082" s="49">
        <f>F1082*I1082</f>
        <v>1489.5</v>
      </c>
      <c r="L1082" s="49"/>
      <c r="M1082" s="49"/>
    </row>
    <row r="1083" spans="5:13">
      <c r="E1083" s="49"/>
      <c r="F1083" s="49">
        <v>45</v>
      </c>
      <c r="G1083" s="49" t="s">
        <v>13</v>
      </c>
      <c r="H1083" s="51" t="s">
        <v>2313</v>
      </c>
      <c r="I1083" s="49">
        <f t="shared" ref="I1083:I1092" si="20">I121</f>
        <v>20</v>
      </c>
      <c r="J1083" s="49" t="s">
        <v>13</v>
      </c>
      <c r="K1083" s="49">
        <f t="shared" ref="K1083:K1092" si="21">F1083*I1083</f>
        <v>900</v>
      </c>
      <c r="L1083" s="49"/>
      <c r="M1083" s="49"/>
    </row>
    <row r="1084" spans="5:13">
      <c r="E1084" s="49"/>
      <c r="F1084" s="49">
        <v>20</v>
      </c>
      <c r="G1084" s="49" t="s">
        <v>1034</v>
      </c>
      <c r="H1084" s="49" t="s">
        <v>2317</v>
      </c>
      <c r="I1084" s="49">
        <f t="shared" si="20"/>
        <v>3.15</v>
      </c>
      <c r="J1084" s="49" t="s">
        <v>2315</v>
      </c>
      <c r="K1084" s="49">
        <f t="shared" si="21"/>
        <v>63</v>
      </c>
      <c r="L1084" s="49"/>
      <c r="M1084" s="49"/>
    </row>
    <row r="1085" spans="5:13">
      <c r="E1085" s="49"/>
      <c r="F1085" s="49">
        <v>10</v>
      </c>
      <c r="G1085" s="49" t="s">
        <v>1034</v>
      </c>
      <c r="H1085" s="49" t="s">
        <v>2319</v>
      </c>
      <c r="I1085" s="49">
        <f t="shared" si="20"/>
        <v>1.34</v>
      </c>
      <c r="J1085" s="49" t="s">
        <v>2315</v>
      </c>
      <c r="K1085" s="49">
        <f t="shared" si="21"/>
        <v>13.4</v>
      </c>
      <c r="L1085" s="49"/>
      <c r="M1085" s="49"/>
    </row>
    <row r="1086" spans="5:13">
      <c r="E1086" s="49"/>
      <c r="F1086" s="49">
        <v>1</v>
      </c>
      <c r="G1086" s="49" t="s">
        <v>1034</v>
      </c>
      <c r="H1086" s="49" t="s">
        <v>2855</v>
      </c>
      <c r="I1086" s="49">
        <f t="shared" si="20"/>
        <v>70.7</v>
      </c>
      <c r="J1086" s="49" t="s">
        <v>1034</v>
      </c>
      <c r="K1086" s="49">
        <f t="shared" si="21"/>
        <v>70.7</v>
      </c>
      <c r="L1086" s="49"/>
      <c r="M1086" s="49"/>
    </row>
    <row r="1087" spans="5:13">
      <c r="E1087" s="49"/>
      <c r="F1087" s="838">
        <v>1.4999999999999999E-2</v>
      </c>
      <c r="G1087" s="49" t="s">
        <v>724</v>
      </c>
      <c r="H1087" s="49" t="s">
        <v>2386</v>
      </c>
      <c r="I1087" s="49">
        <f t="shared" si="20"/>
        <v>661</v>
      </c>
      <c r="J1087" s="49" t="s">
        <v>724</v>
      </c>
      <c r="K1087" s="49">
        <f t="shared" si="21"/>
        <v>9.92</v>
      </c>
      <c r="L1087" s="49"/>
      <c r="M1087" s="49"/>
    </row>
    <row r="1088" spans="5:13">
      <c r="E1088" s="49"/>
      <c r="F1088" s="49">
        <v>15</v>
      </c>
      <c r="G1088" s="49" t="s">
        <v>1034</v>
      </c>
      <c r="H1088" s="49" t="s">
        <v>2783</v>
      </c>
      <c r="I1088" s="49">
        <f t="shared" si="20"/>
        <v>40.31</v>
      </c>
      <c r="J1088" s="49" t="s">
        <v>1034</v>
      </c>
      <c r="K1088" s="49">
        <f t="shared" si="21"/>
        <v>604.65</v>
      </c>
      <c r="L1088" s="49"/>
      <c r="M1088" s="49"/>
    </row>
    <row r="1089" spans="5:13">
      <c r="E1089" s="49"/>
      <c r="F1089" s="49">
        <v>15</v>
      </c>
      <c r="G1089" s="49" t="s">
        <v>1034</v>
      </c>
      <c r="H1089" s="49" t="s">
        <v>2855</v>
      </c>
      <c r="I1089" s="49">
        <f t="shared" si="20"/>
        <v>70.7</v>
      </c>
      <c r="J1089" s="49" t="s">
        <v>1034</v>
      </c>
      <c r="K1089" s="49">
        <f t="shared" si="21"/>
        <v>1060.5</v>
      </c>
      <c r="L1089" s="49"/>
      <c r="M1089" s="49"/>
    </row>
    <row r="1090" spans="5:13">
      <c r="E1090" s="49"/>
      <c r="F1090" s="838">
        <v>0.22500000000000001</v>
      </c>
      <c r="G1090" s="49" t="s">
        <v>724</v>
      </c>
      <c r="H1090" s="49" t="s">
        <v>2386</v>
      </c>
      <c r="I1090" s="49">
        <f t="shared" si="20"/>
        <v>661</v>
      </c>
      <c r="J1090" s="49" t="s">
        <v>2388</v>
      </c>
      <c r="K1090" s="49">
        <f t="shared" si="21"/>
        <v>148.72999999999999</v>
      </c>
      <c r="L1090" s="49"/>
      <c r="M1090" s="49"/>
    </row>
    <row r="1091" spans="5:13">
      <c r="E1091" s="49"/>
      <c r="F1091" s="49">
        <v>1.25</v>
      </c>
      <c r="G1091" s="49" t="s">
        <v>2324</v>
      </c>
      <c r="H1091" s="49" t="s">
        <v>38</v>
      </c>
      <c r="I1091" s="49">
        <f t="shared" si="20"/>
        <v>302</v>
      </c>
      <c r="J1091" s="49" t="s">
        <v>2324</v>
      </c>
      <c r="K1091" s="49">
        <f t="shared" si="21"/>
        <v>377.5</v>
      </c>
      <c r="L1091" s="49"/>
      <c r="M1091" s="49"/>
    </row>
    <row r="1092" spans="5:13" ht="31.5">
      <c r="E1092" s="49"/>
      <c r="F1092" s="49">
        <v>45</v>
      </c>
      <c r="G1092" s="49" t="s">
        <v>724</v>
      </c>
      <c r="H1092" s="846" t="s">
        <v>2333</v>
      </c>
      <c r="I1092" s="49">
        <f t="shared" si="20"/>
        <v>16.55</v>
      </c>
      <c r="J1092" s="49" t="s">
        <v>13</v>
      </c>
      <c r="K1092" s="49">
        <f t="shared" si="21"/>
        <v>744.75</v>
      </c>
      <c r="L1092" s="49"/>
      <c r="M1092" s="49"/>
    </row>
    <row r="1093" spans="5:13">
      <c r="E1093" s="49"/>
      <c r="F1093" s="49"/>
      <c r="G1093" s="49"/>
      <c r="H1093" s="49" t="s">
        <v>478</v>
      </c>
      <c r="I1093" s="49"/>
      <c r="J1093" s="49"/>
      <c r="K1093" s="49">
        <f>K1009</f>
        <v>4828</v>
      </c>
      <c r="L1093" s="49"/>
      <c r="M1093" s="49"/>
    </row>
    <row r="1094" spans="5:13">
      <c r="E1094" s="49"/>
      <c r="F1094" s="49"/>
      <c r="G1094" s="49"/>
      <c r="H1094" s="49" t="s">
        <v>1557</v>
      </c>
      <c r="I1094" s="49"/>
      <c r="J1094" s="49"/>
      <c r="K1094" s="49">
        <v>27.48</v>
      </c>
      <c r="L1094" s="49"/>
      <c r="M1094" s="49"/>
    </row>
    <row r="1095" spans="5:13">
      <c r="E1095" s="49"/>
      <c r="F1095" s="49"/>
      <c r="G1095" s="49"/>
      <c r="H1095" s="839" t="s">
        <v>2389</v>
      </c>
      <c r="I1095" s="49"/>
      <c r="J1095" s="49"/>
      <c r="K1095" s="847">
        <f>SUM(K1082:K1094)</f>
        <v>10338.129999999999</v>
      </c>
      <c r="L1095" s="49"/>
      <c r="M1095" s="49"/>
    </row>
    <row r="1096" spans="5:13">
      <c r="E1096" s="49"/>
      <c r="F1096" s="49"/>
      <c r="G1096" s="49"/>
      <c r="H1096" s="840" t="s">
        <v>2368</v>
      </c>
      <c r="I1096" s="49"/>
      <c r="J1096" s="49"/>
      <c r="K1096" s="50">
        <f>K1095/15</f>
        <v>689.21</v>
      </c>
      <c r="L1096" s="49">
        <f>638.5*15</f>
        <v>9577.5</v>
      </c>
      <c r="M1096" s="49">
        <f>L1096-K1095</f>
        <v>-760.63</v>
      </c>
    </row>
    <row r="1097" spans="5:13">
      <c r="E1097" s="49"/>
      <c r="F1097" s="49"/>
      <c r="G1097" s="49"/>
      <c r="H1097" s="50" t="s">
        <v>478</v>
      </c>
      <c r="I1097" s="49"/>
      <c r="J1097" s="49"/>
      <c r="K1097" s="50"/>
      <c r="L1097" s="49">
        <f>L1096-K1095</f>
        <v>-760.63</v>
      </c>
      <c r="M1097" s="49"/>
    </row>
    <row r="1098" spans="5:13">
      <c r="E1098" s="49"/>
      <c r="F1098" s="49">
        <v>1</v>
      </c>
      <c r="G1098" s="49" t="s">
        <v>1034</v>
      </c>
      <c r="H1098" s="49" t="s">
        <v>2340</v>
      </c>
      <c r="I1098" s="49">
        <f>I35</f>
        <v>898</v>
      </c>
      <c r="J1098" s="49" t="s">
        <v>1034</v>
      </c>
      <c r="K1098" s="49">
        <f>F1098*I1098</f>
        <v>898</v>
      </c>
      <c r="L1098" s="49"/>
      <c r="M1098" s="49"/>
    </row>
    <row r="1099" spans="5:13">
      <c r="E1099" s="49"/>
      <c r="F1099" s="49">
        <v>2</v>
      </c>
      <c r="G1099" s="49" t="s">
        <v>1034</v>
      </c>
      <c r="H1099" s="49" t="s">
        <v>2341</v>
      </c>
      <c r="I1099" s="49">
        <f>I36</f>
        <v>783</v>
      </c>
      <c r="J1099" s="49" t="s">
        <v>1034</v>
      </c>
      <c r="K1099" s="49">
        <f>F1099*I1099</f>
        <v>1566</v>
      </c>
      <c r="L1099" s="49"/>
      <c r="M1099" s="49"/>
    </row>
    <row r="1100" spans="5:13">
      <c r="E1100" s="49"/>
      <c r="F1100" s="49">
        <v>3</v>
      </c>
      <c r="G1100" s="49" t="s">
        <v>1034</v>
      </c>
      <c r="H1100" s="49" t="s">
        <v>2342</v>
      </c>
      <c r="I1100" s="49">
        <f>I37</f>
        <v>778</v>
      </c>
      <c r="J1100" s="49" t="s">
        <v>1034</v>
      </c>
      <c r="K1100" s="49">
        <f>F1100*I1100</f>
        <v>2334</v>
      </c>
      <c r="L1100" s="49"/>
      <c r="M1100" s="49"/>
    </row>
    <row r="1101" spans="5:13">
      <c r="E1101" s="49"/>
      <c r="F1101" s="49">
        <v>4</v>
      </c>
      <c r="G1101" s="49" t="s">
        <v>1034</v>
      </c>
      <c r="H1101" s="49" t="s">
        <v>2166</v>
      </c>
      <c r="I1101" s="49">
        <f>I38</f>
        <v>611</v>
      </c>
      <c r="J1101" s="49" t="s">
        <v>1034</v>
      </c>
      <c r="K1101" s="49">
        <f>F1101*I1101</f>
        <v>2444</v>
      </c>
      <c r="L1101" s="49"/>
      <c r="M1101" s="49"/>
    </row>
    <row r="1102" spans="5:13">
      <c r="E1102" s="49"/>
      <c r="F1102" s="49"/>
      <c r="G1102" s="49"/>
      <c r="H1102" s="840"/>
      <c r="I1102" s="49"/>
      <c r="J1102" s="49"/>
      <c r="K1102" s="50">
        <f>SUM(K1098:K1101)</f>
        <v>7242</v>
      </c>
      <c r="L1102" s="49"/>
      <c r="M1102" s="49"/>
    </row>
    <row r="1103" spans="5:13">
      <c r="E1103" s="49"/>
      <c r="F1103" s="49"/>
      <c r="G1103" s="49"/>
      <c r="H1103" s="840"/>
      <c r="I1103" s="49"/>
      <c r="J1103" s="49"/>
      <c r="K1103" s="50"/>
      <c r="L1103" s="49"/>
      <c r="M1103" s="49"/>
    </row>
    <row r="1104" spans="5:13">
      <c r="E1104" s="49"/>
      <c r="F1104" s="49"/>
      <c r="G1104" s="49"/>
      <c r="H1104" s="840"/>
      <c r="I1104" s="49"/>
      <c r="J1104" s="49"/>
      <c r="K1104" s="50"/>
      <c r="L1104" s="49"/>
      <c r="M1104" s="49"/>
    </row>
    <row r="1105" spans="5:13">
      <c r="E1105" s="49"/>
      <c r="F1105" s="49"/>
      <c r="G1105" s="49"/>
      <c r="H1105" s="50" t="s">
        <v>2426</v>
      </c>
      <c r="I1105" s="49"/>
      <c r="J1105" s="49"/>
      <c r="K1105" s="49"/>
      <c r="L1105" s="49"/>
      <c r="M1105" s="49"/>
    </row>
    <row r="1106" spans="5:13">
      <c r="E1106" s="49"/>
      <c r="F1106" s="49"/>
      <c r="G1106" s="49"/>
      <c r="H1106" s="49"/>
      <c r="I1106" s="49"/>
      <c r="J1106" s="49"/>
      <c r="K1106" s="49"/>
      <c r="L1106" s="49"/>
      <c r="M1106" s="49"/>
    </row>
    <row r="1107" spans="5:13" ht="94.5">
      <c r="E1107" s="49"/>
      <c r="F1107" s="49"/>
      <c r="G1107" s="49"/>
      <c r="H1107" s="51" t="s">
        <v>2784</v>
      </c>
      <c r="I1107" s="49"/>
      <c r="J1107" s="49"/>
      <c r="K1107" s="49"/>
      <c r="L1107" s="49"/>
      <c r="M1107" s="49"/>
    </row>
    <row r="1108" spans="5:13">
      <c r="E1108" s="49"/>
      <c r="F1108" s="49"/>
      <c r="G1108" s="49"/>
      <c r="H1108" s="49"/>
      <c r="I1108" s="49"/>
      <c r="J1108" s="49"/>
      <c r="K1108" s="49"/>
      <c r="L1108" s="49"/>
      <c r="M1108" s="49"/>
    </row>
    <row r="1109" spans="5:13">
      <c r="E1109" s="49"/>
      <c r="F1109" s="49">
        <v>180</v>
      </c>
      <c r="G1109" s="49" t="s">
        <v>13</v>
      </c>
      <c r="H1109" s="846" t="s">
        <v>2311</v>
      </c>
      <c r="I1109" s="49">
        <f>I241</f>
        <v>16.55</v>
      </c>
      <c r="J1109" s="49" t="s">
        <v>13</v>
      </c>
      <c r="K1109" s="49">
        <f>I1109*F1109</f>
        <v>2979</v>
      </c>
      <c r="L1109" s="49"/>
      <c r="M1109" s="49"/>
    </row>
    <row r="1110" spans="5:13">
      <c r="E1110" s="49"/>
      <c r="F1110" s="49">
        <v>90</v>
      </c>
      <c r="G1110" s="49" t="s">
        <v>13</v>
      </c>
      <c r="H1110" s="51" t="s">
        <v>2313</v>
      </c>
      <c r="I1110" s="49">
        <f>I242</f>
        <v>20</v>
      </c>
      <c r="J1110" s="49" t="s">
        <v>13</v>
      </c>
      <c r="K1110" s="49">
        <f t="shared" ref="K1110:K1115" si="22">I1110*F1110</f>
        <v>1800</v>
      </c>
      <c r="L1110" s="49"/>
      <c r="M1110" s="49"/>
    </row>
    <row r="1111" spans="5:13">
      <c r="E1111" s="49"/>
      <c r="F1111" s="49">
        <v>1</v>
      </c>
      <c r="G1111" s="49" t="s">
        <v>2785</v>
      </c>
      <c r="H1111" s="51" t="s">
        <v>3030</v>
      </c>
      <c r="I1111" s="52">
        <v>39</v>
      </c>
      <c r="J1111" s="49" t="s">
        <v>2785</v>
      </c>
      <c r="K1111" s="49">
        <f t="shared" si="22"/>
        <v>39</v>
      </c>
      <c r="L1111" s="49"/>
      <c r="M1111" s="49"/>
    </row>
    <row r="1112" spans="5:13">
      <c r="E1112" s="49"/>
      <c r="F1112" s="49">
        <v>300</v>
      </c>
      <c r="G1112" s="49" t="s">
        <v>41</v>
      </c>
      <c r="H1112" s="51" t="s">
        <v>3031</v>
      </c>
      <c r="I1112" s="49">
        <f>I749</f>
        <v>287</v>
      </c>
      <c r="J1112" s="49" t="s">
        <v>2788</v>
      </c>
      <c r="K1112" s="49">
        <f>(I1112*F1112)/1000</f>
        <v>86.1</v>
      </c>
      <c r="L1112" s="49"/>
      <c r="M1112" s="49"/>
    </row>
    <row r="1113" spans="5:13">
      <c r="E1113" s="49"/>
      <c r="F1113" s="49">
        <v>2</v>
      </c>
      <c r="G1113" s="49" t="s">
        <v>2327</v>
      </c>
      <c r="H1113" s="51" t="s">
        <v>2789</v>
      </c>
      <c r="I1113" s="49">
        <f>I982</f>
        <v>68.8</v>
      </c>
      <c r="J1113" s="49" t="s">
        <v>2785</v>
      </c>
      <c r="K1113" s="49">
        <f t="shared" si="22"/>
        <v>137.6</v>
      </c>
      <c r="L1113" s="49"/>
      <c r="M1113" s="49"/>
    </row>
    <row r="1114" spans="5:13">
      <c r="E1114" s="49"/>
      <c r="F1114" s="49">
        <v>0.33</v>
      </c>
      <c r="G1114" s="49" t="s">
        <v>2324</v>
      </c>
      <c r="H1114" s="49" t="s">
        <v>38</v>
      </c>
      <c r="I1114" s="49">
        <f>I243</f>
        <v>302</v>
      </c>
      <c r="J1114" s="49" t="s">
        <v>2324</v>
      </c>
      <c r="K1114" s="49">
        <f t="shared" si="22"/>
        <v>99.66</v>
      </c>
      <c r="L1114" s="49"/>
      <c r="M1114" s="49"/>
    </row>
    <row r="1115" spans="5:13" ht="31.5">
      <c r="E1115" s="49"/>
      <c r="F1115" s="49">
        <v>90</v>
      </c>
      <c r="G1115" s="49" t="s">
        <v>13</v>
      </c>
      <c r="H1115" s="846" t="s">
        <v>2333</v>
      </c>
      <c r="I1115" s="49">
        <f>I244</f>
        <v>16.55</v>
      </c>
      <c r="J1115" s="49" t="s">
        <v>2306</v>
      </c>
      <c r="K1115" s="49">
        <f t="shared" si="22"/>
        <v>1489.5</v>
      </c>
      <c r="L1115" s="49"/>
      <c r="M1115" s="49"/>
    </row>
    <row r="1116" spans="5:13">
      <c r="E1116" s="49"/>
      <c r="F1116" s="1164" t="s">
        <v>2790</v>
      </c>
      <c r="G1116" s="49"/>
      <c r="H1116" s="49" t="s">
        <v>478</v>
      </c>
      <c r="I1116" s="49">
        <f>K1102</f>
        <v>7242</v>
      </c>
      <c r="J1116" s="49"/>
      <c r="K1116" s="49">
        <f>2/3*I1116</f>
        <v>4828</v>
      </c>
      <c r="L1116" s="49"/>
      <c r="M1116" s="49"/>
    </row>
    <row r="1117" spans="5:13">
      <c r="E1117" s="49"/>
      <c r="F1117" s="49"/>
      <c r="G1117" s="49"/>
      <c r="H1117" s="49"/>
      <c r="I1117" s="49"/>
      <c r="J1117" s="49"/>
      <c r="K1117" s="49">
        <f>SUM(K1109:K1116)</f>
        <v>11458.86</v>
      </c>
      <c r="L1117" s="49"/>
      <c r="M1117" s="49"/>
    </row>
    <row r="1118" spans="5:13">
      <c r="E1118" s="49"/>
      <c r="F1118" s="49"/>
      <c r="G1118" s="49"/>
      <c r="H1118" s="49" t="s">
        <v>1557</v>
      </c>
      <c r="I1118" s="49"/>
      <c r="J1118" s="49"/>
      <c r="K1118" s="49">
        <v>79.290000000000006</v>
      </c>
      <c r="L1118" s="49"/>
      <c r="M1118" s="49"/>
    </row>
    <row r="1119" spans="5:13">
      <c r="E1119" s="49"/>
      <c r="F1119" s="49"/>
      <c r="G1119" s="49"/>
      <c r="H1119" s="839" t="s">
        <v>2432</v>
      </c>
      <c r="I1119" s="49"/>
      <c r="J1119" s="49"/>
      <c r="K1119" s="847">
        <f>SUM(K1117:K1118)</f>
        <v>11538.15</v>
      </c>
      <c r="L1119" s="49">
        <f>93*90</f>
        <v>8370</v>
      </c>
      <c r="M1119" s="49">
        <f>L1119-K1119</f>
        <v>-3168.15</v>
      </c>
    </row>
    <row r="1120" spans="5:13">
      <c r="E1120" s="49"/>
      <c r="F1120" s="49"/>
      <c r="G1120" s="49"/>
      <c r="H1120" s="840" t="s">
        <v>2433</v>
      </c>
      <c r="I1120" s="49"/>
      <c r="J1120" s="49"/>
      <c r="K1120" s="50">
        <f>K1119/90</f>
        <v>128.19999999999999</v>
      </c>
      <c r="L1120" s="49">
        <f>119.3*90</f>
        <v>10737</v>
      </c>
      <c r="M1120" s="49"/>
    </row>
    <row r="1121" spans="5:13">
      <c r="E1121" s="49"/>
      <c r="F1121" s="49"/>
      <c r="G1121" s="49"/>
      <c r="H1121" s="49"/>
      <c r="I1121" s="49"/>
      <c r="J1121" s="49"/>
      <c r="K1121" s="49"/>
      <c r="L1121" s="49">
        <f>L1120-K1119</f>
        <v>-801.15</v>
      </c>
      <c r="M1121" s="49"/>
    </row>
    <row r="1122" spans="5:13">
      <c r="E1122" s="49"/>
      <c r="F1122" s="49"/>
      <c r="G1122" s="49"/>
      <c r="H1122" s="50" t="s">
        <v>2791</v>
      </c>
      <c r="I1122" s="49"/>
      <c r="J1122" s="49"/>
      <c r="K1122" s="49"/>
      <c r="L1122" s="49"/>
      <c r="M1122" s="49"/>
    </row>
    <row r="1123" spans="5:13">
      <c r="E1123" s="49"/>
      <c r="F1123" s="49"/>
      <c r="G1123" s="49"/>
      <c r="H1123" s="49"/>
      <c r="I1123" s="49"/>
      <c r="J1123" s="49"/>
      <c r="K1123" s="49"/>
      <c r="L1123" s="49"/>
      <c r="M1123" s="49"/>
    </row>
    <row r="1124" spans="5:13" ht="94.5">
      <c r="E1124" s="49"/>
      <c r="F1124" s="49"/>
      <c r="G1124" s="49"/>
      <c r="H1124" s="51" t="s">
        <v>2436</v>
      </c>
      <c r="I1124" s="49"/>
      <c r="J1124" s="49"/>
      <c r="K1124" s="49"/>
      <c r="L1124" s="49"/>
      <c r="M1124" s="49"/>
    </row>
    <row r="1125" spans="5:13">
      <c r="E1125" s="49"/>
      <c r="F1125" s="49"/>
      <c r="G1125" s="49"/>
      <c r="H1125" s="49"/>
      <c r="I1125" s="49"/>
      <c r="J1125" s="49"/>
      <c r="K1125" s="49"/>
      <c r="L1125" s="49"/>
      <c r="M1125" s="49"/>
    </row>
    <row r="1126" spans="5:13">
      <c r="E1126" s="49"/>
      <c r="F1126" s="49"/>
      <c r="G1126" s="49"/>
      <c r="H1126" s="49" t="s">
        <v>2792</v>
      </c>
      <c r="I1126" s="49"/>
      <c r="J1126" s="49"/>
      <c r="K1126" s="49">
        <f>K1119</f>
        <v>11538.15</v>
      </c>
      <c r="L1126" s="49"/>
      <c r="M1126" s="49"/>
    </row>
    <row r="1127" spans="5:13" ht="31.5">
      <c r="E1127" s="49"/>
      <c r="F1127" s="49">
        <v>180</v>
      </c>
      <c r="G1127" s="49" t="s">
        <v>13</v>
      </c>
      <c r="H1127" s="51" t="s">
        <v>2793</v>
      </c>
      <c r="I1127" s="49">
        <f>I257</f>
        <v>25.75</v>
      </c>
      <c r="J1127" s="49" t="s">
        <v>13</v>
      </c>
      <c r="K1127" s="49">
        <f>F1127*I1127</f>
        <v>4635</v>
      </c>
      <c r="L1127" s="49"/>
      <c r="M1127" s="49"/>
    </row>
    <row r="1128" spans="5:13">
      <c r="E1128" s="49"/>
      <c r="F1128" s="49">
        <v>180</v>
      </c>
      <c r="G1128" s="49" t="s">
        <v>13</v>
      </c>
      <c r="H1128" s="51" t="s">
        <v>2439</v>
      </c>
      <c r="I1128" s="49">
        <f>I1109</f>
        <v>16.55</v>
      </c>
      <c r="J1128" s="49" t="s">
        <v>2306</v>
      </c>
      <c r="K1128" s="49">
        <f>F1128*I1128</f>
        <v>2979</v>
      </c>
      <c r="L1128" s="49"/>
      <c r="M1128" s="49"/>
    </row>
    <row r="1129" spans="5:13">
      <c r="E1129" s="49"/>
      <c r="F1129" s="49"/>
      <c r="G1129" s="49"/>
      <c r="H1129" s="49" t="s">
        <v>1557</v>
      </c>
      <c r="I1129" s="49"/>
      <c r="J1129" s="49"/>
      <c r="K1129" s="49"/>
      <c r="L1129" s="49"/>
      <c r="M1129" s="49"/>
    </row>
    <row r="1130" spans="5:13">
      <c r="E1130" s="49"/>
      <c r="F1130" s="49"/>
      <c r="G1130" s="49"/>
      <c r="H1130" s="839" t="s">
        <v>2440</v>
      </c>
      <c r="I1130" s="49"/>
      <c r="J1130" s="49"/>
      <c r="K1130" s="847">
        <f>K1126+K1127-K1128+K1129</f>
        <v>13194.15</v>
      </c>
      <c r="L1130" s="49"/>
      <c r="M1130" s="49"/>
    </row>
    <row r="1131" spans="5:13">
      <c r="E1131" s="49"/>
      <c r="F1131" s="49"/>
      <c r="G1131" s="49"/>
      <c r="H1131" s="840" t="s">
        <v>2433</v>
      </c>
      <c r="I1131" s="49"/>
      <c r="J1131" s="49"/>
      <c r="K1131" s="50">
        <f>K1130/90</f>
        <v>146.6</v>
      </c>
      <c r="L1131" s="49">
        <f>K1131*30</f>
        <v>4398</v>
      </c>
      <c r="M1131" s="49"/>
    </row>
    <row r="1132" spans="5:13">
      <c r="E1132" s="49"/>
      <c r="F1132" s="49"/>
      <c r="G1132" s="49"/>
      <c r="H1132" s="49"/>
      <c r="I1132" s="49"/>
      <c r="J1132" s="49"/>
      <c r="K1132" s="49"/>
      <c r="L1132" s="49"/>
      <c r="M1132" s="49"/>
    </row>
    <row r="1133" spans="5:13">
      <c r="E1133" s="49"/>
      <c r="F1133" s="49"/>
      <c r="G1133" s="49"/>
      <c r="H1133" s="49"/>
      <c r="I1133" s="49"/>
      <c r="J1133" s="49"/>
      <c r="K1133" s="49"/>
      <c r="L1133" s="49"/>
      <c r="M1133" s="49"/>
    </row>
    <row r="1134" spans="5:13">
      <c r="E1134" s="49"/>
      <c r="F1134" s="49"/>
      <c r="G1134" s="49"/>
      <c r="H1134" s="50"/>
      <c r="I1134" s="49"/>
      <c r="J1134" s="49"/>
      <c r="K1134" s="49"/>
      <c r="L1134" s="49"/>
      <c r="M1134" s="49"/>
    </row>
    <row r="1135" spans="5:13">
      <c r="E1135" s="49"/>
      <c r="F1135" s="49"/>
      <c r="G1135" s="49"/>
      <c r="H1135" s="50" t="s">
        <v>3032</v>
      </c>
      <c r="I1135" s="49"/>
      <c r="J1135" s="49"/>
      <c r="K1135" s="49"/>
      <c r="L1135" s="49"/>
      <c r="M1135" s="49"/>
    </row>
    <row r="1136" spans="5:13">
      <c r="E1136" s="49"/>
      <c r="F1136" s="49"/>
      <c r="G1136" s="49"/>
      <c r="H1136" s="49"/>
      <c r="I1136" s="49"/>
      <c r="J1136" s="49"/>
      <c r="K1136" s="49"/>
      <c r="L1136" s="49"/>
      <c r="M1136" s="49"/>
    </row>
    <row r="1137" spans="5:13" ht="94.5">
      <c r="E1137" s="49"/>
      <c r="F1137" s="49"/>
      <c r="G1137" s="49"/>
      <c r="H1137" s="51" t="s">
        <v>2436</v>
      </c>
      <c r="I1137" s="49"/>
      <c r="J1137" s="49"/>
      <c r="K1137" s="49"/>
      <c r="L1137" s="49"/>
      <c r="M1137" s="49"/>
    </row>
    <row r="1138" spans="5:13">
      <c r="E1138" s="49"/>
      <c r="F1138" s="49"/>
      <c r="G1138" s="49"/>
      <c r="H1138" s="49"/>
      <c r="I1138" s="49"/>
      <c r="J1138" s="49"/>
      <c r="K1138" s="49"/>
      <c r="L1138" s="49"/>
      <c r="M1138" s="49"/>
    </row>
    <row r="1139" spans="5:13">
      <c r="E1139" s="49"/>
      <c r="F1139" s="49"/>
      <c r="G1139" s="49"/>
      <c r="H1139" s="49" t="s">
        <v>2792</v>
      </c>
      <c r="I1139" s="49"/>
      <c r="J1139" s="49"/>
      <c r="K1139" s="49">
        <f>K1126</f>
        <v>11538.15</v>
      </c>
      <c r="L1139" s="49"/>
      <c r="M1139" s="49"/>
    </row>
    <row r="1140" spans="5:13" ht="31.5">
      <c r="E1140" s="49"/>
      <c r="F1140" s="49">
        <v>180</v>
      </c>
      <c r="G1140" s="49" t="s">
        <v>13</v>
      </c>
      <c r="H1140" s="51" t="s">
        <v>3033</v>
      </c>
      <c r="I1140" s="49">
        <f>I701</f>
        <v>40.950000000000003</v>
      </c>
      <c r="J1140" s="49" t="s">
        <v>13</v>
      </c>
      <c r="K1140" s="49">
        <f>F1140*I1140</f>
        <v>7371</v>
      </c>
      <c r="L1140" s="49"/>
      <c r="M1140" s="49"/>
    </row>
    <row r="1141" spans="5:13">
      <c r="E1141" s="49"/>
      <c r="F1141" s="49">
        <v>180</v>
      </c>
      <c r="G1141" s="49" t="s">
        <v>13</v>
      </c>
      <c r="H1141" s="51" t="s">
        <v>2439</v>
      </c>
      <c r="I1141" s="49">
        <f>I1128</f>
        <v>16.55</v>
      </c>
      <c r="J1141" s="49" t="s">
        <v>2306</v>
      </c>
      <c r="K1141" s="49">
        <f>F1141*I1141</f>
        <v>2979</v>
      </c>
      <c r="L1141" s="49"/>
      <c r="M1141" s="49"/>
    </row>
    <row r="1142" spans="5:13">
      <c r="E1142" s="49"/>
      <c r="F1142" s="49"/>
      <c r="G1142" s="49"/>
      <c r="H1142" s="49" t="s">
        <v>1557</v>
      </c>
      <c r="I1142" s="49"/>
      <c r="J1142" s="49"/>
      <c r="K1142" s="49"/>
      <c r="L1142" s="49"/>
      <c r="M1142" s="49"/>
    </row>
    <row r="1143" spans="5:13">
      <c r="E1143" s="49"/>
      <c r="F1143" s="49"/>
      <c r="G1143" s="49"/>
      <c r="H1143" s="839" t="s">
        <v>2440</v>
      </c>
      <c r="I1143" s="49"/>
      <c r="J1143" s="49"/>
      <c r="K1143" s="847">
        <f>K1139+K1140-K1141+K1142</f>
        <v>15930.15</v>
      </c>
      <c r="L1143" s="49"/>
      <c r="M1143" s="49"/>
    </row>
    <row r="1144" spans="5:13">
      <c r="E1144" s="49"/>
      <c r="F1144" s="49"/>
      <c r="G1144" s="49"/>
      <c r="H1144" s="840" t="s">
        <v>2433</v>
      </c>
      <c r="I1144" s="49"/>
      <c r="J1144" s="49"/>
      <c r="K1144" s="50">
        <f>K1143/90</f>
        <v>177</v>
      </c>
      <c r="L1144" s="49"/>
      <c r="M1144" s="49"/>
    </row>
    <row r="1145" spans="5:13">
      <c r="E1145" s="49"/>
      <c r="F1145" s="49"/>
      <c r="G1145" s="49"/>
      <c r="H1145" s="49"/>
      <c r="I1145" s="49"/>
      <c r="J1145" s="49"/>
      <c r="K1145" s="49"/>
      <c r="L1145" s="49"/>
      <c r="M1145" s="49"/>
    </row>
    <row r="1146" spans="5:13">
      <c r="E1146" s="49"/>
      <c r="F1146" s="49"/>
      <c r="G1146" s="49"/>
      <c r="H1146" s="846"/>
      <c r="I1146" s="49"/>
      <c r="J1146" s="49"/>
      <c r="K1146" s="49"/>
      <c r="L1146" s="49"/>
      <c r="M1146" s="49"/>
    </row>
    <row r="1147" spans="5:13">
      <c r="E1147" s="49"/>
      <c r="F1147" s="49"/>
      <c r="G1147" s="49"/>
      <c r="H1147" s="50" t="s">
        <v>3034</v>
      </c>
      <c r="I1147" s="49"/>
      <c r="J1147" s="49"/>
      <c r="K1147" s="49"/>
      <c r="L1147" s="49"/>
      <c r="M1147" s="49"/>
    </row>
    <row r="1148" spans="5:13">
      <c r="E1148" s="49"/>
      <c r="F1148" s="49"/>
      <c r="G1148" s="49"/>
      <c r="H1148" s="49"/>
      <c r="I1148" s="49"/>
      <c r="J1148" s="49"/>
      <c r="K1148" s="49"/>
      <c r="L1148" s="49"/>
      <c r="M1148" s="49"/>
    </row>
    <row r="1149" spans="5:13" ht="94.5">
      <c r="E1149" s="49"/>
      <c r="F1149" s="49"/>
      <c r="G1149" s="49"/>
      <c r="H1149" s="51" t="s">
        <v>2436</v>
      </c>
      <c r="I1149" s="49"/>
      <c r="J1149" s="49"/>
      <c r="K1149" s="49"/>
      <c r="L1149" s="49"/>
      <c r="M1149" s="49"/>
    </row>
    <row r="1150" spans="5:13">
      <c r="E1150" s="49"/>
      <c r="F1150" s="49"/>
      <c r="G1150" s="49"/>
      <c r="H1150" s="49"/>
      <c r="I1150" s="49"/>
      <c r="J1150" s="49"/>
      <c r="K1150" s="49"/>
      <c r="L1150" s="49"/>
      <c r="M1150" s="49"/>
    </row>
    <row r="1151" spans="5:13">
      <c r="E1151" s="49"/>
      <c r="F1151" s="49"/>
      <c r="G1151" s="49"/>
      <c r="H1151" s="49" t="s">
        <v>2792</v>
      </c>
      <c r="I1151" s="49"/>
      <c r="J1151" s="49"/>
      <c r="K1151" s="49">
        <f>K1139</f>
        <v>11538.15</v>
      </c>
      <c r="L1151" s="49"/>
      <c r="M1151" s="49"/>
    </row>
    <row r="1152" spans="5:13" ht="31.5">
      <c r="E1152" s="49"/>
      <c r="F1152" s="49">
        <v>360</v>
      </c>
      <c r="G1152" s="49" t="s">
        <v>13</v>
      </c>
      <c r="H1152" s="51" t="s">
        <v>3035</v>
      </c>
      <c r="I1152" s="52">
        <v>85.3</v>
      </c>
      <c r="J1152" s="49" t="s">
        <v>13</v>
      </c>
      <c r="K1152" s="49">
        <f>F1152*I1152</f>
        <v>30708</v>
      </c>
      <c r="L1152" s="49"/>
      <c r="M1152" s="49"/>
    </row>
    <row r="1153" spans="5:13">
      <c r="E1153" s="49"/>
      <c r="F1153" s="49">
        <v>180</v>
      </c>
      <c r="G1153" s="49" t="s">
        <v>13</v>
      </c>
      <c r="H1153" s="51" t="s">
        <v>2439</v>
      </c>
      <c r="I1153" s="49">
        <f>I1141</f>
        <v>16.55</v>
      </c>
      <c r="J1153" s="49" t="s">
        <v>2306</v>
      </c>
      <c r="K1153" s="49">
        <f>F1153*I1153</f>
        <v>2979</v>
      </c>
      <c r="L1153" s="49"/>
      <c r="M1153" s="49"/>
    </row>
    <row r="1154" spans="5:13">
      <c r="E1154" s="49"/>
      <c r="F1154" s="49"/>
      <c r="G1154" s="49"/>
      <c r="H1154" s="49" t="s">
        <v>1557</v>
      </c>
      <c r="I1154" s="49"/>
      <c r="J1154" s="49"/>
      <c r="K1154" s="49">
        <v>45</v>
      </c>
      <c r="L1154" s="49"/>
      <c r="M1154" s="49"/>
    </row>
    <row r="1155" spans="5:13">
      <c r="E1155" s="49"/>
      <c r="F1155" s="49"/>
      <c r="G1155" s="49"/>
      <c r="H1155" s="839" t="s">
        <v>2440</v>
      </c>
      <c r="I1155" s="49"/>
      <c r="J1155" s="49"/>
      <c r="K1155" s="847">
        <f>K1151+K1152-K1153+K1154</f>
        <v>39312.15</v>
      </c>
      <c r="L1155" s="49"/>
      <c r="M1155" s="49"/>
    </row>
    <row r="1156" spans="5:13">
      <c r="E1156" s="49"/>
      <c r="F1156" s="49"/>
      <c r="G1156" s="49"/>
      <c r="H1156" s="840" t="s">
        <v>2433</v>
      </c>
      <c r="I1156" s="49"/>
      <c r="J1156" s="49"/>
      <c r="K1156" s="50">
        <f>K1155/90</f>
        <v>436.8</v>
      </c>
      <c r="L1156" s="49">
        <f>K1156-430</f>
        <v>6.8</v>
      </c>
      <c r="M1156" s="49"/>
    </row>
    <row r="1157" spans="5:13">
      <c r="E1157" s="49"/>
      <c r="F1157" s="49"/>
      <c r="G1157" s="49"/>
      <c r="H1157" s="49"/>
      <c r="I1157" s="49"/>
      <c r="J1157" s="49"/>
      <c r="K1157" s="49"/>
      <c r="L1157" s="49">
        <f>430*90</f>
        <v>38700</v>
      </c>
      <c r="M1157" s="49"/>
    </row>
    <row r="1158" spans="5:13">
      <c r="E1158" s="49"/>
      <c r="F1158" s="49"/>
      <c r="G1158" s="49"/>
      <c r="H1158" s="49"/>
      <c r="I1158" s="49"/>
      <c r="J1158" s="49"/>
      <c r="K1158" s="49"/>
      <c r="L1158" s="49">
        <f>K1155-L1157</f>
        <v>612.15</v>
      </c>
      <c r="M1158" s="49"/>
    </row>
    <row r="1159" spans="5:13">
      <c r="E1159" s="49"/>
      <c r="F1159" s="49"/>
      <c r="G1159" s="49"/>
      <c r="H1159" s="49"/>
      <c r="I1159" s="49"/>
      <c r="J1159" s="49"/>
      <c r="K1159" s="49"/>
      <c r="L1159" s="49"/>
      <c r="M1159" s="49"/>
    </row>
    <row r="1160" spans="5:13">
      <c r="E1160" s="49"/>
      <c r="F1160" s="49"/>
      <c r="G1160" s="49"/>
      <c r="H1160" s="49"/>
      <c r="I1160" s="49"/>
      <c r="J1160" s="49"/>
      <c r="K1160" s="49"/>
      <c r="L1160" s="49"/>
      <c r="M1160" s="49"/>
    </row>
    <row r="1161" spans="5:13">
      <c r="E1161" s="49"/>
      <c r="F1161" s="49"/>
      <c r="G1161" s="49"/>
      <c r="H1161" s="49"/>
      <c r="I1161" s="49"/>
      <c r="J1161" s="49"/>
      <c r="K1161" s="49"/>
      <c r="L1161" s="49"/>
      <c r="M1161" s="49"/>
    </row>
    <row r="1162" spans="5:13">
      <c r="E1162" s="49"/>
      <c r="F1162" s="49"/>
      <c r="G1162" s="49"/>
      <c r="H1162" s="49"/>
      <c r="I1162" s="49"/>
      <c r="J1162" s="49"/>
      <c r="K1162" s="49"/>
      <c r="L1162" s="49"/>
      <c r="M1162" s="49"/>
    </row>
    <row r="1163" spans="5:13">
      <c r="E1163" s="49"/>
      <c r="F1163" s="49"/>
      <c r="G1163" s="49"/>
      <c r="H1163" s="49"/>
      <c r="I1163" s="49"/>
      <c r="J1163" s="49"/>
      <c r="K1163" s="49"/>
      <c r="L1163" s="49"/>
      <c r="M1163" s="49"/>
    </row>
    <row r="1164" spans="5:13">
      <c r="E1164" s="49"/>
      <c r="F1164" s="49"/>
      <c r="G1164" s="49"/>
      <c r="H1164" s="49"/>
      <c r="I1164" s="49"/>
      <c r="J1164" s="49"/>
      <c r="K1164" s="49"/>
      <c r="L1164" s="49"/>
      <c r="M1164" s="49"/>
    </row>
    <row r="1165" spans="5:13">
      <c r="E1165" s="49"/>
      <c r="F1165" s="49"/>
      <c r="G1165" s="49"/>
      <c r="H1165" s="49"/>
      <c r="I1165" s="49"/>
      <c r="J1165" s="49"/>
      <c r="K1165" s="49"/>
      <c r="L1165" s="49"/>
      <c r="M1165" s="49"/>
    </row>
    <row r="1166" spans="5:13">
      <c r="E1166" s="49"/>
      <c r="F1166" s="49"/>
      <c r="G1166" s="49"/>
      <c r="H1166" s="49"/>
      <c r="I1166" s="49"/>
      <c r="J1166" s="49"/>
      <c r="K1166" s="49"/>
      <c r="L1166" s="49"/>
      <c r="M1166" s="49"/>
    </row>
    <row r="1167" spans="5:13">
      <c r="E1167" s="49"/>
      <c r="F1167" s="49"/>
      <c r="G1167" s="49"/>
      <c r="H1167" s="49"/>
      <c r="I1167" s="49"/>
      <c r="J1167" s="49"/>
      <c r="K1167" s="49"/>
      <c r="L1167" s="49"/>
      <c r="M1167" s="49"/>
    </row>
    <row r="1168" spans="5:13">
      <c r="E1168" s="49"/>
      <c r="F1168" s="49"/>
      <c r="G1168" s="49"/>
      <c r="H1168" s="50" t="s">
        <v>3036</v>
      </c>
      <c r="I1168" s="49"/>
      <c r="J1168" s="49"/>
      <c r="K1168" s="49"/>
      <c r="L1168" s="49"/>
      <c r="M1168" s="49"/>
    </row>
    <row r="1169" spans="5:13">
      <c r="E1169" s="49"/>
      <c r="F1169" s="49"/>
      <c r="G1169" s="49"/>
      <c r="H1169" s="49"/>
      <c r="I1169" s="49"/>
      <c r="J1169" s="49"/>
      <c r="K1169" s="49"/>
      <c r="L1169" s="49"/>
      <c r="M1169" s="49"/>
    </row>
    <row r="1170" spans="5:13" ht="121.5" customHeight="1">
      <c r="E1170" s="49"/>
      <c r="F1170" s="49"/>
      <c r="G1170" s="49"/>
      <c r="H1170" s="51" t="s">
        <v>2436</v>
      </c>
      <c r="I1170" s="49"/>
      <c r="J1170" s="49"/>
      <c r="K1170" s="49"/>
      <c r="L1170" s="49"/>
      <c r="M1170" s="49"/>
    </row>
    <row r="1171" spans="5:13">
      <c r="E1171" s="49"/>
      <c r="F1171" s="49"/>
      <c r="G1171" s="49"/>
      <c r="H1171" s="49"/>
      <c r="I1171" s="49"/>
      <c r="J1171" s="49"/>
      <c r="K1171" s="49"/>
      <c r="L1171" s="49"/>
      <c r="M1171" s="49"/>
    </row>
    <row r="1172" spans="5:13">
      <c r="E1172" s="49"/>
      <c r="F1172" s="49"/>
      <c r="G1172" s="49"/>
      <c r="H1172" s="49" t="s">
        <v>2792</v>
      </c>
      <c r="I1172" s="49"/>
      <c r="J1172" s="49"/>
      <c r="K1172" s="49">
        <f>K1151</f>
        <v>11538.15</v>
      </c>
      <c r="L1172" s="49"/>
      <c r="M1172" s="49"/>
    </row>
    <row r="1173" spans="5:13" ht="42.75" customHeight="1">
      <c r="E1173" s="49"/>
      <c r="F1173" s="49">
        <v>360</v>
      </c>
      <c r="G1173" s="49" t="s">
        <v>13</v>
      </c>
      <c r="H1173" s="51" t="s">
        <v>3037</v>
      </c>
      <c r="I1173" s="52">
        <v>56.7</v>
      </c>
      <c r="J1173" s="49" t="s">
        <v>13</v>
      </c>
      <c r="K1173" s="49">
        <f>F1173*I1173</f>
        <v>20412</v>
      </c>
      <c r="L1173" s="49"/>
      <c r="M1173" s="49"/>
    </row>
    <row r="1174" spans="5:13" ht="45" customHeight="1">
      <c r="E1174" s="49"/>
      <c r="F1174" s="49">
        <v>180</v>
      </c>
      <c r="G1174" s="49" t="s">
        <v>13</v>
      </c>
      <c r="H1174" s="51" t="s">
        <v>2439</v>
      </c>
      <c r="I1174" s="49">
        <f>I1141</f>
        <v>16.55</v>
      </c>
      <c r="J1174" s="49" t="s">
        <v>2306</v>
      </c>
      <c r="K1174" s="49">
        <f>F1174*I1174</f>
        <v>2979</v>
      </c>
      <c r="L1174" s="49"/>
      <c r="M1174" s="49"/>
    </row>
    <row r="1175" spans="5:13" ht="30" customHeight="1">
      <c r="E1175" s="49"/>
      <c r="F1175" s="49"/>
      <c r="G1175" s="49"/>
      <c r="H1175" s="49" t="s">
        <v>1557</v>
      </c>
      <c r="I1175" s="49"/>
      <c r="J1175" s="49"/>
      <c r="K1175" s="49"/>
      <c r="L1175" s="49"/>
      <c r="M1175" s="49"/>
    </row>
    <row r="1176" spans="5:13">
      <c r="E1176" s="49"/>
      <c r="F1176" s="49"/>
      <c r="G1176" s="49"/>
      <c r="H1176" s="839" t="s">
        <v>2440</v>
      </c>
      <c r="I1176" s="49"/>
      <c r="J1176" s="49"/>
      <c r="K1176" s="847">
        <f>K1172+K1173-K1174+K1175</f>
        <v>28971.15</v>
      </c>
      <c r="L1176" s="49"/>
      <c r="M1176" s="49"/>
    </row>
    <row r="1177" spans="5:13">
      <c r="E1177" s="49"/>
      <c r="F1177" s="49"/>
      <c r="G1177" s="49"/>
      <c r="H1177" s="840" t="s">
        <v>2433</v>
      </c>
      <c r="I1177" s="49"/>
      <c r="J1177" s="49"/>
      <c r="K1177" s="50">
        <f>K1176/90</f>
        <v>321.89999999999998</v>
      </c>
      <c r="L1177" s="49"/>
      <c r="M1177" s="49"/>
    </row>
    <row r="1178" spans="5:13">
      <c r="E1178" s="49"/>
      <c r="F1178" s="49"/>
      <c r="G1178" s="49"/>
      <c r="H1178" s="49"/>
      <c r="I1178" s="49"/>
      <c r="J1178" s="49"/>
      <c r="K1178" s="49"/>
      <c r="L1178" s="49"/>
      <c r="M1178" s="49"/>
    </row>
    <row r="1179" spans="5:13">
      <c r="E1179" s="49"/>
      <c r="F1179" s="49"/>
      <c r="G1179" s="49"/>
      <c r="H1179" s="49"/>
      <c r="I1179" s="49"/>
      <c r="J1179" s="49"/>
      <c r="K1179" s="49"/>
      <c r="L1179" s="49"/>
      <c r="M1179" s="49"/>
    </row>
    <row r="1180" spans="5:13">
      <c r="E1180" s="49"/>
      <c r="F1180" s="49"/>
      <c r="G1180" s="49"/>
      <c r="H1180" s="49"/>
      <c r="I1180" s="49"/>
      <c r="J1180" s="49"/>
      <c r="K1180" s="49"/>
      <c r="L1180" s="49"/>
      <c r="M1180" s="49"/>
    </row>
    <row r="1181" spans="5:13">
      <c r="E1181" s="49"/>
      <c r="F1181" s="49"/>
      <c r="G1181" s="49"/>
      <c r="H1181" s="49"/>
      <c r="I1181" s="49"/>
      <c r="J1181" s="49"/>
      <c r="K1181" s="49"/>
      <c r="L1181" s="49"/>
      <c r="M1181" s="49"/>
    </row>
    <row r="1182" spans="5:13">
      <c r="E1182" s="49"/>
      <c r="F1182" s="49"/>
      <c r="G1182" s="49"/>
      <c r="H1182" s="49"/>
      <c r="I1182" s="49"/>
      <c r="J1182" s="49"/>
      <c r="K1182" s="49"/>
      <c r="L1182" s="49"/>
      <c r="M1182" s="49"/>
    </row>
    <row r="1183" spans="5:13">
      <c r="E1183" s="49"/>
      <c r="F1183" s="49"/>
      <c r="G1183" s="49"/>
      <c r="H1183" s="50" t="s">
        <v>3038</v>
      </c>
      <c r="I1183" s="49"/>
      <c r="J1183" s="49"/>
      <c r="K1183" s="49"/>
      <c r="L1183" s="49"/>
      <c r="M1183" s="49"/>
    </row>
    <row r="1184" spans="5:13">
      <c r="E1184" s="49"/>
      <c r="F1184" s="49"/>
      <c r="G1184" s="49"/>
      <c r="H1184" s="49"/>
      <c r="I1184" s="49"/>
      <c r="J1184" s="49"/>
      <c r="K1184" s="49"/>
      <c r="L1184" s="49"/>
      <c r="M1184" s="49"/>
    </row>
    <row r="1185" spans="5:13" ht="94.5">
      <c r="E1185" s="49"/>
      <c r="F1185" s="49"/>
      <c r="G1185" s="49"/>
      <c r="H1185" s="51" t="s">
        <v>2436</v>
      </c>
      <c r="I1185" s="49"/>
      <c r="J1185" s="49"/>
      <c r="K1185" s="49"/>
      <c r="L1185" s="49"/>
      <c r="M1185" s="49"/>
    </row>
    <row r="1186" spans="5:13">
      <c r="E1186" s="49"/>
      <c r="F1186" s="49"/>
      <c r="G1186" s="49"/>
      <c r="H1186" s="49"/>
      <c r="I1186" s="49"/>
      <c r="J1186" s="49"/>
      <c r="K1186" s="49"/>
      <c r="L1186" s="49"/>
      <c r="M1186" s="49"/>
    </row>
    <row r="1187" spans="5:13">
      <c r="E1187" s="49"/>
      <c r="F1187" s="49"/>
      <c r="G1187" s="49"/>
      <c r="H1187" s="49" t="s">
        <v>2792</v>
      </c>
      <c r="I1187" s="49"/>
      <c r="J1187" s="49"/>
      <c r="K1187" s="49">
        <f>K1172</f>
        <v>11538.15</v>
      </c>
      <c r="L1187" s="49"/>
      <c r="M1187" s="49"/>
    </row>
    <row r="1188" spans="5:13" ht="31.5">
      <c r="E1188" s="49"/>
      <c r="F1188" s="49">
        <v>360</v>
      </c>
      <c r="G1188" s="49" t="s">
        <v>13</v>
      </c>
      <c r="H1188" s="51" t="s">
        <v>3039</v>
      </c>
      <c r="I1188" s="52">
        <v>38.299999999999997</v>
      </c>
      <c r="J1188" s="49" t="s">
        <v>13</v>
      </c>
      <c r="K1188" s="49">
        <f>F1188*I1188</f>
        <v>13788</v>
      </c>
      <c r="L1188" s="49"/>
      <c r="M1188" s="49"/>
    </row>
    <row r="1189" spans="5:13">
      <c r="E1189" s="49"/>
      <c r="F1189" s="49">
        <v>180</v>
      </c>
      <c r="G1189" s="49" t="s">
        <v>13</v>
      </c>
      <c r="H1189" s="51" t="s">
        <v>2439</v>
      </c>
      <c r="I1189" s="49">
        <f>I1174</f>
        <v>16.55</v>
      </c>
      <c r="J1189" s="49" t="s">
        <v>2306</v>
      </c>
      <c r="K1189" s="49">
        <f>F1189*I1189</f>
        <v>2979</v>
      </c>
      <c r="L1189" s="49"/>
      <c r="M1189" s="49"/>
    </row>
    <row r="1190" spans="5:13">
      <c r="E1190" s="49"/>
      <c r="F1190" s="49"/>
      <c r="G1190" s="49"/>
      <c r="H1190" s="49" t="s">
        <v>1557</v>
      </c>
      <c r="I1190" s="49"/>
      <c r="J1190" s="49"/>
      <c r="K1190" s="49"/>
      <c r="L1190" s="49"/>
      <c r="M1190" s="49"/>
    </row>
    <row r="1191" spans="5:13">
      <c r="E1191" s="49"/>
      <c r="F1191" s="49"/>
      <c r="G1191" s="49"/>
      <c r="H1191" s="839" t="s">
        <v>2440</v>
      </c>
      <c r="I1191" s="49"/>
      <c r="J1191" s="49"/>
      <c r="K1191" s="847">
        <f>K1187+K1188-K1189+K1190</f>
        <v>22347.15</v>
      </c>
      <c r="L1191" s="49"/>
      <c r="M1191" s="49"/>
    </row>
    <row r="1192" spans="5:13">
      <c r="E1192" s="49"/>
      <c r="F1192" s="49"/>
      <c r="G1192" s="49"/>
      <c r="H1192" s="840" t="s">
        <v>2433</v>
      </c>
      <c r="I1192" s="49"/>
      <c r="J1192" s="49"/>
      <c r="K1192" s="50">
        <f>K1191/90</f>
        <v>248.3</v>
      </c>
      <c r="L1192" s="49"/>
      <c r="M1192" s="49"/>
    </row>
    <row r="1193" spans="5:13">
      <c r="E1193" s="49"/>
      <c r="F1193" s="49"/>
      <c r="G1193" s="49"/>
      <c r="H1193" s="49"/>
      <c r="I1193" s="49"/>
      <c r="J1193" s="49"/>
      <c r="K1193" s="49"/>
      <c r="L1193" s="49"/>
      <c r="M1193" s="49"/>
    </row>
    <row r="1194" spans="5:13">
      <c r="E1194" s="49"/>
      <c r="F1194" s="49"/>
      <c r="G1194" s="49"/>
      <c r="H1194" s="49"/>
      <c r="I1194" s="49"/>
      <c r="J1194" s="49"/>
      <c r="K1194" s="49"/>
      <c r="L1194" s="49"/>
      <c r="M1194" s="49"/>
    </row>
    <row r="1195" spans="5:13">
      <c r="E1195" s="49"/>
      <c r="F1195" s="49"/>
      <c r="G1195" s="49"/>
      <c r="H1195" s="49"/>
      <c r="I1195" s="49"/>
      <c r="J1195" s="49"/>
      <c r="K1195" s="49"/>
      <c r="L1195" s="49"/>
      <c r="M1195" s="49"/>
    </row>
    <row r="1196" spans="5:13">
      <c r="E1196" s="49"/>
      <c r="F1196" s="892"/>
      <c r="G1196" s="893"/>
      <c r="H1196" s="894" t="s">
        <v>3040</v>
      </c>
      <c r="I1196" s="892"/>
      <c r="J1196" s="899"/>
      <c r="K1196" s="900"/>
      <c r="L1196" s="49"/>
      <c r="M1196" s="49"/>
    </row>
    <row r="1197" spans="5:13">
      <c r="E1197" s="49"/>
      <c r="F1197" s="892"/>
      <c r="G1197" s="893"/>
      <c r="H1197" s="895" t="s">
        <v>3041</v>
      </c>
      <c r="I1197" s="892"/>
      <c r="J1197" s="899"/>
      <c r="K1197" s="892"/>
      <c r="L1197" s="49"/>
      <c r="M1197" s="49"/>
    </row>
    <row r="1198" spans="5:13">
      <c r="E1198" s="49"/>
      <c r="F1198" s="892"/>
      <c r="G1198" s="893"/>
      <c r="H1198" s="896" t="s">
        <v>3042</v>
      </c>
      <c r="I1198" s="892"/>
      <c r="J1198" s="899"/>
      <c r="K1198" s="892"/>
      <c r="L1198" s="49"/>
      <c r="M1198" s="49"/>
    </row>
    <row r="1199" spans="5:13">
      <c r="E1199" s="49"/>
      <c r="F1199" s="892"/>
      <c r="G1199" s="893"/>
      <c r="H1199" s="895" t="s">
        <v>3043</v>
      </c>
      <c r="I1199" s="892"/>
      <c r="J1199" s="899">
        <f>3.3*3.3*2+6.6+6.6+6.6</f>
        <v>41.58</v>
      </c>
      <c r="K1199" s="892"/>
      <c r="L1199" s="49"/>
      <c r="M1199" s="49"/>
    </row>
    <row r="1200" spans="5:13">
      <c r="E1200" s="49"/>
      <c r="F1200" s="892"/>
      <c r="G1200" s="893"/>
      <c r="H1200" s="895" t="s">
        <v>3044</v>
      </c>
      <c r="I1200" s="892"/>
      <c r="J1200" s="899"/>
      <c r="K1200" s="892"/>
      <c r="L1200" s="49"/>
      <c r="M1200" s="49"/>
    </row>
    <row r="1201" spans="5:13">
      <c r="E1201" s="49"/>
      <c r="F1201" s="892"/>
      <c r="G1201" s="893"/>
      <c r="H1201" s="895" t="s">
        <v>3045</v>
      </c>
      <c r="I1201" s="892"/>
      <c r="J1201" s="899"/>
      <c r="K1201" s="892"/>
      <c r="L1201" s="49"/>
      <c r="M1201" s="49"/>
    </row>
    <row r="1202" spans="5:13">
      <c r="E1202" s="49"/>
      <c r="F1202" s="892"/>
      <c r="G1202" s="893"/>
      <c r="H1202" s="895" t="s">
        <v>3046</v>
      </c>
      <c r="I1202" s="892"/>
      <c r="J1202" s="899"/>
      <c r="K1202" s="892"/>
      <c r="L1202" s="49"/>
      <c r="M1202" s="49"/>
    </row>
    <row r="1203" spans="5:13">
      <c r="E1203" s="49"/>
      <c r="F1203" s="892"/>
      <c r="G1203" s="893"/>
      <c r="H1203" s="895" t="s">
        <v>3047</v>
      </c>
      <c r="I1203" s="892"/>
      <c r="J1203" s="899"/>
      <c r="K1203" s="892"/>
      <c r="L1203" s="49"/>
      <c r="M1203" s="49"/>
    </row>
    <row r="1204" spans="5:13">
      <c r="E1204" s="49"/>
      <c r="F1204" s="892"/>
      <c r="G1204" s="893"/>
      <c r="H1204" s="896"/>
      <c r="I1204" s="892"/>
      <c r="J1204" s="899"/>
      <c r="K1204" s="892"/>
      <c r="L1204" s="49"/>
      <c r="M1204" s="49"/>
    </row>
    <row r="1205" spans="5:13">
      <c r="E1205" s="49"/>
      <c r="F1205" s="892"/>
      <c r="G1205" s="893"/>
      <c r="H1205" s="895" t="s">
        <v>3048</v>
      </c>
      <c r="I1205" s="892"/>
      <c r="J1205" s="899"/>
      <c r="K1205" s="892"/>
      <c r="L1205" s="49"/>
      <c r="M1205" s="49"/>
    </row>
    <row r="1206" spans="5:13">
      <c r="E1206" s="49"/>
      <c r="F1206" s="897"/>
      <c r="G1206" s="893"/>
      <c r="H1206" s="896" t="s">
        <v>3049</v>
      </c>
      <c r="I1206" s="892"/>
      <c r="J1206" s="899"/>
      <c r="K1206" s="892"/>
      <c r="L1206" s="49"/>
      <c r="M1206" s="49"/>
    </row>
    <row r="1207" spans="5:13">
      <c r="E1207" s="49"/>
      <c r="F1207" s="892"/>
      <c r="G1207" s="893"/>
      <c r="H1207" s="895" t="s">
        <v>3050</v>
      </c>
      <c r="I1207" s="892"/>
      <c r="J1207" s="899"/>
      <c r="K1207" s="892"/>
      <c r="L1207" s="49"/>
      <c r="M1207" s="49"/>
    </row>
    <row r="1208" spans="5:13">
      <c r="E1208" s="49"/>
      <c r="F1208" s="898">
        <v>53.512999999999998</v>
      </c>
      <c r="G1208" s="893" t="s">
        <v>476</v>
      </c>
      <c r="H1208" s="895" t="s">
        <v>3051</v>
      </c>
      <c r="I1208" s="901">
        <v>51.4</v>
      </c>
      <c r="J1208" s="899" t="s">
        <v>476</v>
      </c>
      <c r="K1208" s="892">
        <f>I1208*F1208</f>
        <v>2750.57</v>
      </c>
      <c r="L1208" s="49"/>
      <c r="M1208" s="49"/>
    </row>
    <row r="1209" spans="5:13">
      <c r="E1209" s="49"/>
      <c r="F1209" s="897"/>
      <c r="G1209" s="893"/>
      <c r="H1209" s="896" t="s">
        <v>3052</v>
      </c>
      <c r="I1209" s="892"/>
      <c r="J1209" s="899"/>
      <c r="K1209" s="892"/>
      <c r="L1209" s="49"/>
      <c r="M1209" s="49"/>
    </row>
    <row r="1210" spans="5:13">
      <c r="E1210" s="49"/>
      <c r="F1210" s="892"/>
      <c r="G1210" s="893"/>
      <c r="H1210" s="895" t="s">
        <v>3053</v>
      </c>
      <c r="I1210" s="892"/>
      <c r="J1210" s="899"/>
      <c r="K1210" s="892"/>
      <c r="L1210" s="49"/>
      <c r="M1210" s="49"/>
    </row>
    <row r="1211" spans="5:13">
      <c r="E1211" s="49"/>
      <c r="F1211" s="892"/>
      <c r="G1211" s="893"/>
      <c r="H1211" s="895" t="s">
        <v>3054</v>
      </c>
      <c r="I1211" s="892"/>
      <c r="J1211" s="899"/>
      <c r="K1211" s="892"/>
      <c r="L1211" s="49"/>
      <c r="M1211" s="49"/>
    </row>
    <row r="1212" spans="5:13">
      <c r="E1212" s="49"/>
      <c r="F1212" s="892"/>
      <c r="G1212" s="893"/>
      <c r="H1212" s="895" t="s">
        <v>3055</v>
      </c>
      <c r="I1212" s="892"/>
      <c r="J1212" s="899"/>
      <c r="K1212" s="892"/>
      <c r="L1212" s="49"/>
      <c r="M1212" s="49"/>
    </row>
    <row r="1213" spans="5:13">
      <c r="E1213" s="49"/>
      <c r="F1213" s="892"/>
      <c r="G1213" s="893"/>
      <c r="H1213" s="895" t="s">
        <v>3056</v>
      </c>
      <c r="I1213" s="892"/>
      <c r="J1213" s="899"/>
      <c r="K1213" s="892"/>
      <c r="L1213" s="49"/>
      <c r="M1213" s="49"/>
    </row>
    <row r="1214" spans="5:13" ht="25.5">
      <c r="E1214" s="49"/>
      <c r="F1214" s="892"/>
      <c r="G1214" s="893"/>
      <c r="H1214" s="895" t="s">
        <v>3057</v>
      </c>
      <c r="I1214" s="892"/>
      <c r="J1214" s="899"/>
      <c r="K1214" s="892"/>
      <c r="L1214" s="49"/>
      <c r="M1214" s="49"/>
    </row>
    <row r="1215" spans="5:13">
      <c r="E1215" s="49"/>
      <c r="F1215" s="892"/>
      <c r="G1215" s="893"/>
      <c r="H1215" s="895" t="s">
        <v>3058</v>
      </c>
      <c r="I1215" s="892"/>
      <c r="J1215" s="899"/>
      <c r="K1215" s="892"/>
      <c r="L1215" s="49"/>
      <c r="M1215" s="49"/>
    </row>
    <row r="1216" spans="5:13">
      <c r="E1216" s="49"/>
      <c r="F1216" s="892"/>
      <c r="G1216" s="893"/>
      <c r="H1216" s="895" t="s">
        <v>3059</v>
      </c>
      <c r="I1216" s="892"/>
      <c r="J1216" s="899"/>
      <c r="K1216" s="892"/>
      <c r="L1216" s="49"/>
      <c r="M1216" s="49"/>
    </row>
    <row r="1217" spans="5:13">
      <c r="E1217" s="49"/>
      <c r="F1217" s="892">
        <v>18.600000000000001</v>
      </c>
      <c r="G1217" s="893" t="s">
        <v>476</v>
      </c>
      <c r="H1217" s="895" t="s">
        <v>3060</v>
      </c>
      <c r="I1217" s="892">
        <f>I1208</f>
        <v>51.4</v>
      </c>
      <c r="J1217" s="899" t="s">
        <v>476</v>
      </c>
      <c r="K1217" s="892">
        <f>SUM(F1217*I1217)</f>
        <v>956.04</v>
      </c>
      <c r="L1217" s="49"/>
      <c r="M1217" s="49"/>
    </row>
    <row r="1218" spans="5:13">
      <c r="E1218" s="49"/>
      <c r="F1218" s="892"/>
      <c r="G1218" s="893"/>
      <c r="H1218" s="896" t="s">
        <v>3061</v>
      </c>
      <c r="I1218" s="892"/>
      <c r="J1218" s="899"/>
      <c r="K1218" s="892"/>
      <c r="L1218" s="49"/>
      <c r="M1218" s="49"/>
    </row>
    <row r="1219" spans="5:13">
      <c r="E1219" s="49"/>
      <c r="F1219" s="892"/>
      <c r="G1219" s="893"/>
      <c r="H1219" s="895" t="s">
        <v>3062</v>
      </c>
      <c r="I1219" s="892"/>
      <c r="J1219" s="899"/>
      <c r="K1219" s="892"/>
      <c r="L1219" s="49"/>
      <c r="M1219" s="49"/>
    </row>
    <row r="1220" spans="5:13">
      <c r="E1220" s="49"/>
      <c r="F1220" s="892"/>
      <c r="G1220" s="893"/>
      <c r="H1220" s="895" t="s">
        <v>3063</v>
      </c>
      <c r="I1220" s="892"/>
      <c r="J1220" s="899"/>
      <c r="K1220" s="892"/>
      <c r="L1220" s="49"/>
      <c r="M1220" s="49"/>
    </row>
    <row r="1221" spans="5:13">
      <c r="E1221" s="49"/>
      <c r="F1221" s="892"/>
      <c r="G1221" s="893"/>
      <c r="H1221" s="895" t="s">
        <v>3064</v>
      </c>
      <c r="I1221" s="892"/>
      <c r="J1221" s="899"/>
      <c r="K1221" s="892"/>
      <c r="L1221" s="49"/>
      <c r="M1221" s="49"/>
    </row>
    <row r="1222" spans="5:13">
      <c r="E1222" s="49"/>
      <c r="F1222" s="892"/>
      <c r="G1222" s="893"/>
      <c r="H1222" s="895" t="s">
        <v>3065</v>
      </c>
      <c r="I1222" s="892"/>
      <c r="J1222" s="899"/>
      <c r="K1222" s="892"/>
      <c r="L1222" s="49"/>
      <c r="M1222" s="49"/>
    </row>
    <row r="1223" spans="5:13">
      <c r="E1223" s="49"/>
      <c r="F1223" s="892"/>
      <c r="G1223" s="893"/>
      <c r="H1223" s="895" t="s">
        <v>3066</v>
      </c>
      <c r="I1223" s="892"/>
      <c r="J1223" s="899"/>
      <c r="K1223" s="892"/>
      <c r="L1223" s="49"/>
      <c r="M1223" s="49"/>
    </row>
    <row r="1224" spans="5:13" ht="25.5">
      <c r="E1224" s="49"/>
      <c r="F1224" s="892"/>
      <c r="G1224" s="893"/>
      <c r="H1224" s="895" t="s">
        <v>3067</v>
      </c>
      <c r="I1224" s="892"/>
      <c r="J1224" s="899"/>
      <c r="K1224" s="892"/>
      <c r="L1224" s="49"/>
      <c r="M1224" s="49"/>
    </row>
    <row r="1225" spans="5:13">
      <c r="E1225" s="49"/>
      <c r="F1225" s="892"/>
      <c r="G1225" s="893"/>
      <c r="H1225" s="895" t="s">
        <v>3068</v>
      </c>
      <c r="I1225" s="892"/>
      <c r="J1225" s="899"/>
      <c r="K1225" s="892"/>
      <c r="L1225" s="49"/>
      <c r="M1225" s="49"/>
    </row>
    <row r="1226" spans="5:13">
      <c r="E1226" s="49"/>
      <c r="F1226" s="892"/>
      <c r="G1226" s="893"/>
      <c r="H1226" s="895" t="s">
        <v>3069</v>
      </c>
      <c r="I1226" s="892"/>
      <c r="J1226" s="899"/>
      <c r="K1226" s="892"/>
      <c r="L1226" s="49"/>
      <c r="M1226" s="49"/>
    </row>
    <row r="1227" spans="5:13" ht="25.5">
      <c r="E1227" s="49"/>
      <c r="F1227" s="892"/>
      <c r="G1227" s="893"/>
      <c r="H1227" s="895" t="s">
        <v>3070</v>
      </c>
      <c r="I1227" s="892"/>
      <c r="J1227" s="899"/>
      <c r="K1227" s="892"/>
      <c r="L1227" s="49"/>
      <c r="M1227" s="49"/>
    </row>
    <row r="1228" spans="5:13">
      <c r="E1228" s="49"/>
      <c r="F1228" s="892"/>
      <c r="G1228" s="893"/>
      <c r="H1228" s="895" t="s">
        <v>3071</v>
      </c>
      <c r="I1228" s="892"/>
      <c r="J1228" s="899"/>
      <c r="K1228" s="892"/>
      <c r="L1228" s="49"/>
      <c r="M1228" s="49"/>
    </row>
    <row r="1229" spans="5:13">
      <c r="E1229" s="49"/>
      <c r="F1229" s="892"/>
      <c r="G1229" s="893"/>
      <c r="H1229" s="895"/>
      <c r="I1229" s="892"/>
      <c r="J1229" s="899"/>
      <c r="K1229" s="892"/>
      <c r="L1229" s="49"/>
      <c r="M1229" s="49"/>
    </row>
    <row r="1230" spans="5:13">
      <c r="E1230" s="49"/>
      <c r="F1230" s="892"/>
      <c r="G1230" s="893"/>
      <c r="H1230" s="895" t="s">
        <v>3072</v>
      </c>
      <c r="I1230" s="892"/>
      <c r="J1230" s="899"/>
      <c r="K1230" s="892"/>
      <c r="L1230" s="49"/>
      <c r="M1230" s="49"/>
    </row>
    <row r="1231" spans="5:13">
      <c r="E1231" s="49"/>
      <c r="F1231" s="892"/>
      <c r="G1231" s="893"/>
      <c r="H1231" s="895"/>
      <c r="I1231" s="892"/>
      <c r="J1231" s="899"/>
      <c r="K1231" s="892"/>
      <c r="L1231" s="49"/>
      <c r="M1231" s="49"/>
    </row>
    <row r="1232" spans="5:13">
      <c r="E1232" s="49"/>
      <c r="F1232" s="892">
        <v>5.92</v>
      </c>
      <c r="G1232" s="893" t="s">
        <v>476</v>
      </c>
      <c r="H1232" s="895" t="s">
        <v>3073</v>
      </c>
      <c r="I1232" s="901">
        <v>526</v>
      </c>
      <c r="J1232" s="899" t="s">
        <v>476</v>
      </c>
      <c r="K1232" s="892">
        <f>SUM(F1232*I1232)</f>
        <v>3113.92</v>
      </c>
      <c r="L1232" s="49"/>
      <c r="M1232" s="49"/>
    </row>
    <row r="1233" spans="5:13">
      <c r="E1233" s="49"/>
      <c r="F1233" s="892">
        <f>F1232</f>
        <v>5.92</v>
      </c>
      <c r="G1233" s="893" t="s">
        <v>476</v>
      </c>
      <c r="H1233" s="895" t="s">
        <v>3074</v>
      </c>
      <c r="I1233" s="907">
        <v>10</v>
      </c>
      <c r="J1233" s="899" t="s">
        <v>476</v>
      </c>
      <c r="K1233" s="892">
        <f>SUM(F1233*I1233)</f>
        <v>59.2</v>
      </c>
      <c r="L1233" s="49"/>
      <c r="M1233" s="49"/>
    </row>
    <row r="1234" spans="5:13">
      <c r="E1234" s="49"/>
      <c r="F1234" s="892"/>
      <c r="G1234" s="893"/>
      <c r="H1234" s="895"/>
      <c r="I1234" s="892"/>
      <c r="J1234" s="899"/>
      <c r="K1234" s="892"/>
      <c r="L1234" s="49"/>
      <c r="M1234" s="49"/>
    </row>
    <row r="1235" spans="5:13">
      <c r="E1235" s="49"/>
      <c r="F1235" s="892"/>
      <c r="G1235" s="893"/>
      <c r="H1235" s="896" t="s">
        <v>3075</v>
      </c>
      <c r="I1235" s="892"/>
      <c r="J1235" s="899"/>
      <c r="K1235" s="892"/>
      <c r="L1235" s="49"/>
      <c r="M1235" s="49"/>
    </row>
    <row r="1236" spans="5:13">
      <c r="E1236" s="49"/>
      <c r="F1236" s="892"/>
      <c r="G1236" s="893"/>
      <c r="H1236" s="895" t="s">
        <v>3076</v>
      </c>
      <c r="I1236" s="892"/>
      <c r="J1236" s="899"/>
      <c r="K1236" s="892"/>
      <c r="L1236" s="49"/>
      <c r="M1236" s="49"/>
    </row>
    <row r="1237" spans="5:13">
      <c r="E1237" s="49"/>
      <c r="F1237" s="892"/>
      <c r="G1237" s="893"/>
      <c r="H1237" s="895" t="s">
        <v>3077</v>
      </c>
      <c r="I1237" s="892"/>
      <c r="J1237" s="899"/>
      <c r="K1237" s="892"/>
      <c r="L1237" s="49"/>
      <c r="M1237" s="49"/>
    </row>
    <row r="1238" spans="5:13">
      <c r="E1238" s="49"/>
      <c r="F1238" s="892"/>
      <c r="G1238" s="893"/>
      <c r="H1238" s="895" t="s">
        <v>3078</v>
      </c>
      <c r="I1238" s="892"/>
      <c r="J1238" s="899"/>
      <c r="K1238" s="892"/>
      <c r="L1238" s="49"/>
      <c r="M1238" s="49"/>
    </row>
    <row r="1239" spans="5:13">
      <c r="E1239" s="49"/>
      <c r="F1239" s="892">
        <v>3.6</v>
      </c>
      <c r="G1239" s="893" t="s">
        <v>476</v>
      </c>
      <c r="H1239" s="895" t="s">
        <v>3079</v>
      </c>
      <c r="I1239" s="901">
        <v>94.9</v>
      </c>
      <c r="J1239" s="899" t="s">
        <v>476</v>
      </c>
      <c r="K1239" s="892">
        <f>I1239*F1239</f>
        <v>341.64</v>
      </c>
      <c r="L1239" s="49"/>
      <c r="M1239" s="49"/>
    </row>
    <row r="1240" spans="5:13">
      <c r="E1240" s="49"/>
      <c r="F1240" s="892"/>
      <c r="G1240" s="893"/>
      <c r="H1240" s="896" t="s">
        <v>3080</v>
      </c>
      <c r="I1240" s="892"/>
      <c r="J1240" s="899"/>
      <c r="K1240" s="892"/>
      <c r="L1240" s="49"/>
      <c r="M1240" s="49"/>
    </row>
    <row r="1241" spans="5:13">
      <c r="E1241" s="49"/>
      <c r="F1241" s="892">
        <v>3</v>
      </c>
      <c r="G1241" s="893" t="s">
        <v>3081</v>
      </c>
      <c r="H1241" s="895" t="s">
        <v>3082</v>
      </c>
      <c r="I1241" s="901">
        <v>550</v>
      </c>
      <c r="J1241" s="899" t="s">
        <v>729</v>
      </c>
      <c r="K1241" s="892">
        <f>I1241*F1241</f>
        <v>1650</v>
      </c>
      <c r="L1241" s="49"/>
      <c r="M1241" s="49"/>
    </row>
    <row r="1242" spans="5:13">
      <c r="E1242" s="49"/>
      <c r="F1242" s="892">
        <v>1</v>
      </c>
      <c r="G1242" s="893" t="s">
        <v>3081</v>
      </c>
      <c r="H1242" s="895" t="s">
        <v>3083</v>
      </c>
      <c r="I1242" s="901">
        <v>340.3</v>
      </c>
      <c r="J1242" s="899" t="s">
        <v>729</v>
      </c>
      <c r="K1242" s="892">
        <f>I1242*F1242</f>
        <v>340.3</v>
      </c>
      <c r="L1242" s="49"/>
      <c r="M1242" s="49"/>
    </row>
    <row r="1243" spans="5:13">
      <c r="E1243" s="49"/>
      <c r="F1243" s="892">
        <v>1</v>
      </c>
      <c r="G1243" s="893" t="s">
        <v>3081</v>
      </c>
      <c r="H1243" s="895" t="s">
        <v>3084</v>
      </c>
      <c r="I1243" s="907">
        <f>I1242</f>
        <v>340.3</v>
      </c>
      <c r="J1243" s="899" t="s">
        <v>729</v>
      </c>
      <c r="K1243" s="892">
        <f>I1243*F1243</f>
        <v>340.3</v>
      </c>
      <c r="L1243" s="49"/>
      <c r="M1243" s="49"/>
    </row>
    <row r="1244" spans="5:13">
      <c r="E1244" s="49"/>
      <c r="F1244" s="902">
        <v>800</v>
      </c>
      <c r="G1244" s="899" t="s">
        <v>3085</v>
      </c>
      <c r="H1244" s="895" t="s">
        <v>3086</v>
      </c>
      <c r="I1244" s="892">
        <v>1</v>
      </c>
      <c r="J1244" s="899" t="s">
        <v>3085</v>
      </c>
      <c r="K1244" s="892">
        <f>SUM(F1244*I1244)</f>
        <v>800</v>
      </c>
      <c r="L1244" s="49"/>
      <c r="M1244" s="49"/>
    </row>
    <row r="1245" spans="5:13">
      <c r="E1245" s="49"/>
      <c r="F1245" s="892"/>
      <c r="G1245" s="893"/>
      <c r="H1245" s="895" t="s">
        <v>3087</v>
      </c>
      <c r="I1245" s="892"/>
      <c r="J1245" s="899"/>
      <c r="K1245" s="892"/>
      <c r="L1245" s="49"/>
      <c r="M1245" s="49"/>
    </row>
    <row r="1246" spans="5:13">
      <c r="E1246" s="49"/>
      <c r="F1246" s="892"/>
      <c r="G1246" s="893"/>
      <c r="H1246" s="895" t="s">
        <v>3088</v>
      </c>
      <c r="I1246" s="892"/>
      <c r="J1246" s="899"/>
      <c r="K1246" s="892"/>
      <c r="L1246" s="49"/>
      <c r="M1246" s="49"/>
    </row>
    <row r="1247" spans="5:13">
      <c r="E1247" s="49"/>
      <c r="F1247" s="903">
        <v>0.27</v>
      </c>
      <c r="G1247" s="893" t="s">
        <v>3089</v>
      </c>
      <c r="H1247" s="895" t="s">
        <v>3090</v>
      </c>
      <c r="I1247" s="892">
        <f>630*2</f>
        <v>1260</v>
      </c>
      <c r="J1247" s="908" t="s">
        <v>3089</v>
      </c>
      <c r="K1247" s="892">
        <f t="shared" ref="K1247:K1254" si="23">SUM(F1247*I1247)</f>
        <v>340.2</v>
      </c>
      <c r="L1247" s="49"/>
      <c r="M1247" s="49"/>
    </row>
    <row r="1248" spans="5:13">
      <c r="E1248" s="49"/>
      <c r="F1248" s="892">
        <v>9</v>
      </c>
      <c r="G1248" s="893" t="s">
        <v>41</v>
      </c>
      <c r="H1248" s="895" t="s">
        <v>3091</v>
      </c>
      <c r="I1248" s="907">
        <v>20</v>
      </c>
      <c r="J1248" s="899" t="s">
        <v>2847</v>
      </c>
      <c r="K1248" s="892">
        <f t="shared" si="23"/>
        <v>180</v>
      </c>
      <c r="L1248" s="49"/>
      <c r="M1248" s="49"/>
    </row>
    <row r="1249" spans="5:13">
      <c r="E1249" s="49"/>
      <c r="F1249" s="892">
        <v>2</v>
      </c>
      <c r="G1249" s="893" t="s">
        <v>3092</v>
      </c>
      <c r="H1249" s="895" t="s">
        <v>3093</v>
      </c>
      <c r="I1249" s="907">
        <v>280</v>
      </c>
      <c r="J1249" s="899" t="s">
        <v>3092</v>
      </c>
      <c r="K1249" s="892">
        <f t="shared" si="23"/>
        <v>560</v>
      </c>
      <c r="L1249" s="49"/>
      <c r="M1249" s="49"/>
    </row>
    <row r="1250" spans="5:13">
      <c r="E1250" s="49"/>
      <c r="F1250" s="892">
        <v>5</v>
      </c>
      <c r="G1250" s="893" t="s">
        <v>2092</v>
      </c>
      <c r="H1250" s="895" t="s">
        <v>3094</v>
      </c>
      <c r="I1250" s="901">
        <v>9.8000000000000007</v>
      </c>
      <c r="J1250" s="908" t="s">
        <v>2092</v>
      </c>
      <c r="K1250" s="892">
        <f t="shared" si="23"/>
        <v>49</v>
      </c>
      <c r="L1250" s="49"/>
      <c r="M1250" s="49"/>
    </row>
    <row r="1251" spans="5:13">
      <c r="E1251" s="49"/>
      <c r="F1251" s="904">
        <v>53.512999999999998</v>
      </c>
      <c r="G1251" s="905" t="s">
        <v>476</v>
      </c>
      <c r="H1251" s="895" t="s">
        <v>3095</v>
      </c>
      <c r="I1251" s="909">
        <v>47.8</v>
      </c>
      <c r="J1251" s="910" t="s">
        <v>476</v>
      </c>
      <c r="K1251" s="909">
        <f t="shared" si="23"/>
        <v>2557.92</v>
      </c>
      <c r="L1251" s="49"/>
      <c r="M1251" s="49"/>
    </row>
    <row r="1252" spans="5:13">
      <c r="E1252" s="49"/>
      <c r="F1252" s="904">
        <v>18.600000000000001</v>
      </c>
      <c r="G1252" s="905" t="s">
        <v>476</v>
      </c>
      <c r="H1252" s="895" t="s">
        <v>3096</v>
      </c>
      <c r="I1252" s="909">
        <v>47.8</v>
      </c>
      <c r="J1252" s="910" t="s">
        <v>476</v>
      </c>
      <c r="K1252" s="909">
        <f t="shared" si="23"/>
        <v>889.08</v>
      </c>
      <c r="L1252" s="49"/>
      <c r="M1252" s="49"/>
    </row>
    <row r="1253" spans="5:13">
      <c r="E1253" s="49"/>
      <c r="F1253" s="892">
        <v>12</v>
      </c>
      <c r="G1253" s="893" t="s">
        <v>41</v>
      </c>
      <c r="H1253" s="895" t="s">
        <v>3097</v>
      </c>
      <c r="I1253" s="907">
        <v>1898</v>
      </c>
      <c r="J1253" s="908" t="s">
        <v>729</v>
      </c>
      <c r="K1253" s="892">
        <f t="shared" si="23"/>
        <v>22776</v>
      </c>
      <c r="L1253" s="49"/>
      <c r="M1253" s="49"/>
    </row>
    <row r="1254" spans="5:13">
      <c r="E1254" s="49"/>
      <c r="F1254" s="892">
        <v>83.16</v>
      </c>
      <c r="G1254" s="893" t="s">
        <v>3098</v>
      </c>
      <c r="H1254" s="895" t="s">
        <v>3099</v>
      </c>
      <c r="I1254" s="892">
        <v>10</v>
      </c>
      <c r="J1254" s="908" t="s">
        <v>3100</v>
      </c>
      <c r="K1254" s="892">
        <f t="shared" si="23"/>
        <v>831.6</v>
      </c>
      <c r="L1254" s="49"/>
      <c r="M1254" s="49"/>
    </row>
    <row r="1255" spans="5:13" ht="25.5">
      <c r="E1255" s="49"/>
      <c r="F1255" s="897">
        <v>24</v>
      </c>
      <c r="G1255" s="893" t="s">
        <v>3101</v>
      </c>
      <c r="H1255" s="906" t="s">
        <v>3102</v>
      </c>
      <c r="I1255" s="892">
        <v>56.7</v>
      </c>
      <c r="J1255" s="911" t="s">
        <v>3103</v>
      </c>
      <c r="K1255" s="892">
        <f>I1255*F1255</f>
        <v>1360.8</v>
      </c>
      <c r="L1255" s="49"/>
      <c r="M1255" s="49"/>
    </row>
    <row r="1256" spans="5:13">
      <c r="E1256" s="49"/>
      <c r="F1256" s="892"/>
      <c r="G1256" s="893"/>
      <c r="H1256" s="895" t="s">
        <v>3104</v>
      </c>
      <c r="I1256" s="892"/>
      <c r="J1256" s="899"/>
      <c r="K1256" s="892">
        <v>200</v>
      </c>
      <c r="L1256" s="49"/>
      <c r="M1256" s="49"/>
    </row>
    <row r="1257" spans="5:13">
      <c r="E1257" s="49"/>
      <c r="F1257" s="892"/>
      <c r="G1257" s="893"/>
      <c r="H1257" s="895"/>
      <c r="I1257" s="892" t="s">
        <v>104</v>
      </c>
      <c r="J1257" s="899"/>
      <c r="K1257" s="900">
        <f>SUM(K1208:K1256)</f>
        <v>40096.57</v>
      </c>
      <c r="L1257" s="49"/>
      <c r="M1257" s="49"/>
    </row>
    <row r="1258" spans="5:13">
      <c r="E1258" s="49"/>
      <c r="F1258" s="892"/>
      <c r="G1258" s="893"/>
      <c r="H1258" s="895" t="s">
        <v>3105</v>
      </c>
      <c r="I1258" s="892"/>
      <c r="J1258" s="899"/>
      <c r="K1258" s="892">
        <f>K1257*2/100</f>
        <v>801.93</v>
      </c>
      <c r="L1258" s="49"/>
      <c r="M1258" s="49"/>
    </row>
    <row r="1259" spans="5:13">
      <c r="E1259" s="49"/>
      <c r="F1259" s="892"/>
      <c r="G1259" s="893"/>
      <c r="H1259" s="895"/>
      <c r="I1259" s="892"/>
      <c r="J1259" s="899"/>
      <c r="K1259" s="900">
        <f>SUM(K1257:K1258)</f>
        <v>40898.5</v>
      </c>
      <c r="L1259" s="49"/>
      <c r="M1259" s="49"/>
    </row>
    <row r="1260" spans="5:13">
      <c r="E1260" s="49"/>
      <c r="F1260" s="892"/>
      <c r="G1260" s="893"/>
      <c r="H1260" s="896" t="s">
        <v>3106</v>
      </c>
      <c r="I1260" s="892"/>
      <c r="J1260" s="899"/>
      <c r="K1260" s="892"/>
      <c r="L1260" s="49"/>
      <c r="M1260" s="49"/>
    </row>
    <row r="1261" spans="5:13">
      <c r="E1261" s="49"/>
      <c r="F1261" s="892"/>
      <c r="G1261" s="893"/>
      <c r="H1261" s="895" t="s">
        <v>3107</v>
      </c>
      <c r="I1261" s="892"/>
      <c r="J1261" s="899"/>
      <c r="K1261" s="892">
        <v>1500</v>
      </c>
      <c r="L1261" s="49"/>
      <c r="M1261" s="49"/>
    </row>
    <row r="1262" spans="5:13">
      <c r="E1262" s="49"/>
      <c r="F1262" s="892"/>
      <c r="G1262" s="893"/>
      <c r="H1262" s="895" t="s">
        <v>3108</v>
      </c>
      <c r="I1262" s="892"/>
      <c r="J1262" s="899"/>
      <c r="K1262" s="892">
        <v>4000</v>
      </c>
      <c r="L1262" s="49"/>
      <c r="M1262" s="49"/>
    </row>
    <row r="1263" spans="5:13">
      <c r="E1263" s="49"/>
      <c r="F1263" s="892"/>
      <c r="G1263" s="893"/>
      <c r="H1263" s="895"/>
      <c r="I1263" s="892"/>
      <c r="J1263" s="899"/>
      <c r="K1263" s="900">
        <f>SUM(K1259:K1262)</f>
        <v>46398.5</v>
      </c>
      <c r="L1263" s="49"/>
      <c r="M1263" s="49"/>
    </row>
    <row r="1264" spans="5:13">
      <c r="E1264" s="49"/>
      <c r="F1264" s="892"/>
      <c r="G1264" s="893"/>
      <c r="H1264" s="895"/>
      <c r="I1264" s="892"/>
      <c r="J1264" s="899"/>
      <c r="K1264" s="892" t="s">
        <v>3109</v>
      </c>
      <c r="L1264" s="49"/>
      <c r="M1264" s="49"/>
    </row>
    <row r="1265" spans="5:13">
      <c r="E1265" s="49"/>
      <c r="F1265" s="892"/>
      <c r="G1265" s="893"/>
      <c r="H1265" s="895"/>
      <c r="I1265" s="892"/>
      <c r="J1265" s="899"/>
      <c r="K1265" s="912">
        <f>K1263</f>
        <v>46398.5</v>
      </c>
      <c r="L1265" s="49"/>
      <c r="M1265" s="49"/>
    </row>
    <row r="1266" spans="5:13">
      <c r="E1266" s="49"/>
      <c r="F1266" s="49"/>
      <c r="G1266" s="49"/>
      <c r="H1266" s="49"/>
      <c r="I1266" s="49"/>
      <c r="J1266" s="49"/>
      <c r="K1266" s="49"/>
      <c r="L1266" s="49"/>
      <c r="M1266" s="49"/>
    </row>
    <row r="1267" spans="5:13">
      <c r="E1267" s="49"/>
      <c r="F1267" s="49"/>
      <c r="G1267" s="49"/>
      <c r="H1267" s="49"/>
      <c r="I1267" s="49"/>
      <c r="J1267" s="49"/>
      <c r="K1267" s="49"/>
      <c r="L1267" s="49"/>
      <c r="M1267" s="49"/>
    </row>
    <row r="1268" spans="5:13">
      <c r="E1268" s="49"/>
      <c r="F1268" s="49"/>
      <c r="G1268" s="49"/>
      <c r="H1268" s="49"/>
      <c r="I1268" s="49"/>
      <c r="J1268" s="49"/>
      <c r="K1268" s="49"/>
      <c r="L1268" s="49"/>
      <c r="M1268" s="49"/>
    </row>
    <row r="1269" spans="5:13">
      <c r="E1269" s="49"/>
      <c r="F1269" s="49"/>
      <c r="G1269" s="49"/>
      <c r="H1269" s="49"/>
      <c r="I1269" s="49"/>
      <c r="J1269" s="49"/>
      <c r="K1269" s="49"/>
      <c r="L1269" s="49"/>
      <c r="M1269" s="49"/>
    </row>
    <row r="1270" spans="5:13">
      <c r="E1270" s="49"/>
      <c r="F1270" s="49"/>
      <c r="G1270" s="49"/>
      <c r="H1270" s="49"/>
      <c r="I1270" s="49"/>
      <c r="J1270" s="49"/>
      <c r="K1270" s="49"/>
      <c r="L1270" s="49"/>
      <c r="M1270" s="49"/>
    </row>
    <row r="1271" spans="5:13">
      <c r="E1271" s="49"/>
      <c r="F1271" s="49"/>
      <c r="G1271" s="49"/>
      <c r="H1271" s="49"/>
      <c r="I1271" s="49"/>
      <c r="J1271" s="49"/>
      <c r="K1271" s="49"/>
      <c r="L1271" s="49"/>
      <c r="M1271" s="49"/>
    </row>
    <row r="1272" spans="5:13">
      <c r="E1272" s="49"/>
      <c r="F1272" s="49"/>
      <c r="G1272" s="49"/>
      <c r="H1272" s="49"/>
      <c r="I1272" s="49"/>
      <c r="J1272" s="49"/>
      <c r="K1272" s="49"/>
      <c r="L1272" s="49"/>
      <c r="M1272" s="49"/>
    </row>
    <row r="1273" spans="5:13">
      <c r="E1273" s="49"/>
      <c r="F1273" s="49"/>
      <c r="G1273" s="49"/>
      <c r="H1273" s="49"/>
      <c r="I1273" s="49"/>
      <c r="J1273" s="49"/>
      <c r="K1273" s="49"/>
      <c r="L1273" s="49"/>
      <c r="M1273" s="49"/>
    </row>
    <row r="1274" spans="5:13">
      <c r="E1274" s="49"/>
      <c r="F1274" s="49"/>
      <c r="G1274" s="49"/>
      <c r="H1274" s="49"/>
      <c r="I1274" s="49"/>
      <c r="J1274" s="49"/>
      <c r="K1274" s="49"/>
      <c r="L1274" s="49"/>
      <c r="M1274" s="49"/>
    </row>
    <row r="1275" spans="5:13">
      <c r="E1275" s="49"/>
      <c r="F1275" s="49"/>
      <c r="G1275" s="49"/>
      <c r="H1275" s="49"/>
      <c r="I1275" s="49"/>
      <c r="J1275" s="49"/>
      <c r="K1275" s="49"/>
      <c r="L1275" s="49"/>
      <c r="M1275" s="49"/>
    </row>
    <row r="1276" spans="5:13">
      <c r="E1276" s="49"/>
      <c r="F1276" s="49"/>
      <c r="G1276" s="49"/>
      <c r="H1276" s="49"/>
      <c r="I1276" s="49"/>
      <c r="J1276" s="49"/>
      <c r="K1276" s="49"/>
      <c r="L1276" s="49"/>
      <c r="M1276" s="49"/>
    </row>
    <row r="1277" spans="5:13">
      <c r="E1277" s="49"/>
      <c r="F1277" s="49"/>
      <c r="G1277" s="49"/>
      <c r="H1277" s="49"/>
      <c r="I1277" s="49"/>
      <c r="J1277" s="49"/>
      <c r="K1277" s="49"/>
      <c r="L1277" s="49"/>
      <c r="M1277" s="49"/>
    </row>
    <row r="1278" spans="5:13">
      <c r="E1278" s="49"/>
      <c r="F1278" s="49"/>
      <c r="G1278" s="49"/>
      <c r="H1278" s="49"/>
      <c r="I1278" s="49"/>
      <c r="J1278" s="49"/>
      <c r="K1278" s="49"/>
      <c r="L1278" s="49"/>
      <c r="M1278" s="49"/>
    </row>
    <row r="1279" spans="5:13">
      <c r="E1279" s="49"/>
      <c r="F1279" s="49"/>
      <c r="G1279" s="49"/>
      <c r="H1279" s="49"/>
      <c r="I1279" s="49"/>
      <c r="J1279" s="49"/>
      <c r="K1279" s="49"/>
      <c r="L1279" s="49"/>
      <c r="M1279" s="49"/>
    </row>
    <row r="1280" spans="5:13">
      <c r="E1280" s="49"/>
      <c r="F1280" s="49"/>
      <c r="G1280" s="49"/>
      <c r="H1280" s="49"/>
      <c r="I1280" s="49"/>
      <c r="J1280" s="49"/>
      <c r="K1280" s="49"/>
      <c r="L1280" s="49"/>
      <c r="M1280" s="49"/>
    </row>
    <row r="1281" spans="5:13">
      <c r="E1281" s="49"/>
      <c r="F1281" s="49"/>
      <c r="G1281" s="49"/>
      <c r="H1281" s="49"/>
      <c r="I1281" s="49"/>
      <c r="J1281" s="49"/>
      <c r="K1281" s="49"/>
      <c r="L1281" s="49"/>
      <c r="M1281" s="49"/>
    </row>
    <row r="1282" spans="5:13">
      <c r="E1282" s="49"/>
      <c r="F1282" s="49"/>
      <c r="G1282" s="49"/>
      <c r="H1282" s="49"/>
      <c r="I1282" s="49"/>
      <c r="J1282" s="49"/>
      <c r="K1282" s="49"/>
      <c r="L1282" s="49"/>
      <c r="M1282" s="49"/>
    </row>
    <row r="1283" spans="5:13">
      <c r="E1283" s="49"/>
      <c r="F1283" s="49"/>
      <c r="G1283" s="49"/>
      <c r="H1283" s="49"/>
      <c r="I1283" s="49"/>
      <c r="J1283" s="49"/>
      <c r="K1283" s="49"/>
      <c r="L1283" s="49"/>
      <c r="M1283" s="49"/>
    </row>
    <row r="1284" spans="5:13">
      <c r="E1284" s="49"/>
      <c r="F1284" s="49"/>
      <c r="G1284" s="49"/>
      <c r="H1284" s="49"/>
      <c r="I1284" s="49"/>
      <c r="J1284" s="49"/>
      <c r="K1284" s="49"/>
      <c r="L1284" s="49"/>
      <c r="M1284" s="49"/>
    </row>
    <row r="1285" spans="5:13">
      <c r="E1285" s="49"/>
      <c r="F1285" s="49"/>
      <c r="G1285" s="49"/>
      <c r="H1285" s="49"/>
      <c r="I1285" s="49"/>
      <c r="J1285" s="49"/>
      <c r="K1285" s="49"/>
      <c r="L1285" s="49"/>
      <c r="M1285" s="49"/>
    </row>
    <row r="1286" spans="5:13">
      <c r="E1286" s="49"/>
      <c r="F1286" s="49"/>
      <c r="G1286" s="49"/>
      <c r="H1286" s="49"/>
      <c r="I1286" s="49"/>
      <c r="J1286" s="49"/>
      <c r="K1286" s="49"/>
      <c r="L1286" s="49"/>
      <c r="M1286" s="49"/>
    </row>
    <row r="1287" spans="5:13">
      <c r="E1287" s="49"/>
      <c r="F1287" s="49"/>
      <c r="G1287" s="49"/>
      <c r="H1287" s="49"/>
      <c r="I1287" s="49"/>
      <c r="J1287" s="49"/>
      <c r="K1287" s="49"/>
      <c r="L1287" s="49"/>
      <c r="M1287" s="49"/>
    </row>
    <row r="1288" spans="5:13">
      <c r="E1288" s="49"/>
      <c r="F1288" s="49"/>
      <c r="G1288" s="49"/>
      <c r="H1288" s="49"/>
      <c r="I1288" s="49"/>
      <c r="J1288" s="49"/>
      <c r="K1288" s="49"/>
      <c r="L1288" s="49"/>
      <c r="M1288" s="49"/>
    </row>
    <row r="1289" spans="5:13">
      <c r="E1289" s="49"/>
      <c r="F1289" s="49"/>
      <c r="G1289" s="49"/>
      <c r="H1289" s="49"/>
      <c r="I1289" s="49"/>
      <c r="J1289" s="49"/>
      <c r="K1289" s="49"/>
      <c r="L1289" s="49"/>
      <c r="M1289" s="49"/>
    </row>
    <row r="1290" spans="5:13">
      <c r="E1290" s="49"/>
      <c r="F1290" s="49"/>
      <c r="G1290" s="49"/>
      <c r="H1290" s="49"/>
      <c r="I1290" s="49"/>
      <c r="J1290" s="49"/>
      <c r="K1290" s="49"/>
      <c r="L1290" s="49"/>
      <c r="M1290" s="49"/>
    </row>
    <row r="1291" spans="5:13">
      <c r="E1291" s="49"/>
      <c r="F1291" s="49"/>
      <c r="G1291" s="49"/>
      <c r="H1291" s="49"/>
      <c r="I1291" s="49"/>
      <c r="J1291" s="49"/>
      <c r="K1291" s="49"/>
      <c r="L1291" s="49"/>
      <c r="M1291" s="49"/>
    </row>
    <row r="1292" spans="5:13">
      <c r="E1292" s="49"/>
      <c r="F1292" s="49"/>
      <c r="G1292" s="49"/>
      <c r="H1292" s="49"/>
      <c r="I1292" s="49"/>
      <c r="J1292" s="49"/>
      <c r="K1292" s="49"/>
      <c r="L1292" s="49"/>
      <c r="M1292" s="49"/>
    </row>
    <row r="1293" spans="5:13">
      <c r="E1293" s="49"/>
      <c r="F1293" s="49"/>
      <c r="G1293" s="49"/>
      <c r="H1293" s="49"/>
      <c r="I1293" s="49"/>
      <c r="J1293" s="49"/>
      <c r="K1293" s="49"/>
      <c r="L1293" s="49"/>
      <c r="M1293" s="49"/>
    </row>
    <row r="1294" spans="5:13">
      <c r="E1294" s="49"/>
      <c r="F1294" s="49"/>
      <c r="G1294" s="49"/>
      <c r="H1294" s="49"/>
      <c r="I1294" s="49"/>
      <c r="J1294" s="49"/>
      <c r="K1294" s="49"/>
      <c r="L1294" s="49"/>
      <c r="M1294" s="49"/>
    </row>
    <row r="1295" spans="5:13">
      <c r="E1295" s="49"/>
      <c r="F1295" s="49"/>
      <c r="G1295" s="49"/>
      <c r="H1295" s="49"/>
      <c r="I1295" s="49"/>
      <c r="J1295" s="49"/>
      <c r="K1295" s="49"/>
      <c r="L1295" s="49"/>
      <c r="M1295" s="49"/>
    </row>
    <row r="1296" spans="5:13">
      <c r="E1296" s="49"/>
      <c r="F1296" s="49"/>
      <c r="G1296" s="49"/>
      <c r="H1296" s="49"/>
      <c r="I1296" s="49"/>
      <c r="J1296" s="49"/>
      <c r="K1296" s="49"/>
      <c r="L1296" s="49"/>
      <c r="M1296" s="49"/>
    </row>
    <row r="1297" spans="5:13">
      <c r="E1297" s="49"/>
      <c r="F1297" s="49"/>
      <c r="G1297" s="49"/>
      <c r="H1297" s="49"/>
      <c r="I1297" s="49"/>
      <c r="J1297" s="49"/>
      <c r="K1297" s="49"/>
      <c r="L1297" s="49"/>
      <c r="M1297" s="49"/>
    </row>
    <row r="1298" spans="5:13">
      <c r="E1298" s="49"/>
      <c r="F1298" s="49"/>
      <c r="G1298" s="49"/>
      <c r="H1298" s="49"/>
      <c r="I1298" s="49"/>
      <c r="J1298" s="49"/>
      <c r="K1298" s="49"/>
      <c r="L1298" s="49"/>
      <c r="M1298" s="49"/>
    </row>
    <row r="1299" spans="5:13">
      <c r="E1299" s="49"/>
      <c r="F1299" s="49"/>
      <c r="G1299" s="49"/>
      <c r="H1299" s="49"/>
      <c r="I1299" s="49"/>
      <c r="J1299" s="49"/>
      <c r="K1299" s="49"/>
      <c r="L1299" s="49"/>
      <c r="M1299" s="49"/>
    </row>
    <row r="1300" spans="5:13">
      <c r="E1300" s="49"/>
      <c r="F1300" s="49"/>
      <c r="G1300" s="49"/>
      <c r="H1300" s="49"/>
      <c r="I1300" s="49"/>
      <c r="J1300" s="49"/>
      <c r="K1300" s="49"/>
      <c r="L1300" s="49"/>
      <c r="M1300" s="49"/>
    </row>
    <row r="1301" spans="5:13">
      <c r="E1301" s="49"/>
      <c r="F1301" s="49"/>
      <c r="G1301" s="49"/>
      <c r="H1301" s="49"/>
      <c r="I1301" s="49"/>
      <c r="J1301" s="49"/>
      <c r="K1301" s="49"/>
      <c r="L1301" s="49"/>
      <c r="M1301" s="49"/>
    </row>
    <row r="1302" spans="5:13">
      <c r="E1302" s="49"/>
      <c r="F1302" s="49"/>
      <c r="G1302" s="49"/>
      <c r="H1302" s="49"/>
      <c r="I1302" s="49"/>
      <c r="J1302" s="49"/>
      <c r="K1302" s="49"/>
      <c r="L1302" s="49"/>
      <c r="M1302" s="49"/>
    </row>
    <row r="1303" spans="5:13">
      <c r="E1303" s="49"/>
      <c r="F1303" s="49"/>
      <c r="G1303" s="49"/>
      <c r="H1303" s="49"/>
      <c r="I1303" s="49"/>
      <c r="J1303" s="49"/>
      <c r="K1303" s="49"/>
      <c r="L1303" s="49"/>
      <c r="M1303" s="49"/>
    </row>
    <row r="1304" spans="5:13">
      <c r="E1304" s="49"/>
      <c r="F1304" s="49"/>
      <c r="G1304" s="49"/>
      <c r="H1304" s="49"/>
      <c r="I1304" s="49"/>
      <c r="J1304" s="49"/>
      <c r="K1304" s="49"/>
      <c r="L1304" s="49"/>
      <c r="M1304" s="49"/>
    </row>
    <row r="1305" spans="5:13">
      <c r="E1305" s="49"/>
      <c r="F1305" s="49"/>
      <c r="G1305" s="49"/>
      <c r="H1305" s="49"/>
      <c r="I1305" s="49"/>
      <c r="J1305" s="49"/>
      <c r="K1305" s="49"/>
      <c r="L1305" s="49"/>
      <c r="M1305" s="49"/>
    </row>
    <row r="1306" spans="5:13">
      <c r="E1306" s="49"/>
      <c r="F1306" s="49"/>
      <c r="G1306" s="49"/>
      <c r="H1306" s="49"/>
      <c r="I1306" s="49"/>
      <c r="J1306" s="49"/>
      <c r="K1306" s="49"/>
      <c r="L1306" s="49"/>
      <c r="M1306" s="49"/>
    </row>
    <row r="1307" spans="5:13">
      <c r="E1307" s="49"/>
      <c r="F1307" s="49"/>
      <c r="G1307" s="49"/>
      <c r="H1307" s="49"/>
      <c r="I1307" s="49"/>
      <c r="J1307" s="49"/>
      <c r="K1307" s="49"/>
      <c r="L1307" s="49"/>
      <c r="M1307" s="49"/>
    </row>
    <row r="1308" spans="5:13">
      <c r="E1308" s="49"/>
      <c r="F1308" s="49"/>
      <c r="G1308" s="49"/>
      <c r="H1308" s="49"/>
      <c r="I1308" s="49"/>
      <c r="J1308" s="49"/>
      <c r="K1308" s="49"/>
      <c r="L1308" s="49"/>
      <c r="M1308" s="49"/>
    </row>
    <row r="1309" spans="5:13">
      <c r="E1309" s="49"/>
      <c r="F1309" s="49"/>
      <c r="G1309" s="49"/>
      <c r="H1309" s="49"/>
      <c r="I1309" s="49"/>
      <c r="J1309" s="49"/>
      <c r="K1309" s="49"/>
      <c r="L1309" s="49"/>
      <c r="M1309" s="49"/>
    </row>
    <row r="1310" spans="5:13">
      <c r="E1310" s="49"/>
      <c r="F1310" s="49"/>
      <c r="G1310" s="49"/>
      <c r="H1310" s="49"/>
      <c r="I1310" s="49"/>
      <c r="J1310" s="49"/>
      <c r="K1310" s="49"/>
      <c r="L1310" s="49"/>
      <c r="M1310" s="49"/>
    </row>
    <row r="1311" spans="5:13">
      <c r="E1311" s="49"/>
      <c r="F1311" s="49"/>
      <c r="G1311" s="49"/>
      <c r="H1311" s="49"/>
      <c r="I1311" s="49"/>
      <c r="J1311" s="49"/>
      <c r="K1311" s="49"/>
      <c r="L1311" s="49"/>
      <c r="M1311" s="49"/>
    </row>
    <row r="1312" spans="5:13">
      <c r="E1312" s="49"/>
      <c r="F1312" s="49"/>
      <c r="G1312" s="49"/>
      <c r="H1312" s="49"/>
      <c r="I1312" s="49"/>
      <c r="J1312" s="49"/>
      <c r="K1312" s="49"/>
      <c r="L1312" s="49"/>
      <c r="M1312" s="49"/>
    </row>
    <row r="1313" spans="5:13">
      <c r="E1313" s="49"/>
      <c r="F1313" s="49"/>
      <c r="G1313" s="49"/>
      <c r="H1313" s="49"/>
      <c r="I1313" s="49"/>
      <c r="J1313" s="49"/>
      <c r="K1313" s="49"/>
      <c r="L1313" s="49"/>
      <c r="M1313" s="49"/>
    </row>
    <row r="1314" spans="5:13">
      <c r="E1314" s="49"/>
      <c r="F1314" s="49"/>
      <c r="G1314" s="49"/>
      <c r="H1314" s="49"/>
      <c r="I1314" s="49"/>
      <c r="J1314" s="49"/>
      <c r="K1314" s="49"/>
      <c r="L1314" s="49"/>
      <c r="M1314" s="49"/>
    </row>
    <row r="1315" spans="5:13">
      <c r="E1315" s="49"/>
      <c r="F1315" s="49"/>
      <c r="G1315" s="49"/>
      <c r="H1315" s="49"/>
      <c r="I1315" s="49"/>
      <c r="J1315" s="49"/>
      <c r="K1315" s="49"/>
      <c r="L1315" s="49"/>
      <c r="M1315" s="49"/>
    </row>
    <row r="1316" spans="5:13">
      <c r="E1316" s="49"/>
      <c r="F1316" s="49"/>
      <c r="G1316" s="49"/>
      <c r="H1316" s="49"/>
      <c r="I1316" s="49"/>
      <c r="J1316" s="49"/>
      <c r="K1316" s="49"/>
      <c r="L1316" s="49"/>
      <c r="M1316" s="49"/>
    </row>
    <row r="1317" spans="5:13">
      <c r="E1317" s="49"/>
      <c r="F1317" s="49"/>
      <c r="G1317" s="49"/>
      <c r="H1317" s="49"/>
      <c r="I1317" s="49"/>
      <c r="J1317" s="49"/>
      <c r="K1317" s="49"/>
      <c r="L1317" s="49"/>
      <c r="M1317" s="49"/>
    </row>
    <row r="1318" spans="5:13">
      <c r="E1318" s="49"/>
      <c r="F1318" s="49"/>
      <c r="G1318" s="49"/>
      <c r="H1318" s="49"/>
      <c r="I1318" s="49"/>
      <c r="J1318" s="49"/>
      <c r="K1318" s="49"/>
      <c r="L1318" s="49"/>
      <c r="M1318" s="49"/>
    </row>
    <row r="1319" spans="5:13">
      <c r="E1319" s="49"/>
      <c r="F1319" s="49"/>
      <c r="G1319" s="49"/>
      <c r="H1319" s="49"/>
      <c r="I1319" s="49"/>
      <c r="J1319" s="49"/>
      <c r="K1319" s="49"/>
      <c r="L1319" s="49"/>
      <c r="M1319" s="49"/>
    </row>
    <row r="1320" spans="5:13">
      <c r="E1320" s="49"/>
      <c r="F1320" s="49"/>
      <c r="G1320" s="49"/>
      <c r="H1320" s="49"/>
      <c r="I1320" s="49"/>
      <c r="J1320" s="49"/>
      <c r="K1320" s="49"/>
      <c r="L1320" s="49"/>
      <c r="M1320" s="49"/>
    </row>
    <row r="1321" spans="5:13">
      <c r="E1321" s="49"/>
      <c r="F1321" s="49"/>
      <c r="G1321" s="49"/>
      <c r="H1321" s="49"/>
      <c r="I1321" s="49"/>
      <c r="J1321" s="49"/>
      <c r="K1321" s="49"/>
      <c r="L1321" s="49"/>
      <c r="M1321" s="49"/>
    </row>
    <row r="1322" spans="5:13">
      <c r="E1322" s="49"/>
      <c r="F1322" s="49"/>
      <c r="G1322" s="49"/>
      <c r="H1322" s="49"/>
      <c r="I1322" s="49"/>
      <c r="J1322" s="49"/>
      <c r="K1322" s="49"/>
      <c r="L1322" s="49"/>
      <c r="M1322" s="49"/>
    </row>
    <row r="1323" spans="5:13">
      <c r="E1323" s="49"/>
      <c r="F1323" s="49"/>
      <c r="G1323" s="49"/>
      <c r="H1323" s="49"/>
      <c r="I1323" s="49"/>
      <c r="J1323" s="49"/>
      <c r="K1323" s="49"/>
      <c r="L1323" s="49"/>
      <c r="M1323" s="49"/>
    </row>
    <row r="1324" spans="5:13">
      <c r="E1324" s="49"/>
      <c r="F1324" s="49"/>
      <c r="G1324" s="49"/>
      <c r="H1324" s="49"/>
      <c r="I1324" s="49"/>
      <c r="J1324" s="49"/>
      <c r="K1324" s="49"/>
      <c r="L1324" s="49"/>
      <c r="M1324" s="49"/>
    </row>
    <row r="1325" spans="5:13">
      <c r="E1325" s="49"/>
      <c r="F1325" s="49"/>
      <c r="G1325" s="49"/>
      <c r="H1325" s="49"/>
      <c r="I1325" s="49"/>
      <c r="J1325" s="49"/>
      <c r="K1325" s="49"/>
      <c r="L1325" s="49"/>
      <c r="M1325" s="49"/>
    </row>
    <row r="1326" spans="5:13">
      <c r="E1326" s="49"/>
      <c r="F1326" s="49"/>
      <c r="G1326" s="49"/>
      <c r="H1326" s="49"/>
      <c r="I1326" s="49"/>
      <c r="J1326" s="49"/>
      <c r="K1326" s="49"/>
      <c r="L1326" s="49"/>
      <c r="M1326" s="49"/>
    </row>
    <row r="1327" spans="5:13">
      <c r="E1327" s="49"/>
      <c r="F1327" s="49"/>
      <c r="G1327" s="49"/>
      <c r="H1327" s="49"/>
      <c r="I1327" s="49"/>
      <c r="J1327" s="49"/>
      <c r="K1327" s="49"/>
      <c r="L1327" s="49"/>
      <c r="M1327" s="49"/>
    </row>
    <row r="1328" spans="5:13">
      <c r="E1328" s="49"/>
      <c r="F1328" s="49"/>
      <c r="G1328" s="49"/>
      <c r="H1328" s="49"/>
      <c r="I1328" s="49"/>
      <c r="J1328" s="49"/>
      <c r="K1328" s="49"/>
      <c r="L1328" s="49"/>
      <c r="M1328" s="49"/>
    </row>
    <row r="1329" spans="5:13">
      <c r="E1329" s="49"/>
      <c r="F1329" s="49"/>
      <c r="G1329" s="49"/>
      <c r="H1329" s="49"/>
      <c r="I1329" s="49"/>
      <c r="J1329" s="49"/>
      <c r="K1329" s="49"/>
      <c r="L1329" s="49"/>
      <c r="M1329" s="49"/>
    </row>
    <row r="1330" spans="5:13">
      <c r="E1330" s="49"/>
      <c r="F1330" s="49"/>
      <c r="G1330" s="49"/>
      <c r="H1330" s="49"/>
      <c r="I1330" s="49"/>
      <c r="J1330" s="49"/>
      <c r="K1330" s="49"/>
      <c r="L1330" s="49"/>
      <c r="M1330" s="49"/>
    </row>
    <row r="1331" spans="5:13">
      <c r="E1331" s="49"/>
      <c r="F1331" s="49"/>
      <c r="G1331" s="49"/>
      <c r="H1331" s="49"/>
      <c r="I1331" s="49"/>
      <c r="J1331" s="49"/>
      <c r="K1331" s="49"/>
      <c r="L1331" s="49"/>
      <c r="M1331" s="49"/>
    </row>
    <row r="1332" spans="5:13">
      <c r="E1332" s="49"/>
      <c r="F1332" s="49"/>
      <c r="G1332" s="49"/>
      <c r="H1332" s="49"/>
      <c r="I1332" s="49"/>
      <c r="J1332" s="49"/>
      <c r="K1332" s="49"/>
      <c r="L1332" s="49"/>
      <c r="M1332" s="49"/>
    </row>
    <row r="1333" spans="5:13">
      <c r="E1333" s="49"/>
      <c r="F1333" s="49"/>
      <c r="G1333" s="49"/>
      <c r="H1333" s="49"/>
      <c r="I1333" s="49"/>
      <c r="J1333" s="49"/>
      <c r="K1333" s="49"/>
      <c r="L1333" s="49"/>
      <c r="M1333" s="49"/>
    </row>
    <row r="1334" spans="5:13">
      <c r="E1334" s="49"/>
      <c r="F1334" s="49"/>
      <c r="G1334" s="49"/>
      <c r="H1334" s="49"/>
      <c r="I1334" s="49"/>
      <c r="J1334" s="49"/>
      <c r="K1334" s="49"/>
      <c r="L1334" s="49"/>
      <c r="M1334" s="49"/>
    </row>
    <row r="1335" spans="5:13">
      <c r="E1335" s="49"/>
      <c r="F1335" s="49"/>
      <c r="G1335" s="49"/>
      <c r="H1335" s="49"/>
      <c r="I1335" s="49"/>
      <c r="J1335" s="49"/>
      <c r="K1335" s="49"/>
      <c r="L1335" s="49"/>
      <c r="M1335" s="49"/>
    </row>
    <row r="1336" spans="5:13">
      <c r="E1336" s="49"/>
      <c r="F1336" s="49"/>
      <c r="G1336" s="49"/>
      <c r="H1336" s="49"/>
      <c r="I1336" s="49"/>
      <c r="J1336" s="49"/>
      <c r="K1336" s="49"/>
      <c r="L1336" s="49"/>
      <c r="M1336" s="49"/>
    </row>
    <row r="1337" spans="5:13">
      <c r="E1337" s="49"/>
      <c r="F1337" s="49"/>
      <c r="G1337" s="49"/>
      <c r="H1337" s="49"/>
      <c r="I1337" s="49"/>
      <c r="J1337" s="49"/>
      <c r="K1337" s="49"/>
      <c r="L1337" s="49"/>
      <c r="M1337" s="49"/>
    </row>
    <row r="1338" spans="5:13">
      <c r="E1338" s="49"/>
      <c r="F1338" s="49"/>
      <c r="G1338" s="49"/>
      <c r="H1338" s="49"/>
      <c r="I1338" s="49"/>
      <c r="J1338" s="49"/>
      <c r="K1338" s="49"/>
      <c r="L1338" s="49"/>
      <c r="M1338" s="49"/>
    </row>
    <row r="1339" spans="5:13">
      <c r="E1339" s="49"/>
      <c r="F1339" s="49"/>
      <c r="G1339" s="49"/>
      <c r="H1339" s="49"/>
      <c r="I1339" s="49"/>
      <c r="J1339" s="49"/>
      <c r="K1339" s="49"/>
      <c r="L1339" s="49"/>
      <c r="M1339" s="49"/>
    </row>
    <row r="1340" spans="5:13">
      <c r="E1340" s="49"/>
      <c r="F1340" s="49"/>
      <c r="G1340" s="49"/>
      <c r="H1340" s="49"/>
      <c r="I1340" s="49"/>
      <c r="J1340" s="49"/>
      <c r="K1340" s="49"/>
      <c r="L1340" s="49"/>
      <c r="M1340" s="49"/>
    </row>
    <row r="1341" spans="5:13">
      <c r="E1341" s="49"/>
      <c r="F1341" s="49"/>
      <c r="G1341" s="49"/>
      <c r="H1341" s="49"/>
      <c r="I1341" s="49"/>
      <c r="J1341" s="49"/>
      <c r="K1341" s="49"/>
      <c r="L1341" s="49"/>
      <c r="M1341" s="49"/>
    </row>
    <row r="1342" spans="5:13">
      <c r="E1342" s="49"/>
      <c r="F1342" s="49"/>
      <c r="G1342" s="49"/>
      <c r="H1342" s="49"/>
      <c r="I1342" s="49"/>
      <c r="J1342" s="49"/>
      <c r="K1342" s="49"/>
      <c r="L1342" s="49"/>
      <c r="M1342" s="49"/>
    </row>
    <row r="1343" spans="5:13">
      <c r="E1343" s="49"/>
      <c r="F1343" s="49"/>
      <c r="G1343" s="49"/>
      <c r="H1343" s="49"/>
      <c r="I1343" s="49"/>
      <c r="J1343" s="49"/>
      <c r="K1343" s="49"/>
      <c r="L1343" s="49"/>
      <c r="M1343" s="49"/>
    </row>
    <row r="1344" spans="5:13">
      <c r="E1344" s="49"/>
      <c r="F1344" s="49"/>
      <c r="G1344" s="49"/>
      <c r="H1344" s="49"/>
      <c r="I1344" s="49"/>
      <c r="J1344" s="49"/>
      <c r="K1344" s="49"/>
      <c r="L1344" s="49"/>
      <c r="M1344" s="49"/>
    </row>
    <row r="1345" spans="5:13">
      <c r="E1345" s="49"/>
      <c r="F1345" s="49"/>
      <c r="G1345" s="49"/>
      <c r="H1345" s="49"/>
      <c r="I1345" s="49"/>
      <c r="J1345" s="49"/>
      <c r="K1345" s="49"/>
      <c r="L1345" s="49"/>
      <c r="M1345" s="49"/>
    </row>
    <row r="1346" spans="5:13">
      <c r="E1346" s="49"/>
      <c r="F1346" s="49"/>
      <c r="G1346" s="49"/>
      <c r="H1346" s="49"/>
      <c r="I1346" s="49"/>
      <c r="J1346" s="49"/>
      <c r="K1346" s="49"/>
      <c r="L1346" s="49"/>
      <c r="M1346" s="49"/>
    </row>
    <row r="1347" spans="5:13">
      <c r="E1347" s="49"/>
      <c r="F1347" s="49"/>
      <c r="G1347" s="49"/>
      <c r="H1347" s="49"/>
      <c r="I1347" s="49"/>
      <c r="J1347" s="49"/>
      <c r="K1347" s="49"/>
      <c r="L1347" s="49"/>
      <c r="M1347" s="49"/>
    </row>
    <row r="1348" spans="5:13">
      <c r="E1348" s="49"/>
      <c r="F1348" s="49"/>
      <c r="G1348" s="49"/>
      <c r="H1348" s="49"/>
      <c r="I1348" s="49"/>
      <c r="J1348" s="49"/>
      <c r="K1348" s="49"/>
      <c r="L1348" s="49"/>
      <c r="M1348" s="49"/>
    </row>
    <row r="1349" spans="5:13">
      <c r="E1349" s="49"/>
      <c r="F1349" s="49"/>
      <c r="G1349" s="49"/>
      <c r="H1349" s="49"/>
      <c r="I1349" s="49"/>
      <c r="J1349" s="49"/>
      <c r="K1349" s="49"/>
      <c r="L1349" s="49"/>
      <c r="M1349" s="49"/>
    </row>
    <row r="1350" spans="5:13">
      <c r="E1350" s="49"/>
      <c r="F1350" s="49"/>
      <c r="G1350" s="49"/>
      <c r="H1350" s="49"/>
      <c r="I1350" s="49"/>
      <c r="J1350" s="49"/>
      <c r="K1350" s="49"/>
      <c r="L1350" s="49"/>
      <c r="M1350" s="49"/>
    </row>
    <row r="1351" spans="5:13">
      <c r="E1351" s="49"/>
      <c r="F1351" s="49"/>
      <c r="G1351" s="49"/>
      <c r="H1351" s="49"/>
      <c r="I1351" s="49"/>
      <c r="J1351" s="49"/>
      <c r="K1351" s="49"/>
      <c r="L1351" s="49"/>
      <c r="M1351" s="49"/>
    </row>
    <row r="1352" spans="5:13">
      <c r="E1352" s="49"/>
      <c r="F1352" s="49"/>
      <c r="G1352" s="49"/>
      <c r="H1352" s="49"/>
      <c r="I1352" s="49"/>
      <c r="J1352" s="49"/>
      <c r="K1352" s="49"/>
      <c r="L1352" s="49"/>
      <c r="M1352" s="49"/>
    </row>
    <row r="1353" spans="5:13">
      <c r="E1353" s="49"/>
      <c r="F1353" s="49"/>
      <c r="G1353" s="49"/>
      <c r="H1353" s="49"/>
      <c r="I1353" s="49"/>
      <c r="J1353" s="49"/>
      <c r="K1353" s="49"/>
      <c r="L1353" s="49"/>
      <c r="M1353" s="49"/>
    </row>
    <row r="1354" spans="5:13">
      <c r="E1354" s="49"/>
      <c r="F1354" s="49"/>
      <c r="G1354" s="49"/>
      <c r="H1354" s="49"/>
      <c r="I1354" s="49"/>
      <c r="J1354" s="49"/>
      <c r="K1354" s="49"/>
      <c r="L1354" s="49"/>
      <c r="M1354" s="49"/>
    </row>
    <row r="1355" spans="5:13">
      <c r="E1355" s="49"/>
      <c r="F1355" s="49"/>
      <c r="G1355" s="49"/>
      <c r="H1355" s="49"/>
      <c r="I1355" s="49"/>
      <c r="J1355" s="49"/>
      <c r="K1355" s="49"/>
      <c r="L1355" s="49"/>
      <c r="M1355" s="49"/>
    </row>
    <row r="1356" spans="5:13">
      <c r="E1356" s="49"/>
      <c r="F1356" s="49"/>
      <c r="G1356" s="49"/>
      <c r="H1356" s="49"/>
      <c r="I1356" s="49"/>
      <c r="J1356" s="49"/>
      <c r="K1356" s="49"/>
      <c r="L1356" s="49"/>
      <c r="M1356" s="49"/>
    </row>
    <row r="1357" spans="5:13">
      <c r="E1357" s="49"/>
      <c r="F1357" s="49"/>
      <c r="G1357" s="49"/>
      <c r="H1357" s="49"/>
      <c r="I1357" s="49"/>
      <c r="J1357" s="49"/>
      <c r="K1357" s="49"/>
      <c r="L1357" s="49"/>
      <c r="M1357" s="49"/>
    </row>
    <row r="1358" spans="5:13">
      <c r="E1358" s="49"/>
      <c r="F1358" s="49"/>
      <c r="G1358" s="49"/>
      <c r="H1358" s="49"/>
      <c r="I1358" s="49"/>
      <c r="J1358" s="49"/>
      <c r="K1358" s="49"/>
      <c r="L1358" s="49"/>
      <c r="M1358" s="49"/>
    </row>
    <row r="1359" spans="5:13">
      <c r="E1359" s="49"/>
      <c r="F1359" s="49"/>
      <c r="G1359" s="49"/>
      <c r="H1359" s="49"/>
      <c r="I1359" s="49"/>
      <c r="J1359" s="49"/>
      <c r="K1359" s="49"/>
      <c r="L1359" s="49"/>
      <c r="M1359" s="49"/>
    </row>
    <row r="1360" spans="5:13">
      <c r="E1360" s="49"/>
      <c r="F1360" s="49"/>
      <c r="G1360" s="49"/>
      <c r="H1360" s="49"/>
      <c r="I1360" s="49"/>
      <c r="J1360" s="49"/>
      <c r="K1360" s="49"/>
      <c r="L1360" s="49"/>
      <c r="M1360" s="49"/>
    </row>
    <row r="1361" spans="5:13">
      <c r="E1361" s="49"/>
      <c r="F1361" s="49"/>
      <c r="G1361" s="49"/>
      <c r="H1361" s="49"/>
      <c r="I1361" s="49"/>
      <c r="J1361" s="49"/>
      <c r="K1361" s="49"/>
      <c r="L1361" s="49"/>
      <c r="M1361" s="49"/>
    </row>
    <row r="1362" spans="5:13">
      <c r="E1362" s="49"/>
      <c r="F1362" s="49"/>
      <c r="G1362" s="49"/>
      <c r="H1362" s="49"/>
      <c r="I1362" s="49"/>
      <c r="J1362" s="49"/>
      <c r="K1362" s="49"/>
      <c r="L1362" s="49"/>
      <c r="M1362" s="49"/>
    </row>
    <row r="1363" spans="5:13">
      <c r="E1363" s="49"/>
      <c r="F1363" s="49"/>
      <c r="G1363" s="49"/>
      <c r="H1363" s="49"/>
      <c r="I1363" s="49"/>
      <c r="J1363" s="49"/>
      <c r="K1363" s="49"/>
      <c r="L1363" s="49"/>
      <c r="M1363" s="49"/>
    </row>
    <row r="1364" spans="5:13">
      <c r="E1364" s="49"/>
      <c r="F1364" s="49"/>
      <c r="G1364" s="49"/>
      <c r="H1364" s="49"/>
      <c r="I1364" s="49"/>
      <c r="J1364" s="49"/>
      <c r="K1364" s="49"/>
      <c r="L1364" s="49"/>
      <c r="M1364" s="49"/>
    </row>
    <row r="1365" spans="5:13">
      <c r="E1365" s="49"/>
      <c r="F1365" s="49"/>
      <c r="G1365" s="49"/>
      <c r="H1365" s="49"/>
      <c r="I1365" s="49"/>
      <c r="J1365" s="49"/>
      <c r="K1365" s="49"/>
      <c r="L1365" s="49"/>
      <c r="M1365" s="49"/>
    </row>
    <row r="1366" spans="5:13">
      <c r="E1366" s="49"/>
      <c r="F1366" s="49"/>
      <c r="G1366" s="49"/>
      <c r="H1366" s="49"/>
      <c r="I1366" s="49"/>
      <c r="J1366" s="49"/>
      <c r="K1366" s="49"/>
      <c r="L1366" s="49"/>
      <c r="M1366" s="49"/>
    </row>
    <row r="1367" spans="5:13">
      <c r="E1367" s="49"/>
      <c r="F1367" s="49"/>
      <c r="G1367" s="49"/>
      <c r="H1367" s="49"/>
      <c r="I1367" s="49"/>
      <c r="J1367" s="49"/>
      <c r="K1367" s="49"/>
      <c r="L1367" s="49"/>
      <c r="M1367" s="49"/>
    </row>
    <row r="1368" spans="5:13">
      <c r="E1368" s="49"/>
      <c r="F1368" s="49"/>
      <c r="G1368" s="49"/>
      <c r="H1368" s="49"/>
      <c r="I1368" s="49"/>
      <c r="J1368" s="49"/>
      <c r="K1368" s="49"/>
      <c r="L1368" s="49"/>
      <c r="M1368" s="49"/>
    </row>
    <row r="1369" spans="5:13">
      <c r="E1369" s="49"/>
      <c r="F1369" s="49"/>
      <c r="G1369" s="49"/>
      <c r="H1369" s="49"/>
      <c r="I1369" s="49"/>
      <c r="J1369" s="49"/>
      <c r="K1369" s="49"/>
      <c r="L1369" s="49"/>
      <c r="M1369" s="49"/>
    </row>
    <row r="1370" spans="5:13">
      <c r="E1370" s="49"/>
      <c r="F1370" s="49"/>
      <c r="G1370" s="49"/>
      <c r="H1370" s="49"/>
      <c r="I1370" s="49"/>
      <c r="J1370" s="49"/>
      <c r="K1370" s="49"/>
      <c r="L1370" s="49"/>
      <c r="M1370" s="49"/>
    </row>
    <row r="1371" spans="5:13">
      <c r="E1371" s="49"/>
      <c r="F1371" s="49"/>
      <c r="G1371" s="49"/>
      <c r="H1371" s="49"/>
      <c r="I1371" s="49"/>
      <c r="J1371" s="49"/>
      <c r="K1371" s="49"/>
      <c r="L1371" s="49"/>
      <c r="M1371" s="49"/>
    </row>
    <row r="1372" spans="5:13">
      <c r="E1372" s="49"/>
      <c r="F1372" s="49"/>
      <c r="G1372" s="49"/>
      <c r="H1372" s="49"/>
      <c r="I1372" s="49"/>
      <c r="J1372" s="49"/>
      <c r="K1372" s="49"/>
      <c r="L1372" s="49"/>
      <c r="M1372" s="49"/>
    </row>
    <row r="1373" spans="5:13">
      <c r="E1373" s="49"/>
      <c r="F1373" s="49"/>
      <c r="G1373" s="49"/>
      <c r="H1373" s="49"/>
      <c r="I1373" s="49"/>
      <c r="J1373" s="49"/>
      <c r="K1373" s="49"/>
      <c r="L1373" s="49"/>
      <c r="M1373" s="49"/>
    </row>
    <row r="1374" spans="5:13">
      <c r="E1374" s="49"/>
      <c r="F1374" s="49"/>
      <c r="G1374" s="49"/>
      <c r="H1374" s="49"/>
      <c r="I1374" s="49"/>
      <c r="J1374" s="49"/>
      <c r="K1374" s="49"/>
      <c r="L1374" s="49"/>
      <c r="M1374" s="49"/>
    </row>
    <row r="1375" spans="5:13">
      <c r="E1375" s="49"/>
      <c r="F1375" s="49"/>
      <c r="G1375" s="49"/>
      <c r="H1375" s="49"/>
      <c r="I1375" s="49"/>
      <c r="J1375" s="49"/>
      <c r="K1375" s="49"/>
      <c r="L1375" s="49"/>
      <c r="M1375" s="49"/>
    </row>
    <row r="1376" spans="5:13">
      <c r="E1376" s="49"/>
      <c r="F1376" s="49"/>
      <c r="G1376" s="49"/>
      <c r="H1376" s="49"/>
      <c r="I1376" s="49"/>
      <c r="J1376" s="49"/>
      <c r="K1376" s="49"/>
      <c r="L1376" s="49"/>
      <c r="M1376" s="49"/>
    </row>
    <row r="1377" spans="5:13">
      <c r="E1377" s="49"/>
      <c r="F1377" s="49"/>
      <c r="G1377" s="49"/>
      <c r="H1377" s="49"/>
      <c r="I1377" s="49"/>
      <c r="J1377" s="49"/>
      <c r="K1377" s="49"/>
      <c r="L1377" s="49"/>
      <c r="M1377" s="49"/>
    </row>
    <row r="1378" spans="5:13">
      <c r="E1378" s="49"/>
      <c r="F1378" s="49"/>
      <c r="G1378" s="49"/>
      <c r="H1378" s="49"/>
      <c r="I1378" s="49"/>
      <c r="J1378" s="49"/>
      <c r="K1378" s="49"/>
      <c r="L1378" s="49"/>
      <c r="M1378" s="49"/>
    </row>
    <row r="1379" spans="5:13">
      <c r="E1379" s="49"/>
      <c r="F1379" s="49"/>
      <c r="G1379" s="49"/>
      <c r="H1379" s="49"/>
      <c r="I1379" s="49"/>
      <c r="J1379" s="49"/>
      <c r="K1379" s="49"/>
      <c r="L1379" s="49"/>
      <c r="M1379" s="49"/>
    </row>
    <row r="1380" spans="5:13">
      <c r="E1380" s="49"/>
      <c r="F1380" s="49"/>
      <c r="G1380" s="49"/>
      <c r="H1380" s="49"/>
      <c r="I1380" s="49"/>
      <c r="J1380" s="49"/>
      <c r="K1380" s="49"/>
      <c r="L1380" s="49"/>
      <c r="M1380" s="49"/>
    </row>
    <row r="1381" spans="5:13">
      <c r="E1381" s="49"/>
      <c r="F1381" s="49"/>
      <c r="G1381" s="49"/>
      <c r="H1381" s="49"/>
      <c r="I1381" s="49"/>
      <c r="J1381" s="49"/>
      <c r="K1381" s="49"/>
      <c r="L1381" s="49"/>
      <c r="M1381" s="49"/>
    </row>
    <row r="1382" spans="5:13">
      <c r="E1382" s="49"/>
      <c r="F1382" s="49"/>
      <c r="G1382" s="49"/>
      <c r="H1382" s="49"/>
      <c r="I1382" s="49"/>
      <c r="J1382" s="49"/>
      <c r="K1382" s="49"/>
      <c r="L1382" s="49"/>
      <c r="M1382" s="49"/>
    </row>
    <row r="1383" spans="5:13">
      <c r="E1383" s="49"/>
      <c r="F1383" s="49"/>
      <c r="G1383" s="49"/>
      <c r="H1383" s="49"/>
      <c r="I1383" s="49"/>
      <c r="J1383" s="49"/>
      <c r="K1383" s="49"/>
      <c r="L1383" s="49"/>
      <c r="M1383" s="49"/>
    </row>
    <row r="1384" spans="5:13">
      <c r="E1384" s="49"/>
      <c r="F1384" s="49"/>
      <c r="G1384" s="49"/>
      <c r="H1384" s="49"/>
      <c r="I1384" s="49"/>
      <c r="J1384" s="49"/>
      <c r="K1384" s="49"/>
      <c r="L1384" s="49"/>
      <c r="M1384" s="49"/>
    </row>
    <row r="1385" spans="5:13">
      <c r="E1385" s="49"/>
      <c r="F1385" s="49"/>
      <c r="G1385" s="49"/>
      <c r="H1385" s="49"/>
      <c r="I1385" s="49"/>
      <c r="J1385" s="49"/>
      <c r="K1385" s="49"/>
      <c r="L1385" s="49"/>
      <c r="M1385" s="49"/>
    </row>
    <row r="1386" spans="5:13">
      <c r="E1386" s="49"/>
      <c r="F1386" s="49"/>
      <c r="G1386" s="49"/>
      <c r="H1386" s="49"/>
      <c r="I1386" s="49"/>
      <c r="J1386" s="49"/>
      <c r="K1386" s="49"/>
      <c r="L1386" s="49"/>
      <c r="M1386" s="49"/>
    </row>
    <row r="1387" spans="5:13">
      <c r="E1387" s="49"/>
      <c r="F1387" s="49"/>
      <c r="G1387" s="49"/>
      <c r="H1387" s="49"/>
      <c r="I1387" s="49"/>
      <c r="J1387" s="49"/>
      <c r="K1387" s="49"/>
      <c r="L1387" s="49"/>
      <c r="M1387" s="49"/>
    </row>
    <row r="1388" spans="5:13">
      <c r="E1388" s="49"/>
      <c r="F1388" s="49"/>
      <c r="G1388" s="49"/>
      <c r="H1388" s="49"/>
      <c r="I1388" s="49"/>
      <c r="J1388" s="49"/>
      <c r="K1388" s="49"/>
      <c r="L1388" s="49"/>
      <c r="M1388" s="49"/>
    </row>
    <row r="1389" spans="5:13">
      <c r="E1389" s="49"/>
      <c r="F1389" s="49"/>
      <c r="G1389" s="49"/>
      <c r="H1389" s="49"/>
      <c r="I1389" s="49"/>
      <c r="J1389" s="49"/>
      <c r="K1389" s="49"/>
      <c r="L1389" s="49"/>
      <c r="M1389" s="49"/>
    </row>
    <row r="1390" spans="5:13">
      <c r="E1390" s="49"/>
      <c r="F1390" s="49"/>
      <c r="G1390" s="49"/>
      <c r="H1390" s="49"/>
      <c r="I1390" s="49"/>
      <c r="J1390" s="49"/>
      <c r="K1390" s="49"/>
      <c r="L1390" s="49"/>
      <c r="M1390" s="49"/>
    </row>
    <row r="1391" spans="5:13">
      <c r="E1391" s="49"/>
      <c r="F1391" s="49"/>
      <c r="G1391" s="49"/>
      <c r="H1391" s="49"/>
      <c r="I1391" s="49"/>
      <c r="J1391" s="49"/>
      <c r="K1391" s="49"/>
      <c r="L1391" s="49"/>
      <c r="M1391" s="49"/>
    </row>
    <row r="1392" spans="5:13">
      <c r="E1392" s="49"/>
      <c r="F1392" s="49"/>
      <c r="G1392" s="49"/>
      <c r="H1392" s="49"/>
      <c r="I1392" s="49"/>
      <c r="J1392" s="49"/>
      <c r="K1392" s="49"/>
      <c r="L1392" s="49"/>
      <c r="M1392" s="49"/>
    </row>
    <row r="1393" spans="5:13">
      <c r="E1393" s="49"/>
      <c r="F1393" s="49"/>
      <c r="G1393" s="49"/>
      <c r="H1393" s="49"/>
      <c r="I1393" s="49"/>
      <c r="J1393" s="49"/>
      <c r="K1393" s="49"/>
      <c r="L1393" s="49"/>
      <c r="M1393" s="49"/>
    </row>
    <row r="1394" spans="5:13">
      <c r="E1394" s="49"/>
      <c r="F1394" s="49"/>
      <c r="G1394" s="49"/>
      <c r="H1394" s="49"/>
      <c r="I1394" s="49"/>
      <c r="J1394" s="49"/>
      <c r="K1394" s="49"/>
      <c r="L1394" s="49"/>
      <c r="M1394" s="49"/>
    </row>
    <row r="1395" spans="5:13">
      <c r="E1395" s="49"/>
      <c r="F1395" s="49"/>
      <c r="G1395" s="49"/>
      <c r="H1395" s="49"/>
      <c r="I1395" s="49"/>
      <c r="J1395" s="49"/>
      <c r="K1395" s="49"/>
      <c r="L1395" s="49"/>
      <c r="M1395" s="49"/>
    </row>
    <row r="1396" spans="5:13">
      <c r="E1396" s="49"/>
      <c r="F1396" s="49"/>
      <c r="G1396" s="49"/>
      <c r="H1396" s="49"/>
      <c r="I1396" s="49"/>
      <c r="J1396" s="49"/>
      <c r="K1396" s="49"/>
      <c r="L1396" s="49"/>
      <c r="M1396" s="49"/>
    </row>
    <row r="1397" spans="5:13">
      <c r="E1397" s="49"/>
      <c r="F1397" s="49"/>
      <c r="G1397" s="49"/>
      <c r="H1397" s="49"/>
      <c r="I1397" s="49"/>
      <c r="J1397" s="49"/>
      <c r="K1397" s="49"/>
      <c r="L1397" s="49"/>
      <c r="M1397" s="49"/>
    </row>
    <row r="1398" spans="5:13">
      <c r="E1398" s="49"/>
      <c r="F1398" s="49"/>
      <c r="G1398" s="49"/>
      <c r="H1398" s="49"/>
      <c r="I1398" s="49"/>
      <c r="J1398" s="49"/>
      <c r="K1398" s="49"/>
      <c r="L1398" s="49"/>
      <c r="M1398" s="49"/>
    </row>
    <row r="1399" spans="5:13">
      <c r="E1399" s="49"/>
      <c r="F1399" s="49"/>
      <c r="G1399" s="49"/>
      <c r="H1399" s="49"/>
      <c r="I1399" s="49"/>
      <c r="J1399" s="49"/>
      <c r="K1399" s="49"/>
      <c r="L1399" s="49"/>
      <c r="M1399" s="49"/>
    </row>
    <row r="1400" spans="5:13">
      <c r="E1400" s="49"/>
      <c r="F1400" s="49"/>
      <c r="G1400" s="49"/>
      <c r="H1400" s="49"/>
      <c r="I1400" s="49"/>
      <c r="J1400" s="49"/>
      <c r="K1400" s="49"/>
      <c r="L1400" s="49"/>
      <c r="M1400" s="49"/>
    </row>
    <row r="1401" spans="5:13">
      <c r="E1401" s="49"/>
      <c r="F1401" s="49"/>
      <c r="G1401" s="49"/>
      <c r="H1401" s="49"/>
      <c r="I1401" s="49"/>
      <c r="J1401" s="49"/>
      <c r="K1401" s="49"/>
      <c r="L1401" s="49"/>
      <c r="M1401" s="49"/>
    </row>
    <row r="1402" spans="5:13">
      <c r="E1402" s="49"/>
      <c r="F1402" s="49"/>
      <c r="G1402" s="49"/>
      <c r="H1402" s="49"/>
      <c r="I1402" s="49"/>
      <c r="J1402" s="49"/>
      <c r="K1402" s="49"/>
      <c r="L1402" s="49"/>
      <c r="M1402" s="49"/>
    </row>
    <row r="1403" spans="5:13">
      <c r="E1403" s="49"/>
      <c r="F1403" s="49"/>
      <c r="G1403" s="49"/>
      <c r="H1403" s="49"/>
      <c r="I1403" s="49"/>
      <c r="J1403" s="49"/>
      <c r="K1403" s="49"/>
      <c r="L1403" s="49"/>
      <c r="M1403" s="49"/>
    </row>
    <row r="1404" spans="5:13">
      <c r="E1404" s="49"/>
      <c r="F1404" s="49"/>
      <c r="G1404" s="49"/>
      <c r="H1404" s="49"/>
      <c r="I1404" s="49"/>
      <c r="J1404" s="49"/>
      <c r="K1404" s="49"/>
      <c r="L1404" s="49"/>
      <c r="M1404" s="49"/>
    </row>
    <row r="1405" spans="5:13">
      <c r="E1405" s="49"/>
      <c r="F1405" s="49"/>
      <c r="G1405" s="49"/>
      <c r="H1405" s="49"/>
      <c r="I1405" s="49"/>
      <c r="J1405" s="49"/>
      <c r="K1405" s="49"/>
      <c r="L1405" s="49"/>
      <c r="M1405" s="49"/>
    </row>
    <row r="1406" spans="5:13">
      <c r="E1406" s="49"/>
      <c r="F1406" s="49"/>
      <c r="G1406" s="49"/>
      <c r="H1406" s="49"/>
      <c r="I1406" s="49"/>
      <c r="J1406" s="49"/>
      <c r="K1406" s="49"/>
      <c r="L1406" s="49"/>
      <c r="M1406" s="49"/>
    </row>
    <row r="1407" spans="5:13">
      <c r="E1407" s="49"/>
      <c r="F1407" s="49"/>
      <c r="G1407" s="49"/>
      <c r="H1407" s="49"/>
      <c r="I1407" s="49"/>
      <c r="J1407" s="49"/>
      <c r="K1407" s="49"/>
      <c r="L1407" s="49"/>
      <c r="M1407" s="49"/>
    </row>
    <row r="1408" spans="5:13">
      <c r="E1408" s="49"/>
      <c r="F1408" s="49"/>
      <c r="G1408" s="49"/>
      <c r="H1408" s="49"/>
      <c r="I1408" s="49"/>
      <c r="J1408" s="49"/>
      <c r="K1408" s="49"/>
      <c r="L1408" s="49"/>
      <c r="M1408" s="49"/>
    </row>
    <row r="1409" spans="5:13">
      <c r="E1409" s="49"/>
      <c r="F1409" s="49"/>
      <c r="G1409" s="49"/>
      <c r="H1409" s="49"/>
      <c r="I1409" s="49"/>
      <c r="J1409" s="49"/>
      <c r="K1409" s="49"/>
      <c r="L1409" s="49"/>
      <c r="M1409" s="49"/>
    </row>
    <row r="1410" spans="5:13">
      <c r="E1410" s="49"/>
      <c r="F1410" s="49"/>
      <c r="G1410" s="49"/>
      <c r="H1410" s="49"/>
      <c r="I1410" s="49"/>
      <c r="J1410" s="49"/>
      <c r="K1410" s="49"/>
      <c r="L1410" s="49"/>
      <c r="M1410" s="49"/>
    </row>
    <row r="1411" spans="5:13">
      <c r="E1411" s="49"/>
      <c r="F1411" s="49"/>
      <c r="G1411" s="49"/>
      <c r="H1411" s="49"/>
      <c r="I1411" s="49"/>
      <c r="J1411" s="49"/>
      <c r="K1411" s="49"/>
      <c r="L1411" s="49"/>
      <c r="M1411" s="49"/>
    </row>
    <row r="1412" spans="5:13">
      <c r="E1412" s="49"/>
      <c r="F1412" s="49"/>
      <c r="G1412" s="49"/>
      <c r="H1412" s="49"/>
      <c r="I1412" s="49"/>
      <c r="J1412" s="49"/>
      <c r="K1412" s="49"/>
      <c r="L1412" s="49"/>
      <c r="M1412" s="49"/>
    </row>
    <row r="1413" spans="5:13">
      <c r="E1413" s="49"/>
      <c r="F1413" s="49"/>
      <c r="G1413" s="49"/>
      <c r="H1413" s="49"/>
      <c r="I1413" s="49"/>
      <c r="J1413" s="49"/>
      <c r="K1413" s="49"/>
      <c r="L1413" s="49"/>
      <c r="M1413" s="49"/>
    </row>
    <row r="1414" spans="5:13">
      <c r="E1414" s="49"/>
      <c r="F1414" s="49"/>
      <c r="G1414" s="49"/>
      <c r="H1414" s="49"/>
      <c r="I1414" s="49"/>
      <c r="J1414" s="49"/>
      <c r="K1414" s="49"/>
      <c r="L1414" s="49"/>
      <c r="M1414" s="49"/>
    </row>
    <row r="1415" spans="5:13">
      <c r="E1415" s="49"/>
      <c r="F1415" s="49"/>
      <c r="G1415" s="49"/>
      <c r="H1415" s="49"/>
      <c r="I1415" s="49"/>
      <c r="J1415" s="49"/>
      <c r="K1415" s="49"/>
      <c r="L1415" s="49"/>
      <c r="M1415" s="49"/>
    </row>
    <row r="1416" spans="5:13">
      <c r="E1416" s="49"/>
      <c r="F1416" s="49"/>
      <c r="G1416" s="49"/>
      <c r="H1416" s="49"/>
      <c r="I1416" s="49"/>
      <c r="J1416" s="49"/>
      <c r="K1416" s="49"/>
      <c r="L1416" s="49"/>
      <c r="M1416" s="49"/>
    </row>
    <row r="1417" spans="5:13">
      <c r="E1417" s="49"/>
      <c r="F1417" s="49"/>
      <c r="G1417" s="49"/>
      <c r="H1417" s="49"/>
      <c r="I1417" s="49"/>
      <c r="J1417" s="49"/>
      <c r="K1417" s="49"/>
      <c r="L1417" s="49"/>
      <c r="M1417" s="49"/>
    </row>
    <row r="1418" spans="5:13">
      <c r="E1418" s="49"/>
      <c r="F1418" s="49"/>
      <c r="G1418" s="49"/>
      <c r="H1418" s="49"/>
      <c r="I1418" s="49"/>
      <c r="J1418" s="49"/>
      <c r="K1418" s="49"/>
      <c r="L1418" s="49"/>
      <c r="M1418" s="49"/>
    </row>
    <row r="1419" spans="5:13">
      <c r="E1419" s="49"/>
      <c r="F1419" s="49"/>
      <c r="G1419" s="49"/>
      <c r="H1419" s="49"/>
      <c r="I1419" s="49"/>
      <c r="J1419" s="49"/>
      <c r="K1419" s="49"/>
      <c r="L1419" s="49"/>
      <c r="M1419" s="49"/>
    </row>
    <row r="1420" spans="5:13">
      <c r="E1420" s="49"/>
      <c r="F1420" s="49"/>
      <c r="G1420" s="49"/>
      <c r="H1420" s="49"/>
      <c r="I1420" s="49"/>
      <c r="J1420" s="49"/>
      <c r="K1420" s="49"/>
      <c r="L1420" s="49"/>
      <c r="M1420" s="49"/>
    </row>
    <row r="1421" spans="5:13">
      <c r="E1421" s="49"/>
      <c r="F1421" s="49"/>
      <c r="G1421" s="49"/>
      <c r="H1421" s="49"/>
      <c r="I1421" s="49"/>
      <c r="J1421" s="49"/>
      <c r="K1421" s="49"/>
      <c r="L1421" s="49"/>
      <c r="M1421" s="49"/>
    </row>
    <row r="1422" spans="5:13">
      <c r="E1422" s="49"/>
      <c r="F1422" s="49"/>
      <c r="G1422" s="49"/>
      <c r="H1422" s="49"/>
      <c r="I1422" s="49"/>
      <c r="J1422" s="49"/>
      <c r="K1422" s="49"/>
      <c r="L1422" s="49"/>
      <c r="M1422" s="49"/>
    </row>
    <row r="1423" spans="5:13">
      <c r="E1423" s="49"/>
      <c r="F1423" s="49"/>
      <c r="G1423" s="49"/>
      <c r="H1423" s="49"/>
      <c r="I1423" s="49"/>
      <c r="J1423" s="49"/>
      <c r="K1423" s="49"/>
      <c r="L1423" s="49"/>
      <c r="M1423" s="49"/>
    </row>
    <row r="1424" spans="5:13">
      <c r="E1424" s="49"/>
      <c r="F1424" s="49"/>
      <c r="G1424" s="49"/>
      <c r="H1424" s="49"/>
      <c r="I1424" s="49"/>
      <c r="J1424" s="49"/>
      <c r="K1424" s="49"/>
      <c r="L1424" s="49"/>
      <c r="M1424" s="49"/>
    </row>
    <row r="1425" spans="5:13">
      <c r="E1425" s="49"/>
      <c r="F1425" s="49"/>
      <c r="G1425" s="49"/>
      <c r="H1425" s="49"/>
      <c r="I1425" s="49"/>
      <c r="J1425" s="49"/>
      <c r="K1425" s="49"/>
      <c r="L1425" s="49"/>
      <c r="M1425" s="49"/>
    </row>
    <row r="1426" spans="5:13">
      <c r="E1426" s="49"/>
      <c r="F1426" s="49"/>
      <c r="G1426" s="49"/>
      <c r="H1426" s="49"/>
      <c r="I1426" s="49"/>
      <c r="J1426" s="49"/>
      <c r="K1426" s="49"/>
      <c r="L1426" s="49"/>
      <c r="M1426" s="49"/>
    </row>
    <row r="1427" spans="5:13">
      <c r="E1427" s="49"/>
      <c r="F1427" s="49"/>
      <c r="G1427" s="49"/>
      <c r="H1427" s="49"/>
      <c r="I1427" s="49"/>
      <c r="J1427" s="49"/>
      <c r="K1427" s="49"/>
      <c r="L1427" s="49"/>
      <c r="M1427" s="49"/>
    </row>
    <row r="1428" spans="5:13">
      <c r="E1428" s="49"/>
      <c r="F1428" s="49"/>
      <c r="G1428" s="49"/>
      <c r="H1428" s="49"/>
      <c r="I1428" s="49"/>
      <c r="J1428" s="49"/>
      <c r="K1428" s="49"/>
      <c r="L1428" s="49"/>
      <c r="M1428" s="49"/>
    </row>
    <row r="1429" spans="5:13">
      <c r="E1429" s="49"/>
      <c r="F1429" s="49"/>
      <c r="G1429" s="49"/>
      <c r="H1429" s="49"/>
      <c r="I1429" s="49"/>
      <c r="J1429" s="49"/>
      <c r="K1429" s="49"/>
      <c r="L1429" s="49"/>
      <c r="M1429" s="49"/>
    </row>
    <row r="1430" spans="5:13">
      <c r="E1430" s="49"/>
      <c r="F1430" s="49"/>
      <c r="G1430" s="49"/>
      <c r="H1430" s="49"/>
      <c r="I1430" s="49"/>
      <c r="J1430" s="49"/>
      <c r="K1430" s="49"/>
      <c r="L1430" s="49"/>
      <c r="M1430" s="49"/>
    </row>
    <row r="1431" spans="5:13">
      <c r="E1431" s="49"/>
      <c r="F1431" s="49"/>
      <c r="G1431" s="49"/>
      <c r="H1431" s="49"/>
      <c r="I1431" s="49"/>
      <c r="J1431" s="49"/>
      <c r="K1431" s="49"/>
      <c r="L1431" s="49"/>
      <c r="M1431" s="49"/>
    </row>
    <row r="1432" spans="5:13">
      <c r="E1432" s="49"/>
      <c r="F1432" s="49"/>
      <c r="G1432" s="49"/>
      <c r="H1432" s="49"/>
      <c r="I1432" s="49"/>
      <c r="J1432" s="49"/>
      <c r="K1432" s="49"/>
      <c r="L1432" s="49"/>
      <c r="M1432" s="49"/>
    </row>
    <row r="1433" spans="5:13">
      <c r="E1433" s="49"/>
      <c r="F1433" s="49"/>
      <c r="G1433" s="49"/>
      <c r="H1433" s="49"/>
      <c r="I1433" s="49"/>
      <c r="J1433" s="49"/>
      <c r="K1433" s="49"/>
      <c r="L1433" s="49"/>
      <c r="M1433" s="49"/>
    </row>
    <row r="1434" spans="5:13">
      <c r="E1434" s="49"/>
      <c r="F1434" s="49"/>
      <c r="G1434" s="49"/>
      <c r="H1434" s="49"/>
      <c r="I1434" s="49"/>
      <c r="J1434" s="49"/>
      <c r="K1434" s="49"/>
      <c r="L1434" s="49"/>
      <c r="M1434" s="49"/>
    </row>
    <row r="1435" spans="5:13">
      <c r="E1435" s="49"/>
      <c r="F1435" s="49"/>
      <c r="G1435" s="49"/>
      <c r="H1435" s="49"/>
      <c r="I1435" s="49"/>
      <c r="J1435" s="49"/>
      <c r="K1435" s="49"/>
      <c r="L1435" s="49"/>
      <c r="M1435" s="49"/>
    </row>
    <row r="1436" spans="5:13">
      <c r="E1436" s="49"/>
      <c r="F1436" s="49"/>
      <c r="G1436" s="49"/>
      <c r="H1436" s="49"/>
      <c r="I1436" s="49"/>
      <c r="J1436" s="49"/>
      <c r="K1436" s="49"/>
      <c r="L1436" s="49"/>
      <c r="M1436" s="49"/>
    </row>
    <row r="1437" spans="5:13">
      <c r="E1437" s="49"/>
      <c r="F1437" s="49"/>
      <c r="G1437" s="49"/>
      <c r="H1437" s="49"/>
      <c r="I1437" s="49"/>
      <c r="J1437" s="49"/>
      <c r="K1437" s="49"/>
      <c r="L1437" s="49"/>
      <c r="M1437" s="49"/>
    </row>
    <row r="1438" spans="5:13">
      <c r="E1438" s="49"/>
      <c r="F1438" s="49"/>
      <c r="G1438" s="49"/>
      <c r="H1438" s="49"/>
      <c r="I1438" s="49"/>
      <c r="J1438" s="49"/>
      <c r="K1438" s="49"/>
      <c r="L1438" s="49"/>
      <c r="M1438" s="49"/>
    </row>
    <row r="1439" spans="5:13">
      <c r="E1439" s="49"/>
      <c r="F1439" s="49"/>
      <c r="G1439" s="49"/>
      <c r="H1439" s="49"/>
      <c r="I1439" s="49"/>
      <c r="J1439" s="49"/>
      <c r="K1439" s="49"/>
      <c r="L1439" s="49"/>
      <c r="M1439" s="49"/>
    </row>
    <row r="1440" spans="5:13">
      <c r="E1440" s="49"/>
      <c r="F1440" s="49"/>
      <c r="G1440" s="49"/>
      <c r="H1440" s="49"/>
      <c r="I1440" s="49"/>
      <c r="J1440" s="49"/>
      <c r="K1440" s="49"/>
      <c r="L1440" s="49"/>
      <c r="M1440" s="49"/>
    </row>
    <row r="1441" spans="5:13">
      <c r="E1441" s="49"/>
      <c r="F1441" s="49"/>
      <c r="G1441" s="49"/>
      <c r="H1441" s="49"/>
      <c r="I1441" s="49"/>
      <c r="J1441" s="49"/>
      <c r="K1441" s="49"/>
      <c r="L1441" s="49"/>
      <c r="M1441" s="49"/>
    </row>
    <row r="1442" spans="5:13">
      <c r="E1442" s="49"/>
      <c r="F1442" s="49"/>
      <c r="G1442" s="49"/>
      <c r="H1442" s="49"/>
      <c r="I1442" s="49"/>
      <c r="J1442" s="49"/>
      <c r="K1442" s="49"/>
      <c r="L1442" s="49"/>
      <c r="M1442" s="49"/>
    </row>
    <row r="1443" spans="5:13">
      <c r="E1443" s="49"/>
      <c r="F1443" s="49"/>
      <c r="G1443" s="49"/>
      <c r="H1443" s="49"/>
      <c r="I1443" s="49"/>
      <c r="J1443" s="49"/>
      <c r="K1443" s="49"/>
      <c r="L1443" s="49"/>
      <c r="M1443" s="49"/>
    </row>
    <row r="1444" spans="5:13">
      <c r="E1444" s="49"/>
      <c r="F1444" s="49"/>
      <c r="G1444" s="49"/>
      <c r="H1444" s="49"/>
      <c r="I1444" s="49"/>
      <c r="J1444" s="49"/>
      <c r="K1444" s="49"/>
      <c r="L1444" s="49"/>
      <c r="M1444" s="49"/>
    </row>
    <row r="1445" spans="5:13">
      <c r="E1445" s="49"/>
      <c r="F1445" s="49"/>
      <c r="G1445" s="49"/>
      <c r="H1445" s="49"/>
      <c r="I1445" s="49"/>
      <c r="J1445" s="49"/>
      <c r="K1445" s="49"/>
      <c r="L1445" s="49"/>
      <c r="M1445" s="49"/>
    </row>
    <row r="1446" spans="5:13">
      <c r="E1446" s="49"/>
      <c r="F1446" s="49"/>
      <c r="G1446" s="49"/>
      <c r="H1446" s="49"/>
      <c r="I1446" s="49"/>
      <c r="J1446" s="49"/>
      <c r="K1446" s="49"/>
      <c r="L1446" s="49"/>
      <c r="M1446" s="49"/>
    </row>
    <row r="1447" spans="5:13">
      <c r="E1447" s="49"/>
      <c r="F1447" s="49"/>
      <c r="G1447" s="49"/>
      <c r="H1447" s="49"/>
      <c r="I1447" s="49"/>
      <c r="J1447" s="49"/>
      <c r="K1447" s="49"/>
      <c r="L1447" s="49"/>
      <c r="M1447" s="49"/>
    </row>
    <row r="1448" spans="5:13">
      <c r="E1448" s="49"/>
      <c r="F1448" s="49"/>
      <c r="G1448" s="49"/>
      <c r="H1448" s="49"/>
      <c r="I1448" s="49"/>
      <c r="J1448" s="49"/>
      <c r="K1448" s="49"/>
      <c r="L1448" s="49"/>
      <c r="M1448" s="49"/>
    </row>
    <row r="1449" spans="5:13">
      <c r="E1449" s="49"/>
      <c r="F1449" s="49"/>
      <c r="G1449" s="49"/>
      <c r="H1449" s="49"/>
      <c r="I1449" s="49"/>
      <c r="J1449" s="49"/>
      <c r="K1449" s="49"/>
      <c r="L1449" s="49"/>
      <c r="M1449" s="49"/>
    </row>
    <row r="1450" spans="5:13">
      <c r="E1450" s="49"/>
      <c r="F1450" s="49"/>
      <c r="G1450" s="49"/>
      <c r="H1450" s="49"/>
      <c r="I1450" s="49"/>
      <c r="J1450" s="49"/>
      <c r="K1450" s="49"/>
      <c r="L1450" s="49"/>
      <c r="M1450" s="49"/>
    </row>
    <row r="1451" spans="5:13">
      <c r="E1451" s="49"/>
      <c r="F1451" s="49"/>
      <c r="G1451" s="49"/>
      <c r="H1451" s="49"/>
      <c r="I1451" s="49"/>
      <c r="J1451" s="49"/>
      <c r="K1451" s="49"/>
      <c r="L1451" s="49"/>
      <c r="M1451" s="49"/>
    </row>
    <row r="1452" spans="5:13">
      <c r="E1452" s="49"/>
      <c r="F1452" s="49"/>
      <c r="G1452" s="49"/>
      <c r="H1452" s="49"/>
      <c r="I1452" s="49"/>
      <c r="J1452" s="49"/>
      <c r="K1452" s="49"/>
      <c r="L1452" s="49"/>
      <c r="M1452" s="49"/>
    </row>
    <row r="1453" spans="5:13">
      <c r="E1453" s="49"/>
      <c r="F1453" s="49"/>
      <c r="G1453" s="49"/>
      <c r="H1453" s="49"/>
      <c r="I1453" s="49"/>
      <c r="J1453" s="49"/>
      <c r="K1453" s="49"/>
      <c r="L1453" s="49"/>
      <c r="M1453" s="49"/>
    </row>
    <row r="1454" spans="5:13">
      <c r="E1454" s="49"/>
      <c r="F1454" s="49"/>
      <c r="G1454" s="49"/>
      <c r="H1454" s="49"/>
      <c r="I1454" s="49"/>
      <c r="J1454" s="49"/>
      <c r="K1454" s="49"/>
      <c r="L1454" s="49"/>
      <c r="M1454" s="49"/>
    </row>
    <row r="1455" spans="5:13">
      <c r="E1455" s="49"/>
      <c r="F1455" s="49"/>
      <c r="G1455" s="49"/>
      <c r="H1455" s="49"/>
      <c r="I1455" s="49"/>
      <c r="J1455" s="49"/>
      <c r="K1455" s="49"/>
      <c r="L1455" s="49"/>
      <c r="M1455" s="49"/>
    </row>
    <row r="1456" spans="5:13">
      <c r="E1456" s="49"/>
      <c r="F1456" s="49"/>
      <c r="G1456" s="49"/>
      <c r="H1456" s="49"/>
      <c r="I1456" s="49"/>
      <c r="J1456" s="49"/>
      <c r="K1456" s="49"/>
      <c r="L1456" s="49"/>
      <c r="M1456" s="49"/>
    </row>
    <row r="1457" spans="5:13">
      <c r="E1457" s="49"/>
      <c r="F1457" s="49"/>
      <c r="G1457" s="49"/>
      <c r="H1457" s="49"/>
      <c r="I1457" s="49"/>
      <c r="J1457" s="49"/>
      <c r="K1457" s="49"/>
      <c r="L1457" s="49"/>
      <c r="M1457" s="49"/>
    </row>
    <row r="1458" spans="5:13">
      <c r="E1458" s="49"/>
      <c r="F1458" s="49"/>
      <c r="G1458" s="49"/>
      <c r="H1458" s="49"/>
      <c r="I1458" s="49"/>
      <c r="J1458" s="49"/>
      <c r="K1458" s="49"/>
      <c r="L1458" s="49"/>
      <c r="M1458" s="49"/>
    </row>
    <row r="1459" spans="5:13">
      <c r="E1459" s="49"/>
      <c r="F1459" s="49"/>
      <c r="G1459" s="49"/>
      <c r="H1459" s="49"/>
      <c r="I1459" s="49"/>
      <c r="J1459" s="49"/>
      <c r="K1459" s="49"/>
      <c r="L1459" s="49"/>
      <c r="M1459" s="49"/>
    </row>
    <row r="1460" spans="5:13">
      <c r="E1460" s="49"/>
      <c r="F1460" s="49"/>
      <c r="G1460" s="49"/>
      <c r="H1460" s="49"/>
      <c r="I1460" s="49"/>
      <c r="J1460" s="49"/>
      <c r="K1460" s="49"/>
      <c r="L1460" s="49"/>
      <c r="M1460" s="49"/>
    </row>
    <row r="1461" spans="5:13">
      <c r="E1461" s="49"/>
      <c r="F1461" s="49"/>
      <c r="G1461" s="49"/>
      <c r="H1461" s="49"/>
      <c r="I1461" s="49"/>
      <c r="J1461" s="49"/>
      <c r="K1461" s="49"/>
      <c r="L1461" s="49"/>
      <c r="M1461" s="49"/>
    </row>
    <row r="1462" spans="5:13">
      <c r="E1462" s="49"/>
      <c r="F1462" s="49"/>
      <c r="G1462" s="49"/>
      <c r="H1462" s="49"/>
      <c r="I1462" s="49"/>
      <c r="J1462" s="49"/>
      <c r="K1462" s="49"/>
      <c r="L1462" s="49"/>
      <c r="M1462" s="49"/>
    </row>
    <row r="1463" spans="5:13">
      <c r="E1463" s="49"/>
      <c r="F1463" s="49"/>
      <c r="G1463" s="49"/>
      <c r="H1463" s="49"/>
      <c r="I1463" s="49"/>
      <c r="J1463" s="49"/>
      <c r="K1463" s="49"/>
      <c r="L1463" s="49"/>
      <c r="M1463" s="49"/>
    </row>
    <row r="1464" spans="5:13">
      <c r="E1464" s="49"/>
      <c r="F1464" s="49"/>
      <c r="G1464" s="49"/>
      <c r="H1464" s="49"/>
      <c r="I1464" s="49"/>
      <c r="J1464" s="49"/>
      <c r="K1464" s="49"/>
      <c r="L1464" s="49"/>
      <c r="M1464" s="49"/>
    </row>
    <row r="1465" spans="5:13">
      <c r="E1465" s="49"/>
      <c r="F1465" s="49"/>
      <c r="G1465" s="49"/>
      <c r="H1465" s="49"/>
      <c r="I1465" s="49"/>
      <c r="J1465" s="49"/>
      <c r="K1465" s="49"/>
      <c r="L1465" s="49"/>
      <c r="M1465" s="49"/>
    </row>
    <row r="1466" spans="5:13">
      <c r="E1466" s="49"/>
      <c r="F1466" s="49"/>
      <c r="G1466" s="49"/>
      <c r="H1466" s="49"/>
      <c r="I1466" s="49"/>
      <c r="J1466" s="49"/>
      <c r="K1466" s="49"/>
      <c r="L1466" s="49"/>
      <c r="M1466" s="49"/>
    </row>
    <row r="1467" spans="5:13">
      <c r="E1467" s="49"/>
      <c r="F1467" s="49"/>
      <c r="G1467" s="49"/>
      <c r="H1467" s="49"/>
      <c r="I1467" s="49"/>
      <c r="J1467" s="49"/>
      <c r="K1467" s="49"/>
      <c r="L1467" s="49"/>
      <c r="M1467" s="49"/>
    </row>
    <row r="1468" spans="5:13">
      <c r="E1468" s="49"/>
      <c r="F1468" s="49"/>
      <c r="G1468" s="49"/>
      <c r="H1468" s="49"/>
      <c r="I1468" s="49"/>
      <c r="J1468" s="49"/>
      <c r="K1468" s="49"/>
      <c r="L1468" s="49"/>
      <c r="M1468" s="49"/>
    </row>
    <row r="1469" spans="5:13">
      <c r="E1469" s="49"/>
      <c r="F1469" s="49"/>
      <c r="G1469" s="49"/>
      <c r="H1469" s="49"/>
      <c r="I1469" s="49"/>
      <c r="J1469" s="49"/>
      <c r="K1469" s="49"/>
      <c r="L1469" s="49"/>
      <c r="M1469" s="49"/>
    </row>
    <row r="1470" spans="5:13">
      <c r="E1470" s="49"/>
      <c r="F1470" s="49"/>
      <c r="G1470" s="49"/>
      <c r="H1470" s="49"/>
      <c r="I1470" s="49"/>
      <c r="J1470" s="49"/>
      <c r="K1470" s="49"/>
      <c r="L1470" s="49"/>
      <c r="M1470" s="49"/>
    </row>
    <row r="1471" spans="5:13">
      <c r="E1471" s="49"/>
      <c r="F1471" s="49"/>
      <c r="G1471" s="49"/>
      <c r="H1471" s="49"/>
      <c r="I1471" s="49"/>
      <c r="J1471" s="49"/>
      <c r="K1471" s="49"/>
      <c r="L1471" s="49"/>
      <c r="M1471" s="49"/>
    </row>
    <row r="1472" spans="5:13">
      <c r="E1472" s="49"/>
      <c r="F1472" s="49"/>
      <c r="G1472" s="49"/>
      <c r="H1472" s="49"/>
      <c r="I1472" s="49"/>
      <c r="J1472" s="49"/>
      <c r="K1472" s="49"/>
      <c r="L1472" s="49"/>
      <c r="M1472" s="49"/>
    </row>
    <row r="1473" spans="5:13">
      <c r="E1473" s="49"/>
      <c r="F1473" s="49"/>
      <c r="G1473" s="49"/>
      <c r="H1473" s="49"/>
      <c r="I1473" s="49"/>
      <c r="J1473" s="49"/>
      <c r="K1473" s="49"/>
      <c r="L1473" s="49"/>
      <c r="M1473" s="49"/>
    </row>
    <row r="1474" spans="5:13">
      <c r="E1474" s="49"/>
      <c r="F1474" s="49"/>
      <c r="G1474" s="49"/>
      <c r="H1474" s="49"/>
      <c r="I1474" s="49"/>
      <c r="J1474" s="49"/>
      <c r="K1474" s="49"/>
      <c r="L1474" s="49"/>
      <c r="M1474" s="49"/>
    </row>
    <row r="1475" spans="5:13">
      <c r="E1475" s="49"/>
      <c r="F1475" s="49"/>
      <c r="G1475" s="49"/>
      <c r="H1475" s="49"/>
      <c r="I1475" s="49"/>
      <c r="J1475" s="49"/>
      <c r="K1475" s="49"/>
      <c r="L1475" s="49"/>
      <c r="M1475" s="49"/>
    </row>
    <row r="1476" spans="5:13">
      <c r="E1476" s="49"/>
      <c r="F1476" s="49"/>
      <c r="G1476" s="49"/>
      <c r="H1476" s="49"/>
      <c r="I1476" s="49"/>
      <c r="J1476" s="49"/>
      <c r="K1476" s="49"/>
      <c r="L1476" s="49"/>
      <c r="M1476" s="49"/>
    </row>
    <row r="1477" spans="5:13">
      <c r="E1477" s="49"/>
      <c r="F1477" s="49"/>
      <c r="G1477" s="49"/>
      <c r="H1477" s="49"/>
      <c r="I1477" s="49"/>
      <c r="J1477" s="49"/>
      <c r="K1477" s="49"/>
      <c r="L1477" s="49"/>
      <c r="M1477" s="49"/>
    </row>
    <row r="1478" spans="5:13">
      <c r="E1478" s="49"/>
      <c r="F1478" s="49"/>
      <c r="G1478" s="49"/>
      <c r="H1478" s="49"/>
      <c r="I1478" s="49"/>
      <c r="J1478" s="49"/>
      <c r="K1478" s="49"/>
      <c r="L1478" s="49"/>
      <c r="M1478" s="49"/>
    </row>
    <row r="1479" spans="5:13">
      <c r="E1479" s="49"/>
      <c r="F1479" s="49"/>
      <c r="G1479" s="49"/>
      <c r="H1479" s="49"/>
      <c r="I1479" s="49"/>
      <c r="J1479" s="49"/>
      <c r="K1479" s="49"/>
      <c r="L1479" s="49"/>
      <c r="M1479" s="49"/>
    </row>
    <row r="1480" spans="5:13">
      <c r="E1480" s="49"/>
      <c r="F1480" s="49"/>
      <c r="G1480" s="49"/>
      <c r="H1480" s="49"/>
      <c r="I1480" s="49"/>
      <c r="J1480" s="49"/>
      <c r="K1480" s="49"/>
      <c r="L1480" s="49"/>
      <c r="M1480" s="49"/>
    </row>
    <row r="1481" spans="5:13">
      <c r="E1481" s="49"/>
      <c r="F1481" s="49"/>
      <c r="G1481" s="49"/>
      <c r="H1481" s="49"/>
      <c r="I1481" s="49"/>
      <c r="J1481" s="49"/>
      <c r="K1481" s="49"/>
      <c r="L1481" s="49"/>
      <c r="M1481" s="49"/>
    </row>
    <row r="1482" spans="5:13">
      <c r="E1482" s="49"/>
      <c r="F1482" s="49"/>
      <c r="G1482" s="49"/>
      <c r="H1482" s="49"/>
      <c r="I1482" s="49"/>
      <c r="J1482" s="49"/>
      <c r="K1482" s="49"/>
      <c r="L1482" s="49"/>
      <c r="M1482" s="49"/>
    </row>
    <row r="1483" spans="5:13">
      <c r="E1483" s="49"/>
      <c r="F1483" s="49"/>
      <c r="G1483" s="49"/>
      <c r="H1483" s="49"/>
      <c r="I1483" s="49"/>
      <c r="J1483" s="49"/>
      <c r="K1483" s="49"/>
      <c r="L1483" s="49"/>
      <c r="M1483" s="49"/>
    </row>
    <row r="1484" spans="5:13">
      <c r="E1484" s="49"/>
      <c r="F1484" s="49"/>
      <c r="G1484" s="49"/>
      <c r="H1484" s="49"/>
      <c r="I1484" s="49"/>
      <c r="J1484" s="49"/>
      <c r="K1484" s="49"/>
      <c r="L1484" s="49"/>
      <c r="M1484" s="49"/>
    </row>
    <row r="1485" spans="5:13">
      <c r="E1485" s="49"/>
      <c r="F1485" s="49"/>
      <c r="G1485" s="49"/>
      <c r="H1485" s="49"/>
      <c r="I1485" s="49"/>
      <c r="J1485" s="49"/>
      <c r="K1485" s="49"/>
      <c r="L1485" s="49"/>
      <c r="M1485" s="49"/>
    </row>
    <row r="1486" spans="5:13">
      <c r="E1486" s="49"/>
      <c r="F1486" s="49"/>
      <c r="G1486" s="49"/>
      <c r="H1486" s="49"/>
      <c r="I1486" s="49"/>
      <c r="J1486" s="49"/>
      <c r="K1486" s="49"/>
      <c r="L1486" s="49"/>
      <c r="M1486" s="49"/>
    </row>
    <row r="1487" spans="5:13">
      <c r="E1487" s="49"/>
      <c r="F1487" s="49"/>
      <c r="G1487" s="49"/>
      <c r="H1487" s="49"/>
      <c r="I1487" s="49"/>
      <c r="J1487" s="49"/>
      <c r="K1487" s="49"/>
      <c r="L1487" s="49"/>
      <c r="M1487" s="49"/>
    </row>
    <row r="1488" spans="5:13">
      <c r="E1488" s="49"/>
      <c r="F1488" s="49"/>
      <c r="G1488" s="49"/>
      <c r="H1488" s="49"/>
      <c r="I1488" s="49"/>
      <c r="J1488" s="49"/>
      <c r="K1488" s="49"/>
      <c r="L1488" s="49"/>
      <c r="M1488" s="49"/>
    </row>
    <row r="1489" spans="5:13">
      <c r="E1489" s="49"/>
      <c r="F1489" s="49"/>
      <c r="G1489" s="49"/>
      <c r="H1489" s="49"/>
      <c r="I1489" s="49"/>
      <c r="J1489" s="49"/>
      <c r="K1489" s="49"/>
      <c r="L1489" s="49"/>
      <c r="M1489" s="49"/>
    </row>
    <row r="1490" spans="5:13">
      <c r="E1490" s="49"/>
      <c r="F1490" s="49"/>
      <c r="G1490" s="49"/>
      <c r="H1490" s="49"/>
      <c r="I1490" s="49"/>
      <c r="J1490" s="49"/>
      <c r="K1490" s="49"/>
      <c r="L1490" s="49"/>
      <c r="M1490" s="49"/>
    </row>
    <row r="1491" spans="5:13">
      <c r="E1491" s="49"/>
      <c r="F1491" s="49"/>
      <c r="G1491" s="49"/>
      <c r="H1491" s="49"/>
      <c r="I1491" s="49"/>
      <c r="J1491" s="49"/>
      <c r="K1491" s="49"/>
      <c r="L1491" s="49"/>
      <c r="M1491" s="49"/>
    </row>
    <row r="1492" spans="5:13">
      <c r="E1492" s="49"/>
      <c r="F1492" s="49"/>
      <c r="G1492" s="49"/>
      <c r="H1492" s="49"/>
      <c r="I1492" s="49"/>
      <c r="J1492" s="49"/>
      <c r="K1492" s="49"/>
      <c r="L1492" s="49"/>
      <c r="M1492" s="49"/>
    </row>
    <row r="1493" spans="5:13">
      <c r="E1493" s="49"/>
      <c r="F1493" s="49"/>
      <c r="G1493" s="49"/>
      <c r="H1493" s="49"/>
      <c r="I1493" s="49"/>
      <c r="J1493" s="49"/>
      <c r="K1493" s="49"/>
      <c r="L1493" s="49"/>
      <c r="M1493" s="49"/>
    </row>
    <row r="1494" spans="5:13">
      <c r="E1494" s="49"/>
      <c r="F1494" s="49"/>
      <c r="G1494" s="49"/>
      <c r="H1494" s="49"/>
      <c r="I1494" s="49"/>
      <c r="J1494" s="49"/>
      <c r="K1494" s="49"/>
      <c r="L1494" s="49"/>
      <c r="M1494" s="49"/>
    </row>
    <row r="1495" spans="5:13">
      <c r="E1495" s="49"/>
      <c r="F1495" s="49"/>
      <c r="G1495" s="49"/>
      <c r="H1495" s="49"/>
      <c r="I1495" s="49"/>
      <c r="J1495" s="49"/>
      <c r="K1495" s="49"/>
      <c r="L1495" s="49"/>
      <c r="M1495" s="49"/>
    </row>
    <row r="1496" spans="5:13">
      <c r="E1496" s="49"/>
      <c r="F1496" s="49"/>
      <c r="G1496" s="49"/>
      <c r="H1496" s="49"/>
      <c r="I1496" s="49"/>
      <c r="J1496" s="49"/>
      <c r="K1496" s="49"/>
      <c r="L1496" s="49"/>
      <c r="M1496" s="49"/>
    </row>
    <row r="1497" spans="5:13">
      <c r="E1497" s="49"/>
      <c r="F1497" s="49"/>
      <c r="G1497" s="49"/>
      <c r="H1497" s="49"/>
      <c r="I1497" s="49"/>
      <c r="J1497" s="49"/>
      <c r="K1497" s="49"/>
      <c r="L1497" s="49"/>
      <c r="M1497" s="49"/>
    </row>
    <row r="1498" spans="5:13">
      <c r="E1498" s="49"/>
      <c r="F1498" s="49"/>
      <c r="G1498" s="49"/>
      <c r="H1498" s="49"/>
      <c r="I1498" s="49"/>
      <c r="J1498" s="49"/>
      <c r="K1498" s="49"/>
      <c r="L1498" s="49"/>
      <c r="M1498" s="49"/>
    </row>
    <row r="1499" spans="5:13">
      <c r="E1499" s="49"/>
      <c r="F1499" s="49"/>
      <c r="G1499" s="49"/>
      <c r="H1499" s="49"/>
      <c r="I1499" s="49"/>
      <c r="J1499" s="49"/>
      <c r="K1499" s="49"/>
      <c r="L1499" s="49"/>
      <c r="M1499" s="49"/>
    </row>
    <row r="1500" spans="5:13">
      <c r="E1500" s="49"/>
      <c r="F1500" s="49"/>
      <c r="G1500" s="49"/>
      <c r="H1500" s="49"/>
      <c r="I1500" s="49"/>
      <c r="J1500" s="49"/>
      <c r="K1500" s="49"/>
      <c r="L1500" s="49"/>
      <c r="M1500" s="49"/>
    </row>
    <row r="1501" spans="5:13">
      <c r="E1501" s="49"/>
      <c r="F1501" s="49"/>
      <c r="G1501" s="49"/>
      <c r="H1501" s="49"/>
      <c r="I1501" s="49"/>
      <c r="J1501" s="49"/>
      <c r="K1501" s="49"/>
      <c r="L1501" s="49"/>
      <c r="M1501" s="49"/>
    </row>
    <row r="1502" spans="5:13">
      <c r="E1502" s="49"/>
      <c r="F1502" s="49"/>
      <c r="G1502" s="49"/>
      <c r="H1502" s="49"/>
      <c r="I1502" s="49"/>
      <c r="J1502" s="49"/>
      <c r="K1502" s="49"/>
      <c r="L1502" s="49"/>
      <c r="M1502" s="49"/>
    </row>
    <row r="1503" spans="5:13">
      <c r="E1503" s="49"/>
      <c r="F1503" s="49"/>
      <c r="G1503" s="49"/>
      <c r="H1503" s="49"/>
      <c r="I1503" s="49"/>
      <c r="J1503" s="49"/>
      <c r="K1503" s="49"/>
      <c r="L1503" s="49"/>
      <c r="M1503" s="49"/>
    </row>
    <row r="1504" spans="5:13">
      <c r="E1504" s="49"/>
      <c r="F1504" s="49"/>
      <c r="G1504" s="49"/>
      <c r="H1504" s="49"/>
      <c r="I1504" s="49"/>
      <c r="J1504" s="49"/>
      <c r="K1504" s="49"/>
      <c r="L1504" s="49"/>
      <c r="M1504" s="49"/>
    </row>
    <row r="1505" spans="5:13">
      <c r="E1505" s="49"/>
      <c r="F1505" s="49"/>
      <c r="G1505" s="49"/>
      <c r="H1505" s="49"/>
      <c r="I1505" s="49"/>
      <c r="J1505" s="49"/>
      <c r="K1505" s="49"/>
      <c r="L1505" s="49"/>
      <c r="M1505" s="49"/>
    </row>
    <row r="1506" spans="5:13">
      <c r="E1506" s="49"/>
      <c r="F1506" s="49"/>
      <c r="G1506" s="49"/>
      <c r="H1506" s="49"/>
      <c r="I1506" s="49"/>
      <c r="J1506" s="49"/>
      <c r="K1506" s="49"/>
      <c r="L1506" s="49"/>
      <c r="M1506" s="49"/>
    </row>
    <row r="1507" spans="5:13">
      <c r="E1507" s="49"/>
      <c r="F1507" s="49"/>
      <c r="G1507" s="49"/>
      <c r="H1507" s="49"/>
      <c r="I1507" s="49"/>
      <c r="J1507" s="49"/>
      <c r="K1507" s="49"/>
      <c r="L1507" s="49"/>
      <c r="M1507" s="49"/>
    </row>
    <row r="1508" spans="5:13">
      <c r="E1508" s="49"/>
      <c r="F1508" s="49"/>
      <c r="G1508" s="49"/>
      <c r="H1508" s="49"/>
      <c r="I1508" s="49"/>
      <c r="J1508" s="49"/>
      <c r="K1508" s="49"/>
      <c r="L1508" s="49"/>
      <c r="M1508" s="49"/>
    </row>
    <row r="1509" spans="5:13">
      <c r="E1509" s="49"/>
      <c r="F1509" s="49"/>
      <c r="G1509" s="49"/>
      <c r="H1509" s="49"/>
      <c r="I1509" s="49"/>
      <c r="J1509" s="49"/>
      <c r="K1509" s="49"/>
      <c r="L1509" s="49"/>
      <c r="M1509" s="49"/>
    </row>
    <row r="1510" spans="5:13">
      <c r="E1510" s="49"/>
      <c r="F1510" s="49"/>
      <c r="G1510" s="49"/>
      <c r="H1510" s="49"/>
      <c r="I1510" s="49"/>
      <c r="J1510" s="49"/>
      <c r="K1510" s="49"/>
      <c r="L1510" s="49"/>
      <c r="M1510" s="49"/>
    </row>
    <row r="1511" spans="5:13">
      <c r="E1511" s="49"/>
      <c r="F1511" s="49"/>
      <c r="G1511" s="49"/>
      <c r="H1511" s="49"/>
      <c r="I1511" s="49"/>
      <c r="J1511" s="49"/>
      <c r="K1511" s="49"/>
      <c r="L1511" s="49"/>
      <c r="M1511" s="49"/>
    </row>
    <row r="1512" spans="5:13">
      <c r="E1512" s="49"/>
      <c r="F1512" s="49"/>
      <c r="G1512" s="49"/>
      <c r="H1512" s="49"/>
      <c r="I1512" s="49"/>
      <c r="J1512" s="49"/>
      <c r="K1512" s="49"/>
      <c r="L1512" s="49"/>
      <c r="M1512" s="49"/>
    </row>
    <row r="1513" spans="5:13">
      <c r="E1513" s="49"/>
      <c r="F1513" s="49"/>
      <c r="G1513" s="49"/>
      <c r="H1513" s="49"/>
      <c r="I1513" s="49"/>
      <c r="J1513" s="49"/>
      <c r="K1513" s="49"/>
      <c r="L1513" s="49"/>
      <c r="M1513" s="49"/>
    </row>
    <row r="1514" spans="5:13">
      <c r="E1514" s="49"/>
      <c r="F1514" s="49"/>
      <c r="G1514" s="49"/>
      <c r="H1514" s="49"/>
      <c r="I1514" s="49"/>
      <c r="J1514" s="49"/>
      <c r="K1514" s="49"/>
      <c r="L1514" s="49"/>
      <c r="M1514" s="49"/>
    </row>
    <row r="1515" spans="5:13">
      <c r="E1515" s="49"/>
      <c r="F1515" s="49"/>
      <c r="G1515" s="49"/>
      <c r="H1515" s="49"/>
      <c r="I1515" s="49"/>
      <c r="J1515" s="49"/>
      <c r="K1515" s="49"/>
      <c r="L1515" s="49"/>
      <c r="M1515" s="49"/>
    </row>
    <row r="1516" spans="5:13">
      <c r="E1516" s="49"/>
      <c r="F1516" s="49"/>
      <c r="G1516" s="49"/>
      <c r="H1516" s="49"/>
      <c r="I1516" s="49"/>
      <c r="J1516" s="49"/>
      <c r="K1516" s="49"/>
      <c r="L1516" s="49"/>
      <c r="M1516" s="49"/>
    </row>
    <row r="1517" spans="5:13">
      <c r="E1517" s="49"/>
      <c r="F1517" s="49"/>
      <c r="G1517" s="49"/>
      <c r="H1517" s="49"/>
      <c r="I1517" s="49"/>
      <c r="J1517" s="49"/>
      <c r="K1517" s="49"/>
      <c r="L1517" s="49"/>
      <c r="M1517" s="49"/>
    </row>
    <row r="1518" spans="5:13">
      <c r="E1518" s="49"/>
      <c r="F1518" s="49"/>
      <c r="G1518" s="49"/>
      <c r="H1518" s="49"/>
      <c r="I1518" s="49"/>
      <c r="J1518" s="49"/>
      <c r="K1518" s="49"/>
      <c r="L1518" s="49"/>
      <c r="M1518" s="49"/>
    </row>
    <row r="1519" spans="5:13">
      <c r="E1519" s="49"/>
      <c r="F1519" s="49"/>
      <c r="G1519" s="49"/>
      <c r="H1519" s="49"/>
      <c r="I1519" s="49"/>
      <c r="J1519" s="49"/>
      <c r="K1519" s="49"/>
      <c r="L1519" s="49"/>
      <c r="M1519" s="49"/>
    </row>
    <row r="1520" spans="5:13">
      <c r="E1520" s="49"/>
      <c r="F1520" s="49"/>
      <c r="G1520" s="49"/>
      <c r="H1520" s="49"/>
      <c r="I1520" s="49"/>
      <c r="J1520" s="49"/>
      <c r="K1520" s="49"/>
      <c r="L1520" s="49"/>
      <c r="M1520" s="49"/>
    </row>
    <row r="1521" spans="5:13">
      <c r="E1521" s="49"/>
      <c r="F1521" s="49"/>
      <c r="G1521" s="49"/>
      <c r="H1521" s="49"/>
      <c r="I1521" s="49"/>
      <c r="J1521" s="49"/>
      <c r="K1521" s="49"/>
      <c r="L1521" s="49"/>
      <c r="M1521" s="49"/>
    </row>
    <row r="1522" spans="5:13">
      <c r="E1522" s="49"/>
      <c r="F1522" s="49"/>
      <c r="G1522" s="49"/>
      <c r="H1522" s="49"/>
      <c r="I1522" s="49"/>
      <c r="J1522" s="49"/>
      <c r="K1522" s="49"/>
      <c r="L1522" s="49"/>
      <c r="M1522" s="49"/>
    </row>
    <row r="1523" spans="5:13">
      <c r="E1523" s="49"/>
      <c r="F1523" s="49"/>
      <c r="G1523" s="49"/>
      <c r="H1523" s="49"/>
      <c r="I1523" s="49"/>
      <c r="J1523" s="49"/>
      <c r="K1523" s="49"/>
      <c r="L1523" s="49"/>
      <c r="M1523" s="49"/>
    </row>
    <row r="1524" spans="5:13">
      <c r="E1524" s="49"/>
      <c r="F1524" s="49"/>
      <c r="G1524" s="49"/>
      <c r="H1524" s="49"/>
      <c r="I1524" s="49"/>
      <c r="J1524" s="49"/>
      <c r="K1524" s="49"/>
      <c r="L1524" s="49"/>
      <c r="M1524" s="49"/>
    </row>
    <row r="1525" spans="5:13">
      <c r="E1525" s="49"/>
      <c r="F1525" s="49"/>
      <c r="G1525" s="49"/>
      <c r="H1525" s="49"/>
      <c r="I1525" s="49"/>
      <c r="J1525" s="49"/>
      <c r="K1525" s="49"/>
      <c r="L1525" s="49"/>
      <c r="M1525" s="49"/>
    </row>
    <row r="1526" spans="5:13">
      <c r="E1526" s="49"/>
      <c r="F1526" s="49"/>
      <c r="G1526" s="49"/>
      <c r="H1526" s="49"/>
      <c r="I1526" s="49"/>
      <c r="J1526" s="49"/>
      <c r="K1526" s="49"/>
      <c r="L1526" s="49"/>
      <c r="M1526" s="49"/>
    </row>
    <row r="1527" spans="5:13">
      <c r="E1527" s="49"/>
      <c r="F1527" s="49"/>
      <c r="G1527" s="49"/>
      <c r="H1527" s="49"/>
      <c r="I1527" s="49"/>
      <c r="J1527" s="49"/>
      <c r="K1527" s="49"/>
      <c r="L1527" s="49"/>
      <c r="M1527" s="49"/>
    </row>
    <row r="1528" spans="5:13">
      <c r="E1528" s="49"/>
      <c r="F1528" s="49"/>
      <c r="G1528" s="49"/>
      <c r="H1528" s="49"/>
      <c r="I1528" s="49"/>
      <c r="J1528" s="49"/>
      <c r="K1528" s="49"/>
      <c r="L1528" s="49"/>
      <c r="M1528" s="49"/>
    </row>
    <row r="1529" spans="5:13">
      <c r="E1529" s="49"/>
      <c r="F1529" s="49"/>
      <c r="G1529" s="49"/>
      <c r="H1529" s="49"/>
      <c r="I1529" s="49"/>
      <c r="J1529" s="49"/>
      <c r="K1529" s="49"/>
      <c r="L1529" s="49"/>
      <c r="M1529" s="49"/>
    </row>
    <row r="1530" spans="5:13">
      <c r="E1530" s="49"/>
      <c r="F1530" s="49"/>
      <c r="G1530" s="49"/>
      <c r="H1530" s="49"/>
      <c r="I1530" s="49"/>
      <c r="J1530" s="49"/>
      <c r="K1530" s="49"/>
      <c r="L1530" s="49"/>
      <c r="M1530" s="49"/>
    </row>
    <row r="1531" spans="5:13">
      <c r="E1531" s="49"/>
      <c r="F1531" s="49"/>
      <c r="G1531" s="49"/>
      <c r="H1531" s="49"/>
      <c r="I1531" s="49"/>
      <c r="J1531" s="49"/>
      <c r="K1531" s="49"/>
      <c r="L1531" s="49"/>
      <c r="M1531" s="49"/>
    </row>
    <row r="1532" spans="5:13">
      <c r="E1532" s="49"/>
      <c r="F1532" s="49"/>
      <c r="G1532" s="49"/>
      <c r="H1532" s="49"/>
      <c r="I1532" s="49"/>
      <c r="J1532" s="49"/>
      <c r="K1532" s="49"/>
      <c r="L1532" s="49"/>
      <c r="M1532" s="49"/>
    </row>
    <row r="1533" spans="5:13">
      <c r="E1533" s="49"/>
      <c r="F1533" s="49"/>
      <c r="G1533" s="49"/>
      <c r="H1533" s="49"/>
      <c r="I1533" s="49"/>
      <c r="J1533" s="49"/>
      <c r="K1533" s="49"/>
      <c r="L1533" s="49"/>
      <c r="M1533" s="49"/>
    </row>
    <row r="1534" spans="5:13">
      <c r="E1534" s="49"/>
      <c r="F1534" s="49"/>
      <c r="G1534" s="49"/>
      <c r="H1534" s="49"/>
      <c r="I1534" s="49"/>
      <c r="J1534" s="49"/>
      <c r="K1534" s="49"/>
      <c r="L1534" s="49"/>
      <c r="M1534" s="49"/>
    </row>
    <row r="1535" spans="5:13">
      <c r="E1535" s="49"/>
      <c r="F1535" s="49"/>
      <c r="G1535" s="49"/>
      <c r="H1535" s="49"/>
      <c r="I1535" s="49"/>
      <c r="J1535" s="49"/>
      <c r="K1535" s="49"/>
      <c r="L1535" s="49"/>
      <c r="M1535" s="49"/>
    </row>
    <row r="1536" spans="5:13">
      <c r="E1536" s="49"/>
      <c r="F1536" s="49"/>
      <c r="G1536" s="49"/>
      <c r="H1536" s="49"/>
      <c r="I1536" s="49"/>
      <c r="J1536" s="49"/>
      <c r="K1536" s="49"/>
      <c r="L1536" s="49"/>
      <c r="M1536" s="49"/>
    </row>
    <row r="1537" spans="5:13">
      <c r="E1537" s="49"/>
      <c r="F1537" s="49"/>
      <c r="G1537" s="49"/>
      <c r="H1537" s="49"/>
      <c r="I1537" s="49"/>
      <c r="J1537" s="49"/>
      <c r="K1537" s="49"/>
      <c r="L1537" s="49"/>
      <c r="M1537" s="49"/>
    </row>
    <row r="1538" spans="5:13">
      <c r="E1538" s="49"/>
      <c r="F1538" s="49"/>
      <c r="G1538" s="49"/>
      <c r="H1538" s="49"/>
      <c r="I1538" s="49"/>
      <c r="J1538" s="49"/>
      <c r="K1538" s="49"/>
      <c r="L1538" s="49"/>
      <c r="M1538" s="49"/>
    </row>
    <row r="1539" spans="5:13">
      <c r="E1539" s="49"/>
      <c r="F1539" s="49"/>
      <c r="G1539" s="49"/>
      <c r="H1539" s="49"/>
      <c r="I1539" s="49"/>
      <c r="J1539" s="49"/>
      <c r="K1539" s="49"/>
      <c r="L1539" s="49"/>
      <c r="M1539" s="49"/>
    </row>
    <row r="1540" spans="5:13">
      <c r="E1540" s="49"/>
      <c r="F1540" s="49"/>
      <c r="G1540" s="49"/>
      <c r="H1540" s="49"/>
      <c r="I1540" s="49"/>
      <c r="J1540" s="49"/>
      <c r="K1540" s="49"/>
      <c r="L1540" s="49"/>
      <c r="M1540" s="49"/>
    </row>
    <row r="1541" spans="5:13">
      <c r="E1541" s="49"/>
      <c r="F1541" s="49"/>
      <c r="G1541" s="49"/>
      <c r="H1541" s="49"/>
      <c r="I1541" s="49"/>
      <c r="J1541" s="49"/>
      <c r="K1541" s="49"/>
      <c r="L1541" s="49"/>
      <c r="M1541" s="49"/>
    </row>
    <row r="1542" spans="5:13">
      <c r="E1542" s="49"/>
      <c r="F1542" s="49"/>
      <c r="G1542" s="49"/>
      <c r="H1542" s="49"/>
      <c r="I1542" s="49"/>
      <c r="J1542" s="49"/>
      <c r="K1542" s="49"/>
      <c r="L1542" s="49"/>
      <c r="M1542" s="49"/>
    </row>
    <row r="1543" spans="5:13">
      <c r="E1543" s="49"/>
      <c r="F1543" s="49"/>
      <c r="G1543" s="49"/>
      <c r="H1543" s="49"/>
      <c r="I1543" s="49"/>
      <c r="J1543" s="49"/>
      <c r="K1543" s="49"/>
      <c r="L1543" s="49"/>
      <c r="M1543" s="49"/>
    </row>
    <row r="1544" spans="5:13">
      <c r="E1544" s="49"/>
      <c r="F1544" s="49"/>
      <c r="G1544" s="49"/>
      <c r="H1544" s="49"/>
      <c r="I1544" s="49"/>
      <c r="J1544" s="49"/>
      <c r="K1544" s="49"/>
      <c r="L1544" s="49"/>
      <c r="M1544" s="49"/>
    </row>
    <row r="1545" spans="5:13">
      <c r="E1545" s="49"/>
      <c r="F1545" s="49"/>
      <c r="G1545" s="49"/>
      <c r="H1545" s="49"/>
      <c r="I1545" s="49"/>
      <c r="J1545" s="49"/>
      <c r="K1545" s="49"/>
      <c r="L1545" s="49"/>
      <c r="M1545" s="49"/>
    </row>
    <row r="1546" spans="5:13">
      <c r="E1546" s="49"/>
      <c r="F1546" s="49"/>
      <c r="G1546" s="49"/>
      <c r="H1546" s="49"/>
      <c r="I1546" s="49"/>
      <c r="J1546" s="49"/>
      <c r="K1546" s="49"/>
      <c r="L1546" s="49"/>
      <c r="M1546" s="49"/>
    </row>
    <row r="1547" spans="5:13">
      <c r="E1547" s="49"/>
      <c r="F1547" s="49"/>
      <c r="G1547" s="49"/>
      <c r="H1547" s="49"/>
      <c r="I1547" s="49"/>
      <c r="J1547" s="49"/>
      <c r="K1547" s="49"/>
      <c r="L1547" s="49"/>
      <c r="M1547" s="49"/>
    </row>
    <row r="1548" spans="5:13">
      <c r="E1548" s="49"/>
      <c r="F1548" s="49"/>
      <c r="G1548" s="49"/>
      <c r="H1548" s="49"/>
      <c r="I1548" s="49"/>
      <c r="J1548" s="49"/>
      <c r="K1548" s="49"/>
      <c r="L1548" s="49"/>
      <c r="M1548" s="49"/>
    </row>
    <row r="1549" spans="5:13">
      <c r="E1549" s="49"/>
      <c r="F1549" s="49"/>
      <c r="G1549" s="49"/>
      <c r="H1549" s="49"/>
      <c r="I1549" s="49"/>
      <c r="J1549" s="49"/>
      <c r="K1549" s="49"/>
      <c r="L1549" s="49"/>
      <c r="M1549" s="49"/>
    </row>
    <row r="1550" spans="5:13">
      <c r="E1550" s="49"/>
      <c r="F1550" s="49"/>
      <c r="G1550" s="49"/>
      <c r="H1550" s="49"/>
      <c r="I1550" s="49"/>
      <c r="J1550" s="49"/>
      <c r="K1550" s="49"/>
      <c r="L1550" s="49"/>
      <c r="M1550" s="49"/>
    </row>
    <row r="1551" spans="5:13">
      <c r="E1551" s="49"/>
      <c r="F1551" s="49"/>
      <c r="G1551" s="49"/>
      <c r="H1551" s="49"/>
      <c r="I1551" s="49"/>
      <c r="J1551" s="49"/>
      <c r="K1551" s="49"/>
      <c r="L1551" s="49"/>
      <c r="M1551" s="49"/>
    </row>
    <row r="1552" spans="5:13">
      <c r="E1552" s="49"/>
      <c r="F1552" s="49"/>
      <c r="G1552" s="49"/>
      <c r="H1552" s="49"/>
      <c r="I1552" s="49"/>
      <c r="J1552" s="49"/>
      <c r="K1552" s="49"/>
      <c r="L1552" s="49"/>
      <c r="M1552" s="49"/>
    </row>
    <row r="1553" spans="5:13">
      <c r="E1553" s="49"/>
      <c r="F1553" s="49"/>
      <c r="G1553" s="49"/>
      <c r="H1553" s="49"/>
      <c r="I1553" s="49"/>
      <c r="J1553" s="49"/>
      <c r="K1553" s="49"/>
      <c r="L1553" s="49"/>
      <c r="M1553" s="49"/>
    </row>
    <row r="1554" spans="5:13">
      <c r="E1554" s="49"/>
      <c r="F1554" s="49"/>
      <c r="G1554" s="49"/>
      <c r="H1554" s="49"/>
      <c r="I1554" s="49"/>
      <c r="J1554" s="49"/>
      <c r="K1554" s="49"/>
      <c r="L1554" s="49"/>
      <c r="M1554" s="49"/>
    </row>
    <row r="1555" spans="5:13">
      <c r="E1555" s="49"/>
      <c r="F1555" s="49"/>
      <c r="G1555" s="49"/>
      <c r="H1555" s="49"/>
      <c r="I1555" s="49"/>
      <c r="J1555" s="49"/>
      <c r="K1555" s="49"/>
      <c r="L1555" s="49"/>
      <c r="M1555" s="49"/>
    </row>
    <row r="1556" spans="5:13">
      <c r="E1556" s="49"/>
      <c r="F1556" s="49"/>
      <c r="G1556" s="49"/>
      <c r="H1556" s="49"/>
      <c r="I1556" s="49"/>
      <c r="J1556" s="49"/>
      <c r="K1556" s="49"/>
      <c r="L1556" s="49"/>
      <c r="M1556" s="49"/>
    </row>
    <row r="1557" spans="5:13">
      <c r="E1557" s="49"/>
      <c r="F1557" s="49"/>
      <c r="G1557" s="49"/>
      <c r="H1557" s="49"/>
      <c r="I1557" s="49"/>
      <c r="J1557" s="49"/>
      <c r="K1557" s="49"/>
      <c r="L1557" s="49"/>
      <c r="M1557" s="49"/>
    </row>
    <row r="1558" spans="5:13">
      <c r="E1558" s="49"/>
      <c r="F1558" s="49"/>
      <c r="G1558" s="49"/>
      <c r="H1558" s="49"/>
      <c r="I1558" s="49"/>
      <c r="J1558" s="49"/>
      <c r="K1558" s="49"/>
      <c r="L1558" s="49"/>
      <c r="M1558" s="49"/>
    </row>
    <row r="1559" spans="5:13">
      <c r="E1559" s="49"/>
      <c r="F1559" s="49"/>
      <c r="G1559" s="49"/>
      <c r="H1559" s="49"/>
      <c r="I1559" s="49"/>
      <c r="J1559" s="49"/>
      <c r="K1559" s="49"/>
      <c r="L1559" s="49"/>
      <c r="M1559" s="49"/>
    </row>
    <row r="1560" spans="5:13">
      <c r="E1560" s="49"/>
      <c r="F1560" s="49"/>
      <c r="G1560" s="49"/>
      <c r="H1560" s="49"/>
      <c r="I1560" s="49"/>
      <c r="J1560" s="49"/>
      <c r="K1560" s="49"/>
      <c r="L1560" s="49"/>
      <c r="M1560" s="49"/>
    </row>
    <row r="1561" spans="5:13">
      <c r="E1561" s="49"/>
      <c r="F1561" s="49"/>
      <c r="G1561" s="49"/>
      <c r="H1561" s="49"/>
      <c r="I1561" s="49"/>
      <c r="J1561" s="49"/>
      <c r="K1561" s="49"/>
      <c r="L1561" s="49"/>
      <c r="M1561" s="49"/>
    </row>
    <row r="1562" spans="5:13">
      <c r="E1562" s="49"/>
      <c r="F1562" s="49"/>
      <c r="G1562" s="49"/>
      <c r="H1562" s="49"/>
      <c r="I1562" s="49"/>
      <c r="J1562" s="49"/>
      <c r="K1562" s="49"/>
      <c r="L1562" s="49"/>
      <c r="M1562" s="49"/>
    </row>
    <row r="1563" spans="5:13">
      <c r="E1563" s="49"/>
      <c r="F1563" s="49"/>
      <c r="G1563" s="49"/>
      <c r="H1563" s="49"/>
      <c r="I1563" s="49"/>
      <c r="J1563" s="49"/>
      <c r="K1563" s="49"/>
      <c r="L1563" s="49"/>
      <c r="M1563" s="49"/>
    </row>
    <row r="1564" spans="5:13">
      <c r="E1564" s="49"/>
      <c r="F1564" s="49"/>
      <c r="G1564" s="49"/>
      <c r="H1564" s="49"/>
      <c r="I1564" s="49"/>
      <c r="J1564" s="49"/>
      <c r="K1564" s="49"/>
      <c r="L1564" s="49"/>
      <c r="M1564" s="49"/>
    </row>
    <row r="1565" spans="5:13">
      <c r="E1565" s="49"/>
      <c r="F1565" s="49"/>
      <c r="G1565" s="49"/>
      <c r="H1565" s="49"/>
      <c r="I1565" s="49"/>
      <c r="J1565" s="49"/>
      <c r="K1565" s="49"/>
      <c r="L1565" s="49"/>
      <c r="M1565" s="49"/>
    </row>
    <row r="1566" spans="5:13">
      <c r="E1566" s="49"/>
      <c r="F1566" s="49"/>
      <c r="G1566" s="49"/>
      <c r="H1566" s="49"/>
      <c r="I1566" s="49"/>
      <c r="J1566" s="49"/>
      <c r="K1566" s="49"/>
      <c r="L1566" s="49"/>
      <c r="M1566" s="49"/>
    </row>
    <row r="1567" spans="5:13">
      <c r="E1567" s="49"/>
      <c r="F1567" s="49"/>
      <c r="G1567" s="49"/>
      <c r="H1567" s="49"/>
      <c r="I1567" s="49"/>
      <c r="J1567" s="49"/>
      <c r="K1567" s="49"/>
      <c r="L1567" s="49"/>
      <c r="M1567" s="49"/>
    </row>
    <row r="1568" spans="5:13">
      <c r="E1568" s="49"/>
      <c r="F1568" s="49"/>
      <c r="G1568" s="49"/>
      <c r="H1568" s="49"/>
      <c r="I1568" s="49"/>
      <c r="J1568" s="49"/>
      <c r="K1568" s="49"/>
      <c r="L1568" s="49"/>
      <c r="M1568" s="49"/>
    </row>
    <row r="1569" spans="5:13">
      <c r="E1569" s="49"/>
      <c r="F1569" s="49"/>
      <c r="G1569" s="49"/>
      <c r="H1569" s="49"/>
      <c r="I1569" s="49"/>
      <c r="J1569" s="49"/>
      <c r="K1569" s="49"/>
      <c r="L1569" s="49"/>
      <c r="M1569" s="49"/>
    </row>
    <row r="1570" spans="5:13">
      <c r="E1570" s="49"/>
      <c r="F1570" s="49"/>
      <c r="G1570" s="49"/>
      <c r="H1570" s="49"/>
      <c r="I1570" s="49"/>
      <c r="J1570" s="49"/>
      <c r="K1570" s="49"/>
      <c r="L1570" s="49"/>
      <c r="M1570" s="49"/>
    </row>
    <row r="1571" spans="5:13">
      <c r="E1571" s="49"/>
      <c r="F1571" s="49"/>
      <c r="G1571" s="49"/>
      <c r="H1571" s="49"/>
      <c r="I1571" s="49"/>
      <c r="J1571" s="49"/>
      <c r="K1571" s="49"/>
      <c r="L1571" s="49"/>
      <c r="M1571" s="49"/>
    </row>
    <row r="1572" spans="5:13">
      <c r="E1572" s="49"/>
      <c r="F1572" s="49"/>
      <c r="G1572" s="49"/>
      <c r="H1572" s="49"/>
      <c r="I1572" s="49"/>
      <c r="J1572" s="49"/>
      <c r="K1572" s="49"/>
      <c r="L1572" s="49"/>
      <c r="M1572" s="49"/>
    </row>
    <row r="1573" spans="5:13">
      <c r="E1573" s="49"/>
      <c r="F1573" s="49"/>
      <c r="G1573" s="49"/>
      <c r="H1573" s="49"/>
      <c r="I1573" s="49"/>
      <c r="J1573" s="49"/>
      <c r="K1573" s="49"/>
      <c r="L1573" s="49"/>
      <c r="M1573" s="49"/>
    </row>
    <row r="1574" spans="5:13">
      <c r="E1574" s="49"/>
      <c r="F1574" s="49"/>
      <c r="G1574" s="49"/>
      <c r="H1574" s="49"/>
      <c r="I1574" s="49"/>
      <c r="J1574" s="49"/>
      <c r="K1574" s="49"/>
      <c r="L1574" s="49"/>
      <c r="M1574" s="49"/>
    </row>
    <row r="1575" spans="5:13">
      <c r="E1575" s="49"/>
      <c r="F1575" s="49"/>
      <c r="G1575" s="49"/>
      <c r="H1575" s="49"/>
      <c r="I1575" s="49"/>
      <c r="J1575" s="49"/>
      <c r="K1575" s="49"/>
      <c r="L1575" s="49"/>
      <c r="M1575" s="49"/>
    </row>
    <row r="1576" spans="5:13">
      <c r="E1576" s="49"/>
      <c r="F1576" s="49"/>
      <c r="G1576" s="49"/>
      <c r="H1576" s="49"/>
      <c r="I1576" s="49"/>
      <c r="J1576" s="49"/>
      <c r="K1576" s="49"/>
      <c r="L1576" s="49"/>
      <c r="M1576" s="49"/>
    </row>
    <row r="1577" spans="5:13">
      <c r="E1577" s="49"/>
      <c r="F1577" s="49"/>
      <c r="G1577" s="49"/>
      <c r="H1577" s="49"/>
      <c r="I1577" s="49"/>
      <c r="J1577" s="49"/>
      <c r="K1577" s="49"/>
      <c r="L1577" s="49"/>
      <c r="M1577" s="49"/>
    </row>
    <row r="1578" spans="5:13">
      <c r="E1578" s="49"/>
      <c r="F1578" s="49"/>
      <c r="G1578" s="49"/>
      <c r="H1578" s="49"/>
      <c r="I1578" s="49"/>
      <c r="J1578" s="49"/>
      <c r="K1578" s="49"/>
      <c r="L1578" s="49"/>
      <c r="M1578" s="49"/>
    </row>
    <row r="1579" spans="5:13">
      <c r="E1579" s="49"/>
      <c r="F1579" s="49"/>
      <c r="G1579" s="49"/>
      <c r="H1579" s="49"/>
      <c r="I1579" s="49"/>
      <c r="J1579" s="49"/>
      <c r="K1579" s="49"/>
      <c r="L1579" s="49"/>
      <c r="M1579" s="49"/>
    </row>
    <row r="1580" spans="5:13">
      <c r="E1580" s="49"/>
      <c r="F1580" s="49"/>
      <c r="G1580" s="49"/>
      <c r="H1580" s="49"/>
      <c r="I1580" s="49"/>
      <c r="J1580" s="49"/>
      <c r="K1580" s="49"/>
      <c r="L1580" s="49"/>
      <c r="M1580" s="49"/>
    </row>
    <row r="1581" spans="5:13">
      <c r="E1581" s="49"/>
      <c r="F1581" s="49"/>
      <c r="G1581" s="49"/>
      <c r="H1581" s="49"/>
      <c r="I1581" s="49"/>
      <c r="J1581" s="49"/>
      <c r="K1581" s="49"/>
      <c r="L1581" s="49"/>
      <c r="M1581" s="49"/>
    </row>
    <row r="1582" spans="5:13">
      <c r="E1582" s="49"/>
      <c r="F1582" s="49"/>
      <c r="G1582" s="49"/>
      <c r="H1582" s="49"/>
      <c r="I1582" s="49"/>
      <c r="J1582" s="49"/>
      <c r="K1582" s="49"/>
      <c r="L1582" s="49"/>
      <c r="M1582" s="49"/>
    </row>
    <row r="1583" spans="5:13">
      <c r="E1583" s="49"/>
      <c r="F1583" s="49"/>
      <c r="G1583" s="49"/>
      <c r="H1583" s="49"/>
      <c r="I1583" s="49"/>
      <c r="J1583" s="49"/>
      <c r="K1583" s="49"/>
      <c r="L1583" s="49"/>
      <c r="M1583" s="49"/>
    </row>
    <row r="1584" spans="5:13">
      <c r="E1584" s="49"/>
      <c r="F1584" s="49"/>
      <c r="G1584" s="49"/>
      <c r="H1584" s="49"/>
      <c r="I1584" s="49"/>
      <c r="J1584" s="49"/>
      <c r="K1584" s="49"/>
      <c r="L1584" s="49"/>
      <c r="M1584" s="49"/>
    </row>
    <row r="1585" spans="5:13">
      <c r="E1585" s="49"/>
      <c r="F1585" s="49"/>
      <c r="G1585" s="49"/>
      <c r="H1585" s="49"/>
      <c r="I1585" s="49"/>
      <c r="J1585" s="49"/>
      <c r="K1585" s="49"/>
      <c r="L1585" s="49"/>
      <c r="M1585" s="49"/>
    </row>
    <row r="1586" spans="5:13">
      <c r="E1586" s="49"/>
      <c r="F1586" s="49"/>
      <c r="G1586" s="49"/>
      <c r="H1586" s="49"/>
      <c r="I1586" s="49"/>
      <c r="J1586" s="49"/>
      <c r="K1586" s="49"/>
      <c r="L1586" s="49"/>
      <c r="M1586" s="49"/>
    </row>
    <row r="1587" spans="5:13">
      <c r="E1587" s="49"/>
      <c r="F1587" s="49"/>
      <c r="G1587" s="49"/>
      <c r="H1587" s="49"/>
      <c r="I1587" s="49"/>
      <c r="J1587" s="49"/>
      <c r="K1587" s="49"/>
      <c r="L1587" s="49"/>
      <c r="M1587" s="49"/>
    </row>
    <row r="1588" spans="5:13">
      <c r="E1588" s="49"/>
      <c r="F1588" s="49"/>
      <c r="G1588" s="49"/>
      <c r="H1588" s="49"/>
      <c r="I1588" s="49"/>
      <c r="J1588" s="49"/>
      <c r="K1588" s="49"/>
      <c r="L1588" s="49"/>
      <c r="M1588" s="49"/>
    </row>
    <row r="1589" spans="5:13">
      <c r="E1589" s="49"/>
      <c r="F1589" s="49"/>
      <c r="G1589" s="49"/>
      <c r="H1589" s="49"/>
      <c r="I1589" s="49"/>
      <c r="J1589" s="49"/>
      <c r="K1589" s="49"/>
      <c r="L1589" s="49"/>
      <c r="M1589" s="49"/>
    </row>
    <row r="1590" spans="5:13">
      <c r="E1590" s="49"/>
      <c r="F1590" s="49"/>
      <c r="G1590" s="49"/>
      <c r="H1590" s="49"/>
      <c r="I1590" s="49"/>
      <c r="J1590" s="49"/>
      <c r="K1590" s="49"/>
      <c r="L1590" s="49"/>
      <c r="M1590" s="49"/>
    </row>
    <row r="1591" spans="5:13">
      <c r="E1591" s="49"/>
      <c r="F1591" s="49"/>
      <c r="G1591" s="49"/>
      <c r="H1591" s="49"/>
      <c r="I1591" s="49"/>
      <c r="J1591" s="49"/>
      <c r="K1591" s="49"/>
      <c r="L1591" s="49"/>
      <c r="M1591" s="49"/>
    </row>
    <row r="1592" spans="5:13">
      <c r="E1592" s="49"/>
      <c r="F1592" s="49"/>
      <c r="G1592" s="49"/>
      <c r="H1592" s="49"/>
      <c r="I1592" s="49"/>
      <c r="J1592" s="49"/>
      <c r="K1592" s="49"/>
      <c r="L1592" s="49"/>
      <c r="M1592" s="49"/>
    </row>
    <row r="1593" spans="5:13">
      <c r="E1593" s="49"/>
      <c r="F1593" s="49"/>
      <c r="G1593" s="49"/>
      <c r="H1593" s="49"/>
      <c r="I1593" s="49"/>
      <c r="J1593" s="49"/>
      <c r="K1593" s="49"/>
      <c r="L1593" s="49"/>
      <c r="M1593" s="49"/>
    </row>
    <row r="1594" spans="5:13">
      <c r="E1594" s="49"/>
      <c r="F1594" s="49"/>
      <c r="G1594" s="49"/>
      <c r="H1594" s="49"/>
      <c r="I1594" s="49"/>
      <c r="J1594" s="49"/>
      <c r="K1594" s="49"/>
      <c r="L1594" s="49"/>
      <c r="M1594" s="49"/>
    </row>
    <row r="1595" spans="5:13">
      <c r="E1595" s="49"/>
      <c r="F1595" s="49"/>
      <c r="G1595" s="49"/>
      <c r="H1595" s="49"/>
      <c r="I1595" s="49"/>
      <c r="J1595" s="49"/>
      <c r="K1595" s="49"/>
      <c r="L1595" s="49"/>
      <c r="M1595" s="49"/>
    </row>
    <row r="1596" spans="5:13">
      <c r="E1596" s="49"/>
      <c r="F1596" s="49"/>
      <c r="G1596" s="49"/>
      <c r="H1596" s="49"/>
      <c r="I1596" s="49"/>
      <c r="J1596" s="49"/>
      <c r="K1596" s="49"/>
      <c r="L1596" s="49"/>
      <c r="M1596" s="49"/>
    </row>
    <row r="1597" spans="5:13">
      <c r="E1597" s="49"/>
      <c r="F1597" s="49"/>
      <c r="G1597" s="49"/>
      <c r="H1597" s="49"/>
      <c r="I1597" s="49"/>
      <c r="J1597" s="49"/>
      <c r="K1597" s="49"/>
      <c r="L1597" s="49"/>
      <c r="M1597" s="49"/>
    </row>
    <row r="1598" spans="5:13">
      <c r="E1598" s="49"/>
      <c r="F1598" s="49"/>
      <c r="G1598" s="49"/>
      <c r="H1598" s="49"/>
      <c r="I1598" s="49"/>
      <c r="J1598" s="49"/>
      <c r="K1598" s="49"/>
      <c r="L1598" s="49"/>
      <c r="M1598" s="49"/>
    </row>
    <row r="1599" spans="5:13">
      <c r="E1599" s="49"/>
      <c r="F1599" s="49"/>
      <c r="G1599" s="49"/>
      <c r="H1599" s="49"/>
      <c r="I1599" s="49"/>
      <c r="J1599" s="49"/>
      <c r="K1599" s="49"/>
      <c r="L1599" s="49"/>
      <c r="M1599" s="49"/>
    </row>
    <row r="1600" spans="5:13">
      <c r="E1600" s="49"/>
      <c r="F1600" s="49"/>
      <c r="G1600" s="49"/>
      <c r="H1600" s="49"/>
      <c r="I1600" s="49"/>
      <c r="J1600" s="49"/>
      <c r="K1600" s="49"/>
      <c r="L1600" s="49"/>
      <c r="M1600" s="49"/>
    </row>
    <row r="1601" spans="5:13">
      <c r="E1601" s="49"/>
      <c r="F1601" s="49"/>
      <c r="G1601" s="49"/>
      <c r="H1601" s="49"/>
      <c r="I1601" s="49"/>
      <c r="J1601" s="49"/>
      <c r="K1601" s="49"/>
      <c r="L1601" s="49"/>
      <c r="M1601" s="49"/>
    </row>
    <row r="1602" spans="5:13">
      <c r="E1602" s="49"/>
      <c r="F1602" s="49"/>
      <c r="G1602" s="49"/>
      <c r="H1602" s="49"/>
      <c r="I1602" s="49"/>
      <c r="J1602" s="49"/>
      <c r="K1602" s="49"/>
      <c r="L1602" s="49"/>
      <c r="M1602" s="49"/>
    </row>
    <row r="1603" spans="5:13">
      <c r="E1603" s="49"/>
      <c r="F1603" s="49"/>
      <c r="G1603" s="49"/>
      <c r="H1603" s="49"/>
      <c r="I1603" s="49"/>
      <c r="J1603" s="49"/>
      <c r="K1603" s="49"/>
      <c r="L1603" s="49"/>
      <c r="M1603" s="49"/>
    </row>
    <row r="1604" spans="5:13">
      <c r="E1604" s="49"/>
      <c r="F1604" s="49"/>
      <c r="G1604" s="49"/>
      <c r="H1604" s="49"/>
      <c r="I1604" s="49"/>
      <c r="J1604" s="49"/>
      <c r="K1604" s="49"/>
      <c r="L1604" s="49"/>
      <c r="M1604" s="49"/>
    </row>
    <row r="1605" spans="5:13">
      <c r="E1605" s="49"/>
      <c r="F1605" s="49"/>
      <c r="G1605" s="49"/>
      <c r="H1605" s="49"/>
      <c r="I1605" s="49"/>
      <c r="J1605" s="49"/>
      <c r="K1605" s="49"/>
      <c r="L1605" s="49"/>
      <c r="M1605" s="49"/>
    </row>
    <row r="1606" spans="5:13">
      <c r="E1606" s="49"/>
      <c r="F1606" s="49"/>
      <c r="G1606" s="49"/>
      <c r="H1606" s="49"/>
      <c r="I1606" s="49"/>
      <c r="J1606" s="49"/>
      <c r="K1606" s="49"/>
      <c r="L1606" s="49"/>
      <c r="M1606" s="49"/>
    </row>
    <row r="1607" spans="5:13">
      <c r="E1607" s="49"/>
      <c r="F1607" s="49"/>
      <c r="G1607" s="49"/>
      <c r="H1607" s="49"/>
      <c r="I1607" s="49"/>
      <c r="J1607" s="49"/>
      <c r="K1607" s="49"/>
      <c r="L1607" s="49"/>
      <c r="M1607" s="49"/>
    </row>
    <row r="1608" spans="5:13">
      <c r="E1608" s="49"/>
      <c r="F1608" s="49"/>
      <c r="G1608" s="49"/>
      <c r="H1608" s="49"/>
      <c r="I1608" s="49"/>
      <c r="J1608" s="49"/>
      <c r="K1608" s="49"/>
      <c r="L1608" s="49"/>
      <c r="M1608" s="49"/>
    </row>
    <row r="1609" spans="5:13">
      <c r="E1609" s="49"/>
      <c r="F1609" s="49"/>
      <c r="G1609" s="49"/>
      <c r="H1609" s="49"/>
      <c r="I1609" s="49"/>
      <c r="J1609" s="49"/>
      <c r="K1609" s="49"/>
      <c r="L1609" s="49"/>
      <c r="M1609" s="49"/>
    </row>
    <row r="1610" spans="5:13">
      <c r="E1610" s="49"/>
      <c r="F1610" s="49"/>
      <c r="G1610" s="49"/>
      <c r="H1610" s="49"/>
      <c r="I1610" s="49"/>
      <c r="J1610" s="49"/>
      <c r="K1610" s="49"/>
      <c r="L1610" s="49"/>
      <c r="M1610" s="49"/>
    </row>
    <row r="1611" spans="5:13">
      <c r="E1611" s="49"/>
      <c r="F1611" s="49"/>
      <c r="G1611" s="49"/>
      <c r="H1611" s="49"/>
      <c r="I1611" s="49"/>
      <c r="J1611" s="49"/>
      <c r="K1611" s="49"/>
      <c r="L1611" s="49"/>
      <c r="M1611" s="49"/>
    </row>
    <row r="1612" spans="5:13">
      <c r="E1612" s="49"/>
      <c r="F1612" s="49"/>
      <c r="G1612" s="49"/>
      <c r="H1612" s="49"/>
      <c r="I1612" s="49"/>
      <c r="J1612" s="49"/>
      <c r="K1612" s="49"/>
      <c r="L1612" s="49"/>
      <c r="M1612" s="49"/>
    </row>
    <row r="1613" spans="5:13">
      <c r="E1613" s="49"/>
      <c r="F1613" s="49"/>
      <c r="G1613" s="49"/>
      <c r="H1613" s="49"/>
      <c r="I1613" s="49"/>
      <c r="J1613" s="49"/>
      <c r="K1613" s="49"/>
      <c r="L1613" s="49"/>
      <c r="M1613" s="49"/>
    </row>
    <row r="1614" spans="5:13">
      <c r="E1614" s="49"/>
      <c r="F1614" s="49"/>
      <c r="G1614" s="49"/>
      <c r="H1614" s="49"/>
      <c r="I1614" s="49"/>
      <c r="J1614" s="49"/>
      <c r="K1614" s="49"/>
      <c r="L1614" s="49"/>
      <c r="M1614" s="49"/>
    </row>
    <row r="1615" spans="5:13">
      <c r="E1615" s="49"/>
      <c r="F1615" s="49"/>
      <c r="G1615" s="49"/>
      <c r="H1615" s="49"/>
      <c r="I1615" s="49"/>
      <c r="J1615" s="49"/>
      <c r="K1615" s="49"/>
      <c r="L1615" s="49"/>
      <c r="M1615" s="49"/>
    </row>
    <row r="1616" spans="5:13">
      <c r="E1616" s="49"/>
      <c r="F1616" s="49"/>
      <c r="G1616" s="49"/>
      <c r="H1616" s="49"/>
      <c r="I1616" s="49"/>
      <c r="J1616" s="49"/>
      <c r="K1616" s="49"/>
      <c r="L1616" s="49"/>
      <c r="M1616" s="49"/>
    </row>
    <row r="1617" spans="5:13">
      <c r="E1617" s="49"/>
      <c r="F1617" s="49"/>
      <c r="G1617" s="49"/>
      <c r="H1617" s="49"/>
      <c r="I1617" s="49"/>
      <c r="J1617" s="49"/>
      <c r="K1617" s="49"/>
      <c r="L1617" s="49"/>
      <c r="M1617" s="49"/>
    </row>
    <row r="1618" spans="5:13">
      <c r="E1618" s="49"/>
      <c r="F1618" s="49"/>
      <c r="G1618" s="49"/>
      <c r="H1618" s="49"/>
      <c r="I1618" s="49"/>
      <c r="J1618" s="49"/>
      <c r="K1618" s="49"/>
      <c r="L1618" s="49"/>
      <c r="M1618" s="49"/>
    </row>
    <row r="1619" spans="5:13">
      <c r="E1619" s="49"/>
      <c r="F1619" s="49"/>
      <c r="G1619" s="49"/>
      <c r="H1619" s="49"/>
      <c r="I1619" s="49"/>
      <c r="J1619" s="49"/>
      <c r="K1619" s="49"/>
      <c r="L1619" s="49"/>
      <c r="M1619" s="49"/>
    </row>
    <row r="1620" spans="5:13">
      <c r="E1620" s="49"/>
      <c r="F1620" s="49"/>
      <c r="G1620" s="49"/>
      <c r="H1620" s="49"/>
      <c r="I1620" s="49"/>
      <c r="J1620" s="49"/>
      <c r="K1620" s="49"/>
      <c r="L1620" s="49"/>
      <c r="M1620" s="49"/>
    </row>
    <row r="1621" spans="5:13">
      <c r="E1621" s="49"/>
      <c r="F1621" s="49"/>
      <c r="G1621" s="49"/>
      <c r="H1621" s="49"/>
      <c r="I1621" s="49"/>
      <c r="J1621" s="49"/>
      <c r="K1621" s="49"/>
      <c r="L1621" s="49"/>
      <c r="M1621" s="49"/>
    </row>
    <row r="1622" spans="5:13">
      <c r="E1622" s="49"/>
      <c r="F1622" s="49"/>
      <c r="G1622" s="49"/>
      <c r="H1622" s="49"/>
      <c r="I1622" s="49"/>
      <c r="J1622" s="49"/>
      <c r="K1622" s="49"/>
      <c r="L1622" s="49"/>
      <c r="M1622" s="49"/>
    </row>
    <row r="1623" spans="5:13">
      <c r="E1623" s="49"/>
      <c r="F1623" s="49"/>
      <c r="G1623" s="49"/>
      <c r="H1623" s="49"/>
      <c r="I1623" s="49"/>
      <c r="J1623" s="49"/>
      <c r="K1623" s="49"/>
      <c r="L1623" s="49"/>
      <c r="M1623" s="49"/>
    </row>
    <row r="1624" spans="5:13">
      <c r="E1624" s="49"/>
      <c r="F1624" s="49"/>
      <c r="G1624" s="49"/>
      <c r="H1624" s="49"/>
      <c r="I1624" s="49"/>
      <c r="J1624" s="49"/>
      <c r="K1624" s="49"/>
      <c r="L1624" s="49"/>
      <c r="M1624" s="49"/>
    </row>
    <row r="1625" spans="5:13">
      <c r="E1625" s="49"/>
      <c r="F1625" s="49"/>
      <c r="G1625" s="49"/>
      <c r="H1625" s="49"/>
      <c r="I1625" s="49"/>
      <c r="J1625" s="49"/>
      <c r="K1625" s="49"/>
      <c r="L1625" s="49"/>
      <c r="M1625" s="49"/>
    </row>
    <row r="1626" spans="5:13">
      <c r="E1626" s="49"/>
      <c r="F1626" s="49"/>
      <c r="G1626" s="49"/>
      <c r="H1626" s="49"/>
      <c r="I1626" s="49"/>
      <c r="J1626" s="49"/>
      <c r="K1626" s="49"/>
      <c r="L1626" s="49"/>
      <c r="M1626" s="49"/>
    </row>
    <row r="1627" spans="5:13">
      <c r="E1627" s="49"/>
      <c r="F1627" s="49"/>
      <c r="G1627" s="49"/>
      <c r="H1627" s="49"/>
      <c r="I1627" s="49"/>
      <c r="J1627" s="49"/>
      <c r="K1627" s="49"/>
      <c r="L1627" s="49"/>
      <c r="M1627" s="49"/>
    </row>
    <row r="1628" spans="5:13">
      <c r="E1628" s="49"/>
      <c r="F1628" s="49"/>
      <c r="G1628" s="49"/>
      <c r="H1628" s="49"/>
      <c r="I1628" s="49"/>
      <c r="J1628" s="49"/>
      <c r="K1628" s="49"/>
      <c r="L1628" s="49"/>
      <c r="M1628" s="49"/>
    </row>
    <row r="1629" spans="5:13">
      <c r="E1629" s="49"/>
      <c r="F1629" s="49"/>
      <c r="G1629" s="49"/>
      <c r="H1629" s="49"/>
      <c r="I1629" s="49"/>
      <c r="J1629" s="49"/>
      <c r="K1629" s="49"/>
      <c r="L1629" s="49"/>
      <c r="M1629" s="49"/>
    </row>
    <row r="1630" spans="5:13">
      <c r="E1630" s="49"/>
      <c r="F1630" s="49"/>
      <c r="G1630" s="49"/>
      <c r="H1630" s="49"/>
      <c r="I1630" s="49"/>
      <c r="J1630" s="49"/>
      <c r="K1630" s="49"/>
      <c r="L1630" s="49"/>
      <c r="M1630" s="49"/>
    </row>
    <row r="1631" spans="5:13">
      <c r="E1631" s="49"/>
      <c r="F1631" s="49"/>
      <c r="G1631" s="49"/>
      <c r="H1631" s="49"/>
      <c r="I1631" s="49"/>
      <c r="J1631" s="49"/>
      <c r="K1631" s="49"/>
      <c r="L1631" s="49"/>
      <c r="M1631" s="49"/>
    </row>
    <row r="1632" spans="5:13">
      <c r="E1632" s="49"/>
      <c r="F1632" s="49"/>
      <c r="G1632" s="49"/>
      <c r="H1632" s="49"/>
      <c r="I1632" s="49"/>
      <c r="J1632" s="49"/>
      <c r="K1632" s="49"/>
      <c r="L1632" s="49"/>
      <c r="M1632" s="49"/>
    </row>
    <row r="1633" spans="5:13">
      <c r="E1633" s="49"/>
      <c r="F1633" s="49"/>
      <c r="G1633" s="49"/>
      <c r="H1633" s="49"/>
      <c r="I1633" s="49"/>
      <c r="J1633" s="49"/>
      <c r="K1633" s="49"/>
      <c r="L1633" s="49"/>
      <c r="M1633" s="49"/>
    </row>
    <row r="1634" spans="5:13">
      <c r="E1634" s="49"/>
      <c r="F1634" s="49"/>
      <c r="G1634" s="49"/>
      <c r="H1634" s="49"/>
      <c r="I1634" s="49"/>
      <c r="J1634" s="49"/>
      <c r="K1634" s="49"/>
      <c r="L1634" s="49"/>
      <c r="M1634" s="49"/>
    </row>
    <row r="1635" spans="5:13">
      <c r="E1635" s="49"/>
      <c r="F1635" s="49"/>
      <c r="G1635" s="49"/>
      <c r="H1635" s="49"/>
      <c r="I1635" s="49"/>
      <c r="J1635" s="49"/>
      <c r="K1635" s="49"/>
      <c r="L1635" s="49"/>
      <c r="M1635" s="49"/>
    </row>
    <row r="1636" spans="5:13">
      <c r="E1636" s="49"/>
      <c r="F1636" s="49"/>
      <c r="G1636" s="49"/>
      <c r="H1636" s="49"/>
      <c r="I1636" s="49"/>
      <c r="J1636" s="49"/>
      <c r="K1636" s="49"/>
      <c r="L1636" s="49"/>
      <c r="M1636" s="49"/>
    </row>
    <row r="1637" spans="5:13">
      <c r="E1637" s="49"/>
      <c r="F1637" s="49"/>
      <c r="G1637" s="49"/>
      <c r="H1637" s="49"/>
      <c r="I1637" s="49"/>
      <c r="J1637" s="49"/>
      <c r="K1637" s="49"/>
      <c r="L1637" s="49"/>
      <c r="M1637" s="49"/>
    </row>
    <row r="1638" spans="5:13">
      <c r="E1638" s="49"/>
      <c r="F1638" s="49"/>
      <c r="G1638" s="49"/>
      <c r="H1638" s="49"/>
      <c r="I1638" s="49"/>
      <c r="J1638" s="49"/>
      <c r="K1638" s="49"/>
      <c r="L1638" s="49"/>
      <c r="M1638" s="49"/>
    </row>
    <row r="1639" spans="5:13">
      <c r="E1639" s="49"/>
      <c r="F1639" s="49"/>
      <c r="G1639" s="49"/>
      <c r="H1639" s="49"/>
      <c r="I1639" s="49"/>
      <c r="J1639" s="49"/>
      <c r="K1639" s="49"/>
      <c r="L1639" s="49"/>
      <c r="M1639" s="49"/>
    </row>
    <row r="1640" spans="5:13">
      <c r="E1640" s="49"/>
      <c r="F1640" s="49"/>
      <c r="G1640" s="49"/>
      <c r="H1640" s="49"/>
      <c r="I1640" s="49"/>
      <c r="J1640" s="49"/>
      <c r="K1640" s="49"/>
      <c r="L1640" s="49"/>
      <c r="M1640" s="49"/>
    </row>
    <row r="1641" spans="5:13">
      <c r="E1641" s="49"/>
      <c r="F1641" s="49"/>
      <c r="G1641" s="49"/>
      <c r="H1641" s="49"/>
      <c r="I1641" s="49"/>
      <c r="J1641" s="49"/>
      <c r="K1641" s="49"/>
      <c r="L1641" s="49"/>
      <c r="M1641" s="49"/>
    </row>
    <row r="1642" spans="5:13">
      <c r="E1642" s="49"/>
      <c r="F1642" s="49"/>
      <c r="G1642" s="49"/>
      <c r="H1642" s="49"/>
      <c r="I1642" s="49"/>
      <c r="J1642" s="49"/>
      <c r="K1642" s="49"/>
      <c r="L1642" s="49"/>
      <c r="M1642" s="49"/>
    </row>
    <row r="1643" spans="5:13">
      <c r="E1643" s="49"/>
      <c r="F1643" s="49"/>
      <c r="G1643" s="49"/>
      <c r="H1643" s="49"/>
      <c r="I1643" s="49"/>
      <c r="J1643" s="49"/>
      <c r="K1643" s="49"/>
      <c r="L1643" s="49"/>
      <c r="M1643" s="49"/>
    </row>
    <row r="1644" spans="5:13">
      <c r="E1644" s="49"/>
      <c r="F1644" s="49"/>
      <c r="G1644" s="49"/>
      <c r="H1644" s="49"/>
      <c r="I1644" s="49"/>
      <c r="J1644" s="49"/>
      <c r="K1644" s="49"/>
      <c r="L1644" s="49"/>
      <c r="M1644" s="49"/>
    </row>
    <row r="1645" spans="5:13">
      <c r="E1645" s="49"/>
      <c r="F1645" s="49"/>
      <c r="G1645" s="49"/>
      <c r="H1645" s="49"/>
      <c r="I1645" s="49"/>
      <c r="J1645" s="49"/>
      <c r="K1645" s="49"/>
      <c r="L1645" s="49"/>
      <c r="M1645" s="49"/>
    </row>
    <row r="1646" spans="5:13">
      <c r="E1646" s="49"/>
      <c r="F1646" s="49"/>
      <c r="G1646" s="49"/>
      <c r="H1646" s="49"/>
      <c r="I1646" s="49"/>
      <c r="J1646" s="49"/>
      <c r="K1646" s="49"/>
      <c r="L1646" s="49"/>
      <c r="M1646" s="49"/>
    </row>
    <row r="1647" spans="5:13">
      <c r="E1647" s="49"/>
      <c r="F1647" s="49"/>
      <c r="G1647" s="49"/>
      <c r="H1647" s="49"/>
      <c r="I1647" s="49"/>
      <c r="J1647" s="49"/>
      <c r="K1647" s="49"/>
      <c r="L1647" s="49"/>
      <c r="M1647" s="49"/>
    </row>
    <row r="1648" spans="5:13">
      <c r="E1648" s="49"/>
      <c r="F1648" s="49"/>
      <c r="G1648" s="49"/>
      <c r="H1648" s="49"/>
      <c r="I1648" s="49"/>
      <c r="J1648" s="49"/>
      <c r="K1648" s="49"/>
      <c r="L1648" s="49"/>
      <c r="M1648" s="49"/>
    </row>
    <row r="1649" spans="5:13">
      <c r="E1649" s="49"/>
      <c r="F1649" s="49"/>
      <c r="G1649" s="49"/>
      <c r="H1649" s="49"/>
      <c r="I1649" s="49"/>
      <c r="J1649" s="49"/>
      <c r="K1649" s="49"/>
      <c r="L1649" s="49"/>
      <c r="M1649" s="49"/>
    </row>
    <row r="1650" spans="5:13">
      <c r="E1650" s="49"/>
      <c r="F1650" s="49"/>
      <c r="G1650" s="49"/>
      <c r="H1650" s="49"/>
      <c r="I1650" s="49"/>
      <c r="J1650" s="49"/>
      <c r="K1650" s="49"/>
      <c r="L1650" s="49"/>
      <c r="M1650" s="49"/>
    </row>
    <row r="1651" spans="5:13">
      <c r="E1651" s="49"/>
      <c r="F1651" s="49"/>
      <c r="G1651" s="49"/>
      <c r="H1651" s="49"/>
      <c r="I1651" s="49"/>
      <c r="J1651" s="49"/>
      <c r="K1651" s="49"/>
      <c r="L1651" s="49"/>
      <c r="M1651" s="49"/>
    </row>
    <row r="1652" spans="5:13">
      <c r="E1652" s="49"/>
      <c r="F1652" s="49"/>
      <c r="G1652" s="49"/>
      <c r="H1652" s="49"/>
      <c r="I1652" s="49"/>
      <c r="J1652" s="49"/>
      <c r="K1652" s="49"/>
      <c r="L1652" s="49"/>
      <c r="M1652" s="49"/>
    </row>
    <row r="1653" spans="5:13">
      <c r="E1653" s="49"/>
      <c r="F1653" s="49"/>
      <c r="G1653" s="49"/>
      <c r="H1653" s="49"/>
      <c r="I1653" s="49"/>
      <c r="J1653" s="49"/>
      <c r="K1653" s="49"/>
      <c r="L1653" s="49"/>
      <c r="M1653" s="49"/>
    </row>
    <row r="1654" spans="5:13">
      <c r="E1654" s="49"/>
      <c r="F1654" s="49"/>
      <c r="G1654" s="49"/>
      <c r="H1654" s="49"/>
      <c r="I1654" s="49"/>
      <c r="J1654" s="49"/>
      <c r="K1654" s="49"/>
      <c r="L1654" s="49"/>
      <c r="M1654" s="49"/>
    </row>
    <row r="1655" spans="5:13">
      <c r="E1655" s="49"/>
      <c r="F1655" s="49"/>
      <c r="G1655" s="49"/>
      <c r="H1655" s="49"/>
      <c r="I1655" s="49"/>
      <c r="J1655" s="49"/>
      <c r="K1655" s="49"/>
      <c r="L1655" s="49"/>
      <c r="M1655" s="49"/>
    </row>
    <row r="1656" spans="5:13">
      <c r="E1656" s="49"/>
      <c r="F1656" s="49"/>
      <c r="G1656" s="49"/>
      <c r="H1656" s="49"/>
      <c r="I1656" s="49"/>
      <c r="J1656" s="49"/>
      <c r="K1656" s="49"/>
      <c r="L1656" s="49"/>
      <c r="M1656" s="49"/>
    </row>
    <row r="1657" spans="5:13">
      <c r="E1657" s="49"/>
      <c r="F1657" s="49"/>
      <c r="G1657" s="49"/>
      <c r="H1657" s="49"/>
      <c r="I1657" s="49"/>
      <c r="J1657" s="49"/>
      <c r="K1657" s="49"/>
      <c r="L1657" s="49"/>
      <c r="M1657" s="49"/>
    </row>
    <row r="1658" spans="5:13">
      <c r="E1658" s="49"/>
      <c r="F1658" s="49"/>
      <c r="G1658" s="49"/>
      <c r="H1658" s="49"/>
      <c r="I1658" s="49"/>
      <c r="J1658" s="49"/>
      <c r="K1658" s="49"/>
      <c r="L1658" s="49"/>
      <c r="M1658" s="49"/>
    </row>
    <row r="1659" spans="5:13">
      <c r="E1659" s="49"/>
      <c r="F1659" s="49"/>
      <c r="G1659" s="49"/>
      <c r="H1659" s="49"/>
      <c r="I1659" s="49"/>
      <c r="J1659" s="49"/>
      <c r="K1659" s="49"/>
      <c r="L1659" s="49"/>
      <c r="M1659" s="49"/>
    </row>
    <row r="1660" spans="5:13">
      <c r="E1660" s="49"/>
      <c r="F1660" s="49"/>
      <c r="G1660" s="49"/>
      <c r="H1660" s="49"/>
      <c r="I1660" s="49"/>
      <c r="J1660" s="49"/>
      <c r="K1660" s="49"/>
      <c r="L1660" s="49"/>
      <c r="M1660" s="49"/>
    </row>
    <row r="1661" spans="5:13">
      <c r="E1661" s="49"/>
      <c r="F1661" s="49"/>
      <c r="G1661" s="49"/>
      <c r="H1661" s="49"/>
      <c r="I1661" s="49"/>
      <c r="J1661" s="49"/>
      <c r="K1661" s="49"/>
      <c r="L1661" s="49"/>
      <c r="M1661" s="49"/>
    </row>
    <row r="1662" spans="5:13">
      <c r="E1662" s="49"/>
      <c r="F1662" s="49"/>
      <c r="G1662" s="49"/>
      <c r="H1662" s="49"/>
      <c r="I1662" s="49"/>
      <c r="J1662" s="49"/>
      <c r="K1662" s="49"/>
      <c r="L1662" s="49"/>
      <c r="M1662" s="49"/>
    </row>
    <row r="1663" spans="5:13">
      <c r="E1663" s="49"/>
      <c r="F1663" s="49"/>
      <c r="G1663" s="49"/>
      <c r="H1663" s="49"/>
      <c r="I1663" s="49"/>
      <c r="J1663" s="49"/>
      <c r="K1663" s="49"/>
      <c r="L1663" s="49"/>
      <c r="M1663" s="49"/>
    </row>
    <row r="1664" spans="5:13">
      <c r="E1664" s="49"/>
      <c r="F1664" s="49"/>
      <c r="G1664" s="49"/>
      <c r="H1664" s="49"/>
      <c r="I1664" s="49"/>
      <c r="J1664" s="49"/>
      <c r="K1664" s="49"/>
      <c r="L1664" s="49"/>
      <c r="M1664" s="49"/>
    </row>
    <row r="1665" spans="5:13">
      <c r="E1665" s="49"/>
      <c r="F1665" s="49"/>
      <c r="G1665" s="49"/>
      <c r="H1665" s="49"/>
      <c r="I1665" s="49"/>
      <c r="J1665" s="49"/>
      <c r="K1665" s="49"/>
      <c r="L1665" s="49"/>
      <c r="M1665" s="49"/>
    </row>
    <row r="1666" spans="5:13">
      <c r="E1666" s="49"/>
      <c r="F1666" s="49"/>
      <c r="G1666" s="49"/>
      <c r="H1666" s="49"/>
      <c r="I1666" s="49"/>
      <c r="J1666" s="49"/>
      <c r="K1666" s="49"/>
      <c r="L1666" s="49"/>
      <c r="M1666" s="49"/>
    </row>
    <row r="1667" spans="5:13">
      <c r="E1667" s="49"/>
      <c r="F1667" s="49"/>
      <c r="G1667" s="49"/>
      <c r="H1667" s="49"/>
      <c r="I1667" s="49"/>
      <c r="J1667" s="49"/>
      <c r="K1667" s="49"/>
      <c r="L1667" s="49"/>
      <c r="M1667" s="49"/>
    </row>
    <row r="1668" spans="5:13">
      <c r="E1668" s="49"/>
      <c r="F1668" s="49"/>
      <c r="G1668" s="49"/>
      <c r="H1668" s="49"/>
      <c r="I1668" s="49"/>
      <c r="J1668" s="49"/>
      <c r="K1668" s="49"/>
      <c r="L1668" s="49"/>
      <c r="M1668" s="49"/>
    </row>
    <row r="1669" spans="5:13">
      <c r="E1669" s="49"/>
      <c r="F1669" s="49"/>
      <c r="G1669" s="49"/>
      <c r="H1669" s="49"/>
      <c r="I1669" s="49"/>
      <c r="J1669" s="49"/>
      <c r="K1669" s="49"/>
      <c r="L1669" s="49"/>
      <c r="M1669" s="49"/>
    </row>
    <row r="1670" spans="5:13">
      <c r="E1670" s="49"/>
      <c r="F1670" s="49"/>
      <c r="G1670" s="49"/>
      <c r="H1670" s="49"/>
      <c r="I1670" s="49"/>
      <c r="J1670" s="49"/>
      <c r="K1670" s="49"/>
      <c r="L1670" s="49"/>
      <c r="M1670" s="49"/>
    </row>
    <row r="1671" spans="5:13">
      <c r="E1671" s="49"/>
      <c r="F1671" s="49"/>
      <c r="G1671" s="49"/>
      <c r="H1671" s="49"/>
      <c r="I1671" s="49"/>
      <c r="J1671" s="49"/>
      <c r="K1671" s="49"/>
      <c r="L1671" s="49"/>
      <c r="M1671" s="49"/>
    </row>
    <row r="1672" spans="5:13">
      <c r="E1672" s="49"/>
      <c r="F1672" s="49"/>
      <c r="G1672" s="49"/>
      <c r="H1672" s="49"/>
      <c r="I1672" s="49"/>
      <c r="J1672" s="49"/>
      <c r="K1672" s="49"/>
      <c r="L1672" s="49"/>
      <c r="M1672" s="49"/>
    </row>
    <row r="1673" spans="5:13">
      <c r="E1673" s="49"/>
      <c r="F1673" s="49"/>
      <c r="G1673" s="49"/>
      <c r="H1673" s="49"/>
      <c r="I1673" s="49"/>
      <c r="J1673" s="49"/>
      <c r="K1673" s="49"/>
      <c r="L1673" s="49"/>
      <c r="M1673" s="49"/>
    </row>
    <row r="1674" spans="5:13">
      <c r="E1674" s="49"/>
      <c r="F1674" s="49"/>
      <c r="G1674" s="49"/>
      <c r="H1674" s="49"/>
      <c r="I1674" s="49"/>
      <c r="J1674" s="49"/>
      <c r="K1674" s="49"/>
      <c r="L1674" s="49"/>
      <c r="M1674" s="49"/>
    </row>
    <row r="1675" spans="5:13">
      <c r="E1675" s="49"/>
      <c r="F1675" s="49"/>
      <c r="G1675" s="49"/>
      <c r="H1675" s="49"/>
      <c r="I1675" s="49"/>
      <c r="J1675" s="49"/>
      <c r="K1675" s="49"/>
      <c r="L1675" s="49"/>
      <c r="M1675" s="49"/>
    </row>
    <row r="1676" spans="5:13">
      <c r="E1676" s="49"/>
      <c r="F1676" s="49"/>
      <c r="G1676" s="49"/>
      <c r="H1676" s="49"/>
      <c r="I1676" s="49"/>
      <c r="J1676" s="49"/>
      <c r="K1676" s="49"/>
      <c r="L1676" s="49"/>
      <c r="M1676" s="49"/>
    </row>
    <row r="1677" spans="5:13">
      <c r="E1677" s="49"/>
      <c r="F1677" s="49"/>
      <c r="G1677" s="49"/>
      <c r="H1677" s="49"/>
      <c r="I1677" s="49"/>
      <c r="J1677" s="49"/>
      <c r="K1677" s="49"/>
      <c r="L1677" s="49"/>
      <c r="M1677" s="49"/>
    </row>
    <row r="1678" spans="5:13">
      <c r="E1678" s="49"/>
      <c r="F1678" s="49"/>
      <c r="G1678" s="49"/>
      <c r="H1678" s="49"/>
      <c r="I1678" s="49"/>
      <c r="J1678" s="49"/>
      <c r="K1678" s="49"/>
      <c r="L1678" s="49"/>
      <c r="M1678" s="49"/>
    </row>
    <row r="1679" spans="5:13">
      <c r="E1679" s="49"/>
      <c r="F1679" s="49"/>
      <c r="G1679" s="49"/>
      <c r="H1679" s="49"/>
      <c r="I1679" s="49"/>
      <c r="J1679" s="49"/>
      <c r="K1679" s="49"/>
      <c r="L1679" s="49"/>
      <c r="M1679" s="49"/>
    </row>
    <row r="1680" spans="5:13">
      <c r="E1680" s="49"/>
      <c r="F1680" s="49"/>
      <c r="G1680" s="49"/>
      <c r="H1680" s="49"/>
      <c r="I1680" s="49"/>
      <c r="J1680" s="49"/>
      <c r="K1680" s="49"/>
      <c r="L1680" s="49"/>
      <c r="M1680" s="49"/>
    </row>
    <row r="1681" spans="5:13">
      <c r="E1681" s="49"/>
      <c r="F1681" s="49"/>
      <c r="G1681" s="49"/>
      <c r="H1681" s="49"/>
      <c r="I1681" s="49"/>
      <c r="J1681" s="49"/>
      <c r="K1681" s="49"/>
      <c r="L1681" s="49"/>
      <c r="M1681" s="49"/>
    </row>
    <row r="1682" spans="5:13">
      <c r="E1682" s="49"/>
      <c r="F1682" s="49"/>
      <c r="G1682" s="49"/>
      <c r="H1682" s="49"/>
      <c r="I1682" s="49"/>
      <c r="J1682" s="49"/>
      <c r="K1682" s="49"/>
      <c r="L1682" s="49"/>
      <c r="M1682" s="49"/>
    </row>
    <row r="1683" spans="5:13">
      <c r="E1683" s="49"/>
      <c r="F1683" s="49"/>
      <c r="G1683" s="49"/>
      <c r="H1683" s="49"/>
      <c r="I1683" s="49"/>
      <c r="J1683" s="49"/>
      <c r="K1683" s="49"/>
      <c r="L1683" s="49"/>
      <c r="M1683" s="49"/>
    </row>
    <row r="1684" spans="5:13">
      <c r="E1684" s="49"/>
      <c r="F1684" s="49"/>
      <c r="G1684" s="49"/>
      <c r="H1684" s="49"/>
      <c r="I1684" s="49"/>
      <c r="J1684" s="49"/>
      <c r="K1684" s="49"/>
      <c r="L1684" s="49"/>
      <c r="M1684" s="49"/>
    </row>
    <row r="1685" spans="5:13">
      <c r="E1685" s="49"/>
      <c r="F1685" s="49"/>
      <c r="G1685" s="49"/>
      <c r="H1685" s="49"/>
      <c r="I1685" s="49"/>
      <c r="J1685" s="49"/>
      <c r="K1685" s="49"/>
      <c r="L1685" s="49"/>
      <c r="M1685" s="49"/>
    </row>
    <row r="1686" spans="5:13">
      <c r="E1686" s="49"/>
      <c r="F1686" s="49"/>
      <c r="G1686" s="49"/>
      <c r="H1686" s="49"/>
      <c r="I1686" s="49"/>
      <c r="J1686" s="49"/>
      <c r="K1686" s="49"/>
      <c r="L1686" s="49"/>
      <c r="M1686" s="49"/>
    </row>
    <row r="1687" spans="5:13">
      <c r="E1687" s="49"/>
      <c r="F1687" s="49"/>
      <c r="G1687" s="49"/>
      <c r="H1687" s="49"/>
      <c r="I1687" s="49"/>
      <c r="J1687" s="49"/>
      <c r="K1687" s="49"/>
      <c r="L1687" s="49"/>
      <c r="M1687" s="49"/>
    </row>
    <row r="1688" spans="5:13">
      <c r="E1688" s="49"/>
      <c r="F1688" s="49"/>
      <c r="G1688" s="49"/>
      <c r="H1688" s="49"/>
      <c r="I1688" s="49"/>
      <c r="J1688" s="49"/>
      <c r="K1688" s="49"/>
      <c r="L1688" s="49"/>
      <c r="M1688" s="49"/>
    </row>
    <row r="1689" spans="5:13">
      <c r="E1689" s="49"/>
      <c r="F1689" s="49"/>
      <c r="G1689" s="49"/>
      <c r="H1689" s="49"/>
      <c r="I1689" s="49"/>
      <c r="J1689" s="49"/>
      <c r="K1689" s="49"/>
      <c r="L1689" s="49"/>
      <c r="M1689" s="49"/>
    </row>
    <row r="1690" spans="5:13">
      <c r="E1690" s="49"/>
      <c r="F1690" s="49"/>
      <c r="G1690" s="49"/>
      <c r="H1690" s="49"/>
      <c r="I1690" s="49"/>
      <c r="J1690" s="49"/>
      <c r="K1690" s="49"/>
      <c r="L1690" s="49"/>
      <c r="M1690" s="49"/>
    </row>
    <row r="1691" spans="5:13">
      <c r="E1691" s="49"/>
      <c r="F1691" s="49"/>
      <c r="G1691" s="49"/>
      <c r="H1691" s="49"/>
      <c r="I1691" s="49"/>
      <c r="J1691" s="49"/>
      <c r="K1691" s="49"/>
      <c r="L1691" s="49"/>
      <c r="M1691" s="49"/>
    </row>
    <row r="1692" spans="5:13">
      <c r="E1692" s="49"/>
      <c r="F1692" s="49"/>
      <c r="G1692" s="49"/>
      <c r="H1692" s="49"/>
      <c r="I1692" s="49"/>
      <c r="J1692" s="49"/>
      <c r="K1692" s="49"/>
      <c r="L1692" s="49"/>
      <c r="M1692" s="49"/>
    </row>
    <row r="1693" spans="5:13">
      <c r="E1693" s="49"/>
      <c r="F1693" s="49"/>
      <c r="G1693" s="49"/>
      <c r="H1693" s="49"/>
      <c r="I1693" s="49"/>
      <c r="J1693" s="49"/>
      <c r="K1693" s="49"/>
      <c r="L1693" s="49"/>
      <c r="M1693" s="49"/>
    </row>
    <row r="1694" spans="5:13">
      <c r="E1694" s="49"/>
      <c r="F1694" s="49"/>
      <c r="G1694" s="49"/>
      <c r="H1694" s="49"/>
      <c r="I1694" s="49"/>
      <c r="J1694" s="49"/>
      <c r="K1694" s="49"/>
      <c r="L1694" s="49"/>
      <c r="M1694" s="49"/>
    </row>
    <row r="1695" spans="5:13">
      <c r="E1695" s="49"/>
      <c r="F1695" s="49"/>
      <c r="G1695" s="49"/>
      <c r="H1695" s="49"/>
      <c r="I1695" s="49"/>
      <c r="J1695" s="49"/>
      <c r="K1695" s="49"/>
      <c r="L1695" s="49"/>
      <c r="M1695" s="49"/>
    </row>
    <row r="1696" spans="5:13">
      <c r="E1696" s="49"/>
      <c r="F1696" s="49"/>
      <c r="G1696" s="49"/>
      <c r="H1696" s="49"/>
      <c r="I1696" s="49"/>
      <c r="J1696" s="49"/>
      <c r="K1696" s="49"/>
      <c r="L1696" s="49"/>
      <c r="M1696" s="49"/>
    </row>
    <row r="1697" spans="5:13">
      <c r="E1697" s="49"/>
      <c r="F1697" s="49"/>
      <c r="G1697" s="49"/>
      <c r="H1697" s="49"/>
      <c r="I1697" s="49"/>
      <c r="J1697" s="49"/>
      <c r="K1697" s="49"/>
      <c r="L1697" s="49"/>
      <c r="M1697" s="49"/>
    </row>
    <row r="1698" spans="5:13">
      <c r="E1698" s="49"/>
      <c r="F1698" s="49"/>
      <c r="G1698" s="49"/>
      <c r="H1698" s="49"/>
      <c r="I1698" s="49"/>
      <c r="J1698" s="49"/>
      <c r="K1698" s="49"/>
      <c r="L1698" s="49"/>
      <c r="M1698" s="49"/>
    </row>
    <row r="1699" spans="5:13">
      <c r="E1699" s="49"/>
      <c r="F1699" s="49"/>
      <c r="G1699" s="49"/>
      <c r="H1699" s="49"/>
      <c r="I1699" s="49"/>
      <c r="J1699" s="49"/>
      <c r="K1699" s="49"/>
      <c r="L1699" s="49"/>
      <c r="M1699" s="49"/>
    </row>
    <row r="1700" spans="5:13">
      <c r="E1700" s="49"/>
      <c r="F1700" s="49"/>
      <c r="G1700" s="49"/>
      <c r="H1700" s="49"/>
      <c r="I1700" s="49"/>
      <c r="J1700" s="49"/>
      <c r="K1700" s="49"/>
      <c r="L1700" s="49"/>
      <c r="M1700" s="49"/>
    </row>
    <row r="1701" spans="5:13">
      <c r="E1701" s="49"/>
      <c r="F1701" s="49"/>
      <c r="G1701" s="49"/>
      <c r="H1701" s="49"/>
      <c r="I1701" s="49"/>
      <c r="J1701" s="49"/>
      <c r="K1701" s="49"/>
      <c r="L1701" s="49"/>
      <c r="M1701" s="49"/>
    </row>
    <row r="1702" spans="5:13">
      <c r="E1702" s="49"/>
      <c r="F1702" s="49"/>
      <c r="G1702" s="49"/>
      <c r="H1702" s="49"/>
      <c r="I1702" s="49"/>
      <c r="J1702" s="49"/>
      <c r="K1702" s="49"/>
      <c r="L1702" s="49"/>
      <c r="M1702" s="49"/>
    </row>
    <row r="1703" spans="5:13">
      <c r="E1703" s="49"/>
      <c r="F1703" s="49"/>
      <c r="G1703" s="49"/>
      <c r="H1703" s="49"/>
      <c r="I1703" s="49"/>
      <c r="J1703" s="49"/>
      <c r="K1703" s="49"/>
      <c r="L1703" s="49"/>
      <c r="M1703" s="49"/>
    </row>
    <row r="1704" spans="5:13">
      <c r="E1704" s="49"/>
      <c r="F1704" s="49"/>
      <c r="G1704" s="49"/>
      <c r="H1704" s="49"/>
      <c r="I1704" s="49"/>
      <c r="J1704" s="49"/>
      <c r="K1704" s="49"/>
      <c r="L1704" s="49"/>
      <c r="M1704" s="49"/>
    </row>
    <row r="1705" spans="5:13">
      <c r="E1705" s="49"/>
      <c r="F1705" s="49"/>
      <c r="G1705" s="49"/>
      <c r="H1705" s="49"/>
      <c r="I1705" s="49"/>
      <c r="J1705" s="49"/>
      <c r="K1705" s="49"/>
      <c r="L1705" s="49"/>
      <c r="M1705" s="49"/>
    </row>
    <row r="1706" spans="5:13">
      <c r="E1706" s="49"/>
      <c r="F1706" s="49"/>
      <c r="G1706" s="49"/>
      <c r="H1706" s="49"/>
      <c r="I1706" s="49"/>
      <c r="J1706" s="49"/>
      <c r="K1706" s="49"/>
      <c r="L1706" s="49"/>
      <c r="M1706" s="49"/>
    </row>
    <row r="1707" spans="5:13">
      <c r="E1707" s="49"/>
      <c r="F1707" s="49"/>
      <c r="G1707" s="49"/>
      <c r="H1707" s="49"/>
      <c r="I1707" s="49"/>
      <c r="J1707" s="49"/>
      <c r="K1707" s="49"/>
      <c r="L1707" s="49"/>
      <c r="M1707" s="49"/>
    </row>
    <row r="1708" spans="5:13">
      <c r="E1708" s="49"/>
      <c r="F1708" s="49"/>
      <c r="G1708" s="49"/>
      <c r="H1708" s="49"/>
      <c r="I1708" s="49"/>
      <c r="J1708" s="49"/>
      <c r="K1708" s="49"/>
      <c r="L1708" s="49"/>
      <c r="M1708" s="49"/>
    </row>
    <row r="1709" spans="5:13">
      <c r="E1709" s="49"/>
      <c r="F1709" s="49"/>
      <c r="G1709" s="49"/>
      <c r="H1709" s="49"/>
      <c r="I1709" s="49"/>
      <c r="J1709" s="49"/>
      <c r="K1709" s="49"/>
      <c r="L1709" s="49"/>
      <c r="M1709" s="49"/>
    </row>
    <row r="1710" spans="5:13">
      <c r="E1710" s="49"/>
      <c r="F1710" s="49"/>
      <c r="G1710" s="49"/>
      <c r="H1710" s="49"/>
      <c r="I1710" s="49"/>
      <c r="J1710" s="49"/>
      <c r="K1710" s="49"/>
      <c r="L1710" s="49"/>
      <c r="M1710" s="49"/>
    </row>
    <row r="1711" spans="5:13">
      <c r="E1711" s="49"/>
      <c r="F1711" s="49"/>
      <c r="G1711" s="49"/>
      <c r="H1711" s="49"/>
      <c r="I1711" s="49"/>
      <c r="J1711" s="49"/>
      <c r="K1711" s="49"/>
      <c r="L1711" s="49"/>
      <c r="M1711" s="49"/>
    </row>
    <row r="1712" spans="5:13">
      <c r="E1712" s="49"/>
      <c r="F1712" s="49"/>
      <c r="G1712" s="49"/>
      <c r="H1712" s="49"/>
      <c r="I1712" s="49"/>
      <c r="J1712" s="49"/>
      <c r="K1712" s="49"/>
      <c r="L1712" s="49"/>
      <c r="M1712" s="49"/>
    </row>
    <row r="1713" spans="5:13">
      <c r="E1713" s="49"/>
      <c r="F1713" s="49"/>
      <c r="G1713" s="49"/>
      <c r="H1713" s="49"/>
      <c r="I1713" s="49"/>
      <c r="J1713" s="49"/>
      <c r="K1713" s="49"/>
      <c r="L1713" s="49"/>
      <c r="M1713" s="49"/>
    </row>
    <row r="1714" spans="5:13">
      <c r="E1714" s="49"/>
      <c r="F1714" s="49"/>
      <c r="G1714" s="49"/>
      <c r="H1714" s="49"/>
      <c r="I1714" s="49"/>
      <c r="J1714" s="49"/>
      <c r="K1714" s="49"/>
      <c r="L1714" s="49"/>
      <c r="M1714" s="49"/>
    </row>
    <row r="1715" spans="5:13">
      <c r="E1715" s="49"/>
      <c r="F1715" s="49"/>
      <c r="G1715" s="49"/>
      <c r="H1715" s="49"/>
      <c r="I1715" s="49"/>
      <c r="J1715" s="49"/>
      <c r="K1715" s="49"/>
      <c r="L1715" s="49"/>
      <c r="M1715" s="49"/>
    </row>
    <row r="1716" spans="5:13">
      <c r="E1716" s="49"/>
      <c r="F1716" s="49"/>
      <c r="G1716" s="49"/>
      <c r="H1716" s="49"/>
      <c r="I1716" s="49"/>
      <c r="J1716" s="49"/>
      <c r="K1716" s="49"/>
      <c r="L1716" s="49"/>
      <c r="M1716" s="49"/>
    </row>
    <row r="1717" spans="5:13">
      <c r="E1717" s="49"/>
      <c r="F1717" s="49"/>
      <c r="G1717" s="49"/>
      <c r="H1717" s="49"/>
      <c r="I1717" s="49"/>
      <c r="J1717" s="49"/>
      <c r="K1717" s="49"/>
      <c r="L1717" s="49"/>
      <c r="M1717" s="49"/>
    </row>
    <row r="1718" spans="5:13">
      <c r="E1718" s="49"/>
      <c r="F1718" s="49"/>
      <c r="G1718" s="49"/>
      <c r="H1718" s="49"/>
      <c r="I1718" s="49"/>
      <c r="J1718" s="49"/>
      <c r="K1718" s="49"/>
      <c r="L1718" s="49"/>
      <c r="M1718" s="49"/>
    </row>
    <row r="1719" spans="5:13">
      <c r="E1719" s="49"/>
      <c r="F1719" s="49"/>
      <c r="G1719" s="49"/>
      <c r="H1719" s="49"/>
      <c r="I1719" s="49"/>
      <c r="J1719" s="49"/>
      <c r="K1719" s="49"/>
      <c r="L1719" s="49"/>
      <c r="M1719" s="49"/>
    </row>
    <row r="1720" spans="5:13">
      <c r="E1720" s="49"/>
      <c r="F1720" s="49"/>
      <c r="G1720" s="49"/>
      <c r="H1720" s="49"/>
      <c r="I1720" s="49"/>
      <c r="J1720" s="49"/>
      <c r="K1720" s="49"/>
      <c r="L1720" s="49"/>
      <c r="M1720" s="49"/>
    </row>
    <row r="1721" spans="5:13">
      <c r="E1721" s="49"/>
      <c r="F1721" s="49"/>
      <c r="G1721" s="49"/>
      <c r="H1721" s="49"/>
      <c r="I1721" s="49"/>
      <c r="J1721" s="49"/>
      <c r="K1721" s="49"/>
      <c r="L1721" s="49"/>
      <c r="M1721" s="49"/>
    </row>
    <row r="1722" spans="5:13">
      <c r="E1722" s="49"/>
      <c r="F1722" s="49"/>
      <c r="G1722" s="49"/>
      <c r="H1722" s="49"/>
      <c r="I1722" s="49"/>
      <c r="J1722" s="49"/>
      <c r="K1722" s="49"/>
      <c r="L1722" s="49"/>
      <c r="M1722" s="49"/>
    </row>
    <row r="1723" spans="5:13">
      <c r="E1723" s="49"/>
      <c r="F1723" s="49"/>
      <c r="G1723" s="49"/>
      <c r="H1723" s="49"/>
      <c r="I1723" s="49"/>
      <c r="J1723" s="49"/>
      <c r="K1723" s="49"/>
      <c r="L1723" s="49"/>
      <c r="M1723" s="49"/>
    </row>
    <row r="1724" spans="5:13">
      <c r="E1724" s="49"/>
      <c r="F1724" s="49"/>
      <c r="G1724" s="49"/>
      <c r="H1724" s="49"/>
      <c r="I1724" s="49"/>
      <c r="J1724" s="49"/>
      <c r="K1724" s="49"/>
      <c r="L1724" s="49"/>
      <c r="M1724" s="49"/>
    </row>
    <row r="1725" spans="5:13">
      <c r="E1725" s="49"/>
      <c r="F1725" s="49"/>
      <c r="G1725" s="49"/>
      <c r="H1725" s="49"/>
      <c r="I1725" s="49"/>
      <c r="J1725" s="49"/>
      <c r="K1725" s="49"/>
      <c r="L1725" s="49"/>
      <c r="M1725" s="49"/>
    </row>
    <row r="1726" spans="5:13">
      <c r="E1726" s="49"/>
      <c r="F1726" s="49"/>
      <c r="G1726" s="49"/>
      <c r="H1726" s="49"/>
      <c r="I1726" s="49"/>
      <c r="J1726" s="49"/>
      <c r="K1726" s="49"/>
      <c r="L1726" s="49"/>
      <c r="M1726" s="49"/>
    </row>
    <row r="1727" spans="5:13">
      <c r="E1727" s="49"/>
      <c r="F1727" s="49"/>
      <c r="G1727" s="49"/>
      <c r="H1727" s="49"/>
      <c r="I1727" s="49"/>
      <c r="J1727" s="49"/>
      <c r="K1727" s="49"/>
      <c r="L1727" s="49"/>
      <c r="M1727" s="49"/>
    </row>
    <row r="1728" spans="5:13">
      <c r="E1728" s="49"/>
      <c r="F1728" s="49"/>
      <c r="G1728" s="49"/>
      <c r="H1728" s="49"/>
      <c r="I1728" s="49"/>
      <c r="J1728" s="49"/>
      <c r="K1728" s="49"/>
      <c r="L1728" s="49"/>
      <c r="M1728" s="49"/>
    </row>
    <row r="1729" spans="5:13">
      <c r="E1729" s="49"/>
      <c r="F1729" s="49"/>
      <c r="G1729" s="49"/>
      <c r="H1729" s="49"/>
      <c r="I1729" s="49"/>
      <c r="J1729" s="49"/>
      <c r="K1729" s="49"/>
      <c r="L1729" s="49"/>
      <c r="M1729" s="49"/>
    </row>
    <row r="1730" spans="5:13">
      <c r="E1730" s="49"/>
      <c r="F1730" s="49"/>
      <c r="G1730" s="49"/>
      <c r="H1730" s="49"/>
      <c r="I1730" s="49"/>
      <c r="J1730" s="49"/>
      <c r="K1730" s="49"/>
      <c r="L1730" s="49"/>
      <c r="M1730" s="49"/>
    </row>
    <row r="1731" spans="5:13">
      <c r="E1731" s="49"/>
      <c r="F1731" s="49"/>
      <c r="G1731" s="49"/>
      <c r="H1731" s="49"/>
      <c r="I1731" s="49"/>
      <c r="J1731" s="49"/>
      <c r="K1731" s="49"/>
      <c r="L1731" s="49"/>
      <c r="M1731" s="49"/>
    </row>
    <row r="1732" spans="5:13">
      <c r="E1732" s="49"/>
      <c r="F1732" s="49"/>
      <c r="G1732" s="49"/>
      <c r="H1732" s="49"/>
      <c r="I1732" s="49"/>
      <c r="J1732" s="49"/>
      <c r="K1732" s="49"/>
      <c r="L1732" s="49"/>
      <c r="M1732" s="49"/>
    </row>
    <row r="1733" spans="5:13">
      <c r="E1733" s="49"/>
      <c r="F1733" s="49"/>
      <c r="G1733" s="49"/>
      <c r="H1733" s="49"/>
      <c r="I1733" s="49"/>
      <c r="J1733" s="49"/>
      <c r="K1733" s="49"/>
      <c r="L1733" s="49"/>
      <c r="M1733" s="49"/>
    </row>
    <row r="1734" spans="5:13">
      <c r="E1734" s="49"/>
      <c r="F1734" s="49"/>
      <c r="G1734" s="49"/>
      <c r="H1734" s="49"/>
      <c r="I1734" s="49"/>
      <c r="J1734" s="49"/>
      <c r="K1734" s="49"/>
      <c r="L1734" s="49"/>
      <c r="M1734" s="49"/>
    </row>
    <row r="1735" spans="5:13">
      <c r="E1735" s="49"/>
      <c r="F1735" s="49"/>
      <c r="G1735" s="49"/>
      <c r="H1735" s="49"/>
      <c r="I1735" s="49"/>
      <c r="J1735" s="49"/>
      <c r="K1735" s="49"/>
      <c r="L1735" s="49"/>
      <c r="M1735" s="49"/>
    </row>
    <row r="1736" spans="5:13">
      <c r="E1736" s="49"/>
      <c r="F1736" s="49"/>
      <c r="G1736" s="49"/>
      <c r="H1736" s="49"/>
      <c r="I1736" s="49"/>
      <c r="J1736" s="49"/>
      <c r="K1736" s="49"/>
      <c r="L1736" s="49"/>
      <c r="M1736" s="49"/>
    </row>
    <row r="1737" spans="5:13">
      <c r="E1737" s="49"/>
      <c r="F1737" s="49"/>
      <c r="G1737" s="49"/>
      <c r="H1737" s="49"/>
      <c r="I1737" s="49"/>
      <c r="J1737" s="49"/>
      <c r="K1737" s="49"/>
      <c r="L1737" s="49"/>
      <c r="M1737" s="49"/>
    </row>
    <row r="1738" spans="5:13">
      <c r="E1738" s="49"/>
      <c r="F1738" s="49"/>
      <c r="G1738" s="49"/>
      <c r="H1738" s="49"/>
      <c r="I1738" s="49"/>
      <c r="J1738" s="49"/>
      <c r="K1738" s="49"/>
      <c r="L1738" s="49"/>
      <c r="M1738" s="49"/>
    </row>
    <row r="1739" spans="5:13">
      <c r="E1739" s="49"/>
      <c r="F1739" s="49"/>
      <c r="G1739" s="49"/>
      <c r="H1739" s="49"/>
      <c r="I1739" s="49"/>
      <c r="J1739" s="49"/>
      <c r="K1739" s="49"/>
      <c r="L1739" s="49"/>
      <c r="M1739" s="49"/>
    </row>
    <row r="1740" spans="5:13">
      <c r="E1740" s="49"/>
      <c r="F1740" s="49"/>
      <c r="G1740" s="49"/>
      <c r="H1740" s="49"/>
      <c r="I1740" s="49"/>
      <c r="J1740" s="49"/>
      <c r="K1740" s="49"/>
      <c r="L1740" s="49"/>
      <c r="M1740" s="49"/>
    </row>
    <row r="1741" spans="5:13">
      <c r="E1741" s="49"/>
      <c r="F1741" s="49"/>
      <c r="G1741" s="49"/>
      <c r="H1741" s="49"/>
      <c r="I1741" s="49"/>
      <c r="J1741" s="49"/>
      <c r="K1741" s="49"/>
      <c r="L1741" s="49"/>
      <c r="M1741" s="49"/>
    </row>
    <row r="1742" spans="5:13">
      <c r="E1742" s="49"/>
      <c r="F1742" s="49"/>
      <c r="G1742" s="49"/>
      <c r="H1742" s="49"/>
      <c r="I1742" s="49"/>
      <c r="J1742" s="49"/>
      <c r="K1742" s="49"/>
      <c r="L1742" s="49"/>
      <c r="M1742" s="49"/>
    </row>
    <row r="1743" spans="5:13">
      <c r="E1743" s="49"/>
      <c r="F1743" s="49"/>
      <c r="G1743" s="49"/>
      <c r="H1743" s="49"/>
      <c r="I1743" s="49"/>
      <c r="J1743" s="49"/>
      <c r="K1743" s="49"/>
      <c r="L1743" s="49"/>
      <c r="M1743" s="49"/>
    </row>
    <row r="1744" spans="5:13">
      <c r="E1744" s="49"/>
      <c r="F1744" s="49"/>
      <c r="G1744" s="49"/>
      <c r="H1744" s="49"/>
      <c r="I1744" s="49"/>
      <c r="J1744" s="49"/>
      <c r="K1744" s="49"/>
      <c r="L1744" s="49"/>
      <c r="M1744" s="49"/>
    </row>
    <row r="1745" spans="5:13">
      <c r="E1745" s="49"/>
      <c r="F1745" s="49"/>
      <c r="G1745" s="49"/>
      <c r="H1745" s="49"/>
      <c r="I1745" s="49"/>
      <c r="J1745" s="49"/>
      <c r="K1745" s="49"/>
      <c r="L1745" s="49"/>
      <c r="M1745" s="49"/>
    </row>
    <row r="1746" spans="5:13">
      <c r="E1746" s="49"/>
      <c r="F1746" s="49"/>
      <c r="G1746" s="49"/>
      <c r="H1746" s="49"/>
      <c r="I1746" s="49"/>
      <c r="J1746" s="49"/>
      <c r="K1746" s="49"/>
      <c r="L1746" s="49"/>
      <c r="M1746" s="49"/>
    </row>
    <row r="1747" spans="5:13">
      <c r="E1747" s="49"/>
      <c r="F1747" s="49"/>
      <c r="G1747" s="49"/>
      <c r="H1747" s="49"/>
      <c r="I1747" s="49"/>
      <c r="J1747" s="49"/>
      <c r="K1747" s="49"/>
      <c r="L1747" s="49"/>
      <c r="M1747" s="49"/>
    </row>
    <row r="1748" spans="5:13">
      <c r="E1748" s="49"/>
      <c r="F1748" s="49"/>
      <c r="G1748" s="49"/>
      <c r="H1748" s="49"/>
      <c r="I1748" s="49"/>
      <c r="J1748" s="49"/>
      <c r="K1748" s="49"/>
      <c r="L1748" s="49"/>
      <c r="M1748" s="49"/>
    </row>
    <row r="1749" spans="5:13">
      <c r="E1749" s="49"/>
      <c r="F1749" s="49"/>
      <c r="G1749" s="49"/>
      <c r="H1749" s="49"/>
      <c r="I1749" s="49"/>
      <c r="J1749" s="49"/>
      <c r="K1749" s="49"/>
      <c r="L1749" s="49"/>
      <c r="M1749" s="49"/>
    </row>
    <row r="1750" spans="5:13">
      <c r="E1750" s="49"/>
      <c r="F1750" s="49"/>
      <c r="G1750" s="49"/>
      <c r="H1750" s="49"/>
      <c r="I1750" s="49"/>
      <c r="J1750" s="49"/>
      <c r="K1750" s="49"/>
      <c r="L1750" s="49"/>
      <c r="M1750" s="49"/>
    </row>
    <row r="1751" spans="5:13">
      <c r="E1751" s="49"/>
      <c r="F1751" s="49"/>
      <c r="G1751" s="49"/>
      <c r="H1751" s="49"/>
      <c r="I1751" s="49"/>
      <c r="J1751" s="49"/>
      <c r="K1751" s="49"/>
      <c r="L1751" s="49"/>
      <c r="M1751" s="49"/>
    </row>
    <row r="1752" spans="5:13">
      <c r="E1752" s="49"/>
      <c r="F1752" s="49"/>
      <c r="G1752" s="49"/>
      <c r="H1752" s="49"/>
      <c r="I1752" s="49"/>
      <c r="J1752" s="49"/>
      <c r="K1752" s="49"/>
      <c r="L1752" s="49"/>
      <c r="M1752" s="49"/>
    </row>
    <row r="1753" spans="5:13">
      <c r="E1753" s="49"/>
      <c r="F1753" s="49"/>
      <c r="G1753" s="49"/>
      <c r="H1753" s="49"/>
      <c r="I1753" s="49"/>
      <c r="J1753" s="49"/>
      <c r="K1753" s="49"/>
      <c r="L1753" s="49"/>
      <c r="M1753" s="49"/>
    </row>
    <row r="1754" spans="5:13">
      <c r="E1754" s="49"/>
      <c r="F1754" s="49"/>
      <c r="G1754" s="49"/>
      <c r="H1754" s="49"/>
      <c r="I1754" s="49"/>
      <c r="J1754" s="49"/>
      <c r="K1754" s="49"/>
      <c r="L1754" s="49"/>
      <c r="M1754" s="49"/>
    </row>
    <row r="1755" spans="5:13">
      <c r="E1755" s="49"/>
      <c r="F1755" s="49"/>
      <c r="G1755" s="49"/>
      <c r="H1755" s="49"/>
      <c r="I1755" s="49"/>
      <c r="J1755" s="49"/>
      <c r="K1755" s="49"/>
      <c r="L1755" s="49"/>
      <c r="M1755" s="49"/>
    </row>
    <row r="1756" spans="5:13">
      <c r="E1756" s="49"/>
      <c r="F1756" s="49"/>
      <c r="G1756" s="49"/>
      <c r="H1756" s="49"/>
      <c r="I1756" s="49"/>
      <c r="J1756" s="49"/>
      <c r="K1756" s="49"/>
      <c r="L1756" s="49"/>
      <c r="M1756" s="49"/>
    </row>
    <row r="1757" spans="5:13">
      <c r="E1757" s="49"/>
      <c r="F1757" s="49"/>
      <c r="G1757" s="49"/>
      <c r="H1757" s="49"/>
      <c r="I1757" s="49"/>
      <c r="J1757" s="49"/>
      <c r="K1757" s="49"/>
      <c r="L1757" s="49"/>
      <c r="M1757" s="49"/>
    </row>
    <row r="1758" spans="5:13">
      <c r="E1758" s="49"/>
      <c r="F1758" s="49"/>
      <c r="G1758" s="49"/>
      <c r="H1758" s="49"/>
      <c r="I1758" s="49"/>
      <c r="J1758" s="49"/>
      <c r="K1758" s="49"/>
      <c r="L1758" s="49"/>
      <c r="M1758" s="49"/>
    </row>
    <row r="1759" spans="5:13">
      <c r="E1759" s="49"/>
      <c r="F1759" s="49"/>
      <c r="G1759" s="49"/>
      <c r="H1759" s="49"/>
      <c r="I1759" s="49"/>
      <c r="J1759" s="49"/>
      <c r="K1759" s="49"/>
      <c r="L1759" s="49"/>
      <c r="M1759" s="49"/>
    </row>
    <row r="1760" spans="5:13">
      <c r="E1760" s="49"/>
      <c r="F1760" s="49"/>
      <c r="G1760" s="49"/>
      <c r="H1760" s="49"/>
      <c r="I1760" s="49"/>
      <c r="J1760" s="49"/>
      <c r="K1760" s="49"/>
      <c r="L1760" s="49"/>
      <c r="M1760" s="49"/>
    </row>
    <row r="1761" spans="5:13">
      <c r="E1761" s="49"/>
      <c r="F1761" s="49"/>
      <c r="G1761" s="49"/>
      <c r="H1761" s="49"/>
      <c r="I1761" s="49"/>
      <c r="J1761" s="49"/>
      <c r="K1761" s="49"/>
      <c r="L1761" s="49"/>
      <c r="M1761" s="49"/>
    </row>
    <row r="1762" spans="5:13">
      <c r="E1762" s="49"/>
      <c r="F1762" s="49"/>
      <c r="G1762" s="49"/>
      <c r="H1762" s="49"/>
      <c r="I1762" s="49"/>
      <c r="J1762" s="49"/>
      <c r="K1762" s="49"/>
      <c r="L1762" s="49"/>
      <c r="M1762" s="49"/>
    </row>
    <row r="1763" spans="5:13">
      <c r="E1763" s="49"/>
      <c r="F1763" s="49"/>
      <c r="G1763" s="49"/>
      <c r="H1763" s="49"/>
      <c r="I1763" s="49"/>
      <c r="J1763" s="49"/>
      <c r="K1763" s="49"/>
      <c r="L1763" s="49"/>
      <c r="M1763" s="49"/>
    </row>
    <row r="1764" spans="5:13">
      <c r="E1764" s="49"/>
      <c r="F1764" s="49"/>
      <c r="G1764" s="49"/>
      <c r="H1764" s="49"/>
      <c r="I1764" s="49"/>
      <c r="J1764" s="49"/>
      <c r="K1764" s="49"/>
      <c r="L1764" s="49"/>
      <c r="M1764" s="49"/>
    </row>
    <row r="1765" spans="5:13">
      <c r="E1765" s="49"/>
      <c r="F1765" s="49"/>
      <c r="G1765" s="49"/>
      <c r="H1765" s="49"/>
      <c r="I1765" s="49"/>
      <c r="J1765" s="49"/>
      <c r="K1765" s="49"/>
      <c r="L1765" s="49"/>
      <c r="M1765" s="49"/>
    </row>
    <row r="1766" spans="5:13">
      <c r="E1766" s="49"/>
      <c r="F1766" s="49"/>
      <c r="G1766" s="49"/>
      <c r="H1766" s="49"/>
      <c r="I1766" s="49"/>
      <c r="J1766" s="49"/>
      <c r="K1766" s="49"/>
      <c r="L1766" s="49"/>
      <c r="M1766" s="49"/>
    </row>
    <row r="1767" spans="5:13">
      <c r="E1767" s="49"/>
      <c r="F1767" s="49"/>
      <c r="G1767" s="49"/>
      <c r="H1767" s="49"/>
      <c r="I1767" s="49"/>
      <c r="J1767" s="49"/>
      <c r="K1767" s="49"/>
      <c r="L1767" s="49"/>
      <c r="M1767" s="49"/>
    </row>
    <row r="1768" spans="5:13">
      <c r="E1768" s="49"/>
      <c r="F1768" s="49"/>
      <c r="G1768" s="49"/>
      <c r="H1768" s="49"/>
      <c r="I1768" s="49"/>
      <c r="J1768" s="49"/>
      <c r="K1768" s="49"/>
      <c r="L1768" s="49"/>
      <c r="M1768" s="49"/>
    </row>
    <row r="1769" spans="5:13">
      <c r="E1769" s="49"/>
      <c r="F1769" s="49"/>
      <c r="G1769" s="49"/>
      <c r="H1769" s="49"/>
      <c r="I1769" s="49"/>
      <c r="J1769" s="49"/>
      <c r="K1769" s="49"/>
      <c r="L1769" s="49"/>
      <c r="M1769" s="49"/>
    </row>
    <row r="1770" spans="5:13">
      <c r="E1770" s="49"/>
      <c r="F1770" s="49"/>
      <c r="G1770" s="49"/>
      <c r="H1770" s="49"/>
      <c r="I1770" s="49"/>
      <c r="J1770" s="49"/>
      <c r="K1770" s="49"/>
      <c r="L1770" s="49"/>
      <c r="M1770" s="49"/>
    </row>
    <row r="1771" spans="5:13">
      <c r="E1771" s="49"/>
      <c r="F1771" s="49"/>
      <c r="G1771" s="49"/>
      <c r="H1771" s="49"/>
      <c r="I1771" s="49"/>
      <c r="J1771" s="49"/>
      <c r="K1771" s="49"/>
      <c r="L1771" s="49"/>
      <c r="M1771" s="49"/>
    </row>
    <row r="1772" spans="5:13">
      <c r="E1772" s="49"/>
      <c r="F1772" s="49"/>
      <c r="G1772" s="49"/>
      <c r="H1772" s="49"/>
      <c r="I1772" s="49"/>
      <c r="J1772" s="49"/>
      <c r="K1772" s="49"/>
      <c r="L1772" s="49"/>
      <c r="M1772" s="49"/>
    </row>
    <row r="1773" spans="5:13">
      <c r="E1773" s="49"/>
      <c r="F1773" s="49"/>
      <c r="G1773" s="49"/>
      <c r="H1773" s="49"/>
      <c r="I1773" s="49"/>
      <c r="J1773" s="49"/>
      <c r="K1773" s="49"/>
      <c r="L1773" s="49"/>
      <c r="M1773" s="49"/>
    </row>
    <row r="1774" spans="5:13">
      <c r="E1774" s="49"/>
      <c r="F1774" s="49"/>
      <c r="G1774" s="49"/>
      <c r="H1774" s="49"/>
      <c r="I1774" s="49"/>
      <c r="J1774" s="49"/>
      <c r="K1774" s="49"/>
      <c r="L1774" s="49"/>
      <c r="M1774" s="49"/>
    </row>
    <row r="1775" spans="5:13">
      <c r="E1775" s="49"/>
      <c r="F1775" s="49"/>
      <c r="G1775" s="49"/>
      <c r="H1775" s="49"/>
      <c r="I1775" s="49"/>
      <c r="J1775" s="49"/>
      <c r="K1775" s="49"/>
      <c r="L1775" s="49"/>
      <c r="M1775" s="49"/>
    </row>
    <row r="1776" spans="5:13">
      <c r="E1776" s="49"/>
      <c r="F1776" s="49"/>
      <c r="G1776" s="49"/>
      <c r="H1776" s="49"/>
      <c r="I1776" s="49"/>
      <c r="J1776" s="49"/>
      <c r="K1776" s="49"/>
      <c r="L1776" s="49"/>
      <c r="M1776" s="49"/>
    </row>
    <row r="1777" spans="5:13">
      <c r="E1777" s="49"/>
      <c r="F1777" s="49"/>
      <c r="G1777" s="49"/>
      <c r="H1777" s="49"/>
      <c r="I1777" s="49"/>
      <c r="J1777" s="49"/>
      <c r="K1777" s="49"/>
      <c r="L1777" s="49"/>
      <c r="M1777" s="49"/>
    </row>
    <row r="1778" spans="5:13">
      <c r="E1778" s="49"/>
      <c r="F1778" s="49"/>
      <c r="G1778" s="49"/>
      <c r="H1778" s="49"/>
      <c r="I1778" s="49"/>
      <c r="J1778" s="49"/>
      <c r="K1778" s="49"/>
      <c r="L1778" s="49"/>
      <c r="M1778" s="49"/>
    </row>
    <row r="1779" spans="5:13">
      <c r="E1779" s="49"/>
      <c r="F1779" s="49"/>
      <c r="G1779" s="49"/>
      <c r="H1779" s="49"/>
      <c r="I1779" s="49"/>
      <c r="J1779" s="49"/>
      <c r="K1779" s="49"/>
      <c r="L1779" s="49"/>
      <c r="M1779" s="49"/>
    </row>
    <row r="1780" spans="5:13">
      <c r="E1780" s="49"/>
      <c r="F1780" s="49"/>
      <c r="G1780" s="49"/>
      <c r="H1780" s="49"/>
      <c r="I1780" s="49"/>
      <c r="J1780" s="49"/>
      <c r="K1780" s="49"/>
      <c r="L1780" s="49"/>
      <c r="M1780" s="49"/>
    </row>
    <row r="1781" spans="5:13">
      <c r="E1781" s="49"/>
      <c r="F1781" s="49"/>
      <c r="G1781" s="49"/>
      <c r="H1781" s="49"/>
      <c r="I1781" s="49"/>
      <c r="J1781" s="49"/>
      <c r="K1781" s="49"/>
      <c r="L1781" s="49"/>
      <c r="M1781" s="49"/>
    </row>
    <row r="1782" spans="5:13">
      <c r="E1782" s="49"/>
      <c r="F1782" s="49"/>
      <c r="G1782" s="49"/>
      <c r="H1782" s="49"/>
      <c r="I1782" s="49"/>
      <c r="J1782" s="49"/>
      <c r="K1782" s="49"/>
      <c r="L1782" s="49"/>
      <c r="M1782" s="49"/>
    </row>
    <row r="1783" spans="5:13">
      <c r="E1783" s="49"/>
      <c r="F1783" s="49"/>
      <c r="G1783" s="49"/>
      <c r="H1783" s="49"/>
      <c r="I1783" s="49"/>
      <c r="J1783" s="49"/>
      <c r="K1783" s="49"/>
      <c r="L1783" s="49"/>
      <c r="M1783" s="49"/>
    </row>
    <row r="1784" spans="5:13">
      <c r="E1784" s="49"/>
      <c r="F1784" s="49"/>
      <c r="G1784" s="49"/>
      <c r="H1784" s="49"/>
      <c r="I1784" s="49"/>
      <c r="J1784" s="49"/>
      <c r="K1784" s="49"/>
      <c r="L1784" s="49"/>
      <c r="M1784" s="49"/>
    </row>
    <row r="1785" spans="5:13">
      <c r="E1785" s="49"/>
      <c r="F1785" s="49"/>
      <c r="G1785" s="49"/>
      <c r="H1785" s="49"/>
      <c r="I1785" s="49"/>
      <c r="J1785" s="49"/>
      <c r="K1785" s="49"/>
      <c r="L1785" s="49"/>
      <c r="M1785" s="49"/>
    </row>
    <row r="1786" spans="5:13">
      <c r="E1786" s="49"/>
      <c r="F1786" s="49"/>
      <c r="G1786" s="49"/>
      <c r="H1786" s="49"/>
      <c r="I1786" s="49"/>
      <c r="J1786" s="49"/>
      <c r="K1786" s="49"/>
      <c r="L1786" s="49"/>
      <c r="M1786" s="49"/>
    </row>
    <row r="1787" spans="5:13">
      <c r="E1787" s="49"/>
      <c r="F1787" s="49"/>
      <c r="G1787" s="49"/>
      <c r="H1787" s="49"/>
      <c r="I1787" s="49"/>
      <c r="J1787" s="49"/>
      <c r="K1787" s="49"/>
      <c r="L1787" s="49"/>
      <c r="M1787" s="49"/>
    </row>
    <row r="1788" spans="5:13">
      <c r="E1788" s="49"/>
      <c r="F1788" s="49"/>
      <c r="G1788" s="49"/>
      <c r="H1788" s="49"/>
      <c r="I1788" s="49"/>
      <c r="J1788" s="49"/>
      <c r="K1788" s="49"/>
      <c r="L1788" s="49"/>
      <c r="M1788" s="49"/>
    </row>
    <row r="1789" spans="5:13">
      <c r="E1789" s="49"/>
      <c r="F1789" s="49"/>
      <c r="G1789" s="49"/>
      <c r="H1789" s="49"/>
      <c r="I1789" s="49"/>
      <c r="J1789" s="49"/>
      <c r="K1789" s="49"/>
      <c r="L1789" s="49"/>
      <c r="M1789" s="49"/>
    </row>
    <row r="1790" spans="5:13">
      <c r="E1790" s="49"/>
      <c r="F1790" s="49"/>
      <c r="G1790" s="49"/>
      <c r="H1790" s="49"/>
      <c r="I1790" s="49"/>
      <c r="J1790" s="49"/>
      <c r="K1790" s="49"/>
      <c r="L1790" s="49"/>
      <c r="M1790" s="49"/>
    </row>
    <row r="1791" spans="5:13">
      <c r="E1791" s="49"/>
      <c r="F1791" s="49"/>
      <c r="G1791" s="49"/>
      <c r="H1791" s="49"/>
      <c r="I1791" s="49"/>
      <c r="J1791" s="49"/>
      <c r="K1791" s="49"/>
      <c r="L1791" s="49"/>
      <c r="M1791" s="49"/>
    </row>
    <row r="1792" spans="5:13">
      <c r="E1792" s="49"/>
      <c r="F1792" s="49"/>
      <c r="G1792" s="49"/>
      <c r="H1792" s="49"/>
      <c r="I1792" s="49"/>
      <c r="J1792" s="49"/>
      <c r="K1792" s="49"/>
      <c r="L1792" s="49"/>
      <c r="M1792" s="49"/>
    </row>
    <row r="1793" spans="5:13">
      <c r="E1793" s="49"/>
      <c r="F1793" s="49"/>
      <c r="G1793" s="49"/>
      <c r="H1793" s="49"/>
      <c r="I1793" s="49"/>
      <c r="J1793" s="49"/>
      <c r="K1793" s="49"/>
      <c r="L1793" s="49"/>
      <c r="M1793" s="49"/>
    </row>
    <row r="1794" spans="5:13">
      <c r="E1794" s="49"/>
      <c r="F1794" s="49"/>
      <c r="G1794" s="49"/>
      <c r="H1794" s="49"/>
      <c r="I1794" s="49"/>
      <c r="J1794" s="49"/>
      <c r="K1794" s="49"/>
      <c r="L1794" s="49"/>
      <c r="M1794" s="49"/>
    </row>
    <row r="1795" spans="5:13">
      <c r="E1795" s="49"/>
      <c r="F1795" s="49"/>
      <c r="G1795" s="49"/>
      <c r="H1795" s="49"/>
      <c r="I1795" s="49"/>
      <c r="J1795" s="49"/>
      <c r="K1795" s="49"/>
      <c r="L1795" s="49"/>
      <c r="M1795" s="49"/>
    </row>
    <row r="1796" spans="5:13">
      <c r="E1796" s="49"/>
      <c r="F1796" s="49"/>
      <c r="G1796" s="49"/>
      <c r="H1796" s="49"/>
      <c r="I1796" s="49"/>
      <c r="J1796" s="49"/>
      <c r="K1796" s="49"/>
      <c r="L1796" s="49"/>
      <c r="M1796" s="49"/>
    </row>
    <row r="1797" spans="5:13">
      <c r="E1797" s="49"/>
      <c r="F1797" s="49"/>
      <c r="G1797" s="49"/>
      <c r="H1797" s="49"/>
      <c r="I1797" s="49"/>
      <c r="J1797" s="49"/>
      <c r="K1797" s="49"/>
      <c r="L1797" s="49"/>
      <c r="M1797" s="49"/>
    </row>
    <row r="1798" spans="5:13">
      <c r="E1798" s="49"/>
      <c r="F1798" s="49"/>
      <c r="G1798" s="49"/>
      <c r="H1798" s="49"/>
      <c r="I1798" s="49"/>
      <c r="J1798" s="49"/>
      <c r="K1798" s="49"/>
      <c r="L1798" s="49"/>
      <c r="M1798" s="49"/>
    </row>
    <row r="1799" spans="5:13">
      <c r="E1799" s="49"/>
      <c r="F1799" s="49"/>
      <c r="G1799" s="49"/>
      <c r="H1799" s="49"/>
      <c r="I1799" s="49"/>
      <c r="J1799" s="49"/>
      <c r="K1799" s="49"/>
      <c r="L1799" s="49"/>
      <c r="M1799" s="49"/>
    </row>
    <row r="1800" spans="5:13">
      <c r="E1800" s="49"/>
      <c r="F1800" s="49"/>
      <c r="G1800" s="49"/>
      <c r="H1800" s="49"/>
      <c r="I1800" s="49"/>
      <c r="J1800" s="49"/>
      <c r="K1800" s="49"/>
      <c r="L1800" s="49"/>
      <c r="M1800" s="49"/>
    </row>
    <row r="1801" spans="5:13">
      <c r="E1801" s="49"/>
      <c r="F1801" s="49"/>
      <c r="G1801" s="49"/>
      <c r="H1801" s="49"/>
      <c r="I1801" s="49"/>
      <c r="J1801" s="49"/>
      <c r="K1801" s="49"/>
      <c r="L1801" s="49"/>
      <c r="M1801" s="49"/>
    </row>
    <row r="1802" spans="5:13">
      <c r="E1802" s="49"/>
      <c r="F1802" s="49"/>
      <c r="G1802" s="49"/>
      <c r="H1802" s="49"/>
      <c r="I1802" s="49"/>
      <c r="J1802" s="49"/>
      <c r="K1802" s="49"/>
      <c r="L1802" s="49"/>
      <c r="M1802" s="49"/>
    </row>
    <row r="1803" spans="5:13">
      <c r="E1803" s="49"/>
      <c r="F1803" s="49"/>
      <c r="G1803" s="49"/>
      <c r="H1803" s="49"/>
      <c r="I1803" s="49"/>
      <c r="J1803" s="49"/>
      <c r="K1803" s="49"/>
      <c r="L1803" s="49"/>
      <c r="M1803" s="49"/>
    </row>
    <row r="1804" spans="5:13">
      <c r="E1804" s="49"/>
      <c r="F1804" s="49"/>
      <c r="G1804" s="49"/>
      <c r="H1804" s="49"/>
      <c r="I1804" s="49"/>
      <c r="J1804" s="49"/>
      <c r="K1804" s="49"/>
      <c r="L1804" s="49"/>
      <c r="M1804" s="49"/>
    </row>
    <row r="1805" spans="5:13">
      <c r="E1805" s="49"/>
      <c r="F1805" s="49"/>
      <c r="G1805" s="49"/>
      <c r="H1805" s="49"/>
      <c r="I1805" s="49"/>
      <c r="J1805" s="49"/>
      <c r="K1805" s="49"/>
      <c r="L1805" s="49"/>
      <c r="M1805" s="49"/>
    </row>
    <row r="1806" spans="5:13">
      <c r="E1806" s="49"/>
      <c r="F1806" s="49"/>
      <c r="G1806" s="49"/>
      <c r="H1806" s="49"/>
      <c r="I1806" s="49"/>
      <c r="J1806" s="49"/>
      <c r="K1806" s="49"/>
      <c r="L1806" s="49"/>
      <c r="M1806" s="49"/>
    </row>
    <row r="1807" spans="5:13">
      <c r="E1807" s="49"/>
      <c r="F1807" s="49"/>
      <c r="G1807" s="49"/>
      <c r="H1807" s="49"/>
      <c r="I1807" s="49"/>
      <c r="J1807" s="49"/>
      <c r="K1807" s="49"/>
      <c r="L1807" s="49"/>
      <c r="M1807" s="49"/>
    </row>
    <row r="1808" spans="5:13">
      <c r="E1808" s="49"/>
      <c r="F1808" s="49"/>
      <c r="G1808" s="49"/>
      <c r="H1808" s="49"/>
      <c r="I1808" s="49"/>
      <c r="J1808" s="49"/>
      <c r="K1808" s="49"/>
      <c r="L1808" s="49"/>
      <c r="M1808" s="49"/>
    </row>
    <row r="1809" spans="5:13">
      <c r="E1809" s="49"/>
      <c r="F1809" s="49"/>
      <c r="G1809" s="49"/>
      <c r="H1809" s="49"/>
      <c r="I1809" s="49"/>
      <c r="J1809" s="49"/>
      <c r="K1809" s="49"/>
      <c r="L1809" s="49"/>
      <c r="M1809" s="49"/>
    </row>
    <row r="1810" spans="5:13">
      <c r="E1810" s="49"/>
      <c r="F1810" s="49"/>
      <c r="G1810" s="49"/>
      <c r="H1810" s="49"/>
      <c r="I1810" s="49"/>
      <c r="J1810" s="49"/>
      <c r="K1810" s="49"/>
      <c r="L1810" s="49"/>
      <c r="M1810" s="49"/>
    </row>
    <row r="1811" spans="5:13">
      <c r="E1811" s="49"/>
      <c r="F1811" s="49"/>
      <c r="G1811" s="49"/>
      <c r="H1811" s="49"/>
      <c r="I1811" s="49"/>
      <c r="J1811" s="49"/>
      <c r="K1811" s="49"/>
      <c r="L1811" s="49"/>
      <c r="M1811" s="49"/>
    </row>
    <row r="1812" spans="5:13">
      <c r="E1812" s="49"/>
      <c r="F1812" s="49"/>
      <c r="G1812" s="49"/>
      <c r="H1812" s="49"/>
      <c r="I1812" s="49"/>
      <c r="J1812" s="49"/>
      <c r="K1812" s="49"/>
      <c r="L1812" s="49"/>
      <c r="M1812" s="49"/>
    </row>
    <row r="1813" spans="5:13">
      <c r="E1813" s="49"/>
      <c r="F1813" s="49"/>
      <c r="G1813" s="49"/>
      <c r="H1813" s="49"/>
      <c r="I1813" s="49"/>
      <c r="J1813" s="49"/>
      <c r="K1813" s="49"/>
      <c r="L1813" s="49"/>
      <c r="M1813" s="49"/>
    </row>
    <row r="1814" spans="5:13">
      <c r="E1814" s="49"/>
      <c r="F1814" s="49"/>
      <c r="G1814" s="49"/>
      <c r="H1814" s="49"/>
      <c r="I1814" s="49"/>
      <c r="J1814" s="49"/>
      <c r="K1814" s="49"/>
      <c r="L1814" s="49"/>
      <c r="M1814" s="49"/>
    </row>
    <row r="1815" spans="5:13">
      <c r="E1815" s="49"/>
      <c r="F1815" s="49"/>
      <c r="G1815" s="49"/>
      <c r="H1815" s="49"/>
      <c r="I1815" s="49"/>
      <c r="J1815" s="49"/>
      <c r="K1815" s="49"/>
      <c r="L1815" s="49"/>
      <c r="M1815" s="49"/>
    </row>
    <row r="1816" spans="5:13">
      <c r="E1816" s="49"/>
      <c r="F1816" s="49"/>
      <c r="G1816" s="49"/>
      <c r="H1816" s="49"/>
      <c r="I1816" s="49"/>
      <c r="J1816" s="49"/>
      <c r="K1816" s="49"/>
      <c r="L1816" s="49"/>
      <c r="M1816" s="49"/>
    </row>
    <row r="1817" spans="5:13">
      <c r="E1817" s="49"/>
      <c r="F1817" s="49"/>
      <c r="G1817" s="49"/>
      <c r="H1817" s="49"/>
      <c r="I1817" s="49"/>
      <c r="J1817" s="49"/>
      <c r="K1817" s="49"/>
      <c r="L1817" s="49"/>
      <c r="M1817" s="49"/>
    </row>
    <row r="1818" spans="5:13">
      <c r="E1818" s="49"/>
      <c r="F1818" s="49"/>
      <c r="G1818" s="49"/>
      <c r="H1818" s="49"/>
      <c r="I1818" s="49"/>
      <c r="J1818" s="49"/>
      <c r="K1818" s="49"/>
      <c r="L1818" s="49"/>
      <c r="M1818" s="49"/>
    </row>
    <row r="1819" spans="5:13">
      <c r="E1819" s="49"/>
      <c r="F1819" s="49"/>
      <c r="G1819" s="49"/>
      <c r="H1819" s="49"/>
      <c r="I1819" s="49"/>
      <c r="J1819" s="49"/>
      <c r="K1819" s="49"/>
      <c r="L1819" s="49"/>
      <c r="M1819" s="49"/>
    </row>
    <row r="1820" spans="5:13">
      <c r="E1820" s="49"/>
      <c r="F1820" s="49"/>
      <c r="G1820" s="49"/>
      <c r="H1820" s="49"/>
      <c r="I1820" s="49"/>
      <c r="J1820" s="49"/>
      <c r="K1820" s="49"/>
      <c r="L1820" s="49"/>
      <c r="M1820" s="49"/>
    </row>
    <row r="1821" spans="5:13">
      <c r="E1821" s="49"/>
      <c r="F1821" s="49"/>
      <c r="G1821" s="49"/>
      <c r="H1821" s="49"/>
      <c r="I1821" s="49"/>
      <c r="J1821" s="49"/>
      <c r="K1821" s="49"/>
      <c r="L1821" s="49"/>
      <c r="M1821" s="49"/>
    </row>
    <row r="1822" spans="5:13">
      <c r="E1822" s="49"/>
      <c r="F1822" s="49"/>
      <c r="G1822" s="49"/>
      <c r="H1822" s="49"/>
      <c r="I1822" s="49"/>
      <c r="J1822" s="49"/>
      <c r="K1822" s="49"/>
      <c r="L1822" s="49"/>
      <c r="M1822" s="49"/>
    </row>
    <row r="1823" spans="5:13">
      <c r="E1823" s="49"/>
      <c r="F1823" s="49"/>
      <c r="G1823" s="49"/>
      <c r="H1823" s="49"/>
      <c r="I1823" s="49"/>
      <c r="J1823" s="49"/>
      <c r="K1823" s="49"/>
      <c r="L1823" s="49"/>
      <c r="M1823" s="49"/>
    </row>
    <row r="1824" spans="5:13">
      <c r="E1824" s="49"/>
      <c r="F1824" s="49"/>
      <c r="G1824" s="49"/>
      <c r="H1824" s="49"/>
      <c r="I1824" s="49"/>
      <c r="J1824" s="49"/>
      <c r="K1824" s="49"/>
      <c r="L1824" s="49"/>
      <c r="M1824" s="49"/>
    </row>
    <row r="1825" spans="5:13">
      <c r="E1825" s="49"/>
      <c r="F1825" s="49"/>
      <c r="G1825" s="49"/>
      <c r="H1825" s="49"/>
      <c r="I1825" s="49"/>
      <c r="J1825" s="49"/>
      <c r="K1825" s="49"/>
      <c r="L1825" s="49"/>
      <c r="M1825" s="49"/>
    </row>
    <row r="1826" spans="5:13">
      <c r="E1826" s="49"/>
      <c r="F1826" s="49"/>
      <c r="G1826" s="49"/>
      <c r="H1826" s="49"/>
      <c r="I1826" s="49"/>
      <c r="J1826" s="49"/>
      <c r="K1826" s="49"/>
      <c r="L1826" s="49"/>
      <c r="M1826" s="49"/>
    </row>
    <row r="1827" spans="5:13">
      <c r="E1827" s="49"/>
      <c r="F1827" s="49"/>
      <c r="G1827" s="49"/>
      <c r="H1827" s="49"/>
      <c r="I1827" s="49"/>
      <c r="J1827" s="49"/>
      <c r="K1827" s="49"/>
      <c r="L1827" s="49"/>
      <c r="M1827" s="49"/>
    </row>
    <row r="1828" spans="5:13">
      <c r="E1828" s="49"/>
      <c r="F1828" s="49"/>
      <c r="G1828" s="49"/>
      <c r="H1828" s="49"/>
      <c r="I1828" s="49"/>
      <c r="J1828" s="49"/>
      <c r="K1828" s="49"/>
      <c r="L1828" s="49"/>
      <c r="M1828" s="49"/>
    </row>
    <row r="1829" spans="5:13">
      <c r="E1829" s="49"/>
      <c r="F1829" s="49"/>
      <c r="G1829" s="49"/>
      <c r="H1829" s="49"/>
      <c r="I1829" s="49"/>
      <c r="J1829" s="49"/>
      <c r="K1829" s="49"/>
      <c r="L1829" s="49"/>
      <c r="M1829" s="49"/>
    </row>
    <row r="1830" spans="5:13">
      <c r="E1830" s="49"/>
      <c r="F1830" s="49"/>
      <c r="G1830" s="49"/>
      <c r="H1830" s="49"/>
      <c r="I1830" s="49"/>
      <c r="J1830" s="49"/>
      <c r="K1830" s="49"/>
      <c r="L1830" s="49"/>
      <c r="M1830" s="49"/>
    </row>
    <row r="1831" spans="5:13">
      <c r="E1831" s="49"/>
      <c r="F1831" s="49"/>
      <c r="G1831" s="49"/>
      <c r="H1831" s="49"/>
      <c r="I1831" s="49"/>
      <c r="J1831" s="49"/>
      <c r="K1831" s="49"/>
      <c r="L1831" s="49"/>
      <c r="M1831" s="49"/>
    </row>
    <row r="1832" spans="5:13">
      <c r="E1832" s="49"/>
      <c r="F1832" s="49"/>
      <c r="G1832" s="49"/>
      <c r="H1832" s="49"/>
      <c r="I1832" s="49"/>
      <c r="J1832" s="49"/>
      <c r="K1832" s="49"/>
      <c r="L1832" s="49"/>
      <c r="M1832" s="49"/>
    </row>
    <row r="1833" spans="5:13">
      <c r="E1833" s="49"/>
      <c r="F1833" s="49"/>
      <c r="G1833" s="49"/>
      <c r="H1833" s="49"/>
      <c r="I1833" s="49"/>
      <c r="J1833" s="49"/>
      <c r="K1833" s="49"/>
      <c r="L1833" s="49"/>
      <c r="M1833" s="49"/>
    </row>
    <row r="1834" spans="5:13">
      <c r="E1834" s="49"/>
      <c r="F1834" s="49"/>
      <c r="G1834" s="49"/>
      <c r="H1834" s="49"/>
      <c r="I1834" s="49"/>
      <c r="J1834" s="49"/>
      <c r="K1834" s="49"/>
      <c r="L1834" s="49"/>
      <c r="M1834" s="49"/>
    </row>
    <row r="1835" spans="5:13">
      <c r="E1835" s="49"/>
      <c r="F1835" s="49"/>
      <c r="G1835" s="49"/>
      <c r="H1835" s="49"/>
      <c r="I1835" s="49"/>
      <c r="J1835" s="49"/>
      <c r="K1835" s="49"/>
      <c r="L1835" s="49"/>
      <c r="M1835" s="49"/>
    </row>
    <row r="1836" spans="5:13">
      <c r="E1836" s="49"/>
      <c r="F1836" s="49"/>
      <c r="G1836" s="49"/>
      <c r="H1836" s="49"/>
      <c r="I1836" s="49"/>
      <c r="J1836" s="49"/>
      <c r="K1836" s="49"/>
      <c r="L1836" s="49"/>
      <c r="M1836" s="49"/>
    </row>
    <row r="1837" spans="5:13">
      <c r="E1837" s="49"/>
      <c r="F1837" s="49"/>
      <c r="G1837" s="49"/>
      <c r="H1837" s="49"/>
      <c r="I1837" s="49"/>
      <c r="J1837" s="49"/>
      <c r="K1837" s="49"/>
      <c r="L1837" s="49"/>
      <c r="M1837" s="49"/>
    </row>
    <row r="1838" spans="5:13">
      <c r="E1838" s="49"/>
      <c r="F1838" s="49"/>
      <c r="G1838" s="49"/>
      <c r="H1838" s="49"/>
      <c r="I1838" s="49"/>
      <c r="J1838" s="49"/>
      <c r="K1838" s="49"/>
      <c r="L1838" s="49"/>
      <c r="M1838" s="49"/>
    </row>
    <row r="1839" spans="5:13">
      <c r="E1839" s="49"/>
      <c r="F1839" s="49"/>
      <c r="G1839" s="49"/>
      <c r="H1839" s="49"/>
      <c r="I1839" s="49"/>
      <c r="J1839" s="49"/>
      <c r="K1839" s="49"/>
      <c r="L1839" s="49"/>
      <c r="M1839" s="49"/>
    </row>
    <row r="1840" spans="5:13">
      <c r="E1840" s="49"/>
      <c r="F1840" s="49"/>
      <c r="G1840" s="49"/>
      <c r="H1840" s="49"/>
      <c r="I1840" s="49"/>
      <c r="J1840" s="49"/>
      <c r="K1840" s="49"/>
      <c r="L1840" s="49"/>
      <c r="M1840" s="49"/>
    </row>
    <row r="1841" spans="5:13">
      <c r="E1841" s="49"/>
      <c r="F1841" s="49"/>
      <c r="G1841" s="49"/>
      <c r="H1841" s="49"/>
      <c r="I1841" s="49"/>
      <c r="J1841" s="49"/>
      <c r="K1841" s="49"/>
      <c r="L1841" s="49"/>
      <c r="M1841" s="49"/>
    </row>
    <row r="1842" spans="5:13">
      <c r="E1842" s="49"/>
      <c r="F1842" s="49"/>
      <c r="G1842" s="49"/>
      <c r="H1842" s="49"/>
      <c r="I1842" s="49"/>
      <c r="J1842" s="49"/>
      <c r="K1842" s="49"/>
      <c r="L1842" s="49"/>
      <c r="M1842" s="49"/>
    </row>
    <row r="1843" spans="5:13">
      <c r="E1843" s="49"/>
      <c r="F1843" s="49"/>
      <c r="G1843" s="49"/>
      <c r="H1843" s="49"/>
      <c r="I1843" s="49"/>
      <c r="J1843" s="49"/>
      <c r="K1843" s="49"/>
      <c r="L1843" s="49"/>
      <c r="M1843" s="49"/>
    </row>
    <row r="1844" spans="5:13">
      <c r="E1844" s="49"/>
      <c r="F1844" s="49"/>
      <c r="G1844" s="49"/>
      <c r="H1844" s="49"/>
      <c r="I1844" s="49"/>
      <c r="J1844" s="49"/>
      <c r="K1844" s="49"/>
      <c r="L1844" s="49"/>
      <c r="M1844" s="49"/>
    </row>
    <row r="1845" spans="5:13">
      <c r="E1845" s="49"/>
      <c r="F1845" s="49"/>
      <c r="G1845" s="49"/>
      <c r="H1845" s="49"/>
      <c r="I1845" s="49"/>
      <c r="J1845" s="49"/>
      <c r="K1845" s="49"/>
      <c r="L1845" s="49"/>
      <c r="M1845" s="49"/>
    </row>
    <row r="1846" spans="5:13">
      <c r="E1846" s="49"/>
      <c r="F1846" s="49"/>
      <c r="G1846" s="49"/>
      <c r="H1846" s="49"/>
      <c r="I1846" s="49"/>
      <c r="J1846" s="49"/>
      <c r="K1846" s="49"/>
      <c r="L1846" s="49"/>
      <c r="M1846" s="49"/>
    </row>
    <row r="1847" spans="5:13">
      <c r="E1847" s="49"/>
      <c r="F1847" s="49"/>
      <c r="G1847" s="49"/>
      <c r="H1847" s="49"/>
      <c r="I1847" s="49"/>
      <c r="J1847" s="49"/>
      <c r="K1847" s="49"/>
      <c r="L1847" s="49"/>
      <c r="M1847" s="49"/>
    </row>
    <row r="1848" spans="5:13">
      <c r="E1848" s="49"/>
      <c r="F1848" s="49"/>
      <c r="G1848" s="49"/>
      <c r="H1848" s="49"/>
      <c r="I1848" s="49"/>
      <c r="J1848" s="49"/>
      <c r="K1848" s="49"/>
      <c r="L1848" s="49"/>
      <c r="M1848" s="49"/>
    </row>
    <row r="1849" spans="5:13">
      <c r="E1849" s="49"/>
      <c r="F1849" s="49"/>
      <c r="G1849" s="49"/>
      <c r="H1849" s="49"/>
      <c r="I1849" s="49"/>
      <c r="J1849" s="49"/>
      <c r="K1849" s="49"/>
      <c r="L1849" s="49"/>
      <c r="M1849" s="49"/>
    </row>
    <row r="1850" spans="5:13">
      <c r="E1850" s="49"/>
      <c r="F1850" s="49"/>
      <c r="G1850" s="49"/>
      <c r="H1850" s="49"/>
      <c r="I1850" s="49"/>
      <c r="J1850" s="49"/>
      <c r="K1850" s="49"/>
      <c r="L1850" s="49"/>
      <c r="M1850" s="49"/>
    </row>
    <row r="1851" spans="5:13">
      <c r="E1851" s="49"/>
      <c r="F1851" s="49"/>
      <c r="G1851" s="49"/>
      <c r="H1851" s="49"/>
      <c r="I1851" s="49"/>
      <c r="J1851" s="49"/>
      <c r="K1851" s="49"/>
      <c r="L1851" s="49"/>
      <c r="M1851" s="49"/>
    </row>
    <row r="1852" spans="5:13">
      <c r="E1852" s="49"/>
      <c r="F1852" s="49"/>
      <c r="G1852" s="49"/>
      <c r="H1852" s="49"/>
      <c r="I1852" s="49"/>
      <c r="J1852" s="49"/>
      <c r="K1852" s="49"/>
      <c r="L1852" s="49"/>
      <c r="M1852" s="49"/>
    </row>
    <row r="1853" spans="5:13">
      <c r="E1853" s="49"/>
      <c r="F1853" s="49"/>
      <c r="G1853" s="49"/>
      <c r="H1853" s="49"/>
      <c r="I1853" s="49"/>
      <c r="J1853" s="49"/>
      <c r="K1853" s="49"/>
      <c r="L1853" s="49"/>
      <c r="M1853" s="49"/>
    </row>
    <row r="1854" spans="5:13">
      <c r="E1854" s="49"/>
      <c r="F1854" s="49"/>
      <c r="G1854" s="49"/>
      <c r="H1854" s="49"/>
      <c r="I1854" s="49"/>
      <c r="J1854" s="49"/>
      <c r="K1854" s="49"/>
      <c r="L1854" s="49"/>
      <c r="M1854" s="49"/>
    </row>
    <row r="1855" spans="5:13">
      <c r="E1855" s="49"/>
      <c r="F1855" s="49"/>
      <c r="G1855" s="49"/>
      <c r="H1855" s="49"/>
      <c r="I1855" s="49"/>
      <c r="J1855" s="49"/>
      <c r="K1855" s="49"/>
      <c r="L1855" s="49"/>
      <c r="M1855" s="49"/>
    </row>
    <row r="1856" spans="5:13">
      <c r="E1856" s="49"/>
      <c r="F1856" s="49"/>
      <c r="G1856" s="49"/>
      <c r="H1856" s="49"/>
      <c r="I1856" s="49"/>
      <c r="J1856" s="49"/>
      <c r="K1856" s="49"/>
      <c r="L1856" s="49"/>
      <c r="M1856" s="49"/>
    </row>
    <row r="1857" spans="5:13">
      <c r="E1857" s="49"/>
      <c r="F1857" s="49"/>
      <c r="G1857" s="49"/>
      <c r="H1857" s="49"/>
      <c r="I1857" s="49"/>
      <c r="J1857" s="49"/>
      <c r="K1857" s="49"/>
      <c r="L1857" s="49"/>
      <c r="M1857" s="49"/>
    </row>
    <row r="1858" spans="5:13">
      <c r="E1858" s="49"/>
      <c r="F1858" s="49"/>
      <c r="G1858" s="49"/>
      <c r="H1858" s="49"/>
      <c r="I1858" s="49"/>
      <c r="J1858" s="49"/>
      <c r="K1858" s="49"/>
      <c r="L1858" s="49"/>
      <c r="M1858" s="49"/>
    </row>
    <row r="1859" spans="5:13">
      <c r="E1859" s="49"/>
      <c r="F1859" s="49"/>
      <c r="G1859" s="49"/>
      <c r="H1859" s="49"/>
      <c r="I1859" s="49"/>
      <c r="J1859" s="49"/>
      <c r="K1859" s="49"/>
      <c r="L1859" s="49"/>
      <c r="M1859" s="49"/>
    </row>
    <row r="1860" spans="5:13">
      <c r="E1860" s="49"/>
      <c r="F1860" s="49"/>
      <c r="G1860" s="49"/>
      <c r="H1860" s="49"/>
      <c r="I1860" s="49"/>
      <c r="J1860" s="49"/>
      <c r="K1860" s="49"/>
      <c r="L1860" s="49"/>
      <c r="M1860" s="49"/>
    </row>
    <row r="1861" spans="5:13">
      <c r="E1861" s="49"/>
      <c r="F1861" s="49"/>
      <c r="G1861" s="49"/>
      <c r="H1861" s="49"/>
      <c r="I1861" s="49"/>
      <c r="J1861" s="49"/>
      <c r="K1861" s="49"/>
      <c r="L1861" s="49"/>
      <c r="M1861" s="49"/>
    </row>
    <row r="1862" spans="5:13">
      <c r="E1862" s="49"/>
      <c r="F1862" s="49"/>
      <c r="G1862" s="49"/>
      <c r="H1862" s="49"/>
      <c r="I1862" s="49"/>
      <c r="J1862" s="49"/>
      <c r="K1862" s="49"/>
      <c r="L1862" s="49"/>
      <c r="M1862" s="49"/>
    </row>
    <row r="1863" spans="5:13">
      <c r="E1863" s="49"/>
      <c r="F1863" s="49"/>
      <c r="G1863" s="49"/>
      <c r="H1863" s="49"/>
      <c r="I1863" s="49"/>
      <c r="J1863" s="49"/>
      <c r="K1863" s="49"/>
      <c r="L1863" s="49"/>
      <c r="M1863" s="49"/>
    </row>
    <row r="1864" spans="5:13">
      <c r="E1864" s="49"/>
      <c r="F1864" s="49"/>
      <c r="G1864" s="49"/>
      <c r="H1864" s="49"/>
      <c r="I1864" s="49"/>
      <c r="J1864" s="49"/>
      <c r="K1864" s="49"/>
      <c r="L1864" s="49"/>
      <c r="M1864" s="49"/>
    </row>
    <row r="1865" spans="5:13">
      <c r="E1865" s="49"/>
      <c r="F1865" s="49"/>
      <c r="G1865" s="49"/>
      <c r="H1865" s="49"/>
      <c r="I1865" s="49"/>
      <c r="J1865" s="49"/>
      <c r="K1865" s="49"/>
      <c r="L1865" s="49"/>
      <c r="M1865" s="49"/>
    </row>
    <row r="1866" spans="5:13">
      <c r="E1866" s="49"/>
      <c r="F1866" s="49"/>
      <c r="G1866" s="49"/>
      <c r="H1866" s="49"/>
      <c r="I1866" s="49"/>
      <c r="J1866" s="49"/>
      <c r="K1866" s="49"/>
      <c r="L1866" s="49"/>
      <c r="M1866" s="49"/>
    </row>
    <row r="1867" spans="5:13">
      <c r="E1867" s="49"/>
      <c r="F1867" s="49"/>
      <c r="G1867" s="49"/>
      <c r="H1867" s="49"/>
      <c r="I1867" s="49"/>
      <c r="J1867" s="49"/>
      <c r="K1867" s="49"/>
      <c r="L1867" s="49"/>
      <c r="M1867" s="49"/>
    </row>
    <row r="1868" spans="5:13">
      <c r="E1868" s="49"/>
      <c r="F1868" s="49"/>
      <c r="G1868" s="49"/>
      <c r="H1868" s="49"/>
      <c r="I1868" s="49"/>
      <c r="J1868" s="49"/>
      <c r="K1868" s="49"/>
      <c r="L1868" s="49"/>
      <c r="M1868" s="49"/>
    </row>
    <row r="1869" spans="5:13">
      <c r="E1869" s="49"/>
      <c r="F1869" s="49"/>
      <c r="G1869" s="49"/>
      <c r="H1869" s="49"/>
      <c r="I1869" s="49"/>
      <c r="J1869" s="49"/>
      <c r="K1869" s="49"/>
      <c r="L1869" s="49"/>
      <c r="M1869" s="49"/>
    </row>
    <row r="1870" spans="5:13">
      <c r="E1870" s="49"/>
      <c r="F1870" s="49"/>
      <c r="G1870" s="49"/>
      <c r="H1870" s="49"/>
      <c r="I1870" s="49"/>
      <c r="J1870" s="49"/>
      <c r="K1870" s="49"/>
      <c r="L1870" s="49"/>
      <c r="M1870" s="49"/>
    </row>
    <row r="1871" spans="5:13">
      <c r="E1871" s="49"/>
      <c r="F1871" s="49"/>
      <c r="G1871" s="49"/>
      <c r="H1871" s="49"/>
      <c r="I1871" s="49"/>
      <c r="J1871" s="49"/>
      <c r="K1871" s="49"/>
      <c r="L1871" s="49"/>
      <c r="M1871" s="49"/>
    </row>
    <row r="1872" spans="5:13">
      <c r="E1872" s="49"/>
      <c r="F1872" s="49"/>
      <c r="G1872" s="49"/>
      <c r="H1872" s="49"/>
      <c r="I1872" s="49"/>
      <c r="J1872" s="49"/>
      <c r="K1872" s="49"/>
      <c r="L1872" s="49"/>
      <c r="M1872" s="49"/>
    </row>
    <row r="1873" spans="5:13">
      <c r="E1873" s="49"/>
      <c r="F1873" s="49"/>
      <c r="G1873" s="49"/>
      <c r="H1873" s="49"/>
      <c r="I1873" s="49"/>
      <c r="J1873" s="49"/>
      <c r="K1873" s="49"/>
      <c r="L1873" s="49"/>
      <c r="M1873" s="49"/>
    </row>
    <row r="1874" spans="5:13">
      <c r="E1874" s="49"/>
      <c r="F1874" s="49"/>
      <c r="G1874" s="49"/>
      <c r="H1874" s="49"/>
      <c r="I1874" s="49"/>
      <c r="J1874" s="49"/>
      <c r="K1874" s="49"/>
      <c r="L1874" s="49"/>
      <c r="M1874" s="49"/>
    </row>
    <row r="1875" spans="5:13">
      <c r="E1875" s="49"/>
      <c r="F1875" s="49"/>
      <c r="G1875" s="49"/>
      <c r="H1875" s="49"/>
      <c r="I1875" s="49"/>
      <c r="J1875" s="49"/>
      <c r="K1875" s="49"/>
      <c r="L1875" s="49"/>
      <c r="M1875" s="49"/>
    </row>
    <row r="1876" spans="5:13">
      <c r="E1876" s="49"/>
      <c r="F1876" s="49"/>
      <c r="G1876" s="49"/>
      <c r="H1876" s="49"/>
      <c r="I1876" s="49"/>
      <c r="J1876" s="49"/>
      <c r="K1876" s="49"/>
      <c r="L1876" s="49"/>
      <c r="M1876" s="49"/>
    </row>
    <row r="1877" spans="5:13">
      <c r="E1877" s="49"/>
      <c r="F1877" s="49"/>
      <c r="G1877" s="49"/>
      <c r="H1877" s="49"/>
      <c r="I1877" s="49"/>
      <c r="J1877" s="49"/>
      <c r="K1877" s="49"/>
      <c r="L1877" s="49"/>
      <c r="M1877" s="49"/>
    </row>
    <row r="1878" spans="5:13">
      <c r="E1878" s="49"/>
      <c r="F1878" s="49"/>
      <c r="G1878" s="49"/>
      <c r="H1878" s="49"/>
      <c r="I1878" s="49"/>
      <c r="J1878" s="49"/>
      <c r="K1878" s="49"/>
      <c r="L1878" s="49"/>
      <c r="M1878" s="49"/>
    </row>
    <row r="1879" spans="5:13">
      <c r="E1879" s="49"/>
      <c r="F1879" s="49"/>
      <c r="G1879" s="49"/>
      <c r="H1879" s="49"/>
      <c r="I1879" s="49"/>
      <c r="J1879" s="49"/>
      <c r="K1879" s="49"/>
      <c r="L1879" s="49"/>
      <c r="M1879" s="49"/>
    </row>
    <row r="1880" spans="5:13">
      <c r="E1880" s="49"/>
      <c r="F1880" s="49"/>
      <c r="G1880" s="49"/>
      <c r="H1880" s="49"/>
      <c r="I1880" s="49"/>
      <c r="J1880" s="49"/>
      <c r="K1880" s="49"/>
      <c r="L1880" s="49"/>
      <c r="M1880" s="49"/>
    </row>
    <row r="1881" spans="5:13">
      <c r="E1881" s="49"/>
      <c r="F1881" s="49"/>
      <c r="G1881" s="49"/>
      <c r="H1881" s="49"/>
      <c r="I1881" s="49"/>
      <c r="J1881" s="49"/>
      <c r="K1881" s="49"/>
      <c r="L1881" s="49"/>
      <c r="M1881" s="49"/>
    </row>
    <row r="1882" spans="5:13">
      <c r="E1882" s="49"/>
      <c r="F1882" s="49"/>
      <c r="G1882" s="49"/>
      <c r="H1882" s="49"/>
      <c r="I1882" s="49"/>
      <c r="J1882" s="49"/>
      <c r="K1882" s="49"/>
      <c r="L1882" s="49"/>
      <c r="M1882" s="49"/>
    </row>
    <row r="1883" spans="5:13">
      <c r="E1883" s="49"/>
      <c r="F1883" s="49"/>
      <c r="G1883" s="49"/>
      <c r="H1883" s="49"/>
      <c r="I1883" s="49"/>
      <c r="J1883" s="49"/>
      <c r="K1883" s="49"/>
      <c r="L1883" s="49"/>
      <c r="M1883" s="49"/>
    </row>
    <row r="1884" spans="5:13">
      <c r="E1884" s="49"/>
      <c r="F1884" s="49"/>
      <c r="G1884" s="49"/>
      <c r="H1884" s="49"/>
      <c r="I1884" s="49"/>
      <c r="J1884" s="49"/>
      <c r="K1884" s="49"/>
      <c r="L1884" s="49"/>
      <c r="M1884" s="49"/>
    </row>
    <row r="1885" spans="5:13">
      <c r="E1885" s="49"/>
      <c r="F1885" s="49"/>
      <c r="G1885" s="49"/>
      <c r="H1885" s="49"/>
      <c r="I1885" s="49"/>
      <c r="J1885" s="49"/>
      <c r="K1885" s="49"/>
      <c r="L1885" s="49"/>
      <c r="M1885" s="49"/>
    </row>
    <row r="1886" spans="5:13">
      <c r="E1886" s="49"/>
      <c r="F1886" s="49"/>
      <c r="G1886" s="49"/>
      <c r="H1886" s="49"/>
      <c r="I1886" s="49"/>
      <c r="J1886" s="49"/>
      <c r="K1886" s="49"/>
      <c r="L1886" s="49"/>
      <c r="M1886" s="49"/>
    </row>
    <row r="1887" spans="5:13">
      <c r="E1887" s="49"/>
      <c r="F1887" s="49"/>
      <c r="G1887" s="49"/>
      <c r="H1887" s="49"/>
      <c r="I1887" s="49"/>
      <c r="J1887" s="49"/>
      <c r="K1887" s="49"/>
      <c r="L1887" s="49"/>
      <c r="M1887" s="49"/>
    </row>
    <row r="1888" spans="5:13">
      <c r="E1888" s="49"/>
      <c r="F1888" s="49"/>
      <c r="G1888" s="49"/>
      <c r="H1888" s="49"/>
      <c r="I1888" s="49"/>
      <c r="J1888" s="49"/>
      <c r="K1888" s="49"/>
      <c r="L1888" s="49"/>
      <c r="M1888" s="49"/>
    </row>
    <row r="1889" spans="5:13">
      <c r="E1889" s="49"/>
      <c r="F1889" s="49"/>
      <c r="G1889" s="49"/>
      <c r="H1889" s="49"/>
      <c r="I1889" s="49"/>
      <c r="J1889" s="49"/>
      <c r="K1889" s="49"/>
      <c r="L1889" s="49"/>
      <c r="M1889" s="49"/>
    </row>
    <row r="1890" spans="5:13">
      <c r="E1890" s="49"/>
      <c r="F1890" s="49"/>
      <c r="G1890" s="49"/>
      <c r="H1890" s="49"/>
      <c r="I1890" s="49"/>
      <c r="J1890" s="49"/>
      <c r="K1890" s="49"/>
      <c r="L1890" s="49"/>
      <c r="M1890" s="49"/>
    </row>
    <row r="1891" spans="5:13">
      <c r="E1891" s="49"/>
      <c r="F1891" s="49"/>
      <c r="G1891" s="49"/>
      <c r="H1891" s="49"/>
      <c r="I1891" s="49"/>
      <c r="J1891" s="49"/>
      <c r="K1891" s="49"/>
      <c r="L1891" s="49"/>
      <c r="M1891" s="49"/>
    </row>
    <row r="1892" spans="5:13">
      <c r="E1892" s="49"/>
      <c r="F1892" s="49"/>
      <c r="G1892" s="49"/>
      <c r="H1892" s="49"/>
      <c r="I1892" s="49"/>
      <c r="J1892" s="49"/>
      <c r="K1892" s="49"/>
      <c r="L1892" s="49"/>
      <c r="M1892" s="49"/>
    </row>
    <row r="1893" spans="5:13">
      <c r="E1893" s="49"/>
      <c r="F1893" s="49"/>
      <c r="G1893" s="49"/>
      <c r="H1893" s="49"/>
      <c r="I1893" s="49"/>
      <c r="J1893" s="49"/>
      <c r="K1893" s="49"/>
      <c r="L1893" s="49"/>
      <c r="M1893" s="49"/>
    </row>
    <row r="1894" spans="5:13">
      <c r="E1894" s="49"/>
      <c r="F1894" s="49"/>
      <c r="G1894" s="49"/>
      <c r="H1894" s="49"/>
      <c r="I1894" s="49"/>
      <c r="J1894" s="49"/>
      <c r="K1894" s="49"/>
      <c r="L1894" s="49"/>
      <c r="M1894" s="49"/>
    </row>
    <row r="1895" spans="5:13">
      <c r="E1895" s="49"/>
      <c r="F1895" s="49"/>
      <c r="G1895" s="49"/>
      <c r="H1895" s="49"/>
      <c r="I1895" s="49"/>
      <c r="J1895" s="49"/>
      <c r="K1895" s="49"/>
      <c r="L1895" s="49"/>
      <c r="M1895" s="49"/>
    </row>
    <row r="1896" spans="5:13">
      <c r="E1896" s="49"/>
      <c r="F1896" s="49"/>
      <c r="G1896" s="49"/>
      <c r="H1896" s="49"/>
      <c r="I1896" s="49"/>
      <c r="J1896" s="49"/>
      <c r="K1896" s="49"/>
      <c r="L1896" s="49"/>
      <c r="M1896" s="49"/>
    </row>
    <row r="1897" spans="5:13">
      <c r="E1897" s="49"/>
      <c r="F1897" s="49"/>
      <c r="G1897" s="49"/>
      <c r="H1897" s="49"/>
      <c r="I1897" s="49"/>
      <c r="J1897" s="49"/>
      <c r="K1897" s="49"/>
      <c r="L1897" s="49"/>
      <c r="M1897" s="49"/>
    </row>
    <row r="1898" spans="5:13">
      <c r="E1898" s="49"/>
      <c r="F1898" s="49"/>
      <c r="G1898" s="49"/>
      <c r="H1898" s="49"/>
      <c r="I1898" s="49"/>
      <c r="J1898" s="49"/>
      <c r="K1898" s="49"/>
      <c r="L1898" s="49"/>
      <c r="M1898" s="49"/>
    </row>
    <row r="1899" spans="5:13">
      <c r="E1899" s="49"/>
      <c r="F1899" s="49"/>
      <c r="G1899" s="49"/>
      <c r="H1899" s="49"/>
      <c r="I1899" s="49"/>
      <c r="J1899" s="49"/>
      <c r="K1899" s="49"/>
      <c r="L1899" s="49"/>
      <c r="M1899" s="49"/>
    </row>
    <row r="1900" spans="5:13">
      <c r="E1900" s="49"/>
      <c r="F1900" s="49"/>
      <c r="G1900" s="49"/>
      <c r="H1900" s="49"/>
      <c r="I1900" s="49"/>
      <c r="J1900" s="49"/>
      <c r="K1900" s="49"/>
      <c r="L1900" s="49"/>
      <c r="M1900" s="49"/>
    </row>
    <row r="1901" spans="5:13">
      <c r="E1901" s="49"/>
      <c r="F1901" s="49"/>
      <c r="G1901" s="49"/>
      <c r="H1901" s="49"/>
      <c r="I1901" s="49"/>
      <c r="J1901" s="49"/>
      <c r="K1901" s="49"/>
      <c r="L1901" s="49"/>
      <c r="M1901" s="49"/>
    </row>
    <row r="1902" spans="5:13">
      <c r="E1902" s="49"/>
      <c r="F1902" s="49"/>
      <c r="G1902" s="49"/>
      <c r="H1902" s="49"/>
      <c r="I1902" s="49"/>
      <c r="J1902" s="49"/>
      <c r="K1902" s="49"/>
      <c r="L1902" s="49"/>
      <c r="M1902" s="49"/>
    </row>
    <row r="1903" spans="5:13">
      <c r="E1903" s="49"/>
      <c r="F1903" s="49"/>
      <c r="G1903" s="49"/>
      <c r="H1903" s="49"/>
      <c r="I1903" s="49"/>
      <c r="J1903" s="49"/>
      <c r="K1903" s="49"/>
      <c r="L1903" s="49"/>
      <c r="M1903" s="49"/>
    </row>
    <row r="1904" spans="5:13">
      <c r="E1904" s="49"/>
      <c r="F1904" s="49"/>
      <c r="G1904" s="49"/>
      <c r="H1904" s="49"/>
      <c r="I1904" s="49"/>
      <c r="J1904" s="49"/>
      <c r="K1904" s="49"/>
      <c r="L1904" s="49"/>
      <c r="M1904" s="49"/>
    </row>
    <row r="1905" spans="5:13">
      <c r="E1905" s="49"/>
      <c r="F1905" s="49"/>
      <c r="G1905" s="49"/>
      <c r="H1905" s="49"/>
      <c r="I1905" s="49"/>
      <c r="J1905" s="49"/>
      <c r="K1905" s="49"/>
      <c r="L1905" s="49"/>
      <c r="M1905" s="49"/>
    </row>
    <row r="1906" spans="5:13">
      <c r="E1906" s="49"/>
      <c r="F1906" s="49"/>
      <c r="G1906" s="49"/>
      <c r="H1906" s="49"/>
      <c r="I1906" s="49"/>
      <c r="J1906" s="49"/>
      <c r="K1906" s="49"/>
      <c r="L1906" s="49"/>
      <c r="M1906" s="49"/>
    </row>
    <row r="1907" spans="5:13">
      <c r="E1907" s="49"/>
      <c r="F1907" s="49"/>
      <c r="G1907" s="49"/>
      <c r="H1907" s="49"/>
      <c r="I1907" s="49"/>
      <c r="J1907" s="49"/>
      <c r="K1907" s="49"/>
      <c r="L1907" s="49"/>
      <c r="M1907" s="49"/>
    </row>
    <row r="1908" spans="5:13">
      <c r="E1908" s="49"/>
      <c r="F1908" s="49"/>
      <c r="G1908" s="49"/>
      <c r="H1908" s="49"/>
      <c r="I1908" s="49"/>
      <c r="J1908" s="49"/>
      <c r="K1908" s="49"/>
      <c r="L1908" s="49"/>
      <c r="M1908" s="49"/>
    </row>
    <row r="1909" spans="5:13">
      <c r="E1909" s="49"/>
      <c r="F1909" s="49"/>
      <c r="G1909" s="49"/>
      <c r="H1909" s="49"/>
      <c r="I1909" s="49"/>
      <c r="J1909" s="49"/>
      <c r="K1909" s="49"/>
      <c r="L1909" s="49"/>
      <c r="M1909" s="49"/>
    </row>
    <row r="1910" spans="5:13">
      <c r="E1910" s="49"/>
      <c r="F1910" s="49"/>
      <c r="G1910" s="49"/>
      <c r="H1910" s="49"/>
      <c r="I1910" s="49"/>
      <c r="J1910" s="49"/>
      <c r="K1910" s="49"/>
      <c r="L1910" s="49"/>
      <c r="M1910" s="49"/>
    </row>
    <row r="1911" spans="5:13">
      <c r="E1911" s="49"/>
      <c r="F1911" s="49"/>
      <c r="G1911" s="49"/>
      <c r="H1911" s="49"/>
      <c r="I1911" s="49"/>
      <c r="J1911" s="49"/>
      <c r="K1911" s="49"/>
      <c r="L1911" s="49"/>
      <c r="M1911" s="49"/>
    </row>
    <row r="1912" spans="5:13">
      <c r="E1912" s="49"/>
      <c r="F1912" s="49"/>
      <c r="G1912" s="49"/>
      <c r="H1912" s="49"/>
      <c r="I1912" s="49"/>
      <c r="J1912" s="49"/>
      <c r="K1912" s="49"/>
      <c r="L1912" s="49"/>
      <c r="M1912" s="49"/>
    </row>
    <row r="1913" spans="5:13">
      <c r="E1913" s="49"/>
      <c r="F1913" s="49"/>
      <c r="G1913" s="49"/>
      <c r="H1913" s="49"/>
      <c r="I1913" s="49"/>
      <c r="J1913" s="49"/>
      <c r="K1913" s="49"/>
      <c r="L1913" s="49"/>
      <c r="M1913" s="49"/>
    </row>
    <row r="1914" spans="5:13">
      <c r="E1914" s="49"/>
      <c r="F1914" s="49"/>
      <c r="G1914" s="49"/>
      <c r="H1914" s="49"/>
      <c r="I1914" s="49"/>
      <c r="J1914" s="49"/>
      <c r="K1914" s="49"/>
      <c r="L1914" s="49"/>
      <c r="M1914" s="49"/>
    </row>
    <row r="1915" spans="5:13">
      <c r="E1915" s="49"/>
      <c r="F1915" s="49"/>
      <c r="G1915" s="49"/>
      <c r="H1915" s="49"/>
      <c r="I1915" s="49"/>
      <c r="J1915" s="49"/>
      <c r="K1915" s="49"/>
      <c r="L1915" s="49"/>
      <c r="M1915" s="49"/>
    </row>
    <row r="1916" spans="5:13">
      <c r="E1916" s="49"/>
      <c r="F1916" s="49"/>
      <c r="G1916" s="49"/>
      <c r="H1916" s="49"/>
      <c r="I1916" s="49"/>
      <c r="J1916" s="49"/>
      <c r="K1916" s="49"/>
      <c r="L1916" s="49"/>
      <c r="M1916" s="49"/>
    </row>
    <row r="1917" spans="5:13">
      <c r="E1917" s="49"/>
      <c r="F1917" s="49"/>
      <c r="G1917" s="49"/>
      <c r="H1917" s="49"/>
      <c r="I1917" s="49"/>
      <c r="J1917" s="49"/>
      <c r="K1917" s="49"/>
      <c r="L1917" s="49"/>
      <c r="M1917" s="49"/>
    </row>
    <row r="1918" spans="5:13">
      <c r="E1918" s="49"/>
      <c r="F1918" s="49"/>
      <c r="G1918" s="49"/>
      <c r="H1918" s="49"/>
      <c r="I1918" s="49"/>
      <c r="J1918" s="49"/>
      <c r="K1918" s="49"/>
      <c r="L1918" s="49"/>
      <c r="M1918" s="49"/>
    </row>
    <row r="1919" spans="5:13">
      <c r="E1919" s="49"/>
      <c r="F1919" s="49"/>
      <c r="G1919" s="49"/>
      <c r="H1919" s="49"/>
      <c r="I1919" s="49"/>
      <c r="J1919" s="49"/>
      <c r="K1919" s="49"/>
      <c r="L1919" s="49"/>
      <c r="M1919" s="49"/>
    </row>
    <row r="1920" spans="5:13">
      <c r="E1920" s="49"/>
      <c r="F1920" s="49"/>
      <c r="G1920" s="49"/>
      <c r="H1920" s="49"/>
      <c r="I1920" s="49"/>
      <c r="J1920" s="49"/>
      <c r="K1920" s="49"/>
      <c r="L1920" s="49"/>
      <c r="M1920" s="49"/>
    </row>
    <row r="1921" spans="5:13">
      <c r="E1921" s="49"/>
      <c r="F1921" s="49"/>
      <c r="G1921" s="49"/>
      <c r="H1921" s="49"/>
      <c r="I1921" s="49"/>
      <c r="J1921" s="49"/>
      <c r="K1921" s="49"/>
      <c r="L1921" s="49"/>
      <c r="M1921" s="49"/>
    </row>
    <row r="1922" spans="5:13">
      <c r="E1922" s="49"/>
      <c r="F1922" s="49"/>
      <c r="G1922" s="49"/>
      <c r="H1922" s="49"/>
      <c r="I1922" s="49"/>
      <c r="J1922" s="49"/>
      <c r="K1922" s="49"/>
      <c r="L1922" s="49"/>
      <c r="M1922" s="49"/>
    </row>
    <row r="1923" spans="5:13">
      <c r="E1923" s="49"/>
      <c r="F1923" s="49"/>
      <c r="G1923" s="49"/>
      <c r="H1923" s="49"/>
      <c r="I1923" s="49"/>
      <c r="J1923" s="49"/>
      <c r="K1923" s="49"/>
      <c r="L1923" s="49"/>
      <c r="M1923" s="49"/>
    </row>
    <row r="1924" spans="5:13">
      <c r="E1924" s="49"/>
      <c r="F1924" s="49"/>
      <c r="G1924" s="49"/>
      <c r="H1924" s="49"/>
      <c r="I1924" s="49"/>
      <c r="J1924" s="49"/>
      <c r="K1924" s="49"/>
      <c r="L1924" s="49"/>
      <c r="M1924" s="49"/>
    </row>
    <row r="1925" spans="5:13">
      <c r="E1925" s="49"/>
      <c r="F1925" s="49"/>
      <c r="G1925" s="49"/>
      <c r="H1925" s="49"/>
      <c r="I1925" s="49"/>
      <c r="J1925" s="49"/>
      <c r="K1925" s="49"/>
      <c r="L1925" s="49"/>
      <c r="M1925" s="49"/>
    </row>
    <row r="1926" spans="5:13">
      <c r="E1926" s="49"/>
      <c r="F1926" s="49"/>
      <c r="G1926" s="49"/>
      <c r="H1926" s="49"/>
      <c r="I1926" s="49"/>
      <c r="J1926" s="49"/>
      <c r="K1926" s="49"/>
      <c r="L1926" s="49"/>
      <c r="M1926" s="49"/>
    </row>
    <row r="1927" spans="5:13">
      <c r="E1927" s="49"/>
      <c r="F1927" s="49"/>
      <c r="G1927" s="49"/>
      <c r="H1927" s="49"/>
      <c r="I1927" s="49"/>
      <c r="J1927" s="49"/>
      <c r="K1927" s="49"/>
      <c r="L1927" s="49"/>
      <c r="M1927" s="49"/>
    </row>
    <row r="1928" spans="5:13">
      <c r="E1928" s="49"/>
      <c r="F1928" s="49"/>
      <c r="G1928" s="49"/>
      <c r="H1928" s="49"/>
      <c r="I1928" s="49"/>
      <c r="J1928" s="49"/>
      <c r="K1928" s="49"/>
      <c r="L1928" s="49"/>
      <c r="M1928" s="49"/>
    </row>
    <row r="1929" spans="5:13">
      <c r="E1929" s="49"/>
      <c r="F1929" s="49"/>
      <c r="G1929" s="49"/>
      <c r="H1929" s="49"/>
      <c r="I1929" s="49"/>
      <c r="J1929" s="49"/>
      <c r="K1929" s="49"/>
      <c r="L1929" s="49"/>
      <c r="M1929" s="49"/>
    </row>
    <row r="1930" spans="5:13">
      <c r="E1930" s="49"/>
      <c r="F1930" s="49"/>
      <c r="G1930" s="49"/>
      <c r="H1930" s="49"/>
      <c r="I1930" s="49"/>
      <c r="J1930" s="49"/>
      <c r="K1930" s="49"/>
      <c r="L1930" s="49"/>
      <c r="M1930" s="49"/>
    </row>
    <row r="1931" spans="5:13">
      <c r="E1931" s="49"/>
      <c r="F1931" s="49"/>
      <c r="G1931" s="49"/>
      <c r="H1931" s="49"/>
      <c r="I1931" s="49"/>
      <c r="J1931" s="49"/>
      <c r="K1931" s="49"/>
      <c r="L1931" s="49"/>
      <c r="M1931" s="49"/>
    </row>
    <row r="1932" spans="5:13">
      <c r="E1932" s="49"/>
      <c r="F1932" s="49"/>
      <c r="G1932" s="49"/>
      <c r="H1932" s="49"/>
      <c r="I1932" s="49"/>
      <c r="J1932" s="49"/>
      <c r="K1932" s="49"/>
      <c r="L1932" s="49"/>
      <c r="M1932" s="49"/>
    </row>
    <row r="1933" spans="5:13">
      <c r="E1933" s="49"/>
      <c r="F1933" s="49"/>
      <c r="G1933" s="49"/>
      <c r="H1933" s="49"/>
      <c r="I1933" s="49"/>
      <c r="J1933" s="49"/>
      <c r="K1933" s="49"/>
      <c r="L1933" s="49"/>
      <c r="M1933" s="49"/>
    </row>
    <row r="1934" spans="5:13">
      <c r="E1934" s="49"/>
      <c r="F1934" s="49"/>
      <c r="G1934" s="49"/>
      <c r="H1934" s="49"/>
      <c r="I1934" s="49"/>
      <c r="J1934" s="49"/>
      <c r="K1934" s="49"/>
      <c r="L1934" s="49"/>
      <c r="M1934" s="49"/>
    </row>
    <row r="1935" spans="5:13">
      <c r="E1935" s="49"/>
      <c r="F1935" s="49"/>
      <c r="G1935" s="49"/>
      <c r="H1935" s="49"/>
      <c r="I1935" s="49"/>
      <c r="J1935" s="49"/>
      <c r="K1935" s="49"/>
      <c r="L1935" s="49"/>
      <c r="M1935" s="49"/>
    </row>
    <row r="1936" spans="5:13">
      <c r="E1936" s="49"/>
      <c r="F1936" s="49"/>
      <c r="G1936" s="49"/>
      <c r="H1936" s="49"/>
      <c r="I1936" s="49"/>
      <c r="J1936" s="49"/>
      <c r="K1936" s="49"/>
      <c r="L1936" s="49"/>
      <c r="M1936" s="49"/>
    </row>
    <row r="1937" spans="5:13">
      <c r="E1937" s="49"/>
      <c r="F1937" s="49"/>
      <c r="G1937" s="49"/>
      <c r="H1937" s="49"/>
      <c r="I1937" s="49"/>
      <c r="J1937" s="49"/>
      <c r="K1937" s="49"/>
      <c r="L1937" s="49"/>
      <c r="M1937" s="49"/>
    </row>
    <row r="1938" spans="5:13">
      <c r="E1938" s="49"/>
      <c r="F1938" s="49"/>
      <c r="G1938" s="49"/>
      <c r="H1938" s="49"/>
      <c r="I1938" s="49"/>
      <c r="J1938" s="49"/>
      <c r="K1938" s="49"/>
      <c r="L1938" s="49"/>
      <c r="M1938" s="49"/>
    </row>
    <row r="1939" spans="5:13">
      <c r="E1939" s="49"/>
      <c r="F1939" s="49"/>
      <c r="G1939" s="49"/>
      <c r="H1939" s="49"/>
      <c r="I1939" s="49"/>
      <c r="J1939" s="49"/>
      <c r="K1939" s="49"/>
      <c r="L1939" s="49"/>
      <c r="M1939" s="49"/>
    </row>
    <row r="1940" spans="5:13">
      <c r="E1940" s="49"/>
      <c r="F1940" s="49"/>
      <c r="G1940" s="49"/>
      <c r="H1940" s="49"/>
      <c r="I1940" s="49"/>
      <c r="J1940" s="49"/>
      <c r="K1940" s="49"/>
      <c r="L1940" s="49"/>
      <c r="M1940" s="49"/>
    </row>
    <row r="1941" spans="5:13">
      <c r="E1941" s="49"/>
      <c r="F1941" s="49"/>
      <c r="G1941" s="49"/>
      <c r="H1941" s="49"/>
      <c r="I1941" s="49"/>
      <c r="J1941" s="49"/>
      <c r="K1941" s="49"/>
      <c r="L1941" s="49"/>
      <c r="M1941" s="49"/>
    </row>
    <row r="1942" spans="5:13">
      <c r="E1942" s="49"/>
      <c r="F1942" s="49"/>
      <c r="G1942" s="49"/>
      <c r="H1942" s="49"/>
      <c r="I1942" s="49"/>
      <c r="J1942" s="49"/>
      <c r="K1942" s="49"/>
      <c r="L1942" s="49"/>
      <c r="M1942" s="49"/>
    </row>
    <row r="1943" spans="5:13">
      <c r="E1943" s="49"/>
      <c r="F1943" s="49"/>
      <c r="G1943" s="49"/>
      <c r="H1943" s="49"/>
      <c r="I1943" s="49"/>
      <c r="J1943" s="49"/>
      <c r="K1943" s="49"/>
      <c r="L1943" s="49"/>
      <c r="M1943" s="49"/>
    </row>
    <row r="1944" spans="5:13">
      <c r="E1944" s="49"/>
      <c r="F1944" s="49"/>
      <c r="G1944" s="49"/>
      <c r="H1944" s="49"/>
      <c r="I1944" s="49"/>
      <c r="J1944" s="49"/>
      <c r="K1944" s="49"/>
      <c r="L1944" s="49"/>
      <c r="M1944" s="49"/>
    </row>
    <row r="1945" spans="5:13">
      <c r="E1945" s="49"/>
      <c r="F1945" s="49"/>
      <c r="G1945" s="49"/>
      <c r="H1945" s="49"/>
      <c r="I1945" s="49"/>
      <c r="J1945" s="49"/>
      <c r="K1945" s="49"/>
      <c r="L1945" s="49"/>
      <c r="M1945" s="49"/>
    </row>
    <row r="1946" spans="5:13">
      <c r="E1946" s="49"/>
      <c r="F1946" s="49"/>
      <c r="G1946" s="49"/>
      <c r="H1946" s="49"/>
      <c r="I1946" s="49"/>
      <c r="J1946" s="49"/>
      <c r="K1946" s="49"/>
      <c r="L1946" s="49"/>
      <c r="M1946" s="49"/>
    </row>
    <row r="1947" spans="5:13">
      <c r="E1947" s="49"/>
      <c r="F1947" s="49"/>
      <c r="G1947" s="49"/>
      <c r="H1947" s="49"/>
      <c r="I1947" s="49"/>
      <c r="J1947" s="49"/>
      <c r="K1947" s="49"/>
      <c r="L1947" s="49"/>
      <c r="M1947" s="49"/>
    </row>
    <row r="1948" spans="5:13">
      <c r="E1948" s="49"/>
      <c r="F1948" s="49"/>
      <c r="G1948" s="49"/>
      <c r="H1948" s="49"/>
      <c r="I1948" s="49"/>
      <c r="J1948" s="49"/>
      <c r="K1948" s="49"/>
      <c r="L1948" s="49"/>
      <c r="M1948" s="49"/>
    </row>
    <row r="1949" spans="5:13">
      <c r="E1949" s="49"/>
      <c r="F1949" s="49"/>
      <c r="G1949" s="49"/>
      <c r="H1949" s="49"/>
      <c r="I1949" s="49"/>
      <c r="J1949" s="49"/>
      <c r="K1949" s="49"/>
      <c r="L1949" s="49"/>
      <c r="M1949" s="49"/>
    </row>
    <row r="1950" spans="5:13">
      <c r="E1950" s="49"/>
      <c r="F1950" s="49"/>
      <c r="G1950" s="49"/>
      <c r="H1950" s="49"/>
      <c r="I1950" s="49"/>
      <c r="J1950" s="49"/>
      <c r="K1950" s="49"/>
      <c r="L1950" s="49"/>
      <c r="M1950" s="49"/>
    </row>
    <row r="1951" spans="5:13">
      <c r="E1951" s="49"/>
      <c r="F1951" s="49"/>
      <c r="G1951" s="49"/>
      <c r="H1951" s="49"/>
      <c r="I1951" s="49"/>
      <c r="J1951" s="49"/>
      <c r="K1951" s="49"/>
      <c r="L1951" s="49"/>
      <c r="M1951" s="49"/>
    </row>
    <row r="1952" spans="5:13">
      <c r="E1952" s="49"/>
      <c r="F1952" s="49"/>
      <c r="G1952" s="49"/>
      <c r="H1952" s="49"/>
      <c r="I1952" s="49"/>
      <c r="J1952" s="49"/>
      <c r="K1952" s="49"/>
      <c r="L1952" s="49"/>
      <c r="M1952" s="49"/>
    </row>
    <row r="1953" spans="5:13">
      <c r="E1953" s="49"/>
      <c r="F1953" s="49"/>
      <c r="G1953" s="49"/>
      <c r="H1953" s="49"/>
      <c r="I1953" s="49"/>
      <c r="J1953" s="49"/>
      <c r="K1953" s="49"/>
      <c r="L1953" s="49"/>
      <c r="M1953" s="49"/>
    </row>
    <row r="1954" spans="5:13">
      <c r="E1954" s="49"/>
      <c r="F1954" s="49"/>
      <c r="G1954" s="49"/>
      <c r="H1954" s="49"/>
      <c r="I1954" s="49"/>
      <c r="J1954" s="49"/>
      <c r="K1954" s="49"/>
      <c r="L1954" s="49"/>
      <c r="M1954" s="49"/>
    </row>
    <row r="1955" spans="5:13">
      <c r="E1955" s="49"/>
      <c r="F1955" s="49"/>
      <c r="G1955" s="49"/>
      <c r="H1955" s="49"/>
      <c r="I1955" s="49"/>
      <c r="J1955" s="49"/>
      <c r="K1955" s="49"/>
      <c r="L1955" s="49"/>
      <c r="M1955" s="49"/>
    </row>
    <row r="1956" spans="5:13">
      <c r="E1956" s="49"/>
      <c r="F1956" s="49"/>
      <c r="G1956" s="49"/>
      <c r="H1956" s="49"/>
      <c r="I1956" s="49"/>
      <c r="J1956" s="49"/>
      <c r="K1956" s="49"/>
      <c r="L1956" s="49"/>
      <c r="M1956" s="49"/>
    </row>
    <row r="1957" spans="5:13">
      <c r="E1957" s="49"/>
      <c r="F1957" s="49"/>
      <c r="G1957" s="49"/>
      <c r="H1957" s="49"/>
      <c r="I1957" s="49"/>
      <c r="J1957" s="49"/>
      <c r="K1957" s="49"/>
      <c r="L1957" s="49"/>
      <c r="M1957" s="49"/>
    </row>
    <row r="1958" spans="5:13">
      <c r="E1958" s="49"/>
      <c r="F1958" s="49"/>
      <c r="G1958" s="49"/>
      <c r="H1958" s="49"/>
      <c r="I1958" s="49"/>
      <c r="J1958" s="49"/>
      <c r="K1958" s="49"/>
      <c r="L1958" s="49"/>
      <c r="M1958" s="49"/>
    </row>
    <row r="1959" spans="5:13">
      <c r="E1959" s="49"/>
      <c r="F1959" s="49"/>
      <c r="G1959" s="49"/>
      <c r="H1959" s="49"/>
      <c r="I1959" s="49"/>
      <c r="J1959" s="49"/>
      <c r="K1959" s="49"/>
      <c r="L1959" s="49"/>
      <c r="M1959" s="49"/>
    </row>
    <row r="1960" spans="5:13">
      <c r="E1960" s="49"/>
      <c r="F1960" s="49"/>
      <c r="G1960" s="49"/>
      <c r="H1960" s="49"/>
      <c r="I1960" s="49"/>
      <c r="J1960" s="49"/>
      <c r="K1960" s="49"/>
      <c r="L1960" s="49"/>
      <c r="M1960" s="49"/>
    </row>
    <row r="1961" spans="5:13">
      <c r="E1961" s="49"/>
      <c r="F1961" s="49"/>
      <c r="G1961" s="49"/>
      <c r="H1961" s="49"/>
      <c r="I1961" s="49"/>
      <c r="J1961" s="49"/>
      <c r="K1961" s="49"/>
      <c r="L1961" s="49"/>
      <c r="M1961" s="49"/>
    </row>
    <row r="1962" spans="5:13">
      <c r="E1962" s="49"/>
      <c r="F1962" s="49"/>
      <c r="G1962" s="49"/>
      <c r="H1962" s="49"/>
      <c r="I1962" s="49"/>
      <c r="J1962" s="49"/>
      <c r="K1962" s="49"/>
      <c r="L1962" s="49"/>
      <c r="M1962" s="49"/>
    </row>
    <row r="1963" spans="5:13">
      <c r="E1963" s="49"/>
      <c r="F1963" s="49"/>
      <c r="G1963" s="49"/>
      <c r="H1963" s="49"/>
      <c r="I1963" s="49"/>
      <c r="J1963" s="49"/>
      <c r="K1963" s="49"/>
      <c r="L1963" s="49"/>
      <c r="M1963" s="49"/>
    </row>
    <row r="1964" spans="5:13">
      <c r="E1964" s="49"/>
      <c r="F1964" s="49"/>
      <c r="G1964" s="49"/>
      <c r="H1964" s="49"/>
      <c r="I1964" s="49"/>
      <c r="J1964" s="49"/>
      <c r="K1964" s="49"/>
      <c r="L1964" s="49"/>
      <c r="M1964" s="49"/>
    </row>
    <row r="1965" spans="5:13">
      <c r="E1965" s="49"/>
      <c r="F1965" s="49"/>
      <c r="G1965" s="49"/>
      <c r="H1965" s="49"/>
      <c r="I1965" s="49"/>
      <c r="J1965" s="49"/>
      <c r="K1965" s="49"/>
      <c r="L1965" s="49"/>
      <c r="M1965" s="49"/>
    </row>
    <row r="1966" spans="5:13">
      <c r="E1966" s="49"/>
      <c r="F1966" s="49"/>
      <c r="G1966" s="49"/>
      <c r="H1966" s="49"/>
      <c r="I1966" s="49"/>
      <c r="J1966" s="49"/>
      <c r="K1966" s="49"/>
      <c r="L1966" s="49"/>
      <c r="M1966" s="49"/>
    </row>
    <row r="1967" spans="5:13">
      <c r="E1967" s="49"/>
      <c r="F1967" s="49"/>
      <c r="G1967" s="49"/>
      <c r="H1967" s="49"/>
      <c r="I1967" s="49"/>
      <c r="J1967" s="49"/>
      <c r="K1967" s="49"/>
      <c r="L1967" s="49"/>
      <c r="M1967" s="49"/>
    </row>
    <row r="1968" spans="5:13">
      <c r="E1968" s="49"/>
      <c r="F1968" s="49"/>
      <c r="G1968" s="49"/>
      <c r="H1968" s="49"/>
      <c r="I1968" s="49"/>
      <c r="J1968" s="49"/>
      <c r="K1968" s="49"/>
      <c r="L1968" s="49"/>
      <c r="M1968" s="49"/>
    </row>
    <row r="1969" spans="5:13">
      <c r="E1969" s="49"/>
      <c r="F1969" s="49"/>
      <c r="G1969" s="49"/>
      <c r="H1969" s="49"/>
      <c r="I1969" s="49"/>
      <c r="J1969" s="49"/>
      <c r="K1969" s="49"/>
      <c r="L1969" s="49"/>
      <c r="M1969" s="49"/>
    </row>
    <row r="1970" spans="5:13">
      <c r="E1970" s="49"/>
      <c r="F1970" s="49"/>
      <c r="G1970" s="49"/>
      <c r="H1970" s="49"/>
      <c r="I1970" s="49"/>
      <c r="J1970" s="49"/>
      <c r="K1970" s="49"/>
      <c r="L1970" s="49"/>
      <c r="M1970" s="49"/>
    </row>
    <row r="1971" spans="5:13">
      <c r="E1971" s="49"/>
      <c r="F1971" s="49"/>
      <c r="G1971" s="49"/>
      <c r="H1971" s="49"/>
      <c r="I1971" s="49"/>
      <c r="J1971" s="49"/>
      <c r="K1971" s="49"/>
      <c r="L1971" s="49"/>
      <c r="M1971" s="49"/>
    </row>
    <row r="1972" spans="5:13">
      <c r="E1972" s="49"/>
      <c r="F1972" s="49"/>
      <c r="G1972" s="49"/>
      <c r="H1972" s="49"/>
      <c r="I1972" s="49"/>
      <c r="J1972" s="49"/>
      <c r="K1972" s="49"/>
      <c r="L1972" s="49"/>
      <c r="M1972" s="49"/>
    </row>
    <row r="1973" spans="5:13">
      <c r="E1973" s="49"/>
      <c r="F1973" s="49"/>
      <c r="G1973" s="49"/>
      <c r="H1973" s="49"/>
      <c r="I1973" s="49"/>
      <c r="J1973" s="49"/>
      <c r="K1973" s="49"/>
      <c r="L1973" s="49"/>
      <c r="M1973" s="49"/>
    </row>
    <row r="1974" spans="5:13">
      <c r="E1974" s="49"/>
      <c r="F1974" s="49"/>
      <c r="G1974" s="49"/>
      <c r="H1974" s="49"/>
      <c r="I1974" s="49"/>
      <c r="J1974" s="49"/>
      <c r="K1974" s="49"/>
      <c r="L1974" s="49"/>
      <c r="M1974" s="49"/>
    </row>
    <row r="1975" spans="5:13">
      <c r="E1975" s="49"/>
      <c r="F1975" s="49"/>
      <c r="G1975" s="49"/>
      <c r="H1975" s="49"/>
      <c r="I1975" s="49"/>
      <c r="J1975" s="49"/>
      <c r="K1975" s="49"/>
      <c r="L1975" s="49"/>
      <c r="M1975" s="49"/>
    </row>
    <row r="1976" spans="5:13">
      <c r="E1976" s="49"/>
      <c r="F1976" s="49"/>
      <c r="G1976" s="49"/>
      <c r="H1976" s="49"/>
      <c r="I1976" s="49"/>
      <c r="J1976" s="49"/>
      <c r="K1976" s="49"/>
      <c r="L1976" s="49"/>
      <c r="M1976" s="49"/>
    </row>
    <row r="1977" spans="5:13">
      <c r="E1977" s="49"/>
      <c r="F1977" s="49"/>
      <c r="G1977" s="49"/>
      <c r="H1977" s="49"/>
      <c r="I1977" s="49"/>
      <c r="J1977" s="49"/>
      <c r="K1977" s="49"/>
      <c r="L1977" s="49"/>
      <c r="M1977" s="49"/>
    </row>
    <row r="1978" spans="5:13">
      <c r="E1978" s="49"/>
      <c r="F1978" s="49"/>
      <c r="G1978" s="49"/>
      <c r="H1978" s="49"/>
      <c r="I1978" s="49"/>
      <c r="J1978" s="49"/>
      <c r="K1978" s="49"/>
      <c r="L1978" s="49"/>
      <c r="M1978" s="49"/>
    </row>
    <row r="1979" spans="5:13">
      <c r="E1979" s="49"/>
      <c r="F1979" s="49"/>
      <c r="G1979" s="49"/>
      <c r="H1979" s="49"/>
      <c r="I1979" s="49"/>
      <c r="J1979" s="49"/>
      <c r="K1979" s="49"/>
      <c r="L1979" s="49"/>
      <c r="M1979" s="49"/>
    </row>
    <row r="1980" spans="5:13">
      <c r="E1980" s="49"/>
      <c r="F1980" s="49"/>
      <c r="G1980" s="49"/>
      <c r="H1980" s="49"/>
      <c r="I1980" s="49"/>
      <c r="J1980" s="49"/>
      <c r="K1980" s="49"/>
      <c r="L1980" s="49"/>
      <c r="M1980" s="49"/>
    </row>
    <row r="1981" spans="5:13">
      <c r="E1981" s="49"/>
      <c r="F1981" s="49"/>
      <c r="G1981" s="49"/>
      <c r="H1981" s="49"/>
      <c r="I1981" s="49"/>
      <c r="J1981" s="49"/>
      <c r="K1981" s="49"/>
      <c r="L1981" s="49"/>
      <c r="M1981" s="49"/>
    </row>
    <row r="1982" spans="5:13">
      <c r="E1982" s="49"/>
      <c r="F1982" s="49"/>
      <c r="G1982" s="49"/>
      <c r="H1982" s="49"/>
      <c r="I1982" s="49"/>
      <c r="J1982" s="49"/>
      <c r="K1982" s="49"/>
      <c r="L1982" s="49"/>
      <c r="M1982" s="49"/>
    </row>
    <row r="1983" spans="5:13">
      <c r="E1983" s="49"/>
      <c r="F1983" s="49"/>
      <c r="G1983" s="49"/>
      <c r="H1983" s="49"/>
      <c r="I1983" s="49"/>
      <c r="J1983" s="49"/>
      <c r="K1983" s="49"/>
      <c r="L1983" s="49"/>
      <c r="M1983" s="49"/>
    </row>
    <row r="1984" spans="5:13">
      <c r="E1984" s="49"/>
      <c r="F1984" s="49"/>
      <c r="G1984" s="49"/>
      <c r="H1984" s="49"/>
      <c r="I1984" s="49"/>
      <c r="J1984" s="49"/>
      <c r="K1984" s="49"/>
      <c r="L1984" s="49"/>
      <c r="M1984" s="49"/>
    </row>
    <row r="1985" spans="5:13">
      <c r="E1985" s="49"/>
      <c r="F1985" s="49"/>
      <c r="G1985" s="49"/>
      <c r="H1985" s="49"/>
      <c r="I1985" s="49"/>
      <c r="J1985" s="49"/>
      <c r="K1985" s="49"/>
      <c r="L1985" s="49"/>
      <c r="M1985" s="49"/>
    </row>
    <row r="1986" spans="5:13">
      <c r="E1986" s="49"/>
      <c r="F1986" s="49"/>
      <c r="G1986" s="49"/>
      <c r="H1986" s="49"/>
      <c r="I1986" s="49"/>
      <c r="J1986" s="49"/>
      <c r="K1986" s="49"/>
      <c r="L1986" s="49"/>
      <c r="M1986" s="49"/>
    </row>
    <row r="1987" spans="5:13">
      <c r="E1987" s="49"/>
      <c r="F1987" s="49"/>
      <c r="G1987" s="49"/>
      <c r="H1987" s="49"/>
      <c r="I1987" s="49"/>
      <c r="J1987" s="49"/>
      <c r="K1987" s="49"/>
      <c r="L1987" s="49"/>
      <c r="M1987" s="49"/>
    </row>
    <row r="1988" spans="5:13">
      <c r="E1988" s="49"/>
      <c r="F1988" s="49"/>
      <c r="G1988" s="49"/>
      <c r="H1988" s="49"/>
      <c r="I1988" s="49"/>
      <c r="J1988" s="49"/>
      <c r="K1988" s="49"/>
      <c r="L1988" s="49"/>
      <c r="M1988" s="49"/>
    </row>
    <row r="1989" spans="5:13">
      <c r="E1989" s="49"/>
      <c r="F1989" s="49"/>
      <c r="G1989" s="49"/>
      <c r="H1989" s="49"/>
      <c r="I1989" s="49"/>
      <c r="J1989" s="49"/>
      <c r="K1989" s="49"/>
      <c r="L1989" s="49"/>
      <c r="M1989" s="49"/>
    </row>
    <row r="1990" spans="5:13">
      <c r="E1990" s="49"/>
      <c r="F1990" s="49"/>
      <c r="G1990" s="49"/>
      <c r="H1990" s="49"/>
      <c r="I1990" s="49"/>
      <c r="J1990" s="49"/>
      <c r="K1990" s="49"/>
      <c r="L1990" s="49"/>
      <c r="M1990" s="49"/>
    </row>
    <row r="1991" spans="5:13">
      <c r="E1991" s="49"/>
      <c r="F1991" s="49"/>
      <c r="G1991" s="49"/>
      <c r="H1991" s="49"/>
      <c r="I1991" s="49"/>
      <c r="J1991" s="49"/>
      <c r="K1991" s="49"/>
      <c r="L1991" s="49"/>
      <c r="M1991" s="49"/>
    </row>
    <row r="1992" spans="5:13">
      <c r="E1992" s="49"/>
      <c r="F1992" s="49"/>
      <c r="G1992" s="49"/>
      <c r="H1992" s="49"/>
      <c r="I1992" s="49"/>
      <c r="J1992" s="49"/>
      <c r="K1992" s="49"/>
      <c r="L1992" s="49"/>
      <c r="M1992" s="49"/>
    </row>
    <row r="1993" spans="5:13">
      <c r="E1993" s="49"/>
      <c r="F1993" s="49"/>
      <c r="G1993" s="49"/>
      <c r="H1993" s="49"/>
      <c r="I1993" s="49"/>
      <c r="J1993" s="49"/>
      <c r="K1993" s="49"/>
      <c r="L1993" s="49"/>
      <c r="M1993" s="49"/>
    </row>
    <row r="1994" spans="5:13">
      <c r="E1994" s="49"/>
      <c r="F1994" s="49"/>
      <c r="G1994" s="49"/>
      <c r="H1994" s="49"/>
      <c r="I1994" s="49"/>
      <c r="J1994" s="49"/>
      <c r="K1994" s="49"/>
      <c r="L1994" s="49"/>
      <c r="M1994" s="49"/>
    </row>
    <row r="1995" spans="5:13">
      <c r="E1995" s="49"/>
      <c r="F1995" s="49"/>
      <c r="G1995" s="49"/>
      <c r="H1995" s="49"/>
      <c r="I1995" s="49"/>
      <c r="J1995" s="49"/>
      <c r="K1995" s="49"/>
      <c r="L1995" s="49"/>
      <c r="M1995" s="49"/>
    </row>
    <row r="1996" spans="5:13">
      <c r="E1996" s="49"/>
      <c r="F1996" s="49"/>
      <c r="G1996" s="49"/>
      <c r="H1996" s="49"/>
      <c r="I1996" s="49"/>
      <c r="J1996" s="49"/>
      <c r="K1996" s="49"/>
      <c r="L1996" s="49"/>
      <c r="M1996" s="49"/>
    </row>
    <row r="1997" spans="5:13">
      <c r="E1997" s="49"/>
      <c r="F1997" s="49"/>
      <c r="G1997" s="49"/>
      <c r="H1997" s="49"/>
      <c r="I1997" s="49"/>
      <c r="J1997" s="49"/>
      <c r="K1997" s="49"/>
      <c r="L1997" s="49"/>
      <c r="M1997" s="49"/>
    </row>
    <row r="1998" spans="5:13">
      <c r="E1998" s="49"/>
      <c r="F1998" s="49"/>
      <c r="G1998" s="49"/>
      <c r="H1998" s="49"/>
      <c r="I1998" s="49"/>
      <c r="J1998" s="49"/>
      <c r="K1998" s="49"/>
      <c r="L1998" s="49"/>
      <c r="M1998" s="49"/>
    </row>
    <row r="1999" spans="5:13">
      <c r="E1999" s="49"/>
      <c r="F1999" s="49"/>
      <c r="G1999" s="49"/>
      <c r="H1999" s="49"/>
      <c r="I1999" s="49"/>
      <c r="J1999" s="49"/>
      <c r="K1999" s="49"/>
      <c r="L1999" s="49"/>
      <c r="M1999" s="49"/>
    </row>
    <row r="2000" spans="5:13">
      <c r="E2000" s="49"/>
      <c r="F2000" s="49"/>
      <c r="G2000" s="49"/>
      <c r="H2000" s="49"/>
      <c r="I2000" s="49"/>
      <c r="J2000" s="49"/>
      <c r="K2000" s="49"/>
      <c r="L2000" s="49"/>
      <c r="M2000" s="49"/>
    </row>
    <row r="2001" spans="5:13">
      <c r="E2001" s="49"/>
      <c r="F2001" s="49"/>
      <c r="G2001" s="49"/>
      <c r="H2001" s="49"/>
      <c r="I2001" s="49"/>
      <c r="J2001" s="49"/>
      <c r="K2001" s="49"/>
      <c r="L2001" s="49"/>
      <c r="M2001" s="49"/>
    </row>
    <row r="2002" spans="5:13">
      <c r="E2002" s="49"/>
      <c r="F2002" s="49"/>
      <c r="G2002" s="49"/>
      <c r="H2002" s="49"/>
      <c r="I2002" s="49"/>
      <c r="J2002" s="49"/>
      <c r="K2002" s="49"/>
      <c r="L2002" s="49"/>
      <c r="M2002" s="49"/>
    </row>
    <row r="2003" spans="5:13">
      <c r="E2003" s="49"/>
      <c r="F2003" s="49"/>
      <c r="G2003" s="49"/>
      <c r="H2003" s="49"/>
      <c r="I2003" s="49"/>
      <c r="J2003" s="49"/>
      <c r="K2003" s="49"/>
      <c r="L2003" s="49"/>
      <c r="M2003" s="49"/>
    </row>
    <row r="2004" spans="5:13">
      <c r="E2004" s="49"/>
      <c r="F2004" s="49"/>
      <c r="G2004" s="49"/>
      <c r="H2004" s="49"/>
      <c r="I2004" s="49"/>
      <c r="J2004" s="49"/>
      <c r="K2004" s="49"/>
      <c r="L2004" s="49"/>
      <c r="M2004" s="49"/>
    </row>
    <row r="2005" spans="5:13">
      <c r="E2005" s="49"/>
      <c r="F2005" s="49"/>
      <c r="G2005" s="49"/>
      <c r="H2005" s="49"/>
      <c r="I2005" s="49"/>
      <c r="J2005" s="49"/>
      <c r="K2005" s="49"/>
      <c r="L2005" s="49"/>
      <c r="M2005" s="49"/>
    </row>
    <row r="2006" spans="5:13">
      <c r="E2006" s="49"/>
      <c r="F2006" s="49"/>
      <c r="G2006" s="49"/>
      <c r="H2006" s="49"/>
      <c r="I2006" s="49"/>
      <c r="J2006" s="49"/>
      <c r="K2006" s="49"/>
      <c r="L2006" s="49"/>
      <c r="M2006" s="49"/>
    </row>
    <row r="2007" spans="5:13">
      <c r="E2007" s="49"/>
      <c r="F2007" s="49"/>
      <c r="G2007" s="49"/>
      <c r="H2007" s="49"/>
      <c r="I2007" s="49"/>
      <c r="J2007" s="49"/>
      <c r="K2007" s="49"/>
      <c r="L2007" s="49"/>
      <c r="M2007" s="49"/>
    </row>
    <row r="2008" spans="5:13">
      <c r="E2008" s="49"/>
      <c r="F2008" s="49"/>
      <c r="G2008" s="49"/>
      <c r="H2008" s="49"/>
      <c r="I2008" s="49"/>
      <c r="J2008" s="49"/>
      <c r="K2008" s="49"/>
      <c r="L2008" s="49"/>
      <c r="M2008" s="49"/>
    </row>
    <row r="2009" spans="5:13">
      <c r="E2009" s="49"/>
      <c r="F2009" s="49"/>
      <c r="G2009" s="49"/>
      <c r="H2009" s="49"/>
      <c r="I2009" s="49"/>
      <c r="J2009" s="49"/>
      <c r="K2009" s="49"/>
      <c r="L2009" s="49"/>
      <c r="M2009" s="49"/>
    </row>
    <row r="2010" spans="5:13">
      <c r="E2010" s="49"/>
      <c r="F2010" s="49"/>
      <c r="G2010" s="49"/>
      <c r="H2010" s="49"/>
      <c r="I2010" s="49"/>
      <c r="J2010" s="49"/>
      <c r="K2010" s="49"/>
      <c r="L2010" s="49"/>
      <c r="M2010" s="49"/>
    </row>
    <row r="2011" spans="5:13">
      <c r="E2011" s="49"/>
      <c r="F2011" s="49"/>
      <c r="G2011" s="49"/>
      <c r="H2011" s="49"/>
      <c r="I2011" s="49"/>
      <c r="J2011" s="49"/>
      <c r="K2011" s="49"/>
      <c r="L2011" s="49"/>
      <c r="M2011" s="49"/>
    </row>
    <row r="2012" spans="5:13">
      <c r="E2012" s="49"/>
      <c r="F2012" s="49"/>
      <c r="G2012" s="49"/>
      <c r="H2012" s="49"/>
      <c r="I2012" s="49"/>
      <c r="J2012" s="49"/>
      <c r="K2012" s="49"/>
      <c r="L2012" s="49"/>
      <c r="M2012" s="49"/>
    </row>
    <row r="2013" spans="5:13">
      <c r="E2013" s="49"/>
      <c r="F2013" s="49"/>
      <c r="G2013" s="49"/>
      <c r="H2013" s="49"/>
      <c r="I2013" s="49"/>
      <c r="J2013" s="49"/>
      <c r="K2013" s="49"/>
      <c r="L2013" s="49"/>
      <c r="M2013" s="49"/>
    </row>
    <row r="2014" spans="5:13">
      <c r="E2014" s="49"/>
      <c r="F2014" s="49"/>
      <c r="G2014" s="49"/>
      <c r="H2014" s="49"/>
      <c r="I2014" s="49"/>
      <c r="J2014" s="49"/>
      <c r="K2014" s="49"/>
      <c r="L2014" s="49"/>
      <c r="M2014" s="49"/>
    </row>
    <row r="2015" spans="5:13">
      <c r="E2015" s="49"/>
      <c r="F2015" s="49"/>
      <c r="G2015" s="49"/>
      <c r="H2015" s="49"/>
      <c r="I2015" s="49"/>
      <c r="J2015" s="49"/>
      <c r="K2015" s="49"/>
      <c r="L2015" s="49"/>
      <c r="M2015" s="49"/>
    </row>
    <row r="2016" spans="5:13">
      <c r="E2016" s="49"/>
      <c r="F2016" s="49"/>
      <c r="G2016" s="49"/>
      <c r="H2016" s="49"/>
      <c r="I2016" s="49"/>
      <c r="J2016" s="49"/>
      <c r="K2016" s="49"/>
      <c r="L2016" s="49"/>
      <c r="M2016" s="49"/>
    </row>
    <row r="2017" spans="5:13">
      <c r="E2017" s="49"/>
      <c r="F2017" s="49"/>
      <c r="G2017" s="49"/>
      <c r="H2017" s="49"/>
      <c r="I2017" s="49"/>
      <c r="J2017" s="49"/>
      <c r="K2017" s="49"/>
      <c r="L2017" s="49"/>
      <c r="M2017" s="49"/>
    </row>
    <row r="2018" spans="5:13">
      <c r="E2018" s="49"/>
      <c r="F2018" s="49"/>
      <c r="G2018" s="49"/>
      <c r="H2018" s="49"/>
      <c r="I2018" s="49"/>
      <c r="J2018" s="49"/>
      <c r="K2018" s="49"/>
      <c r="L2018" s="49"/>
      <c r="M2018" s="49"/>
    </row>
    <row r="2019" spans="5:13">
      <c r="E2019" s="49"/>
      <c r="F2019" s="49"/>
      <c r="G2019" s="49"/>
      <c r="H2019" s="49"/>
      <c r="I2019" s="49"/>
      <c r="J2019" s="49"/>
      <c r="K2019" s="49"/>
      <c r="L2019" s="49"/>
      <c r="M2019" s="49"/>
    </row>
    <row r="2020" spans="5:13">
      <c r="E2020" s="49"/>
      <c r="F2020" s="49"/>
      <c r="G2020" s="49"/>
      <c r="H2020" s="49"/>
      <c r="I2020" s="49"/>
      <c r="J2020" s="49"/>
      <c r="K2020" s="49"/>
      <c r="L2020" s="49"/>
      <c r="M2020" s="49"/>
    </row>
    <row r="2021" spans="5:13">
      <c r="E2021" s="49"/>
      <c r="F2021" s="49"/>
      <c r="G2021" s="49"/>
      <c r="H2021" s="49"/>
      <c r="I2021" s="49"/>
      <c r="J2021" s="49"/>
      <c r="K2021" s="49"/>
      <c r="L2021" s="49"/>
      <c r="M2021" s="49"/>
    </row>
    <row r="2022" spans="5:13">
      <c r="E2022" s="49"/>
      <c r="F2022" s="49"/>
      <c r="G2022" s="49"/>
      <c r="H2022" s="49"/>
      <c r="I2022" s="49"/>
      <c r="J2022" s="49"/>
      <c r="K2022" s="49"/>
      <c r="L2022" s="49"/>
      <c r="M2022" s="49"/>
    </row>
    <row r="2023" spans="5:13">
      <c r="E2023" s="49"/>
      <c r="F2023" s="49"/>
      <c r="G2023" s="49"/>
      <c r="H2023" s="49"/>
      <c r="I2023" s="49"/>
      <c r="J2023" s="49"/>
      <c r="K2023" s="49"/>
      <c r="L2023" s="49"/>
      <c r="M2023" s="49"/>
    </row>
    <row r="2024" spans="5:13">
      <c r="E2024" s="49"/>
      <c r="F2024" s="49"/>
      <c r="G2024" s="49"/>
      <c r="H2024" s="49"/>
      <c r="I2024" s="49"/>
      <c r="J2024" s="49"/>
      <c r="K2024" s="49"/>
      <c r="L2024" s="49"/>
      <c r="M2024" s="49"/>
    </row>
    <row r="2025" spans="5:13">
      <c r="E2025" s="49"/>
      <c r="F2025" s="49"/>
      <c r="G2025" s="49"/>
      <c r="H2025" s="49"/>
      <c r="I2025" s="49"/>
      <c r="J2025" s="49"/>
      <c r="K2025" s="49"/>
      <c r="L2025" s="49"/>
      <c r="M2025" s="49"/>
    </row>
    <row r="2026" spans="5:13">
      <c r="E2026" s="49"/>
      <c r="F2026" s="49"/>
      <c r="G2026" s="49"/>
      <c r="H2026" s="49"/>
      <c r="I2026" s="49"/>
      <c r="J2026" s="49"/>
      <c r="K2026" s="49"/>
      <c r="L2026" s="49"/>
      <c r="M2026" s="49"/>
    </row>
    <row r="2027" spans="5:13">
      <c r="E2027" s="49"/>
      <c r="F2027" s="49"/>
      <c r="G2027" s="49"/>
      <c r="H2027" s="49"/>
      <c r="I2027" s="49"/>
      <c r="J2027" s="49"/>
      <c r="K2027" s="49"/>
      <c r="L2027" s="49"/>
      <c r="M2027" s="49"/>
    </row>
    <row r="2028" spans="5:13">
      <c r="E2028" s="49"/>
      <c r="F2028" s="49"/>
      <c r="G2028" s="49"/>
      <c r="H2028" s="49"/>
      <c r="I2028" s="49"/>
      <c r="J2028" s="49"/>
      <c r="K2028" s="49"/>
      <c r="L2028" s="49"/>
      <c r="M2028" s="49"/>
    </row>
    <row r="2029" spans="5:13">
      <c r="E2029" s="49"/>
      <c r="F2029" s="49"/>
      <c r="G2029" s="49"/>
      <c r="H2029" s="49"/>
      <c r="I2029" s="49"/>
      <c r="J2029" s="49"/>
      <c r="K2029" s="49"/>
      <c r="L2029" s="49"/>
      <c r="M2029" s="49"/>
    </row>
    <row r="2030" spans="5:13">
      <c r="E2030" s="49"/>
      <c r="F2030" s="49"/>
      <c r="G2030" s="49"/>
      <c r="H2030" s="49"/>
      <c r="I2030" s="49"/>
      <c r="J2030" s="49"/>
      <c r="K2030" s="49"/>
      <c r="L2030" s="49"/>
      <c r="M2030" s="49"/>
    </row>
    <row r="2031" spans="5:13">
      <c r="E2031" s="49"/>
      <c r="F2031" s="49"/>
      <c r="G2031" s="49"/>
      <c r="H2031" s="49"/>
      <c r="I2031" s="49"/>
      <c r="J2031" s="49"/>
      <c r="K2031" s="49"/>
      <c r="L2031" s="49"/>
      <c r="M2031" s="49"/>
    </row>
    <row r="2032" spans="5:13">
      <c r="E2032" s="49"/>
      <c r="F2032" s="49"/>
      <c r="G2032" s="49"/>
      <c r="H2032" s="49"/>
      <c r="I2032" s="49"/>
      <c r="J2032" s="49"/>
      <c r="K2032" s="49"/>
      <c r="L2032" s="49"/>
      <c r="M2032" s="49"/>
    </row>
    <row r="2033" spans="5:13">
      <c r="E2033" s="49"/>
      <c r="F2033" s="49"/>
      <c r="G2033" s="49"/>
      <c r="H2033" s="49"/>
      <c r="I2033" s="49"/>
      <c r="J2033" s="49"/>
      <c r="K2033" s="49"/>
      <c r="L2033" s="49"/>
      <c r="M2033" s="49"/>
    </row>
    <row r="2034" spans="5:13">
      <c r="E2034" s="49"/>
      <c r="F2034" s="49"/>
      <c r="G2034" s="49"/>
      <c r="H2034" s="49"/>
      <c r="I2034" s="49"/>
      <c r="J2034" s="49"/>
      <c r="K2034" s="49"/>
      <c r="L2034" s="49"/>
      <c r="M2034" s="49"/>
    </row>
    <row r="2035" spans="5:13">
      <c r="E2035" s="49"/>
      <c r="F2035" s="49"/>
      <c r="G2035" s="49"/>
      <c r="H2035" s="49"/>
      <c r="I2035" s="49"/>
      <c r="J2035" s="49"/>
      <c r="K2035" s="49"/>
      <c r="L2035" s="49"/>
      <c r="M2035" s="49"/>
    </row>
    <row r="2036" spans="5:13">
      <c r="E2036" s="49"/>
      <c r="F2036" s="49"/>
      <c r="G2036" s="49"/>
      <c r="H2036" s="49"/>
      <c r="I2036" s="49"/>
      <c r="J2036" s="49"/>
      <c r="K2036" s="49"/>
      <c r="L2036" s="49"/>
      <c r="M2036" s="49"/>
    </row>
    <row r="2037" spans="5:13">
      <c r="E2037" s="49"/>
      <c r="F2037" s="49"/>
      <c r="G2037" s="49"/>
      <c r="H2037" s="49"/>
      <c r="I2037" s="49"/>
      <c r="J2037" s="49"/>
      <c r="K2037" s="49"/>
      <c r="L2037" s="49"/>
      <c r="M2037" s="49"/>
    </row>
    <row r="2038" spans="5:13">
      <c r="E2038" s="49"/>
      <c r="F2038" s="49"/>
      <c r="G2038" s="49"/>
      <c r="H2038" s="49"/>
      <c r="I2038" s="49"/>
      <c r="J2038" s="49"/>
      <c r="K2038" s="49"/>
      <c r="L2038" s="49"/>
      <c r="M2038" s="49"/>
    </row>
    <row r="2039" spans="5:13">
      <c r="E2039" s="49"/>
      <c r="F2039" s="49"/>
      <c r="G2039" s="49"/>
      <c r="H2039" s="49"/>
      <c r="I2039" s="49"/>
      <c r="J2039" s="49"/>
      <c r="K2039" s="49"/>
      <c r="L2039" s="49"/>
      <c r="M2039" s="49"/>
    </row>
    <row r="2040" spans="5:13">
      <c r="E2040" s="49"/>
      <c r="F2040" s="49"/>
      <c r="G2040" s="49"/>
      <c r="H2040" s="49"/>
      <c r="I2040" s="49"/>
      <c r="J2040" s="49"/>
      <c r="K2040" s="49"/>
      <c r="L2040" s="49"/>
      <c r="M2040" s="49"/>
    </row>
    <row r="2041" spans="5:13">
      <c r="E2041" s="49"/>
      <c r="F2041" s="49"/>
      <c r="G2041" s="49"/>
      <c r="H2041" s="49"/>
      <c r="I2041" s="49"/>
      <c r="J2041" s="49"/>
      <c r="K2041" s="49"/>
      <c r="L2041" s="49"/>
      <c r="M2041" s="49"/>
    </row>
    <row r="2042" spans="5:13">
      <c r="E2042" s="49"/>
      <c r="F2042" s="49"/>
      <c r="G2042" s="49"/>
      <c r="H2042" s="49"/>
      <c r="I2042" s="49"/>
      <c r="J2042" s="49"/>
      <c r="K2042" s="49"/>
      <c r="L2042" s="49"/>
      <c r="M2042" s="49"/>
    </row>
    <row r="2043" spans="5:13">
      <c r="E2043" s="49"/>
      <c r="F2043" s="49"/>
      <c r="G2043" s="49"/>
      <c r="H2043" s="49"/>
      <c r="I2043" s="49"/>
      <c r="J2043" s="49"/>
      <c r="K2043" s="49"/>
      <c r="L2043" s="49"/>
      <c r="M2043" s="49"/>
    </row>
    <row r="2044" spans="5:13">
      <c r="E2044" s="49"/>
      <c r="F2044" s="49"/>
      <c r="G2044" s="49"/>
      <c r="H2044" s="49"/>
      <c r="I2044" s="49"/>
      <c r="J2044" s="49"/>
      <c r="K2044" s="49"/>
      <c r="L2044" s="49"/>
      <c r="M2044" s="49"/>
    </row>
    <row r="2045" spans="5:13">
      <c r="E2045" s="49"/>
      <c r="F2045" s="49"/>
      <c r="G2045" s="49"/>
      <c r="H2045" s="49"/>
      <c r="I2045" s="49"/>
      <c r="J2045" s="49"/>
      <c r="K2045" s="49"/>
      <c r="L2045" s="49"/>
      <c r="M2045" s="49"/>
    </row>
    <row r="2046" spans="5:13">
      <c r="E2046" s="49"/>
      <c r="F2046" s="49"/>
      <c r="G2046" s="49"/>
      <c r="H2046" s="49"/>
      <c r="I2046" s="49"/>
      <c r="J2046" s="49"/>
      <c r="K2046" s="49"/>
      <c r="L2046" s="49"/>
      <c r="M2046" s="49"/>
    </row>
    <row r="2047" spans="5:13">
      <c r="E2047" s="49"/>
      <c r="F2047" s="49"/>
      <c r="G2047" s="49"/>
      <c r="H2047" s="49"/>
      <c r="I2047" s="49"/>
      <c r="J2047" s="49"/>
      <c r="K2047" s="49"/>
      <c r="L2047" s="49"/>
      <c r="M2047" s="49"/>
    </row>
    <row r="2048" spans="5:13">
      <c r="E2048" s="49"/>
      <c r="F2048" s="49"/>
      <c r="G2048" s="49"/>
      <c r="H2048" s="49"/>
      <c r="I2048" s="49"/>
      <c r="J2048" s="49"/>
      <c r="K2048" s="49"/>
      <c r="L2048" s="49"/>
      <c r="M2048" s="49"/>
    </row>
    <row r="2049" spans="5:13">
      <c r="E2049" s="49"/>
      <c r="F2049" s="49"/>
      <c r="G2049" s="49"/>
      <c r="H2049" s="49"/>
      <c r="I2049" s="49"/>
      <c r="J2049" s="49"/>
      <c r="K2049" s="49"/>
      <c r="L2049" s="49"/>
      <c r="M2049" s="49"/>
    </row>
    <row r="2050" spans="5:13">
      <c r="E2050" s="49"/>
      <c r="F2050" s="49"/>
      <c r="G2050" s="49"/>
      <c r="H2050" s="49"/>
      <c r="I2050" s="49"/>
      <c r="J2050" s="49"/>
      <c r="K2050" s="49"/>
      <c r="L2050" s="49"/>
      <c r="M2050" s="49"/>
    </row>
    <row r="2051" spans="5:13">
      <c r="E2051" s="49"/>
      <c r="F2051" s="49"/>
      <c r="G2051" s="49"/>
      <c r="H2051" s="49"/>
      <c r="I2051" s="49"/>
      <c r="J2051" s="49"/>
      <c r="K2051" s="49"/>
      <c r="L2051" s="49"/>
      <c r="M2051" s="49"/>
    </row>
    <row r="2052" spans="5:13">
      <c r="E2052" s="49"/>
      <c r="F2052" s="49"/>
      <c r="G2052" s="49"/>
      <c r="H2052" s="49"/>
      <c r="I2052" s="49"/>
      <c r="J2052" s="49"/>
      <c r="K2052" s="49"/>
      <c r="L2052" s="49"/>
      <c r="M2052" s="49"/>
    </row>
    <row r="2053" spans="5:13">
      <c r="E2053" s="49"/>
      <c r="F2053" s="49"/>
      <c r="G2053" s="49"/>
      <c r="H2053" s="49"/>
      <c r="I2053" s="49"/>
      <c r="J2053" s="49"/>
      <c r="K2053" s="49"/>
      <c r="L2053" s="49"/>
      <c r="M2053" s="49"/>
    </row>
    <row r="2054" spans="5:13">
      <c r="E2054" s="49"/>
      <c r="F2054" s="49"/>
      <c r="G2054" s="49"/>
      <c r="H2054" s="49"/>
      <c r="I2054" s="49"/>
      <c r="J2054" s="49"/>
      <c r="K2054" s="49"/>
      <c r="L2054" s="49"/>
      <c r="M2054" s="49"/>
    </row>
    <row r="2055" spans="5:13">
      <c r="E2055" s="49"/>
      <c r="F2055" s="49"/>
      <c r="G2055" s="49"/>
      <c r="H2055" s="49"/>
      <c r="I2055" s="49"/>
      <c r="J2055" s="49"/>
      <c r="K2055" s="49"/>
      <c r="L2055" s="49"/>
      <c r="M2055" s="49"/>
    </row>
    <row r="2056" spans="5:13">
      <c r="E2056" s="49"/>
      <c r="F2056" s="49"/>
      <c r="G2056" s="49"/>
      <c r="H2056" s="49"/>
      <c r="I2056" s="49"/>
      <c r="J2056" s="49"/>
      <c r="K2056" s="49"/>
      <c r="L2056" s="49"/>
      <c r="M2056" s="49"/>
    </row>
    <row r="2057" spans="5:13">
      <c r="E2057" s="49"/>
      <c r="F2057" s="49"/>
      <c r="G2057" s="49"/>
      <c r="H2057" s="49"/>
      <c r="I2057" s="49"/>
      <c r="J2057" s="49"/>
      <c r="K2057" s="49"/>
      <c r="L2057" s="49"/>
      <c r="M2057" s="49"/>
    </row>
    <row r="2058" spans="5:13">
      <c r="E2058" s="49"/>
      <c r="F2058" s="49"/>
      <c r="G2058" s="49"/>
      <c r="H2058" s="49"/>
      <c r="I2058" s="49"/>
      <c r="J2058" s="49"/>
      <c r="K2058" s="49"/>
      <c r="L2058" s="49"/>
      <c r="M2058" s="49"/>
    </row>
    <row r="2059" spans="5:13">
      <c r="E2059" s="49"/>
      <c r="F2059" s="49"/>
      <c r="G2059" s="49"/>
      <c r="H2059" s="49"/>
      <c r="I2059" s="49"/>
      <c r="J2059" s="49"/>
      <c r="K2059" s="49"/>
      <c r="L2059" s="49"/>
      <c r="M2059" s="49"/>
    </row>
    <row r="2060" spans="5:13">
      <c r="E2060" s="49"/>
      <c r="F2060" s="49"/>
      <c r="G2060" s="49"/>
      <c r="H2060" s="49"/>
      <c r="I2060" s="49"/>
      <c r="J2060" s="49"/>
      <c r="K2060" s="49"/>
      <c r="L2060" s="49"/>
      <c r="M2060" s="49"/>
    </row>
    <row r="2061" spans="5:13">
      <c r="E2061" s="49"/>
      <c r="F2061" s="49"/>
      <c r="G2061" s="49"/>
      <c r="H2061" s="49"/>
      <c r="I2061" s="49"/>
      <c r="J2061" s="49"/>
      <c r="K2061" s="49"/>
      <c r="L2061" s="49"/>
      <c r="M2061" s="49"/>
    </row>
    <row r="2062" spans="5:13">
      <c r="E2062" s="49"/>
      <c r="F2062" s="49"/>
      <c r="G2062" s="49"/>
      <c r="H2062" s="49"/>
      <c r="I2062" s="49"/>
      <c r="J2062" s="49"/>
      <c r="K2062" s="49"/>
      <c r="L2062" s="49"/>
      <c r="M2062" s="49"/>
    </row>
    <row r="2063" spans="5:13">
      <c r="E2063" s="49"/>
      <c r="F2063" s="49"/>
      <c r="G2063" s="49"/>
      <c r="H2063" s="49"/>
      <c r="I2063" s="49"/>
      <c r="J2063" s="49"/>
      <c r="K2063" s="49"/>
      <c r="L2063" s="49"/>
      <c r="M2063" s="49"/>
    </row>
    <row r="2064" spans="5:13">
      <c r="E2064" s="49"/>
      <c r="F2064" s="49"/>
      <c r="G2064" s="49"/>
      <c r="H2064" s="49"/>
      <c r="I2064" s="49"/>
      <c r="J2064" s="49"/>
      <c r="K2064" s="49"/>
      <c r="L2064" s="49"/>
      <c r="M2064" s="49"/>
    </row>
    <row r="2065" spans="5:13">
      <c r="E2065" s="49"/>
      <c r="F2065" s="49"/>
      <c r="G2065" s="49"/>
      <c r="H2065" s="49"/>
      <c r="I2065" s="49"/>
      <c r="J2065" s="49"/>
      <c r="K2065" s="49"/>
      <c r="L2065" s="49"/>
      <c r="M2065" s="49"/>
    </row>
    <row r="2066" spans="5:13">
      <c r="E2066" s="49"/>
      <c r="F2066" s="49"/>
      <c r="G2066" s="49"/>
      <c r="H2066" s="49"/>
      <c r="I2066" s="49"/>
      <c r="J2066" s="49"/>
      <c r="K2066" s="49"/>
      <c r="L2066" s="49"/>
      <c r="M2066" s="49"/>
    </row>
    <row r="2067" spans="5:13">
      <c r="E2067" s="49"/>
      <c r="F2067" s="49"/>
      <c r="G2067" s="49"/>
      <c r="H2067" s="49"/>
      <c r="I2067" s="49"/>
      <c r="J2067" s="49"/>
      <c r="K2067" s="49"/>
      <c r="L2067" s="49"/>
      <c r="M2067" s="49"/>
    </row>
    <row r="2068" spans="5:13">
      <c r="E2068" s="49"/>
      <c r="F2068" s="49"/>
      <c r="G2068" s="49"/>
      <c r="H2068" s="49"/>
      <c r="I2068" s="49"/>
      <c r="J2068" s="49"/>
      <c r="K2068" s="49"/>
      <c r="L2068" s="49"/>
      <c r="M2068" s="49"/>
    </row>
    <row r="2069" spans="5:13">
      <c r="E2069" s="49"/>
      <c r="F2069" s="49"/>
      <c r="G2069" s="49"/>
      <c r="H2069" s="49"/>
      <c r="I2069" s="49"/>
      <c r="J2069" s="49"/>
      <c r="K2069" s="49"/>
      <c r="L2069" s="49"/>
      <c r="M2069" s="49"/>
    </row>
    <row r="2070" spans="5:13">
      <c r="E2070" s="49"/>
      <c r="F2070" s="49"/>
      <c r="G2070" s="49"/>
      <c r="H2070" s="49"/>
      <c r="I2070" s="49"/>
      <c r="J2070" s="49"/>
      <c r="K2070" s="49"/>
      <c r="L2070" s="49"/>
      <c r="M2070" s="49"/>
    </row>
    <row r="2071" spans="5:13">
      <c r="E2071" s="49"/>
      <c r="F2071" s="49"/>
      <c r="G2071" s="49"/>
      <c r="H2071" s="49"/>
      <c r="I2071" s="49"/>
      <c r="J2071" s="49"/>
      <c r="K2071" s="49"/>
      <c r="L2071" s="49"/>
      <c r="M2071" s="49"/>
    </row>
    <row r="2072" spans="5:13">
      <c r="E2072" s="49"/>
      <c r="F2072" s="49"/>
      <c r="G2072" s="49"/>
      <c r="H2072" s="49"/>
      <c r="I2072" s="49"/>
      <c r="J2072" s="49"/>
      <c r="K2072" s="49"/>
      <c r="L2072" s="49"/>
      <c r="M2072" s="49"/>
    </row>
    <row r="2073" spans="5:13">
      <c r="E2073" s="49"/>
      <c r="F2073" s="49"/>
      <c r="G2073" s="49"/>
      <c r="H2073" s="49"/>
      <c r="I2073" s="49"/>
      <c r="J2073" s="49"/>
      <c r="K2073" s="49"/>
      <c r="L2073" s="49"/>
      <c r="M2073" s="49"/>
    </row>
    <row r="2074" spans="5:13">
      <c r="E2074" s="49"/>
      <c r="F2074" s="49"/>
      <c r="G2074" s="49"/>
      <c r="H2074" s="49"/>
      <c r="I2074" s="49"/>
      <c r="J2074" s="49"/>
      <c r="K2074" s="49"/>
      <c r="L2074" s="49"/>
      <c r="M2074" s="49"/>
    </row>
    <row r="2075" spans="5:13">
      <c r="E2075" s="49"/>
      <c r="F2075" s="49"/>
      <c r="G2075" s="49"/>
      <c r="H2075" s="49"/>
      <c r="I2075" s="49"/>
      <c r="J2075" s="49"/>
      <c r="K2075" s="49"/>
      <c r="L2075" s="49"/>
      <c r="M2075" s="49"/>
    </row>
    <row r="2076" spans="5:13">
      <c r="E2076" s="49"/>
      <c r="F2076" s="49"/>
      <c r="G2076" s="49"/>
      <c r="H2076" s="49"/>
      <c r="I2076" s="49"/>
      <c r="J2076" s="49"/>
      <c r="K2076" s="49"/>
      <c r="L2076" s="49"/>
      <c r="M2076" s="49"/>
    </row>
    <row r="2077" spans="5:13">
      <c r="E2077" s="49"/>
      <c r="F2077" s="49"/>
      <c r="G2077" s="49"/>
      <c r="H2077" s="49"/>
      <c r="I2077" s="49"/>
      <c r="J2077" s="49"/>
      <c r="K2077" s="49"/>
      <c r="L2077" s="49"/>
      <c r="M2077" s="49"/>
    </row>
    <row r="2078" spans="5:13">
      <c r="E2078" s="49"/>
      <c r="F2078" s="49"/>
      <c r="G2078" s="49"/>
      <c r="H2078" s="49"/>
      <c r="I2078" s="49"/>
      <c r="J2078" s="49"/>
      <c r="K2078" s="49"/>
      <c r="L2078" s="49"/>
      <c r="M2078" s="49"/>
    </row>
    <row r="2079" spans="5:13">
      <c r="E2079" s="49"/>
      <c r="F2079" s="49"/>
      <c r="G2079" s="49"/>
      <c r="H2079" s="49"/>
      <c r="I2079" s="49"/>
      <c r="J2079" s="49"/>
      <c r="K2079" s="49"/>
      <c r="L2079" s="49"/>
      <c r="M2079" s="49"/>
    </row>
    <row r="2080" spans="5:13">
      <c r="E2080" s="49"/>
      <c r="F2080" s="49"/>
      <c r="G2080" s="49"/>
      <c r="H2080" s="49"/>
      <c r="I2080" s="49"/>
      <c r="J2080" s="49"/>
      <c r="K2080" s="49"/>
      <c r="L2080" s="49"/>
      <c r="M2080" s="49"/>
    </row>
    <row r="2081" spans="5:13">
      <c r="E2081" s="49"/>
      <c r="F2081" s="49"/>
      <c r="G2081" s="49"/>
      <c r="H2081" s="49"/>
      <c r="I2081" s="49"/>
      <c r="J2081" s="49"/>
      <c r="K2081" s="49"/>
      <c r="L2081" s="49"/>
      <c r="M2081" s="49"/>
    </row>
    <row r="2082" spans="5:13">
      <c r="E2082" s="49"/>
      <c r="F2082" s="49"/>
      <c r="G2082" s="49"/>
      <c r="H2082" s="49"/>
      <c r="I2082" s="49"/>
      <c r="J2082" s="49"/>
      <c r="K2082" s="49"/>
      <c r="L2082" s="49"/>
      <c r="M2082" s="49"/>
    </row>
    <row r="2083" spans="5:13">
      <c r="E2083" s="49"/>
      <c r="F2083" s="49"/>
      <c r="G2083" s="49"/>
      <c r="H2083" s="49"/>
      <c r="I2083" s="49"/>
      <c r="J2083" s="49"/>
      <c r="K2083" s="49"/>
      <c r="L2083" s="49"/>
      <c r="M2083" s="49"/>
    </row>
    <row r="2084" spans="5:13">
      <c r="E2084" s="49"/>
      <c r="F2084" s="49"/>
      <c r="G2084" s="49"/>
      <c r="H2084" s="49"/>
      <c r="I2084" s="49"/>
      <c r="J2084" s="49"/>
      <c r="K2084" s="49"/>
      <c r="L2084" s="49"/>
      <c r="M2084" s="49"/>
    </row>
    <row r="2085" spans="5:13">
      <c r="E2085" s="49"/>
      <c r="F2085" s="49"/>
      <c r="G2085" s="49"/>
      <c r="H2085" s="49"/>
      <c r="I2085" s="49"/>
      <c r="J2085" s="49"/>
      <c r="K2085" s="49"/>
      <c r="L2085" s="49"/>
      <c r="M2085" s="49"/>
    </row>
    <row r="2086" spans="5:13">
      <c r="E2086" s="49"/>
      <c r="F2086" s="49"/>
      <c r="G2086" s="49"/>
      <c r="H2086" s="49"/>
      <c r="I2086" s="49"/>
      <c r="J2086" s="49"/>
      <c r="K2086" s="49"/>
      <c r="L2086" s="49"/>
      <c r="M2086" s="49"/>
    </row>
    <row r="2087" spans="5:13">
      <c r="E2087" s="49"/>
      <c r="F2087" s="49"/>
      <c r="G2087" s="49"/>
      <c r="H2087" s="49"/>
      <c r="I2087" s="49"/>
      <c r="J2087" s="49"/>
      <c r="K2087" s="49"/>
      <c r="L2087" s="49"/>
      <c r="M2087" s="49"/>
    </row>
    <row r="2088" spans="5:13">
      <c r="E2088" s="49"/>
      <c r="F2088" s="49"/>
      <c r="G2088" s="49"/>
      <c r="H2088" s="49"/>
      <c r="I2088" s="49"/>
      <c r="J2088" s="49"/>
      <c r="K2088" s="49"/>
      <c r="L2088" s="49"/>
      <c r="M2088" s="49"/>
    </row>
    <row r="2089" spans="5:13">
      <c r="E2089" s="49"/>
      <c r="F2089" s="49"/>
      <c r="G2089" s="49"/>
      <c r="H2089" s="49"/>
      <c r="I2089" s="49"/>
      <c r="J2089" s="49"/>
      <c r="K2089" s="49"/>
      <c r="L2089" s="49"/>
      <c r="M2089" s="49"/>
    </row>
    <row r="2090" spans="5:13">
      <c r="E2090" s="49"/>
      <c r="F2090" s="49"/>
      <c r="G2090" s="49"/>
      <c r="H2090" s="49"/>
      <c r="I2090" s="49"/>
      <c r="J2090" s="49"/>
      <c r="K2090" s="49"/>
      <c r="L2090" s="49"/>
      <c r="M2090" s="49"/>
    </row>
    <row r="2091" spans="5:13">
      <c r="E2091" s="49"/>
      <c r="F2091" s="49"/>
      <c r="G2091" s="49"/>
      <c r="H2091" s="49"/>
      <c r="I2091" s="49"/>
      <c r="J2091" s="49"/>
      <c r="K2091" s="49"/>
      <c r="L2091" s="49"/>
      <c r="M2091" s="49"/>
    </row>
    <row r="2092" spans="5:13">
      <c r="E2092" s="49"/>
      <c r="F2092" s="49"/>
      <c r="G2092" s="49"/>
      <c r="H2092" s="49"/>
      <c r="I2092" s="49"/>
      <c r="J2092" s="49"/>
      <c r="K2092" s="49"/>
      <c r="L2092" s="49"/>
      <c r="M2092" s="49"/>
    </row>
    <row r="2093" spans="5:13">
      <c r="E2093" s="49"/>
      <c r="F2093" s="49"/>
      <c r="G2093" s="49"/>
      <c r="H2093" s="49"/>
      <c r="I2093" s="49"/>
      <c r="J2093" s="49"/>
      <c r="K2093" s="49"/>
      <c r="L2093" s="49"/>
      <c r="M2093" s="49"/>
    </row>
    <row r="2094" spans="5:13">
      <c r="E2094" s="49"/>
      <c r="F2094" s="49"/>
      <c r="G2094" s="49"/>
      <c r="H2094" s="49"/>
      <c r="I2094" s="49"/>
      <c r="J2094" s="49"/>
      <c r="K2094" s="49"/>
      <c r="L2094" s="49"/>
      <c r="M2094" s="49"/>
    </row>
    <row r="2095" spans="5:13">
      <c r="E2095" s="49"/>
      <c r="F2095" s="49"/>
      <c r="G2095" s="49"/>
      <c r="H2095" s="49"/>
      <c r="I2095" s="49"/>
      <c r="J2095" s="49"/>
      <c r="K2095" s="49"/>
      <c r="L2095" s="49"/>
      <c r="M2095" s="49"/>
    </row>
    <row r="2096" spans="5:13">
      <c r="E2096" s="49"/>
      <c r="F2096" s="49"/>
      <c r="G2096" s="49"/>
      <c r="H2096" s="49"/>
      <c r="I2096" s="49"/>
      <c r="J2096" s="49"/>
      <c r="K2096" s="49"/>
      <c r="L2096" s="49"/>
      <c r="M2096" s="49"/>
    </row>
    <row r="2097" spans="5:13">
      <c r="E2097" s="49"/>
      <c r="F2097" s="49"/>
      <c r="G2097" s="49"/>
      <c r="H2097" s="49"/>
      <c r="I2097" s="49"/>
      <c r="J2097" s="49"/>
      <c r="K2097" s="49"/>
      <c r="L2097" s="49"/>
      <c r="M2097" s="49"/>
    </row>
    <row r="2098" spans="5:13">
      <c r="E2098" s="49"/>
      <c r="F2098" s="49"/>
      <c r="G2098" s="49"/>
      <c r="H2098" s="49"/>
      <c r="I2098" s="49"/>
      <c r="J2098" s="49"/>
      <c r="K2098" s="49"/>
      <c r="L2098" s="49"/>
      <c r="M2098" s="49"/>
    </row>
    <row r="2099" spans="5:13">
      <c r="E2099" s="49"/>
      <c r="F2099" s="49"/>
      <c r="G2099" s="49"/>
      <c r="H2099" s="49"/>
      <c r="I2099" s="49"/>
      <c r="J2099" s="49"/>
      <c r="K2099" s="49"/>
      <c r="L2099" s="49"/>
      <c r="M2099" s="49"/>
    </row>
    <row r="2100" spans="5:13">
      <c r="E2100" s="49"/>
      <c r="F2100" s="49"/>
      <c r="G2100" s="49"/>
      <c r="H2100" s="49"/>
      <c r="I2100" s="49"/>
      <c r="J2100" s="49"/>
      <c r="K2100" s="49"/>
      <c r="L2100" s="49"/>
      <c r="M2100" s="49"/>
    </row>
    <row r="2101" spans="5:13">
      <c r="E2101" s="49"/>
      <c r="F2101" s="49"/>
      <c r="G2101" s="49"/>
      <c r="H2101" s="49"/>
      <c r="I2101" s="49"/>
      <c r="J2101" s="49"/>
      <c r="K2101" s="49"/>
      <c r="L2101" s="49"/>
      <c r="M2101" s="49"/>
    </row>
    <row r="2102" spans="5:13">
      <c r="E2102" s="49"/>
      <c r="F2102" s="49"/>
      <c r="G2102" s="49"/>
      <c r="H2102" s="49"/>
      <c r="I2102" s="49"/>
      <c r="J2102" s="49"/>
      <c r="K2102" s="49"/>
      <c r="L2102" s="49"/>
      <c r="M2102" s="49"/>
    </row>
    <row r="2103" spans="5:13">
      <c r="E2103" s="49"/>
      <c r="F2103" s="49"/>
      <c r="G2103" s="49"/>
      <c r="H2103" s="49"/>
      <c r="I2103" s="49"/>
      <c r="J2103" s="49"/>
      <c r="K2103" s="49"/>
      <c r="L2103" s="49"/>
      <c r="M2103" s="49"/>
    </row>
    <row r="2104" spans="5:13">
      <c r="E2104" s="49"/>
      <c r="F2104" s="49"/>
      <c r="G2104" s="49"/>
      <c r="H2104" s="49"/>
      <c r="I2104" s="49"/>
      <c r="J2104" s="49"/>
      <c r="K2104" s="49"/>
      <c r="L2104" s="49"/>
      <c r="M2104" s="49"/>
    </row>
    <row r="2105" spans="5:13">
      <c r="E2105" s="49"/>
      <c r="F2105" s="49"/>
      <c r="G2105" s="49"/>
      <c r="H2105" s="49"/>
      <c r="I2105" s="49"/>
      <c r="J2105" s="49"/>
      <c r="K2105" s="49"/>
      <c r="L2105" s="49"/>
      <c r="M2105" s="49"/>
    </row>
    <row r="2106" spans="5:13">
      <c r="E2106" s="49"/>
      <c r="F2106" s="49"/>
      <c r="G2106" s="49"/>
      <c r="H2106" s="49"/>
      <c r="I2106" s="49"/>
      <c r="J2106" s="49"/>
      <c r="K2106" s="49"/>
      <c r="L2106" s="49"/>
      <c r="M2106" s="49"/>
    </row>
    <row r="2107" spans="5:13">
      <c r="E2107" s="49"/>
      <c r="F2107" s="49"/>
      <c r="G2107" s="49"/>
      <c r="H2107" s="49"/>
      <c r="I2107" s="49"/>
      <c r="J2107" s="49"/>
      <c r="K2107" s="49"/>
      <c r="L2107" s="49"/>
      <c r="M2107" s="49"/>
    </row>
    <row r="2108" spans="5:13">
      <c r="E2108" s="49"/>
      <c r="F2108" s="49"/>
      <c r="G2108" s="49"/>
      <c r="H2108" s="49"/>
      <c r="I2108" s="49"/>
      <c r="J2108" s="49"/>
      <c r="K2108" s="49"/>
      <c r="L2108" s="49"/>
      <c r="M2108" s="49"/>
    </row>
    <row r="2109" spans="5:13">
      <c r="E2109" s="49"/>
      <c r="F2109" s="49"/>
      <c r="G2109" s="49"/>
      <c r="H2109" s="49"/>
      <c r="I2109" s="49"/>
      <c r="J2109" s="49"/>
      <c r="K2109" s="49"/>
      <c r="L2109" s="49"/>
      <c r="M2109" s="49"/>
    </row>
    <row r="2110" spans="5:13">
      <c r="E2110" s="49"/>
      <c r="F2110" s="49"/>
      <c r="G2110" s="49"/>
      <c r="H2110" s="49"/>
      <c r="I2110" s="49"/>
      <c r="J2110" s="49"/>
      <c r="K2110" s="49"/>
      <c r="L2110" s="49"/>
      <c r="M2110" s="49"/>
    </row>
    <row r="2111" spans="5:13">
      <c r="E2111" s="49"/>
      <c r="F2111" s="49"/>
      <c r="G2111" s="49"/>
      <c r="H2111" s="49"/>
      <c r="I2111" s="49"/>
      <c r="J2111" s="49"/>
      <c r="K2111" s="49"/>
      <c r="L2111" s="49"/>
      <c r="M2111" s="49"/>
    </row>
    <row r="2112" spans="5:13">
      <c r="E2112" s="49"/>
      <c r="F2112" s="49"/>
      <c r="G2112" s="49"/>
      <c r="H2112" s="49"/>
      <c r="I2112" s="49"/>
      <c r="J2112" s="49"/>
      <c r="K2112" s="49"/>
      <c r="L2112" s="49"/>
      <c r="M2112" s="49"/>
    </row>
    <row r="2113" spans="5:13">
      <c r="E2113" s="49"/>
      <c r="F2113" s="49"/>
      <c r="G2113" s="49"/>
      <c r="H2113" s="49"/>
      <c r="I2113" s="49"/>
      <c r="J2113" s="49"/>
      <c r="K2113" s="49"/>
      <c r="L2113" s="49"/>
      <c r="M2113" s="49"/>
    </row>
    <row r="2114" spans="5:13">
      <c r="E2114" s="49"/>
      <c r="F2114" s="49"/>
      <c r="G2114" s="49"/>
      <c r="H2114" s="49"/>
      <c r="I2114" s="49"/>
      <c r="J2114" s="49"/>
      <c r="K2114" s="49"/>
      <c r="L2114" s="49"/>
      <c r="M2114" s="49"/>
    </row>
    <row r="2115" spans="5:13">
      <c r="E2115" s="49"/>
      <c r="F2115" s="49"/>
      <c r="G2115" s="49"/>
      <c r="H2115" s="49"/>
      <c r="I2115" s="49"/>
      <c r="J2115" s="49"/>
      <c r="K2115" s="49"/>
      <c r="L2115" s="49"/>
      <c r="M2115" s="49"/>
    </row>
    <row r="2116" spans="5:13">
      <c r="E2116" s="49"/>
      <c r="F2116" s="49"/>
      <c r="G2116" s="49"/>
      <c r="H2116" s="49"/>
      <c r="I2116" s="49"/>
      <c r="J2116" s="49"/>
      <c r="K2116" s="49"/>
      <c r="L2116" s="49"/>
      <c r="M2116" s="49"/>
    </row>
    <row r="2117" spans="5:13">
      <c r="E2117" s="49"/>
      <c r="F2117" s="49"/>
      <c r="G2117" s="49"/>
      <c r="H2117" s="49"/>
      <c r="I2117" s="49"/>
      <c r="J2117" s="49"/>
      <c r="K2117" s="49"/>
      <c r="L2117" s="49"/>
      <c r="M2117" s="49"/>
    </row>
    <row r="2118" spans="5:13">
      <c r="E2118" s="49"/>
      <c r="F2118" s="49"/>
      <c r="G2118" s="49"/>
      <c r="H2118" s="49"/>
      <c r="I2118" s="49"/>
      <c r="J2118" s="49"/>
      <c r="K2118" s="49"/>
      <c r="L2118" s="49"/>
      <c r="M2118" s="49"/>
    </row>
    <row r="2119" spans="5:13">
      <c r="E2119" s="49"/>
      <c r="F2119" s="49"/>
      <c r="G2119" s="49"/>
      <c r="H2119" s="49"/>
      <c r="I2119" s="49"/>
      <c r="J2119" s="49"/>
      <c r="K2119" s="49"/>
      <c r="L2119" s="49"/>
      <c r="M2119" s="49"/>
    </row>
    <row r="2120" spans="5:13">
      <c r="E2120" s="49"/>
      <c r="F2120" s="49"/>
      <c r="G2120" s="49"/>
      <c r="H2120" s="49"/>
      <c r="I2120" s="49"/>
      <c r="J2120" s="49"/>
      <c r="K2120" s="49"/>
      <c r="L2120" s="49"/>
      <c r="M2120" s="49"/>
    </row>
    <row r="2121" spans="5:13">
      <c r="E2121" s="49"/>
      <c r="F2121" s="49"/>
      <c r="G2121" s="49"/>
      <c r="H2121" s="49"/>
      <c r="I2121" s="49"/>
      <c r="J2121" s="49"/>
      <c r="K2121" s="49"/>
      <c r="L2121" s="49"/>
      <c r="M2121" s="49"/>
    </row>
    <row r="2122" spans="5:13">
      <c r="E2122" s="49"/>
      <c r="F2122" s="49"/>
      <c r="G2122" s="49"/>
      <c r="H2122" s="49"/>
      <c r="I2122" s="49"/>
      <c r="J2122" s="49"/>
      <c r="K2122" s="49"/>
      <c r="L2122" s="49"/>
      <c r="M2122" s="49"/>
    </row>
    <row r="2123" spans="5:13">
      <c r="E2123" s="49"/>
      <c r="F2123" s="49"/>
      <c r="G2123" s="49"/>
      <c r="H2123" s="49"/>
      <c r="I2123" s="49"/>
      <c r="J2123" s="49"/>
      <c r="K2123" s="49"/>
      <c r="L2123" s="49"/>
      <c r="M2123" s="49"/>
    </row>
    <row r="2124" spans="5:13">
      <c r="E2124" s="49"/>
      <c r="F2124" s="49"/>
      <c r="G2124" s="49"/>
      <c r="H2124" s="49"/>
      <c r="I2124" s="49"/>
      <c r="J2124" s="49"/>
      <c r="K2124" s="49"/>
      <c r="L2124" s="49"/>
      <c r="M2124" s="49"/>
    </row>
    <row r="2125" spans="5:13">
      <c r="E2125" s="49"/>
      <c r="F2125" s="49"/>
      <c r="G2125" s="49"/>
      <c r="H2125" s="49"/>
      <c r="I2125" s="49"/>
      <c r="J2125" s="49"/>
      <c r="K2125" s="49"/>
      <c r="L2125" s="49"/>
      <c r="M2125" s="49"/>
    </row>
    <row r="2126" spans="5:13">
      <c r="E2126" s="49"/>
      <c r="F2126" s="49"/>
      <c r="G2126" s="49"/>
      <c r="H2126" s="49"/>
      <c r="I2126" s="49"/>
      <c r="J2126" s="49"/>
      <c r="K2126" s="49"/>
      <c r="L2126" s="49"/>
      <c r="M2126" s="49"/>
    </row>
    <row r="2127" spans="5:13">
      <c r="E2127" s="49"/>
      <c r="F2127" s="49"/>
      <c r="G2127" s="49"/>
      <c r="H2127" s="49"/>
      <c r="I2127" s="49"/>
      <c r="J2127" s="49"/>
      <c r="K2127" s="49"/>
      <c r="L2127" s="49"/>
      <c r="M2127" s="49"/>
    </row>
    <row r="2128" spans="5:13">
      <c r="E2128" s="49"/>
      <c r="F2128" s="49"/>
      <c r="G2128" s="49"/>
      <c r="H2128" s="49"/>
      <c r="I2128" s="49"/>
      <c r="J2128" s="49"/>
      <c r="K2128" s="49"/>
      <c r="L2128" s="49"/>
      <c r="M2128" s="49"/>
    </row>
    <row r="2129" spans="5:13">
      <c r="E2129" s="49"/>
      <c r="F2129" s="49"/>
      <c r="G2129" s="49"/>
      <c r="H2129" s="49"/>
      <c r="I2129" s="49"/>
      <c r="J2129" s="49"/>
      <c r="K2129" s="49"/>
      <c r="L2129" s="49"/>
      <c r="M2129" s="49"/>
    </row>
    <row r="2130" spans="5:13">
      <c r="E2130" s="49"/>
      <c r="F2130" s="49"/>
      <c r="G2130" s="49"/>
      <c r="H2130" s="49"/>
      <c r="I2130" s="49"/>
      <c r="J2130" s="49"/>
      <c r="K2130" s="49"/>
      <c r="L2130" s="49"/>
      <c r="M2130" s="49"/>
    </row>
    <row r="2131" spans="5:13">
      <c r="E2131" s="49"/>
      <c r="F2131" s="49"/>
      <c r="G2131" s="49"/>
      <c r="H2131" s="49"/>
      <c r="I2131" s="49"/>
      <c r="J2131" s="49"/>
      <c r="K2131" s="49"/>
      <c r="L2131" s="49"/>
      <c r="M2131" s="49"/>
    </row>
    <row r="2132" spans="5:13">
      <c r="E2132" s="49"/>
      <c r="F2132" s="49"/>
      <c r="G2132" s="49"/>
      <c r="H2132" s="49"/>
      <c r="I2132" s="49"/>
      <c r="J2132" s="49"/>
      <c r="K2132" s="49"/>
      <c r="L2132" s="49"/>
      <c r="M2132" s="49"/>
    </row>
    <row r="2133" spans="5:13">
      <c r="E2133" s="49"/>
      <c r="F2133" s="49"/>
      <c r="G2133" s="49"/>
      <c r="H2133" s="49"/>
      <c r="I2133" s="49"/>
      <c r="J2133" s="49"/>
      <c r="K2133" s="49"/>
      <c r="L2133" s="49"/>
      <c r="M2133" s="49"/>
    </row>
    <row r="2134" spans="5:13">
      <c r="E2134" s="49"/>
      <c r="F2134" s="49"/>
      <c r="G2134" s="49"/>
      <c r="H2134" s="49"/>
      <c r="I2134" s="49"/>
      <c r="J2134" s="49"/>
      <c r="K2134" s="49"/>
      <c r="L2134" s="49"/>
      <c r="M2134" s="49"/>
    </row>
    <row r="2135" spans="5:13">
      <c r="E2135" s="49"/>
      <c r="F2135" s="49"/>
      <c r="G2135" s="49"/>
      <c r="H2135" s="49"/>
      <c r="I2135" s="49"/>
      <c r="J2135" s="49"/>
      <c r="K2135" s="49"/>
      <c r="L2135" s="49"/>
      <c r="M2135" s="49"/>
    </row>
    <row r="2136" spans="5:13">
      <c r="E2136" s="49"/>
      <c r="F2136" s="49"/>
      <c r="G2136" s="49"/>
      <c r="H2136" s="49"/>
      <c r="I2136" s="49"/>
      <c r="J2136" s="49"/>
      <c r="K2136" s="49"/>
      <c r="L2136" s="49"/>
      <c r="M2136" s="49"/>
    </row>
    <row r="2137" spans="5:13">
      <c r="E2137" s="49"/>
      <c r="F2137" s="49"/>
      <c r="G2137" s="49"/>
      <c r="H2137" s="49"/>
      <c r="I2137" s="49"/>
      <c r="J2137" s="49"/>
      <c r="K2137" s="49"/>
      <c r="L2137" s="49"/>
      <c r="M2137" s="49"/>
    </row>
    <row r="2138" spans="5:13">
      <c r="E2138" s="49"/>
      <c r="F2138" s="49"/>
      <c r="G2138" s="49"/>
      <c r="H2138" s="49"/>
      <c r="I2138" s="49"/>
      <c r="J2138" s="49"/>
      <c r="K2138" s="49"/>
      <c r="L2138" s="49"/>
      <c r="M2138" s="49"/>
    </row>
    <row r="2139" spans="5:13">
      <c r="E2139" s="49"/>
      <c r="F2139" s="49"/>
      <c r="G2139" s="49"/>
      <c r="H2139" s="49"/>
      <c r="I2139" s="49"/>
      <c r="J2139" s="49"/>
      <c r="K2139" s="49"/>
      <c r="L2139" s="49"/>
      <c r="M2139" s="49"/>
    </row>
    <row r="2140" spans="5:13">
      <c r="E2140" s="49"/>
      <c r="F2140" s="49"/>
      <c r="G2140" s="49"/>
      <c r="H2140" s="49"/>
      <c r="I2140" s="49"/>
      <c r="J2140" s="49"/>
      <c r="K2140" s="49"/>
      <c r="L2140" s="49"/>
      <c r="M2140" s="49"/>
    </row>
    <row r="2141" spans="5:13">
      <c r="E2141" s="49"/>
      <c r="F2141" s="49"/>
      <c r="G2141" s="49"/>
      <c r="H2141" s="49"/>
      <c r="I2141" s="49"/>
      <c r="J2141" s="49"/>
      <c r="K2141" s="49"/>
      <c r="L2141" s="49"/>
      <c r="M2141" s="49"/>
    </row>
    <row r="2142" spans="5:13">
      <c r="E2142" s="49"/>
      <c r="F2142" s="49"/>
      <c r="G2142" s="49"/>
      <c r="H2142" s="49"/>
      <c r="I2142" s="49"/>
      <c r="J2142" s="49"/>
      <c r="K2142" s="49"/>
      <c r="L2142" s="49"/>
      <c r="M2142" s="49"/>
    </row>
    <row r="2143" spans="5:13">
      <c r="E2143" s="49"/>
      <c r="F2143" s="49"/>
      <c r="G2143" s="49"/>
      <c r="H2143" s="49"/>
      <c r="I2143" s="49"/>
      <c r="J2143" s="49"/>
      <c r="K2143" s="49"/>
      <c r="L2143" s="49"/>
      <c r="M2143" s="49"/>
    </row>
    <row r="2144" spans="5:13">
      <c r="E2144" s="49"/>
      <c r="F2144" s="49"/>
      <c r="G2144" s="49"/>
      <c r="H2144" s="49"/>
      <c r="I2144" s="49"/>
      <c r="J2144" s="49"/>
      <c r="K2144" s="49"/>
      <c r="L2144" s="49"/>
      <c r="M2144" s="49"/>
    </row>
    <row r="2145" spans="5:13">
      <c r="E2145" s="49"/>
      <c r="F2145" s="49"/>
      <c r="G2145" s="49"/>
      <c r="H2145" s="49"/>
      <c r="I2145" s="49"/>
      <c r="J2145" s="49"/>
      <c r="K2145" s="49"/>
      <c r="L2145" s="49"/>
      <c r="M2145" s="49"/>
    </row>
    <row r="2146" spans="5:13">
      <c r="E2146" s="49"/>
      <c r="F2146" s="49"/>
      <c r="G2146" s="49"/>
      <c r="H2146" s="49"/>
      <c r="I2146" s="49"/>
      <c r="J2146" s="49"/>
      <c r="K2146" s="49"/>
      <c r="L2146" s="49"/>
      <c r="M2146" s="49"/>
    </row>
    <row r="2147" spans="5:13">
      <c r="E2147" s="49"/>
      <c r="F2147" s="49"/>
      <c r="G2147" s="49"/>
      <c r="H2147" s="49"/>
      <c r="I2147" s="49"/>
      <c r="J2147" s="49"/>
      <c r="K2147" s="49"/>
      <c r="L2147" s="49"/>
      <c r="M2147" s="49"/>
    </row>
    <row r="2148" spans="5:13">
      <c r="E2148" s="49"/>
      <c r="F2148" s="49"/>
      <c r="G2148" s="49"/>
      <c r="H2148" s="49"/>
      <c r="I2148" s="49"/>
      <c r="J2148" s="49"/>
      <c r="K2148" s="49"/>
      <c r="L2148" s="49"/>
      <c r="M2148" s="49"/>
    </row>
    <row r="2149" spans="5:13">
      <c r="E2149" s="49"/>
      <c r="F2149" s="49"/>
      <c r="G2149" s="49"/>
      <c r="H2149" s="49"/>
      <c r="I2149" s="49"/>
      <c r="J2149" s="49"/>
      <c r="K2149" s="49"/>
      <c r="L2149" s="49"/>
      <c r="M2149" s="49"/>
    </row>
    <row r="2150" spans="5:13">
      <c r="E2150" s="49"/>
      <c r="F2150" s="49"/>
      <c r="G2150" s="49"/>
      <c r="H2150" s="49"/>
      <c r="I2150" s="49"/>
      <c r="J2150" s="49"/>
      <c r="K2150" s="49"/>
      <c r="L2150" s="49"/>
      <c r="M2150" s="49"/>
    </row>
    <row r="2151" spans="5:13">
      <c r="E2151" s="49"/>
      <c r="F2151" s="49"/>
      <c r="G2151" s="49"/>
      <c r="H2151" s="49"/>
      <c r="I2151" s="49"/>
      <c r="J2151" s="49"/>
      <c r="K2151" s="49"/>
      <c r="L2151" s="49"/>
      <c r="M2151" s="49"/>
    </row>
    <row r="2152" spans="5:13">
      <c r="E2152" s="49"/>
      <c r="F2152" s="49"/>
      <c r="G2152" s="49"/>
      <c r="H2152" s="49"/>
      <c r="I2152" s="49"/>
      <c r="J2152" s="49"/>
      <c r="K2152" s="49"/>
      <c r="L2152" s="49"/>
      <c r="M2152" s="49"/>
    </row>
    <row r="2153" spans="5:13">
      <c r="E2153" s="49"/>
      <c r="F2153" s="49"/>
      <c r="G2153" s="49"/>
      <c r="H2153" s="49"/>
      <c r="I2153" s="49"/>
      <c r="J2153" s="49"/>
      <c r="K2153" s="49"/>
      <c r="L2153" s="49"/>
      <c r="M2153" s="49"/>
    </row>
    <row r="2154" spans="5:13">
      <c r="E2154" s="49"/>
      <c r="F2154" s="49"/>
      <c r="G2154" s="49"/>
      <c r="H2154" s="49"/>
      <c r="I2154" s="49"/>
      <c r="J2154" s="49"/>
      <c r="K2154" s="49"/>
      <c r="L2154" s="49"/>
      <c r="M2154" s="49"/>
    </row>
    <row r="2155" spans="5:13">
      <c r="E2155" s="49"/>
      <c r="F2155" s="49"/>
      <c r="G2155" s="49"/>
      <c r="H2155" s="49"/>
      <c r="I2155" s="49"/>
      <c r="J2155" s="49"/>
      <c r="K2155" s="49"/>
      <c r="L2155" s="49"/>
      <c r="M2155" s="49"/>
    </row>
    <row r="2156" spans="5:13">
      <c r="E2156" s="49"/>
      <c r="F2156" s="49"/>
      <c r="G2156" s="49"/>
      <c r="H2156" s="49"/>
      <c r="I2156" s="49"/>
      <c r="J2156" s="49"/>
      <c r="K2156" s="49"/>
      <c r="L2156" s="49"/>
      <c r="M2156" s="49"/>
    </row>
    <row r="2157" spans="5:13">
      <c r="E2157" s="49"/>
      <c r="F2157" s="49"/>
      <c r="G2157" s="49"/>
      <c r="H2157" s="49"/>
      <c r="I2157" s="49"/>
      <c r="J2157" s="49"/>
      <c r="K2157" s="49"/>
      <c r="L2157" s="49"/>
      <c r="M2157" s="49"/>
    </row>
    <row r="2158" spans="5:13">
      <c r="E2158" s="49"/>
      <c r="F2158" s="49"/>
      <c r="G2158" s="49"/>
      <c r="H2158" s="49"/>
      <c r="I2158" s="49"/>
      <c r="J2158" s="49"/>
      <c r="K2158" s="49"/>
      <c r="L2158" s="49"/>
      <c r="M2158" s="49"/>
    </row>
    <row r="2159" spans="5:13">
      <c r="E2159" s="49"/>
      <c r="F2159" s="49"/>
      <c r="G2159" s="49"/>
      <c r="H2159" s="49"/>
      <c r="I2159" s="49"/>
      <c r="J2159" s="49"/>
      <c r="K2159" s="49"/>
      <c r="L2159" s="49"/>
      <c r="M2159" s="49"/>
    </row>
    <row r="2160" spans="5:13">
      <c r="E2160" s="49"/>
      <c r="F2160" s="49"/>
      <c r="G2160" s="49"/>
      <c r="H2160" s="49"/>
      <c r="I2160" s="49"/>
      <c r="J2160" s="49"/>
      <c r="K2160" s="49"/>
      <c r="L2160" s="49"/>
      <c r="M2160" s="49"/>
    </row>
    <row r="2161" spans="5:13">
      <c r="E2161" s="49"/>
      <c r="F2161" s="49"/>
      <c r="G2161" s="49"/>
      <c r="H2161" s="49"/>
      <c r="I2161" s="49"/>
      <c r="J2161" s="49"/>
      <c r="K2161" s="49"/>
      <c r="L2161" s="49"/>
      <c r="M2161" s="49"/>
    </row>
    <row r="2162" spans="5:13">
      <c r="E2162" s="49"/>
      <c r="F2162" s="49"/>
      <c r="G2162" s="49"/>
      <c r="H2162" s="49"/>
      <c r="I2162" s="49"/>
      <c r="J2162" s="49"/>
      <c r="K2162" s="49"/>
      <c r="L2162" s="49"/>
      <c r="M2162" s="49"/>
    </row>
    <row r="2163" spans="5:13">
      <c r="E2163" s="49"/>
      <c r="F2163" s="49"/>
      <c r="G2163" s="49"/>
      <c r="H2163" s="49"/>
      <c r="I2163" s="49"/>
      <c r="J2163" s="49"/>
      <c r="K2163" s="49"/>
      <c r="L2163" s="49"/>
      <c r="M2163" s="49"/>
    </row>
    <row r="2164" spans="5:13">
      <c r="E2164" s="49"/>
      <c r="F2164" s="49"/>
      <c r="G2164" s="49"/>
      <c r="H2164" s="49"/>
      <c r="I2164" s="49"/>
      <c r="J2164" s="49"/>
      <c r="K2164" s="49"/>
      <c r="L2164" s="49"/>
      <c r="M2164" s="49"/>
    </row>
    <row r="2165" spans="5:13">
      <c r="E2165" s="49"/>
      <c r="F2165" s="49"/>
      <c r="G2165" s="49"/>
      <c r="H2165" s="49"/>
      <c r="I2165" s="49"/>
      <c r="J2165" s="49"/>
      <c r="K2165" s="49"/>
      <c r="L2165" s="49"/>
      <c r="M2165" s="49"/>
    </row>
    <row r="2166" spans="5:13">
      <c r="E2166" s="49"/>
      <c r="F2166" s="49"/>
      <c r="G2166" s="49"/>
      <c r="H2166" s="49"/>
      <c r="I2166" s="49"/>
      <c r="J2166" s="49"/>
      <c r="K2166" s="49"/>
      <c r="L2166" s="49"/>
      <c r="M2166" s="49"/>
    </row>
    <row r="2167" spans="5:13">
      <c r="E2167" s="49"/>
      <c r="F2167" s="49"/>
      <c r="G2167" s="49"/>
      <c r="H2167" s="49"/>
      <c r="I2167" s="49"/>
      <c r="J2167" s="49"/>
      <c r="K2167" s="49"/>
      <c r="L2167" s="49"/>
      <c r="M2167" s="49"/>
    </row>
    <row r="2168" spans="5:13">
      <c r="E2168" s="49"/>
      <c r="F2168" s="49"/>
      <c r="G2168" s="49"/>
      <c r="H2168" s="49"/>
      <c r="I2168" s="49"/>
      <c r="J2168" s="49"/>
      <c r="K2168" s="49"/>
      <c r="L2168" s="49"/>
      <c r="M2168" s="49"/>
    </row>
    <row r="2169" spans="5:13">
      <c r="E2169" s="49"/>
      <c r="F2169" s="49"/>
      <c r="G2169" s="49"/>
      <c r="H2169" s="49"/>
      <c r="I2169" s="49"/>
      <c r="J2169" s="49"/>
      <c r="K2169" s="49"/>
      <c r="L2169" s="49"/>
      <c r="M2169" s="49"/>
    </row>
    <row r="2170" spans="5:13">
      <c r="E2170" s="49"/>
      <c r="F2170" s="49"/>
      <c r="G2170" s="49"/>
      <c r="H2170" s="49"/>
      <c r="I2170" s="49"/>
      <c r="J2170" s="49"/>
      <c r="K2170" s="49"/>
      <c r="L2170" s="49"/>
      <c r="M2170" s="49"/>
    </row>
    <row r="2171" spans="5:13">
      <c r="E2171" s="49"/>
      <c r="F2171" s="49"/>
      <c r="G2171" s="49"/>
      <c r="H2171" s="49"/>
      <c r="I2171" s="49"/>
      <c r="J2171" s="49"/>
      <c r="K2171" s="49"/>
      <c r="L2171" s="49"/>
      <c r="M2171" s="49"/>
    </row>
    <row r="2172" spans="5:13">
      <c r="E2172" s="49"/>
      <c r="F2172" s="49"/>
      <c r="G2172" s="49"/>
      <c r="H2172" s="49"/>
      <c r="I2172" s="49"/>
      <c r="J2172" s="49"/>
      <c r="K2172" s="49"/>
      <c r="L2172" s="49"/>
      <c r="M2172" s="49"/>
    </row>
    <row r="2173" spans="5:13">
      <c r="E2173" s="49"/>
      <c r="F2173" s="49"/>
      <c r="G2173" s="49"/>
      <c r="H2173" s="49"/>
      <c r="I2173" s="49"/>
      <c r="J2173" s="49"/>
      <c r="K2173" s="49"/>
      <c r="L2173" s="49"/>
      <c r="M2173" s="49"/>
    </row>
    <row r="2174" spans="5:13">
      <c r="E2174" s="49"/>
      <c r="F2174" s="49"/>
      <c r="G2174" s="49"/>
      <c r="H2174" s="49"/>
      <c r="I2174" s="49"/>
      <c r="J2174" s="49"/>
      <c r="K2174" s="49"/>
      <c r="L2174" s="49"/>
      <c r="M2174" s="49"/>
    </row>
    <row r="2175" spans="5:13">
      <c r="E2175" s="49"/>
      <c r="F2175" s="49"/>
      <c r="G2175" s="49"/>
      <c r="H2175" s="49"/>
      <c r="I2175" s="49"/>
      <c r="J2175" s="49"/>
      <c r="K2175" s="49"/>
      <c r="L2175" s="49"/>
      <c r="M2175" s="49"/>
    </row>
    <row r="2176" spans="5:13">
      <c r="E2176" s="49"/>
      <c r="F2176" s="49"/>
      <c r="G2176" s="49"/>
      <c r="H2176" s="49"/>
      <c r="I2176" s="49"/>
      <c r="J2176" s="49"/>
      <c r="K2176" s="49"/>
      <c r="L2176" s="49"/>
      <c r="M2176" s="49"/>
    </row>
    <row r="2177" spans="5:13">
      <c r="E2177" s="49"/>
      <c r="F2177" s="49"/>
      <c r="G2177" s="49"/>
      <c r="H2177" s="49"/>
      <c r="I2177" s="49"/>
      <c r="J2177" s="49"/>
      <c r="K2177" s="49"/>
      <c r="L2177" s="49"/>
      <c r="M2177" s="49"/>
    </row>
    <row r="2178" spans="5:13">
      <c r="E2178" s="49"/>
      <c r="F2178" s="49"/>
      <c r="G2178" s="49"/>
      <c r="H2178" s="49"/>
      <c r="I2178" s="49"/>
      <c r="J2178" s="49"/>
      <c r="K2178" s="49"/>
      <c r="L2178" s="49"/>
      <c r="M2178" s="49"/>
    </row>
    <row r="2179" spans="5:13">
      <c r="E2179" s="49"/>
      <c r="F2179" s="49"/>
      <c r="G2179" s="49"/>
      <c r="H2179" s="49"/>
      <c r="I2179" s="49"/>
      <c r="J2179" s="49"/>
      <c r="K2179" s="49"/>
      <c r="L2179" s="49"/>
      <c r="M2179" s="49"/>
    </row>
    <row r="2180" spans="5:13">
      <c r="E2180" s="49"/>
      <c r="F2180" s="49"/>
      <c r="G2180" s="49"/>
      <c r="H2180" s="49"/>
      <c r="I2180" s="49"/>
      <c r="J2180" s="49"/>
      <c r="K2180" s="49"/>
      <c r="L2180" s="49"/>
      <c r="M2180" s="49"/>
    </row>
    <row r="2181" spans="5:13">
      <c r="E2181" s="49"/>
      <c r="F2181" s="49"/>
      <c r="G2181" s="49"/>
      <c r="H2181" s="49"/>
      <c r="I2181" s="49"/>
      <c r="J2181" s="49"/>
      <c r="K2181" s="49"/>
      <c r="L2181" s="49"/>
      <c r="M2181" s="49"/>
    </row>
    <row r="2182" spans="5:13">
      <c r="E2182" s="49"/>
      <c r="F2182" s="49"/>
      <c r="G2182" s="49"/>
      <c r="H2182" s="49"/>
      <c r="I2182" s="49"/>
      <c r="J2182" s="49"/>
      <c r="K2182" s="49"/>
      <c r="L2182" s="49"/>
      <c r="M2182" s="49"/>
    </row>
    <row r="2183" spans="5:13">
      <c r="E2183" s="49"/>
      <c r="F2183" s="49"/>
      <c r="G2183" s="49"/>
      <c r="H2183" s="49"/>
      <c r="I2183" s="49"/>
      <c r="J2183" s="49"/>
      <c r="K2183" s="49"/>
      <c r="L2183" s="49"/>
      <c r="M2183" s="49"/>
    </row>
    <row r="2184" spans="5:13">
      <c r="E2184" s="49"/>
      <c r="F2184" s="49"/>
      <c r="G2184" s="49"/>
      <c r="H2184" s="49"/>
      <c r="I2184" s="49"/>
      <c r="J2184" s="49"/>
      <c r="K2184" s="49"/>
      <c r="L2184" s="49"/>
      <c r="M2184" s="49"/>
    </row>
    <row r="2185" spans="5:13">
      <c r="E2185" s="49"/>
      <c r="F2185" s="49"/>
      <c r="G2185" s="49"/>
      <c r="H2185" s="49"/>
      <c r="I2185" s="49"/>
      <c r="J2185" s="49"/>
      <c r="K2185" s="49"/>
      <c r="L2185" s="49"/>
      <c r="M2185" s="49"/>
    </row>
    <row r="2186" spans="5:13">
      <c r="E2186" s="49"/>
      <c r="F2186" s="49"/>
      <c r="G2186" s="49"/>
      <c r="H2186" s="49"/>
      <c r="I2186" s="49"/>
      <c r="J2186" s="49"/>
      <c r="K2186" s="49"/>
      <c r="L2186" s="49"/>
      <c r="M2186" s="49"/>
    </row>
    <row r="2187" spans="5:13">
      <c r="E2187" s="49"/>
      <c r="F2187" s="49"/>
      <c r="G2187" s="49"/>
      <c r="H2187" s="49"/>
      <c r="I2187" s="49"/>
      <c r="J2187" s="49"/>
      <c r="K2187" s="49"/>
      <c r="L2187" s="49"/>
      <c r="M2187" s="49"/>
    </row>
    <row r="2188" spans="5:13">
      <c r="E2188" s="49"/>
      <c r="F2188" s="49"/>
      <c r="G2188" s="49"/>
      <c r="H2188" s="49"/>
      <c r="I2188" s="49"/>
      <c r="J2188" s="49"/>
      <c r="K2188" s="49"/>
      <c r="L2188" s="49"/>
      <c r="M2188" s="49"/>
    </row>
    <row r="2189" spans="5:13">
      <c r="E2189" s="49"/>
      <c r="F2189" s="49"/>
      <c r="G2189" s="49"/>
      <c r="H2189" s="49"/>
      <c r="I2189" s="49"/>
      <c r="J2189" s="49"/>
      <c r="K2189" s="49"/>
      <c r="L2189" s="49"/>
      <c r="M2189" s="49"/>
    </row>
    <row r="2190" spans="5:13">
      <c r="E2190" s="49"/>
      <c r="F2190" s="49"/>
      <c r="G2190" s="49"/>
      <c r="H2190" s="49"/>
      <c r="I2190" s="49"/>
      <c r="J2190" s="49"/>
      <c r="K2190" s="49"/>
      <c r="L2190" s="49"/>
      <c r="M2190" s="49"/>
    </row>
    <row r="2191" spans="5:13">
      <c r="E2191" s="49"/>
      <c r="F2191" s="49"/>
      <c r="G2191" s="49"/>
      <c r="H2191" s="49"/>
      <c r="I2191" s="49"/>
      <c r="J2191" s="49"/>
      <c r="K2191" s="49"/>
      <c r="L2191" s="49"/>
      <c r="M2191" s="49"/>
    </row>
    <row r="2192" spans="5:13">
      <c r="E2192" s="49"/>
      <c r="F2192" s="49"/>
      <c r="G2192" s="49"/>
      <c r="H2192" s="49"/>
      <c r="I2192" s="49"/>
      <c r="J2192" s="49"/>
      <c r="K2192" s="49"/>
      <c r="L2192" s="49"/>
      <c r="M2192" s="49"/>
    </row>
    <row r="2193" spans="5:13">
      <c r="E2193" s="49"/>
      <c r="F2193" s="49"/>
      <c r="G2193" s="49"/>
      <c r="H2193" s="49"/>
      <c r="I2193" s="49"/>
      <c r="J2193" s="49"/>
      <c r="K2193" s="49"/>
      <c r="L2193" s="49"/>
      <c r="M2193" s="49"/>
    </row>
    <row r="2194" spans="5:13">
      <c r="E2194" s="49"/>
      <c r="F2194" s="49"/>
      <c r="G2194" s="49"/>
      <c r="H2194" s="49"/>
      <c r="I2194" s="49"/>
      <c r="J2194" s="49"/>
      <c r="K2194" s="49"/>
      <c r="L2194" s="49"/>
      <c r="M2194" s="49"/>
    </row>
    <row r="2195" spans="5:13">
      <c r="E2195" s="49"/>
      <c r="F2195" s="49"/>
      <c r="G2195" s="49"/>
      <c r="H2195" s="49"/>
      <c r="I2195" s="49"/>
      <c r="J2195" s="49"/>
      <c r="K2195" s="49"/>
      <c r="L2195" s="49"/>
      <c r="M2195" s="49"/>
    </row>
    <row r="2196" spans="5:13">
      <c r="E2196" s="49"/>
      <c r="F2196" s="49"/>
      <c r="G2196" s="49"/>
      <c r="H2196" s="49"/>
      <c r="I2196" s="49"/>
      <c r="J2196" s="49"/>
      <c r="K2196" s="49"/>
      <c r="L2196" s="49"/>
      <c r="M2196" s="49"/>
    </row>
    <row r="2197" spans="5:13">
      <c r="E2197" s="49"/>
      <c r="F2197" s="49"/>
      <c r="G2197" s="49"/>
      <c r="H2197" s="49"/>
      <c r="I2197" s="49"/>
      <c r="J2197" s="49"/>
      <c r="K2197" s="49"/>
      <c r="L2197" s="49"/>
      <c r="M2197" s="49"/>
    </row>
    <row r="2198" spans="5:13">
      <c r="E2198" s="49"/>
      <c r="F2198" s="49"/>
      <c r="G2198" s="49"/>
      <c r="H2198" s="49"/>
      <c r="I2198" s="49"/>
      <c r="J2198" s="49"/>
      <c r="K2198" s="49"/>
      <c r="L2198" s="49"/>
      <c r="M2198" s="49"/>
    </row>
    <row r="2199" spans="5:13">
      <c r="E2199" s="49"/>
      <c r="F2199" s="49"/>
      <c r="G2199" s="49"/>
      <c r="H2199" s="49"/>
      <c r="I2199" s="49"/>
      <c r="J2199" s="49"/>
      <c r="K2199" s="49"/>
      <c r="L2199" s="49"/>
      <c r="M2199" s="49"/>
    </row>
    <row r="2200" spans="5:13">
      <c r="E2200" s="49"/>
      <c r="F2200" s="49"/>
      <c r="G2200" s="49"/>
      <c r="H2200" s="49"/>
      <c r="I2200" s="49"/>
      <c r="J2200" s="49"/>
      <c r="K2200" s="49"/>
      <c r="L2200" s="49"/>
      <c r="M2200" s="49"/>
    </row>
    <row r="2201" spans="5:13">
      <c r="E2201" s="49"/>
      <c r="F2201" s="49"/>
      <c r="G2201" s="49"/>
      <c r="H2201" s="49"/>
      <c r="I2201" s="49"/>
      <c r="J2201" s="49"/>
      <c r="K2201" s="49"/>
      <c r="L2201" s="49"/>
      <c r="M2201" s="49"/>
    </row>
    <row r="2202" spans="5:13">
      <c r="E2202" s="49"/>
      <c r="F2202" s="49"/>
      <c r="G2202" s="49"/>
      <c r="H2202" s="49"/>
      <c r="I2202" s="49"/>
      <c r="J2202" s="49"/>
      <c r="K2202" s="49"/>
      <c r="L2202" s="49"/>
      <c r="M2202" s="49"/>
    </row>
    <row r="2203" spans="5:13">
      <c r="E2203" s="49"/>
      <c r="F2203" s="49"/>
      <c r="G2203" s="49"/>
      <c r="H2203" s="49"/>
      <c r="I2203" s="49"/>
      <c r="J2203" s="49"/>
      <c r="K2203" s="49"/>
      <c r="L2203" s="49"/>
      <c r="M2203" s="49"/>
    </row>
    <row r="2204" spans="5:13">
      <c r="E2204" s="49"/>
      <c r="F2204" s="49"/>
      <c r="G2204" s="49"/>
      <c r="H2204" s="49"/>
      <c r="I2204" s="49"/>
      <c r="J2204" s="49"/>
      <c r="K2204" s="49"/>
      <c r="L2204" s="49"/>
      <c r="M2204" s="49"/>
    </row>
    <row r="2205" spans="5:13">
      <c r="E2205" s="49"/>
      <c r="F2205" s="49"/>
      <c r="G2205" s="49"/>
      <c r="H2205" s="49"/>
      <c r="I2205" s="49"/>
      <c r="J2205" s="49"/>
      <c r="K2205" s="49"/>
      <c r="L2205" s="49"/>
      <c r="M2205" s="49"/>
    </row>
    <row r="2206" spans="5:13">
      <c r="E2206" s="49"/>
      <c r="F2206" s="49"/>
      <c r="G2206" s="49"/>
      <c r="H2206" s="49"/>
      <c r="I2206" s="49"/>
      <c r="J2206" s="49"/>
      <c r="K2206" s="49"/>
      <c r="L2206" s="49"/>
      <c r="M2206" s="49"/>
    </row>
    <row r="2207" spans="5:13">
      <c r="E2207" s="49"/>
      <c r="F2207" s="49"/>
      <c r="G2207" s="49"/>
      <c r="H2207" s="49"/>
      <c r="I2207" s="49"/>
      <c r="J2207" s="49"/>
      <c r="K2207" s="49"/>
      <c r="L2207" s="49"/>
      <c r="M2207" s="49"/>
    </row>
    <row r="2208" spans="5:13">
      <c r="E2208" s="49"/>
      <c r="F2208" s="49"/>
      <c r="G2208" s="49"/>
      <c r="H2208" s="49"/>
      <c r="I2208" s="49"/>
      <c r="J2208" s="49"/>
      <c r="K2208" s="49"/>
      <c r="L2208" s="49"/>
      <c r="M2208" s="49"/>
    </row>
    <row r="2209" spans="5:13">
      <c r="E2209" s="49"/>
      <c r="F2209" s="49"/>
      <c r="G2209" s="49"/>
      <c r="H2209" s="49"/>
      <c r="I2209" s="49"/>
      <c r="J2209" s="49"/>
      <c r="K2209" s="49"/>
      <c r="L2209" s="49"/>
      <c r="M2209" s="49"/>
    </row>
    <row r="2210" spans="5:13">
      <c r="E2210" s="49"/>
      <c r="F2210" s="49"/>
      <c r="G2210" s="49"/>
      <c r="H2210" s="49"/>
      <c r="I2210" s="49"/>
      <c r="J2210" s="49"/>
      <c r="K2210" s="49"/>
      <c r="L2210" s="49"/>
      <c r="M2210" s="49"/>
    </row>
    <row r="2211" spans="5:13">
      <c r="E2211" s="49"/>
      <c r="F2211" s="49"/>
      <c r="G2211" s="49"/>
      <c r="H2211" s="49"/>
      <c r="I2211" s="49"/>
      <c r="J2211" s="49"/>
      <c r="K2211" s="49"/>
      <c r="L2211" s="49"/>
      <c r="M2211" s="49"/>
    </row>
    <row r="2212" spans="5:13">
      <c r="E2212" s="49"/>
      <c r="F2212" s="49"/>
      <c r="G2212" s="49"/>
      <c r="H2212" s="49"/>
      <c r="I2212" s="49"/>
      <c r="J2212" s="49"/>
      <c r="K2212" s="49"/>
      <c r="L2212" s="49"/>
      <c r="M2212" s="49"/>
    </row>
    <row r="2213" spans="5:13">
      <c r="E2213" s="49"/>
      <c r="F2213" s="49"/>
      <c r="G2213" s="49"/>
      <c r="H2213" s="49"/>
      <c r="I2213" s="49"/>
      <c r="J2213" s="49"/>
      <c r="K2213" s="49"/>
      <c r="L2213" s="49"/>
      <c r="M2213" s="49"/>
    </row>
    <row r="2214" spans="5:13">
      <c r="E2214" s="49"/>
      <c r="F2214" s="49"/>
      <c r="G2214" s="49"/>
      <c r="H2214" s="49"/>
      <c r="I2214" s="49"/>
      <c r="J2214" s="49"/>
      <c r="K2214" s="49"/>
      <c r="L2214" s="49"/>
      <c r="M2214" s="49"/>
    </row>
    <row r="2215" spans="5:13">
      <c r="E2215" s="49"/>
      <c r="F2215" s="49"/>
      <c r="G2215" s="49"/>
      <c r="H2215" s="49"/>
      <c r="I2215" s="49"/>
      <c r="J2215" s="49"/>
      <c r="K2215" s="49"/>
      <c r="L2215" s="49"/>
      <c r="M2215" s="49"/>
    </row>
    <row r="2216" spans="5:13">
      <c r="E2216" s="49"/>
      <c r="F2216" s="49"/>
      <c r="G2216" s="49"/>
      <c r="H2216" s="49"/>
      <c r="I2216" s="49"/>
      <c r="J2216" s="49"/>
      <c r="K2216" s="49"/>
      <c r="L2216" s="49"/>
      <c r="M2216" s="49"/>
    </row>
    <row r="2217" spans="5:13">
      <c r="E2217" s="49"/>
      <c r="F2217" s="49"/>
      <c r="G2217" s="49"/>
      <c r="H2217" s="49"/>
      <c r="I2217" s="49"/>
      <c r="J2217" s="49"/>
      <c r="K2217" s="49"/>
      <c r="L2217" s="49"/>
      <c r="M2217" s="49"/>
    </row>
    <row r="2218" spans="5:13">
      <c r="E2218" s="49"/>
      <c r="F2218" s="49"/>
      <c r="G2218" s="49"/>
      <c r="H2218" s="49"/>
      <c r="I2218" s="49"/>
      <c r="J2218" s="49"/>
      <c r="K2218" s="49"/>
      <c r="L2218" s="49"/>
      <c r="M2218" s="49"/>
    </row>
    <row r="2219" spans="5:13">
      <c r="E2219" s="49"/>
      <c r="F2219" s="49"/>
      <c r="G2219" s="49"/>
      <c r="H2219" s="49"/>
      <c r="I2219" s="49"/>
      <c r="J2219" s="49"/>
      <c r="K2219" s="49"/>
      <c r="L2219" s="49"/>
      <c r="M2219" s="49"/>
    </row>
    <row r="2220" spans="5:13">
      <c r="E2220" s="49"/>
      <c r="F2220" s="49"/>
      <c r="G2220" s="49"/>
      <c r="H2220" s="49"/>
      <c r="I2220" s="49"/>
      <c r="J2220" s="49"/>
      <c r="K2220" s="49"/>
      <c r="L2220" s="49"/>
      <c r="M2220" s="49"/>
    </row>
    <row r="2221" spans="5:13">
      <c r="E2221" s="49"/>
      <c r="F2221" s="49"/>
      <c r="G2221" s="49"/>
      <c r="H2221" s="49"/>
      <c r="I2221" s="49"/>
      <c r="J2221" s="49"/>
      <c r="K2221" s="49"/>
      <c r="L2221" s="49"/>
      <c r="M2221" s="49"/>
    </row>
    <row r="2222" spans="5:13">
      <c r="E2222" s="49"/>
      <c r="F2222" s="49"/>
      <c r="G2222" s="49"/>
      <c r="H2222" s="49"/>
      <c r="I2222" s="49"/>
      <c r="J2222" s="49"/>
      <c r="K2222" s="49"/>
      <c r="L2222" s="49"/>
      <c r="M2222" s="49"/>
    </row>
    <row r="2223" spans="5:13">
      <c r="E2223" s="49"/>
      <c r="F2223" s="49"/>
      <c r="G2223" s="49"/>
      <c r="H2223" s="49"/>
      <c r="I2223" s="49"/>
      <c r="J2223" s="49"/>
      <c r="K2223" s="49"/>
      <c r="L2223" s="49"/>
      <c r="M2223" s="49"/>
    </row>
    <row r="2224" spans="5:13">
      <c r="E2224" s="49"/>
      <c r="F2224" s="49"/>
      <c r="G2224" s="49"/>
      <c r="H2224" s="49"/>
      <c r="I2224" s="49"/>
      <c r="J2224" s="49"/>
      <c r="K2224" s="49"/>
      <c r="L2224" s="49"/>
      <c r="M2224" s="49"/>
    </row>
    <row r="2225" spans="5:13">
      <c r="E2225" s="49"/>
      <c r="F2225" s="49"/>
      <c r="G2225" s="49"/>
      <c r="H2225" s="49"/>
      <c r="I2225" s="49"/>
      <c r="J2225" s="49"/>
      <c r="K2225" s="49"/>
      <c r="L2225" s="49"/>
      <c r="M2225" s="49"/>
    </row>
    <row r="2226" spans="5:13">
      <c r="E2226" s="49"/>
      <c r="F2226" s="49"/>
      <c r="G2226" s="49"/>
      <c r="H2226" s="49"/>
      <c r="I2226" s="49"/>
      <c r="J2226" s="49"/>
      <c r="K2226" s="49"/>
      <c r="L2226" s="49"/>
      <c r="M2226" s="49"/>
    </row>
    <row r="2227" spans="5:13">
      <c r="E2227" s="49"/>
      <c r="F2227" s="49"/>
      <c r="G2227" s="49"/>
      <c r="H2227" s="49"/>
      <c r="I2227" s="49"/>
      <c r="J2227" s="49"/>
      <c r="K2227" s="49"/>
      <c r="L2227" s="49"/>
      <c r="M2227" s="49"/>
    </row>
    <row r="2228" spans="5:13">
      <c r="E2228" s="49"/>
      <c r="F2228" s="49"/>
      <c r="G2228" s="49"/>
      <c r="H2228" s="49"/>
      <c r="I2228" s="49"/>
      <c r="J2228" s="49"/>
      <c r="K2228" s="49"/>
      <c r="L2228" s="49"/>
      <c r="M2228" s="49"/>
    </row>
    <row r="2229" spans="5:13">
      <c r="E2229" s="49"/>
      <c r="F2229" s="49"/>
      <c r="G2229" s="49"/>
      <c r="H2229" s="49"/>
      <c r="I2229" s="49"/>
      <c r="J2229" s="49"/>
      <c r="K2229" s="49"/>
      <c r="L2229" s="49"/>
      <c r="M2229" s="49"/>
    </row>
    <row r="2230" spans="5:13">
      <c r="E2230" s="49"/>
      <c r="F2230" s="49"/>
      <c r="G2230" s="49"/>
      <c r="H2230" s="49"/>
      <c r="I2230" s="49"/>
      <c r="J2230" s="49"/>
      <c r="K2230" s="49"/>
      <c r="L2230" s="49"/>
      <c r="M2230" s="49"/>
    </row>
    <row r="2231" spans="5:13">
      <c r="E2231" s="49"/>
      <c r="F2231" s="49"/>
      <c r="G2231" s="49"/>
      <c r="H2231" s="49"/>
      <c r="I2231" s="49"/>
      <c r="J2231" s="49"/>
      <c r="K2231" s="49"/>
      <c r="L2231" s="49"/>
      <c r="M2231" s="49"/>
    </row>
    <row r="2232" spans="5:13">
      <c r="E2232" s="49"/>
      <c r="F2232" s="49"/>
      <c r="G2232" s="49"/>
      <c r="H2232" s="49"/>
      <c r="I2232" s="49"/>
      <c r="J2232" s="49"/>
      <c r="K2232" s="49"/>
      <c r="L2232" s="49"/>
      <c r="M2232" s="49"/>
    </row>
    <row r="2233" spans="5:13">
      <c r="E2233" s="49"/>
      <c r="F2233" s="49"/>
      <c r="G2233" s="49"/>
      <c r="H2233" s="49"/>
      <c r="I2233" s="49"/>
      <c r="J2233" s="49"/>
      <c r="K2233" s="49"/>
      <c r="L2233" s="49"/>
      <c r="M2233" s="49"/>
    </row>
    <row r="2234" spans="5:13">
      <c r="E2234" s="49"/>
      <c r="F2234" s="49"/>
      <c r="G2234" s="49"/>
      <c r="H2234" s="49"/>
      <c r="I2234" s="49"/>
      <c r="J2234" s="49"/>
      <c r="K2234" s="49"/>
      <c r="L2234" s="49"/>
      <c r="M2234" s="49"/>
    </row>
    <row r="2235" spans="5:13">
      <c r="E2235" s="49"/>
      <c r="F2235" s="49"/>
      <c r="G2235" s="49"/>
      <c r="H2235" s="49"/>
      <c r="I2235" s="49"/>
      <c r="J2235" s="49"/>
      <c r="K2235" s="49"/>
      <c r="L2235" s="49"/>
      <c r="M2235" s="49"/>
    </row>
    <row r="2236" spans="5:13">
      <c r="E2236" s="49"/>
      <c r="F2236" s="49"/>
      <c r="G2236" s="49"/>
      <c r="H2236" s="49"/>
      <c r="I2236" s="49"/>
      <c r="J2236" s="49"/>
      <c r="K2236" s="49"/>
      <c r="L2236" s="49"/>
      <c r="M2236" s="49"/>
    </row>
    <row r="2237" spans="5:13">
      <c r="E2237" s="49"/>
      <c r="F2237" s="49"/>
      <c r="G2237" s="49"/>
      <c r="H2237" s="49"/>
      <c r="I2237" s="49"/>
      <c r="J2237" s="49"/>
      <c r="K2237" s="49"/>
      <c r="L2237" s="49"/>
      <c r="M2237" s="49"/>
    </row>
    <row r="2238" spans="5:13">
      <c r="E2238" s="49"/>
      <c r="F2238" s="49"/>
      <c r="G2238" s="49"/>
      <c r="H2238" s="49"/>
      <c r="I2238" s="49"/>
      <c r="J2238" s="49"/>
      <c r="K2238" s="49"/>
      <c r="L2238" s="49"/>
      <c r="M2238" s="49"/>
    </row>
    <row r="2239" spans="5:13">
      <c r="E2239" s="49"/>
      <c r="F2239" s="49"/>
      <c r="G2239" s="49"/>
      <c r="H2239" s="49"/>
      <c r="I2239" s="49"/>
      <c r="J2239" s="49"/>
      <c r="K2239" s="49"/>
      <c r="L2239" s="49"/>
      <c r="M2239" s="49"/>
    </row>
    <row r="2240" spans="5:13">
      <c r="E2240" s="49"/>
      <c r="F2240" s="49"/>
      <c r="G2240" s="49"/>
      <c r="H2240" s="49"/>
      <c r="I2240" s="49"/>
      <c r="J2240" s="49"/>
      <c r="K2240" s="49"/>
      <c r="L2240" s="49"/>
      <c r="M2240" s="49"/>
    </row>
    <row r="2241" spans="5:13">
      <c r="E2241" s="49"/>
      <c r="F2241" s="49"/>
      <c r="G2241" s="49"/>
      <c r="H2241" s="49"/>
      <c r="I2241" s="49"/>
      <c r="J2241" s="49"/>
      <c r="K2241" s="49"/>
      <c r="L2241" s="49"/>
      <c r="M2241" s="49"/>
    </row>
    <row r="2242" spans="5:13">
      <c r="E2242" s="49"/>
      <c r="F2242" s="49"/>
      <c r="G2242" s="49"/>
      <c r="H2242" s="49"/>
      <c r="I2242" s="49"/>
      <c r="J2242" s="49"/>
      <c r="K2242" s="49"/>
      <c r="L2242" s="49"/>
      <c r="M2242" s="49"/>
    </row>
    <row r="2243" spans="5:13">
      <c r="E2243" s="49"/>
      <c r="F2243" s="49"/>
      <c r="G2243" s="49"/>
      <c r="H2243" s="49"/>
      <c r="I2243" s="49"/>
      <c r="J2243" s="49"/>
      <c r="K2243" s="49"/>
      <c r="L2243" s="49"/>
      <c r="M2243" s="49"/>
    </row>
    <row r="2244" spans="5:13">
      <c r="E2244" s="49"/>
      <c r="F2244" s="49"/>
      <c r="G2244" s="49"/>
      <c r="H2244" s="49"/>
      <c r="I2244" s="49"/>
      <c r="J2244" s="49"/>
      <c r="K2244" s="49"/>
      <c r="L2244" s="49"/>
      <c r="M2244" s="49"/>
    </row>
    <row r="2245" spans="5:13">
      <c r="E2245" s="49"/>
      <c r="F2245" s="49"/>
      <c r="G2245" s="49"/>
      <c r="H2245" s="49"/>
      <c r="I2245" s="49"/>
      <c r="J2245" s="49"/>
      <c r="K2245" s="49"/>
      <c r="L2245" s="49"/>
      <c r="M2245" s="49"/>
    </row>
    <row r="2246" spans="5:13">
      <c r="E2246" s="49"/>
      <c r="F2246" s="49"/>
      <c r="G2246" s="49"/>
      <c r="H2246" s="49"/>
      <c r="I2246" s="49"/>
      <c r="J2246" s="49"/>
      <c r="K2246" s="49"/>
      <c r="L2246" s="49"/>
      <c r="M2246" s="49"/>
    </row>
    <row r="2247" spans="5:13">
      <c r="E2247" s="49"/>
      <c r="F2247" s="49"/>
      <c r="G2247" s="49"/>
      <c r="H2247" s="49"/>
      <c r="I2247" s="49"/>
      <c r="J2247" s="49"/>
      <c r="K2247" s="49"/>
      <c r="L2247" s="49"/>
      <c r="M2247" s="49"/>
    </row>
    <row r="2248" spans="5:13">
      <c r="E2248" s="49"/>
      <c r="F2248" s="49"/>
      <c r="G2248" s="49"/>
      <c r="H2248" s="49"/>
      <c r="I2248" s="49"/>
      <c r="J2248" s="49"/>
      <c r="K2248" s="49"/>
      <c r="L2248" s="49"/>
      <c r="M2248" s="49"/>
    </row>
    <row r="2249" spans="5:13">
      <c r="E2249" s="49"/>
      <c r="F2249" s="49"/>
      <c r="G2249" s="49"/>
      <c r="H2249" s="49"/>
      <c r="I2249" s="49"/>
      <c r="J2249" s="49"/>
      <c r="K2249" s="49"/>
      <c r="L2249" s="49"/>
      <c r="M2249" s="49"/>
    </row>
    <row r="2250" spans="5:13">
      <c r="E2250" s="49"/>
      <c r="F2250" s="49"/>
      <c r="G2250" s="49"/>
      <c r="H2250" s="49"/>
      <c r="I2250" s="49"/>
      <c r="J2250" s="49"/>
      <c r="K2250" s="49"/>
      <c r="L2250" s="49"/>
      <c r="M2250" s="49"/>
    </row>
    <row r="2251" spans="5:13">
      <c r="E2251" s="49"/>
      <c r="F2251" s="49"/>
      <c r="G2251" s="49"/>
      <c r="H2251" s="49"/>
      <c r="I2251" s="49"/>
      <c r="J2251" s="49"/>
      <c r="K2251" s="49"/>
      <c r="L2251" s="49"/>
      <c r="M2251" s="49"/>
    </row>
    <row r="2252" spans="5:13">
      <c r="E2252" s="49"/>
      <c r="F2252" s="49"/>
      <c r="G2252" s="49"/>
      <c r="H2252" s="49"/>
      <c r="I2252" s="49"/>
      <c r="J2252" s="49"/>
      <c r="K2252" s="49"/>
      <c r="L2252" s="49"/>
      <c r="M2252" s="49"/>
    </row>
    <row r="2253" spans="5:13">
      <c r="E2253" s="49"/>
      <c r="F2253" s="49"/>
      <c r="G2253" s="49"/>
      <c r="H2253" s="49"/>
      <c r="I2253" s="49"/>
      <c r="J2253" s="49"/>
      <c r="K2253" s="49"/>
      <c r="L2253" s="49"/>
      <c r="M2253" s="49"/>
    </row>
    <row r="2254" spans="5:13">
      <c r="E2254" s="49"/>
      <c r="F2254" s="49"/>
      <c r="G2254" s="49"/>
      <c r="H2254" s="49"/>
      <c r="I2254" s="49"/>
      <c r="J2254" s="49"/>
      <c r="K2254" s="49"/>
      <c r="L2254" s="49"/>
      <c r="M2254" s="49"/>
    </row>
    <row r="2255" spans="5:13">
      <c r="E2255" s="49"/>
      <c r="F2255" s="49"/>
      <c r="G2255" s="49"/>
      <c r="H2255" s="49"/>
      <c r="I2255" s="49"/>
      <c r="J2255" s="49"/>
      <c r="K2255" s="49"/>
      <c r="L2255" s="49"/>
      <c r="M2255" s="49"/>
    </row>
    <row r="2256" spans="5:13">
      <c r="E2256" s="49"/>
      <c r="F2256" s="49"/>
      <c r="G2256" s="49"/>
      <c r="H2256" s="49"/>
      <c r="I2256" s="49"/>
      <c r="J2256" s="49"/>
      <c r="K2256" s="49"/>
      <c r="L2256" s="49"/>
      <c r="M2256" s="49"/>
    </row>
    <row r="2257" spans="5:13">
      <c r="E2257" s="49"/>
      <c r="F2257" s="49"/>
      <c r="G2257" s="49"/>
      <c r="H2257" s="49"/>
      <c r="I2257" s="49"/>
      <c r="J2257" s="49"/>
      <c r="K2257" s="49"/>
      <c r="L2257" s="49"/>
      <c r="M2257" s="49"/>
    </row>
    <row r="2258" spans="5:13">
      <c r="E2258" s="49"/>
      <c r="F2258" s="49"/>
      <c r="G2258" s="49"/>
      <c r="H2258" s="49"/>
      <c r="I2258" s="49"/>
      <c r="J2258" s="49"/>
      <c r="K2258" s="49"/>
      <c r="L2258" s="49"/>
      <c r="M2258" s="49"/>
    </row>
    <row r="2259" spans="5:13">
      <c r="E2259" s="49"/>
      <c r="F2259" s="49"/>
      <c r="G2259" s="49"/>
      <c r="H2259" s="49"/>
      <c r="I2259" s="49"/>
      <c r="J2259" s="49"/>
      <c r="K2259" s="49"/>
      <c r="L2259" s="49"/>
      <c r="M2259" s="49"/>
    </row>
    <row r="2260" spans="5:13">
      <c r="E2260" s="49"/>
      <c r="F2260" s="49"/>
      <c r="G2260" s="49"/>
      <c r="H2260" s="49"/>
      <c r="I2260" s="49"/>
      <c r="J2260" s="49"/>
      <c r="K2260" s="49"/>
      <c r="L2260" s="49"/>
      <c r="M2260" s="49"/>
    </row>
    <row r="2261" spans="5:13">
      <c r="E2261" s="49"/>
      <c r="F2261" s="49"/>
      <c r="G2261" s="49"/>
      <c r="H2261" s="49"/>
      <c r="I2261" s="49"/>
      <c r="J2261" s="49"/>
      <c r="K2261" s="49"/>
      <c r="L2261" s="49"/>
      <c r="M2261" s="49"/>
    </row>
    <row r="2262" spans="5:13">
      <c r="E2262" s="49"/>
      <c r="F2262" s="49"/>
      <c r="G2262" s="49"/>
      <c r="H2262" s="49"/>
      <c r="I2262" s="49"/>
      <c r="J2262" s="49"/>
      <c r="K2262" s="49"/>
      <c r="L2262" s="49"/>
      <c r="M2262" s="49"/>
    </row>
    <row r="2263" spans="5:13">
      <c r="E2263" s="49"/>
      <c r="F2263" s="49"/>
      <c r="G2263" s="49"/>
      <c r="H2263" s="49"/>
      <c r="I2263" s="49"/>
      <c r="J2263" s="49"/>
      <c r="K2263" s="49"/>
      <c r="L2263" s="49"/>
      <c r="M2263" s="49"/>
    </row>
    <row r="2264" spans="5:13">
      <c r="E2264" s="49"/>
      <c r="F2264" s="49"/>
      <c r="G2264" s="49"/>
      <c r="H2264" s="49"/>
      <c r="I2264" s="49"/>
      <c r="J2264" s="49"/>
      <c r="K2264" s="49"/>
      <c r="L2264" s="49"/>
      <c r="M2264" s="49"/>
    </row>
    <row r="2265" spans="5:13">
      <c r="E2265" s="49"/>
      <c r="F2265" s="49"/>
      <c r="G2265" s="49"/>
      <c r="H2265" s="49"/>
      <c r="I2265" s="49"/>
      <c r="J2265" s="49"/>
      <c r="K2265" s="49"/>
      <c r="L2265" s="49"/>
      <c r="M2265" s="49"/>
    </row>
    <row r="2266" spans="5:13">
      <c r="E2266" s="49"/>
      <c r="F2266" s="49"/>
      <c r="G2266" s="49"/>
      <c r="H2266" s="49"/>
      <c r="I2266" s="49"/>
      <c r="J2266" s="49"/>
      <c r="K2266" s="49"/>
      <c r="L2266" s="49"/>
      <c r="M2266" s="49"/>
    </row>
    <row r="2267" spans="5:13">
      <c r="E2267" s="49"/>
      <c r="F2267" s="49"/>
      <c r="G2267" s="49"/>
      <c r="H2267" s="49"/>
      <c r="I2267" s="49"/>
      <c r="J2267" s="49"/>
      <c r="K2267" s="49"/>
      <c r="L2267" s="49"/>
      <c r="M2267" s="49"/>
    </row>
    <row r="2268" spans="5:13">
      <c r="E2268" s="49"/>
      <c r="F2268" s="49"/>
      <c r="G2268" s="49"/>
      <c r="H2268" s="49"/>
      <c r="I2268" s="49"/>
      <c r="J2268" s="49"/>
      <c r="K2268" s="49"/>
      <c r="L2268" s="49"/>
      <c r="M2268" s="49"/>
    </row>
    <row r="2269" spans="5:13">
      <c r="E2269" s="49"/>
      <c r="F2269" s="49"/>
      <c r="G2269" s="49"/>
      <c r="H2269" s="49"/>
      <c r="I2269" s="49"/>
      <c r="J2269" s="49"/>
      <c r="K2269" s="49"/>
      <c r="L2269" s="49"/>
      <c r="M2269" s="49"/>
    </row>
    <row r="2270" spans="5:13">
      <c r="E2270" s="49"/>
      <c r="F2270" s="49"/>
      <c r="G2270" s="49"/>
      <c r="H2270" s="49"/>
      <c r="I2270" s="49"/>
      <c r="J2270" s="49"/>
      <c r="K2270" s="49"/>
      <c r="L2270" s="49"/>
      <c r="M2270" s="49"/>
    </row>
    <row r="2271" spans="5:13">
      <c r="E2271" s="49"/>
      <c r="F2271" s="49"/>
      <c r="G2271" s="49"/>
      <c r="H2271" s="49"/>
      <c r="I2271" s="49"/>
      <c r="J2271" s="49"/>
      <c r="K2271" s="49"/>
      <c r="L2271" s="49"/>
      <c r="M2271" s="49"/>
    </row>
    <row r="2272" spans="5:13">
      <c r="E2272" s="49"/>
      <c r="F2272" s="49"/>
      <c r="G2272" s="49"/>
      <c r="H2272" s="49"/>
      <c r="I2272" s="49"/>
      <c r="J2272" s="49"/>
      <c r="K2272" s="49"/>
      <c r="L2272" s="49"/>
      <c r="M2272" s="49"/>
    </row>
    <row r="2273" spans="5:13">
      <c r="E2273" s="49"/>
      <c r="F2273" s="49"/>
      <c r="G2273" s="49"/>
      <c r="H2273" s="49"/>
      <c r="I2273" s="49"/>
      <c r="J2273" s="49"/>
      <c r="K2273" s="49"/>
      <c r="L2273" s="49"/>
      <c r="M2273" s="49"/>
    </row>
    <row r="2274" spans="5:13">
      <c r="E2274" s="49"/>
      <c r="F2274" s="49"/>
      <c r="G2274" s="49"/>
      <c r="H2274" s="49"/>
      <c r="I2274" s="49"/>
      <c r="J2274" s="49"/>
      <c r="K2274" s="49"/>
      <c r="L2274" s="49"/>
      <c r="M2274" s="49"/>
    </row>
    <row r="2275" spans="5:13">
      <c r="E2275" s="49"/>
      <c r="F2275" s="49"/>
      <c r="G2275" s="49"/>
      <c r="H2275" s="49"/>
      <c r="I2275" s="49"/>
      <c r="J2275" s="49"/>
      <c r="K2275" s="49"/>
      <c r="L2275" s="49"/>
      <c r="M2275" s="49"/>
    </row>
    <row r="2276" spans="5:13">
      <c r="E2276" s="49"/>
      <c r="F2276" s="49"/>
      <c r="G2276" s="49"/>
      <c r="H2276" s="49"/>
      <c r="I2276" s="49"/>
      <c r="J2276" s="49"/>
      <c r="K2276" s="49"/>
      <c r="L2276" s="49"/>
      <c r="M2276" s="49"/>
    </row>
    <row r="2277" spans="5:13">
      <c r="E2277" s="49"/>
      <c r="F2277" s="49"/>
      <c r="G2277" s="49"/>
      <c r="H2277" s="49"/>
      <c r="I2277" s="49"/>
      <c r="J2277" s="49"/>
      <c r="K2277" s="49"/>
      <c r="L2277" s="49"/>
      <c r="M2277" s="49"/>
    </row>
    <row r="2278" spans="5:13">
      <c r="E2278" s="49"/>
      <c r="F2278" s="49"/>
      <c r="G2278" s="49"/>
      <c r="H2278" s="49"/>
      <c r="I2278" s="49"/>
      <c r="J2278" s="49"/>
      <c r="K2278" s="49"/>
      <c r="L2278" s="49"/>
      <c r="M2278" s="49"/>
    </row>
    <row r="2279" spans="5:13">
      <c r="E2279" s="49"/>
      <c r="F2279" s="49"/>
      <c r="G2279" s="49"/>
      <c r="H2279" s="49"/>
      <c r="I2279" s="49"/>
      <c r="J2279" s="49"/>
      <c r="K2279" s="49"/>
      <c r="L2279" s="49"/>
      <c r="M2279" s="49"/>
    </row>
    <row r="2280" spans="5:13">
      <c r="E2280" s="49"/>
      <c r="F2280" s="49"/>
      <c r="G2280" s="49"/>
      <c r="H2280" s="49"/>
      <c r="I2280" s="49"/>
      <c r="J2280" s="49"/>
      <c r="K2280" s="49"/>
      <c r="L2280" s="49"/>
      <c r="M2280" s="49"/>
    </row>
    <row r="2281" spans="5:13">
      <c r="E2281" s="49"/>
      <c r="F2281" s="49"/>
      <c r="G2281" s="49"/>
      <c r="H2281" s="49"/>
      <c r="I2281" s="49"/>
      <c r="J2281" s="49"/>
      <c r="K2281" s="49"/>
      <c r="L2281" s="49"/>
      <c r="M2281" s="49"/>
    </row>
    <row r="2282" spans="5:13">
      <c r="E2282" s="49"/>
      <c r="F2282" s="49"/>
      <c r="G2282" s="49"/>
      <c r="H2282" s="49"/>
      <c r="I2282" s="49"/>
      <c r="J2282" s="49"/>
      <c r="K2282" s="49"/>
      <c r="L2282" s="49"/>
      <c r="M2282" s="49"/>
    </row>
    <row r="2283" spans="5:13">
      <c r="E2283" s="49"/>
      <c r="F2283" s="49"/>
      <c r="G2283" s="49"/>
      <c r="H2283" s="49"/>
      <c r="I2283" s="49"/>
      <c r="J2283" s="49"/>
      <c r="K2283" s="49"/>
      <c r="L2283" s="49"/>
      <c r="M2283" s="49"/>
    </row>
    <row r="2284" spans="5:13">
      <c r="E2284" s="49"/>
      <c r="F2284" s="49"/>
      <c r="G2284" s="49"/>
      <c r="H2284" s="49"/>
      <c r="I2284" s="49"/>
      <c r="J2284" s="49"/>
      <c r="K2284" s="49"/>
      <c r="L2284" s="49"/>
      <c r="M2284" s="49"/>
    </row>
    <row r="2285" spans="5:13">
      <c r="E2285" s="49"/>
      <c r="F2285" s="49"/>
      <c r="G2285" s="49"/>
      <c r="H2285" s="49"/>
      <c r="I2285" s="49"/>
      <c r="J2285" s="49"/>
      <c r="K2285" s="49"/>
      <c r="L2285" s="49"/>
      <c r="M2285" s="49"/>
    </row>
    <row r="2286" spans="5:13">
      <c r="E2286" s="49"/>
      <c r="F2286" s="49"/>
      <c r="G2286" s="49"/>
      <c r="H2286" s="49"/>
      <c r="I2286" s="49"/>
      <c r="J2286" s="49"/>
      <c r="K2286" s="49"/>
      <c r="L2286" s="49"/>
      <c r="M2286" s="49"/>
    </row>
    <row r="2287" spans="5:13">
      <c r="E2287" s="49"/>
      <c r="F2287" s="49"/>
      <c r="G2287" s="49"/>
      <c r="H2287" s="49"/>
      <c r="I2287" s="49"/>
      <c r="J2287" s="49"/>
      <c r="K2287" s="49"/>
      <c r="L2287" s="49"/>
      <c r="M2287" s="49"/>
    </row>
    <row r="2288" spans="5:13">
      <c r="E2288" s="49"/>
      <c r="F2288" s="49"/>
      <c r="G2288" s="49"/>
      <c r="H2288" s="49"/>
      <c r="I2288" s="49"/>
      <c r="J2288" s="49"/>
      <c r="K2288" s="49"/>
      <c r="L2288" s="49"/>
      <c r="M2288" s="49"/>
    </row>
    <row r="2289" spans="5:13">
      <c r="E2289" s="49"/>
      <c r="F2289" s="49"/>
      <c r="G2289" s="49"/>
      <c r="H2289" s="49"/>
      <c r="I2289" s="49"/>
      <c r="J2289" s="49"/>
      <c r="K2289" s="49"/>
      <c r="L2289" s="49"/>
      <c r="M2289" s="49"/>
    </row>
    <row r="2290" spans="5:13">
      <c r="E2290" s="49"/>
      <c r="F2290" s="49"/>
      <c r="G2290" s="49"/>
      <c r="H2290" s="49"/>
      <c r="I2290" s="49"/>
      <c r="J2290" s="49"/>
      <c r="K2290" s="49"/>
      <c r="L2290" s="49"/>
      <c r="M2290" s="49"/>
    </row>
    <row r="2291" spans="5:13">
      <c r="E2291" s="49"/>
      <c r="F2291" s="49"/>
      <c r="G2291" s="49"/>
      <c r="H2291" s="49"/>
      <c r="I2291" s="49"/>
      <c r="J2291" s="49"/>
      <c r="K2291" s="49"/>
      <c r="L2291" s="49"/>
      <c r="M2291" s="49"/>
    </row>
    <row r="2292" spans="5:13">
      <c r="E2292" s="49"/>
      <c r="F2292" s="49"/>
      <c r="G2292" s="49"/>
      <c r="H2292" s="49"/>
      <c r="I2292" s="49"/>
      <c r="J2292" s="49"/>
      <c r="K2292" s="49"/>
      <c r="L2292" s="49"/>
      <c r="M2292" s="49"/>
    </row>
    <row r="2293" spans="5:13">
      <c r="E2293" s="49"/>
      <c r="F2293" s="49"/>
      <c r="G2293" s="49"/>
      <c r="H2293" s="49"/>
      <c r="I2293" s="49"/>
      <c r="J2293" s="49"/>
      <c r="K2293" s="49"/>
      <c r="L2293" s="49"/>
      <c r="M2293" s="49"/>
    </row>
    <row r="2294" spans="5:13">
      <c r="E2294" s="49"/>
      <c r="F2294" s="49"/>
      <c r="G2294" s="49"/>
      <c r="H2294" s="49"/>
      <c r="I2294" s="49"/>
      <c r="J2294" s="49"/>
      <c r="K2294" s="49"/>
      <c r="L2294" s="49"/>
      <c r="M2294" s="49"/>
    </row>
    <row r="2295" spans="5:13">
      <c r="E2295" s="49"/>
      <c r="F2295" s="49"/>
      <c r="G2295" s="49"/>
      <c r="H2295" s="49"/>
      <c r="I2295" s="49"/>
      <c r="J2295" s="49"/>
      <c r="K2295" s="49"/>
      <c r="L2295" s="49"/>
      <c r="M2295" s="49"/>
    </row>
    <row r="2296" spans="5:13">
      <c r="E2296" s="49"/>
      <c r="F2296" s="49"/>
      <c r="G2296" s="49"/>
      <c r="H2296" s="49"/>
      <c r="I2296" s="49"/>
      <c r="J2296" s="49"/>
      <c r="K2296" s="49"/>
      <c r="L2296" s="49"/>
      <c r="M2296" s="49"/>
    </row>
    <row r="2297" spans="5:13">
      <c r="E2297" s="49"/>
      <c r="F2297" s="49"/>
      <c r="G2297" s="49"/>
      <c r="H2297" s="49"/>
      <c r="I2297" s="49"/>
      <c r="J2297" s="49"/>
      <c r="K2297" s="49"/>
      <c r="L2297" s="49"/>
      <c r="M2297" s="49"/>
    </row>
    <row r="2298" spans="5:13">
      <c r="E2298" s="49"/>
      <c r="F2298" s="49"/>
      <c r="G2298" s="49"/>
      <c r="H2298" s="49"/>
      <c r="I2298" s="49"/>
      <c r="J2298" s="49"/>
      <c r="K2298" s="49"/>
      <c r="L2298" s="49"/>
      <c r="M2298" s="49"/>
    </row>
    <row r="2299" spans="5:13">
      <c r="E2299" s="49"/>
      <c r="F2299" s="49"/>
      <c r="G2299" s="49"/>
      <c r="H2299" s="49"/>
      <c r="I2299" s="49"/>
      <c r="J2299" s="49"/>
      <c r="K2299" s="49"/>
      <c r="L2299" s="49"/>
      <c r="M2299" s="49"/>
    </row>
    <row r="2300" spans="5:13">
      <c r="E2300" s="49"/>
      <c r="F2300" s="49"/>
      <c r="G2300" s="49"/>
      <c r="H2300" s="49"/>
      <c r="I2300" s="49"/>
      <c r="J2300" s="49"/>
      <c r="K2300" s="49"/>
      <c r="L2300" s="49"/>
      <c r="M2300" s="49"/>
    </row>
    <row r="2301" spans="5:13">
      <c r="E2301" s="49"/>
      <c r="F2301" s="49"/>
      <c r="G2301" s="49"/>
      <c r="H2301" s="49"/>
      <c r="I2301" s="49"/>
      <c r="J2301" s="49"/>
      <c r="K2301" s="49"/>
      <c r="L2301" s="49"/>
      <c r="M2301" s="49"/>
    </row>
    <row r="2302" spans="5:13">
      <c r="E2302" s="49"/>
      <c r="F2302" s="49"/>
      <c r="G2302" s="49"/>
      <c r="H2302" s="49"/>
      <c r="I2302" s="49"/>
      <c r="J2302" s="49"/>
      <c r="K2302" s="49"/>
      <c r="L2302" s="49"/>
      <c r="M2302" s="49"/>
    </row>
    <row r="2303" spans="5:13">
      <c r="E2303" s="49"/>
      <c r="F2303" s="49"/>
      <c r="G2303" s="49"/>
      <c r="H2303" s="49"/>
      <c r="I2303" s="49"/>
      <c r="J2303" s="49"/>
      <c r="K2303" s="49"/>
      <c r="L2303" s="49"/>
      <c r="M2303" s="49"/>
    </row>
    <row r="2304" spans="5:13">
      <c r="E2304" s="49"/>
      <c r="F2304" s="49"/>
      <c r="G2304" s="49"/>
      <c r="H2304" s="49"/>
      <c r="I2304" s="49"/>
      <c r="J2304" s="49"/>
      <c r="K2304" s="49"/>
      <c r="L2304" s="49"/>
      <c r="M2304" s="49"/>
    </row>
    <row r="2305" spans="5:13">
      <c r="E2305" s="49"/>
      <c r="F2305" s="49"/>
      <c r="G2305" s="49"/>
      <c r="H2305" s="49"/>
      <c r="I2305" s="49"/>
      <c r="J2305" s="49"/>
      <c r="K2305" s="49"/>
      <c r="L2305" s="49"/>
      <c r="M2305" s="49"/>
    </row>
    <row r="2306" spans="5:13">
      <c r="E2306" s="49"/>
      <c r="F2306" s="49"/>
      <c r="G2306" s="49"/>
      <c r="H2306" s="49"/>
      <c r="I2306" s="49"/>
      <c r="J2306" s="49"/>
      <c r="K2306" s="49"/>
      <c r="L2306" s="49"/>
      <c r="M2306" s="49"/>
    </row>
    <row r="2307" spans="5:13">
      <c r="E2307" s="49"/>
      <c r="F2307" s="49"/>
      <c r="G2307" s="49"/>
      <c r="H2307" s="49"/>
      <c r="I2307" s="49"/>
      <c r="J2307" s="49"/>
      <c r="K2307" s="49"/>
      <c r="L2307" s="49"/>
      <c r="M2307" s="49"/>
    </row>
    <row r="2308" spans="5:13">
      <c r="E2308" s="49"/>
      <c r="F2308" s="49"/>
      <c r="G2308" s="49"/>
      <c r="H2308" s="49"/>
      <c r="I2308" s="49"/>
      <c r="J2308" s="49"/>
      <c r="K2308" s="49"/>
      <c r="L2308" s="49"/>
      <c r="M2308" s="49"/>
    </row>
    <row r="2309" spans="5:13">
      <c r="E2309" s="49"/>
      <c r="F2309" s="49"/>
      <c r="G2309" s="49"/>
      <c r="H2309" s="49"/>
      <c r="I2309" s="49"/>
      <c r="J2309" s="49"/>
      <c r="K2309" s="49"/>
      <c r="L2309" s="49"/>
      <c r="M2309" s="49"/>
    </row>
    <row r="2310" spans="5:13">
      <c r="E2310" s="49"/>
      <c r="F2310" s="49"/>
      <c r="G2310" s="49"/>
      <c r="H2310" s="49"/>
      <c r="I2310" s="49"/>
      <c r="J2310" s="49"/>
      <c r="K2310" s="49"/>
      <c r="L2310" s="49"/>
      <c r="M2310" s="49"/>
    </row>
    <row r="2311" spans="5:13">
      <c r="E2311" s="49"/>
      <c r="F2311" s="49"/>
      <c r="G2311" s="49"/>
      <c r="H2311" s="49"/>
      <c r="I2311" s="49"/>
      <c r="J2311" s="49"/>
      <c r="K2311" s="49"/>
      <c r="L2311" s="49"/>
      <c r="M2311" s="49"/>
    </row>
    <row r="2312" spans="5:13">
      <c r="E2312" s="49"/>
      <c r="F2312" s="49"/>
      <c r="G2312" s="49"/>
      <c r="H2312" s="49"/>
      <c r="I2312" s="49"/>
      <c r="J2312" s="49"/>
      <c r="K2312" s="49"/>
      <c r="L2312" s="49"/>
      <c r="M2312" s="49"/>
    </row>
    <row r="2313" spans="5:13">
      <c r="E2313" s="49"/>
      <c r="F2313" s="49"/>
      <c r="G2313" s="49"/>
      <c r="H2313" s="49"/>
      <c r="I2313" s="49"/>
      <c r="J2313" s="49"/>
      <c r="K2313" s="49"/>
      <c r="L2313" s="49"/>
      <c r="M2313" s="49"/>
    </row>
    <row r="2314" spans="5:13">
      <c r="E2314" s="49"/>
      <c r="F2314" s="49"/>
      <c r="G2314" s="49"/>
      <c r="H2314" s="49"/>
      <c r="I2314" s="49"/>
      <c r="J2314" s="49"/>
      <c r="K2314" s="49"/>
      <c r="L2314" s="49"/>
      <c r="M2314" s="49"/>
    </row>
    <row r="2315" spans="5:13">
      <c r="E2315" s="49"/>
      <c r="F2315" s="49"/>
      <c r="G2315" s="49"/>
      <c r="H2315" s="49"/>
      <c r="I2315" s="49"/>
      <c r="J2315" s="49"/>
      <c r="K2315" s="49"/>
      <c r="L2315" s="49"/>
      <c r="M2315" s="49"/>
    </row>
    <row r="2316" spans="5:13">
      <c r="E2316" s="49"/>
      <c r="F2316" s="49"/>
      <c r="G2316" s="49"/>
      <c r="H2316" s="49"/>
      <c r="I2316" s="49"/>
      <c r="J2316" s="49"/>
      <c r="K2316" s="49"/>
      <c r="L2316" s="49"/>
      <c r="M2316" s="49"/>
    </row>
    <row r="2317" spans="5:13">
      <c r="E2317" s="49"/>
      <c r="F2317" s="49"/>
      <c r="G2317" s="49"/>
      <c r="H2317" s="49"/>
      <c r="I2317" s="49"/>
      <c r="J2317" s="49"/>
      <c r="K2317" s="49"/>
      <c r="L2317" s="49"/>
      <c r="M2317" s="49"/>
    </row>
    <row r="2318" spans="5:13">
      <c r="E2318" s="49"/>
      <c r="F2318" s="49"/>
      <c r="G2318" s="49"/>
      <c r="H2318" s="49"/>
      <c r="I2318" s="49"/>
      <c r="J2318" s="49"/>
      <c r="K2318" s="49"/>
      <c r="L2318" s="49"/>
      <c r="M2318" s="49"/>
    </row>
    <row r="2319" spans="5:13">
      <c r="E2319" s="49"/>
      <c r="F2319" s="49"/>
      <c r="G2319" s="49"/>
      <c r="H2319" s="49"/>
      <c r="I2319" s="49"/>
      <c r="J2319" s="49"/>
      <c r="K2319" s="49"/>
      <c r="L2319" s="49"/>
      <c r="M2319" s="49"/>
    </row>
    <row r="2320" spans="5:13">
      <c r="E2320" s="49"/>
      <c r="F2320" s="49"/>
      <c r="G2320" s="49"/>
      <c r="H2320" s="49"/>
      <c r="I2320" s="49"/>
      <c r="J2320" s="49"/>
      <c r="K2320" s="49"/>
      <c r="L2320" s="49"/>
      <c r="M2320" s="49"/>
    </row>
    <row r="2321" spans="5:13">
      <c r="E2321" s="49"/>
      <c r="F2321" s="49"/>
      <c r="G2321" s="49"/>
      <c r="H2321" s="49"/>
      <c r="I2321" s="49"/>
      <c r="J2321" s="49"/>
      <c r="K2321" s="49"/>
      <c r="L2321" s="49"/>
      <c r="M2321" s="49"/>
    </row>
    <row r="2322" spans="5:13">
      <c r="E2322" s="49"/>
      <c r="F2322" s="49"/>
      <c r="G2322" s="49"/>
      <c r="H2322" s="49"/>
      <c r="I2322" s="49"/>
      <c r="J2322" s="49"/>
      <c r="K2322" s="49"/>
      <c r="L2322" s="49"/>
      <c r="M2322" s="49"/>
    </row>
    <row r="2323" spans="5:13">
      <c r="E2323" s="49"/>
      <c r="F2323" s="49"/>
      <c r="G2323" s="49"/>
      <c r="H2323" s="49"/>
      <c r="I2323" s="49"/>
      <c r="J2323" s="49"/>
      <c r="K2323" s="49"/>
      <c r="L2323" s="49"/>
      <c r="M2323" s="49"/>
    </row>
    <row r="2324" spans="5:13">
      <c r="E2324" s="49"/>
      <c r="F2324" s="49"/>
      <c r="G2324" s="49"/>
      <c r="H2324" s="49"/>
      <c r="I2324" s="49"/>
      <c r="J2324" s="49"/>
      <c r="K2324" s="49"/>
      <c r="L2324" s="49"/>
      <c r="M2324" s="49"/>
    </row>
    <row r="2325" spans="5:13">
      <c r="E2325" s="49"/>
      <c r="F2325" s="49"/>
      <c r="G2325" s="49"/>
      <c r="H2325" s="49"/>
      <c r="I2325" s="49"/>
      <c r="J2325" s="49"/>
      <c r="K2325" s="49"/>
      <c r="L2325" s="49"/>
      <c r="M2325" s="49"/>
    </row>
    <row r="2326" spans="5:13">
      <c r="E2326" s="49"/>
      <c r="F2326" s="49"/>
      <c r="G2326" s="49"/>
      <c r="H2326" s="49"/>
      <c r="I2326" s="49"/>
      <c r="J2326" s="49"/>
      <c r="K2326" s="49"/>
      <c r="L2326" s="49"/>
      <c r="M2326" s="49"/>
    </row>
    <row r="2327" spans="5:13">
      <c r="E2327" s="49"/>
      <c r="F2327" s="49"/>
      <c r="G2327" s="49"/>
      <c r="H2327" s="49"/>
      <c r="I2327" s="49"/>
      <c r="J2327" s="49"/>
      <c r="K2327" s="49"/>
      <c r="L2327" s="49"/>
      <c r="M2327" s="49"/>
    </row>
    <row r="2328" spans="5:13">
      <c r="E2328" s="49"/>
      <c r="F2328" s="49"/>
      <c r="G2328" s="49"/>
      <c r="H2328" s="49"/>
      <c r="I2328" s="49"/>
      <c r="J2328" s="49"/>
      <c r="K2328" s="49"/>
      <c r="L2328" s="49"/>
      <c r="M2328" s="49"/>
    </row>
    <row r="2329" spans="5:13">
      <c r="E2329" s="49"/>
      <c r="F2329" s="49"/>
      <c r="G2329" s="49"/>
      <c r="H2329" s="49"/>
      <c r="I2329" s="49"/>
      <c r="J2329" s="49"/>
      <c r="K2329" s="49"/>
      <c r="L2329" s="49"/>
      <c r="M2329" s="49"/>
    </row>
    <row r="2330" spans="5:13">
      <c r="E2330" s="49"/>
      <c r="F2330" s="49"/>
      <c r="G2330" s="49"/>
      <c r="H2330" s="49"/>
      <c r="I2330" s="49"/>
      <c r="J2330" s="49"/>
      <c r="K2330" s="49"/>
      <c r="L2330" s="49"/>
      <c r="M2330" s="49"/>
    </row>
    <row r="2331" spans="5:13">
      <c r="E2331" s="49"/>
      <c r="F2331" s="49"/>
      <c r="G2331" s="49"/>
      <c r="H2331" s="49"/>
      <c r="I2331" s="49"/>
      <c r="J2331" s="49"/>
      <c r="K2331" s="49"/>
      <c r="L2331" s="49"/>
      <c r="M2331" s="49"/>
    </row>
    <row r="2332" spans="5:13">
      <c r="E2332" s="49"/>
      <c r="F2332" s="49"/>
      <c r="G2332" s="49"/>
      <c r="H2332" s="49"/>
      <c r="I2332" s="49"/>
      <c r="J2332" s="49"/>
      <c r="K2332" s="49"/>
      <c r="L2332" s="49"/>
      <c r="M2332" s="49"/>
    </row>
    <row r="2333" spans="5:13">
      <c r="E2333" s="49"/>
      <c r="F2333" s="49"/>
      <c r="G2333" s="49"/>
      <c r="H2333" s="49"/>
      <c r="I2333" s="49"/>
      <c r="J2333" s="49"/>
      <c r="K2333" s="49"/>
      <c r="L2333" s="49"/>
      <c r="M2333" s="49"/>
    </row>
    <row r="2334" spans="5:13">
      <c r="E2334" s="49"/>
      <c r="F2334" s="49"/>
      <c r="G2334" s="49"/>
      <c r="H2334" s="49"/>
      <c r="I2334" s="49"/>
      <c r="J2334" s="49"/>
      <c r="K2334" s="49"/>
      <c r="L2334" s="49"/>
      <c r="M2334" s="49"/>
    </row>
    <row r="2335" spans="5:13">
      <c r="E2335" s="49"/>
      <c r="F2335" s="49"/>
      <c r="G2335" s="49"/>
      <c r="H2335" s="49"/>
      <c r="I2335" s="49"/>
      <c r="J2335" s="49"/>
      <c r="K2335" s="49"/>
      <c r="L2335" s="49"/>
      <c r="M2335" s="49"/>
    </row>
    <row r="2336" spans="5:13">
      <c r="E2336" s="49"/>
      <c r="F2336" s="49"/>
      <c r="G2336" s="49"/>
      <c r="H2336" s="49"/>
      <c r="I2336" s="49"/>
      <c r="J2336" s="49"/>
      <c r="K2336" s="49"/>
      <c r="L2336" s="49"/>
      <c r="M2336" s="49"/>
    </row>
    <row r="2337" spans="5:13">
      <c r="E2337" s="49"/>
      <c r="F2337" s="49"/>
      <c r="G2337" s="49"/>
      <c r="H2337" s="49"/>
      <c r="I2337" s="49"/>
      <c r="J2337" s="49"/>
      <c r="K2337" s="49"/>
      <c r="L2337" s="49"/>
      <c r="M2337" s="49"/>
    </row>
    <row r="2338" spans="5:13">
      <c r="E2338" s="49"/>
      <c r="F2338" s="49"/>
      <c r="G2338" s="49"/>
      <c r="H2338" s="49"/>
      <c r="I2338" s="49"/>
      <c r="J2338" s="49"/>
      <c r="K2338" s="49"/>
      <c r="L2338" s="49"/>
      <c r="M2338" s="49"/>
    </row>
    <row r="2339" spans="5:13">
      <c r="E2339" s="49"/>
      <c r="F2339" s="49"/>
      <c r="G2339" s="49"/>
      <c r="H2339" s="49"/>
      <c r="I2339" s="49"/>
      <c r="J2339" s="49"/>
      <c r="K2339" s="49"/>
      <c r="L2339" s="49"/>
      <c r="M2339" s="49"/>
    </row>
    <row r="2340" spans="5:13">
      <c r="E2340" s="49"/>
      <c r="F2340" s="49"/>
      <c r="G2340" s="49"/>
      <c r="H2340" s="49"/>
      <c r="I2340" s="49"/>
      <c r="J2340" s="49"/>
      <c r="K2340" s="49"/>
      <c r="L2340" s="49"/>
      <c r="M2340" s="49"/>
    </row>
    <row r="2341" spans="5:13">
      <c r="E2341" s="49"/>
      <c r="F2341" s="49"/>
      <c r="G2341" s="49"/>
      <c r="H2341" s="49"/>
      <c r="I2341" s="49"/>
      <c r="J2341" s="49"/>
      <c r="K2341" s="49"/>
      <c r="L2341" s="49"/>
      <c r="M2341" s="49"/>
    </row>
    <row r="2342" spans="5:13">
      <c r="E2342" s="49"/>
      <c r="F2342" s="49"/>
      <c r="G2342" s="49"/>
      <c r="H2342" s="49"/>
      <c r="I2342" s="49"/>
      <c r="J2342" s="49"/>
      <c r="K2342" s="49"/>
      <c r="L2342" s="49"/>
      <c r="M2342" s="49"/>
    </row>
    <row r="2343" spans="5:13">
      <c r="E2343" s="49"/>
      <c r="F2343" s="49"/>
      <c r="G2343" s="49"/>
      <c r="H2343" s="49"/>
      <c r="I2343" s="49"/>
      <c r="J2343" s="49"/>
      <c r="K2343" s="49"/>
      <c r="L2343" s="49"/>
      <c r="M2343" s="49"/>
    </row>
    <row r="2344" spans="5:13">
      <c r="E2344" s="49"/>
      <c r="F2344" s="49"/>
      <c r="G2344" s="49"/>
      <c r="H2344" s="49"/>
      <c r="I2344" s="49"/>
      <c r="J2344" s="49"/>
      <c r="K2344" s="49"/>
      <c r="L2344" s="49"/>
      <c r="M2344" s="49"/>
    </row>
    <row r="2345" spans="5:13">
      <c r="E2345" s="49"/>
      <c r="F2345" s="49"/>
      <c r="G2345" s="49"/>
      <c r="H2345" s="49"/>
      <c r="I2345" s="49"/>
      <c r="J2345" s="49"/>
      <c r="K2345" s="49"/>
      <c r="L2345" s="49"/>
      <c r="M2345" s="49"/>
    </row>
    <row r="2346" spans="5:13">
      <c r="E2346" s="49"/>
      <c r="F2346" s="49"/>
      <c r="G2346" s="49"/>
      <c r="H2346" s="49"/>
      <c r="I2346" s="49"/>
      <c r="J2346" s="49"/>
      <c r="K2346" s="49"/>
      <c r="L2346" s="49"/>
      <c r="M2346" s="49"/>
    </row>
    <row r="2347" spans="5:13">
      <c r="E2347" s="49"/>
      <c r="F2347" s="49"/>
      <c r="G2347" s="49"/>
      <c r="H2347" s="49"/>
      <c r="I2347" s="49"/>
      <c r="J2347" s="49"/>
      <c r="K2347" s="49"/>
      <c r="L2347" s="49"/>
      <c r="M2347" s="49"/>
    </row>
    <row r="2348" spans="5:13">
      <c r="E2348" s="49"/>
      <c r="F2348" s="49"/>
      <c r="G2348" s="49"/>
      <c r="H2348" s="49"/>
      <c r="I2348" s="49"/>
      <c r="J2348" s="49"/>
      <c r="K2348" s="49"/>
      <c r="L2348" s="49"/>
      <c r="M2348" s="49"/>
    </row>
    <row r="2349" spans="5:13">
      <c r="E2349" s="49"/>
      <c r="F2349" s="49"/>
      <c r="G2349" s="49"/>
      <c r="H2349" s="49"/>
      <c r="I2349" s="49"/>
      <c r="J2349" s="49"/>
      <c r="K2349" s="49"/>
      <c r="L2349" s="49"/>
      <c r="M2349" s="49"/>
    </row>
    <row r="2350" spans="5:13">
      <c r="E2350" s="49"/>
      <c r="F2350" s="49"/>
      <c r="G2350" s="49"/>
      <c r="H2350" s="49"/>
      <c r="I2350" s="49"/>
      <c r="J2350" s="49"/>
      <c r="K2350" s="49"/>
      <c r="L2350" s="49"/>
      <c r="M2350" s="49"/>
    </row>
    <row r="2351" spans="5:13">
      <c r="E2351" s="49"/>
      <c r="F2351" s="49"/>
      <c r="G2351" s="49"/>
      <c r="H2351" s="49"/>
      <c r="I2351" s="49"/>
      <c r="J2351" s="49"/>
      <c r="K2351" s="49"/>
      <c r="L2351" s="49"/>
      <c r="M2351" s="49"/>
    </row>
    <row r="2352" spans="5:13">
      <c r="E2352" s="49"/>
      <c r="F2352" s="49"/>
      <c r="G2352" s="49"/>
      <c r="H2352" s="49"/>
      <c r="I2352" s="49"/>
      <c r="J2352" s="49"/>
      <c r="K2352" s="49"/>
      <c r="L2352" s="49"/>
      <c r="M2352" s="49"/>
    </row>
    <row r="2353" spans="5:13">
      <c r="E2353" s="49"/>
      <c r="F2353" s="49"/>
      <c r="G2353" s="49"/>
      <c r="H2353" s="49"/>
      <c r="I2353" s="49"/>
      <c r="J2353" s="49"/>
      <c r="K2353" s="49"/>
      <c r="L2353" s="49"/>
      <c r="M2353" s="49"/>
    </row>
    <row r="2354" spans="5:13">
      <c r="E2354" s="49"/>
      <c r="F2354" s="49"/>
      <c r="G2354" s="49"/>
      <c r="H2354" s="49"/>
      <c r="I2354" s="49"/>
      <c r="J2354" s="49"/>
      <c r="K2354" s="49"/>
      <c r="L2354" s="49"/>
      <c r="M2354" s="49"/>
    </row>
    <row r="2355" spans="5:13">
      <c r="E2355" s="49"/>
      <c r="F2355" s="49"/>
      <c r="G2355" s="49"/>
      <c r="H2355" s="49"/>
      <c r="I2355" s="49"/>
      <c r="J2355" s="49"/>
      <c r="K2355" s="49"/>
      <c r="L2355" s="49"/>
      <c r="M2355" s="49"/>
    </row>
    <row r="2356" spans="5:13">
      <c r="E2356" s="49"/>
      <c r="F2356" s="49"/>
      <c r="G2356" s="49"/>
      <c r="H2356" s="49"/>
      <c r="I2356" s="49"/>
      <c r="J2356" s="49"/>
      <c r="K2356" s="49"/>
      <c r="L2356" s="49"/>
      <c r="M2356" s="49"/>
    </row>
    <row r="2357" spans="5:13">
      <c r="E2357" s="49"/>
      <c r="F2357" s="49"/>
      <c r="G2357" s="49"/>
      <c r="H2357" s="49"/>
      <c r="I2357" s="49"/>
      <c r="J2357" s="49"/>
      <c r="K2357" s="49"/>
      <c r="L2357" s="49"/>
      <c r="M2357" s="49"/>
    </row>
    <row r="2358" spans="5:13">
      <c r="E2358" s="49"/>
      <c r="F2358" s="49"/>
      <c r="G2358" s="49"/>
      <c r="H2358" s="49"/>
      <c r="I2358" s="49"/>
      <c r="J2358" s="49"/>
      <c r="K2358" s="49"/>
      <c r="L2358" s="49"/>
      <c r="M2358" s="49"/>
    </row>
    <row r="2359" spans="5:13">
      <c r="E2359" s="49"/>
      <c r="F2359" s="49"/>
      <c r="G2359" s="49"/>
      <c r="H2359" s="49"/>
      <c r="I2359" s="49"/>
      <c r="J2359" s="49"/>
      <c r="K2359" s="49"/>
      <c r="L2359" s="49"/>
      <c r="M2359" s="49"/>
    </row>
    <row r="2360" spans="5:13">
      <c r="E2360" s="49"/>
      <c r="F2360" s="49"/>
      <c r="G2360" s="49"/>
      <c r="H2360" s="49"/>
      <c r="I2360" s="49"/>
      <c r="J2360" s="49"/>
      <c r="K2360" s="49"/>
      <c r="L2360" s="49"/>
      <c r="M2360" s="49"/>
    </row>
    <row r="2361" spans="5:13">
      <c r="E2361" s="49"/>
      <c r="F2361" s="49"/>
      <c r="G2361" s="49"/>
      <c r="H2361" s="49"/>
      <c r="I2361" s="49"/>
      <c r="J2361" s="49"/>
      <c r="K2361" s="49"/>
      <c r="L2361" s="49"/>
      <c r="M2361" s="49"/>
    </row>
    <row r="2362" spans="5:13">
      <c r="E2362" s="49"/>
      <c r="F2362" s="49"/>
      <c r="G2362" s="49"/>
      <c r="H2362" s="49"/>
      <c r="I2362" s="49"/>
      <c r="J2362" s="49"/>
      <c r="K2362" s="49"/>
      <c r="L2362" s="49"/>
      <c r="M2362" s="49"/>
    </row>
    <row r="2363" spans="5:13">
      <c r="E2363" s="49"/>
      <c r="F2363" s="49"/>
      <c r="G2363" s="49"/>
      <c r="H2363" s="49"/>
      <c r="I2363" s="49"/>
      <c r="J2363" s="49"/>
      <c r="K2363" s="49"/>
      <c r="L2363" s="49"/>
      <c r="M2363" s="49"/>
    </row>
    <row r="2364" spans="5:13">
      <c r="E2364" s="49"/>
      <c r="F2364" s="49"/>
      <c r="G2364" s="49"/>
      <c r="H2364" s="49"/>
      <c r="I2364" s="49"/>
      <c r="J2364" s="49"/>
      <c r="K2364" s="49"/>
      <c r="L2364" s="49"/>
      <c r="M2364" s="49"/>
    </row>
    <row r="2365" spans="5:13">
      <c r="E2365" s="49"/>
      <c r="F2365" s="49"/>
      <c r="G2365" s="49"/>
      <c r="H2365" s="49"/>
      <c r="I2365" s="49"/>
      <c r="J2365" s="49"/>
      <c r="K2365" s="49"/>
      <c r="L2365" s="49"/>
      <c r="M2365" s="49"/>
    </row>
    <row r="2366" spans="5:13">
      <c r="E2366" s="49"/>
      <c r="F2366" s="49"/>
      <c r="G2366" s="49"/>
      <c r="H2366" s="49"/>
      <c r="I2366" s="49"/>
      <c r="J2366" s="49"/>
      <c r="K2366" s="49"/>
      <c r="L2366" s="49"/>
      <c r="M2366" s="49"/>
    </row>
    <row r="2367" spans="5:13">
      <c r="E2367" s="49"/>
      <c r="F2367" s="49"/>
      <c r="G2367" s="49"/>
      <c r="H2367" s="49"/>
      <c r="I2367" s="49"/>
      <c r="J2367" s="49"/>
      <c r="K2367" s="49"/>
      <c r="L2367" s="49"/>
      <c r="M2367" s="49"/>
    </row>
    <row r="2368" spans="5:13">
      <c r="E2368" s="49"/>
      <c r="F2368" s="49"/>
      <c r="G2368" s="49"/>
      <c r="H2368" s="49"/>
      <c r="I2368" s="49"/>
      <c r="J2368" s="49"/>
      <c r="K2368" s="49"/>
      <c r="L2368" s="49"/>
      <c r="M2368" s="49"/>
    </row>
    <row r="2369" spans="5:13">
      <c r="E2369" s="49"/>
      <c r="F2369" s="49"/>
      <c r="G2369" s="49"/>
      <c r="H2369" s="49"/>
      <c r="I2369" s="49"/>
      <c r="J2369" s="49"/>
      <c r="K2369" s="49"/>
      <c r="L2369" s="49"/>
      <c r="M2369" s="49"/>
    </row>
    <row r="2370" spans="5:13">
      <c r="E2370" s="49"/>
      <c r="F2370" s="49"/>
      <c r="G2370" s="49"/>
      <c r="H2370" s="49"/>
      <c r="I2370" s="49"/>
      <c r="J2370" s="49"/>
      <c r="K2370" s="49"/>
      <c r="L2370" s="49"/>
      <c r="M2370" s="49"/>
    </row>
    <row r="2371" spans="5:13">
      <c r="E2371" s="49"/>
      <c r="F2371" s="49"/>
      <c r="G2371" s="49"/>
      <c r="H2371" s="49"/>
      <c r="I2371" s="49"/>
      <c r="J2371" s="49"/>
      <c r="K2371" s="49"/>
      <c r="L2371" s="49"/>
      <c r="M2371" s="49"/>
    </row>
    <row r="2372" spans="5:13">
      <c r="E2372" s="49"/>
      <c r="F2372" s="49"/>
      <c r="G2372" s="49"/>
      <c r="H2372" s="49"/>
      <c r="I2372" s="49"/>
      <c r="J2372" s="49"/>
      <c r="K2372" s="49"/>
      <c r="L2372" s="49"/>
      <c r="M2372" s="49"/>
    </row>
    <row r="2373" spans="5:13">
      <c r="E2373" s="49"/>
      <c r="F2373" s="49"/>
      <c r="G2373" s="49"/>
      <c r="H2373" s="49"/>
      <c r="I2373" s="49"/>
      <c r="J2373" s="49"/>
      <c r="K2373" s="49"/>
      <c r="L2373" s="49"/>
      <c r="M2373" s="49"/>
    </row>
    <row r="2374" spans="5:13">
      <c r="E2374" s="49"/>
      <c r="F2374" s="49"/>
      <c r="G2374" s="49"/>
      <c r="H2374" s="49"/>
      <c r="I2374" s="49"/>
      <c r="J2374" s="49"/>
      <c r="K2374" s="49"/>
      <c r="L2374" s="49"/>
      <c r="M2374" s="49"/>
    </row>
    <row r="2375" spans="5:13">
      <c r="E2375" s="49"/>
      <c r="F2375" s="49"/>
      <c r="G2375" s="49"/>
      <c r="H2375" s="49"/>
      <c r="I2375" s="49"/>
      <c r="J2375" s="49"/>
      <c r="K2375" s="49"/>
      <c r="L2375" s="49"/>
      <c r="M2375" s="49"/>
    </row>
    <row r="2376" spans="5:13">
      <c r="E2376" s="49"/>
      <c r="F2376" s="49"/>
      <c r="G2376" s="49"/>
      <c r="H2376" s="49"/>
      <c r="I2376" s="49"/>
      <c r="J2376" s="49"/>
      <c r="K2376" s="49"/>
      <c r="L2376" s="49"/>
      <c r="M2376" s="49"/>
    </row>
    <row r="2377" spans="5:13">
      <c r="E2377" s="49"/>
      <c r="F2377" s="49"/>
      <c r="G2377" s="49"/>
      <c r="H2377" s="49"/>
      <c r="I2377" s="49"/>
      <c r="J2377" s="49"/>
      <c r="K2377" s="49"/>
      <c r="L2377" s="49"/>
      <c r="M2377" s="49"/>
    </row>
    <row r="2378" spans="5:13">
      <c r="E2378" s="49"/>
      <c r="F2378" s="49"/>
      <c r="G2378" s="49"/>
      <c r="H2378" s="49"/>
      <c r="I2378" s="49"/>
      <c r="J2378" s="49"/>
      <c r="K2378" s="49"/>
      <c r="L2378" s="49"/>
      <c r="M2378" s="49"/>
    </row>
    <row r="2379" spans="5:13">
      <c r="E2379" s="49"/>
      <c r="F2379" s="49"/>
      <c r="G2379" s="49"/>
      <c r="H2379" s="49"/>
      <c r="I2379" s="49"/>
      <c r="J2379" s="49"/>
      <c r="K2379" s="49"/>
      <c r="L2379" s="49"/>
      <c r="M2379" s="49"/>
    </row>
    <row r="2380" spans="5:13">
      <c r="E2380" s="49"/>
      <c r="F2380" s="49"/>
      <c r="G2380" s="49"/>
      <c r="H2380" s="49"/>
      <c r="I2380" s="49"/>
      <c r="J2380" s="49"/>
      <c r="K2380" s="49"/>
      <c r="L2380" s="49"/>
      <c r="M2380" s="49"/>
    </row>
    <row r="2381" spans="5:13">
      <c r="E2381" s="49"/>
      <c r="F2381" s="49"/>
      <c r="G2381" s="49"/>
      <c r="H2381" s="49"/>
      <c r="I2381" s="49"/>
      <c r="J2381" s="49"/>
      <c r="K2381" s="49"/>
      <c r="L2381" s="49"/>
      <c r="M2381" s="49"/>
    </row>
    <row r="2382" spans="5:13">
      <c r="E2382" s="49"/>
      <c r="F2382" s="49"/>
      <c r="G2382" s="49"/>
      <c r="H2382" s="49"/>
      <c r="I2382" s="49"/>
      <c r="J2382" s="49"/>
      <c r="K2382" s="49"/>
      <c r="L2382" s="49"/>
      <c r="M2382" s="49"/>
    </row>
    <row r="2383" spans="5:13">
      <c r="E2383" s="49"/>
      <c r="F2383" s="49"/>
      <c r="G2383" s="49"/>
      <c r="H2383" s="49"/>
      <c r="I2383" s="49"/>
      <c r="J2383" s="49"/>
      <c r="K2383" s="49"/>
      <c r="L2383" s="49"/>
      <c r="M2383" s="49"/>
    </row>
    <row r="2384" spans="5:13">
      <c r="E2384" s="49"/>
      <c r="F2384" s="49"/>
      <c r="G2384" s="49"/>
      <c r="H2384" s="49"/>
      <c r="I2384" s="49"/>
      <c r="J2384" s="49"/>
      <c r="K2384" s="49"/>
      <c r="L2384" s="49"/>
      <c r="M2384" s="49"/>
    </row>
    <row r="2385" spans="5:13">
      <c r="E2385" s="49"/>
      <c r="F2385" s="49"/>
      <c r="G2385" s="49"/>
      <c r="H2385" s="49"/>
      <c r="I2385" s="49"/>
      <c r="J2385" s="49"/>
      <c r="K2385" s="49"/>
      <c r="L2385" s="49"/>
      <c r="M2385" s="49"/>
    </row>
    <row r="2386" spans="5:13">
      <c r="E2386" s="49"/>
      <c r="F2386" s="49"/>
      <c r="G2386" s="49"/>
      <c r="H2386" s="49"/>
      <c r="I2386" s="49"/>
      <c r="J2386" s="49"/>
      <c r="K2386" s="49"/>
      <c r="L2386" s="49"/>
      <c r="M2386" s="49"/>
    </row>
    <row r="2387" spans="5:13">
      <c r="E2387" s="49"/>
      <c r="F2387" s="49"/>
      <c r="G2387" s="49"/>
      <c r="H2387" s="49"/>
      <c r="I2387" s="49"/>
      <c r="J2387" s="49"/>
      <c r="K2387" s="49"/>
      <c r="L2387" s="49"/>
      <c r="M2387" s="49"/>
    </row>
    <row r="2388" spans="5:13">
      <c r="E2388" s="49"/>
      <c r="F2388" s="49"/>
      <c r="G2388" s="49"/>
      <c r="H2388" s="49"/>
      <c r="I2388" s="49"/>
      <c r="J2388" s="49"/>
      <c r="K2388" s="49"/>
      <c r="L2388" s="49"/>
      <c r="M2388" s="49"/>
    </row>
    <row r="2389" spans="5:13">
      <c r="E2389" s="49"/>
      <c r="F2389" s="49"/>
      <c r="G2389" s="49"/>
      <c r="H2389" s="49"/>
      <c r="I2389" s="49"/>
      <c r="J2389" s="49"/>
      <c r="K2389" s="49"/>
      <c r="L2389" s="49"/>
      <c r="M2389" s="49"/>
    </row>
    <row r="2390" spans="5:13">
      <c r="E2390" s="49"/>
      <c r="F2390" s="49"/>
      <c r="G2390" s="49"/>
      <c r="H2390" s="49"/>
      <c r="I2390" s="49"/>
      <c r="J2390" s="49"/>
      <c r="K2390" s="49"/>
      <c r="L2390" s="49"/>
      <c r="M2390" s="49"/>
    </row>
    <row r="2391" spans="5:13">
      <c r="E2391" s="49"/>
      <c r="F2391" s="49"/>
      <c r="G2391" s="49"/>
      <c r="H2391" s="49"/>
      <c r="I2391" s="49"/>
      <c r="J2391" s="49"/>
      <c r="K2391" s="49"/>
      <c r="L2391" s="49"/>
      <c r="M2391" s="49"/>
    </row>
    <row r="2392" spans="5:13">
      <c r="E2392" s="49"/>
      <c r="F2392" s="49"/>
      <c r="G2392" s="49"/>
      <c r="H2392" s="49"/>
      <c r="I2392" s="49"/>
      <c r="J2392" s="49"/>
      <c r="K2392" s="49"/>
      <c r="L2392" s="49"/>
      <c r="M2392" s="49"/>
    </row>
    <row r="2393" spans="5:13">
      <c r="E2393" s="49"/>
      <c r="F2393" s="49"/>
      <c r="G2393" s="49"/>
      <c r="H2393" s="49"/>
      <c r="I2393" s="49"/>
      <c r="J2393" s="49"/>
      <c r="K2393" s="49"/>
      <c r="L2393" s="49"/>
      <c r="M2393" s="49"/>
    </row>
    <row r="2394" spans="5:13">
      <c r="E2394" s="49"/>
      <c r="F2394" s="49"/>
      <c r="G2394" s="49"/>
      <c r="H2394" s="49"/>
      <c r="I2394" s="49"/>
      <c r="J2394" s="49"/>
      <c r="K2394" s="49"/>
      <c r="L2394" s="49"/>
      <c r="M2394" s="49"/>
    </row>
    <row r="2395" spans="5:13">
      <c r="E2395" s="49"/>
      <c r="F2395" s="49"/>
      <c r="G2395" s="49"/>
      <c r="H2395" s="49"/>
      <c r="I2395" s="49"/>
      <c r="J2395" s="49"/>
      <c r="K2395" s="49"/>
      <c r="L2395" s="49"/>
      <c r="M2395" s="49"/>
    </row>
    <row r="2396" spans="5:13">
      <c r="E2396" s="49"/>
      <c r="F2396" s="49"/>
      <c r="G2396" s="49"/>
      <c r="H2396" s="49"/>
      <c r="I2396" s="49"/>
      <c r="J2396" s="49"/>
      <c r="K2396" s="49"/>
      <c r="L2396" s="49"/>
      <c r="M2396" s="49"/>
    </row>
    <row r="2397" spans="5:13">
      <c r="E2397" s="49"/>
      <c r="F2397" s="49"/>
      <c r="G2397" s="49"/>
      <c r="H2397" s="49"/>
      <c r="I2397" s="49"/>
      <c r="J2397" s="49"/>
      <c r="K2397" s="49"/>
      <c r="L2397" s="49"/>
      <c r="M2397" s="49"/>
    </row>
    <row r="2398" spans="5:13">
      <c r="E2398" s="49"/>
      <c r="F2398" s="49"/>
      <c r="G2398" s="49"/>
      <c r="H2398" s="49"/>
      <c r="I2398" s="49"/>
      <c r="J2398" s="49"/>
      <c r="K2398" s="49"/>
      <c r="L2398" s="49"/>
      <c r="M2398" s="49"/>
    </row>
    <row r="2399" spans="5:13">
      <c r="E2399" s="49"/>
      <c r="F2399" s="49"/>
      <c r="G2399" s="49"/>
      <c r="H2399" s="49"/>
      <c r="I2399" s="49"/>
      <c r="J2399" s="49"/>
      <c r="K2399" s="49"/>
      <c r="L2399" s="49"/>
      <c r="M2399" s="49"/>
    </row>
    <row r="2400" spans="5:13">
      <c r="E2400" s="49"/>
      <c r="F2400" s="49"/>
      <c r="G2400" s="49"/>
      <c r="H2400" s="49"/>
      <c r="I2400" s="49"/>
      <c r="J2400" s="49"/>
      <c r="K2400" s="49"/>
      <c r="L2400" s="49"/>
      <c r="M2400" s="49"/>
    </row>
    <row r="2401" spans="5:13">
      <c r="E2401" s="49"/>
      <c r="F2401" s="49"/>
      <c r="G2401" s="49"/>
      <c r="H2401" s="49"/>
      <c r="I2401" s="49"/>
      <c r="J2401" s="49"/>
      <c r="K2401" s="49"/>
      <c r="L2401" s="49"/>
      <c r="M2401" s="49"/>
    </row>
    <row r="2402" spans="5:13">
      <c r="E2402" s="49"/>
      <c r="F2402" s="49"/>
      <c r="G2402" s="49"/>
      <c r="H2402" s="49"/>
      <c r="I2402" s="49"/>
      <c r="J2402" s="49"/>
      <c r="K2402" s="49"/>
      <c r="L2402" s="49"/>
      <c r="M2402" s="49"/>
    </row>
    <row r="2403" spans="5:13">
      <c r="E2403" s="49"/>
      <c r="F2403" s="49"/>
      <c r="G2403" s="49"/>
      <c r="H2403" s="49"/>
      <c r="I2403" s="49"/>
      <c r="J2403" s="49"/>
      <c r="K2403" s="49"/>
      <c r="L2403" s="49"/>
      <c r="M2403" s="49"/>
    </row>
    <row r="2404" spans="5:13">
      <c r="E2404" s="49"/>
      <c r="F2404" s="49"/>
      <c r="G2404" s="49"/>
      <c r="H2404" s="49"/>
      <c r="I2404" s="49"/>
      <c r="J2404" s="49"/>
      <c r="K2404" s="49"/>
      <c r="L2404" s="49"/>
      <c r="M2404" s="49"/>
    </row>
    <row r="2405" spans="5:13">
      <c r="E2405" s="49"/>
      <c r="F2405" s="49"/>
      <c r="G2405" s="49"/>
      <c r="H2405" s="49"/>
      <c r="I2405" s="49"/>
      <c r="J2405" s="49"/>
      <c r="K2405" s="49"/>
      <c r="L2405" s="49"/>
      <c r="M2405" s="49"/>
    </row>
    <row r="2406" spans="5:13">
      <c r="E2406" s="49"/>
      <c r="F2406" s="49"/>
      <c r="G2406" s="49"/>
      <c r="H2406" s="49"/>
      <c r="I2406" s="49"/>
      <c r="J2406" s="49"/>
      <c r="K2406" s="49"/>
      <c r="L2406" s="49"/>
      <c r="M2406" s="49"/>
    </row>
    <row r="2407" spans="5:13">
      <c r="E2407" s="49"/>
      <c r="F2407" s="49"/>
      <c r="G2407" s="49"/>
      <c r="H2407" s="49"/>
      <c r="I2407" s="49"/>
      <c r="J2407" s="49"/>
      <c r="K2407" s="49"/>
      <c r="L2407" s="49"/>
      <c r="M2407" s="49"/>
    </row>
    <row r="2408" spans="5:13">
      <c r="E2408" s="49"/>
      <c r="F2408" s="49"/>
      <c r="G2408" s="49"/>
      <c r="H2408" s="49"/>
      <c r="I2408" s="49"/>
      <c r="J2408" s="49"/>
      <c r="K2408" s="49"/>
      <c r="L2408" s="49"/>
      <c r="M2408" s="49"/>
    </row>
    <row r="2409" spans="5:13">
      <c r="E2409" s="49"/>
      <c r="F2409" s="49"/>
      <c r="G2409" s="49"/>
      <c r="H2409" s="49"/>
      <c r="I2409" s="49"/>
      <c r="J2409" s="49"/>
      <c r="K2409" s="49"/>
      <c r="L2409" s="49"/>
      <c r="M2409" s="49"/>
    </row>
    <row r="2410" spans="5:13">
      <c r="E2410" s="49"/>
      <c r="F2410" s="49"/>
      <c r="G2410" s="49"/>
      <c r="H2410" s="49"/>
      <c r="I2410" s="49"/>
      <c r="J2410" s="49"/>
      <c r="K2410" s="49"/>
      <c r="L2410" s="49"/>
      <c r="M2410" s="49"/>
    </row>
    <row r="2411" spans="5:13">
      <c r="E2411" s="49"/>
      <c r="F2411" s="49"/>
      <c r="G2411" s="49"/>
      <c r="H2411" s="49"/>
      <c r="I2411" s="49"/>
      <c r="J2411" s="49"/>
      <c r="K2411" s="49"/>
      <c r="L2411" s="49"/>
      <c r="M2411" s="49"/>
    </row>
    <row r="2412" spans="5:13">
      <c r="E2412" s="49"/>
      <c r="F2412" s="49"/>
      <c r="G2412" s="49"/>
      <c r="H2412" s="49"/>
      <c r="I2412" s="49"/>
      <c r="J2412" s="49"/>
      <c r="K2412" s="49"/>
      <c r="L2412" s="49"/>
      <c r="M2412" s="49"/>
    </row>
    <row r="2413" spans="5:13">
      <c r="E2413" s="49"/>
      <c r="F2413" s="49"/>
      <c r="G2413" s="49"/>
      <c r="H2413" s="49"/>
      <c r="I2413" s="49"/>
      <c r="J2413" s="49"/>
      <c r="K2413" s="49"/>
      <c r="L2413" s="49"/>
      <c r="M2413" s="49"/>
    </row>
    <row r="2414" spans="5:13">
      <c r="E2414" s="49"/>
      <c r="F2414" s="49"/>
      <c r="G2414" s="49"/>
      <c r="H2414" s="49"/>
      <c r="I2414" s="49"/>
      <c r="J2414" s="49"/>
      <c r="K2414" s="49"/>
      <c r="L2414" s="49"/>
      <c r="M2414" s="49"/>
    </row>
    <row r="2415" spans="5:13">
      <c r="E2415" s="49"/>
      <c r="F2415" s="49"/>
      <c r="G2415" s="49"/>
      <c r="H2415" s="49"/>
      <c r="I2415" s="49"/>
      <c r="J2415" s="49"/>
      <c r="K2415" s="49"/>
      <c r="L2415" s="49"/>
      <c r="M2415" s="49"/>
    </row>
    <row r="2416" spans="5:13">
      <c r="E2416" s="49"/>
      <c r="F2416" s="49"/>
      <c r="G2416" s="49"/>
      <c r="H2416" s="49"/>
      <c r="I2416" s="49"/>
      <c r="J2416" s="49"/>
      <c r="K2416" s="49"/>
      <c r="L2416" s="49"/>
      <c r="M2416" s="49"/>
    </row>
    <row r="2417" spans="5:13">
      <c r="E2417" s="49"/>
      <c r="F2417" s="49"/>
      <c r="G2417" s="49"/>
      <c r="H2417" s="49"/>
      <c r="I2417" s="49"/>
      <c r="J2417" s="49"/>
      <c r="K2417" s="49"/>
      <c r="L2417" s="49"/>
      <c r="M2417" s="49"/>
    </row>
    <row r="2418" spans="5:13">
      <c r="E2418" s="49"/>
      <c r="F2418" s="49"/>
      <c r="G2418" s="49"/>
      <c r="H2418" s="49"/>
      <c r="I2418" s="49"/>
      <c r="J2418" s="49"/>
      <c r="K2418" s="49"/>
      <c r="L2418" s="49"/>
      <c r="M2418" s="49"/>
    </row>
    <row r="2419" spans="5:13">
      <c r="E2419" s="49"/>
      <c r="F2419" s="49"/>
      <c r="G2419" s="49"/>
      <c r="H2419" s="49"/>
      <c r="I2419" s="49"/>
      <c r="J2419" s="49"/>
      <c r="K2419" s="49"/>
      <c r="L2419" s="49"/>
      <c r="M2419" s="49"/>
    </row>
    <row r="2420" spans="5:13">
      <c r="E2420" s="49"/>
      <c r="F2420" s="49"/>
      <c r="G2420" s="49"/>
      <c r="H2420" s="49"/>
      <c r="I2420" s="49"/>
      <c r="J2420" s="49"/>
      <c r="K2420" s="49"/>
      <c r="L2420" s="49"/>
      <c r="M2420" s="49"/>
    </row>
    <row r="2421" spans="5:13">
      <c r="E2421" s="49"/>
      <c r="F2421" s="49"/>
      <c r="G2421" s="49"/>
      <c r="H2421" s="49"/>
      <c r="I2421" s="49"/>
      <c r="J2421" s="49"/>
      <c r="K2421" s="49"/>
      <c r="L2421" s="49"/>
      <c r="M2421" s="49"/>
    </row>
    <row r="2422" spans="5:13">
      <c r="E2422" s="49"/>
      <c r="F2422" s="49"/>
      <c r="G2422" s="49"/>
      <c r="H2422" s="49"/>
      <c r="I2422" s="49"/>
      <c r="J2422" s="49"/>
      <c r="K2422" s="49"/>
      <c r="L2422" s="49"/>
      <c r="M2422" s="49"/>
    </row>
    <row r="2423" spans="5:13">
      <c r="E2423" s="49"/>
      <c r="F2423" s="49"/>
      <c r="G2423" s="49"/>
      <c r="H2423" s="49"/>
      <c r="I2423" s="49"/>
      <c r="J2423" s="49"/>
      <c r="K2423" s="49"/>
      <c r="L2423" s="49"/>
      <c r="M2423" s="49"/>
    </row>
    <row r="2424" spans="5:13">
      <c r="E2424" s="49"/>
      <c r="F2424" s="49"/>
      <c r="G2424" s="49"/>
      <c r="H2424" s="49"/>
      <c r="I2424" s="49"/>
      <c r="J2424" s="49"/>
      <c r="K2424" s="49"/>
      <c r="L2424" s="49"/>
      <c r="M2424" s="49"/>
    </row>
    <row r="2425" spans="5:13">
      <c r="E2425" s="49"/>
      <c r="F2425" s="49"/>
      <c r="G2425" s="49"/>
      <c r="H2425" s="49"/>
      <c r="I2425" s="49"/>
      <c r="J2425" s="49"/>
      <c r="K2425" s="49"/>
      <c r="L2425" s="49"/>
      <c r="M2425" s="49"/>
    </row>
    <row r="2426" spans="5:13">
      <c r="E2426" s="49"/>
      <c r="F2426" s="49"/>
      <c r="G2426" s="49"/>
      <c r="H2426" s="49"/>
      <c r="I2426" s="49"/>
      <c r="J2426" s="49"/>
      <c r="K2426" s="49"/>
      <c r="L2426" s="49"/>
      <c r="M2426" s="49"/>
    </row>
    <row r="2427" spans="5:13">
      <c r="E2427" s="49"/>
      <c r="F2427" s="49"/>
      <c r="G2427" s="49"/>
      <c r="H2427" s="49"/>
      <c r="I2427" s="49"/>
      <c r="J2427" s="49"/>
      <c r="K2427" s="49"/>
      <c r="L2427" s="49"/>
      <c r="M2427" s="49"/>
    </row>
    <row r="2428" spans="5:13">
      <c r="E2428" s="49"/>
      <c r="F2428" s="49"/>
      <c r="G2428" s="49"/>
      <c r="H2428" s="49"/>
      <c r="I2428" s="49"/>
      <c r="J2428" s="49"/>
      <c r="K2428" s="49"/>
      <c r="L2428" s="49"/>
      <c r="M2428" s="49"/>
    </row>
    <row r="2429" spans="5:13">
      <c r="E2429" s="49"/>
      <c r="F2429" s="49"/>
      <c r="G2429" s="49"/>
      <c r="H2429" s="49"/>
      <c r="I2429" s="49"/>
      <c r="J2429" s="49"/>
      <c r="K2429" s="49"/>
      <c r="L2429" s="49"/>
      <c r="M2429" s="49"/>
    </row>
    <row r="2430" spans="5:13">
      <c r="E2430" s="49"/>
      <c r="F2430" s="49"/>
      <c r="G2430" s="49"/>
      <c r="H2430" s="49"/>
      <c r="I2430" s="49"/>
      <c r="J2430" s="49"/>
      <c r="K2430" s="49"/>
      <c r="L2430" s="49"/>
      <c r="M2430" s="49"/>
    </row>
    <row r="2431" spans="5:13">
      <c r="E2431" s="49"/>
      <c r="F2431" s="49"/>
      <c r="G2431" s="49"/>
      <c r="H2431" s="49"/>
      <c r="I2431" s="49"/>
      <c r="J2431" s="49"/>
      <c r="K2431" s="49"/>
      <c r="L2431" s="49"/>
      <c r="M2431" s="49"/>
    </row>
    <row r="2432" spans="5:13">
      <c r="E2432" s="49"/>
      <c r="F2432" s="49"/>
      <c r="G2432" s="49"/>
      <c r="H2432" s="49"/>
      <c r="I2432" s="49"/>
      <c r="J2432" s="49"/>
      <c r="K2432" s="49"/>
      <c r="L2432" s="49"/>
      <c r="M2432" s="49"/>
    </row>
    <row r="2433" spans="5:13">
      <c r="E2433" s="49"/>
      <c r="F2433" s="49"/>
      <c r="G2433" s="49"/>
      <c r="H2433" s="49"/>
      <c r="I2433" s="49"/>
      <c r="J2433" s="49"/>
      <c r="K2433" s="49"/>
      <c r="L2433" s="49"/>
      <c r="M2433" s="49"/>
    </row>
    <row r="2434" spans="5:13">
      <c r="E2434" s="49"/>
      <c r="F2434" s="49"/>
      <c r="G2434" s="49"/>
      <c r="H2434" s="49"/>
      <c r="I2434" s="49"/>
      <c r="J2434" s="49"/>
      <c r="K2434" s="49"/>
      <c r="L2434" s="49"/>
      <c r="M2434" s="49"/>
    </row>
    <row r="2435" spans="5:13">
      <c r="E2435" s="49"/>
      <c r="F2435" s="49"/>
      <c r="G2435" s="49"/>
      <c r="H2435" s="49"/>
      <c r="I2435" s="49"/>
      <c r="J2435" s="49"/>
      <c r="K2435" s="49"/>
      <c r="L2435" s="49"/>
      <c r="M2435" s="49"/>
    </row>
    <row r="2436" spans="5:13">
      <c r="E2436" s="49"/>
      <c r="F2436" s="49"/>
      <c r="G2436" s="49"/>
      <c r="H2436" s="49"/>
      <c r="I2436" s="49"/>
      <c r="J2436" s="49"/>
      <c r="K2436" s="49"/>
      <c r="L2436" s="49"/>
      <c r="M2436" s="49"/>
    </row>
    <row r="2437" spans="5:13">
      <c r="E2437" s="49"/>
      <c r="F2437" s="49"/>
      <c r="G2437" s="49"/>
      <c r="H2437" s="49"/>
      <c r="I2437" s="49"/>
      <c r="J2437" s="49"/>
      <c r="K2437" s="49"/>
      <c r="L2437" s="49"/>
      <c r="M2437" s="49"/>
    </row>
    <row r="2438" spans="5:13">
      <c r="E2438" s="49"/>
      <c r="F2438" s="49"/>
      <c r="G2438" s="49"/>
      <c r="H2438" s="49"/>
      <c r="I2438" s="49"/>
      <c r="J2438" s="49"/>
      <c r="K2438" s="49"/>
      <c r="L2438" s="49"/>
      <c r="M2438" s="49"/>
    </row>
    <row r="2439" spans="5:13">
      <c r="E2439" s="49"/>
      <c r="F2439" s="49"/>
      <c r="G2439" s="49"/>
      <c r="H2439" s="49"/>
      <c r="I2439" s="49"/>
      <c r="J2439" s="49"/>
      <c r="K2439" s="49"/>
      <c r="L2439" s="49"/>
      <c r="M2439" s="49"/>
    </row>
    <row r="2440" spans="5:13">
      <c r="E2440" s="49"/>
      <c r="F2440" s="49"/>
      <c r="G2440" s="49"/>
      <c r="H2440" s="49"/>
      <c r="I2440" s="49"/>
      <c r="J2440" s="49"/>
      <c r="K2440" s="49"/>
      <c r="L2440" s="49"/>
      <c r="M2440" s="49"/>
    </row>
    <row r="2441" spans="5:13">
      <c r="E2441" s="49"/>
      <c r="F2441" s="49"/>
      <c r="G2441" s="49"/>
      <c r="H2441" s="49"/>
      <c r="I2441" s="49"/>
      <c r="J2441" s="49"/>
      <c r="K2441" s="49"/>
      <c r="L2441" s="49"/>
      <c r="M2441" s="49"/>
    </row>
    <row r="2442" spans="5:13">
      <c r="E2442" s="49"/>
      <c r="F2442" s="49"/>
      <c r="G2442" s="49"/>
      <c r="H2442" s="49"/>
      <c r="I2442" s="49"/>
      <c r="J2442" s="49"/>
      <c r="K2442" s="49"/>
      <c r="L2442" s="49"/>
      <c r="M2442" s="49"/>
    </row>
    <row r="2443" spans="5:13">
      <c r="E2443" s="49"/>
      <c r="F2443" s="49"/>
      <c r="G2443" s="49"/>
      <c r="H2443" s="49"/>
      <c r="I2443" s="49"/>
      <c r="J2443" s="49"/>
      <c r="K2443" s="49"/>
      <c r="L2443" s="49"/>
      <c r="M2443" s="49"/>
    </row>
    <row r="2444" spans="5:13">
      <c r="E2444" s="49"/>
      <c r="F2444" s="49"/>
      <c r="G2444" s="49"/>
      <c r="H2444" s="49"/>
      <c r="I2444" s="49"/>
      <c r="J2444" s="49"/>
      <c r="K2444" s="49"/>
      <c r="L2444" s="49"/>
      <c r="M2444" s="49"/>
    </row>
    <row r="2445" spans="5:13">
      <c r="E2445" s="49"/>
      <c r="F2445" s="49"/>
      <c r="G2445" s="49"/>
      <c r="H2445" s="49"/>
      <c r="I2445" s="49"/>
      <c r="J2445" s="49"/>
      <c r="K2445" s="49"/>
      <c r="L2445" s="49"/>
      <c r="M2445" s="49"/>
    </row>
    <row r="2446" spans="5:13">
      <c r="E2446" s="49"/>
      <c r="F2446" s="49"/>
      <c r="G2446" s="49"/>
      <c r="H2446" s="49"/>
      <c r="I2446" s="49"/>
      <c r="J2446" s="49"/>
      <c r="K2446" s="49"/>
      <c r="L2446" s="49"/>
      <c r="M2446" s="49"/>
    </row>
    <row r="2447" spans="5:13">
      <c r="E2447" s="49"/>
      <c r="F2447" s="49"/>
      <c r="G2447" s="49"/>
      <c r="H2447" s="49"/>
      <c r="I2447" s="49"/>
      <c r="J2447" s="49"/>
      <c r="K2447" s="49"/>
      <c r="L2447" s="49"/>
      <c r="M2447" s="49"/>
    </row>
    <row r="2448" spans="5:13">
      <c r="E2448" s="49"/>
      <c r="F2448" s="49"/>
      <c r="G2448" s="49"/>
      <c r="H2448" s="49"/>
      <c r="I2448" s="49"/>
      <c r="J2448" s="49"/>
      <c r="K2448" s="49"/>
      <c r="L2448" s="49"/>
      <c r="M2448" s="49"/>
    </row>
    <row r="2449" spans="5:13">
      <c r="E2449" s="49"/>
      <c r="F2449" s="49"/>
      <c r="G2449" s="49"/>
      <c r="H2449" s="49"/>
      <c r="I2449" s="49"/>
      <c r="J2449" s="49"/>
      <c r="K2449" s="49"/>
      <c r="L2449" s="49"/>
      <c r="M2449" s="49"/>
    </row>
    <row r="2450" spans="5:13">
      <c r="E2450" s="49"/>
      <c r="F2450" s="49"/>
      <c r="G2450" s="49"/>
      <c r="H2450" s="49"/>
      <c r="I2450" s="49"/>
      <c r="J2450" s="49"/>
      <c r="K2450" s="49"/>
      <c r="L2450" s="49"/>
      <c r="M2450" s="49"/>
    </row>
    <row r="2451" spans="5:13">
      <c r="E2451" s="49"/>
      <c r="F2451" s="49"/>
      <c r="G2451" s="49"/>
      <c r="H2451" s="49"/>
      <c r="I2451" s="49"/>
      <c r="J2451" s="49"/>
      <c r="K2451" s="49"/>
      <c r="L2451" s="49"/>
      <c r="M2451" s="49"/>
    </row>
    <row r="2452" spans="5:13">
      <c r="E2452" s="49"/>
      <c r="F2452" s="49"/>
      <c r="G2452" s="49"/>
      <c r="H2452" s="49"/>
      <c r="I2452" s="49"/>
      <c r="J2452" s="49"/>
      <c r="K2452" s="49"/>
      <c r="L2452" s="49"/>
      <c r="M2452" s="49"/>
    </row>
    <row r="2453" spans="5:13">
      <c r="E2453" s="49"/>
      <c r="F2453" s="49"/>
      <c r="G2453" s="49"/>
      <c r="H2453" s="49"/>
      <c r="I2453" s="49"/>
      <c r="J2453" s="49"/>
      <c r="K2453" s="49"/>
      <c r="L2453" s="49"/>
      <c r="M2453" s="49"/>
    </row>
    <row r="2454" spans="5:13">
      <c r="E2454" s="49"/>
      <c r="F2454" s="49"/>
      <c r="G2454" s="49"/>
      <c r="H2454" s="49"/>
      <c r="I2454" s="49"/>
      <c r="J2454" s="49"/>
      <c r="K2454" s="49"/>
      <c r="L2454" s="49"/>
      <c r="M2454" s="49"/>
    </row>
    <row r="2455" spans="5:13">
      <c r="E2455" s="49"/>
      <c r="F2455" s="49"/>
      <c r="G2455" s="49"/>
      <c r="H2455" s="49"/>
      <c r="I2455" s="49"/>
      <c r="J2455" s="49"/>
      <c r="K2455" s="49"/>
      <c r="L2455" s="49"/>
      <c r="M2455" s="49"/>
    </row>
    <row r="2456" spans="5:13">
      <c r="E2456" s="49"/>
      <c r="F2456" s="49"/>
      <c r="G2456" s="49"/>
      <c r="H2456" s="49"/>
      <c r="I2456" s="49"/>
      <c r="J2456" s="49"/>
      <c r="K2456" s="49"/>
      <c r="L2456" s="49"/>
      <c r="M2456" s="49"/>
    </row>
    <row r="2457" spans="5:13">
      <c r="E2457" s="49"/>
      <c r="F2457" s="49"/>
      <c r="G2457" s="49"/>
      <c r="H2457" s="49"/>
      <c r="I2457" s="49"/>
      <c r="J2457" s="49"/>
      <c r="K2457" s="49"/>
      <c r="L2457" s="49"/>
      <c r="M2457" s="49"/>
    </row>
    <row r="2458" spans="5:13">
      <c r="E2458" s="49"/>
      <c r="F2458" s="49"/>
      <c r="G2458" s="49"/>
      <c r="H2458" s="49"/>
      <c r="I2458" s="49"/>
      <c r="J2458" s="49"/>
      <c r="K2458" s="49"/>
      <c r="L2458" s="49"/>
      <c r="M2458" s="49"/>
    </row>
    <row r="2459" spans="5:13">
      <c r="E2459" s="49"/>
      <c r="F2459" s="49"/>
      <c r="G2459" s="49"/>
      <c r="H2459" s="49"/>
      <c r="I2459" s="49"/>
      <c r="J2459" s="49"/>
      <c r="K2459" s="49"/>
      <c r="L2459" s="49"/>
      <c r="M2459" s="49"/>
    </row>
    <row r="2460" spans="5:13">
      <c r="E2460" s="49"/>
      <c r="F2460" s="49"/>
      <c r="G2460" s="49"/>
      <c r="H2460" s="49"/>
      <c r="I2460" s="49"/>
      <c r="J2460" s="49"/>
      <c r="K2460" s="49"/>
      <c r="L2460" s="49"/>
      <c r="M2460" s="49"/>
    </row>
    <row r="2461" spans="5:13">
      <c r="E2461" s="49"/>
      <c r="F2461" s="49"/>
      <c r="G2461" s="49"/>
      <c r="H2461" s="49"/>
      <c r="I2461" s="49"/>
      <c r="J2461" s="49"/>
      <c r="K2461" s="49"/>
      <c r="L2461" s="49"/>
      <c r="M2461" s="49"/>
    </row>
    <row r="2462" spans="5:13">
      <c r="E2462" s="49"/>
      <c r="F2462" s="49"/>
      <c r="G2462" s="49"/>
      <c r="H2462" s="49"/>
      <c r="I2462" s="49"/>
      <c r="J2462" s="49"/>
      <c r="K2462" s="49"/>
      <c r="L2462" s="49"/>
      <c r="M2462" s="49"/>
    </row>
    <row r="2463" spans="5:13">
      <c r="E2463" s="49"/>
      <c r="F2463" s="49"/>
      <c r="G2463" s="49"/>
      <c r="H2463" s="49"/>
      <c r="I2463" s="49"/>
      <c r="J2463" s="49"/>
      <c r="K2463" s="49"/>
      <c r="L2463" s="49"/>
      <c r="M2463" s="49"/>
    </row>
    <row r="2464" spans="5:13">
      <c r="E2464" s="49"/>
      <c r="F2464" s="49"/>
      <c r="G2464" s="49"/>
      <c r="H2464" s="49"/>
      <c r="I2464" s="49"/>
      <c r="J2464" s="49"/>
      <c r="K2464" s="49"/>
      <c r="L2464" s="49"/>
      <c r="M2464" s="49"/>
    </row>
    <row r="2465" spans="5:13">
      <c r="E2465" s="49"/>
      <c r="F2465" s="49"/>
      <c r="G2465" s="49"/>
      <c r="H2465" s="49"/>
      <c r="I2465" s="49"/>
      <c r="J2465" s="49"/>
      <c r="K2465" s="49"/>
      <c r="L2465" s="49"/>
      <c r="M2465" s="49"/>
    </row>
    <row r="2466" spans="5:13">
      <c r="E2466" s="49"/>
      <c r="F2466" s="49"/>
      <c r="G2466" s="49"/>
      <c r="H2466" s="49"/>
      <c r="I2466" s="49"/>
      <c r="J2466" s="49"/>
      <c r="K2466" s="49"/>
      <c r="L2466" s="49"/>
      <c r="M2466" s="49"/>
    </row>
    <row r="2467" spans="5:13">
      <c r="E2467" s="49"/>
      <c r="F2467" s="49"/>
      <c r="G2467" s="49"/>
      <c r="H2467" s="49"/>
      <c r="I2467" s="49"/>
      <c r="J2467" s="49"/>
      <c r="K2467" s="49"/>
      <c r="L2467" s="49"/>
      <c r="M2467" s="49"/>
    </row>
    <row r="2468" spans="5:13">
      <c r="E2468" s="49"/>
      <c r="F2468" s="49"/>
      <c r="G2468" s="49"/>
      <c r="H2468" s="49"/>
      <c r="I2468" s="49"/>
      <c r="J2468" s="49"/>
      <c r="K2468" s="49"/>
      <c r="L2468" s="49"/>
      <c r="M2468" s="49"/>
    </row>
    <row r="2469" spans="5:13">
      <c r="E2469" s="49"/>
      <c r="F2469" s="49"/>
      <c r="G2469" s="49"/>
      <c r="H2469" s="49"/>
      <c r="I2469" s="49"/>
      <c r="J2469" s="49"/>
      <c r="K2469" s="49"/>
      <c r="L2469" s="49"/>
      <c r="M2469" s="49"/>
    </row>
    <row r="2470" spans="5:13">
      <c r="E2470" s="49"/>
      <c r="F2470" s="49"/>
      <c r="G2470" s="49"/>
      <c r="H2470" s="49"/>
      <c r="I2470" s="49"/>
      <c r="J2470" s="49"/>
      <c r="K2470" s="49"/>
      <c r="L2470" s="49"/>
      <c r="M2470" s="49"/>
    </row>
    <row r="2471" spans="5:13">
      <c r="E2471" s="49"/>
      <c r="F2471" s="49"/>
      <c r="G2471" s="49"/>
      <c r="H2471" s="49"/>
      <c r="I2471" s="49"/>
      <c r="J2471" s="49"/>
      <c r="K2471" s="49"/>
      <c r="L2471" s="49"/>
      <c r="M2471" s="49"/>
    </row>
    <row r="2472" spans="5:13">
      <c r="E2472" s="49"/>
      <c r="F2472" s="49"/>
      <c r="G2472" s="49"/>
      <c r="H2472" s="49"/>
      <c r="I2472" s="49"/>
      <c r="J2472" s="49"/>
      <c r="K2472" s="49"/>
      <c r="L2472" s="49"/>
      <c r="M2472" s="49"/>
    </row>
    <row r="2473" spans="5:13">
      <c r="E2473" s="49"/>
      <c r="F2473" s="49"/>
      <c r="G2473" s="49"/>
      <c r="H2473" s="49"/>
      <c r="I2473" s="49"/>
      <c r="J2473" s="49"/>
      <c r="K2473" s="49"/>
      <c r="L2473" s="49"/>
      <c r="M2473" s="49"/>
    </row>
    <row r="2474" spans="5:13">
      <c r="E2474" s="49"/>
      <c r="F2474" s="49"/>
      <c r="G2474" s="49"/>
      <c r="H2474" s="49"/>
      <c r="I2474" s="49"/>
      <c r="J2474" s="49"/>
      <c r="K2474" s="49"/>
      <c r="L2474" s="49"/>
      <c r="M2474" s="49"/>
    </row>
    <row r="2475" spans="5:13">
      <c r="E2475" s="49"/>
      <c r="F2475" s="49"/>
      <c r="G2475" s="49"/>
      <c r="H2475" s="49"/>
      <c r="I2475" s="49"/>
      <c r="J2475" s="49"/>
      <c r="K2475" s="49"/>
      <c r="L2475" s="49"/>
      <c r="M2475" s="49"/>
    </row>
    <row r="2476" spans="5:13">
      <c r="E2476" s="49"/>
      <c r="F2476" s="49"/>
      <c r="G2476" s="49"/>
      <c r="H2476" s="49"/>
      <c r="I2476" s="49"/>
      <c r="J2476" s="49"/>
      <c r="K2476" s="49"/>
      <c r="L2476" s="49"/>
      <c r="M2476" s="49"/>
    </row>
    <row r="2477" spans="5:13">
      <c r="E2477" s="49"/>
      <c r="F2477" s="49"/>
      <c r="G2477" s="49"/>
      <c r="H2477" s="49"/>
      <c r="I2477" s="49"/>
      <c r="J2477" s="49"/>
      <c r="K2477" s="49"/>
      <c r="L2477" s="49"/>
      <c r="M2477" s="49"/>
    </row>
    <row r="2478" spans="5:13">
      <c r="E2478" s="49"/>
      <c r="F2478" s="49"/>
      <c r="G2478" s="49"/>
      <c r="H2478" s="49"/>
      <c r="I2478" s="49"/>
      <c r="J2478" s="49"/>
      <c r="K2478" s="49"/>
      <c r="L2478" s="49"/>
      <c r="M2478" s="49"/>
    </row>
    <row r="2479" spans="5:13">
      <c r="E2479" s="49"/>
      <c r="F2479" s="49"/>
      <c r="G2479" s="49"/>
      <c r="H2479" s="49"/>
      <c r="I2479" s="49"/>
      <c r="J2479" s="49"/>
      <c r="K2479" s="49"/>
      <c r="L2479" s="49"/>
      <c r="M2479" s="49"/>
    </row>
    <row r="2480" spans="5:13">
      <c r="E2480" s="49"/>
      <c r="F2480" s="49"/>
      <c r="G2480" s="49"/>
      <c r="H2480" s="49"/>
      <c r="I2480" s="49"/>
      <c r="J2480" s="49"/>
      <c r="K2480" s="49"/>
      <c r="L2480" s="49"/>
      <c r="M2480" s="49"/>
    </row>
    <row r="2481" spans="5:13">
      <c r="E2481" s="49"/>
      <c r="F2481" s="49"/>
      <c r="G2481" s="49"/>
      <c r="H2481" s="49"/>
      <c r="I2481" s="49"/>
      <c r="J2481" s="49"/>
      <c r="K2481" s="49"/>
      <c r="L2481" s="49"/>
      <c r="M2481" s="49"/>
    </row>
    <row r="2482" spans="5:13">
      <c r="E2482" s="49"/>
      <c r="F2482" s="49"/>
      <c r="G2482" s="49"/>
      <c r="H2482" s="49"/>
      <c r="I2482" s="49"/>
      <c r="J2482" s="49"/>
      <c r="K2482" s="49"/>
      <c r="L2482" s="49"/>
      <c r="M2482" s="49"/>
    </row>
    <row r="2483" spans="5:13">
      <c r="E2483" s="49"/>
      <c r="F2483" s="49"/>
      <c r="G2483" s="49"/>
      <c r="H2483" s="49"/>
      <c r="I2483" s="49"/>
      <c r="J2483" s="49"/>
      <c r="K2483" s="49"/>
      <c r="L2483" s="49"/>
      <c r="M2483" s="49"/>
    </row>
    <row r="2484" spans="5:13">
      <c r="E2484" s="49"/>
      <c r="F2484" s="49"/>
      <c r="G2484" s="49"/>
      <c r="H2484" s="49"/>
      <c r="I2484" s="49"/>
      <c r="J2484" s="49"/>
      <c r="K2484" s="49"/>
      <c r="L2484" s="49"/>
      <c r="M2484" s="49"/>
    </row>
    <row r="2485" spans="5:13">
      <c r="E2485" s="49"/>
      <c r="F2485" s="49"/>
      <c r="G2485" s="49"/>
      <c r="H2485" s="49"/>
      <c r="I2485" s="49"/>
      <c r="J2485" s="49"/>
      <c r="K2485" s="49"/>
      <c r="L2485" s="49"/>
      <c r="M2485" s="49"/>
    </row>
    <row r="2486" spans="5:13">
      <c r="E2486" s="49"/>
      <c r="F2486" s="49"/>
      <c r="G2486" s="49"/>
      <c r="H2486" s="49"/>
      <c r="I2486" s="49"/>
      <c r="J2486" s="49"/>
      <c r="K2486" s="49"/>
      <c r="L2486" s="49"/>
      <c r="M2486" s="49"/>
    </row>
    <row r="2487" spans="5:13">
      <c r="E2487" s="49"/>
      <c r="F2487" s="49"/>
      <c r="G2487" s="49"/>
      <c r="H2487" s="49"/>
      <c r="I2487" s="49"/>
      <c r="J2487" s="49"/>
      <c r="K2487" s="49"/>
      <c r="L2487" s="49"/>
      <c r="M2487" s="49"/>
    </row>
    <row r="2488" spans="5:13">
      <c r="E2488" s="49"/>
      <c r="F2488" s="49"/>
      <c r="G2488" s="49"/>
      <c r="H2488" s="49"/>
      <c r="I2488" s="49"/>
      <c r="J2488" s="49"/>
      <c r="K2488" s="49"/>
      <c r="L2488" s="49"/>
      <c r="M2488" s="49"/>
    </row>
    <row r="2489" spans="5:13">
      <c r="E2489" s="49"/>
      <c r="F2489" s="49"/>
      <c r="G2489" s="49"/>
      <c r="H2489" s="49"/>
      <c r="I2489" s="49"/>
      <c r="J2489" s="49"/>
      <c r="K2489" s="49"/>
      <c r="L2489" s="49"/>
      <c r="M2489" s="49"/>
    </row>
    <row r="2490" spans="5:13">
      <c r="E2490" s="49"/>
      <c r="F2490" s="49"/>
      <c r="G2490" s="49"/>
      <c r="H2490" s="49"/>
      <c r="I2490" s="49"/>
      <c r="J2490" s="49"/>
      <c r="K2490" s="49"/>
      <c r="L2490" s="49"/>
      <c r="M2490" s="49"/>
    </row>
    <row r="2491" spans="5:13">
      <c r="E2491" s="49"/>
      <c r="F2491" s="49"/>
      <c r="G2491" s="49"/>
      <c r="H2491" s="49"/>
      <c r="I2491" s="49"/>
      <c r="J2491" s="49"/>
      <c r="K2491" s="49"/>
      <c r="L2491" s="49"/>
      <c r="M2491" s="49"/>
    </row>
    <row r="2492" spans="5:13">
      <c r="E2492" s="49"/>
      <c r="F2492" s="49"/>
      <c r="G2492" s="49"/>
      <c r="H2492" s="49"/>
      <c r="I2492" s="49"/>
      <c r="J2492" s="49"/>
      <c r="K2492" s="49"/>
      <c r="L2492" s="49"/>
      <c r="M2492" s="49"/>
    </row>
    <row r="2493" spans="5:13">
      <c r="E2493" s="49"/>
      <c r="F2493" s="49"/>
      <c r="G2493" s="49"/>
      <c r="H2493" s="49"/>
      <c r="I2493" s="49"/>
      <c r="J2493" s="49"/>
      <c r="K2493" s="49"/>
      <c r="L2493" s="49"/>
      <c r="M2493" s="49"/>
    </row>
    <row r="2494" spans="5:13">
      <c r="E2494" s="49"/>
      <c r="F2494" s="49"/>
      <c r="G2494" s="49"/>
      <c r="H2494" s="49"/>
      <c r="I2494" s="49"/>
      <c r="J2494" s="49"/>
      <c r="K2494" s="49"/>
      <c r="L2494" s="49"/>
      <c r="M2494" s="49"/>
    </row>
    <row r="2495" spans="5:13">
      <c r="E2495" s="49"/>
      <c r="F2495" s="49"/>
      <c r="G2495" s="49"/>
      <c r="H2495" s="49"/>
      <c r="I2495" s="49"/>
      <c r="J2495" s="49"/>
      <c r="K2495" s="49"/>
      <c r="L2495" s="49"/>
      <c r="M2495" s="49"/>
    </row>
    <row r="2496" spans="5:13">
      <c r="E2496" s="49"/>
      <c r="F2496" s="49"/>
      <c r="G2496" s="49"/>
      <c r="H2496" s="49"/>
      <c r="I2496" s="49"/>
      <c r="J2496" s="49"/>
      <c r="K2496" s="49"/>
      <c r="L2496" s="49"/>
      <c r="M2496" s="49"/>
    </row>
    <row r="2497" spans="5:13">
      <c r="E2497" s="49"/>
      <c r="F2497" s="49"/>
      <c r="G2497" s="49"/>
      <c r="H2497" s="49"/>
      <c r="I2497" s="49"/>
      <c r="J2497" s="49"/>
      <c r="K2497" s="49"/>
      <c r="L2497" s="49"/>
      <c r="M2497" s="49"/>
    </row>
    <row r="2498" spans="5:13">
      <c r="E2498" s="49"/>
      <c r="F2498" s="49"/>
      <c r="G2498" s="49"/>
      <c r="H2498" s="49"/>
      <c r="I2498" s="49"/>
      <c r="J2498" s="49"/>
      <c r="K2498" s="49"/>
      <c r="L2498" s="49"/>
      <c r="M2498" s="49"/>
    </row>
    <row r="2499" spans="5:13">
      <c r="E2499" s="49"/>
      <c r="F2499" s="49"/>
      <c r="G2499" s="49"/>
      <c r="H2499" s="49"/>
      <c r="I2499" s="49"/>
      <c r="J2499" s="49"/>
      <c r="K2499" s="49"/>
      <c r="L2499" s="49"/>
      <c r="M2499" s="49"/>
    </row>
    <row r="2500" spans="5:13">
      <c r="E2500" s="49"/>
      <c r="F2500" s="49"/>
      <c r="G2500" s="49"/>
      <c r="H2500" s="49"/>
      <c r="I2500" s="49"/>
      <c r="J2500" s="49"/>
      <c r="K2500" s="49"/>
      <c r="L2500" s="49"/>
      <c r="M2500" s="49"/>
    </row>
    <row r="2501" spans="5:13">
      <c r="E2501" s="49"/>
      <c r="F2501" s="49"/>
      <c r="G2501" s="49"/>
      <c r="H2501" s="49"/>
      <c r="I2501" s="49"/>
      <c r="J2501" s="49"/>
      <c r="K2501" s="49"/>
      <c r="L2501" s="49"/>
      <c r="M2501" s="49"/>
    </row>
    <row r="2502" spans="5:13">
      <c r="E2502" s="49"/>
      <c r="F2502" s="49"/>
      <c r="G2502" s="49"/>
      <c r="H2502" s="49"/>
      <c r="I2502" s="49"/>
      <c r="J2502" s="49"/>
      <c r="K2502" s="49"/>
      <c r="L2502" s="49"/>
      <c r="M2502" s="49"/>
    </row>
    <row r="2503" spans="5:13">
      <c r="E2503" s="49"/>
      <c r="F2503" s="49"/>
      <c r="G2503" s="49"/>
      <c r="H2503" s="49"/>
      <c r="I2503" s="49"/>
      <c r="J2503" s="49"/>
      <c r="K2503" s="49"/>
      <c r="L2503" s="49"/>
      <c r="M2503" s="49"/>
    </row>
    <row r="2504" spans="5:13">
      <c r="E2504" s="49"/>
      <c r="F2504" s="49"/>
      <c r="G2504" s="49"/>
      <c r="H2504" s="49"/>
      <c r="I2504" s="49"/>
      <c r="J2504" s="49"/>
      <c r="K2504" s="49"/>
      <c r="L2504" s="49"/>
      <c r="M2504" s="49"/>
    </row>
    <row r="2505" spans="5:13">
      <c r="E2505" s="49"/>
      <c r="F2505" s="49"/>
      <c r="G2505" s="49"/>
      <c r="H2505" s="49"/>
      <c r="I2505" s="49"/>
      <c r="J2505" s="49"/>
      <c r="K2505" s="49"/>
      <c r="L2505" s="49"/>
      <c r="M2505" s="49"/>
    </row>
    <row r="2506" spans="5:13">
      <c r="E2506" s="49"/>
      <c r="F2506" s="49"/>
      <c r="G2506" s="49"/>
      <c r="H2506" s="49"/>
      <c r="I2506" s="49"/>
      <c r="J2506" s="49"/>
      <c r="K2506" s="49"/>
      <c r="L2506" s="49"/>
      <c r="M2506" s="49"/>
    </row>
    <row r="2507" spans="5:13">
      <c r="E2507" s="49"/>
      <c r="F2507" s="49"/>
      <c r="G2507" s="49"/>
      <c r="H2507" s="49"/>
      <c r="I2507" s="49"/>
      <c r="J2507" s="49"/>
      <c r="K2507" s="49"/>
      <c r="L2507" s="49"/>
      <c r="M2507" s="49"/>
    </row>
    <row r="2508" spans="5:13">
      <c r="E2508" s="49"/>
      <c r="F2508" s="49"/>
      <c r="G2508" s="49"/>
      <c r="H2508" s="49"/>
      <c r="I2508" s="49"/>
      <c r="J2508" s="49"/>
      <c r="K2508" s="49"/>
      <c r="L2508" s="49"/>
      <c r="M2508" s="49"/>
    </row>
    <row r="2509" spans="5:13">
      <c r="E2509" s="49"/>
      <c r="F2509" s="49"/>
      <c r="G2509" s="49"/>
      <c r="H2509" s="49"/>
      <c r="I2509" s="49"/>
      <c r="J2509" s="49"/>
      <c r="K2509" s="49"/>
      <c r="L2509" s="49"/>
      <c r="M2509" s="49"/>
    </row>
    <row r="2510" spans="5:13">
      <c r="E2510" s="49"/>
      <c r="F2510" s="49"/>
      <c r="G2510" s="49"/>
      <c r="H2510" s="49"/>
      <c r="I2510" s="49"/>
      <c r="J2510" s="49"/>
      <c r="K2510" s="49"/>
      <c r="L2510" s="49"/>
      <c r="M2510" s="49"/>
    </row>
    <row r="2511" spans="5:13">
      <c r="E2511" s="49"/>
      <c r="F2511" s="49"/>
      <c r="G2511" s="49"/>
      <c r="H2511" s="49"/>
      <c r="I2511" s="49"/>
      <c r="J2511" s="49"/>
      <c r="K2511" s="49"/>
      <c r="L2511" s="49"/>
      <c r="M2511" s="49"/>
    </row>
    <row r="2512" spans="5:13">
      <c r="E2512" s="49"/>
      <c r="F2512" s="49"/>
      <c r="G2512" s="49"/>
      <c r="H2512" s="49"/>
      <c r="I2512" s="49"/>
      <c r="J2512" s="49"/>
      <c r="K2512" s="49"/>
      <c r="L2512" s="49"/>
      <c r="M2512" s="49"/>
    </row>
    <row r="2513" spans="5:13">
      <c r="E2513" s="49"/>
      <c r="F2513" s="49"/>
      <c r="G2513" s="49"/>
      <c r="H2513" s="49"/>
      <c r="I2513" s="49"/>
      <c r="J2513" s="49"/>
      <c r="K2513" s="49"/>
      <c r="L2513" s="49"/>
      <c r="M2513" s="49"/>
    </row>
    <row r="2514" spans="5:13">
      <c r="E2514" s="49"/>
      <c r="F2514" s="49"/>
      <c r="G2514" s="49"/>
      <c r="H2514" s="49"/>
      <c r="I2514" s="49"/>
      <c r="J2514" s="49"/>
      <c r="K2514" s="49"/>
      <c r="L2514" s="49"/>
      <c r="M2514" s="49"/>
    </row>
    <row r="2515" spans="5:13">
      <c r="E2515" s="49"/>
      <c r="F2515" s="49"/>
      <c r="G2515" s="49"/>
      <c r="H2515" s="49"/>
      <c r="I2515" s="49"/>
      <c r="J2515" s="49"/>
      <c r="K2515" s="49"/>
      <c r="L2515" s="49"/>
      <c r="M2515" s="49"/>
    </row>
    <row r="2516" spans="5:13">
      <c r="E2516" s="49"/>
      <c r="F2516" s="49"/>
      <c r="G2516" s="49"/>
      <c r="H2516" s="49"/>
      <c r="I2516" s="49"/>
      <c r="J2516" s="49"/>
      <c r="K2516" s="49"/>
      <c r="L2516" s="49"/>
      <c r="M2516" s="49"/>
    </row>
    <row r="2517" spans="5:13">
      <c r="E2517" s="49"/>
      <c r="F2517" s="49"/>
      <c r="G2517" s="49"/>
      <c r="H2517" s="49"/>
      <c r="I2517" s="49"/>
      <c r="J2517" s="49"/>
      <c r="K2517" s="49"/>
      <c r="L2517" s="49"/>
      <c r="M2517" s="49"/>
    </row>
    <row r="2518" spans="5:13">
      <c r="E2518" s="49"/>
      <c r="F2518" s="49"/>
      <c r="G2518" s="49"/>
      <c r="H2518" s="49"/>
      <c r="I2518" s="49"/>
      <c r="J2518" s="49"/>
      <c r="K2518" s="49"/>
      <c r="L2518" s="49"/>
      <c r="M2518" s="49"/>
    </row>
    <row r="2519" spans="5:13">
      <c r="E2519" s="49"/>
      <c r="F2519" s="49"/>
      <c r="G2519" s="49"/>
      <c r="H2519" s="49"/>
      <c r="I2519" s="49"/>
      <c r="J2519" s="49"/>
      <c r="K2519" s="49"/>
      <c r="L2519" s="49"/>
      <c r="M2519" s="49"/>
    </row>
    <row r="2520" spans="5:13">
      <c r="E2520" s="49"/>
      <c r="F2520" s="49"/>
      <c r="G2520" s="49"/>
      <c r="H2520" s="49"/>
      <c r="I2520" s="49"/>
      <c r="J2520" s="49"/>
      <c r="K2520" s="49"/>
      <c r="L2520" s="49"/>
      <c r="M2520" s="49"/>
    </row>
    <row r="2521" spans="5:13">
      <c r="E2521" s="49"/>
      <c r="F2521" s="49"/>
      <c r="G2521" s="49"/>
      <c r="H2521" s="49"/>
      <c r="I2521" s="49"/>
      <c r="J2521" s="49"/>
      <c r="K2521" s="49"/>
      <c r="L2521" s="49"/>
      <c r="M2521" s="49"/>
    </row>
    <row r="2522" spans="5:13">
      <c r="E2522" s="49"/>
      <c r="F2522" s="49"/>
      <c r="G2522" s="49"/>
      <c r="H2522" s="49"/>
      <c r="I2522" s="49"/>
      <c r="J2522" s="49"/>
      <c r="K2522" s="49"/>
      <c r="L2522" s="49"/>
      <c r="M2522" s="49"/>
    </row>
    <row r="2523" spans="5:13">
      <c r="E2523" s="49"/>
      <c r="F2523" s="49"/>
      <c r="G2523" s="49"/>
      <c r="H2523" s="49"/>
      <c r="I2523" s="49"/>
      <c r="J2523" s="49"/>
      <c r="K2523" s="49"/>
      <c r="L2523" s="49"/>
      <c r="M2523" s="49"/>
    </row>
    <row r="2524" spans="5:13">
      <c r="E2524" s="49"/>
      <c r="F2524" s="49"/>
      <c r="G2524" s="49"/>
      <c r="H2524" s="49"/>
      <c r="I2524" s="49"/>
      <c r="J2524" s="49"/>
      <c r="K2524" s="49"/>
      <c r="L2524" s="49"/>
      <c r="M2524" s="49"/>
    </row>
    <row r="2525" spans="5:13">
      <c r="E2525" s="49"/>
      <c r="F2525" s="49"/>
      <c r="G2525" s="49"/>
      <c r="H2525" s="49"/>
      <c r="I2525" s="49"/>
      <c r="J2525" s="49"/>
      <c r="K2525" s="49"/>
      <c r="L2525" s="49"/>
      <c r="M2525" s="49"/>
    </row>
    <row r="2526" spans="5:13">
      <c r="E2526" s="49"/>
      <c r="F2526" s="49"/>
      <c r="G2526" s="49"/>
      <c r="H2526" s="49"/>
      <c r="I2526" s="49"/>
      <c r="J2526" s="49"/>
      <c r="K2526" s="49"/>
      <c r="L2526" s="49"/>
      <c r="M2526" s="49"/>
    </row>
    <row r="2527" spans="5:13">
      <c r="E2527" s="49"/>
      <c r="F2527" s="49"/>
      <c r="G2527" s="49"/>
      <c r="H2527" s="49"/>
      <c r="I2527" s="49"/>
      <c r="J2527" s="49"/>
      <c r="K2527" s="49"/>
      <c r="L2527" s="49"/>
      <c r="M2527" s="49"/>
    </row>
    <row r="2528" spans="5:13">
      <c r="E2528" s="49"/>
      <c r="F2528" s="49"/>
      <c r="G2528" s="49"/>
      <c r="H2528" s="49"/>
      <c r="I2528" s="49"/>
      <c r="J2528" s="49"/>
      <c r="K2528" s="49"/>
      <c r="L2528" s="49"/>
      <c r="M2528" s="49"/>
    </row>
    <row r="2529" spans="5:13">
      <c r="E2529" s="49"/>
      <c r="F2529" s="49"/>
      <c r="G2529" s="49"/>
      <c r="H2529" s="49"/>
      <c r="I2529" s="49"/>
      <c r="J2529" s="49"/>
      <c r="K2529" s="49"/>
      <c r="L2529" s="49"/>
      <c r="M2529" s="49"/>
    </row>
    <row r="2530" spans="5:13">
      <c r="E2530" s="49"/>
      <c r="F2530" s="49"/>
      <c r="G2530" s="49"/>
      <c r="H2530" s="49"/>
      <c r="I2530" s="49"/>
      <c r="J2530" s="49"/>
      <c r="K2530" s="49"/>
      <c r="L2530" s="49"/>
      <c r="M2530" s="49"/>
    </row>
    <row r="2531" spans="5:13">
      <c r="E2531" s="49"/>
      <c r="F2531" s="49"/>
      <c r="G2531" s="49"/>
      <c r="H2531" s="49"/>
      <c r="I2531" s="49"/>
      <c r="J2531" s="49"/>
      <c r="K2531" s="49"/>
      <c r="L2531" s="49"/>
      <c r="M2531" s="49"/>
    </row>
    <row r="2532" spans="5:13">
      <c r="E2532" s="49"/>
      <c r="F2532" s="49"/>
      <c r="G2532" s="49"/>
      <c r="H2532" s="49"/>
      <c r="I2532" s="49"/>
      <c r="J2532" s="49"/>
      <c r="K2532" s="49"/>
      <c r="L2532" s="49"/>
      <c r="M2532" s="49"/>
    </row>
    <row r="2533" spans="5:13">
      <c r="E2533" s="49"/>
      <c r="F2533" s="49"/>
      <c r="G2533" s="49"/>
      <c r="H2533" s="49"/>
      <c r="I2533" s="49"/>
      <c r="J2533" s="49"/>
      <c r="K2533" s="49"/>
      <c r="L2533" s="49"/>
      <c r="M2533" s="49"/>
    </row>
    <row r="2534" spans="5:13">
      <c r="E2534" s="49"/>
      <c r="F2534" s="49"/>
      <c r="G2534" s="49"/>
      <c r="H2534" s="49"/>
      <c r="I2534" s="49"/>
      <c r="J2534" s="49"/>
      <c r="K2534" s="49"/>
      <c r="L2534" s="49"/>
      <c r="M2534" s="49"/>
    </row>
    <row r="2535" spans="5:13">
      <c r="E2535" s="49"/>
      <c r="F2535" s="49"/>
      <c r="G2535" s="49"/>
      <c r="H2535" s="49"/>
      <c r="I2535" s="49"/>
      <c r="J2535" s="49"/>
      <c r="K2535" s="49"/>
      <c r="L2535" s="49"/>
      <c r="M2535" s="49"/>
    </row>
    <row r="2536" spans="5:13">
      <c r="E2536" s="49"/>
      <c r="F2536" s="49"/>
      <c r="G2536" s="49"/>
      <c r="H2536" s="49"/>
      <c r="I2536" s="49"/>
      <c r="J2536" s="49"/>
      <c r="K2536" s="49"/>
      <c r="L2536" s="49"/>
      <c r="M2536" s="49"/>
    </row>
    <row r="2537" spans="5:13">
      <c r="E2537" s="49"/>
      <c r="F2537" s="49"/>
      <c r="G2537" s="49"/>
      <c r="H2537" s="49"/>
      <c r="I2537" s="49"/>
      <c r="J2537" s="49"/>
      <c r="K2537" s="49"/>
      <c r="L2537" s="49"/>
      <c r="M2537" s="49"/>
    </row>
    <row r="2538" spans="5:13">
      <c r="E2538" s="49"/>
      <c r="F2538" s="49"/>
      <c r="G2538" s="49"/>
      <c r="H2538" s="49"/>
      <c r="I2538" s="49"/>
      <c r="J2538" s="49"/>
      <c r="K2538" s="49"/>
      <c r="L2538" s="49"/>
      <c r="M2538" s="49"/>
    </row>
    <row r="2539" spans="5:13">
      <c r="E2539" s="49"/>
      <c r="F2539" s="49"/>
      <c r="G2539" s="49"/>
      <c r="H2539" s="49"/>
      <c r="I2539" s="49"/>
      <c r="J2539" s="49"/>
      <c r="K2539" s="49"/>
      <c r="L2539" s="49"/>
      <c r="M2539" s="49"/>
    </row>
    <row r="2540" spans="5:13">
      <c r="E2540" s="49"/>
      <c r="F2540" s="49"/>
      <c r="G2540" s="49"/>
      <c r="H2540" s="49"/>
      <c r="I2540" s="49"/>
      <c r="J2540" s="49"/>
      <c r="K2540" s="49"/>
      <c r="L2540" s="49"/>
      <c r="M2540" s="49"/>
    </row>
    <row r="2541" spans="5:13">
      <c r="E2541" s="49"/>
      <c r="F2541" s="49"/>
      <c r="G2541" s="49"/>
      <c r="H2541" s="49"/>
      <c r="I2541" s="49"/>
      <c r="J2541" s="49"/>
      <c r="K2541" s="49"/>
      <c r="L2541" s="49"/>
      <c r="M2541" s="49"/>
    </row>
    <row r="2542" spans="5:13">
      <c r="E2542" s="49"/>
      <c r="F2542" s="49"/>
      <c r="G2542" s="49"/>
      <c r="H2542" s="49"/>
      <c r="I2542" s="49"/>
      <c r="J2542" s="49"/>
      <c r="K2542" s="49"/>
      <c r="L2542" s="49"/>
      <c r="M2542" s="49"/>
    </row>
    <row r="2543" spans="5:13">
      <c r="E2543" s="49"/>
      <c r="F2543" s="49"/>
      <c r="G2543" s="49"/>
      <c r="H2543" s="49"/>
      <c r="I2543" s="49"/>
      <c r="J2543" s="49"/>
      <c r="K2543" s="49"/>
      <c r="L2543" s="49"/>
      <c r="M2543" s="49"/>
    </row>
    <row r="2544" spans="5:13">
      <c r="E2544" s="49"/>
      <c r="F2544" s="49"/>
      <c r="G2544" s="49"/>
      <c r="H2544" s="49"/>
      <c r="I2544" s="49"/>
      <c r="J2544" s="49"/>
      <c r="K2544" s="49"/>
      <c r="L2544" s="49"/>
      <c r="M2544" s="49"/>
    </row>
    <row r="2545" spans="5:13">
      <c r="E2545" s="49"/>
      <c r="F2545" s="49"/>
      <c r="G2545" s="49"/>
      <c r="H2545" s="49"/>
      <c r="I2545" s="49"/>
      <c r="J2545" s="49"/>
      <c r="K2545" s="49"/>
      <c r="L2545" s="49"/>
      <c r="M2545" s="49"/>
    </row>
    <row r="2546" spans="5:13">
      <c r="E2546" s="49"/>
      <c r="F2546" s="49"/>
      <c r="G2546" s="49"/>
      <c r="H2546" s="49"/>
      <c r="I2546" s="49"/>
      <c r="J2546" s="49"/>
      <c r="K2546" s="49"/>
      <c r="L2546" s="49"/>
      <c r="M2546" s="49"/>
    </row>
    <row r="2547" spans="5:13">
      <c r="E2547" s="49"/>
      <c r="F2547" s="49"/>
      <c r="G2547" s="49"/>
      <c r="H2547" s="49"/>
      <c r="I2547" s="49"/>
      <c r="J2547" s="49"/>
      <c r="K2547" s="49"/>
      <c r="L2547" s="49"/>
      <c r="M2547" s="49"/>
    </row>
    <row r="2548" spans="5:13">
      <c r="E2548" s="49"/>
      <c r="F2548" s="49"/>
      <c r="G2548" s="49"/>
      <c r="H2548" s="49"/>
      <c r="I2548" s="49"/>
      <c r="J2548" s="49"/>
      <c r="K2548" s="49"/>
      <c r="L2548" s="49"/>
      <c r="M2548" s="49"/>
    </row>
    <row r="2549" spans="5:13">
      <c r="E2549" s="49"/>
      <c r="F2549" s="49"/>
      <c r="G2549" s="49"/>
      <c r="H2549" s="49"/>
      <c r="I2549" s="49"/>
      <c r="J2549" s="49"/>
      <c r="K2549" s="49"/>
      <c r="L2549" s="49"/>
      <c r="M2549" s="49"/>
    </row>
    <row r="2550" spans="5:13">
      <c r="E2550" s="49"/>
      <c r="F2550" s="49"/>
      <c r="G2550" s="49"/>
      <c r="H2550" s="49"/>
      <c r="I2550" s="49"/>
      <c r="J2550" s="49"/>
      <c r="K2550" s="49"/>
      <c r="L2550" s="49"/>
      <c r="M2550" s="49"/>
    </row>
    <row r="2551" spans="5:13">
      <c r="E2551" s="49"/>
      <c r="F2551" s="49"/>
      <c r="G2551" s="49"/>
      <c r="H2551" s="49"/>
      <c r="I2551" s="49"/>
      <c r="J2551" s="49"/>
      <c r="K2551" s="49"/>
      <c r="L2551" s="49"/>
      <c r="M2551" s="49"/>
    </row>
    <row r="2552" spans="5:13">
      <c r="E2552" s="49"/>
      <c r="F2552" s="49"/>
      <c r="G2552" s="49"/>
      <c r="H2552" s="49"/>
      <c r="I2552" s="49"/>
      <c r="J2552" s="49"/>
      <c r="K2552" s="49"/>
      <c r="L2552" s="49"/>
      <c r="M2552" s="49"/>
    </row>
    <row r="2553" spans="5:13">
      <c r="E2553" s="49"/>
      <c r="F2553" s="49"/>
      <c r="G2553" s="49"/>
      <c r="H2553" s="49"/>
      <c r="I2553" s="49"/>
      <c r="J2553" s="49"/>
      <c r="K2553" s="49"/>
      <c r="L2553" s="49"/>
      <c r="M2553" s="49"/>
    </row>
    <row r="2554" spans="5:13">
      <c r="E2554" s="49"/>
      <c r="F2554" s="49"/>
      <c r="G2554" s="49"/>
      <c r="H2554" s="49"/>
      <c r="I2554" s="49"/>
      <c r="J2554" s="49"/>
      <c r="K2554" s="49"/>
      <c r="L2554" s="49"/>
      <c r="M2554" s="49"/>
    </row>
    <row r="2555" spans="5:13">
      <c r="E2555" s="49"/>
      <c r="F2555" s="49"/>
      <c r="G2555" s="49"/>
      <c r="H2555" s="49"/>
      <c r="I2555" s="49"/>
      <c r="J2555" s="49"/>
      <c r="K2555" s="49"/>
      <c r="L2555" s="49"/>
      <c r="M2555" s="49"/>
    </row>
    <row r="2556" spans="5:13">
      <c r="E2556" s="49"/>
      <c r="F2556" s="49"/>
      <c r="G2556" s="49"/>
      <c r="H2556" s="49"/>
      <c r="I2556" s="49"/>
      <c r="J2556" s="49"/>
      <c r="K2556" s="49"/>
      <c r="L2556" s="49"/>
      <c r="M2556" s="49"/>
    </row>
    <row r="2557" spans="5:13">
      <c r="E2557" s="49"/>
      <c r="F2557" s="49"/>
      <c r="G2557" s="49"/>
      <c r="H2557" s="49"/>
      <c r="I2557" s="49"/>
      <c r="J2557" s="49"/>
      <c r="K2557" s="49"/>
      <c r="L2557" s="49"/>
      <c r="M2557" s="49"/>
    </row>
    <row r="2558" spans="5:13">
      <c r="E2558" s="49"/>
      <c r="F2558" s="49"/>
      <c r="G2558" s="49"/>
      <c r="H2558" s="49"/>
      <c r="I2558" s="49"/>
      <c r="J2558" s="49"/>
      <c r="K2558" s="49"/>
      <c r="L2558" s="49"/>
      <c r="M2558" s="49"/>
    </row>
    <row r="2559" spans="5:13">
      <c r="E2559" s="49"/>
      <c r="F2559" s="49"/>
      <c r="G2559" s="49"/>
      <c r="H2559" s="49"/>
      <c r="I2559" s="49"/>
      <c r="J2559" s="49"/>
      <c r="K2559" s="49"/>
      <c r="L2559" s="49"/>
      <c r="M2559" s="49"/>
    </row>
    <row r="2560" spans="5:13">
      <c r="E2560" s="49"/>
      <c r="F2560" s="49"/>
      <c r="G2560" s="49"/>
      <c r="H2560" s="49"/>
      <c r="I2560" s="49"/>
      <c r="J2560" s="49"/>
      <c r="K2560" s="49"/>
      <c r="L2560" s="49"/>
      <c r="M2560" s="49"/>
    </row>
    <row r="2561" spans="5:13">
      <c r="E2561" s="49"/>
      <c r="F2561" s="49"/>
      <c r="G2561" s="49"/>
      <c r="H2561" s="49"/>
      <c r="I2561" s="49"/>
      <c r="J2561" s="49"/>
      <c r="K2561" s="49"/>
      <c r="L2561" s="49"/>
      <c r="M2561" s="49"/>
    </row>
    <row r="2562" spans="5:13">
      <c r="E2562" s="49"/>
      <c r="F2562" s="49"/>
      <c r="G2562" s="49"/>
      <c r="H2562" s="49"/>
      <c r="I2562" s="49"/>
      <c r="J2562" s="49"/>
      <c r="K2562" s="49"/>
      <c r="L2562" s="49"/>
      <c r="M2562" s="49"/>
    </row>
    <row r="2563" spans="5:13">
      <c r="E2563" s="49"/>
      <c r="F2563" s="49"/>
      <c r="G2563" s="49"/>
      <c r="H2563" s="49"/>
      <c r="I2563" s="49"/>
      <c r="J2563" s="49"/>
      <c r="K2563" s="49"/>
      <c r="L2563" s="49"/>
      <c r="M2563" s="49"/>
    </row>
    <row r="2564" spans="5:13">
      <c r="E2564" s="49"/>
      <c r="F2564" s="49"/>
      <c r="G2564" s="49"/>
      <c r="H2564" s="49"/>
      <c r="I2564" s="49"/>
      <c r="J2564" s="49"/>
      <c r="K2564" s="49"/>
      <c r="L2564" s="49"/>
      <c r="M2564" s="49"/>
    </row>
    <row r="2565" spans="5:13">
      <c r="E2565" s="49"/>
      <c r="F2565" s="49"/>
      <c r="G2565" s="49"/>
      <c r="H2565" s="49"/>
      <c r="I2565" s="49"/>
      <c r="J2565" s="49"/>
      <c r="K2565" s="49"/>
      <c r="L2565" s="49"/>
      <c r="M2565" s="49"/>
    </row>
    <row r="2566" spans="5:13">
      <c r="E2566" s="49"/>
      <c r="F2566" s="49"/>
      <c r="G2566" s="49"/>
      <c r="H2566" s="49"/>
      <c r="I2566" s="49"/>
      <c r="J2566" s="49"/>
      <c r="K2566" s="49"/>
      <c r="L2566" s="49"/>
      <c r="M2566" s="49"/>
    </row>
    <row r="2567" spans="5:13">
      <c r="E2567" s="49"/>
      <c r="F2567" s="49"/>
      <c r="G2567" s="49"/>
      <c r="H2567" s="49"/>
      <c r="I2567" s="49"/>
      <c r="J2567" s="49"/>
      <c r="K2567" s="49"/>
      <c r="L2567" s="49"/>
      <c r="M2567" s="49"/>
    </row>
    <row r="2568" spans="5:13">
      <c r="E2568" s="49"/>
      <c r="F2568" s="49"/>
      <c r="G2568" s="49"/>
      <c r="H2568" s="49"/>
      <c r="I2568" s="49"/>
      <c r="J2568" s="49"/>
      <c r="K2568" s="49"/>
      <c r="L2568" s="49"/>
      <c r="M2568" s="49"/>
    </row>
    <row r="2569" spans="5:13">
      <c r="E2569" s="49"/>
      <c r="F2569" s="49"/>
      <c r="G2569" s="49"/>
      <c r="H2569" s="49"/>
      <c r="I2569" s="49"/>
      <c r="J2569" s="49"/>
      <c r="K2569" s="49"/>
      <c r="L2569" s="49"/>
      <c r="M2569" s="49"/>
    </row>
    <row r="2570" spans="5:13">
      <c r="E2570" s="49"/>
      <c r="F2570" s="49"/>
      <c r="G2570" s="49"/>
      <c r="H2570" s="49"/>
      <c r="I2570" s="49"/>
      <c r="J2570" s="49"/>
      <c r="K2570" s="49"/>
      <c r="L2570" s="49"/>
      <c r="M2570" s="49"/>
    </row>
    <row r="2571" spans="5:13">
      <c r="E2571" s="49"/>
      <c r="F2571" s="49"/>
      <c r="G2571" s="49"/>
      <c r="H2571" s="49"/>
      <c r="I2571" s="49"/>
      <c r="J2571" s="49"/>
      <c r="K2571" s="49"/>
      <c r="L2571" s="49"/>
      <c r="M2571" s="49"/>
    </row>
    <row r="2572" spans="5:13">
      <c r="E2572" s="49"/>
      <c r="F2572" s="49"/>
      <c r="G2572" s="49"/>
      <c r="H2572" s="49"/>
      <c r="I2572" s="49"/>
      <c r="J2572" s="49"/>
      <c r="K2572" s="49"/>
      <c r="L2572" s="49"/>
      <c r="M2572" s="49"/>
    </row>
    <row r="2573" spans="5:13">
      <c r="E2573" s="49"/>
      <c r="F2573" s="49"/>
      <c r="G2573" s="49"/>
      <c r="H2573" s="49"/>
      <c r="I2573" s="49"/>
      <c r="J2573" s="49"/>
      <c r="K2573" s="49"/>
      <c r="L2573" s="49"/>
      <c r="M2573" s="49"/>
    </row>
    <row r="2574" spans="5:13">
      <c r="E2574" s="49"/>
      <c r="F2574" s="49"/>
      <c r="G2574" s="49"/>
      <c r="H2574" s="49"/>
      <c r="I2574" s="49"/>
      <c r="J2574" s="49"/>
      <c r="K2574" s="49"/>
      <c r="L2574" s="49"/>
      <c r="M2574" s="49"/>
    </row>
    <row r="2575" spans="5:13">
      <c r="E2575" s="49"/>
      <c r="F2575" s="49"/>
      <c r="G2575" s="49"/>
      <c r="H2575" s="49"/>
      <c r="I2575" s="49"/>
      <c r="J2575" s="49"/>
      <c r="K2575" s="49"/>
      <c r="L2575" s="49"/>
      <c r="M2575" s="49"/>
    </row>
    <row r="2576" spans="5:13">
      <c r="E2576" s="49"/>
      <c r="F2576" s="49"/>
      <c r="G2576" s="49"/>
      <c r="H2576" s="49"/>
      <c r="I2576" s="49"/>
      <c r="J2576" s="49"/>
      <c r="K2576" s="49"/>
      <c r="L2576" s="49"/>
      <c r="M2576" s="49"/>
    </row>
    <row r="2577" spans="5:13">
      <c r="E2577" s="49"/>
      <c r="F2577" s="49"/>
      <c r="G2577" s="49"/>
      <c r="H2577" s="49"/>
      <c r="I2577" s="49"/>
      <c r="J2577" s="49"/>
      <c r="K2577" s="49"/>
      <c r="L2577" s="49"/>
      <c r="M2577" s="49"/>
    </row>
    <row r="2578" spans="5:13">
      <c r="E2578" s="49"/>
      <c r="F2578" s="49"/>
      <c r="G2578" s="49"/>
      <c r="H2578" s="49"/>
      <c r="I2578" s="49"/>
      <c r="J2578" s="49"/>
      <c r="K2578" s="49"/>
      <c r="L2578" s="49"/>
      <c r="M2578" s="49"/>
    </row>
    <row r="2579" spans="5:13">
      <c r="E2579" s="49"/>
      <c r="F2579" s="49"/>
      <c r="G2579" s="49"/>
      <c r="H2579" s="49"/>
      <c r="I2579" s="49"/>
      <c r="J2579" s="49"/>
      <c r="K2579" s="49"/>
      <c r="L2579" s="49"/>
      <c r="M2579" s="49"/>
    </row>
    <row r="2580" spans="5:13">
      <c r="E2580" s="49"/>
      <c r="F2580" s="49"/>
      <c r="G2580" s="49"/>
      <c r="H2580" s="49"/>
      <c r="I2580" s="49"/>
      <c r="J2580" s="49"/>
      <c r="K2580" s="49"/>
      <c r="L2580" s="49"/>
      <c r="M2580" s="49"/>
    </row>
    <row r="2581" spans="5:13">
      <c r="E2581" s="49"/>
      <c r="F2581" s="49"/>
      <c r="G2581" s="49"/>
      <c r="H2581" s="49"/>
      <c r="I2581" s="49"/>
      <c r="J2581" s="49"/>
      <c r="K2581" s="49"/>
      <c r="L2581" s="49"/>
      <c r="M2581" s="49"/>
    </row>
    <row r="2582" spans="5:13">
      <c r="E2582" s="49"/>
      <c r="F2582" s="49"/>
      <c r="G2582" s="49"/>
      <c r="H2582" s="49"/>
      <c r="I2582" s="49"/>
      <c r="J2582" s="49"/>
      <c r="K2582" s="49"/>
      <c r="L2582" s="49"/>
      <c r="M2582" s="49"/>
    </row>
    <row r="2583" spans="5:13">
      <c r="E2583" s="49"/>
      <c r="F2583" s="49"/>
      <c r="G2583" s="49"/>
      <c r="H2583" s="49"/>
      <c r="I2583" s="49"/>
      <c r="J2583" s="49"/>
      <c r="K2583" s="49"/>
      <c r="L2583" s="49"/>
      <c r="M2583" s="49"/>
    </row>
    <row r="2584" spans="5:13">
      <c r="E2584" s="49"/>
      <c r="F2584" s="49"/>
      <c r="G2584" s="49"/>
      <c r="H2584" s="49"/>
      <c r="I2584" s="49"/>
      <c r="J2584" s="49"/>
      <c r="K2584" s="49"/>
      <c r="L2584" s="49"/>
      <c r="M2584" s="49"/>
    </row>
    <row r="2585" spans="5:13">
      <c r="E2585" s="49"/>
      <c r="F2585" s="49"/>
      <c r="G2585" s="49"/>
      <c r="H2585" s="49"/>
      <c r="I2585" s="49"/>
      <c r="J2585" s="49"/>
      <c r="K2585" s="49"/>
      <c r="L2585" s="49"/>
      <c r="M2585" s="49"/>
    </row>
    <row r="2586" spans="5:13">
      <c r="E2586" s="49"/>
      <c r="F2586" s="49"/>
      <c r="G2586" s="49"/>
      <c r="H2586" s="49"/>
      <c r="I2586" s="49"/>
      <c r="J2586" s="49"/>
      <c r="K2586" s="49"/>
      <c r="L2586" s="49"/>
      <c r="M2586" s="49"/>
    </row>
    <row r="2587" spans="5:13">
      <c r="E2587" s="49"/>
      <c r="F2587" s="49"/>
      <c r="G2587" s="49"/>
      <c r="H2587" s="49"/>
      <c r="I2587" s="49"/>
      <c r="J2587" s="49"/>
      <c r="K2587" s="49"/>
      <c r="L2587" s="49"/>
      <c r="M2587" s="49"/>
    </row>
    <row r="2588" spans="5:13">
      <c r="E2588" s="49"/>
      <c r="F2588" s="49"/>
      <c r="G2588" s="49"/>
      <c r="H2588" s="49"/>
      <c r="I2588" s="49"/>
      <c r="J2588" s="49"/>
      <c r="K2588" s="49"/>
      <c r="L2588" s="49"/>
      <c r="M2588" s="49"/>
    </row>
    <row r="2589" spans="5:13">
      <c r="E2589" s="49"/>
      <c r="F2589" s="49"/>
      <c r="G2589" s="49"/>
      <c r="H2589" s="49"/>
      <c r="I2589" s="49"/>
      <c r="J2589" s="49"/>
      <c r="K2589" s="49"/>
      <c r="L2589" s="49"/>
      <c r="M2589" s="49"/>
    </row>
    <row r="2590" spans="5:13">
      <c r="E2590" s="49"/>
      <c r="F2590" s="49"/>
      <c r="G2590" s="49"/>
      <c r="H2590" s="49"/>
      <c r="I2590" s="49"/>
      <c r="J2590" s="49"/>
      <c r="K2590" s="49"/>
      <c r="L2590" s="49"/>
      <c r="M2590" s="49"/>
    </row>
    <row r="2591" spans="5:13">
      <c r="E2591" s="49"/>
      <c r="F2591" s="49"/>
      <c r="G2591" s="49"/>
      <c r="H2591" s="49"/>
      <c r="I2591" s="49"/>
      <c r="J2591" s="49"/>
      <c r="K2591" s="49"/>
      <c r="L2591" s="49"/>
      <c r="M2591" s="49"/>
    </row>
    <row r="2592" spans="5:13">
      <c r="E2592" s="49"/>
      <c r="F2592" s="49"/>
      <c r="G2592" s="49"/>
      <c r="H2592" s="49"/>
      <c r="I2592" s="49"/>
      <c r="J2592" s="49"/>
      <c r="K2592" s="49"/>
      <c r="L2592" s="49"/>
      <c r="M2592" s="49"/>
    </row>
    <row r="2593" spans="5:13">
      <c r="E2593" s="49"/>
      <c r="F2593" s="49"/>
      <c r="G2593" s="49"/>
      <c r="H2593" s="49"/>
      <c r="I2593" s="49"/>
      <c r="J2593" s="49"/>
      <c r="K2593" s="49"/>
      <c r="L2593" s="49"/>
      <c r="M2593" s="49"/>
    </row>
    <row r="2594" spans="5:13">
      <c r="E2594" s="49"/>
      <c r="F2594" s="49"/>
      <c r="G2594" s="49"/>
      <c r="H2594" s="49"/>
      <c r="I2594" s="49"/>
      <c r="J2594" s="49"/>
      <c r="K2594" s="49"/>
      <c r="L2594" s="49"/>
      <c r="M2594" s="49"/>
    </row>
    <row r="2595" spans="5:13">
      <c r="E2595" s="49"/>
      <c r="F2595" s="49"/>
      <c r="G2595" s="49"/>
      <c r="H2595" s="49"/>
      <c r="I2595" s="49"/>
      <c r="J2595" s="49"/>
      <c r="K2595" s="49"/>
      <c r="L2595" s="49"/>
      <c r="M2595" s="49"/>
    </row>
    <row r="2596" spans="5:13">
      <c r="E2596" s="49"/>
      <c r="F2596" s="49"/>
      <c r="G2596" s="49"/>
      <c r="H2596" s="49"/>
      <c r="I2596" s="49"/>
      <c r="J2596" s="49"/>
      <c r="K2596" s="49"/>
      <c r="L2596" s="49"/>
      <c r="M2596" s="49"/>
    </row>
    <row r="2597" spans="5:13">
      <c r="E2597" s="49"/>
      <c r="F2597" s="49"/>
      <c r="G2597" s="49"/>
      <c r="H2597" s="49"/>
      <c r="I2597" s="49"/>
      <c r="J2597" s="49"/>
      <c r="K2597" s="49"/>
      <c r="L2597" s="49"/>
      <c r="M2597" s="49"/>
    </row>
    <row r="2598" spans="5:13">
      <c r="E2598" s="49"/>
      <c r="F2598" s="49"/>
      <c r="G2598" s="49"/>
      <c r="H2598" s="49"/>
      <c r="I2598" s="49"/>
      <c r="J2598" s="49"/>
      <c r="K2598" s="49"/>
      <c r="L2598" s="49"/>
      <c r="M2598" s="49"/>
    </row>
    <row r="2599" spans="5:13">
      <c r="E2599" s="49"/>
      <c r="F2599" s="49"/>
      <c r="G2599" s="49"/>
      <c r="H2599" s="49"/>
      <c r="I2599" s="49"/>
      <c r="J2599" s="49"/>
      <c r="K2599" s="49"/>
      <c r="L2599" s="49"/>
      <c r="M2599" s="49"/>
    </row>
    <row r="2600" spans="5:13">
      <c r="E2600" s="49"/>
      <c r="F2600" s="49"/>
      <c r="G2600" s="49"/>
      <c r="H2600" s="49"/>
      <c r="I2600" s="49"/>
      <c r="J2600" s="49"/>
      <c r="K2600" s="49"/>
      <c r="L2600" s="49"/>
      <c r="M2600" s="49"/>
    </row>
    <row r="2601" spans="5:13">
      <c r="E2601" s="49"/>
      <c r="F2601" s="49"/>
      <c r="G2601" s="49"/>
      <c r="H2601" s="49"/>
      <c r="I2601" s="49"/>
      <c r="J2601" s="49"/>
      <c r="K2601" s="49"/>
      <c r="L2601" s="49"/>
      <c r="M2601" s="49"/>
    </row>
    <row r="2602" spans="5:13">
      <c r="E2602" s="49"/>
      <c r="F2602" s="49"/>
      <c r="G2602" s="49"/>
      <c r="H2602" s="49"/>
      <c r="I2602" s="49"/>
      <c r="J2602" s="49"/>
      <c r="K2602" s="49"/>
      <c r="L2602" s="49"/>
      <c r="M2602" s="49"/>
    </row>
    <row r="2603" spans="5:13">
      <c r="E2603" s="49"/>
      <c r="F2603" s="49"/>
      <c r="G2603" s="49"/>
      <c r="H2603" s="49"/>
      <c r="I2603" s="49"/>
      <c r="J2603" s="49"/>
      <c r="K2603" s="49"/>
      <c r="L2603" s="49"/>
      <c r="M2603" s="49"/>
    </row>
    <row r="2604" spans="5:13">
      <c r="E2604" s="49"/>
      <c r="F2604" s="49"/>
      <c r="G2604" s="49"/>
      <c r="H2604" s="49"/>
      <c r="I2604" s="49"/>
      <c r="J2604" s="49"/>
      <c r="K2604" s="49"/>
      <c r="L2604" s="49"/>
      <c r="M2604" s="49"/>
    </row>
    <row r="2605" spans="5:13">
      <c r="E2605" s="49"/>
      <c r="F2605" s="49"/>
      <c r="G2605" s="49"/>
      <c r="H2605" s="49"/>
      <c r="I2605" s="49"/>
      <c r="J2605" s="49"/>
      <c r="K2605" s="49"/>
      <c r="L2605" s="49"/>
      <c r="M2605" s="49"/>
    </row>
    <row r="2606" spans="5:13">
      <c r="E2606" s="49"/>
      <c r="F2606" s="49"/>
      <c r="G2606" s="49"/>
      <c r="H2606" s="49"/>
      <c r="I2606" s="49"/>
      <c r="J2606" s="49"/>
      <c r="K2606" s="49"/>
      <c r="L2606" s="49"/>
      <c r="M2606" s="49"/>
    </row>
    <row r="2607" spans="5:13">
      <c r="E2607" s="49"/>
      <c r="F2607" s="49"/>
      <c r="G2607" s="49"/>
      <c r="H2607" s="49"/>
      <c r="I2607" s="49"/>
      <c r="J2607" s="49"/>
      <c r="K2607" s="49"/>
      <c r="L2607" s="49"/>
      <c r="M2607" s="49"/>
    </row>
    <row r="2608" spans="5:13">
      <c r="E2608" s="49"/>
      <c r="F2608" s="49"/>
      <c r="G2608" s="49"/>
      <c r="H2608" s="49"/>
      <c r="I2608" s="49"/>
      <c r="J2608" s="49"/>
      <c r="K2608" s="49"/>
      <c r="L2608" s="49"/>
      <c r="M2608" s="49"/>
    </row>
    <row r="2609" spans="5:13">
      <c r="E2609" s="49"/>
      <c r="F2609" s="49"/>
      <c r="G2609" s="49"/>
      <c r="H2609" s="49"/>
      <c r="I2609" s="49"/>
      <c r="J2609" s="49"/>
      <c r="K2609" s="49"/>
      <c r="L2609" s="49"/>
      <c r="M2609" s="49"/>
    </row>
    <row r="2610" spans="5:13">
      <c r="E2610" s="49"/>
      <c r="F2610" s="49"/>
      <c r="G2610" s="49"/>
      <c r="H2610" s="49"/>
      <c r="I2610" s="49"/>
      <c r="J2610" s="49"/>
      <c r="K2610" s="49"/>
      <c r="L2610" s="49"/>
      <c r="M2610" s="49"/>
    </row>
    <row r="2611" spans="5:13">
      <c r="E2611" s="49"/>
      <c r="F2611" s="49"/>
      <c r="G2611" s="49"/>
      <c r="H2611" s="49"/>
      <c r="I2611" s="49"/>
      <c r="J2611" s="49"/>
      <c r="K2611" s="49"/>
      <c r="L2611" s="49"/>
      <c r="M2611" s="49"/>
    </row>
    <row r="2612" spans="5:13">
      <c r="E2612" s="49"/>
      <c r="F2612" s="49"/>
      <c r="G2612" s="49"/>
      <c r="H2612" s="49"/>
      <c r="I2612" s="49"/>
      <c r="J2612" s="49"/>
      <c r="K2612" s="49"/>
      <c r="L2612" s="49"/>
      <c r="M2612" s="49"/>
    </row>
    <row r="2613" spans="5:13">
      <c r="E2613" s="49"/>
      <c r="F2613" s="49"/>
      <c r="G2613" s="49"/>
      <c r="H2613" s="49"/>
      <c r="I2613" s="49"/>
      <c r="J2613" s="49"/>
      <c r="K2613" s="49"/>
      <c r="L2613" s="49"/>
      <c r="M2613" s="49"/>
    </row>
    <row r="2614" spans="5:13">
      <c r="E2614" s="49"/>
      <c r="F2614" s="49"/>
      <c r="G2614" s="49"/>
      <c r="H2614" s="49"/>
      <c r="I2614" s="49"/>
      <c r="J2614" s="49"/>
      <c r="K2614" s="49"/>
      <c r="L2614" s="49"/>
      <c r="M2614" s="49"/>
    </row>
    <row r="2615" spans="5:13">
      <c r="E2615" s="49"/>
      <c r="F2615" s="49"/>
      <c r="G2615" s="49"/>
      <c r="H2615" s="49"/>
      <c r="I2615" s="49"/>
      <c r="J2615" s="49"/>
      <c r="K2615" s="49"/>
      <c r="L2615" s="49"/>
      <c r="M2615" s="49"/>
    </row>
    <row r="2616" spans="5:13">
      <c r="E2616" s="49"/>
      <c r="F2616" s="49"/>
      <c r="G2616" s="49"/>
      <c r="H2616" s="49"/>
      <c r="I2616" s="49"/>
      <c r="J2616" s="49"/>
      <c r="K2616" s="49"/>
      <c r="L2616" s="49"/>
      <c r="M2616" s="49"/>
    </row>
    <row r="2617" spans="5:13">
      <c r="E2617" s="49"/>
      <c r="F2617" s="49"/>
      <c r="G2617" s="49"/>
      <c r="H2617" s="49"/>
      <c r="I2617" s="49"/>
      <c r="J2617" s="49"/>
      <c r="K2617" s="49"/>
      <c r="L2617" s="49"/>
      <c r="M2617" s="49"/>
    </row>
    <row r="2618" spans="5:13">
      <c r="E2618" s="49"/>
      <c r="F2618" s="49"/>
      <c r="G2618" s="49"/>
      <c r="H2618" s="49"/>
      <c r="I2618" s="49"/>
      <c r="J2618" s="49"/>
      <c r="K2618" s="49"/>
      <c r="L2618" s="49"/>
      <c r="M2618" s="49"/>
    </row>
    <row r="2619" spans="5:13">
      <c r="E2619" s="49"/>
      <c r="F2619" s="49"/>
      <c r="G2619" s="49"/>
      <c r="H2619" s="49"/>
      <c r="I2619" s="49"/>
      <c r="J2619" s="49"/>
      <c r="K2619" s="49"/>
      <c r="L2619" s="49"/>
      <c r="M2619" s="49"/>
    </row>
    <row r="2620" spans="5:13">
      <c r="E2620" s="49"/>
      <c r="F2620" s="49"/>
      <c r="G2620" s="49"/>
      <c r="H2620" s="49"/>
      <c r="I2620" s="49"/>
      <c r="J2620" s="49"/>
      <c r="K2620" s="49"/>
      <c r="L2620" s="49"/>
      <c r="M2620" s="49"/>
    </row>
    <row r="2621" spans="5:13">
      <c r="E2621" s="49"/>
      <c r="F2621" s="49"/>
      <c r="G2621" s="49"/>
      <c r="H2621" s="49"/>
      <c r="I2621" s="49"/>
      <c r="J2621" s="49"/>
      <c r="K2621" s="49"/>
      <c r="L2621" s="49"/>
      <c r="M2621" s="49"/>
    </row>
    <row r="2622" spans="5:13">
      <c r="E2622" s="49"/>
      <c r="F2622" s="49"/>
      <c r="G2622" s="49"/>
      <c r="H2622" s="49"/>
      <c r="I2622" s="49"/>
      <c r="J2622" s="49"/>
      <c r="K2622" s="49"/>
      <c r="L2622" s="49"/>
      <c r="M2622" s="49"/>
    </row>
    <row r="2623" spans="5:13">
      <c r="E2623" s="49"/>
      <c r="F2623" s="49"/>
      <c r="G2623" s="49"/>
      <c r="H2623" s="49"/>
      <c r="I2623" s="49"/>
      <c r="J2623" s="49"/>
      <c r="K2623" s="49"/>
      <c r="L2623" s="49"/>
      <c r="M2623" s="49"/>
    </row>
    <row r="2624" spans="5:13">
      <c r="E2624" s="49"/>
      <c r="F2624" s="49"/>
      <c r="G2624" s="49"/>
      <c r="H2624" s="49"/>
      <c r="I2624" s="49"/>
      <c r="J2624" s="49"/>
      <c r="K2624" s="49"/>
      <c r="L2624" s="49"/>
      <c r="M2624" s="49"/>
    </row>
    <row r="2625" spans="5:13">
      <c r="E2625" s="49"/>
      <c r="F2625" s="49"/>
      <c r="G2625" s="49"/>
      <c r="H2625" s="49"/>
      <c r="I2625" s="49"/>
      <c r="J2625" s="49"/>
      <c r="K2625" s="49"/>
      <c r="L2625" s="49"/>
      <c r="M2625" s="49"/>
    </row>
    <row r="2626" spans="5:13">
      <c r="E2626" s="49"/>
      <c r="F2626" s="49"/>
      <c r="G2626" s="49"/>
      <c r="H2626" s="49"/>
      <c r="I2626" s="49"/>
      <c r="J2626" s="49"/>
      <c r="K2626" s="49"/>
      <c r="L2626" s="49"/>
      <c r="M2626" s="49"/>
    </row>
    <row r="2627" spans="5:13">
      <c r="E2627" s="49"/>
      <c r="F2627" s="49"/>
      <c r="G2627" s="49"/>
      <c r="H2627" s="49"/>
      <c r="I2627" s="49"/>
      <c r="J2627" s="49"/>
      <c r="K2627" s="49"/>
      <c r="L2627" s="49"/>
      <c r="M2627" s="49"/>
    </row>
    <row r="2628" spans="5:13">
      <c r="E2628" s="49"/>
      <c r="F2628" s="49"/>
      <c r="G2628" s="49"/>
      <c r="H2628" s="49"/>
      <c r="I2628" s="49"/>
      <c r="J2628" s="49"/>
      <c r="K2628" s="49"/>
      <c r="L2628" s="49"/>
      <c r="M2628" s="49"/>
    </row>
    <row r="2629" spans="5:13">
      <c r="E2629" s="49"/>
      <c r="F2629" s="49"/>
      <c r="G2629" s="49"/>
      <c r="H2629" s="49"/>
      <c r="I2629" s="49"/>
      <c r="J2629" s="49"/>
      <c r="K2629" s="49"/>
      <c r="L2629" s="49"/>
      <c r="M2629" s="49"/>
    </row>
    <row r="2630" spans="5:13">
      <c r="E2630" s="49"/>
      <c r="F2630" s="49"/>
      <c r="G2630" s="49"/>
      <c r="H2630" s="49"/>
      <c r="I2630" s="49"/>
      <c r="J2630" s="49"/>
      <c r="K2630" s="49"/>
      <c r="L2630" s="49"/>
      <c r="M2630" s="49"/>
    </row>
    <row r="2631" spans="5:13">
      <c r="E2631" s="49"/>
      <c r="F2631" s="49"/>
      <c r="G2631" s="49"/>
      <c r="H2631" s="49"/>
      <c r="I2631" s="49"/>
      <c r="J2631" s="49"/>
      <c r="K2631" s="49"/>
      <c r="L2631" s="49"/>
      <c r="M2631" s="49"/>
    </row>
    <row r="2632" spans="5:13">
      <c r="E2632" s="49"/>
      <c r="F2632" s="49"/>
      <c r="G2632" s="49"/>
      <c r="H2632" s="49"/>
      <c r="I2632" s="49"/>
      <c r="J2632" s="49"/>
      <c r="K2632" s="49"/>
      <c r="L2632" s="49"/>
      <c r="M2632" s="49"/>
    </row>
    <row r="2633" spans="5:13">
      <c r="E2633" s="49"/>
      <c r="F2633" s="49"/>
      <c r="G2633" s="49"/>
      <c r="H2633" s="49"/>
      <c r="I2633" s="49"/>
      <c r="J2633" s="49"/>
      <c r="K2633" s="49"/>
      <c r="L2633" s="49"/>
      <c r="M2633" s="49"/>
    </row>
    <row r="2634" spans="5:13">
      <c r="E2634" s="49"/>
      <c r="F2634" s="49"/>
      <c r="G2634" s="49"/>
      <c r="H2634" s="49"/>
      <c r="I2634" s="49"/>
      <c r="J2634" s="49"/>
      <c r="K2634" s="49"/>
      <c r="L2634" s="49"/>
      <c r="M2634" s="49"/>
    </row>
    <row r="2635" spans="5:13">
      <c r="E2635" s="49"/>
      <c r="F2635" s="49"/>
      <c r="G2635" s="49"/>
      <c r="H2635" s="49"/>
      <c r="I2635" s="49"/>
      <c r="J2635" s="49"/>
      <c r="K2635" s="49"/>
      <c r="L2635" s="49"/>
      <c r="M2635" s="49"/>
    </row>
    <row r="2636" spans="5:13">
      <c r="E2636" s="49"/>
      <c r="F2636" s="49"/>
      <c r="G2636" s="49"/>
      <c r="H2636" s="49"/>
      <c r="I2636" s="49"/>
      <c r="J2636" s="49"/>
      <c r="K2636" s="49"/>
      <c r="L2636" s="49"/>
      <c r="M2636" s="49"/>
    </row>
    <row r="2637" spans="5:13">
      <c r="E2637" s="49"/>
      <c r="F2637" s="49"/>
      <c r="G2637" s="49"/>
      <c r="H2637" s="49"/>
      <c r="I2637" s="49"/>
      <c r="J2637" s="49"/>
      <c r="K2637" s="49"/>
      <c r="L2637" s="49"/>
      <c r="M2637" s="49"/>
    </row>
    <row r="2638" spans="5:13">
      <c r="E2638" s="49"/>
      <c r="F2638" s="49"/>
      <c r="G2638" s="49"/>
      <c r="H2638" s="49"/>
      <c r="I2638" s="49"/>
      <c r="J2638" s="49"/>
      <c r="K2638" s="49"/>
      <c r="L2638" s="49"/>
      <c r="M2638" s="49"/>
    </row>
    <row r="2639" spans="5:13">
      <c r="E2639" s="49"/>
      <c r="F2639" s="49"/>
      <c r="G2639" s="49"/>
      <c r="H2639" s="49"/>
      <c r="I2639" s="49"/>
      <c r="J2639" s="49"/>
      <c r="K2639" s="49"/>
      <c r="L2639" s="49"/>
      <c r="M2639" s="49"/>
    </row>
    <row r="2640" spans="5:13">
      <c r="E2640" s="49"/>
      <c r="F2640" s="49"/>
      <c r="G2640" s="49"/>
      <c r="H2640" s="49"/>
      <c r="I2640" s="49"/>
      <c r="J2640" s="49"/>
      <c r="K2640" s="49"/>
      <c r="L2640" s="49"/>
      <c r="M2640" s="49"/>
    </row>
    <row r="2641" spans="5:13">
      <c r="E2641" s="49"/>
      <c r="F2641" s="49"/>
      <c r="G2641" s="49"/>
      <c r="H2641" s="49"/>
      <c r="I2641" s="49"/>
      <c r="J2641" s="49"/>
      <c r="K2641" s="49"/>
      <c r="L2641" s="49"/>
      <c r="M2641" s="49"/>
    </row>
    <row r="2642" spans="5:13">
      <c r="E2642" s="49"/>
      <c r="F2642" s="49"/>
      <c r="G2642" s="49"/>
      <c r="H2642" s="49"/>
      <c r="I2642" s="49"/>
      <c r="J2642" s="49"/>
      <c r="K2642" s="49"/>
      <c r="L2642" s="49"/>
      <c r="M2642" s="49"/>
    </row>
    <row r="2643" spans="5:13">
      <c r="E2643" s="49"/>
      <c r="F2643" s="49"/>
      <c r="G2643" s="49"/>
      <c r="H2643" s="49"/>
      <c r="I2643" s="49"/>
      <c r="J2643" s="49"/>
      <c r="K2643" s="49"/>
      <c r="L2643" s="49"/>
      <c r="M2643" s="49"/>
    </row>
    <row r="2644" spans="5:13">
      <c r="E2644" s="49"/>
      <c r="F2644" s="49"/>
      <c r="G2644" s="49"/>
      <c r="H2644" s="49"/>
      <c r="I2644" s="49"/>
      <c r="J2644" s="49"/>
      <c r="K2644" s="49"/>
      <c r="L2644" s="49"/>
      <c r="M2644" s="49"/>
    </row>
    <row r="2645" spans="5:13">
      <c r="E2645" s="49"/>
      <c r="F2645" s="49"/>
      <c r="G2645" s="49"/>
      <c r="H2645" s="49"/>
      <c r="I2645" s="49"/>
      <c r="J2645" s="49"/>
      <c r="K2645" s="49"/>
      <c r="L2645" s="49"/>
      <c r="M2645" s="49"/>
    </row>
    <row r="2646" spans="5:13">
      <c r="E2646" s="49"/>
      <c r="F2646" s="49"/>
      <c r="G2646" s="49"/>
      <c r="H2646" s="49"/>
      <c r="I2646" s="49"/>
      <c r="J2646" s="49"/>
      <c r="K2646" s="49"/>
      <c r="L2646" s="49"/>
      <c r="M2646" s="49"/>
    </row>
    <row r="2647" spans="5:13">
      <c r="E2647" s="49"/>
      <c r="F2647" s="49"/>
      <c r="G2647" s="49"/>
      <c r="H2647" s="49"/>
      <c r="I2647" s="49"/>
      <c r="J2647" s="49"/>
      <c r="K2647" s="49"/>
      <c r="L2647" s="49"/>
      <c r="M2647" s="49"/>
    </row>
    <row r="2648" spans="5:13">
      <c r="E2648" s="49"/>
      <c r="F2648" s="49"/>
      <c r="G2648" s="49"/>
      <c r="H2648" s="49"/>
      <c r="I2648" s="49"/>
      <c r="J2648" s="49"/>
      <c r="K2648" s="49"/>
      <c r="L2648" s="49"/>
      <c r="M2648" s="49"/>
    </row>
    <row r="2649" spans="5:13">
      <c r="E2649" s="49"/>
      <c r="F2649" s="49"/>
      <c r="G2649" s="49"/>
      <c r="H2649" s="49"/>
      <c r="I2649" s="49"/>
      <c r="J2649" s="49"/>
      <c r="K2649" s="49"/>
      <c r="L2649" s="49"/>
      <c r="M2649" s="49"/>
    </row>
    <row r="2650" spans="5:13">
      <c r="E2650" s="49"/>
      <c r="F2650" s="49"/>
      <c r="G2650" s="49"/>
      <c r="H2650" s="49"/>
      <c r="I2650" s="49"/>
      <c r="J2650" s="49"/>
      <c r="K2650" s="49"/>
      <c r="L2650" s="49"/>
      <c r="M2650" s="49"/>
    </row>
    <row r="2651" spans="5:13">
      <c r="E2651" s="49"/>
      <c r="F2651" s="49"/>
      <c r="G2651" s="49"/>
      <c r="H2651" s="49"/>
      <c r="I2651" s="49"/>
      <c r="J2651" s="49"/>
      <c r="K2651" s="49"/>
      <c r="L2651" s="49"/>
      <c r="M2651" s="49"/>
    </row>
    <row r="2652" spans="5:13">
      <c r="E2652" s="49"/>
      <c r="F2652" s="49"/>
      <c r="G2652" s="49"/>
      <c r="H2652" s="49"/>
      <c r="I2652" s="49"/>
      <c r="J2652" s="49"/>
      <c r="K2652" s="49"/>
      <c r="L2652" s="49"/>
      <c r="M2652" s="49"/>
    </row>
    <row r="2653" spans="5:13">
      <c r="E2653" s="49"/>
      <c r="F2653" s="49"/>
      <c r="G2653" s="49"/>
      <c r="H2653" s="49"/>
      <c r="I2653" s="49"/>
      <c r="J2653" s="49"/>
      <c r="K2653" s="49"/>
      <c r="L2653" s="49"/>
      <c r="M2653" s="49"/>
    </row>
    <row r="2654" spans="5:13">
      <c r="E2654" s="49"/>
      <c r="F2654" s="49"/>
      <c r="G2654" s="49"/>
      <c r="H2654" s="49"/>
      <c r="I2654" s="49"/>
      <c r="J2654" s="49"/>
      <c r="K2654" s="49"/>
      <c r="L2654" s="49"/>
      <c r="M2654" s="49"/>
    </row>
    <row r="2655" spans="5:13">
      <c r="E2655" s="49"/>
      <c r="F2655" s="49"/>
      <c r="G2655" s="49"/>
      <c r="H2655" s="49"/>
      <c r="I2655" s="49"/>
      <c r="J2655" s="49"/>
      <c r="K2655" s="49"/>
      <c r="L2655" s="49"/>
      <c r="M2655" s="49"/>
    </row>
    <row r="2656" spans="5:13">
      <c r="E2656" s="49"/>
      <c r="F2656" s="49"/>
      <c r="G2656" s="49"/>
      <c r="H2656" s="49"/>
      <c r="I2656" s="49"/>
      <c r="J2656" s="49"/>
      <c r="K2656" s="49"/>
      <c r="L2656" s="49"/>
      <c r="M2656" s="49"/>
    </row>
    <row r="2657" spans="5:13">
      <c r="E2657" s="49"/>
      <c r="F2657" s="49"/>
      <c r="G2657" s="49"/>
      <c r="H2657" s="49"/>
      <c r="I2657" s="49"/>
      <c r="J2657" s="49"/>
      <c r="K2657" s="49"/>
      <c r="L2657" s="49"/>
      <c r="M2657" s="49"/>
    </row>
    <row r="2658" spans="5:13">
      <c r="E2658" s="49"/>
      <c r="F2658" s="49"/>
      <c r="G2658" s="49"/>
      <c r="H2658" s="49"/>
      <c r="I2658" s="49"/>
      <c r="J2658" s="49"/>
      <c r="K2658" s="49"/>
      <c r="L2658" s="49"/>
      <c r="M2658" s="49"/>
    </row>
    <row r="2659" spans="5:13">
      <c r="E2659" s="49"/>
      <c r="F2659" s="49"/>
      <c r="G2659" s="49"/>
      <c r="H2659" s="49"/>
      <c r="I2659" s="49"/>
      <c r="J2659" s="49"/>
      <c r="K2659" s="49"/>
      <c r="L2659" s="49"/>
      <c r="M2659" s="49"/>
    </row>
    <row r="2660" spans="5:13">
      <c r="E2660" s="49"/>
      <c r="F2660" s="49"/>
      <c r="G2660" s="49"/>
      <c r="H2660" s="49"/>
      <c r="I2660" s="49"/>
      <c r="J2660" s="49"/>
      <c r="K2660" s="49"/>
      <c r="L2660" s="49"/>
      <c r="M2660" s="49"/>
    </row>
    <row r="2661" spans="5:13">
      <c r="E2661" s="49"/>
      <c r="F2661" s="49"/>
      <c r="G2661" s="49"/>
      <c r="H2661" s="49"/>
      <c r="I2661" s="49"/>
      <c r="J2661" s="49"/>
      <c r="K2661" s="49"/>
      <c r="L2661" s="49"/>
      <c r="M2661" s="49"/>
    </row>
    <row r="2662" spans="5:13">
      <c r="E2662" s="49"/>
      <c r="F2662" s="49"/>
      <c r="G2662" s="49"/>
      <c r="H2662" s="49"/>
      <c r="I2662" s="49"/>
      <c r="J2662" s="49"/>
      <c r="K2662" s="49"/>
      <c r="L2662" s="49"/>
      <c r="M2662" s="49"/>
    </row>
    <row r="2663" spans="5:13">
      <c r="E2663" s="49"/>
      <c r="F2663" s="49"/>
      <c r="G2663" s="49"/>
      <c r="H2663" s="49"/>
      <c r="I2663" s="49"/>
      <c r="J2663" s="49"/>
      <c r="K2663" s="49"/>
      <c r="L2663" s="49"/>
      <c r="M2663" s="49"/>
    </row>
    <row r="2664" spans="5:13">
      <c r="E2664" s="49"/>
      <c r="F2664" s="49"/>
      <c r="G2664" s="49"/>
      <c r="H2664" s="49"/>
      <c r="I2664" s="49"/>
      <c r="J2664" s="49"/>
      <c r="K2664" s="49"/>
      <c r="L2664" s="49"/>
      <c r="M2664" s="49"/>
    </row>
    <row r="2665" spans="5:13">
      <c r="E2665" s="49"/>
      <c r="F2665" s="49"/>
      <c r="G2665" s="49"/>
      <c r="H2665" s="49"/>
      <c r="I2665" s="49"/>
      <c r="J2665" s="49"/>
      <c r="K2665" s="49"/>
      <c r="L2665" s="49"/>
      <c r="M2665" s="49"/>
    </row>
    <row r="2666" spans="5:13">
      <c r="E2666" s="49"/>
      <c r="F2666" s="49"/>
      <c r="G2666" s="49"/>
      <c r="H2666" s="49"/>
      <c r="I2666" s="49"/>
      <c r="J2666" s="49"/>
      <c r="K2666" s="49"/>
      <c r="L2666" s="49"/>
      <c r="M2666" s="49"/>
    </row>
    <row r="2667" spans="5:13">
      <c r="E2667" s="49"/>
      <c r="F2667" s="49"/>
      <c r="G2667" s="49"/>
      <c r="H2667" s="49"/>
      <c r="I2667" s="49"/>
      <c r="J2667" s="49"/>
      <c r="K2667" s="49"/>
      <c r="L2667" s="49"/>
      <c r="M2667" s="49"/>
    </row>
    <row r="2668" spans="5:13">
      <c r="E2668" s="49"/>
      <c r="F2668" s="49"/>
      <c r="G2668" s="49"/>
      <c r="H2668" s="49"/>
      <c r="I2668" s="49"/>
      <c r="J2668" s="49"/>
      <c r="K2668" s="49"/>
      <c r="L2668" s="49"/>
      <c r="M2668" s="49"/>
    </row>
    <row r="2669" spans="5:13">
      <c r="E2669" s="49"/>
      <c r="F2669" s="49"/>
      <c r="G2669" s="49"/>
      <c r="H2669" s="49"/>
      <c r="I2669" s="49"/>
      <c r="J2669" s="49"/>
      <c r="K2669" s="49"/>
      <c r="L2669" s="49"/>
      <c r="M2669" s="49"/>
    </row>
    <row r="2670" spans="5:13">
      <c r="E2670" s="49"/>
      <c r="F2670" s="49"/>
      <c r="G2670" s="49"/>
      <c r="H2670" s="49"/>
      <c r="I2670" s="49"/>
      <c r="J2670" s="49"/>
      <c r="K2670" s="49"/>
      <c r="L2670" s="49"/>
      <c r="M2670" s="49"/>
    </row>
    <row r="2671" spans="5:13">
      <c r="E2671" s="49"/>
      <c r="F2671" s="49"/>
      <c r="G2671" s="49"/>
      <c r="H2671" s="49"/>
      <c r="I2671" s="49"/>
      <c r="J2671" s="49"/>
      <c r="K2671" s="49"/>
      <c r="L2671" s="49"/>
      <c r="M2671" s="49"/>
    </row>
    <row r="2672" spans="5:13">
      <c r="E2672" s="49"/>
      <c r="F2672" s="49"/>
      <c r="G2672" s="49"/>
      <c r="H2672" s="49"/>
      <c r="I2672" s="49"/>
      <c r="J2672" s="49"/>
      <c r="K2672" s="49"/>
      <c r="L2672" s="49"/>
      <c r="M2672" s="49"/>
    </row>
    <row r="2673" spans="5:13">
      <c r="E2673" s="49"/>
      <c r="F2673" s="49"/>
      <c r="G2673" s="49"/>
      <c r="H2673" s="49"/>
      <c r="I2673" s="49"/>
      <c r="J2673" s="49"/>
      <c r="K2673" s="49"/>
      <c r="L2673" s="49"/>
      <c r="M2673" s="49"/>
    </row>
    <row r="2674" spans="5:13">
      <c r="E2674" s="49"/>
      <c r="F2674" s="49"/>
      <c r="G2674" s="49"/>
      <c r="H2674" s="49"/>
      <c r="I2674" s="49"/>
      <c r="J2674" s="49"/>
      <c r="K2674" s="49"/>
      <c r="L2674" s="49"/>
      <c r="M2674" s="49"/>
    </row>
    <row r="2675" spans="5:13">
      <c r="E2675" s="49"/>
      <c r="F2675" s="49"/>
      <c r="G2675" s="49"/>
      <c r="H2675" s="49"/>
      <c r="I2675" s="49"/>
      <c r="J2675" s="49"/>
      <c r="K2675" s="49"/>
      <c r="L2675" s="49"/>
      <c r="M2675" s="49"/>
    </row>
    <row r="2676" spans="5:13">
      <c r="E2676" s="49"/>
      <c r="F2676" s="49"/>
      <c r="G2676" s="49"/>
      <c r="H2676" s="49"/>
      <c r="I2676" s="49"/>
      <c r="J2676" s="49"/>
      <c r="K2676" s="49"/>
      <c r="L2676" s="49"/>
      <c r="M2676" s="49"/>
    </row>
    <row r="2677" spans="5:13">
      <c r="E2677" s="49"/>
      <c r="F2677" s="49"/>
      <c r="G2677" s="49"/>
      <c r="H2677" s="49"/>
      <c r="I2677" s="49"/>
      <c r="J2677" s="49"/>
      <c r="K2677" s="49"/>
      <c r="L2677" s="49"/>
      <c r="M2677" s="49"/>
    </row>
    <row r="2678" spans="5:13">
      <c r="E2678" s="49"/>
      <c r="F2678" s="49"/>
      <c r="G2678" s="49"/>
      <c r="H2678" s="49"/>
      <c r="I2678" s="49"/>
      <c r="J2678" s="49"/>
      <c r="K2678" s="49"/>
      <c r="L2678" s="49"/>
      <c r="M2678" s="49"/>
    </row>
    <row r="2679" spans="5:13">
      <c r="E2679" s="49"/>
      <c r="F2679" s="49"/>
      <c r="G2679" s="49"/>
      <c r="H2679" s="49"/>
      <c r="I2679" s="49"/>
      <c r="J2679" s="49"/>
      <c r="K2679" s="49"/>
      <c r="L2679" s="49"/>
      <c r="M2679" s="49"/>
    </row>
    <row r="2680" spans="5:13">
      <c r="E2680" s="49"/>
      <c r="F2680" s="49"/>
      <c r="G2680" s="49"/>
      <c r="H2680" s="49"/>
      <c r="I2680" s="49"/>
      <c r="J2680" s="49"/>
      <c r="K2680" s="49"/>
      <c r="L2680" s="49"/>
      <c r="M2680" s="49"/>
    </row>
    <row r="2681" spans="5:13">
      <c r="E2681" s="49"/>
      <c r="F2681" s="49"/>
      <c r="G2681" s="49"/>
      <c r="H2681" s="49"/>
      <c r="I2681" s="49"/>
      <c r="J2681" s="49"/>
      <c r="K2681" s="49"/>
      <c r="L2681" s="49"/>
      <c r="M2681" s="49"/>
    </row>
    <row r="2682" spans="5:13">
      <c r="E2682" s="49"/>
      <c r="F2682" s="49"/>
      <c r="G2682" s="49"/>
      <c r="H2682" s="49"/>
      <c r="I2682" s="49"/>
      <c r="J2682" s="49"/>
      <c r="K2682" s="49"/>
      <c r="L2682" s="49"/>
      <c r="M2682" s="49"/>
    </row>
    <row r="2683" spans="5:13">
      <c r="E2683" s="49"/>
      <c r="F2683" s="49"/>
      <c r="G2683" s="49"/>
      <c r="H2683" s="49"/>
      <c r="I2683" s="49"/>
      <c r="J2683" s="49"/>
      <c r="K2683" s="49"/>
      <c r="L2683" s="49"/>
      <c r="M2683" s="49"/>
    </row>
    <row r="2684" spans="5:13">
      <c r="E2684" s="49"/>
      <c r="F2684" s="49"/>
      <c r="G2684" s="49"/>
      <c r="H2684" s="49"/>
      <c r="I2684" s="49"/>
      <c r="J2684" s="49"/>
      <c r="K2684" s="49"/>
      <c r="L2684" s="49"/>
      <c r="M2684" s="49"/>
    </row>
    <row r="2685" spans="5:13">
      <c r="E2685" s="49"/>
      <c r="F2685" s="49"/>
      <c r="G2685" s="49"/>
      <c r="H2685" s="49"/>
      <c r="I2685" s="49"/>
      <c r="J2685" s="49"/>
      <c r="K2685" s="49"/>
      <c r="L2685" s="49"/>
      <c r="M2685" s="49"/>
    </row>
    <row r="2686" spans="5:13">
      <c r="E2686" s="49"/>
      <c r="F2686" s="49"/>
      <c r="G2686" s="49"/>
      <c r="H2686" s="49"/>
      <c r="I2686" s="49"/>
      <c r="J2686" s="49"/>
      <c r="K2686" s="49"/>
      <c r="L2686" s="49"/>
      <c r="M2686" s="49"/>
    </row>
    <row r="2687" spans="5:13">
      <c r="E2687" s="49"/>
      <c r="F2687" s="49"/>
      <c r="G2687" s="49"/>
      <c r="H2687" s="49"/>
      <c r="I2687" s="49"/>
      <c r="J2687" s="49"/>
      <c r="K2687" s="49"/>
      <c r="L2687" s="49"/>
      <c r="M2687" s="49"/>
    </row>
    <row r="2688" spans="5:13">
      <c r="E2688" s="49"/>
      <c r="F2688" s="49"/>
      <c r="G2688" s="49"/>
      <c r="H2688" s="49"/>
      <c r="I2688" s="49"/>
      <c r="J2688" s="49"/>
      <c r="K2688" s="49"/>
      <c r="L2688" s="49"/>
      <c r="M2688" s="49"/>
    </row>
    <row r="2689" spans="5:13">
      <c r="E2689" s="49"/>
      <c r="F2689" s="49"/>
      <c r="G2689" s="49"/>
      <c r="H2689" s="49"/>
      <c r="I2689" s="49"/>
      <c r="J2689" s="49"/>
      <c r="K2689" s="49"/>
      <c r="L2689" s="49"/>
      <c r="M2689" s="49"/>
    </row>
    <row r="2690" spans="5:13">
      <c r="E2690" s="49"/>
      <c r="F2690" s="49"/>
      <c r="G2690" s="49"/>
      <c r="H2690" s="49"/>
      <c r="I2690" s="49"/>
      <c r="J2690" s="49"/>
      <c r="K2690" s="49"/>
      <c r="L2690" s="49"/>
      <c r="M2690" s="49"/>
    </row>
    <row r="2691" spans="5:13">
      <c r="E2691" s="49"/>
      <c r="F2691" s="49"/>
      <c r="G2691" s="49"/>
      <c r="H2691" s="49"/>
      <c r="I2691" s="49"/>
      <c r="J2691" s="49"/>
      <c r="K2691" s="49"/>
      <c r="L2691" s="49"/>
      <c r="M2691" s="49"/>
    </row>
    <row r="2692" spans="5:13">
      <c r="E2692" s="49"/>
      <c r="F2692" s="49"/>
      <c r="G2692" s="49"/>
      <c r="H2692" s="49"/>
      <c r="I2692" s="49"/>
      <c r="J2692" s="49"/>
      <c r="K2692" s="49"/>
      <c r="L2692" s="49"/>
      <c r="M2692" s="49"/>
    </row>
    <row r="2693" spans="5:13">
      <c r="E2693" s="49"/>
      <c r="F2693" s="49"/>
      <c r="G2693" s="49"/>
      <c r="H2693" s="49"/>
      <c r="I2693" s="49"/>
      <c r="J2693" s="49"/>
      <c r="K2693" s="49"/>
      <c r="L2693" s="49"/>
      <c r="M2693" s="49"/>
    </row>
    <row r="2694" spans="5:13">
      <c r="E2694" s="49"/>
      <c r="F2694" s="49"/>
      <c r="G2694" s="49"/>
      <c r="H2694" s="49"/>
      <c r="I2694" s="49"/>
      <c r="J2694" s="49"/>
      <c r="K2694" s="49"/>
      <c r="L2694" s="49"/>
      <c r="M2694" s="49"/>
    </row>
    <row r="2695" spans="5:13">
      <c r="E2695" s="49"/>
      <c r="F2695" s="49"/>
      <c r="G2695" s="49"/>
      <c r="H2695" s="49"/>
      <c r="I2695" s="49"/>
      <c r="J2695" s="49"/>
      <c r="K2695" s="49"/>
      <c r="L2695" s="49"/>
      <c r="M2695" s="49"/>
    </row>
    <row r="2696" spans="5:13">
      <c r="E2696" s="49"/>
      <c r="F2696" s="49"/>
      <c r="G2696" s="49"/>
      <c r="H2696" s="49"/>
      <c r="I2696" s="49"/>
      <c r="J2696" s="49"/>
      <c r="K2696" s="49"/>
      <c r="L2696" s="49"/>
      <c r="M2696" s="49"/>
    </row>
    <row r="2697" spans="5:13">
      <c r="E2697" s="49"/>
      <c r="F2697" s="49"/>
      <c r="G2697" s="49"/>
      <c r="H2697" s="49"/>
      <c r="I2697" s="49"/>
      <c r="J2697" s="49"/>
      <c r="K2697" s="49"/>
      <c r="L2697" s="49"/>
      <c r="M2697" s="49"/>
    </row>
    <row r="2698" spans="5:13">
      <c r="E2698" s="49"/>
      <c r="F2698" s="49"/>
      <c r="G2698" s="49"/>
      <c r="H2698" s="49"/>
      <c r="I2698" s="49"/>
      <c r="J2698" s="49"/>
      <c r="K2698" s="49"/>
      <c r="L2698" s="49"/>
      <c r="M2698" s="49"/>
    </row>
    <row r="2699" spans="5:13">
      <c r="E2699" s="49"/>
      <c r="F2699" s="49"/>
      <c r="G2699" s="49"/>
      <c r="H2699" s="49"/>
      <c r="I2699" s="49"/>
      <c r="J2699" s="49"/>
      <c r="K2699" s="49"/>
      <c r="L2699" s="49"/>
      <c r="M2699" s="49"/>
    </row>
    <row r="2700" spans="5:13">
      <c r="E2700" s="49"/>
      <c r="F2700" s="49"/>
      <c r="G2700" s="49"/>
      <c r="H2700" s="49"/>
      <c r="I2700" s="49"/>
      <c r="J2700" s="49"/>
      <c r="K2700" s="49"/>
      <c r="L2700" s="49"/>
      <c r="M2700" s="49"/>
    </row>
    <row r="2701" spans="5:13">
      <c r="E2701" s="49"/>
      <c r="F2701" s="49"/>
      <c r="G2701" s="49"/>
      <c r="H2701" s="49"/>
      <c r="I2701" s="49"/>
      <c r="J2701" s="49"/>
      <c r="K2701" s="49"/>
      <c r="L2701" s="49"/>
      <c r="M2701" s="49"/>
    </row>
    <row r="2702" spans="5:13">
      <c r="E2702" s="49"/>
      <c r="F2702" s="49"/>
      <c r="G2702" s="49"/>
      <c r="H2702" s="49"/>
      <c r="I2702" s="49"/>
      <c r="J2702" s="49"/>
      <c r="K2702" s="49"/>
      <c r="L2702" s="49"/>
      <c r="M2702" s="49"/>
    </row>
    <row r="2703" spans="5:13">
      <c r="E2703" s="49"/>
      <c r="F2703" s="49"/>
      <c r="G2703" s="49"/>
      <c r="H2703" s="49"/>
      <c r="I2703" s="49"/>
      <c r="J2703" s="49"/>
      <c r="K2703" s="49"/>
      <c r="L2703" s="49"/>
      <c r="M2703" s="49"/>
    </row>
    <row r="2704" spans="5:13">
      <c r="E2704" s="49"/>
      <c r="F2704" s="49"/>
      <c r="G2704" s="49"/>
      <c r="H2704" s="49"/>
      <c r="I2704" s="49"/>
      <c r="J2704" s="49"/>
      <c r="K2704" s="49"/>
      <c r="L2704" s="49"/>
      <c r="M2704" s="49"/>
    </row>
    <row r="2705" spans="5:13">
      <c r="E2705" s="49"/>
      <c r="F2705" s="49"/>
      <c r="G2705" s="49"/>
      <c r="H2705" s="49"/>
      <c r="I2705" s="49"/>
      <c r="J2705" s="49"/>
      <c r="K2705" s="49"/>
      <c r="L2705" s="49"/>
      <c r="M2705" s="49"/>
    </row>
    <row r="2706" spans="5:13">
      <c r="E2706" s="49"/>
      <c r="F2706" s="49"/>
      <c r="G2706" s="49"/>
      <c r="H2706" s="49"/>
      <c r="I2706" s="49"/>
      <c r="J2706" s="49"/>
      <c r="K2706" s="49"/>
      <c r="L2706" s="49"/>
      <c r="M2706" s="49"/>
    </row>
    <row r="2707" spans="5:13">
      <c r="E2707" s="49"/>
      <c r="F2707" s="49"/>
      <c r="G2707" s="49"/>
      <c r="H2707" s="49"/>
      <c r="I2707" s="49"/>
      <c r="J2707" s="49"/>
      <c r="K2707" s="49"/>
      <c r="L2707" s="49"/>
      <c r="M2707" s="49"/>
    </row>
    <row r="2708" spans="5:13">
      <c r="E2708" s="49"/>
      <c r="F2708" s="49"/>
      <c r="G2708" s="49"/>
      <c r="H2708" s="49"/>
      <c r="I2708" s="49"/>
      <c r="J2708" s="49"/>
      <c r="K2708" s="49"/>
      <c r="L2708" s="49"/>
      <c r="M2708" s="49"/>
    </row>
    <row r="2709" spans="5:13">
      <c r="E2709" s="49"/>
      <c r="F2709" s="49"/>
      <c r="G2709" s="49"/>
      <c r="H2709" s="49"/>
      <c r="I2709" s="49"/>
      <c r="J2709" s="49"/>
      <c r="K2709" s="49"/>
      <c r="L2709" s="49"/>
      <c r="M2709" s="49"/>
    </row>
    <row r="2710" spans="5:13">
      <c r="E2710" s="49"/>
      <c r="F2710" s="49"/>
      <c r="G2710" s="49"/>
      <c r="H2710" s="49"/>
      <c r="I2710" s="49"/>
      <c r="J2710" s="49"/>
      <c r="K2710" s="49"/>
      <c r="L2710" s="49"/>
      <c r="M2710" s="49"/>
    </row>
    <row r="2711" spans="5:13">
      <c r="E2711" s="49"/>
      <c r="F2711" s="49"/>
      <c r="G2711" s="49"/>
      <c r="H2711" s="49"/>
      <c r="I2711" s="49"/>
      <c r="J2711" s="49"/>
      <c r="K2711" s="49"/>
      <c r="L2711" s="49"/>
      <c r="M2711" s="49"/>
    </row>
    <row r="2712" spans="5:13">
      <c r="E2712" s="49"/>
      <c r="F2712" s="49"/>
      <c r="G2712" s="49"/>
      <c r="H2712" s="49"/>
      <c r="I2712" s="49"/>
      <c r="J2712" s="49"/>
      <c r="K2712" s="49"/>
      <c r="L2712" s="49"/>
      <c r="M2712" s="49"/>
    </row>
    <row r="2713" spans="5:13">
      <c r="E2713" s="49"/>
      <c r="F2713" s="49"/>
      <c r="G2713" s="49"/>
      <c r="H2713" s="49"/>
      <c r="I2713" s="49"/>
      <c r="J2713" s="49"/>
      <c r="K2713" s="49"/>
      <c r="L2713" s="49"/>
      <c r="M2713" s="49"/>
    </row>
    <row r="2714" spans="5:13">
      <c r="E2714" s="49"/>
      <c r="F2714" s="49"/>
      <c r="G2714" s="49"/>
      <c r="H2714" s="49"/>
      <c r="I2714" s="49"/>
      <c r="J2714" s="49"/>
      <c r="K2714" s="49"/>
      <c r="L2714" s="49"/>
      <c r="M2714" s="49"/>
    </row>
    <row r="2715" spans="5:13">
      <c r="E2715" s="49"/>
      <c r="F2715" s="49"/>
      <c r="G2715" s="49"/>
      <c r="H2715" s="49"/>
      <c r="I2715" s="49"/>
      <c r="J2715" s="49"/>
      <c r="K2715" s="49"/>
      <c r="L2715" s="49"/>
      <c r="M2715" s="49"/>
    </row>
    <row r="2716" spans="5:13">
      <c r="E2716" s="49"/>
      <c r="F2716" s="49"/>
      <c r="G2716" s="49"/>
      <c r="H2716" s="49"/>
      <c r="I2716" s="49"/>
      <c r="J2716" s="49"/>
      <c r="K2716" s="49"/>
      <c r="L2716" s="49"/>
      <c r="M2716" s="49"/>
    </row>
    <row r="2717" spans="5:13">
      <c r="E2717" s="49"/>
      <c r="F2717" s="49"/>
      <c r="G2717" s="49"/>
      <c r="H2717" s="49"/>
      <c r="I2717" s="49"/>
      <c r="J2717" s="49"/>
      <c r="K2717" s="49"/>
      <c r="L2717" s="49"/>
      <c r="M2717" s="49"/>
    </row>
    <row r="2718" spans="5:13">
      <c r="E2718" s="49"/>
      <c r="F2718" s="49"/>
      <c r="G2718" s="49"/>
      <c r="H2718" s="49"/>
      <c r="I2718" s="49"/>
      <c r="J2718" s="49"/>
      <c r="K2718" s="49"/>
      <c r="L2718" s="49"/>
      <c r="M2718" s="49"/>
    </row>
    <row r="2719" spans="5:13">
      <c r="E2719" s="49"/>
      <c r="F2719" s="49"/>
      <c r="G2719" s="49"/>
      <c r="H2719" s="49"/>
      <c r="I2719" s="49"/>
      <c r="J2719" s="49"/>
      <c r="K2719" s="49"/>
      <c r="L2719" s="49"/>
      <c r="M2719" s="49"/>
    </row>
    <row r="2720" spans="5:13">
      <c r="E2720" s="49"/>
      <c r="F2720" s="49"/>
      <c r="G2720" s="49"/>
      <c r="H2720" s="49"/>
      <c r="I2720" s="49"/>
      <c r="J2720" s="49"/>
      <c r="K2720" s="49"/>
      <c r="L2720" s="49"/>
      <c r="M2720" s="49"/>
    </row>
    <row r="2721" spans="5:13">
      <c r="E2721" s="49"/>
      <c r="F2721" s="49"/>
      <c r="G2721" s="49"/>
      <c r="H2721" s="49"/>
      <c r="I2721" s="49"/>
      <c r="J2721" s="49"/>
      <c r="K2721" s="49"/>
      <c r="L2721" s="49"/>
      <c r="M2721" s="49"/>
    </row>
    <row r="2722" spans="5:13">
      <c r="E2722" s="49"/>
      <c r="F2722" s="49"/>
      <c r="G2722" s="49"/>
      <c r="H2722" s="49"/>
      <c r="I2722" s="49"/>
      <c r="J2722" s="49"/>
      <c r="K2722" s="49"/>
      <c r="L2722" s="49"/>
      <c r="M2722" s="49"/>
    </row>
    <row r="2723" spans="5:13">
      <c r="E2723" s="49"/>
      <c r="F2723" s="49"/>
      <c r="G2723" s="49"/>
      <c r="H2723" s="49"/>
      <c r="I2723" s="49"/>
      <c r="J2723" s="49"/>
      <c r="K2723" s="49"/>
      <c r="L2723" s="49"/>
      <c r="M2723" s="49"/>
    </row>
    <row r="2724" spans="5:13">
      <c r="E2724" s="49"/>
      <c r="F2724" s="49"/>
      <c r="G2724" s="49"/>
      <c r="H2724" s="49"/>
      <c r="I2724" s="49"/>
      <c r="J2724" s="49"/>
      <c r="K2724" s="49"/>
      <c r="L2724" s="49"/>
      <c r="M2724" s="49"/>
    </row>
    <row r="2725" spans="5:13">
      <c r="E2725" s="49"/>
      <c r="F2725" s="49"/>
      <c r="G2725" s="49"/>
      <c r="H2725" s="49"/>
      <c r="I2725" s="49"/>
      <c r="J2725" s="49"/>
      <c r="K2725" s="49"/>
      <c r="L2725" s="49"/>
      <c r="M2725" s="49"/>
    </row>
    <row r="2726" spans="5:13">
      <c r="E2726" s="49"/>
      <c r="F2726" s="49"/>
      <c r="G2726" s="49"/>
      <c r="H2726" s="49"/>
      <c r="I2726" s="49"/>
      <c r="J2726" s="49"/>
      <c r="K2726" s="49"/>
      <c r="L2726" s="49"/>
      <c r="M2726" s="49"/>
    </row>
    <row r="2727" spans="5:13">
      <c r="E2727" s="49"/>
      <c r="F2727" s="49"/>
      <c r="G2727" s="49"/>
      <c r="H2727" s="49"/>
      <c r="I2727" s="49"/>
      <c r="J2727" s="49"/>
      <c r="K2727" s="49"/>
      <c r="L2727" s="49"/>
      <c r="M2727" s="49"/>
    </row>
    <row r="2728" spans="5:13">
      <c r="E2728" s="49"/>
      <c r="F2728" s="49"/>
      <c r="G2728" s="49"/>
      <c r="H2728" s="49"/>
      <c r="I2728" s="49"/>
      <c r="J2728" s="49"/>
      <c r="K2728" s="49"/>
      <c r="L2728" s="49"/>
      <c r="M2728" s="49"/>
    </row>
    <row r="2729" spans="5:13">
      <c r="E2729" s="49"/>
      <c r="F2729" s="49"/>
      <c r="G2729" s="49"/>
      <c r="H2729" s="49"/>
      <c r="I2729" s="49"/>
      <c r="J2729" s="49"/>
      <c r="K2729" s="49"/>
      <c r="L2729" s="49"/>
      <c r="M2729" s="49"/>
    </row>
    <row r="2730" spans="5:13">
      <c r="E2730" s="49"/>
      <c r="F2730" s="49"/>
      <c r="G2730" s="49"/>
      <c r="H2730" s="49"/>
      <c r="I2730" s="49"/>
      <c r="J2730" s="49"/>
      <c r="K2730" s="49"/>
      <c r="L2730" s="49"/>
      <c r="M2730" s="49"/>
    </row>
    <row r="2731" spans="5:13">
      <c r="E2731" s="49"/>
      <c r="F2731" s="49"/>
      <c r="G2731" s="49"/>
      <c r="H2731" s="49"/>
      <c r="I2731" s="49"/>
      <c r="J2731" s="49"/>
      <c r="K2731" s="49"/>
      <c r="L2731" s="49"/>
      <c r="M2731" s="49"/>
    </row>
    <row r="2732" spans="5:13">
      <c r="E2732" s="49"/>
      <c r="F2732" s="49"/>
      <c r="G2732" s="49"/>
      <c r="H2732" s="49"/>
      <c r="I2732" s="49"/>
      <c r="J2732" s="49"/>
      <c r="K2732" s="49"/>
      <c r="L2732" s="49"/>
      <c r="M2732" s="49"/>
    </row>
    <row r="2733" spans="5:13">
      <c r="E2733" s="49"/>
      <c r="F2733" s="49"/>
      <c r="G2733" s="49"/>
      <c r="H2733" s="49"/>
      <c r="I2733" s="49"/>
      <c r="J2733" s="49"/>
      <c r="K2733" s="49"/>
      <c r="L2733" s="49"/>
      <c r="M2733" s="49"/>
    </row>
    <row r="2734" spans="5:13">
      <c r="E2734" s="49"/>
      <c r="F2734" s="49"/>
      <c r="G2734" s="49"/>
      <c r="H2734" s="49"/>
      <c r="I2734" s="49"/>
      <c r="J2734" s="49"/>
      <c r="K2734" s="49"/>
      <c r="L2734" s="49"/>
      <c r="M2734" s="49"/>
    </row>
    <row r="2735" spans="5:13">
      <c r="E2735" s="49"/>
      <c r="F2735" s="49"/>
      <c r="G2735" s="49"/>
      <c r="H2735" s="49"/>
      <c r="I2735" s="49"/>
      <c r="J2735" s="49"/>
      <c r="K2735" s="49"/>
      <c r="L2735" s="49"/>
      <c r="M2735" s="49"/>
    </row>
    <row r="2736" spans="5:13">
      <c r="E2736" s="49"/>
      <c r="F2736" s="49"/>
      <c r="G2736" s="49"/>
      <c r="H2736" s="49"/>
      <c r="I2736" s="49"/>
      <c r="J2736" s="49"/>
      <c r="K2736" s="49"/>
      <c r="L2736" s="49"/>
      <c r="M2736" s="49"/>
    </row>
    <row r="2737" spans="5:13">
      <c r="E2737" s="49"/>
      <c r="F2737" s="49"/>
      <c r="G2737" s="49"/>
      <c r="H2737" s="49"/>
      <c r="I2737" s="49"/>
      <c r="J2737" s="49"/>
      <c r="K2737" s="49"/>
      <c r="L2737" s="49"/>
      <c r="M2737" s="49"/>
    </row>
    <row r="2738" spans="5:13">
      <c r="E2738" s="49"/>
      <c r="F2738" s="49"/>
      <c r="G2738" s="49"/>
      <c r="H2738" s="49"/>
      <c r="I2738" s="49"/>
      <c r="J2738" s="49"/>
      <c r="K2738" s="49"/>
      <c r="L2738" s="49"/>
      <c r="M2738" s="49"/>
    </row>
    <row r="2739" spans="5:13">
      <c r="E2739" s="49"/>
      <c r="F2739" s="49"/>
      <c r="G2739" s="49"/>
      <c r="H2739" s="49"/>
      <c r="I2739" s="49"/>
      <c r="J2739" s="49"/>
      <c r="K2739" s="49"/>
      <c r="L2739" s="49"/>
      <c r="M2739" s="49"/>
    </row>
    <row r="2740" spans="5:13">
      <c r="E2740" s="49"/>
      <c r="F2740" s="49"/>
      <c r="G2740" s="49"/>
      <c r="H2740" s="49"/>
      <c r="I2740" s="49"/>
      <c r="J2740" s="49"/>
      <c r="K2740" s="49"/>
      <c r="L2740" s="49"/>
      <c r="M2740" s="49"/>
    </row>
    <row r="2741" spans="5:13">
      <c r="E2741" s="49"/>
      <c r="F2741" s="49"/>
      <c r="G2741" s="49"/>
      <c r="H2741" s="49"/>
      <c r="I2741" s="49"/>
      <c r="J2741" s="49"/>
      <c r="K2741" s="49"/>
      <c r="L2741" s="49"/>
      <c r="M2741" s="49"/>
    </row>
    <row r="2742" spans="5:13">
      <c r="E2742" s="49"/>
      <c r="F2742" s="49"/>
      <c r="G2742" s="49"/>
      <c r="H2742" s="49"/>
      <c r="I2742" s="49"/>
      <c r="J2742" s="49"/>
      <c r="K2742" s="49"/>
      <c r="L2742" s="49"/>
      <c r="M2742" s="49"/>
    </row>
    <row r="2743" spans="5:13">
      <c r="E2743" s="49"/>
      <c r="F2743" s="49"/>
      <c r="G2743" s="49"/>
      <c r="H2743" s="49"/>
      <c r="I2743" s="49"/>
      <c r="J2743" s="49"/>
      <c r="K2743" s="49"/>
      <c r="L2743" s="49"/>
      <c r="M2743" s="49"/>
    </row>
    <row r="2744" spans="5:13">
      <c r="E2744" s="49"/>
      <c r="F2744" s="49"/>
      <c r="G2744" s="49"/>
      <c r="H2744" s="49"/>
      <c r="I2744" s="49"/>
      <c r="J2744" s="49"/>
      <c r="K2744" s="49"/>
      <c r="L2744" s="49"/>
      <c r="M2744" s="49"/>
    </row>
    <row r="2745" spans="5:13">
      <c r="E2745" s="49"/>
      <c r="F2745" s="49"/>
      <c r="G2745" s="49"/>
      <c r="H2745" s="49"/>
      <c r="I2745" s="49"/>
      <c r="J2745" s="49"/>
      <c r="K2745" s="49"/>
      <c r="L2745" s="49"/>
      <c r="M2745" s="49"/>
    </row>
    <row r="2746" spans="5:13">
      <c r="E2746" s="49"/>
      <c r="F2746" s="49"/>
      <c r="G2746" s="49"/>
      <c r="H2746" s="49"/>
      <c r="I2746" s="49"/>
      <c r="J2746" s="49"/>
      <c r="K2746" s="49"/>
      <c r="L2746" s="49"/>
      <c r="M2746" s="49"/>
    </row>
    <row r="2747" spans="5:13">
      <c r="E2747" s="49"/>
      <c r="F2747" s="49"/>
      <c r="G2747" s="49"/>
      <c r="H2747" s="49"/>
      <c r="I2747" s="49"/>
      <c r="J2747" s="49"/>
      <c r="K2747" s="49"/>
      <c r="L2747" s="49"/>
      <c r="M2747" s="49"/>
    </row>
    <row r="2748" spans="5:13">
      <c r="E2748" s="49"/>
      <c r="F2748" s="49"/>
      <c r="G2748" s="49"/>
      <c r="H2748" s="49"/>
      <c r="I2748" s="49"/>
      <c r="J2748" s="49"/>
      <c r="K2748" s="49"/>
      <c r="L2748" s="49"/>
      <c r="M2748" s="49"/>
    </row>
    <row r="2749" spans="5:13">
      <c r="E2749" s="49"/>
      <c r="F2749" s="49"/>
      <c r="G2749" s="49"/>
      <c r="H2749" s="49"/>
      <c r="I2749" s="49"/>
      <c r="J2749" s="49"/>
      <c r="K2749" s="49"/>
      <c r="L2749" s="49"/>
      <c r="M2749" s="49"/>
    </row>
    <row r="2750" spans="5:13">
      <c r="E2750" s="49"/>
      <c r="F2750" s="49"/>
      <c r="G2750" s="49"/>
      <c r="H2750" s="49"/>
      <c r="I2750" s="49"/>
      <c r="J2750" s="49"/>
      <c r="K2750" s="49"/>
      <c r="L2750" s="49"/>
      <c r="M2750" s="49"/>
    </row>
    <row r="2751" spans="5:13">
      <c r="E2751" s="49"/>
      <c r="F2751" s="49"/>
      <c r="G2751" s="49"/>
      <c r="H2751" s="49"/>
      <c r="I2751" s="49"/>
      <c r="J2751" s="49"/>
      <c r="K2751" s="49"/>
      <c r="L2751" s="49"/>
      <c r="M2751" s="49"/>
    </row>
    <row r="2752" spans="5:13">
      <c r="E2752" s="49"/>
      <c r="F2752" s="49"/>
      <c r="G2752" s="49"/>
      <c r="H2752" s="49"/>
      <c r="I2752" s="49"/>
      <c r="J2752" s="49"/>
      <c r="K2752" s="49"/>
      <c r="L2752" s="49"/>
      <c r="M2752" s="49"/>
    </row>
    <row r="2753" spans="5:13">
      <c r="E2753" s="49"/>
      <c r="F2753" s="49"/>
      <c r="G2753" s="49"/>
      <c r="H2753" s="49"/>
      <c r="I2753" s="49"/>
      <c r="J2753" s="49"/>
      <c r="K2753" s="49"/>
      <c r="L2753" s="49"/>
      <c r="M2753" s="49"/>
    </row>
    <row r="2754" spans="5:13">
      <c r="E2754" s="49"/>
      <c r="F2754" s="49"/>
      <c r="G2754" s="49"/>
      <c r="H2754" s="49"/>
      <c r="I2754" s="49"/>
      <c r="J2754" s="49"/>
      <c r="K2754" s="49"/>
      <c r="L2754" s="49"/>
      <c r="M2754" s="49"/>
    </row>
    <row r="2755" spans="5:13">
      <c r="E2755" s="49"/>
      <c r="F2755" s="49"/>
      <c r="G2755" s="49"/>
      <c r="H2755" s="49"/>
      <c r="I2755" s="49"/>
      <c r="J2755" s="49"/>
      <c r="K2755" s="49"/>
      <c r="L2755" s="49"/>
      <c r="M2755" s="49"/>
    </row>
    <row r="2756" spans="5:13">
      <c r="E2756" s="49"/>
      <c r="F2756" s="49"/>
      <c r="G2756" s="49"/>
      <c r="H2756" s="49"/>
      <c r="I2756" s="49"/>
      <c r="J2756" s="49"/>
      <c r="K2756" s="49"/>
      <c r="L2756" s="49"/>
      <c r="M2756" s="49"/>
    </row>
    <row r="2757" spans="5:13">
      <c r="E2757" s="49"/>
      <c r="F2757" s="49"/>
      <c r="G2757" s="49"/>
      <c r="H2757" s="49"/>
      <c r="I2757" s="49"/>
      <c r="J2757" s="49"/>
      <c r="K2757" s="49"/>
      <c r="L2757" s="49"/>
      <c r="M2757" s="49"/>
    </row>
    <row r="2758" spans="5:13">
      <c r="E2758" s="49"/>
      <c r="F2758" s="49"/>
      <c r="G2758" s="49"/>
      <c r="H2758" s="49"/>
      <c r="I2758" s="49"/>
      <c r="J2758" s="49"/>
      <c r="K2758" s="49"/>
      <c r="L2758" s="49"/>
      <c r="M2758" s="49"/>
    </row>
    <row r="2759" spans="5:13">
      <c r="E2759" s="49"/>
      <c r="F2759" s="49"/>
      <c r="G2759" s="49"/>
      <c r="H2759" s="49"/>
      <c r="I2759" s="49"/>
      <c r="J2759" s="49"/>
      <c r="K2759" s="49"/>
      <c r="L2759" s="49"/>
      <c r="M2759" s="49"/>
    </row>
    <row r="2760" spans="5:13">
      <c r="E2760" s="49"/>
      <c r="F2760" s="49"/>
      <c r="G2760" s="49"/>
      <c r="H2760" s="49"/>
      <c r="I2760" s="49"/>
      <c r="J2760" s="49"/>
      <c r="K2760" s="49"/>
      <c r="L2760" s="49"/>
      <c r="M2760" s="49"/>
    </row>
    <row r="2761" spans="5:13">
      <c r="E2761" s="49"/>
      <c r="F2761" s="49"/>
      <c r="G2761" s="49"/>
      <c r="H2761" s="49"/>
      <c r="I2761" s="49"/>
      <c r="J2761" s="49"/>
      <c r="K2761" s="49"/>
      <c r="L2761" s="49"/>
      <c r="M2761" s="49"/>
    </row>
    <row r="2762" spans="5:13">
      <c r="E2762" s="49"/>
      <c r="F2762" s="49"/>
      <c r="G2762" s="49"/>
      <c r="H2762" s="49"/>
      <c r="I2762" s="49"/>
      <c r="J2762" s="49"/>
      <c r="K2762" s="49"/>
      <c r="L2762" s="49"/>
      <c r="M2762" s="49"/>
    </row>
    <row r="2763" spans="5:13">
      <c r="E2763" s="49"/>
      <c r="F2763" s="49"/>
      <c r="G2763" s="49"/>
      <c r="H2763" s="49"/>
      <c r="I2763" s="49"/>
      <c r="J2763" s="49"/>
      <c r="K2763" s="49"/>
      <c r="L2763" s="49"/>
      <c r="M2763" s="49"/>
    </row>
    <row r="2764" spans="5:13">
      <c r="E2764" s="49"/>
      <c r="F2764" s="49"/>
      <c r="G2764" s="49"/>
      <c r="H2764" s="49"/>
      <c r="I2764" s="49"/>
      <c r="J2764" s="49"/>
      <c r="K2764" s="49"/>
      <c r="L2764" s="49"/>
      <c r="M2764" s="49"/>
    </row>
    <row r="2765" spans="5:13">
      <c r="E2765" s="49"/>
      <c r="F2765" s="49"/>
      <c r="G2765" s="49"/>
      <c r="H2765" s="49"/>
      <c r="I2765" s="49"/>
      <c r="J2765" s="49"/>
      <c r="K2765" s="49"/>
      <c r="L2765" s="49"/>
      <c r="M2765" s="49"/>
    </row>
    <row r="2766" spans="5:13">
      <c r="E2766" s="49"/>
      <c r="F2766" s="49"/>
      <c r="G2766" s="49"/>
      <c r="H2766" s="49"/>
      <c r="I2766" s="49"/>
      <c r="J2766" s="49"/>
      <c r="K2766" s="49"/>
      <c r="L2766" s="49"/>
      <c r="M2766" s="49"/>
    </row>
    <row r="2767" spans="5:13">
      <c r="E2767" s="49"/>
      <c r="F2767" s="49"/>
      <c r="G2767" s="49"/>
      <c r="H2767" s="49"/>
      <c r="I2767" s="49"/>
      <c r="J2767" s="49"/>
      <c r="K2767" s="49"/>
      <c r="L2767" s="49"/>
      <c r="M2767" s="49"/>
    </row>
    <row r="2768" spans="5:13">
      <c r="E2768" s="49"/>
      <c r="F2768" s="49"/>
      <c r="G2768" s="49"/>
      <c r="H2768" s="49"/>
      <c r="I2768" s="49"/>
      <c r="J2768" s="49"/>
      <c r="K2768" s="49"/>
      <c r="L2768" s="49"/>
      <c r="M2768" s="49"/>
    </row>
    <row r="2769" spans="5:13">
      <c r="E2769" s="49"/>
      <c r="F2769" s="49"/>
      <c r="G2769" s="49"/>
      <c r="H2769" s="49"/>
      <c r="I2769" s="49"/>
      <c r="J2769" s="49"/>
      <c r="K2769" s="49"/>
      <c r="L2769" s="49"/>
      <c r="M2769" s="49"/>
    </row>
    <row r="2770" spans="5:13">
      <c r="E2770" s="49"/>
      <c r="F2770" s="49"/>
      <c r="G2770" s="49"/>
      <c r="H2770" s="49"/>
      <c r="I2770" s="49"/>
      <c r="J2770" s="49"/>
      <c r="K2770" s="49"/>
      <c r="L2770" s="49"/>
      <c r="M2770" s="49"/>
    </row>
    <row r="2771" spans="5:13">
      <c r="E2771" s="49"/>
      <c r="F2771" s="49"/>
      <c r="G2771" s="49"/>
      <c r="H2771" s="49"/>
      <c r="I2771" s="49"/>
      <c r="J2771" s="49"/>
      <c r="K2771" s="49"/>
      <c r="L2771" s="49"/>
      <c r="M2771" s="49"/>
    </row>
    <row r="2772" spans="5:13">
      <c r="E2772" s="49"/>
      <c r="F2772" s="49"/>
      <c r="G2772" s="49"/>
      <c r="H2772" s="49"/>
      <c r="I2772" s="49"/>
      <c r="J2772" s="49"/>
      <c r="K2772" s="49"/>
      <c r="L2772" s="49"/>
      <c r="M2772" s="49"/>
    </row>
    <row r="2773" spans="5:13">
      <c r="E2773" s="49"/>
      <c r="F2773" s="49"/>
      <c r="G2773" s="49"/>
      <c r="H2773" s="49"/>
      <c r="I2773" s="49"/>
      <c r="J2773" s="49"/>
      <c r="K2773" s="49"/>
      <c r="L2773" s="49"/>
      <c r="M2773" s="49"/>
    </row>
    <row r="2774" spans="5:13">
      <c r="E2774" s="49"/>
      <c r="F2774" s="49"/>
      <c r="G2774" s="49"/>
      <c r="H2774" s="49"/>
      <c r="I2774" s="49"/>
      <c r="J2774" s="49"/>
      <c r="K2774" s="49"/>
      <c r="L2774" s="49"/>
      <c r="M2774" s="49"/>
    </row>
    <row r="2775" spans="5:13">
      <c r="E2775" s="49"/>
      <c r="F2775" s="49"/>
      <c r="G2775" s="49"/>
      <c r="H2775" s="49"/>
      <c r="I2775" s="49"/>
      <c r="J2775" s="49"/>
      <c r="K2775" s="49"/>
      <c r="L2775" s="49"/>
      <c r="M2775" s="49"/>
    </row>
    <row r="2776" spans="5:13">
      <c r="E2776" s="49"/>
      <c r="F2776" s="49"/>
      <c r="G2776" s="49"/>
      <c r="H2776" s="49"/>
      <c r="I2776" s="49"/>
      <c r="J2776" s="49"/>
      <c r="K2776" s="49"/>
      <c r="L2776" s="49"/>
      <c r="M2776" s="49"/>
    </row>
    <row r="2777" spans="5:13">
      <c r="E2777" s="49"/>
      <c r="F2777" s="49"/>
      <c r="G2777" s="49"/>
      <c r="H2777" s="49"/>
      <c r="I2777" s="49"/>
      <c r="J2777" s="49"/>
      <c r="K2777" s="49"/>
      <c r="L2777" s="49"/>
      <c r="M2777" s="49"/>
    </row>
    <row r="2778" spans="5:13">
      <c r="E2778" s="49"/>
      <c r="F2778" s="49"/>
      <c r="G2778" s="49"/>
      <c r="H2778" s="49"/>
      <c r="I2778" s="49"/>
      <c r="J2778" s="49"/>
      <c r="K2778" s="49"/>
      <c r="L2778" s="49"/>
      <c r="M2778" s="49"/>
    </row>
    <row r="2779" spans="5:13">
      <c r="E2779" s="49"/>
      <c r="F2779" s="49"/>
      <c r="G2779" s="49"/>
      <c r="H2779" s="49"/>
      <c r="I2779" s="49"/>
      <c r="J2779" s="49"/>
      <c r="K2779" s="49"/>
      <c r="L2779" s="49"/>
      <c r="M2779" s="49"/>
    </row>
    <row r="2780" spans="5:13">
      <c r="E2780" s="49"/>
      <c r="F2780" s="49"/>
      <c r="G2780" s="49"/>
      <c r="H2780" s="49"/>
      <c r="I2780" s="49"/>
      <c r="J2780" s="49"/>
      <c r="K2780" s="49"/>
      <c r="L2780" s="49"/>
      <c r="M2780" s="49"/>
    </row>
    <row r="2781" spans="5:13">
      <c r="E2781" s="49"/>
      <c r="F2781" s="49"/>
      <c r="G2781" s="49"/>
      <c r="H2781" s="49"/>
      <c r="I2781" s="49"/>
      <c r="J2781" s="49"/>
      <c r="K2781" s="49"/>
      <c r="L2781" s="49"/>
      <c r="M2781" s="49"/>
    </row>
    <row r="2782" spans="5:13">
      <c r="E2782" s="49"/>
      <c r="F2782" s="49"/>
      <c r="G2782" s="49"/>
      <c r="H2782" s="49"/>
      <c r="I2782" s="49"/>
      <c r="J2782" s="49"/>
      <c r="K2782" s="49"/>
      <c r="L2782" s="49"/>
      <c r="M2782" s="49"/>
    </row>
    <row r="2783" spans="5:13">
      <c r="E2783" s="49"/>
      <c r="F2783" s="49"/>
      <c r="G2783" s="49"/>
      <c r="H2783" s="49"/>
      <c r="I2783" s="49"/>
      <c r="J2783" s="49"/>
      <c r="K2783" s="49"/>
      <c r="L2783" s="49"/>
      <c r="M2783" s="49"/>
    </row>
    <row r="2784" spans="5:13">
      <c r="E2784" s="49"/>
      <c r="F2784" s="49"/>
      <c r="G2784" s="49"/>
      <c r="H2784" s="49"/>
      <c r="I2784" s="49"/>
      <c r="J2784" s="49"/>
      <c r="K2784" s="49"/>
      <c r="L2784" s="49"/>
      <c r="M2784" s="49"/>
    </row>
    <row r="2785" spans="5:13">
      <c r="E2785" s="49"/>
      <c r="F2785" s="49"/>
      <c r="G2785" s="49"/>
      <c r="H2785" s="49"/>
      <c r="I2785" s="49"/>
      <c r="J2785" s="49"/>
      <c r="K2785" s="49"/>
      <c r="L2785" s="49"/>
      <c r="M2785" s="49"/>
    </row>
    <row r="2786" spans="5:13">
      <c r="E2786" s="49"/>
      <c r="F2786" s="49"/>
      <c r="G2786" s="49"/>
      <c r="H2786" s="49"/>
      <c r="I2786" s="49"/>
      <c r="J2786" s="49"/>
      <c r="K2786" s="49"/>
      <c r="L2786" s="49"/>
      <c r="M2786" s="49"/>
    </row>
    <row r="2787" spans="5:13">
      <c r="E2787" s="49"/>
      <c r="F2787" s="49"/>
      <c r="G2787" s="49"/>
      <c r="H2787" s="49"/>
      <c r="I2787" s="49"/>
      <c r="J2787" s="49"/>
      <c r="K2787" s="49"/>
      <c r="L2787" s="49"/>
      <c r="M2787" s="49"/>
    </row>
    <row r="2788" spans="5:13">
      <c r="E2788" s="49"/>
      <c r="F2788" s="49"/>
      <c r="G2788" s="49"/>
      <c r="H2788" s="49"/>
      <c r="I2788" s="49"/>
      <c r="J2788" s="49"/>
      <c r="K2788" s="49"/>
      <c r="L2788" s="49"/>
      <c r="M2788" s="49"/>
    </row>
    <row r="2789" spans="5:13">
      <c r="E2789" s="49"/>
      <c r="F2789" s="49"/>
      <c r="G2789" s="49"/>
      <c r="H2789" s="49"/>
      <c r="I2789" s="49"/>
      <c r="J2789" s="49"/>
      <c r="K2789" s="49"/>
      <c r="L2789" s="49"/>
      <c r="M2789" s="49"/>
    </row>
    <row r="2790" spans="5:13">
      <c r="E2790" s="49"/>
      <c r="F2790" s="49"/>
      <c r="G2790" s="49"/>
      <c r="H2790" s="49"/>
      <c r="I2790" s="49"/>
      <c r="J2790" s="49"/>
      <c r="K2790" s="49"/>
      <c r="L2790" s="49"/>
      <c r="M2790" s="49"/>
    </row>
    <row r="2791" spans="5:13">
      <c r="E2791" s="49"/>
      <c r="F2791" s="49"/>
      <c r="G2791" s="49"/>
      <c r="H2791" s="49"/>
      <c r="I2791" s="49"/>
      <c r="J2791" s="49"/>
      <c r="K2791" s="49"/>
      <c r="L2791" s="49"/>
      <c r="M2791" s="49"/>
    </row>
    <row r="2792" spans="5:13">
      <c r="E2792" s="49"/>
      <c r="F2792" s="49"/>
      <c r="G2792" s="49"/>
      <c r="H2792" s="49"/>
      <c r="I2792" s="49"/>
      <c r="J2792" s="49"/>
      <c r="K2792" s="49"/>
      <c r="L2792" s="49"/>
      <c r="M2792" s="49"/>
    </row>
    <row r="2793" spans="5:13">
      <c r="E2793" s="49"/>
      <c r="F2793" s="49"/>
      <c r="G2793" s="49"/>
      <c r="H2793" s="49"/>
      <c r="I2793" s="49"/>
      <c r="J2793" s="49"/>
      <c r="K2793" s="49"/>
      <c r="L2793" s="49"/>
      <c r="M2793" s="49"/>
    </row>
    <row r="2794" spans="5:13">
      <c r="E2794" s="49"/>
      <c r="F2794" s="49"/>
      <c r="G2794" s="49"/>
      <c r="H2794" s="49"/>
      <c r="I2794" s="49"/>
      <c r="J2794" s="49"/>
      <c r="K2794" s="49"/>
      <c r="L2794" s="49"/>
      <c r="M2794" s="49"/>
    </row>
    <row r="2795" spans="5:13">
      <c r="E2795" s="49"/>
      <c r="F2795" s="49"/>
      <c r="G2795" s="49"/>
      <c r="H2795" s="49"/>
      <c r="I2795" s="49"/>
      <c r="J2795" s="49"/>
      <c r="K2795" s="49"/>
      <c r="L2795" s="49"/>
      <c r="M2795" s="49"/>
    </row>
    <row r="2796" spans="5:13">
      <c r="E2796" s="49"/>
      <c r="F2796" s="49"/>
      <c r="G2796" s="49"/>
      <c r="H2796" s="49"/>
      <c r="I2796" s="49"/>
      <c r="J2796" s="49"/>
      <c r="K2796" s="49"/>
      <c r="L2796" s="49"/>
      <c r="M2796" s="49"/>
    </row>
    <row r="2797" spans="5:13">
      <c r="E2797" s="49"/>
      <c r="F2797" s="49"/>
      <c r="G2797" s="49"/>
      <c r="H2797" s="49"/>
      <c r="I2797" s="49"/>
      <c r="J2797" s="49"/>
      <c r="K2797" s="49"/>
      <c r="L2797" s="49"/>
      <c r="M2797" s="49"/>
    </row>
    <row r="2798" spans="5:13">
      <c r="E2798" s="49"/>
      <c r="F2798" s="49"/>
      <c r="G2798" s="49"/>
      <c r="H2798" s="49"/>
      <c r="I2798" s="49"/>
      <c r="J2798" s="49"/>
      <c r="K2798" s="49"/>
      <c r="L2798" s="49"/>
      <c r="M2798" s="49"/>
    </row>
    <row r="2799" spans="5:13">
      <c r="E2799" s="49"/>
      <c r="F2799" s="49"/>
      <c r="G2799" s="49"/>
      <c r="H2799" s="49"/>
      <c r="I2799" s="49"/>
      <c r="J2799" s="49"/>
      <c r="K2799" s="49"/>
      <c r="L2799" s="49"/>
      <c r="M2799" s="49"/>
    </row>
    <row r="2800" spans="5:13">
      <c r="E2800" s="49"/>
      <c r="F2800" s="49"/>
      <c r="G2800" s="49"/>
      <c r="H2800" s="49"/>
      <c r="I2800" s="49"/>
      <c r="J2800" s="49"/>
      <c r="K2800" s="49"/>
      <c r="L2800" s="49"/>
      <c r="M2800" s="49"/>
    </row>
    <row r="2801" spans="5:13">
      <c r="E2801" s="49"/>
      <c r="F2801" s="49"/>
      <c r="G2801" s="49"/>
      <c r="H2801" s="49"/>
      <c r="I2801" s="49"/>
      <c r="J2801" s="49"/>
      <c r="K2801" s="49"/>
      <c r="L2801" s="49"/>
      <c r="M2801" s="49"/>
    </row>
    <row r="2802" spans="5:13">
      <c r="E2802" s="49"/>
      <c r="F2802" s="49"/>
      <c r="G2802" s="49"/>
      <c r="H2802" s="49"/>
      <c r="I2802" s="49"/>
      <c r="J2802" s="49"/>
      <c r="K2802" s="49"/>
      <c r="L2802" s="49"/>
      <c r="M2802" s="49"/>
    </row>
    <row r="2803" spans="5:13">
      <c r="E2803" s="49"/>
      <c r="F2803" s="49"/>
      <c r="G2803" s="49"/>
      <c r="H2803" s="49"/>
      <c r="I2803" s="49"/>
      <c r="J2803" s="49"/>
      <c r="K2803" s="49"/>
      <c r="L2803" s="49"/>
      <c r="M2803" s="49"/>
    </row>
    <row r="2804" spans="5:13">
      <c r="E2804" s="49"/>
      <c r="F2804" s="49"/>
      <c r="G2804" s="49"/>
      <c r="H2804" s="49"/>
      <c r="I2804" s="49"/>
      <c r="J2804" s="49"/>
      <c r="K2804" s="49"/>
      <c r="L2804" s="49"/>
      <c r="M2804" s="49"/>
    </row>
    <row r="2805" spans="5:13">
      <c r="E2805" s="49"/>
      <c r="F2805" s="49"/>
      <c r="G2805" s="49"/>
      <c r="H2805" s="49"/>
      <c r="I2805" s="49"/>
      <c r="J2805" s="49"/>
      <c r="K2805" s="49"/>
      <c r="L2805" s="49"/>
      <c r="M2805" s="49"/>
    </row>
    <row r="2806" spans="5:13">
      <c r="E2806" s="49"/>
      <c r="F2806" s="49"/>
      <c r="G2806" s="49"/>
      <c r="H2806" s="49"/>
      <c r="I2806" s="49"/>
      <c r="J2806" s="49"/>
      <c r="K2806" s="49"/>
      <c r="L2806" s="49"/>
      <c r="M2806" s="49"/>
    </row>
    <row r="2807" spans="5:13">
      <c r="E2807" s="49"/>
      <c r="F2807" s="49"/>
      <c r="G2807" s="49"/>
      <c r="H2807" s="49"/>
      <c r="I2807" s="49"/>
      <c r="J2807" s="49"/>
      <c r="K2807" s="49"/>
      <c r="L2807" s="49"/>
      <c r="M2807" s="49"/>
    </row>
    <row r="2808" spans="5:13">
      <c r="E2808" s="49"/>
      <c r="F2808" s="49"/>
      <c r="G2808" s="49"/>
      <c r="H2808" s="49"/>
      <c r="I2808" s="49"/>
      <c r="J2808" s="49"/>
      <c r="K2808" s="49"/>
      <c r="L2808" s="49"/>
      <c r="M2808" s="49"/>
    </row>
    <row r="2809" spans="5:13">
      <c r="E2809" s="49"/>
      <c r="F2809" s="49"/>
      <c r="G2809" s="49"/>
      <c r="H2809" s="49"/>
      <c r="I2809" s="49"/>
      <c r="J2809" s="49"/>
      <c r="K2809" s="49"/>
      <c r="L2809" s="49"/>
      <c r="M2809" s="49"/>
    </row>
    <row r="2810" spans="5:13">
      <c r="E2810" s="49"/>
      <c r="F2810" s="49"/>
      <c r="G2810" s="49"/>
      <c r="H2810" s="49"/>
      <c r="I2810" s="49"/>
      <c r="J2810" s="49"/>
      <c r="K2810" s="49"/>
      <c r="L2810" s="49"/>
      <c r="M2810" s="49"/>
    </row>
    <row r="2811" spans="5:13">
      <c r="E2811" s="49"/>
      <c r="F2811" s="49"/>
      <c r="G2811" s="49"/>
      <c r="H2811" s="49"/>
      <c r="I2811" s="49"/>
      <c r="J2811" s="49"/>
      <c r="K2811" s="49"/>
      <c r="L2811" s="49"/>
      <c r="M2811" s="49"/>
    </row>
    <row r="2812" spans="5:13">
      <c r="E2812" s="49"/>
      <c r="F2812" s="49"/>
      <c r="G2812" s="49"/>
      <c r="H2812" s="49"/>
      <c r="I2812" s="49"/>
      <c r="J2812" s="49"/>
      <c r="K2812" s="49"/>
      <c r="L2812" s="49"/>
      <c r="M2812" s="49"/>
    </row>
    <row r="2813" spans="5:13">
      <c r="E2813" s="49"/>
      <c r="F2813" s="49"/>
      <c r="G2813" s="49"/>
      <c r="H2813" s="49"/>
      <c r="I2813" s="49"/>
      <c r="J2813" s="49"/>
      <c r="K2813" s="49"/>
      <c r="L2813" s="49"/>
      <c r="M2813" s="49"/>
    </row>
    <row r="2814" spans="5:13">
      <c r="E2814" s="49"/>
      <c r="F2814" s="49"/>
      <c r="G2814" s="49"/>
      <c r="H2814" s="49"/>
      <c r="I2814" s="49"/>
      <c r="J2814" s="49"/>
      <c r="K2814" s="49"/>
      <c r="L2814" s="49"/>
      <c r="M2814" s="49"/>
    </row>
    <row r="2815" spans="5:13">
      <c r="E2815" s="49"/>
      <c r="F2815" s="49"/>
      <c r="G2815" s="49"/>
      <c r="H2815" s="49"/>
      <c r="I2815" s="49"/>
      <c r="J2815" s="49"/>
      <c r="K2815" s="49"/>
      <c r="L2815" s="49"/>
      <c r="M2815" s="49"/>
    </row>
    <row r="2816" spans="5:13">
      <c r="E2816" s="49"/>
      <c r="F2816" s="49"/>
      <c r="G2816" s="49"/>
      <c r="H2816" s="49"/>
      <c r="I2816" s="49"/>
      <c r="J2816" s="49"/>
      <c r="K2816" s="49"/>
      <c r="L2816" s="49"/>
      <c r="M2816" s="49"/>
    </row>
    <row r="2817" spans="5:13">
      <c r="E2817" s="49"/>
      <c r="F2817" s="49"/>
      <c r="G2817" s="49"/>
      <c r="H2817" s="49"/>
      <c r="I2817" s="49"/>
      <c r="J2817" s="49"/>
      <c r="K2817" s="49"/>
      <c r="L2817" s="49"/>
      <c r="M2817" s="49"/>
    </row>
    <row r="2818" spans="5:13">
      <c r="E2818" s="49"/>
      <c r="F2818" s="49"/>
      <c r="G2818" s="49"/>
      <c r="H2818" s="49"/>
      <c r="I2818" s="49"/>
      <c r="J2818" s="49"/>
      <c r="K2818" s="49"/>
      <c r="L2818" s="49"/>
      <c r="M2818" s="49"/>
    </row>
    <row r="2819" spans="5:13">
      <c r="E2819" s="49"/>
      <c r="F2819" s="49"/>
      <c r="G2819" s="49"/>
      <c r="H2819" s="49"/>
      <c r="I2819" s="49"/>
      <c r="J2819" s="49"/>
      <c r="K2819" s="49"/>
      <c r="L2819" s="49"/>
      <c r="M2819" s="49"/>
    </row>
    <row r="2820" spans="5:13">
      <c r="E2820" s="49"/>
      <c r="F2820" s="49"/>
      <c r="G2820" s="49"/>
      <c r="H2820" s="49"/>
      <c r="I2820" s="49"/>
      <c r="J2820" s="49"/>
      <c r="K2820" s="49"/>
      <c r="L2820" s="49"/>
      <c r="M2820" s="49"/>
    </row>
    <row r="2821" spans="5:13">
      <c r="E2821" s="49"/>
      <c r="F2821" s="49"/>
      <c r="G2821" s="49"/>
      <c r="H2821" s="49"/>
      <c r="I2821" s="49"/>
      <c r="J2821" s="49"/>
      <c r="K2821" s="49"/>
      <c r="L2821" s="49"/>
      <c r="M2821" s="49"/>
    </row>
    <row r="2822" spans="5:13">
      <c r="E2822" s="49"/>
      <c r="F2822" s="49"/>
      <c r="G2822" s="49"/>
      <c r="H2822" s="49"/>
      <c r="I2822" s="49"/>
      <c r="J2822" s="49"/>
      <c r="K2822" s="49"/>
      <c r="L2822" s="49"/>
      <c r="M2822" s="49"/>
    </row>
    <row r="2823" spans="5:13">
      <c r="E2823" s="49"/>
      <c r="F2823" s="49"/>
      <c r="G2823" s="49"/>
      <c r="H2823" s="49"/>
      <c r="I2823" s="49"/>
      <c r="J2823" s="49"/>
      <c r="K2823" s="49"/>
      <c r="L2823" s="49"/>
      <c r="M2823" s="49"/>
    </row>
    <row r="2824" spans="5:13">
      <c r="E2824" s="49"/>
      <c r="F2824" s="49"/>
      <c r="G2824" s="49"/>
      <c r="H2824" s="49"/>
      <c r="I2824" s="49"/>
      <c r="J2824" s="49"/>
      <c r="K2824" s="49"/>
      <c r="L2824" s="49"/>
      <c r="M2824" s="49"/>
    </row>
    <row r="2825" spans="5:13">
      <c r="E2825" s="49"/>
      <c r="F2825" s="49"/>
      <c r="G2825" s="49"/>
      <c r="H2825" s="49"/>
      <c r="I2825" s="49"/>
      <c r="J2825" s="49"/>
      <c r="K2825" s="49"/>
      <c r="L2825" s="49"/>
      <c r="M2825" s="49"/>
    </row>
    <row r="2826" spans="5:13">
      <c r="E2826" s="49"/>
      <c r="F2826" s="49"/>
      <c r="G2826" s="49"/>
      <c r="H2826" s="49"/>
      <c r="I2826" s="49"/>
      <c r="J2826" s="49"/>
      <c r="K2826" s="49"/>
      <c r="L2826" s="49"/>
      <c r="M2826" s="49"/>
    </row>
    <row r="2827" spans="5:13">
      <c r="E2827" s="49"/>
      <c r="F2827" s="49"/>
      <c r="G2827" s="49"/>
      <c r="H2827" s="49"/>
      <c r="I2827" s="49"/>
      <c r="J2827" s="49"/>
      <c r="K2827" s="49"/>
      <c r="L2827" s="49"/>
      <c r="M2827" s="49"/>
    </row>
    <row r="2828" spans="5:13">
      <c r="E2828" s="49"/>
      <c r="F2828" s="49"/>
      <c r="G2828" s="49"/>
      <c r="H2828" s="49"/>
      <c r="I2828" s="49"/>
      <c r="J2828" s="49"/>
      <c r="K2828" s="49"/>
      <c r="L2828" s="49"/>
      <c r="M2828" s="49"/>
    </row>
    <row r="2829" spans="5:13">
      <c r="E2829" s="49"/>
      <c r="F2829" s="49"/>
      <c r="G2829" s="49"/>
      <c r="H2829" s="49"/>
      <c r="I2829" s="49"/>
      <c r="J2829" s="49"/>
      <c r="K2829" s="49"/>
      <c r="L2829" s="49"/>
      <c r="M2829" s="49"/>
    </row>
    <row r="2830" spans="5:13">
      <c r="E2830" s="49"/>
      <c r="F2830" s="49"/>
      <c r="G2830" s="49"/>
      <c r="H2830" s="49"/>
      <c r="I2830" s="49"/>
      <c r="J2830" s="49"/>
      <c r="K2830" s="49"/>
      <c r="L2830" s="49"/>
      <c r="M2830" s="49"/>
    </row>
    <row r="2831" spans="5:13">
      <c r="E2831" s="49"/>
      <c r="F2831" s="49"/>
      <c r="G2831" s="49"/>
      <c r="H2831" s="49"/>
      <c r="I2831" s="49"/>
      <c r="J2831" s="49"/>
      <c r="K2831" s="49"/>
      <c r="L2831" s="49"/>
      <c r="M2831" s="49"/>
    </row>
    <row r="2832" spans="5:13">
      <c r="E2832" s="49"/>
      <c r="F2832" s="49"/>
      <c r="G2832" s="49"/>
      <c r="H2832" s="49"/>
      <c r="I2832" s="49"/>
      <c r="J2832" s="49"/>
      <c r="K2832" s="49"/>
      <c r="L2832" s="49"/>
      <c r="M2832" s="49"/>
    </row>
    <row r="2833" spans="5:13">
      <c r="E2833" s="49"/>
      <c r="F2833" s="49"/>
      <c r="G2833" s="49"/>
      <c r="H2833" s="49"/>
      <c r="I2833" s="49"/>
      <c r="J2833" s="49"/>
      <c r="K2833" s="49"/>
      <c r="L2833" s="49"/>
      <c r="M2833" s="49"/>
    </row>
    <row r="2834" spans="5:13">
      <c r="E2834" s="49"/>
      <c r="F2834" s="49"/>
      <c r="G2834" s="49"/>
      <c r="H2834" s="49"/>
      <c r="I2834" s="49"/>
      <c r="J2834" s="49"/>
      <c r="K2834" s="49"/>
      <c r="L2834" s="49"/>
      <c r="M2834" s="49"/>
    </row>
    <row r="2835" spans="5:13">
      <c r="E2835" s="49"/>
      <c r="F2835" s="49"/>
      <c r="G2835" s="49"/>
      <c r="H2835" s="49"/>
      <c r="I2835" s="49"/>
      <c r="J2835" s="49"/>
      <c r="K2835" s="49"/>
      <c r="L2835" s="49"/>
      <c r="M2835" s="49"/>
    </row>
    <row r="2836" spans="5:13">
      <c r="E2836" s="49"/>
      <c r="F2836" s="49"/>
      <c r="G2836" s="49"/>
      <c r="H2836" s="49"/>
      <c r="I2836" s="49"/>
      <c r="J2836" s="49"/>
      <c r="K2836" s="49"/>
      <c r="L2836" s="49"/>
      <c r="M2836" s="49"/>
    </row>
    <row r="2837" spans="5:13">
      <c r="E2837" s="49"/>
      <c r="F2837" s="49"/>
      <c r="G2837" s="49"/>
      <c r="H2837" s="49"/>
      <c r="I2837" s="49"/>
      <c r="J2837" s="49"/>
      <c r="K2837" s="49"/>
      <c r="L2837" s="49"/>
      <c r="M2837" s="49"/>
    </row>
    <row r="2838" spans="5:13">
      <c r="E2838" s="49"/>
      <c r="F2838" s="49"/>
      <c r="G2838" s="49"/>
      <c r="H2838" s="49"/>
      <c r="I2838" s="49"/>
      <c r="J2838" s="49"/>
      <c r="K2838" s="49"/>
      <c r="L2838" s="49"/>
      <c r="M2838" s="49"/>
    </row>
    <row r="2839" spans="5:13">
      <c r="E2839" s="49"/>
      <c r="F2839" s="49"/>
      <c r="G2839" s="49"/>
      <c r="H2839" s="49"/>
      <c r="I2839" s="49"/>
      <c r="J2839" s="49"/>
      <c r="K2839" s="49"/>
      <c r="L2839" s="49"/>
      <c r="M2839" s="49"/>
    </row>
    <row r="2840" spans="5:13">
      <c r="E2840" s="49"/>
      <c r="F2840" s="49"/>
      <c r="G2840" s="49"/>
      <c r="H2840" s="49"/>
      <c r="I2840" s="49"/>
      <c r="J2840" s="49"/>
      <c r="K2840" s="49"/>
      <c r="L2840" s="49"/>
      <c r="M2840" s="49"/>
    </row>
    <row r="2841" spans="5:13">
      <c r="E2841" s="49"/>
      <c r="F2841" s="49"/>
      <c r="G2841" s="49"/>
      <c r="H2841" s="49"/>
      <c r="I2841" s="49"/>
      <c r="J2841" s="49"/>
      <c r="K2841" s="49"/>
      <c r="L2841" s="49"/>
      <c r="M2841" s="49"/>
    </row>
    <row r="2842" spans="5:13">
      <c r="E2842" s="49"/>
      <c r="F2842" s="49"/>
      <c r="G2842" s="49"/>
      <c r="H2842" s="49"/>
      <c r="I2842" s="49"/>
      <c r="J2842" s="49"/>
      <c r="K2842" s="49"/>
      <c r="L2842" s="49"/>
      <c r="M2842" s="49"/>
    </row>
    <row r="2843" spans="5:13">
      <c r="E2843" s="49"/>
      <c r="F2843" s="49"/>
      <c r="G2843" s="49"/>
      <c r="H2843" s="49"/>
      <c r="I2843" s="49"/>
      <c r="J2843" s="49"/>
      <c r="K2843" s="49"/>
      <c r="L2843" s="49"/>
      <c r="M2843" s="49"/>
    </row>
    <row r="2844" spans="5:13">
      <c r="E2844" s="49"/>
      <c r="F2844" s="49"/>
      <c r="G2844" s="49"/>
      <c r="H2844" s="49"/>
      <c r="I2844" s="49"/>
      <c r="J2844" s="49"/>
      <c r="K2844" s="49"/>
      <c r="L2844" s="49"/>
      <c r="M2844" s="49"/>
    </row>
    <row r="2845" spans="5:13">
      <c r="E2845" s="49"/>
      <c r="F2845" s="49"/>
      <c r="G2845" s="49"/>
      <c r="H2845" s="49"/>
      <c r="I2845" s="49"/>
      <c r="J2845" s="49"/>
      <c r="K2845" s="49"/>
      <c r="L2845" s="49"/>
      <c r="M2845" s="49"/>
    </row>
    <row r="2846" spans="5:13">
      <c r="E2846" s="49"/>
      <c r="F2846" s="49"/>
      <c r="G2846" s="49"/>
      <c r="H2846" s="49"/>
      <c r="I2846" s="49"/>
      <c r="J2846" s="49"/>
      <c r="K2846" s="49"/>
      <c r="L2846" s="49"/>
      <c r="M2846" s="49"/>
    </row>
    <row r="2847" spans="5:13">
      <c r="E2847" s="49"/>
      <c r="F2847" s="49"/>
      <c r="G2847" s="49"/>
      <c r="H2847" s="49"/>
      <c r="I2847" s="49"/>
      <c r="J2847" s="49"/>
      <c r="K2847" s="49"/>
      <c r="L2847" s="49"/>
      <c r="M2847" s="49"/>
    </row>
    <row r="2848" spans="5:13">
      <c r="E2848" s="49"/>
      <c r="F2848" s="49"/>
      <c r="G2848" s="49"/>
      <c r="H2848" s="49"/>
      <c r="I2848" s="49"/>
      <c r="J2848" s="49"/>
      <c r="K2848" s="49"/>
      <c r="L2848" s="49"/>
      <c r="M2848" s="49"/>
    </row>
    <row r="2849" spans="5:13">
      <c r="E2849" s="49"/>
      <c r="F2849" s="49"/>
      <c r="G2849" s="49"/>
      <c r="H2849" s="49"/>
      <c r="I2849" s="49"/>
      <c r="J2849" s="49"/>
      <c r="K2849" s="49"/>
      <c r="L2849" s="49"/>
      <c r="M2849" s="49"/>
    </row>
    <row r="2850" spans="5:13">
      <c r="E2850" s="49"/>
      <c r="F2850" s="49"/>
      <c r="G2850" s="49"/>
      <c r="H2850" s="49"/>
      <c r="I2850" s="49"/>
      <c r="J2850" s="49"/>
      <c r="K2850" s="49"/>
      <c r="L2850" s="49"/>
      <c r="M2850" s="49"/>
    </row>
    <row r="2851" spans="5:13">
      <c r="E2851" s="49"/>
      <c r="F2851" s="49"/>
      <c r="G2851" s="49"/>
      <c r="H2851" s="49"/>
      <c r="I2851" s="49"/>
      <c r="J2851" s="49"/>
      <c r="K2851" s="49"/>
      <c r="L2851" s="49"/>
      <c r="M2851" s="49"/>
    </row>
    <row r="2852" spans="5:13">
      <c r="E2852" s="49"/>
      <c r="F2852" s="49"/>
      <c r="G2852" s="49"/>
      <c r="H2852" s="49"/>
      <c r="I2852" s="49"/>
      <c r="J2852" s="49"/>
      <c r="K2852" s="49"/>
      <c r="L2852" s="49"/>
      <c r="M2852" s="49"/>
    </row>
    <row r="2853" spans="5:13">
      <c r="E2853" s="49"/>
      <c r="F2853" s="49"/>
      <c r="G2853" s="49"/>
      <c r="H2853" s="49"/>
      <c r="I2853" s="49"/>
      <c r="J2853" s="49"/>
      <c r="K2853" s="49"/>
      <c r="L2853" s="49"/>
      <c r="M2853" s="49"/>
    </row>
    <row r="2854" spans="5:13">
      <c r="E2854" s="49"/>
      <c r="F2854" s="49"/>
      <c r="G2854" s="49"/>
      <c r="H2854" s="49"/>
      <c r="I2854" s="49"/>
      <c r="J2854" s="49"/>
      <c r="K2854" s="49"/>
      <c r="L2854" s="49"/>
      <c r="M2854" s="49"/>
    </row>
    <row r="2855" spans="5:13">
      <c r="E2855" s="49"/>
      <c r="F2855" s="49"/>
      <c r="G2855" s="49"/>
      <c r="H2855" s="49"/>
      <c r="I2855" s="49"/>
      <c r="J2855" s="49"/>
      <c r="K2855" s="49"/>
      <c r="L2855" s="49"/>
      <c r="M2855" s="49"/>
    </row>
    <row r="2856" spans="5:13">
      <c r="E2856" s="49"/>
      <c r="F2856" s="49"/>
      <c r="G2856" s="49"/>
      <c r="H2856" s="49"/>
      <c r="I2856" s="49"/>
      <c r="J2856" s="49"/>
      <c r="K2856" s="49"/>
      <c r="L2856" s="49"/>
      <c r="M2856" s="49"/>
    </row>
    <row r="2857" spans="5:13">
      <c r="E2857" s="49"/>
      <c r="F2857" s="49"/>
      <c r="G2857" s="49"/>
      <c r="H2857" s="49"/>
      <c r="I2857" s="49"/>
      <c r="J2857" s="49"/>
      <c r="K2857" s="49"/>
      <c r="L2857" s="49"/>
      <c r="M2857" s="49"/>
    </row>
    <row r="2858" spans="5:13">
      <c r="E2858" s="49"/>
      <c r="F2858" s="49"/>
      <c r="G2858" s="49"/>
      <c r="H2858" s="49"/>
      <c r="I2858" s="49"/>
      <c r="J2858" s="49"/>
      <c r="K2858" s="49"/>
      <c r="L2858" s="49"/>
      <c r="M2858" s="49"/>
    </row>
    <row r="2859" spans="5:13">
      <c r="E2859" s="49"/>
      <c r="F2859" s="49"/>
      <c r="G2859" s="49"/>
      <c r="H2859" s="49"/>
      <c r="I2859" s="49"/>
      <c r="J2859" s="49"/>
      <c r="K2859" s="49"/>
      <c r="L2859" s="49"/>
      <c r="M2859" s="49"/>
    </row>
    <row r="2860" spans="5:13">
      <c r="E2860" s="49"/>
      <c r="F2860" s="49"/>
      <c r="G2860" s="49"/>
      <c r="H2860" s="49"/>
      <c r="I2860" s="49"/>
      <c r="J2860" s="49"/>
      <c r="K2860" s="49"/>
      <c r="L2860" s="49"/>
      <c r="M2860" s="49"/>
    </row>
    <row r="2861" spans="5:13">
      <c r="E2861" s="49"/>
      <c r="F2861" s="49"/>
      <c r="G2861" s="49"/>
      <c r="H2861" s="49"/>
      <c r="I2861" s="49"/>
      <c r="J2861" s="49"/>
      <c r="K2861" s="49"/>
      <c r="L2861" s="49"/>
      <c r="M2861" s="49"/>
    </row>
    <row r="2862" spans="5:13">
      <c r="E2862" s="49"/>
      <c r="F2862" s="49"/>
      <c r="G2862" s="49"/>
      <c r="H2862" s="49"/>
      <c r="I2862" s="49"/>
      <c r="J2862" s="49"/>
      <c r="K2862" s="49"/>
      <c r="L2862" s="49"/>
      <c r="M2862" s="49"/>
    </row>
    <row r="2863" spans="5:13">
      <c r="E2863" s="49"/>
      <c r="F2863" s="49"/>
      <c r="G2863" s="49"/>
      <c r="H2863" s="49"/>
      <c r="I2863" s="49"/>
      <c r="J2863" s="49"/>
      <c r="K2863" s="49"/>
      <c r="L2863" s="49"/>
      <c r="M2863" s="49"/>
    </row>
    <row r="2864" spans="5:13">
      <c r="E2864" s="49"/>
      <c r="F2864" s="49"/>
      <c r="G2864" s="49"/>
      <c r="H2864" s="49"/>
      <c r="I2864" s="49"/>
      <c r="J2864" s="49"/>
      <c r="K2864" s="49"/>
      <c r="L2864" s="49"/>
      <c r="M2864" s="49"/>
    </row>
    <row r="2865" spans="5:13">
      <c r="E2865" s="49"/>
      <c r="F2865" s="49"/>
      <c r="G2865" s="49"/>
      <c r="H2865" s="49"/>
      <c r="I2865" s="49"/>
      <c r="J2865" s="49"/>
      <c r="K2865" s="49"/>
      <c r="L2865" s="49"/>
      <c r="M2865" s="49"/>
    </row>
    <row r="2866" spans="5:13">
      <c r="E2866" s="49"/>
      <c r="F2866" s="49"/>
      <c r="G2866" s="49"/>
      <c r="H2866" s="49"/>
      <c r="I2866" s="49"/>
      <c r="J2866" s="49"/>
      <c r="K2866" s="49"/>
      <c r="L2866" s="49"/>
      <c r="M2866" s="49"/>
    </row>
    <row r="2867" spans="5:13">
      <c r="E2867" s="49"/>
      <c r="F2867" s="49"/>
      <c r="G2867" s="49"/>
      <c r="H2867" s="49"/>
      <c r="I2867" s="49"/>
      <c r="J2867" s="49"/>
      <c r="K2867" s="49"/>
      <c r="L2867" s="49"/>
      <c r="M2867" s="49"/>
    </row>
    <row r="2868" spans="5:13">
      <c r="E2868" s="49"/>
      <c r="F2868" s="49"/>
      <c r="G2868" s="49"/>
      <c r="H2868" s="49"/>
      <c r="I2868" s="49"/>
      <c r="J2868" s="49"/>
      <c r="K2868" s="49"/>
      <c r="L2868" s="49"/>
      <c r="M2868" s="49"/>
    </row>
    <row r="2869" spans="5:13">
      <c r="E2869" s="49"/>
      <c r="F2869" s="49"/>
      <c r="G2869" s="49"/>
      <c r="H2869" s="49"/>
      <c r="I2869" s="49"/>
      <c r="J2869" s="49"/>
      <c r="K2869" s="49"/>
      <c r="L2869" s="49"/>
      <c r="M2869" s="49"/>
    </row>
    <row r="2870" spans="5:13">
      <c r="E2870" s="49"/>
      <c r="F2870" s="49"/>
      <c r="G2870" s="49"/>
      <c r="H2870" s="49"/>
      <c r="I2870" s="49"/>
      <c r="J2870" s="49"/>
      <c r="K2870" s="49"/>
      <c r="L2870" s="49"/>
      <c r="M2870" s="49"/>
    </row>
    <row r="2871" spans="5:13">
      <c r="E2871" s="49"/>
      <c r="F2871" s="49"/>
      <c r="G2871" s="49"/>
      <c r="H2871" s="49"/>
      <c r="I2871" s="49"/>
      <c r="J2871" s="49"/>
      <c r="K2871" s="49"/>
      <c r="L2871" s="49"/>
      <c r="M2871" s="49"/>
    </row>
    <row r="2872" spans="5:13">
      <c r="E2872" s="49"/>
      <c r="F2872" s="49"/>
      <c r="G2872" s="49"/>
      <c r="H2872" s="49"/>
      <c r="I2872" s="49"/>
      <c r="J2872" s="49"/>
      <c r="K2872" s="49"/>
      <c r="L2872" s="49"/>
      <c r="M2872" s="49"/>
    </row>
    <row r="2873" spans="5:13">
      <c r="E2873" s="49"/>
      <c r="F2873" s="49"/>
      <c r="G2873" s="49"/>
      <c r="H2873" s="49"/>
      <c r="I2873" s="49"/>
      <c r="J2873" s="49"/>
      <c r="K2873" s="49"/>
      <c r="L2873" s="49"/>
      <c r="M2873" s="49"/>
    </row>
    <row r="2874" spans="5:13">
      <c r="E2874" s="49"/>
      <c r="F2874" s="49"/>
      <c r="G2874" s="49"/>
      <c r="H2874" s="49"/>
      <c r="I2874" s="49"/>
      <c r="J2874" s="49"/>
      <c r="K2874" s="49"/>
      <c r="L2874" s="49"/>
      <c r="M2874" s="49"/>
    </row>
    <row r="2875" spans="5:13">
      <c r="E2875" s="49"/>
      <c r="F2875" s="49"/>
      <c r="G2875" s="49"/>
      <c r="H2875" s="49"/>
      <c r="I2875" s="49"/>
      <c r="J2875" s="49"/>
      <c r="K2875" s="49"/>
      <c r="L2875" s="49"/>
      <c r="M2875" s="49"/>
    </row>
    <row r="2876" spans="5:13">
      <c r="E2876" s="49"/>
      <c r="F2876" s="49"/>
      <c r="G2876" s="49"/>
      <c r="H2876" s="49"/>
      <c r="I2876" s="49"/>
      <c r="J2876" s="49"/>
      <c r="K2876" s="49"/>
      <c r="L2876" s="49"/>
      <c r="M2876" s="49"/>
    </row>
    <row r="2877" spans="5:13">
      <c r="E2877" s="49"/>
      <c r="F2877" s="49"/>
      <c r="G2877" s="49"/>
      <c r="H2877" s="49"/>
      <c r="I2877" s="49"/>
      <c r="J2877" s="49"/>
      <c r="K2877" s="49"/>
      <c r="L2877" s="49"/>
      <c r="M2877" s="49"/>
    </row>
    <row r="2878" spans="5:13">
      <c r="E2878" s="49"/>
      <c r="F2878" s="49"/>
      <c r="G2878" s="49"/>
      <c r="H2878" s="49"/>
      <c r="I2878" s="49"/>
      <c r="J2878" s="49"/>
      <c r="K2878" s="49"/>
      <c r="L2878" s="49"/>
      <c r="M2878" s="49"/>
    </row>
    <row r="2879" spans="5:13">
      <c r="E2879" s="49"/>
      <c r="F2879" s="49"/>
      <c r="G2879" s="49"/>
      <c r="H2879" s="49"/>
      <c r="I2879" s="49"/>
      <c r="J2879" s="49"/>
      <c r="K2879" s="49"/>
      <c r="L2879" s="49"/>
      <c r="M2879" s="49"/>
    </row>
    <row r="2880" spans="5:13">
      <c r="E2880" s="49"/>
      <c r="F2880" s="49"/>
      <c r="G2880" s="49"/>
      <c r="H2880" s="49"/>
      <c r="I2880" s="49"/>
      <c r="J2880" s="49"/>
      <c r="K2880" s="49"/>
      <c r="L2880" s="49"/>
      <c r="M2880" s="49"/>
    </row>
    <row r="2881" spans="5:13">
      <c r="E2881" s="49"/>
      <c r="F2881" s="49"/>
      <c r="G2881" s="49"/>
      <c r="H2881" s="49"/>
      <c r="I2881" s="49"/>
      <c r="J2881" s="49"/>
      <c r="K2881" s="49"/>
      <c r="L2881" s="49"/>
      <c r="M2881" s="49"/>
    </row>
    <row r="2882" spans="5:13">
      <c r="E2882" s="49"/>
      <c r="F2882" s="49"/>
      <c r="G2882" s="49"/>
      <c r="H2882" s="49"/>
      <c r="I2882" s="49"/>
      <c r="J2882" s="49"/>
      <c r="K2882" s="49"/>
      <c r="L2882" s="49"/>
      <c r="M2882" s="49"/>
    </row>
    <row r="2883" spans="5:13">
      <c r="E2883" s="49"/>
      <c r="F2883" s="49"/>
      <c r="G2883" s="49"/>
      <c r="H2883" s="49"/>
      <c r="I2883" s="49"/>
      <c r="J2883" s="49"/>
      <c r="K2883" s="49"/>
      <c r="L2883" s="49"/>
      <c r="M2883" s="49"/>
    </row>
    <row r="2884" spans="5:13">
      <c r="E2884" s="49"/>
      <c r="F2884" s="49"/>
      <c r="G2884" s="49"/>
      <c r="H2884" s="49"/>
      <c r="I2884" s="49"/>
      <c r="J2884" s="49"/>
      <c r="K2884" s="49"/>
      <c r="L2884" s="49"/>
      <c r="M2884" s="49"/>
    </row>
    <row r="2885" spans="5:13">
      <c r="E2885" s="49"/>
      <c r="F2885" s="49"/>
      <c r="G2885" s="49"/>
      <c r="H2885" s="49"/>
      <c r="I2885" s="49"/>
      <c r="J2885" s="49"/>
      <c r="K2885" s="49"/>
      <c r="L2885" s="49"/>
      <c r="M2885" s="49"/>
    </row>
    <row r="2886" spans="5:13">
      <c r="E2886" s="49"/>
      <c r="F2886" s="49"/>
      <c r="G2886" s="49"/>
      <c r="H2886" s="49"/>
      <c r="I2886" s="49"/>
      <c r="J2886" s="49"/>
      <c r="K2886" s="49"/>
      <c r="L2886" s="49"/>
      <c r="M2886" s="49"/>
    </row>
    <row r="2887" spans="5:13">
      <c r="E2887" s="49"/>
      <c r="F2887" s="49"/>
      <c r="G2887" s="49"/>
      <c r="H2887" s="49"/>
      <c r="I2887" s="49"/>
      <c r="J2887" s="49"/>
      <c r="K2887" s="49"/>
      <c r="L2887" s="49"/>
      <c r="M2887" s="49"/>
    </row>
    <row r="2888" spans="5:13">
      <c r="E2888" s="49"/>
      <c r="F2888" s="49"/>
      <c r="G2888" s="49"/>
      <c r="H2888" s="49"/>
      <c r="I2888" s="49"/>
      <c r="J2888" s="49"/>
      <c r="K2888" s="49"/>
      <c r="L2888" s="49"/>
      <c r="M2888" s="49"/>
    </row>
    <row r="2889" spans="5:13">
      <c r="E2889" s="49"/>
      <c r="F2889" s="49"/>
      <c r="G2889" s="49"/>
      <c r="H2889" s="49"/>
      <c r="I2889" s="49"/>
      <c r="J2889" s="49"/>
      <c r="K2889" s="49"/>
      <c r="L2889" s="49"/>
      <c r="M2889" s="49"/>
    </row>
    <row r="2890" spans="5:13">
      <c r="E2890" s="49"/>
      <c r="F2890" s="49"/>
      <c r="G2890" s="49"/>
      <c r="H2890" s="49"/>
      <c r="I2890" s="49"/>
      <c r="J2890" s="49"/>
      <c r="K2890" s="49"/>
      <c r="L2890" s="49"/>
      <c r="M2890" s="49"/>
    </row>
    <row r="2891" spans="5:13">
      <c r="E2891" s="49"/>
      <c r="F2891" s="49"/>
      <c r="G2891" s="49"/>
      <c r="H2891" s="49"/>
      <c r="I2891" s="49"/>
      <c r="J2891" s="49"/>
      <c r="K2891" s="49"/>
      <c r="L2891" s="49"/>
      <c r="M2891" s="49"/>
    </row>
    <row r="2892" spans="5:13">
      <c r="E2892" s="49"/>
      <c r="F2892" s="49"/>
      <c r="G2892" s="49"/>
      <c r="H2892" s="49"/>
      <c r="I2892" s="49"/>
      <c r="J2892" s="49"/>
      <c r="K2892" s="49"/>
      <c r="L2892" s="49"/>
      <c r="M2892" s="49"/>
    </row>
    <row r="2893" spans="5:13">
      <c r="E2893" s="49"/>
      <c r="F2893" s="49"/>
      <c r="G2893" s="49"/>
      <c r="H2893" s="49"/>
      <c r="I2893" s="49"/>
      <c r="J2893" s="49"/>
      <c r="K2893" s="49"/>
      <c r="L2893" s="49"/>
      <c r="M2893" s="49"/>
    </row>
    <row r="2894" spans="5:13">
      <c r="E2894" s="49"/>
      <c r="F2894" s="49"/>
      <c r="G2894" s="49"/>
      <c r="H2894" s="49"/>
      <c r="I2894" s="49"/>
      <c r="J2894" s="49"/>
      <c r="K2894" s="49"/>
      <c r="L2894" s="49"/>
      <c r="M2894" s="49"/>
    </row>
    <row r="2895" spans="5:13">
      <c r="E2895" s="49"/>
      <c r="F2895" s="49"/>
      <c r="G2895" s="49"/>
      <c r="H2895" s="49"/>
      <c r="I2895" s="49"/>
      <c r="J2895" s="49"/>
      <c r="K2895" s="49"/>
      <c r="L2895" s="49"/>
      <c r="M2895" s="49"/>
    </row>
    <row r="2896" spans="5:13">
      <c r="E2896" s="49"/>
      <c r="F2896" s="49"/>
      <c r="G2896" s="49"/>
      <c r="H2896" s="49"/>
      <c r="I2896" s="49"/>
      <c r="J2896" s="49"/>
      <c r="K2896" s="49"/>
      <c r="L2896" s="49"/>
      <c r="M2896" s="49"/>
    </row>
    <row r="2897" spans="5:13">
      <c r="E2897" s="49"/>
      <c r="F2897" s="49"/>
      <c r="G2897" s="49"/>
      <c r="H2897" s="49"/>
      <c r="I2897" s="49"/>
      <c r="J2897" s="49"/>
      <c r="K2897" s="49"/>
      <c r="L2897" s="49"/>
      <c r="M2897" s="49"/>
    </row>
    <row r="2898" spans="5:13">
      <c r="E2898" s="49"/>
      <c r="F2898" s="49"/>
      <c r="G2898" s="49"/>
      <c r="H2898" s="49"/>
      <c r="I2898" s="49"/>
      <c r="J2898" s="49"/>
      <c r="K2898" s="49"/>
      <c r="L2898" s="49"/>
      <c r="M2898" s="49"/>
    </row>
    <row r="2899" spans="5:13">
      <c r="E2899" s="49"/>
      <c r="F2899" s="49"/>
      <c r="G2899" s="49"/>
      <c r="H2899" s="49"/>
      <c r="I2899" s="49"/>
      <c r="J2899" s="49"/>
      <c r="K2899" s="49"/>
      <c r="L2899" s="49"/>
      <c r="M2899" s="49"/>
    </row>
    <row r="2900" spans="5:13">
      <c r="E2900" s="49"/>
      <c r="F2900" s="49"/>
      <c r="G2900" s="49"/>
      <c r="H2900" s="49"/>
      <c r="I2900" s="49"/>
      <c r="J2900" s="49"/>
      <c r="K2900" s="49"/>
      <c r="L2900" s="49"/>
      <c r="M2900" s="49"/>
    </row>
    <row r="2901" spans="5:13">
      <c r="E2901" s="49"/>
      <c r="F2901" s="49"/>
      <c r="G2901" s="49"/>
      <c r="H2901" s="49"/>
      <c r="I2901" s="49"/>
      <c r="J2901" s="49"/>
      <c r="K2901" s="49"/>
      <c r="L2901" s="49"/>
      <c r="M2901" s="49"/>
    </row>
    <row r="2902" spans="5:13">
      <c r="E2902" s="49"/>
      <c r="F2902" s="49"/>
      <c r="G2902" s="49"/>
      <c r="H2902" s="49"/>
      <c r="I2902" s="49"/>
      <c r="J2902" s="49"/>
      <c r="K2902" s="49"/>
      <c r="L2902" s="49"/>
      <c r="M2902" s="49"/>
    </row>
    <row r="2903" spans="5:13">
      <c r="E2903" s="49"/>
      <c r="F2903" s="49"/>
      <c r="G2903" s="49"/>
      <c r="H2903" s="49"/>
      <c r="I2903" s="49"/>
      <c r="J2903" s="49"/>
      <c r="K2903" s="49"/>
      <c r="L2903" s="49"/>
      <c r="M2903" s="49"/>
    </row>
    <row r="2904" spans="5:13">
      <c r="E2904" s="49"/>
      <c r="F2904" s="49"/>
      <c r="G2904" s="49"/>
      <c r="H2904" s="49"/>
      <c r="I2904" s="49"/>
      <c r="J2904" s="49"/>
      <c r="K2904" s="49"/>
      <c r="L2904" s="49"/>
      <c r="M2904" s="49"/>
    </row>
    <row r="2905" spans="5:13">
      <c r="E2905" s="49"/>
      <c r="F2905" s="49"/>
      <c r="G2905" s="49"/>
      <c r="H2905" s="49"/>
      <c r="I2905" s="49"/>
      <c r="J2905" s="49"/>
      <c r="K2905" s="49"/>
      <c r="L2905" s="49"/>
      <c r="M2905" s="49"/>
    </row>
    <row r="2906" spans="5:13">
      <c r="E2906" s="49"/>
      <c r="F2906" s="49"/>
      <c r="G2906" s="49"/>
      <c r="H2906" s="49"/>
      <c r="I2906" s="49"/>
      <c r="J2906" s="49"/>
      <c r="K2906" s="49"/>
      <c r="L2906" s="49"/>
      <c r="M2906" s="49"/>
    </row>
    <row r="2907" spans="5:13">
      <c r="E2907" s="49"/>
      <c r="F2907" s="49"/>
      <c r="G2907" s="49"/>
      <c r="H2907" s="49"/>
      <c r="I2907" s="49"/>
      <c r="J2907" s="49"/>
      <c r="K2907" s="49"/>
      <c r="L2907" s="49"/>
      <c r="M2907" s="49"/>
    </row>
    <row r="2908" spans="5:13">
      <c r="E2908" s="49"/>
      <c r="F2908" s="49"/>
      <c r="G2908" s="49"/>
      <c r="H2908" s="49"/>
      <c r="I2908" s="49"/>
      <c r="J2908" s="49"/>
      <c r="K2908" s="49"/>
      <c r="L2908" s="49"/>
      <c r="M2908" s="49"/>
    </row>
    <row r="2909" spans="5:13">
      <c r="E2909" s="49"/>
      <c r="F2909" s="49"/>
      <c r="G2909" s="49"/>
      <c r="H2909" s="49"/>
      <c r="I2909" s="49"/>
      <c r="J2909" s="49"/>
      <c r="K2909" s="49"/>
      <c r="L2909" s="49"/>
      <c r="M2909" s="49"/>
    </row>
    <row r="2910" spans="5:13">
      <c r="E2910" s="49"/>
      <c r="F2910" s="49"/>
      <c r="G2910" s="49"/>
      <c r="H2910" s="49"/>
      <c r="I2910" s="49"/>
      <c r="J2910" s="49"/>
      <c r="K2910" s="49"/>
      <c r="L2910" s="49"/>
      <c r="M2910" s="49"/>
    </row>
    <row r="2911" spans="5:13">
      <c r="E2911" s="49"/>
      <c r="F2911" s="49"/>
      <c r="G2911" s="49"/>
      <c r="H2911" s="49"/>
      <c r="I2911" s="49"/>
      <c r="J2911" s="49"/>
      <c r="K2911" s="49"/>
      <c r="L2911" s="49"/>
      <c r="M2911" s="49"/>
    </row>
    <row r="2912" spans="5:13">
      <c r="E2912" s="49"/>
      <c r="F2912" s="49"/>
      <c r="G2912" s="49"/>
      <c r="H2912" s="49"/>
      <c r="I2912" s="49"/>
      <c r="J2912" s="49"/>
      <c r="K2912" s="49"/>
      <c r="L2912" s="49"/>
      <c r="M2912" s="49"/>
    </row>
    <row r="2913" spans="5:13">
      <c r="E2913" s="49"/>
      <c r="F2913" s="49"/>
      <c r="G2913" s="49"/>
      <c r="H2913" s="49"/>
      <c r="I2913" s="49"/>
      <c r="J2913" s="49"/>
      <c r="K2913" s="49"/>
      <c r="L2913" s="49"/>
      <c r="M2913" s="49"/>
    </row>
    <row r="2914" spans="5:13">
      <c r="E2914" s="49"/>
      <c r="F2914" s="49"/>
      <c r="G2914" s="49"/>
      <c r="H2914" s="49"/>
      <c r="I2914" s="49"/>
      <c r="J2914" s="49"/>
      <c r="K2914" s="49"/>
      <c r="L2914" s="49"/>
      <c r="M2914" s="49"/>
    </row>
    <row r="2915" spans="5:13">
      <c r="E2915" s="49"/>
      <c r="F2915" s="49"/>
      <c r="G2915" s="49"/>
      <c r="H2915" s="49"/>
      <c r="I2915" s="49"/>
      <c r="J2915" s="49"/>
      <c r="K2915" s="49"/>
      <c r="L2915" s="49"/>
      <c r="M2915" s="49"/>
    </row>
    <row r="2916" spans="5:13">
      <c r="E2916" s="49"/>
      <c r="F2916" s="49"/>
      <c r="G2916" s="49"/>
      <c r="H2916" s="49"/>
      <c r="I2916" s="49"/>
      <c r="J2916" s="49"/>
      <c r="K2916" s="49"/>
      <c r="L2916" s="49"/>
      <c r="M2916" s="49"/>
    </row>
    <row r="2917" spans="5:13">
      <c r="E2917" s="49"/>
      <c r="F2917" s="49"/>
      <c r="G2917" s="49"/>
      <c r="H2917" s="49"/>
      <c r="I2917" s="49"/>
      <c r="J2917" s="49"/>
      <c r="K2917" s="49"/>
      <c r="L2917" s="49"/>
      <c r="M2917" s="49"/>
    </row>
    <row r="2918" spans="5:13">
      <c r="E2918" s="49"/>
      <c r="F2918" s="49"/>
      <c r="G2918" s="49"/>
      <c r="H2918" s="49"/>
      <c r="I2918" s="49"/>
      <c r="J2918" s="49"/>
      <c r="K2918" s="49"/>
      <c r="L2918" s="49"/>
      <c r="M2918" s="49"/>
    </row>
    <row r="2919" spans="5:13">
      <c r="E2919" s="49"/>
      <c r="F2919" s="49"/>
      <c r="G2919" s="49"/>
      <c r="H2919" s="49"/>
      <c r="I2919" s="49"/>
      <c r="J2919" s="49"/>
      <c r="K2919" s="49"/>
      <c r="L2919" s="49"/>
      <c r="M2919" s="49"/>
    </row>
    <row r="2920" spans="5:13">
      <c r="E2920" s="49"/>
      <c r="F2920" s="49"/>
      <c r="G2920" s="49"/>
      <c r="H2920" s="49"/>
      <c r="I2920" s="49"/>
      <c r="J2920" s="49"/>
      <c r="K2920" s="49"/>
      <c r="L2920" s="49"/>
      <c r="M2920" s="49"/>
    </row>
    <row r="2921" spans="5:13">
      <c r="E2921" s="49"/>
      <c r="F2921" s="49"/>
      <c r="G2921" s="49"/>
      <c r="H2921" s="49"/>
      <c r="I2921" s="49"/>
      <c r="J2921" s="49"/>
      <c r="K2921" s="49"/>
      <c r="L2921" s="49"/>
      <c r="M2921" s="49"/>
    </row>
    <row r="2922" spans="5:13">
      <c r="E2922" s="49"/>
      <c r="F2922" s="49"/>
      <c r="G2922" s="49"/>
      <c r="H2922" s="49"/>
      <c r="I2922" s="49"/>
      <c r="J2922" s="49"/>
      <c r="K2922" s="49"/>
      <c r="L2922" s="49"/>
      <c r="M2922" s="49"/>
    </row>
    <row r="2923" spans="5:13">
      <c r="E2923" s="49"/>
      <c r="F2923" s="49"/>
      <c r="G2923" s="49"/>
      <c r="H2923" s="49"/>
      <c r="I2923" s="49"/>
      <c r="J2923" s="49"/>
      <c r="K2923" s="49"/>
      <c r="L2923" s="49"/>
      <c r="M2923" s="49"/>
    </row>
    <row r="2924" spans="5:13">
      <c r="E2924" s="49"/>
      <c r="F2924" s="49"/>
      <c r="G2924" s="49"/>
      <c r="H2924" s="49"/>
      <c r="I2924" s="49"/>
      <c r="J2924" s="49"/>
      <c r="K2924" s="49"/>
      <c r="L2924" s="49"/>
      <c r="M2924" s="49"/>
    </row>
    <row r="2925" spans="5:13">
      <c r="E2925" s="49"/>
      <c r="F2925" s="49"/>
      <c r="G2925" s="49"/>
      <c r="H2925" s="49"/>
      <c r="I2925" s="49"/>
      <c r="J2925" s="49"/>
      <c r="K2925" s="49"/>
      <c r="L2925" s="49"/>
      <c r="M2925" s="49"/>
    </row>
    <row r="2926" spans="5:13">
      <c r="E2926" s="49"/>
      <c r="F2926" s="49"/>
      <c r="G2926" s="49"/>
      <c r="H2926" s="49"/>
      <c r="I2926" s="49"/>
      <c r="J2926" s="49"/>
      <c r="K2926" s="49"/>
      <c r="L2926" s="49"/>
      <c r="M2926" s="49"/>
    </row>
    <row r="2927" spans="5:13">
      <c r="E2927" s="49"/>
      <c r="F2927" s="49"/>
      <c r="G2927" s="49"/>
      <c r="H2927" s="49"/>
      <c r="I2927" s="49"/>
      <c r="J2927" s="49"/>
      <c r="K2927" s="49"/>
      <c r="L2927" s="49"/>
      <c r="M2927" s="49"/>
    </row>
    <row r="2928" spans="5:13">
      <c r="E2928" s="49"/>
      <c r="F2928" s="49"/>
      <c r="G2928" s="49"/>
      <c r="H2928" s="49"/>
      <c r="I2928" s="49"/>
      <c r="J2928" s="49"/>
      <c r="K2928" s="49"/>
      <c r="L2928" s="49"/>
      <c r="M2928" s="49"/>
    </row>
    <row r="2929" spans="5:13">
      <c r="E2929" s="49"/>
      <c r="F2929" s="49"/>
      <c r="G2929" s="49"/>
      <c r="H2929" s="49"/>
      <c r="I2929" s="49"/>
      <c r="J2929" s="49"/>
      <c r="K2929" s="49"/>
      <c r="L2929" s="49"/>
      <c r="M2929" s="49"/>
    </row>
    <row r="2930" spans="5:13">
      <c r="E2930" s="49"/>
      <c r="F2930" s="49"/>
      <c r="G2930" s="49"/>
      <c r="H2930" s="49"/>
      <c r="I2930" s="49"/>
      <c r="J2930" s="49"/>
      <c r="K2930" s="49"/>
      <c r="L2930" s="49"/>
      <c r="M2930" s="49"/>
    </row>
    <row r="2931" spans="5:13">
      <c r="E2931" s="49"/>
      <c r="F2931" s="49"/>
      <c r="G2931" s="49"/>
      <c r="H2931" s="49"/>
      <c r="I2931" s="49"/>
      <c r="J2931" s="49"/>
      <c r="K2931" s="49"/>
      <c r="L2931" s="49"/>
      <c r="M2931" s="49"/>
    </row>
    <row r="2932" spans="5:13">
      <c r="E2932" s="49"/>
      <c r="F2932" s="49"/>
      <c r="G2932" s="49"/>
      <c r="H2932" s="49"/>
      <c r="I2932" s="49"/>
      <c r="J2932" s="49"/>
      <c r="K2932" s="49"/>
      <c r="L2932" s="49"/>
      <c r="M2932" s="49"/>
    </row>
    <row r="2933" spans="5:13">
      <c r="E2933" s="49"/>
      <c r="F2933" s="49"/>
      <c r="G2933" s="49"/>
      <c r="H2933" s="49"/>
      <c r="I2933" s="49"/>
      <c r="J2933" s="49"/>
      <c r="K2933" s="49"/>
      <c r="L2933" s="49"/>
      <c r="M2933" s="49"/>
    </row>
    <row r="2934" spans="5:13">
      <c r="E2934" s="49"/>
      <c r="F2934" s="49"/>
      <c r="G2934" s="49"/>
      <c r="H2934" s="49"/>
      <c r="I2934" s="49"/>
      <c r="J2934" s="49"/>
      <c r="K2934" s="49"/>
      <c r="L2934" s="49"/>
      <c r="M2934" s="49"/>
    </row>
    <row r="2935" spans="5:13">
      <c r="E2935" s="49"/>
      <c r="F2935" s="49"/>
      <c r="G2935" s="49"/>
      <c r="H2935" s="49"/>
      <c r="I2935" s="49"/>
      <c r="J2935" s="49"/>
      <c r="K2935" s="49"/>
      <c r="L2935" s="49"/>
      <c r="M2935" s="49"/>
    </row>
    <row r="2936" spans="5:13">
      <c r="E2936" s="49"/>
      <c r="F2936" s="49"/>
      <c r="G2936" s="49"/>
      <c r="H2936" s="49"/>
      <c r="I2936" s="49"/>
      <c r="J2936" s="49"/>
      <c r="K2936" s="49"/>
      <c r="L2936" s="49"/>
      <c r="M2936" s="49"/>
    </row>
    <row r="2937" spans="5:13">
      <c r="E2937" s="49"/>
      <c r="F2937" s="49"/>
      <c r="G2937" s="49"/>
      <c r="H2937" s="49"/>
      <c r="I2937" s="49"/>
      <c r="J2937" s="49"/>
      <c r="K2937" s="49"/>
      <c r="L2937" s="49"/>
      <c r="M2937" s="49"/>
    </row>
    <row r="2938" spans="5:13">
      <c r="E2938" s="49"/>
      <c r="F2938" s="49"/>
      <c r="G2938" s="49"/>
      <c r="H2938" s="49"/>
      <c r="I2938" s="49"/>
      <c r="J2938" s="49"/>
      <c r="K2938" s="49"/>
      <c r="L2938" s="49"/>
      <c r="M2938" s="49"/>
    </row>
    <row r="2939" spans="5:13">
      <c r="E2939" s="49"/>
      <c r="F2939" s="49"/>
      <c r="G2939" s="49"/>
      <c r="H2939" s="49"/>
      <c r="I2939" s="49"/>
      <c r="J2939" s="49"/>
      <c r="K2939" s="49"/>
      <c r="L2939" s="49"/>
      <c r="M2939" s="49"/>
    </row>
    <row r="2940" spans="5:13">
      <c r="E2940" s="49"/>
      <c r="F2940" s="49"/>
      <c r="G2940" s="49"/>
      <c r="H2940" s="49"/>
      <c r="I2940" s="49"/>
      <c r="J2940" s="49"/>
      <c r="K2940" s="49"/>
      <c r="L2940" s="49"/>
      <c r="M2940" s="49"/>
    </row>
    <row r="2941" spans="5:13">
      <c r="E2941" s="49"/>
      <c r="F2941" s="49"/>
      <c r="G2941" s="49"/>
      <c r="H2941" s="49"/>
      <c r="I2941" s="49"/>
      <c r="J2941" s="49"/>
      <c r="K2941" s="49"/>
      <c r="L2941" s="49"/>
      <c r="M2941" s="49"/>
    </row>
    <row r="2942" spans="5:13">
      <c r="E2942" s="49"/>
      <c r="F2942" s="49"/>
      <c r="G2942" s="49"/>
      <c r="H2942" s="49"/>
      <c r="I2942" s="49"/>
      <c r="J2942" s="49"/>
      <c r="K2942" s="49"/>
      <c r="L2942" s="49"/>
      <c r="M2942" s="49"/>
    </row>
    <row r="2943" spans="5:13">
      <c r="E2943" s="49"/>
      <c r="F2943" s="49"/>
      <c r="G2943" s="49"/>
      <c r="H2943" s="49"/>
      <c r="I2943" s="49"/>
      <c r="J2943" s="49"/>
      <c r="K2943" s="49"/>
      <c r="L2943" s="49"/>
      <c r="M2943" s="49"/>
    </row>
    <row r="2944" spans="5:13">
      <c r="E2944" s="49"/>
      <c r="F2944" s="49"/>
      <c r="G2944" s="49"/>
      <c r="H2944" s="49"/>
      <c r="I2944" s="49"/>
      <c r="J2944" s="49"/>
      <c r="K2944" s="49"/>
      <c r="L2944" s="49"/>
      <c r="M2944" s="49"/>
    </row>
    <row r="2945" spans="5:13">
      <c r="E2945" s="49"/>
      <c r="F2945" s="49"/>
      <c r="G2945" s="49"/>
      <c r="H2945" s="49"/>
      <c r="I2945" s="49"/>
      <c r="J2945" s="49"/>
      <c r="K2945" s="49"/>
      <c r="L2945" s="49"/>
      <c r="M2945" s="49"/>
    </row>
    <row r="2946" spans="5:13">
      <c r="E2946" s="49"/>
      <c r="F2946" s="49"/>
      <c r="G2946" s="49"/>
      <c r="H2946" s="49"/>
      <c r="I2946" s="49"/>
      <c r="J2946" s="49"/>
      <c r="K2946" s="49"/>
      <c r="L2946" s="49"/>
      <c r="M2946" s="49"/>
    </row>
    <row r="2947" spans="5:13">
      <c r="E2947" s="49"/>
      <c r="F2947" s="49"/>
      <c r="G2947" s="49"/>
      <c r="H2947" s="49"/>
      <c r="I2947" s="49"/>
      <c r="J2947" s="49"/>
      <c r="K2947" s="49"/>
      <c r="L2947" s="49"/>
      <c r="M2947" s="49"/>
    </row>
    <row r="2948" spans="5:13">
      <c r="E2948" s="49"/>
      <c r="F2948" s="49"/>
      <c r="G2948" s="49"/>
      <c r="H2948" s="49"/>
      <c r="I2948" s="49"/>
      <c r="J2948" s="49"/>
      <c r="K2948" s="49"/>
      <c r="L2948" s="49"/>
      <c r="M2948" s="49"/>
    </row>
    <row r="2949" spans="5:13">
      <c r="E2949" s="49"/>
      <c r="F2949" s="49"/>
      <c r="G2949" s="49"/>
      <c r="H2949" s="49"/>
      <c r="I2949" s="49"/>
      <c r="J2949" s="49"/>
      <c r="K2949" s="49"/>
      <c r="L2949" s="49"/>
      <c r="M2949" s="49"/>
    </row>
    <row r="2950" spans="5:13">
      <c r="E2950" s="49"/>
      <c r="F2950" s="49"/>
      <c r="G2950" s="49"/>
      <c r="H2950" s="49"/>
      <c r="I2950" s="49"/>
      <c r="J2950" s="49"/>
      <c r="K2950" s="49"/>
      <c r="L2950" s="49"/>
      <c r="M2950" s="49"/>
    </row>
    <row r="2951" spans="5:13">
      <c r="E2951" s="49"/>
      <c r="F2951" s="49"/>
      <c r="G2951" s="49"/>
      <c r="H2951" s="49"/>
      <c r="I2951" s="49"/>
      <c r="J2951" s="49"/>
      <c r="K2951" s="49"/>
      <c r="L2951" s="49"/>
      <c r="M2951" s="49"/>
    </row>
    <row r="2952" spans="5:13">
      <c r="E2952" s="49"/>
      <c r="F2952" s="49"/>
      <c r="G2952" s="49"/>
      <c r="H2952" s="49"/>
      <c r="I2952" s="49"/>
      <c r="J2952" s="49"/>
      <c r="K2952" s="49"/>
      <c r="L2952" s="49"/>
      <c r="M2952" s="49"/>
    </row>
    <row r="2953" spans="5:13">
      <c r="E2953" s="49"/>
      <c r="F2953" s="49"/>
      <c r="G2953" s="49"/>
      <c r="H2953" s="49"/>
      <c r="I2953" s="49"/>
      <c r="J2953" s="49"/>
      <c r="K2953" s="49"/>
      <c r="L2953" s="49"/>
      <c r="M2953" s="49"/>
    </row>
    <row r="2954" spans="5:13">
      <c r="E2954" s="49"/>
      <c r="F2954" s="49"/>
      <c r="G2954" s="49"/>
      <c r="H2954" s="49"/>
      <c r="I2954" s="49"/>
      <c r="J2954" s="49"/>
      <c r="K2954" s="49"/>
      <c r="L2954" s="49"/>
      <c r="M2954" s="49"/>
    </row>
    <row r="2955" spans="5:13">
      <c r="E2955" s="49"/>
      <c r="F2955" s="49"/>
      <c r="G2955" s="49"/>
      <c r="H2955" s="49"/>
      <c r="I2955" s="49"/>
      <c r="J2955" s="49"/>
      <c r="K2955" s="49"/>
      <c r="L2955" s="49"/>
      <c r="M2955" s="49"/>
    </row>
    <row r="2956" spans="5:13">
      <c r="E2956" s="49"/>
      <c r="F2956" s="49"/>
      <c r="G2956" s="49"/>
      <c r="H2956" s="49"/>
      <c r="I2956" s="49"/>
      <c r="J2956" s="49"/>
      <c r="K2956" s="49"/>
      <c r="L2956" s="49"/>
      <c r="M2956" s="49"/>
    </row>
    <row r="2957" spans="5:13">
      <c r="E2957" s="49"/>
      <c r="F2957" s="49"/>
      <c r="G2957" s="49"/>
      <c r="H2957" s="49"/>
      <c r="I2957" s="49"/>
      <c r="J2957" s="49"/>
      <c r="K2957" s="49"/>
      <c r="L2957" s="49"/>
      <c r="M2957" s="49"/>
    </row>
    <row r="2958" spans="5:13">
      <c r="E2958" s="49"/>
      <c r="F2958" s="49"/>
      <c r="G2958" s="49"/>
      <c r="H2958" s="49"/>
      <c r="I2958" s="49"/>
      <c r="J2958" s="49"/>
      <c r="K2958" s="49"/>
      <c r="L2958" s="49"/>
      <c r="M2958" s="49"/>
    </row>
    <row r="2959" spans="5:13">
      <c r="E2959" s="49"/>
      <c r="F2959" s="49"/>
      <c r="G2959" s="49"/>
      <c r="H2959" s="49"/>
      <c r="I2959" s="49"/>
      <c r="J2959" s="49"/>
      <c r="K2959" s="49"/>
      <c r="L2959" s="49"/>
      <c r="M2959" s="49"/>
    </row>
    <row r="2960" spans="5:13">
      <c r="E2960" s="49"/>
      <c r="F2960" s="49"/>
      <c r="G2960" s="49"/>
      <c r="H2960" s="49"/>
      <c r="I2960" s="49"/>
      <c r="J2960" s="49"/>
      <c r="K2960" s="49"/>
      <c r="L2960" s="49"/>
      <c r="M2960" s="49"/>
    </row>
    <row r="2961" spans="5:13">
      <c r="E2961" s="49"/>
      <c r="F2961" s="49"/>
      <c r="G2961" s="49"/>
      <c r="H2961" s="49"/>
      <c r="I2961" s="49"/>
      <c r="J2961" s="49"/>
      <c r="K2961" s="49"/>
      <c r="L2961" s="49"/>
      <c r="M2961" s="49"/>
    </row>
    <row r="2962" spans="5:13">
      <c r="E2962" s="49"/>
      <c r="F2962" s="49"/>
      <c r="G2962" s="49"/>
      <c r="H2962" s="49"/>
      <c r="I2962" s="49"/>
      <c r="J2962" s="49"/>
      <c r="K2962" s="49"/>
      <c r="L2962" s="49"/>
      <c r="M2962" s="49"/>
    </row>
    <row r="2963" spans="5:13">
      <c r="E2963" s="49"/>
      <c r="F2963" s="49"/>
      <c r="G2963" s="49"/>
      <c r="H2963" s="49"/>
      <c r="I2963" s="49"/>
      <c r="J2963" s="49"/>
      <c r="K2963" s="49"/>
      <c r="L2963" s="49"/>
      <c r="M2963" s="49"/>
    </row>
    <row r="2964" spans="5:13">
      <c r="E2964" s="49"/>
      <c r="F2964" s="49"/>
      <c r="G2964" s="49"/>
      <c r="H2964" s="49"/>
      <c r="I2964" s="49"/>
      <c r="J2964" s="49"/>
      <c r="K2964" s="49"/>
      <c r="L2964" s="49"/>
      <c r="M2964" s="49"/>
    </row>
    <row r="2965" spans="5:13">
      <c r="E2965" s="49"/>
      <c r="F2965" s="49"/>
      <c r="G2965" s="49"/>
      <c r="H2965" s="49"/>
      <c r="I2965" s="49"/>
      <c r="J2965" s="49"/>
      <c r="K2965" s="49"/>
      <c r="L2965" s="49"/>
      <c r="M2965" s="49"/>
    </row>
    <row r="2966" spans="5:13">
      <c r="E2966" s="49"/>
      <c r="F2966" s="49"/>
      <c r="G2966" s="49"/>
      <c r="H2966" s="49"/>
      <c r="I2966" s="49"/>
      <c r="J2966" s="49"/>
      <c r="K2966" s="49"/>
      <c r="L2966" s="49"/>
      <c r="M2966" s="49"/>
    </row>
    <row r="2967" spans="5:13">
      <c r="E2967" s="49"/>
      <c r="F2967" s="49"/>
      <c r="G2967" s="49"/>
      <c r="H2967" s="49"/>
      <c r="I2967" s="49"/>
      <c r="J2967" s="49"/>
      <c r="K2967" s="49"/>
      <c r="L2967" s="49"/>
      <c r="M2967" s="49"/>
    </row>
    <row r="2968" spans="5:13">
      <c r="E2968" s="49"/>
      <c r="F2968" s="49"/>
      <c r="G2968" s="49"/>
      <c r="H2968" s="49"/>
      <c r="I2968" s="49"/>
      <c r="J2968" s="49"/>
      <c r="K2968" s="49"/>
      <c r="L2968" s="49"/>
      <c r="M2968" s="49"/>
    </row>
    <row r="2969" spans="5:13">
      <c r="E2969" s="49"/>
      <c r="F2969" s="49"/>
      <c r="G2969" s="49"/>
      <c r="H2969" s="49"/>
      <c r="I2969" s="49"/>
      <c r="J2969" s="49"/>
      <c r="K2969" s="49"/>
      <c r="L2969" s="49"/>
      <c r="M2969" s="49"/>
    </row>
    <row r="2970" spans="5:13">
      <c r="E2970" s="49"/>
      <c r="F2970" s="49"/>
      <c r="G2970" s="49"/>
      <c r="H2970" s="49"/>
      <c r="I2970" s="49"/>
      <c r="J2970" s="49"/>
      <c r="K2970" s="49"/>
      <c r="L2970" s="49"/>
      <c r="M2970" s="49"/>
    </row>
    <row r="2971" spans="5:13">
      <c r="E2971" s="49"/>
      <c r="F2971" s="49"/>
      <c r="G2971" s="49"/>
      <c r="H2971" s="49"/>
      <c r="I2971" s="49"/>
      <c r="J2971" s="49"/>
      <c r="K2971" s="49"/>
      <c r="L2971" s="49"/>
      <c r="M2971" s="49"/>
    </row>
    <row r="2972" spans="5:13">
      <c r="E2972" s="49"/>
      <c r="F2972" s="49"/>
      <c r="G2972" s="49"/>
      <c r="H2972" s="49"/>
      <c r="I2972" s="49"/>
      <c r="J2972" s="49"/>
      <c r="K2972" s="49"/>
      <c r="L2972" s="49"/>
      <c r="M2972" s="49"/>
    </row>
    <row r="2973" spans="5:13">
      <c r="E2973" s="49"/>
      <c r="F2973" s="49"/>
      <c r="G2973" s="49"/>
      <c r="H2973" s="49"/>
      <c r="I2973" s="49"/>
      <c r="J2973" s="49"/>
      <c r="K2973" s="49"/>
      <c r="L2973" s="49"/>
      <c r="M2973" s="49"/>
    </row>
    <row r="2974" spans="5:13">
      <c r="E2974" s="49"/>
      <c r="F2974" s="49"/>
      <c r="G2974" s="49"/>
      <c r="H2974" s="49"/>
      <c r="I2974" s="49"/>
      <c r="J2974" s="49"/>
      <c r="K2974" s="49"/>
      <c r="L2974" s="49"/>
      <c r="M2974" s="49"/>
    </row>
    <row r="2975" spans="5:13">
      <c r="E2975" s="49"/>
      <c r="F2975" s="49"/>
      <c r="G2975" s="49"/>
      <c r="H2975" s="49"/>
      <c r="I2975" s="49"/>
      <c r="J2975" s="49"/>
      <c r="K2975" s="49"/>
      <c r="L2975" s="49"/>
      <c r="M2975" s="49"/>
    </row>
    <row r="2976" spans="5:13">
      <c r="E2976" s="49"/>
      <c r="F2976" s="49"/>
      <c r="G2976" s="49"/>
      <c r="H2976" s="49"/>
      <c r="I2976" s="49"/>
      <c r="J2976" s="49"/>
      <c r="K2976" s="49"/>
      <c r="L2976" s="49"/>
      <c r="M2976" s="49"/>
    </row>
    <row r="2977" spans="5:13">
      <c r="E2977" s="49"/>
      <c r="F2977" s="49"/>
      <c r="G2977" s="49"/>
      <c r="H2977" s="49"/>
      <c r="I2977" s="49"/>
      <c r="J2977" s="49"/>
      <c r="K2977" s="49"/>
      <c r="L2977" s="49"/>
      <c r="M2977" s="49"/>
    </row>
    <row r="2978" spans="5:13">
      <c r="E2978" s="49"/>
      <c r="F2978" s="49"/>
      <c r="G2978" s="49"/>
      <c r="H2978" s="49"/>
      <c r="I2978" s="49"/>
      <c r="J2978" s="49"/>
      <c r="K2978" s="49"/>
      <c r="L2978" s="49"/>
      <c r="M2978" s="49"/>
    </row>
    <row r="2979" spans="5:13">
      <c r="E2979" s="49"/>
      <c r="F2979" s="49"/>
      <c r="G2979" s="49"/>
      <c r="H2979" s="49"/>
      <c r="I2979" s="49"/>
      <c r="J2979" s="49"/>
      <c r="K2979" s="49"/>
      <c r="L2979" s="49"/>
      <c r="M2979" s="49"/>
    </row>
    <row r="2980" spans="5:13">
      <c r="E2980" s="49"/>
      <c r="F2980" s="49"/>
      <c r="G2980" s="49"/>
      <c r="H2980" s="49"/>
      <c r="I2980" s="49"/>
      <c r="J2980" s="49"/>
      <c r="K2980" s="49"/>
      <c r="L2980" s="49"/>
      <c r="M2980" s="49"/>
    </row>
    <row r="2981" spans="5:13">
      <c r="E2981" s="49"/>
      <c r="F2981" s="49"/>
      <c r="G2981" s="49"/>
      <c r="H2981" s="49"/>
      <c r="I2981" s="49"/>
      <c r="J2981" s="49"/>
      <c r="K2981" s="49"/>
      <c r="L2981" s="49"/>
      <c r="M2981" s="49"/>
    </row>
    <row r="2982" spans="5:13">
      <c r="E2982" s="49"/>
      <c r="F2982" s="49"/>
      <c r="G2982" s="49"/>
      <c r="H2982" s="49"/>
      <c r="I2982" s="49"/>
      <c r="J2982" s="49"/>
      <c r="K2982" s="49"/>
      <c r="L2982" s="49"/>
      <c r="M2982" s="49"/>
    </row>
    <row r="2983" spans="5:13">
      <c r="E2983" s="49"/>
      <c r="F2983" s="49"/>
      <c r="G2983" s="49"/>
      <c r="H2983" s="49"/>
      <c r="I2983" s="49"/>
      <c r="J2983" s="49"/>
      <c r="K2983" s="49"/>
      <c r="L2983" s="49"/>
      <c r="M2983" s="49"/>
    </row>
    <row r="2984" spans="5:13">
      <c r="E2984" s="49"/>
      <c r="F2984" s="49"/>
      <c r="G2984" s="49"/>
      <c r="H2984" s="49"/>
      <c r="I2984" s="49"/>
      <c r="J2984" s="49"/>
      <c r="K2984" s="49"/>
      <c r="L2984" s="49"/>
      <c r="M2984" s="49"/>
    </row>
    <row r="2985" spans="5:13">
      <c r="E2985" s="49"/>
      <c r="F2985" s="49"/>
      <c r="G2985" s="49"/>
      <c r="H2985" s="49"/>
      <c r="I2985" s="49"/>
      <c r="J2985" s="49"/>
      <c r="K2985" s="49"/>
      <c r="L2985" s="49"/>
      <c r="M2985" s="49"/>
    </row>
    <row r="2986" spans="5:13">
      <c r="E2986" s="49"/>
      <c r="F2986" s="49"/>
      <c r="G2986" s="49"/>
      <c r="H2986" s="49"/>
      <c r="I2986" s="49"/>
      <c r="J2986" s="49"/>
      <c r="K2986" s="49"/>
      <c r="L2986" s="49"/>
      <c r="M2986" s="49"/>
    </row>
    <row r="2987" spans="5:13">
      <c r="E2987" s="49"/>
      <c r="F2987" s="49"/>
      <c r="G2987" s="49"/>
      <c r="H2987" s="49"/>
      <c r="I2987" s="49"/>
      <c r="J2987" s="49"/>
      <c r="K2987" s="49"/>
      <c r="L2987" s="49"/>
      <c r="M2987" s="49"/>
    </row>
    <row r="2988" spans="5:13">
      <c r="E2988" s="49"/>
      <c r="F2988" s="49"/>
      <c r="G2988" s="49"/>
      <c r="H2988" s="49"/>
      <c r="I2988" s="49"/>
      <c r="J2988" s="49"/>
      <c r="K2988" s="49"/>
      <c r="L2988" s="49"/>
      <c r="M2988" s="49"/>
    </row>
    <row r="2989" spans="5:13">
      <c r="E2989" s="49"/>
      <c r="F2989" s="49"/>
      <c r="G2989" s="49"/>
      <c r="H2989" s="49"/>
      <c r="I2989" s="49"/>
      <c r="J2989" s="49"/>
      <c r="K2989" s="49"/>
      <c r="L2989" s="49"/>
      <c r="M2989" s="49"/>
    </row>
    <row r="2990" spans="5:13">
      <c r="E2990" s="49"/>
      <c r="F2990" s="49"/>
      <c r="G2990" s="49"/>
      <c r="H2990" s="49"/>
      <c r="I2990" s="49"/>
      <c r="J2990" s="49"/>
      <c r="K2990" s="49"/>
      <c r="L2990" s="49"/>
      <c r="M2990" s="49"/>
    </row>
    <row r="2991" spans="5:13">
      <c r="E2991" s="49"/>
      <c r="F2991" s="49"/>
      <c r="G2991" s="49"/>
      <c r="H2991" s="49"/>
      <c r="I2991" s="49"/>
      <c r="J2991" s="49"/>
      <c r="K2991" s="49"/>
      <c r="L2991" s="49"/>
      <c r="M2991" s="49"/>
    </row>
    <row r="2992" spans="5:13">
      <c r="E2992" s="49"/>
      <c r="F2992" s="49"/>
      <c r="G2992" s="49"/>
      <c r="H2992" s="49"/>
      <c r="I2992" s="49"/>
      <c r="J2992" s="49"/>
      <c r="K2992" s="49"/>
      <c r="L2992" s="49"/>
      <c r="M2992" s="49"/>
    </row>
    <row r="2993" spans="5:13">
      <c r="E2993" s="49"/>
      <c r="F2993" s="49"/>
      <c r="G2993" s="49"/>
      <c r="H2993" s="49"/>
      <c r="I2993" s="49"/>
      <c r="J2993" s="49"/>
      <c r="K2993" s="49"/>
      <c r="L2993" s="49"/>
      <c r="M2993" s="49"/>
    </row>
    <row r="2994" spans="5:13">
      <c r="E2994" s="49"/>
      <c r="F2994" s="49"/>
      <c r="G2994" s="49"/>
      <c r="H2994" s="49"/>
      <c r="I2994" s="49"/>
      <c r="J2994" s="49"/>
      <c r="K2994" s="49"/>
      <c r="L2994" s="49"/>
      <c r="M2994" s="49"/>
    </row>
    <row r="2995" spans="5:13">
      <c r="E2995" s="49"/>
      <c r="F2995" s="49"/>
      <c r="G2995" s="49"/>
      <c r="H2995" s="49"/>
      <c r="I2995" s="49"/>
      <c r="J2995" s="49"/>
      <c r="K2995" s="49"/>
      <c r="L2995" s="49"/>
      <c r="M2995" s="49"/>
    </row>
    <row r="2996" spans="5:13">
      <c r="E2996" s="49"/>
      <c r="F2996" s="49"/>
      <c r="G2996" s="49"/>
      <c r="H2996" s="49"/>
      <c r="I2996" s="49"/>
      <c r="J2996" s="49"/>
      <c r="K2996" s="49"/>
      <c r="L2996" s="49"/>
      <c r="M2996" s="49"/>
    </row>
    <row r="2997" spans="5:13">
      <c r="E2997" s="49"/>
      <c r="F2997" s="49"/>
      <c r="G2997" s="49"/>
      <c r="H2997" s="49"/>
      <c r="I2997" s="49"/>
      <c r="J2997" s="49"/>
      <c r="K2997" s="49"/>
      <c r="L2997" s="49"/>
      <c r="M2997" s="49"/>
    </row>
    <row r="2998" spans="5:13">
      <c r="E2998" s="49"/>
      <c r="F2998" s="49"/>
      <c r="G2998" s="49"/>
      <c r="H2998" s="49"/>
      <c r="I2998" s="49"/>
      <c r="J2998" s="49"/>
      <c r="K2998" s="49"/>
      <c r="L2998" s="49"/>
      <c r="M2998" s="49"/>
    </row>
    <row r="2999" spans="5:13">
      <c r="E2999" s="49"/>
      <c r="F2999" s="49"/>
      <c r="G2999" s="49"/>
      <c r="H2999" s="49"/>
      <c r="I2999" s="49"/>
      <c r="J2999" s="49"/>
      <c r="K2999" s="49"/>
      <c r="L2999" s="49"/>
      <c r="M2999" s="49"/>
    </row>
    <row r="3000" spans="5:13">
      <c r="E3000" s="49"/>
      <c r="F3000" s="49"/>
      <c r="G3000" s="49"/>
      <c r="H3000" s="49"/>
      <c r="I3000" s="49"/>
      <c r="J3000" s="49"/>
      <c r="K3000" s="49"/>
      <c r="L3000" s="49"/>
      <c r="M3000" s="49"/>
    </row>
    <row r="3001" spans="5:13">
      <c r="E3001" s="49"/>
      <c r="F3001" s="49"/>
      <c r="G3001" s="49"/>
      <c r="H3001" s="49"/>
      <c r="I3001" s="49"/>
      <c r="J3001" s="49"/>
      <c r="K3001" s="49"/>
      <c r="L3001" s="49"/>
      <c r="M3001" s="49"/>
    </row>
    <row r="3002" spans="5:13">
      <c r="E3002" s="49"/>
      <c r="F3002" s="49"/>
      <c r="G3002" s="49"/>
      <c r="H3002" s="49"/>
      <c r="I3002" s="49"/>
      <c r="J3002" s="49"/>
      <c r="K3002" s="49"/>
      <c r="L3002" s="49"/>
      <c r="M3002" s="49"/>
    </row>
    <row r="3003" spans="5:13">
      <c r="E3003" s="49"/>
      <c r="F3003" s="49"/>
      <c r="G3003" s="49"/>
      <c r="H3003" s="49"/>
      <c r="I3003" s="49"/>
      <c r="J3003" s="49"/>
      <c r="K3003" s="49"/>
      <c r="L3003" s="49"/>
      <c r="M3003" s="49"/>
    </row>
    <row r="3004" spans="5:13">
      <c r="E3004" s="49"/>
      <c r="F3004" s="49"/>
      <c r="G3004" s="49"/>
      <c r="H3004" s="49"/>
      <c r="I3004" s="49"/>
      <c r="J3004" s="49"/>
      <c r="K3004" s="49"/>
      <c r="L3004" s="49"/>
      <c r="M3004" s="49"/>
    </row>
    <row r="3005" spans="5:13">
      <c r="E3005" s="49"/>
      <c r="F3005" s="49"/>
      <c r="G3005" s="49"/>
      <c r="H3005" s="49"/>
      <c r="I3005" s="49"/>
      <c r="J3005" s="49"/>
      <c r="K3005" s="49"/>
      <c r="L3005" s="49"/>
      <c r="M3005" s="49"/>
    </row>
    <row r="3006" spans="5:13">
      <c r="E3006" s="49"/>
      <c r="F3006" s="49"/>
      <c r="G3006" s="49"/>
      <c r="H3006" s="49"/>
      <c r="I3006" s="49"/>
      <c r="J3006" s="49"/>
      <c r="K3006" s="49"/>
      <c r="L3006" s="49"/>
      <c r="M3006" s="49"/>
    </row>
    <row r="3007" spans="5:13">
      <c r="E3007" s="49"/>
      <c r="F3007" s="49"/>
      <c r="G3007" s="49"/>
      <c r="H3007" s="49"/>
      <c r="I3007" s="49"/>
      <c r="J3007" s="49"/>
      <c r="K3007" s="49"/>
      <c r="L3007" s="49"/>
      <c r="M3007" s="49"/>
    </row>
    <row r="3008" spans="5:13">
      <c r="E3008" s="49"/>
      <c r="F3008" s="49"/>
      <c r="G3008" s="49"/>
      <c r="H3008" s="49"/>
      <c r="I3008" s="49"/>
      <c r="J3008" s="49"/>
      <c r="K3008" s="49"/>
      <c r="L3008" s="49"/>
      <c r="M3008" s="49"/>
    </row>
    <row r="3009" spans="5:13">
      <c r="E3009" s="49"/>
      <c r="F3009" s="49"/>
      <c r="G3009" s="49"/>
      <c r="H3009" s="49"/>
      <c r="I3009" s="49"/>
      <c r="J3009" s="49"/>
      <c r="K3009" s="49"/>
      <c r="L3009" s="49"/>
      <c r="M3009" s="49"/>
    </row>
    <row r="3010" spans="5:13">
      <c r="E3010" s="49"/>
      <c r="F3010" s="49"/>
      <c r="G3010" s="49"/>
      <c r="H3010" s="49"/>
      <c r="I3010" s="49"/>
      <c r="J3010" s="49"/>
      <c r="K3010" s="49"/>
      <c r="L3010" s="49"/>
      <c r="M3010" s="49"/>
    </row>
    <row r="3011" spans="5:13">
      <c r="E3011" s="49"/>
      <c r="F3011" s="49"/>
      <c r="G3011" s="49"/>
      <c r="H3011" s="49"/>
      <c r="I3011" s="49"/>
      <c r="J3011" s="49"/>
      <c r="K3011" s="49"/>
      <c r="L3011" s="49"/>
      <c r="M3011" s="49"/>
    </row>
    <row r="3012" spans="5:13">
      <c r="E3012" s="49"/>
      <c r="F3012" s="49"/>
      <c r="G3012" s="49"/>
      <c r="H3012" s="49"/>
      <c r="I3012" s="49"/>
      <c r="J3012" s="49"/>
      <c r="K3012" s="49"/>
      <c r="L3012" s="49"/>
      <c r="M3012" s="49"/>
    </row>
    <row r="3013" spans="5:13">
      <c r="E3013" s="49"/>
      <c r="F3013" s="49"/>
      <c r="G3013" s="49"/>
      <c r="H3013" s="49"/>
      <c r="I3013" s="49"/>
      <c r="J3013" s="49"/>
      <c r="K3013" s="49"/>
      <c r="L3013" s="49"/>
      <c r="M3013" s="49"/>
    </row>
    <row r="3014" spans="5:13">
      <c r="E3014" s="49"/>
      <c r="F3014" s="49"/>
      <c r="G3014" s="49"/>
      <c r="H3014" s="49"/>
      <c r="I3014" s="49"/>
      <c r="J3014" s="49"/>
      <c r="K3014" s="49"/>
      <c r="L3014" s="49"/>
      <c r="M3014" s="49"/>
    </row>
    <row r="3015" spans="5:13">
      <c r="E3015" s="49"/>
      <c r="F3015" s="49"/>
      <c r="G3015" s="49"/>
      <c r="H3015" s="49"/>
      <c r="I3015" s="49"/>
      <c r="J3015" s="49"/>
      <c r="K3015" s="49"/>
      <c r="L3015" s="49"/>
      <c r="M3015" s="49"/>
    </row>
    <row r="3016" spans="5:13">
      <c r="E3016" s="49"/>
      <c r="F3016" s="49"/>
      <c r="G3016" s="49"/>
      <c r="H3016" s="49"/>
      <c r="I3016" s="49"/>
      <c r="J3016" s="49"/>
      <c r="K3016" s="49"/>
      <c r="L3016" s="49"/>
      <c r="M3016" s="49"/>
    </row>
    <row r="3017" spans="5:13">
      <c r="E3017" s="49"/>
      <c r="F3017" s="49"/>
      <c r="G3017" s="49"/>
      <c r="H3017" s="49"/>
      <c r="I3017" s="49"/>
      <c r="J3017" s="49"/>
      <c r="K3017" s="49"/>
      <c r="L3017" s="49"/>
      <c r="M3017" s="49"/>
    </row>
    <row r="3018" spans="5:13">
      <c r="E3018" s="49"/>
      <c r="F3018" s="49"/>
      <c r="G3018" s="49"/>
      <c r="H3018" s="49"/>
      <c r="I3018" s="49"/>
      <c r="J3018" s="49"/>
      <c r="K3018" s="49"/>
      <c r="L3018" s="49"/>
      <c r="M3018" s="49"/>
    </row>
    <row r="3019" spans="5:13">
      <c r="E3019" s="49"/>
      <c r="F3019" s="49"/>
      <c r="G3019" s="49"/>
      <c r="H3019" s="49"/>
      <c r="I3019" s="49"/>
      <c r="J3019" s="49"/>
      <c r="K3019" s="49"/>
      <c r="L3019" s="49"/>
      <c r="M3019" s="49"/>
    </row>
    <row r="3020" spans="5:13">
      <c r="E3020" s="49"/>
      <c r="F3020" s="49"/>
      <c r="G3020" s="49"/>
      <c r="H3020" s="49"/>
      <c r="I3020" s="49"/>
      <c r="J3020" s="49"/>
      <c r="K3020" s="49"/>
      <c r="L3020" s="49"/>
      <c r="M3020" s="49"/>
    </row>
    <row r="3021" spans="5:13">
      <c r="E3021" s="49"/>
      <c r="F3021" s="49"/>
      <c r="G3021" s="49"/>
      <c r="H3021" s="49"/>
      <c r="I3021" s="49"/>
      <c r="J3021" s="49"/>
      <c r="K3021" s="49"/>
      <c r="L3021" s="49"/>
      <c r="M3021" s="49"/>
    </row>
    <row r="3022" spans="5:13">
      <c r="E3022" s="49"/>
      <c r="F3022" s="49"/>
      <c r="G3022" s="49"/>
      <c r="H3022" s="49"/>
      <c r="I3022" s="49"/>
      <c r="J3022" s="49"/>
      <c r="K3022" s="49"/>
      <c r="L3022" s="49"/>
      <c r="M3022" s="49"/>
    </row>
    <row r="3023" spans="5:13">
      <c r="E3023" s="49"/>
      <c r="F3023" s="49"/>
      <c r="G3023" s="49"/>
      <c r="H3023" s="49"/>
      <c r="I3023" s="49"/>
      <c r="J3023" s="49"/>
      <c r="K3023" s="49"/>
      <c r="L3023" s="49"/>
      <c r="M3023" s="49"/>
    </row>
    <row r="3024" spans="5:13">
      <c r="E3024" s="49"/>
      <c r="F3024" s="49"/>
      <c r="G3024" s="49"/>
      <c r="H3024" s="49"/>
      <c r="I3024" s="49"/>
      <c r="J3024" s="49"/>
      <c r="K3024" s="49"/>
      <c r="L3024" s="49"/>
      <c r="M3024" s="49"/>
    </row>
    <row r="3025" spans="5:13">
      <c r="E3025" s="49"/>
      <c r="F3025" s="49"/>
      <c r="G3025" s="49"/>
      <c r="H3025" s="49"/>
      <c r="I3025" s="49"/>
      <c r="J3025" s="49"/>
      <c r="K3025" s="49"/>
      <c r="L3025" s="49"/>
      <c r="M3025" s="49"/>
    </row>
    <row r="3026" spans="5:13">
      <c r="E3026" s="49"/>
      <c r="F3026" s="49"/>
      <c r="G3026" s="49"/>
      <c r="H3026" s="49"/>
      <c r="I3026" s="49"/>
      <c r="J3026" s="49"/>
      <c r="K3026" s="49"/>
      <c r="L3026" s="49"/>
      <c r="M3026" s="49"/>
    </row>
    <row r="3027" spans="5:13">
      <c r="E3027" s="49"/>
      <c r="F3027" s="49"/>
      <c r="G3027" s="49"/>
      <c r="H3027" s="49"/>
      <c r="I3027" s="49"/>
      <c r="J3027" s="49"/>
      <c r="K3027" s="49"/>
      <c r="L3027" s="49"/>
      <c r="M3027" s="49"/>
    </row>
    <row r="3028" spans="5:13">
      <c r="E3028" s="49"/>
      <c r="F3028" s="49"/>
      <c r="G3028" s="49"/>
      <c r="H3028" s="49"/>
      <c r="I3028" s="49"/>
      <c r="J3028" s="49"/>
      <c r="K3028" s="49"/>
      <c r="L3028" s="49"/>
      <c r="M3028" s="49"/>
    </row>
    <row r="3029" spans="5:13">
      <c r="E3029" s="49"/>
      <c r="F3029" s="49"/>
      <c r="G3029" s="49"/>
      <c r="H3029" s="49"/>
      <c r="I3029" s="49"/>
      <c r="J3029" s="49"/>
      <c r="K3029" s="49"/>
      <c r="L3029" s="49"/>
      <c r="M3029" s="49"/>
    </row>
    <row r="3030" spans="5:13">
      <c r="E3030" s="49"/>
      <c r="F3030" s="49"/>
      <c r="G3030" s="49"/>
      <c r="H3030" s="49"/>
      <c r="I3030" s="49"/>
      <c r="J3030" s="49"/>
      <c r="K3030" s="49"/>
      <c r="L3030" s="49"/>
      <c r="M3030" s="49"/>
    </row>
    <row r="3031" spans="5:13">
      <c r="E3031" s="49"/>
      <c r="F3031" s="49"/>
      <c r="G3031" s="49"/>
      <c r="H3031" s="49"/>
      <c r="I3031" s="49"/>
      <c r="J3031" s="49"/>
      <c r="K3031" s="49"/>
      <c r="L3031" s="49"/>
      <c r="M3031" s="49"/>
    </row>
    <row r="3032" spans="5:13">
      <c r="E3032" s="49"/>
      <c r="F3032" s="49"/>
      <c r="G3032" s="49"/>
      <c r="H3032" s="49"/>
      <c r="I3032" s="49"/>
      <c r="J3032" s="49"/>
      <c r="K3032" s="49"/>
      <c r="L3032" s="49"/>
      <c r="M3032" s="49"/>
    </row>
    <row r="3033" spans="5:13">
      <c r="E3033" s="49"/>
      <c r="F3033" s="49"/>
      <c r="G3033" s="49"/>
      <c r="H3033" s="49"/>
      <c r="I3033" s="49"/>
      <c r="J3033" s="49"/>
      <c r="K3033" s="49"/>
      <c r="L3033" s="49"/>
      <c r="M3033" s="49"/>
    </row>
    <row r="3034" spans="5:13">
      <c r="E3034" s="49"/>
      <c r="F3034" s="49"/>
      <c r="G3034" s="49"/>
      <c r="H3034" s="49"/>
      <c r="I3034" s="49"/>
      <c r="J3034" s="49"/>
      <c r="K3034" s="49"/>
      <c r="L3034" s="49"/>
      <c r="M3034" s="49"/>
    </row>
    <row r="3035" spans="5:13">
      <c r="E3035" s="49"/>
      <c r="F3035" s="49"/>
      <c r="G3035" s="49"/>
      <c r="H3035" s="49"/>
      <c r="I3035" s="49"/>
      <c r="J3035" s="49"/>
      <c r="K3035" s="49"/>
      <c r="L3035" s="49"/>
      <c r="M3035" s="49"/>
    </row>
    <row r="3036" spans="5:13">
      <c r="E3036" s="49"/>
      <c r="F3036" s="49"/>
      <c r="G3036" s="49"/>
      <c r="H3036" s="49"/>
      <c r="I3036" s="49"/>
      <c r="J3036" s="49"/>
      <c r="K3036" s="49"/>
      <c r="L3036" s="49"/>
      <c r="M3036" s="49"/>
    </row>
    <row r="3037" spans="5:13">
      <c r="E3037" s="49"/>
      <c r="F3037" s="49"/>
      <c r="G3037" s="49"/>
      <c r="H3037" s="49"/>
      <c r="I3037" s="49"/>
      <c r="J3037" s="49"/>
      <c r="K3037" s="49"/>
      <c r="L3037" s="49"/>
      <c r="M3037" s="49"/>
    </row>
    <row r="3038" spans="5:13">
      <c r="E3038" s="49"/>
      <c r="F3038" s="49"/>
      <c r="G3038" s="49"/>
      <c r="H3038" s="49"/>
      <c r="I3038" s="49"/>
      <c r="J3038" s="49"/>
      <c r="K3038" s="49"/>
      <c r="L3038" s="49"/>
      <c r="M3038" s="49"/>
    </row>
    <row r="3039" spans="5:13">
      <c r="E3039" s="49"/>
      <c r="F3039" s="49"/>
      <c r="G3039" s="49"/>
      <c r="H3039" s="49"/>
      <c r="I3039" s="49"/>
      <c r="J3039" s="49"/>
      <c r="K3039" s="49"/>
      <c r="L3039" s="49"/>
      <c r="M3039" s="49"/>
    </row>
    <row r="3040" spans="5:13">
      <c r="E3040" s="49"/>
      <c r="F3040" s="49"/>
      <c r="G3040" s="49"/>
      <c r="H3040" s="49"/>
      <c r="I3040" s="49"/>
      <c r="J3040" s="49"/>
      <c r="K3040" s="49"/>
      <c r="L3040" s="49"/>
      <c r="M3040" s="49"/>
    </row>
    <row r="3041" spans="5:13">
      <c r="E3041" s="49"/>
      <c r="F3041" s="49"/>
      <c r="G3041" s="49"/>
      <c r="H3041" s="49"/>
      <c r="I3041" s="49"/>
      <c r="J3041" s="49"/>
      <c r="K3041" s="49"/>
      <c r="L3041" s="49"/>
      <c r="M3041" s="49"/>
    </row>
    <row r="3042" spans="5:13">
      <c r="E3042" s="49"/>
      <c r="F3042" s="49"/>
      <c r="G3042" s="49"/>
      <c r="H3042" s="49"/>
      <c r="I3042" s="49"/>
      <c r="J3042" s="49"/>
      <c r="K3042" s="49"/>
      <c r="L3042" s="49"/>
      <c r="M3042" s="49"/>
    </row>
    <row r="3043" spans="5:13">
      <c r="E3043" s="49"/>
      <c r="F3043" s="49"/>
      <c r="G3043" s="49"/>
      <c r="H3043" s="49"/>
      <c r="I3043" s="49"/>
      <c r="J3043" s="49"/>
      <c r="K3043" s="49"/>
      <c r="L3043" s="49"/>
      <c r="M3043" s="49"/>
    </row>
    <row r="3044" spans="5:13">
      <c r="E3044" s="49"/>
      <c r="F3044" s="49"/>
      <c r="G3044" s="49"/>
      <c r="H3044" s="49"/>
      <c r="I3044" s="49"/>
      <c r="J3044" s="49"/>
      <c r="K3044" s="49"/>
      <c r="L3044" s="49"/>
      <c r="M3044" s="49"/>
    </row>
    <row r="3045" spans="5:13">
      <c r="E3045" s="49"/>
      <c r="F3045" s="49"/>
      <c r="G3045" s="49"/>
      <c r="H3045" s="49"/>
      <c r="I3045" s="49"/>
      <c r="J3045" s="49"/>
      <c r="K3045" s="49"/>
      <c r="L3045" s="49"/>
      <c r="M3045" s="49"/>
    </row>
    <row r="3046" spans="5:13">
      <c r="E3046" s="49"/>
      <c r="F3046" s="49"/>
      <c r="G3046" s="49"/>
      <c r="H3046" s="49"/>
      <c r="I3046" s="49"/>
      <c r="J3046" s="49"/>
      <c r="K3046" s="49"/>
      <c r="L3046" s="49"/>
      <c r="M3046" s="49"/>
    </row>
    <row r="3047" spans="5:13">
      <c r="E3047" s="49"/>
      <c r="F3047" s="49"/>
      <c r="G3047" s="49"/>
      <c r="H3047" s="49"/>
      <c r="I3047" s="49"/>
      <c r="J3047" s="49"/>
      <c r="K3047" s="49"/>
      <c r="L3047" s="49"/>
      <c r="M3047" s="49"/>
    </row>
    <row r="3048" spans="5:13">
      <c r="E3048" s="49"/>
      <c r="F3048" s="49"/>
      <c r="G3048" s="49"/>
      <c r="H3048" s="49"/>
      <c r="I3048" s="49"/>
      <c r="J3048" s="49"/>
      <c r="K3048" s="49"/>
      <c r="L3048" s="49"/>
      <c r="M3048" s="49"/>
    </row>
    <row r="3049" spans="5:13">
      <c r="E3049" s="49"/>
      <c r="F3049" s="49"/>
      <c r="G3049" s="49"/>
      <c r="H3049" s="49"/>
      <c r="I3049" s="49"/>
      <c r="J3049" s="49"/>
      <c r="K3049" s="49"/>
      <c r="L3049" s="49"/>
      <c r="M3049" s="49"/>
    </row>
    <row r="3050" spans="5:13">
      <c r="E3050" s="49"/>
      <c r="F3050" s="49"/>
      <c r="G3050" s="49"/>
      <c r="H3050" s="49"/>
      <c r="I3050" s="49"/>
      <c r="J3050" s="49"/>
      <c r="K3050" s="49"/>
      <c r="L3050" s="49"/>
      <c r="M3050" s="49"/>
    </row>
    <row r="3051" spans="5:13">
      <c r="E3051" s="49"/>
      <c r="F3051" s="49"/>
      <c r="G3051" s="49"/>
      <c r="H3051" s="49"/>
      <c r="I3051" s="49"/>
      <c r="J3051" s="49"/>
      <c r="K3051" s="49"/>
      <c r="L3051" s="49"/>
      <c r="M3051" s="49"/>
    </row>
    <row r="3052" spans="5:13">
      <c r="E3052" s="49"/>
      <c r="F3052" s="49"/>
      <c r="G3052" s="49"/>
      <c r="H3052" s="49"/>
      <c r="I3052" s="49"/>
      <c r="J3052" s="49"/>
      <c r="K3052" s="49"/>
      <c r="L3052" s="49"/>
      <c r="M3052" s="49"/>
    </row>
    <row r="3053" spans="5:13">
      <c r="E3053" s="49"/>
      <c r="F3053" s="49"/>
      <c r="G3053" s="49"/>
      <c r="H3053" s="49"/>
      <c r="I3053" s="49"/>
      <c r="J3053" s="49"/>
      <c r="K3053" s="49"/>
      <c r="L3053" s="49"/>
      <c r="M3053" s="49"/>
    </row>
    <row r="3054" spans="5:13">
      <c r="E3054" s="49"/>
      <c r="F3054" s="49"/>
      <c r="G3054" s="49"/>
      <c r="H3054" s="49"/>
      <c r="I3054" s="49"/>
      <c r="J3054" s="49"/>
      <c r="K3054" s="49"/>
      <c r="L3054" s="49"/>
      <c r="M3054" s="49"/>
    </row>
    <row r="3055" spans="5:13">
      <c r="E3055" s="49"/>
      <c r="F3055" s="49"/>
      <c r="G3055" s="49"/>
      <c r="H3055" s="49"/>
      <c r="I3055" s="49"/>
      <c r="J3055" s="49"/>
      <c r="K3055" s="49"/>
      <c r="L3055" s="49"/>
      <c r="M3055" s="49"/>
    </row>
    <row r="3056" spans="5:13">
      <c r="E3056" s="49"/>
      <c r="F3056" s="49"/>
      <c r="G3056" s="49"/>
      <c r="H3056" s="49"/>
      <c r="I3056" s="49"/>
      <c r="J3056" s="49"/>
      <c r="K3056" s="49"/>
      <c r="L3056" s="49"/>
      <c r="M3056" s="49"/>
    </row>
    <row r="3057" spans="5:13">
      <c r="E3057" s="49"/>
      <c r="F3057" s="49"/>
      <c r="G3057" s="49"/>
      <c r="H3057" s="49"/>
      <c r="I3057" s="49"/>
      <c r="J3057" s="49"/>
      <c r="K3057" s="49"/>
      <c r="L3057" s="49"/>
      <c r="M3057" s="49"/>
    </row>
    <row r="3058" spans="5:13">
      <c r="E3058" s="49"/>
      <c r="F3058" s="49"/>
      <c r="G3058" s="49"/>
      <c r="H3058" s="49"/>
      <c r="I3058" s="49"/>
      <c r="J3058" s="49"/>
      <c r="K3058" s="49"/>
      <c r="L3058" s="49"/>
      <c r="M3058" s="49"/>
    </row>
    <row r="3059" spans="5:13">
      <c r="E3059" s="49"/>
      <c r="F3059" s="49"/>
      <c r="G3059" s="49"/>
      <c r="H3059" s="49"/>
      <c r="I3059" s="49"/>
      <c r="J3059" s="49"/>
      <c r="K3059" s="49"/>
      <c r="L3059" s="49"/>
      <c r="M3059" s="49"/>
    </row>
    <row r="3060" spans="5:13">
      <c r="E3060" s="49"/>
      <c r="F3060" s="49"/>
      <c r="G3060" s="49"/>
      <c r="H3060" s="49"/>
      <c r="I3060" s="49"/>
      <c r="J3060" s="49"/>
      <c r="K3060" s="49"/>
      <c r="L3060" s="49"/>
      <c r="M3060" s="49"/>
    </row>
    <row r="3061" spans="5:13">
      <c r="E3061" s="49"/>
      <c r="F3061" s="49"/>
      <c r="G3061" s="49"/>
      <c r="H3061" s="49"/>
      <c r="I3061" s="49"/>
      <c r="J3061" s="49"/>
      <c r="K3061" s="49"/>
      <c r="L3061" s="49"/>
      <c r="M3061" s="49"/>
    </row>
    <row r="3062" spans="5:13">
      <c r="E3062" s="49"/>
      <c r="F3062" s="49"/>
      <c r="G3062" s="49"/>
      <c r="H3062" s="49"/>
      <c r="I3062" s="49"/>
      <c r="J3062" s="49"/>
      <c r="K3062" s="49"/>
      <c r="L3062" s="49"/>
      <c r="M3062" s="49"/>
    </row>
    <row r="3063" spans="5:13">
      <c r="E3063" s="49"/>
      <c r="F3063" s="49"/>
      <c r="G3063" s="49"/>
      <c r="H3063" s="49"/>
      <c r="I3063" s="49"/>
      <c r="J3063" s="49"/>
      <c r="K3063" s="49"/>
      <c r="L3063" s="49"/>
      <c r="M3063" s="49"/>
    </row>
    <row r="3064" spans="5:13">
      <c r="E3064" s="49"/>
      <c r="F3064" s="49"/>
      <c r="G3064" s="49"/>
      <c r="H3064" s="49"/>
      <c r="I3064" s="49"/>
      <c r="J3064" s="49"/>
      <c r="K3064" s="49"/>
      <c r="L3064" s="49"/>
      <c r="M3064" s="49"/>
    </row>
    <row r="3065" spans="5:13">
      <c r="E3065" s="49"/>
      <c r="F3065" s="49"/>
      <c r="G3065" s="49"/>
      <c r="H3065" s="49"/>
      <c r="I3065" s="49"/>
      <c r="J3065" s="49"/>
      <c r="K3065" s="49"/>
      <c r="L3065" s="49"/>
      <c r="M3065" s="49"/>
    </row>
    <row r="3066" spans="5:13">
      <c r="E3066" s="49"/>
      <c r="F3066" s="49"/>
      <c r="G3066" s="49"/>
      <c r="H3066" s="49"/>
      <c r="I3066" s="49"/>
      <c r="J3066" s="49"/>
      <c r="K3066" s="49"/>
      <c r="L3066" s="49"/>
      <c r="M3066" s="49"/>
    </row>
    <row r="3067" spans="5:13">
      <c r="E3067" s="49"/>
      <c r="F3067" s="49"/>
      <c r="G3067" s="49"/>
      <c r="H3067" s="49"/>
      <c r="I3067" s="49"/>
      <c r="J3067" s="49"/>
      <c r="K3067" s="49"/>
      <c r="L3067" s="49"/>
      <c r="M3067" s="49"/>
    </row>
    <row r="3068" spans="5:13">
      <c r="E3068" s="49"/>
      <c r="F3068" s="49"/>
      <c r="G3068" s="49"/>
      <c r="H3068" s="49"/>
      <c r="I3068" s="49"/>
      <c r="J3068" s="49"/>
      <c r="K3068" s="49"/>
      <c r="L3068" s="49"/>
      <c r="M3068" s="49"/>
    </row>
    <row r="3069" spans="5:13">
      <c r="E3069" s="49"/>
      <c r="F3069" s="49"/>
      <c r="G3069" s="49"/>
      <c r="H3069" s="49"/>
      <c r="I3069" s="49"/>
      <c r="J3069" s="49"/>
      <c r="K3069" s="49"/>
      <c r="L3069" s="49"/>
      <c r="M3069" s="49"/>
    </row>
    <row r="3070" spans="5:13">
      <c r="E3070" s="49"/>
      <c r="F3070" s="49"/>
      <c r="G3070" s="49"/>
      <c r="H3070" s="49"/>
      <c r="I3070" s="49"/>
      <c r="J3070" s="49"/>
      <c r="K3070" s="49"/>
      <c r="L3070" s="49"/>
      <c r="M3070" s="49"/>
    </row>
    <row r="3071" spans="5:13">
      <c r="E3071" s="49"/>
      <c r="F3071" s="49"/>
      <c r="G3071" s="49"/>
      <c r="H3071" s="49"/>
      <c r="I3071" s="49"/>
      <c r="J3071" s="49"/>
      <c r="K3071" s="49"/>
      <c r="L3071" s="49"/>
      <c r="M3071" s="49"/>
    </row>
    <row r="3072" spans="5:13">
      <c r="E3072" s="49"/>
      <c r="F3072" s="49"/>
      <c r="G3072" s="49"/>
      <c r="H3072" s="49"/>
      <c r="I3072" s="49"/>
      <c r="J3072" s="49"/>
      <c r="K3072" s="49"/>
      <c r="L3072" s="49"/>
      <c r="M3072" s="49"/>
    </row>
    <row r="3073" spans="5:13">
      <c r="E3073" s="49"/>
      <c r="F3073" s="49"/>
      <c r="G3073" s="49"/>
      <c r="H3073" s="49"/>
      <c r="I3073" s="49"/>
      <c r="J3073" s="49"/>
      <c r="K3073" s="49"/>
      <c r="L3073" s="49"/>
      <c r="M3073" s="49"/>
    </row>
    <row r="3074" spans="5:13">
      <c r="E3074" s="49"/>
      <c r="F3074" s="49"/>
      <c r="G3074" s="49"/>
      <c r="H3074" s="49"/>
      <c r="I3074" s="49"/>
      <c r="J3074" s="49"/>
      <c r="K3074" s="49"/>
      <c r="L3074" s="49"/>
      <c r="M3074" s="49"/>
    </row>
    <row r="3075" spans="5:13">
      <c r="E3075" s="49"/>
      <c r="F3075" s="49"/>
      <c r="G3075" s="49"/>
      <c r="H3075" s="49"/>
      <c r="I3075" s="49"/>
      <c r="J3075" s="49"/>
      <c r="K3075" s="49"/>
      <c r="L3075" s="49"/>
      <c r="M3075" s="49"/>
    </row>
    <row r="3076" spans="5:13">
      <c r="E3076" s="49"/>
      <c r="F3076" s="49"/>
      <c r="G3076" s="49"/>
      <c r="H3076" s="49"/>
      <c r="I3076" s="49"/>
      <c r="J3076" s="49"/>
      <c r="K3076" s="49"/>
      <c r="L3076" s="49"/>
      <c r="M3076" s="49"/>
    </row>
    <row r="3077" spans="5:13">
      <c r="E3077" s="49"/>
      <c r="F3077" s="49"/>
      <c r="G3077" s="49"/>
      <c r="H3077" s="49"/>
      <c r="I3077" s="49"/>
      <c r="J3077" s="49"/>
      <c r="K3077" s="49"/>
      <c r="L3077" s="49"/>
      <c r="M3077" s="49"/>
    </row>
    <row r="3078" spans="5:13">
      <c r="E3078" s="49"/>
      <c r="F3078" s="49"/>
      <c r="G3078" s="49"/>
      <c r="H3078" s="49"/>
      <c r="I3078" s="49"/>
      <c r="J3078" s="49"/>
      <c r="K3078" s="49"/>
      <c r="L3078" s="49"/>
      <c r="M3078" s="49"/>
    </row>
    <row r="3079" spans="5:13">
      <c r="E3079" s="49"/>
      <c r="F3079" s="49"/>
      <c r="G3079" s="49"/>
      <c r="H3079" s="49"/>
      <c r="I3079" s="49"/>
      <c r="J3079" s="49"/>
      <c r="K3079" s="49"/>
      <c r="L3079" s="49"/>
      <c r="M3079" s="49"/>
    </row>
    <row r="3080" spans="5:13">
      <c r="E3080" s="49"/>
      <c r="F3080" s="49"/>
      <c r="G3080" s="49"/>
      <c r="H3080" s="49"/>
      <c r="I3080" s="49"/>
      <c r="J3080" s="49"/>
      <c r="K3080" s="49"/>
      <c r="L3080" s="49"/>
      <c r="M3080" s="49"/>
    </row>
    <row r="3081" spans="5:13">
      <c r="E3081" s="49"/>
      <c r="F3081" s="49"/>
      <c r="G3081" s="49"/>
      <c r="H3081" s="49"/>
      <c r="I3081" s="49"/>
      <c r="J3081" s="49"/>
      <c r="K3081" s="49"/>
      <c r="L3081" s="49"/>
      <c r="M3081" s="49"/>
    </row>
    <row r="3082" spans="5:13">
      <c r="E3082" s="49"/>
      <c r="F3082" s="49"/>
      <c r="G3082" s="49"/>
      <c r="H3082" s="49"/>
      <c r="I3082" s="49"/>
      <c r="J3082" s="49"/>
      <c r="K3082" s="49"/>
      <c r="L3082" s="49"/>
      <c r="M3082" s="49"/>
    </row>
    <row r="3083" spans="5:13">
      <c r="E3083" s="49"/>
      <c r="F3083" s="49"/>
      <c r="G3083" s="49"/>
      <c r="H3083" s="49"/>
      <c r="I3083" s="49"/>
      <c r="J3083" s="49"/>
      <c r="K3083" s="49"/>
      <c r="L3083" s="49"/>
      <c r="M3083" s="49"/>
    </row>
    <row r="3084" spans="5:13">
      <c r="E3084" s="49"/>
      <c r="F3084" s="49"/>
      <c r="G3084" s="49"/>
      <c r="H3084" s="49"/>
      <c r="I3084" s="49"/>
      <c r="J3084" s="49"/>
      <c r="K3084" s="49"/>
      <c r="L3084" s="49"/>
      <c r="M3084" s="49"/>
    </row>
    <row r="3085" spans="5:13">
      <c r="E3085" s="49"/>
      <c r="F3085" s="49"/>
      <c r="G3085" s="49"/>
      <c r="H3085" s="49"/>
      <c r="I3085" s="49"/>
      <c r="J3085" s="49"/>
      <c r="K3085" s="49"/>
      <c r="L3085" s="49"/>
      <c r="M3085" s="49"/>
    </row>
    <row r="3086" spans="5:13">
      <c r="E3086" s="49"/>
      <c r="F3086" s="49"/>
      <c r="G3086" s="49"/>
      <c r="H3086" s="49"/>
      <c r="I3086" s="49"/>
      <c r="J3086" s="49"/>
      <c r="K3086" s="49"/>
      <c r="L3086" s="49"/>
      <c r="M3086" s="49"/>
    </row>
    <row r="3087" spans="5:13">
      <c r="E3087" s="49"/>
      <c r="F3087" s="49"/>
      <c r="G3087" s="49"/>
      <c r="H3087" s="49"/>
      <c r="I3087" s="49"/>
      <c r="J3087" s="49"/>
      <c r="K3087" s="49"/>
      <c r="L3087" s="49"/>
      <c r="M3087" s="49"/>
    </row>
    <row r="3088" spans="5:13">
      <c r="E3088" s="49"/>
      <c r="F3088" s="49"/>
      <c r="G3088" s="49"/>
      <c r="H3088" s="49"/>
      <c r="I3088" s="49"/>
      <c r="J3088" s="49"/>
      <c r="K3088" s="49"/>
      <c r="L3088" s="49"/>
      <c r="M3088" s="49"/>
    </row>
    <row r="3089" spans="5:13">
      <c r="E3089" s="49"/>
      <c r="F3089" s="49"/>
      <c r="G3089" s="49"/>
      <c r="H3089" s="49"/>
      <c r="I3089" s="49"/>
      <c r="J3089" s="49"/>
      <c r="K3089" s="49"/>
      <c r="L3089" s="49"/>
      <c r="M3089" s="49"/>
    </row>
    <row r="3090" spans="5:13">
      <c r="E3090" s="49"/>
      <c r="F3090" s="49"/>
      <c r="G3090" s="49"/>
      <c r="H3090" s="49"/>
      <c r="I3090" s="49"/>
      <c r="J3090" s="49"/>
      <c r="K3090" s="49"/>
      <c r="L3090" s="49"/>
      <c r="M3090" s="49"/>
    </row>
    <row r="3091" spans="5:13">
      <c r="E3091" s="49"/>
      <c r="F3091" s="49"/>
      <c r="G3091" s="49"/>
      <c r="H3091" s="49"/>
      <c r="I3091" s="49"/>
      <c r="J3091" s="49"/>
      <c r="K3091" s="49"/>
      <c r="L3091" s="49"/>
      <c r="M3091" s="49"/>
    </row>
    <row r="3092" spans="5:13">
      <c r="E3092" s="49"/>
      <c r="F3092" s="49"/>
      <c r="G3092" s="49"/>
      <c r="H3092" s="49"/>
      <c r="I3092" s="49"/>
      <c r="J3092" s="49"/>
      <c r="K3092" s="49"/>
      <c r="L3092" s="49"/>
      <c r="M3092" s="49"/>
    </row>
    <row r="3093" spans="5:13">
      <c r="E3093" s="49"/>
      <c r="F3093" s="49"/>
      <c r="G3093" s="49"/>
      <c r="H3093" s="49"/>
      <c r="I3093" s="49"/>
      <c r="J3093" s="49"/>
      <c r="K3093" s="49"/>
      <c r="L3093" s="49"/>
      <c r="M3093" s="49"/>
    </row>
    <row r="3094" spans="5:13">
      <c r="E3094" s="49"/>
      <c r="F3094" s="49"/>
      <c r="G3094" s="49"/>
      <c r="H3094" s="49"/>
      <c r="I3094" s="49"/>
      <c r="J3094" s="49"/>
      <c r="K3094" s="49"/>
      <c r="L3094" s="49"/>
      <c r="M3094" s="49"/>
    </row>
    <row r="3095" spans="5:13">
      <c r="E3095" s="49"/>
      <c r="F3095" s="49"/>
      <c r="G3095" s="49"/>
      <c r="H3095" s="49"/>
      <c r="I3095" s="49"/>
      <c r="J3095" s="49"/>
      <c r="K3095" s="49"/>
      <c r="L3095" s="49"/>
      <c r="M3095" s="49"/>
    </row>
    <row r="3096" spans="5:13">
      <c r="E3096" s="49"/>
      <c r="F3096" s="49"/>
      <c r="G3096" s="49"/>
      <c r="H3096" s="49"/>
      <c r="I3096" s="49"/>
      <c r="J3096" s="49"/>
      <c r="K3096" s="49"/>
      <c r="L3096" s="49"/>
      <c r="M3096" s="49"/>
    </row>
    <row r="3097" spans="5:13">
      <c r="E3097" s="49"/>
      <c r="F3097" s="49"/>
      <c r="G3097" s="49"/>
      <c r="H3097" s="49"/>
      <c r="I3097" s="49"/>
      <c r="J3097" s="49"/>
      <c r="K3097" s="49"/>
      <c r="L3097" s="49"/>
      <c r="M3097" s="49"/>
    </row>
    <row r="3098" spans="5:13">
      <c r="E3098" s="49"/>
      <c r="F3098" s="49"/>
      <c r="G3098" s="49"/>
      <c r="H3098" s="49"/>
      <c r="I3098" s="49"/>
      <c r="J3098" s="49"/>
      <c r="K3098" s="49"/>
      <c r="L3098" s="49"/>
      <c r="M3098" s="49"/>
    </row>
    <row r="3099" spans="5:13">
      <c r="E3099" s="49"/>
      <c r="F3099" s="49"/>
      <c r="G3099" s="49"/>
      <c r="H3099" s="49"/>
      <c r="I3099" s="49"/>
      <c r="J3099" s="49"/>
      <c r="K3099" s="49"/>
      <c r="L3099" s="49"/>
      <c r="M3099" s="49"/>
    </row>
    <row r="3100" spans="5:13">
      <c r="E3100" s="49"/>
      <c r="F3100" s="49"/>
      <c r="G3100" s="49"/>
      <c r="H3100" s="49"/>
      <c r="I3100" s="49"/>
      <c r="J3100" s="49"/>
      <c r="K3100" s="49"/>
      <c r="L3100" s="49"/>
      <c r="M3100" s="49"/>
    </row>
    <row r="3101" spans="5:13">
      <c r="E3101" s="49"/>
      <c r="F3101" s="49"/>
      <c r="G3101" s="49"/>
      <c r="H3101" s="49"/>
      <c r="I3101" s="49"/>
      <c r="J3101" s="49"/>
      <c r="K3101" s="49"/>
      <c r="L3101" s="49"/>
      <c r="M3101" s="49"/>
    </row>
    <row r="3102" spans="5:13">
      <c r="E3102" s="49"/>
      <c r="F3102" s="49"/>
      <c r="G3102" s="49"/>
      <c r="H3102" s="49"/>
      <c r="I3102" s="49"/>
      <c r="J3102" s="49"/>
      <c r="K3102" s="49"/>
      <c r="L3102" s="49"/>
      <c r="M3102" s="49"/>
    </row>
    <row r="3103" spans="5:13">
      <c r="E3103" s="49"/>
      <c r="F3103" s="49"/>
      <c r="G3103" s="49"/>
      <c r="H3103" s="49"/>
      <c r="I3103" s="49"/>
      <c r="J3103" s="49"/>
      <c r="K3103" s="49"/>
      <c r="L3103" s="49"/>
      <c r="M3103" s="49"/>
    </row>
    <row r="3104" spans="5:13">
      <c r="E3104" s="49"/>
      <c r="F3104" s="49"/>
      <c r="G3104" s="49"/>
      <c r="H3104" s="49"/>
      <c r="I3104" s="49"/>
      <c r="J3104" s="49"/>
      <c r="K3104" s="49"/>
      <c r="L3104" s="49"/>
      <c r="M3104" s="49"/>
    </row>
    <row r="3105" spans="5:13">
      <c r="E3105" s="49"/>
      <c r="F3105" s="49"/>
      <c r="G3105" s="49"/>
      <c r="H3105" s="49"/>
      <c r="I3105" s="49"/>
      <c r="J3105" s="49"/>
      <c r="K3105" s="49"/>
      <c r="L3105" s="49"/>
      <c r="M3105" s="49"/>
    </row>
    <row r="3106" spans="5:13">
      <c r="E3106" s="49"/>
      <c r="F3106" s="49"/>
      <c r="G3106" s="49"/>
      <c r="H3106" s="49"/>
      <c r="I3106" s="49"/>
      <c r="J3106" s="49"/>
      <c r="K3106" s="49"/>
      <c r="L3106" s="49"/>
      <c r="M3106" s="49"/>
    </row>
    <row r="3107" spans="5:13">
      <c r="E3107" s="49"/>
      <c r="F3107" s="49"/>
      <c r="G3107" s="49"/>
      <c r="H3107" s="49"/>
      <c r="I3107" s="49"/>
      <c r="J3107" s="49"/>
      <c r="K3107" s="49"/>
      <c r="L3107" s="49"/>
      <c r="M3107" s="49"/>
    </row>
    <row r="3108" spans="5:13">
      <c r="E3108" s="49"/>
      <c r="F3108" s="49"/>
      <c r="G3108" s="49"/>
      <c r="H3108" s="49"/>
      <c r="I3108" s="49"/>
      <c r="J3108" s="49"/>
      <c r="K3108" s="49"/>
      <c r="L3108" s="49"/>
      <c r="M3108" s="49"/>
    </row>
    <row r="3109" spans="5:13">
      <c r="E3109" s="49"/>
      <c r="F3109" s="49"/>
      <c r="G3109" s="49"/>
      <c r="H3109" s="49"/>
      <c r="I3109" s="49"/>
      <c r="J3109" s="49"/>
      <c r="K3109" s="49"/>
      <c r="L3109" s="49"/>
      <c r="M3109" s="49"/>
    </row>
    <row r="3110" spans="5:13">
      <c r="E3110" s="49"/>
      <c r="F3110" s="49"/>
      <c r="G3110" s="49"/>
      <c r="H3110" s="49"/>
      <c r="I3110" s="49"/>
      <c r="J3110" s="49"/>
      <c r="K3110" s="49"/>
      <c r="L3110" s="49"/>
      <c r="M3110" s="49"/>
    </row>
    <row r="3111" spans="5:13">
      <c r="E3111" s="49"/>
      <c r="F3111" s="49"/>
      <c r="G3111" s="49"/>
      <c r="H3111" s="49"/>
      <c r="I3111" s="49"/>
      <c r="J3111" s="49"/>
      <c r="K3111" s="49"/>
      <c r="L3111" s="49"/>
      <c r="M3111" s="49"/>
    </row>
    <row r="3112" spans="5:13">
      <c r="E3112" s="49"/>
      <c r="F3112" s="49"/>
      <c r="G3112" s="49"/>
      <c r="H3112" s="49"/>
      <c r="I3112" s="49"/>
      <c r="J3112" s="49"/>
      <c r="K3112" s="49"/>
      <c r="L3112" s="49"/>
      <c r="M3112" s="49"/>
    </row>
    <row r="3113" spans="5:13">
      <c r="E3113" s="49"/>
      <c r="F3113" s="49"/>
      <c r="G3113" s="49"/>
      <c r="H3113" s="49"/>
      <c r="I3113" s="49"/>
      <c r="J3113" s="49"/>
      <c r="K3113" s="49"/>
      <c r="L3113" s="49"/>
      <c r="M3113" s="49"/>
    </row>
    <row r="3114" spans="5:13">
      <c r="E3114" s="49"/>
      <c r="F3114" s="49"/>
      <c r="G3114" s="49"/>
      <c r="H3114" s="49"/>
      <c r="I3114" s="49"/>
      <c r="J3114" s="49"/>
      <c r="K3114" s="49"/>
      <c r="L3114" s="49"/>
      <c r="M3114" s="49"/>
    </row>
    <row r="3115" spans="5:13">
      <c r="E3115" s="49"/>
      <c r="F3115" s="49"/>
      <c r="G3115" s="49"/>
      <c r="H3115" s="49"/>
      <c r="I3115" s="49"/>
      <c r="J3115" s="49"/>
      <c r="K3115" s="49"/>
      <c r="L3115" s="49"/>
      <c r="M3115" s="49"/>
    </row>
    <row r="3116" spans="5:13">
      <c r="E3116" s="49"/>
      <c r="F3116" s="49"/>
      <c r="G3116" s="49"/>
      <c r="H3116" s="49"/>
      <c r="I3116" s="49"/>
      <c r="J3116" s="49"/>
      <c r="K3116" s="49"/>
      <c r="L3116" s="49"/>
      <c r="M3116" s="49"/>
    </row>
    <row r="3117" spans="5:13">
      <c r="E3117" s="49"/>
      <c r="F3117" s="49"/>
      <c r="G3117" s="49"/>
      <c r="H3117" s="49"/>
      <c r="I3117" s="49"/>
      <c r="J3117" s="49"/>
      <c r="K3117" s="49"/>
      <c r="L3117" s="49"/>
      <c r="M3117" s="49"/>
    </row>
    <row r="3118" spans="5:13">
      <c r="E3118" s="49"/>
      <c r="F3118" s="49"/>
      <c r="G3118" s="49"/>
      <c r="H3118" s="49"/>
      <c r="I3118" s="49"/>
      <c r="J3118" s="49"/>
      <c r="K3118" s="49"/>
      <c r="L3118" s="49"/>
      <c r="M3118" s="49"/>
    </row>
    <row r="3119" spans="5:13">
      <c r="E3119" s="49"/>
      <c r="F3119" s="49"/>
      <c r="G3119" s="49"/>
      <c r="H3119" s="49"/>
      <c r="I3119" s="49"/>
      <c r="J3119" s="49"/>
      <c r="K3119" s="49"/>
      <c r="L3119" s="49"/>
      <c r="M3119" s="49"/>
    </row>
    <row r="3120" spans="5:13">
      <c r="E3120" s="49"/>
      <c r="F3120" s="49"/>
      <c r="G3120" s="49"/>
      <c r="H3120" s="49"/>
      <c r="I3120" s="49"/>
      <c r="J3120" s="49"/>
      <c r="K3120" s="49"/>
      <c r="L3120" s="49"/>
      <c r="M3120" s="49"/>
    </row>
    <row r="3121" spans="5:13">
      <c r="E3121" s="49"/>
      <c r="F3121" s="49"/>
      <c r="G3121" s="49"/>
      <c r="H3121" s="49"/>
      <c r="I3121" s="49"/>
      <c r="J3121" s="49"/>
      <c r="K3121" s="49"/>
      <c r="L3121" s="49"/>
      <c r="M3121" s="49"/>
    </row>
    <row r="3122" spans="5:13">
      <c r="E3122" s="49"/>
      <c r="F3122" s="49"/>
      <c r="G3122" s="49"/>
      <c r="H3122" s="49"/>
      <c r="I3122" s="49"/>
      <c r="J3122" s="49"/>
      <c r="K3122" s="49"/>
      <c r="L3122" s="49"/>
      <c r="M3122" s="49"/>
    </row>
    <row r="3123" spans="5:13">
      <c r="E3123" s="49"/>
      <c r="F3123" s="49"/>
      <c r="G3123" s="49"/>
      <c r="H3123" s="49"/>
      <c r="I3123" s="49"/>
      <c r="J3123" s="49"/>
      <c r="K3123" s="49"/>
      <c r="L3123" s="49"/>
      <c r="M3123" s="49"/>
    </row>
    <row r="3124" spans="5:13">
      <c r="E3124" s="49"/>
      <c r="F3124" s="49"/>
      <c r="G3124" s="49"/>
      <c r="H3124" s="49"/>
      <c r="I3124" s="49"/>
      <c r="J3124" s="49"/>
      <c r="K3124" s="49"/>
      <c r="L3124" s="49"/>
      <c r="M3124" s="49"/>
    </row>
    <row r="3125" spans="5:13">
      <c r="E3125" s="49"/>
      <c r="F3125" s="49"/>
      <c r="G3125" s="49"/>
      <c r="H3125" s="49"/>
      <c r="I3125" s="49"/>
      <c r="J3125" s="49"/>
      <c r="K3125" s="49"/>
      <c r="L3125" s="49"/>
      <c r="M3125" s="49"/>
    </row>
    <row r="3126" spans="5:13">
      <c r="E3126" s="49"/>
      <c r="F3126" s="49"/>
      <c r="G3126" s="49"/>
      <c r="H3126" s="49"/>
      <c r="I3126" s="49"/>
      <c r="J3126" s="49"/>
      <c r="K3126" s="49"/>
      <c r="L3126" s="49"/>
      <c r="M3126" s="49"/>
    </row>
    <row r="3127" spans="5:13">
      <c r="E3127" s="49"/>
      <c r="F3127" s="49"/>
      <c r="G3127" s="49"/>
      <c r="H3127" s="49"/>
      <c r="I3127" s="49"/>
      <c r="J3127" s="49"/>
      <c r="K3127" s="49"/>
      <c r="L3127" s="49"/>
      <c r="M3127" s="49"/>
    </row>
    <row r="3128" spans="5:13">
      <c r="E3128" s="49"/>
      <c r="F3128" s="49"/>
      <c r="G3128" s="49"/>
      <c r="H3128" s="49"/>
      <c r="I3128" s="49"/>
      <c r="J3128" s="49"/>
      <c r="K3128" s="49"/>
      <c r="L3128" s="49"/>
      <c r="M3128" s="49"/>
    </row>
    <row r="3129" spans="5:13">
      <c r="E3129" s="49"/>
      <c r="F3129" s="49"/>
      <c r="G3129" s="49"/>
      <c r="H3129" s="49"/>
      <c r="I3129" s="49"/>
      <c r="J3129" s="49"/>
      <c r="K3129" s="49"/>
      <c r="L3129" s="49"/>
      <c r="M3129" s="49"/>
    </row>
    <row r="3130" spans="5:13">
      <c r="E3130" s="49"/>
      <c r="F3130" s="49"/>
      <c r="G3130" s="49"/>
      <c r="H3130" s="49"/>
      <c r="I3130" s="49"/>
      <c r="J3130" s="49"/>
      <c r="K3130" s="49"/>
      <c r="L3130" s="49"/>
      <c r="M3130" s="49"/>
    </row>
    <row r="3131" spans="5:13">
      <c r="E3131" s="49"/>
      <c r="F3131" s="49"/>
      <c r="G3131" s="49"/>
      <c r="H3131" s="49"/>
      <c r="I3131" s="49"/>
      <c r="J3131" s="49"/>
      <c r="K3131" s="49"/>
      <c r="L3131" s="49"/>
      <c r="M3131" s="49"/>
    </row>
    <row r="3132" spans="5:13">
      <c r="E3132" s="49"/>
      <c r="F3132" s="49"/>
      <c r="G3132" s="49"/>
      <c r="H3132" s="49"/>
      <c r="I3132" s="49"/>
      <c r="J3132" s="49"/>
      <c r="K3132" s="49"/>
      <c r="L3132" s="49"/>
      <c r="M3132" s="49"/>
    </row>
    <row r="3133" spans="5:13">
      <c r="E3133" s="49"/>
      <c r="F3133" s="49"/>
      <c r="G3133" s="49"/>
      <c r="H3133" s="49"/>
      <c r="I3133" s="49"/>
      <c r="J3133" s="49"/>
      <c r="K3133" s="49"/>
      <c r="L3133" s="49"/>
      <c r="M3133" s="49"/>
    </row>
    <row r="3134" spans="5:13">
      <c r="E3134" s="49"/>
      <c r="F3134" s="49"/>
      <c r="G3134" s="49"/>
      <c r="H3134" s="49"/>
      <c r="I3134" s="49"/>
      <c r="J3134" s="49"/>
      <c r="K3134" s="49"/>
      <c r="L3134" s="49"/>
      <c r="M3134" s="49"/>
    </row>
    <row r="3135" spans="5:13">
      <c r="E3135" s="49"/>
      <c r="F3135" s="49"/>
      <c r="G3135" s="49"/>
      <c r="H3135" s="49"/>
      <c r="I3135" s="49"/>
      <c r="J3135" s="49"/>
      <c r="K3135" s="49"/>
      <c r="L3135" s="49"/>
      <c r="M3135" s="49"/>
    </row>
    <row r="3136" spans="5:13">
      <c r="E3136" s="49"/>
      <c r="F3136" s="49"/>
      <c r="G3136" s="49"/>
      <c r="H3136" s="49"/>
      <c r="I3136" s="49"/>
      <c r="J3136" s="49"/>
      <c r="K3136" s="49"/>
      <c r="L3136" s="49"/>
      <c r="M3136" s="49"/>
    </row>
    <row r="3137" spans="5:13">
      <c r="E3137" s="49"/>
      <c r="F3137" s="49"/>
      <c r="G3137" s="49"/>
      <c r="H3137" s="49"/>
      <c r="I3137" s="49"/>
      <c r="J3137" s="49"/>
      <c r="K3137" s="49"/>
      <c r="L3137" s="49"/>
      <c r="M3137" s="49"/>
    </row>
    <row r="3138" spans="5:13">
      <c r="E3138" s="49"/>
      <c r="F3138" s="49"/>
      <c r="G3138" s="49"/>
      <c r="H3138" s="49"/>
      <c r="I3138" s="49"/>
      <c r="J3138" s="49"/>
      <c r="K3138" s="49"/>
      <c r="L3138" s="49"/>
      <c r="M3138" s="49"/>
    </row>
    <row r="3139" spans="5:13">
      <c r="E3139" s="49"/>
      <c r="F3139" s="49"/>
      <c r="G3139" s="49"/>
      <c r="H3139" s="49"/>
      <c r="I3139" s="49"/>
      <c r="J3139" s="49"/>
      <c r="K3139" s="49"/>
      <c r="L3139" s="49"/>
      <c r="M3139" s="49"/>
    </row>
    <row r="3140" spans="5:13">
      <c r="E3140" s="49"/>
      <c r="F3140" s="49"/>
      <c r="G3140" s="49"/>
      <c r="H3140" s="49"/>
      <c r="I3140" s="49"/>
      <c r="J3140" s="49"/>
      <c r="K3140" s="49"/>
      <c r="L3140" s="49"/>
      <c r="M3140" s="49"/>
    </row>
    <row r="3141" spans="5:13">
      <c r="E3141" s="49"/>
      <c r="F3141" s="49"/>
      <c r="G3141" s="49"/>
      <c r="H3141" s="49"/>
      <c r="I3141" s="49"/>
      <c r="J3141" s="49"/>
      <c r="K3141" s="49"/>
      <c r="L3141" s="49"/>
      <c r="M3141" s="49"/>
    </row>
    <row r="3142" spans="5:13">
      <c r="E3142" s="49"/>
      <c r="F3142" s="49"/>
      <c r="G3142" s="49"/>
      <c r="H3142" s="49"/>
      <c r="I3142" s="49"/>
      <c r="J3142" s="49"/>
      <c r="K3142" s="49"/>
      <c r="L3142" s="49"/>
      <c r="M3142" s="49"/>
    </row>
    <row r="3143" spans="5:13">
      <c r="E3143" s="49"/>
      <c r="F3143" s="49"/>
      <c r="G3143" s="49"/>
      <c r="H3143" s="49"/>
      <c r="I3143" s="49"/>
      <c r="J3143" s="49"/>
      <c r="K3143" s="49"/>
      <c r="L3143" s="49"/>
      <c r="M3143" s="49"/>
    </row>
    <row r="3144" spans="5:13">
      <c r="E3144" s="49"/>
      <c r="F3144" s="49"/>
      <c r="G3144" s="49"/>
      <c r="H3144" s="49"/>
      <c r="I3144" s="49"/>
      <c r="J3144" s="49"/>
      <c r="K3144" s="49"/>
      <c r="L3144" s="49"/>
      <c r="M3144" s="49"/>
    </row>
    <row r="3145" spans="5:13">
      <c r="E3145" s="49"/>
      <c r="F3145" s="49"/>
      <c r="G3145" s="49"/>
      <c r="H3145" s="49"/>
      <c r="I3145" s="49"/>
      <c r="J3145" s="49"/>
      <c r="K3145" s="49"/>
      <c r="L3145" s="49"/>
      <c r="M3145" s="49"/>
    </row>
    <row r="3146" spans="5:13">
      <c r="E3146" s="49"/>
      <c r="F3146" s="49"/>
      <c r="G3146" s="49"/>
      <c r="H3146" s="49"/>
      <c r="I3146" s="49"/>
      <c r="J3146" s="49"/>
      <c r="K3146" s="49"/>
      <c r="L3146" s="49"/>
      <c r="M3146" s="49"/>
    </row>
    <row r="3147" spans="5:13">
      <c r="E3147" s="49"/>
      <c r="F3147" s="49"/>
      <c r="G3147" s="49"/>
      <c r="H3147" s="49"/>
      <c r="I3147" s="49"/>
      <c r="J3147" s="49"/>
      <c r="K3147" s="49"/>
      <c r="L3147" s="49"/>
      <c r="M3147" s="49"/>
    </row>
    <row r="3148" spans="5:13">
      <c r="E3148" s="49"/>
      <c r="F3148" s="49"/>
      <c r="G3148" s="49"/>
      <c r="H3148" s="49"/>
      <c r="I3148" s="49"/>
      <c r="J3148" s="49"/>
      <c r="K3148" s="49"/>
      <c r="L3148" s="49"/>
      <c r="M3148" s="49"/>
    </row>
    <row r="3149" spans="5:13">
      <c r="E3149" s="49"/>
      <c r="F3149" s="49"/>
      <c r="G3149" s="49"/>
      <c r="H3149" s="49"/>
      <c r="I3149" s="49"/>
      <c r="J3149" s="49"/>
      <c r="K3149" s="49"/>
      <c r="L3149" s="49"/>
      <c r="M3149" s="49"/>
    </row>
    <row r="3150" spans="5:13">
      <c r="E3150" s="49"/>
      <c r="F3150" s="49"/>
      <c r="G3150" s="49"/>
      <c r="H3150" s="49"/>
      <c r="I3150" s="49"/>
      <c r="J3150" s="49"/>
      <c r="K3150" s="49"/>
      <c r="L3150" s="49"/>
      <c r="M3150" s="49"/>
    </row>
    <row r="3151" spans="5:13">
      <c r="E3151" s="49"/>
      <c r="F3151" s="49"/>
      <c r="G3151" s="49"/>
      <c r="H3151" s="49"/>
      <c r="I3151" s="49"/>
      <c r="J3151" s="49"/>
      <c r="K3151" s="49"/>
      <c r="L3151" s="49"/>
      <c r="M3151" s="49"/>
    </row>
    <row r="3152" spans="5:13">
      <c r="E3152" s="49"/>
      <c r="F3152" s="49"/>
      <c r="G3152" s="49"/>
      <c r="H3152" s="49"/>
      <c r="I3152" s="49"/>
      <c r="J3152" s="49"/>
      <c r="K3152" s="49"/>
      <c r="L3152" s="49"/>
      <c r="M3152" s="49"/>
    </row>
    <row r="3153" spans="5:13">
      <c r="E3153" s="49"/>
      <c r="F3153" s="49"/>
      <c r="G3153" s="49"/>
      <c r="H3153" s="49"/>
      <c r="I3153" s="49"/>
      <c r="J3153" s="49"/>
      <c r="K3153" s="49"/>
      <c r="L3153" s="49"/>
      <c r="M3153" s="49"/>
    </row>
    <row r="3154" spans="5:13">
      <c r="E3154" s="49"/>
      <c r="F3154" s="49"/>
      <c r="G3154" s="49"/>
      <c r="H3154" s="49"/>
      <c r="I3154" s="49"/>
      <c r="J3154" s="49"/>
      <c r="K3154" s="49"/>
      <c r="L3154" s="49"/>
      <c r="M3154" s="49"/>
    </row>
    <row r="3155" spans="5:13">
      <c r="E3155" s="49"/>
      <c r="F3155" s="49"/>
      <c r="G3155" s="49"/>
      <c r="H3155" s="49"/>
      <c r="I3155" s="49"/>
      <c r="J3155" s="49"/>
      <c r="K3155" s="49"/>
      <c r="L3155" s="49"/>
      <c r="M3155" s="49"/>
    </row>
    <row r="3156" spans="5:13">
      <c r="E3156" s="49"/>
      <c r="F3156" s="49"/>
      <c r="G3156" s="49"/>
      <c r="H3156" s="49"/>
      <c r="I3156" s="49"/>
      <c r="J3156" s="49"/>
      <c r="K3156" s="49"/>
      <c r="L3156" s="49"/>
      <c r="M3156" s="49"/>
    </row>
    <row r="3157" spans="5:13">
      <c r="E3157" s="49"/>
      <c r="F3157" s="49"/>
      <c r="G3157" s="49"/>
      <c r="H3157" s="49"/>
      <c r="I3157" s="49"/>
      <c r="J3157" s="49"/>
      <c r="K3157" s="49"/>
      <c r="L3157" s="49"/>
      <c r="M3157" s="49"/>
    </row>
    <row r="3158" spans="5:13">
      <c r="E3158" s="49"/>
      <c r="F3158" s="49"/>
      <c r="G3158" s="49"/>
      <c r="H3158" s="49"/>
      <c r="I3158" s="49"/>
      <c r="J3158" s="49"/>
      <c r="K3158" s="49"/>
      <c r="L3158" s="49"/>
      <c r="M3158" s="49"/>
    </row>
    <row r="3159" spans="5:13">
      <c r="E3159" s="49"/>
      <c r="F3159" s="49"/>
      <c r="G3159" s="49"/>
      <c r="H3159" s="49"/>
      <c r="I3159" s="49"/>
      <c r="J3159" s="49"/>
      <c r="K3159" s="49"/>
      <c r="L3159" s="49"/>
      <c r="M3159" s="49"/>
    </row>
    <row r="3160" spans="5:13">
      <c r="E3160" s="49"/>
      <c r="F3160" s="49"/>
      <c r="G3160" s="49"/>
      <c r="H3160" s="49"/>
      <c r="I3160" s="49"/>
      <c r="J3160" s="49"/>
      <c r="K3160" s="49"/>
      <c r="L3160" s="49"/>
      <c r="M3160" s="49"/>
    </row>
    <row r="3161" spans="5:13">
      <c r="E3161" s="49"/>
      <c r="F3161" s="49"/>
      <c r="G3161" s="49"/>
      <c r="H3161" s="49"/>
      <c r="I3161" s="49"/>
      <c r="J3161" s="49"/>
      <c r="K3161" s="49"/>
      <c r="L3161" s="49"/>
      <c r="M3161" s="49"/>
    </row>
    <row r="3162" spans="5:13">
      <c r="E3162" s="49"/>
      <c r="F3162" s="49"/>
      <c r="G3162" s="49"/>
      <c r="H3162" s="49"/>
      <c r="I3162" s="49"/>
      <c r="J3162" s="49"/>
      <c r="K3162" s="49"/>
      <c r="L3162" s="49"/>
      <c r="M3162" s="49"/>
    </row>
    <row r="3163" spans="5:13">
      <c r="E3163" s="49"/>
      <c r="F3163" s="49"/>
      <c r="G3163" s="49"/>
      <c r="H3163" s="49"/>
      <c r="I3163" s="49"/>
      <c r="J3163" s="49"/>
      <c r="K3163" s="49"/>
      <c r="L3163" s="49"/>
      <c r="M3163" s="49"/>
    </row>
    <row r="3164" spans="5:13">
      <c r="E3164" s="49"/>
      <c r="F3164" s="49"/>
      <c r="G3164" s="49"/>
      <c r="H3164" s="49"/>
      <c r="I3164" s="49"/>
      <c r="J3164" s="49"/>
      <c r="K3164" s="49"/>
      <c r="L3164" s="49"/>
      <c r="M3164" s="49"/>
    </row>
    <row r="3165" spans="5:13">
      <c r="E3165" s="49"/>
      <c r="F3165" s="49"/>
      <c r="G3165" s="49"/>
      <c r="H3165" s="49"/>
      <c r="I3165" s="49"/>
      <c r="J3165" s="49"/>
      <c r="K3165" s="49"/>
      <c r="L3165" s="49"/>
      <c r="M3165" s="49"/>
    </row>
    <row r="3166" spans="5:13">
      <c r="E3166" s="49"/>
      <c r="F3166" s="49"/>
      <c r="G3166" s="49"/>
      <c r="H3166" s="49"/>
      <c r="I3166" s="49"/>
      <c r="J3166" s="49"/>
      <c r="K3166" s="49"/>
      <c r="L3166" s="49"/>
      <c r="M3166" s="49"/>
    </row>
    <row r="3167" spans="5:13">
      <c r="E3167" s="49"/>
      <c r="F3167" s="49"/>
      <c r="G3167" s="49"/>
      <c r="H3167" s="49"/>
      <c r="I3167" s="49"/>
      <c r="J3167" s="49"/>
      <c r="K3167" s="49"/>
      <c r="L3167" s="49"/>
      <c r="M3167" s="49"/>
    </row>
    <row r="3168" spans="5:13">
      <c r="E3168" s="49"/>
      <c r="F3168" s="49"/>
      <c r="G3168" s="49"/>
      <c r="H3168" s="49"/>
      <c r="I3168" s="49"/>
      <c r="J3168" s="49"/>
      <c r="K3168" s="49"/>
      <c r="L3168" s="49"/>
      <c r="M3168" s="49"/>
    </row>
    <row r="3169" spans="5:13">
      <c r="E3169" s="49"/>
      <c r="F3169" s="49"/>
      <c r="G3169" s="49"/>
      <c r="H3169" s="49"/>
      <c r="I3169" s="49"/>
      <c r="J3169" s="49"/>
      <c r="K3169" s="49"/>
      <c r="L3169" s="49"/>
      <c r="M3169" s="49"/>
    </row>
    <row r="3170" spans="5:13">
      <c r="E3170" s="49"/>
      <c r="F3170" s="49"/>
      <c r="G3170" s="49"/>
      <c r="H3170" s="49"/>
      <c r="I3170" s="49"/>
      <c r="J3170" s="49"/>
      <c r="K3170" s="49"/>
      <c r="L3170" s="49"/>
      <c r="M3170" s="49"/>
    </row>
    <row r="3171" spans="5:13">
      <c r="E3171" s="49"/>
      <c r="F3171" s="49"/>
      <c r="G3171" s="49"/>
      <c r="H3171" s="49"/>
      <c r="I3171" s="49"/>
      <c r="J3171" s="49"/>
      <c r="K3171" s="49"/>
      <c r="L3171" s="49"/>
      <c r="M3171" s="49"/>
    </row>
    <row r="3172" spans="5:13">
      <c r="E3172" s="49"/>
      <c r="F3172" s="49"/>
      <c r="G3172" s="49"/>
      <c r="H3172" s="49"/>
      <c r="I3172" s="49"/>
      <c r="J3172" s="49"/>
      <c r="K3172" s="49"/>
      <c r="L3172" s="49"/>
      <c r="M3172" s="49"/>
    </row>
    <row r="3173" spans="5:13">
      <c r="E3173" s="49"/>
      <c r="F3173" s="49"/>
      <c r="G3173" s="49"/>
      <c r="H3173" s="49"/>
      <c r="I3173" s="49"/>
      <c r="J3173" s="49"/>
      <c r="K3173" s="49"/>
      <c r="L3173" s="49"/>
      <c r="M3173" s="49"/>
    </row>
    <row r="3174" spans="5:13">
      <c r="E3174" s="49"/>
      <c r="F3174" s="49"/>
      <c r="G3174" s="49"/>
      <c r="H3174" s="49"/>
      <c r="I3174" s="49"/>
      <c r="J3174" s="49"/>
      <c r="K3174" s="49"/>
      <c r="L3174" s="49"/>
      <c r="M3174" s="49"/>
    </row>
    <row r="3175" spans="5:13">
      <c r="E3175" s="49"/>
      <c r="F3175" s="49"/>
      <c r="G3175" s="49"/>
      <c r="H3175" s="49"/>
      <c r="I3175" s="49"/>
      <c r="J3175" s="49"/>
      <c r="K3175" s="49"/>
      <c r="L3175" s="49"/>
      <c r="M3175" s="49"/>
    </row>
    <row r="3176" spans="5:13">
      <c r="E3176" s="49"/>
      <c r="F3176" s="49"/>
      <c r="G3176" s="49"/>
      <c r="H3176" s="49"/>
      <c r="I3176" s="49"/>
      <c r="J3176" s="49"/>
      <c r="K3176" s="49"/>
      <c r="L3176" s="49"/>
      <c r="M3176" s="49"/>
    </row>
    <row r="3177" spans="5:13">
      <c r="E3177" s="49"/>
      <c r="F3177" s="49"/>
      <c r="G3177" s="49"/>
      <c r="H3177" s="49"/>
      <c r="I3177" s="49"/>
      <c r="J3177" s="49"/>
      <c r="K3177" s="49"/>
      <c r="L3177" s="49"/>
      <c r="M3177" s="49"/>
    </row>
    <row r="3178" spans="5:13">
      <c r="E3178" s="49"/>
      <c r="F3178" s="49"/>
      <c r="G3178" s="49"/>
      <c r="H3178" s="49"/>
      <c r="I3178" s="49"/>
      <c r="J3178" s="49"/>
      <c r="K3178" s="49"/>
      <c r="L3178" s="49"/>
      <c r="M3178" s="49"/>
    </row>
    <row r="3179" spans="5:13">
      <c r="E3179" s="49"/>
      <c r="F3179" s="49"/>
      <c r="G3179" s="49"/>
      <c r="H3179" s="49"/>
      <c r="I3179" s="49"/>
      <c r="J3179" s="49"/>
      <c r="K3179" s="49"/>
      <c r="L3179" s="49"/>
      <c r="M3179" s="49"/>
    </row>
    <row r="3180" spans="5:13">
      <c r="E3180" s="49"/>
      <c r="F3180" s="49"/>
      <c r="G3180" s="49"/>
      <c r="H3180" s="49"/>
      <c r="I3180" s="49"/>
      <c r="J3180" s="49"/>
      <c r="K3180" s="49"/>
      <c r="L3180" s="49"/>
      <c r="M3180" s="49"/>
    </row>
    <row r="3181" spans="5:13">
      <c r="E3181" s="49"/>
      <c r="F3181" s="49"/>
      <c r="G3181" s="49"/>
      <c r="H3181" s="49"/>
      <c r="I3181" s="49"/>
      <c r="J3181" s="49"/>
      <c r="K3181" s="49"/>
      <c r="L3181" s="49"/>
      <c r="M3181" s="49"/>
    </row>
    <row r="3182" spans="5:13">
      <c r="E3182" s="49"/>
      <c r="F3182" s="49"/>
      <c r="G3182" s="49"/>
      <c r="H3182" s="49"/>
      <c r="I3182" s="49"/>
      <c r="J3182" s="49"/>
      <c r="K3182" s="49"/>
      <c r="L3182" s="49"/>
      <c r="M3182" s="49"/>
    </row>
    <row r="3183" spans="5:13">
      <c r="E3183" s="49"/>
      <c r="F3183" s="49"/>
      <c r="G3183" s="49"/>
      <c r="H3183" s="49"/>
      <c r="I3183" s="49"/>
      <c r="J3183" s="49"/>
      <c r="K3183" s="49"/>
      <c r="L3183" s="49"/>
      <c r="M3183" s="49"/>
    </row>
    <row r="3184" spans="5:13">
      <c r="E3184" s="49"/>
      <c r="F3184" s="49"/>
      <c r="G3184" s="49"/>
      <c r="H3184" s="49"/>
      <c r="I3184" s="49"/>
      <c r="J3184" s="49"/>
      <c r="K3184" s="49"/>
      <c r="L3184" s="49"/>
      <c r="M3184" s="49"/>
    </row>
    <row r="3185" spans="5:13">
      <c r="E3185" s="49"/>
      <c r="F3185" s="49"/>
      <c r="G3185" s="49"/>
      <c r="H3185" s="49"/>
      <c r="I3185" s="49"/>
      <c r="J3185" s="49"/>
      <c r="K3185" s="49"/>
      <c r="L3185" s="49"/>
      <c r="M3185" s="49"/>
    </row>
    <row r="3186" spans="5:13">
      <c r="E3186" s="49"/>
      <c r="F3186" s="49"/>
      <c r="G3186" s="49"/>
      <c r="H3186" s="49"/>
      <c r="I3186" s="49"/>
      <c r="J3186" s="49"/>
      <c r="K3186" s="49"/>
      <c r="L3186" s="49"/>
      <c r="M3186" s="49"/>
    </row>
    <row r="3187" spans="5:13">
      <c r="E3187" s="49"/>
      <c r="F3187" s="49"/>
      <c r="G3187" s="49"/>
      <c r="H3187" s="49"/>
      <c r="I3187" s="49"/>
      <c r="J3187" s="49"/>
      <c r="K3187" s="49"/>
      <c r="L3187" s="49"/>
      <c r="M3187" s="49"/>
    </row>
    <row r="3188" spans="5:13">
      <c r="E3188" s="49"/>
      <c r="F3188" s="49"/>
      <c r="G3188" s="49"/>
      <c r="H3188" s="49"/>
      <c r="I3188" s="49"/>
      <c r="J3188" s="49"/>
      <c r="K3188" s="49"/>
      <c r="L3188" s="49"/>
      <c r="M3188" s="49"/>
    </row>
    <row r="3189" spans="5:13">
      <c r="E3189" s="49"/>
      <c r="F3189" s="49"/>
      <c r="G3189" s="49"/>
      <c r="H3189" s="49"/>
      <c r="I3189" s="49"/>
      <c r="J3189" s="49"/>
      <c r="K3189" s="49"/>
      <c r="L3189" s="49"/>
      <c r="M3189" s="49"/>
    </row>
    <row r="3190" spans="5:13">
      <c r="E3190" s="49"/>
      <c r="F3190" s="49"/>
      <c r="G3190" s="49"/>
      <c r="H3190" s="49"/>
      <c r="I3190" s="49"/>
      <c r="J3190" s="49"/>
      <c r="K3190" s="49"/>
      <c r="L3190" s="49"/>
      <c r="M3190" s="49"/>
    </row>
    <row r="3191" spans="5:13">
      <c r="E3191" s="49"/>
      <c r="F3191" s="49"/>
      <c r="G3191" s="49"/>
      <c r="H3191" s="49"/>
      <c r="I3191" s="49"/>
      <c r="J3191" s="49"/>
      <c r="K3191" s="49"/>
      <c r="L3191" s="49"/>
      <c r="M3191" s="49"/>
    </row>
    <row r="3192" spans="5:13">
      <c r="E3192" s="49"/>
      <c r="F3192" s="49"/>
      <c r="G3192" s="49"/>
      <c r="H3192" s="49"/>
      <c r="I3192" s="49"/>
      <c r="J3192" s="49"/>
      <c r="K3192" s="49"/>
      <c r="L3192" s="49"/>
      <c r="M3192" s="49"/>
    </row>
    <row r="3193" spans="5:13">
      <c r="E3193" s="49"/>
      <c r="F3193" s="49"/>
      <c r="G3193" s="49"/>
      <c r="H3193" s="49"/>
      <c r="I3193" s="49"/>
      <c r="J3193" s="49"/>
      <c r="K3193" s="49"/>
      <c r="L3193" s="49"/>
      <c r="M3193" s="49"/>
    </row>
    <row r="3194" spans="5:13">
      <c r="E3194" s="49"/>
      <c r="F3194" s="49"/>
      <c r="G3194" s="49"/>
      <c r="H3194" s="49"/>
      <c r="I3194" s="49"/>
      <c r="J3194" s="49"/>
      <c r="K3194" s="49"/>
      <c r="L3194" s="49"/>
      <c r="M3194" s="49"/>
    </row>
    <row r="3195" spans="5:13">
      <c r="E3195" s="49"/>
      <c r="F3195" s="49"/>
      <c r="G3195" s="49"/>
      <c r="H3195" s="49"/>
      <c r="I3195" s="49"/>
      <c r="J3195" s="49"/>
      <c r="K3195" s="49"/>
      <c r="L3195" s="49"/>
      <c r="M3195" s="49"/>
    </row>
    <row r="3196" spans="5:13">
      <c r="E3196" s="49"/>
      <c r="F3196" s="49"/>
      <c r="G3196" s="49"/>
      <c r="H3196" s="49"/>
      <c r="I3196" s="49"/>
      <c r="J3196" s="49"/>
      <c r="K3196" s="49"/>
      <c r="L3196" s="49"/>
      <c r="M3196" s="49"/>
    </row>
    <row r="3197" spans="5:13">
      <c r="E3197" s="49"/>
      <c r="F3197" s="49"/>
      <c r="G3197" s="49"/>
      <c r="H3197" s="49"/>
      <c r="I3197" s="49"/>
      <c r="J3197" s="49"/>
      <c r="K3197" s="49"/>
      <c r="L3197" s="49"/>
      <c r="M3197" s="49"/>
    </row>
    <row r="3198" spans="5:13">
      <c r="E3198" s="49"/>
      <c r="F3198" s="49"/>
      <c r="G3198" s="49"/>
      <c r="H3198" s="49"/>
      <c r="I3198" s="49"/>
      <c r="J3198" s="49"/>
      <c r="K3198" s="49"/>
      <c r="L3198" s="49"/>
      <c r="M3198" s="49"/>
    </row>
    <row r="3199" spans="5:13">
      <c r="E3199" s="49"/>
      <c r="F3199" s="49"/>
      <c r="G3199" s="49"/>
      <c r="H3199" s="49"/>
      <c r="I3199" s="49"/>
      <c r="J3199" s="49"/>
      <c r="K3199" s="49"/>
      <c r="L3199" s="49"/>
      <c r="M3199" s="49"/>
    </row>
    <row r="3200" spans="5:13">
      <c r="E3200" s="49"/>
      <c r="F3200" s="49"/>
      <c r="G3200" s="49"/>
      <c r="H3200" s="49"/>
      <c r="I3200" s="49"/>
      <c r="J3200" s="49"/>
      <c r="K3200" s="49"/>
      <c r="L3200" s="49"/>
      <c r="M3200" s="49"/>
    </row>
    <row r="3201" spans="5:13">
      <c r="E3201" s="49"/>
      <c r="F3201" s="49"/>
      <c r="G3201" s="49"/>
      <c r="H3201" s="49"/>
      <c r="I3201" s="49"/>
      <c r="J3201" s="49"/>
      <c r="K3201" s="49"/>
      <c r="L3201" s="49"/>
      <c r="M3201" s="49"/>
    </row>
    <row r="3202" spans="5:13">
      <c r="E3202" s="49"/>
      <c r="F3202" s="49"/>
      <c r="G3202" s="49"/>
      <c r="H3202" s="49"/>
      <c r="I3202" s="49"/>
      <c r="J3202" s="49"/>
      <c r="K3202" s="49"/>
      <c r="L3202" s="49"/>
      <c r="M3202" s="49"/>
    </row>
    <row r="3203" spans="5:13">
      <c r="E3203" s="49"/>
      <c r="F3203" s="49"/>
      <c r="G3203" s="49"/>
      <c r="H3203" s="49"/>
      <c r="I3203" s="49"/>
      <c r="J3203" s="49"/>
      <c r="K3203" s="49"/>
      <c r="L3203" s="49"/>
      <c r="M3203" s="49"/>
    </row>
    <row r="3204" spans="5:13">
      <c r="E3204" s="49"/>
      <c r="F3204" s="49"/>
      <c r="G3204" s="49"/>
      <c r="H3204" s="49"/>
      <c r="I3204" s="49"/>
      <c r="J3204" s="49"/>
      <c r="K3204" s="49"/>
      <c r="L3204" s="49"/>
      <c r="M3204" s="49"/>
    </row>
    <row r="3205" spans="5:13">
      <c r="E3205" s="49"/>
      <c r="F3205" s="49"/>
      <c r="G3205" s="49"/>
      <c r="H3205" s="49"/>
      <c r="I3205" s="49"/>
      <c r="J3205" s="49"/>
      <c r="K3205" s="49"/>
      <c r="L3205" s="49"/>
      <c r="M3205" s="49"/>
    </row>
    <row r="3206" spans="5:13">
      <c r="E3206" s="49"/>
      <c r="F3206" s="49"/>
      <c r="G3206" s="49"/>
      <c r="H3206" s="49"/>
      <c r="I3206" s="49"/>
      <c r="J3206" s="49"/>
      <c r="K3206" s="49"/>
      <c r="L3206" s="49"/>
      <c r="M3206" s="49"/>
    </row>
    <row r="3207" spans="5:13">
      <c r="E3207" s="49"/>
      <c r="F3207" s="49"/>
      <c r="G3207" s="49"/>
      <c r="H3207" s="49"/>
      <c r="I3207" s="49"/>
      <c r="J3207" s="49"/>
      <c r="K3207" s="49"/>
      <c r="L3207" s="49"/>
      <c r="M3207" s="49"/>
    </row>
    <row r="3208" spans="5:13">
      <c r="E3208" s="49"/>
      <c r="F3208" s="49"/>
      <c r="G3208" s="49"/>
      <c r="H3208" s="49"/>
      <c r="I3208" s="49"/>
      <c r="J3208" s="49"/>
      <c r="K3208" s="49"/>
      <c r="L3208" s="49"/>
      <c r="M3208" s="49"/>
    </row>
    <row r="3209" spans="5:13">
      <c r="E3209" s="49"/>
      <c r="F3209" s="49"/>
      <c r="G3209" s="49"/>
      <c r="H3209" s="49"/>
      <c r="I3209" s="49"/>
      <c r="J3209" s="49"/>
      <c r="K3209" s="49"/>
      <c r="L3209" s="49"/>
      <c r="M3209" s="49"/>
    </row>
    <row r="3210" spans="5:13">
      <c r="E3210" s="49"/>
      <c r="F3210" s="49"/>
      <c r="G3210" s="49"/>
      <c r="H3210" s="49"/>
      <c r="I3210" s="49"/>
      <c r="J3210" s="49"/>
      <c r="K3210" s="49"/>
      <c r="L3210" s="49"/>
      <c r="M3210" s="49"/>
    </row>
    <row r="3211" spans="5:13">
      <c r="E3211" s="49"/>
      <c r="F3211" s="49"/>
      <c r="G3211" s="49"/>
      <c r="H3211" s="49"/>
      <c r="I3211" s="49"/>
      <c r="J3211" s="49"/>
      <c r="K3211" s="49"/>
      <c r="L3211" s="49"/>
      <c r="M3211" s="49"/>
    </row>
    <row r="3212" spans="5:13">
      <c r="E3212" s="49"/>
      <c r="F3212" s="49"/>
      <c r="G3212" s="49"/>
      <c r="H3212" s="49"/>
      <c r="I3212" s="49"/>
      <c r="J3212" s="49"/>
      <c r="K3212" s="49"/>
      <c r="L3212" s="49"/>
      <c r="M3212" s="49"/>
    </row>
    <row r="3213" spans="5:13">
      <c r="E3213" s="49"/>
      <c r="F3213" s="49"/>
      <c r="G3213" s="49"/>
      <c r="H3213" s="49"/>
      <c r="I3213" s="49"/>
      <c r="J3213" s="49"/>
      <c r="K3213" s="49"/>
      <c r="L3213" s="49"/>
      <c r="M3213" s="49"/>
    </row>
    <row r="3214" spans="5:13">
      <c r="E3214" s="49"/>
      <c r="F3214" s="49"/>
      <c r="G3214" s="49"/>
      <c r="H3214" s="49"/>
      <c r="I3214" s="49"/>
      <c r="J3214" s="49"/>
      <c r="K3214" s="49"/>
      <c r="L3214" s="49"/>
      <c r="M3214" s="49"/>
    </row>
    <row r="3215" spans="5:13">
      <c r="E3215" s="49"/>
      <c r="F3215" s="49"/>
      <c r="G3215" s="49"/>
      <c r="H3215" s="49"/>
      <c r="I3215" s="49"/>
      <c r="J3215" s="49"/>
      <c r="K3215" s="49"/>
      <c r="L3215" s="49"/>
      <c r="M3215" s="49"/>
    </row>
    <row r="3216" spans="5:13">
      <c r="E3216" s="49"/>
      <c r="F3216" s="49"/>
      <c r="G3216" s="49"/>
      <c r="H3216" s="49"/>
      <c r="I3216" s="49"/>
      <c r="J3216" s="49"/>
      <c r="K3216" s="49"/>
      <c r="L3216" s="49"/>
      <c r="M3216" s="49"/>
    </row>
    <row r="3217" spans="5:13">
      <c r="E3217" s="49"/>
      <c r="F3217" s="49"/>
      <c r="G3217" s="49"/>
      <c r="H3217" s="49"/>
      <c r="I3217" s="49"/>
      <c r="J3217" s="49"/>
      <c r="K3217" s="49"/>
      <c r="L3217" s="49"/>
      <c r="M3217" s="49"/>
    </row>
    <row r="3218" spans="5:13">
      <c r="E3218" s="49"/>
      <c r="F3218" s="49"/>
      <c r="G3218" s="49"/>
      <c r="H3218" s="49"/>
      <c r="I3218" s="49"/>
      <c r="J3218" s="49"/>
      <c r="K3218" s="49"/>
      <c r="L3218" s="49"/>
      <c r="M3218" s="49"/>
    </row>
    <row r="3219" spans="5:13">
      <c r="E3219" s="49"/>
      <c r="F3219" s="49"/>
      <c r="G3219" s="49"/>
      <c r="H3219" s="49"/>
      <c r="I3219" s="49"/>
      <c r="J3219" s="49"/>
      <c r="K3219" s="49"/>
      <c r="L3219" s="49"/>
      <c r="M3219" s="49"/>
    </row>
    <row r="3220" spans="5:13">
      <c r="E3220" s="49"/>
      <c r="F3220" s="49"/>
      <c r="G3220" s="49"/>
      <c r="H3220" s="49"/>
      <c r="I3220" s="49"/>
      <c r="J3220" s="49"/>
      <c r="K3220" s="49"/>
      <c r="L3220" s="49"/>
      <c r="M3220" s="49"/>
    </row>
    <row r="3221" spans="5:13">
      <c r="E3221" s="49"/>
      <c r="F3221" s="49"/>
      <c r="G3221" s="49"/>
      <c r="H3221" s="49"/>
      <c r="I3221" s="49"/>
      <c r="J3221" s="49"/>
      <c r="K3221" s="49"/>
      <c r="L3221" s="49"/>
      <c r="M3221" s="49"/>
    </row>
    <row r="3222" spans="5:13">
      <c r="E3222" s="49"/>
      <c r="F3222" s="49"/>
      <c r="G3222" s="49"/>
      <c r="H3222" s="49"/>
      <c r="I3222" s="49"/>
      <c r="J3222" s="49"/>
      <c r="K3222" s="49"/>
      <c r="L3222" s="49"/>
      <c r="M3222" s="49"/>
    </row>
    <row r="3223" spans="5:13">
      <c r="E3223" s="49"/>
      <c r="F3223" s="49"/>
      <c r="G3223" s="49"/>
      <c r="H3223" s="49"/>
      <c r="I3223" s="49"/>
      <c r="J3223" s="49"/>
      <c r="K3223" s="49"/>
      <c r="L3223" s="49"/>
      <c r="M3223" s="49"/>
    </row>
    <row r="3224" spans="5:13">
      <c r="E3224" s="49"/>
      <c r="F3224" s="49"/>
      <c r="G3224" s="49"/>
      <c r="H3224" s="49"/>
      <c r="I3224" s="49"/>
      <c r="J3224" s="49"/>
      <c r="K3224" s="49"/>
      <c r="L3224" s="49"/>
      <c r="M3224" s="49"/>
    </row>
    <row r="3225" spans="5:13">
      <c r="E3225" s="49"/>
      <c r="F3225" s="49"/>
      <c r="G3225" s="49"/>
      <c r="H3225" s="49"/>
      <c r="I3225" s="49"/>
      <c r="J3225" s="49"/>
      <c r="K3225" s="49"/>
      <c r="L3225" s="49"/>
      <c r="M3225" s="49"/>
    </row>
    <row r="3226" spans="5:13">
      <c r="E3226" s="49"/>
      <c r="F3226" s="49"/>
      <c r="G3226" s="49"/>
      <c r="H3226" s="49"/>
      <c r="I3226" s="49"/>
      <c r="J3226" s="49"/>
      <c r="K3226" s="49"/>
      <c r="L3226" s="49"/>
      <c r="M3226" s="49"/>
    </row>
    <row r="3227" spans="5:13">
      <c r="E3227" s="49"/>
      <c r="F3227" s="49"/>
      <c r="G3227" s="49"/>
      <c r="H3227" s="49"/>
      <c r="I3227" s="49"/>
      <c r="J3227" s="49"/>
      <c r="K3227" s="49"/>
      <c r="L3227" s="49"/>
      <c r="M3227" s="49"/>
    </row>
    <row r="3228" spans="5:13">
      <c r="E3228" s="49"/>
      <c r="F3228" s="49"/>
      <c r="G3228" s="49"/>
      <c r="H3228" s="49"/>
      <c r="I3228" s="49"/>
      <c r="J3228" s="49"/>
      <c r="K3228" s="49"/>
      <c r="L3228" s="49"/>
      <c r="M3228" s="49"/>
    </row>
    <row r="3229" spans="5:13">
      <c r="E3229" s="49"/>
      <c r="F3229" s="49"/>
      <c r="G3229" s="49"/>
      <c r="H3229" s="49"/>
      <c r="I3229" s="49"/>
      <c r="J3229" s="49"/>
      <c r="K3229" s="49"/>
      <c r="L3229" s="49"/>
      <c r="M3229" s="49"/>
    </row>
    <row r="3230" spans="5:13">
      <c r="E3230" s="49"/>
      <c r="F3230" s="49"/>
      <c r="G3230" s="49"/>
      <c r="H3230" s="49"/>
      <c r="I3230" s="49"/>
      <c r="J3230" s="49"/>
      <c r="K3230" s="49"/>
      <c r="L3230" s="49"/>
      <c r="M3230" s="49"/>
    </row>
    <row r="3231" spans="5:13">
      <c r="E3231" s="49"/>
      <c r="F3231" s="49"/>
      <c r="G3231" s="49"/>
      <c r="H3231" s="49"/>
      <c r="I3231" s="49"/>
      <c r="J3231" s="49"/>
      <c r="K3231" s="49"/>
      <c r="L3231" s="49"/>
      <c r="M3231" s="49"/>
    </row>
    <row r="3232" spans="5:13">
      <c r="E3232" s="49"/>
      <c r="F3232" s="49"/>
      <c r="G3232" s="49"/>
      <c r="H3232" s="49"/>
      <c r="I3232" s="49"/>
      <c r="J3232" s="49"/>
      <c r="K3232" s="49"/>
      <c r="L3232" s="49"/>
      <c r="M3232" s="49"/>
    </row>
    <row r="3233" spans="5:13">
      <c r="E3233" s="49"/>
      <c r="F3233" s="49"/>
      <c r="G3233" s="49"/>
      <c r="H3233" s="49"/>
      <c r="I3233" s="49"/>
      <c r="J3233" s="49"/>
      <c r="K3233" s="49"/>
      <c r="L3233" s="49"/>
      <c r="M3233" s="49"/>
    </row>
    <row r="3234" spans="5:13">
      <c r="E3234" s="49"/>
      <c r="F3234" s="49"/>
      <c r="G3234" s="49"/>
      <c r="H3234" s="49"/>
      <c r="I3234" s="49"/>
      <c r="J3234" s="49"/>
      <c r="K3234" s="49"/>
      <c r="L3234" s="49"/>
      <c r="M3234" s="49"/>
    </row>
    <row r="3235" spans="5:13">
      <c r="E3235" s="49"/>
      <c r="F3235" s="49"/>
      <c r="G3235" s="49"/>
      <c r="H3235" s="49"/>
      <c r="I3235" s="49"/>
      <c r="J3235" s="49"/>
      <c r="K3235" s="49"/>
      <c r="L3235" s="49"/>
      <c r="M3235" s="49"/>
    </row>
    <row r="3236" spans="5:13">
      <c r="E3236" s="49"/>
      <c r="F3236" s="49"/>
      <c r="G3236" s="49"/>
      <c r="H3236" s="49"/>
      <c r="I3236" s="49"/>
      <c r="J3236" s="49"/>
      <c r="K3236" s="49"/>
      <c r="L3236" s="49"/>
      <c r="M3236" s="49"/>
    </row>
    <row r="3237" spans="5:13">
      <c r="E3237" s="49"/>
      <c r="F3237" s="49"/>
      <c r="G3237" s="49"/>
      <c r="H3237" s="49"/>
      <c r="I3237" s="49"/>
      <c r="J3237" s="49"/>
      <c r="K3237" s="49"/>
      <c r="L3237" s="49"/>
      <c r="M3237" s="49"/>
    </row>
    <row r="3238" spans="5:13">
      <c r="E3238" s="49"/>
      <c r="F3238" s="49"/>
      <c r="G3238" s="49"/>
      <c r="H3238" s="49"/>
      <c r="I3238" s="49"/>
      <c r="J3238" s="49"/>
      <c r="K3238" s="49"/>
      <c r="L3238" s="49"/>
      <c r="M3238" s="49"/>
    </row>
    <row r="3239" spans="5:13">
      <c r="E3239" s="49"/>
      <c r="F3239" s="49"/>
      <c r="G3239" s="49"/>
      <c r="H3239" s="49"/>
      <c r="I3239" s="49"/>
      <c r="J3239" s="49"/>
      <c r="K3239" s="49"/>
      <c r="L3239" s="49"/>
      <c r="M3239" s="49"/>
    </row>
    <row r="3240" spans="5:13">
      <c r="E3240" s="49"/>
      <c r="F3240" s="49"/>
      <c r="G3240" s="49"/>
      <c r="H3240" s="49"/>
      <c r="I3240" s="49"/>
      <c r="J3240" s="49"/>
      <c r="K3240" s="49"/>
      <c r="L3240" s="49"/>
      <c r="M3240" s="49"/>
    </row>
    <row r="3241" spans="5:13">
      <c r="E3241" s="49"/>
      <c r="F3241" s="49"/>
      <c r="G3241" s="49"/>
      <c r="H3241" s="49"/>
      <c r="I3241" s="49"/>
      <c r="J3241" s="49"/>
      <c r="K3241" s="49"/>
      <c r="L3241" s="49"/>
      <c r="M3241" s="49"/>
    </row>
    <row r="3242" spans="5:13">
      <c r="E3242" s="49"/>
      <c r="F3242" s="49"/>
      <c r="G3242" s="49"/>
      <c r="H3242" s="49"/>
      <c r="I3242" s="49"/>
      <c r="J3242" s="49"/>
      <c r="K3242" s="49"/>
      <c r="L3242" s="49"/>
      <c r="M3242" s="49"/>
    </row>
    <row r="3243" spans="5:13">
      <c r="E3243" s="49"/>
      <c r="F3243" s="49"/>
      <c r="G3243" s="49"/>
      <c r="H3243" s="49"/>
      <c r="I3243" s="49"/>
      <c r="J3243" s="49"/>
      <c r="K3243" s="49"/>
      <c r="L3243" s="49"/>
      <c r="M3243" s="49"/>
    </row>
    <row r="3244" spans="5:13">
      <c r="E3244" s="49"/>
      <c r="F3244" s="49"/>
      <c r="G3244" s="49"/>
      <c r="H3244" s="49"/>
      <c r="I3244" s="49"/>
      <c r="J3244" s="49"/>
      <c r="K3244" s="49"/>
      <c r="L3244" s="49"/>
      <c r="M3244" s="49"/>
    </row>
    <row r="3245" spans="5:13">
      <c r="E3245" s="49"/>
      <c r="F3245" s="49"/>
      <c r="G3245" s="49"/>
      <c r="H3245" s="49"/>
      <c r="I3245" s="49"/>
      <c r="J3245" s="49"/>
      <c r="K3245" s="49"/>
      <c r="L3245" s="49"/>
      <c r="M3245" s="49"/>
    </row>
    <row r="3246" spans="5:13">
      <c r="E3246" s="49"/>
      <c r="F3246" s="49"/>
      <c r="G3246" s="49"/>
      <c r="H3246" s="49"/>
      <c r="I3246" s="49"/>
      <c r="J3246" s="49"/>
      <c r="K3246" s="49"/>
      <c r="L3246" s="49"/>
      <c r="M3246" s="49"/>
    </row>
    <row r="3247" spans="5:13">
      <c r="E3247" s="49"/>
      <c r="F3247" s="49"/>
      <c r="G3247" s="49"/>
      <c r="H3247" s="49"/>
      <c r="I3247" s="49"/>
      <c r="J3247" s="49"/>
      <c r="K3247" s="49"/>
      <c r="L3247" s="49"/>
      <c r="M3247" s="49"/>
    </row>
    <row r="3248" spans="5:13">
      <c r="E3248" s="49"/>
      <c r="F3248" s="49"/>
      <c r="G3248" s="49"/>
      <c r="H3248" s="49"/>
      <c r="I3248" s="49"/>
      <c r="J3248" s="49"/>
      <c r="K3248" s="49"/>
      <c r="L3248" s="49"/>
      <c r="M3248" s="49"/>
    </row>
    <row r="3249" spans="5:13">
      <c r="E3249" s="49"/>
      <c r="F3249" s="49"/>
      <c r="G3249" s="49"/>
      <c r="H3249" s="49"/>
      <c r="I3249" s="49"/>
      <c r="J3249" s="49"/>
      <c r="K3249" s="49"/>
      <c r="L3249" s="49"/>
      <c r="M3249" s="49"/>
    </row>
    <row r="3250" spans="5:13">
      <c r="E3250" s="49"/>
      <c r="F3250" s="49"/>
      <c r="G3250" s="49"/>
      <c r="H3250" s="49"/>
      <c r="I3250" s="49"/>
      <c r="J3250" s="49"/>
      <c r="K3250" s="49"/>
      <c r="L3250" s="49"/>
      <c r="M3250" s="49"/>
    </row>
    <row r="3251" spans="5:13">
      <c r="E3251" s="49"/>
      <c r="F3251" s="49"/>
      <c r="G3251" s="49"/>
      <c r="H3251" s="49"/>
      <c r="I3251" s="49"/>
      <c r="J3251" s="49"/>
      <c r="K3251" s="49"/>
      <c r="L3251" s="49"/>
      <c r="M3251" s="49"/>
    </row>
    <row r="3252" spans="5:13">
      <c r="E3252" s="49"/>
      <c r="F3252" s="49"/>
      <c r="G3252" s="49"/>
      <c r="H3252" s="49"/>
      <c r="I3252" s="49"/>
      <c r="J3252" s="49"/>
      <c r="K3252" s="49"/>
      <c r="L3252" s="49"/>
      <c r="M3252" s="49"/>
    </row>
    <row r="3253" spans="5:13">
      <c r="E3253" s="49"/>
      <c r="F3253" s="49"/>
      <c r="G3253" s="49"/>
      <c r="H3253" s="49"/>
      <c r="I3253" s="49"/>
      <c r="J3253" s="49"/>
      <c r="K3253" s="49"/>
      <c r="L3253" s="49"/>
      <c r="M3253" s="49"/>
    </row>
    <row r="3254" spans="5:13">
      <c r="E3254" s="49"/>
      <c r="F3254" s="49"/>
      <c r="G3254" s="49"/>
      <c r="H3254" s="49"/>
      <c r="I3254" s="49"/>
      <c r="J3254" s="49"/>
      <c r="K3254" s="49"/>
      <c r="L3254" s="49"/>
      <c r="M3254" s="49"/>
    </row>
    <row r="3255" spans="5:13">
      <c r="E3255" s="49"/>
      <c r="F3255" s="49"/>
      <c r="G3255" s="49"/>
      <c r="H3255" s="49"/>
      <c r="I3255" s="49"/>
      <c r="J3255" s="49"/>
      <c r="K3255" s="49"/>
      <c r="L3255" s="49"/>
      <c r="M3255" s="49"/>
    </row>
    <row r="3256" spans="5:13">
      <c r="E3256" s="49"/>
      <c r="F3256" s="49"/>
      <c r="G3256" s="49"/>
      <c r="H3256" s="49"/>
      <c r="I3256" s="49"/>
      <c r="J3256" s="49"/>
      <c r="K3256" s="49"/>
      <c r="L3256" s="49"/>
      <c r="M3256" s="49"/>
    </row>
    <row r="3257" spans="5:13">
      <c r="E3257" s="49"/>
      <c r="F3257" s="49"/>
      <c r="G3257" s="49"/>
      <c r="H3257" s="49"/>
      <c r="I3257" s="49"/>
      <c r="J3257" s="49"/>
      <c r="K3257" s="49"/>
      <c r="L3257" s="49"/>
      <c r="M3257" s="49"/>
    </row>
    <row r="3258" spans="5:13">
      <c r="E3258" s="49"/>
      <c r="F3258" s="49"/>
      <c r="G3258" s="49"/>
      <c r="H3258" s="49"/>
      <c r="I3258" s="49"/>
      <c r="J3258" s="49"/>
      <c r="K3258" s="49"/>
      <c r="L3258" s="49"/>
      <c r="M3258" s="49"/>
    </row>
    <row r="3259" spans="5:13">
      <c r="E3259" s="49"/>
      <c r="F3259" s="49"/>
      <c r="G3259" s="49"/>
      <c r="H3259" s="49"/>
      <c r="I3259" s="49"/>
      <c r="J3259" s="49"/>
      <c r="K3259" s="49"/>
      <c r="L3259" s="49"/>
      <c r="M3259" s="49"/>
    </row>
    <row r="3260" spans="5:13">
      <c r="E3260" s="49"/>
      <c r="F3260" s="49"/>
      <c r="G3260" s="49"/>
      <c r="H3260" s="49"/>
      <c r="I3260" s="49"/>
      <c r="J3260" s="49"/>
      <c r="K3260" s="49"/>
      <c r="L3260" s="49"/>
      <c r="M3260" s="49"/>
    </row>
    <row r="3261" spans="5:13">
      <c r="E3261" s="49"/>
      <c r="F3261" s="49"/>
      <c r="G3261" s="49"/>
      <c r="H3261" s="49"/>
      <c r="I3261" s="49"/>
      <c r="J3261" s="49"/>
      <c r="K3261" s="49"/>
      <c r="L3261" s="49"/>
      <c r="M3261" s="49"/>
    </row>
    <row r="3262" spans="5:13">
      <c r="E3262" s="49"/>
      <c r="F3262" s="49"/>
      <c r="G3262" s="49"/>
      <c r="H3262" s="49"/>
      <c r="I3262" s="49"/>
      <c r="J3262" s="49"/>
      <c r="K3262" s="49"/>
      <c r="L3262" s="49"/>
      <c r="M3262" s="49"/>
    </row>
    <row r="3263" spans="5:13">
      <c r="E3263" s="49"/>
      <c r="F3263" s="49"/>
      <c r="G3263" s="49"/>
      <c r="H3263" s="49"/>
      <c r="I3263" s="49"/>
      <c r="J3263" s="49"/>
      <c r="K3263" s="49"/>
      <c r="L3263" s="49"/>
      <c r="M3263" s="49"/>
    </row>
    <row r="3264" spans="5:13">
      <c r="E3264" s="49"/>
      <c r="F3264" s="49"/>
      <c r="G3264" s="49"/>
      <c r="H3264" s="49"/>
      <c r="I3264" s="49"/>
      <c r="J3264" s="49"/>
      <c r="K3264" s="49"/>
      <c r="L3264" s="49"/>
      <c r="M3264" s="49"/>
    </row>
    <row r="3265" spans="5:13">
      <c r="E3265" s="49"/>
      <c r="F3265" s="49"/>
      <c r="G3265" s="49"/>
      <c r="H3265" s="49"/>
      <c r="I3265" s="49"/>
      <c r="J3265" s="49"/>
      <c r="K3265" s="49"/>
      <c r="L3265" s="49"/>
      <c r="M3265" s="49"/>
    </row>
    <row r="3266" spans="5:13">
      <c r="E3266" s="49"/>
      <c r="F3266" s="49"/>
      <c r="G3266" s="49"/>
      <c r="H3266" s="49"/>
      <c r="I3266" s="49"/>
      <c r="J3266" s="49"/>
      <c r="K3266" s="49"/>
      <c r="L3266" s="49"/>
      <c r="M3266" s="49"/>
    </row>
    <row r="3267" spans="5:13">
      <c r="E3267" s="49"/>
      <c r="F3267" s="49"/>
      <c r="G3267" s="49"/>
      <c r="H3267" s="49"/>
      <c r="I3267" s="49"/>
      <c r="J3267" s="49"/>
      <c r="K3267" s="49"/>
      <c r="L3267" s="49"/>
      <c r="M3267" s="49"/>
    </row>
    <row r="3268" spans="5:13">
      <c r="E3268" s="49"/>
      <c r="F3268" s="49"/>
      <c r="G3268" s="49"/>
      <c r="H3268" s="49"/>
      <c r="I3268" s="49"/>
      <c r="J3268" s="49"/>
      <c r="K3268" s="49"/>
      <c r="L3268" s="49"/>
      <c r="M3268" s="49"/>
    </row>
    <row r="3269" spans="5:13">
      <c r="E3269" s="49"/>
      <c r="F3269" s="49"/>
      <c r="G3269" s="49"/>
      <c r="H3269" s="49"/>
      <c r="I3269" s="49"/>
      <c r="J3269" s="49"/>
      <c r="K3269" s="49"/>
      <c r="L3269" s="49"/>
      <c r="M3269" s="49"/>
    </row>
    <row r="3270" spans="5:13">
      <c r="E3270" s="49"/>
      <c r="F3270" s="49"/>
      <c r="G3270" s="49"/>
      <c r="H3270" s="49"/>
      <c r="I3270" s="49"/>
      <c r="J3270" s="49"/>
      <c r="K3270" s="49"/>
      <c r="L3270" s="49"/>
      <c r="M3270" s="49"/>
    </row>
    <row r="3271" spans="5:13">
      <c r="E3271" s="49"/>
      <c r="F3271" s="49"/>
      <c r="G3271" s="49"/>
      <c r="H3271" s="49"/>
      <c r="I3271" s="49"/>
      <c r="J3271" s="49"/>
      <c r="K3271" s="49"/>
      <c r="L3271" s="49"/>
      <c r="M3271" s="49"/>
    </row>
    <row r="3272" spans="5:13">
      <c r="E3272" s="49"/>
      <c r="F3272" s="49"/>
      <c r="G3272" s="49"/>
      <c r="H3272" s="49"/>
      <c r="I3272" s="49"/>
      <c r="J3272" s="49"/>
      <c r="K3272" s="49"/>
      <c r="L3272" s="49"/>
      <c r="M3272" s="49"/>
    </row>
    <row r="3273" spans="5:13">
      <c r="E3273" s="49"/>
      <c r="F3273" s="49"/>
      <c r="G3273" s="49"/>
      <c r="H3273" s="49"/>
      <c r="I3273" s="49"/>
      <c r="J3273" s="49"/>
      <c r="K3273" s="49"/>
      <c r="L3273" s="49"/>
      <c r="M3273" s="49"/>
    </row>
    <row r="3274" spans="5:13">
      <c r="E3274" s="49"/>
      <c r="F3274" s="49"/>
      <c r="G3274" s="49"/>
      <c r="H3274" s="49"/>
      <c r="I3274" s="49"/>
      <c r="J3274" s="49"/>
      <c r="K3274" s="49"/>
      <c r="L3274" s="49"/>
      <c r="M3274" s="49"/>
    </row>
    <row r="3275" spans="5:13">
      <c r="E3275" s="49"/>
      <c r="F3275" s="49"/>
      <c r="G3275" s="49"/>
      <c r="H3275" s="49"/>
      <c r="I3275" s="49"/>
      <c r="J3275" s="49"/>
      <c r="K3275" s="49"/>
      <c r="L3275" s="49"/>
      <c r="M3275" s="49"/>
    </row>
    <row r="3276" spans="5:13">
      <c r="E3276" s="49"/>
      <c r="F3276" s="49"/>
      <c r="G3276" s="49"/>
      <c r="H3276" s="49"/>
      <c r="I3276" s="49"/>
      <c r="J3276" s="49"/>
      <c r="K3276" s="49"/>
      <c r="L3276" s="49"/>
      <c r="M3276" s="49"/>
    </row>
    <row r="3277" spans="5:13">
      <c r="E3277" s="49"/>
      <c r="F3277" s="49"/>
      <c r="G3277" s="49"/>
      <c r="H3277" s="49"/>
      <c r="I3277" s="49"/>
      <c r="J3277" s="49"/>
      <c r="K3277" s="49"/>
      <c r="L3277" s="49"/>
      <c r="M3277" s="49"/>
    </row>
    <row r="3278" spans="5:13">
      <c r="E3278" s="49"/>
      <c r="F3278" s="49"/>
      <c r="G3278" s="49"/>
      <c r="H3278" s="49"/>
      <c r="I3278" s="49"/>
      <c r="J3278" s="49"/>
      <c r="K3278" s="49"/>
      <c r="L3278" s="49"/>
      <c r="M3278" s="49"/>
    </row>
    <row r="3279" spans="5:13">
      <c r="E3279" s="49"/>
      <c r="F3279" s="49"/>
      <c r="G3279" s="49"/>
      <c r="H3279" s="49"/>
      <c r="I3279" s="49"/>
      <c r="J3279" s="49"/>
      <c r="K3279" s="49"/>
      <c r="L3279" s="49"/>
      <c r="M3279" s="49"/>
    </row>
    <row r="3280" spans="5:13">
      <c r="E3280" s="49"/>
      <c r="F3280" s="49"/>
      <c r="G3280" s="49"/>
      <c r="H3280" s="49"/>
      <c r="I3280" s="49"/>
      <c r="J3280" s="49"/>
      <c r="K3280" s="49"/>
      <c r="L3280" s="49"/>
      <c r="M3280" s="49"/>
    </row>
    <row r="3281" spans="5:13">
      <c r="E3281" s="49"/>
      <c r="F3281" s="49"/>
      <c r="G3281" s="49"/>
      <c r="H3281" s="49"/>
      <c r="I3281" s="49"/>
      <c r="J3281" s="49"/>
      <c r="K3281" s="49"/>
      <c r="L3281" s="49"/>
      <c r="M3281" s="49"/>
    </row>
    <row r="3282" spans="5:13">
      <c r="E3282" s="49"/>
      <c r="F3282" s="49"/>
      <c r="G3282" s="49"/>
      <c r="H3282" s="49"/>
      <c r="I3282" s="49"/>
      <c r="J3282" s="49"/>
      <c r="K3282" s="49"/>
      <c r="L3282" s="49"/>
      <c r="M3282" s="49"/>
    </row>
    <row r="3283" spans="5:13">
      <c r="E3283" s="49"/>
      <c r="F3283" s="49"/>
      <c r="G3283" s="49"/>
      <c r="H3283" s="49"/>
      <c r="I3283" s="49"/>
      <c r="J3283" s="49"/>
      <c r="K3283" s="49"/>
      <c r="L3283" s="49"/>
      <c r="M3283" s="49"/>
    </row>
    <row r="3284" spans="5:13">
      <c r="E3284" s="49"/>
      <c r="F3284" s="49"/>
      <c r="G3284" s="49"/>
      <c r="H3284" s="49"/>
      <c r="I3284" s="49"/>
      <c r="J3284" s="49"/>
      <c r="K3284" s="49"/>
      <c r="L3284" s="49"/>
      <c r="M3284" s="49"/>
    </row>
    <row r="3285" spans="5:13">
      <c r="E3285" s="49"/>
      <c r="F3285" s="49"/>
      <c r="G3285" s="49"/>
      <c r="H3285" s="49"/>
      <c r="I3285" s="49"/>
      <c r="J3285" s="49"/>
      <c r="K3285" s="49"/>
      <c r="L3285" s="49"/>
      <c r="M3285" s="49"/>
    </row>
    <row r="3286" spans="5:13">
      <c r="E3286" s="49"/>
      <c r="F3286" s="49"/>
      <c r="G3286" s="49"/>
      <c r="H3286" s="49"/>
      <c r="I3286" s="49"/>
      <c r="J3286" s="49"/>
      <c r="K3286" s="49"/>
      <c r="L3286" s="49"/>
      <c r="M3286" s="49"/>
    </row>
    <row r="3287" spans="5:13">
      <c r="E3287" s="49"/>
      <c r="F3287" s="49"/>
      <c r="G3287" s="49"/>
      <c r="H3287" s="49"/>
      <c r="I3287" s="49"/>
      <c r="J3287" s="49"/>
      <c r="K3287" s="49"/>
      <c r="L3287" s="49"/>
      <c r="M3287" s="49"/>
    </row>
    <row r="3288" spans="5:13">
      <c r="E3288" s="49"/>
      <c r="F3288" s="49"/>
      <c r="G3288" s="49"/>
      <c r="H3288" s="49"/>
      <c r="I3288" s="49"/>
      <c r="J3288" s="49"/>
      <c r="K3288" s="49"/>
      <c r="L3288" s="49"/>
      <c r="M3288" s="49"/>
    </row>
    <row r="3289" spans="5:13">
      <c r="E3289" s="49"/>
      <c r="F3289" s="49"/>
      <c r="G3289" s="49"/>
      <c r="H3289" s="49"/>
      <c r="I3289" s="49"/>
      <c r="J3289" s="49"/>
      <c r="K3289" s="49"/>
      <c r="L3289" s="49"/>
      <c r="M3289" s="49"/>
    </row>
    <row r="3290" spans="5:13">
      <c r="E3290" s="49"/>
      <c r="F3290" s="49"/>
      <c r="G3290" s="49"/>
      <c r="H3290" s="49"/>
      <c r="I3290" s="49"/>
      <c r="J3290" s="49"/>
      <c r="K3290" s="49"/>
      <c r="L3290" s="49"/>
      <c r="M3290" s="49"/>
    </row>
    <row r="3291" spans="5:13">
      <c r="E3291" s="49"/>
      <c r="F3291" s="49"/>
      <c r="G3291" s="49"/>
      <c r="H3291" s="49"/>
      <c r="I3291" s="49"/>
      <c r="J3291" s="49"/>
      <c r="K3291" s="49"/>
      <c r="L3291" s="49"/>
      <c r="M3291" s="49"/>
    </row>
    <row r="3292" spans="5:13">
      <c r="E3292" s="49"/>
      <c r="F3292" s="49"/>
      <c r="G3292" s="49"/>
      <c r="H3292" s="49"/>
      <c r="I3292" s="49"/>
      <c r="J3292" s="49"/>
      <c r="K3292" s="49"/>
      <c r="L3292" s="49"/>
      <c r="M3292" s="49"/>
    </row>
    <row r="3293" spans="5:13">
      <c r="E3293" s="49"/>
      <c r="F3293" s="49"/>
      <c r="G3293" s="49"/>
      <c r="H3293" s="49"/>
      <c r="I3293" s="49"/>
      <c r="J3293" s="49"/>
      <c r="K3293" s="49"/>
      <c r="L3293" s="49"/>
      <c r="M3293" s="49"/>
    </row>
    <row r="3294" spans="5:13">
      <c r="E3294" s="49"/>
      <c r="F3294" s="49"/>
      <c r="G3294" s="49"/>
      <c r="H3294" s="49"/>
      <c r="I3294" s="49"/>
      <c r="J3294" s="49"/>
      <c r="K3294" s="49"/>
      <c r="L3294" s="49"/>
      <c r="M3294" s="49"/>
    </row>
    <row r="3295" spans="5:13">
      <c r="E3295" s="49"/>
      <c r="F3295" s="49"/>
      <c r="G3295" s="49"/>
      <c r="H3295" s="49"/>
      <c r="I3295" s="49"/>
      <c r="J3295" s="49"/>
      <c r="K3295" s="49"/>
      <c r="L3295" s="49"/>
      <c r="M3295" s="49"/>
    </row>
    <row r="3296" spans="5:13">
      <c r="E3296" s="49"/>
      <c r="F3296" s="49"/>
      <c r="G3296" s="49"/>
      <c r="H3296" s="49"/>
      <c r="I3296" s="49"/>
      <c r="J3296" s="49"/>
      <c r="K3296" s="49"/>
      <c r="L3296" s="49"/>
      <c r="M3296" s="49"/>
    </row>
    <row r="3297" spans="5:13">
      <c r="E3297" s="49"/>
      <c r="F3297" s="49"/>
      <c r="G3297" s="49"/>
      <c r="H3297" s="49"/>
      <c r="I3297" s="49"/>
      <c r="J3297" s="49"/>
      <c r="K3297" s="49"/>
      <c r="L3297" s="49"/>
      <c r="M3297" s="49"/>
    </row>
    <row r="3298" spans="5:13">
      <c r="E3298" s="49"/>
      <c r="F3298" s="49"/>
      <c r="G3298" s="49"/>
      <c r="H3298" s="49"/>
      <c r="I3298" s="49"/>
      <c r="J3298" s="49"/>
      <c r="K3298" s="49"/>
      <c r="L3298" s="49"/>
      <c r="M3298" s="49"/>
    </row>
    <row r="3299" spans="5:13">
      <c r="E3299" s="49"/>
      <c r="F3299" s="49"/>
      <c r="G3299" s="49"/>
      <c r="H3299" s="49"/>
      <c r="I3299" s="49"/>
      <c r="J3299" s="49"/>
      <c r="K3299" s="49"/>
      <c r="L3299" s="49"/>
      <c r="M3299" s="49"/>
    </row>
    <row r="3300" spans="5:13">
      <c r="E3300" s="49"/>
      <c r="F3300" s="49"/>
      <c r="G3300" s="49"/>
      <c r="H3300" s="49"/>
      <c r="I3300" s="49"/>
      <c r="J3300" s="49"/>
      <c r="K3300" s="49"/>
      <c r="L3300" s="49"/>
      <c r="M3300" s="49"/>
    </row>
    <row r="3301" spans="5:13">
      <c r="E3301" s="49"/>
      <c r="F3301" s="49"/>
      <c r="G3301" s="49"/>
      <c r="H3301" s="49"/>
      <c r="I3301" s="49"/>
      <c r="J3301" s="49"/>
      <c r="K3301" s="49"/>
      <c r="L3301" s="49"/>
      <c r="M3301" s="49"/>
    </row>
    <row r="3302" spans="5:13">
      <c r="E3302" s="49"/>
      <c r="F3302" s="49"/>
      <c r="G3302" s="49"/>
      <c r="H3302" s="49"/>
      <c r="I3302" s="49"/>
      <c r="J3302" s="49"/>
      <c r="K3302" s="49"/>
      <c r="L3302" s="49"/>
      <c r="M3302" s="49"/>
    </row>
    <row r="3303" spans="5:13">
      <c r="E3303" s="49"/>
      <c r="F3303" s="49"/>
      <c r="G3303" s="49"/>
      <c r="H3303" s="49"/>
      <c r="I3303" s="49"/>
      <c r="J3303" s="49"/>
      <c r="K3303" s="49"/>
      <c r="L3303" s="49"/>
      <c r="M3303" s="49"/>
    </row>
    <row r="3304" spans="5:13">
      <c r="E3304" s="49"/>
      <c r="F3304" s="49"/>
      <c r="G3304" s="49"/>
      <c r="H3304" s="49"/>
      <c r="I3304" s="49"/>
      <c r="J3304" s="49"/>
      <c r="K3304" s="49"/>
      <c r="L3304" s="49"/>
      <c r="M3304" s="49"/>
    </row>
    <row r="3305" spans="5:13">
      <c r="E3305" s="49"/>
      <c r="F3305" s="49"/>
      <c r="G3305" s="49"/>
      <c r="H3305" s="49"/>
      <c r="I3305" s="49"/>
      <c r="J3305" s="49"/>
      <c r="K3305" s="49"/>
      <c r="L3305" s="49"/>
      <c r="M3305" s="49"/>
    </row>
    <row r="3306" spans="5:13">
      <c r="E3306" s="49"/>
      <c r="F3306" s="49"/>
      <c r="G3306" s="49"/>
      <c r="H3306" s="49"/>
      <c r="I3306" s="49"/>
      <c r="J3306" s="49"/>
      <c r="K3306" s="49"/>
      <c r="L3306" s="49"/>
      <c r="M3306" s="49"/>
    </row>
    <row r="3307" spans="5:13">
      <c r="E3307" s="49"/>
      <c r="F3307" s="49"/>
      <c r="G3307" s="49"/>
      <c r="H3307" s="49"/>
      <c r="I3307" s="49"/>
      <c r="J3307" s="49"/>
      <c r="K3307" s="49"/>
      <c r="L3307" s="49"/>
      <c r="M3307" s="49"/>
    </row>
    <row r="3308" spans="5:13">
      <c r="E3308" s="49"/>
      <c r="F3308" s="49"/>
      <c r="G3308" s="49"/>
      <c r="H3308" s="49"/>
      <c r="I3308" s="49"/>
      <c r="J3308" s="49"/>
      <c r="K3308" s="49"/>
      <c r="L3308" s="49"/>
      <c r="M3308" s="49"/>
    </row>
    <row r="3309" spans="5:13">
      <c r="E3309" s="49"/>
      <c r="F3309" s="49"/>
      <c r="G3309" s="49"/>
      <c r="H3309" s="49"/>
      <c r="I3309" s="49"/>
      <c r="J3309" s="49"/>
      <c r="K3309" s="49"/>
      <c r="L3309" s="49"/>
      <c r="M3309" s="49"/>
    </row>
    <row r="3310" spans="5:13">
      <c r="E3310" s="49"/>
      <c r="F3310" s="49"/>
      <c r="G3310" s="49"/>
      <c r="H3310" s="49"/>
      <c r="I3310" s="49"/>
      <c r="J3310" s="49"/>
      <c r="K3310" s="49"/>
      <c r="L3310" s="49"/>
      <c r="M3310" s="49"/>
    </row>
    <row r="3311" spans="5:13">
      <c r="E3311" s="49"/>
      <c r="F3311" s="49"/>
      <c r="G3311" s="49"/>
      <c r="H3311" s="49"/>
      <c r="I3311" s="49"/>
      <c r="J3311" s="49"/>
      <c r="K3311" s="49"/>
      <c r="L3311" s="49"/>
      <c r="M3311" s="49"/>
    </row>
    <row r="3312" spans="5:13">
      <c r="E3312" s="49"/>
      <c r="F3312" s="49"/>
      <c r="G3312" s="49"/>
      <c r="H3312" s="49"/>
      <c r="I3312" s="49"/>
      <c r="J3312" s="49"/>
      <c r="K3312" s="49"/>
      <c r="L3312" s="49"/>
      <c r="M3312" s="49"/>
    </row>
    <row r="3313" spans="5:13">
      <c r="E3313" s="49"/>
      <c r="F3313" s="49"/>
      <c r="G3313" s="49"/>
      <c r="H3313" s="49"/>
      <c r="I3313" s="49"/>
      <c r="J3313" s="49"/>
      <c r="K3313" s="49"/>
      <c r="L3313" s="49"/>
      <c r="M3313" s="49"/>
    </row>
    <row r="3314" spans="5:13">
      <c r="E3314" s="49"/>
      <c r="F3314" s="49"/>
      <c r="G3314" s="49"/>
      <c r="H3314" s="49"/>
      <c r="I3314" s="49"/>
      <c r="J3314" s="49"/>
      <c r="K3314" s="49"/>
      <c r="L3314" s="49"/>
      <c r="M3314" s="49"/>
    </row>
    <row r="3315" spans="5:13">
      <c r="E3315" s="49"/>
      <c r="F3315" s="49"/>
      <c r="G3315" s="49"/>
      <c r="H3315" s="49"/>
      <c r="I3315" s="49"/>
      <c r="J3315" s="49"/>
      <c r="K3315" s="49"/>
      <c r="L3315" s="49"/>
      <c r="M3315" s="49"/>
    </row>
    <row r="3316" spans="5:13">
      <c r="E3316" s="49"/>
      <c r="F3316" s="49"/>
      <c r="G3316" s="49"/>
      <c r="H3316" s="49"/>
      <c r="I3316" s="49"/>
      <c r="J3316" s="49"/>
      <c r="K3316" s="49"/>
      <c r="L3316" s="49"/>
      <c r="M3316" s="49"/>
    </row>
    <row r="3317" spans="5:13">
      <c r="E3317" s="49"/>
      <c r="F3317" s="49"/>
      <c r="G3317" s="49"/>
      <c r="H3317" s="49"/>
      <c r="I3317" s="49"/>
      <c r="J3317" s="49"/>
      <c r="K3317" s="49"/>
      <c r="L3317" s="49"/>
      <c r="M3317" s="49"/>
    </row>
    <row r="3318" spans="5:13">
      <c r="E3318" s="49"/>
      <c r="F3318" s="49"/>
      <c r="G3318" s="49"/>
      <c r="H3318" s="49"/>
      <c r="I3318" s="49"/>
      <c r="J3318" s="49"/>
      <c r="K3318" s="49"/>
      <c r="L3318" s="49"/>
      <c r="M3318" s="49"/>
    </row>
    <row r="3319" spans="5:13">
      <c r="E3319" s="49"/>
      <c r="F3319" s="49"/>
      <c r="G3319" s="49"/>
      <c r="H3319" s="49"/>
      <c r="I3319" s="49"/>
      <c r="J3319" s="49"/>
      <c r="K3319" s="49"/>
      <c r="L3319" s="49"/>
      <c r="M3319" s="49"/>
    </row>
    <row r="3320" spans="5:13">
      <c r="E3320" s="49"/>
      <c r="F3320" s="49"/>
      <c r="G3320" s="49"/>
      <c r="H3320" s="49"/>
      <c r="I3320" s="49"/>
      <c r="J3320" s="49"/>
      <c r="K3320" s="49"/>
      <c r="L3320" s="49"/>
      <c r="M3320" s="49"/>
    </row>
    <row r="3321" spans="5:13">
      <c r="E3321" s="49"/>
      <c r="F3321" s="49"/>
      <c r="G3321" s="49"/>
      <c r="H3321" s="49"/>
      <c r="I3321" s="49"/>
      <c r="J3321" s="49"/>
      <c r="K3321" s="49"/>
      <c r="L3321" s="49"/>
      <c r="M3321" s="49"/>
    </row>
    <row r="3322" spans="5:13">
      <c r="E3322" s="49"/>
      <c r="F3322" s="49"/>
      <c r="G3322" s="49"/>
      <c r="H3322" s="49"/>
      <c r="I3322" s="49"/>
      <c r="J3322" s="49"/>
      <c r="K3322" s="49"/>
      <c r="L3322" s="49"/>
      <c r="M3322" s="49"/>
    </row>
    <row r="3323" spans="5:13">
      <c r="E3323" s="49"/>
      <c r="F3323" s="49"/>
      <c r="G3323" s="49"/>
      <c r="H3323" s="49"/>
      <c r="I3323" s="49"/>
      <c r="J3323" s="49"/>
      <c r="K3323" s="49"/>
      <c r="L3323" s="49"/>
      <c r="M3323" s="49"/>
    </row>
    <row r="3324" spans="5:13">
      <c r="E3324" s="49"/>
      <c r="F3324" s="49"/>
      <c r="G3324" s="49"/>
      <c r="H3324" s="49"/>
      <c r="I3324" s="49"/>
      <c r="J3324" s="49"/>
      <c r="K3324" s="49"/>
      <c r="L3324" s="49"/>
      <c r="M3324" s="49"/>
    </row>
    <row r="3325" spans="5:13">
      <c r="E3325" s="49"/>
      <c r="F3325" s="49"/>
      <c r="G3325" s="49"/>
      <c r="H3325" s="49"/>
      <c r="I3325" s="49"/>
      <c r="J3325" s="49"/>
      <c r="K3325" s="49"/>
      <c r="L3325" s="49"/>
      <c r="M3325" s="49"/>
    </row>
    <row r="3326" spans="5:13">
      <c r="E3326" s="49"/>
      <c r="F3326" s="49"/>
      <c r="G3326" s="49"/>
      <c r="H3326" s="49"/>
      <c r="I3326" s="49"/>
      <c r="J3326" s="49"/>
      <c r="K3326" s="49"/>
      <c r="L3326" s="49"/>
      <c r="M3326" s="49"/>
    </row>
    <row r="3327" spans="5:13">
      <c r="E3327" s="49"/>
      <c r="F3327" s="49"/>
      <c r="G3327" s="49"/>
      <c r="H3327" s="49"/>
      <c r="I3327" s="49"/>
      <c r="J3327" s="49"/>
      <c r="K3327" s="49"/>
      <c r="L3327" s="49"/>
      <c r="M3327" s="49"/>
    </row>
    <row r="3328" spans="5:13">
      <c r="E3328" s="49"/>
      <c r="F3328" s="49"/>
      <c r="G3328" s="49"/>
      <c r="H3328" s="49"/>
      <c r="I3328" s="49"/>
      <c r="J3328" s="49"/>
      <c r="K3328" s="49"/>
      <c r="L3328" s="49"/>
      <c r="M3328" s="49"/>
    </row>
    <row r="3329" spans="5:13">
      <c r="E3329" s="49"/>
      <c r="F3329" s="49"/>
      <c r="G3329" s="49"/>
      <c r="H3329" s="49"/>
      <c r="I3329" s="49"/>
      <c r="J3329" s="49"/>
      <c r="K3329" s="49"/>
      <c r="L3329" s="49"/>
      <c r="M3329" s="49"/>
    </row>
    <row r="3330" spans="5:13">
      <c r="E3330" s="49"/>
      <c r="F3330" s="49"/>
      <c r="G3330" s="49"/>
      <c r="H3330" s="49"/>
      <c r="I3330" s="49"/>
      <c r="J3330" s="49"/>
      <c r="K3330" s="49"/>
      <c r="L3330" s="49"/>
      <c r="M3330" s="49"/>
    </row>
    <row r="3331" spans="5:13">
      <c r="E3331" s="49"/>
      <c r="F3331" s="49"/>
      <c r="G3331" s="49"/>
      <c r="H3331" s="49"/>
      <c r="I3331" s="49"/>
      <c r="J3331" s="49"/>
      <c r="K3331" s="49"/>
      <c r="L3331" s="49"/>
      <c r="M3331" s="49"/>
    </row>
    <row r="3332" spans="5:13">
      <c r="E3332" s="49"/>
      <c r="F3332" s="49"/>
      <c r="G3332" s="49"/>
      <c r="H3332" s="49"/>
      <c r="I3332" s="49"/>
      <c r="J3332" s="49"/>
      <c r="K3332" s="49"/>
      <c r="L3332" s="49"/>
      <c r="M3332" s="49"/>
    </row>
    <row r="3333" spans="5:13">
      <c r="E3333" s="49"/>
      <c r="F3333" s="49"/>
      <c r="G3333" s="49"/>
      <c r="H3333" s="49"/>
      <c r="I3333" s="49"/>
      <c r="J3333" s="49"/>
      <c r="K3333" s="49"/>
      <c r="L3333" s="49"/>
      <c r="M3333" s="49"/>
    </row>
    <row r="3334" spans="5:13">
      <c r="E3334" s="49"/>
      <c r="F3334" s="49"/>
      <c r="G3334" s="49"/>
      <c r="H3334" s="49"/>
      <c r="I3334" s="49"/>
      <c r="J3334" s="49"/>
      <c r="K3334" s="49"/>
      <c r="L3334" s="49"/>
      <c r="M3334" s="49"/>
    </row>
    <row r="3335" spans="5:13">
      <c r="E3335" s="49"/>
      <c r="F3335" s="49"/>
      <c r="G3335" s="49"/>
      <c r="H3335" s="49"/>
      <c r="I3335" s="49"/>
      <c r="J3335" s="49"/>
      <c r="K3335" s="49"/>
      <c r="L3335" s="49"/>
      <c r="M3335" s="49"/>
    </row>
    <row r="3336" spans="5:13">
      <c r="E3336" s="49"/>
      <c r="F3336" s="49"/>
      <c r="G3336" s="49"/>
      <c r="H3336" s="49"/>
      <c r="I3336" s="49"/>
      <c r="J3336" s="49"/>
      <c r="K3336" s="49"/>
      <c r="L3336" s="49"/>
      <c r="M3336" s="49"/>
    </row>
    <row r="3337" spans="5:13">
      <c r="E3337" s="49"/>
      <c r="F3337" s="49"/>
      <c r="G3337" s="49"/>
      <c r="H3337" s="49"/>
      <c r="I3337" s="49"/>
      <c r="J3337" s="49"/>
      <c r="K3337" s="49"/>
      <c r="L3337" s="49"/>
      <c r="M3337" s="49"/>
    </row>
    <row r="3338" spans="5:13">
      <c r="E3338" s="49"/>
      <c r="F3338" s="49"/>
      <c r="G3338" s="49"/>
      <c r="H3338" s="49"/>
      <c r="I3338" s="49"/>
      <c r="J3338" s="49"/>
      <c r="K3338" s="49"/>
      <c r="L3338" s="49"/>
      <c r="M3338" s="49"/>
    </row>
    <row r="3339" spans="5:13">
      <c r="E3339" s="49"/>
      <c r="F3339" s="49"/>
      <c r="G3339" s="49"/>
      <c r="H3339" s="49"/>
      <c r="I3339" s="49"/>
      <c r="J3339" s="49"/>
      <c r="K3339" s="49"/>
      <c r="L3339" s="49"/>
      <c r="M3339" s="49"/>
    </row>
    <row r="3340" spans="5:13">
      <c r="E3340" s="49"/>
      <c r="F3340" s="49"/>
      <c r="G3340" s="49"/>
      <c r="H3340" s="49"/>
      <c r="I3340" s="49"/>
      <c r="J3340" s="49"/>
      <c r="K3340" s="49"/>
      <c r="L3340" s="49"/>
      <c r="M3340" s="49"/>
    </row>
    <row r="3341" spans="5:13">
      <c r="E3341" s="49"/>
      <c r="F3341" s="49"/>
      <c r="G3341" s="49"/>
      <c r="H3341" s="49"/>
      <c r="I3341" s="49"/>
      <c r="J3341" s="49"/>
      <c r="K3341" s="49"/>
      <c r="L3341" s="49"/>
      <c r="M3341" s="49"/>
    </row>
    <row r="3342" spans="5:13">
      <c r="E3342" s="49"/>
      <c r="F3342" s="49"/>
      <c r="G3342" s="49"/>
      <c r="H3342" s="49"/>
      <c r="I3342" s="49"/>
      <c r="J3342" s="49"/>
      <c r="K3342" s="49"/>
      <c r="L3342" s="49"/>
      <c r="M3342" s="49"/>
    </row>
    <row r="3343" spans="5:13">
      <c r="E3343" s="49"/>
      <c r="F3343" s="49"/>
      <c r="G3343" s="49"/>
      <c r="H3343" s="49"/>
      <c r="I3343" s="49"/>
      <c r="J3343" s="49"/>
      <c r="K3343" s="49"/>
      <c r="L3343" s="49"/>
      <c r="M3343" s="49"/>
    </row>
    <row r="3344" spans="5:13">
      <c r="E3344" s="49"/>
      <c r="F3344" s="49"/>
      <c r="G3344" s="49"/>
      <c r="H3344" s="49"/>
      <c r="I3344" s="49"/>
      <c r="J3344" s="49"/>
      <c r="K3344" s="49"/>
      <c r="L3344" s="49"/>
      <c r="M3344" s="49"/>
    </row>
    <row r="3345" spans="5:13">
      <c r="E3345" s="49"/>
      <c r="F3345" s="49"/>
      <c r="G3345" s="49"/>
      <c r="H3345" s="49"/>
      <c r="I3345" s="49"/>
      <c r="J3345" s="49"/>
      <c r="K3345" s="49"/>
      <c r="L3345" s="49"/>
      <c r="M3345" s="49"/>
    </row>
    <row r="3346" spans="5:13">
      <c r="E3346" s="49"/>
      <c r="F3346" s="49"/>
      <c r="G3346" s="49"/>
      <c r="H3346" s="49"/>
      <c r="I3346" s="49"/>
      <c r="J3346" s="49"/>
      <c r="K3346" s="49"/>
      <c r="L3346" s="49"/>
      <c r="M3346" s="49"/>
    </row>
    <row r="3347" spans="5:13">
      <c r="E3347" s="49"/>
      <c r="F3347" s="49"/>
      <c r="G3347" s="49"/>
      <c r="H3347" s="49"/>
      <c r="I3347" s="49"/>
      <c r="J3347" s="49"/>
      <c r="K3347" s="49"/>
      <c r="L3347" s="49"/>
      <c r="M3347" s="49"/>
    </row>
    <row r="3348" spans="5:13">
      <c r="E3348" s="49"/>
      <c r="F3348" s="49"/>
      <c r="G3348" s="49"/>
      <c r="H3348" s="49"/>
      <c r="I3348" s="49"/>
      <c r="J3348" s="49"/>
      <c r="K3348" s="49"/>
      <c r="L3348" s="49"/>
      <c r="M3348" s="49"/>
    </row>
    <row r="3349" spans="5:13">
      <c r="E3349" s="49"/>
      <c r="F3349" s="49"/>
      <c r="G3349" s="49"/>
      <c r="H3349" s="49"/>
      <c r="I3349" s="49"/>
      <c r="J3349" s="49"/>
      <c r="K3349" s="49"/>
      <c r="L3349" s="49"/>
      <c r="M3349" s="49"/>
    </row>
    <row r="3350" spans="5:13">
      <c r="E3350" s="49"/>
      <c r="F3350" s="49"/>
      <c r="G3350" s="49"/>
      <c r="H3350" s="49"/>
      <c r="I3350" s="49"/>
      <c r="J3350" s="49"/>
      <c r="K3350" s="49"/>
      <c r="L3350" s="49"/>
      <c r="M3350" s="49"/>
    </row>
    <row r="3351" spans="5:13">
      <c r="E3351" s="49"/>
      <c r="F3351" s="49"/>
      <c r="G3351" s="49"/>
      <c r="H3351" s="49"/>
      <c r="I3351" s="49"/>
      <c r="J3351" s="49"/>
      <c r="K3351" s="49"/>
      <c r="L3351" s="49"/>
      <c r="M3351" s="49"/>
    </row>
    <row r="3352" spans="5:13">
      <c r="E3352" s="49"/>
      <c r="F3352" s="49"/>
      <c r="G3352" s="49"/>
      <c r="H3352" s="49"/>
      <c r="I3352" s="49"/>
      <c r="J3352" s="49"/>
      <c r="K3352" s="49"/>
      <c r="L3352" s="49"/>
      <c r="M3352" s="49"/>
    </row>
    <row r="3353" spans="5:13">
      <c r="E3353" s="49"/>
      <c r="F3353" s="49"/>
      <c r="G3353" s="49"/>
      <c r="H3353" s="49"/>
      <c r="I3353" s="49"/>
      <c r="J3353" s="49"/>
      <c r="K3353" s="49"/>
      <c r="L3353" s="49"/>
      <c r="M3353" s="49"/>
    </row>
    <row r="3354" spans="5:13">
      <c r="E3354" s="49"/>
      <c r="F3354" s="49"/>
      <c r="G3354" s="49"/>
      <c r="H3354" s="49"/>
      <c r="I3354" s="49"/>
      <c r="J3354" s="49"/>
      <c r="K3354" s="49"/>
      <c r="L3354" s="49"/>
      <c r="M3354" s="49"/>
    </row>
    <row r="3355" spans="5:13">
      <c r="E3355" s="49"/>
      <c r="F3355" s="49"/>
      <c r="G3355" s="49"/>
      <c r="H3355" s="49"/>
      <c r="I3355" s="49"/>
      <c r="J3355" s="49"/>
      <c r="K3355" s="49"/>
      <c r="L3355" s="49"/>
      <c r="M3355" s="49"/>
    </row>
    <row r="3356" spans="5:13">
      <c r="E3356" s="49"/>
      <c r="F3356" s="49"/>
      <c r="G3356" s="49"/>
      <c r="H3356" s="49"/>
      <c r="I3356" s="49"/>
      <c r="J3356" s="49"/>
      <c r="K3356" s="49"/>
      <c r="L3356" s="49"/>
      <c r="M3356" s="49"/>
    </row>
    <row r="3357" spans="5:13">
      <c r="E3357" s="49"/>
      <c r="F3357" s="49"/>
      <c r="G3357" s="49"/>
      <c r="H3357" s="49"/>
      <c r="I3357" s="49"/>
      <c r="J3357" s="49"/>
      <c r="K3357" s="49"/>
      <c r="L3357" s="49"/>
      <c r="M3357" s="49"/>
    </row>
    <row r="3358" spans="5:13">
      <c r="E3358" s="49"/>
      <c r="F3358" s="49"/>
      <c r="G3358" s="49"/>
      <c r="H3358" s="49"/>
      <c r="I3358" s="49"/>
      <c r="J3358" s="49"/>
      <c r="K3358" s="49"/>
      <c r="L3358" s="49"/>
      <c r="M3358" s="49"/>
    </row>
    <row r="3359" spans="5:13">
      <c r="E3359" s="49"/>
      <c r="F3359" s="49"/>
      <c r="G3359" s="49"/>
      <c r="H3359" s="49"/>
      <c r="I3359" s="49"/>
      <c r="J3359" s="49"/>
      <c r="K3359" s="49"/>
      <c r="L3359" s="49"/>
      <c r="M3359" s="49"/>
    </row>
    <row r="3360" spans="5:13">
      <c r="E3360" s="49"/>
      <c r="F3360" s="49"/>
      <c r="G3360" s="49"/>
      <c r="H3360" s="49"/>
      <c r="I3360" s="49"/>
      <c r="J3360" s="49"/>
      <c r="K3360" s="49"/>
      <c r="L3360" s="49"/>
      <c r="M3360" s="49"/>
    </row>
    <row r="3361" spans="5:13">
      <c r="E3361" s="49"/>
      <c r="F3361" s="49"/>
      <c r="G3361" s="49"/>
      <c r="H3361" s="49"/>
      <c r="I3361" s="49"/>
      <c r="J3361" s="49"/>
      <c r="K3361" s="49"/>
      <c r="L3361" s="49"/>
      <c r="M3361" s="49"/>
    </row>
    <row r="3362" spans="5:13">
      <c r="E3362" s="49"/>
      <c r="F3362" s="49"/>
      <c r="G3362" s="49"/>
      <c r="H3362" s="49"/>
      <c r="I3362" s="49"/>
      <c r="J3362" s="49"/>
      <c r="K3362" s="49"/>
      <c r="L3362" s="49"/>
      <c r="M3362" s="49"/>
    </row>
    <row r="3363" spans="5:13">
      <c r="E3363" s="49"/>
      <c r="F3363" s="49"/>
      <c r="G3363" s="49"/>
      <c r="H3363" s="49"/>
      <c r="I3363" s="49"/>
      <c r="J3363" s="49"/>
      <c r="K3363" s="49"/>
      <c r="L3363" s="49"/>
      <c r="M3363" s="49"/>
    </row>
    <row r="3364" spans="5:13">
      <c r="E3364" s="49"/>
      <c r="F3364" s="49"/>
      <c r="G3364" s="49"/>
      <c r="H3364" s="49"/>
      <c r="I3364" s="49"/>
      <c r="J3364" s="49"/>
      <c r="K3364" s="49"/>
      <c r="L3364" s="49"/>
      <c r="M3364" s="49"/>
    </row>
    <row r="3365" spans="5:13">
      <c r="E3365" s="49"/>
      <c r="F3365" s="49"/>
      <c r="G3365" s="49"/>
      <c r="H3365" s="49"/>
      <c r="I3365" s="49"/>
      <c r="J3365" s="49"/>
      <c r="K3365" s="49"/>
      <c r="L3365" s="49"/>
      <c r="M3365" s="49"/>
    </row>
    <row r="3366" spans="5:13">
      <c r="E3366" s="49"/>
      <c r="F3366" s="49"/>
      <c r="G3366" s="49"/>
      <c r="H3366" s="49"/>
      <c r="I3366" s="49"/>
      <c r="J3366" s="49"/>
      <c r="K3366" s="49"/>
      <c r="L3366" s="49"/>
      <c r="M3366" s="49"/>
    </row>
    <row r="3367" spans="5:13">
      <c r="E3367" s="49"/>
      <c r="F3367" s="49"/>
      <c r="G3367" s="49"/>
      <c r="H3367" s="49"/>
      <c r="I3367" s="49"/>
      <c r="J3367" s="49"/>
      <c r="K3367" s="49"/>
      <c r="L3367" s="49"/>
      <c r="M3367" s="49"/>
    </row>
    <row r="3368" spans="5:13">
      <c r="E3368" s="49"/>
      <c r="F3368" s="49"/>
      <c r="G3368" s="49"/>
      <c r="H3368" s="49"/>
      <c r="I3368" s="49"/>
      <c r="J3368" s="49"/>
      <c r="K3368" s="49"/>
      <c r="L3368" s="49"/>
      <c r="M3368" s="49"/>
    </row>
    <row r="3369" spans="5:13">
      <c r="E3369" s="49"/>
      <c r="F3369" s="49"/>
      <c r="G3369" s="49"/>
      <c r="H3369" s="49"/>
      <c r="I3369" s="49"/>
      <c r="J3369" s="49"/>
      <c r="K3369" s="49"/>
      <c r="L3369" s="49"/>
      <c r="M3369" s="49"/>
    </row>
    <row r="3370" spans="5:13">
      <c r="E3370" s="49"/>
      <c r="F3370" s="49"/>
      <c r="G3370" s="49"/>
      <c r="H3370" s="49"/>
      <c r="I3370" s="49"/>
      <c r="J3370" s="49"/>
      <c r="K3370" s="49"/>
      <c r="L3370" s="49"/>
      <c r="M3370" s="49"/>
    </row>
    <row r="3371" spans="5:13">
      <c r="E3371" s="49"/>
      <c r="F3371" s="49"/>
      <c r="G3371" s="49"/>
      <c r="H3371" s="49"/>
      <c r="I3371" s="49"/>
      <c r="J3371" s="49"/>
      <c r="K3371" s="49"/>
      <c r="L3371" s="49"/>
      <c r="M3371" s="49"/>
    </row>
    <row r="3372" spans="5:13">
      <c r="E3372" s="49"/>
      <c r="F3372" s="49"/>
      <c r="G3372" s="49"/>
      <c r="H3372" s="49"/>
      <c r="I3372" s="49"/>
      <c r="J3372" s="49"/>
      <c r="K3372" s="49"/>
      <c r="L3372" s="49"/>
      <c r="M3372" s="49"/>
    </row>
    <row r="3373" spans="5:13">
      <c r="E3373" s="49"/>
      <c r="F3373" s="49"/>
      <c r="G3373" s="49"/>
      <c r="H3373" s="49"/>
      <c r="I3373" s="49"/>
      <c r="J3373" s="49"/>
      <c r="K3373" s="49"/>
      <c r="L3373" s="49"/>
      <c r="M3373" s="49"/>
    </row>
    <row r="3374" spans="5:13">
      <c r="E3374" s="49"/>
      <c r="F3374" s="49"/>
      <c r="G3374" s="49"/>
      <c r="H3374" s="49"/>
      <c r="I3374" s="49"/>
      <c r="J3374" s="49"/>
      <c r="K3374" s="49"/>
      <c r="L3374" s="49"/>
      <c r="M3374" s="49"/>
    </row>
    <row r="3375" spans="5:13">
      <c r="E3375" s="49"/>
      <c r="F3375" s="49"/>
      <c r="G3375" s="49"/>
      <c r="H3375" s="49"/>
      <c r="I3375" s="49"/>
      <c r="J3375" s="49"/>
      <c r="K3375" s="49"/>
      <c r="L3375" s="49"/>
      <c r="M3375" s="49"/>
    </row>
    <row r="3376" spans="5:13">
      <c r="E3376" s="49"/>
      <c r="F3376" s="49"/>
      <c r="G3376" s="49"/>
      <c r="H3376" s="49"/>
      <c r="I3376" s="49"/>
      <c r="J3376" s="49"/>
      <c r="K3376" s="49"/>
      <c r="L3376" s="49"/>
      <c r="M3376" s="49"/>
    </row>
    <row r="3377" spans="5:13">
      <c r="E3377" s="49"/>
      <c r="F3377" s="49"/>
      <c r="G3377" s="49"/>
      <c r="H3377" s="49"/>
      <c r="I3377" s="49"/>
      <c r="J3377" s="49"/>
      <c r="K3377" s="49"/>
      <c r="L3377" s="49"/>
      <c r="M3377" s="49"/>
    </row>
    <row r="3378" spans="5:13">
      <c r="E3378" s="49"/>
      <c r="F3378" s="49"/>
      <c r="G3378" s="49"/>
      <c r="H3378" s="49"/>
      <c r="I3378" s="49"/>
      <c r="J3378" s="49"/>
      <c r="K3378" s="49"/>
      <c r="L3378" s="49"/>
      <c r="M3378" s="49"/>
    </row>
    <row r="3379" spans="5:13">
      <c r="E3379" s="49"/>
      <c r="F3379" s="49"/>
      <c r="G3379" s="49"/>
      <c r="H3379" s="49"/>
      <c r="I3379" s="49"/>
      <c r="J3379" s="49"/>
      <c r="K3379" s="49"/>
      <c r="L3379" s="49"/>
      <c r="M3379" s="49"/>
    </row>
    <row r="3380" spans="5:13">
      <c r="E3380" s="49"/>
      <c r="F3380" s="49"/>
      <c r="G3380" s="49"/>
      <c r="H3380" s="49"/>
      <c r="I3380" s="49"/>
      <c r="J3380" s="49"/>
      <c r="K3380" s="49"/>
      <c r="L3380" s="49"/>
      <c r="M3380" s="49"/>
    </row>
    <row r="3381" spans="5:13">
      <c r="E3381" s="49"/>
      <c r="F3381" s="49"/>
      <c r="G3381" s="49"/>
      <c r="H3381" s="49"/>
      <c r="I3381" s="49"/>
      <c r="J3381" s="49"/>
      <c r="K3381" s="49"/>
      <c r="L3381" s="49"/>
      <c r="M3381" s="49"/>
    </row>
    <row r="3382" spans="5:13">
      <c r="E3382" s="49"/>
      <c r="F3382" s="49"/>
      <c r="G3382" s="49"/>
      <c r="H3382" s="49"/>
      <c r="I3382" s="49"/>
      <c r="J3382" s="49"/>
      <c r="K3382" s="49"/>
      <c r="L3382" s="49"/>
      <c r="M3382" s="49"/>
    </row>
    <row r="3383" spans="5:13">
      <c r="E3383" s="49"/>
      <c r="F3383" s="49"/>
      <c r="G3383" s="49"/>
      <c r="H3383" s="49"/>
      <c r="I3383" s="49"/>
      <c r="J3383" s="49"/>
      <c r="K3383" s="49"/>
      <c r="L3383" s="49"/>
      <c r="M3383" s="49"/>
    </row>
    <row r="3384" spans="5:13">
      <c r="E3384" s="49"/>
      <c r="F3384" s="49"/>
      <c r="G3384" s="49"/>
      <c r="H3384" s="49"/>
      <c r="I3384" s="49"/>
      <c r="J3384" s="49"/>
      <c r="K3384" s="49"/>
      <c r="L3384" s="49"/>
      <c r="M3384" s="49"/>
    </row>
    <row r="3385" spans="5:13">
      <c r="E3385" s="49"/>
      <c r="F3385" s="49"/>
      <c r="G3385" s="49"/>
      <c r="H3385" s="49"/>
      <c r="I3385" s="49"/>
      <c r="J3385" s="49"/>
      <c r="K3385" s="49"/>
      <c r="L3385" s="49"/>
      <c r="M3385" s="49"/>
    </row>
    <row r="3386" spans="5:13">
      <c r="E3386" s="49"/>
      <c r="F3386" s="49"/>
      <c r="G3386" s="49"/>
      <c r="H3386" s="49"/>
      <c r="I3386" s="49"/>
      <c r="J3386" s="49"/>
      <c r="K3386" s="49"/>
      <c r="L3386" s="49"/>
      <c r="M3386" s="49"/>
    </row>
    <row r="3387" spans="5:13">
      <c r="E3387" s="49"/>
      <c r="F3387" s="49"/>
      <c r="G3387" s="49"/>
      <c r="H3387" s="49"/>
      <c r="I3387" s="49"/>
      <c r="J3387" s="49"/>
      <c r="K3387" s="49"/>
      <c r="L3387" s="49"/>
      <c r="M3387" s="49"/>
    </row>
    <row r="3388" spans="5:13">
      <c r="E3388" s="49"/>
      <c r="F3388" s="49"/>
      <c r="G3388" s="49"/>
      <c r="H3388" s="49"/>
      <c r="I3388" s="49"/>
      <c r="J3388" s="49"/>
      <c r="K3388" s="49"/>
      <c r="L3388" s="49"/>
      <c r="M3388" s="49"/>
    </row>
    <row r="3389" spans="5:13">
      <c r="E3389" s="49"/>
      <c r="F3389" s="49"/>
      <c r="G3389" s="49"/>
      <c r="H3389" s="49"/>
      <c r="I3389" s="49"/>
      <c r="J3389" s="49"/>
      <c r="K3389" s="49"/>
      <c r="L3389" s="49"/>
      <c r="M3389" s="49"/>
    </row>
    <row r="3390" spans="5:13">
      <c r="E3390" s="49"/>
      <c r="F3390" s="49"/>
      <c r="G3390" s="49"/>
      <c r="H3390" s="49"/>
      <c r="I3390" s="49"/>
      <c r="J3390" s="49"/>
      <c r="K3390" s="49"/>
      <c r="L3390" s="49"/>
      <c r="M3390" s="49"/>
    </row>
    <row r="3391" spans="5:13">
      <c r="E3391" s="49"/>
      <c r="F3391" s="49"/>
      <c r="G3391" s="49"/>
      <c r="H3391" s="49"/>
      <c r="I3391" s="49"/>
      <c r="J3391" s="49"/>
      <c r="K3391" s="49"/>
      <c r="L3391" s="49"/>
      <c r="M3391" s="49"/>
    </row>
    <row r="3392" spans="5:13">
      <c r="E3392" s="49"/>
      <c r="F3392" s="49"/>
      <c r="G3392" s="49"/>
      <c r="H3392" s="49"/>
      <c r="I3392" s="49"/>
      <c r="J3392" s="49"/>
      <c r="K3392" s="49"/>
      <c r="L3392" s="49"/>
      <c r="M3392" s="49"/>
    </row>
    <row r="3393" spans="5:13">
      <c r="E3393" s="49"/>
      <c r="F3393" s="49"/>
      <c r="G3393" s="49"/>
      <c r="H3393" s="49"/>
      <c r="I3393" s="49"/>
      <c r="J3393" s="49"/>
      <c r="K3393" s="49"/>
      <c r="L3393" s="49"/>
      <c r="M3393" s="49"/>
    </row>
    <row r="3394" spans="5:13">
      <c r="E3394" s="49"/>
      <c r="F3394" s="49"/>
      <c r="G3394" s="49"/>
      <c r="H3394" s="49"/>
      <c r="I3394" s="49"/>
      <c r="J3394" s="49"/>
      <c r="K3394" s="49"/>
      <c r="L3394" s="49"/>
      <c r="M3394" s="49"/>
    </row>
    <row r="3395" spans="5:13">
      <c r="E3395" s="49"/>
      <c r="F3395" s="49"/>
      <c r="G3395" s="49"/>
      <c r="H3395" s="49"/>
      <c r="I3395" s="49"/>
      <c r="J3395" s="49"/>
      <c r="K3395" s="49"/>
      <c r="L3395" s="49"/>
      <c r="M3395" s="49"/>
    </row>
    <row r="3396" spans="5:13">
      <c r="E3396" s="49"/>
      <c r="F3396" s="49"/>
      <c r="G3396" s="49"/>
      <c r="H3396" s="49"/>
      <c r="I3396" s="49"/>
      <c r="J3396" s="49"/>
      <c r="K3396" s="49"/>
      <c r="L3396" s="49"/>
      <c r="M3396" s="49"/>
    </row>
    <row r="3397" spans="5:13">
      <c r="E3397" s="49"/>
      <c r="F3397" s="49"/>
      <c r="G3397" s="49"/>
      <c r="H3397" s="49"/>
      <c r="I3397" s="49"/>
      <c r="J3397" s="49"/>
      <c r="K3397" s="49"/>
      <c r="L3397" s="49"/>
      <c r="M3397" s="49"/>
    </row>
    <row r="3398" spans="5:13">
      <c r="E3398" s="49"/>
      <c r="F3398" s="49"/>
      <c r="G3398" s="49"/>
      <c r="H3398" s="49"/>
      <c r="I3398" s="49"/>
      <c r="J3398" s="49"/>
      <c r="K3398" s="49"/>
      <c r="L3398" s="49"/>
      <c r="M3398" s="49"/>
    </row>
    <row r="3399" spans="5:13">
      <c r="E3399" s="49"/>
      <c r="F3399" s="49"/>
      <c r="G3399" s="49"/>
      <c r="H3399" s="49"/>
      <c r="I3399" s="49"/>
      <c r="J3399" s="49"/>
      <c r="K3399" s="49"/>
      <c r="L3399" s="49"/>
      <c r="M3399" s="49"/>
    </row>
    <row r="3400" spans="5:13">
      <c r="E3400" s="49"/>
      <c r="F3400" s="49"/>
      <c r="G3400" s="49"/>
      <c r="H3400" s="49"/>
      <c r="I3400" s="49"/>
      <c r="J3400" s="49"/>
      <c r="K3400" s="49"/>
      <c r="L3400" s="49"/>
      <c r="M3400" s="49"/>
    </row>
    <row r="3401" spans="5:13">
      <c r="E3401" s="49"/>
      <c r="F3401" s="49"/>
      <c r="G3401" s="49"/>
      <c r="H3401" s="49"/>
      <c r="I3401" s="49"/>
      <c r="J3401" s="49"/>
      <c r="K3401" s="49"/>
      <c r="L3401" s="49"/>
      <c r="M3401" s="49"/>
    </row>
    <row r="3402" spans="5:13">
      <c r="E3402" s="49"/>
      <c r="F3402" s="49"/>
      <c r="G3402" s="49"/>
      <c r="H3402" s="49"/>
      <c r="I3402" s="49"/>
      <c r="J3402" s="49"/>
      <c r="K3402" s="49"/>
      <c r="L3402" s="49"/>
      <c r="M3402" s="49"/>
    </row>
    <row r="3403" spans="5:13">
      <c r="E3403" s="49"/>
      <c r="F3403" s="49"/>
      <c r="G3403" s="49"/>
      <c r="H3403" s="49"/>
      <c r="I3403" s="49"/>
      <c r="J3403" s="49"/>
      <c r="K3403" s="49"/>
      <c r="L3403" s="49"/>
      <c r="M3403" s="49"/>
    </row>
    <row r="3404" spans="5:13">
      <c r="E3404" s="49"/>
      <c r="F3404" s="49"/>
      <c r="G3404" s="49"/>
      <c r="H3404" s="49"/>
      <c r="I3404" s="49"/>
      <c r="J3404" s="49"/>
      <c r="K3404" s="49"/>
      <c r="L3404" s="49"/>
      <c r="M3404" s="49"/>
    </row>
    <row r="3405" spans="5:13">
      <c r="E3405" s="49"/>
      <c r="F3405" s="49"/>
      <c r="G3405" s="49"/>
      <c r="H3405" s="49"/>
      <c r="I3405" s="49"/>
      <c r="J3405" s="49"/>
      <c r="K3405" s="49"/>
      <c r="L3405" s="49"/>
      <c r="M3405" s="49"/>
    </row>
    <row r="3406" spans="5:13">
      <c r="E3406" s="49"/>
      <c r="F3406" s="49"/>
      <c r="G3406" s="49"/>
      <c r="H3406" s="49"/>
      <c r="I3406" s="49"/>
      <c r="J3406" s="49"/>
      <c r="K3406" s="49"/>
      <c r="L3406" s="49"/>
      <c r="M3406" s="49"/>
    </row>
    <row r="3407" spans="5:13">
      <c r="E3407" s="49"/>
      <c r="F3407" s="49"/>
      <c r="G3407" s="49"/>
      <c r="H3407" s="49"/>
      <c r="I3407" s="49"/>
      <c r="J3407" s="49"/>
      <c r="K3407" s="49"/>
      <c r="L3407" s="49"/>
      <c r="M3407" s="49"/>
    </row>
    <row r="3408" spans="5:13">
      <c r="E3408" s="49"/>
      <c r="F3408" s="49"/>
      <c r="G3408" s="49"/>
      <c r="H3408" s="49"/>
      <c r="I3408" s="49"/>
      <c r="J3408" s="49"/>
      <c r="K3408" s="49"/>
      <c r="L3408" s="49"/>
      <c r="M3408" s="49"/>
    </row>
    <row r="3409" spans="5:13">
      <c r="E3409" s="49"/>
      <c r="F3409" s="49"/>
      <c r="G3409" s="49"/>
      <c r="H3409" s="49"/>
      <c r="I3409" s="49"/>
      <c r="J3409" s="49"/>
      <c r="K3409" s="49"/>
      <c r="L3409" s="49"/>
      <c r="M3409" s="49"/>
    </row>
    <row r="3410" spans="5:13">
      <c r="E3410" s="49"/>
      <c r="F3410" s="49"/>
      <c r="G3410" s="49"/>
      <c r="H3410" s="49"/>
      <c r="I3410" s="49"/>
      <c r="J3410" s="49"/>
      <c r="K3410" s="49"/>
      <c r="L3410" s="49"/>
      <c r="M3410" s="49"/>
    </row>
    <row r="3411" spans="5:13">
      <c r="E3411" s="49"/>
      <c r="F3411" s="49"/>
      <c r="G3411" s="49"/>
      <c r="H3411" s="49"/>
      <c r="I3411" s="49"/>
      <c r="J3411" s="49"/>
      <c r="K3411" s="49"/>
      <c r="L3411" s="49"/>
      <c r="M3411" s="49"/>
    </row>
    <row r="3412" spans="5:13">
      <c r="E3412" s="49"/>
      <c r="F3412" s="49"/>
      <c r="G3412" s="49"/>
      <c r="H3412" s="49"/>
      <c r="I3412" s="49"/>
      <c r="J3412" s="49"/>
      <c r="K3412" s="49"/>
      <c r="L3412" s="49"/>
      <c r="M3412" s="49"/>
    </row>
    <row r="3413" spans="5:13">
      <c r="E3413" s="49"/>
      <c r="F3413" s="49"/>
      <c r="G3413" s="49"/>
      <c r="H3413" s="49"/>
      <c r="I3413" s="49"/>
      <c r="J3413" s="49"/>
      <c r="K3413" s="49"/>
      <c r="L3413" s="49"/>
      <c r="M3413" s="49"/>
    </row>
    <row r="3414" spans="5:13">
      <c r="E3414" s="49"/>
      <c r="F3414" s="49"/>
      <c r="G3414" s="49"/>
      <c r="H3414" s="49"/>
      <c r="I3414" s="49"/>
      <c r="J3414" s="49"/>
      <c r="K3414" s="49"/>
      <c r="L3414" s="49"/>
      <c r="M3414" s="49"/>
    </row>
    <row r="3415" spans="5:13">
      <c r="E3415" s="49"/>
      <c r="F3415" s="49"/>
      <c r="G3415" s="49"/>
      <c r="H3415" s="49"/>
      <c r="I3415" s="49"/>
      <c r="J3415" s="49"/>
      <c r="K3415" s="49"/>
      <c r="L3415" s="49"/>
      <c r="M3415" s="49"/>
    </row>
    <row r="3416" spans="5:13">
      <c r="E3416" s="49"/>
      <c r="F3416" s="49"/>
      <c r="G3416" s="49"/>
      <c r="H3416" s="49"/>
      <c r="I3416" s="49"/>
      <c r="J3416" s="49"/>
      <c r="K3416" s="49"/>
      <c r="L3416" s="49"/>
      <c r="M3416" s="49"/>
    </row>
    <row r="3417" spans="5:13">
      <c r="E3417" s="49"/>
      <c r="F3417" s="49"/>
      <c r="G3417" s="49"/>
      <c r="H3417" s="49"/>
      <c r="I3417" s="49"/>
      <c r="J3417" s="49"/>
      <c r="K3417" s="49"/>
      <c r="L3417" s="49"/>
      <c r="M3417" s="49"/>
    </row>
    <row r="3418" spans="5:13">
      <c r="E3418" s="49"/>
      <c r="F3418" s="49"/>
      <c r="G3418" s="49"/>
      <c r="H3418" s="49"/>
      <c r="I3418" s="49"/>
      <c r="J3418" s="49"/>
      <c r="K3418" s="49"/>
      <c r="L3418" s="49"/>
      <c r="M3418" s="49"/>
    </row>
    <row r="3419" spans="5:13">
      <c r="E3419" s="49"/>
      <c r="F3419" s="49"/>
      <c r="G3419" s="49"/>
      <c r="H3419" s="49"/>
      <c r="I3419" s="49"/>
      <c r="J3419" s="49"/>
      <c r="K3419" s="49"/>
      <c r="L3419" s="49"/>
      <c r="M3419" s="49"/>
    </row>
    <row r="3420" spans="5:13">
      <c r="E3420" s="49"/>
      <c r="F3420" s="49"/>
      <c r="G3420" s="49"/>
      <c r="H3420" s="49"/>
      <c r="I3420" s="49"/>
      <c r="J3420" s="49"/>
      <c r="K3420" s="49"/>
      <c r="L3420" s="49"/>
      <c r="M3420" s="49"/>
    </row>
    <row r="3421" spans="5:13">
      <c r="E3421" s="49"/>
      <c r="F3421" s="49"/>
      <c r="G3421" s="49"/>
      <c r="H3421" s="49"/>
      <c r="I3421" s="49"/>
      <c r="J3421" s="49"/>
      <c r="K3421" s="49"/>
      <c r="L3421" s="49"/>
      <c r="M3421" s="49"/>
    </row>
    <row r="3422" spans="5:13">
      <c r="E3422" s="49"/>
      <c r="F3422" s="49"/>
      <c r="G3422" s="49"/>
      <c r="H3422" s="49"/>
      <c r="I3422" s="49"/>
      <c r="J3422" s="49"/>
      <c r="K3422" s="49"/>
      <c r="L3422" s="49"/>
      <c r="M3422" s="49"/>
    </row>
    <row r="3423" spans="5:13">
      <c r="E3423" s="49"/>
      <c r="F3423" s="49"/>
      <c r="G3423" s="49"/>
      <c r="H3423" s="49"/>
      <c r="I3423" s="49"/>
      <c r="J3423" s="49"/>
      <c r="K3423" s="49"/>
      <c r="L3423" s="49"/>
      <c r="M3423" s="49"/>
    </row>
    <row r="3424" spans="5:13">
      <c r="E3424" s="49"/>
      <c r="F3424" s="49"/>
      <c r="G3424" s="49"/>
      <c r="H3424" s="49"/>
      <c r="I3424" s="49"/>
      <c r="J3424" s="49"/>
      <c r="K3424" s="49"/>
      <c r="L3424" s="49"/>
      <c r="M3424" s="49"/>
    </row>
    <row r="3425" spans="5:13">
      <c r="E3425" s="49"/>
      <c r="F3425" s="49"/>
      <c r="G3425" s="49"/>
      <c r="H3425" s="49"/>
      <c r="I3425" s="49"/>
      <c r="J3425" s="49"/>
      <c r="K3425" s="49"/>
      <c r="L3425" s="49"/>
      <c r="M3425" s="49"/>
    </row>
    <row r="3426" spans="5:13">
      <c r="E3426" s="49"/>
      <c r="F3426" s="49"/>
      <c r="G3426" s="49"/>
      <c r="H3426" s="49"/>
      <c r="I3426" s="49"/>
      <c r="J3426" s="49"/>
      <c r="K3426" s="49"/>
      <c r="L3426" s="49"/>
      <c r="M3426" s="49"/>
    </row>
    <row r="3427" spans="5:13">
      <c r="E3427" s="49"/>
      <c r="F3427" s="49"/>
      <c r="G3427" s="49"/>
      <c r="H3427" s="49"/>
      <c r="I3427" s="49"/>
      <c r="J3427" s="49"/>
      <c r="K3427" s="49"/>
      <c r="L3427" s="49"/>
      <c r="M3427" s="49"/>
    </row>
    <row r="3428" spans="5:13">
      <c r="E3428" s="49"/>
      <c r="F3428" s="49"/>
      <c r="G3428" s="49"/>
      <c r="H3428" s="49"/>
      <c r="I3428" s="49"/>
      <c r="J3428" s="49"/>
      <c r="K3428" s="49"/>
      <c r="L3428" s="49"/>
      <c r="M3428" s="49"/>
    </row>
    <row r="3429" spans="5:13">
      <c r="E3429" s="49"/>
      <c r="F3429" s="49"/>
      <c r="G3429" s="49"/>
      <c r="H3429" s="49"/>
      <c r="I3429" s="49"/>
      <c r="J3429" s="49"/>
      <c r="K3429" s="49"/>
      <c r="L3429" s="49"/>
      <c r="M3429" s="49"/>
    </row>
    <row r="3430" spans="5:13">
      <c r="E3430" s="49"/>
      <c r="F3430" s="49"/>
      <c r="G3430" s="49"/>
      <c r="H3430" s="49"/>
      <c r="I3430" s="49"/>
      <c r="J3430" s="49"/>
      <c r="K3430" s="49"/>
      <c r="L3430" s="49"/>
      <c r="M3430" s="49"/>
    </row>
    <row r="3431" spans="5:13">
      <c r="E3431" s="49"/>
      <c r="F3431" s="49"/>
      <c r="G3431" s="49"/>
      <c r="H3431" s="49"/>
      <c r="I3431" s="49"/>
      <c r="J3431" s="49"/>
      <c r="K3431" s="49"/>
      <c r="L3431" s="49"/>
      <c r="M3431" s="49"/>
    </row>
    <row r="3432" spans="5:13">
      <c r="E3432" s="49"/>
      <c r="F3432" s="49"/>
      <c r="G3432" s="49"/>
      <c r="H3432" s="49"/>
      <c r="I3432" s="49"/>
      <c r="J3432" s="49"/>
      <c r="K3432" s="49"/>
      <c r="L3432" s="49"/>
      <c r="M3432" s="49"/>
    </row>
    <row r="3433" spans="5:13">
      <c r="E3433" s="49"/>
      <c r="F3433" s="49"/>
      <c r="G3433" s="49"/>
      <c r="H3433" s="49"/>
      <c r="I3433" s="49"/>
      <c r="J3433" s="49"/>
      <c r="K3433" s="49"/>
      <c r="L3433" s="49"/>
      <c r="M3433" s="49"/>
    </row>
    <row r="3434" spans="5:13">
      <c r="E3434" s="49"/>
      <c r="F3434" s="49"/>
      <c r="G3434" s="49"/>
      <c r="H3434" s="49"/>
      <c r="I3434" s="49"/>
      <c r="J3434" s="49"/>
      <c r="K3434" s="49"/>
      <c r="L3434" s="49"/>
      <c r="M3434" s="49"/>
    </row>
    <row r="3435" spans="5:13">
      <c r="E3435" s="49"/>
      <c r="F3435" s="49"/>
      <c r="G3435" s="49"/>
      <c r="H3435" s="49"/>
      <c r="I3435" s="49"/>
      <c r="J3435" s="49"/>
      <c r="K3435" s="49"/>
      <c r="L3435" s="49"/>
      <c r="M3435" s="49"/>
    </row>
    <row r="3436" spans="5:13">
      <c r="E3436" s="49"/>
      <c r="F3436" s="49"/>
      <c r="G3436" s="49"/>
      <c r="H3436" s="49"/>
      <c r="I3436" s="49"/>
      <c r="J3436" s="49"/>
      <c r="K3436" s="49"/>
      <c r="L3436" s="49"/>
      <c r="M3436" s="49"/>
    </row>
    <row r="3437" spans="5:13">
      <c r="E3437" s="49"/>
      <c r="F3437" s="49"/>
      <c r="G3437" s="49"/>
      <c r="H3437" s="49"/>
      <c r="I3437" s="49"/>
      <c r="J3437" s="49"/>
      <c r="K3437" s="49"/>
      <c r="L3437" s="49"/>
      <c r="M3437" s="49"/>
    </row>
    <row r="3438" spans="5:13">
      <c r="E3438" s="49"/>
      <c r="F3438" s="49"/>
      <c r="G3438" s="49"/>
      <c r="H3438" s="49"/>
      <c r="I3438" s="49"/>
      <c r="J3438" s="49"/>
      <c r="K3438" s="49"/>
      <c r="L3438" s="49"/>
      <c r="M3438" s="49"/>
    </row>
    <row r="3439" spans="5:13">
      <c r="E3439" s="49"/>
      <c r="F3439" s="49"/>
      <c r="G3439" s="49"/>
      <c r="H3439" s="49"/>
      <c r="I3439" s="49"/>
      <c r="J3439" s="49"/>
      <c r="K3439" s="49"/>
      <c r="L3439" s="49"/>
      <c r="M3439" s="49"/>
    </row>
    <row r="3440" spans="5:13">
      <c r="E3440" s="49"/>
      <c r="F3440" s="49"/>
      <c r="G3440" s="49"/>
      <c r="H3440" s="49"/>
      <c r="I3440" s="49"/>
      <c r="J3440" s="49"/>
      <c r="K3440" s="49"/>
      <c r="L3440" s="49"/>
      <c r="M3440" s="49"/>
    </row>
    <row r="3441" spans="5:13">
      <c r="E3441" s="49"/>
      <c r="F3441" s="49"/>
      <c r="G3441" s="49"/>
      <c r="H3441" s="49"/>
      <c r="I3441" s="49"/>
      <c r="J3441" s="49"/>
      <c r="K3441" s="49"/>
      <c r="L3441" s="49"/>
      <c r="M3441" s="49"/>
    </row>
    <row r="3442" spans="5:13">
      <c r="E3442" s="49"/>
      <c r="F3442" s="49"/>
      <c r="G3442" s="49"/>
      <c r="H3442" s="49"/>
      <c r="I3442" s="49"/>
      <c r="J3442" s="49"/>
      <c r="K3442" s="49"/>
      <c r="L3442" s="49"/>
      <c r="M3442" s="49"/>
    </row>
    <row r="3443" spans="5:13">
      <c r="E3443" s="49"/>
      <c r="F3443" s="49"/>
      <c r="G3443" s="49"/>
      <c r="H3443" s="49"/>
      <c r="I3443" s="49"/>
      <c r="J3443" s="49"/>
      <c r="K3443" s="49"/>
      <c r="L3443" s="49"/>
      <c r="M3443" s="49"/>
    </row>
    <row r="3444" spans="5:13">
      <c r="E3444" s="49"/>
      <c r="F3444" s="49"/>
      <c r="G3444" s="49"/>
      <c r="H3444" s="49"/>
      <c r="I3444" s="49"/>
      <c r="J3444" s="49"/>
      <c r="K3444" s="49"/>
      <c r="L3444" s="49"/>
      <c r="M3444" s="49"/>
    </row>
    <row r="3445" spans="5:13">
      <c r="E3445" s="49"/>
      <c r="F3445" s="49"/>
      <c r="G3445" s="49"/>
      <c r="H3445" s="49"/>
      <c r="I3445" s="49"/>
      <c r="J3445" s="49"/>
      <c r="K3445" s="49"/>
      <c r="L3445" s="49"/>
      <c r="M3445" s="49"/>
    </row>
    <row r="3446" spans="5:13">
      <c r="E3446" s="49"/>
      <c r="F3446" s="49"/>
      <c r="G3446" s="49"/>
      <c r="H3446" s="49"/>
      <c r="I3446" s="49"/>
      <c r="J3446" s="49"/>
      <c r="K3446" s="49"/>
      <c r="L3446" s="49"/>
      <c r="M3446" s="49"/>
    </row>
    <row r="3447" spans="5:13">
      <c r="E3447" s="49"/>
      <c r="F3447" s="49"/>
      <c r="G3447" s="49"/>
      <c r="H3447" s="49"/>
      <c r="I3447" s="49"/>
      <c r="J3447" s="49"/>
      <c r="K3447" s="49"/>
      <c r="L3447" s="49"/>
      <c r="M3447" s="49"/>
    </row>
    <row r="3448" spans="5:13">
      <c r="E3448" s="49"/>
      <c r="F3448" s="49"/>
      <c r="G3448" s="49"/>
      <c r="H3448" s="49"/>
      <c r="I3448" s="49"/>
      <c r="J3448" s="49"/>
      <c r="K3448" s="49"/>
      <c r="L3448" s="49"/>
      <c r="M3448" s="49"/>
    </row>
    <row r="3449" spans="5:13">
      <c r="E3449" s="49"/>
      <c r="F3449" s="49"/>
      <c r="G3449" s="49"/>
      <c r="H3449" s="49"/>
      <c r="I3449" s="49"/>
      <c r="J3449" s="49"/>
      <c r="K3449" s="49"/>
      <c r="L3449" s="49"/>
      <c r="M3449" s="49"/>
    </row>
    <row r="3450" spans="5:13">
      <c r="E3450" s="49"/>
      <c r="F3450" s="49"/>
      <c r="G3450" s="49"/>
      <c r="H3450" s="49"/>
      <c r="I3450" s="49"/>
      <c r="J3450" s="49"/>
      <c r="K3450" s="49"/>
      <c r="L3450" s="49"/>
      <c r="M3450" s="49"/>
    </row>
    <row r="3451" spans="5:13">
      <c r="E3451" s="49"/>
      <c r="F3451" s="49"/>
      <c r="G3451" s="49"/>
      <c r="H3451" s="49"/>
      <c r="I3451" s="49"/>
      <c r="J3451" s="49"/>
      <c r="K3451" s="49"/>
      <c r="L3451" s="49"/>
      <c r="M3451" s="49"/>
    </row>
    <row r="3452" spans="5:13">
      <c r="E3452" s="49"/>
      <c r="F3452" s="49"/>
      <c r="G3452" s="49"/>
      <c r="H3452" s="49"/>
      <c r="I3452" s="49"/>
      <c r="J3452" s="49"/>
      <c r="K3452" s="49"/>
      <c r="L3452" s="49"/>
      <c r="M3452" s="49"/>
    </row>
    <row r="3453" spans="5:13">
      <c r="E3453" s="49"/>
      <c r="F3453" s="49"/>
      <c r="G3453" s="49"/>
      <c r="H3453" s="49"/>
      <c r="I3453" s="49"/>
      <c r="J3453" s="49"/>
      <c r="K3453" s="49"/>
      <c r="L3453" s="49"/>
      <c r="M3453" s="49"/>
    </row>
    <row r="3454" spans="5:13">
      <c r="E3454" s="49"/>
      <c r="F3454" s="49"/>
      <c r="G3454" s="49"/>
      <c r="H3454" s="49"/>
      <c r="I3454" s="49"/>
      <c r="J3454" s="49"/>
      <c r="K3454" s="49"/>
      <c r="L3454" s="49"/>
      <c r="M3454" s="49"/>
    </row>
    <row r="3455" spans="5:13">
      <c r="E3455" s="49"/>
      <c r="F3455" s="49"/>
      <c r="G3455" s="49"/>
      <c r="H3455" s="49"/>
      <c r="I3455" s="49"/>
      <c r="J3455" s="49"/>
      <c r="K3455" s="49"/>
      <c r="L3455" s="49"/>
      <c r="M3455" s="49"/>
    </row>
    <row r="3456" spans="5:13">
      <c r="E3456" s="49"/>
      <c r="F3456" s="49"/>
      <c r="G3456" s="49"/>
      <c r="H3456" s="49"/>
      <c r="I3456" s="49"/>
      <c r="J3456" s="49"/>
      <c r="K3456" s="49"/>
      <c r="L3456" s="49"/>
      <c r="M3456" s="49"/>
    </row>
    <row r="3457" spans="5:13">
      <c r="E3457" s="49"/>
      <c r="F3457" s="49"/>
      <c r="G3457" s="49"/>
      <c r="H3457" s="49"/>
      <c r="I3457" s="49"/>
      <c r="J3457" s="49"/>
      <c r="K3457" s="49"/>
      <c r="L3457" s="49"/>
      <c r="M3457" s="49"/>
    </row>
    <row r="3458" spans="5:13">
      <c r="E3458" s="49"/>
      <c r="F3458" s="49"/>
      <c r="G3458" s="49"/>
      <c r="H3458" s="49"/>
      <c r="I3458" s="49"/>
      <c r="J3458" s="49"/>
      <c r="K3458" s="49"/>
      <c r="L3458" s="49"/>
      <c r="M3458" s="49"/>
    </row>
    <row r="3459" spans="5:13">
      <c r="E3459" s="49"/>
      <c r="F3459" s="49"/>
      <c r="G3459" s="49"/>
      <c r="H3459" s="49"/>
      <c r="I3459" s="49"/>
      <c r="J3459" s="49"/>
      <c r="K3459" s="49"/>
      <c r="L3459" s="49"/>
      <c r="M3459" s="49"/>
    </row>
    <row r="3460" spans="5:13">
      <c r="E3460" s="49"/>
      <c r="F3460" s="49"/>
      <c r="G3460" s="49"/>
      <c r="H3460" s="49"/>
      <c r="I3460" s="49"/>
      <c r="J3460" s="49"/>
      <c r="K3460" s="49"/>
      <c r="L3460" s="49"/>
      <c r="M3460" s="49"/>
    </row>
    <row r="3461" spans="5:13">
      <c r="E3461" s="49"/>
      <c r="F3461" s="49"/>
      <c r="G3461" s="49"/>
      <c r="H3461" s="49"/>
      <c r="I3461" s="49"/>
      <c r="J3461" s="49"/>
      <c r="K3461" s="49"/>
      <c r="L3461" s="49"/>
      <c r="M3461" s="49"/>
    </row>
    <row r="3462" spans="5:13">
      <c r="E3462" s="49"/>
      <c r="F3462" s="49"/>
      <c r="G3462" s="49"/>
      <c r="H3462" s="49"/>
      <c r="I3462" s="49"/>
      <c r="J3462" s="49"/>
      <c r="K3462" s="49"/>
      <c r="L3462" s="49"/>
      <c r="M3462" s="49"/>
    </row>
    <row r="3463" spans="5:13">
      <c r="E3463" s="49"/>
      <c r="F3463" s="49"/>
      <c r="G3463" s="49"/>
      <c r="H3463" s="49"/>
      <c r="I3463" s="49"/>
      <c r="J3463" s="49"/>
      <c r="K3463" s="49"/>
      <c r="L3463" s="49"/>
      <c r="M3463" s="49"/>
    </row>
    <row r="3464" spans="5:13">
      <c r="E3464" s="49"/>
      <c r="F3464" s="49"/>
      <c r="G3464" s="49"/>
      <c r="H3464" s="49"/>
      <c r="I3464" s="49"/>
      <c r="J3464" s="49"/>
      <c r="K3464" s="49"/>
      <c r="L3464" s="49"/>
      <c r="M3464" s="49"/>
    </row>
    <row r="3465" spans="5:13">
      <c r="E3465" s="49"/>
      <c r="F3465" s="49"/>
      <c r="G3465" s="49"/>
      <c r="H3465" s="49"/>
      <c r="I3465" s="49"/>
      <c r="J3465" s="49"/>
      <c r="K3465" s="49"/>
      <c r="L3465" s="49"/>
      <c r="M3465" s="49"/>
    </row>
    <row r="3466" spans="5:13">
      <c r="E3466" s="49"/>
      <c r="F3466" s="49"/>
      <c r="G3466" s="49"/>
      <c r="H3466" s="49"/>
      <c r="I3466" s="49"/>
      <c r="J3466" s="49"/>
      <c r="K3466" s="49"/>
      <c r="L3466" s="49"/>
      <c r="M3466" s="49"/>
    </row>
    <row r="3467" spans="5:13">
      <c r="E3467" s="49"/>
      <c r="F3467" s="49"/>
      <c r="G3467" s="49"/>
      <c r="H3467" s="49"/>
      <c r="I3467" s="49"/>
      <c r="J3467" s="49"/>
      <c r="K3467" s="49"/>
      <c r="L3467" s="49"/>
      <c r="M3467" s="49"/>
    </row>
    <row r="3468" spans="5:13">
      <c r="E3468" s="49"/>
      <c r="F3468" s="49"/>
      <c r="G3468" s="49"/>
      <c r="H3468" s="49"/>
      <c r="I3468" s="49"/>
      <c r="J3468" s="49"/>
      <c r="K3468" s="49"/>
      <c r="L3468" s="49"/>
      <c r="M3468" s="49"/>
    </row>
    <row r="3469" spans="5:13">
      <c r="E3469" s="49"/>
      <c r="F3469" s="49"/>
      <c r="G3469" s="49"/>
      <c r="H3469" s="49"/>
      <c r="I3469" s="49"/>
      <c r="J3469" s="49"/>
      <c r="K3469" s="49"/>
      <c r="L3469" s="49"/>
      <c r="M3469" s="49"/>
    </row>
    <row r="3470" spans="5:13">
      <c r="E3470" s="49"/>
      <c r="F3470" s="49"/>
      <c r="G3470" s="49"/>
      <c r="H3470" s="49"/>
      <c r="I3470" s="49"/>
      <c r="J3470" s="49"/>
      <c r="K3470" s="49"/>
      <c r="L3470" s="49"/>
      <c r="M3470" s="49"/>
    </row>
    <row r="3471" spans="5:13">
      <c r="E3471" s="49"/>
      <c r="F3471" s="49"/>
      <c r="G3471" s="49"/>
      <c r="H3471" s="49"/>
      <c r="I3471" s="49"/>
      <c r="J3471" s="49"/>
      <c r="K3471" s="49"/>
      <c r="L3471" s="49"/>
      <c r="M3471" s="49"/>
    </row>
    <row r="3472" spans="5:13">
      <c r="E3472" s="49"/>
      <c r="F3472" s="49"/>
      <c r="G3472" s="49"/>
      <c r="H3472" s="49"/>
      <c r="I3472" s="49"/>
      <c r="J3472" s="49"/>
      <c r="K3472" s="49"/>
      <c r="L3472" s="49"/>
      <c r="M3472" s="49"/>
    </row>
    <row r="3473" spans="5:13">
      <c r="E3473" s="49"/>
      <c r="F3473" s="49"/>
      <c r="G3473" s="49"/>
      <c r="H3473" s="49"/>
      <c r="I3473" s="49"/>
      <c r="J3473" s="49"/>
      <c r="K3473" s="49"/>
      <c r="L3473" s="49"/>
      <c r="M3473" s="49"/>
    </row>
    <row r="3474" spans="5:13">
      <c r="E3474" s="49"/>
      <c r="F3474" s="49"/>
      <c r="G3474" s="49"/>
      <c r="H3474" s="49"/>
      <c r="I3474" s="49"/>
      <c r="J3474" s="49"/>
      <c r="K3474" s="49"/>
      <c r="L3474" s="49"/>
      <c r="M3474" s="49"/>
    </row>
    <row r="3475" spans="5:13">
      <c r="E3475" s="49"/>
      <c r="F3475" s="49"/>
      <c r="G3475" s="49"/>
      <c r="H3475" s="49"/>
      <c r="I3475" s="49"/>
      <c r="J3475" s="49"/>
      <c r="K3475" s="49"/>
      <c r="L3475" s="49"/>
      <c r="M3475" s="49"/>
    </row>
    <row r="3476" spans="5:13">
      <c r="E3476" s="49"/>
      <c r="F3476" s="49"/>
      <c r="G3476" s="49"/>
      <c r="H3476" s="49"/>
      <c r="I3476" s="49"/>
      <c r="J3476" s="49"/>
      <c r="K3476" s="49"/>
      <c r="L3476" s="49"/>
      <c r="M3476" s="49"/>
    </row>
    <row r="3477" spans="5:13">
      <c r="E3477" s="49"/>
      <c r="F3477" s="49"/>
      <c r="G3477" s="49"/>
      <c r="H3477" s="49"/>
      <c r="I3477" s="49"/>
      <c r="J3477" s="49"/>
      <c r="K3477" s="49"/>
      <c r="L3477" s="49"/>
      <c r="M3477" s="49"/>
    </row>
    <row r="3478" spans="5:13">
      <c r="E3478" s="49"/>
      <c r="F3478" s="49"/>
      <c r="G3478" s="49"/>
      <c r="H3478" s="49"/>
      <c r="I3478" s="49"/>
      <c r="J3478" s="49"/>
      <c r="K3478" s="49"/>
      <c r="L3478" s="49"/>
      <c r="M3478" s="49"/>
    </row>
    <row r="3479" spans="5:13">
      <c r="E3479" s="49"/>
      <c r="F3479" s="49"/>
      <c r="G3479" s="49"/>
      <c r="H3479" s="49"/>
      <c r="I3479" s="49"/>
      <c r="J3479" s="49"/>
      <c r="K3479" s="49"/>
      <c r="L3479" s="49"/>
      <c r="M3479" s="49"/>
    </row>
    <row r="3480" spans="5:13">
      <c r="E3480" s="49"/>
      <c r="F3480" s="49"/>
      <c r="G3480" s="49"/>
      <c r="H3480" s="49"/>
      <c r="I3480" s="49"/>
      <c r="J3480" s="49"/>
      <c r="K3480" s="49"/>
      <c r="L3480" s="49"/>
      <c r="M3480" s="49"/>
    </row>
    <row r="3481" spans="5:13">
      <c r="E3481" s="49"/>
      <c r="F3481" s="49"/>
      <c r="G3481" s="49"/>
      <c r="H3481" s="49"/>
      <c r="I3481" s="49"/>
      <c r="J3481" s="49"/>
      <c r="K3481" s="49"/>
      <c r="L3481" s="49"/>
      <c r="M3481" s="49"/>
    </row>
    <row r="3482" spans="5:13">
      <c r="E3482" s="49"/>
      <c r="F3482" s="49"/>
      <c r="G3482" s="49"/>
      <c r="H3482" s="49"/>
      <c r="I3482" s="49"/>
      <c r="J3482" s="49"/>
      <c r="K3482" s="49"/>
      <c r="L3482" s="49"/>
      <c r="M3482" s="49"/>
    </row>
    <row r="3483" spans="5:13">
      <c r="E3483" s="49"/>
      <c r="F3483" s="49"/>
      <c r="G3483" s="49"/>
      <c r="H3483" s="49"/>
      <c r="I3483" s="49"/>
      <c r="J3483" s="49"/>
      <c r="K3483" s="49"/>
      <c r="L3483" s="49"/>
      <c r="M3483" s="49"/>
    </row>
    <row r="3484" spans="5:13">
      <c r="E3484" s="49"/>
      <c r="F3484" s="49"/>
      <c r="G3484" s="49"/>
      <c r="H3484" s="49"/>
      <c r="I3484" s="49"/>
      <c r="J3484" s="49"/>
      <c r="K3484" s="49"/>
      <c r="L3484" s="49"/>
      <c r="M3484" s="49"/>
    </row>
    <row r="3485" spans="5:13">
      <c r="E3485" s="49"/>
      <c r="F3485" s="49"/>
      <c r="G3485" s="49"/>
      <c r="H3485" s="49"/>
      <c r="I3485" s="49"/>
      <c r="J3485" s="49"/>
      <c r="K3485" s="49"/>
      <c r="L3485" s="49"/>
      <c r="M3485" s="49"/>
    </row>
    <row r="3486" spans="5:13">
      <c r="E3486" s="49"/>
      <c r="F3486" s="49"/>
      <c r="G3486" s="49"/>
      <c r="H3486" s="49"/>
      <c r="I3486" s="49"/>
      <c r="J3486" s="49"/>
      <c r="K3486" s="49"/>
      <c r="L3486" s="49"/>
      <c r="M3486" s="49"/>
    </row>
    <row r="3487" spans="5:13">
      <c r="E3487" s="49"/>
      <c r="F3487" s="49"/>
      <c r="G3487" s="49"/>
      <c r="H3487" s="49"/>
      <c r="I3487" s="49"/>
      <c r="J3487" s="49"/>
      <c r="K3487" s="49"/>
      <c r="L3487" s="49"/>
      <c r="M3487" s="49"/>
    </row>
    <row r="3488" spans="5:13">
      <c r="E3488" s="49"/>
      <c r="F3488" s="49"/>
      <c r="G3488" s="49"/>
      <c r="H3488" s="49"/>
      <c r="I3488" s="49"/>
      <c r="J3488" s="49"/>
      <c r="K3488" s="49"/>
      <c r="L3488" s="49"/>
      <c r="M3488" s="49"/>
    </row>
    <row r="3489" spans="5:13">
      <c r="E3489" s="49"/>
      <c r="F3489" s="49"/>
      <c r="G3489" s="49"/>
      <c r="H3489" s="49"/>
      <c r="I3489" s="49"/>
      <c r="J3489" s="49"/>
      <c r="K3489" s="49"/>
      <c r="L3489" s="49"/>
      <c r="M3489" s="49"/>
    </row>
    <row r="3490" spans="5:13">
      <c r="E3490" s="49"/>
      <c r="F3490" s="49"/>
      <c r="G3490" s="49"/>
      <c r="H3490" s="49"/>
      <c r="I3490" s="49"/>
      <c r="J3490" s="49"/>
      <c r="K3490" s="49"/>
      <c r="L3490" s="49"/>
      <c r="M3490" s="49"/>
    </row>
    <row r="3491" spans="5:13">
      <c r="E3491" s="49"/>
      <c r="F3491" s="49"/>
      <c r="G3491" s="49"/>
      <c r="H3491" s="49"/>
      <c r="I3491" s="49"/>
      <c r="J3491" s="49"/>
      <c r="K3491" s="49"/>
      <c r="L3491" s="49"/>
      <c r="M3491" s="49"/>
    </row>
    <row r="3492" spans="5:13">
      <c r="E3492" s="49"/>
      <c r="F3492" s="49"/>
      <c r="G3492" s="49"/>
      <c r="H3492" s="49"/>
      <c r="I3492" s="49"/>
      <c r="J3492" s="49"/>
      <c r="K3492" s="49"/>
      <c r="L3492" s="49"/>
      <c r="M3492" s="49"/>
    </row>
    <row r="3493" spans="5:13">
      <c r="E3493" s="49"/>
      <c r="F3493" s="49"/>
      <c r="G3493" s="49"/>
      <c r="H3493" s="49"/>
      <c r="I3493" s="49"/>
      <c r="J3493" s="49"/>
      <c r="K3493" s="49"/>
      <c r="L3493" s="49"/>
      <c r="M3493" s="49"/>
    </row>
    <row r="3494" spans="5:13">
      <c r="E3494" s="49"/>
      <c r="F3494" s="49"/>
      <c r="G3494" s="49"/>
      <c r="H3494" s="49"/>
      <c r="I3494" s="49"/>
      <c r="J3494" s="49"/>
      <c r="K3494" s="49"/>
      <c r="L3494" s="49"/>
      <c r="M3494" s="49"/>
    </row>
    <row r="3495" spans="5:13">
      <c r="E3495" s="49"/>
      <c r="F3495" s="49"/>
      <c r="G3495" s="49"/>
      <c r="H3495" s="49"/>
      <c r="I3495" s="49"/>
      <c r="J3495" s="49"/>
      <c r="K3495" s="49"/>
      <c r="L3495" s="49"/>
      <c r="M3495" s="49"/>
    </row>
    <row r="3496" spans="5:13">
      <c r="E3496" s="49"/>
      <c r="F3496" s="49"/>
      <c r="G3496" s="49"/>
      <c r="H3496" s="49"/>
      <c r="I3496" s="49"/>
      <c r="J3496" s="49"/>
      <c r="K3496" s="49"/>
      <c r="L3496" s="49"/>
      <c r="M3496" s="49"/>
    </row>
    <row r="3497" spans="5:13">
      <c r="E3497" s="49"/>
      <c r="F3497" s="49"/>
      <c r="G3497" s="49"/>
      <c r="H3497" s="49"/>
      <c r="I3497" s="49"/>
      <c r="J3497" s="49"/>
      <c r="K3497" s="49"/>
      <c r="L3497" s="49"/>
      <c r="M3497" s="49"/>
    </row>
    <row r="3498" spans="5:13">
      <c r="E3498" s="49"/>
      <c r="F3498" s="49"/>
      <c r="G3498" s="49"/>
      <c r="H3498" s="49"/>
      <c r="I3498" s="49"/>
      <c r="J3498" s="49"/>
      <c r="K3498" s="49"/>
      <c r="L3498" s="49"/>
      <c r="M3498" s="49"/>
    </row>
    <row r="3499" spans="5:13">
      <c r="E3499" s="49"/>
      <c r="F3499" s="49"/>
      <c r="G3499" s="49"/>
      <c r="H3499" s="49"/>
      <c r="I3499" s="49"/>
      <c r="J3499" s="49"/>
      <c r="K3499" s="49"/>
      <c r="L3499" s="49"/>
      <c r="M3499" s="49"/>
    </row>
    <row r="3500" spans="5:13">
      <c r="E3500" s="49"/>
      <c r="F3500" s="49"/>
      <c r="G3500" s="49"/>
      <c r="H3500" s="49"/>
      <c r="I3500" s="49"/>
      <c r="J3500" s="49"/>
      <c r="K3500" s="49"/>
      <c r="L3500" s="49"/>
      <c r="M3500" s="49"/>
    </row>
    <row r="3501" spans="5:13">
      <c r="E3501" s="49"/>
      <c r="F3501" s="49"/>
      <c r="G3501" s="49"/>
      <c r="H3501" s="49"/>
      <c r="I3501" s="49"/>
      <c r="J3501" s="49"/>
      <c r="K3501" s="49"/>
      <c r="L3501" s="49"/>
      <c r="M3501" s="49"/>
    </row>
    <row r="3502" spans="5:13">
      <c r="E3502" s="49"/>
      <c r="F3502" s="49"/>
      <c r="G3502" s="49"/>
      <c r="H3502" s="49"/>
      <c r="I3502" s="49"/>
      <c r="J3502" s="49"/>
      <c r="K3502" s="49"/>
      <c r="L3502" s="49"/>
      <c r="M3502" s="49"/>
    </row>
    <row r="3503" spans="5:13">
      <c r="E3503" s="49"/>
      <c r="F3503" s="49"/>
      <c r="G3503" s="49"/>
      <c r="H3503" s="49"/>
      <c r="I3503" s="49"/>
      <c r="J3503" s="49"/>
      <c r="K3503" s="49"/>
      <c r="L3503" s="49"/>
      <c r="M3503" s="49"/>
    </row>
    <row r="3504" spans="5:13">
      <c r="E3504" s="49"/>
      <c r="F3504" s="49"/>
      <c r="G3504" s="49"/>
      <c r="H3504" s="49"/>
      <c r="I3504" s="49"/>
      <c r="J3504" s="49"/>
      <c r="K3504" s="49"/>
      <c r="L3504" s="49"/>
      <c r="M3504" s="49"/>
    </row>
    <row r="3505" spans="5:13">
      <c r="E3505" s="49"/>
      <c r="F3505" s="49"/>
      <c r="G3505" s="49"/>
      <c r="H3505" s="49"/>
      <c r="I3505" s="49"/>
      <c r="J3505" s="49"/>
      <c r="K3505" s="49"/>
      <c r="L3505" s="49"/>
      <c r="M3505" s="49"/>
    </row>
    <row r="3506" spans="5:13">
      <c r="E3506" s="49"/>
      <c r="F3506" s="49"/>
      <c r="G3506" s="49"/>
      <c r="H3506" s="49"/>
      <c r="I3506" s="49"/>
      <c r="J3506" s="49"/>
      <c r="K3506" s="49"/>
      <c r="L3506" s="49"/>
      <c r="M3506" s="49"/>
    </row>
    <row r="3507" spans="5:13">
      <c r="E3507" s="49"/>
      <c r="F3507" s="49"/>
      <c r="G3507" s="49"/>
      <c r="H3507" s="49"/>
      <c r="I3507" s="49"/>
      <c r="J3507" s="49"/>
      <c r="K3507" s="49"/>
      <c r="L3507" s="49"/>
      <c r="M3507" s="49"/>
    </row>
    <row r="3508" spans="5:13">
      <c r="E3508" s="49"/>
      <c r="F3508" s="49"/>
      <c r="G3508" s="49"/>
      <c r="H3508" s="49"/>
      <c r="I3508" s="49"/>
      <c r="J3508" s="49"/>
      <c r="K3508" s="49"/>
      <c r="L3508" s="49"/>
      <c r="M3508" s="49"/>
    </row>
    <row r="3509" spans="5:13">
      <c r="E3509" s="49"/>
      <c r="F3509" s="49"/>
      <c r="G3509" s="49"/>
      <c r="H3509" s="49"/>
      <c r="I3509" s="49"/>
      <c r="J3509" s="49"/>
      <c r="K3509" s="49"/>
      <c r="L3509" s="49"/>
      <c r="M3509" s="49"/>
    </row>
    <row r="3510" spans="5:13">
      <c r="E3510" s="49"/>
      <c r="F3510" s="49"/>
      <c r="G3510" s="49"/>
      <c r="H3510" s="49"/>
      <c r="I3510" s="49"/>
      <c r="J3510" s="49"/>
      <c r="K3510" s="49"/>
      <c r="L3510" s="49"/>
      <c r="M3510" s="49"/>
    </row>
    <row r="3511" spans="5:13">
      <c r="E3511" s="49"/>
      <c r="F3511" s="49"/>
      <c r="G3511" s="49"/>
      <c r="H3511" s="49"/>
      <c r="I3511" s="49"/>
      <c r="J3511" s="49"/>
      <c r="K3511" s="49"/>
      <c r="L3511" s="49"/>
      <c r="M3511" s="49"/>
    </row>
    <row r="3512" spans="5:13">
      <c r="E3512" s="49"/>
      <c r="F3512" s="49"/>
      <c r="G3512" s="49"/>
      <c r="H3512" s="49"/>
      <c r="I3512" s="49"/>
      <c r="J3512" s="49"/>
      <c r="K3512" s="49"/>
      <c r="L3512" s="49"/>
      <c r="M3512" s="49"/>
    </row>
    <row r="3513" spans="5:13">
      <c r="E3513" s="49"/>
      <c r="F3513" s="49"/>
      <c r="G3513" s="49"/>
      <c r="H3513" s="49"/>
      <c r="I3513" s="49"/>
      <c r="J3513" s="49"/>
      <c r="K3513" s="49"/>
      <c r="L3513" s="49"/>
      <c r="M3513" s="49"/>
    </row>
    <row r="3514" spans="5:13">
      <c r="E3514" s="49"/>
      <c r="F3514" s="49"/>
      <c r="G3514" s="49"/>
      <c r="H3514" s="49"/>
      <c r="I3514" s="49"/>
      <c r="J3514" s="49"/>
      <c r="K3514" s="49"/>
      <c r="L3514" s="49"/>
      <c r="M3514" s="49"/>
    </row>
    <row r="3515" spans="5:13">
      <c r="E3515" s="49"/>
      <c r="F3515" s="49"/>
      <c r="G3515" s="49"/>
      <c r="H3515" s="49"/>
      <c r="I3515" s="49"/>
      <c r="J3515" s="49"/>
      <c r="K3515" s="49"/>
      <c r="L3515" s="49"/>
      <c r="M3515" s="49"/>
    </row>
    <row r="3516" spans="5:13">
      <c r="E3516" s="49"/>
      <c r="F3516" s="49"/>
      <c r="G3516" s="49"/>
      <c r="H3516" s="49"/>
      <c r="I3516" s="49"/>
      <c r="J3516" s="49"/>
      <c r="K3516" s="49"/>
      <c r="L3516" s="49"/>
      <c r="M3516" s="49"/>
    </row>
    <row r="3517" spans="5:13">
      <c r="E3517" s="49"/>
      <c r="F3517" s="49"/>
      <c r="G3517" s="49"/>
      <c r="H3517" s="49"/>
      <c r="I3517" s="49"/>
      <c r="J3517" s="49"/>
      <c r="K3517" s="49"/>
      <c r="L3517" s="49"/>
      <c r="M3517" s="49"/>
    </row>
    <row r="3518" spans="5:13">
      <c r="E3518" s="49"/>
      <c r="F3518" s="49"/>
      <c r="G3518" s="49"/>
      <c r="H3518" s="49"/>
      <c r="I3518" s="49"/>
      <c r="J3518" s="49"/>
      <c r="K3518" s="49"/>
      <c r="L3518" s="49"/>
      <c r="M3518" s="49"/>
    </row>
    <row r="3519" spans="5:13">
      <c r="E3519" s="49"/>
      <c r="F3519" s="49"/>
      <c r="G3519" s="49"/>
      <c r="H3519" s="49"/>
      <c r="I3519" s="49"/>
      <c r="J3519" s="49"/>
      <c r="K3519" s="49"/>
      <c r="L3519" s="49"/>
      <c r="M3519" s="49"/>
    </row>
    <row r="3520" spans="5:13">
      <c r="E3520" s="49"/>
      <c r="F3520" s="49"/>
      <c r="G3520" s="49"/>
      <c r="H3520" s="49"/>
      <c r="I3520" s="49"/>
      <c r="J3520" s="49"/>
      <c r="K3520" s="49"/>
      <c r="L3520" s="49"/>
      <c r="M3520" s="49"/>
    </row>
    <row r="3521" spans="5:13">
      <c r="E3521" s="49"/>
      <c r="F3521" s="49"/>
      <c r="G3521" s="49"/>
      <c r="H3521" s="49"/>
      <c r="I3521" s="49"/>
      <c r="J3521" s="49"/>
      <c r="K3521" s="49"/>
      <c r="L3521" s="49"/>
      <c r="M3521" s="49"/>
    </row>
    <row r="3522" spans="5:13">
      <c r="E3522" s="49"/>
      <c r="F3522" s="49"/>
      <c r="G3522" s="49"/>
      <c r="H3522" s="49"/>
      <c r="I3522" s="49"/>
      <c r="J3522" s="49"/>
      <c r="K3522" s="49"/>
      <c r="L3522" s="49"/>
      <c r="M3522" s="49"/>
    </row>
    <row r="3523" spans="5:13">
      <c r="E3523" s="49"/>
      <c r="F3523" s="49"/>
      <c r="G3523" s="49"/>
      <c r="H3523" s="49"/>
      <c r="I3523" s="49"/>
      <c r="J3523" s="49"/>
      <c r="K3523" s="49"/>
      <c r="L3523" s="49"/>
      <c r="M3523" s="49"/>
    </row>
    <row r="3524" spans="5:13">
      <c r="E3524" s="49"/>
      <c r="F3524" s="49"/>
      <c r="G3524" s="49"/>
      <c r="H3524" s="49"/>
      <c r="I3524" s="49"/>
      <c r="J3524" s="49"/>
      <c r="K3524" s="49"/>
      <c r="L3524" s="49"/>
      <c r="M3524" s="49"/>
    </row>
    <row r="3525" spans="5:13">
      <c r="E3525" s="49"/>
      <c r="F3525" s="49"/>
      <c r="G3525" s="49"/>
      <c r="H3525" s="49"/>
      <c r="I3525" s="49"/>
      <c r="J3525" s="49"/>
      <c r="K3525" s="49"/>
      <c r="L3525" s="49"/>
      <c r="M3525" s="49"/>
    </row>
    <row r="3526" spans="5:13">
      <c r="E3526" s="49"/>
      <c r="F3526" s="49"/>
      <c r="G3526" s="49"/>
      <c r="H3526" s="49"/>
      <c r="I3526" s="49"/>
      <c r="J3526" s="49"/>
      <c r="K3526" s="49"/>
      <c r="L3526" s="49"/>
      <c r="M3526" s="49"/>
    </row>
    <row r="3527" spans="5:13">
      <c r="E3527" s="49"/>
      <c r="F3527" s="49"/>
      <c r="G3527" s="49"/>
      <c r="H3527" s="49"/>
      <c r="I3527" s="49"/>
      <c r="J3527" s="49"/>
      <c r="K3527" s="49"/>
      <c r="L3527" s="49"/>
      <c r="M3527" s="49"/>
    </row>
    <row r="3528" spans="5:13">
      <c r="E3528" s="49"/>
      <c r="F3528" s="49"/>
      <c r="G3528" s="49"/>
      <c r="H3528" s="49"/>
      <c r="I3528" s="49"/>
      <c r="J3528" s="49"/>
      <c r="K3528" s="49"/>
      <c r="L3528" s="49"/>
      <c r="M3528" s="49"/>
    </row>
    <row r="3529" spans="5:13">
      <c r="E3529" s="49"/>
      <c r="F3529" s="49"/>
      <c r="G3529" s="49"/>
      <c r="H3529" s="49"/>
      <c r="I3529" s="49"/>
      <c r="J3529" s="49"/>
      <c r="K3529" s="49"/>
      <c r="L3529" s="49"/>
      <c r="M3529" s="49"/>
    </row>
    <row r="3530" spans="5:13">
      <c r="E3530" s="49"/>
      <c r="F3530" s="49"/>
      <c r="G3530" s="49"/>
      <c r="H3530" s="49"/>
      <c r="I3530" s="49"/>
      <c r="J3530" s="49"/>
      <c r="K3530" s="49"/>
      <c r="L3530" s="49"/>
      <c r="M3530" s="49"/>
    </row>
    <row r="3531" spans="5:13">
      <c r="E3531" s="49"/>
      <c r="F3531" s="49"/>
      <c r="G3531" s="49"/>
      <c r="H3531" s="49"/>
      <c r="I3531" s="49"/>
      <c r="J3531" s="49"/>
      <c r="K3531" s="49"/>
      <c r="L3531" s="49"/>
      <c r="M3531" s="49"/>
    </row>
    <row r="3532" spans="5:13">
      <c r="E3532" s="49"/>
      <c r="F3532" s="49"/>
      <c r="G3532" s="49"/>
      <c r="H3532" s="49"/>
      <c r="I3532" s="49"/>
      <c r="J3532" s="49"/>
      <c r="K3532" s="49"/>
      <c r="L3532" s="49"/>
      <c r="M3532" s="49"/>
    </row>
    <row r="3533" spans="5:13">
      <c r="E3533" s="49"/>
      <c r="F3533" s="49"/>
      <c r="G3533" s="49"/>
      <c r="H3533" s="49"/>
      <c r="I3533" s="49"/>
      <c r="J3533" s="49"/>
      <c r="K3533" s="49"/>
      <c r="L3533" s="49"/>
      <c r="M3533" s="49"/>
    </row>
    <row r="3534" spans="5:13">
      <c r="E3534" s="49"/>
      <c r="F3534" s="49"/>
      <c r="G3534" s="49"/>
      <c r="H3534" s="49"/>
      <c r="I3534" s="49"/>
      <c r="J3534" s="49"/>
      <c r="K3534" s="49"/>
      <c r="L3534" s="49"/>
      <c r="M3534" s="49"/>
    </row>
    <row r="3535" spans="5:13">
      <c r="E3535" s="49"/>
      <c r="F3535" s="49"/>
      <c r="G3535" s="49"/>
      <c r="H3535" s="49"/>
      <c r="I3535" s="49"/>
      <c r="J3535" s="49"/>
      <c r="K3535" s="49"/>
      <c r="L3535" s="49"/>
      <c r="M3535" s="49"/>
    </row>
    <row r="3536" spans="5:13">
      <c r="E3536" s="49"/>
      <c r="F3536" s="49"/>
      <c r="G3536" s="49"/>
      <c r="H3536" s="49"/>
      <c r="I3536" s="49"/>
      <c r="J3536" s="49"/>
      <c r="K3536" s="49"/>
      <c r="L3536" s="49"/>
      <c r="M3536" s="49"/>
    </row>
    <row r="3537" spans="5:13">
      <c r="E3537" s="49"/>
      <c r="F3537" s="49"/>
      <c r="G3537" s="49"/>
      <c r="H3537" s="49"/>
      <c r="I3537" s="49"/>
      <c r="J3537" s="49"/>
      <c r="K3537" s="49"/>
      <c r="L3537" s="49"/>
      <c r="M3537" s="49"/>
    </row>
    <row r="3538" spans="5:13">
      <c r="E3538" s="49"/>
      <c r="F3538" s="49"/>
      <c r="G3538" s="49"/>
      <c r="H3538" s="49"/>
      <c r="I3538" s="49"/>
      <c r="J3538" s="49"/>
      <c r="K3538" s="49"/>
      <c r="L3538" s="49"/>
      <c r="M3538" s="49"/>
    </row>
    <row r="3539" spans="5:13">
      <c r="E3539" s="49"/>
      <c r="F3539" s="49"/>
      <c r="G3539" s="49"/>
      <c r="H3539" s="49"/>
      <c r="I3539" s="49"/>
      <c r="J3539" s="49"/>
      <c r="K3539" s="49"/>
      <c r="L3539" s="49"/>
      <c r="M3539" s="49"/>
    </row>
    <row r="3540" spans="5:13">
      <c r="E3540" s="49"/>
      <c r="F3540" s="49"/>
      <c r="G3540" s="49"/>
      <c r="H3540" s="49"/>
      <c r="I3540" s="49"/>
      <c r="J3540" s="49"/>
      <c r="K3540" s="49"/>
      <c r="L3540" s="49"/>
      <c r="M3540" s="49"/>
    </row>
    <row r="3541" spans="5:13">
      <c r="E3541" s="49"/>
      <c r="F3541" s="49"/>
      <c r="G3541" s="49"/>
      <c r="H3541" s="49"/>
      <c r="I3541" s="49"/>
      <c r="J3541" s="49"/>
      <c r="K3541" s="49"/>
      <c r="L3541" s="49"/>
      <c r="M3541" s="49"/>
    </row>
    <row r="3542" spans="5:13">
      <c r="E3542" s="49"/>
      <c r="F3542" s="49"/>
      <c r="G3542" s="49"/>
      <c r="H3542" s="49"/>
      <c r="I3542" s="49"/>
      <c r="J3542" s="49"/>
      <c r="K3542" s="49"/>
      <c r="L3542" s="49"/>
      <c r="M3542" s="49"/>
    </row>
    <row r="3543" spans="5:13">
      <c r="E3543" s="49"/>
      <c r="F3543" s="49"/>
      <c r="G3543" s="49"/>
      <c r="H3543" s="49"/>
      <c r="I3543" s="49"/>
      <c r="J3543" s="49"/>
      <c r="K3543" s="49"/>
      <c r="L3543" s="49"/>
      <c r="M3543" s="49"/>
    </row>
    <row r="3544" spans="5:13">
      <c r="E3544" s="49"/>
      <c r="F3544" s="49"/>
      <c r="G3544" s="49"/>
      <c r="H3544" s="49"/>
      <c r="I3544" s="49"/>
      <c r="J3544" s="49"/>
      <c r="K3544" s="49"/>
      <c r="L3544" s="49"/>
      <c r="M3544" s="49"/>
    </row>
    <row r="3545" spans="5:13">
      <c r="E3545" s="49"/>
      <c r="F3545" s="49"/>
      <c r="G3545" s="49"/>
      <c r="H3545" s="49"/>
      <c r="I3545" s="49"/>
      <c r="J3545" s="49"/>
      <c r="K3545" s="49"/>
      <c r="L3545" s="49"/>
      <c r="M3545" s="49"/>
    </row>
    <row r="3546" spans="5:13">
      <c r="E3546" s="49"/>
      <c r="F3546" s="49"/>
      <c r="G3546" s="49"/>
      <c r="H3546" s="49"/>
      <c r="I3546" s="49"/>
      <c r="J3546" s="49"/>
      <c r="K3546" s="49"/>
      <c r="L3546" s="49"/>
      <c r="M3546" s="49"/>
    </row>
    <row r="3547" spans="5:13">
      <c r="E3547" s="49"/>
      <c r="F3547" s="49"/>
      <c r="G3547" s="49"/>
      <c r="H3547" s="49"/>
      <c r="I3547" s="49"/>
      <c r="J3547" s="49"/>
      <c r="K3547" s="49"/>
      <c r="L3547" s="49"/>
      <c r="M3547" s="49"/>
    </row>
    <row r="3548" spans="5:13">
      <c r="E3548" s="49"/>
      <c r="F3548" s="49"/>
      <c r="G3548" s="49"/>
      <c r="H3548" s="49"/>
      <c r="I3548" s="49"/>
      <c r="J3548" s="49"/>
      <c r="K3548" s="49"/>
      <c r="L3548" s="49"/>
      <c r="M3548" s="49"/>
    </row>
    <row r="3549" spans="5:13">
      <c r="E3549" s="49"/>
      <c r="F3549" s="49"/>
      <c r="G3549" s="49"/>
      <c r="H3549" s="49"/>
      <c r="I3549" s="49"/>
      <c r="J3549" s="49"/>
      <c r="K3549" s="49"/>
      <c r="L3549" s="49"/>
      <c r="M3549" s="49"/>
    </row>
    <row r="3550" spans="5:13">
      <c r="E3550" s="49"/>
      <c r="F3550" s="49"/>
      <c r="G3550" s="49"/>
      <c r="H3550" s="49"/>
      <c r="I3550" s="49"/>
      <c r="J3550" s="49"/>
      <c r="K3550" s="49"/>
      <c r="L3550" s="49"/>
      <c r="M3550" s="49"/>
    </row>
    <row r="3551" spans="5:13">
      <c r="E3551" s="49"/>
      <c r="F3551" s="49"/>
      <c r="G3551" s="49"/>
      <c r="H3551" s="49"/>
      <c r="I3551" s="49"/>
      <c r="J3551" s="49"/>
      <c r="K3551" s="49"/>
      <c r="L3551" s="49"/>
      <c r="M3551" s="49"/>
    </row>
    <row r="3552" spans="5:13">
      <c r="E3552" s="49"/>
      <c r="F3552" s="49"/>
      <c r="G3552" s="49"/>
      <c r="H3552" s="49"/>
      <c r="I3552" s="49"/>
      <c r="J3552" s="49"/>
      <c r="K3552" s="49"/>
      <c r="L3552" s="49"/>
      <c r="M3552" s="49"/>
    </row>
    <row r="3553" spans="5:13">
      <c r="E3553" s="49"/>
      <c r="F3553" s="49"/>
      <c r="G3553" s="49"/>
      <c r="H3553" s="49"/>
      <c r="I3553" s="49"/>
      <c r="J3553" s="49"/>
      <c r="K3553" s="49"/>
      <c r="L3553" s="49"/>
      <c r="M3553" s="49"/>
    </row>
    <row r="3554" spans="5:13">
      <c r="E3554" s="49"/>
      <c r="F3554" s="49"/>
      <c r="G3554" s="49"/>
      <c r="H3554" s="49"/>
      <c r="I3554" s="49"/>
      <c r="J3554" s="49"/>
      <c r="K3554" s="49"/>
      <c r="L3554" s="49"/>
      <c r="M3554" s="49"/>
    </row>
    <row r="3555" spans="5:13">
      <c r="E3555" s="49"/>
      <c r="F3555" s="49"/>
      <c r="G3555" s="49"/>
      <c r="H3555" s="49"/>
      <c r="I3555" s="49"/>
      <c r="J3555" s="49"/>
      <c r="K3555" s="49"/>
      <c r="L3555" s="49"/>
      <c r="M3555" s="49"/>
    </row>
    <row r="3556" spans="5:13">
      <c r="E3556" s="49"/>
      <c r="F3556" s="49"/>
      <c r="G3556" s="49"/>
      <c r="H3556" s="49"/>
      <c r="I3556" s="49"/>
      <c r="J3556" s="49"/>
      <c r="K3556" s="49"/>
      <c r="L3556" s="49"/>
      <c r="M3556" s="49"/>
    </row>
    <row r="3557" spans="5:13">
      <c r="E3557" s="49"/>
      <c r="F3557" s="49"/>
      <c r="G3557" s="49"/>
      <c r="H3557" s="49"/>
      <c r="I3557" s="49"/>
      <c r="J3557" s="49"/>
      <c r="K3557" s="49"/>
      <c r="L3557" s="49"/>
      <c r="M3557" s="49"/>
    </row>
    <row r="3558" spans="5:13">
      <c r="E3558" s="49"/>
      <c r="F3558" s="49"/>
      <c r="G3558" s="49"/>
      <c r="H3558" s="49"/>
      <c r="I3558" s="49"/>
      <c r="J3558" s="49"/>
      <c r="K3558" s="49"/>
      <c r="L3558" s="49"/>
      <c r="M3558" s="49"/>
    </row>
    <row r="3559" spans="5:13">
      <c r="E3559" s="49"/>
      <c r="F3559" s="49"/>
      <c r="G3559" s="49"/>
      <c r="H3559" s="49"/>
      <c r="I3559" s="49"/>
      <c r="J3559" s="49"/>
      <c r="K3559" s="49"/>
      <c r="L3559" s="49"/>
      <c r="M3559" s="49"/>
    </row>
    <row r="3560" spans="5:13">
      <c r="E3560" s="49"/>
      <c r="F3560" s="49"/>
      <c r="G3560" s="49"/>
      <c r="H3560" s="49"/>
      <c r="I3560" s="49"/>
      <c r="J3560" s="49"/>
      <c r="K3560" s="49"/>
      <c r="L3560" s="49"/>
      <c r="M3560" s="49"/>
    </row>
    <row r="3561" spans="5:13">
      <c r="E3561" s="49"/>
      <c r="F3561" s="49"/>
      <c r="G3561" s="49"/>
      <c r="H3561" s="49"/>
      <c r="I3561" s="49"/>
      <c r="J3561" s="49"/>
      <c r="K3561" s="49"/>
      <c r="L3561" s="49"/>
      <c r="M3561" s="49"/>
    </row>
    <row r="3562" spans="5:13">
      <c r="E3562" s="49"/>
      <c r="F3562" s="49"/>
      <c r="G3562" s="49"/>
      <c r="H3562" s="49"/>
      <c r="I3562" s="49"/>
      <c r="J3562" s="49"/>
      <c r="K3562" s="49"/>
      <c r="L3562" s="49"/>
      <c r="M3562" s="49"/>
    </row>
    <row r="3563" spans="5:13">
      <c r="E3563" s="49"/>
      <c r="F3563" s="49"/>
      <c r="G3563" s="49"/>
      <c r="H3563" s="49"/>
      <c r="I3563" s="49"/>
      <c r="J3563" s="49"/>
      <c r="K3563" s="49"/>
      <c r="L3563" s="49"/>
      <c r="M3563" s="49"/>
    </row>
    <row r="3564" spans="5:13">
      <c r="E3564" s="49"/>
      <c r="F3564" s="49"/>
      <c r="G3564" s="49"/>
      <c r="H3564" s="49"/>
      <c r="I3564" s="49"/>
      <c r="J3564" s="49"/>
      <c r="K3564" s="49"/>
      <c r="L3564" s="49"/>
      <c r="M3564" s="49"/>
    </row>
    <row r="3565" spans="5:13">
      <c r="E3565" s="49"/>
      <c r="F3565" s="49"/>
      <c r="G3565" s="49"/>
      <c r="H3565" s="49"/>
      <c r="I3565" s="49"/>
      <c r="J3565" s="49"/>
      <c r="K3565" s="49"/>
      <c r="L3565" s="49"/>
      <c r="M3565" s="49"/>
    </row>
    <row r="3566" spans="5:13">
      <c r="E3566" s="49"/>
      <c r="F3566" s="49"/>
      <c r="G3566" s="49"/>
      <c r="H3566" s="49"/>
      <c r="I3566" s="49"/>
      <c r="J3566" s="49"/>
      <c r="K3566" s="49"/>
      <c r="L3566" s="49"/>
      <c r="M3566" s="49"/>
    </row>
    <row r="3567" spans="5:13">
      <c r="E3567" s="49"/>
      <c r="F3567" s="49"/>
      <c r="G3567" s="49"/>
      <c r="H3567" s="49"/>
      <c r="I3567" s="49"/>
      <c r="J3567" s="49"/>
      <c r="K3567" s="49"/>
      <c r="L3567" s="49"/>
      <c r="M3567" s="49"/>
    </row>
    <row r="3568" spans="5:13">
      <c r="E3568" s="49"/>
      <c r="F3568" s="49"/>
      <c r="G3568" s="49"/>
      <c r="H3568" s="49"/>
      <c r="I3568" s="49"/>
      <c r="J3568" s="49"/>
      <c r="K3568" s="49"/>
      <c r="L3568" s="49"/>
      <c r="M3568" s="49"/>
    </row>
    <row r="3569" spans="5:13">
      <c r="E3569" s="49"/>
      <c r="F3569" s="49"/>
      <c r="G3569" s="49"/>
      <c r="H3569" s="49"/>
      <c r="I3569" s="49"/>
      <c r="J3569" s="49"/>
      <c r="K3569" s="49"/>
      <c r="L3569" s="49"/>
      <c r="M3569" s="49"/>
    </row>
    <row r="3570" spans="5:13">
      <c r="E3570" s="49"/>
      <c r="F3570" s="49"/>
      <c r="G3570" s="49"/>
      <c r="H3570" s="49"/>
      <c r="I3570" s="49"/>
      <c r="J3570" s="49"/>
      <c r="K3570" s="49"/>
      <c r="L3570" s="49"/>
      <c r="M3570" s="49"/>
    </row>
    <row r="3571" spans="5:13">
      <c r="E3571" s="49"/>
      <c r="F3571" s="49"/>
      <c r="G3571" s="49"/>
      <c r="H3571" s="49"/>
      <c r="I3571" s="49"/>
      <c r="J3571" s="49"/>
      <c r="K3571" s="49"/>
      <c r="L3571" s="49"/>
      <c r="M3571" s="49"/>
    </row>
    <row r="3572" spans="5:13">
      <c r="E3572" s="49"/>
      <c r="F3572" s="49"/>
      <c r="G3572" s="49"/>
      <c r="H3572" s="49"/>
      <c r="I3572" s="49"/>
      <c r="J3572" s="49"/>
      <c r="K3572" s="49"/>
      <c r="L3572" s="49"/>
      <c r="M3572" s="49"/>
    </row>
    <row r="3573" spans="5:13">
      <c r="E3573" s="49"/>
      <c r="F3573" s="49"/>
      <c r="G3573" s="49"/>
      <c r="H3573" s="49"/>
      <c r="I3573" s="49"/>
      <c r="J3573" s="49"/>
      <c r="K3573" s="49"/>
      <c r="L3573" s="49"/>
      <c r="M3573" s="49"/>
    </row>
    <row r="3574" spans="5:13">
      <c r="E3574" s="49"/>
      <c r="F3574" s="49"/>
      <c r="G3574" s="49"/>
      <c r="H3574" s="49"/>
      <c r="I3574" s="49"/>
      <c r="J3574" s="49"/>
      <c r="K3574" s="49"/>
      <c r="L3574" s="49"/>
      <c r="M3574" s="49"/>
    </row>
    <row r="3575" spans="5:13">
      <c r="E3575" s="49"/>
      <c r="F3575" s="49"/>
      <c r="G3575" s="49"/>
      <c r="H3575" s="49"/>
      <c r="I3575" s="49"/>
      <c r="J3575" s="49"/>
      <c r="K3575" s="49"/>
      <c r="L3575" s="49"/>
      <c r="M3575" s="49"/>
    </row>
    <row r="3576" spans="5:13">
      <c r="E3576" s="49"/>
      <c r="F3576" s="49"/>
      <c r="G3576" s="49"/>
      <c r="H3576" s="49"/>
      <c r="I3576" s="49"/>
      <c r="J3576" s="49"/>
      <c r="K3576" s="49"/>
      <c r="L3576" s="49"/>
      <c r="M3576" s="49"/>
    </row>
    <row r="3577" spans="5:13">
      <c r="E3577" s="49"/>
      <c r="F3577" s="49"/>
      <c r="G3577" s="49"/>
      <c r="H3577" s="49"/>
      <c r="I3577" s="49"/>
      <c r="J3577" s="49"/>
      <c r="K3577" s="49"/>
      <c r="L3577" s="49"/>
      <c r="M3577" s="49"/>
    </row>
    <row r="3578" spans="5:13">
      <c r="E3578" s="49"/>
      <c r="F3578" s="49"/>
      <c r="G3578" s="49"/>
      <c r="H3578" s="49"/>
      <c r="I3578" s="49"/>
      <c r="J3578" s="49"/>
      <c r="K3578" s="49"/>
      <c r="L3578" s="49"/>
      <c r="M3578" s="49"/>
    </row>
    <row r="3579" spans="5:13">
      <c r="E3579" s="49"/>
      <c r="F3579" s="49"/>
      <c r="G3579" s="49"/>
      <c r="H3579" s="49"/>
      <c r="I3579" s="49"/>
      <c r="J3579" s="49"/>
      <c r="K3579" s="49"/>
      <c r="L3579" s="49"/>
      <c r="M3579" s="49"/>
    </row>
    <row r="3580" spans="5:13">
      <c r="E3580" s="49"/>
      <c r="F3580" s="49"/>
      <c r="G3580" s="49"/>
      <c r="H3580" s="49"/>
      <c r="I3580" s="49"/>
      <c r="J3580" s="49"/>
      <c r="K3580" s="49"/>
      <c r="L3580" s="49"/>
      <c r="M3580" s="49"/>
    </row>
    <row r="3581" spans="5:13">
      <c r="E3581" s="49"/>
      <c r="F3581" s="49"/>
      <c r="G3581" s="49"/>
      <c r="H3581" s="49"/>
      <c r="I3581" s="49"/>
      <c r="J3581" s="49"/>
      <c r="K3581" s="49"/>
      <c r="L3581" s="49"/>
      <c r="M3581" s="49"/>
    </row>
    <row r="3582" spans="5:13">
      <c r="E3582" s="49"/>
      <c r="F3582" s="49"/>
      <c r="G3582" s="49"/>
      <c r="H3582" s="49"/>
      <c r="I3582" s="49"/>
      <c r="J3582" s="49"/>
      <c r="K3582" s="49"/>
      <c r="L3582" s="49"/>
      <c r="M3582" s="49"/>
    </row>
    <row r="3583" spans="5:13">
      <c r="E3583" s="49"/>
      <c r="F3583" s="49"/>
      <c r="G3583" s="49"/>
      <c r="H3583" s="49"/>
      <c r="I3583" s="49"/>
      <c r="J3583" s="49"/>
      <c r="K3583" s="49"/>
      <c r="L3583" s="49"/>
      <c r="M3583" s="49"/>
    </row>
    <row r="3584" spans="5:13">
      <c r="E3584" s="49"/>
      <c r="F3584" s="49"/>
      <c r="G3584" s="49"/>
      <c r="H3584" s="49"/>
      <c r="I3584" s="49"/>
      <c r="J3584" s="49"/>
      <c r="K3584" s="49"/>
      <c r="L3584" s="49"/>
      <c r="M3584" s="49"/>
    </row>
    <row r="3585" spans="5:13">
      <c r="E3585" s="49"/>
      <c r="F3585" s="49"/>
      <c r="G3585" s="49"/>
      <c r="H3585" s="49"/>
      <c r="I3585" s="49"/>
      <c r="J3585" s="49"/>
      <c r="K3585" s="49"/>
      <c r="L3585" s="49"/>
      <c r="M3585" s="49"/>
    </row>
    <row r="3586" spans="5:13">
      <c r="E3586" s="49"/>
      <c r="F3586" s="49"/>
      <c r="G3586" s="49"/>
      <c r="H3586" s="49"/>
      <c r="I3586" s="49"/>
      <c r="J3586" s="49"/>
      <c r="K3586" s="49"/>
      <c r="L3586" s="49"/>
      <c r="M3586" s="49"/>
    </row>
    <row r="3587" spans="5:13">
      <c r="E3587" s="49"/>
      <c r="F3587" s="49"/>
      <c r="G3587" s="49"/>
      <c r="H3587" s="49"/>
      <c r="I3587" s="49"/>
      <c r="J3587" s="49"/>
      <c r="K3587" s="49"/>
      <c r="L3587" s="49"/>
      <c r="M3587" s="49"/>
    </row>
    <row r="3588" spans="5:13">
      <c r="E3588" s="49"/>
      <c r="F3588" s="49"/>
      <c r="G3588" s="49"/>
      <c r="H3588" s="49"/>
      <c r="I3588" s="49"/>
      <c r="J3588" s="49"/>
      <c r="K3588" s="49"/>
      <c r="L3588" s="49"/>
      <c r="M3588" s="49"/>
    </row>
    <row r="3589" spans="5:13">
      <c r="E3589" s="49"/>
      <c r="F3589" s="49"/>
      <c r="G3589" s="49"/>
      <c r="H3589" s="49"/>
      <c r="I3589" s="49"/>
      <c r="J3589" s="49"/>
      <c r="K3589" s="49"/>
      <c r="L3589" s="49"/>
      <c r="M3589" s="49"/>
    </row>
    <row r="3590" spans="5:13">
      <c r="E3590" s="49"/>
      <c r="F3590" s="49"/>
      <c r="G3590" s="49"/>
      <c r="H3590" s="49"/>
      <c r="I3590" s="49"/>
      <c r="J3590" s="49"/>
      <c r="K3590" s="49"/>
      <c r="L3590" s="49"/>
      <c r="M3590" s="49"/>
    </row>
    <row r="3591" spans="5:13">
      <c r="E3591" s="49"/>
      <c r="F3591" s="49"/>
      <c r="G3591" s="49"/>
      <c r="H3591" s="49"/>
      <c r="I3591" s="49"/>
      <c r="J3591" s="49"/>
      <c r="K3591" s="49"/>
      <c r="L3591" s="49"/>
      <c r="M3591" s="49"/>
    </row>
    <row r="3592" spans="5:13">
      <c r="E3592" s="49"/>
      <c r="F3592" s="49"/>
      <c r="G3592" s="49"/>
      <c r="H3592" s="49"/>
      <c r="I3592" s="49"/>
      <c r="J3592" s="49"/>
      <c r="K3592" s="49"/>
      <c r="L3592" s="49"/>
      <c r="M3592" s="49"/>
    </row>
    <row r="3593" spans="5:13">
      <c r="E3593" s="49"/>
      <c r="F3593" s="49"/>
      <c r="G3593" s="49"/>
      <c r="H3593" s="49"/>
      <c r="I3593" s="49"/>
      <c r="J3593" s="49"/>
      <c r="K3593" s="49"/>
      <c r="L3593" s="49"/>
      <c r="M3593" s="49"/>
    </row>
    <row r="3594" spans="5:13">
      <c r="E3594" s="49"/>
      <c r="F3594" s="49"/>
      <c r="G3594" s="49"/>
      <c r="H3594" s="49"/>
      <c r="I3594" s="49"/>
      <c r="J3594" s="49"/>
      <c r="K3594" s="49"/>
      <c r="L3594" s="49"/>
      <c r="M3594" s="49"/>
    </row>
    <row r="3595" spans="5:13">
      <c r="E3595" s="49"/>
      <c r="F3595" s="49"/>
      <c r="G3595" s="49"/>
      <c r="H3595" s="49"/>
      <c r="I3595" s="49"/>
      <c r="J3595" s="49"/>
      <c r="K3595" s="49"/>
      <c r="L3595" s="49"/>
      <c r="M3595" s="49"/>
    </row>
    <row r="3596" spans="5:13">
      <c r="E3596" s="49"/>
      <c r="F3596" s="49"/>
      <c r="G3596" s="49"/>
      <c r="H3596" s="49"/>
      <c r="I3596" s="49"/>
      <c r="J3596" s="49"/>
      <c r="K3596" s="49"/>
      <c r="L3596" s="49"/>
      <c r="M3596" s="49"/>
    </row>
    <row r="3597" spans="5:13">
      <c r="E3597" s="49"/>
      <c r="F3597" s="49"/>
      <c r="G3597" s="49"/>
      <c r="H3597" s="49"/>
      <c r="I3597" s="49"/>
      <c r="J3597" s="49"/>
      <c r="K3597" s="49"/>
      <c r="L3597" s="49"/>
      <c r="M3597" s="49"/>
    </row>
    <row r="3598" spans="5:13">
      <c r="E3598" s="49"/>
      <c r="F3598" s="49"/>
      <c r="G3598" s="49"/>
      <c r="H3598" s="49"/>
      <c r="I3598" s="49"/>
      <c r="J3598" s="49"/>
      <c r="K3598" s="49"/>
      <c r="L3598" s="49"/>
      <c r="M3598" s="49"/>
    </row>
    <row r="3599" spans="5:13">
      <c r="E3599" s="49"/>
      <c r="F3599" s="49"/>
      <c r="G3599" s="49"/>
      <c r="H3599" s="49"/>
      <c r="I3599" s="49"/>
      <c r="J3599" s="49"/>
      <c r="K3599" s="49"/>
      <c r="L3599" s="49"/>
      <c r="M3599" s="49"/>
    </row>
    <row r="3600" spans="5:13">
      <c r="E3600" s="49"/>
      <c r="F3600" s="49"/>
      <c r="G3600" s="49"/>
      <c r="H3600" s="49"/>
      <c r="I3600" s="49"/>
      <c r="J3600" s="49"/>
      <c r="K3600" s="49"/>
      <c r="L3600" s="49"/>
      <c r="M3600" s="49"/>
    </row>
    <row r="3601" spans="5:13">
      <c r="E3601" s="49"/>
      <c r="F3601" s="49"/>
      <c r="G3601" s="49"/>
      <c r="H3601" s="49"/>
      <c r="I3601" s="49"/>
      <c r="J3601" s="49"/>
      <c r="K3601" s="49"/>
      <c r="L3601" s="49"/>
      <c r="M3601" s="49"/>
    </row>
    <row r="3602" spans="5:13">
      <c r="E3602" s="49"/>
      <c r="F3602" s="49"/>
      <c r="G3602" s="49"/>
      <c r="H3602" s="49"/>
      <c r="I3602" s="49"/>
      <c r="J3602" s="49"/>
      <c r="K3602" s="49"/>
      <c r="L3602" s="49"/>
      <c r="M3602" s="49"/>
    </row>
    <row r="3603" spans="5:13">
      <c r="E3603" s="49"/>
      <c r="F3603" s="49"/>
      <c r="G3603" s="49"/>
      <c r="H3603" s="49"/>
      <c r="I3603" s="49"/>
      <c r="J3603" s="49"/>
      <c r="K3603" s="49"/>
      <c r="L3603" s="49"/>
      <c r="M3603" s="49"/>
    </row>
    <row r="3604" spans="5:13">
      <c r="E3604" s="49"/>
      <c r="F3604" s="49"/>
      <c r="G3604" s="49"/>
      <c r="H3604" s="49"/>
      <c r="I3604" s="49"/>
      <c r="J3604" s="49"/>
      <c r="K3604" s="49"/>
      <c r="L3604" s="49"/>
      <c r="M3604" s="49"/>
    </row>
    <row r="3605" spans="5:13">
      <c r="E3605" s="49"/>
      <c r="F3605" s="49"/>
      <c r="G3605" s="49"/>
      <c r="H3605" s="49"/>
      <c r="I3605" s="49"/>
      <c r="J3605" s="49"/>
      <c r="K3605" s="49"/>
      <c r="L3605" s="49"/>
      <c r="M3605" s="49"/>
    </row>
    <row r="3606" spans="5:13">
      <c r="E3606" s="49"/>
      <c r="F3606" s="49"/>
      <c r="G3606" s="49"/>
      <c r="H3606" s="49"/>
      <c r="I3606" s="49"/>
      <c r="J3606" s="49"/>
      <c r="K3606" s="49"/>
      <c r="L3606" s="49"/>
      <c r="M3606" s="49"/>
    </row>
    <row r="3607" spans="5:13">
      <c r="E3607" s="49"/>
      <c r="F3607" s="49"/>
      <c r="G3607" s="49"/>
      <c r="H3607" s="49"/>
      <c r="I3607" s="49"/>
      <c r="J3607" s="49"/>
      <c r="K3607" s="49"/>
      <c r="L3607" s="49"/>
      <c r="M3607" s="49"/>
    </row>
    <row r="3608" spans="5:13">
      <c r="E3608" s="49"/>
      <c r="F3608" s="49"/>
      <c r="G3608" s="49"/>
      <c r="H3608" s="49"/>
      <c r="I3608" s="49"/>
      <c r="J3608" s="49"/>
      <c r="K3608" s="49"/>
      <c r="L3608" s="49"/>
      <c r="M3608" s="49"/>
    </row>
    <row r="3609" spans="5:13">
      <c r="E3609" s="49"/>
      <c r="F3609" s="49"/>
      <c r="G3609" s="49"/>
      <c r="H3609" s="49"/>
      <c r="I3609" s="49"/>
      <c r="J3609" s="49"/>
      <c r="K3609" s="49"/>
      <c r="L3609" s="49"/>
      <c r="M3609" s="49"/>
    </row>
    <row r="3610" spans="5:13">
      <c r="E3610" s="49"/>
      <c r="F3610" s="49"/>
      <c r="G3610" s="49"/>
      <c r="H3610" s="49"/>
      <c r="I3610" s="49"/>
      <c r="J3610" s="49"/>
      <c r="K3610" s="49"/>
      <c r="L3610" s="49"/>
      <c r="M3610" s="49"/>
    </row>
    <row r="3611" spans="5:13">
      <c r="E3611" s="49"/>
      <c r="F3611" s="49"/>
      <c r="G3611" s="49"/>
      <c r="H3611" s="49"/>
      <c r="I3611" s="49"/>
      <c r="J3611" s="49"/>
      <c r="K3611" s="49"/>
      <c r="L3611" s="49"/>
      <c r="M3611" s="49"/>
    </row>
    <row r="3612" spans="5:13">
      <c r="E3612" s="49"/>
      <c r="F3612" s="49"/>
      <c r="G3612" s="49"/>
      <c r="H3612" s="49"/>
      <c r="I3612" s="49"/>
      <c r="J3612" s="49"/>
      <c r="K3612" s="49"/>
      <c r="L3612" s="49"/>
      <c r="M3612" s="49"/>
    </row>
    <row r="3613" spans="5:13">
      <c r="E3613" s="49"/>
      <c r="F3613" s="49"/>
      <c r="G3613" s="49"/>
      <c r="H3613" s="49"/>
      <c r="I3613" s="49"/>
      <c r="J3613" s="49"/>
      <c r="K3613" s="49"/>
      <c r="L3613" s="49"/>
      <c r="M3613" s="49"/>
    </row>
    <row r="3614" spans="5:13">
      <c r="E3614" s="49"/>
      <c r="F3614" s="49"/>
      <c r="G3614" s="49"/>
      <c r="H3614" s="49"/>
      <c r="I3614" s="49"/>
      <c r="J3614" s="49"/>
      <c r="K3614" s="49"/>
      <c r="L3614" s="49"/>
      <c r="M3614" s="49"/>
    </row>
    <row r="3615" spans="5:13">
      <c r="E3615" s="49"/>
      <c r="F3615" s="49"/>
      <c r="G3615" s="49"/>
      <c r="H3615" s="49"/>
      <c r="I3615" s="49"/>
      <c r="J3615" s="49"/>
      <c r="K3615" s="49"/>
      <c r="L3615" s="49"/>
      <c r="M3615" s="49"/>
    </row>
    <row r="3616" spans="5:13">
      <c r="E3616" s="49"/>
      <c r="F3616" s="49"/>
      <c r="G3616" s="49"/>
      <c r="H3616" s="49"/>
      <c r="I3616" s="49"/>
      <c r="J3616" s="49"/>
      <c r="K3616" s="49"/>
      <c r="L3616" s="49"/>
      <c r="M3616" s="49"/>
    </row>
    <row r="3617" spans="5:13">
      <c r="E3617" s="49"/>
      <c r="F3617" s="49"/>
      <c r="G3617" s="49"/>
      <c r="H3617" s="49"/>
      <c r="I3617" s="49"/>
      <c r="J3617" s="49"/>
      <c r="K3617" s="49"/>
      <c r="L3617" s="49"/>
      <c r="M3617" s="49"/>
    </row>
    <row r="3618" spans="5:13">
      <c r="E3618" s="49"/>
      <c r="F3618" s="49"/>
      <c r="G3618" s="49"/>
      <c r="H3618" s="49"/>
      <c r="I3618" s="49"/>
      <c r="J3618" s="49"/>
      <c r="K3618" s="49"/>
      <c r="L3618" s="49"/>
      <c r="M3618" s="49"/>
    </row>
    <row r="3619" spans="5:13">
      <c r="E3619" s="49"/>
      <c r="F3619" s="49"/>
      <c r="G3619" s="49"/>
      <c r="H3619" s="49"/>
      <c r="I3619" s="49"/>
      <c r="J3619" s="49"/>
      <c r="K3619" s="49"/>
      <c r="L3619" s="49"/>
      <c r="M3619" s="49"/>
    </row>
    <row r="3620" spans="5:13">
      <c r="E3620" s="49"/>
      <c r="F3620" s="49"/>
      <c r="G3620" s="49"/>
      <c r="H3620" s="49"/>
      <c r="I3620" s="49"/>
      <c r="J3620" s="49"/>
      <c r="K3620" s="49"/>
      <c r="L3620" s="49"/>
      <c r="M3620" s="49"/>
    </row>
    <row r="3621" spans="5:13">
      <c r="E3621" s="49"/>
      <c r="F3621" s="49"/>
      <c r="G3621" s="49"/>
      <c r="H3621" s="49"/>
      <c r="I3621" s="49"/>
      <c r="J3621" s="49"/>
      <c r="K3621" s="49"/>
      <c r="L3621" s="49"/>
      <c r="M3621" s="49"/>
    </row>
    <row r="3622" spans="5:13">
      <c r="E3622" s="49"/>
      <c r="F3622" s="49"/>
      <c r="G3622" s="49"/>
      <c r="H3622" s="49"/>
      <c r="I3622" s="49"/>
      <c r="J3622" s="49"/>
      <c r="K3622" s="49"/>
      <c r="L3622" s="49"/>
      <c r="M3622" s="49"/>
    </row>
    <row r="3623" spans="5:13">
      <c r="E3623" s="49"/>
      <c r="F3623" s="49"/>
      <c r="G3623" s="49"/>
      <c r="H3623" s="49"/>
      <c r="I3623" s="49"/>
      <c r="J3623" s="49"/>
      <c r="K3623" s="49"/>
      <c r="L3623" s="49"/>
      <c r="M3623" s="49"/>
    </row>
    <row r="3624" spans="5:13">
      <c r="E3624" s="49"/>
      <c r="F3624" s="49"/>
      <c r="G3624" s="49"/>
      <c r="H3624" s="49"/>
      <c r="I3624" s="49"/>
      <c r="J3624" s="49"/>
      <c r="K3624" s="49"/>
      <c r="L3624" s="49"/>
      <c r="M3624" s="49"/>
    </row>
    <row r="3625" spans="5:13">
      <c r="E3625" s="49"/>
      <c r="F3625" s="49"/>
      <c r="G3625" s="49"/>
      <c r="H3625" s="49"/>
      <c r="I3625" s="49"/>
      <c r="J3625" s="49"/>
      <c r="K3625" s="49"/>
      <c r="L3625" s="49"/>
      <c r="M3625" s="49"/>
    </row>
    <row r="3626" spans="5:13">
      <c r="E3626" s="49"/>
      <c r="F3626" s="49"/>
      <c r="G3626" s="49"/>
      <c r="H3626" s="49"/>
      <c r="I3626" s="49"/>
      <c r="J3626" s="49"/>
      <c r="K3626" s="49"/>
      <c r="L3626" s="49"/>
      <c r="M3626" s="49"/>
    </row>
    <row r="3627" spans="5:13">
      <c r="E3627" s="49"/>
      <c r="F3627" s="49"/>
      <c r="G3627" s="49"/>
      <c r="H3627" s="49"/>
      <c r="I3627" s="49"/>
      <c r="J3627" s="49"/>
      <c r="K3627" s="49"/>
      <c r="L3627" s="49"/>
      <c r="M3627" s="49"/>
    </row>
    <row r="3628" spans="5:13">
      <c r="E3628" s="49"/>
      <c r="F3628" s="49"/>
      <c r="G3628" s="49"/>
      <c r="H3628" s="49"/>
      <c r="I3628" s="49"/>
      <c r="J3628" s="49"/>
      <c r="K3628" s="49"/>
      <c r="L3628" s="49"/>
      <c r="M3628" s="49"/>
    </row>
    <row r="3629" spans="5:13">
      <c r="E3629" s="49"/>
      <c r="F3629" s="49"/>
      <c r="G3629" s="49"/>
      <c r="H3629" s="49"/>
      <c r="I3629" s="49"/>
      <c r="J3629" s="49"/>
      <c r="K3629" s="49"/>
      <c r="L3629" s="49"/>
      <c r="M3629" s="49"/>
    </row>
    <row r="3630" spans="5:13">
      <c r="E3630" s="49"/>
      <c r="F3630" s="49"/>
      <c r="G3630" s="49"/>
      <c r="H3630" s="49"/>
      <c r="I3630" s="49"/>
      <c r="J3630" s="49"/>
      <c r="K3630" s="49"/>
      <c r="L3630" s="49"/>
      <c r="M3630" s="49"/>
    </row>
    <row r="3631" spans="5:13">
      <c r="E3631" s="49"/>
      <c r="F3631" s="49"/>
      <c r="G3631" s="49"/>
      <c r="H3631" s="49"/>
      <c r="I3631" s="49"/>
      <c r="J3631" s="49"/>
      <c r="K3631" s="49"/>
      <c r="L3631" s="49"/>
      <c r="M3631" s="49"/>
    </row>
    <row r="3632" spans="5:13">
      <c r="E3632" s="49"/>
      <c r="F3632" s="49"/>
      <c r="G3632" s="49"/>
      <c r="H3632" s="49"/>
      <c r="I3632" s="49"/>
      <c r="J3632" s="49"/>
      <c r="K3632" s="49"/>
      <c r="L3632" s="49"/>
      <c r="M3632" s="49"/>
    </row>
    <row r="3633" spans="5:13">
      <c r="E3633" s="49"/>
      <c r="F3633" s="49"/>
      <c r="G3633" s="49"/>
      <c r="H3633" s="49"/>
      <c r="I3633" s="49"/>
      <c r="J3633" s="49"/>
      <c r="K3633" s="49"/>
      <c r="L3633" s="49"/>
      <c r="M3633" s="49"/>
    </row>
    <row r="3634" spans="5:13">
      <c r="E3634" s="49"/>
      <c r="F3634" s="49"/>
      <c r="G3634" s="49"/>
      <c r="H3634" s="49"/>
      <c r="I3634" s="49"/>
      <c r="J3634" s="49"/>
      <c r="K3634" s="49"/>
      <c r="L3634" s="49"/>
      <c r="M3634" s="49"/>
    </row>
    <row r="3635" spans="5:13">
      <c r="E3635" s="49"/>
      <c r="F3635" s="49"/>
      <c r="G3635" s="49"/>
      <c r="H3635" s="49"/>
      <c r="I3635" s="49"/>
      <c r="J3635" s="49"/>
      <c r="K3635" s="49"/>
      <c r="L3635" s="49"/>
      <c r="M3635" s="49"/>
    </row>
    <row r="3636" spans="5:13">
      <c r="E3636" s="49"/>
      <c r="F3636" s="49"/>
      <c r="G3636" s="49"/>
      <c r="H3636" s="49"/>
      <c r="I3636" s="49"/>
      <c r="J3636" s="49"/>
      <c r="K3636" s="49"/>
      <c r="L3636" s="49"/>
      <c r="M3636" s="49"/>
    </row>
    <row r="3637" spans="5:13">
      <c r="E3637" s="49"/>
      <c r="F3637" s="49"/>
      <c r="G3637" s="49"/>
      <c r="H3637" s="49"/>
      <c r="I3637" s="49"/>
      <c r="J3637" s="49"/>
      <c r="K3637" s="49"/>
      <c r="L3637" s="49"/>
      <c r="M3637" s="49"/>
    </row>
    <row r="3638" spans="5:13">
      <c r="E3638" s="49"/>
      <c r="F3638" s="49"/>
      <c r="G3638" s="49"/>
      <c r="H3638" s="49"/>
      <c r="I3638" s="49"/>
      <c r="J3638" s="49"/>
      <c r="K3638" s="49"/>
      <c r="L3638" s="49"/>
      <c r="M3638" s="49"/>
    </row>
    <row r="3639" spans="5:13">
      <c r="E3639" s="49"/>
      <c r="F3639" s="49"/>
      <c r="G3639" s="49"/>
      <c r="H3639" s="49"/>
      <c r="I3639" s="49"/>
      <c r="J3639" s="49"/>
      <c r="K3639" s="49"/>
      <c r="L3639" s="49"/>
      <c r="M3639" s="49"/>
    </row>
    <row r="3640" spans="5:13">
      <c r="E3640" s="49"/>
      <c r="F3640" s="49"/>
      <c r="G3640" s="49"/>
      <c r="H3640" s="49"/>
      <c r="I3640" s="49"/>
      <c r="J3640" s="49"/>
      <c r="K3640" s="49"/>
      <c r="L3640" s="49"/>
      <c r="M3640" s="49"/>
    </row>
    <row r="3641" spans="5:13">
      <c r="E3641" s="49"/>
      <c r="F3641" s="49"/>
      <c r="G3641" s="49"/>
      <c r="H3641" s="49"/>
      <c r="I3641" s="49"/>
      <c r="J3641" s="49"/>
      <c r="K3641" s="49"/>
      <c r="L3641" s="49"/>
      <c r="M3641" s="49"/>
    </row>
    <row r="3642" spans="5:13">
      <c r="E3642" s="49"/>
      <c r="F3642" s="49"/>
      <c r="G3642" s="49"/>
      <c r="H3642" s="49"/>
      <c r="I3642" s="49"/>
      <c r="J3642" s="49"/>
      <c r="K3642" s="49"/>
      <c r="L3642" s="49"/>
      <c r="M3642" s="49"/>
    </row>
    <row r="3643" spans="5:13">
      <c r="E3643" s="49"/>
      <c r="F3643" s="49"/>
      <c r="G3643" s="49"/>
      <c r="H3643" s="49"/>
      <c r="I3643" s="49"/>
      <c r="J3643" s="49"/>
      <c r="K3643" s="49"/>
      <c r="L3643" s="49"/>
      <c r="M3643" s="49"/>
    </row>
    <row r="3644" spans="5:13">
      <c r="E3644" s="49"/>
      <c r="F3644" s="49"/>
      <c r="G3644" s="49"/>
      <c r="H3644" s="49"/>
      <c r="I3644" s="49"/>
      <c r="J3644" s="49"/>
      <c r="K3644" s="49"/>
      <c r="L3644" s="49"/>
      <c r="M3644" s="49"/>
    </row>
    <row r="3645" spans="5:13">
      <c r="E3645" s="49"/>
      <c r="F3645" s="49"/>
      <c r="G3645" s="49"/>
      <c r="H3645" s="49"/>
      <c r="I3645" s="49"/>
      <c r="J3645" s="49"/>
      <c r="K3645" s="49"/>
      <c r="L3645" s="49"/>
      <c r="M3645" s="49"/>
    </row>
    <row r="3646" spans="5:13">
      <c r="E3646" s="49"/>
      <c r="F3646" s="49"/>
      <c r="G3646" s="49"/>
      <c r="H3646" s="49"/>
      <c r="I3646" s="49"/>
      <c r="J3646" s="49"/>
      <c r="K3646" s="49"/>
      <c r="L3646" s="49"/>
      <c r="M3646" s="49"/>
    </row>
    <row r="3647" spans="5:13">
      <c r="E3647" s="49"/>
      <c r="F3647" s="49"/>
      <c r="G3647" s="49"/>
      <c r="H3647" s="49"/>
      <c r="I3647" s="49"/>
      <c r="J3647" s="49"/>
      <c r="K3647" s="49"/>
      <c r="L3647" s="49"/>
      <c r="M3647" s="49"/>
    </row>
    <row r="3648" spans="5:13">
      <c r="E3648" s="49"/>
      <c r="F3648" s="49"/>
      <c r="G3648" s="49"/>
      <c r="H3648" s="49"/>
      <c r="I3648" s="49"/>
      <c r="J3648" s="49"/>
      <c r="K3648" s="49"/>
      <c r="L3648" s="49"/>
      <c r="M3648" s="49"/>
    </row>
    <row r="3649" spans="5:13">
      <c r="E3649" s="49"/>
      <c r="F3649" s="49"/>
      <c r="G3649" s="49"/>
      <c r="H3649" s="49"/>
      <c r="I3649" s="49"/>
      <c r="J3649" s="49"/>
      <c r="K3649" s="49"/>
      <c r="L3649" s="49"/>
      <c r="M3649" s="49"/>
    </row>
    <row r="3650" spans="5:13">
      <c r="E3650" s="49"/>
      <c r="F3650" s="49"/>
      <c r="G3650" s="49"/>
      <c r="H3650" s="49"/>
      <c r="I3650" s="49"/>
      <c r="J3650" s="49"/>
      <c r="K3650" s="49"/>
      <c r="L3650" s="49"/>
      <c r="M3650" s="49"/>
    </row>
    <row r="3651" spans="5:13">
      <c r="E3651" s="49"/>
      <c r="F3651" s="49"/>
      <c r="G3651" s="49"/>
      <c r="H3651" s="49"/>
      <c r="I3651" s="49"/>
      <c r="J3651" s="49"/>
      <c r="K3651" s="49"/>
      <c r="L3651" s="49"/>
      <c r="M3651" s="49"/>
    </row>
    <row r="3652" spans="5:13">
      <c r="E3652" s="49"/>
      <c r="F3652" s="49"/>
      <c r="G3652" s="49"/>
      <c r="H3652" s="49"/>
      <c r="I3652" s="49"/>
      <c r="J3652" s="49"/>
      <c r="K3652" s="49"/>
      <c r="L3652" s="49"/>
      <c r="M3652" s="49"/>
    </row>
    <row r="3653" spans="5:13">
      <c r="E3653" s="49"/>
      <c r="F3653" s="49"/>
      <c r="G3653" s="49"/>
      <c r="H3653" s="49"/>
      <c r="I3653" s="49"/>
      <c r="J3653" s="49"/>
      <c r="K3653" s="49"/>
      <c r="L3653" s="49"/>
      <c r="M3653" s="49"/>
    </row>
    <row r="3654" spans="5:13">
      <c r="E3654" s="49"/>
      <c r="F3654" s="49"/>
      <c r="G3654" s="49"/>
      <c r="H3654" s="49"/>
      <c r="I3654" s="49"/>
      <c r="J3654" s="49"/>
      <c r="K3654" s="49"/>
      <c r="L3654" s="49"/>
      <c r="M3654" s="49"/>
    </row>
    <row r="3655" spans="5:13">
      <c r="E3655" s="49"/>
      <c r="F3655" s="49"/>
      <c r="G3655" s="49"/>
      <c r="H3655" s="49"/>
      <c r="I3655" s="49"/>
      <c r="J3655" s="49"/>
      <c r="K3655" s="49"/>
      <c r="L3655" s="49"/>
      <c r="M3655" s="49"/>
    </row>
    <row r="3656" spans="5:13">
      <c r="E3656" s="49"/>
      <c r="F3656" s="49"/>
      <c r="G3656" s="49"/>
      <c r="H3656" s="49"/>
      <c r="I3656" s="49"/>
      <c r="J3656" s="49"/>
      <c r="K3656" s="49"/>
      <c r="L3656" s="49"/>
      <c r="M3656" s="49"/>
    </row>
    <row r="3657" spans="5:13">
      <c r="E3657" s="49"/>
      <c r="F3657" s="49"/>
      <c r="G3657" s="49"/>
      <c r="H3657" s="49"/>
      <c r="I3657" s="49"/>
      <c r="J3657" s="49"/>
      <c r="K3657" s="49"/>
      <c r="L3657" s="49"/>
      <c r="M3657" s="49"/>
    </row>
    <row r="3658" spans="5:13">
      <c r="E3658" s="49"/>
      <c r="F3658" s="49"/>
      <c r="G3658" s="49"/>
      <c r="H3658" s="49"/>
      <c r="I3658" s="49"/>
      <c r="J3658" s="49"/>
      <c r="K3658" s="49"/>
      <c r="L3658" s="49"/>
      <c r="M3658" s="49"/>
    </row>
    <row r="3659" spans="5:13">
      <c r="E3659" s="49"/>
      <c r="F3659" s="49"/>
      <c r="G3659" s="49"/>
      <c r="H3659" s="49"/>
      <c r="I3659" s="49"/>
      <c r="J3659" s="49"/>
      <c r="K3659" s="49"/>
      <c r="L3659" s="49"/>
      <c r="M3659" s="49"/>
    </row>
    <row r="3660" spans="5:13">
      <c r="E3660" s="49"/>
      <c r="F3660" s="49"/>
      <c r="G3660" s="49"/>
      <c r="H3660" s="49"/>
      <c r="I3660" s="49"/>
      <c r="J3660" s="49"/>
      <c r="K3660" s="49"/>
      <c r="L3660" s="49"/>
      <c r="M3660" s="49"/>
    </row>
    <row r="3661" spans="5:13">
      <c r="E3661" s="49"/>
      <c r="F3661" s="49"/>
      <c r="G3661" s="49"/>
      <c r="H3661" s="49"/>
      <c r="I3661" s="49"/>
      <c r="J3661" s="49"/>
      <c r="K3661" s="49"/>
      <c r="L3661" s="49"/>
      <c r="M3661" s="49"/>
    </row>
    <row r="3662" spans="5:13">
      <c r="E3662" s="49"/>
      <c r="F3662" s="49"/>
      <c r="G3662" s="49"/>
      <c r="H3662" s="49"/>
      <c r="I3662" s="49"/>
      <c r="J3662" s="49"/>
      <c r="K3662" s="49"/>
      <c r="L3662" s="49"/>
      <c r="M3662" s="49"/>
    </row>
    <row r="3663" spans="5:13">
      <c r="E3663" s="49"/>
      <c r="F3663" s="49"/>
      <c r="G3663" s="49"/>
      <c r="H3663" s="49"/>
      <c r="I3663" s="49"/>
      <c r="J3663" s="49"/>
      <c r="K3663" s="49"/>
      <c r="L3663" s="49"/>
      <c r="M3663" s="49"/>
    </row>
    <row r="3664" spans="5:13">
      <c r="E3664" s="49"/>
      <c r="F3664" s="49"/>
      <c r="G3664" s="49"/>
      <c r="H3664" s="49"/>
      <c r="I3664" s="49"/>
      <c r="J3664" s="49"/>
      <c r="K3664" s="49"/>
      <c r="L3664" s="49"/>
      <c r="M3664" s="49"/>
    </row>
    <row r="3665" spans="5:13">
      <c r="E3665" s="49"/>
      <c r="F3665" s="49"/>
      <c r="G3665" s="49"/>
      <c r="H3665" s="49"/>
      <c r="I3665" s="49"/>
      <c r="J3665" s="49"/>
      <c r="K3665" s="49"/>
      <c r="L3665" s="49"/>
      <c r="M3665" s="49"/>
    </row>
    <row r="3666" spans="5:13">
      <c r="E3666" s="49"/>
      <c r="F3666" s="49"/>
      <c r="G3666" s="49"/>
      <c r="H3666" s="49"/>
      <c r="I3666" s="49"/>
      <c r="J3666" s="49"/>
      <c r="K3666" s="49"/>
      <c r="L3666" s="49"/>
      <c r="M3666" s="49"/>
    </row>
    <row r="3667" spans="5:13">
      <c r="E3667" s="49"/>
      <c r="F3667" s="49"/>
      <c r="G3667" s="49"/>
      <c r="H3667" s="49"/>
      <c r="I3667" s="49"/>
      <c r="J3667" s="49"/>
      <c r="K3667" s="49"/>
      <c r="L3667" s="49"/>
      <c r="M3667" s="49"/>
    </row>
    <row r="3668" spans="5:13">
      <c r="E3668" s="49"/>
      <c r="F3668" s="49"/>
      <c r="G3668" s="49"/>
      <c r="H3668" s="49"/>
      <c r="I3668" s="49"/>
      <c r="J3668" s="49"/>
      <c r="K3668" s="49"/>
      <c r="L3668" s="49"/>
      <c r="M3668" s="49"/>
    </row>
    <row r="3669" spans="5:13">
      <c r="E3669" s="49"/>
      <c r="F3669" s="49"/>
      <c r="G3669" s="49"/>
      <c r="H3669" s="49"/>
      <c r="I3669" s="49"/>
      <c r="J3669" s="49"/>
      <c r="K3669" s="49"/>
      <c r="L3669" s="49"/>
      <c r="M3669" s="49"/>
    </row>
    <row r="3670" spans="5:13">
      <c r="E3670" s="49"/>
      <c r="F3670" s="49"/>
      <c r="G3670" s="49"/>
      <c r="H3670" s="49"/>
      <c r="I3670" s="49"/>
      <c r="J3670" s="49"/>
      <c r="K3670" s="49"/>
      <c r="L3670" s="49"/>
      <c r="M3670" s="49"/>
    </row>
    <row r="3671" spans="5:13">
      <c r="E3671" s="49"/>
      <c r="F3671" s="49"/>
      <c r="G3671" s="49"/>
      <c r="H3671" s="49"/>
      <c r="I3671" s="49"/>
      <c r="J3671" s="49"/>
      <c r="K3671" s="49"/>
      <c r="L3671" s="49"/>
      <c r="M3671" s="49"/>
    </row>
    <row r="3672" spans="5:13">
      <c r="E3672" s="49"/>
      <c r="F3672" s="49"/>
      <c r="G3672" s="49"/>
      <c r="H3672" s="49"/>
      <c r="I3672" s="49"/>
      <c r="J3672" s="49"/>
      <c r="K3672" s="49"/>
      <c r="L3672" s="49"/>
      <c r="M3672" s="49"/>
    </row>
    <row r="3673" spans="5:13">
      <c r="E3673" s="49"/>
      <c r="F3673" s="49"/>
      <c r="G3673" s="49"/>
      <c r="H3673" s="49"/>
      <c r="I3673" s="49"/>
      <c r="J3673" s="49"/>
      <c r="K3673" s="49"/>
      <c r="L3673" s="49"/>
      <c r="M3673" s="49"/>
    </row>
    <row r="3674" spans="5:13">
      <c r="E3674" s="49"/>
      <c r="F3674" s="49"/>
      <c r="G3674" s="49"/>
      <c r="H3674" s="49"/>
      <c r="I3674" s="49"/>
      <c r="J3674" s="49"/>
      <c r="K3674" s="49"/>
      <c r="L3674" s="49"/>
      <c r="M3674" s="49"/>
    </row>
    <row r="3675" spans="5:13">
      <c r="E3675" s="49"/>
      <c r="F3675" s="49"/>
      <c r="G3675" s="49"/>
      <c r="H3675" s="49"/>
      <c r="I3675" s="49"/>
      <c r="J3675" s="49"/>
      <c r="K3675" s="49"/>
      <c r="L3675" s="49"/>
      <c r="M3675" s="49"/>
    </row>
    <row r="3676" spans="5:13">
      <c r="E3676" s="49"/>
      <c r="F3676" s="49"/>
      <c r="G3676" s="49"/>
      <c r="H3676" s="49"/>
      <c r="I3676" s="49"/>
      <c r="J3676" s="49"/>
      <c r="K3676" s="49"/>
      <c r="L3676" s="49"/>
      <c r="M3676" s="49"/>
    </row>
    <row r="3677" spans="5:13">
      <c r="E3677" s="49"/>
      <c r="F3677" s="49"/>
      <c r="G3677" s="49"/>
      <c r="H3677" s="49"/>
      <c r="I3677" s="49"/>
      <c r="J3677" s="49"/>
      <c r="K3677" s="49"/>
      <c r="L3677" s="49"/>
      <c r="M3677" s="49"/>
    </row>
    <row r="3678" spans="5:13">
      <c r="E3678" s="49"/>
      <c r="F3678" s="49"/>
      <c r="G3678" s="49"/>
      <c r="H3678" s="49"/>
      <c r="I3678" s="49"/>
      <c r="J3678" s="49"/>
      <c r="K3678" s="49"/>
      <c r="L3678" s="49"/>
      <c r="M3678" s="49"/>
    </row>
    <row r="3679" spans="5:13">
      <c r="E3679" s="49"/>
      <c r="F3679" s="49"/>
      <c r="G3679" s="49"/>
      <c r="H3679" s="49"/>
      <c r="I3679" s="49"/>
      <c r="J3679" s="49"/>
      <c r="K3679" s="49"/>
      <c r="L3679" s="49"/>
      <c r="M3679" s="49"/>
    </row>
    <row r="3680" spans="5:13">
      <c r="E3680" s="49"/>
      <c r="F3680" s="49"/>
      <c r="G3680" s="49"/>
      <c r="H3680" s="49"/>
      <c r="I3680" s="49"/>
      <c r="J3680" s="49"/>
      <c r="K3680" s="49"/>
      <c r="L3680" s="49"/>
      <c r="M3680" s="49"/>
    </row>
    <row r="3681" spans="5:13">
      <c r="E3681" s="49"/>
      <c r="F3681" s="49"/>
      <c r="G3681" s="49"/>
      <c r="H3681" s="49"/>
      <c r="I3681" s="49"/>
      <c r="J3681" s="49"/>
      <c r="K3681" s="49"/>
      <c r="L3681" s="49"/>
      <c r="M3681" s="49"/>
    </row>
    <row r="3682" spans="5:13">
      <c r="E3682" s="49"/>
      <c r="F3682" s="49"/>
      <c r="G3682" s="49"/>
      <c r="H3682" s="49"/>
      <c r="I3682" s="49"/>
      <c r="J3682" s="49"/>
      <c r="K3682" s="49"/>
      <c r="L3682" s="49"/>
      <c r="M3682" s="49"/>
    </row>
    <row r="3683" spans="5:13">
      <c r="E3683" s="49"/>
      <c r="F3683" s="49"/>
      <c r="G3683" s="49"/>
      <c r="H3683" s="49"/>
      <c r="I3683" s="49"/>
      <c r="J3683" s="49"/>
      <c r="K3683" s="49"/>
      <c r="L3683" s="49"/>
      <c r="M3683" s="49"/>
    </row>
    <row r="3684" spans="5:13">
      <c r="E3684" s="49"/>
      <c r="F3684" s="49"/>
      <c r="G3684" s="49"/>
      <c r="H3684" s="49"/>
      <c r="I3684" s="49"/>
      <c r="J3684" s="49"/>
      <c r="K3684" s="49"/>
      <c r="L3684" s="49"/>
      <c r="M3684" s="49"/>
    </row>
    <row r="3685" spans="5:13">
      <c r="E3685" s="49"/>
      <c r="F3685" s="49"/>
      <c r="G3685" s="49"/>
      <c r="H3685" s="49"/>
      <c r="I3685" s="49"/>
      <c r="J3685" s="49"/>
      <c r="K3685" s="49"/>
      <c r="L3685" s="49"/>
      <c r="M3685" s="49"/>
    </row>
    <row r="3686" spans="5:13">
      <c r="E3686" s="49"/>
      <c r="F3686" s="49"/>
      <c r="G3686" s="49"/>
      <c r="H3686" s="49"/>
      <c r="I3686" s="49"/>
      <c r="J3686" s="49"/>
      <c r="K3686" s="49"/>
      <c r="L3686" s="49"/>
      <c r="M3686" s="49"/>
    </row>
    <row r="3687" spans="5:13">
      <c r="E3687" s="49"/>
      <c r="F3687" s="49"/>
      <c r="G3687" s="49"/>
      <c r="H3687" s="49"/>
      <c r="I3687" s="49"/>
      <c r="J3687" s="49"/>
      <c r="K3687" s="49"/>
      <c r="L3687" s="49"/>
      <c r="M3687" s="49"/>
    </row>
    <row r="3688" spans="5:13">
      <c r="E3688" s="49"/>
      <c r="F3688" s="49"/>
      <c r="G3688" s="49"/>
      <c r="H3688" s="49"/>
      <c r="I3688" s="49"/>
      <c r="J3688" s="49"/>
      <c r="K3688" s="49"/>
      <c r="L3688" s="49"/>
      <c r="M3688" s="49"/>
    </row>
    <row r="3689" spans="5:13">
      <c r="E3689" s="49"/>
      <c r="F3689" s="49"/>
      <c r="G3689" s="49"/>
      <c r="H3689" s="49"/>
      <c r="I3689" s="49"/>
      <c r="J3689" s="49"/>
      <c r="K3689" s="49"/>
      <c r="L3689" s="49"/>
      <c r="M3689" s="49"/>
    </row>
    <row r="3690" spans="5:13">
      <c r="E3690" s="49"/>
      <c r="F3690" s="49"/>
      <c r="G3690" s="49"/>
      <c r="H3690" s="49"/>
      <c r="I3690" s="49"/>
      <c r="J3690" s="49"/>
      <c r="K3690" s="49"/>
      <c r="L3690" s="49"/>
      <c r="M3690" s="49"/>
    </row>
    <row r="3691" spans="5:13">
      <c r="E3691" s="49"/>
      <c r="F3691" s="49"/>
      <c r="G3691" s="49"/>
      <c r="H3691" s="49"/>
      <c r="I3691" s="49"/>
      <c r="J3691" s="49"/>
      <c r="K3691" s="49"/>
      <c r="L3691" s="49"/>
      <c r="M3691" s="49"/>
    </row>
    <row r="3692" spans="5:13">
      <c r="E3692" s="49"/>
      <c r="F3692" s="49"/>
      <c r="G3692" s="49"/>
      <c r="H3692" s="49"/>
      <c r="I3692" s="49"/>
      <c r="J3692" s="49"/>
      <c r="K3692" s="49"/>
      <c r="L3692" s="49"/>
      <c r="M3692" s="49"/>
    </row>
    <row r="3693" spans="5:13">
      <c r="E3693" s="49"/>
      <c r="F3693" s="49"/>
      <c r="G3693" s="49"/>
      <c r="H3693" s="49"/>
      <c r="I3693" s="49"/>
      <c r="J3693" s="49"/>
      <c r="K3693" s="49"/>
      <c r="L3693" s="49"/>
      <c r="M3693" s="49"/>
    </row>
    <row r="3694" spans="5:13">
      <c r="E3694" s="49"/>
      <c r="F3694" s="49"/>
      <c r="G3694" s="49"/>
      <c r="H3694" s="49"/>
      <c r="I3694" s="49"/>
      <c r="J3694" s="49"/>
      <c r="K3694" s="49"/>
      <c r="L3694" s="49"/>
      <c r="M3694" s="49"/>
    </row>
    <row r="3695" spans="5:13">
      <c r="E3695" s="49"/>
      <c r="F3695" s="49"/>
      <c r="G3695" s="49"/>
      <c r="H3695" s="49"/>
      <c r="I3695" s="49"/>
      <c r="J3695" s="49"/>
      <c r="K3695" s="49"/>
      <c r="L3695" s="49"/>
      <c r="M3695" s="49"/>
    </row>
    <row r="3696" spans="5:13">
      <c r="E3696" s="49"/>
      <c r="F3696" s="49"/>
      <c r="G3696" s="49"/>
      <c r="H3696" s="49"/>
      <c r="I3696" s="49"/>
      <c r="J3696" s="49"/>
      <c r="K3696" s="49"/>
      <c r="L3696" s="49"/>
      <c r="M3696" s="49"/>
    </row>
    <row r="3697" spans="5:13">
      <c r="E3697" s="49"/>
      <c r="F3697" s="49"/>
      <c r="G3697" s="49"/>
      <c r="H3697" s="49"/>
      <c r="I3697" s="49"/>
      <c r="J3697" s="49"/>
      <c r="K3697" s="49"/>
      <c r="L3697" s="49"/>
      <c r="M3697" s="49"/>
    </row>
    <row r="3698" spans="5:13">
      <c r="E3698" s="49"/>
      <c r="F3698" s="49"/>
      <c r="G3698" s="49"/>
      <c r="H3698" s="49"/>
      <c r="I3698" s="49"/>
      <c r="J3698" s="49"/>
      <c r="K3698" s="49"/>
      <c r="L3698" s="49"/>
      <c r="M3698" s="49"/>
    </row>
    <row r="3699" spans="5:13">
      <c r="E3699" s="49"/>
      <c r="F3699" s="49"/>
      <c r="G3699" s="49"/>
      <c r="H3699" s="49"/>
      <c r="I3699" s="49"/>
      <c r="J3699" s="49"/>
      <c r="K3699" s="49"/>
      <c r="L3699" s="49"/>
      <c r="M3699" s="49"/>
    </row>
    <row r="3700" spans="5:13">
      <c r="E3700" s="49"/>
      <c r="F3700" s="49"/>
      <c r="G3700" s="49"/>
      <c r="H3700" s="49"/>
      <c r="I3700" s="49"/>
      <c r="J3700" s="49"/>
      <c r="K3700" s="49"/>
      <c r="L3700" s="49"/>
      <c r="M3700" s="49"/>
    </row>
    <row r="3701" spans="5:13">
      <c r="E3701" s="49"/>
      <c r="F3701" s="49"/>
      <c r="G3701" s="49"/>
      <c r="H3701" s="49"/>
      <c r="I3701" s="49"/>
      <c r="J3701" s="49"/>
      <c r="K3701" s="49"/>
      <c r="L3701" s="49"/>
      <c r="M3701" s="49"/>
    </row>
    <row r="3702" spans="5:13">
      <c r="E3702" s="49"/>
      <c r="F3702" s="49"/>
      <c r="G3702" s="49"/>
      <c r="H3702" s="49"/>
      <c r="I3702" s="49"/>
      <c r="J3702" s="49"/>
      <c r="K3702" s="49"/>
      <c r="L3702" s="49"/>
      <c r="M3702" s="49"/>
    </row>
    <row r="3703" spans="5:13">
      <c r="E3703" s="49"/>
      <c r="F3703" s="49"/>
      <c r="G3703" s="49"/>
      <c r="H3703" s="49"/>
      <c r="I3703" s="49"/>
      <c r="J3703" s="49"/>
      <c r="K3703" s="49"/>
      <c r="L3703" s="49"/>
      <c r="M3703" s="49"/>
    </row>
    <row r="3704" spans="5:13">
      <c r="E3704" s="49"/>
      <c r="F3704" s="49"/>
      <c r="G3704" s="49"/>
      <c r="H3704" s="49"/>
      <c r="I3704" s="49"/>
      <c r="J3704" s="49"/>
      <c r="K3704" s="49"/>
      <c r="L3704" s="49"/>
      <c r="M3704" s="49"/>
    </row>
    <row r="3705" spans="5:13">
      <c r="E3705" s="49"/>
      <c r="F3705" s="49"/>
      <c r="G3705" s="49"/>
      <c r="H3705" s="49"/>
      <c r="I3705" s="49"/>
      <c r="J3705" s="49"/>
      <c r="K3705" s="49"/>
      <c r="L3705" s="49"/>
      <c r="M3705" s="49"/>
    </row>
    <row r="3706" spans="5:13">
      <c r="E3706" s="49"/>
      <c r="F3706" s="49"/>
      <c r="G3706" s="49"/>
      <c r="H3706" s="49"/>
      <c r="I3706" s="49"/>
      <c r="J3706" s="49"/>
      <c r="K3706" s="49"/>
      <c r="L3706" s="49"/>
      <c r="M3706" s="49"/>
    </row>
    <row r="3707" spans="5:13">
      <c r="E3707" s="49"/>
      <c r="F3707" s="49"/>
      <c r="G3707" s="49"/>
      <c r="H3707" s="49"/>
      <c r="I3707" s="49"/>
      <c r="J3707" s="49"/>
      <c r="K3707" s="49"/>
      <c r="L3707" s="49"/>
      <c r="M3707" s="49"/>
    </row>
    <row r="3708" spans="5:13">
      <c r="E3708" s="49"/>
      <c r="F3708" s="49"/>
      <c r="G3708" s="49"/>
      <c r="H3708" s="49"/>
      <c r="I3708" s="49"/>
      <c r="J3708" s="49"/>
      <c r="K3708" s="49"/>
      <c r="L3708" s="49"/>
      <c r="M3708" s="49"/>
    </row>
    <row r="3709" spans="5:13">
      <c r="E3709" s="49"/>
      <c r="F3709" s="49"/>
      <c r="G3709" s="49"/>
      <c r="H3709" s="49"/>
      <c r="I3709" s="49"/>
      <c r="J3709" s="49"/>
      <c r="K3709" s="49"/>
      <c r="L3709" s="49"/>
      <c r="M3709" s="49"/>
    </row>
    <row r="3710" spans="5:13">
      <c r="E3710" s="49"/>
      <c r="F3710" s="49"/>
      <c r="G3710" s="49"/>
      <c r="H3710" s="49"/>
      <c r="I3710" s="49"/>
      <c r="J3710" s="49"/>
      <c r="K3710" s="49"/>
      <c r="L3710" s="49"/>
      <c r="M3710" s="49"/>
    </row>
    <row r="3711" spans="5:13">
      <c r="E3711" s="49"/>
      <c r="F3711" s="49"/>
      <c r="G3711" s="49"/>
      <c r="H3711" s="49"/>
      <c r="I3711" s="49"/>
      <c r="J3711" s="49"/>
      <c r="K3711" s="49"/>
      <c r="L3711" s="49"/>
      <c r="M3711" s="49"/>
    </row>
    <row r="3712" spans="5:13">
      <c r="E3712" s="49"/>
      <c r="F3712" s="49"/>
      <c r="G3712" s="49"/>
      <c r="H3712" s="49"/>
      <c r="I3712" s="49"/>
      <c r="J3712" s="49"/>
      <c r="K3712" s="49"/>
      <c r="L3712" s="49"/>
      <c r="M3712" s="49"/>
    </row>
    <row r="3713" spans="5:13">
      <c r="E3713" s="49"/>
      <c r="F3713" s="49"/>
      <c r="G3713" s="49"/>
      <c r="H3713" s="49"/>
      <c r="I3713" s="49"/>
      <c r="J3713" s="49"/>
      <c r="K3713" s="49"/>
      <c r="L3713" s="49"/>
      <c r="M3713" s="49"/>
    </row>
    <row r="3714" spans="5:13">
      <c r="E3714" s="49"/>
      <c r="F3714" s="49"/>
      <c r="G3714" s="49"/>
      <c r="H3714" s="49"/>
      <c r="I3714" s="49"/>
      <c r="J3714" s="49"/>
      <c r="K3714" s="49"/>
      <c r="L3714" s="49"/>
      <c r="M3714" s="49"/>
    </row>
    <row r="3715" spans="5:13">
      <c r="E3715" s="49"/>
      <c r="F3715" s="49"/>
      <c r="G3715" s="49"/>
      <c r="H3715" s="49"/>
      <c r="I3715" s="49"/>
      <c r="J3715" s="49"/>
      <c r="K3715" s="49"/>
      <c r="L3715" s="49"/>
      <c r="M3715" s="49"/>
    </row>
    <row r="3716" spans="5:13">
      <c r="E3716" s="49"/>
      <c r="F3716" s="49"/>
      <c r="G3716" s="49"/>
      <c r="H3716" s="49"/>
      <c r="I3716" s="49"/>
      <c r="J3716" s="49"/>
      <c r="K3716" s="49"/>
      <c r="L3716" s="49"/>
      <c r="M3716" s="49"/>
    </row>
    <row r="3717" spans="5:13">
      <c r="E3717" s="49"/>
      <c r="F3717" s="49"/>
      <c r="G3717" s="49"/>
      <c r="H3717" s="49"/>
      <c r="I3717" s="49"/>
      <c r="J3717" s="49"/>
      <c r="K3717" s="49"/>
      <c r="L3717" s="49"/>
      <c r="M3717" s="49"/>
    </row>
    <row r="3718" spans="5:13">
      <c r="E3718" s="49"/>
      <c r="F3718" s="49"/>
      <c r="G3718" s="49"/>
      <c r="H3718" s="49"/>
      <c r="I3718" s="49"/>
      <c r="J3718" s="49"/>
      <c r="K3718" s="49"/>
      <c r="L3718" s="49"/>
      <c r="M3718" s="49"/>
    </row>
    <row r="3719" spans="5:13">
      <c r="E3719" s="49"/>
      <c r="F3719" s="49"/>
      <c r="G3719" s="49"/>
      <c r="H3719" s="49"/>
      <c r="I3719" s="49"/>
      <c r="J3719" s="49"/>
      <c r="K3719" s="49"/>
      <c r="L3719" s="49"/>
      <c r="M3719" s="49"/>
    </row>
    <row r="3720" spans="5:13">
      <c r="E3720" s="49"/>
      <c r="F3720" s="49"/>
      <c r="G3720" s="49"/>
      <c r="H3720" s="49"/>
      <c r="I3720" s="49"/>
      <c r="J3720" s="49"/>
      <c r="K3720" s="49"/>
      <c r="L3720" s="49"/>
      <c r="M3720" s="49"/>
    </row>
    <row r="3721" spans="5:13">
      <c r="E3721" s="49"/>
      <c r="F3721" s="49"/>
      <c r="G3721" s="49"/>
      <c r="H3721" s="49"/>
      <c r="I3721" s="49"/>
      <c r="J3721" s="49"/>
      <c r="K3721" s="49"/>
      <c r="L3721" s="49"/>
      <c r="M3721" s="49"/>
    </row>
    <row r="3722" spans="5:13">
      <c r="E3722" s="49"/>
      <c r="F3722" s="49"/>
      <c r="G3722" s="49"/>
      <c r="H3722" s="49"/>
      <c r="I3722" s="49"/>
      <c r="J3722" s="49"/>
      <c r="K3722" s="49"/>
      <c r="L3722" s="49"/>
      <c r="M3722" s="49"/>
    </row>
    <row r="3723" spans="5:13">
      <c r="E3723" s="49"/>
      <c r="F3723" s="49"/>
      <c r="G3723" s="49"/>
      <c r="H3723" s="49"/>
      <c r="I3723" s="49"/>
      <c r="J3723" s="49"/>
      <c r="K3723" s="49"/>
      <c r="L3723" s="49"/>
      <c r="M3723" s="49"/>
    </row>
    <row r="3724" spans="5:13">
      <c r="E3724" s="49"/>
      <c r="F3724" s="49"/>
      <c r="G3724" s="49"/>
      <c r="H3724" s="49"/>
      <c r="I3724" s="49"/>
      <c r="J3724" s="49"/>
      <c r="K3724" s="49"/>
      <c r="L3724" s="49"/>
      <c r="M3724" s="49"/>
    </row>
    <row r="3725" spans="5:13">
      <c r="E3725" s="49"/>
      <c r="F3725" s="49"/>
      <c r="G3725" s="49"/>
      <c r="H3725" s="49"/>
      <c r="I3725" s="49"/>
      <c r="J3725" s="49"/>
      <c r="K3725" s="49"/>
      <c r="L3725" s="49"/>
      <c r="M3725" s="49"/>
    </row>
    <row r="3726" spans="5:13">
      <c r="E3726" s="49"/>
      <c r="F3726" s="49"/>
      <c r="G3726" s="49"/>
      <c r="H3726" s="49"/>
      <c r="I3726" s="49"/>
      <c r="J3726" s="49"/>
      <c r="K3726" s="49"/>
      <c r="L3726" s="49"/>
      <c r="M3726" s="49"/>
    </row>
    <row r="3727" spans="5:13">
      <c r="E3727" s="49"/>
      <c r="F3727" s="49"/>
      <c r="G3727" s="49"/>
      <c r="H3727" s="49"/>
      <c r="I3727" s="49"/>
      <c r="J3727" s="49"/>
      <c r="K3727" s="49"/>
      <c r="L3727" s="49"/>
      <c r="M3727" s="49"/>
    </row>
    <row r="3728" spans="5:13">
      <c r="E3728" s="49"/>
      <c r="F3728" s="49"/>
      <c r="G3728" s="49"/>
      <c r="H3728" s="49"/>
      <c r="I3728" s="49"/>
      <c r="J3728" s="49"/>
      <c r="K3728" s="49"/>
      <c r="L3728" s="49"/>
      <c r="M3728" s="49"/>
    </row>
    <row r="3729" spans="5:13">
      <c r="E3729" s="49"/>
      <c r="F3729" s="49"/>
      <c r="G3729" s="49"/>
      <c r="H3729" s="49"/>
      <c r="I3729" s="49"/>
      <c r="J3729" s="49"/>
      <c r="K3729" s="49"/>
      <c r="L3729" s="49"/>
      <c r="M3729" s="49"/>
    </row>
    <row r="3730" spans="5:13">
      <c r="E3730" s="49"/>
      <c r="F3730" s="49"/>
      <c r="G3730" s="49"/>
      <c r="H3730" s="49"/>
      <c r="I3730" s="49"/>
      <c r="J3730" s="49"/>
      <c r="K3730" s="49"/>
      <c r="L3730" s="49"/>
      <c r="M3730" s="49"/>
    </row>
    <row r="3731" spans="5:13">
      <c r="E3731" s="49"/>
      <c r="F3731" s="49"/>
      <c r="G3731" s="49"/>
      <c r="H3731" s="49"/>
      <c r="I3731" s="49"/>
      <c r="J3731" s="49"/>
      <c r="K3731" s="49"/>
      <c r="L3731" s="49"/>
      <c r="M3731" s="49"/>
    </row>
    <row r="3732" spans="5:13">
      <c r="E3732" s="49"/>
      <c r="F3732" s="49"/>
      <c r="G3732" s="49"/>
      <c r="H3732" s="49"/>
      <c r="I3732" s="49"/>
      <c r="J3732" s="49"/>
      <c r="K3732" s="49"/>
      <c r="L3732" s="49"/>
      <c r="M3732" s="49"/>
    </row>
    <row r="3733" spans="5:13">
      <c r="E3733" s="49"/>
      <c r="F3733" s="49"/>
      <c r="G3733" s="49"/>
      <c r="H3733" s="49"/>
      <c r="I3733" s="49"/>
      <c r="J3733" s="49"/>
      <c r="K3733" s="49"/>
      <c r="L3733" s="49"/>
      <c r="M3733" s="49"/>
    </row>
    <row r="3734" spans="5:13">
      <c r="E3734" s="49"/>
      <c r="F3734" s="49"/>
      <c r="G3734" s="49"/>
      <c r="H3734" s="49"/>
      <c r="I3734" s="49"/>
      <c r="J3734" s="49"/>
      <c r="K3734" s="49"/>
      <c r="L3734" s="49"/>
      <c r="M3734" s="49"/>
    </row>
    <row r="3735" spans="5:13">
      <c r="E3735" s="49"/>
      <c r="F3735" s="49"/>
      <c r="G3735" s="49"/>
      <c r="H3735" s="49"/>
      <c r="I3735" s="49"/>
      <c r="J3735" s="49"/>
      <c r="K3735" s="49"/>
      <c r="L3735" s="49"/>
      <c r="M3735" s="49"/>
    </row>
    <row r="3736" spans="5:13">
      <c r="E3736" s="49"/>
      <c r="F3736" s="49"/>
      <c r="G3736" s="49"/>
      <c r="H3736" s="49"/>
      <c r="I3736" s="49"/>
      <c r="J3736" s="49"/>
      <c r="K3736" s="49"/>
      <c r="L3736" s="49"/>
      <c r="M3736" s="49"/>
    </row>
    <row r="3737" spans="5:13">
      <c r="E3737" s="49"/>
      <c r="F3737" s="49"/>
      <c r="G3737" s="49"/>
      <c r="H3737" s="49"/>
      <c r="I3737" s="49"/>
      <c r="J3737" s="49"/>
      <c r="K3737" s="49"/>
      <c r="L3737" s="49"/>
      <c r="M3737" s="49"/>
    </row>
    <row r="3738" spans="5:13">
      <c r="E3738" s="49"/>
      <c r="F3738" s="49"/>
      <c r="G3738" s="49"/>
      <c r="H3738" s="49"/>
      <c r="I3738" s="49"/>
      <c r="J3738" s="49"/>
      <c r="K3738" s="49"/>
      <c r="L3738" s="49"/>
      <c r="M3738" s="49"/>
    </row>
    <row r="3739" spans="5:13">
      <c r="E3739" s="49"/>
      <c r="F3739" s="49"/>
      <c r="G3739" s="49"/>
      <c r="H3739" s="49"/>
      <c r="I3739" s="49"/>
      <c r="J3739" s="49"/>
      <c r="K3739" s="49"/>
      <c r="L3739" s="49"/>
      <c r="M3739" s="49"/>
    </row>
    <row r="3740" spans="5:13">
      <c r="E3740" s="49"/>
      <c r="F3740" s="49"/>
      <c r="G3740" s="49"/>
      <c r="H3740" s="49"/>
      <c r="I3740" s="49"/>
      <c r="J3740" s="49"/>
      <c r="K3740" s="49"/>
      <c r="L3740" s="49"/>
      <c r="M3740" s="49"/>
    </row>
    <row r="3741" spans="5:13">
      <c r="E3741" s="49"/>
      <c r="F3741" s="49"/>
      <c r="G3741" s="49"/>
      <c r="H3741" s="49"/>
      <c r="I3741" s="49"/>
      <c r="J3741" s="49"/>
      <c r="K3741" s="49"/>
      <c r="L3741" s="49"/>
      <c r="M3741" s="49"/>
    </row>
    <row r="3742" spans="5:13">
      <c r="E3742" s="49"/>
      <c r="F3742" s="49"/>
      <c r="G3742" s="49"/>
      <c r="H3742" s="49"/>
      <c r="I3742" s="49"/>
      <c r="J3742" s="49"/>
      <c r="K3742" s="49"/>
      <c r="L3742" s="49"/>
      <c r="M3742" s="49"/>
    </row>
    <row r="3743" spans="5:13">
      <c r="E3743" s="49"/>
      <c r="F3743" s="49"/>
      <c r="G3743" s="49"/>
      <c r="H3743" s="49"/>
      <c r="I3743" s="49"/>
      <c r="J3743" s="49"/>
      <c r="K3743" s="49"/>
      <c r="L3743" s="49"/>
      <c r="M3743" s="49"/>
    </row>
    <row r="3744" spans="5:13">
      <c r="E3744" s="49"/>
      <c r="F3744" s="49"/>
      <c r="G3744" s="49"/>
      <c r="H3744" s="49"/>
      <c r="I3744" s="49"/>
      <c r="J3744" s="49"/>
      <c r="K3744" s="49"/>
      <c r="L3744" s="49"/>
      <c r="M3744" s="49"/>
    </row>
    <row r="3745" spans="5:13">
      <c r="E3745" s="49"/>
      <c r="F3745" s="49"/>
      <c r="G3745" s="49"/>
      <c r="H3745" s="49"/>
      <c r="I3745" s="49"/>
      <c r="J3745" s="49"/>
      <c r="K3745" s="49"/>
      <c r="L3745" s="49"/>
      <c r="M3745" s="49"/>
    </row>
    <row r="3746" spans="5:13">
      <c r="E3746" s="49"/>
      <c r="F3746" s="49"/>
      <c r="G3746" s="49"/>
      <c r="H3746" s="49"/>
      <c r="I3746" s="49"/>
      <c r="J3746" s="49"/>
      <c r="K3746" s="49"/>
      <c r="L3746" s="49"/>
      <c r="M3746" s="49"/>
    </row>
    <row r="3747" spans="5:13">
      <c r="E3747" s="49"/>
      <c r="F3747" s="49"/>
      <c r="G3747" s="49"/>
      <c r="H3747" s="49"/>
      <c r="I3747" s="49"/>
      <c r="J3747" s="49"/>
      <c r="K3747" s="49"/>
      <c r="L3747" s="49"/>
      <c r="M3747" s="49"/>
    </row>
    <row r="3748" spans="5:13">
      <c r="E3748" s="49"/>
      <c r="F3748" s="49"/>
      <c r="G3748" s="49"/>
      <c r="H3748" s="49"/>
      <c r="I3748" s="49"/>
      <c r="J3748" s="49"/>
      <c r="K3748" s="49"/>
      <c r="L3748" s="49"/>
      <c r="M3748" s="49"/>
    </row>
    <row r="3749" spans="5:13">
      <c r="E3749" s="49"/>
      <c r="F3749" s="49"/>
      <c r="G3749" s="49"/>
      <c r="H3749" s="49"/>
      <c r="I3749" s="49"/>
      <c r="J3749" s="49"/>
      <c r="K3749" s="49"/>
      <c r="L3749" s="49"/>
      <c r="M3749" s="49"/>
    </row>
    <row r="3750" spans="5:13">
      <c r="E3750" s="49"/>
      <c r="F3750" s="49"/>
      <c r="G3750" s="49"/>
      <c r="H3750" s="49"/>
      <c r="I3750" s="49"/>
      <c r="J3750" s="49"/>
      <c r="K3750" s="49"/>
      <c r="L3750" s="49"/>
      <c r="M3750" s="49"/>
    </row>
    <row r="3751" spans="5:13">
      <c r="E3751" s="49"/>
      <c r="F3751" s="49"/>
      <c r="G3751" s="49"/>
      <c r="H3751" s="49"/>
      <c r="I3751" s="49"/>
      <c r="J3751" s="49"/>
      <c r="K3751" s="49"/>
      <c r="L3751" s="49"/>
      <c r="M3751" s="49"/>
    </row>
    <row r="3752" spans="5:13">
      <c r="E3752" s="49"/>
      <c r="F3752" s="49"/>
      <c r="G3752" s="49"/>
      <c r="H3752" s="49"/>
      <c r="I3752" s="49"/>
      <c r="J3752" s="49"/>
      <c r="K3752" s="49"/>
      <c r="L3752" s="49"/>
      <c r="M3752" s="49"/>
    </row>
    <row r="3753" spans="5:13">
      <c r="E3753" s="49"/>
      <c r="F3753" s="49"/>
      <c r="G3753" s="49"/>
      <c r="H3753" s="49"/>
      <c r="I3753" s="49"/>
      <c r="J3753" s="49"/>
      <c r="K3753" s="49"/>
      <c r="L3753" s="49"/>
      <c r="M3753" s="49"/>
    </row>
    <row r="3754" spans="5:13">
      <c r="E3754" s="49"/>
      <c r="F3754" s="49"/>
      <c r="G3754" s="49"/>
      <c r="H3754" s="49"/>
      <c r="I3754" s="49"/>
      <c r="J3754" s="49"/>
      <c r="K3754" s="49"/>
      <c r="L3754" s="49"/>
      <c r="M3754" s="49"/>
    </row>
    <row r="3755" spans="5:13">
      <c r="E3755" s="49"/>
      <c r="F3755" s="49"/>
      <c r="G3755" s="49"/>
      <c r="H3755" s="49"/>
      <c r="I3755" s="49"/>
      <c r="J3755" s="49"/>
      <c r="K3755" s="49"/>
      <c r="L3755" s="49"/>
      <c r="M3755" s="49"/>
    </row>
    <row r="3756" spans="5:13">
      <c r="E3756" s="49"/>
      <c r="F3756" s="49"/>
      <c r="G3756" s="49"/>
      <c r="H3756" s="49"/>
      <c r="I3756" s="49"/>
      <c r="J3756" s="49"/>
      <c r="K3756" s="49"/>
      <c r="L3756" s="49"/>
      <c r="M3756" s="49"/>
    </row>
    <row r="3757" spans="5:13">
      <c r="E3757" s="49"/>
      <c r="F3757" s="49"/>
      <c r="G3757" s="49"/>
      <c r="H3757" s="49"/>
      <c r="I3757" s="49"/>
      <c r="J3757" s="49"/>
      <c r="K3757" s="49"/>
      <c r="L3757" s="49"/>
      <c r="M3757" s="49"/>
    </row>
    <row r="3758" spans="5:13">
      <c r="E3758" s="49"/>
      <c r="F3758" s="49"/>
      <c r="G3758" s="49"/>
      <c r="H3758" s="49"/>
      <c r="I3758" s="49"/>
      <c r="J3758" s="49"/>
      <c r="K3758" s="49"/>
      <c r="L3758" s="49"/>
      <c r="M3758" s="49"/>
    </row>
    <row r="3759" spans="5:13">
      <c r="E3759" s="49"/>
      <c r="F3759" s="49"/>
      <c r="G3759" s="49"/>
      <c r="H3759" s="49"/>
      <c r="I3759" s="49"/>
      <c r="J3759" s="49"/>
      <c r="K3759" s="49"/>
      <c r="L3759" s="49"/>
      <c r="M3759" s="49"/>
    </row>
    <row r="3760" spans="5:13">
      <c r="E3760" s="49"/>
      <c r="F3760" s="49"/>
      <c r="G3760" s="49"/>
      <c r="H3760" s="49"/>
      <c r="I3760" s="49"/>
      <c r="J3760" s="49"/>
      <c r="K3760" s="49"/>
      <c r="L3760" s="49"/>
      <c r="M3760" s="49"/>
    </row>
    <row r="3761" spans="5:13">
      <c r="E3761" s="49"/>
      <c r="F3761" s="49"/>
      <c r="G3761" s="49"/>
      <c r="H3761" s="49"/>
      <c r="I3761" s="49"/>
      <c r="J3761" s="49"/>
      <c r="K3761" s="49"/>
      <c r="L3761" s="49"/>
      <c r="M3761" s="49"/>
    </row>
    <row r="3762" spans="5:13">
      <c r="E3762" s="49"/>
      <c r="F3762" s="49"/>
      <c r="G3762" s="49"/>
      <c r="H3762" s="49"/>
      <c r="I3762" s="49"/>
      <c r="J3762" s="49"/>
      <c r="K3762" s="49"/>
      <c r="L3762" s="49"/>
      <c r="M3762" s="49"/>
    </row>
    <row r="3763" spans="5:13">
      <c r="E3763" s="49"/>
      <c r="F3763" s="49"/>
      <c r="G3763" s="49"/>
      <c r="H3763" s="49"/>
      <c r="I3763" s="49"/>
      <c r="J3763" s="49"/>
      <c r="K3763" s="49"/>
      <c r="L3763" s="49"/>
      <c r="M3763" s="49"/>
    </row>
    <row r="3764" spans="5:13">
      <c r="E3764" s="49"/>
      <c r="F3764" s="49"/>
      <c r="G3764" s="49"/>
      <c r="H3764" s="49"/>
      <c r="I3764" s="49"/>
      <c r="J3764" s="49"/>
      <c r="K3764" s="49"/>
      <c r="L3764" s="49"/>
      <c r="M3764" s="49"/>
    </row>
    <row r="3765" spans="5:13">
      <c r="E3765" s="49"/>
      <c r="F3765" s="49"/>
      <c r="G3765" s="49"/>
      <c r="H3765" s="49"/>
      <c r="I3765" s="49"/>
      <c r="J3765" s="49"/>
      <c r="K3765" s="49"/>
      <c r="L3765" s="49"/>
      <c r="M3765" s="49"/>
    </row>
    <row r="3766" spans="5:13">
      <c r="E3766" s="49"/>
      <c r="F3766" s="49"/>
      <c r="G3766" s="49"/>
      <c r="H3766" s="49"/>
      <c r="I3766" s="49"/>
      <c r="J3766" s="49"/>
      <c r="K3766" s="49"/>
      <c r="L3766" s="49"/>
      <c r="M3766" s="49"/>
    </row>
    <row r="3767" spans="5:13">
      <c r="E3767" s="49"/>
      <c r="F3767" s="49"/>
      <c r="G3767" s="49"/>
      <c r="H3767" s="49"/>
      <c r="I3767" s="49"/>
      <c r="J3767" s="49"/>
      <c r="K3767" s="49"/>
      <c r="L3767" s="49"/>
      <c r="M3767" s="49"/>
    </row>
    <row r="3768" spans="5:13">
      <c r="E3768" s="49"/>
      <c r="F3768" s="49"/>
      <c r="G3768" s="49"/>
      <c r="H3768" s="49"/>
      <c r="I3768" s="49"/>
      <c r="J3768" s="49"/>
      <c r="K3768" s="49"/>
      <c r="L3768" s="49"/>
      <c r="M3768" s="49"/>
    </row>
    <row r="3769" spans="5:13">
      <c r="E3769" s="49"/>
      <c r="F3769" s="49"/>
      <c r="G3769" s="49"/>
      <c r="H3769" s="49"/>
      <c r="I3769" s="49"/>
      <c r="J3769" s="49"/>
      <c r="K3769" s="49"/>
      <c r="L3769" s="49"/>
      <c r="M3769" s="49"/>
    </row>
    <row r="3770" spans="5:13">
      <c r="E3770" s="49"/>
      <c r="F3770" s="49"/>
      <c r="G3770" s="49"/>
      <c r="H3770" s="49"/>
      <c r="I3770" s="49"/>
      <c r="J3770" s="49"/>
      <c r="K3770" s="49"/>
      <c r="L3770" s="49"/>
      <c r="M3770" s="49"/>
    </row>
    <row r="3771" spans="5:13">
      <c r="E3771" s="49"/>
      <c r="F3771" s="49"/>
      <c r="G3771" s="49"/>
      <c r="H3771" s="49"/>
      <c r="I3771" s="49"/>
      <c r="J3771" s="49"/>
      <c r="K3771" s="49"/>
      <c r="L3771" s="49"/>
      <c r="M3771" s="49"/>
    </row>
    <row r="3772" spans="5:13">
      <c r="E3772" s="49"/>
      <c r="F3772" s="49"/>
      <c r="G3772" s="49"/>
      <c r="H3772" s="49"/>
      <c r="I3772" s="49"/>
      <c r="J3772" s="49"/>
      <c r="K3772" s="49"/>
      <c r="L3772" s="49"/>
      <c r="M3772" s="49"/>
    </row>
    <row r="3773" spans="5:13">
      <c r="E3773" s="49"/>
      <c r="F3773" s="49"/>
      <c r="G3773" s="49"/>
      <c r="H3773" s="49"/>
      <c r="I3773" s="49"/>
      <c r="J3773" s="49"/>
      <c r="K3773" s="49"/>
      <c r="L3773" s="49"/>
      <c r="M3773" s="49"/>
    </row>
    <row r="3774" spans="5:13">
      <c r="E3774" s="49"/>
      <c r="F3774" s="49"/>
      <c r="G3774" s="49"/>
      <c r="H3774" s="49"/>
      <c r="I3774" s="49"/>
      <c r="J3774" s="49"/>
      <c r="K3774" s="49"/>
      <c r="L3774" s="49"/>
      <c r="M3774" s="49"/>
    </row>
    <row r="3775" spans="5:13">
      <c r="E3775" s="49"/>
      <c r="F3775" s="49"/>
      <c r="G3775" s="49"/>
      <c r="H3775" s="49"/>
      <c r="I3775" s="49"/>
      <c r="J3775" s="49"/>
      <c r="K3775" s="49"/>
      <c r="L3775" s="49"/>
      <c r="M3775" s="49"/>
    </row>
    <row r="3776" spans="5:13">
      <c r="E3776" s="49"/>
      <c r="F3776" s="49"/>
      <c r="G3776" s="49"/>
      <c r="H3776" s="49"/>
      <c r="I3776" s="49"/>
      <c r="J3776" s="49"/>
      <c r="K3776" s="49"/>
      <c r="L3776" s="49"/>
      <c r="M3776" s="49"/>
    </row>
    <row r="3777" spans="5:13">
      <c r="E3777" s="49"/>
      <c r="F3777" s="49"/>
      <c r="G3777" s="49"/>
      <c r="H3777" s="49"/>
      <c r="I3777" s="49"/>
      <c r="J3777" s="49"/>
      <c r="K3777" s="49"/>
      <c r="L3777" s="49"/>
      <c r="M3777" s="49"/>
    </row>
    <row r="3778" spans="5:13">
      <c r="E3778" s="49"/>
      <c r="F3778" s="49"/>
      <c r="G3778" s="49"/>
      <c r="H3778" s="49"/>
      <c r="I3778" s="49"/>
      <c r="J3778" s="49"/>
      <c r="K3778" s="49"/>
      <c r="L3778" s="49"/>
      <c r="M3778" s="49"/>
    </row>
    <row r="3779" spans="5:13">
      <c r="E3779" s="49"/>
      <c r="F3779" s="49"/>
      <c r="G3779" s="49"/>
      <c r="H3779" s="49"/>
      <c r="I3779" s="49"/>
      <c r="J3779" s="49"/>
      <c r="K3779" s="49"/>
      <c r="L3779" s="49"/>
      <c r="M3779" s="49"/>
    </row>
    <row r="3780" spans="5:13">
      <c r="E3780" s="49"/>
      <c r="F3780" s="49"/>
      <c r="G3780" s="49"/>
      <c r="H3780" s="49"/>
      <c r="I3780" s="49"/>
      <c r="J3780" s="49"/>
      <c r="K3780" s="49"/>
      <c r="L3780" s="49"/>
      <c r="M3780" s="49"/>
    </row>
    <row r="3781" spans="5:13">
      <c r="E3781" s="49"/>
      <c r="F3781" s="49"/>
      <c r="G3781" s="49"/>
      <c r="H3781" s="49"/>
      <c r="I3781" s="49"/>
      <c r="J3781" s="49"/>
      <c r="K3781" s="49"/>
      <c r="L3781" s="49"/>
      <c r="M3781" s="49"/>
    </row>
    <row r="3782" spans="5:13">
      <c r="E3782" s="49"/>
      <c r="F3782" s="49"/>
      <c r="G3782" s="49"/>
      <c r="H3782" s="49"/>
      <c r="I3782" s="49"/>
      <c r="J3782" s="49"/>
      <c r="K3782" s="49"/>
      <c r="L3782" s="49"/>
      <c r="M3782" s="49"/>
    </row>
    <row r="3783" spans="5:13">
      <c r="E3783" s="49"/>
      <c r="F3783" s="49"/>
      <c r="G3783" s="49"/>
      <c r="H3783" s="49"/>
      <c r="I3783" s="49"/>
      <c r="J3783" s="49"/>
      <c r="K3783" s="49"/>
      <c r="L3783" s="49"/>
      <c r="M3783" s="49"/>
    </row>
    <row r="3784" spans="5:13">
      <c r="E3784" s="49"/>
      <c r="F3784" s="49"/>
      <c r="G3784" s="49"/>
      <c r="H3784" s="49"/>
      <c r="I3784" s="49"/>
      <c r="J3784" s="49"/>
      <c r="K3784" s="49"/>
      <c r="L3784" s="49"/>
      <c r="M3784" s="49"/>
    </row>
    <row r="3785" spans="5:13">
      <c r="E3785" s="49"/>
      <c r="F3785" s="49"/>
      <c r="G3785" s="49"/>
      <c r="H3785" s="49"/>
      <c r="I3785" s="49"/>
      <c r="J3785" s="49"/>
      <c r="K3785" s="49"/>
      <c r="L3785" s="49"/>
      <c r="M3785" s="49"/>
    </row>
    <row r="3786" spans="5:13">
      <c r="E3786" s="49"/>
      <c r="F3786" s="49"/>
      <c r="G3786" s="49"/>
      <c r="H3786" s="49"/>
      <c r="I3786" s="49"/>
      <c r="J3786" s="49"/>
      <c r="K3786" s="49"/>
      <c r="L3786" s="49"/>
      <c r="M3786" s="49"/>
    </row>
    <row r="3787" spans="5:13">
      <c r="E3787" s="49"/>
      <c r="F3787" s="49"/>
      <c r="G3787" s="49"/>
      <c r="H3787" s="49"/>
      <c r="I3787" s="49"/>
      <c r="J3787" s="49"/>
      <c r="K3787" s="49"/>
      <c r="L3787" s="49"/>
      <c r="M3787" s="49"/>
    </row>
    <row r="3788" spans="5:13">
      <c r="E3788" s="49"/>
      <c r="F3788" s="49"/>
      <c r="G3788" s="49"/>
      <c r="H3788" s="49"/>
      <c r="I3788" s="49"/>
      <c r="J3788" s="49"/>
      <c r="K3788" s="49"/>
      <c r="L3788" s="49"/>
      <c r="M3788" s="49"/>
    </row>
    <row r="3789" spans="5:13">
      <c r="E3789" s="49"/>
      <c r="F3789" s="49"/>
      <c r="G3789" s="49"/>
      <c r="H3789" s="49"/>
      <c r="I3789" s="49"/>
      <c r="J3789" s="49"/>
      <c r="K3789" s="49"/>
      <c r="L3789" s="49"/>
      <c r="M3789" s="49"/>
    </row>
    <row r="3790" spans="5:13">
      <c r="E3790" s="49"/>
      <c r="F3790" s="49"/>
      <c r="G3790" s="49"/>
      <c r="H3790" s="49"/>
      <c r="I3790" s="49"/>
      <c r="J3790" s="49"/>
      <c r="K3790" s="49"/>
      <c r="L3790" s="49"/>
      <c r="M3790" s="49"/>
    </row>
    <row r="3791" spans="5:13">
      <c r="E3791" s="49"/>
      <c r="F3791" s="49"/>
      <c r="G3791" s="49"/>
      <c r="H3791" s="49"/>
      <c r="I3791" s="49"/>
      <c r="J3791" s="49"/>
      <c r="K3791" s="49"/>
      <c r="L3791" s="49"/>
      <c r="M3791" s="49"/>
    </row>
    <row r="3792" spans="5:13">
      <c r="E3792" s="49"/>
      <c r="F3792" s="49"/>
      <c r="G3792" s="49"/>
      <c r="H3792" s="49"/>
      <c r="I3792" s="49"/>
      <c r="J3792" s="49"/>
      <c r="K3792" s="49"/>
      <c r="L3792" s="49"/>
      <c r="M3792" s="49"/>
    </row>
    <row r="3793" spans="5:13">
      <c r="E3793" s="49"/>
      <c r="F3793" s="49"/>
      <c r="G3793" s="49"/>
      <c r="H3793" s="49"/>
      <c r="I3793" s="49"/>
      <c r="J3793" s="49"/>
      <c r="K3793" s="49"/>
      <c r="L3793" s="49"/>
      <c r="M3793" s="49"/>
    </row>
    <row r="3794" spans="5:13">
      <c r="E3794" s="49"/>
      <c r="F3794" s="49"/>
      <c r="G3794" s="49"/>
      <c r="H3794" s="49"/>
      <c r="I3794" s="49"/>
      <c r="J3794" s="49"/>
      <c r="K3794" s="49"/>
      <c r="L3794" s="49"/>
      <c r="M3794" s="49"/>
    </row>
    <row r="3795" spans="5:13">
      <c r="E3795" s="49"/>
      <c r="F3795" s="49"/>
      <c r="G3795" s="49"/>
      <c r="H3795" s="49"/>
      <c r="I3795" s="49"/>
      <c r="J3795" s="49"/>
      <c r="K3795" s="49"/>
      <c r="L3795" s="49"/>
      <c r="M3795" s="49"/>
    </row>
    <row r="3796" spans="5:13">
      <c r="E3796" s="49"/>
      <c r="F3796" s="49"/>
      <c r="G3796" s="49"/>
      <c r="H3796" s="49"/>
      <c r="I3796" s="49"/>
      <c r="J3796" s="49"/>
      <c r="K3796" s="49"/>
      <c r="L3796" s="49"/>
      <c r="M3796" s="49"/>
    </row>
    <row r="3797" spans="5:13">
      <c r="E3797" s="49"/>
      <c r="F3797" s="49"/>
      <c r="G3797" s="49"/>
      <c r="H3797" s="49"/>
      <c r="I3797" s="49"/>
      <c r="J3797" s="49"/>
      <c r="K3797" s="49"/>
      <c r="L3797" s="49"/>
      <c r="M3797" s="49"/>
    </row>
    <row r="3798" spans="5:13">
      <c r="E3798" s="49"/>
      <c r="F3798" s="49"/>
      <c r="G3798" s="49"/>
      <c r="H3798" s="49"/>
      <c r="I3798" s="49"/>
      <c r="J3798" s="49"/>
      <c r="K3798" s="49"/>
      <c r="L3798" s="49"/>
      <c r="M3798" s="49"/>
    </row>
    <row r="3799" spans="5:13">
      <c r="E3799" s="49"/>
      <c r="F3799" s="49"/>
      <c r="G3799" s="49"/>
      <c r="H3799" s="49"/>
      <c r="I3799" s="49"/>
      <c r="J3799" s="49"/>
      <c r="K3799" s="49"/>
      <c r="L3799" s="49"/>
      <c r="M3799" s="49"/>
    </row>
    <row r="3800" spans="5:13">
      <c r="E3800" s="49"/>
      <c r="F3800" s="49"/>
      <c r="G3800" s="49"/>
      <c r="H3800" s="49"/>
      <c r="I3800" s="49"/>
      <c r="J3800" s="49"/>
      <c r="K3800" s="49"/>
      <c r="L3800" s="49"/>
      <c r="M3800" s="49"/>
    </row>
    <row r="3801" spans="5:13">
      <c r="E3801" s="49"/>
      <c r="F3801" s="49"/>
      <c r="G3801" s="49"/>
      <c r="H3801" s="49"/>
      <c r="I3801" s="49"/>
      <c r="J3801" s="49"/>
      <c r="K3801" s="49"/>
      <c r="L3801" s="49"/>
      <c r="M3801" s="49"/>
    </row>
    <row r="3802" spans="5:13">
      <c r="E3802" s="49"/>
      <c r="F3802" s="49"/>
      <c r="G3802" s="49"/>
      <c r="H3802" s="49"/>
      <c r="I3802" s="49"/>
      <c r="J3802" s="49"/>
      <c r="K3802" s="49"/>
      <c r="L3802" s="49"/>
      <c r="M3802" s="49"/>
    </row>
    <row r="3803" spans="5:13">
      <c r="E3803" s="49"/>
      <c r="F3803" s="49"/>
      <c r="G3803" s="49"/>
      <c r="H3803" s="49"/>
      <c r="I3803" s="49"/>
      <c r="J3803" s="49"/>
      <c r="K3803" s="49"/>
      <c r="L3803" s="49"/>
      <c r="M3803" s="49"/>
    </row>
    <row r="3804" spans="5:13">
      <c r="E3804" s="49"/>
      <c r="F3804" s="49"/>
      <c r="G3804" s="49"/>
      <c r="H3804" s="49"/>
      <c r="I3804" s="49"/>
      <c r="J3804" s="49"/>
      <c r="K3804" s="49"/>
      <c r="L3804" s="49"/>
      <c r="M3804" s="49"/>
    </row>
    <row r="3805" spans="5:13">
      <c r="E3805" s="49"/>
      <c r="F3805" s="49"/>
      <c r="G3805" s="49"/>
      <c r="H3805" s="49"/>
      <c r="I3805" s="49"/>
      <c r="J3805" s="49"/>
      <c r="K3805" s="49"/>
      <c r="L3805" s="49"/>
      <c r="M3805" s="49"/>
    </row>
    <row r="3806" spans="5:13">
      <c r="E3806" s="49"/>
      <c r="F3806" s="49"/>
      <c r="G3806" s="49"/>
      <c r="H3806" s="49"/>
      <c r="I3806" s="49"/>
      <c r="J3806" s="49"/>
      <c r="K3806" s="49"/>
      <c r="L3806" s="49"/>
      <c r="M3806" s="49"/>
    </row>
    <row r="3807" spans="5:13">
      <c r="E3807" s="49"/>
      <c r="F3807" s="49"/>
      <c r="G3807" s="49"/>
      <c r="H3807" s="49"/>
      <c r="I3807" s="49"/>
      <c r="J3807" s="49"/>
      <c r="K3807" s="49"/>
      <c r="L3807" s="49"/>
      <c r="M3807" s="49"/>
    </row>
    <row r="3808" spans="5:13">
      <c r="E3808" s="49"/>
      <c r="F3808" s="49"/>
      <c r="G3808" s="49"/>
      <c r="H3808" s="49"/>
      <c r="I3808" s="49"/>
      <c r="J3808" s="49"/>
      <c r="K3808" s="49"/>
      <c r="L3808" s="49"/>
      <c r="M3808" s="49"/>
    </row>
    <row r="3809" spans="5:13">
      <c r="E3809" s="49"/>
      <c r="F3809" s="49"/>
      <c r="G3809" s="49"/>
      <c r="H3809" s="49"/>
      <c r="I3809" s="49"/>
      <c r="J3809" s="49"/>
      <c r="K3809" s="49"/>
      <c r="L3809" s="49"/>
      <c r="M3809" s="49"/>
    </row>
    <row r="3810" spans="5:13">
      <c r="E3810" s="49"/>
      <c r="F3810" s="49"/>
      <c r="G3810" s="49"/>
      <c r="H3810" s="49"/>
      <c r="I3810" s="49"/>
      <c r="J3810" s="49"/>
      <c r="K3810" s="49"/>
      <c r="L3810" s="49"/>
      <c r="M3810" s="49"/>
    </row>
    <row r="3811" spans="5:13">
      <c r="E3811" s="49"/>
      <c r="F3811" s="49"/>
      <c r="G3811" s="49"/>
      <c r="H3811" s="49"/>
      <c r="I3811" s="49"/>
      <c r="J3811" s="49"/>
      <c r="K3811" s="49"/>
      <c r="L3811" s="49"/>
      <c r="M3811" s="49"/>
    </row>
    <row r="3812" spans="5:13">
      <c r="E3812" s="49"/>
      <c r="F3812" s="49"/>
      <c r="G3812" s="49"/>
      <c r="H3812" s="49"/>
      <c r="I3812" s="49"/>
      <c r="J3812" s="49"/>
      <c r="K3812" s="49"/>
      <c r="L3812" s="49"/>
      <c r="M3812" s="49"/>
    </row>
    <row r="3813" spans="5:13">
      <c r="E3813" s="49"/>
      <c r="F3813" s="49"/>
      <c r="G3813" s="49"/>
      <c r="H3813" s="49"/>
      <c r="I3813" s="49"/>
      <c r="J3813" s="49"/>
      <c r="K3813" s="49"/>
      <c r="L3813" s="49"/>
      <c r="M3813" s="49"/>
    </row>
    <row r="3814" spans="5:13">
      <c r="E3814" s="49"/>
      <c r="F3814" s="49"/>
      <c r="G3814" s="49"/>
      <c r="H3814" s="49"/>
      <c r="I3814" s="49"/>
      <c r="J3814" s="49"/>
      <c r="K3814" s="49"/>
      <c r="L3814" s="49"/>
      <c r="M3814" s="49"/>
    </row>
    <row r="3815" spans="5:13">
      <c r="E3815" s="49"/>
      <c r="F3815" s="49"/>
      <c r="G3815" s="49"/>
      <c r="H3815" s="49"/>
      <c r="I3815" s="49"/>
      <c r="J3815" s="49"/>
      <c r="K3815" s="49"/>
      <c r="L3815" s="49"/>
      <c r="M3815" s="49"/>
    </row>
    <row r="3816" spans="5:13">
      <c r="E3816" s="49"/>
      <c r="F3816" s="49"/>
      <c r="G3816" s="49"/>
      <c r="H3816" s="49"/>
      <c r="I3816" s="49"/>
      <c r="J3816" s="49"/>
      <c r="K3816" s="49"/>
      <c r="L3816" s="49"/>
      <c r="M3816" s="49"/>
    </row>
    <row r="3817" spans="5:13">
      <c r="E3817" s="49"/>
      <c r="F3817" s="49"/>
      <c r="G3817" s="49"/>
      <c r="H3817" s="49"/>
      <c r="I3817" s="49"/>
      <c r="J3817" s="49"/>
      <c r="K3817" s="49"/>
      <c r="L3817" s="49"/>
      <c r="M3817" s="49"/>
    </row>
    <row r="3818" spans="5:13">
      <c r="E3818" s="49"/>
      <c r="F3818" s="49"/>
      <c r="G3818" s="49"/>
      <c r="H3818" s="49"/>
      <c r="I3818" s="49"/>
      <c r="J3818" s="49"/>
      <c r="K3818" s="49"/>
      <c r="L3818" s="49"/>
      <c r="M3818" s="49"/>
    </row>
    <row r="3819" spans="5:13">
      <c r="E3819" s="49"/>
      <c r="F3819" s="49"/>
      <c r="G3819" s="49"/>
      <c r="H3819" s="49"/>
      <c r="I3819" s="49"/>
      <c r="J3819" s="49"/>
      <c r="K3819" s="49"/>
      <c r="L3819" s="49"/>
      <c r="M3819" s="49"/>
    </row>
    <row r="3820" spans="5:13">
      <c r="E3820" s="49"/>
      <c r="F3820" s="49"/>
      <c r="G3820" s="49"/>
      <c r="H3820" s="49"/>
      <c r="I3820" s="49"/>
      <c r="J3820" s="49"/>
      <c r="K3820" s="49"/>
      <c r="L3820" s="49"/>
      <c r="M3820" s="49"/>
    </row>
    <row r="3821" spans="5:13">
      <c r="E3821" s="49"/>
      <c r="F3821" s="49"/>
      <c r="G3821" s="49"/>
      <c r="H3821" s="49"/>
      <c r="I3821" s="49"/>
      <c r="J3821" s="49"/>
      <c r="K3821" s="49"/>
      <c r="L3821" s="49"/>
      <c r="M3821" s="49"/>
    </row>
    <row r="3822" spans="5:13">
      <c r="E3822" s="49"/>
      <c r="F3822" s="49"/>
      <c r="G3822" s="49"/>
      <c r="H3822" s="49"/>
      <c r="I3822" s="49"/>
      <c r="J3822" s="49"/>
      <c r="K3822" s="49"/>
      <c r="L3822" s="49"/>
      <c r="M3822" s="49"/>
    </row>
    <row r="3823" spans="5:13">
      <c r="E3823" s="49"/>
      <c r="F3823" s="49"/>
      <c r="G3823" s="49"/>
      <c r="H3823" s="49"/>
      <c r="I3823" s="49"/>
      <c r="J3823" s="49"/>
      <c r="K3823" s="49"/>
      <c r="L3823" s="49"/>
      <c r="M3823" s="49"/>
    </row>
    <row r="3824" spans="5:13">
      <c r="E3824" s="49"/>
      <c r="F3824" s="49"/>
      <c r="G3824" s="49"/>
      <c r="H3824" s="49"/>
      <c r="I3824" s="49"/>
      <c r="J3824" s="49"/>
      <c r="K3824" s="49"/>
      <c r="L3824" s="49"/>
      <c r="M3824" s="49"/>
    </row>
    <row r="3825" spans="5:13">
      <c r="E3825" s="49"/>
      <c r="F3825" s="49"/>
      <c r="G3825" s="49"/>
      <c r="H3825" s="49"/>
      <c r="I3825" s="49"/>
      <c r="J3825" s="49"/>
      <c r="K3825" s="49"/>
      <c r="L3825" s="49"/>
      <c r="M3825" s="49"/>
    </row>
    <row r="3826" spans="5:13">
      <c r="E3826" s="49"/>
      <c r="F3826" s="49"/>
      <c r="G3826" s="49"/>
      <c r="H3826" s="49"/>
      <c r="I3826" s="49"/>
      <c r="J3826" s="49"/>
      <c r="K3826" s="49"/>
      <c r="L3826" s="49"/>
      <c r="M3826" s="49"/>
    </row>
    <row r="3827" spans="5:13">
      <c r="E3827" s="49"/>
      <c r="F3827" s="49"/>
      <c r="G3827" s="49"/>
      <c r="H3827" s="49"/>
      <c r="I3827" s="49"/>
      <c r="J3827" s="49"/>
      <c r="K3827" s="49"/>
      <c r="L3827" s="49"/>
      <c r="M3827" s="49"/>
    </row>
    <row r="3828" spans="5:13">
      <c r="E3828" s="49"/>
      <c r="F3828" s="49"/>
      <c r="G3828" s="49"/>
      <c r="H3828" s="49"/>
      <c r="I3828" s="49"/>
      <c r="J3828" s="49"/>
      <c r="K3828" s="49"/>
      <c r="L3828" s="49"/>
      <c r="M3828" s="49"/>
    </row>
    <row r="3829" spans="5:13">
      <c r="E3829" s="49"/>
      <c r="F3829" s="49"/>
      <c r="G3829" s="49"/>
      <c r="H3829" s="49"/>
      <c r="I3829" s="49"/>
      <c r="J3829" s="49"/>
      <c r="K3829" s="49"/>
      <c r="L3829" s="49"/>
      <c r="M3829" s="49"/>
    </row>
    <row r="3830" spans="5:13">
      <c r="E3830" s="49"/>
      <c r="F3830" s="49"/>
      <c r="G3830" s="49"/>
      <c r="H3830" s="49"/>
      <c r="I3830" s="49"/>
      <c r="J3830" s="49"/>
      <c r="K3830" s="49"/>
      <c r="L3830" s="49"/>
      <c r="M3830" s="49"/>
    </row>
    <row r="3831" spans="5:13">
      <c r="E3831" s="49"/>
      <c r="F3831" s="49"/>
      <c r="G3831" s="49"/>
      <c r="H3831" s="49"/>
      <c r="I3831" s="49"/>
      <c r="J3831" s="49"/>
      <c r="K3831" s="49"/>
      <c r="L3831" s="49"/>
      <c r="M3831" s="49"/>
    </row>
    <row r="3832" spans="5:13">
      <c r="E3832" s="49"/>
      <c r="F3832" s="49"/>
      <c r="G3832" s="49"/>
      <c r="H3832" s="49"/>
      <c r="I3832" s="49"/>
      <c r="J3832" s="49"/>
      <c r="K3832" s="49"/>
      <c r="L3832" s="49"/>
      <c r="M3832" s="49"/>
    </row>
    <row r="3833" spans="5:13">
      <c r="E3833" s="49"/>
      <c r="F3833" s="49"/>
      <c r="G3833" s="49"/>
      <c r="H3833" s="49"/>
      <c r="I3833" s="49"/>
      <c r="J3833" s="49"/>
      <c r="K3833" s="49"/>
      <c r="L3833" s="49"/>
      <c r="M3833" s="49"/>
    </row>
    <row r="3834" spans="5:13">
      <c r="E3834" s="49"/>
      <c r="F3834" s="49"/>
      <c r="G3834" s="49"/>
      <c r="H3834" s="49"/>
      <c r="I3834" s="49"/>
      <c r="J3834" s="49"/>
      <c r="K3834" s="49"/>
      <c r="L3834" s="49"/>
      <c r="M3834" s="49"/>
    </row>
    <row r="3835" spans="5:13">
      <c r="E3835" s="49"/>
      <c r="F3835" s="49"/>
      <c r="G3835" s="49"/>
      <c r="H3835" s="49"/>
      <c r="I3835" s="49"/>
      <c r="J3835" s="49"/>
      <c r="K3835" s="49"/>
      <c r="L3835" s="49"/>
      <c r="M3835" s="49"/>
    </row>
    <row r="3836" spans="5:13">
      <c r="E3836" s="49"/>
      <c r="F3836" s="49"/>
      <c r="G3836" s="49"/>
      <c r="H3836" s="49"/>
      <c r="I3836" s="49"/>
      <c r="J3836" s="49"/>
      <c r="K3836" s="49"/>
      <c r="L3836" s="49"/>
      <c r="M3836" s="49"/>
    </row>
    <row r="3837" spans="5:13">
      <c r="E3837" s="49"/>
      <c r="F3837" s="49"/>
      <c r="G3837" s="49"/>
      <c r="H3837" s="49"/>
      <c r="I3837" s="49"/>
      <c r="J3837" s="49"/>
      <c r="K3837" s="49"/>
      <c r="L3837" s="49"/>
      <c r="M3837" s="49"/>
    </row>
    <row r="3838" spans="5:13">
      <c r="E3838" s="49"/>
      <c r="F3838" s="49"/>
      <c r="G3838" s="49"/>
      <c r="H3838" s="49"/>
      <c r="I3838" s="49"/>
      <c r="J3838" s="49"/>
      <c r="K3838" s="49"/>
      <c r="L3838" s="49"/>
      <c r="M3838" s="49"/>
    </row>
    <row r="3839" spans="5:13">
      <c r="E3839" s="49"/>
      <c r="F3839" s="49"/>
      <c r="G3839" s="49"/>
      <c r="H3839" s="49"/>
      <c r="I3839" s="49"/>
      <c r="J3839" s="49"/>
      <c r="K3839" s="49"/>
      <c r="L3839" s="49"/>
      <c r="M3839" s="49"/>
    </row>
    <row r="3840" spans="5:13">
      <c r="E3840" s="49"/>
      <c r="F3840" s="49"/>
      <c r="G3840" s="49"/>
      <c r="H3840" s="49"/>
      <c r="I3840" s="49"/>
      <c r="J3840" s="49"/>
      <c r="K3840" s="49"/>
      <c r="L3840" s="49"/>
      <c r="M3840" s="49"/>
    </row>
    <row r="3841" spans="5:13">
      <c r="E3841" s="49"/>
      <c r="F3841" s="49"/>
      <c r="G3841" s="49"/>
      <c r="H3841" s="49"/>
      <c r="I3841" s="49"/>
      <c r="J3841" s="49"/>
      <c r="K3841" s="49"/>
      <c r="L3841" s="49"/>
      <c r="M3841" s="49"/>
    </row>
    <row r="3842" spans="5:13">
      <c r="E3842" s="49"/>
      <c r="F3842" s="49"/>
      <c r="G3842" s="49"/>
      <c r="H3842" s="49"/>
      <c r="I3842" s="49"/>
      <c r="J3842" s="49"/>
      <c r="K3842" s="49"/>
      <c r="L3842" s="49"/>
      <c r="M3842" s="49"/>
    </row>
    <row r="3843" spans="5:13">
      <c r="E3843" s="49"/>
      <c r="F3843" s="49"/>
      <c r="G3843" s="49"/>
      <c r="H3843" s="49"/>
      <c r="I3843" s="49"/>
      <c r="J3843" s="49"/>
      <c r="K3843" s="49"/>
      <c r="L3843" s="49"/>
      <c r="M3843" s="49"/>
    </row>
    <row r="3844" spans="5:13">
      <c r="E3844" s="49"/>
      <c r="F3844" s="49"/>
      <c r="G3844" s="49"/>
      <c r="H3844" s="49"/>
      <c r="I3844" s="49"/>
      <c r="J3844" s="49"/>
      <c r="K3844" s="49"/>
      <c r="L3844" s="49"/>
      <c r="M3844" s="49"/>
    </row>
    <row r="3845" spans="5:13">
      <c r="E3845" s="49"/>
      <c r="F3845" s="49"/>
      <c r="G3845" s="49"/>
      <c r="H3845" s="49"/>
      <c r="I3845" s="49"/>
      <c r="J3845" s="49"/>
      <c r="K3845" s="49"/>
      <c r="L3845" s="49"/>
      <c r="M3845" s="49"/>
    </row>
    <row r="3846" spans="5:13">
      <c r="E3846" s="49"/>
      <c r="F3846" s="49"/>
      <c r="G3846" s="49"/>
      <c r="H3846" s="49"/>
      <c r="I3846" s="49"/>
      <c r="J3846" s="49"/>
      <c r="K3846" s="49"/>
      <c r="L3846" s="49"/>
      <c r="M3846" s="49"/>
    </row>
    <row r="3847" spans="5:13">
      <c r="E3847" s="49"/>
      <c r="F3847" s="49"/>
      <c r="G3847" s="49"/>
      <c r="H3847" s="49"/>
      <c r="I3847" s="49"/>
      <c r="J3847" s="49"/>
      <c r="K3847" s="49"/>
      <c r="L3847" s="49"/>
      <c r="M3847" s="49"/>
    </row>
    <row r="3848" spans="5:13">
      <c r="E3848" s="49"/>
      <c r="F3848" s="49"/>
      <c r="G3848" s="49"/>
      <c r="H3848" s="49"/>
      <c r="I3848" s="49"/>
      <c r="J3848" s="49"/>
      <c r="K3848" s="49"/>
      <c r="L3848" s="49"/>
      <c r="M3848" s="49"/>
    </row>
    <row r="3849" spans="5:13">
      <c r="E3849" s="49"/>
      <c r="F3849" s="49"/>
      <c r="G3849" s="49"/>
      <c r="H3849" s="49"/>
      <c r="I3849" s="49"/>
      <c r="J3849" s="49"/>
      <c r="K3849" s="49"/>
      <c r="L3849" s="49"/>
      <c r="M3849" s="49"/>
    </row>
    <row r="3850" spans="5:13">
      <c r="E3850" s="49"/>
      <c r="F3850" s="49"/>
      <c r="G3850" s="49"/>
      <c r="H3850" s="49"/>
      <c r="I3850" s="49"/>
      <c r="J3850" s="49"/>
      <c r="K3850" s="49"/>
      <c r="L3850" s="49"/>
      <c r="M3850" s="49"/>
    </row>
    <row r="3851" spans="5:13">
      <c r="E3851" s="49"/>
      <c r="F3851" s="49"/>
      <c r="G3851" s="49"/>
      <c r="H3851" s="49"/>
      <c r="I3851" s="49"/>
      <c r="J3851" s="49"/>
      <c r="K3851" s="49"/>
      <c r="L3851" s="49"/>
      <c r="M3851" s="49"/>
    </row>
    <row r="3852" spans="5:13">
      <c r="E3852" s="49"/>
      <c r="F3852" s="49"/>
      <c r="G3852" s="49"/>
      <c r="H3852" s="49"/>
      <c r="I3852" s="49"/>
      <c r="J3852" s="49"/>
      <c r="K3852" s="49"/>
      <c r="L3852" s="49"/>
      <c r="M3852" s="49"/>
    </row>
    <row r="3853" spans="5:13">
      <c r="E3853" s="49"/>
      <c r="F3853" s="49"/>
      <c r="G3853" s="49"/>
      <c r="H3853" s="49"/>
      <c r="I3853" s="49"/>
      <c r="J3853" s="49"/>
      <c r="K3853" s="49"/>
      <c r="L3853" s="49"/>
      <c r="M3853" s="49"/>
    </row>
    <row r="3854" spans="5:13">
      <c r="E3854" s="49"/>
      <c r="F3854" s="49"/>
      <c r="G3854" s="49"/>
      <c r="H3854" s="49"/>
      <c r="I3854" s="49"/>
      <c r="J3854" s="49"/>
      <c r="K3854" s="49"/>
      <c r="L3854" s="49"/>
      <c r="M3854" s="49"/>
    </row>
    <row r="3855" spans="5:13">
      <c r="E3855" s="49"/>
      <c r="F3855" s="49"/>
      <c r="G3855" s="49"/>
      <c r="H3855" s="49"/>
      <c r="I3855" s="49"/>
      <c r="J3855" s="49"/>
      <c r="K3855" s="49"/>
      <c r="L3855" s="49"/>
      <c r="M3855" s="49"/>
    </row>
    <row r="3856" spans="5:13">
      <c r="E3856" s="49"/>
      <c r="F3856" s="49"/>
      <c r="G3856" s="49"/>
      <c r="H3856" s="49"/>
      <c r="I3856" s="49"/>
      <c r="J3856" s="49"/>
      <c r="K3856" s="49"/>
      <c r="L3856" s="49"/>
      <c r="M3856" s="49"/>
    </row>
    <row r="3857" spans="5:13">
      <c r="E3857" s="49"/>
      <c r="F3857" s="49"/>
      <c r="G3857" s="49"/>
      <c r="H3857" s="49"/>
      <c r="I3857" s="49"/>
      <c r="J3857" s="49"/>
      <c r="K3857" s="49"/>
      <c r="L3857" s="49"/>
      <c r="M3857" s="49"/>
    </row>
    <row r="3858" spans="5:13">
      <c r="E3858" s="49"/>
      <c r="F3858" s="49"/>
      <c r="G3858" s="49"/>
      <c r="H3858" s="49"/>
      <c r="I3858" s="49"/>
      <c r="J3858" s="49"/>
      <c r="K3858" s="49"/>
      <c r="L3858" s="49"/>
      <c r="M3858" s="49"/>
    </row>
    <row r="3859" spans="5:13">
      <c r="E3859" s="49"/>
      <c r="F3859" s="49"/>
      <c r="G3859" s="49"/>
      <c r="H3859" s="49"/>
      <c r="I3859" s="49"/>
      <c r="J3859" s="49"/>
      <c r="K3859" s="49"/>
      <c r="L3859" s="49"/>
      <c r="M3859" s="49"/>
    </row>
    <row r="3860" spans="5:13">
      <c r="E3860" s="49"/>
      <c r="F3860" s="49"/>
      <c r="G3860" s="49"/>
      <c r="H3860" s="49"/>
      <c r="I3860" s="49"/>
      <c r="J3860" s="49"/>
      <c r="K3860" s="49"/>
      <c r="L3860" s="49"/>
      <c r="M3860" s="49"/>
    </row>
    <row r="3861" spans="5:13">
      <c r="E3861" s="49"/>
      <c r="F3861" s="49"/>
      <c r="G3861" s="49"/>
      <c r="H3861" s="49"/>
      <c r="I3861" s="49"/>
      <c r="J3861" s="49"/>
      <c r="K3861" s="49"/>
      <c r="L3861" s="49"/>
      <c r="M3861" s="49"/>
    </row>
    <row r="3862" spans="5:13">
      <c r="E3862" s="49"/>
      <c r="F3862" s="49"/>
      <c r="G3862" s="49"/>
      <c r="H3862" s="49"/>
      <c r="I3862" s="49"/>
      <c r="J3862" s="49"/>
      <c r="K3862" s="49"/>
      <c r="L3862" s="49"/>
      <c r="M3862" s="49"/>
    </row>
    <row r="3863" spans="5:13">
      <c r="E3863" s="49"/>
      <c r="F3863" s="49"/>
      <c r="G3863" s="49"/>
      <c r="H3863" s="49"/>
      <c r="I3863" s="49"/>
      <c r="J3863" s="49"/>
      <c r="K3863" s="49"/>
      <c r="L3863" s="49"/>
      <c r="M3863" s="49"/>
    </row>
    <row r="3864" spans="5:13">
      <c r="E3864" s="49"/>
      <c r="F3864" s="49"/>
      <c r="G3864" s="49"/>
      <c r="H3864" s="49"/>
      <c r="I3864" s="49"/>
      <c r="J3864" s="49"/>
      <c r="K3864" s="49"/>
      <c r="L3864" s="49"/>
      <c r="M3864" s="49"/>
    </row>
    <row r="3865" spans="5:13">
      <c r="E3865" s="49"/>
      <c r="F3865" s="49"/>
      <c r="G3865" s="49"/>
      <c r="H3865" s="49"/>
      <c r="I3865" s="49"/>
      <c r="J3865" s="49"/>
      <c r="K3865" s="49"/>
      <c r="L3865" s="49"/>
      <c r="M3865" s="49"/>
    </row>
    <row r="3866" spans="5:13">
      <c r="E3866" s="49"/>
      <c r="F3866" s="49"/>
      <c r="G3866" s="49"/>
      <c r="H3866" s="49"/>
      <c r="I3866" s="49"/>
      <c r="J3866" s="49"/>
      <c r="K3866" s="49"/>
      <c r="L3866" s="49"/>
      <c r="M3866" s="49"/>
    </row>
    <row r="3867" spans="5:13">
      <c r="E3867" s="49"/>
      <c r="F3867" s="49"/>
      <c r="G3867" s="49"/>
      <c r="H3867" s="49"/>
      <c r="I3867" s="49"/>
      <c r="J3867" s="49"/>
      <c r="K3867" s="49"/>
      <c r="L3867" s="49"/>
      <c r="M3867" s="49"/>
    </row>
    <row r="3868" spans="5:13">
      <c r="E3868" s="49"/>
      <c r="F3868" s="49"/>
      <c r="G3868" s="49"/>
      <c r="H3868" s="49"/>
      <c r="I3868" s="49"/>
      <c r="J3868" s="49"/>
      <c r="K3868" s="49"/>
      <c r="L3868" s="49"/>
      <c r="M3868" s="49"/>
    </row>
    <row r="3869" spans="5:13">
      <c r="E3869" s="49"/>
      <c r="F3869" s="49"/>
      <c r="G3869" s="49"/>
      <c r="H3869" s="49"/>
      <c r="I3869" s="49"/>
      <c r="J3869" s="49"/>
      <c r="K3869" s="49"/>
      <c r="L3869" s="49"/>
      <c r="M3869" s="49"/>
    </row>
    <row r="3870" spans="5:13">
      <c r="E3870" s="49"/>
      <c r="F3870" s="49"/>
      <c r="G3870" s="49"/>
      <c r="H3870" s="49"/>
      <c r="I3870" s="49"/>
      <c r="J3870" s="49"/>
      <c r="K3870" s="49"/>
      <c r="L3870" s="49"/>
      <c r="M3870" s="49"/>
    </row>
    <row r="3871" spans="5:13">
      <c r="E3871" s="49"/>
      <c r="F3871" s="49"/>
      <c r="G3871" s="49"/>
      <c r="H3871" s="49"/>
      <c r="I3871" s="49"/>
      <c r="J3871" s="49"/>
      <c r="K3871" s="49"/>
      <c r="L3871" s="49"/>
      <c r="M3871" s="49"/>
    </row>
    <row r="3872" spans="5:13">
      <c r="E3872" s="49"/>
      <c r="F3872" s="49"/>
      <c r="G3872" s="49"/>
      <c r="H3872" s="49"/>
      <c r="I3872" s="49"/>
      <c r="J3872" s="49"/>
      <c r="K3872" s="49"/>
      <c r="L3872" s="49"/>
      <c r="M3872" s="49"/>
    </row>
    <row r="3873" spans="5:13">
      <c r="E3873" s="49"/>
      <c r="F3873" s="49"/>
      <c r="G3873" s="49"/>
      <c r="H3873" s="49"/>
      <c r="I3873" s="49"/>
      <c r="J3873" s="49"/>
      <c r="K3873" s="49"/>
      <c r="L3873" s="49"/>
      <c r="M3873" s="49"/>
    </row>
    <row r="3874" spans="5:13">
      <c r="E3874" s="49"/>
      <c r="F3874" s="49"/>
      <c r="G3874" s="49"/>
      <c r="H3874" s="49"/>
      <c r="I3874" s="49"/>
      <c r="J3874" s="49"/>
      <c r="K3874" s="49"/>
      <c r="L3874" s="49"/>
      <c r="M3874" s="49"/>
    </row>
    <row r="3875" spans="5:13">
      <c r="E3875" s="49"/>
      <c r="F3875" s="49"/>
      <c r="G3875" s="49"/>
      <c r="H3875" s="49"/>
      <c r="I3875" s="49"/>
      <c r="J3875" s="49"/>
      <c r="K3875" s="49"/>
      <c r="L3875" s="49"/>
      <c r="M3875" s="49"/>
    </row>
    <row r="3876" spans="5:13">
      <c r="E3876" s="49"/>
      <c r="F3876" s="49"/>
      <c r="G3876" s="49"/>
      <c r="H3876" s="49"/>
      <c r="I3876" s="49"/>
      <c r="J3876" s="49"/>
      <c r="K3876" s="49"/>
      <c r="L3876" s="49"/>
      <c r="M3876" s="49"/>
    </row>
    <row r="3877" spans="5:13">
      <c r="E3877" s="49"/>
      <c r="F3877" s="49"/>
      <c r="G3877" s="49"/>
      <c r="H3877" s="49"/>
      <c r="I3877" s="49"/>
      <c r="J3877" s="49"/>
      <c r="K3877" s="49"/>
      <c r="L3877" s="49"/>
      <c r="M3877" s="49"/>
    </row>
    <row r="3878" spans="5:13">
      <c r="E3878" s="49"/>
      <c r="F3878" s="49"/>
      <c r="G3878" s="49"/>
      <c r="H3878" s="49"/>
      <c r="I3878" s="49"/>
      <c r="J3878" s="49"/>
      <c r="K3878" s="49"/>
      <c r="L3878" s="49"/>
      <c r="M3878" s="49"/>
    </row>
    <row r="3879" spans="5:13">
      <c r="E3879" s="49"/>
      <c r="F3879" s="49"/>
      <c r="G3879" s="49"/>
      <c r="H3879" s="49"/>
      <c r="I3879" s="49"/>
      <c r="J3879" s="49"/>
      <c r="K3879" s="49"/>
      <c r="L3879" s="49"/>
      <c r="M3879" s="49"/>
    </row>
    <row r="3880" spans="5:13">
      <c r="E3880" s="49"/>
      <c r="F3880" s="49"/>
      <c r="G3880" s="49"/>
      <c r="H3880" s="49"/>
      <c r="I3880" s="49"/>
      <c r="J3880" s="49"/>
      <c r="K3880" s="49"/>
      <c r="L3880" s="49"/>
      <c r="M3880" s="49"/>
    </row>
    <row r="3881" spans="5:13">
      <c r="E3881" s="49"/>
      <c r="F3881" s="49"/>
      <c r="G3881" s="49"/>
      <c r="H3881" s="49"/>
      <c r="I3881" s="49"/>
      <c r="J3881" s="49"/>
      <c r="K3881" s="49"/>
      <c r="L3881" s="49"/>
      <c r="M3881" s="49"/>
    </row>
    <row r="3882" spans="5:13">
      <c r="E3882" s="49"/>
      <c r="F3882" s="49"/>
      <c r="G3882" s="49"/>
      <c r="H3882" s="49"/>
      <c r="I3882" s="49"/>
      <c r="J3882" s="49"/>
      <c r="K3882" s="49"/>
      <c r="L3882" s="49"/>
      <c r="M3882" s="49"/>
    </row>
    <row r="3883" spans="5:13">
      <c r="E3883" s="49"/>
      <c r="F3883" s="49"/>
      <c r="G3883" s="49"/>
      <c r="H3883" s="49"/>
      <c r="I3883" s="49"/>
      <c r="J3883" s="49"/>
      <c r="K3883" s="49"/>
      <c r="L3883" s="49"/>
      <c r="M3883" s="49"/>
    </row>
    <row r="3884" spans="5:13">
      <c r="E3884" s="49"/>
      <c r="F3884" s="49"/>
      <c r="G3884" s="49"/>
      <c r="H3884" s="49"/>
      <c r="I3884" s="49"/>
      <c r="J3884" s="49"/>
      <c r="K3884" s="49"/>
      <c r="L3884" s="49"/>
      <c r="M3884" s="49"/>
    </row>
    <row r="3885" spans="5:13">
      <c r="E3885" s="49"/>
      <c r="F3885" s="49"/>
      <c r="G3885" s="49"/>
      <c r="H3885" s="49"/>
      <c r="I3885" s="49"/>
      <c r="J3885" s="49"/>
      <c r="K3885" s="49"/>
      <c r="L3885" s="49"/>
      <c r="M3885" s="49"/>
    </row>
    <row r="3886" spans="5:13">
      <c r="E3886" s="49"/>
      <c r="F3886" s="49"/>
      <c r="G3886" s="49"/>
      <c r="H3886" s="49"/>
      <c r="I3886" s="49"/>
      <c r="J3886" s="49"/>
      <c r="K3886" s="49"/>
      <c r="L3886" s="49"/>
      <c r="M3886" s="49"/>
    </row>
    <row r="3887" spans="5:13">
      <c r="E3887" s="49"/>
      <c r="F3887" s="49"/>
      <c r="G3887" s="49"/>
      <c r="H3887" s="49"/>
      <c r="I3887" s="49"/>
      <c r="J3887" s="49"/>
      <c r="K3887" s="49"/>
      <c r="L3887" s="49"/>
      <c r="M3887" s="49"/>
    </row>
    <row r="3888" spans="5:13">
      <c r="E3888" s="49"/>
      <c r="F3888" s="49"/>
      <c r="G3888" s="49"/>
      <c r="H3888" s="49"/>
      <c r="I3888" s="49"/>
      <c r="J3888" s="49"/>
      <c r="K3888" s="49"/>
      <c r="L3888" s="49"/>
      <c r="M3888" s="49"/>
    </row>
    <row r="3889" spans="5:13">
      <c r="E3889" s="49"/>
      <c r="F3889" s="49"/>
      <c r="G3889" s="49"/>
      <c r="H3889" s="49"/>
      <c r="I3889" s="49"/>
      <c r="J3889" s="49"/>
      <c r="K3889" s="49"/>
      <c r="L3889" s="49"/>
      <c r="M3889" s="49"/>
    </row>
    <row r="3890" spans="5:13">
      <c r="E3890" s="49"/>
      <c r="F3890" s="49"/>
      <c r="G3890" s="49"/>
      <c r="H3890" s="49"/>
      <c r="I3890" s="49"/>
      <c r="J3890" s="49"/>
      <c r="K3890" s="49"/>
      <c r="L3890" s="49"/>
      <c r="M3890" s="49"/>
    </row>
    <row r="3891" spans="5:13">
      <c r="E3891" s="49"/>
      <c r="F3891" s="49"/>
      <c r="G3891" s="49"/>
      <c r="H3891" s="49"/>
      <c r="I3891" s="49"/>
      <c r="J3891" s="49"/>
      <c r="K3891" s="49"/>
      <c r="L3891" s="49"/>
      <c r="M3891" s="49"/>
    </row>
    <row r="3892" spans="5:13">
      <c r="E3892" s="49"/>
      <c r="F3892" s="49"/>
      <c r="G3892" s="49"/>
      <c r="H3892" s="49"/>
      <c r="I3892" s="49"/>
      <c r="J3892" s="49"/>
      <c r="K3892" s="49"/>
      <c r="L3892" s="49"/>
      <c r="M3892" s="49"/>
    </row>
    <row r="3893" spans="5:13">
      <c r="E3893" s="49"/>
      <c r="F3893" s="49"/>
      <c r="G3893" s="49"/>
      <c r="H3893" s="49"/>
      <c r="I3893" s="49"/>
      <c r="J3893" s="49"/>
      <c r="K3893" s="49"/>
      <c r="L3893" s="49"/>
      <c r="M3893" s="49"/>
    </row>
    <row r="3894" spans="5:13">
      <c r="E3894" s="49"/>
      <c r="F3894" s="49"/>
      <c r="G3894" s="49"/>
      <c r="H3894" s="49"/>
      <c r="I3894" s="49"/>
      <c r="J3894" s="49"/>
      <c r="K3894" s="49"/>
      <c r="L3894" s="49"/>
      <c r="M3894" s="49"/>
    </row>
    <row r="3895" spans="5:13">
      <c r="E3895" s="49"/>
      <c r="F3895" s="49"/>
      <c r="G3895" s="49"/>
      <c r="H3895" s="49"/>
      <c r="I3895" s="49"/>
      <c r="J3895" s="49"/>
      <c r="K3895" s="49"/>
      <c r="L3895" s="49"/>
      <c r="M3895" s="49"/>
    </row>
    <row r="3896" spans="5:13">
      <c r="E3896" s="49"/>
      <c r="F3896" s="49"/>
      <c r="G3896" s="49"/>
      <c r="H3896" s="49"/>
      <c r="I3896" s="49"/>
      <c r="J3896" s="49"/>
      <c r="K3896" s="49"/>
      <c r="L3896" s="49"/>
      <c r="M3896" s="49"/>
    </row>
    <row r="3897" spans="5:13">
      <c r="E3897" s="49"/>
      <c r="F3897" s="49"/>
      <c r="G3897" s="49"/>
      <c r="H3897" s="49"/>
      <c r="I3897" s="49"/>
      <c r="J3897" s="49"/>
      <c r="K3897" s="49"/>
      <c r="L3897" s="49"/>
      <c r="M3897" s="49"/>
    </row>
    <row r="3898" spans="5:13">
      <c r="E3898" s="49"/>
      <c r="F3898" s="49"/>
      <c r="G3898" s="49"/>
      <c r="H3898" s="49"/>
      <c r="I3898" s="49"/>
      <c r="J3898" s="49"/>
      <c r="K3898" s="49"/>
      <c r="L3898" s="49"/>
      <c r="M3898" s="49"/>
    </row>
    <row r="3899" spans="5:13">
      <c r="E3899" s="49"/>
      <c r="F3899" s="49"/>
      <c r="G3899" s="49"/>
      <c r="H3899" s="49"/>
      <c r="I3899" s="49"/>
      <c r="J3899" s="49"/>
      <c r="K3899" s="49"/>
      <c r="L3899" s="49"/>
      <c r="M3899" s="49"/>
    </row>
    <row r="3900" spans="5:13">
      <c r="E3900" s="49"/>
      <c r="F3900" s="49"/>
      <c r="G3900" s="49"/>
      <c r="H3900" s="49"/>
      <c r="I3900" s="49"/>
      <c r="J3900" s="49"/>
      <c r="K3900" s="49"/>
      <c r="L3900" s="49"/>
      <c r="M3900" s="49"/>
    </row>
    <row r="3901" spans="5:13">
      <c r="E3901" s="49"/>
      <c r="F3901" s="49"/>
      <c r="G3901" s="49"/>
      <c r="H3901" s="49"/>
      <c r="I3901" s="49"/>
      <c r="J3901" s="49"/>
      <c r="K3901" s="49"/>
      <c r="L3901" s="49"/>
      <c r="M3901" s="49"/>
    </row>
    <row r="3902" spans="5:13">
      <c r="E3902" s="49"/>
      <c r="F3902" s="49"/>
      <c r="G3902" s="49"/>
      <c r="H3902" s="49"/>
      <c r="I3902" s="49"/>
      <c r="J3902" s="49"/>
      <c r="K3902" s="49"/>
      <c r="L3902" s="49"/>
      <c r="M3902" s="49"/>
    </row>
    <row r="3903" spans="5:13">
      <c r="E3903" s="49"/>
      <c r="F3903" s="49"/>
      <c r="G3903" s="49"/>
      <c r="H3903" s="49"/>
      <c r="I3903" s="49"/>
      <c r="J3903" s="49"/>
      <c r="K3903" s="49"/>
      <c r="L3903" s="49"/>
      <c r="M3903" s="49"/>
    </row>
    <row r="3904" spans="5:13">
      <c r="E3904" s="49"/>
      <c r="F3904" s="49"/>
      <c r="G3904" s="49"/>
      <c r="H3904" s="49"/>
      <c r="I3904" s="49"/>
      <c r="J3904" s="49"/>
      <c r="K3904" s="49"/>
      <c r="L3904" s="49"/>
      <c r="M3904" s="49"/>
    </row>
    <row r="3905" spans="5:13">
      <c r="E3905" s="49"/>
      <c r="F3905" s="49"/>
      <c r="G3905" s="49"/>
      <c r="H3905" s="49"/>
      <c r="I3905" s="49"/>
      <c r="J3905" s="49"/>
      <c r="K3905" s="49"/>
      <c r="L3905" s="49"/>
      <c r="M3905" s="49"/>
    </row>
    <row r="3906" spans="5:13">
      <c r="E3906" s="49"/>
      <c r="F3906" s="49"/>
      <c r="G3906" s="49"/>
      <c r="H3906" s="49"/>
      <c r="I3906" s="49"/>
      <c r="J3906" s="49"/>
      <c r="K3906" s="49"/>
      <c r="L3906" s="49"/>
      <c r="M3906" s="49"/>
    </row>
    <row r="3907" spans="5:13">
      <c r="E3907" s="49"/>
      <c r="F3907" s="49"/>
      <c r="G3907" s="49"/>
      <c r="H3907" s="49"/>
      <c r="I3907" s="49"/>
      <c r="J3907" s="49"/>
      <c r="K3907" s="49"/>
      <c r="L3907" s="49"/>
      <c r="M3907" s="49"/>
    </row>
    <row r="3908" spans="5:13">
      <c r="E3908" s="49"/>
      <c r="F3908" s="49"/>
      <c r="G3908" s="49"/>
      <c r="H3908" s="49"/>
      <c r="I3908" s="49"/>
      <c r="J3908" s="49"/>
      <c r="K3908" s="49"/>
      <c r="L3908" s="49"/>
      <c r="M3908" s="49"/>
    </row>
    <row r="3909" spans="5:13">
      <c r="E3909" s="49"/>
      <c r="F3909" s="49"/>
      <c r="G3909" s="49"/>
      <c r="H3909" s="49"/>
      <c r="I3909" s="49"/>
      <c r="J3909" s="49"/>
      <c r="K3909" s="49"/>
      <c r="L3909" s="49"/>
      <c r="M3909" s="49"/>
    </row>
    <row r="3910" spans="5:13">
      <c r="E3910" s="49"/>
      <c r="F3910" s="49"/>
      <c r="G3910" s="49"/>
      <c r="H3910" s="49"/>
      <c r="I3910" s="49"/>
      <c r="J3910" s="49"/>
      <c r="K3910" s="49"/>
      <c r="L3910" s="49"/>
      <c r="M3910" s="49"/>
    </row>
    <row r="3911" spans="5:13">
      <c r="E3911" s="49"/>
      <c r="F3911" s="49"/>
      <c r="G3911" s="49"/>
      <c r="H3911" s="49"/>
      <c r="I3911" s="49"/>
      <c r="J3911" s="49"/>
      <c r="K3911" s="49"/>
      <c r="L3911" s="49"/>
      <c r="M3911" s="49"/>
    </row>
    <row r="3912" spans="5:13">
      <c r="E3912" s="49"/>
      <c r="F3912" s="49"/>
      <c r="G3912" s="49"/>
      <c r="H3912" s="49"/>
      <c r="I3912" s="49"/>
      <c r="J3912" s="49"/>
      <c r="K3912" s="49"/>
      <c r="L3912" s="49"/>
      <c r="M3912" s="49"/>
    </row>
    <row r="3913" spans="5:13">
      <c r="E3913" s="49"/>
      <c r="F3913" s="49"/>
      <c r="G3913" s="49"/>
      <c r="H3913" s="49"/>
      <c r="I3913" s="49"/>
      <c r="J3913" s="49"/>
      <c r="K3913" s="49"/>
      <c r="L3913" s="49"/>
      <c r="M3913" s="49"/>
    </row>
    <row r="3914" spans="5:13">
      <c r="E3914" s="49"/>
      <c r="F3914" s="49"/>
      <c r="G3914" s="49"/>
      <c r="H3914" s="49"/>
      <c r="I3914" s="49"/>
      <c r="J3914" s="49"/>
      <c r="K3914" s="49"/>
      <c r="L3914" s="49"/>
      <c r="M3914" s="49"/>
    </row>
    <row r="3915" spans="5:13">
      <c r="E3915" s="49"/>
      <c r="F3915" s="49"/>
      <c r="G3915" s="49"/>
      <c r="H3915" s="49"/>
      <c r="I3915" s="49"/>
      <c r="J3915" s="49"/>
      <c r="K3915" s="49"/>
      <c r="L3915" s="49"/>
      <c r="M3915" s="49"/>
    </row>
    <row r="3916" spans="5:13">
      <c r="E3916" s="49"/>
      <c r="F3916" s="49"/>
      <c r="G3916" s="49"/>
      <c r="H3916" s="49"/>
      <c r="I3916" s="49"/>
      <c r="J3916" s="49"/>
      <c r="K3916" s="49"/>
      <c r="L3916" s="49"/>
      <c r="M3916" s="49"/>
    </row>
    <row r="3917" spans="5:13">
      <c r="E3917" s="49"/>
      <c r="F3917" s="49"/>
      <c r="G3917" s="49"/>
      <c r="H3917" s="49"/>
      <c r="I3917" s="49"/>
      <c r="J3917" s="49"/>
      <c r="K3917" s="49"/>
      <c r="L3917" s="49"/>
      <c r="M3917" s="49"/>
    </row>
    <row r="3918" spans="5:13">
      <c r="E3918" s="49"/>
      <c r="F3918" s="49"/>
      <c r="G3918" s="49"/>
      <c r="H3918" s="49"/>
      <c r="I3918" s="49"/>
      <c r="J3918" s="49"/>
      <c r="K3918" s="49"/>
      <c r="L3918" s="49"/>
      <c r="M3918" s="49"/>
    </row>
    <row r="3919" spans="5:13">
      <c r="E3919" s="49"/>
      <c r="F3919" s="49"/>
      <c r="G3919" s="49"/>
      <c r="H3919" s="49"/>
      <c r="I3919" s="49"/>
      <c r="J3919" s="49"/>
      <c r="K3919" s="49"/>
      <c r="L3919" s="49"/>
      <c r="M3919" s="49"/>
    </row>
    <row r="3920" spans="5:13">
      <c r="E3920" s="49"/>
      <c r="F3920" s="49"/>
      <c r="G3920" s="49"/>
      <c r="H3920" s="49"/>
      <c r="I3920" s="49"/>
      <c r="J3920" s="49"/>
      <c r="K3920" s="49"/>
      <c r="L3920" s="49"/>
      <c r="M3920" s="49"/>
    </row>
    <row r="3921" spans="5:13">
      <c r="E3921" s="49"/>
      <c r="F3921" s="49"/>
      <c r="G3921" s="49"/>
      <c r="H3921" s="49"/>
      <c r="I3921" s="49"/>
      <c r="J3921" s="49"/>
      <c r="K3921" s="49"/>
      <c r="L3921" s="49"/>
      <c r="M3921" s="49"/>
    </row>
    <row r="3922" spans="5:13">
      <c r="E3922" s="49"/>
      <c r="F3922" s="49"/>
      <c r="G3922" s="49"/>
      <c r="H3922" s="49"/>
      <c r="I3922" s="49"/>
      <c r="J3922" s="49"/>
      <c r="K3922" s="49"/>
      <c r="L3922" s="49"/>
      <c r="M3922" s="49"/>
    </row>
    <row r="3923" spans="5:13">
      <c r="E3923" s="49"/>
      <c r="F3923" s="49"/>
      <c r="G3923" s="49"/>
      <c r="H3923" s="49"/>
      <c r="I3923" s="49"/>
      <c r="J3923" s="49"/>
      <c r="K3923" s="49"/>
      <c r="L3923" s="49"/>
      <c r="M3923" s="49"/>
    </row>
    <row r="3924" spans="5:13">
      <c r="E3924" s="49"/>
      <c r="F3924" s="49"/>
      <c r="G3924" s="49"/>
      <c r="H3924" s="49"/>
      <c r="I3924" s="49"/>
      <c r="J3924" s="49"/>
      <c r="K3924" s="49"/>
      <c r="L3924" s="49"/>
      <c r="M3924" s="49"/>
    </row>
    <row r="3925" spans="5:13">
      <c r="E3925" s="49"/>
      <c r="F3925" s="49"/>
      <c r="G3925" s="49"/>
      <c r="H3925" s="49"/>
      <c r="I3925" s="49"/>
      <c r="J3925" s="49"/>
      <c r="K3925" s="49"/>
      <c r="L3925" s="49"/>
      <c r="M3925" s="49"/>
    </row>
    <row r="3926" spans="5:13">
      <c r="E3926" s="49"/>
      <c r="F3926" s="49"/>
      <c r="G3926" s="49"/>
      <c r="H3926" s="49"/>
      <c r="I3926" s="49"/>
      <c r="J3926" s="49"/>
      <c r="K3926" s="49"/>
      <c r="L3926" s="49"/>
      <c r="M3926" s="49"/>
    </row>
    <row r="3927" spans="5:13">
      <c r="E3927" s="49"/>
      <c r="F3927" s="49"/>
      <c r="G3927" s="49"/>
      <c r="H3927" s="49"/>
      <c r="I3927" s="49"/>
      <c r="J3927" s="49"/>
      <c r="K3927" s="49"/>
      <c r="L3927" s="49"/>
      <c r="M3927" s="49"/>
    </row>
    <row r="3928" spans="5:13">
      <c r="E3928" s="49"/>
      <c r="F3928" s="49"/>
      <c r="G3928" s="49"/>
      <c r="H3928" s="49"/>
      <c r="I3928" s="49"/>
      <c r="J3928" s="49"/>
      <c r="K3928" s="49"/>
      <c r="L3928" s="49"/>
      <c r="M3928" s="49"/>
    </row>
    <row r="3929" spans="5:13">
      <c r="E3929" s="49"/>
      <c r="F3929" s="49"/>
      <c r="G3929" s="49"/>
      <c r="H3929" s="49"/>
      <c r="I3929" s="49"/>
      <c r="J3929" s="49"/>
      <c r="K3929" s="49"/>
      <c r="L3929" s="49"/>
      <c r="M3929" s="49"/>
    </row>
    <row r="3930" spans="5:13">
      <c r="E3930" s="49"/>
      <c r="F3930" s="49"/>
      <c r="G3930" s="49"/>
      <c r="H3930" s="49"/>
      <c r="I3930" s="49"/>
      <c r="J3930" s="49"/>
      <c r="K3930" s="49"/>
      <c r="L3930" s="49"/>
      <c r="M3930" s="49"/>
    </row>
    <row r="3931" spans="5:13">
      <c r="E3931" s="49"/>
      <c r="F3931" s="49"/>
      <c r="G3931" s="49"/>
      <c r="H3931" s="49"/>
      <c r="I3931" s="49"/>
      <c r="J3931" s="49"/>
      <c r="K3931" s="49"/>
      <c r="L3931" s="49"/>
      <c r="M3931" s="49"/>
    </row>
    <row r="3932" spans="5:13">
      <c r="E3932" s="49"/>
      <c r="F3932" s="49"/>
      <c r="G3932" s="49"/>
      <c r="H3932" s="49"/>
      <c r="I3932" s="49"/>
      <c r="J3932" s="49"/>
      <c r="K3932" s="49"/>
      <c r="L3932" s="49"/>
      <c r="M3932" s="49"/>
    </row>
    <row r="3933" spans="5:13">
      <c r="E3933" s="49"/>
      <c r="F3933" s="49"/>
      <c r="G3933" s="49"/>
      <c r="H3933" s="49"/>
      <c r="I3933" s="49"/>
      <c r="J3933" s="49"/>
      <c r="K3933" s="49"/>
      <c r="L3933" s="49"/>
      <c r="M3933" s="49"/>
    </row>
    <row r="3934" spans="5:13">
      <c r="E3934" s="49"/>
      <c r="F3934" s="49"/>
      <c r="G3934" s="49"/>
      <c r="H3934" s="49"/>
      <c r="I3934" s="49"/>
      <c r="J3934" s="49"/>
      <c r="K3934" s="49"/>
      <c r="L3934" s="49"/>
      <c r="M3934" s="49"/>
    </row>
    <row r="3935" spans="5:13">
      <c r="E3935" s="49"/>
      <c r="F3935" s="49"/>
      <c r="G3935" s="49"/>
      <c r="H3935" s="49"/>
      <c r="I3935" s="49"/>
      <c r="J3935" s="49"/>
      <c r="K3935" s="49"/>
      <c r="L3935" s="49"/>
      <c r="M3935" s="49"/>
    </row>
    <row r="3936" spans="5:13">
      <c r="E3936" s="49"/>
      <c r="F3936" s="49"/>
      <c r="G3936" s="49"/>
      <c r="H3936" s="49"/>
      <c r="I3936" s="49"/>
      <c r="J3936" s="49"/>
      <c r="K3936" s="49"/>
      <c r="L3936" s="49"/>
      <c r="M3936" s="49"/>
    </row>
    <row r="3937" spans="5:13">
      <c r="E3937" s="49"/>
      <c r="F3937" s="49"/>
      <c r="G3937" s="49"/>
      <c r="H3937" s="49"/>
      <c r="I3937" s="49"/>
      <c r="J3937" s="49"/>
      <c r="K3937" s="49"/>
      <c r="L3937" s="49"/>
      <c r="M3937" s="49"/>
    </row>
    <row r="3938" spans="5:13">
      <c r="E3938" s="49"/>
      <c r="F3938" s="49"/>
      <c r="G3938" s="49"/>
      <c r="H3938" s="49"/>
      <c r="I3938" s="49"/>
      <c r="J3938" s="49"/>
      <c r="K3938" s="49"/>
      <c r="L3938" s="49"/>
      <c r="M3938" s="49"/>
    </row>
    <row r="3939" spans="5:13">
      <c r="E3939" s="49"/>
      <c r="F3939" s="49"/>
      <c r="G3939" s="49"/>
      <c r="H3939" s="49"/>
      <c r="I3939" s="49"/>
      <c r="J3939" s="49"/>
      <c r="K3939" s="49"/>
      <c r="L3939" s="49"/>
      <c r="M3939" s="49"/>
    </row>
    <row r="3940" spans="5:13">
      <c r="E3940" s="49"/>
      <c r="F3940" s="49"/>
      <c r="G3940" s="49"/>
      <c r="H3940" s="49"/>
      <c r="I3940" s="49"/>
      <c r="J3940" s="49"/>
      <c r="K3940" s="49"/>
      <c r="L3940" s="49"/>
      <c r="M3940" s="49"/>
    </row>
    <row r="3941" spans="5:13">
      <c r="E3941" s="49"/>
      <c r="F3941" s="49"/>
      <c r="G3941" s="49"/>
      <c r="H3941" s="49"/>
      <c r="I3941" s="49"/>
      <c r="J3941" s="49"/>
      <c r="K3941" s="49"/>
      <c r="L3941" s="49"/>
      <c r="M3941" s="49"/>
    </row>
    <row r="3942" spans="5:13">
      <c r="E3942" s="49"/>
      <c r="F3942" s="49"/>
      <c r="G3942" s="49"/>
      <c r="H3942" s="49"/>
      <c r="I3942" s="49"/>
      <c r="J3942" s="49"/>
      <c r="K3942" s="49"/>
      <c r="L3942" s="49"/>
      <c r="M3942" s="49"/>
    </row>
    <row r="3943" spans="5:13">
      <c r="E3943" s="49"/>
      <c r="F3943" s="49"/>
      <c r="G3943" s="49"/>
      <c r="H3943" s="49"/>
      <c r="I3943" s="49"/>
      <c r="J3943" s="49"/>
      <c r="K3943" s="49"/>
      <c r="L3943" s="49"/>
      <c r="M3943" s="49"/>
    </row>
    <row r="3944" spans="5:13">
      <c r="E3944" s="49"/>
      <c r="F3944" s="49"/>
      <c r="G3944" s="49"/>
      <c r="H3944" s="49"/>
      <c r="I3944" s="49"/>
      <c r="J3944" s="49"/>
      <c r="K3944" s="49"/>
      <c r="L3944" s="49"/>
      <c r="M3944" s="49"/>
    </row>
    <row r="3945" spans="5:13">
      <c r="E3945" s="49"/>
      <c r="F3945" s="49"/>
      <c r="G3945" s="49"/>
      <c r="H3945" s="49"/>
      <c r="I3945" s="49"/>
      <c r="J3945" s="49"/>
      <c r="K3945" s="49"/>
      <c r="L3945" s="49"/>
      <c r="M3945" s="49"/>
    </row>
    <row r="3946" spans="5:13">
      <c r="E3946" s="49"/>
      <c r="F3946" s="49"/>
      <c r="G3946" s="49"/>
      <c r="H3946" s="49"/>
      <c r="I3946" s="49"/>
      <c r="J3946" s="49"/>
      <c r="K3946" s="49"/>
      <c r="L3946" s="49"/>
      <c r="M3946" s="49"/>
    </row>
    <row r="3947" spans="5:13">
      <c r="E3947" s="49"/>
      <c r="F3947" s="49"/>
      <c r="G3947" s="49"/>
      <c r="H3947" s="49"/>
      <c r="I3947" s="49"/>
      <c r="J3947" s="49"/>
      <c r="K3947" s="49"/>
      <c r="L3947" s="49"/>
      <c r="M3947" s="49"/>
    </row>
    <row r="3948" spans="5:13">
      <c r="E3948" s="49"/>
      <c r="F3948" s="49"/>
      <c r="G3948" s="49"/>
      <c r="H3948" s="49"/>
      <c r="I3948" s="49"/>
      <c r="J3948" s="49"/>
      <c r="K3948" s="49"/>
      <c r="L3948" s="49"/>
      <c r="M3948" s="49"/>
    </row>
    <row r="3949" spans="5:13">
      <c r="E3949" s="49"/>
      <c r="F3949" s="49"/>
      <c r="G3949" s="49"/>
      <c r="H3949" s="49"/>
      <c r="I3949" s="49"/>
      <c r="J3949" s="49"/>
      <c r="K3949" s="49"/>
      <c r="L3949" s="49"/>
      <c r="M3949" s="49"/>
    </row>
    <row r="3950" spans="5:13">
      <c r="E3950" s="49"/>
      <c r="F3950" s="49"/>
      <c r="G3950" s="49"/>
      <c r="H3950" s="49"/>
      <c r="I3950" s="49"/>
      <c r="J3950" s="49"/>
      <c r="K3950" s="49"/>
      <c r="L3950" s="49"/>
      <c r="M3950" s="49"/>
    </row>
    <row r="3951" spans="5:13">
      <c r="E3951" s="49"/>
      <c r="F3951" s="49"/>
      <c r="G3951" s="49"/>
      <c r="H3951" s="49"/>
      <c r="I3951" s="49"/>
      <c r="J3951" s="49"/>
      <c r="K3951" s="49"/>
      <c r="L3951" s="49"/>
      <c r="M3951" s="49"/>
    </row>
    <row r="3952" spans="5:13">
      <c r="E3952" s="49"/>
      <c r="F3952" s="49"/>
      <c r="G3952" s="49"/>
      <c r="H3952" s="49"/>
      <c r="I3952" s="49"/>
      <c r="J3952" s="49"/>
      <c r="K3952" s="49"/>
      <c r="L3952" s="49"/>
      <c r="M3952" s="49"/>
    </row>
    <row r="3953" spans="5:13">
      <c r="E3953" s="49"/>
      <c r="F3953" s="49"/>
      <c r="G3953" s="49"/>
      <c r="H3953" s="49"/>
      <c r="I3953" s="49"/>
      <c r="J3953" s="49"/>
      <c r="K3953" s="49"/>
      <c r="L3953" s="49"/>
      <c r="M3953" s="49"/>
    </row>
    <row r="3954" spans="5:13">
      <c r="E3954" s="49"/>
      <c r="F3954" s="49"/>
      <c r="G3954" s="49"/>
      <c r="H3954" s="49"/>
      <c r="I3954" s="49"/>
      <c r="J3954" s="49"/>
      <c r="K3954" s="49"/>
      <c r="L3954" s="49"/>
      <c r="M3954" s="49"/>
    </row>
    <row r="3955" spans="5:13">
      <c r="E3955" s="49"/>
      <c r="F3955" s="49"/>
      <c r="G3955" s="49"/>
      <c r="H3955" s="49"/>
      <c r="I3955" s="49"/>
      <c r="J3955" s="49"/>
      <c r="K3955" s="49"/>
      <c r="L3955" s="49"/>
      <c r="M3955" s="49"/>
    </row>
    <row r="3956" spans="5:13">
      <c r="E3956" s="49"/>
      <c r="F3956" s="49"/>
      <c r="G3956" s="49"/>
      <c r="H3956" s="49"/>
      <c r="I3956" s="49"/>
      <c r="J3956" s="49"/>
      <c r="K3956" s="49"/>
      <c r="L3956" s="49"/>
      <c r="M3956" s="49"/>
    </row>
    <row r="3957" spans="5:13">
      <c r="E3957" s="49"/>
      <c r="F3957" s="49"/>
      <c r="G3957" s="49"/>
      <c r="H3957" s="49"/>
      <c r="I3957" s="49"/>
      <c r="J3957" s="49"/>
      <c r="K3957" s="49"/>
      <c r="L3957" s="49"/>
      <c r="M3957" s="49"/>
    </row>
    <row r="3958" spans="5:13">
      <c r="E3958" s="49"/>
      <c r="F3958" s="49"/>
      <c r="G3958" s="49"/>
      <c r="H3958" s="49"/>
      <c r="I3958" s="49"/>
      <c r="J3958" s="49"/>
      <c r="K3958" s="49"/>
      <c r="L3958" s="49"/>
      <c r="M3958" s="49"/>
    </row>
    <row r="3959" spans="5:13">
      <c r="E3959" s="49"/>
      <c r="F3959" s="49"/>
      <c r="G3959" s="49"/>
      <c r="H3959" s="49"/>
      <c r="I3959" s="49"/>
      <c r="J3959" s="49"/>
      <c r="K3959" s="49"/>
      <c r="L3959" s="49"/>
      <c r="M3959" s="49"/>
    </row>
    <row r="3960" spans="5:13">
      <c r="E3960" s="49"/>
      <c r="F3960" s="49"/>
      <c r="G3960" s="49"/>
      <c r="H3960" s="49"/>
      <c r="I3960" s="49"/>
      <c r="J3960" s="49"/>
      <c r="K3960" s="49"/>
      <c r="L3960" s="49"/>
      <c r="M3960" s="49"/>
    </row>
    <row r="3961" spans="5:13">
      <c r="E3961" s="49"/>
      <c r="F3961" s="49"/>
      <c r="G3961" s="49"/>
      <c r="H3961" s="49"/>
      <c r="I3961" s="49"/>
      <c r="J3961" s="49"/>
      <c r="K3961" s="49"/>
      <c r="L3961" s="49"/>
      <c r="M3961" s="49"/>
    </row>
    <row r="3962" spans="5:13">
      <c r="E3962" s="49"/>
      <c r="F3962" s="49"/>
      <c r="G3962" s="49"/>
      <c r="H3962" s="49"/>
      <c r="I3962" s="49"/>
      <c r="J3962" s="49"/>
      <c r="K3962" s="49"/>
      <c r="L3962" s="49"/>
      <c r="M3962" s="49"/>
    </row>
    <row r="3963" spans="5:13">
      <c r="E3963" s="49"/>
      <c r="F3963" s="49"/>
      <c r="G3963" s="49"/>
      <c r="H3963" s="49"/>
      <c r="I3963" s="49"/>
      <c r="J3963" s="49"/>
      <c r="K3963" s="49"/>
      <c r="L3963" s="49"/>
      <c r="M3963" s="49"/>
    </row>
    <row r="3964" spans="5:13">
      <c r="E3964" s="49"/>
      <c r="F3964" s="49"/>
      <c r="G3964" s="49"/>
      <c r="H3964" s="49"/>
      <c r="I3964" s="49"/>
      <c r="J3964" s="49"/>
      <c r="K3964" s="49"/>
      <c r="L3964" s="49"/>
      <c r="M3964" s="49"/>
    </row>
    <row r="3965" spans="5:13">
      <c r="E3965" s="49"/>
      <c r="F3965" s="49"/>
      <c r="G3965" s="49"/>
      <c r="H3965" s="49"/>
      <c r="I3965" s="49"/>
      <c r="J3965" s="49"/>
      <c r="K3965" s="49"/>
      <c r="L3965" s="49"/>
      <c r="M3965" s="49"/>
    </row>
    <row r="3966" spans="5:13">
      <c r="E3966" s="49"/>
      <c r="F3966" s="49"/>
      <c r="G3966" s="49"/>
      <c r="H3966" s="49"/>
      <c r="I3966" s="49"/>
      <c r="J3966" s="49"/>
      <c r="K3966" s="49"/>
      <c r="L3966" s="49"/>
      <c r="M3966" s="49"/>
    </row>
    <row r="3967" spans="5:13">
      <c r="E3967" s="49"/>
      <c r="F3967" s="49"/>
      <c r="G3967" s="49"/>
      <c r="H3967" s="49"/>
      <c r="I3967" s="49"/>
      <c r="J3967" s="49"/>
      <c r="K3967" s="49"/>
      <c r="L3967" s="49"/>
      <c r="M3967" s="49"/>
    </row>
    <row r="3968" spans="5:13">
      <c r="E3968" s="49"/>
      <c r="F3968" s="49"/>
      <c r="G3968" s="49"/>
      <c r="H3968" s="49"/>
      <c r="I3968" s="49"/>
      <c r="J3968" s="49"/>
      <c r="K3968" s="49"/>
      <c r="L3968" s="49"/>
      <c r="M3968" s="49"/>
    </row>
    <row r="3969" spans="5:13">
      <c r="E3969" s="49"/>
      <c r="F3969" s="49"/>
      <c r="G3969" s="49"/>
      <c r="H3969" s="49"/>
      <c r="I3969" s="49"/>
      <c r="J3969" s="49"/>
      <c r="K3969" s="49"/>
      <c r="L3969" s="49"/>
      <c r="M3969" s="49"/>
    </row>
    <row r="3970" spans="5:13">
      <c r="E3970" s="49"/>
      <c r="F3970" s="49"/>
      <c r="G3970" s="49"/>
      <c r="H3970" s="49"/>
      <c r="I3970" s="49"/>
      <c r="J3970" s="49"/>
      <c r="K3970" s="49"/>
      <c r="L3970" s="49"/>
      <c r="M3970" s="49"/>
    </row>
    <row r="3971" spans="5:13">
      <c r="E3971" s="49"/>
      <c r="F3971" s="49"/>
      <c r="G3971" s="49"/>
      <c r="H3971" s="49"/>
      <c r="I3971" s="49"/>
      <c r="J3971" s="49"/>
      <c r="K3971" s="49"/>
      <c r="L3971" s="49"/>
      <c r="M3971" s="49"/>
    </row>
    <row r="3972" spans="5:13">
      <c r="E3972" s="49"/>
      <c r="F3972" s="49"/>
      <c r="G3972" s="49"/>
      <c r="H3972" s="49"/>
      <c r="I3972" s="49"/>
      <c r="J3972" s="49"/>
      <c r="K3972" s="49"/>
      <c r="L3972" s="49"/>
      <c r="M3972" s="49"/>
    </row>
    <row r="3973" spans="5:13">
      <c r="E3973" s="49"/>
      <c r="F3973" s="49"/>
      <c r="G3973" s="49"/>
      <c r="H3973" s="49"/>
      <c r="I3973" s="49"/>
      <c r="J3973" s="49"/>
      <c r="K3973" s="49"/>
      <c r="L3973" s="49"/>
      <c r="M3973" s="49"/>
    </row>
    <row r="3974" spans="5:13">
      <c r="E3974" s="49"/>
      <c r="F3974" s="49"/>
      <c r="G3974" s="49"/>
      <c r="H3974" s="49"/>
      <c r="I3974" s="49"/>
      <c r="J3974" s="49"/>
      <c r="K3974" s="49"/>
      <c r="L3974" s="49"/>
      <c r="M3974" s="49"/>
    </row>
    <row r="3975" spans="5:13">
      <c r="E3975" s="49"/>
      <c r="F3975" s="49"/>
      <c r="G3975" s="49"/>
      <c r="H3975" s="49"/>
      <c r="I3975" s="49"/>
      <c r="J3975" s="49"/>
      <c r="K3975" s="49"/>
      <c r="L3975" s="49"/>
      <c r="M3975" s="49"/>
    </row>
    <row r="3976" spans="5:13">
      <c r="E3976" s="49"/>
      <c r="F3976" s="49"/>
      <c r="G3976" s="49"/>
      <c r="H3976" s="49"/>
      <c r="I3976" s="49"/>
      <c r="J3976" s="49"/>
      <c r="K3976" s="49"/>
      <c r="L3976" s="49"/>
      <c r="M3976" s="49"/>
    </row>
    <row r="3977" spans="5:13">
      <c r="E3977" s="49"/>
      <c r="F3977" s="49"/>
      <c r="G3977" s="49"/>
      <c r="H3977" s="49"/>
      <c r="I3977" s="49"/>
      <c r="J3977" s="49"/>
      <c r="K3977" s="49"/>
      <c r="L3977" s="49"/>
      <c r="M3977" s="49"/>
    </row>
    <row r="3978" spans="5:13">
      <c r="E3978" s="49"/>
      <c r="F3978" s="49"/>
      <c r="G3978" s="49"/>
      <c r="H3978" s="49"/>
      <c r="I3978" s="49"/>
      <c r="J3978" s="49"/>
      <c r="K3978" s="49"/>
      <c r="L3978" s="49"/>
      <c r="M3978" s="49"/>
    </row>
    <row r="3979" spans="5:13">
      <c r="E3979" s="49"/>
      <c r="F3979" s="49"/>
      <c r="G3979" s="49"/>
      <c r="H3979" s="49"/>
      <c r="I3979" s="49"/>
      <c r="J3979" s="49"/>
      <c r="K3979" s="49"/>
      <c r="L3979" s="49"/>
      <c r="M3979" s="49"/>
    </row>
    <row r="3980" spans="5:13">
      <c r="E3980" s="49"/>
      <c r="F3980" s="49"/>
      <c r="G3980" s="49"/>
      <c r="H3980" s="49"/>
      <c r="I3980" s="49"/>
      <c r="J3980" s="49"/>
      <c r="K3980" s="49"/>
      <c r="L3980" s="49"/>
      <c r="M3980" s="49"/>
    </row>
    <row r="3981" spans="5:13">
      <c r="E3981" s="49"/>
      <c r="F3981" s="49"/>
      <c r="G3981" s="49"/>
      <c r="H3981" s="49"/>
      <c r="I3981" s="49"/>
      <c r="J3981" s="49"/>
      <c r="K3981" s="49"/>
      <c r="L3981" s="49"/>
      <c r="M3981" s="49"/>
    </row>
    <row r="3982" spans="5:13">
      <c r="E3982" s="49"/>
      <c r="F3982" s="49"/>
      <c r="G3982" s="49"/>
      <c r="H3982" s="49"/>
      <c r="I3982" s="49"/>
      <c r="J3982" s="49"/>
      <c r="K3982" s="49"/>
      <c r="L3982" s="49"/>
      <c r="M3982" s="49"/>
    </row>
    <row r="3983" spans="5:13">
      <c r="E3983" s="49"/>
      <c r="F3983" s="49"/>
      <c r="G3983" s="49"/>
      <c r="H3983" s="49"/>
      <c r="I3983" s="49"/>
      <c r="J3983" s="49"/>
      <c r="K3983" s="49"/>
      <c r="L3983" s="49"/>
      <c r="M3983" s="49"/>
    </row>
    <row r="3984" spans="5:13">
      <c r="E3984" s="49"/>
      <c r="F3984" s="49"/>
      <c r="G3984" s="49"/>
      <c r="H3984" s="49"/>
      <c r="I3984" s="49"/>
      <c r="J3984" s="49"/>
      <c r="K3984" s="49"/>
      <c r="L3984" s="49"/>
      <c r="M3984" s="49"/>
    </row>
    <row r="3985" spans="5:13">
      <c r="E3985" s="49"/>
      <c r="F3985" s="49"/>
      <c r="G3985" s="49"/>
      <c r="H3985" s="49"/>
      <c r="I3985" s="49"/>
      <c r="J3985" s="49"/>
      <c r="K3985" s="49"/>
      <c r="L3985" s="49"/>
      <c r="M3985" s="49"/>
    </row>
    <row r="3986" spans="5:13">
      <c r="E3986" s="49"/>
      <c r="F3986" s="49"/>
      <c r="G3986" s="49"/>
      <c r="H3986" s="49"/>
      <c r="I3986" s="49"/>
      <c r="J3986" s="49"/>
      <c r="K3986" s="49"/>
      <c r="L3986" s="49"/>
      <c r="M3986" s="49"/>
    </row>
    <row r="3987" spans="5:13">
      <c r="E3987" s="49"/>
      <c r="F3987" s="49"/>
      <c r="G3987" s="49"/>
      <c r="H3987" s="49"/>
      <c r="I3987" s="49"/>
      <c r="J3987" s="49"/>
      <c r="K3987" s="49"/>
      <c r="L3987" s="49"/>
      <c r="M3987" s="49"/>
    </row>
    <row r="3988" spans="5:13">
      <c r="E3988" s="49"/>
      <c r="F3988" s="49"/>
      <c r="G3988" s="49"/>
      <c r="H3988" s="49"/>
      <c r="I3988" s="49"/>
      <c r="J3988" s="49"/>
      <c r="K3988" s="49"/>
      <c r="L3988" s="49"/>
      <c r="M3988" s="49"/>
    </row>
    <row r="3989" spans="5:13">
      <c r="E3989" s="49"/>
      <c r="F3989" s="49"/>
      <c r="G3989" s="49"/>
      <c r="H3989" s="49"/>
      <c r="I3989" s="49"/>
      <c r="J3989" s="49"/>
      <c r="K3989" s="49"/>
      <c r="L3989" s="49"/>
      <c r="M3989" s="49"/>
    </row>
    <row r="3990" spans="5:13">
      <c r="E3990" s="49"/>
      <c r="F3990" s="49"/>
      <c r="G3990" s="49"/>
      <c r="H3990" s="49"/>
      <c r="I3990" s="49"/>
      <c r="J3990" s="49"/>
      <c r="K3990" s="49"/>
      <c r="L3990" s="49"/>
      <c r="M3990" s="49"/>
    </row>
    <row r="3991" spans="5:13">
      <c r="E3991" s="49"/>
      <c r="F3991" s="49"/>
      <c r="G3991" s="49"/>
      <c r="H3991" s="49"/>
      <c r="I3991" s="49"/>
      <c r="J3991" s="49"/>
      <c r="K3991" s="49"/>
      <c r="L3991" s="49"/>
      <c r="M3991" s="49"/>
    </row>
    <row r="3992" spans="5:13">
      <c r="E3992" s="49"/>
      <c r="F3992" s="49"/>
      <c r="G3992" s="49"/>
      <c r="H3992" s="49"/>
      <c r="I3992" s="49"/>
      <c r="J3992" s="49"/>
      <c r="K3992" s="49"/>
      <c r="L3992" s="49"/>
      <c r="M3992" s="49"/>
    </row>
    <row r="3993" spans="5:13">
      <c r="E3993" s="49"/>
      <c r="F3993" s="49"/>
      <c r="G3993" s="49"/>
      <c r="H3993" s="49"/>
      <c r="I3993" s="49"/>
      <c r="J3993" s="49"/>
      <c r="K3993" s="49"/>
      <c r="L3993" s="49"/>
      <c r="M3993" s="49"/>
    </row>
    <row r="3994" spans="5:13">
      <c r="E3994" s="49"/>
      <c r="F3994" s="49"/>
      <c r="G3994" s="49"/>
      <c r="H3994" s="49"/>
      <c r="I3994" s="49"/>
      <c r="J3994" s="49"/>
      <c r="K3994" s="49"/>
      <c r="L3994" s="49"/>
      <c r="M3994" s="49"/>
    </row>
    <row r="3995" spans="5:13">
      <c r="E3995" s="49"/>
      <c r="F3995" s="49"/>
      <c r="G3995" s="49"/>
      <c r="H3995" s="49"/>
      <c r="I3995" s="49"/>
      <c r="J3995" s="49"/>
      <c r="K3995" s="49"/>
      <c r="L3995" s="49"/>
      <c r="M3995" s="49"/>
    </row>
    <row r="3996" spans="5:13">
      <c r="E3996" s="49"/>
      <c r="F3996" s="49"/>
      <c r="G3996" s="49"/>
      <c r="H3996" s="49"/>
      <c r="I3996" s="49"/>
      <c r="J3996" s="49"/>
      <c r="K3996" s="49"/>
      <c r="L3996" s="49"/>
      <c r="M3996" s="49"/>
    </row>
    <row r="3997" spans="5:13">
      <c r="E3997" s="49"/>
      <c r="F3997" s="49"/>
      <c r="G3997" s="49"/>
      <c r="H3997" s="49"/>
      <c r="I3997" s="49"/>
      <c r="J3997" s="49"/>
      <c r="K3997" s="49"/>
      <c r="L3997" s="49"/>
      <c r="M3997" s="49"/>
    </row>
    <row r="3998" spans="5:13">
      <c r="E3998" s="49"/>
      <c r="F3998" s="49"/>
      <c r="G3998" s="49"/>
      <c r="H3998" s="49"/>
      <c r="I3998" s="49"/>
      <c r="J3998" s="49"/>
      <c r="K3998" s="49"/>
      <c r="L3998" s="49"/>
      <c r="M3998" s="49"/>
    </row>
    <row r="3999" spans="5:13">
      <c r="E3999" s="49"/>
      <c r="F3999" s="49"/>
      <c r="G3999" s="49"/>
      <c r="H3999" s="49"/>
      <c r="I3999" s="49"/>
      <c r="J3999" s="49"/>
      <c r="K3999" s="49"/>
      <c r="L3999" s="49"/>
      <c r="M3999" s="49"/>
    </row>
    <row r="4000" spans="5:13">
      <c r="E4000" s="49"/>
      <c r="F4000" s="49"/>
      <c r="G4000" s="49"/>
      <c r="H4000" s="49"/>
      <c r="I4000" s="49"/>
      <c r="J4000" s="49"/>
      <c r="K4000" s="49"/>
      <c r="L4000" s="49"/>
      <c r="M4000" s="49"/>
    </row>
    <row r="4001" spans="5:13">
      <c r="E4001" s="49"/>
      <c r="F4001" s="49"/>
      <c r="G4001" s="49"/>
      <c r="H4001" s="49"/>
      <c r="I4001" s="49"/>
      <c r="J4001" s="49"/>
      <c r="K4001" s="49"/>
      <c r="L4001" s="49"/>
      <c r="M4001" s="49"/>
    </row>
    <row r="4002" spans="5:13">
      <c r="E4002" s="49"/>
      <c r="F4002" s="49"/>
      <c r="G4002" s="49"/>
      <c r="H4002" s="49"/>
      <c r="I4002" s="49"/>
      <c r="J4002" s="49"/>
      <c r="K4002" s="49"/>
      <c r="L4002" s="49"/>
      <c r="M4002" s="49"/>
    </row>
    <row r="4003" spans="5:13">
      <c r="E4003" s="49"/>
      <c r="F4003" s="49"/>
      <c r="G4003" s="49"/>
      <c r="H4003" s="49"/>
      <c r="I4003" s="49"/>
      <c r="J4003" s="49"/>
      <c r="K4003" s="49"/>
      <c r="L4003" s="49"/>
      <c r="M4003" s="49"/>
    </row>
    <row r="4004" spans="5:13">
      <c r="E4004" s="49"/>
      <c r="F4004" s="49"/>
      <c r="G4004" s="49"/>
      <c r="H4004" s="49"/>
      <c r="I4004" s="49"/>
      <c r="J4004" s="49"/>
      <c r="K4004" s="49"/>
      <c r="L4004" s="49"/>
      <c r="M4004" s="49"/>
    </row>
    <row r="4005" spans="5:13">
      <c r="E4005" s="49"/>
      <c r="F4005" s="49"/>
      <c r="G4005" s="49"/>
      <c r="H4005" s="49"/>
      <c r="I4005" s="49"/>
      <c r="J4005" s="49"/>
      <c r="K4005" s="49"/>
      <c r="L4005" s="49"/>
      <c r="M4005" s="49"/>
    </row>
    <row r="4006" spans="5:13">
      <c r="E4006" s="49"/>
      <c r="F4006" s="49"/>
      <c r="G4006" s="49"/>
      <c r="H4006" s="49"/>
      <c r="I4006" s="49"/>
      <c r="J4006" s="49"/>
      <c r="K4006" s="49"/>
      <c r="L4006" s="49"/>
      <c r="M4006" s="49"/>
    </row>
    <row r="4007" spans="5:13">
      <c r="E4007" s="49"/>
      <c r="F4007" s="49"/>
      <c r="G4007" s="49"/>
      <c r="H4007" s="49"/>
      <c r="I4007" s="49"/>
      <c r="J4007" s="49"/>
      <c r="K4007" s="49"/>
      <c r="L4007" s="49"/>
      <c r="M4007" s="49"/>
    </row>
    <row r="4008" spans="5:13">
      <c r="E4008" s="49"/>
      <c r="F4008" s="49"/>
      <c r="G4008" s="49"/>
      <c r="H4008" s="49"/>
      <c r="I4008" s="49"/>
      <c r="J4008" s="49"/>
      <c r="K4008" s="49"/>
      <c r="L4008" s="49"/>
      <c r="M4008" s="49"/>
    </row>
    <row r="4009" spans="5:13">
      <c r="E4009" s="49"/>
      <c r="F4009" s="49"/>
      <c r="G4009" s="49"/>
      <c r="H4009" s="49"/>
      <c r="I4009" s="49"/>
      <c r="J4009" s="49"/>
      <c r="K4009" s="49"/>
      <c r="L4009" s="49"/>
      <c r="M4009" s="49"/>
    </row>
    <row r="4010" spans="5:13">
      <c r="E4010" s="49"/>
      <c r="F4010" s="49"/>
      <c r="G4010" s="49"/>
      <c r="H4010" s="49"/>
      <c r="I4010" s="49"/>
      <c r="J4010" s="49"/>
      <c r="K4010" s="49"/>
      <c r="L4010" s="49"/>
      <c r="M4010" s="49"/>
    </row>
    <row r="4011" spans="5:13">
      <c r="E4011" s="49"/>
      <c r="F4011" s="49"/>
      <c r="G4011" s="49"/>
      <c r="H4011" s="49"/>
      <c r="I4011" s="49"/>
      <c r="J4011" s="49"/>
      <c r="K4011" s="49"/>
      <c r="L4011" s="49"/>
      <c r="M4011" s="49"/>
    </row>
    <row r="4012" spans="5:13">
      <c r="E4012" s="49"/>
      <c r="F4012" s="49"/>
      <c r="G4012" s="49"/>
      <c r="H4012" s="49"/>
      <c r="I4012" s="49"/>
      <c r="J4012" s="49"/>
      <c r="K4012" s="49"/>
      <c r="L4012" s="49"/>
      <c r="M4012" s="49"/>
    </row>
    <row r="4013" spans="5:13">
      <c r="E4013" s="49"/>
      <c r="F4013" s="49"/>
      <c r="G4013" s="49"/>
      <c r="H4013" s="49"/>
      <c r="I4013" s="49"/>
      <c r="J4013" s="49"/>
      <c r="K4013" s="49"/>
      <c r="L4013" s="49"/>
      <c r="M4013" s="49"/>
    </row>
    <row r="4014" spans="5:13">
      <c r="E4014" s="49"/>
      <c r="F4014" s="49"/>
      <c r="G4014" s="49"/>
      <c r="H4014" s="49"/>
      <c r="I4014" s="49"/>
      <c r="J4014" s="49"/>
      <c r="K4014" s="49"/>
      <c r="L4014" s="49"/>
      <c r="M4014" s="49"/>
    </row>
    <row r="4015" spans="5:13">
      <c r="E4015" s="49"/>
      <c r="F4015" s="49"/>
      <c r="G4015" s="49"/>
      <c r="H4015" s="49"/>
      <c r="I4015" s="49"/>
      <c r="J4015" s="49"/>
      <c r="K4015" s="49"/>
      <c r="L4015" s="49"/>
      <c r="M4015" s="49"/>
    </row>
    <row r="4016" spans="5:13">
      <c r="E4016" s="49"/>
      <c r="F4016" s="49"/>
      <c r="G4016" s="49"/>
      <c r="H4016" s="49"/>
      <c r="I4016" s="49"/>
      <c r="J4016" s="49"/>
      <c r="K4016" s="49"/>
      <c r="L4016" s="49"/>
      <c r="M4016" s="49"/>
    </row>
    <row r="4017" spans="5:13">
      <c r="E4017" s="49"/>
      <c r="F4017" s="49"/>
      <c r="G4017" s="49"/>
      <c r="H4017" s="49"/>
      <c r="I4017" s="49"/>
      <c r="J4017" s="49"/>
      <c r="K4017" s="49"/>
      <c r="L4017" s="49"/>
      <c r="M4017" s="49"/>
    </row>
    <row r="4018" spans="5:13">
      <c r="E4018" s="49"/>
      <c r="F4018" s="49"/>
      <c r="G4018" s="49"/>
      <c r="H4018" s="49"/>
      <c r="I4018" s="49"/>
      <c r="J4018" s="49"/>
      <c r="K4018" s="49"/>
      <c r="L4018" s="49"/>
      <c r="M4018" s="49"/>
    </row>
    <row r="4019" spans="5:13">
      <c r="E4019" s="49"/>
      <c r="F4019" s="49"/>
      <c r="G4019" s="49"/>
      <c r="H4019" s="49"/>
      <c r="I4019" s="49"/>
      <c r="J4019" s="49"/>
      <c r="K4019" s="49"/>
      <c r="L4019" s="49"/>
      <c r="M4019" s="49"/>
    </row>
    <row r="4020" spans="5:13">
      <c r="E4020" s="49"/>
      <c r="F4020" s="49"/>
      <c r="G4020" s="49"/>
      <c r="H4020" s="49"/>
      <c r="I4020" s="49"/>
      <c r="J4020" s="49"/>
      <c r="K4020" s="49"/>
      <c r="L4020" s="49"/>
      <c r="M4020" s="49"/>
    </row>
    <row r="4021" spans="5:13">
      <c r="E4021" s="49"/>
      <c r="F4021" s="49"/>
      <c r="G4021" s="49"/>
      <c r="H4021" s="49"/>
      <c r="I4021" s="49"/>
      <c r="J4021" s="49"/>
      <c r="K4021" s="49"/>
      <c r="L4021" s="49"/>
      <c r="M4021" s="49"/>
    </row>
    <row r="4022" spans="5:13">
      <c r="E4022" s="49"/>
      <c r="F4022" s="49"/>
      <c r="G4022" s="49"/>
      <c r="H4022" s="49"/>
      <c r="I4022" s="49"/>
      <c r="J4022" s="49"/>
      <c r="K4022" s="49"/>
      <c r="L4022" s="49"/>
      <c r="M4022" s="49"/>
    </row>
    <row r="4023" spans="5:13">
      <c r="E4023" s="49"/>
      <c r="F4023" s="49"/>
      <c r="G4023" s="49"/>
      <c r="H4023" s="49"/>
      <c r="I4023" s="49"/>
      <c r="J4023" s="49"/>
      <c r="K4023" s="49"/>
      <c r="L4023" s="49"/>
      <c r="M4023" s="49"/>
    </row>
    <row r="4024" spans="5:13">
      <c r="E4024" s="49"/>
      <c r="F4024" s="49"/>
      <c r="G4024" s="49"/>
      <c r="H4024" s="49"/>
      <c r="I4024" s="49"/>
      <c r="J4024" s="49"/>
      <c r="K4024" s="49"/>
      <c r="L4024" s="49"/>
      <c r="M4024" s="49"/>
    </row>
    <row r="4025" spans="5:13">
      <c r="E4025" s="49"/>
      <c r="F4025" s="49"/>
      <c r="G4025" s="49"/>
      <c r="H4025" s="49"/>
      <c r="I4025" s="49"/>
      <c r="J4025" s="49"/>
      <c r="K4025" s="49"/>
      <c r="L4025" s="49"/>
      <c r="M4025" s="49"/>
    </row>
    <row r="4026" spans="5:13">
      <c r="E4026" s="49"/>
      <c r="F4026" s="49"/>
      <c r="G4026" s="49"/>
      <c r="H4026" s="49"/>
      <c r="I4026" s="49"/>
      <c r="J4026" s="49"/>
      <c r="K4026" s="49"/>
      <c r="L4026" s="49"/>
      <c r="M4026" s="49"/>
    </row>
    <row r="4027" spans="5:13">
      <c r="E4027" s="49"/>
      <c r="F4027" s="49"/>
      <c r="G4027" s="49"/>
      <c r="H4027" s="49"/>
      <c r="I4027" s="49"/>
      <c r="J4027" s="49"/>
      <c r="K4027" s="49"/>
      <c r="L4027" s="49"/>
      <c r="M4027" s="49"/>
    </row>
    <row r="4028" spans="5:13">
      <c r="E4028" s="49"/>
      <c r="F4028" s="49"/>
      <c r="G4028" s="49"/>
      <c r="H4028" s="49"/>
      <c r="I4028" s="49"/>
      <c r="J4028" s="49"/>
      <c r="K4028" s="49"/>
      <c r="L4028" s="49"/>
      <c r="M4028" s="49"/>
    </row>
    <row r="4029" spans="5:13">
      <c r="E4029" s="49"/>
      <c r="F4029" s="49"/>
      <c r="G4029" s="49"/>
      <c r="H4029" s="49"/>
      <c r="I4029" s="49"/>
      <c r="J4029" s="49"/>
      <c r="K4029" s="49"/>
      <c r="L4029" s="49"/>
      <c r="M4029" s="49"/>
    </row>
    <row r="4030" spans="5:13">
      <c r="E4030" s="49"/>
      <c r="F4030" s="49"/>
      <c r="G4030" s="49"/>
      <c r="H4030" s="49"/>
      <c r="I4030" s="49"/>
      <c r="J4030" s="49"/>
      <c r="K4030" s="49"/>
      <c r="L4030" s="49"/>
      <c r="M4030" s="49"/>
    </row>
    <row r="4031" spans="5:13">
      <c r="E4031" s="49"/>
      <c r="F4031" s="49"/>
      <c r="G4031" s="49"/>
      <c r="H4031" s="49"/>
      <c r="I4031" s="49"/>
      <c r="J4031" s="49"/>
      <c r="K4031" s="49"/>
      <c r="L4031" s="49"/>
      <c r="M4031" s="49"/>
    </row>
    <row r="4032" spans="5:13">
      <c r="E4032" s="49"/>
      <c r="F4032" s="49"/>
      <c r="G4032" s="49"/>
      <c r="H4032" s="49"/>
      <c r="I4032" s="49"/>
      <c r="J4032" s="49"/>
      <c r="K4032" s="49"/>
      <c r="L4032" s="49"/>
      <c r="M4032" s="49"/>
    </row>
    <row r="4033" spans="5:13">
      <c r="E4033" s="49"/>
      <c r="F4033" s="49"/>
      <c r="G4033" s="49"/>
      <c r="H4033" s="49"/>
      <c r="I4033" s="49"/>
      <c r="J4033" s="49"/>
      <c r="K4033" s="49"/>
      <c r="L4033" s="49"/>
      <c r="M4033" s="49"/>
    </row>
    <row r="4034" spans="5:13">
      <c r="E4034" s="49"/>
      <c r="F4034" s="49"/>
      <c r="G4034" s="49"/>
      <c r="H4034" s="49"/>
      <c r="I4034" s="49"/>
      <c r="J4034" s="49"/>
      <c r="K4034" s="49"/>
      <c r="L4034" s="49"/>
      <c r="M4034" s="49"/>
    </row>
    <row r="4035" spans="5:13">
      <c r="E4035" s="49"/>
      <c r="F4035" s="49"/>
      <c r="G4035" s="49"/>
      <c r="H4035" s="49"/>
      <c r="I4035" s="49"/>
      <c r="J4035" s="49"/>
      <c r="K4035" s="49"/>
      <c r="L4035" s="49"/>
      <c r="M4035" s="49"/>
    </row>
    <row r="4036" spans="5:13">
      <c r="E4036" s="49"/>
      <c r="F4036" s="49"/>
      <c r="G4036" s="49"/>
      <c r="H4036" s="49"/>
      <c r="I4036" s="49"/>
      <c r="J4036" s="49"/>
      <c r="K4036" s="49"/>
      <c r="L4036" s="49"/>
      <c r="M4036" s="49"/>
    </row>
    <row r="4037" spans="5:13">
      <c r="E4037" s="49"/>
      <c r="F4037" s="49"/>
      <c r="G4037" s="49"/>
      <c r="H4037" s="49"/>
      <c r="I4037" s="49"/>
      <c r="J4037" s="49"/>
      <c r="K4037" s="49"/>
      <c r="L4037" s="49"/>
      <c r="M4037" s="49"/>
    </row>
    <row r="4038" spans="5:13">
      <c r="E4038" s="49"/>
      <c r="F4038" s="49"/>
      <c r="G4038" s="49"/>
      <c r="H4038" s="49"/>
      <c r="I4038" s="49"/>
      <c r="J4038" s="49"/>
      <c r="K4038" s="49"/>
      <c r="L4038" s="49"/>
      <c r="M4038" s="49"/>
    </row>
    <row r="4039" spans="5:13">
      <c r="E4039" s="49"/>
      <c r="F4039" s="49"/>
      <c r="G4039" s="49"/>
      <c r="H4039" s="49"/>
      <c r="I4039" s="49"/>
      <c r="J4039" s="49"/>
      <c r="K4039" s="49"/>
      <c r="L4039" s="49"/>
      <c r="M4039" s="49"/>
    </row>
    <row r="4040" spans="5:13">
      <c r="E4040" s="49"/>
      <c r="F4040" s="49"/>
      <c r="G4040" s="49"/>
      <c r="H4040" s="49"/>
      <c r="I4040" s="49"/>
      <c r="J4040" s="49"/>
      <c r="K4040" s="49"/>
      <c r="L4040" s="49"/>
      <c r="M4040" s="49"/>
    </row>
    <row r="4041" spans="5:13">
      <c r="E4041" s="49"/>
      <c r="F4041" s="49"/>
      <c r="G4041" s="49"/>
      <c r="H4041" s="49"/>
      <c r="I4041" s="49"/>
      <c r="J4041" s="49"/>
      <c r="K4041" s="49"/>
      <c r="L4041" s="49"/>
      <c r="M4041" s="49"/>
    </row>
    <row r="4042" spans="5:13">
      <c r="E4042" s="49"/>
      <c r="F4042" s="49"/>
      <c r="G4042" s="49"/>
      <c r="H4042" s="49"/>
      <c r="I4042" s="49"/>
      <c r="J4042" s="49"/>
      <c r="K4042" s="49"/>
      <c r="L4042" s="49"/>
      <c r="M4042" s="49"/>
    </row>
    <row r="4043" spans="5:13">
      <c r="E4043" s="49"/>
      <c r="F4043" s="49"/>
      <c r="G4043" s="49"/>
      <c r="H4043" s="49"/>
      <c r="I4043" s="49"/>
      <c r="J4043" s="49"/>
      <c r="K4043" s="49"/>
      <c r="L4043" s="49"/>
      <c r="M4043" s="49"/>
    </row>
    <row r="4044" spans="5:13">
      <c r="E4044" s="49"/>
      <c r="F4044" s="49"/>
      <c r="G4044" s="49"/>
      <c r="H4044" s="49"/>
      <c r="I4044" s="49"/>
      <c r="J4044" s="49"/>
      <c r="K4044" s="49"/>
      <c r="L4044" s="49"/>
      <c r="M4044" s="49"/>
    </row>
    <row r="4045" spans="5:13">
      <c r="E4045" s="49"/>
      <c r="F4045" s="49"/>
      <c r="G4045" s="49"/>
      <c r="H4045" s="49"/>
      <c r="I4045" s="49"/>
      <c r="J4045" s="49"/>
      <c r="K4045" s="49"/>
      <c r="L4045" s="49"/>
      <c r="M4045" s="49"/>
    </row>
    <row r="4046" spans="5:13">
      <c r="E4046" s="49"/>
      <c r="F4046" s="49"/>
      <c r="G4046" s="49"/>
      <c r="H4046" s="49"/>
      <c r="I4046" s="49"/>
      <c r="J4046" s="49"/>
      <c r="K4046" s="49"/>
      <c r="L4046" s="49"/>
      <c r="M4046" s="49"/>
    </row>
    <row r="4047" spans="5:13">
      <c r="E4047" s="49"/>
      <c r="F4047" s="49"/>
      <c r="G4047" s="49"/>
      <c r="H4047" s="49"/>
      <c r="I4047" s="49"/>
      <c r="J4047" s="49"/>
      <c r="K4047" s="49"/>
      <c r="L4047" s="49"/>
      <c r="M4047" s="49"/>
    </row>
    <row r="4048" spans="5:13">
      <c r="E4048" s="49"/>
      <c r="F4048" s="49"/>
      <c r="G4048" s="49"/>
      <c r="H4048" s="49"/>
      <c r="I4048" s="49"/>
      <c r="J4048" s="49"/>
      <c r="K4048" s="49"/>
      <c r="L4048" s="49"/>
      <c r="M4048" s="49"/>
    </row>
    <row r="4049" spans="5:13">
      <c r="E4049" s="49"/>
      <c r="F4049" s="49"/>
      <c r="G4049" s="49"/>
      <c r="H4049" s="49"/>
      <c r="I4049" s="49"/>
      <c r="J4049" s="49"/>
      <c r="K4049" s="49"/>
      <c r="L4049" s="49"/>
      <c r="M4049" s="49"/>
    </row>
    <row r="4050" spans="5:13">
      <c r="E4050" s="49"/>
      <c r="F4050" s="49"/>
      <c r="G4050" s="49"/>
      <c r="H4050" s="49"/>
      <c r="I4050" s="49"/>
      <c r="J4050" s="49"/>
      <c r="K4050" s="49"/>
      <c r="L4050" s="49"/>
      <c r="M4050" s="49"/>
    </row>
    <row r="4051" spans="5:13">
      <c r="E4051" s="49"/>
      <c r="F4051" s="49"/>
      <c r="G4051" s="49"/>
      <c r="H4051" s="49"/>
      <c r="I4051" s="49"/>
      <c r="J4051" s="49"/>
      <c r="K4051" s="49"/>
      <c r="L4051" s="49"/>
      <c r="M4051" s="49"/>
    </row>
    <row r="4052" spans="5:13">
      <c r="E4052" s="49"/>
      <c r="F4052" s="49"/>
      <c r="G4052" s="49"/>
      <c r="H4052" s="49"/>
      <c r="I4052" s="49"/>
      <c r="J4052" s="49"/>
      <c r="K4052" s="49"/>
      <c r="L4052" s="49"/>
      <c r="M4052" s="49"/>
    </row>
    <row r="4053" spans="5:13">
      <c r="E4053" s="49"/>
      <c r="F4053" s="49"/>
      <c r="G4053" s="49"/>
      <c r="H4053" s="49"/>
      <c r="I4053" s="49"/>
      <c r="J4053" s="49"/>
      <c r="K4053" s="49"/>
      <c r="L4053" s="49"/>
      <c r="M4053" s="49"/>
    </row>
    <row r="4054" spans="5:13">
      <c r="E4054" s="49"/>
      <c r="F4054" s="49"/>
      <c r="G4054" s="49"/>
      <c r="H4054" s="49"/>
      <c r="I4054" s="49"/>
      <c r="J4054" s="49"/>
      <c r="K4054" s="49"/>
      <c r="L4054" s="49"/>
      <c r="M4054" s="49"/>
    </row>
    <row r="4055" spans="5:13">
      <c r="E4055" s="49"/>
      <c r="F4055" s="49"/>
      <c r="G4055" s="49"/>
      <c r="H4055" s="49"/>
      <c r="I4055" s="49"/>
      <c r="J4055" s="49"/>
      <c r="K4055" s="49"/>
      <c r="L4055" s="49"/>
      <c r="M4055" s="49"/>
    </row>
    <row r="4056" spans="5:13">
      <c r="E4056" s="49"/>
      <c r="F4056" s="49"/>
      <c r="G4056" s="49"/>
      <c r="H4056" s="49"/>
      <c r="I4056" s="49"/>
      <c r="J4056" s="49"/>
      <c r="K4056" s="49"/>
      <c r="L4056" s="49"/>
      <c r="M4056" s="49"/>
    </row>
    <row r="4057" spans="5:13">
      <c r="E4057" s="49"/>
      <c r="F4057" s="49"/>
      <c r="G4057" s="49"/>
      <c r="H4057" s="49"/>
      <c r="I4057" s="49"/>
      <c r="J4057" s="49"/>
      <c r="K4057" s="49"/>
      <c r="L4057" s="49"/>
      <c r="M4057" s="49"/>
    </row>
    <row r="4058" spans="5:13">
      <c r="E4058" s="49"/>
      <c r="F4058" s="49"/>
      <c r="G4058" s="49"/>
      <c r="H4058" s="49"/>
      <c r="I4058" s="49"/>
      <c r="J4058" s="49"/>
      <c r="K4058" s="49"/>
      <c r="L4058" s="49"/>
      <c r="M4058" s="49"/>
    </row>
    <row r="4059" spans="5:13">
      <c r="E4059" s="49"/>
      <c r="F4059" s="49"/>
      <c r="G4059" s="49"/>
      <c r="H4059" s="49"/>
      <c r="I4059" s="49"/>
      <c r="J4059" s="49"/>
      <c r="K4059" s="49"/>
      <c r="L4059" s="49"/>
      <c r="M4059" s="49"/>
    </row>
    <row r="4060" spans="5:13">
      <c r="E4060" s="49"/>
      <c r="F4060" s="49"/>
      <c r="G4060" s="49"/>
      <c r="H4060" s="49"/>
      <c r="I4060" s="49"/>
      <c r="J4060" s="49"/>
      <c r="K4060" s="49"/>
      <c r="L4060" s="49"/>
      <c r="M4060" s="49"/>
    </row>
    <row r="4061" spans="5:13">
      <c r="E4061" s="49"/>
      <c r="F4061" s="49"/>
      <c r="G4061" s="49"/>
      <c r="H4061" s="49"/>
      <c r="I4061" s="49"/>
      <c r="J4061" s="49"/>
      <c r="K4061" s="49"/>
      <c r="L4061" s="49"/>
      <c r="M4061" s="49"/>
    </row>
    <row r="4062" spans="5:13">
      <c r="E4062" s="49"/>
      <c r="F4062" s="49"/>
      <c r="G4062" s="49"/>
      <c r="H4062" s="49"/>
      <c r="I4062" s="49"/>
      <c r="J4062" s="49"/>
      <c r="K4062" s="49"/>
      <c r="L4062" s="49"/>
      <c r="M4062" s="49"/>
    </row>
    <row r="4063" spans="5:13">
      <c r="E4063" s="49"/>
      <c r="F4063" s="49"/>
      <c r="G4063" s="49"/>
      <c r="H4063" s="49"/>
      <c r="I4063" s="49"/>
      <c r="J4063" s="49"/>
      <c r="K4063" s="49"/>
      <c r="L4063" s="49"/>
      <c r="M4063" s="49"/>
    </row>
    <row r="4064" spans="5:13">
      <c r="E4064" s="49"/>
      <c r="F4064" s="49"/>
      <c r="G4064" s="49"/>
      <c r="H4064" s="49"/>
      <c r="I4064" s="49"/>
      <c r="J4064" s="49"/>
      <c r="K4064" s="49"/>
      <c r="L4064" s="49"/>
      <c r="M4064" s="49"/>
    </row>
    <row r="4065" spans="5:13">
      <c r="E4065" s="49"/>
      <c r="F4065" s="49"/>
      <c r="G4065" s="49"/>
      <c r="H4065" s="49"/>
      <c r="I4065" s="49"/>
      <c r="J4065" s="49"/>
      <c r="K4065" s="49"/>
      <c r="L4065" s="49"/>
      <c r="M4065" s="49"/>
    </row>
    <row r="4066" spans="5:13">
      <c r="E4066" s="49"/>
      <c r="F4066" s="49"/>
      <c r="G4066" s="49"/>
      <c r="H4066" s="49"/>
      <c r="I4066" s="49"/>
      <c r="J4066" s="49"/>
      <c r="K4066" s="49"/>
      <c r="L4066" s="49"/>
      <c r="M4066" s="49"/>
    </row>
    <row r="4067" spans="5:13">
      <c r="E4067" s="49"/>
      <c r="F4067" s="49"/>
      <c r="G4067" s="49"/>
      <c r="H4067" s="49"/>
      <c r="I4067" s="49"/>
      <c r="J4067" s="49"/>
      <c r="K4067" s="49"/>
      <c r="L4067" s="49"/>
      <c r="M4067" s="49"/>
    </row>
    <row r="4068" spans="5:13">
      <c r="E4068" s="49"/>
      <c r="F4068" s="49"/>
      <c r="G4068" s="49"/>
      <c r="H4068" s="49"/>
      <c r="I4068" s="49"/>
      <c r="J4068" s="49"/>
      <c r="K4068" s="49"/>
      <c r="L4068" s="49"/>
      <c r="M4068" s="49"/>
    </row>
    <row r="4069" spans="5:13">
      <c r="E4069" s="49"/>
      <c r="F4069" s="49"/>
      <c r="G4069" s="49"/>
      <c r="H4069" s="49"/>
      <c r="I4069" s="49"/>
      <c r="J4069" s="49"/>
      <c r="K4069" s="49"/>
      <c r="L4069" s="49"/>
      <c r="M4069" s="49"/>
    </row>
    <row r="4070" spans="5:13">
      <c r="E4070" s="49"/>
      <c r="F4070" s="49"/>
      <c r="G4070" s="49"/>
      <c r="H4070" s="49"/>
      <c r="I4070" s="49"/>
      <c r="J4070" s="49"/>
      <c r="K4070" s="49"/>
      <c r="L4070" s="49"/>
      <c r="M4070" s="49"/>
    </row>
    <row r="4071" spans="5:13">
      <c r="E4071" s="49"/>
      <c r="F4071" s="49"/>
      <c r="G4071" s="49"/>
      <c r="H4071" s="49"/>
      <c r="I4071" s="49"/>
      <c r="J4071" s="49"/>
      <c r="K4071" s="49"/>
      <c r="L4071" s="49"/>
      <c r="M4071" s="49"/>
    </row>
    <row r="4072" spans="5:13">
      <c r="E4072" s="49"/>
      <c r="F4072" s="49"/>
      <c r="G4072" s="49"/>
      <c r="H4072" s="49"/>
      <c r="I4072" s="49"/>
      <c r="J4072" s="49"/>
      <c r="K4072" s="49"/>
      <c r="L4072" s="49"/>
      <c r="M4072" s="49"/>
    </row>
    <row r="4073" spans="5:13">
      <c r="E4073" s="49"/>
      <c r="F4073" s="49"/>
      <c r="G4073" s="49"/>
      <c r="H4073" s="49"/>
      <c r="I4073" s="49"/>
      <c r="J4073" s="49"/>
      <c r="K4073" s="49"/>
      <c r="L4073" s="49"/>
      <c r="M4073" s="49"/>
    </row>
    <row r="4074" spans="5:13">
      <c r="E4074" s="49"/>
      <c r="F4074" s="49"/>
      <c r="G4074" s="49"/>
      <c r="H4074" s="49"/>
      <c r="I4074" s="49"/>
      <c r="J4074" s="49"/>
      <c r="K4074" s="49"/>
      <c r="L4074" s="49"/>
      <c r="M4074" s="49"/>
    </row>
    <row r="4075" spans="5:13">
      <c r="E4075" s="49"/>
      <c r="F4075" s="49"/>
      <c r="G4075" s="49"/>
      <c r="H4075" s="49"/>
      <c r="I4075" s="49"/>
      <c r="J4075" s="49"/>
      <c r="K4075" s="49"/>
      <c r="L4075" s="49"/>
      <c r="M4075" s="49"/>
    </row>
    <row r="4076" spans="5:13">
      <c r="E4076" s="49"/>
      <c r="F4076" s="49"/>
      <c r="G4076" s="49"/>
      <c r="H4076" s="49"/>
      <c r="I4076" s="49"/>
      <c r="J4076" s="49"/>
      <c r="K4076" s="49"/>
      <c r="L4076" s="49"/>
      <c r="M4076" s="49"/>
    </row>
    <row r="4077" spans="5:13">
      <c r="E4077" s="49"/>
      <c r="F4077" s="49"/>
      <c r="G4077" s="49"/>
      <c r="H4077" s="49"/>
      <c r="I4077" s="49"/>
      <c r="J4077" s="49"/>
      <c r="K4077" s="49"/>
      <c r="L4077" s="49"/>
      <c r="M4077" s="49"/>
    </row>
    <row r="4078" spans="5:13">
      <c r="E4078" s="49"/>
      <c r="F4078" s="49"/>
      <c r="G4078" s="49"/>
      <c r="H4078" s="49"/>
      <c r="I4078" s="49"/>
      <c r="J4078" s="49"/>
      <c r="K4078" s="49"/>
      <c r="L4078" s="49"/>
      <c r="M4078" s="49"/>
    </row>
    <row r="4079" spans="5:13">
      <c r="E4079" s="49"/>
      <c r="F4079" s="49"/>
      <c r="G4079" s="49"/>
      <c r="H4079" s="49"/>
      <c r="I4079" s="49"/>
      <c r="J4079" s="49"/>
      <c r="K4079" s="49"/>
      <c r="L4079" s="49"/>
      <c r="M4079" s="49"/>
    </row>
    <row r="4080" spans="5:13">
      <c r="E4080" s="49"/>
      <c r="F4080" s="49"/>
      <c r="G4080" s="49"/>
      <c r="H4080" s="49"/>
      <c r="I4080" s="49"/>
      <c r="J4080" s="49"/>
      <c r="K4080" s="49"/>
      <c r="L4080" s="49"/>
      <c r="M4080" s="49"/>
    </row>
    <row r="4081" spans="5:13">
      <c r="E4081" s="49"/>
      <c r="F4081" s="49"/>
      <c r="G4081" s="49"/>
      <c r="H4081" s="49"/>
      <c r="I4081" s="49"/>
      <c r="J4081" s="49"/>
      <c r="K4081" s="49"/>
      <c r="L4081" s="49"/>
      <c r="M4081" s="49"/>
    </row>
    <row r="4082" spans="5:13">
      <c r="E4082" s="49"/>
      <c r="F4082" s="49"/>
      <c r="G4082" s="49"/>
      <c r="H4082" s="49"/>
      <c r="I4082" s="49"/>
      <c r="J4082" s="49"/>
      <c r="K4082" s="49"/>
      <c r="L4082" s="49"/>
      <c r="M4082" s="49"/>
    </row>
    <row r="4083" spans="5:13">
      <c r="E4083" s="49"/>
      <c r="F4083" s="49"/>
      <c r="G4083" s="49"/>
      <c r="H4083" s="49"/>
      <c r="I4083" s="49"/>
      <c r="J4083" s="49"/>
      <c r="K4083" s="49"/>
      <c r="L4083" s="49"/>
      <c r="M4083" s="49"/>
    </row>
    <row r="4084" spans="5:13">
      <c r="E4084" s="49"/>
      <c r="F4084" s="49"/>
      <c r="G4084" s="49"/>
      <c r="H4084" s="49"/>
      <c r="I4084" s="49"/>
      <c r="J4084" s="49"/>
      <c r="K4084" s="49"/>
      <c r="L4084" s="49"/>
      <c r="M4084" s="49"/>
    </row>
    <row r="4085" spans="5:13">
      <c r="E4085" s="49"/>
      <c r="F4085" s="49"/>
      <c r="G4085" s="49"/>
      <c r="H4085" s="49"/>
      <c r="I4085" s="49"/>
      <c r="J4085" s="49"/>
      <c r="K4085" s="49"/>
      <c r="L4085" s="49"/>
      <c r="M4085" s="49"/>
    </row>
    <row r="4086" spans="5:13">
      <c r="E4086" s="49"/>
      <c r="F4086" s="49"/>
      <c r="G4086" s="49"/>
      <c r="H4086" s="49"/>
      <c r="I4086" s="49"/>
      <c r="J4086" s="49"/>
      <c r="K4086" s="49"/>
      <c r="L4086" s="49"/>
      <c r="M4086" s="49"/>
    </row>
    <row r="4087" spans="5:13">
      <c r="E4087" s="49"/>
      <c r="F4087" s="49"/>
      <c r="G4087" s="49"/>
      <c r="H4087" s="49"/>
      <c r="I4087" s="49"/>
      <c r="J4087" s="49"/>
      <c r="K4087" s="49"/>
      <c r="L4087" s="49"/>
      <c r="M4087" s="49"/>
    </row>
    <row r="4088" spans="5:13">
      <c r="E4088" s="49"/>
      <c r="F4088" s="49"/>
      <c r="G4088" s="49"/>
      <c r="H4088" s="49"/>
      <c r="I4088" s="49"/>
      <c r="J4088" s="49"/>
      <c r="K4088" s="49"/>
      <c r="L4088" s="49"/>
      <c r="M4088" s="49"/>
    </row>
    <row r="4089" spans="5:13">
      <c r="E4089" s="49"/>
      <c r="F4089" s="49"/>
      <c r="G4089" s="49"/>
      <c r="H4089" s="49"/>
      <c r="I4089" s="49"/>
      <c r="J4089" s="49"/>
      <c r="K4089" s="49"/>
      <c r="L4089" s="49"/>
      <c r="M4089" s="49"/>
    </row>
    <row r="4090" spans="5:13">
      <c r="E4090" s="49"/>
      <c r="F4090" s="49"/>
      <c r="G4090" s="49"/>
      <c r="H4090" s="49"/>
      <c r="I4090" s="49"/>
      <c r="J4090" s="49"/>
      <c r="K4090" s="49"/>
      <c r="L4090" s="49"/>
      <c r="M4090" s="49"/>
    </row>
    <row r="4091" spans="5:13">
      <c r="E4091" s="49"/>
      <c r="F4091" s="49"/>
      <c r="G4091" s="49"/>
      <c r="H4091" s="49"/>
      <c r="I4091" s="49"/>
      <c r="J4091" s="49"/>
      <c r="K4091" s="49"/>
      <c r="L4091" s="49"/>
      <c r="M4091" s="49"/>
    </row>
    <row r="4092" spans="5:13">
      <c r="E4092" s="49"/>
      <c r="F4092" s="49"/>
      <c r="G4092" s="49"/>
      <c r="H4092" s="49"/>
      <c r="I4092" s="49"/>
      <c r="J4092" s="49"/>
      <c r="K4092" s="49"/>
      <c r="L4092" s="49"/>
      <c r="M4092" s="49"/>
    </row>
    <row r="4093" spans="5:13">
      <c r="E4093" s="49"/>
      <c r="F4093" s="49"/>
      <c r="G4093" s="49"/>
      <c r="H4093" s="49"/>
      <c r="I4093" s="49"/>
      <c r="J4093" s="49"/>
      <c r="K4093" s="49"/>
      <c r="L4093" s="49"/>
      <c r="M4093" s="49"/>
    </row>
    <row r="4094" spans="5:13">
      <c r="E4094" s="49"/>
      <c r="F4094" s="49"/>
      <c r="G4094" s="49"/>
      <c r="H4094" s="49"/>
      <c r="I4094" s="49"/>
      <c r="J4094" s="49"/>
      <c r="K4094" s="49"/>
      <c r="L4094" s="49"/>
      <c r="M4094" s="49"/>
    </row>
    <row r="4095" spans="5:13">
      <c r="E4095" s="49"/>
      <c r="F4095" s="49"/>
      <c r="G4095" s="49"/>
      <c r="H4095" s="49"/>
      <c r="I4095" s="49"/>
      <c r="J4095" s="49"/>
      <c r="K4095" s="49"/>
      <c r="L4095" s="49"/>
      <c r="M4095" s="49"/>
    </row>
    <row r="4096" spans="5:13">
      <c r="E4096" s="49"/>
      <c r="F4096" s="49"/>
      <c r="G4096" s="49"/>
      <c r="H4096" s="49"/>
      <c r="I4096" s="49"/>
      <c r="J4096" s="49"/>
      <c r="K4096" s="49"/>
      <c r="L4096" s="49"/>
      <c r="M4096" s="49"/>
    </row>
    <row r="4097" spans="5:13">
      <c r="E4097" s="49"/>
      <c r="F4097" s="49"/>
      <c r="G4097" s="49"/>
      <c r="H4097" s="49"/>
      <c r="I4097" s="49"/>
      <c r="J4097" s="49"/>
      <c r="K4097" s="49"/>
      <c r="L4097" s="49"/>
      <c r="M4097" s="49"/>
    </row>
    <row r="4098" spans="5:13">
      <c r="E4098" s="49"/>
      <c r="F4098" s="49"/>
      <c r="G4098" s="49"/>
      <c r="H4098" s="49"/>
      <c r="I4098" s="49"/>
      <c r="J4098" s="49"/>
      <c r="K4098" s="49"/>
      <c r="L4098" s="49"/>
      <c r="M4098" s="49"/>
    </row>
    <row r="4099" spans="5:13">
      <c r="E4099" s="49"/>
      <c r="F4099" s="49"/>
      <c r="G4099" s="49"/>
      <c r="H4099" s="49"/>
      <c r="I4099" s="49"/>
      <c r="J4099" s="49"/>
      <c r="K4099" s="49"/>
      <c r="L4099" s="49"/>
      <c r="M4099" s="49"/>
    </row>
    <row r="4100" spans="5:13">
      <c r="E4100" s="49"/>
      <c r="F4100" s="49"/>
      <c r="G4100" s="49"/>
      <c r="H4100" s="49"/>
      <c r="I4100" s="49"/>
      <c r="J4100" s="49"/>
      <c r="K4100" s="49"/>
      <c r="L4100" s="49"/>
      <c r="M4100" s="49"/>
    </row>
    <row r="4101" spans="5:13">
      <c r="E4101" s="49"/>
      <c r="F4101" s="49"/>
      <c r="G4101" s="49"/>
      <c r="H4101" s="49"/>
      <c r="I4101" s="49"/>
      <c r="J4101" s="49"/>
      <c r="K4101" s="49"/>
      <c r="L4101" s="49"/>
      <c r="M4101" s="49"/>
    </row>
    <row r="4102" spans="5:13">
      <c r="E4102" s="49"/>
      <c r="F4102" s="49"/>
      <c r="G4102" s="49"/>
      <c r="H4102" s="49"/>
      <c r="I4102" s="49"/>
      <c r="J4102" s="49"/>
      <c r="K4102" s="49"/>
      <c r="L4102" s="49"/>
      <c r="M4102" s="49"/>
    </row>
    <row r="4103" spans="5:13">
      <c r="E4103" s="49"/>
      <c r="F4103" s="49"/>
      <c r="G4103" s="49"/>
      <c r="H4103" s="49"/>
      <c r="I4103" s="49"/>
      <c r="J4103" s="49"/>
      <c r="K4103" s="49"/>
      <c r="L4103" s="49"/>
      <c r="M4103" s="49"/>
    </row>
    <row r="4104" spans="5:13">
      <c r="E4104" s="49"/>
      <c r="F4104" s="49"/>
      <c r="G4104" s="49"/>
      <c r="H4104" s="49"/>
      <c r="I4104" s="49"/>
      <c r="J4104" s="49"/>
      <c r="K4104" s="49"/>
      <c r="L4104" s="49"/>
      <c r="M4104" s="49"/>
    </row>
    <row r="4105" spans="5:13">
      <c r="E4105" s="49"/>
      <c r="F4105" s="49"/>
      <c r="G4105" s="49"/>
      <c r="H4105" s="49"/>
      <c r="I4105" s="49"/>
      <c r="J4105" s="49"/>
      <c r="K4105" s="49"/>
      <c r="L4105" s="49"/>
      <c r="M4105" s="49"/>
    </row>
    <row r="4106" spans="5:13">
      <c r="E4106" s="49"/>
      <c r="F4106" s="49"/>
      <c r="G4106" s="49"/>
      <c r="H4106" s="49"/>
      <c r="I4106" s="49"/>
      <c r="J4106" s="49"/>
      <c r="K4106" s="49"/>
      <c r="L4106" s="49"/>
      <c r="M4106" s="49"/>
    </row>
    <row r="4107" spans="5:13">
      <c r="E4107" s="49"/>
      <c r="F4107" s="49"/>
      <c r="G4107" s="49"/>
      <c r="H4107" s="49"/>
      <c r="I4107" s="49"/>
      <c r="J4107" s="49"/>
      <c r="K4107" s="49"/>
      <c r="L4107" s="49"/>
      <c r="M4107" s="49"/>
    </row>
    <row r="4108" spans="5:13">
      <c r="E4108" s="49"/>
      <c r="F4108" s="49"/>
      <c r="G4108" s="49"/>
      <c r="H4108" s="49"/>
      <c r="I4108" s="49"/>
      <c r="J4108" s="49"/>
      <c r="K4108" s="49"/>
      <c r="L4108" s="49"/>
      <c r="M4108" s="49"/>
    </row>
    <row r="4109" spans="5:13">
      <c r="E4109" s="49"/>
      <c r="F4109" s="49"/>
      <c r="G4109" s="49"/>
      <c r="H4109" s="49"/>
      <c r="I4109" s="49"/>
      <c r="J4109" s="49"/>
      <c r="K4109" s="49"/>
      <c r="L4109" s="49"/>
      <c r="M4109" s="49"/>
    </row>
    <row r="4110" spans="5:13">
      <c r="E4110" s="49"/>
      <c r="F4110" s="49"/>
      <c r="G4110" s="49"/>
      <c r="H4110" s="49"/>
      <c r="I4110" s="49"/>
      <c r="J4110" s="49"/>
      <c r="K4110" s="49"/>
      <c r="L4110" s="49"/>
      <c r="M4110" s="49"/>
    </row>
    <row r="4111" spans="5:13">
      <c r="E4111" s="49"/>
      <c r="F4111" s="49"/>
      <c r="G4111" s="49"/>
      <c r="H4111" s="49"/>
      <c r="I4111" s="49"/>
      <c r="J4111" s="49"/>
      <c r="K4111" s="49"/>
      <c r="L4111" s="49"/>
      <c r="M4111" s="49"/>
    </row>
    <row r="4112" spans="5:13">
      <c r="E4112" s="49"/>
      <c r="F4112" s="49"/>
      <c r="G4112" s="49"/>
      <c r="H4112" s="49"/>
      <c r="I4112" s="49"/>
      <c r="J4112" s="49"/>
      <c r="K4112" s="49"/>
      <c r="L4112" s="49"/>
      <c r="M4112" s="49"/>
    </row>
    <row r="4113" spans="5:13">
      <c r="E4113" s="49"/>
      <c r="F4113" s="49"/>
      <c r="G4113" s="49"/>
      <c r="H4113" s="49"/>
      <c r="I4113" s="49"/>
      <c r="J4113" s="49"/>
      <c r="K4113" s="49"/>
      <c r="L4113" s="49"/>
      <c r="M4113" s="49"/>
    </row>
    <row r="4114" spans="5:13">
      <c r="E4114" s="49"/>
      <c r="F4114" s="49"/>
      <c r="G4114" s="49"/>
      <c r="H4114" s="49"/>
      <c r="I4114" s="49"/>
      <c r="J4114" s="49"/>
      <c r="K4114" s="49"/>
      <c r="L4114" s="49"/>
      <c r="M4114" s="49"/>
    </row>
    <row r="4115" spans="5:13">
      <c r="E4115" s="49"/>
      <c r="F4115" s="49"/>
      <c r="G4115" s="49"/>
      <c r="H4115" s="49"/>
      <c r="I4115" s="49"/>
      <c r="J4115" s="49"/>
      <c r="K4115" s="49"/>
      <c r="L4115" s="49"/>
      <c r="M4115" s="49"/>
    </row>
    <row r="4116" spans="5:13">
      <c r="E4116" s="49"/>
      <c r="F4116" s="49"/>
      <c r="G4116" s="49"/>
      <c r="H4116" s="49"/>
      <c r="I4116" s="49"/>
      <c r="J4116" s="49"/>
      <c r="K4116" s="49"/>
      <c r="L4116" s="49"/>
      <c r="M4116" s="49"/>
    </row>
    <row r="4117" spans="5:13">
      <c r="E4117" s="49"/>
      <c r="F4117" s="49"/>
      <c r="G4117" s="49"/>
      <c r="H4117" s="49"/>
      <c r="I4117" s="49"/>
      <c r="J4117" s="49"/>
      <c r="K4117" s="49"/>
      <c r="L4117" s="49"/>
      <c r="M4117" s="49"/>
    </row>
    <row r="4118" spans="5:13">
      <c r="E4118" s="49"/>
      <c r="F4118" s="49"/>
      <c r="G4118" s="49"/>
      <c r="H4118" s="49"/>
      <c r="I4118" s="49"/>
      <c r="J4118" s="49"/>
      <c r="K4118" s="49"/>
      <c r="L4118" s="49"/>
      <c r="M4118" s="49"/>
    </row>
    <row r="4119" spans="5:13">
      <c r="E4119" s="49"/>
      <c r="F4119" s="49"/>
      <c r="G4119" s="49"/>
      <c r="H4119" s="49"/>
      <c r="I4119" s="49"/>
      <c r="J4119" s="49"/>
      <c r="K4119" s="49"/>
      <c r="L4119" s="49"/>
      <c r="M4119" s="49"/>
    </row>
    <row r="4120" spans="5:13">
      <c r="E4120" s="49"/>
      <c r="F4120" s="49"/>
      <c r="G4120" s="49"/>
      <c r="H4120" s="49"/>
      <c r="I4120" s="49"/>
      <c r="J4120" s="49"/>
      <c r="K4120" s="49"/>
      <c r="L4120" s="49"/>
      <c r="M4120" s="49"/>
    </row>
    <row r="4121" spans="5:13">
      <c r="E4121" s="49"/>
      <c r="F4121" s="49"/>
      <c r="G4121" s="49"/>
      <c r="H4121" s="49"/>
      <c r="I4121" s="49"/>
      <c r="J4121" s="49"/>
      <c r="K4121" s="49"/>
      <c r="L4121" s="49"/>
      <c r="M4121" s="49"/>
    </row>
    <row r="4122" spans="5:13">
      <c r="E4122" s="49"/>
      <c r="F4122" s="49"/>
      <c r="G4122" s="49"/>
      <c r="H4122" s="49"/>
      <c r="I4122" s="49"/>
      <c r="J4122" s="49"/>
      <c r="K4122" s="49"/>
      <c r="L4122" s="49"/>
      <c r="M4122" s="49"/>
    </row>
    <row r="4123" spans="5:13">
      <c r="E4123" s="49"/>
      <c r="F4123" s="49"/>
      <c r="G4123" s="49"/>
      <c r="H4123" s="49"/>
      <c r="I4123" s="49"/>
      <c r="J4123" s="49"/>
      <c r="K4123" s="49"/>
      <c r="L4123" s="49"/>
      <c r="M4123" s="49"/>
    </row>
    <row r="4124" spans="5:13">
      <c r="E4124" s="49"/>
      <c r="F4124" s="49"/>
      <c r="G4124" s="49"/>
      <c r="H4124" s="49"/>
      <c r="I4124" s="49"/>
      <c r="J4124" s="49"/>
      <c r="K4124" s="49"/>
      <c r="L4124" s="49"/>
      <c r="M4124" s="49"/>
    </row>
    <row r="4125" spans="5:13">
      <c r="E4125" s="49"/>
      <c r="F4125" s="49"/>
      <c r="G4125" s="49"/>
      <c r="H4125" s="49"/>
      <c r="I4125" s="49"/>
      <c r="J4125" s="49"/>
      <c r="K4125" s="49"/>
      <c r="L4125" s="49"/>
      <c r="M4125" s="49"/>
    </row>
    <row r="4126" spans="5:13">
      <c r="E4126" s="49"/>
      <c r="F4126" s="49"/>
      <c r="G4126" s="49"/>
      <c r="H4126" s="49"/>
      <c r="I4126" s="49"/>
      <c r="J4126" s="49"/>
      <c r="K4126" s="49"/>
      <c r="L4126" s="49"/>
      <c r="M4126" s="49"/>
    </row>
    <row r="4127" spans="5:13">
      <c r="E4127" s="49"/>
      <c r="F4127" s="49"/>
      <c r="G4127" s="49"/>
      <c r="H4127" s="49"/>
      <c r="I4127" s="49"/>
      <c r="J4127" s="49"/>
      <c r="K4127" s="49"/>
      <c r="L4127" s="49"/>
      <c r="M4127" s="49"/>
    </row>
    <row r="4128" spans="5:13">
      <c r="E4128" s="49"/>
      <c r="F4128" s="49"/>
      <c r="G4128" s="49"/>
      <c r="H4128" s="49"/>
      <c r="I4128" s="49"/>
      <c r="J4128" s="49"/>
      <c r="K4128" s="49"/>
      <c r="L4128" s="49"/>
      <c r="M4128" s="49"/>
    </row>
    <row r="4129" spans="5:13">
      <c r="E4129" s="49"/>
      <c r="F4129" s="49"/>
      <c r="G4129" s="49"/>
      <c r="H4129" s="49"/>
      <c r="I4129" s="49"/>
      <c r="J4129" s="49"/>
      <c r="K4129" s="49"/>
      <c r="L4129" s="49"/>
      <c r="M4129" s="49"/>
    </row>
    <row r="4130" spans="5:13">
      <c r="E4130" s="49"/>
      <c r="F4130" s="49"/>
      <c r="G4130" s="49"/>
      <c r="H4130" s="49"/>
      <c r="I4130" s="49"/>
      <c r="J4130" s="49"/>
      <c r="K4130" s="49"/>
      <c r="L4130" s="49"/>
      <c r="M4130" s="49"/>
    </row>
    <row r="4131" spans="5:13">
      <c r="E4131" s="49"/>
      <c r="F4131" s="49"/>
      <c r="G4131" s="49"/>
      <c r="H4131" s="49"/>
      <c r="I4131" s="49"/>
      <c r="J4131" s="49"/>
      <c r="K4131" s="49"/>
      <c r="L4131" s="49"/>
      <c r="M4131" s="49"/>
    </row>
    <row r="4132" spans="5:13">
      <c r="E4132" s="49"/>
      <c r="F4132" s="49"/>
      <c r="G4132" s="49"/>
      <c r="H4132" s="49"/>
      <c r="I4132" s="49"/>
      <c r="J4132" s="49"/>
      <c r="K4132" s="49"/>
      <c r="L4132" s="49"/>
      <c r="M4132" s="49"/>
    </row>
    <row r="4133" spans="5:13">
      <c r="E4133" s="49"/>
      <c r="F4133" s="49"/>
      <c r="G4133" s="49"/>
      <c r="H4133" s="49"/>
      <c r="I4133" s="49"/>
      <c r="J4133" s="49"/>
      <c r="K4133" s="49"/>
      <c r="L4133" s="49"/>
      <c r="M4133" s="49"/>
    </row>
    <row r="4134" spans="5:13">
      <c r="E4134" s="49"/>
      <c r="F4134" s="49"/>
      <c r="G4134" s="49"/>
      <c r="H4134" s="49"/>
      <c r="I4134" s="49"/>
      <c r="J4134" s="49"/>
      <c r="K4134" s="49"/>
      <c r="L4134" s="49"/>
      <c r="M4134" s="49"/>
    </row>
    <row r="4135" spans="5:13">
      <c r="E4135" s="49"/>
      <c r="F4135" s="49"/>
      <c r="G4135" s="49"/>
      <c r="H4135" s="49"/>
      <c r="I4135" s="49"/>
      <c r="J4135" s="49"/>
      <c r="K4135" s="49"/>
      <c r="L4135" s="49"/>
      <c r="M4135" s="49"/>
    </row>
    <row r="4136" spans="5:13">
      <c r="E4136" s="49"/>
      <c r="F4136" s="49"/>
      <c r="G4136" s="49"/>
      <c r="H4136" s="49"/>
      <c r="I4136" s="49"/>
      <c r="J4136" s="49"/>
      <c r="K4136" s="49"/>
      <c r="L4136" s="49"/>
      <c r="M4136" s="49"/>
    </row>
    <row r="4137" spans="5:13">
      <c r="E4137" s="49"/>
      <c r="F4137" s="49"/>
      <c r="G4137" s="49"/>
      <c r="H4137" s="49"/>
      <c r="I4137" s="49"/>
      <c r="J4137" s="49"/>
      <c r="K4137" s="49"/>
      <c r="L4137" s="49"/>
      <c r="M4137" s="49"/>
    </row>
    <row r="4138" spans="5:13">
      <c r="E4138" s="49"/>
      <c r="F4138" s="49"/>
      <c r="G4138" s="49"/>
      <c r="H4138" s="49"/>
      <c r="I4138" s="49"/>
      <c r="J4138" s="49"/>
      <c r="K4138" s="49"/>
      <c r="L4138" s="49"/>
      <c r="M4138" s="49"/>
    </row>
    <row r="4139" spans="5:13">
      <c r="E4139" s="49"/>
      <c r="F4139" s="49"/>
      <c r="G4139" s="49"/>
      <c r="H4139" s="49"/>
      <c r="I4139" s="49"/>
      <c r="J4139" s="49"/>
      <c r="K4139" s="49"/>
      <c r="L4139" s="49"/>
      <c r="M4139" s="49"/>
    </row>
    <row r="4140" spans="5:13">
      <c r="E4140" s="49"/>
      <c r="F4140" s="49"/>
      <c r="G4140" s="49"/>
      <c r="H4140" s="49"/>
      <c r="I4140" s="49"/>
      <c r="J4140" s="49"/>
      <c r="K4140" s="49"/>
      <c r="L4140" s="49"/>
      <c r="M4140" s="49"/>
    </row>
    <row r="4141" spans="5:13">
      <c r="E4141" s="49"/>
      <c r="F4141" s="49"/>
      <c r="G4141" s="49"/>
      <c r="H4141" s="49"/>
      <c r="I4141" s="49"/>
      <c r="J4141" s="49"/>
      <c r="K4141" s="49"/>
      <c r="L4141" s="49"/>
      <c r="M4141" s="49"/>
    </row>
    <row r="4142" spans="5:13">
      <c r="E4142" s="49"/>
      <c r="F4142" s="49"/>
      <c r="G4142" s="49"/>
      <c r="H4142" s="49"/>
      <c r="I4142" s="49"/>
      <c r="J4142" s="49"/>
      <c r="K4142" s="49"/>
      <c r="L4142" s="49"/>
      <c r="M4142" s="49"/>
    </row>
    <row r="4143" spans="5:13">
      <c r="E4143" s="49"/>
      <c r="F4143" s="49"/>
      <c r="G4143" s="49"/>
      <c r="H4143" s="49"/>
      <c r="I4143" s="49"/>
      <c r="J4143" s="49"/>
      <c r="K4143" s="49"/>
      <c r="L4143" s="49"/>
      <c r="M4143" s="49"/>
    </row>
    <row r="4144" spans="5:13">
      <c r="E4144" s="49"/>
      <c r="F4144" s="49"/>
      <c r="G4144" s="49"/>
      <c r="H4144" s="49"/>
      <c r="I4144" s="49"/>
      <c r="J4144" s="49"/>
      <c r="K4144" s="49"/>
      <c r="L4144" s="49"/>
      <c r="M4144" s="49"/>
    </row>
    <row r="4145" spans="5:13">
      <c r="E4145" s="49"/>
      <c r="F4145" s="49"/>
      <c r="G4145" s="49"/>
      <c r="H4145" s="49"/>
      <c r="I4145" s="49"/>
      <c r="J4145" s="49"/>
      <c r="K4145" s="49"/>
      <c r="L4145" s="49"/>
      <c r="M4145" s="49"/>
    </row>
    <row r="4146" spans="5:13">
      <c r="E4146" s="49"/>
      <c r="F4146" s="49"/>
      <c r="G4146" s="49"/>
      <c r="H4146" s="49"/>
      <c r="I4146" s="49"/>
      <c r="J4146" s="49"/>
      <c r="K4146" s="49"/>
      <c r="L4146" s="49"/>
      <c r="M4146" s="49"/>
    </row>
    <row r="4147" spans="5:13">
      <c r="E4147" s="49"/>
      <c r="F4147" s="49"/>
      <c r="G4147" s="49"/>
      <c r="H4147" s="49"/>
      <c r="I4147" s="49"/>
      <c r="J4147" s="49"/>
      <c r="K4147" s="49"/>
      <c r="L4147" s="49"/>
      <c r="M4147" s="49"/>
    </row>
    <row r="4148" spans="5:13">
      <c r="E4148" s="49"/>
      <c r="F4148" s="49"/>
      <c r="G4148" s="49"/>
      <c r="H4148" s="49"/>
      <c r="I4148" s="49"/>
      <c r="J4148" s="49"/>
      <c r="K4148" s="49"/>
      <c r="L4148" s="49"/>
      <c r="M4148" s="49"/>
    </row>
    <row r="4149" spans="5:13">
      <c r="E4149" s="49"/>
      <c r="F4149" s="49"/>
      <c r="G4149" s="49"/>
      <c r="H4149" s="49"/>
      <c r="I4149" s="49"/>
      <c r="J4149" s="49"/>
      <c r="K4149" s="49"/>
      <c r="L4149" s="49"/>
      <c r="M4149" s="49"/>
    </row>
    <row r="4150" spans="5:13">
      <c r="E4150" s="49"/>
      <c r="F4150" s="49"/>
      <c r="G4150" s="49"/>
      <c r="H4150" s="49"/>
      <c r="I4150" s="49"/>
      <c r="J4150" s="49"/>
      <c r="K4150" s="49"/>
      <c r="L4150" s="49"/>
      <c r="M4150" s="49"/>
    </row>
    <row r="4151" spans="5:13">
      <c r="E4151" s="49"/>
      <c r="F4151" s="49"/>
      <c r="G4151" s="49"/>
      <c r="H4151" s="49"/>
      <c r="I4151" s="49"/>
      <c r="J4151" s="49"/>
      <c r="K4151" s="49"/>
      <c r="L4151" s="49"/>
      <c r="M4151" s="49"/>
    </row>
    <row r="4152" spans="5:13">
      <c r="E4152" s="49"/>
      <c r="F4152" s="49"/>
      <c r="G4152" s="49"/>
      <c r="H4152" s="49"/>
      <c r="I4152" s="49"/>
      <c r="J4152" s="49"/>
      <c r="K4152" s="49"/>
      <c r="L4152" s="49"/>
      <c r="M4152" s="49"/>
    </row>
    <row r="4153" spans="5:13">
      <c r="E4153" s="49"/>
      <c r="F4153" s="49"/>
      <c r="G4153" s="49"/>
      <c r="H4153" s="49"/>
      <c r="I4153" s="49"/>
      <c r="J4153" s="49"/>
      <c r="K4153" s="49"/>
      <c r="L4153" s="49"/>
      <c r="M4153" s="49"/>
    </row>
    <row r="4154" spans="5:13">
      <c r="E4154" s="49"/>
      <c r="F4154" s="49"/>
      <c r="G4154" s="49"/>
      <c r="H4154" s="49"/>
      <c r="I4154" s="49"/>
      <c r="J4154" s="49"/>
      <c r="K4154" s="49"/>
      <c r="L4154" s="49"/>
      <c r="M4154" s="49"/>
    </row>
    <row r="4155" spans="5:13">
      <c r="E4155" s="49"/>
      <c r="F4155" s="49"/>
      <c r="G4155" s="49"/>
      <c r="H4155" s="49"/>
      <c r="I4155" s="49"/>
      <c r="J4155" s="49"/>
      <c r="K4155" s="49"/>
      <c r="L4155" s="49"/>
      <c r="M4155" s="49"/>
    </row>
    <row r="4156" spans="5:13">
      <c r="E4156" s="49"/>
      <c r="F4156" s="49"/>
      <c r="G4156" s="49"/>
      <c r="H4156" s="49"/>
      <c r="I4156" s="49"/>
      <c r="J4156" s="49"/>
      <c r="K4156" s="49"/>
      <c r="L4156" s="49"/>
      <c r="M4156" s="49"/>
    </row>
    <row r="4157" spans="5:13">
      <c r="E4157" s="49"/>
      <c r="F4157" s="49"/>
      <c r="G4157" s="49"/>
      <c r="H4157" s="49"/>
      <c r="I4157" s="49"/>
      <c r="J4157" s="49"/>
      <c r="K4157" s="49"/>
      <c r="L4157" s="49"/>
      <c r="M4157" s="49"/>
    </row>
    <row r="4158" spans="5:13">
      <c r="E4158" s="49"/>
      <c r="F4158" s="49"/>
      <c r="G4158" s="49"/>
      <c r="H4158" s="49"/>
      <c r="I4158" s="49"/>
      <c r="J4158" s="49"/>
      <c r="K4158" s="49"/>
      <c r="L4158" s="49"/>
      <c r="M4158" s="49"/>
    </row>
    <row r="4159" spans="5:13">
      <c r="E4159" s="49"/>
      <c r="F4159" s="49"/>
      <c r="G4159" s="49"/>
      <c r="H4159" s="49"/>
      <c r="I4159" s="49"/>
      <c r="J4159" s="49"/>
      <c r="K4159" s="49"/>
      <c r="L4159" s="49"/>
      <c r="M4159" s="49"/>
    </row>
    <row r="4160" spans="5:13">
      <c r="E4160" s="49"/>
      <c r="F4160" s="49"/>
      <c r="G4160" s="49"/>
      <c r="H4160" s="49"/>
      <c r="I4160" s="49"/>
      <c r="J4160" s="49"/>
      <c r="K4160" s="49"/>
      <c r="L4160" s="49"/>
      <c r="M4160" s="49"/>
    </row>
    <row r="4161" spans="5:13">
      <c r="E4161" s="49"/>
      <c r="F4161" s="49"/>
      <c r="G4161" s="49"/>
      <c r="H4161" s="49"/>
      <c r="I4161" s="49"/>
      <c r="J4161" s="49"/>
      <c r="K4161" s="49"/>
      <c r="L4161" s="49"/>
      <c r="M4161" s="49"/>
    </row>
    <row r="4162" spans="5:13">
      <c r="E4162" s="49"/>
      <c r="F4162" s="49"/>
      <c r="G4162" s="49"/>
      <c r="H4162" s="49"/>
      <c r="I4162" s="49"/>
      <c r="J4162" s="49"/>
      <c r="K4162" s="49"/>
      <c r="L4162" s="49"/>
      <c r="M4162" s="49"/>
    </row>
    <row r="4163" spans="5:13">
      <c r="E4163" s="49"/>
      <c r="F4163" s="49"/>
      <c r="G4163" s="49"/>
      <c r="H4163" s="49"/>
      <c r="I4163" s="49"/>
      <c r="J4163" s="49"/>
      <c r="K4163" s="49"/>
      <c r="L4163" s="49"/>
      <c r="M4163" s="49"/>
    </row>
    <row r="4164" spans="5:13">
      <c r="E4164" s="49"/>
      <c r="F4164" s="49"/>
      <c r="G4164" s="49"/>
      <c r="H4164" s="49"/>
      <c r="I4164" s="49"/>
      <c r="J4164" s="49"/>
      <c r="K4164" s="49"/>
      <c r="L4164" s="49"/>
      <c r="M4164" s="49"/>
    </row>
    <row r="4165" spans="5:13">
      <c r="E4165" s="49"/>
      <c r="F4165" s="49"/>
      <c r="G4165" s="49"/>
      <c r="H4165" s="49"/>
      <c r="I4165" s="49"/>
      <c r="J4165" s="49"/>
      <c r="K4165" s="49"/>
      <c r="L4165" s="49"/>
      <c r="M4165" s="49"/>
    </row>
    <row r="4166" spans="5:13">
      <c r="E4166" s="49"/>
      <c r="F4166" s="49"/>
      <c r="G4166" s="49"/>
      <c r="H4166" s="49"/>
      <c r="I4166" s="49"/>
      <c r="J4166" s="49"/>
      <c r="K4166" s="49"/>
      <c r="L4166" s="49"/>
      <c r="M4166" s="49"/>
    </row>
    <row r="4167" spans="5:13">
      <c r="E4167" s="49"/>
      <c r="F4167" s="49"/>
      <c r="G4167" s="49"/>
      <c r="H4167" s="49"/>
      <c r="I4167" s="49"/>
      <c r="J4167" s="49"/>
      <c r="K4167" s="49"/>
      <c r="L4167" s="49"/>
      <c r="M4167" s="49"/>
    </row>
    <row r="4168" spans="5:13">
      <c r="E4168" s="49"/>
      <c r="F4168" s="49"/>
      <c r="G4168" s="49"/>
      <c r="H4168" s="49"/>
      <c r="I4168" s="49"/>
      <c r="J4168" s="49"/>
      <c r="K4168" s="49"/>
      <c r="L4168" s="49"/>
      <c r="M4168" s="49"/>
    </row>
    <row r="4169" spans="5:13">
      <c r="E4169" s="49"/>
      <c r="F4169" s="49"/>
      <c r="G4169" s="49"/>
      <c r="H4169" s="49"/>
      <c r="I4169" s="49"/>
      <c r="J4169" s="49"/>
      <c r="K4169" s="49"/>
      <c r="L4169" s="49"/>
      <c r="M4169" s="49"/>
    </row>
    <row r="4170" spans="5:13">
      <c r="E4170" s="49"/>
      <c r="F4170" s="49"/>
      <c r="G4170" s="49"/>
      <c r="H4170" s="49"/>
      <c r="I4170" s="49"/>
      <c r="J4170" s="49"/>
      <c r="K4170" s="49"/>
      <c r="L4170" s="49"/>
      <c r="M4170" s="49"/>
    </row>
    <row r="4171" spans="5:13">
      <c r="E4171" s="49"/>
      <c r="F4171" s="49"/>
      <c r="G4171" s="49"/>
      <c r="H4171" s="49"/>
      <c r="I4171" s="49"/>
      <c r="J4171" s="49"/>
      <c r="K4171" s="49"/>
      <c r="L4171" s="49"/>
      <c r="M4171" s="49"/>
    </row>
    <row r="4172" spans="5:13">
      <c r="E4172" s="49"/>
      <c r="F4172" s="49"/>
      <c r="G4172" s="49"/>
      <c r="H4172" s="49"/>
      <c r="I4172" s="49"/>
      <c r="J4172" s="49"/>
      <c r="K4172" s="49"/>
      <c r="L4172" s="49"/>
      <c r="M4172" s="49"/>
    </row>
    <row r="4173" spans="5:13">
      <c r="E4173" s="49"/>
      <c r="F4173" s="49"/>
      <c r="G4173" s="49"/>
      <c r="H4173" s="49"/>
      <c r="I4173" s="49"/>
      <c r="J4173" s="49"/>
      <c r="K4173" s="49"/>
      <c r="L4173" s="49"/>
      <c r="M4173" s="49"/>
    </row>
    <row r="4174" spans="5:13">
      <c r="E4174" s="49"/>
      <c r="F4174" s="49"/>
      <c r="G4174" s="49"/>
      <c r="H4174" s="49"/>
      <c r="I4174" s="49"/>
      <c r="J4174" s="49"/>
      <c r="K4174" s="49"/>
      <c r="L4174" s="49"/>
      <c r="M4174" s="49"/>
    </row>
    <row r="4175" spans="5:13">
      <c r="E4175" s="49"/>
      <c r="F4175" s="49"/>
      <c r="G4175" s="49"/>
      <c r="H4175" s="49"/>
      <c r="I4175" s="49"/>
      <c r="J4175" s="49"/>
      <c r="K4175" s="49"/>
      <c r="L4175" s="49"/>
      <c r="M4175" s="49"/>
    </row>
    <row r="4176" spans="5:13">
      <c r="E4176" s="49"/>
      <c r="F4176" s="49"/>
      <c r="G4176" s="49"/>
      <c r="H4176" s="49"/>
      <c r="I4176" s="49"/>
      <c r="J4176" s="49"/>
      <c r="K4176" s="49"/>
      <c r="L4176" s="49"/>
      <c r="M4176" s="49"/>
    </row>
    <row r="4177" spans="5:13">
      <c r="E4177" s="49"/>
      <c r="F4177" s="49"/>
      <c r="G4177" s="49"/>
      <c r="H4177" s="49"/>
      <c r="I4177" s="49"/>
      <c r="J4177" s="49"/>
      <c r="K4177" s="49"/>
      <c r="L4177" s="49"/>
      <c r="M4177" s="49"/>
    </row>
    <row r="4178" spans="5:13">
      <c r="E4178" s="49"/>
      <c r="F4178" s="49"/>
      <c r="G4178" s="49"/>
      <c r="H4178" s="49"/>
      <c r="I4178" s="49"/>
      <c r="J4178" s="49"/>
      <c r="K4178" s="49"/>
      <c r="L4178" s="49"/>
      <c r="M4178" s="49"/>
    </row>
    <row r="4179" spans="5:13">
      <c r="E4179" s="49"/>
      <c r="F4179" s="49"/>
      <c r="G4179" s="49"/>
      <c r="H4179" s="49"/>
      <c r="I4179" s="49"/>
      <c r="J4179" s="49"/>
      <c r="K4179" s="49"/>
      <c r="L4179" s="49"/>
      <c r="M4179" s="49"/>
    </row>
    <row r="4180" spans="5:13">
      <c r="E4180" s="49"/>
      <c r="F4180" s="49"/>
      <c r="G4180" s="49"/>
      <c r="H4180" s="49"/>
      <c r="I4180" s="49"/>
      <c r="J4180" s="49"/>
      <c r="K4180" s="49"/>
      <c r="L4180" s="49"/>
      <c r="M4180" s="49"/>
    </row>
    <row r="4181" spans="5:13">
      <c r="E4181" s="49"/>
      <c r="F4181" s="49"/>
      <c r="G4181" s="49"/>
      <c r="H4181" s="49"/>
      <c r="I4181" s="49"/>
      <c r="J4181" s="49"/>
      <c r="K4181" s="49"/>
      <c r="L4181" s="49"/>
      <c r="M4181" s="49"/>
    </row>
    <row r="4182" spans="5:13">
      <c r="E4182" s="49"/>
      <c r="F4182" s="49"/>
      <c r="G4182" s="49"/>
      <c r="H4182" s="49"/>
      <c r="I4182" s="49"/>
      <c r="J4182" s="49"/>
      <c r="K4182" s="49"/>
      <c r="L4182" s="49"/>
      <c r="M4182" s="49"/>
    </row>
    <row r="4183" spans="5:13">
      <c r="E4183" s="49"/>
      <c r="F4183" s="49"/>
      <c r="G4183" s="49"/>
      <c r="H4183" s="49"/>
      <c r="I4183" s="49"/>
      <c r="J4183" s="49"/>
      <c r="K4183" s="49"/>
      <c r="L4183" s="49"/>
      <c r="M4183" s="49"/>
    </row>
    <row r="4184" spans="5:13">
      <c r="E4184" s="49"/>
      <c r="F4184" s="49"/>
      <c r="G4184" s="49"/>
      <c r="H4184" s="49"/>
      <c r="I4184" s="49"/>
      <c r="J4184" s="49"/>
      <c r="K4184" s="49"/>
      <c r="L4184" s="49"/>
      <c r="M4184" s="49"/>
    </row>
    <row r="4185" spans="5:13">
      <c r="E4185" s="49"/>
      <c r="F4185" s="49"/>
      <c r="G4185" s="49"/>
      <c r="H4185" s="49"/>
      <c r="I4185" s="49"/>
      <c r="J4185" s="49"/>
      <c r="K4185" s="49"/>
      <c r="L4185" s="49"/>
      <c r="M4185" s="49"/>
    </row>
    <row r="4186" spans="5:13">
      <c r="E4186" s="49"/>
      <c r="F4186" s="49"/>
      <c r="G4186" s="49"/>
      <c r="H4186" s="49"/>
      <c r="I4186" s="49"/>
      <c r="J4186" s="49"/>
      <c r="K4186" s="49"/>
      <c r="L4186" s="49"/>
      <c r="M4186" s="49"/>
    </row>
    <row r="4187" spans="5:13">
      <c r="E4187" s="49"/>
      <c r="F4187" s="49"/>
      <c r="G4187" s="49"/>
      <c r="H4187" s="49"/>
      <c r="I4187" s="49"/>
      <c r="J4187" s="49"/>
      <c r="K4187" s="49"/>
      <c r="L4187" s="49"/>
      <c r="M4187" s="49"/>
    </row>
    <row r="4188" spans="5:13">
      <c r="E4188" s="49"/>
      <c r="F4188" s="49"/>
      <c r="G4188" s="49"/>
      <c r="H4188" s="49"/>
      <c r="I4188" s="49"/>
      <c r="J4188" s="49"/>
      <c r="K4188" s="49"/>
      <c r="L4188" s="49"/>
      <c r="M4188" s="49"/>
    </row>
    <row r="4189" spans="5:13">
      <c r="E4189" s="49"/>
      <c r="F4189" s="49"/>
      <c r="G4189" s="49"/>
      <c r="H4189" s="49"/>
      <c r="I4189" s="49"/>
      <c r="J4189" s="49"/>
      <c r="K4189" s="49"/>
      <c r="L4189" s="49"/>
      <c r="M4189" s="49"/>
    </row>
    <row r="4190" spans="5:13">
      <c r="E4190" s="49"/>
      <c r="F4190" s="49"/>
      <c r="G4190" s="49"/>
      <c r="H4190" s="49"/>
      <c r="I4190" s="49"/>
      <c r="J4190" s="49"/>
      <c r="K4190" s="49"/>
      <c r="L4190" s="49"/>
      <c r="M4190" s="49"/>
    </row>
    <row r="4191" spans="5:13">
      <c r="E4191" s="49"/>
      <c r="F4191" s="49"/>
      <c r="G4191" s="49"/>
      <c r="H4191" s="49"/>
      <c r="I4191" s="49"/>
      <c r="J4191" s="49"/>
      <c r="K4191" s="49"/>
      <c r="L4191" s="49"/>
      <c r="M4191" s="49"/>
    </row>
    <row r="4192" spans="5:13">
      <c r="E4192" s="49"/>
      <c r="F4192" s="49"/>
      <c r="G4192" s="49"/>
      <c r="H4192" s="49"/>
      <c r="I4192" s="49"/>
      <c r="J4192" s="49"/>
      <c r="K4192" s="49"/>
      <c r="L4192" s="49"/>
      <c r="M4192" s="49"/>
    </row>
    <row r="4193" spans="5:13">
      <c r="E4193" s="49"/>
      <c r="F4193" s="49"/>
      <c r="G4193" s="49"/>
      <c r="H4193" s="49"/>
      <c r="I4193" s="49"/>
      <c r="J4193" s="49"/>
      <c r="K4193" s="49"/>
      <c r="L4193" s="49"/>
      <c r="M4193" s="49"/>
    </row>
    <row r="4194" spans="5:13">
      <c r="E4194" s="49"/>
      <c r="F4194" s="49"/>
      <c r="G4194" s="49"/>
      <c r="H4194" s="49"/>
      <c r="I4194" s="49"/>
      <c r="J4194" s="49"/>
      <c r="K4194" s="49"/>
      <c r="L4194" s="49"/>
      <c r="M4194" s="49"/>
    </row>
    <row r="4195" spans="5:13">
      <c r="E4195" s="49"/>
      <c r="F4195" s="49"/>
      <c r="G4195" s="49"/>
      <c r="H4195" s="49"/>
      <c r="I4195" s="49"/>
      <c r="J4195" s="49"/>
      <c r="K4195" s="49"/>
      <c r="L4195" s="49"/>
      <c r="M4195" s="49"/>
    </row>
    <row r="4196" spans="5:13">
      <c r="E4196" s="49"/>
      <c r="F4196" s="49"/>
      <c r="G4196" s="49"/>
      <c r="H4196" s="49"/>
      <c r="I4196" s="49"/>
      <c r="J4196" s="49"/>
      <c r="K4196" s="49"/>
      <c r="L4196" s="49"/>
      <c r="M4196" s="49"/>
    </row>
    <row r="4197" spans="5:13">
      <c r="E4197" s="49"/>
      <c r="F4197" s="49"/>
      <c r="G4197" s="49"/>
      <c r="H4197" s="49"/>
      <c r="I4197" s="49"/>
      <c r="J4197" s="49"/>
      <c r="K4197" s="49"/>
      <c r="L4197" s="49"/>
      <c r="M4197" s="49"/>
    </row>
    <row r="4198" spans="5:13">
      <c r="E4198" s="49"/>
      <c r="F4198" s="49"/>
      <c r="G4198" s="49"/>
      <c r="H4198" s="49"/>
      <c r="I4198" s="49"/>
      <c r="J4198" s="49"/>
      <c r="K4198" s="49"/>
      <c r="L4198" s="49"/>
      <c r="M4198" s="49"/>
    </row>
    <row r="4199" spans="5:13">
      <c r="E4199" s="49"/>
      <c r="F4199" s="49"/>
      <c r="G4199" s="49"/>
      <c r="H4199" s="49"/>
      <c r="I4199" s="49"/>
      <c r="J4199" s="49"/>
      <c r="K4199" s="49"/>
      <c r="L4199" s="49"/>
      <c r="M4199" s="49"/>
    </row>
    <row r="4200" spans="5:13">
      <c r="E4200" s="49"/>
      <c r="F4200" s="49"/>
      <c r="G4200" s="49"/>
      <c r="H4200" s="49"/>
      <c r="I4200" s="49"/>
      <c r="J4200" s="49"/>
      <c r="K4200" s="49"/>
      <c r="L4200" s="49"/>
      <c r="M4200" s="49"/>
    </row>
    <row r="4201" spans="5:13">
      <c r="E4201" s="49"/>
      <c r="F4201" s="49"/>
      <c r="G4201" s="49"/>
      <c r="H4201" s="49"/>
      <c r="I4201" s="49"/>
      <c r="J4201" s="49"/>
      <c r="K4201" s="49"/>
      <c r="L4201" s="49"/>
      <c r="M4201" s="49"/>
    </row>
    <row r="4202" spans="5:13">
      <c r="E4202" s="49"/>
      <c r="F4202" s="49"/>
      <c r="G4202" s="49"/>
      <c r="H4202" s="49"/>
      <c r="I4202" s="49"/>
      <c r="J4202" s="49"/>
      <c r="K4202" s="49"/>
      <c r="L4202" s="49"/>
      <c r="M4202" s="49"/>
    </row>
    <row r="4203" spans="5:13">
      <c r="E4203" s="49"/>
      <c r="F4203" s="49"/>
      <c r="G4203" s="49"/>
      <c r="H4203" s="49"/>
      <c r="I4203" s="49"/>
      <c r="J4203" s="49"/>
      <c r="K4203" s="49"/>
      <c r="L4203" s="49"/>
      <c r="M4203" s="49"/>
    </row>
    <row r="4204" spans="5:13">
      <c r="E4204" s="49"/>
      <c r="F4204" s="49"/>
      <c r="G4204" s="49"/>
      <c r="H4204" s="49"/>
      <c r="I4204" s="49"/>
      <c r="J4204" s="49"/>
      <c r="K4204" s="49"/>
      <c r="L4204" s="49"/>
      <c r="M4204" s="49"/>
    </row>
    <row r="4205" spans="5:13">
      <c r="E4205" s="49"/>
      <c r="F4205" s="49"/>
      <c r="G4205" s="49"/>
      <c r="H4205" s="49"/>
      <c r="I4205" s="49"/>
      <c r="J4205" s="49"/>
      <c r="K4205" s="49"/>
      <c r="L4205" s="49"/>
      <c r="M4205" s="49"/>
    </row>
    <row r="4206" spans="5:13">
      <c r="E4206" s="49"/>
      <c r="F4206" s="49"/>
      <c r="G4206" s="49"/>
      <c r="H4206" s="49"/>
      <c r="I4206" s="49"/>
      <c r="J4206" s="49"/>
      <c r="K4206" s="49"/>
      <c r="L4206" s="49"/>
      <c r="M4206" s="49"/>
    </row>
    <row r="4207" spans="5:13">
      <c r="E4207" s="49"/>
      <c r="F4207" s="49"/>
      <c r="G4207" s="49"/>
      <c r="H4207" s="49"/>
      <c r="I4207" s="49"/>
      <c r="J4207" s="49"/>
      <c r="K4207" s="49"/>
      <c r="L4207" s="49"/>
      <c r="M4207" s="49"/>
    </row>
    <row r="4208" spans="5:13">
      <c r="E4208" s="49"/>
      <c r="F4208" s="49"/>
      <c r="G4208" s="49"/>
      <c r="H4208" s="49"/>
      <c r="I4208" s="49"/>
      <c r="J4208" s="49"/>
      <c r="K4208" s="49"/>
      <c r="L4208" s="49"/>
      <c r="M4208" s="49"/>
    </row>
    <row r="4209" spans="5:13">
      <c r="E4209" s="49"/>
      <c r="F4209" s="49"/>
      <c r="G4209" s="49"/>
      <c r="H4209" s="49"/>
      <c r="I4209" s="49"/>
      <c r="J4209" s="49"/>
      <c r="K4209" s="49"/>
      <c r="L4209" s="49"/>
      <c r="M4209" s="49"/>
    </row>
    <row r="4210" spans="5:13">
      <c r="E4210" s="49"/>
      <c r="F4210" s="49"/>
      <c r="G4210" s="49"/>
      <c r="H4210" s="49"/>
      <c r="I4210" s="49"/>
      <c r="J4210" s="49"/>
      <c r="K4210" s="49"/>
      <c r="L4210" s="49"/>
      <c r="M4210" s="49"/>
    </row>
    <row r="4211" spans="5:13">
      <c r="E4211" s="49"/>
      <c r="F4211" s="49"/>
      <c r="G4211" s="49"/>
      <c r="H4211" s="49"/>
      <c r="I4211" s="49"/>
      <c r="J4211" s="49"/>
      <c r="K4211" s="49"/>
      <c r="L4211" s="49"/>
      <c r="M4211" s="49"/>
    </row>
    <row r="4212" spans="5:13">
      <c r="E4212" s="49"/>
      <c r="F4212" s="49"/>
      <c r="G4212" s="49"/>
      <c r="H4212" s="49"/>
      <c r="I4212" s="49"/>
      <c r="J4212" s="49"/>
      <c r="K4212" s="49"/>
      <c r="L4212" s="49"/>
      <c r="M4212" s="49"/>
    </row>
    <row r="4213" spans="5:13">
      <c r="E4213" s="49"/>
      <c r="F4213" s="49"/>
      <c r="G4213" s="49"/>
      <c r="H4213" s="49"/>
      <c r="I4213" s="49"/>
      <c r="J4213" s="49"/>
      <c r="K4213" s="49"/>
      <c r="L4213" s="49"/>
      <c r="M4213" s="49"/>
    </row>
    <row r="4214" spans="5:13">
      <c r="E4214" s="49"/>
      <c r="F4214" s="49"/>
      <c r="G4214" s="49"/>
      <c r="H4214" s="49"/>
      <c r="I4214" s="49"/>
      <c r="J4214" s="49"/>
      <c r="K4214" s="49"/>
      <c r="L4214" s="49"/>
      <c r="M4214" s="49"/>
    </row>
    <row r="4215" spans="5:13">
      <c r="E4215" s="49"/>
      <c r="F4215" s="49"/>
      <c r="G4215" s="49"/>
      <c r="H4215" s="49"/>
      <c r="I4215" s="49"/>
      <c r="J4215" s="49"/>
      <c r="K4215" s="49"/>
      <c r="L4215" s="49"/>
      <c r="M4215" s="49"/>
    </row>
    <row r="4216" spans="5:13">
      <c r="E4216" s="49"/>
      <c r="F4216" s="49"/>
      <c r="G4216" s="49"/>
      <c r="H4216" s="49"/>
      <c r="I4216" s="49"/>
      <c r="J4216" s="49"/>
      <c r="K4216" s="49"/>
      <c r="L4216" s="49"/>
      <c r="M4216" s="49"/>
    </row>
    <row r="4217" spans="5:13">
      <c r="E4217" s="49"/>
      <c r="F4217" s="49"/>
      <c r="G4217" s="49"/>
      <c r="H4217" s="49"/>
      <c r="I4217" s="49"/>
      <c r="J4217" s="49"/>
      <c r="K4217" s="49"/>
      <c r="L4217" s="49"/>
      <c r="M4217" s="49"/>
    </row>
    <row r="4218" spans="5:13">
      <c r="E4218" s="49"/>
      <c r="F4218" s="49"/>
      <c r="G4218" s="49"/>
      <c r="H4218" s="49"/>
      <c r="I4218" s="49"/>
      <c r="J4218" s="49"/>
      <c r="K4218" s="49"/>
      <c r="L4218" s="49"/>
      <c r="M4218" s="49"/>
    </row>
    <row r="4219" spans="5:13">
      <c r="E4219" s="49"/>
      <c r="F4219" s="49"/>
      <c r="G4219" s="49"/>
      <c r="H4219" s="49"/>
      <c r="I4219" s="49"/>
      <c r="J4219" s="49"/>
      <c r="K4219" s="49"/>
      <c r="L4219" s="49"/>
      <c r="M4219" s="49"/>
    </row>
    <row r="4220" spans="5:13">
      <c r="E4220" s="49"/>
      <c r="F4220" s="49"/>
      <c r="G4220" s="49"/>
      <c r="H4220" s="49"/>
      <c r="I4220" s="49"/>
      <c r="J4220" s="49"/>
      <c r="K4220" s="49"/>
      <c r="L4220" s="49"/>
      <c r="M4220" s="49"/>
    </row>
    <row r="4221" spans="5:13">
      <c r="E4221" s="49"/>
      <c r="F4221" s="49"/>
      <c r="G4221" s="49"/>
      <c r="H4221" s="49"/>
      <c r="I4221" s="49"/>
      <c r="J4221" s="49"/>
      <c r="K4221" s="49"/>
      <c r="L4221" s="49"/>
      <c r="M4221" s="49"/>
    </row>
    <row r="4222" spans="5:13">
      <c r="E4222" s="49"/>
      <c r="F4222" s="49"/>
      <c r="G4222" s="49"/>
      <c r="H4222" s="49"/>
      <c r="I4222" s="49"/>
      <c r="J4222" s="49"/>
      <c r="K4222" s="49"/>
      <c r="L4222" s="49"/>
      <c r="M4222" s="49"/>
    </row>
    <row r="4223" spans="5:13">
      <c r="E4223" s="49"/>
      <c r="F4223" s="49"/>
      <c r="G4223" s="49"/>
      <c r="H4223" s="49"/>
      <c r="I4223" s="49"/>
      <c r="J4223" s="49"/>
      <c r="K4223" s="49"/>
      <c r="L4223" s="49"/>
      <c r="M4223" s="49"/>
    </row>
    <row r="4224" spans="5:13">
      <c r="E4224" s="49"/>
      <c r="F4224" s="49"/>
      <c r="G4224" s="49"/>
      <c r="H4224" s="49"/>
      <c r="I4224" s="49"/>
      <c r="J4224" s="49"/>
      <c r="K4224" s="49"/>
      <c r="L4224" s="49"/>
      <c r="M4224" s="49"/>
    </row>
    <row r="4225" spans="5:13">
      <c r="E4225" s="49"/>
      <c r="F4225" s="49"/>
      <c r="G4225" s="49"/>
      <c r="H4225" s="49"/>
      <c r="I4225" s="49"/>
      <c r="J4225" s="49"/>
      <c r="K4225" s="49"/>
      <c r="L4225" s="49"/>
      <c r="M4225" s="49"/>
    </row>
    <row r="4226" spans="5:13">
      <c r="E4226" s="49"/>
      <c r="F4226" s="49"/>
      <c r="G4226" s="49"/>
      <c r="H4226" s="49"/>
      <c r="I4226" s="49"/>
      <c r="J4226" s="49"/>
      <c r="K4226" s="49"/>
      <c r="L4226" s="49"/>
      <c r="M4226" s="49"/>
    </row>
    <row r="4227" spans="5:13">
      <c r="E4227" s="49"/>
      <c r="F4227" s="49"/>
      <c r="G4227" s="49"/>
      <c r="H4227" s="49"/>
      <c r="I4227" s="49"/>
      <c r="J4227" s="49"/>
      <c r="K4227" s="49"/>
      <c r="L4227" s="49"/>
      <c r="M4227" s="49"/>
    </row>
    <row r="4228" spans="5:13">
      <c r="E4228" s="49"/>
      <c r="F4228" s="49"/>
      <c r="G4228" s="49"/>
      <c r="H4228" s="49"/>
      <c r="I4228" s="49"/>
      <c r="J4228" s="49"/>
      <c r="K4228" s="49"/>
      <c r="L4228" s="49"/>
      <c r="M4228" s="49"/>
    </row>
    <row r="4229" spans="5:13">
      <c r="E4229" s="49"/>
      <c r="F4229" s="49"/>
      <c r="G4229" s="49"/>
      <c r="H4229" s="49"/>
      <c r="I4229" s="49"/>
      <c r="J4229" s="49"/>
      <c r="K4229" s="49"/>
      <c r="L4229" s="49"/>
      <c r="M4229" s="49"/>
    </row>
    <row r="4230" spans="5:13">
      <c r="E4230" s="49"/>
      <c r="F4230" s="49"/>
      <c r="G4230" s="49"/>
      <c r="H4230" s="49"/>
      <c r="I4230" s="49"/>
      <c r="J4230" s="49"/>
      <c r="K4230" s="49"/>
      <c r="L4230" s="49"/>
      <c r="M4230" s="49"/>
    </row>
    <row r="4231" spans="5:13">
      <c r="E4231" s="49"/>
      <c r="F4231" s="49"/>
      <c r="G4231" s="49"/>
      <c r="H4231" s="49"/>
      <c r="I4231" s="49"/>
      <c r="J4231" s="49"/>
      <c r="K4231" s="49"/>
      <c r="L4231" s="49"/>
      <c r="M4231" s="49"/>
    </row>
    <row r="4232" spans="5:13">
      <c r="E4232" s="49"/>
      <c r="F4232" s="49"/>
      <c r="G4232" s="49"/>
      <c r="H4232" s="49"/>
      <c r="I4232" s="49"/>
      <c r="J4232" s="49"/>
      <c r="K4232" s="49"/>
      <c r="L4232" s="49"/>
      <c r="M4232" s="49"/>
    </row>
    <row r="4233" spans="5:13">
      <c r="E4233" s="49"/>
      <c r="F4233" s="49"/>
      <c r="G4233" s="49"/>
      <c r="H4233" s="49"/>
      <c r="I4233" s="49"/>
      <c r="J4233" s="49"/>
      <c r="K4233" s="49"/>
      <c r="L4233" s="49"/>
      <c r="M4233" s="49"/>
    </row>
    <row r="4234" spans="5:13">
      <c r="E4234" s="49"/>
      <c r="F4234" s="49"/>
      <c r="G4234" s="49"/>
      <c r="H4234" s="49"/>
      <c r="I4234" s="49"/>
      <c r="J4234" s="49"/>
      <c r="K4234" s="49"/>
      <c r="L4234" s="49"/>
      <c r="M4234" s="49"/>
    </row>
    <row r="4235" spans="5:13">
      <c r="E4235" s="49"/>
      <c r="F4235" s="49"/>
      <c r="G4235" s="49"/>
      <c r="H4235" s="49"/>
      <c r="I4235" s="49"/>
      <c r="J4235" s="49"/>
      <c r="K4235" s="49"/>
      <c r="L4235" s="49"/>
      <c r="M4235" s="49"/>
    </row>
    <row r="4236" spans="5:13">
      <c r="E4236" s="49"/>
      <c r="F4236" s="49"/>
      <c r="G4236" s="49"/>
      <c r="H4236" s="49"/>
      <c r="I4236" s="49"/>
      <c r="J4236" s="49"/>
      <c r="K4236" s="49"/>
      <c r="L4236" s="49"/>
      <c r="M4236" s="49"/>
    </row>
    <row r="4237" spans="5:13">
      <c r="E4237" s="49"/>
      <c r="F4237" s="49"/>
      <c r="G4237" s="49"/>
      <c r="H4237" s="49"/>
      <c r="I4237" s="49"/>
      <c r="J4237" s="49"/>
      <c r="K4237" s="49"/>
      <c r="L4237" s="49"/>
      <c r="M4237" s="49"/>
    </row>
    <row r="4238" spans="5:13">
      <c r="E4238" s="49"/>
      <c r="F4238" s="49"/>
      <c r="G4238" s="49"/>
      <c r="H4238" s="49"/>
      <c r="I4238" s="49"/>
      <c r="J4238" s="49"/>
      <c r="K4238" s="49"/>
      <c r="L4238" s="49"/>
      <c r="M4238" s="49"/>
    </row>
    <row r="4239" spans="5:13">
      <c r="E4239" s="49"/>
      <c r="F4239" s="49"/>
      <c r="G4239" s="49"/>
      <c r="H4239" s="49"/>
      <c r="I4239" s="49"/>
      <c r="J4239" s="49"/>
      <c r="K4239" s="49"/>
      <c r="L4239" s="49"/>
      <c r="M4239" s="49"/>
    </row>
    <row r="4240" spans="5:13">
      <c r="E4240" s="49"/>
      <c r="F4240" s="49"/>
      <c r="G4240" s="49"/>
      <c r="H4240" s="49"/>
      <c r="I4240" s="49"/>
      <c r="J4240" s="49"/>
      <c r="K4240" s="49"/>
      <c r="L4240" s="49"/>
      <c r="M4240" s="49"/>
    </row>
    <row r="4241" spans="5:13">
      <c r="E4241" s="49"/>
      <c r="F4241" s="49"/>
      <c r="G4241" s="49"/>
      <c r="H4241" s="49"/>
      <c r="I4241" s="49"/>
      <c r="J4241" s="49"/>
      <c r="K4241" s="49"/>
      <c r="L4241" s="49"/>
      <c r="M4241" s="49"/>
    </row>
    <row r="4242" spans="5:13">
      <c r="E4242" s="49"/>
      <c r="F4242" s="49"/>
      <c r="G4242" s="49"/>
      <c r="H4242" s="49"/>
      <c r="I4242" s="49"/>
      <c r="J4242" s="49"/>
      <c r="K4242" s="49"/>
      <c r="L4242" s="49"/>
      <c r="M4242" s="49"/>
    </row>
    <row r="4243" spans="5:13">
      <c r="E4243" s="49"/>
      <c r="F4243" s="49"/>
      <c r="G4243" s="49"/>
      <c r="H4243" s="49"/>
      <c r="I4243" s="49"/>
      <c r="J4243" s="49"/>
      <c r="K4243" s="49"/>
      <c r="L4243" s="49"/>
      <c r="M4243" s="49"/>
    </row>
    <row r="4244" spans="5:13">
      <c r="E4244" s="49"/>
      <c r="F4244" s="49"/>
      <c r="G4244" s="49"/>
      <c r="H4244" s="49"/>
      <c r="I4244" s="49"/>
      <c r="J4244" s="49"/>
      <c r="K4244" s="49"/>
      <c r="L4244" s="49"/>
      <c r="M4244" s="49"/>
    </row>
    <row r="4245" spans="5:13">
      <c r="E4245" s="49"/>
      <c r="F4245" s="49"/>
      <c r="G4245" s="49"/>
      <c r="H4245" s="49"/>
      <c r="I4245" s="49"/>
      <c r="J4245" s="49"/>
      <c r="K4245" s="49"/>
      <c r="L4245" s="49"/>
      <c r="M4245" s="49"/>
    </row>
    <row r="4246" spans="5:13">
      <c r="E4246" s="49"/>
      <c r="F4246" s="49"/>
      <c r="G4246" s="49"/>
      <c r="H4246" s="49"/>
      <c r="I4246" s="49"/>
      <c r="J4246" s="49"/>
      <c r="K4246" s="49"/>
      <c r="L4246" s="49"/>
      <c r="M4246" s="49"/>
    </row>
    <row r="4247" spans="5:13">
      <c r="E4247" s="49"/>
      <c r="F4247" s="49"/>
      <c r="G4247" s="49"/>
      <c r="H4247" s="49"/>
      <c r="I4247" s="49"/>
      <c r="J4247" s="49"/>
      <c r="K4247" s="49"/>
      <c r="L4247" s="49"/>
      <c r="M4247" s="49"/>
    </row>
    <row r="4248" spans="5:13">
      <c r="E4248" s="49"/>
      <c r="F4248" s="49"/>
      <c r="G4248" s="49"/>
      <c r="H4248" s="49"/>
      <c r="I4248" s="49"/>
      <c r="J4248" s="49"/>
      <c r="K4248" s="49"/>
      <c r="L4248" s="49"/>
      <c r="M4248" s="49"/>
    </row>
    <row r="4249" spans="5:13">
      <c r="E4249" s="49"/>
      <c r="F4249" s="49"/>
      <c r="G4249" s="49"/>
      <c r="H4249" s="49"/>
      <c r="I4249" s="49"/>
      <c r="J4249" s="49"/>
      <c r="K4249" s="49"/>
      <c r="L4249" s="49"/>
      <c r="M4249" s="49"/>
    </row>
    <row r="4250" spans="5:13">
      <c r="E4250" s="49"/>
      <c r="F4250" s="49"/>
      <c r="G4250" s="49"/>
      <c r="H4250" s="49"/>
      <c r="I4250" s="49"/>
      <c r="J4250" s="49"/>
      <c r="K4250" s="49"/>
      <c r="L4250" s="49"/>
      <c r="M4250" s="49"/>
    </row>
    <row r="4251" spans="5:13">
      <c r="E4251" s="49"/>
      <c r="F4251" s="49"/>
      <c r="G4251" s="49"/>
      <c r="H4251" s="49"/>
      <c r="I4251" s="49"/>
      <c r="J4251" s="49"/>
      <c r="K4251" s="49"/>
      <c r="L4251" s="49"/>
      <c r="M4251" s="49"/>
    </row>
    <row r="4252" spans="5:13">
      <c r="E4252" s="49"/>
      <c r="F4252" s="49"/>
      <c r="G4252" s="49"/>
      <c r="H4252" s="49"/>
      <c r="I4252" s="49"/>
      <c r="J4252" s="49"/>
      <c r="K4252" s="49"/>
      <c r="L4252" s="49"/>
      <c r="M4252" s="49"/>
    </row>
    <row r="4253" spans="5:13">
      <c r="E4253" s="49"/>
      <c r="F4253" s="49"/>
      <c r="G4253" s="49"/>
      <c r="H4253" s="49"/>
      <c r="I4253" s="49"/>
      <c r="J4253" s="49"/>
      <c r="K4253" s="49"/>
      <c r="L4253" s="49"/>
      <c r="M4253" s="49"/>
    </row>
    <row r="4254" spans="5:13">
      <c r="E4254" s="49"/>
      <c r="F4254" s="49"/>
      <c r="G4254" s="49"/>
      <c r="H4254" s="49"/>
      <c r="I4254" s="49"/>
      <c r="J4254" s="49"/>
      <c r="K4254" s="49"/>
      <c r="L4254" s="49"/>
      <c r="M4254" s="49"/>
    </row>
    <row r="4255" spans="5:13">
      <c r="E4255" s="49"/>
      <c r="F4255" s="49"/>
      <c r="G4255" s="49"/>
      <c r="H4255" s="49"/>
      <c r="I4255" s="49"/>
      <c r="J4255" s="49"/>
      <c r="K4255" s="49"/>
      <c r="L4255" s="49"/>
      <c r="M4255" s="49"/>
    </row>
    <row r="4256" spans="5:13">
      <c r="E4256" s="49"/>
      <c r="F4256" s="49"/>
      <c r="G4256" s="49"/>
      <c r="H4256" s="49"/>
      <c r="I4256" s="49"/>
      <c r="J4256" s="49"/>
      <c r="K4256" s="49"/>
      <c r="L4256" s="49"/>
      <c r="M4256" s="49"/>
    </row>
    <row r="4257" spans="5:13">
      <c r="E4257" s="49"/>
      <c r="F4257" s="49"/>
      <c r="G4257" s="49"/>
      <c r="H4257" s="49"/>
      <c r="I4257" s="49"/>
      <c r="J4257" s="49"/>
      <c r="K4257" s="49"/>
      <c r="L4257" s="49"/>
      <c r="M4257" s="49"/>
    </row>
    <row r="4258" spans="5:13">
      <c r="E4258" s="49"/>
      <c r="F4258" s="49"/>
      <c r="G4258" s="49"/>
      <c r="H4258" s="49"/>
      <c r="I4258" s="49"/>
      <c r="J4258" s="49"/>
      <c r="K4258" s="49"/>
      <c r="L4258" s="49"/>
      <c r="M4258" s="49"/>
    </row>
    <row r="4259" spans="5:13">
      <c r="E4259" s="49"/>
      <c r="F4259" s="49"/>
      <c r="G4259" s="49"/>
      <c r="H4259" s="49"/>
      <c r="I4259" s="49"/>
      <c r="J4259" s="49"/>
      <c r="K4259" s="49"/>
      <c r="L4259" s="49"/>
      <c r="M4259" s="49"/>
    </row>
    <row r="4260" spans="5:13">
      <c r="E4260" s="49"/>
      <c r="F4260" s="49"/>
      <c r="G4260" s="49"/>
      <c r="H4260" s="49"/>
      <c r="I4260" s="49"/>
      <c r="J4260" s="49"/>
      <c r="K4260" s="49"/>
      <c r="L4260" s="49"/>
      <c r="M4260" s="49"/>
    </row>
    <row r="4261" spans="5:13">
      <c r="E4261" s="49"/>
      <c r="F4261" s="49"/>
      <c r="G4261" s="49"/>
      <c r="H4261" s="49"/>
      <c r="I4261" s="49"/>
      <c r="J4261" s="49"/>
      <c r="K4261" s="49"/>
      <c r="L4261" s="49"/>
      <c r="M4261" s="49"/>
    </row>
    <row r="4262" spans="5:13">
      <c r="E4262" s="49"/>
      <c r="F4262" s="49"/>
      <c r="G4262" s="49"/>
      <c r="H4262" s="49"/>
      <c r="I4262" s="49"/>
      <c r="J4262" s="49"/>
      <c r="K4262" s="49"/>
      <c r="L4262" s="49"/>
      <c r="M4262" s="49"/>
    </row>
    <row r="4263" spans="5:13">
      <c r="E4263" s="49"/>
      <c r="F4263" s="49"/>
      <c r="G4263" s="49"/>
      <c r="H4263" s="49"/>
      <c r="I4263" s="49"/>
      <c r="J4263" s="49"/>
      <c r="K4263" s="49"/>
      <c r="L4263" s="49"/>
      <c r="M4263" s="49"/>
    </row>
    <row r="4264" spans="5:13">
      <c r="E4264" s="49"/>
      <c r="F4264" s="49"/>
      <c r="G4264" s="49"/>
      <c r="H4264" s="49"/>
      <c r="I4264" s="49"/>
      <c r="J4264" s="49"/>
      <c r="K4264" s="49"/>
      <c r="L4264" s="49"/>
      <c r="M4264" s="49"/>
    </row>
    <row r="4265" spans="5:13">
      <c r="E4265" s="49"/>
      <c r="F4265" s="49"/>
      <c r="G4265" s="49"/>
      <c r="H4265" s="49"/>
      <c r="I4265" s="49"/>
      <c r="J4265" s="49"/>
      <c r="K4265" s="49"/>
      <c r="L4265" s="49"/>
      <c r="M4265" s="49"/>
    </row>
    <row r="4266" spans="5:13">
      <c r="E4266" s="49"/>
      <c r="F4266" s="49"/>
      <c r="G4266" s="49"/>
      <c r="H4266" s="49"/>
      <c r="I4266" s="49"/>
      <c r="J4266" s="49"/>
      <c r="K4266" s="49"/>
      <c r="L4266" s="49"/>
      <c r="M4266" s="49"/>
    </row>
    <row r="4267" spans="5:13">
      <c r="E4267" s="49"/>
      <c r="F4267" s="49"/>
      <c r="G4267" s="49"/>
      <c r="H4267" s="49"/>
      <c r="I4267" s="49"/>
      <c r="J4267" s="49"/>
      <c r="K4267" s="49"/>
      <c r="L4267" s="49"/>
      <c r="M4267" s="49"/>
    </row>
    <row r="4268" spans="5:13">
      <c r="E4268" s="49"/>
      <c r="F4268" s="49"/>
      <c r="G4268" s="49"/>
      <c r="H4268" s="49"/>
      <c r="I4268" s="49"/>
      <c r="J4268" s="49"/>
      <c r="K4268" s="49"/>
      <c r="L4268" s="49"/>
      <c r="M4268" s="49"/>
    </row>
    <row r="4269" spans="5:13">
      <c r="E4269" s="49"/>
      <c r="F4269" s="49"/>
      <c r="G4269" s="49"/>
      <c r="H4269" s="49"/>
      <c r="I4269" s="49"/>
      <c r="J4269" s="49"/>
      <c r="K4269" s="49"/>
      <c r="L4269" s="49"/>
      <c r="M4269" s="49"/>
    </row>
    <row r="4270" spans="5:13">
      <c r="E4270" s="49"/>
      <c r="F4270" s="49"/>
      <c r="G4270" s="49"/>
      <c r="H4270" s="49"/>
      <c r="I4270" s="49"/>
      <c r="J4270" s="49"/>
      <c r="K4270" s="49"/>
      <c r="L4270" s="49"/>
      <c r="M4270" s="49"/>
    </row>
    <row r="4271" spans="5:13">
      <c r="E4271" s="49"/>
      <c r="F4271" s="49"/>
      <c r="G4271" s="49"/>
      <c r="H4271" s="49"/>
      <c r="I4271" s="49"/>
      <c r="J4271" s="49"/>
      <c r="K4271" s="49"/>
      <c r="L4271" s="49"/>
      <c r="M4271" s="49"/>
    </row>
    <row r="4272" spans="5:13">
      <c r="E4272" s="49"/>
      <c r="F4272" s="49"/>
      <c r="G4272" s="49"/>
      <c r="H4272" s="49"/>
      <c r="I4272" s="49"/>
      <c r="J4272" s="49"/>
      <c r="K4272" s="49"/>
      <c r="L4272" s="49"/>
      <c r="M4272" s="49"/>
    </row>
    <row r="4273" spans="5:13">
      <c r="E4273" s="49"/>
      <c r="F4273" s="49"/>
      <c r="G4273" s="49"/>
      <c r="H4273" s="49"/>
      <c r="I4273" s="49"/>
      <c r="J4273" s="49"/>
      <c r="K4273" s="49"/>
      <c r="L4273" s="49"/>
      <c r="M4273" s="49"/>
    </row>
    <row r="4274" spans="5:13">
      <c r="E4274" s="49"/>
      <c r="F4274" s="49"/>
      <c r="G4274" s="49"/>
      <c r="H4274" s="49"/>
      <c r="I4274" s="49"/>
      <c r="J4274" s="49"/>
      <c r="K4274" s="49"/>
      <c r="L4274" s="49"/>
      <c r="M4274" s="49"/>
    </row>
    <row r="4275" spans="5:13">
      <c r="E4275" s="49"/>
      <c r="F4275" s="49"/>
      <c r="G4275" s="49"/>
      <c r="H4275" s="49"/>
      <c r="I4275" s="49"/>
      <c r="J4275" s="49"/>
      <c r="K4275" s="49"/>
      <c r="L4275" s="49"/>
      <c r="M4275" s="49"/>
    </row>
    <row r="4276" spans="5:13">
      <c r="E4276" s="49"/>
      <c r="F4276" s="49"/>
      <c r="G4276" s="49"/>
      <c r="H4276" s="49"/>
      <c r="I4276" s="49"/>
      <c r="J4276" s="49"/>
      <c r="K4276" s="49"/>
      <c r="L4276" s="49"/>
      <c r="M4276" s="49"/>
    </row>
    <row r="4277" spans="5:13">
      <c r="E4277" s="49"/>
      <c r="F4277" s="49"/>
      <c r="G4277" s="49"/>
      <c r="H4277" s="49"/>
      <c r="I4277" s="49"/>
      <c r="J4277" s="49"/>
      <c r="K4277" s="49"/>
      <c r="L4277" s="49"/>
      <c r="M4277" s="49"/>
    </row>
    <row r="4278" spans="5:13">
      <c r="E4278" s="49"/>
      <c r="F4278" s="49"/>
      <c r="G4278" s="49"/>
      <c r="H4278" s="49"/>
      <c r="I4278" s="49"/>
      <c r="J4278" s="49"/>
      <c r="K4278" s="49"/>
      <c r="L4278" s="49"/>
      <c r="M4278" s="49"/>
    </row>
    <row r="4279" spans="5:13">
      <c r="E4279" s="49"/>
      <c r="F4279" s="49"/>
      <c r="G4279" s="49"/>
      <c r="H4279" s="49"/>
      <c r="I4279" s="49"/>
      <c r="J4279" s="49"/>
      <c r="K4279" s="49"/>
      <c r="L4279" s="49"/>
      <c r="M4279" s="49"/>
    </row>
    <row r="4280" spans="5:13">
      <c r="E4280" s="49"/>
      <c r="F4280" s="49"/>
      <c r="G4280" s="49"/>
      <c r="H4280" s="49"/>
      <c r="I4280" s="49"/>
      <c r="J4280" s="49"/>
      <c r="K4280" s="49"/>
      <c r="L4280" s="49"/>
      <c r="M4280" s="49"/>
    </row>
    <row r="4281" spans="5:13">
      <c r="E4281" s="49"/>
      <c r="F4281" s="49"/>
      <c r="G4281" s="49"/>
      <c r="H4281" s="49"/>
      <c r="I4281" s="49"/>
      <c r="J4281" s="49"/>
      <c r="K4281" s="49"/>
      <c r="L4281" s="49"/>
      <c r="M4281" s="49"/>
    </row>
    <row r="4282" spans="5:13">
      <c r="E4282" s="49"/>
      <c r="F4282" s="49"/>
      <c r="G4282" s="49"/>
      <c r="H4282" s="49"/>
      <c r="I4282" s="49"/>
      <c r="J4282" s="49"/>
      <c r="K4282" s="49"/>
      <c r="L4282" s="49"/>
      <c r="M4282" s="49"/>
    </row>
    <row r="4283" spans="5:13">
      <c r="E4283" s="49"/>
      <c r="F4283" s="49"/>
      <c r="G4283" s="49"/>
      <c r="H4283" s="49"/>
      <c r="I4283" s="49"/>
      <c r="J4283" s="49"/>
      <c r="K4283" s="49"/>
      <c r="L4283" s="49"/>
      <c r="M4283" s="49"/>
    </row>
    <row r="4284" spans="5:13">
      <c r="E4284" s="49"/>
      <c r="F4284" s="49"/>
      <c r="G4284" s="49"/>
      <c r="H4284" s="49"/>
      <c r="I4284" s="49"/>
      <c r="J4284" s="49"/>
      <c r="K4284" s="49"/>
      <c r="L4284" s="49"/>
      <c r="M4284" s="49"/>
    </row>
    <row r="4285" spans="5:13">
      <c r="E4285" s="49"/>
      <c r="F4285" s="49"/>
      <c r="G4285" s="49"/>
      <c r="H4285" s="49"/>
      <c r="I4285" s="49"/>
      <c r="J4285" s="49"/>
      <c r="K4285" s="49"/>
      <c r="L4285" s="49"/>
      <c r="M4285" s="49"/>
    </row>
    <row r="4286" spans="5:13">
      <c r="E4286" s="49"/>
      <c r="F4286" s="49"/>
      <c r="G4286" s="49"/>
      <c r="H4286" s="49"/>
      <c r="I4286" s="49"/>
      <c r="J4286" s="49"/>
      <c r="K4286" s="49"/>
      <c r="L4286" s="49"/>
      <c r="M4286" s="49"/>
    </row>
    <row r="4287" spans="5:13">
      <c r="E4287" s="49"/>
      <c r="F4287" s="49"/>
      <c r="G4287" s="49"/>
      <c r="H4287" s="49"/>
      <c r="I4287" s="49"/>
      <c r="J4287" s="49"/>
      <c r="K4287" s="49"/>
      <c r="L4287" s="49"/>
      <c r="M4287" s="49"/>
    </row>
    <row r="4288" spans="5:13">
      <c r="E4288" s="49"/>
      <c r="F4288" s="49"/>
      <c r="G4288" s="49"/>
      <c r="H4288" s="49"/>
      <c r="I4288" s="49"/>
      <c r="J4288" s="49"/>
      <c r="K4288" s="49"/>
      <c r="L4288" s="49"/>
      <c r="M4288" s="49"/>
    </row>
    <row r="4289" spans="5:13">
      <c r="E4289" s="49"/>
      <c r="F4289" s="49"/>
      <c r="G4289" s="49"/>
      <c r="H4289" s="49"/>
      <c r="I4289" s="49"/>
      <c r="J4289" s="49"/>
      <c r="K4289" s="49"/>
      <c r="L4289" s="49"/>
      <c r="M4289" s="49"/>
    </row>
    <row r="4290" spans="5:13">
      <c r="E4290" s="49"/>
      <c r="F4290" s="49"/>
      <c r="G4290" s="49"/>
      <c r="H4290" s="49"/>
      <c r="I4290" s="49"/>
      <c r="J4290" s="49"/>
      <c r="K4290" s="49"/>
      <c r="L4290" s="49"/>
      <c r="M4290" s="49"/>
    </row>
    <row r="4291" spans="5:13">
      <c r="E4291" s="49"/>
      <c r="F4291" s="49"/>
      <c r="G4291" s="49"/>
      <c r="H4291" s="49"/>
      <c r="I4291" s="49"/>
      <c r="J4291" s="49"/>
      <c r="K4291" s="49"/>
      <c r="L4291" s="49"/>
      <c r="M4291" s="49"/>
    </row>
    <row r="4292" spans="5:13">
      <c r="E4292" s="49"/>
      <c r="F4292" s="49"/>
      <c r="G4292" s="49"/>
      <c r="H4292" s="49"/>
      <c r="I4292" s="49"/>
      <c r="J4292" s="49"/>
      <c r="K4292" s="49"/>
      <c r="L4292" s="49"/>
      <c r="M4292" s="49"/>
    </row>
    <row r="4293" spans="5:13">
      <c r="E4293" s="49"/>
      <c r="F4293" s="49"/>
      <c r="G4293" s="49"/>
      <c r="H4293" s="49"/>
      <c r="I4293" s="49"/>
      <c r="J4293" s="49"/>
      <c r="K4293" s="49"/>
      <c r="L4293" s="49"/>
      <c r="M4293" s="49"/>
    </row>
    <row r="4294" spans="5:13">
      <c r="E4294" s="49"/>
      <c r="F4294" s="49"/>
      <c r="G4294" s="49"/>
      <c r="H4294" s="49"/>
      <c r="I4294" s="49"/>
      <c r="J4294" s="49"/>
      <c r="K4294" s="49"/>
      <c r="L4294" s="49"/>
      <c r="M4294" s="49"/>
    </row>
    <row r="4295" spans="5:13">
      <c r="E4295" s="49"/>
      <c r="F4295" s="49"/>
      <c r="G4295" s="49"/>
      <c r="H4295" s="49"/>
      <c r="I4295" s="49"/>
      <c r="J4295" s="49"/>
      <c r="K4295" s="49"/>
      <c r="L4295" s="49"/>
      <c r="M4295" s="49"/>
    </row>
    <row r="4296" spans="5:13">
      <c r="E4296" s="49"/>
      <c r="F4296" s="49"/>
      <c r="G4296" s="49"/>
      <c r="H4296" s="49"/>
      <c r="I4296" s="49"/>
      <c r="J4296" s="49"/>
      <c r="K4296" s="49"/>
      <c r="L4296" s="49"/>
      <c r="M4296" s="49"/>
    </row>
    <row r="4297" spans="5:13">
      <c r="E4297" s="49"/>
      <c r="F4297" s="49"/>
      <c r="G4297" s="49"/>
      <c r="H4297" s="49"/>
      <c r="I4297" s="49"/>
      <c r="J4297" s="49"/>
      <c r="K4297" s="49"/>
      <c r="L4297" s="49"/>
      <c r="M4297" s="49"/>
    </row>
    <row r="4298" spans="5:13">
      <c r="E4298" s="49"/>
      <c r="F4298" s="49"/>
      <c r="G4298" s="49"/>
      <c r="H4298" s="49"/>
      <c r="I4298" s="49"/>
      <c r="J4298" s="49"/>
      <c r="K4298" s="49"/>
      <c r="L4298" s="49"/>
      <c r="M4298" s="49"/>
    </row>
    <row r="4299" spans="5:13">
      <c r="E4299" s="49"/>
      <c r="F4299" s="49"/>
      <c r="G4299" s="49"/>
      <c r="H4299" s="49"/>
      <c r="I4299" s="49"/>
      <c r="J4299" s="49"/>
      <c r="K4299" s="49"/>
      <c r="L4299" s="49"/>
      <c r="M4299" s="49"/>
    </row>
    <row r="4300" spans="5:13">
      <c r="E4300" s="49"/>
      <c r="F4300" s="49"/>
      <c r="G4300" s="49"/>
      <c r="H4300" s="49"/>
      <c r="I4300" s="49"/>
      <c r="J4300" s="49"/>
      <c r="K4300" s="49"/>
      <c r="L4300" s="49"/>
      <c r="M4300" s="49"/>
    </row>
    <row r="4301" spans="5:13">
      <c r="E4301" s="49"/>
      <c r="F4301" s="49"/>
      <c r="G4301" s="49"/>
      <c r="H4301" s="49"/>
      <c r="I4301" s="49"/>
      <c r="J4301" s="49"/>
      <c r="K4301" s="49"/>
      <c r="L4301" s="49"/>
      <c r="M4301" s="49"/>
    </row>
    <row r="4302" spans="5:13">
      <c r="E4302" s="49"/>
      <c r="F4302" s="49"/>
      <c r="G4302" s="49"/>
      <c r="H4302" s="49"/>
      <c r="I4302" s="49"/>
      <c r="J4302" s="49"/>
      <c r="K4302" s="49"/>
      <c r="L4302" s="49"/>
      <c r="M4302" s="49"/>
    </row>
    <row r="4303" spans="5:13">
      <c r="E4303" s="49"/>
      <c r="F4303" s="49"/>
      <c r="G4303" s="49"/>
      <c r="H4303" s="49"/>
      <c r="I4303" s="49"/>
      <c r="J4303" s="49"/>
      <c r="K4303" s="49"/>
      <c r="L4303" s="49"/>
      <c r="M4303" s="49"/>
    </row>
    <row r="4304" spans="5:13">
      <c r="E4304" s="49"/>
      <c r="F4304" s="49"/>
      <c r="G4304" s="49"/>
      <c r="H4304" s="49"/>
      <c r="I4304" s="49"/>
      <c r="J4304" s="49"/>
      <c r="K4304" s="49"/>
      <c r="L4304" s="49"/>
      <c r="M4304" s="49"/>
    </row>
    <row r="4305" spans="5:13">
      <c r="E4305" s="49"/>
      <c r="F4305" s="49"/>
      <c r="G4305" s="49"/>
      <c r="H4305" s="49"/>
      <c r="I4305" s="49"/>
      <c r="J4305" s="49"/>
      <c r="K4305" s="49"/>
      <c r="L4305" s="49"/>
      <c r="M4305" s="49"/>
    </row>
    <row r="4306" spans="5:13">
      <c r="E4306" s="49"/>
      <c r="F4306" s="49"/>
      <c r="G4306" s="49"/>
      <c r="H4306" s="49"/>
      <c r="I4306" s="49"/>
      <c r="J4306" s="49"/>
      <c r="K4306" s="49"/>
      <c r="L4306" s="49"/>
      <c r="M4306" s="49"/>
    </row>
    <row r="4307" spans="5:13">
      <c r="E4307" s="49"/>
      <c r="F4307" s="49"/>
      <c r="G4307" s="49"/>
      <c r="H4307" s="49"/>
      <c r="I4307" s="49"/>
      <c r="J4307" s="49"/>
      <c r="K4307" s="49"/>
      <c r="L4307" s="49"/>
      <c r="M4307" s="49"/>
    </row>
    <row r="4308" spans="5:13">
      <c r="E4308" s="49"/>
      <c r="F4308" s="49"/>
      <c r="G4308" s="49"/>
      <c r="H4308" s="49"/>
      <c r="I4308" s="49"/>
      <c r="J4308" s="49"/>
      <c r="K4308" s="49"/>
      <c r="L4308" s="49"/>
      <c r="M4308" s="49"/>
    </row>
    <row r="4309" spans="5:13">
      <c r="E4309" s="49"/>
      <c r="F4309" s="49"/>
      <c r="G4309" s="49"/>
      <c r="H4309" s="49"/>
      <c r="I4309" s="49"/>
      <c r="J4309" s="49"/>
      <c r="K4309" s="49"/>
      <c r="L4309" s="49"/>
      <c r="M4309" s="49"/>
    </row>
    <row r="4310" spans="5:13">
      <c r="E4310" s="49"/>
      <c r="F4310" s="49"/>
      <c r="G4310" s="49"/>
      <c r="H4310" s="49"/>
      <c r="I4310" s="49"/>
      <c r="J4310" s="49"/>
      <c r="K4310" s="49"/>
      <c r="L4310" s="49"/>
      <c r="M4310" s="49"/>
    </row>
    <row r="4311" spans="5:13">
      <c r="E4311" s="49"/>
      <c r="F4311" s="49"/>
      <c r="G4311" s="49"/>
      <c r="H4311" s="49"/>
      <c r="I4311" s="49"/>
      <c r="J4311" s="49"/>
      <c r="K4311" s="49"/>
      <c r="L4311" s="49"/>
      <c r="M4311" s="49"/>
    </row>
    <row r="4312" spans="5:13">
      <c r="E4312" s="49"/>
      <c r="F4312" s="49"/>
      <c r="G4312" s="49"/>
      <c r="H4312" s="49"/>
      <c r="I4312" s="49"/>
      <c r="J4312" s="49"/>
      <c r="K4312" s="49"/>
      <c r="L4312" s="49"/>
      <c r="M4312" s="49"/>
    </row>
    <row r="4313" spans="5:13">
      <c r="E4313" s="49"/>
      <c r="F4313" s="49"/>
      <c r="G4313" s="49"/>
      <c r="H4313" s="49"/>
      <c r="I4313" s="49"/>
      <c r="J4313" s="49"/>
      <c r="K4313" s="49"/>
      <c r="L4313" s="49"/>
      <c r="M4313" s="49"/>
    </row>
    <row r="4314" spans="5:13">
      <c r="E4314" s="49"/>
      <c r="F4314" s="49"/>
      <c r="G4314" s="49"/>
      <c r="H4314" s="49"/>
      <c r="I4314" s="49"/>
      <c r="J4314" s="49"/>
      <c r="K4314" s="49"/>
      <c r="L4314" s="49"/>
      <c r="M4314" s="49"/>
    </row>
    <row r="4315" spans="5:13">
      <c r="E4315" s="49"/>
      <c r="F4315" s="49"/>
      <c r="G4315" s="49"/>
      <c r="H4315" s="49"/>
      <c r="I4315" s="49"/>
      <c r="J4315" s="49"/>
      <c r="K4315" s="49"/>
      <c r="L4315" s="49"/>
      <c r="M4315" s="49"/>
    </row>
    <row r="4316" spans="5:13">
      <c r="E4316" s="49"/>
      <c r="F4316" s="49"/>
      <c r="G4316" s="49"/>
      <c r="H4316" s="49"/>
      <c r="I4316" s="49"/>
      <c r="J4316" s="49"/>
      <c r="K4316" s="49"/>
      <c r="L4316" s="49"/>
      <c r="M4316" s="49"/>
    </row>
    <row r="4317" spans="5:13">
      <c r="E4317" s="49"/>
      <c r="F4317" s="49"/>
      <c r="G4317" s="49"/>
      <c r="H4317" s="49"/>
      <c r="I4317" s="49"/>
      <c r="J4317" s="49"/>
      <c r="K4317" s="49"/>
      <c r="L4317" s="49"/>
      <c r="M4317" s="49"/>
    </row>
    <row r="4318" spans="5:13">
      <c r="E4318" s="49"/>
      <c r="F4318" s="49"/>
      <c r="G4318" s="49"/>
      <c r="H4318" s="49"/>
      <c r="I4318" s="49"/>
      <c r="J4318" s="49"/>
      <c r="K4318" s="49"/>
      <c r="L4318" s="49"/>
      <c r="M4318" s="49"/>
    </row>
    <row r="4319" spans="5:13">
      <c r="E4319" s="49"/>
      <c r="F4319" s="49"/>
      <c r="G4319" s="49"/>
      <c r="H4319" s="49"/>
      <c r="I4319" s="49"/>
      <c r="J4319" s="49"/>
      <c r="K4319" s="49"/>
      <c r="L4319" s="49"/>
      <c r="M4319" s="49"/>
    </row>
    <row r="4320" spans="5:13">
      <c r="E4320" s="49"/>
      <c r="F4320" s="49"/>
      <c r="G4320" s="49"/>
      <c r="H4320" s="49"/>
      <c r="I4320" s="49"/>
      <c r="J4320" s="49"/>
      <c r="K4320" s="49"/>
      <c r="L4320" s="49"/>
      <c r="M4320" s="49"/>
    </row>
    <row r="4321" spans="5:13">
      <c r="E4321" s="49"/>
      <c r="F4321" s="49"/>
      <c r="G4321" s="49"/>
      <c r="H4321" s="49"/>
      <c r="I4321" s="49"/>
      <c r="J4321" s="49"/>
      <c r="K4321" s="49"/>
      <c r="L4321" s="49"/>
      <c r="M4321" s="49"/>
    </row>
    <row r="4322" spans="5:13">
      <c r="E4322" s="49"/>
      <c r="F4322" s="49"/>
      <c r="G4322" s="49"/>
      <c r="H4322" s="49"/>
      <c r="I4322" s="49"/>
      <c r="J4322" s="49"/>
      <c r="K4322" s="49"/>
      <c r="L4322" s="49"/>
      <c r="M4322" s="49"/>
    </row>
    <row r="4323" spans="5:13">
      <c r="E4323" s="49"/>
      <c r="F4323" s="49"/>
      <c r="G4323" s="49"/>
      <c r="H4323" s="49"/>
      <c r="I4323" s="49"/>
      <c r="J4323" s="49"/>
      <c r="K4323" s="49"/>
      <c r="L4323" s="49"/>
      <c r="M4323" s="49"/>
    </row>
    <row r="4324" spans="5:13">
      <c r="E4324" s="49"/>
      <c r="F4324" s="49"/>
      <c r="G4324" s="49"/>
      <c r="H4324" s="49"/>
      <c r="I4324" s="49"/>
      <c r="J4324" s="49"/>
      <c r="K4324" s="49"/>
      <c r="L4324" s="49"/>
      <c r="M4324" s="49"/>
    </row>
    <row r="4325" spans="5:13">
      <c r="E4325" s="49"/>
      <c r="F4325" s="49"/>
      <c r="G4325" s="49"/>
      <c r="H4325" s="49"/>
      <c r="I4325" s="49"/>
      <c r="J4325" s="49"/>
      <c r="K4325" s="49"/>
      <c r="L4325" s="49"/>
      <c r="M4325" s="49"/>
    </row>
    <row r="4326" spans="5:13">
      <c r="E4326" s="49"/>
      <c r="F4326" s="49"/>
      <c r="G4326" s="49"/>
      <c r="H4326" s="49"/>
      <c r="I4326" s="49"/>
      <c r="J4326" s="49"/>
      <c r="K4326" s="49"/>
      <c r="L4326" s="49"/>
      <c r="M4326" s="49"/>
    </row>
    <row r="4327" spans="5:13">
      <c r="E4327" s="49"/>
      <c r="F4327" s="49"/>
      <c r="G4327" s="49"/>
      <c r="H4327" s="49"/>
      <c r="I4327" s="49"/>
      <c r="J4327" s="49"/>
      <c r="K4327" s="49"/>
      <c r="L4327" s="49"/>
      <c r="M4327" s="49"/>
    </row>
    <row r="4328" spans="5:13">
      <c r="E4328" s="49"/>
      <c r="F4328" s="49"/>
      <c r="G4328" s="49"/>
      <c r="H4328" s="49"/>
      <c r="I4328" s="49"/>
      <c r="J4328" s="49"/>
      <c r="K4328" s="49"/>
      <c r="L4328" s="49"/>
      <c r="M4328" s="49"/>
    </row>
    <row r="4329" spans="5:13">
      <c r="E4329" s="49"/>
      <c r="F4329" s="49"/>
      <c r="G4329" s="49"/>
      <c r="H4329" s="49"/>
      <c r="I4329" s="49"/>
      <c r="J4329" s="49"/>
      <c r="K4329" s="49"/>
      <c r="L4329" s="49"/>
      <c r="M4329" s="49"/>
    </row>
    <row r="4330" spans="5:13">
      <c r="E4330" s="49"/>
      <c r="F4330" s="49"/>
      <c r="G4330" s="49"/>
      <c r="H4330" s="49"/>
      <c r="I4330" s="49"/>
      <c r="J4330" s="49"/>
      <c r="K4330" s="49"/>
      <c r="L4330" s="49"/>
      <c r="M4330" s="49"/>
    </row>
    <row r="4331" spans="5:13">
      <c r="E4331" s="49"/>
      <c r="F4331" s="49"/>
      <c r="G4331" s="49"/>
      <c r="H4331" s="49"/>
      <c r="I4331" s="49"/>
      <c r="J4331" s="49"/>
      <c r="K4331" s="49"/>
      <c r="L4331" s="49"/>
      <c r="M4331" s="49"/>
    </row>
    <row r="4332" spans="5:13">
      <c r="E4332" s="49"/>
      <c r="F4332" s="49"/>
      <c r="G4332" s="49"/>
      <c r="H4332" s="49"/>
      <c r="I4332" s="49"/>
      <c r="J4332" s="49"/>
      <c r="K4332" s="49"/>
      <c r="L4332" s="49"/>
      <c r="M4332" s="49"/>
    </row>
    <row r="4333" spans="5:13">
      <c r="E4333" s="49"/>
      <c r="F4333" s="49"/>
      <c r="G4333" s="49"/>
      <c r="H4333" s="49"/>
      <c r="I4333" s="49"/>
      <c r="J4333" s="49"/>
      <c r="K4333" s="49"/>
      <c r="L4333" s="49"/>
      <c r="M4333" s="49"/>
    </row>
    <row r="4334" spans="5:13">
      <c r="E4334" s="49"/>
      <c r="F4334" s="49"/>
      <c r="G4334" s="49"/>
      <c r="H4334" s="49"/>
      <c r="I4334" s="49"/>
      <c r="J4334" s="49"/>
      <c r="K4334" s="49"/>
      <c r="L4334" s="49"/>
      <c r="M4334" s="49"/>
    </row>
    <row r="4335" spans="5:13">
      <c r="E4335" s="49"/>
      <c r="F4335" s="49"/>
      <c r="G4335" s="49"/>
      <c r="H4335" s="49"/>
      <c r="I4335" s="49"/>
      <c r="J4335" s="49"/>
      <c r="K4335" s="49"/>
      <c r="L4335" s="49"/>
      <c r="M4335" s="49"/>
    </row>
    <row r="4336" spans="5:13">
      <c r="E4336" s="49"/>
      <c r="F4336" s="49"/>
      <c r="G4336" s="49"/>
      <c r="H4336" s="49"/>
      <c r="I4336" s="49"/>
      <c r="J4336" s="49"/>
      <c r="K4336" s="49"/>
      <c r="L4336" s="49"/>
      <c r="M4336" s="49"/>
    </row>
    <row r="4337" spans="5:13">
      <c r="E4337" s="49"/>
      <c r="F4337" s="49"/>
      <c r="G4337" s="49"/>
      <c r="H4337" s="49"/>
      <c r="I4337" s="49"/>
      <c r="J4337" s="49"/>
      <c r="K4337" s="49"/>
      <c r="L4337" s="49"/>
      <c r="M4337" s="49"/>
    </row>
    <row r="4338" spans="5:13">
      <c r="E4338" s="49"/>
      <c r="F4338" s="49"/>
      <c r="G4338" s="49"/>
      <c r="H4338" s="49"/>
      <c r="I4338" s="49"/>
      <c r="J4338" s="49"/>
      <c r="K4338" s="49"/>
      <c r="L4338" s="49"/>
      <c r="M4338" s="49"/>
    </row>
    <row r="4339" spans="5:13">
      <c r="E4339" s="49"/>
      <c r="F4339" s="49"/>
      <c r="G4339" s="49"/>
      <c r="H4339" s="49"/>
      <c r="I4339" s="49"/>
      <c r="J4339" s="49"/>
      <c r="K4339" s="49"/>
      <c r="L4339" s="49"/>
      <c r="M4339" s="49"/>
    </row>
    <row r="4340" spans="5:13">
      <c r="E4340" s="49"/>
      <c r="F4340" s="49"/>
      <c r="G4340" s="49"/>
      <c r="H4340" s="49"/>
      <c r="I4340" s="49"/>
      <c r="J4340" s="49"/>
      <c r="K4340" s="49"/>
      <c r="L4340" s="49"/>
      <c r="M4340" s="49"/>
    </row>
    <row r="4341" spans="5:13">
      <c r="E4341" s="49"/>
      <c r="F4341" s="49"/>
      <c r="G4341" s="49"/>
      <c r="H4341" s="49"/>
      <c r="I4341" s="49"/>
      <c r="J4341" s="49"/>
      <c r="K4341" s="49"/>
      <c r="L4341" s="49"/>
      <c r="M4341" s="49"/>
    </row>
    <row r="4342" spans="5:13">
      <c r="E4342" s="49"/>
      <c r="F4342" s="49"/>
      <c r="G4342" s="49"/>
      <c r="H4342" s="49"/>
      <c r="I4342" s="49"/>
      <c r="J4342" s="49"/>
      <c r="K4342" s="49"/>
      <c r="L4342" s="49"/>
      <c r="M4342" s="49"/>
    </row>
    <row r="4343" spans="5:13">
      <c r="E4343" s="49"/>
      <c r="F4343" s="49"/>
      <c r="G4343" s="49"/>
      <c r="H4343" s="49"/>
      <c r="I4343" s="49"/>
      <c r="J4343" s="49"/>
      <c r="K4343" s="49"/>
      <c r="L4343" s="49"/>
      <c r="M4343" s="49"/>
    </row>
    <row r="4344" spans="5:13">
      <c r="E4344" s="49"/>
      <c r="F4344" s="49"/>
      <c r="G4344" s="49"/>
      <c r="H4344" s="49"/>
      <c r="I4344" s="49"/>
      <c r="J4344" s="49"/>
      <c r="K4344" s="49"/>
      <c r="L4344" s="49"/>
      <c r="M4344" s="49"/>
    </row>
    <row r="4345" spans="5:13">
      <c r="E4345" s="49"/>
      <c r="F4345" s="49"/>
      <c r="G4345" s="49"/>
      <c r="H4345" s="49"/>
      <c r="I4345" s="49"/>
      <c r="J4345" s="49"/>
      <c r="K4345" s="49"/>
      <c r="L4345" s="49"/>
      <c r="M4345" s="49"/>
    </row>
    <row r="4346" spans="5:13">
      <c r="E4346" s="49"/>
      <c r="F4346" s="49"/>
      <c r="G4346" s="49"/>
      <c r="H4346" s="49"/>
      <c r="I4346" s="49"/>
      <c r="J4346" s="49"/>
      <c r="K4346" s="49"/>
      <c r="L4346" s="49"/>
      <c r="M4346" s="49"/>
    </row>
    <row r="4347" spans="5:13">
      <c r="E4347" s="49"/>
      <c r="F4347" s="49"/>
      <c r="G4347" s="49"/>
      <c r="H4347" s="49"/>
      <c r="I4347" s="49"/>
      <c r="J4347" s="49"/>
      <c r="K4347" s="49"/>
      <c r="L4347" s="49"/>
      <c r="M4347" s="49"/>
    </row>
    <row r="4348" spans="5:13">
      <c r="E4348" s="49"/>
      <c r="F4348" s="49"/>
      <c r="G4348" s="49"/>
      <c r="H4348" s="49"/>
      <c r="I4348" s="49"/>
      <c r="J4348" s="49"/>
      <c r="K4348" s="49"/>
      <c r="L4348" s="49"/>
      <c r="M4348" s="49"/>
    </row>
    <row r="4349" spans="5:13">
      <c r="E4349" s="49"/>
      <c r="F4349" s="49"/>
      <c r="G4349" s="49"/>
      <c r="H4349" s="49"/>
      <c r="I4349" s="49"/>
      <c r="J4349" s="49"/>
      <c r="K4349" s="49"/>
      <c r="L4349" s="49"/>
      <c r="M4349" s="49"/>
    </row>
    <row r="4350" spans="5:13">
      <c r="E4350" s="49"/>
      <c r="F4350" s="49"/>
      <c r="G4350" s="49"/>
      <c r="H4350" s="49"/>
      <c r="I4350" s="49"/>
      <c r="J4350" s="49"/>
      <c r="K4350" s="49"/>
      <c r="L4350" s="49"/>
      <c r="M4350" s="49"/>
    </row>
    <row r="4351" spans="5:13">
      <c r="E4351" s="49"/>
      <c r="F4351" s="49"/>
      <c r="G4351" s="49"/>
      <c r="H4351" s="49"/>
      <c r="I4351" s="49"/>
      <c r="J4351" s="49"/>
      <c r="K4351" s="49"/>
      <c r="L4351" s="49"/>
      <c r="M4351" s="49"/>
    </row>
    <row r="4352" spans="5:13">
      <c r="E4352" s="49"/>
      <c r="F4352" s="49"/>
      <c r="G4352" s="49"/>
      <c r="H4352" s="49"/>
      <c r="I4352" s="49"/>
      <c r="J4352" s="49"/>
      <c r="K4352" s="49"/>
      <c r="L4352" s="49"/>
      <c r="M4352" s="49"/>
    </row>
    <row r="4353" spans="5:13">
      <c r="E4353" s="49"/>
      <c r="F4353" s="49"/>
      <c r="G4353" s="49"/>
      <c r="H4353" s="49"/>
      <c r="I4353" s="49"/>
      <c r="J4353" s="49"/>
      <c r="K4353" s="49"/>
      <c r="L4353" s="49"/>
      <c r="M4353" s="49"/>
    </row>
    <row r="4354" spans="5:13">
      <c r="E4354" s="49"/>
      <c r="F4354" s="49"/>
      <c r="G4354" s="49"/>
      <c r="H4354" s="49"/>
      <c r="I4354" s="49"/>
      <c r="J4354" s="49"/>
      <c r="K4354" s="49"/>
      <c r="L4354" s="49"/>
      <c r="M4354" s="49"/>
    </row>
    <row r="4355" spans="5:13">
      <c r="E4355" s="49"/>
      <c r="F4355" s="49"/>
      <c r="G4355" s="49"/>
      <c r="H4355" s="49"/>
      <c r="I4355" s="49"/>
      <c r="J4355" s="49"/>
      <c r="K4355" s="49"/>
      <c r="L4355" s="49"/>
      <c r="M4355" s="49"/>
    </row>
    <row r="4356" spans="5:13">
      <c r="E4356" s="49"/>
      <c r="F4356" s="49"/>
      <c r="G4356" s="49"/>
      <c r="H4356" s="49"/>
      <c r="I4356" s="49"/>
      <c r="J4356" s="49"/>
      <c r="K4356" s="49"/>
      <c r="L4356" s="49"/>
      <c r="M4356" s="49"/>
    </row>
    <row r="4357" spans="5:13">
      <c r="E4357" s="49"/>
      <c r="F4357" s="49"/>
      <c r="G4357" s="49"/>
      <c r="H4357" s="49"/>
      <c r="I4357" s="49"/>
      <c r="J4357" s="49"/>
      <c r="K4357" s="49"/>
      <c r="L4357" s="49"/>
      <c r="M4357" s="49"/>
    </row>
    <row r="4358" spans="5:13">
      <c r="E4358" s="49"/>
      <c r="F4358" s="49"/>
      <c r="G4358" s="49"/>
      <c r="H4358" s="49"/>
      <c r="I4358" s="49"/>
      <c r="J4358" s="49"/>
      <c r="K4358" s="49"/>
      <c r="L4358" s="49"/>
      <c r="M4358" s="49"/>
    </row>
    <row r="4359" spans="5:13">
      <c r="E4359" s="49"/>
      <c r="F4359" s="49"/>
      <c r="G4359" s="49"/>
      <c r="H4359" s="49"/>
      <c r="I4359" s="49"/>
      <c r="J4359" s="49"/>
      <c r="K4359" s="49"/>
      <c r="L4359" s="49"/>
      <c r="M4359" s="49"/>
    </row>
    <row r="4360" spans="5:13">
      <c r="E4360" s="49"/>
      <c r="F4360" s="49"/>
      <c r="G4360" s="49"/>
      <c r="H4360" s="49"/>
      <c r="I4360" s="49"/>
      <c r="J4360" s="49"/>
      <c r="K4360" s="49"/>
      <c r="L4360" s="49"/>
      <c r="M4360" s="49"/>
    </row>
    <row r="4361" spans="5:13">
      <c r="E4361" s="49"/>
      <c r="F4361" s="49"/>
      <c r="G4361" s="49"/>
      <c r="H4361" s="49"/>
      <c r="I4361" s="49"/>
      <c r="J4361" s="49"/>
      <c r="K4361" s="49"/>
      <c r="L4361" s="49"/>
      <c r="M4361" s="49"/>
    </row>
    <row r="4362" spans="5:13">
      <c r="E4362" s="49"/>
      <c r="F4362" s="49"/>
      <c r="G4362" s="49"/>
      <c r="H4362" s="49"/>
      <c r="I4362" s="49"/>
      <c r="J4362" s="49"/>
      <c r="K4362" s="49"/>
      <c r="L4362" s="49"/>
      <c r="M4362" s="49"/>
    </row>
    <row r="4363" spans="5:13">
      <c r="E4363" s="49"/>
      <c r="F4363" s="49"/>
      <c r="G4363" s="49"/>
      <c r="H4363" s="49"/>
      <c r="I4363" s="49"/>
      <c r="J4363" s="49"/>
      <c r="K4363" s="49"/>
      <c r="L4363" s="49"/>
      <c r="M4363" s="49"/>
    </row>
    <row r="4364" spans="5:13">
      <c r="E4364" s="49"/>
      <c r="F4364" s="49"/>
      <c r="G4364" s="49"/>
      <c r="H4364" s="49"/>
      <c r="I4364" s="49"/>
      <c r="J4364" s="49"/>
      <c r="K4364" s="49"/>
      <c r="L4364" s="49"/>
      <c r="M4364" s="49"/>
    </row>
    <row r="4365" spans="5:13">
      <c r="E4365" s="49"/>
      <c r="F4365" s="49"/>
      <c r="G4365" s="49"/>
      <c r="H4365" s="49"/>
      <c r="I4365" s="49"/>
      <c r="J4365" s="49"/>
      <c r="K4365" s="49"/>
      <c r="L4365" s="49"/>
      <c r="M4365" s="49"/>
    </row>
    <row r="4366" spans="5:13">
      <c r="E4366" s="49"/>
      <c r="F4366" s="49"/>
      <c r="G4366" s="49"/>
      <c r="H4366" s="49"/>
      <c r="I4366" s="49"/>
      <c r="J4366" s="49"/>
      <c r="K4366" s="49"/>
      <c r="L4366" s="49"/>
      <c r="M4366" s="49"/>
    </row>
    <row r="4367" spans="5:13">
      <c r="E4367" s="49"/>
      <c r="F4367" s="49"/>
      <c r="G4367" s="49"/>
      <c r="H4367" s="49"/>
      <c r="I4367" s="49"/>
      <c r="J4367" s="49"/>
      <c r="K4367" s="49"/>
      <c r="L4367" s="49"/>
      <c r="M4367" s="49"/>
    </row>
    <row r="4368" spans="5:13">
      <c r="E4368" s="49"/>
      <c r="F4368" s="49"/>
      <c r="G4368" s="49"/>
      <c r="H4368" s="49"/>
      <c r="I4368" s="49"/>
      <c r="J4368" s="49"/>
      <c r="K4368" s="49"/>
      <c r="L4368" s="49"/>
      <c r="M4368" s="49"/>
    </row>
    <row r="4369" spans="5:13">
      <c r="E4369" s="49"/>
      <c r="F4369" s="49"/>
      <c r="G4369" s="49"/>
      <c r="H4369" s="49"/>
      <c r="I4369" s="49"/>
      <c r="J4369" s="49"/>
      <c r="K4369" s="49"/>
      <c r="L4369" s="49"/>
      <c r="M4369" s="49"/>
    </row>
    <row r="4370" spans="5:13">
      <c r="E4370" s="49"/>
      <c r="F4370" s="49"/>
      <c r="G4370" s="49"/>
      <c r="H4370" s="49"/>
      <c r="I4370" s="49"/>
      <c r="J4370" s="49"/>
      <c r="K4370" s="49"/>
      <c r="L4370" s="49"/>
      <c r="M4370" s="49"/>
    </row>
    <row r="4371" spans="5:13">
      <c r="E4371" s="49"/>
      <c r="F4371" s="49"/>
      <c r="G4371" s="49"/>
      <c r="H4371" s="49"/>
      <c r="I4371" s="49"/>
      <c r="J4371" s="49"/>
      <c r="K4371" s="49"/>
      <c r="L4371" s="49"/>
      <c r="M4371" s="49"/>
    </row>
    <row r="4372" spans="5:13">
      <c r="E4372" s="49"/>
      <c r="F4372" s="49"/>
      <c r="G4372" s="49"/>
      <c r="H4372" s="49"/>
      <c r="I4372" s="49"/>
      <c r="J4372" s="49"/>
      <c r="K4372" s="49"/>
      <c r="L4372" s="49"/>
      <c r="M4372" s="49"/>
    </row>
    <row r="4373" spans="5:13">
      <c r="E4373" s="49"/>
      <c r="F4373" s="49"/>
      <c r="G4373" s="49"/>
      <c r="H4373" s="49"/>
      <c r="I4373" s="49"/>
      <c r="J4373" s="49"/>
      <c r="K4373" s="49"/>
      <c r="L4373" s="49"/>
      <c r="M4373" s="49"/>
    </row>
    <row r="4374" spans="5:13">
      <c r="E4374" s="49"/>
      <c r="F4374" s="49"/>
      <c r="G4374" s="49"/>
      <c r="H4374" s="49"/>
      <c r="I4374" s="49"/>
      <c r="J4374" s="49"/>
      <c r="K4374" s="49"/>
      <c r="L4374" s="49"/>
      <c r="M4374" s="49"/>
    </row>
    <row r="4375" spans="5:13">
      <c r="E4375" s="49"/>
      <c r="F4375" s="49"/>
      <c r="G4375" s="49"/>
      <c r="H4375" s="49"/>
      <c r="I4375" s="49"/>
      <c r="J4375" s="49"/>
      <c r="K4375" s="49"/>
      <c r="L4375" s="49"/>
      <c r="M4375" s="49"/>
    </row>
    <row r="4376" spans="5:13">
      <c r="E4376" s="49"/>
      <c r="F4376" s="49"/>
      <c r="G4376" s="49"/>
      <c r="H4376" s="49"/>
      <c r="I4376" s="49"/>
      <c r="J4376" s="49"/>
      <c r="K4376" s="49"/>
      <c r="L4376" s="49"/>
      <c r="M4376" s="49"/>
    </row>
    <row r="4377" spans="5:13">
      <c r="E4377" s="49"/>
      <c r="F4377" s="49"/>
      <c r="G4377" s="49"/>
      <c r="H4377" s="49"/>
      <c r="I4377" s="49"/>
      <c r="J4377" s="49"/>
      <c r="K4377" s="49"/>
      <c r="L4377" s="49"/>
      <c r="M4377" s="49"/>
    </row>
    <row r="4378" spans="5:13">
      <c r="E4378" s="49"/>
      <c r="F4378" s="49"/>
      <c r="G4378" s="49"/>
      <c r="H4378" s="49"/>
      <c r="I4378" s="49"/>
      <c r="J4378" s="49"/>
      <c r="K4378" s="49"/>
      <c r="L4378" s="49"/>
      <c r="M4378" s="49"/>
    </row>
    <row r="4379" spans="5:13">
      <c r="E4379" s="49"/>
      <c r="F4379" s="49"/>
      <c r="G4379" s="49"/>
      <c r="H4379" s="49"/>
      <c r="I4379" s="49"/>
      <c r="J4379" s="49"/>
      <c r="K4379" s="49"/>
      <c r="L4379" s="49"/>
      <c r="M4379" s="49"/>
    </row>
    <row r="4380" spans="5:13">
      <c r="E4380" s="49"/>
      <c r="F4380" s="49"/>
      <c r="G4380" s="49"/>
      <c r="H4380" s="49"/>
      <c r="I4380" s="49"/>
      <c r="J4380" s="49"/>
      <c r="K4380" s="49"/>
      <c r="L4380" s="49"/>
      <c r="M4380" s="49"/>
    </row>
    <row r="4381" spans="5:13">
      <c r="E4381" s="49"/>
      <c r="F4381" s="49"/>
      <c r="G4381" s="49"/>
      <c r="H4381" s="49"/>
      <c r="I4381" s="49"/>
      <c r="J4381" s="49"/>
      <c r="K4381" s="49"/>
      <c r="L4381" s="49"/>
      <c r="M4381" s="49"/>
    </row>
    <row r="4382" spans="5:13">
      <c r="E4382" s="49"/>
      <c r="F4382" s="49"/>
      <c r="G4382" s="49"/>
      <c r="H4382" s="49"/>
      <c r="I4382" s="49"/>
      <c r="J4382" s="49"/>
      <c r="K4382" s="49"/>
      <c r="L4382" s="49"/>
      <c r="M4382" s="49"/>
    </row>
    <row r="4383" spans="5:13">
      <c r="E4383" s="49"/>
      <c r="F4383" s="49"/>
      <c r="G4383" s="49"/>
      <c r="H4383" s="49"/>
      <c r="I4383" s="49"/>
      <c r="J4383" s="49"/>
      <c r="K4383" s="49"/>
      <c r="L4383" s="49"/>
      <c r="M4383" s="49"/>
    </row>
    <row r="4384" spans="5:13">
      <c r="E4384" s="49"/>
      <c r="F4384" s="49"/>
      <c r="G4384" s="49"/>
      <c r="H4384" s="49"/>
      <c r="I4384" s="49"/>
      <c r="J4384" s="49"/>
      <c r="K4384" s="49"/>
      <c r="L4384" s="49"/>
      <c r="M4384" s="49"/>
    </row>
    <row r="4385" spans="5:13">
      <c r="E4385" s="49"/>
      <c r="F4385" s="49"/>
      <c r="G4385" s="49"/>
      <c r="H4385" s="49"/>
      <c r="I4385" s="49"/>
      <c r="J4385" s="49"/>
      <c r="K4385" s="49"/>
      <c r="L4385" s="49"/>
      <c r="M4385" s="49"/>
    </row>
    <row r="4386" spans="5:13">
      <c r="E4386" s="49"/>
      <c r="F4386" s="49"/>
      <c r="G4386" s="49"/>
      <c r="H4386" s="49"/>
      <c r="I4386" s="49"/>
      <c r="J4386" s="49"/>
      <c r="K4386" s="49"/>
      <c r="L4386" s="49"/>
      <c r="M4386" s="49"/>
    </row>
    <row r="4387" spans="5:13">
      <c r="E4387" s="49"/>
      <c r="F4387" s="49"/>
      <c r="G4387" s="49"/>
      <c r="H4387" s="49"/>
      <c r="I4387" s="49"/>
      <c r="J4387" s="49"/>
      <c r="K4387" s="49"/>
      <c r="L4387" s="49"/>
      <c r="M4387" s="49"/>
    </row>
    <row r="4388" spans="5:13">
      <c r="E4388" s="49"/>
      <c r="F4388" s="49"/>
      <c r="G4388" s="49"/>
      <c r="H4388" s="49"/>
      <c r="I4388" s="49"/>
      <c r="J4388" s="49"/>
      <c r="K4388" s="49"/>
      <c r="L4388" s="49"/>
      <c r="M4388" s="49"/>
    </row>
    <row r="4389" spans="5:13">
      <c r="E4389" s="49"/>
      <c r="F4389" s="49"/>
      <c r="G4389" s="49"/>
      <c r="H4389" s="49"/>
      <c r="I4389" s="49"/>
      <c r="J4389" s="49"/>
      <c r="K4389" s="49"/>
      <c r="L4389" s="49"/>
      <c r="M4389" s="49"/>
    </row>
    <row r="4390" spans="5:13">
      <c r="E4390" s="49"/>
      <c r="F4390" s="49"/>
      <c r="G4390" s="49"/>
      <c r="H4390" s="49"/>
      <c r="I4390" s="49"/>
      <c r="J4390" s="49"/>
      <c r="K4390" s="49"/>
      <c r="L4390" s="49"/>
      <c r="M4390" s="49"/>
    </row>
    <row r="4391" spans="5:13">
      <c r="E4391" s="49"/>
      <c r="F4391" s="49"/>
      <c r="G4391" s="49"/>
      <c r="H4391" s="49"/>
      <c r="I4391" s="49"/>
      <c r="J4391" s="49"/>
      <c r="K4391" s="49"/>
      <c r="L4391" s="49"/>
      <c r="M4391" s="49"/>
    </row>
    <row r="4392" spans="5:13">
      <c r="E4392" s="49"/>
      <c r="F4392" s="49"/>
      <c r="G4392" s="49"/>
      <c r="H4392" s="49"/>
      <c r="I4392" s="49"/>
      <c r="J4392" s="49"/>
      <c r="K4392" s="49"/>
      <c r="L4392" s="49"/>
      <c r="M4392" s="49"/>
    </row>
    <row r="4393" spans="5:13">
      <c r="E4393" s="49"/>
      <c r="F4393" s="49"/>
      <c r="G4393" s="49"/>
      <c r="H4393" s="49"/>
      <c r="I4393" s="49"/>
      <c r="J4393" s="49"/>
      <c r="K4393" s="49"/>
      <c r="L4393" s="49"/>
      <c r="M4393" s="49"/>
    </row>
    <row r="4394" spans="5:13">
      <c r="E4394" s="49"/>
      <c r="F4394" s="49"/>
      <c r="G4394" s="49"/>
      <c r="H4394" s="49"/>
      <c r="I4394" s="49"/>
      <c r="J4394" s="49"/>
      <c r="K4394" s="49"/>
      <c r="L4394" s="49"/>
      <c r="M4394" s="49"/>
    </row>
    <row r="4395" spans="5:13">
      <c r="E4395" s="49"/>
      <c r="F4395" s="49"/>
      <c r="G4395" s="49"/>
      <c r="H4395" s="49"/>
      <c r="I4395" s="49"/>
      <c r="J4395" s="49"/>
      <c r="K4395" s="49"/>
      <c r="L4395" s="49"/>
      <c r="M4395" s="49"/>
    </row>
    <row r="4396" spans="5:13">
      <c r="E4396" s="49"/>
      <c r="F4396" s="49"/>
      <c r="G4396" s="49"/>
      <c r="H4396" s="49"/>
      <c r="I4396" s="49"/>
      <c r="J4396" s="49"/>
      <c r="K4396" s="49"/>
      <c r="L4396" s="49"/>
      <c r="M4396" s="49"/>
    </row>
    <row r="4397" spans="5:13">
      <c r="E4397" s="49"/>
      <c r="F4397" s="49"/>
      <c r="G4397" s="49"/>
      <c r="H4397" s="49"/>
      <c r="I4397" s="49"/>
      <c r="J4397" s="49"/>
      <c r="K4397" s="49"/>
      <c r="L4397" s="49"/>
      <c r="M4397" s="49"/>
    </row>
    <row r="4398" spans="5:13">
      <c r="E4398" s="49"/>
      <c r="F4398" s="49"/>
      <c r="G4398" s="49"/>
      <c r="H4398" s="49"/>
      <c r="I4398" s="49"/>
      <c r="J4398" s="49"/>
      <c r="K4398" s="49"/>
      <c r="L4398" s="49"/>
      <c r="M4398" s="49"/>
    </row>
    <row r="4399" spans="5:13">
      <c r="E4399" s="49"/>
      <c r="F4399" s="49"/>
      <c r="G4399" s="49"/>
      <c r="H4399" s="49"/>
      <c r="I4399" s="49"/>
      <c r="J4399" s="49"/>
      <c r="K4399" s="49"/>
      <c r="L4399" s="49"/>
      <c r="M4399" s="49"/>
    </row>
    <row r="4400" spans="5:13">
      <c r="E4400" s="49"/>
      <c r="F4400" s="49"/>
      <c r="G4400" s="49"/>
      <c r="H4400" s="49"/>
      <c r="I4400" s="49"/>
      <c r="J4400" s="49"/>
      <c r="K4400" s="49"/>
      <c r="L4400" s="49"/>
      <c r="M4400" s="49"/>
    </row>
    <row r="4401" spans="5:13">
      <c r="E4401" s="49"/>
      <c r="F4401" s="49"/>
      <c r="G4401" s="49"/>
      <c r="H4401" s="49"/>
      <c r="I4401" s="49"/>
      <c r="J4401" s="49"/>
      <c r="K4401" s="49"/>
      <c r="L4401" s="49"/>
      <c r="M4401" s="49"/>
    </row>
    <row r="4402" spans="5:13">
      <c r="E4402" s="49"/>
      <c r="F4402" s="49"/>
      <c r="G4402" s="49"/>
      <c r="H4402" s="49"/>
      <c r="I4402" s="49"/>
      <c r="J4402" s="49"/>
      <c r="K4402" s="49"/>
      <c r="L4402" s="49"/>
      <c r="M4402" s="49"/>
    </row>
    <row r="4403" spans="5:13">
      <c r="E4403" s="49"/>
      <c r="F4403" s="49"/>
      <c r="G4403" s="49"/>
      <c r="H4403" s="49"/>
      <c r="I4403" s="49"/>
      <c r="J4403" s="49"/>
      <c r="K4403" s="49"/>
      <c r="L4403" s="49"/>
      <c r="M4403" s="49"/>
    </row>
    <row r="4404" spans="5:13">
      <c r="E4404" s="49"/>
      <c r="F4404" s="49"/>
      <c r="G4404" s="49"/>
      <c r="H4404" s="49"/>
      <c r="I4404" s="49"/>
      <c r="J4404" s="49"/>
      <c r="K4404" s="49"/>
      <c r="L4404" s="49"/>
      <c r="M4404" s="49"/>
    </row>
    <row r="4405" spans="5:13">
      <c r="E4405" s="49"/>
      <c r="F4405" s="49"/>
      <c r="G4405" s="49"/>
      <c r="H4405" s="49"/>
      <c r="I4405" s="49"/>
      <c r="J4405" s="49"/>
      <c r="K4405" s="49"/>
      <c r="L4405" s="49"/>
      <c r="M4405" s="49"/>
    </row>
    <row r="4406" spans="5:13">
      <c r="E4406" s="49"/>
      <c r="F4406" s="49"/>
      <c r="G4406" s="49"/>
      <c r="H4406" s="49"/>
      <c r="I4406" s="49"/>
      <c r="J4406" s="49"/>
      <c r="K4406" s="49"/>
      <c r="L4406" s="49"/>
      <c r="M4406" s="49"/>
    </row>
    <row r="4407" spans="5:13">
      <c r="E4407" s="49"/>
      <c r="F4407" s="49"/>
      <c r="G4407" s="49"/>
      <c r="H4407" s="49"/>
      <c r="I4407" s="49"/>
      <c r="J4407" s="49"/>
      <c r="K4407" s="49"/>
      <c r="L4407" s="49"/>
      <c r="M4407" s="49"/>
    </row>
    <row r="4408" spans="5:13">
      <c r="E4408" s="49"/>
      <c r="F4408" s="49"/>
      <c r="G4408" s="49"/>
      <c r="H4408" s="49"/>
      <c r="I4408" s="49"/>
      <c r="J4408" s="49"/>
      <c r="K4408" s="49"/>
      <c r="L4408" s="49"/>
      <c r="M4408" s="49"/>
    </row>
    <row r="4409" spans="5:13">
      <c r="E4409" s="49"/>
      <c r="F4409" s="49"/>
      <c r="G4409" s="49"/>
      <c r="H4409" s="49"/>
      <c r="I4409" s="49"/>
      <c r="J4409" s="49"/>
      <c r="K4409" s="49"/>
      <c r="L4409" s="49"/>
      <c r="M4409" s="49"/>
    </row>
    <row r="4410" spans="5:13">
      <c r="E4410" s="49"/>
      <c r="F4410" s="49"/>
      <c r="G4410" s="49"/>
      <c r="H4410" s="49"/>
      <c r="I4410" s="49"/>
      <c r="J4410" s="49"/>
      <c r="K4410" s="49"/>
      <c r="L4410" s="49"/>
      <c r="M4410" s="49"/>
    </row>
    <row r="4411" spans="5:13">
      <c r="E4411" s="49"/>
      <c r="F4411" s="49"/>
      <c r="G4411" s="49"/>
      <c r="H4411" s="49"/>
      <c r="I4411" s="49"/>
      <c r="J4411" s="49"/>
      <c r="K4411" s="49"/>
      <c r="L4411" s="49"/>
      <c r="M4411" s="49"/>
    </row>
    <row r="4412" spans="5:13">
      <c r="E4412" s="49"/>
      <c r="F4412" s="49"/>
      <c r="G4412" s="49"/>
      <c r="H4412" s="49"/>
      <c r="I4412" s="49"/>
      <c r="J4412" s="49"/>
      <c r="K4412" s="49"/>
      <c r="L4412" s="49"/>
      <c r="M4412" s="49"/>
    </row>
    <row r="4413" spans="5:13">
      <c r="E4413" s="49"/>
      <c r="F4413" s="49"/>
      <c r="G4413" s="49"/>
      <c r="H4413" s="49"/>
      <c r="I4413" s="49"/>
      <c r="J4413" s="49"/>
      <c r="K4413" s="49"/>
      <c r="L4413" s="49"/>
      <c r="M4413" s="49"/>
    </row>
    <row r="4414" spans="5:13">
      <c r="E4414" s="49"/>
      <c r="F4414" s="49"/>
      <c r="G4414" s="49"/>
      <c r="H4414" s="49"/>
      <c r="I4414" s="49"/>
      <c r="J4414" s="49"/>
      <c r="K4414" s="49"/>
      <c r="L4414" s="49"/>
      <c r="M4414" s="49"/>
    </row>
    <row r="4415" spans="5:13">
      <c r="E4415" s="49"/>
      <c r="F4415" s="49"/>
      <c r="G4415" s="49"/>
      <c r="H4415" s="49"/>
      <c r="I4415" s="49"/>
      <c r="J4415" s="49"/>
      <c r="K4415" s="49"/>
      <c r="L4415" s="49"/>
      <c r="M4415" s="49"/>
    </row>
    <row r="4416" spans="5:13">
      <c r="E4416" s="49"/>
      <c r="F4416" s="49"/>
      <c r="G4416" s="49"/>
      <c r="H4416" s="49"/>
      <c r="I4416" s="49"/>
      <c r="J4416" s="49"/>
      <c r="K4416" s="49"/>
      <c r="L4416" s="49"/>
      <c r="M4416" s="49"/>
    </row>
    <row r="4417" spans="5:13">
      <c r="E4417" s="49"/>
      <c r="F4417" s="49"/>
      <c r="G4417" s="49"/>
      <c r="H4417" s="49"/>
      <c r="I4417" s="49"/>
      <c r="J4417" s="49"/>
      <c r="K4417" s="49"/>
      <c r="L4417" s="49"/>
      <c r="M4417" s="49"/>
    </row>
    <row r="4418" spans="5:13">
      <c r="E4418" s="49"/>
      <c r="F4418" s="49"/>
      <c r="G4418" s="49"/>
      <c r="H4418" s="49"/>
      <c r="I4418" s="49"/>
      <c r="J4418" s="49"/>
      <c r="K4418" s="49"/>
      <c r="L4418" s="49"/>
      <c r="M4418" s="49"/>
    </row>
    <row r="4419" spans="5:13">
      <c r="E4419" s="49"/>
      <c r="F4419" s="49"/>
      <c r="G4419" s="49"/>
      <c r="H4419" s="49"/>
      <c r="I4419" s="49"/>
      <c r="J4419" s="49"/>
      <c r="K4419" s="49"/>
      <c r="L4419" s="49"/>
      <c r="M4419" s="49"/>
    </row>
    <row r="4420" spans="5:13">
      <c r="E4420" s="49"/>
      <c r="F4420" s="49"/>
      <c r="G4420" s="49"/>
      <c r="H4420" s="49"/>
      <c r="I4420" s="49"/>
      <c r="J4420" s="49"/>
      <c r="K4420" s="49"/>
      <c r="L4420" s="49"/>
      <c r="M4420" s="49"/>
    </row>
    <row r="4421" spans="5:13">
      <c r="E4421" s="49"/>
      <c r="F4421" s="49"/>
      <c r="G4421" s="49"/>
      <c r="H4421" s="49"/>
      <c r="I4421" s="49"/>
      <c r="J4421" s="49"/>
      <c r="K4421" s="49"/>
      <c r="L4421" s="49"/>
      <c r="M4421" s="49"/>
    </row>
    <row r="4422" spans="5:13">
      <c r="E4422" s="49"/>
      <c r="F4422" s="49"/>
      <c r="G4422" s="49"/>
      <c r="H4422" s="49"/>
      <c r="I4422" s="49"/>
      <c r="J4422" s="49"/>
      <c r="K4422" s="49"/>
      <c r="L4422" s="49"/>
      <c r="M4422" s="49"/>
    </row>
    <row r="4423" spans="5:13">
      <c r="E4423" s="49"/>
      <c r="F4423" s="49"/>
      <c r="G4423" s="49"/>
      <c r="H4423" s="49"/>
      <c r="I4423" s="49"/>
      <c r="J4423" s="49"/>
      <c r="K4423" s="49"/>
      <c r="L4423" s="49"/>
      <c r="M4423" s="49"/>
    </row>
    <row r="4424" spans="5:13">
      <c r="E4424" s="49"/>
      <c r="F4424" s="49"/>
      <c r="G4424" s="49"/>
      <c r="H4424" s="49"/>
      <c r="I4424" s="49"/>
      <c r="J4424" s="49"/>
      <c r="K4424" s="49"/>
      <c r="L4424" s="49"/>
      <c r="M4424" s="49"/>
    </row>
    <row r="4425" spans="5:13">
      <c r="E4425" s="49"/>
      <c r="F4425" s="49"/>
      <c r="G4425" s="49"/>
      <c r="H4425" s="49"/>
      <c r="I4425" s="49"/>
      <c r="J4425" s="49"/>
      <c r="K4425" s="49"/>
      <c r="L4425" s="49"/>
      <c r="M4425" s="49"/>
    </row>
    <row r="4426" spans="5:13">
      <c r="E4426" s="49"/>
      <c r="F4426" s="49"/>
      <c r="G4426" s="49"/>
      <c r="H4426" s="49"/>
      <c r="I4426" s="49"/>
      <c r="J4426" s="49"/>
      <c r="K4426" s="49"/>
      <c r="L4426" s="49"/>
      <c r="M4426" s="49"/>
    </row>
    <row r="4427" spans="5:13">
      <c r="E4427" s="49"/>
      <c r="F4427" s="49"/>
      <c r="G4427" s="49"/>
      <c r="H4427" s="49"/>
      <c r="I4427" s="49"/>
      <c r="J4427" s="49"/>
      <c r="K4427" s="49"/>
      <c r="L4427" s="49"/>
      <c r="M4427" s="49"/>
    </row>
    <row r="4428" spans="5:13">
      <c r="E4428" s="49"/>
      <c r="F4428" s="49"/>
      <c r="G4428" s="49"/>
      <c r="H4428" s="49"/>
      <c r="I4428" s="49"/>
      <c r="J4428" s="49"/>
      <c r="K4428" s="49"/>
      <c r="L4428" s="49"/>
      <c r="M4428" s="49"/>
    </row>
    <row r="4429" spans="5:13">
      <c r="E4429" s="49"/>
      <c r="F4429" s="49"/>
      <c r="G4429" s="49"/>
      <c r="H4429" s="49"/>
      <c r="I4429" s="49"/>
      <c r="J4429" s="49"/>
      <c r="K4429" s="49"/>
      <c r="L4429" s="49"/>
      <c r="M4429" s="49"/>
    </row>
    <row r="4430" spans="5:13">
      <c r="E4430" s="49"/>
      <c r="F4430" s="49"/>
      <c r="G4430" s="49"/>
      <c r="H4430" s="49"/>
      <c r="I4430" s="49"/>
      <c r="J4430" s="49"/>
      <c r="K4430" s="49"/>
      <c r="L4430" s="49"/>
      <c r="M4430" s="49"/>
    </row>
    <row r="4431" spans="5:13">
      <c r="E4431" s="49"/>
      <c r="F4431" s="49"/>
      <c r="G4431" s="49"/>
      <c r="H4431" s="49"/>
      <c r="I4431" s="49"/>
      <c r="J4431" s="49"/>
      <c r="K4431" s="49"/>
      <c r="L4431" s="49"/>
      <c r="M4431" s="49"/>
    </row>
    <row r="4432" spans="5:13">
      <c r="E4432" s="49"/>
      <c r="F4432" s="49"/>
      <c r="G4432" s="49"/>
      <c r="H4432" s="49"/>
      <c r="I4432" s="49"/>
      <c r="J4432" s="49"/>
      <c r="K4432" s="49"/>
      <c r="L4432" s="49"/>
      <c r="M4432" s="49"/>
    </row>
    <row r="4433" spans="5:13">
      <c r="E4433" s="49"/>
      <c r="F4433" s="49"/>
      <c r="G4433" s="49"/>
      <c r="H4433" s="49"/>
      <c r="I4433" s="49"/>
      <c r="J4433" s="49"/>
      <c r="K4433" s="49"/>
      <c r="L4433" s="49"/>
      <c r="M4433" s="49"/>
    </row>
    <row r="4434" spans="5:13">
      <c r="E4434" s="49"/>
      <c r="F4434" s="49"/>
      <c r="G4434" s="49"/>
      <c r="H4434" s="49"/>
      <c r="I4434" s="49"/>
      <c r="J4434" s="49"/>
      <c r="K4434" s="49"/>
      <c r="L4434" s="49"/>
      <c r="M4434" s="49"/>
    </row>
    <row r="4435" spans="5:13">
      <c r="E4435" s="49"/>
      <c r="F4435" s="49"/>
      <c r="G4435" s="49"/>
      <c r="H4435" s="49"/>
      <c r="I4435" s="49"/>
      <c r="J4435" s="49"/>
      <c r="K4435" s="49"/>
      <c r="L4435" s="49"/>
      <c r="M4435" s="49"/>
    </row>
    <row r="4436" spans="5:13">
      <c r="E4436" s="49"/>
      <c r="F4436" s="49"/>
      <c r="G4436" s="49"/>
      <c r="H4436" s="49"/>
      <c r="I4436" s="49"/>
      <c r="J4436" s="49"/>
      <c r="K4436" s="49"/>
      <c r="L4436" s="49"/>
      <c r="M4436" s="49"/>
    </row>
    <row r="4437" spans="5:13">
      <c r="E4437" s="49"/>
      <c r="F4437" s="49"/>
      <c r="G4437" s="49"/>
      <c r="H4437" s="49"/>
      <c r="I4437" s="49"/>
      <c r="J4437" s="49"/>
      <c r="K4437" s="49"/>
      <c r="L4437" s="49"/>
      <c r="M4437" s="49"/>
    </row>
    <row r="4438" spans="5:13">
      <c r="E4438" s="49"/>
      <c r="F4438" s="49"/>
      <c r="G4438" s="49"/>
      <c r="H4438" s="49"/>
      <c r="I4438" s="49"/>
      <c r="J4438" s="49"/>
      <c r="K4438" s="49"/>
      <c r="L4438" s="49"/>
      <c r="M4438" s="49"/>
    </row>
    <row r="4439" spans="5:13">
      <c r="E4439" s="49"/>
      <c r="F4439" s="49"/>
      <c r="G4439" s="49"/>
      <c r="H4439" s="49"/>
      <c r="I4439" s="49"/>
      <c r="J4439" s="49"/>
      <c r="K4439" s="49"/>
      <c r="L4439" s="49"/>
      <c r="M4439" s="49"/>
    </row>
    <row r="4440" spans="5:13">
      <c r="E4440" s="49"/>
      <c r="F4440" s="49"/>
      <c r="G4440" s="49"/>
      <c r="H4440" s="49"/>
      <c r="I4440" s="49"/>
      <c r="J4440" s="49"/>
      <c r="K4440" s="49"/>
      <c r="L4440" s="49"/>
      <c r="M4440" s="49"/>
    </row>
    <row r="4441" spans="5:13">
      <c r="E4441" s="49"/>
      <c r="F4441" s="49"/>
      <c r="G4441" s="49"/>
      <c r="H4441" s="49"/>
      <c r="I4441" s="49"/>
      <c r="J4441" s="49"/>
      <c r="K4441" s="49"/>
      <c r="L4441" s="49"/>
      <c r="M4441" s="49"/>
    </row>
    <row r="4442" spans="5:13">
      <c r="E4442" s="49"/>
      <c r="F4442" s="49"/>
      <c r="G4442" s="49"/>
      <c r="H4442" s="49"/>
      <c r="I4442" s="49"/>
      <c r="J4442" s="49"/>
      <c r="K4442" s="49"/>
      <c r="L4442" s="49"/>
      <c r="M4442" s="49"/>
    </row>
    <row r="4443" spans="5:13">
      <c r="E4443" s="49"/>
      <c r="F4443" s="49"/>
      <c r="G4443" s="49"/>
      <c r="H4443" s="49"/>
      <c r="I4443" s="49"/>
      <c r="J4443" s="49"/>
      <c r="K4443" s="49"/>
      <c r="L4443" s="49"/>
      <c r="M4443" s="49"/>
    </row>
    <row r="4444" spans="5:13">
      <c r="E4444" s="49"/>
      <c r="F4444" s="49"/>
      <c r="G4444" s="49"/>
      <c r="H4444" s="49"/>
      <c r="I4444" s="49"/>
      <c r="J4444" s="49"/>
      <c r="K4444" s="49"/>
      <c r="L4444" s="49"/>
      <c r="M4444" s="49"/>
    </row>
    <row r="4445" spans="5:13">
      <c r="E4445" s="49"/>
      <c r="F4445" s="49"/>
      <c r="G4445" s="49"/>
      <c r="H4445" s="49"/>
      <c r="I4445" s="49"/>
      <c r="J4445" s="49"/>
      <c r="K4445" s="49"/>
      <c r="L4445" s="49"/>
      <c r="M4445" s="49"/>
    </row>
    <row r="4446" spans="5:13">
      <c r="E4446" s="49"/>
      <c r="F4446" s="49"/>
      <c r="G4446" s="49"/>
      <c r="H4446" s="49"/>
      <c r="I4446" s="49"/>
      <c r="J4446" s="49"/>
      <c r="K4446" s="49"/>
      <c r="L4446" s="49"/>
      <c r="M4446" s="49"/>
    </row>
    <row r="4447" spans="5:13">
      <c r="E4447" s="49"/>
      <c r="F4447" s="49"/>
      <c r="G4447" s="49"/>
      <c r="H4447" s="49"/>
      <c r="I4447" s="49"/>
      <c r="J4447" s="49"/>
      <c r="K4447" s="49"/>
      <c r="L4447" s="49"/>
      <c r="M4447" s="49"/>
    </row>
    <row r="4448" spans="5:13">
      <c r="E4448" s="49"/>
      <c r="F4448" s="49"/>
      <c r="G4448" s="49"/>
      <c r="H4448" s="49"/>
      <c r="I4448" s="49"/>
      <c r="J4448" s="49"/>
      <c r="K4448" s="49"/>
      <c r="L4448" s="49"/>
      <c r="M4448" s="49"/>
    </row>
    <row r="4449" spans="5:13">
      <c r="E4449" s="49"/>
      <c r="F4449" s="49"/>
      <c r="G4449" s="49"/>
      <c r="H4449" s="49"/>
      <c r="I4449" s="49"/>
      <c r="J4449" s="49"/>
      <c r="K4449" s="49"/>
      <c r="L4449" s="49"/>
      <c r="M4449" s="49"/>
    </row>
    <row r="4450" spans="5:13">
      <c r="E4450" s="49"/>
      <c r="F4450" s="49"/>
      <c r="G4450" s="49"/>
      <c r="H4450" s="49"/>
      <c r="I4450" s="49"/>
      <c r="J4450" s="49"/>
      <c r="K4450" s="49"/>
      <c r="L4450" s="49"/>
      <c r="M4450" s="49"/>
    </row>
    <row r="4451" spans="5:13">
      <c r="E4451" s="49"/>
      <c r="F4451" s="49"/>
      <c r="G4451" s="49"/>
      <c r="H4451" s="49"/>
      <c r="I4451" s="49"/>
      <c r="J4451" s="49"/>
      <c r="K4451" s="49"/>
      <c r="L4451" s="49"/>
      <c r="M4451" s="49"/>
    </row>
    <row r="4452" spans="5:13">
      <c r="E4452" s="49"/>
      <c r="F4452" s="49"/>
      <c r="G4452" s="49"/>
      <c r="H4452" s="49"/>
      <c r="I4452" s="49"/>
      <c r="J4452" s="49"/>
      <c r="K4452" s="49"/>
      <c r="L4452" s="49"/>
      <c r="M4452" s="49"/>
    </row>
    <row r="4453" spans="5:13">
      <c r="E4453" s="49"/>
      <c r="F4453" s="49"/>
      <c r="G4453" s="49"/>
      <c r="H4453" s="49"/>
      <c r="I4453" s="49"/>
      <c r="J4453" s="49"/>
      <c r="K4453" s="49"/>
      <c r="L4453" s="49"/>
      <c r="M4453" s="49"/>
    </row>
    <row r="4454" spans="5:13">
      <c r="E4454" s="49"/>
      <c r="F4454" s="49"/>
      <c r="G4454" s="49"/>
      <c r="H4454" s="49"/>
      <c r="I4454" s="49"/>
      <c r="J4454" s="49"/>
      <c r="K4454" s="49"/>
      <c r="L4454" s="49"/>
      <c r="M4454" s="49"/>
    </row>
    <row r="4455" spans="5:13">
      <c r="E4455" s="49"/>
      <c r="F4455" s="49"/>
      <c r="G4455" s="49"/>
      <c r="H4455" s="49"/>
      <c r="I4455" s="49"/>
      <c r="J4455" s="49"/>
      <c r="K4455" s="49"/>
      <c r="L4455" s="49"/>
      <c r="M4455" s="49"/>
    </row>
    <row r="4456" spans="5:13">
      <c r="E4456" s="49"/>
      <c r="F4456" s="49"/>
      <c r="G4456" s="49"/>
      <c r="H4456" s="49"/>
      <c r="I4456" s="49"/>
      <c r="J4456" s="49"/>
      <c r="K4456" s="49"/>
      <c r="L4456" s="49"/>
      <c r="M4456" s="49"/>
    </row>
    <row r="4457" spans="5:13">
      <c r="E4457" s="49"/>
      <c r="F4457" s="49"/>
      <c r="G4457" s="49"/>
      <c r="H4457" s="49"/>
      <c r="I4457" s="49"/>
      <c r="J4457" s="49"/>
      <c r="K4457" s="49"/>
      <c r="L4457" s="49"/>
      <c r="M4457" s="49"/>
    </row>
    <row r="4458" spans="5:13">
      <c r="E4458" s="49"/>
      <c r="F4458" s="49"/>
      <c r="G4458" s="49"/>
      <c r="H4458" s="49"/>
      <c r="I4458" s="49"/>
      <c r="J4458" s="49"/>
      <c r="K4458" s="49"/>
      <c r="L4458" s="49"/>
      <c r="M4458" s="49"/>
    </row>
    <row r="4459" spans="5:13">
      <c r="E4459" s="49"/>
      <c r="F4459" s="49"/>
      <c r="G4459" s="49"/>
      <c r="H4459" s="49"/>
      <c r="I4459" s="49"/>
      <c r="J4459" s="49"/>
      <c r="K4459" s="49"/>
      <c r="L4459" s="49"/>
      <c r="M4459" s="49"/>
    </row>
    <row r="4460" spans="5:13">
      <c r="E4460" s="49"/>
      <c r="F4460" s="49"/>
      <c r="G4460" s="49"/>
      <c r="H4460" s="49"/>
      <c r="I4460" s="49"/>
      <c r="J4460" s="49"/>
      <c r="K4460" s="49"/>
      <c r="L4460" s="49"/>
      <c r="M4460" s="49"/>
    </row>
    <row r="4461" spans="5:13">
      <c r="E4461" s="49"/>
      <c r="F4461" s="49"/>
      <c r="G4461" s="49"/>
      <c r="H4461" s="49"/>
      <c r="I4461" s="49"/>
      <c r="J4461" s="49"/>
      <c r="K4461" s="49"/>
      <c r="L4461" s="49"/>
      <c r="M4461" s="49"/>
    </row>
    <row r="4462" spans="5:13">
      <c r="E4462" s="49"/>
      <c r="F4462" s="49"/>
      <c r="G4462" s="49"/>
      <c r="H4462" s="49"/>
      <c r="I4462" s="49"/>
      <c r="J4462" s="49"/>
      <c r="K4462" s="49"/>
      <c r="L4462" s="49"/>
      <c r="M4462" s="49"/>
    </row>
    <row r="4463" spans="5:13">
      <c r="E4463" s="49"/>
      <c r="F4463" s="49"/>
      <c r="G4463" s="49"/>
      <c r="H4463" s="49"/>
      <c r="I4463" s="49"/>
      <c r="J4463" s="49"/>
      <c r="K4463" s="49"/>
      <c r="L4463" s="49"/>
      <c r="M4463" s="49"/>
    </row>
    <row r="4464" spans="5:13">
      <c r="E4464" s="49"/>
      <c r="F4464" s="49"/>
      <c r="G4464" s="49"/>
      <c r="H4464" s="49"/>
      <c r="I4464" s="49"/>
      <c r="J4464" s="49"/>
      <c r="K4464" s="49"/>
      <c r="L4464" s="49"/>
      <c r="M4464" s="49"/>
    </row>
    <row r="4465" spans="5:13">
      <c r="E4465" s="49"/>
      <c r="F4465" s="49"/>
      <c r="G4465" s="49"/>
      <c r="H4465" s="49"/>
      <c r="I4465" s="49"/>
      <c r="J4465" s="49"/>
      <c r="K4465" s="49"/>
      <c r="L4465" s="49"/>
      <c r="M4465" s="49"/>
    </row>
    <row r="4466" spans="5:13">
      <c r="E4466" s="49"/>
      <c r="F4466" s="49"/>
      <c r="G4466" s="49"/>
      <c r="H4466" s="49"/>
      <c r="I4466" s="49"/>
      <c r="J4466" s="49"/>
      <c r="K4466" s="49"/>
      <c r="L4466" s="49"/>
      <c r="M4466" s="49"/>
    </row>
    <row r="4467" spans="5:13">
      <c r="E4467" s="49"/>
      <c r="F4467" s="49"/>
      <c r="G4467" s="49"/>
      <c r="H4467" s="49"/>
      <c r="I4467" s="49"/>
      <c r="J4467" s="49"/>
      <c r="K4467" s="49"/>
      <c r="L4467" s="49"/>
      <c r="M4467" s="49"/>
    </row>
    <row r="4468" spans="5:13">
      <c r="E4468" s="49"/>
      <c r="F4468" s="49"/>
      <c r="G4468" s="49"/>
      <c r="H4468" s="49"/>
      <c r="I4468" s="49"/>
      <c r="J4468" s="49"/>
      <c r="K4468" s="49"/>
      <c r="L4468" s="49"/>
      <c r="M4468" s="49"/>
    </row>
    <row r="4469" spans="5:13">
      <c r="E4469" s="49"/>
      <c r="F4469" s="49"/>
      <c r="G4469" s="49"/>
      <c r="H4469" s="49"/>
      <c r="I4469" s="49"/>
      <c r="J4469" s="49"/>
      <c r="K4469" s="49"/>
      <c r="L4469" s="49"/>
      <c r="M4469" s="49"/>
    </row>
    <row r="4470" spans="5:13">
      <c r="E4470" s="49"/>
      <c r="F4470" s="49"/>
      <c r="G4470" s="49"/>
      <c r="H4470" s="49"/>
      <c r="I4470" s="49"/>
      <c r="J4470" s="49"/>
      <c r="K4470" s="49"/>
      <c r="L4470" s="49"/>
      <c r="M4470" s="49"/>
    </row>
    <row r="4471" spans="5:13">
      <c r="E4471" s="49"/>
      <c r="F4471" s="49"/>
      <c r="G4471" s="49"/>
      <c r="H4471" s="49"/>
      <c r="I4471" s="49"/>
      <c r="J4471" s="49"/>
      <c r="K4471" s="49"/>
      <c r="L4471" s="49"/>
      <c r="M4471" s="49"/>
    </row>
    <row r="4472" spans="5:13">
      <c r="E4472" s="49"/>
      <c r="F4472" s="49"/>
      <c r="G4472" s="49"/>
      <c r="H4472" s="49"/>
      <c r="I4472" s="49"/>
      <c r="J4472" s="49"/>
      <c r="K4472" s="49"/>
      <c r="L4472" s="49"/>
      <c r="M4472" s="49"/>
    </row>
    <row r="4473" spans="5:13">
      <c r="E4473" s="49"/>
      <c r="F4473" s="49"/>
      <c r="G4473" s="49"/>
      <c r="H4473" s="49"/>
      <c r="I4473" s="49"/>
      <c r="J4473" s="49"/>
      <c r="K4473" s="49"/>
      <c r="L4473" s="49"/>
      <c r="M4473" s="49"/>
    </row>
    <row r="4474" spans="5:13">
      <c r="E4474" s="49"/>
      <c r="F4474" s="49"/>
      <c r="G4474" s="49"/>
      <c r="H4474" s="49"/>
      <c r="I4474" s="49"/>
      <c r="J4474" s="49"/>
      <c r="K4474" s="49"/>
      <c r="L4474" s="49"/>
      <c r="M4474" s="49"/>
    </row>
    <row r="4475" spans="5:13">
      <c r="E4475" s="49"/>
      <c r="F4475" s="49"/>
      <c r="G4475" s="49"/>
      <c r="H4475" s="49"/>
      <c r="I4475" s="49"/>
      <c r="J4475" s="49"/>
      <c r="K4475" s="49"/>
      <c r="L4475" s="49"/>
      <c r="M4475" s="49"/>
    </row>
    <row r="4476" spans="5:13">
      <c r="E4476" s="49"/>
      <c r="F4476" s="49"/>
      <c r="G4476" s="49"/>
      <c r="H4476" s="49"/>
      <c r="I4476" s="49"/>
      <c r="J4476" s="49"/>
      <c r="K4476" s="49"/>
      <c r="L4476" s="49"/>
      <c r="M4476" s="49"/>
    </row>
    <row r="4477" spans="5:13">
      <c r="E4477" s="49"/>
      <c r="F4477" s="49"/>
      <c r="G4477" s="49"/>
      <c r="H4477" s="49"/>
      <c r="I4477" s="49"/>
      <c r="J4477" s="49"/>
      <c r="K4477" s="49"/>
      <c r="L4477" s="49"/>
      <c r="M4477" s="49"/>
    </row>
    <row r="4478" spans="5:13">
      <c r="E4478" s="49"/>
      <c r="F4478" s="49"/>
      <c r="G4478" s="49"/>
      <c r="H4478" s="49"/>
      <c r="I4478" s="49"/>
      <c r="J4478" s="49"/>
      <c r="K4478" s="49"/>
      <c r="L4478" s="49"/>
      <c r="M4478" s="49"/>
    </row>
    <row r="4479" spans="5:13">
      <c r="E4479" s="49"/>
      <c r="F4479" s="49"/>
      <c r="G4479" s="49"/>
      <c r="H4479" s="49"/>
      <c r="I4479" s="49"/>
      <c r="J4479" s="49"/>
      <c r="K4479" s="49"/>
      <c r="L4479" s="49"/>
      <c r="M4479" s="49"/>
    </row>
    <row r="4480" spans="5:13">
      <c r="E4480" s="49"/>
      <c r="F4480" s="49"/>
      <c r="G4480" s="49"/>
      <c r="H4480" s="49"/>
      <c r="I4480" s="49"/>
      <c r="J4480" s="49"/>
      <c r="K4480" s="49"/>
      <c r="L4480" s="49"/>
      <c r="M4480" s="49"/>
    </row>
    <row r="4481" spans="5:13">
      <c r="E4481" s="49"/>
      <c r="F4481" s="49"/>
      <c r="G4481" s="49"/>
      <c r="H4481" s="49"/>
      <c r="I4481" s="49"/>
      <c r="J4481" s="49"/>
      <c r="K4481" s="49"/>
      <c r="L4481" s="49"/>
      <c r="M4481" s="49"/>
    </row>
    <row r="4482" spans="5:13">
      <c r="E4482" s="49"/>
      <c r="F4482" s="49"/>
      <c r="G4482" s="49"/>
      <c r="H4482" s="49"/>
      <c r="I4482" s="49"/>
      <c r="J4482" s="49"/>
      <c r="K4482" s="49"/>
      <c r="L4482" s="49"/>
      <c r="M4482" s="49"/>
    </row>
    <row r="4483" spans="5:13">
      <c r="E4483" s="49"/>
      <c r="F4483" s="49"/>
      <c r="G4483" s="49"/>
      <c r="H4483" s="49"/>
      <c r="I4483" s="49"/>
      <c r="J4483" s="49"/>
      <c r="K4483" s="49"/>
      <c r="L4483" s="49"/>
      <c r="M4483" s="49"/>
    </row>
    <row r="4484" spans="5:13">
      <c r="E4484" s="49"/>
      <c r="F4484" s="49"/>
      <c r="G4484" s="49"/>
      <c r="H4484" s="49"/>
      <c r="I4484" s="49"/>
      <c r="J4484" s="49"/>
      <c r="K4484" s="49"/>
      <c r="L4484" s="49"/>
      <c r="M4484" s="49"/>
    </row>
    <row r="4485" spans="5:13">
      <c r="E4485" s="49"/>
      <c r="F4485" s="49"/>
      <c r="G4485" s="49"/>
      <c r="H4485" s="49"/>
      <c r="I4485" s="49"/>
      <c r="J4485" s="49"/>
      <c r="K4485" s="49"/>
      <c r="L4485" s="49"/>
      <c r="M4485" s="49"/>
    </row>
    <row r="4486" spans="5:13">
      <c r="E4486" s="49"/>
      <c r="F4486" s="49"/>
      <c r="G4486" s="49"/>
      <c r="H4486" s="49"/>
      <c r="I4486" s="49"/>
      <c r="J4486" s="49"/>
      <c r="K4486" s="49"/>
      <c r="L4486" s="49"/>
      <c r="M4486" s="49"/>
    </row>
    <row r="4487" spans="5:13">
      <c r="E4487" s="49"/>
      <c r="F4487" s="49"/>
      <c r="G4487" s="49"/>
      <c r="H4487" s="49"/>
      <c r="I4487" s="49"/>
      <c r="J4487" s="49"/>
      <c r="K4487" s="49"/>
      <c r="L4487" s="49"/>
      <c r="M4487" s="49"/>
    </row>
    <row r="4488" spans="5:13">
      <c r="E4488" s="49"/>
      <c r="F4488" s="49"/>
      <c r="G4488" s="49"/>
      <c r="H4488" s="49"/>
      <c r="I4488" s="49"/>
      <c r="J4488" s="49"/>
      <c r="K4488" s="49"/>
      <c r="L4488" s="49"/>
      <c r="M4488" s="49"/>
    </row>
    <row r="4489" spans="5:13">
      <c r="E4489" s="49"/>
      <c r="F4489" s="49"/>
      <c r="G4489" s="49"/>
      <c r="H4489" s="49"/>
      <c r="I4489" s="49"/>
      <c r="J4489" s="49"/>
      <c r="K4489" s="49"/>
      <c r="L4489" s="49"/>
      <c r="M4489" s="49"/>
    </row>
    <row r="4490" spans="5:13">
      <c r="E4490" s="49"/>
      <c r="F4490" s="49"/>
      <c r="G4490" s="49"/>
      <c r="H4490" s="49"/>
      <c r="I4490" s="49"/>
      <c r="J4490" s="49"/>
      <c r="K4490" s="49"/>
      <c r="L4490" s="49"/>
      <c r="M4490" s="49"/>
    </row>
    <row r="4491" spans="5:13">
      <c r="E4491" s="49"/>
      <c r="F4491" s="49"/>
      <c r="G4491" s="49"/>
      <c r="H4491" s="49"/>
      <c r="I4491" s="49"/>
      <c r="J4491" s="49"/>
      <c r="K4491" s="49"/>
      <c r="L4491" s="49"/>
      <c r="M4491" s="49"/>
    </row>
    <row r="4492" spans="5:13">
      <c r="E4492" s="49"/>
      <c r="F4492" s="49"/>
      <c r="G4492" s="49"/>
      <c r="H4492" s="49"/>
      <c r="I4492" s="49"/>
      <c r="J4492" s="49"/>
      <c r="K4492" s="49"/>
      <c r="L4492" s="49"/>
      <c r="M4492" s="49"/>
    </row>
    <row r="4493" spans="5:13">
      <c r="E4493" s="49"/>
      <c r="F4493" s="49"/>
      <c r="G4493" s="49"/>
      <c r="H4493" s="49"/>
      <c r="I4493" s="49"/>
      <c r="J4493" s="49"/>
      <c r="K4493" s="49"/>
      <c r="L4493" s="49"/>
      <c r="M4493" s="49"/>
    </row>
    <row r="4494" spans="5:13">
      <c r="E4494" s="49"/>
      <c r="F4494" s="49"/>
      <c r="G4494" s="49"/>
      <c r="H4494" s="49"/>
      <c r="I4494" s="49"/>
      <c r="J4494" s="49"/>
      <c r="K4494" s="49"/>
      <c r="L4494" s="49"/>
      <c r="M4494" s="49"/>
    </row>
    <row r="4495" spans="5:13">
      <c r="E4495" s="49"/>
      <c r="F4495" s="49"/>
      <c r="G4495" s="49"/>
      <c r="H4495" s="49"/>
      <c r="I4495" s="49"/>
      <c r="J4495" s="49"/>
      <c r="K4495" s="49"/>
      <c r="L4495" s="49"/>
      <c r="M4495" s="49"/>
    </row>
    <row r="4496" spans="5:13">
      <c r="E4496" s="49"/>
      <c r="F4496" s="49"/>
      <c r="G4496" s="49"/>
      <c r="H4496" s="49"/>
      <c r="I4496" s="49"/>
      <c r="J4496" s="49"/>
      <c r="K4496" s="49"/>
      <c r="L4496" s="49"/>
      <c r="M4496" s="49"/>
    </row>
    <row r="4497" spans="5:13">
      <c r="E4497" s="49"/>
      <c r="F4497" s="49"/>
      <c r="G4497" s="49"/>
      <c r="H4497" s="49"/>
      <c r="I4497" s="49"/>
      <c r="J4497" s="49"/>
      <c r="K4497" s="49"/>
      <c r="L4497" s="49"/>
      <c r="M4497" s="49"/>
    </row>
    <row r="4498" spans="5:13">
      <c r="E4498" s="49"/>
      <c r="F4498" s="49"/>
      <c r="G4498" s="49"/>
      <c r="H4498" s="49"/>
      <c r="I4498" s="49"/>
      <c r="J4498" s="49"/>
      <c r="K4498" s="49"/>
      <c r="L4498" s="49"/>
      <c r="M4498" s="49"/>
    </row>
    <row r="4499" spans="5:13">
      <c r="E4499" s="49"/>
      <c r="F4499" s="49"/>
      <c r="G4499" s="49"/>
      <c r="H4499" s="49"/>
      <c r="I4499" s="49"/>
      <c r="J4499" s="49"/>
      <c r="K4499" s="49"/>
      <c r="L4499" s="49"/>
      <c r="M4499" s="49"/>
    </row>
    <row r="4500" spans="5:13">
      <c r="E4500" s="49"/>
      <c r="F4500" s="49"/>
      <c r="G4500" s="49"/>
      <c r="H4500" s="49"/>
      <c r="I4500" s="49"/>
      <c r="J4500" s="49"/>
      <c r="K4500" s="49"/>
      <c r="L4500" s="49"/>
      <c r="M4500" s="49"/>
    </row>
    <row r="4501" spans="5:13">
      <c r="E4501" s="49"/>
      <c r="F4501" s="49"/>
      <c r="G4501" s="49"/>
      <c r="H4501" s="49"/>
      <c r="I4501" s="49"/>
      <c r="J4501" s="49"/>
      <c r="K4501" s="49"/>
      <c r="L4501" s="49"/>
      <c r="M4501" s="49"/>
    </row>
    <row r="4502" spans="5:13">
      <c r="E4502" s="49"/>
      <c r="F4502" s="49"/>
      <c r="G4502" s="49"/>
      <c r="H4502" s="49"/>
      <c r="I4502" s="49"/>
      <c r="J4502" s="49"/>
      <c r="K4502" s="49"/>
      <c r="L4502" s="49"/>
      <c r="M4502" s="49"/>
    </row>
    <row r="4503" spans="5:13">
      <c r="E4503" s="49"/>
      <c r="F4503" s="49"/>
      <c r="G4503" s="49"/>
      <c r="H4503" s="49"/>
      <c r="I4503" s="49"/>
      <c r="J4503" s="49"/>
      <c r="K4503" s="49"/>
      <c r="L4503" s="49"/>
      <c r="M4503" s="49"/>
    </row>
    <row r="4504" spans="5:13">
      <c r="E4504" s="49"/>
      <c r="F4504" s="49"/>
      <c r="G4504" s="49"/>
      <c r="H4504" s="49"/>
      <c r="I4504" s="49"/>
      <c r="J4504" s="49"/>
      <c r="K4504" s="49"/>
      <c r="L4504" s="49"/>
      <c r="M4504" s="49"/>
    </row>
    <row r="4505" spans="5:13">
      <c r="E4505" s="49"/>
      <c r="F4505" s="49"/>
      <c r="G4505" s="49"/>
      <c r="H4505" s="49"/>
      <c r="I4505" s="49"/>
      <c r="J4505" s="49"/>
      <c r="K4505" s="49"/>
      <c r="L4505" s="49"/>
      <c r="M4505" s="49"/>
    </row>
    <row r="4506" spans="5:13">
      <c r="E4506" s="49"/>
      <c r="F4506" s="49"/>
      <c r="G4506" s="49"/>
      <c r="H4506" s="49"/>
      <c r="I4506" s="49"/>
      <c r="J4506" s="49"/>
      <c r="K4506" s="49"/>
      <c r="L4506" s="49"/>
      <c r="M4506" s="49"/>
    </row>
    <row r="4507" spans="5:13">
      <c r="E4507" s="49"/>
      <c r="F4507" s="49"/>
      <c r="G4507" s="49"/>
      <c r="H4507" s="49"/>
      <c r="I4507" s="49"/>
      <c r="J4507" s="49"/>
      <c r="K4507" s="49"/>
      <c r="L4507" s="49"/>
      <c r="M4507" s="49"/>
    </row>
    <row r="4508" spans="5:13">
      <c r="E4508" s="49"/>
      <c r="F4508" s="49"/>
      <c r="G4508" s="49"/>
      <c r="H4508" s="49"/>
      <c r="I4508" s="49"/>
      <c r="J4508" s="49"/>
      <c r="K4508" s="49"/>
      <c r="L4508" s="49"/>
      <c r="M4508" s="49"/>
    </row>
    <row r="4509" spans="5:13">
      <c r="E4509" s="49"/>
      <c r="F4509" s="49"/>
      <c r="G4509" s="49"/>
      <c r="H4509" s="49"/>
      <c r="I4509" s="49"/>
      <c r="J4509" s="49"/>
      <c r="K4509" s="49"/>
      <c r="L4509" s="49"/>
      <c r="M4509" s="49"/>
    </row>
    <row r="4510" spans="5:13">
      <c r="E4510" s="49"/>
      <c r="F4510" s="49"/>
      <c r="G4510" s="49"/>
      <c r="H4510" s="49"/>
      <c r="I4510" s="49"/>
      <c r="J4510" s="49"/>
      <c r="K4510" s="49"/>
      <c r="L4510" s="49"/>
      <c r="M4510" s="49"/>
    </row>
    <row r="4511" spans="5:13">
      <c r="E4511" s="49"/>
      <c r="F4511" s="49"/>
      <c r="G4511" s="49"/>
      <c r="H4511" s="49"/>
      <c r="I4511" s="49"/>
      <c r="J4511" s="49"/>
      <c r="K4511" s="49"/>
      <c r="L4511" s="49"/>
      <c r="M4511" s="49"/>
    </row>
    <row r="4512" spans="5:13">
      <c r="E4512" s="49"/>
      <c r="F4512" s="49"/>
      <c r="G4512" s="49"/>
      <c r="H4512" s="49"/>
      <c r="I4512" s="49"/>
      <c r="J4512" s="49"/>
      <c r="K4512" s="49"/>
      <c r="L4512" s="49"/>
      <c r="M4512" s="49"/>
    </row>
    <row r="4513" spans="5:13">
      <c r="E4513" s="49"/>
      <c r="F4513" s="49"/>
      <c r="G4513" s="49"/>
      <c r="H4513" s="49"/>
      <c r="I4513" s="49"/>
      <c r="J4513" s="49"/>
      <c r="K4513" s="49"/>
      <c r="L4513" s="49"/>
      <c r="M4513" s="49"/>
    </row>
    <row r="4514" spans="5:13">
      <c r="E4514" s="49"/>
      <c r="F4514" s="49"/>
      <c r="G4514" s="49"/>
      <c r="H4514" s="49"/>
      <c r="I4514" s="49"/>
      <c r="J4514" s="49"/>
      <c r="K4514" s="49"/>
      <c r="L4514" s="49"/>
      <c r="M4514" s="49"/>
    </row>
    <row r="4515" spans="5:13">
      <c r="E4515" s="49"/>
      <c r="F4515" s="49"/>
      <c r="G4515" s="49"/>
      <c r="H4515" s="49"/>
      <c r="I4515" s="49"/>
      <c r="J4515" s="49"/>
      <c r="K4515" s="49"/>
      <c r="L4515" s="49"/>
      <c r="M4515" s="49"/>
    </row>
    <row r="4516" spans="5:13">
      <c r="E4516" s="49"/>
      <c r="F4516" s="49"/>
      <c r="G4516" s="49"/>
      <c r="H4516" s="49"/>
      <c r="I4516" s="49"/>
      <c r="J4516" s="49"/>
      <c r="K4516" s="49"/>
      <c r="L4516" s="49"/>
      <c r="M4516" s="49"/>
    </row>
    <row r="4517" spans="5:13">
      <c r="E4517" s="49"/>
      <c r="F4517" s="49"/>
      <c r="G4517" s="49"/>
      <c r="H4517" s="49"/>
      <c r="I4517" s="49"/>
      <c r="J4517" s="49"/>
      <c r="K4517" s="49"/>
      <c r="L4517" s="49"/>
      <c r="M4517" s="49"/>
    </row>
    <row r="4518" spans="5:13">
      <c r="E4518" s="49"/>
      <c r="F4518" s="49"/>
      <c r="G4518" s="49"/>
      <c r="H4518" s="49"/>
      <c r="I4518" s="49"/>
      <c r="J4518" s="49"/>
      <c r="K4518" s="49"/>
      <c r="L4518" s="49"/>
      <c r="M4518" s="49"/>
    </row>
    <row r="4519" spans="5:13">
      <c r="E4519" s="49"/>
      <c r="F4519" s="49"/>
      <c r="G4519" s="49"/>
      <c r="H4519" s="49"/>
      <c r="I4519" s="49"/>
      <c r="J4519" s="49"/>
      <c r="K4519" s="49"/>
      <c r="L4519" s="49"/>
      <c r="M4519" s="49"/>
    </row>
    <row r="4520" spans="5:13">
      <c r="E4520" s="49"/>
      <c r="F4520" s="49"/>
      <c r="G4520" s="49"/>
      <c r="H4520" s="49"/>
      <c r="I4520" s="49"/>
      <c r="J4520" s="49"/>
      <c r="K4520" s="49"/>
      <c r="L4520" s="49"/>
      <c r="M4520" s="49"/>
    </row>
    <row r="4521" spans="5:13">
      <c r="E4521" s="49"/>
      <c r="F4521" s="49"/>
      <c r="G4521" s="49"/>
      <c r="H4521" s="49"/>
      <c r="I4521" s="49"/>
      <c r="J4521" s="49"/>
      <c r="K4521" s="49"/>
      <c r="L4521" s="49"/>
      <c r="M4521" s="49"/>
    </row>
    <row r="4522" spans="5:13">
      <c r="E4522" s="49"/>
      <c r="F4522" s="49"/>
      <c r="G4522" s="49"/>
      <c r="H4522" s="49"/>
      <c r="I4522" s="49"/>
      <c r="J4522" s="49"/>
      <c r="K4522" s="49"/>
      <c r="L4522" s="49"/>
      <c r="M4522" s="49"/>
    </row>
    <row r="4523" spans="5:13">
      <c r="E4523" s="49"/>
      <c r="F4523" s="49"/>
      <c r="G4523" s="49"/>
      <c r="H4523" s="49"/>
      <c r="I4523" s="49"/>
      <c r="J4523" s="49"/>
      <c r="K4523" s="49"/>
      <c r="L4523" s="49"/>
      <c r="M4523" s="49"/>
    </row>
    <row r="4524" spans="5:13">
      <c r="E4524" s="49"/>
      <c r="F4524" s="49"/>
      <c r="G4524" s="49"/>
      <c r="H4524" s="49"/>
      <c r="I4524" s="49"/>
      <c r="J4524" s="49"/>
      <c r="K4524" s="49"/>
      <c r="L4524" s="49"/>
      <c r="M4524" s="49"/>
    </row>
    <row r="4525" spans="5:13">
      <c r="E4525" s="49"/>
      <c r="F4525" s="49"/>
      <c r="G4525" s="49"/>
      <c r="H4525" s="49"/>
      <c r="I4525" s="49"/>
      <c r="J4525" s="49"/>
      <c r="K4525" s="49"/>
      <c r="L4525" s="49"/>
      <c r="M4525" s="49"/>
    </row>
    <row r="4526" spans="5:13">
      <c r="E4526" s="49"/>
      <c r="F4526" s="49"/>
      <c r="G4526" s="49"/>
      <c r="H4526" s="49"/>
      <c r="I4526" s="49"/>
      <c r="J4526" s="49"/>
      <c r="K4526" s="49"/>
      <c r="L4526" s="49"/>
      <c r="M4526" s="49"/>
    </row>
    <row r="4527" spans="5:13">
      <c r="E4527" s="49"/>
      <c r="F4527" s="49"/>
      <c r="G4527" s="49"/>
      <c r="H4527" s="49"/>
      <c r="I4527" s="49"/>
      <c r="J4527" s="49"/>
      <c r="K4527" s="49"/>
      <c r="L4527" s="49"/>
      <c r="M4527" s="49"/>
    </row>
    <row r="4528" spans="5:13">
      <c r="E4528" s="49"/>
      <c r="F4528" s="49"/>
      <c r="G4528" s="49"/>
      <c r="H4528" s="49"/>
      <c r="I4528" s="49"/>
      <c r="J4528" s="49"/>
      <c r="K4528" s="49"/>
      <c r="L4528" s="49"/>
      <c r="M4528" s="49"/>
    </row>
    <row r="4529" spans="5:13">
      <c r="E4529" s="49"/>
      <c r="F4529" s="49"/>
      <c r="G4529" s="49"/>
      <c r="H4529" s="49"/>
      <c r="I4529" s="49"/>
      <c r="J4529" s="49"/>
      <c r="K4529" s="49"/>
      <c r="L4529" s="49"/>
      <c r="M4529" s="49"/>
    </row>
    <row r="4530" spans="5:13">
      <c r="E4530" s="49"/>
      <c r="F4530" s="49"/>
      <c r="G4530" s="49"/>
      <c r="H4530" s="49"/>
      <c r="I4530" s="49"/>
      <c r="J4530" s="49"/>
      <c r="K4530" s="49"/>
      <c r="L4530" s="49"/>
      <c r="M4530" s="49"/>
    </row>
    <row r="4531" spans="5:13">
      <c r="E4531" s="49"/>
      <c r="F4531" s="49"/>
      <c r="G4531" s="49"/>
      <c r="H4531" s="49"/>
      <c r="I4531" s="49"/>
      <c r="J4531" s="49"/>
      <c r="K4531" s="49"/>
      <c r="L4531" s="49"/>
      <c r="M4531" s="49"/>
    </row>
    <row r="4532" spans="5:13">
      <c r="E4532" s="49"/>
      <c r="F4532" s="49"/>
      <c r="G4532" s="49"/>
      <c r="H4532" s="49"/>
      <c r="I4532" s="49"/>
      <c r="J4532" s="49"/>
      <c r="K4532" s="49"/>
      <c r="L4532" s="49"/>
      <c r="M4532" s="49"/>
    </row>
    <row r="4533" spans="5:13">
      <c r="E4533" s="49"/>
      <c r="F4533" s="49"/>
      <c r="G4533" s="49"/>
      <c r="H4533" s="49"/>
      <c r="I4533" s="49"/>
      <c r="J4533" s="49"/>
      <c r="K4533" s="49"/>
      <c r="L4533" s="49"/>
      <c r="M4533" s="49"/>
    </row>
    <row r="4534" spans="5:13">
      <c r="E4534" s="49"/>
      <c r="F4534" s="49"/>
      <c r="G4534" s="49"/>
      <c r="H4534" s="49"/>
      <c r="I4534" s="49"/>
      <c r="J4534" s="49"/>
      <c r="K4534" s="49"/>
      <c r="L4534" s="49"/>
      <c r="M4534" s="49"/>
    </row>
    <row r="4535" spans="5:13">
      <c r="E4535" s="49"/>
      <c r="F4535" s="49"/>
      <c r="G4535" s="49"/>
      <c r="H4535" s="49"/>
      <c r="I4535" s="49"/>
      <c r="J4535" s="49"/>
      <c r="K4535" s="49"/>
      <c r="L4535" s="49"/>
      <c r="M4535" s="49"/>
    </row>
    <row r="4536" spans="5:13">
      <c r="E4536" s="49"/>
      <c r="F4536" s="49"/>
      <c r="G4536" s="49"/>
      <c r="H4536" s="49"/>
      <c r="I4536" s="49"/>
      <c r="J4536" s="49"/>
      <c r="K4536" s="49"/>
      <c r="L4536" s="49"/>
      <c r="M4536" s="49"/>
    </row>
    <row r="4537" spans="5:13">
      <c r="E4537" s="49"/>
      <c r="F4537" s="49"/>
      <c r="G4537" s="49"/>
      <c r="H4537" s="49"/>
      <c r="I4537" s="49"/>
      <c r="J4537" s="49"/>
      <c r="K4537" s="49"/>
      <c r="L4537" s="49"/>
      <c r="M4537" s="49"/>
    </row>
    <row r="4538" spans="5:13">
      <c r="E4538" s="49"/>
      <c r="F4538" s="49"/>
      <c r="G4538" s="49"/>
      <c r="H4538" s="49"/>
      <c r="I4538" s="49"/>
      <c r="J4538" s="49"/>
      <c r="K4538" s="49"/>
      <c r="L4538" s="49"/>
      <c r="M4538" s="49"/>
    </row>
    <row r="4539" spans="5:13">
      <c r="E4539" s="49"/>
      <c r="F4539" s="49"/>
      <c r="G4539" s="49"/>
      <c r="H4539" s="49"/>
      <c r="I4539" s="49"/>
      <c r="J4539" s="49"/>
      <c r="K4539" s="49"/>
      <c r="L4539" s="49"/>
      <c r="M4539" s="49"/>
    </row>
    <row r="4540" spans="5:13">
      <c r="E4540" s="49"/>
      <c r="F4540" s="49"/>
      <c r="G4540" s="49"/>
      <c r="H4540" s="49"/>
      <c r="I4540" s="49"/>
      <c r="J4540" s="49"/>
      <c r="K4540" s="49"/>
      <c r="L4540" s="49"/>
      <c r="M4540" s="49"/>
    </row>
    <row r="4541" spans="5:13">
      <c r="E4541" s="49"/>
      <c r="F4541" s="49"/>
      <c r="G4541" s="49"/>
      <c r="H4541" s="49"/>
      <c r="I4541" s="49"/>
      <c r="J4541" s="49"/>
      <c r="K4541" s="49"/>
      <c r="L4541" s="49"/>
      <c r="M4541" s="49"/>
    </row>
    <row r="4542" spans="5:13">
      <c r="E4542" s="49"/>
      <c r="F4542" s="49"/>
      <c r="G4542" s="49"/>
      <c r="H4542" s="49"/>
      <c r="I4542" s="49"/>
      <c r="J4542" s="49"/>
      <c r="K4542" s="49"/>
      <c r="L4542" s="49"/>
      <c r="M4542" s="49"/>
    </row>
    <row r="4543" spans="5:13">
      <c r="E4543" s="49"/>
      <c r="F4543" s="49"/>
      <c r="G4543" s="49"/>
      <c r="H4543" s="49"/>
      <c r="I4543" s="49"/>
      <c r="J4543" s="49"/>
      <c r="K4543" s="49"/>
      <c r="L4543" s="49"/>
      <c r="M4543" s="49"/>
    </row>
    <row r="4544" spans="5:13">
      <c r="E4544" s="49"/>
      <c r="F4544" s="49"/>
      <c r="G4544" s="49"/>
      <c r="H4544" s="49"/>
      <c r="I4544" s="49"/>
      <c r="J4544" s="49"/>
      <c r="K4544" s="49"/>
      <c r="L4544" s="49"/>
      <c r="M4544" s="49"/>
    </row>
    <row r="4545" spans="5:13">
      <c r="E4545" s="49"/>
      <c r="F4545" s="49"/>
      <c r="G4545" s="49"/>
      <c r="H4545" s="49"/>
      <c r="I4545" s="49"/>
      <c r="J4545" s="49"/>
      <c r="K4545" s="49"/>
      <c r="L4545" s="49"/>
      <c r="M4545" s="49"/>
    </row>
    <row r="4546" spans="5:13">
      <c r="E4546" s="49"/>
      <c r="F4546" s="49"/>
      <c r="G4546" s="49"/>
      <c r="H4546" s="49"/>
      <c r="I4546" s="49"/>
      <c r="J4546" s="49"/>
      <c r="K4546" s="49"/>
      <c r="L4546" s="49"/>
      <c r="M4546" s="49"/>
    </row>
    <row r="4547" spans="5:13">
      <c r="E4547" s="49"/>
      <c r="F4547" s="49"/>
      <c r="G4547" s="49"/>
      <c r="H4547" s="49"/>
      <c r="I4547" s="49"/>
      <c r="J4547" s="49"/>
      <c r="K4547" s="49"/>
      <c r="L4547" s="49"/>
      <c r="M4547" s="49"/>
    </row>
    <row r="4548" spans="5:13">
      <c r="E4548" s="49"/>
      <c r="F4548" s="49"/>
      <c r="G4548" s="49"/>
      <c r="H4548" s="49"/>
      <c r="I4548" s="49"/>
      <c r="J4548" s="49"/>
      <c r="K4548" s="49"/>
      <c r="L4548" s="49"/>
      <c r="M4548" s="49"/>
    </row>
    <row r="4549" spans="5:13">
      <c r="E4549" s="49"/>
      <c r="F4549" s="49"/>
      <c r="G4549" s="49"/>
      <c r="H4549" s="49"/>
      <c r="I4549" s="49"/>
      <c r="J4549" s="49"/>
      <c r="K4549" s="49"/>
      <c r="L4549" s="49"/>
      <c r="M4549" s="49"/>
    </row>
    <row r="4550" spans="5:13">
      <c r="E4550" s="49"/>
      <c r="F4550" s="49"/>
      <c r="G4550" s="49"/>
      <c r="H4550" s="49"/>
      <c r="I4550" s="49"/>
      <c r="J4550" s="49"/>
      <c r="K4550" s="49"/>
      <c r="L4550" s="49"/>
      <c r="M4550" s="49"/>
    </row>
    <row r="4551" spans="5:13">
      <c r="E4551" s="49"/>
      <c r="F4551" s="49"/>
      <c r="G4551" s="49"/>
      <c r="H4551" s="49"/>
      <c r="I4551" s="49"/>
      <c r="J4551" s="49"/>
      <c r="K4551" s="49"/>
      <c r="L4551" s="49"/>
      <c r="M4551" s="49"/>
    </row>
    <row r="4552" spans="5:13">
      <c r="E4552" s="49"/>
      <c r="F4552" s="49"/>
      <c r="G4552" s="49"/>
      <c r="H4552" s="49"/>
      <c r="I4552" s="49"/>
      <c r="J4552" s="49"/>
      <c r="K4552" s="49"/>
      <c r="L4552" s="49"/>
      <c r="M4552" s="49"/>
    </row>
    <row r="4553" spans="5:13">
      <c r="E4553" s="49"/>
      <c r="F4553" s="49"/>
      <c r="G4553" s="49"/>
      <c r="H4553" s="49"/>
      <c r="I4553" s="49"/>
      <c r="J4553" s="49"/>
      <c r="K4553" s="49"/>
      <c r="L4553" s="49"/>
      <c r="M4553" s="49"/>
    </row>
    <row r="4554" spans="5:13">
      <c r="E4554" s="49"/>
      <c r="F4554" s="49"/>
      <c r="G4554" s="49"/>
      <c r="H4554" s="49"/>
      <c r="I4554" s="49"/>
      <c r="J4554" s="49"/>
      <c r="K4554" s="49"/>
      <c r="L4554" s="49"/>
      <c r="M4554" s="49"/>
    </row>
    <row r="4555" spans="5:13">
      <c r="E4555" s="49"/>
      <c r="F4555" s="49"/>
      <c r="G4555" s="49"/>
      <c r="H4555" s="49"/>
      <c r="I4555" s="49"/>
      <c r="J4555" s="49"/>
      <c r="K4555" s="49"/>
      <c r="L4555" s="49"/>
      <c r="M4555" s="49"/>
    </row>
    <row r="4556" spans="5:13">
      <c r="E4556" s="49"/>
      <c r="F4556" s="49"/>
      <c r="G4556" s="49"/>
      <c r="H4556" s="49"/>
      <c r="I4556" s="49"/>
      <c r="J4556" s="49"/>
      <c r="K4556" s="49"/>
      <c r="L4556" s="49"/>
      <c r="M4556" s="49"/>
    </row>
    <row r="4557" spans="5:13">
      <c r="E4557" s="49"/>
      <c r="F4557" s="49"/>
      <c r="G4557" s="49"/>
      <c r="H4557" s="49"/>
      <c r="I4557" s="49"/>
      <c r="J4557" s="49"/>
      <c r="K4557" s="49"/>
      <c r="L4557" s="49"/>
      <c r="M4557" s="49"/>
    </row>
    <row r="4558" spans="5:13">
      <c r="E4558" s="49"/>
      <c r="F4558" s="49"/>
      <c r="G4558" s="49"/>
      <c r="H4558" s="49"/>
      <c r="I4558" s="49"/>
      <c r="J4558" s="49"/>
      <c r="K4558" s="49"/>
      <c r="L4558" s="49"/>
      <c r="M4558" s="49"/>
    </row>
    <row r="4559" spans="5:13">
      <c r="E4559" s="49"/>
      <c r="F4559" s="49"/>
      <c r="G4559" s="49"/>
      <c r="H4559" s="49"/>
      <c r="I4559" s="49"/>
      <c r="J4559" s="49"/>
      <c r="K4559" s="49"/>
      <c r="L4559" s="49"/>
      <c r="M4559" s="49"/>
    </row>
    <row r="4560" spans="5:13">
      <c r="E4560" s="49"/>
      <c r="F4560" s="49"/>
      <c r="G4560" s="49"/>
      <c r="H4560" s="49"/>
      <c r="I4560" s="49"/>
      <c r="J4560" s="49"/>
      <c r="K4560" s="49"/>
      <c r="L4560" s="49"/>
      <c r="M4560" s="49"/>
    </row>
    <row r="4561" spans="5:13">
      <c r="E4561" s="49"/>
      <c r="F4561" s="49"/>
      <c r="G4561" s="49"/>
      <c r="H4561" s="49"/>
      <c r="I4561" s="49"/>
      <c r="J4561" s="49"/>
      <c r="K4561" s="49"/>
      <c r="L4561" s="49"/>
      <c r="M4561" s="49"/>
    </row>
    <row r="4562" spans="5:13">
      <c r="E4562" s="49"/>
      <c r="F4562" s="49"/>
      <c r="G4562" s="49"/>
      <c r="H4562" s="49"/>
      <c r="I4562" s="49"/>
      <c r="J4562" s="49"/>
      <c r="K4562" s="49"/>
      <c r="L4562" s="49"/>
      <c r="M4562" s="49"/>
    </row>
    <row r="4563" spans="5:13">
      <c r="E4563" s="49"/>
      <c r="F4563" s="49"/>
      <c r="G4563" s="49"/>
      <c r="H4563" s="49"/>
      <c r="I4563" s="49"/>
      <c r="J4563" s="49"/>
      <c r="K4563" s="49"/>
      <c r="L4563" s="49"/>
      <c r="M4563" s="49"/>
    </row>
    <row r="4564" spans="5:13">
      <c r="E4564" s="49"/>
      <c r="F4564" s="49"/>
      <c r="G4564" s="49"/>
      <c r="H4564" s="49"/>
      <c r="I4564" s="49"/>
      <c r="J4564" s="49"/>
      <c r="K4564" s="49"/>
      <c r="L4564" s="49"/>
      <c r="M4564" s="49"/>
    </row>
    <row r="4565" spans="5:13">
      <c r="E4565" s="49"/>
      <c r="F4565" s="49"/>
      <c r="G4565" s="49"/>
      <c r="H4565" s="49"/>
      <c r="I4565" s="49"/>
      <c r="J4565" s="49"/>
      <c r="K4565" s="49"/>
      <c r="L4565" s="49"/>
      <c r="M4565" s="49"/>
    </row>
    <row r="4566" spans="5:13">
      <c r="E4566" s="49"/>
      <c r="F4566" s="49"/>
      <c r="G4566" s="49"/>
      <c r="H4566" s="49"/>
      <c r="I4566" s="49"/>
      <c r="J4566" s="49"/>
      <c r="K4566" s="49"/>
      <c r="L4566" s="49"/>
      <c r="M4566" s="49"/>
    </row>
    <row r="4567" spans="5:13">
      <c r="E4567" s="49"/>
      <c r="F4567" s="49"/>
      <c r="G4567" s="49"/>
      <c r="H4567" s="49"/>
      <c r="I4567" s="49"/>
      <c r="J4567" s="49"/>
      <c r="K4567" s="49"/>
      <c r="L4567" s="49"/>
      <c r="M4567" s="49"/>
    </row>
    <row r="4568" spans="5:13">
      <c r="E4568" s="49"/>
      <c r="F4568" s="49"/>
      <c r="G4568" s="49"/>
      <c r="H4568" s="49"/>
      <c r="I4568" s="49"/>
      <c r="J4568" s="49"/>
      <c r="K4568" s="49"/>
      <c r="L4568" s="49"/>
      <c r="M4568" s="49"/>
    </row>
    <row r="4569" spans="5:13">
      <c r="E4569" s="49"/>
      <c r="F4569" s="49"/>
      <c r="G4569" s="49"/>
      <c r="H4569" s="49"/>
      <c r="I4569" s="49"/>
      <c r="J4569" s="49"/>
      <c r="K4569" s="49"/>
      <c r="L4569" s="49"/>
      <c r="M4569" s="49"/>
    </row>
    <row r="4570" spans="5:13">
      <c r="E4570" s="49"/>
      <c r="F4570" s="49"/>
      <c r="G4570" s="49"/>
      <c r="H4570" s="49"/>
      <c r="I4570" s="49"/>
      <c r="J4570" s="49"/>
      <c r="K4570" s="49"/>
      <c r="L4570" s="49"/>
      <c r="M4570" s="49"/>
    </row>
    <row r="4571" spans="5:13">
      <c r="E4571" s="49"/>
      <c r="F4571" s="49"/>
      <c r="G4571" s="49"/>
      <c r="H4571" s="49"/>
      <c r="I4571" s="49"/>
      <c r="J4571" s="49"/>
      <c r="K4571" s="49"/>
      <c r="L4571" s="49"/>
      <c r="M4571" s="49"/>
    </row>
    <row r="4572" spans="5:13">
      <c r="E4572" s="49"/>
      <c r="F4572" s="49"/>
      <c r="G4572" s="49"/>
      <c r="H4572" s="49"/>
      <c r="I4572" s="49"/>
      <c r="J4572" s="49"/>
      <c r="K4572" s="49"/>
      <c r="L4572" s="49"/>
      <c r="M4572" s="49"/>
    </row>
    <row r="4573" spans="5:13">
      <c r="E4573" s="49"/>
      <c r="F4573" s="49"/>
      <c r="G4573" s="49"/>
      <c r="H4573" s="49"/>
      <c r="I4573" s="49"/>
      <c r="J4573" s="49"/>
      <c r="K4573" s="49"/>
      <c r="L4573" s="49"/>
      <c r="M4573" s="49"/>
    </row>
    <row r="4574" spans="5:13">
      <c r="E4574" s="49"/>
      <c r="F4574" s="49"/>
      <c r="G4574" s="49"/>
      <c r="H4574" s="49"/>
      <c r="I4574" s="49"/>
      <c r="J4574" s="49"/>
      <c r="K4574" s="49"/>
      <c r="L4574" s="49"/>
      <c r="M4574" s="49"/>
    </row>
    <row r="4575" spans="5:13">
      <c r="E4575" s="49"/>
      <c r="F4575" s="49"/>
      <c r="G4575" s="49"/>
      <c r="H4575" s="49"/>
      <c r="I4575" s="49"/>
      <c r="J4575" s="49"/>
      <c r="K4575" s="49"/>
      <c r="L4575" s="49"/>
      <c r="M4575" s="49"/>
    </row>
    <row r="4576" spans="5:13">
      <c r="E4576" s="49"/>
      <c r="F4576" s="49"/>
      <c r="G4576" s="49"/>
      <c r="H4576" s="49"/>
      <c r="I4576" s="49"/>
      <c r="J4576" s="49"/>
      <c r="K4576" s="49"/>
      <c r="L4576" s="49"/>
      <c r="M4576" s="49"/>
    </row>
    <row r="4577" spans="5:13">
      <c r="E4577" s="49"/>
      <c r="F4577" s="49"/>
      <c r="G4577" s="49"/>
      <c r="H4577" s="49"/>
      <c r="I4577" s="49"/>
      <c r="J4577" s="49"/>
      <c r="K4577" s="49"/>
      <c r="L4577" s="49"/>
      <c r="M4577" s="49"/>
    </row>
    <row r="4578" spans="5:13">
      <c r="E4578" s="49"/>
      <c r="F4578" s="49"/>
      <c r="G4578" s="49"/>
      <c r="H4578" s="49"/>
      <c r="I4578" s="49"/>
      <c r="J4578" s="49"/>
      <c r="K4578" s="49"/>
      <c r="L4578" s="49"/>
      <c r="M4578" s="49"/>
    </row>
    <row r="4579" spans="5:13">
      <c r="E4579" s="49"/>
      <c r="F4579" s="49"/>
      <c r="G4579" s="49"/>
      <c r="H4579" s="49"/>
      <c r="I4579" s="49"/>
      <c r="J4579" s="49"/>
      <c r="K4579" s="49"/>
      <c r="L4579" s="49"/>
      <c r="M4579" s="49"/>
    </row>
    <row r="4580" spans="5:13">
      <c r="E4580" s="49"/>
      <c r="F4580" s="49"/>
      <c r="G4580" s="49"/>
      <c r="H4580" s="49"/>
      <c r="I4580" s="49"/>
      <c r="J4580" s="49"/>
      <c r="K4580" s="49"/>
      <c r="L4580" s="49"/>
      <c r="M4580" s="49"/>
    </row>
    <row r="4581" spans="5:13">
      <c r="E4581" s="49"/>
      <c r="F4581" s="49"/>
      <c r="G4581" s="49"/>
      <c r="H4581" s="49"/>
      <c r="I4581" s="49"/>
      <c r="J4581" s="49"/>
      <c r="K4581" s="49"/>
      <c r="L4581" s="49"/>
      <c r="M4581" s="49"/>
    </row>
    <row r="4582" spans="5:13">
      <c r="E4582" s="49"/>
      <c r="F4582" s="49"/>
      <c r="G4582" s="49"/>
      <c r="H4582" s="49"/>
      <c r="I4582" s="49"/>
      <c r="J4582" s="49"/>
      <c r="K4582" s="49"/>
      <c r="L4582" s="49"/>
      <c r="M4582" s="49"/>
    </row>
    <row r="4583" spans="5:13">
      <c r="E4583" s="49"/>
      <c r="F4583" s="49"/>
      <c r="G4583" s="49"/>
      <c r="H4583" s="49"/>
      <c r="I4583" s="49"/>
      <c r="J4583" s="49"/>
      <c r="K4583" s="49"/>
      <c r="L4583" s="49"/>
      <c r="M4583" s="49"/>
    </row>
    <row r="4584" spans="5:13">
      <c r="E4584" s="49"/>
      <c r="F4584" s="49"/>
      <c r="G4584" s="49"/>
      <c r="H4584" s="49"/>
      <c r="I4584" s="49"/>
      <c r="J4584" s="49"/>
      <c r="K4584" s="49"/>
      <c r="L4584" s="49"/>
      <c r="M4584" s="49"/>
    </row>
    <row r="4585" spans="5:13">
      <c r="E4585" s="49"/>
      <c r="F4585" s="49"/>
      <c r="G4585" s="49"/>
      <c r="H4585" s="49"/>
      <c r="I4585" s="49"/>
      <c r="J4585" s="49"/>
      <c r="K4585" s="49"/>
      <c r="L4585" s="49"/>
      <c r="M4585" s="49"/>
    </row>
    <row r="4586" spans="5:13">
      <c r="E4586" s="49"/>
      <c r="F4586" s="49"/>
      <c r="G4586" s="49"/>
      <c r="H4586" s="49"/>
      <c r="I4586" s="49"/>
      <c r="J4586" s="49"/>
      <c r="K4586" s="49"/>
      <c r="L4586" s="49"/>
      <c r="M4586" s="49"/>
    </row>
    <row r="4587" spans="5:13">
      <c r="E4587" s="49"/>
      <c r="F4587" s="49"/>
      <c r="G4587" s="49"/>
      <c r="H4587" s="49"/>
      <c r="I4587" s="49"/>
      <c r="J4587" s="49"/>
      <c r="K4587" s="49"/>
      <c r="L4587" s="49"/>
      <c r="M4587" s="49"/>
    </row>
    <row r="4588" spans="5:13">
      <c r="E4588" s="49"/>
      <c r="F4588" s="49"/>
      <c r="G4588" s="49"/>
      <c r="H4588" s="49"/>
      <c r="I4588" s="49"/>
      <c r="J4588" s="49"/>
      <c r="K4588" s="49"/>
      <c r="L4588" s="49"/>
      <c r="M4588" s="49"/>
    </row>
    <row r="4589" spans="5:13">
      <c r="E4589" s="49"/>
      <c r="F4589" s="49"/>
      <c r="G4589" s="49"/>
      <c r="H4589" s="49"/>
      <c r="I4589" s="49"/>
      <c r="J4589" s="49"/>
      <c r="K4589" s="49"/>
      <c r="L4589" s="49"/>
      <c r="M4589" s="49"/>
    </row>
    <row r="4590" spans="5:13">
      <c r="E4590" s="49"/>
      <c r="F4590" s="49"/>
      <c r="G4590" s="49"/>
      <c r="H4590" s="49"/>
      <c r="I4590" s="49"/>
      <c r="J4590" s="49"/>
      <c r="K4590" s="49"/>
      <c r="L4590" s="49"/>
      <c r="M4590" s="49"/>
    </row>
    <row r="4591" spans="5:13">
      <c r="E4591" s="49"/>
      <c r="F4591" s="49"/>
      <c r="G4591" s="49"/>
      <c r="H4591" s="49"/>
      <c r="I4591" s="49"/>
      <c r="J4591" s="49"/>
      <c r="K4591" s="49"/>
      <c r="L4591" s="49"/>
      <c r="M4591" s="49"/>
    </row>
    <row r="4592" spans="5:13">
      <c r="E4592" s="49"/>
      <c r="F4592" s="49"/>
      <c r="G4592" s="49"/>
      <c r="H4592" s="49"/>
      <c r="I4592" s="49"/>
      <c r="J4592" s="49"/>
      <c r="K4592" s="49"/>
      <c r="L4592" s="49"/>
      <c r="M4592" s="49"/>
    </row>
    <row r="4593" spans="5:13">
      <c r="E4593" s="49"/>
      <c r="F4593" s="49"/>
      <c r="G4593" s="49"/>
      <c r="H4593" s="49"/>
      <c r="I4593" s="49"/>
      <c r="J4593" s="49"/>
      <c r="K4593" s="49"/>
      <c r="L4593" s="49"/>
      <c r="M4593" s="49"/>
    </row>
    <row r="4594" spans="5:13">
      <c r="E4594" s="49"/>
      <c r="F4594" s="49"/>
      <c r="G4594" s="49"/>
      <c r="H4594" s="49"/>
      <c r="I4594" s="49"/>
      <c r="J4594" s="49"/>
      <c r="K4594" s="49"/>
      <c r="L4594" s="49"/>
      <c r="M4594" s="49"/>
    </row>
    <row r="4595" spans="5:13">
      <c r="E4595" s="49"/>
      <c r="F4595" s="49"/>
      <c r="G4595" s="49"/>
      <c r="H4595" s="49"/>
      <c r="I4595" s="49"/>
      <c r="J4595" s="49"/>
      <c r="K4595" s="49"/>
      <c r="L4595" s="49"/>
      <c r="M4595" s="49"/>
    </row>
    <row r="4596" spans="5:13">
      <c r="E4596" s="49"/>
      <c r="F4596" s="49"/>
      <c r="G4596" s="49"/>
      <c r="H4596" s="49"/>
      <c r="I4596" s="49"/>
      <c r="J4596" s="49"/>
      <c r="K4596" s="49"/>
      <c r="L4596" s="49"/>
      <c r="M4596" s="49"/>
    </row>
    <row r="4597" spans="5:13">
      <c r="E4597" s="49"/>
      <c r="F4597" s="49"/>
      <c r="G4597" s="49"/>
      <c r="H4597" s="49"/>
      <c r="I4597" s="49"/>
      <c r="J4597" s="49"/>
      <c r="K4597" s="49"/>
      <c r="L4597" s="49"/>
      <c r="M4597" s="49"/>
    </row>
    <row r="4598" spans="5:13">
      <c r="E4598" s="49"/>
      <c r="F4598" s="49"/>
      <c r="G4598" s="49"/>
      <c r="H4598" s="49"/>
      <c r="I4598" s="49"/>
      <c r="J4598" s="49"/>
      <c r="K4598" s="49"/>
      <c r="L4598" s="49"/>
      <c r="M4598" s="49"/>
    </row>
    <row r="4599" spans="5:13">
      <c r="E4599" s="49"/>
      <c r="F4599" s="49"/>
      <c r="G4599" s="49"/>
      <c r="H4599" s="49"/>
      <c r="I4599" s="49"/>
      <c r="J4599" s="49"/>
      <c r="K4599" s="49"/>
      <c r="L4599" s="49"/>
      <c r="M4599" s="49"/>
    </row>
    <row r="4600" spans="5:13">
      <c r="E4600" s="49"/>
      <c r="F4600" s="49"/>
      <c r="G4600" s="49"/>
      <c r="H4600" s="49"/>
      <c r="I4600" s="49"/>
      <c r="J4600" s="49"/>
      <c r="K4600" s="49"/>
      <c r="L4600" s="49"/>
      <c r="M4600" s="49"/>
    </row>
    <row r="4601" spans="5:13">
      <c r="E4601" s="49"/>
      <c r="F4601" s="49"/>
      <c r="G4601" s="49"/>
      <c r="H4601" s="49"/>
      <c r="I4601" s="49"/>
      <c r="J4601" s="49"/>
      <c r="K4601" s="49"/>
      <c r="L4601" s="49"/>
      <c r="M4601" s="49"/>
    </row>
    <row r="4602" spans="5:13">
      <c r="E4602" s="49"/>
      <c r="F4602" s="49"/>
      <c r="G4602" s="49"/>
      <c r="H4602" s="49"/>
      <c r="I4602" s="49"/>
      <c r="J4602" s="49"/>
      <c r="K4602" s="49"/>
      <c r="L4602" s="49"/>
      <c r="M4602" s="49"/>
    </row>
    <row r="4603" spans="5:13">
      <c r="E4603" s="49"/>
      <c r="F4603" s="49"/>
      <c r="G4603" s="49"/>
      <c r="H4603" s="49"/>
      <c r="I4603" s="49"/>
      <c r="J4603" s="49"/>
      <c r="K4603" s="49"/>
      <c r="L4603" s="49"/>
      <c r="M4603" s="49"/>
    </row>
    <row r="4604" spans="5:13">
      <c r="E4604" s="49"/>
      <c r="F4604" s="49"/>
      <c r="G4604" s="49"/>
      <c r="H4604" s="49"/>
      <c r="I4604" s="49"/>
      <c r="J4604" s="49"/>
      <c r="K4604" s="49"/>
      <c r="L4604" s="49"/>
      <c r="M4604" s="49"/>
    </row>
    <row r="4605" spans="5:13">
      <c r="E4605" s="49"/>
      <c r="F4605" s="49"/>
      <c r="G4605" s="49"/>
      <c r="H4605" s="49"/>
      <c r="I4605" s="49"/>
      <c r="J4605" s="49"/>
      <c r="K4605" s="49"/>
      <c r="L4605" s="49"/>
      <c r="M4605" s="49"/>
    </row>
    <row r="4606" spans="5:13">
      <c r="E4606" s="49"/>
      <c r="F4606" s="49"/>
      <c r="G4606" s="49"/>
      <c r="H4606" s="49"/>
      <c r="I4606" s="49"/>
      <c r="J4606" s="49"/>
      <c r="K4606" s="49"/>
      <c r="L4606" s="49"/>
      <c r="M4606" s="49"/>
    </row>
    <row r="4607" spans="5:13">
      <c r="E4607" s="49"/>
      <c r="F4607" s="49"/>
      <c r="G4607" s="49"/>
      <c r="H4607" s="49"/>
      <c r="I4607" s="49"/>
      <c r="J4607" s="49"/>
      <c r="K4607" s="49"/>
      <c r="L4607" s="49"/>
      <c r="M4607" s="49"/>
    </row>
    <row r="4608" spans="5:13">
      <c r="E4608" s="49"/>
      <c r="F4608" s="49"/>
      <c r="G4608" s="49"/>
      <c r="H4608" s="49"/>
      <c r="I4608" s="49"/>
      <c r="J4608" s="49"/>
      <c r="K4608" s="49"/>
      <c r="L4608" s="49"/>
      <c r="M4608" s="49"/>
    </row>
    <row r="4609" spans="5:13">
      <c r="E4609" s="49"/>
      <c r="F4609" s="49"/>
      <c r="G4609" s="49"/>
      <c r="H4609" s="49"/>
      <c r="I4609" s="49"/>
      <c r="J4609" s="49"/>
      <c r="K4609" s="49"/>
      <c r="L4609" s="49"/>
      <c r="M4609" s="49"/>
    </row>
    <row r="4610" spans="5:13">
      <c r="E4610" s="49"/>
      <c r="F4610" s="49"/>
      <c r="G4610" s="49"/>
      <c r="H4610" s="49"/>
      <c r="I4610" s="49"/>
      <c r="J4610" s="49"/>
      <c r="K4610" s="49"/>
      <c r="L4610" s="49"/>
      <c r="M4610" s="49"/>
    </row>
    <row r="4611" spans="5:13">
      <c r="E4611" s="49"/>
      <c r="F4611" s="49"/>
      <c r="G4611" s="49"/>
      <c r="H4611" s="49"/>
      <c r="I4611" s="49"/>
      <c r="J4611" s="49"/>
      <c r="K4611" s="49"/>
      <c r="L4611" s="49"/>
      <c r="M4611" s="49"/>
    </row>
    <row r="4612" spans="5:13">
      <c r="E4612" s="49"/>
      <c r="F4612" s="49"/>
      <c r="G4612" s="49"/>
      <c r="H4612" s="49"/>
      <c r="I4612" s="49"/>
      <c r="J4612" s="49"/>
      <c r="K4612" s="49"/>
      <c r="L4612" s="49"/>
      <c r="M4612" s="49"/>
    </row>
    <row r="4613" spans="5:13">
      <c r="E4613" s="49"/>
      <c r="F4613" s="49"/>
      <c r="G4613" s="49"/>
      <c r="H4613" s="49"/>
      <c r="I4613" s="49"/>
      <c r="J4613" s="49"/>
      <c r="K4613" s="49"/>
      <c r="L4613" s="49"/>
      <c r="M4613" s="49"/>
    </row>
    <row r="4614" spans="5:13">
      <c r="E4614" s="49"/>
      <c r="F4614" s="49"/>
      <c r="G4614" s="49"/>
      <c r="H4614" s="49"/>
      <c r="I4614" s="49"/>
      <c r="J4614" s="49"/>
      <c r="K4614" s="49"/>
      <c r="L4614" s="49"/>
      <c r="M4614" s="49"/>
    </row>
    <row r="4615" spans="5:13">
      <c r="E4615" s="49"/>
      <c r="F4615" s="49"/>
      <c r="G4615" s="49"/>
      <c r="H4615" s="49"/>
      <c r="I4615" s="49"/>
      <c r="J4615" s="49"/>
      <c r="K4615" s="49"/>
      <c r="L4615" s="49"/>
      <c r="M4615" s="49"/>
    </row>
    <row r="4616" spans="5:13">
      <c r="E4616" s="49"/>
      <c r="F4616" s="49"/>
      <c r="G4616" s="49"/>
      <c r="H4616" s="49"/>
      <c r="I4616" s="49"/>
      <c r="J4616" s="49"/>
      <c r="K4616" s="49"/>
      <c r="L4616" s="49"/>
      <c r="M4616" s="49"/>
    </row>
    <row r="4617" spans="5:13">
      <c r="E4617" s="49"/>
      <c r="F4617" s="49"/>
      <c r="G4617" s="49"/>
      <c r="H4617" s="49"/>
      <c r="I4617" s="49"/>
      <c r="J4617" s="49"/>
      <c r="K4617" s="49"/>
      <c r="L4617" s="49"/>
      <c r="M4617" s="49"/>
    </row>
    <row r="4618" spans="5:13">
      <c r="E4618" s="49"/>
      <c r="F4618" s="49"/>
      <c r="G4618" s="49"/>
      <c r="H4618" s="49"/>
      <c r="I4618" s="49"/>
      <c r="J4618" s="49"/>
      <c r="K4618" s="49"/>
      <c r="L4618" s="49"/>
      <c r="M4618" s="49"/>
    </row>
    <row r="4619" spans="5:13">
      <c r="E4619" s="49"/>
      <c r="F4619" s="49"/>
      <c r="G4619" s="49"/>
      <c r="H4619" s="49"/>
      <c r="I4619" s="49"/>
      <c r="J4619" s="49"/>
      <c r="K4619" s="49"/>
      <c r="L4619" s="49"/>
      <c r="M4619" s="49"/>
    </row>
    <row r="4620" spans="5:13">
      <c r="E4620" s="49"/>
      <c r="F4620" s="49"/>
      <c r="G4620" s="49"/>
      <c r="H4620" s="49"/>
      <c r="I4620" s="49"/>
      <c r="J4620" s="49"/>
      <c r="K4620" s="49"/>
      <c r="L4620" s="49"/>
      <c r="M4620" s="49"/>
    </row>
    <row r="4621" spans="5:13">
      <c r="E4621" s="49"/>
      <c r="F4621" s="49"/>
      <c r="G4621" s="49"/>
      <c r="H4621" s="49"/>
      <c r="I4621" s="49"/>
      <c r="J4621" s="49"/>
      <c r="K4621" s="49"/>
      <c r="L4621" s="49"/>
      <c r="M4621" s="49"/>
    </row>
    <row r="4622" spans="5:13">
      <c r="E4622" s="49"/>
      <c r="F4622" s="49"/>
      <c r="G4622" s="49"/>
      <c r="H4622" s="49"/>
      <c r="I4622" s="49"/>
      <c r="J4622" s="49"/>
      <c r="K4622" s="49"/>
      <c r="L4622" s="49"/>
      <c r="M4622" s="49"/>
    </row>
    <row r="4623" spans="5:13">
      <c r="E4623" s="49"/>
      <c r="F4623" s="49"/>
      <c r="G4623" s="49"/>
      <c r="H4623" s="49"/>
      <c r="I4623" s="49"/>
      <c r="J4623" s="49"/>
      <c r="K4623" s="49"/>
      <c r="L4623" s="49"/>
      <c r="M4623" s="49"/>
    </row>
    <row r="4624" spans="5:13">
      <c r="E4624" s="49"/>
      <c r="F4624" s="49"/>
      <c r="G4624" s="49"/>
      <c r="H4624" s="49"/>
      <c r="I4624" s="49"/>
      <c r="J4624" s="49"/>
      <c r="K4624" s="49"/>
      <c r="L4624" s="49"/>
      <c r="M4624" s="49"/>
    </row>
    <row r="4625" spans="5:13">
      <c r="E4625" s="49"/>
      <c r="F4625" s="49"/>
      <c r="G4625" s="49"/>
      <c r="H4625" s="49"/>
      <c r="I4625" s="49"/>
      <c r="J4625" s="49"/>
      <c r="K4625" s="49"/>
      <c r="L4625" s="49"/>
      <c r="M4625" s="49"/>
    </row>
    <row r="4626" spans="5:13">
      <c r="E4626" s="49"/>
      <c r="F4626" s="49"/>
      <c r="G4626" s="49"/>
      <c r="H4626" s="49"/>
      <c r="I4626" s="49"/>
      <c r="J4626" s="49"/>
      <c r="K4626" s="49"/>
      <c r="L4626" s="49"/>
      <c r="M4626" s="49"/>
    </row>
    <row r="4627" spans="5:13">
      <c r="E4627" s="49"/>
      <c r="F4627" s="49"/>
      <c r="G4627" s="49"/>
      <c r="H4627" s="49"/>
      <c r="I4627" s="49"/>
      <c r="J4627" s="49"/>
      <c r="K4627" s="49"/>
      <c r="L4627" s="49"/>
      <c r="M4627" s="49"/>
    </row>
    <row r="4628" spans="5:13">
      <c r="E4628" s="49"/>
      <c r="F4628" s="49"/>
      <c r="G4628" s="49"/>
      <c r="H4628" s="49"/>
      <c r="I4628" s="49"/>
      <c r="J4628" s="49"/>
      <c r="K4628" s="49"/>
      <c r="L4628" s="49"/>
      <c r="M4628" s="49"/>
    </row>
    <row r="4629" spans="5:13">
      <c r="E4629" s="49"/>
      <c r="F4629" s="49"/>
      <c r="G4629" s="49"/>
      <c r="H4629" s="49"/>
      <c r="I4629" s="49"/>
      <c r="J4629" s="49"/>
      <c r="K4629" s="49"/>
      <c r="L4629" s="49"/>
      <c r="M4629" s="49"/>
    </row>
    <row r="4630" spans="5:13">
      <c r="E4630" s="49"/>
      <c r="F4630" s="49"/>
      <c r="G4630" s="49"/>
      <c r="H4630" s="49"/>
      <c r="I4630" s="49"/>
      <c r="J4630" s="49"/>
      <c r="K4630" s="49"/>
      <c r="L4630" s="49"/>
      <c r="M4630" s="49"/>
    </row>
    <row r="4631" spans="5:13">
      <c r="E4631" s="49"/>
      <c r="F4631" s="49"/>
      <c r="G4631" s="49"/>
      <c r="H4631" s="49"/>
      <c r="I4631" s="49"/>
      <c r="J4631" s="49"/>
      <c r="K4631" s="49"/>
      <c r="L4631" s="49"/>
      <c r="M4631" s="49"/>
    </row>
    <row r="4632" spans="5:13">
      <c r="E4632" s="49"/>
      <c r="F4632" s="49"/>
      <c r="G4632" s="49"/>
      <c r="H4632" s="49"/>
      <c r="I4632" s="49"/>
      <c r="J4632" s="49"/>
      <c r="K4632" s="49"/>
      <c r="L4632" s="49"/>
      <c r="M4632" s="49"/>
    </row>
    <row r="4633" spans="5:13">
      <c r="E4633" s="49"/>
      <c r="F4633" s="49"/>
      <c r="G4633" s="49"/>
      <c r="H4633" s="49"/>
      <c r="I4633" s="49"/>
      <c r="J4633" s="49"/>
      <c r="K4633" s="49"/>
      <c r="L4633" s="49"/>
      <c r="M4633" s="49"/>
    </row>
    <row r="4634" spans="5:13">
      <c r="E4634" s="49"/>
      <c r="F4634" s="49"/>
      <c r="G4634" s="49"/>
      <c r="H4634" s="49"/>
      <c r="I4634" s="49"/>
      <c r="J4634" s="49"/>
      <c r="K4634" s="49"/>
      <c r="L4634" s="49"/>
      <c r="M4634" s="49"/>
    </row>
    <row r="4635" spans="5:13">
      <c r="E4635" s="49"/>
      <c r="F4635" s="49"/>
      <c r="G4635" s="49"/>
      <c r="H4635" s="49"/>
      <c r="I4635" s="49"/>
      <c r="J4635" s="49"/>
      <c r="K4635" s="49"/>
      <c r="L4635" s="49"/>
      <c r="M4635" s="49"/>
    </row>
    <row r="4636" spans="5:13">
      <c r="E4636" s="49"/>
      <c r="F4636" s="49"/>
      <c r="G4636" s="49"/>
      <c r="H4636" s="49"/>
      <c r="I4636" s="49"/>
      <c r="J4636" s="49"/>
      <c r="K4636" s="49"/>
      <c r="L4636" s="49"/>
      <c r="M4636" s="49"/>
    </row>
    <row r="4637" spans="5:13">
      <c r="E4637" s="49"/>
      <c r="F4637" s="49"/>
      <c r="G4637" s="49"/>
      <c r="H4637" s="49"/>
      <c r="I4637" s="49"/>
      <c r="J4637" s="49"/>
      <c r="K4637" s="49"/>
      <c r="L4637" s="49"/>
      <c r="M4637" s="49"/>
    </row>
    <row r="4638" spans="5:13">
      <c r="E4638" s="49"/>
      <c r="F4638" s="49"/>
      <c r="G4638" s="49"/>
      <c r="H4638" s="49"/>
      <c r="I4638" s="49"/>
      <c r="J4638" s="49"/>
      <c r="K4638" s="49"/>
      <c r="L4638" s="49"/>
      <c r="M4638" s="49"/>
    </row>
    <row r="4639" spans="5:13">
      <c r="E4639" s="49"/>
      <c r="F4639" s="49"/>
      <c r="G4639" s="49"/>
      <c r="H4639" s="49"/>
      <c r="I4639" s="49"/>
      <c r="J4639" s="49"/>
      <c r="K4639" s="49"/>
      <c r="L4639" s="49"/>
      <c r="M4639" s="49"/>
    </row>
    <row r="4640" spans="5:13">
      <c r="E4640" s="49"/>
      <c r="F4640" s="49"/>
      <c r="G4640" s="49"/>
      <c r="H4640" s="49"/>
      <c r="I4640" s="49"/>
      <c r="J4640" s="49"/>
      <c r="K4640" s="49"/>
      <c r="L4640" s="49"/>
      <c r="M4640" s="49"/>
    </row>
    <row r="4641" spans="5:13">
      <c r="E4641" s="49"/>
      <c r="F4641" s="49"/>
      <c r="G4641" s="49"/>
      <c r="H4641" s="49"/>
      <c r="I4641" s="49"/>
      <c r="J4641" s="49"/>
      <c r="K4641" s="49"/>
      <c r="L4641" s="49"/>
      <c r="M4641" s="49"/>
    </row>
    <row r="4642" spans="5:13">
      <c r="E4642" s="49"/>
      <c r="F4642" s="49"/>
      <c r="G4642" s="49"/>
      <c r="H4642" s="49"/>
      <c r="I4642" s="49"/>
      <c r="J4642" s="49"/>
      <c r="K4642" s="49"/>
      <c r="L4642" s="49"/>
      <c r="M4642" s="49"/>
    </row>
    <row r="4643" spans="5:13">
      <c r="E4643" s="49"/>
      <c r="F4643" s="49"/>
      <c r="G4643" s="49"/>
      <c r="H4643" s="49"/>
      <c r="I4643" s="49"/>
      <c r="J4643" s="49"/>
      <c r="K4643" s="49"/>
      <c r="L4643" s="49"/>
      <c r="M4643" s="49"/>
    </row>
    <row r="4644" spans="5:13">
      <c r="E4644" s="49"/>
      <c r="F4644" s="49"/>
      <c r="G4644" s="49"/>
      <c r="H4644" s="49"/>
      <c r="I4644" s="49"/>
      <c r="J4644" s="49"/>
      <c r="K4644" s="49"/>
      <c r="L4644" s="49"/>
      <c r="M4644" s="49"/>
    </row>
    <row r="4645" spans="5:13">
      <c r="E4645" s="49"/>
      <c r="F4645" s="49"/>
      <c r="G4645" s="49"/>
      <c r="H4645" s="49"/>
      <c r="I4645" s="49"/>
      <c r="J4645" s="49"/>
      <c r="K4645" s="49"/>
      <c r="L4645" s="49"/>
      <c r="M4645" s="49"/>
    </row>
    <row r="4646" spans="5:13">
      <c r="E4646" s="49"/>
      <c r="F4646" s="49"/>
      <c r="G4646" s="49"/>
      <c r="H4646" s="49"/>
      <c r="I4646" s="49"/>
      <c r="J4646" s="49"/>
      <c r="K4646" s="49"/>
      <c r="L4646" s="49"/>
      <c r="M4646" s="49"/>
    </row>
    <row r="4647" spans="5:13">
      <c r="E4647" s="49"/>
      <c r="F4647" s="49"/>
      <c r="G4647" s="49"/>
      <c r="H4647" s="49"/>
      <c r="I4647" s="49"/>
      <c r="J4647" s="49"/>
      <c r="K4647" s="49"/>
      <c r="L4647" s="49"/>
      <c r="M4647" s="49"/>
    </row>
    <row r="4648" spans="5:13">
      <c r="E4648" s="49"/>
      <c r="F4648" s="49"/>
      <c r="G4648" s="49"/>
      <c r="H4648" s="49"/>
      <c r="I4648" s="49"/>
      <c r="J4648" s="49"/>
      <c r="K4648" s="49"/>
      <c r="L4648" s="49"/>
      <c r="M4648" s="49"/>
    </row>
    <row r="4649" spans="5:13">
      <c r="E4649" s="49"/>
      <c r="F4649" s="49"/>
      <c r="G4649" s="49"/>
      <c r="H4649" s="49"/>
      <c r="I4649" s="49"/>
      <c r="J4649" s="49"/>
      <c r="K4649" s="49"/>
      <c r="L4649" s="49"/>
      <c r="M4649" s="49"/>
    </row>
    <row r="4650" spans="5:13">
      <c r="E4650" s="49"/>
      <c r="F4650" s="49"/>
      <c r="G4650" s="49"/>
      <c r="H4650" s="49"/>
      <c r="I4650" s="49"/>
      <c r="J4650" s="49"/>
      <c r="K4650" s="49"/>
      <c r="L4650" s="49"/>
      <c r="M4650" s="49"/>
    </row>
    <row r="4651" spans="5:13">
      <c r="E4651" s="49"/>
      <c r="F4651" s="49"/>
      <c r="G4651" s="49"/>
      <c r="H4651" s="49"/>
      <c r="I4651" s="49"/>
      <c r="J4651" s="49"/>
      <c r="K4651" s="49"/>
      <c r="L4651" s="49"/>
      <c r="M4651" s="49"/>
    </row>
    <row r="4652" spans="5:13">
      <c r="E4652" s="49"/>
      <c r="F4652" s="49"/>
      <c r="G4652" s="49"/>
      <c r="H4652" s="49"/>
      <c r="I4652" s="49"/>
      <c r="J4652" s="49"/>
      <c r="K4652" s="49"/>
      <c r="L4652" s="49"/>
      <c r="M4652" s="49"/>
    </row>
    <row r="4653" spans="5:13">
      <c r="E4653" s="49"/>
      <c r="F4653" s="49"/>
      <c r="G4653" s="49"/>
      <c r="H4653" s="49"/>
      <c r="I4653" s="49"/>
      <c r="J4653" s="49"/>
      <c r="K4653" s="49"/>
      <c r="L4653" s="49"/>
      <c r="M4653" s="49"/>
    </row>
    <row r="4654" spans="5:13">
      <c r="E4654" s="49"/>
      <c r="F4654" s="49"/>
      <c r="G4654" s="49"/>
      <c r="H4654" s="49"/>
      <c r="I4654" s="49"/>
      <c r="J4654" s="49"/>
      <c r="K4654" s="49"/>
      <c r="L4654" s="49"/>
      <c r="M4654" s="49"/>
    </row>
    <row r="4655" spans="5:13">
      <c r="E4655" s="49"/>
      <c r="F4655" s="49"/>
      <c r="G4655" s="49"/>
      <c r="H4655" s="49"/>
      <c r="I4655" s="49"/>
      <c r="J4655" s="49"/>
      <c r="K4655" s="49"/>
      <c r="L4655" s="49"/>
      <c r="M4655" s="49"/>
    </row>
    <row r="4656" spans="5:13">
      <c r="E4656" s="49"/>
      <c r="F4656" s="49"/>
      <c r="G4656" s="49"/>
      <c r="H4656" s="49"/>
      <c r="I4656" s="49"/>
      <c r="J4656" s="49"/>
      <c r="K4656" s="49"/>
      <c r="L4656" s="49"/>
      <c r="M4656" s="49"/>
    </row>
    <row r="4657" spans="5:13">
      <c r="E4657" s="49"/>
      <c r="F4657" s="49"/>
      <c r="G4657" s="49"/>
      <c r="H4657" s="49"/>
      <c r="I4657" s="49"/>
      <c r="J4657" s="49"/>
      <c r="K4657" s="49"/>
      <c r="L4657" s="49"/>
      <c r="M4657" s="49"/>
    </row>
    <row r="4658" spans="5:13">
      <c r="E4658" s="49"/>
      <c r="F4658" s="49"/>
      <c r="G4658" s="49"/>
      <c r="H4658" s="49"/>
      <c r="I4658" s="49"/>
      <c r="J4658" s="49"/>
      <c r="K4658" s="49"/>
      <c r="L4658" s="49"/>
      <c r="M4658" s="49"/>
    </row>
    <row r="4659" spans="5:13">
      <c r="E4659" s="49"/>
      <c r="F4659" s="49"/>
      <c r="G4659" s="49"/>
      <c r="H4659" s="49"/>
      <c r="I4659" s="49"/>
      <c r="J4659" s="49"/>
      <c r="K4659" s="49"/>
      <c r="L4659" s="49"/>
      <c r="M4659" s="49"/>
    </row>
    <row r="4660" spans="5:13">
      <c r="E4660" s="49"/>
      <c r="F4660" s="49"/>
      <c r="G4660" s="49"/>
      <c r="H4660" s="49"/>
      <c r="I4660" s="49"/>
      <c r="J4660" s="49"/>
      <c r="K4660" s="49"/>
      <c r="L4660" s="49"/>
      <c r="M4660" s="49"/>
    </row>
    <row r="4661" spans="5:13">
      <c r="E4661" s="49"/>
      <c r="F4661" s="49"/>
      <c r="G4661" s="49"/>
      <c r="H4661" s="49"/>
      <c r="I4661" s="49"/>
      <c r="J4661" s="49"/>
      <c r="K4661" s="49"/>
      <c r="L4661" s="49"/>
      <c r="M4661" s="49"/>
    </row>
    <row r="4662" spans="5:13">
      <c r="E4662" s="49"/>
      <c r="F4662" s="49"/>
      <c r="G4662" s="49"/>
      <c r="H4662" s="49"/>
      <c r="I4662" s="49"/>
      <c r="J4662" s="49"/>
      <c r="K4662" s="49"/>
      <c r="L4662" s="49"/>
      <c r="M4662" s="49"/>
    </row>
    <row r="4663" spans="5:13">
      <c r="E4663" s="49"/>
      <c r="F4663" s="49"/>
      <c r="G4663" s="49"/>
      <c r="H4663" s="49"/>
      <c r="I4663" s="49"/>
      <c r="J4663" s="49"/>
      <c r="K4663" s="49"/>
      <c r="L4663" s="49"/>
      <c r="M4663" s="49"/>
    </row>
    <row r="4664" spans="5:13">
      <c r="E4664" s="49"/>
      <c r="F4664" s="49"/>
      <c r="G4664" s="49"/>
      <c r="H4664" s="49"/>
      <c r="I4664" s="49"/>
      <c r="J4664" s="49"/>
      <c r="K4664" s="49"/>
      <c r="L4664" s="49"/>
      <c r="M4664" s="49"/>
    </row>
    <row r="4665" spans="5:13">
      <c r="E4665" s="49"/>
      <c r="F4665" s="49"/>
      <c r="G4665" s="49"/>
      <c r="H4665" s="49"/>
      <c r="I4665" s="49"/>
      <c r="J4665" s="49"/>
      <c r="K4665" s="49"/>
      <c r="L4665" s="49"/>
      <c r="M4665" s="49"/>
    </row>
    <row r="4666" spans="5:13">
      <c r="E4666" s="49"/>
      <c r="F4666" s="49"/>
      <c r="G4666" s="49"/>
      <c r="H4666" s="49"/>
      <c r="I4666" s="49"/>
      <c r="J4666" s="49"/>
      <c r="K4666" s="49"/>
      <c r="L4666" s="49"/>
      <c r="M4666" s="49"/>
    </row>
    <row r="4667" spans="5:13">
      <c r="E4667" s="49"/>
      <c r="F4667" s="49"/>
      <c r="G4667" s="49"/>
      <c r="H4667" s="49"/>
      <c r="I4667" s="49"/>
      <c r="J4667" s="49"/>
      <c r="K4667" s="49"/>
      <c r="L4667" s="49"/>
      <c r="M4667" s="49"/>
    </row>
    <row r="4668" spans="5:13">
      <c r="E4668" s="49"/>
      <c r="F4668" s="49"/>
      <c r="G4668" s="49"/>
      <c r="H4668" s="49"/>
      <c r="I4668" s="49"/>
      <c r="J4668" s="49"/>
      <c r="K4668" s="49"/>
      <c r="L4668" s="49"/>
      <c r="M4668" s="49"/>
    </row>
    <row r="4669" spans="5:13">
      <c r="E4669" s="49"/>
      <c r="F4669" s="49"/>
      <c r="G4669" s="49"/>
      <c r="H4669" s="49"/>
      <c r="I4669" s="49"/>
      <c r="J4669" s="49"/>
      <c r="K4669" s="49"/>
      <c r="L4669" s="49"/>
      <c r="M4669" s="49"/>
    </row>
    <row r="4670" spans="5:13">
      <c r="E4670" s="49"/>
      <c r="F4670" s="49"/>
      <c r="G4670" s="49"/>
      <c r="H4670" s="49"/>
      <c r="I4670" s="49"/>
      <c r="J4670" s="49"/>
      <c r="K4670" s="49"/>
      <c r="L4670" s="49"/>
      <c r="M4670" s="49"/>
    </row>
    <row r="4671" spans="5:13">
      <c r="E4671" s="49"/>
      <c r="F4671" s="49"/>
      <c r="G4671" s="49"/>
      <c r="H4671" s="49"/>
      <c r="I4671" s="49"/>
      <c r="J4671" s="49"/>
      <c r="K4671" s="49"/>
      <c r="L4671" s="49"/>
      <c r="M4671" s="49"/>
    </row>
    <row r="4672" spans="5:13">
      <c r="E4672" s="49"/>
      <c r="F4672" s="49"/>
      <c r="G4672" s="49"/>
      <c r="H4672" s="49"/>
      <c r="I4672" s="49"/>
      <c r="J4672" s="49"/>
      <c r="K4672" s="49"/>
      <c r="L4672" s="49"/>
      <c r="M4672" s="49"/>
    </row>
    <row r="4673" spans="5:13">
      <c r="E4673" s="49"/>
      <c r="F4673" s="49"/>
      <c r="G4673" s="49"/>
      <c r="H4673" s="49"/>
      <c r="I4673" s="49"/>
      <c r="J4673" s="49"/>
      <c r="K4673" s="49"/>
      <c r="L4673" s="49"/>
      <c r="M4673" s="49"/>
    </row>
    <row r="4674" spans="5:13">
      <c r="E4674" s="49"/>
      <c r="F4674" s="49"/>
      <c r="G4674" s="49"/>
      <c r="H4674" s="49"/>
      <c r="I4674" s="49"/>
      <c r="J4674" s="49"/>
      <c r="K4674" s="49"/>
      <c r="L4674" s="49"/>
      <c r="M4674" s="49"/>
    </row>
    <row r="4675" spans="5:13">
      <c r="E4675" s="49"/>
      <c r="F4675" s="49"/>
      <c r="G4675" s="49"/>
      <c r="H4675" s="49"/>
      <c r="I4675" s="49"/>
      <c r="J4675" s="49"/>
      <c r="K4675" s="49"/>
      <c r="L4675" s="49"/>
      <c r="M4675" s="49"/>
    </row>
    <row r="4676" spans="5:13">
      <c r="E4676" s="49"/>
      <c r="F4676" s="49"/>
      <c r="G4676" s="49"/>
      <c r="H4676" s="49"/>
      <c r="I4676" s="49"/>
      <c r="J4676" s="49"/>
      <c r="K4676" s="49"/>
      <c r="L4676" s="49"/>
      <c r="M4676" s="49"/>
    </row>
    <row r="4677" spans="5:13">
      <c r="E4677" s="49"/>
      <c r="F4677" s="49"/>
      <c r="G4677" s="49"/>
      <c r="H4677" s="49"/>
      <c r="I4677" s="49"/>
      <c r="J4677" s="49"/>
      <c r="K4677" s="49"/>
      <c r="L4677" s="49"/>
      <c r="M4677" s="49"/>
    </row>
    <row r="4678" spans="5:13">
      <c r="E4678" s="49"/>
      <c r="F4678" s="49"/>
      <c r="G4678" s="49"/>
      <c r="H4678" s="49"/>
      <c r="I4678" s="49"/>
      <c r="J4678" s="49"/>
      <c r="K4678" s="49"/>
      <c r="L4678" s="49"/>
      <c r="M4678" s="49"/>
    </row>
    <row r="4679" spans="5:13">
      <c r="E4679" s="49"/>
      <c r="F4679" s="49"/>
      <c r="G4679" s="49"/>
      <c r="H4679" s="49"/>
      <c r="I4679" s="49"/>
      <c r="J4679" s="49"/>
      <c r="K4679" s="49"/>
      <c r="L4679" s="49"/>
      <c r="M4679" s="49"/>
    </row>
    <row r="4680" spans="5:13">
      <c r="E4680" s="49"/>
      <c r="F4680" s="49"/>
      <c r="G4680" s="49"/>
      <c r="H4680" s="49"/>
      <c r="I4680" s="49"/>
      <c r="J4680" s="49"/>
      <c r="K4680" s="49"/>
      <c r="L4680" s="49"/>
      <c r="M4680" s="49"/>
    </row>
    <row r="4681" spans="5:13">
      <c r="E4681" s="49"/>
      <c r="F4681" s="49"/>
      <c r="G4681" s="49"/>
      <c r="H4681" s="49"/>
      <c r="I4681" s="49"/>
      <c r="J4681" s="49"/>
      <c r="K4681" s="49"/>
      <c r="L4681" s="49"/>
      <c r="M4681" s="49"/>
    </row>
    <row r="4682" spans="5:13">
      <c r="E4682" s="49"/>
      <c r="F4682" s="49"/>
      <c r="G4682" s="49"/>
      <c r="H4682" s="49"/>
      <c r="I4682" s="49"/>
      <c r="J4682" s="49"/>
      <c r="K4682" s="49"/>
      <c r="L4682" s="49"/>
      <c r="M4682" s="49"/>
    </row>
    <row r="4683" spans="5:13">
      <c r="E4683" s="49"/>
      <c r="F4683" s="49"/>
      <c r="G4683" s="49"/>
      <c r="H4683" s="49"/>
      <c r="I4683" s="49"/>
      <c r="J4683" s="49"/>
      <c r="K4683" s="49"/>
      <c r="L4683" s="49"/>
      <c r="M4683" s="49"/>
    </row>
    <row r="4684" spans="5:13">
      <c r="E4684" s="49"/>
      <c r="F4684" s="49"/>
      <c r="G4684" s="49"/>
      <c r="H4684" s="49"/>
      <c r="I4684" s="49"/>
      <c r="J4684" s="49"/>
      <c r="K4684" s="49"/>
      <c r="L4684" s="49"/>
      <c r="M4684" s="49"/>
    </row>
    <row r="4685" spans="5:13">
      <c r="E4685" s="49"/>
      <c r="F4685" s="49"/>
      <c r="G4685" s="49"/>
      <c r="H4685" s="49"/>
      <c r="I4685" s="49"/>
      <c r="J4685" s="49"/>
      <c r="K4685" s="49"/>
      <c r="L4685" s="49"/>
      <c r="M4685" s="49"/>
    </row>
    <row r="4686" spans="5:13">
      <c r="E4686" s="49"/>
      <c r="F4686" s="49"/>
      <c r="G4686" s="49"/>
      <c r="H4686" s="49"/>
      <c r="I4686" s="49"/>
      <c r="J4686" s="49"/>
      <c r="K4686" s="49"/>
      <c r="L4686" s="49"/>
      <c r="M4686" s="49"/>
    </row>
    <row r="4687" spans="5:13">
      <c r="E4687" s="49"/>
      <c r="F4687" s="49"/>
      <c r="G4687" s="49"/>
      <c r="H4687" s="49"/>
      <c r="I4687" s="49"/>
      <c r="J4687" s="49"/>
      <c r="K4687" s="49"/>
      <c r="L4687" s="49"/>
      <c r="M4687" s="49"/>
    </row>
    <row r="4688" spans="5:13">
      <c r="E4688" s="49"/>
      <c r="F4688" s="49"/>
      <c r="G4688" s="49"/>
      <c r="H4688" s="49"/>
      <c r="I4688" s="49"/>
      <c r="J4688" s="49"/>
      <c r="K4688" s="49"/>
      <c r="L4688" s="49"/>
      <c r="M4688" s="49"/>
    </row>
    <row r="4689" spans="5:13">
      <c r="E4689" s="49"/>
      <c r="F4689" s="49"/>
      <c r="G4689" s="49"/>
      <c r="H4689" s="49"/>
      <c r="I4689" s="49"/>
      <c r="J4689" s="49"/>
      <c r="K4689" s="49"/>
      <c r="L4689" s="49"/>
      <c r="M4689" s="49"/>
    </row>
    <row r="4690" spans="5:13">
      <c r="E4690" s="49"/>
      <c r="F4690" s="49"/>
      <c r="G4690" s="49"/>
      <c r="H4690" s="49"/>
      <c r="I4690" s="49"/>
      <c r="J4690" s="49"/>
      <c r="K4690" s="49"/>
      <c r="L4690" s="49"/>
      <c r="M4690" s="49"/>
    </row>
    <row r="4691" spans="5:13">
      <c r="E4691" s="49"/>
      <c r="F4691" s="49"/>
      <c r="G4691" s="49"/>
      <c r="H4691" s="49"/>
      <c r="I4691" s="49"/>
      <c r="J4691" s="49"/>
      <c r="K4691" s="49"/>
      <c r="L4691" s="49"/>
      <c r="M4691" s="49"/>
    </row>
    <row r="4692" spans="5:13">
      <c r="E4692" s="49"/>
      <c r="F4692" s="49"/>
      <c r="G4692" s="49"/>
      <c r="H4692" s="49"/>
      <c r="I4692" s="49"/>
      <c r="J4692" s="49"/>
      <c r="K4692" s="49"/>
      <c r="L4692" s="49"/>
      <c r="M4692" s="49"/>
    </row>
    <row r="4693" spans="5:13">
      <c r="E4693" s="49"/>
      <c r="F4693" s="49"/>
      <c r="G4693" s="49"/>
      <c r="H4693" s="49"/>
      <c r="I4693" s="49"/>
      <c r="J4693" s="49"/>
      <c r="K4693" s="49"/>
      <c r="L4693" s="49"/>
      <c r="M4693" s="49"/>
    </row>
    <row r="4694" spans="5:13">
      <c r="E4694" s="49"/>
      <c r="F4694" s="49"/>
      <c r="G4694" s="49"/>
      <c r="H4694" s="49"/>
      <c r="I4694" s="49"/>
      <c r="J4694" s="49"/>
      <c r="K4694" s="49"/>
      <c r="L4694" s="49"/>
      <c r="M4694" s="49"/>
    </row>
    <row r="4695" spans="5:13">
      <c r="E4695" s="49"/>
      <c r="F4695" s="49"/>
      <c r="G4695" s="49"/>
      <c r="H4695" s="49"/>
      <c r="I4695" s="49"/>
      <c r="J4695" s="49"/>
      <c r="K4695" s="49"/>
      <c r="L4695" s="49"/>
      <c r="M4695" s="49"/>
    </row>
    <row r="4696" spans="5:13">
      <c r="E4696" s="49"/>
      <c r="F4696" s="49"/>
      <c r="G4696" s="49"/>
      <c r="H4696" s="49"/>
      <c r="I4696" s="49"/>
      <c r="J4696" s="49"/>
      <c r="K4696" s="49"/>
      <c r="L4696" s="49"/>
      <c r="M4696" s="49"/>
    </row>
    <row r="4697" spans="5:13">
      <c r="E4697" s="49"/>
      <c r="F4697" s="49"/>
      <c r="G4697" s="49"/>
      <c r="H4697" s="49"/>
      <c r="I4697" s="49"/>
      <c r="J4697" s="49"/>
      <c r="K4697" s="49"/>
      <c r="L4697" s="49"/>
      <c r="M4697" s="49"/>
    </row>
    <row r="4698" spans="5:13">
      <c r="E4698" s="49"/>
      <c r="F4698" s="49"/>
      <c r="G4698" s="49"/>
      <c r="H4698" s="49"/>
      <c r="I4698" s="49"/>
      <c r="J4698" s="49"/>
      <c r="K4698" s="49"/>
      <c r="L4698" s="49"/>
      <c r="M4698" s="49"/>
    </row>
    <row r="4699" spans="5:13">
      <c r="E4699" s="49"/>
      <c r="F4699" s="49"/>
      <c r="G4699" s="49"/>
      <c r="H4699" s="49"/>
      <c r="I4699" s="49"/>
      <c r="J4699" s="49"/>
      <c r="K4699" s="49"/>
      <c r="L4699" s="49"/>
      <c r="M4699" s="49"/>
    </row>
    <row r="4700" spans="5:13">
      <c r="E4700" s="49"/>
      <c r="F4700" s="49"/>
      <c r="G4700" s="49"/>
      <c r="H4700" s="49"/>
      <c r="I4700" s="49"/>
      <c r="J4700" s="49"/>
      <c r="K4700" s="49"/>
      <c r="L4700" s="49"/>
      <c r="M4700" s="49"/>
    </row>
    <row r="4701" spans="5:13">
      <c r="E4701" s="49"/>
      <c r="F4701" s="49"/>
      <c r="G4701" s="49"/>
      <c r="H4701" s="49"/>
      <c r="I4701" s="49"/>
      <c r="J4701" s="49"/>
      <c r="K4701" s="49"/>
      <c r="L4701" s="49"/>
      <c r="M4701" s="49"/>
    </row>
    <row r="4702" spans="5:13">
      <c r="E4702" s="49"/>
      <c r="F4702" s="49"/>
      <c r="G4702" s="49"/>
      <c r="H4702" s="49"/>
      <c r="I4702" s="49"/>
      <c r="J4702" s="49"/>
      <c r="K4702" s="49"/>
      <c r="L4702" s="49"/>
      <c r="M4702" s="49"/>
    </row>
    <row r="4703" spans="5:13">
      <c r="E4703" s="49"/>
      <c r="F4703" s="49"/>
      <c r="G4703" s="49"/>
      <c r="H4703" s="49"/>
      <c r="I4703" s="49"/>
      <c r="J4703" s="49"/>
      <c r="K4703" s="49"/>
      <c r="L4703" s="49"/>
      <c r="M4703" s="49"/>
    </row>
    <row r="4704" spans="5:13">
      <c r="E4704" s="49"/>
      <c r="F4704" s="49"/>
      <c r="G4704" s="49"/>
      <c r="H4704" s="49"/>
      <c r="I4704" s="49"/>
      <c r="J4704" s="49"/>
      <c r="K4704" s="49"/>
      <c r="L4704" s="49"/>
      <c r="M4704" s="49"/>
    </row>
    <row r="4705" spans="5:13">
      <c r="E4705" s="49"/>
      <c r="F4705" s="49"/>
      <c r="G4705" s="49"/>
      <c r="H4705" s="49"/>
      <c r="I4705" s="49"/>
      <c r="J4705" s="49"/>
      <c r="K4705" s="49"/>
      <c r="L4705" s="49"/>
      <c r="M4705" s="49"/>
    </row>
    <row r="4706" spans="5:13">
      <c r="E4706" s="49"/>
      <c r="F4706" s="49"/>
      <c r="G4706" s="49"/>
      <c r="H4706" s="49"/>
      <c r="I4706" s="49"/>
      <c r="J4706" s="49"/>
      <c r="K4706" s="49"/>
      <c r="L4706" s="49"/>
      <c r="M4706" s="49"/>
    </row>
    <row r="4707" spans="5:13">
      <c r="E4707" s="49"/>
      <c r="F4707" s="49"/>
      <c r="G4707" s="49"/>
      <c r="H4707" s="49"/>
      <c r="I4707" s="49"/>
      <c r="J4707" s="49"/>
      <c r="K4707" s="49"/>
      <c r="L4707" s="49"/>
      <c r="M4707" s="49"/>
    </row>
    <row r="4708" spans="5:13">
      <c r="E4708" s="49"/>
      <c r="F4708" s="49"/>
      <c r="G4708" s="49"/>
      <c r="H4708" s="49"/>
      <c r="I4708" s="49"/>
      <c r="J4708" s="49"/>
      <c r="K4708" s="49"/>
      <c r="L4708" s="49"/>
      <c r="M4708" s="49"/>
    </row>
    <row r="4709" spans="5:13">
      <c r="E4709" s="49"/>
      <c r="F4709" s="49"/>
      <c r="G4709" s="49"/>
      <c r="H4709" s="49"/>
      <c r="I4709" s="49"/>
      <c r="J4709" s="49"/>
      <c r="K4709" s="49"/>
      <c r="L4709" s="49"/>
      <c r="M4709" s="49"/>
    </row>
    <row r="4710" spans="5:13">
      <c r="E4710" s="49"/>
      <c r="F4710" s="49"/>
      <c r="G4710" s="49"/>
      <c r="H4710" s="49"/>
      <c r="I4710" s="49"/>
      <c r="J4710" s="49"/>
      <c r="K4710" s="49"/>
      <c r="L4710" s="49"/>
      <c r="M4710" s="49"/>
    </row>
    <row r="4711" spans="5:13">
      <c r="E4711" s="49"/>
      <c r="F4711" s="49"/>
      <c r="G4711" s="49"/>
      <c r="H4711" s="49"/>
      <c r="I4711" s="49"/>
      <c r="J4711" s="49"/>
      <c r="K4711" s="49"/>
      <c r="L4711" s="49"/>
      <c r="M4711" s="49"/>
    </row>
    <row r="4712" spans="5:13">
      <c r="E4712" s="49"/>
      <c r="F4712" s="49"/>
      <c r="G4712" s="49"/>
      <c r="H4712" s="49"/>
      <c r="I4712" s="49"/>
      <c r="J4712" s="49"/>
      <c r="K4712" s="49"/>
      <c r="L4712" s="49"/>
      <c r="M4712" s="49"/>
    </row>
    <row r="4713" spans="5:13">
      <c r="E4713" s="49"/>
      <c r="F4713" s="49"/>
      <c r="G4713" s="49"/>
      <c r="H4713" s="49"/>
      <c r="I4713" s="49"/>
      <c r="J4713" s="49"/>
      <c r="K4713" s="49"/>
      <c r="L4713" s="49"/>
      <c r="M4713" s="49"/>
    </row>
    <row r="4714" spans="5:13">
      <c r="E4714" s="49"/>
      <c r="F4714" s="49"/>
      <c r="G4714" s="49"/>
      <c r="H4714" s="49"/>
      <c r="I4714" s="49"/>
      <c r="J4714" s="49"/>
      <c r="K4714" s="49"/>
      <c r="L4714" s="49"/>
      <c r="M4714" s="49"/>
    </row>
    <row r="4715" spans="5:13">
      <c r="E4715" s="49"/>
      <c r="F4715" s="49"/>
      <c r="G4715" s="49"/>
      <c r="H4715" s="49"/>
      <c r="I4715" s="49"/>
      <c r="J4715" s="49"/>
      <c r="K4715" s="49"/>
      <c r="L4715" s="49"/>
      <c r="M4715" s="49"/>
    </row>
    <row r="4716" spans="5:13">
      <c r="E4716" s="49"/>
      <c r="F4716" s="49"/>
      <c r="G4716" s="49"/>
      <c r="H4716" s="49"/>
      <c r="I4716" s="49"/>
      <c r="J4716" s="49"/>
      <c r="K4716" s="49"/>
      <c r="L4716" s="49"/>
      <c r="M4716" s="49"/>
    </row>
    <row r="4717" spans="5:13">
      <c r="E4717" s="49"/>
      <c r="F4717" s="49"/>
      <c r="G4717" s="49"/>
      <c r="H4717" s="49"/>
      <c r="I4717" s="49"/>
      <c r="J4717" s="49"/>
      <c r="K4717" s="49"/>
      <c r="L4717" s="49"/>
      <c r="M4717" s="49"/>
    </row>
    <row r="4718" spans="5:13">
      <c r="E4718" s="49"/>
      <c r="F4718" s="49"/>
      <c r="G4718" s="49"/>
      <c r="H4718" s="49"/>
      <c r="I4718" s="49"/>
      <c r="J4718" s="49"/>
      <c r="K4718" s="49"/>
      <c r="L4718" s="49"/>
      <c r="M4718" s="49"/>
    </row>
    <row r="4719" spans="5:13">
      <c r="E4719" s="49"/>
      <c r="F4719" s="49"/>
      <c r="G4719" s="49"/>
      <c r="H4719" s="49"/>
      <c r="I4719" s="49"/>
      <c r="J4719" s="49"/>
      <c r="K4719" s="49"/>
      <c r="L4719" s="49"/>
      <c r="M4719" s="49"/>
    </row>
    <row r="4720" spans="5:13">
      <c r="E4720" s="49"/>
      <c r="F4720" s="49"/>
      <c r="G4720" s="49"/>
      <c r="H4720" s="49"/>
      <c r="I4720" s="49"/>
      <c r="J4720" s="49"/>
      <c r="K4720" s="49"/>
      <c r="L4720" s="49"/>
      <c r="M4720" s="49"/>
    </row>
    <row r="4721" spans="5:13">
      <c r="E4721" s="49"/>
      <c r="F4721" s="49"/>
      <c r="G4721" s="49"/>
      <c r="H4721" s="49"/>
      <c r="I4721" s="49"/>
      <c r="J4721" s="49"/>
      <c r="K4721" s="49"/>
      <c r="L4721" s="49"/>
      <c r="M4721" s="49"/>
    </row>
    <row r="4722" spans="5:13">
      <c r="E4722" s="49"/>
      <c r="F4722" s="49"/>
      <c r="G4722" s="49"/>
      <c r="H4722" s="49"/>
      <c r="I4722" s="49"/>
      <c r="J4722" s="49"/>
      <c r="K4722" s="49"/>
      <c r="L4722" s="49"/>
      <c r="M4722" s="49"/>
    </row>
    <row r="4723" spans="5:13">
      <c r="E4723" s="49"/>
      <c r="F4723" s="49"/>
      <c r="G4723" s="49"/>
      <c r="H4723" s="49"/>
      <c r="I4723" s="49"/>
      <c r="J4723" s="49"/>
      <c r="K4723" s="49"/>
      <c r="L4723" s="49"/>
      <c r="M4723" s="49"/>
    </row>
    <row r="4724" spans="5:13">
      <c r="E4724" s="49"/>
      <c r="F4724" s="49"/>
      <c r="G4724" s="49"/>
      <c r="H4724" s="49"/>
      <c r="I4724" s="49"/>
      <c r="J4724" s="49"/>
      <c r="K4724" s="49"/>
      <c r="L4724" s="49"/>
      <c r="M4724" s="49"/>
    </row>
    <row r="4725" spans="5:13">
      <c r="E4725" s="49"/>
      <c r="F4725" s="49"/>
      <c r="G4725" s="49"/>
      <c r="H4725" s="49"/>
      <c r="I4725" s="49"/>
      <c r="J4725" s="49"/>
      <c r="K4725" s="49"/>
      <c r="L4725" s="49"/>
      <c r="M4725" s="49"/>
    </row>
    <row r="4726" spans="5:13">
      <c r="E4726" s="49"/>
      <c r="F4726" s="49"/>
      <c r="G4726" s="49"/>
      <c r="H4726" s="49"/>
      <c r="I4726" s="49"/>
      <c r="J4726" s="49"/>
      <c r="K4726" s="49"/>
      <c r="L4726" s="49"/>
      <c r="M4726" s="49"/>
    </row>
    <row r="4727" spans="5:13">
      <c r="E4727" s="49"/>
      <c r="F4727" s="49"/>
      <c r="G4727" s="49"/>
      <c r="H4727" s="49"/>
      <c r="I4727" s="49"/>
      <c r="J4727" s="49"/>
      <c r="K4727" s="49"/>
      <c r="L4727" s="49"/>
      <c r="M4727" s="49"/>
    </row>
    <row r="4728" spans="5:13">
      <c r="E4728" s="49"/>
      <c r="F4728" s="49"/>
      <c r="G4728" s="49"/>
      <c r="H4728" s="49"/>
      <c r="I4728" s="49"/>
      <c r="J4728" s="49"/>
      <c r="K4728" s="49"/>
      <c r="L4728" s="49"/>
      <c r="M4728" s="49"/>
    </row>
    <row r="4729" spans="5:13">
      <c r="E4729" s="49"/>
      <c r="F4729" s="49"/>
      <c r="G4729" s="49"/>
      <c r="H4729" s="49"/>
      <c r="I4729" s="49"/>
      <c r="J4729" s="49"/>
      <c r="K4729" s="49"/>
      <c r="L4729" s="49"/>
      <c r="M4729" s="49"/>
    </row>
    <row r="4730" spans="5:13">
      <c r="E4730" s="49"/>
      <c r="F4730" s="49"/>
      <c r="G4730" s="49"/>
      <c r="H4730" s="49"/>
      <c r="I4730" s="49"/>
      <c r="J4730" s="49"/>
      <c r="K4730" s="49"/>
      <c r="L4730" s="49"/>
      <c r="M4730" s="49"/>
    </row>
    <row r="4731" spans="5:13">
      <c r="E4731" s="49"/>
      <c r="F4731" s="49"/>
      <c r="G4731" s="49"/>
      <c r="H4731" s="49"/>
      <c r="I4731" s="49"/>
      <c r="J4731" s="49"/>
      <c r="K4731" s="49"/>
      <c r="L4731" s="49"/>
      <c r="M4731" s="49"/>
    </row>
    <row r="4732" spans="5:13">
      <c r="E4732" s="49"/>
      <c r="F4732" s="49"/>
      <c r="G4732" s="49"/>
      <c r="H4732" s="49"/>
      <c r="I4732" s="49"/>
      <c r="J4732" s="49"/>
      <c r="K4732" s="49"/>
      <c r="L4732" s="49"/>
      <c r="M4732" s="49"/>
    </row>
    <row r="4733" spans="5:13">
      <c r="E4733" s="49"/>
      <c r="F4733" s="49"/>
      <c r="G4733" s="49"/>
      <c r="H4733" s="49"/>
      <c r="I4733" s="49"/>
      <c r="J4733" s="49"/>
      <c r="K4733" s="49"/>
      <c r="L4733" s="49"/>
      <c r="M4733" s="49"/>
    </row>
    <row r="4734" spans="5:13">
      <c r="E4734" s="49"/>
      <c r="F4734" s="49"/>
      <c r="G4734" s="49"/>
      <c r="H4734" s="49"/>
      <c r="I4734" s="49"/>
      <c r="J4734" s="49"/>
      <c r="K4734" s="49"/>
      <c r="L4734" s="49"/>
      <c r="M4734" s="49"/>
    </row>
    <row r="4735" spans="5:13">
      <c r="E4735" s="49"/>
      <c r="F4735" s="49"/>
      <c r="G4735" s="49"/>
      <c r="H4735" s="49"/>
      <c r="I4735" s="49"/>
      <c r="J4735" s="49"/>
      <c r="K4735" s="49"/>
      <c r="L4735" s="49"/>
      <c r="M4735" s="49"/>
    </row>
    <row r="4736" spans="5:13">
      <c r="E4736" s="49"/>
      <c r="F4736" s="49"/>
      <c r="G4736" s="49"/>
      <c r="H4736" s="49"/>
      <c r="I4736" s="49"/>
      <c r="J4736" s="49"/>
      <c r="K4736" s="49"/>
      <c r="L4736" s="49"/>
      <c r="M4736" s="49"/>
    </row>
    <row r="4737" spans="5:13">
      <c r="E4737" s="49"/>
      <c r="F4737" s="49"/>
      <c r="G4737" s="49"/>
      <c r="H4737" s="49"/>
      <c r="I4737" s="49"/>
      <c r="J4737" s="49"/>
      <c r="K4737" s="49"/>
      <c r="L4737" s="49"/>
      <c r="M4737" s="49"/>
    </row>
    <row r="4738" spans="5:13">
      <c r="E4738" s="49"/>
      <c r="F4738" s="49"/>
      <c r="G4738" s="49"/>
      <c r="H4738" s="49"/>
      <c r="I4738" s="49"/>
      <c r="J4738" s="49"/>
      <c r="K4738" s="49"/>
      <c r="L4738" s="49"/>
      <c r="M4738" s="49"/>
    </row>
    <row r="4739" spans="5:13">
      <c r="E4739" s="49"/>
      <c r="F4739" s="49"/>
      <c r="G4739" s="49"/>
      <c r="H4739" s="49"/>
      <c r="I4739" s="49"/>
      <c r="J4739" s="49"/>
      <c r="K4739" s="49"/>
      <c r="L4739" s="49"/>
      <c r="M4739" s="49"/>
    </row>
    <row r="4740" spans="5:13">
      <c r="E4740" s="49"/>
      <c r="F4740" s="49"/>
      <c r="G4740" s="49"/>
      <c r="H4740" s="49"/>
      <c r="I4740" s="49"/>
      <c r="J4740" s="49"/>
      <c r="K4740" s="49"/>
      <c r="L4740" s="49"/>
      <c r="M4740" s="49"/>
    </row>
    <row r="4741" spans="5:13">
      <c r="E4741" s="49"/>
      <c r="F4741" s="49"/>
      <c r="G4741" s="49"/>
      <c r="H4741" s="49"/>
      <c r="I4741" s="49"/>
      <c r="J4741" s="49"/>
      <c r="K4741" s="49"/>
      <c r="L4741" s="49"/>
      <c r="M4741" s="49"/>
    </row>
    <row r="4742" spans="5:13">
      <c r="E4742" s="49"/>
      <c r="F4742" s="49"/>
      <c r="G4742" s="49"/>
      <c r="H4742" s="49"/>
      <c r="I4742" s="49"/>
      <c r="J4742" s="49"/>
      <c r="K4742" s="49"/>
      <c r="L4742" s="49"/>
      <c r="M4742" s="49"/>
    </row>
    <row r="4743" spans="5:13">
      <c r="E4743" s="49"/>
      <c r="F4743" s="49"/>
      <c r="G4743" s="49"/>
      <c r="H4743" s="49"/>
      <c r="I4743" s="49"/>
      <c r="J4743" s="49"/>
      <c r="K4743" s="49"/>
      <c r="L4743" s="49"/>
      <c r="M4743" s="49"/>
    </row>
    <row r="4744" spans="5:13">
      <c r="E4744" s="49"/>
      <c r="F4744" s="49"/>
      <c r="G4744" s="49"/>
      <c r="H4744" s="49"/>
      <c r="I4744" s="49"/>
      <c r="J4744" s="49"/>
      <c r="K4744" s="49"/>
      <c r="L4744" s="49"/>
      <c r="M4744" s="49"/>
    </row>
    <row r="4745" spans="5:13">
      <c r="E4745" s="49"/>
      <c r="F4745" s="49"/>
      <c r="G4745" s="49"/>
      <c r="H4745" s="49"/>
      <c r="I4745" s="49"/>
      <c r="J4745" s="49"/>
      <c r="K4745" s="49"/>
      <c r="L4745" s="49"/>
      <c r="M4745" s="49"/>
    </row>
    <row r="4746" spans="5:13">
      <c r="E4746" s="49"/>
      <c r="F4746" s="49"/>
      <c r="G4746" s="49"/>
      <c r="H4746" s="49"/>
      <c r="I4746" s="49"/>
      <c r="J4746" s="49"/>
      <c r="K4746" s="49"/>
      <c r="L4746" s="49"/>
      <c r="M4746" s="49"/>
    </row>
    <row r="4747" spans="5:13">
      <c r="E4747" s="49"/>
      <c r="F4747" s="49"/>
      <c r="G4747" s="49"/>
      <c r="H4747" s="49"/>
      <c r="I4747" s="49"/>
      <c r="J4747" s="49"/>
      <c r="K4747" s="49"/>
      <c r="L4747" s="49"/>
      <c r="M4747" s="49"/>
    </row>
    <row r="4748" spans="5:13">
      <c r="E4748" s="49"/>
      <c r="F4748" s="49"/>
      <c r="G4748" s="49"/>
      <c r="H4748" s="49"/>
      <c r="I4748" s="49"/>
      <c r="J4748" s="49"/>
      <c r="K4748" s="49"/>
      <c r="L4748" s="49"/>
      <c r="M4748" s="49"/>
    </row>
    <row r="4749" spans="5:13">
      <c r="E4749" s="49"/>
      <c r="F4749" s="49"/>
      <c r="G4749" s="49"/>
      <c r="H4749" s="49"/>
      <c r="I4749" s="49"/>
      <c r="J4749" s="49"/>
      <c r="K4749" s="49"/>
      <c r="L4749" s="49"/>
      <c r="M4749" s="49"/>
    </row>
    <row r="4750" spans="5:13">
      <c r="E4750" s="49"/>
      <c r="F4750" s="49"/>
      <c r="G4750" s="49"/>
      <c r="H4750" s="49"/>
      <c r="I4750" s="49"/>
      <c r="J4750" s="49"/>
      <c r="K4750" s="49"/>
      <c r="L4750" s="49"/>
      <c r="M4750" s="49"/>
    </row>
    <row r="4751" spans="5:13">
      <c r="E4751" s="49"/>
      <c r="F4751" s="49"/>
      <c r="G4751" s="49"/>
      <c r="H4751" s="49"/>
      <c r="I4751" s="49"/>
      <c r="J4751" s="49"/>
      <c r="K4751" s="49"/>
      <c r="L4751" s="49"/>
      <c r="M4751" s="49"/>
    </row>
    <row r="4752" spans="5:13">
      <c r="E4752" s="49"/>
      <c r="F4752" s="49"/>
      <c r="G4752" s="49"/>
      <c r="H4752" s="49"/>
      <c r="I4752" s="49"/>
      <c r="J4752" s="49"/>
      <c r="K4752" s="49"/>
      <c r="L4752" s="49"/>
      <c r="M4752" s="49"/>
    </row>
    <row r="4753" spans="5:13">
      <c r="E4753" s="49"/>
      <c r="F4753" s="49"/>
      <c r="G4753" s="49"/>
      <c r="H4753" s="49"/>
      <c r="I4753" s="49"/>
      <c r="J4753" s="49"/>
      <c r="K4753" s="49"/>
      <c r="L4753" s="49"/>
      <c r="M4753" s="49"/>
    </row>
    <row r="4754" spans="5:13">
      <c r="E4754" s="49"/>
      <c r="F4754" s="49"/>
      <c r="G4754" s="49"/>
      <c r="H4754" s="49"/>
      <c r="I4754" s="49"/>
      <c r="J4754" s="49"/>
      <c r="K4754" s="49"/>
      <c r="L4754" s="49"/>
      <c r="M4754" s="49"/>
    </row>
    <row r="4755" spans="5:13">
      <c r="E4755" s="49"/>
      <c r="F4755" s="49"/>
      <c r="G4755" s="49"/>
      <c r="H4755" s="49"/>
      <c r="I4755" s="49"/>
      <c r="J4755" s="49"/>
      <c r="K4755" s="49"/>
      <c r="L4755" s="49"/>
      <c r="M4755" s="49"/>
    </row>
    <row r="4756" spans="5:13">
      <c r="E4756" s="49"/>
      <c r="F4756" s="49"/>
      <c r="G4756" s="49"/>
      <c r="H4756" s="49"/>
      <c r="I4756" s="49"/>
      <c r="J4756" s="49"/>
      <c r="K4756" s="49"/>
      <c r="L4756" s="49"/>
      <c r="M4756" s="49"/>
    </row>
    <row r="4757" spans="5:13">
      <c r="E4757" s="49"/>
      <c r="F4757" s="49"/>
      <c r="G4757" s="49"/>
      <c r="H4757" s="49"/>
      <c r="I4757" s="49"/>
      <c r="J4757" s="49"/>
      <c r="K4757" s="49"/>
      <c r="L4757" s="49"/>
      <c r="M4757" s="49"/>
    </row>
    <row r="4758" spans="5:13">
      <c r="E4758" s="49"/>
      <c r="F4758" s="49"/>
      <c r="G4758" s="49"/>
      <c r="H4758" s="49"/>
      <c r="I4758" s="49"/>
      <c r="J4758" s="49"/>
      <c r="K4758" s="49"/>
      <c r="L4758" s="49"/>
      <c r="M4758" s="49"/>
    </row>
    <row r="4759" spans="5:13">
      <c r="E4759" s="49"/>
      <c r="F4759" s="49"/>
      <c r="G4759" s="49"/>
      <c r="H4759" s="49"/>
      <c r="I4759" s="49"/>
      <c r="J4759" s="49"/>
      <c r="K4759" s="49"/>
      <c r="L4759" s="49"/>
      <c r="M4759" s="49"/>
    </row>
    <row r="4760" spans="5:13">
      <c r="E4760" s="49"/>
      <c r="F4760" s="49"/>
      <c r="G4760" s="49"/>
      <c r="H4760" s="49"/>
      <c r="I4760" s="49"/>
      <c r="J4760" s="49"/>
      <c r="K4760" s="49"/>
      <c r="L4760" s="49"/>
      <c r="M4760" s="49"/>
    </row>
    <row r="4761" spans="5:13">
      <c r="E4761" s="49"/>
      <c r="F4761" s="49"/>
      <c r="G4761" s="49"/>
      <c r="H4761" s="49"/>
      <c r="I4761" s="49"/>
      <c r="J4761" s="49"/>
      <c r="K4761" s="49"/>
      <c r="L4761" s="49"/>
      <c r="M4761" s="49"/>
    </row>
    <row r="4762" spans="5:13">
      <c r="E4762" s="49"/>
      <c r="F4762" s="49"/>
      <c r="G4762" s="49"/>
      <c r="H4762" s="49"/>
      <c r="I4762" s="49"/>
      <c r="J4762" s="49"/>
      <c r="K4762" s="49"/>
      <c r="L4762" s="49"/>
      <c r="M4762" s="49"/>
    </row>
    <row r="4763" spans="5:13">
      <c r="E4763" s="49"/>
      <c r="F4763" s="49"/>
      <c r="G4763" s="49"/>
      <c r="H4763" s="49"/>
      <c r="I4763" s="49"/>
      <c r="J4763" s="49"/>
      <c r="K4763" s="49"/>
      <c r="L4763" s="49"/>
      <c r="M4763" s="49"/>
    </row>
    <row r="4764" spans="5:13">
      <c r="E4764" s="49"/>
      <c r="F4764" s="49"/>
      <c r="G4764" s="49"/>
      <c r="H4764" s="49"/>
      <c r="I4764" s="49"/>
      <c r="J4764" s="49"/>
      <c r="K4764" s="49"/>
      <c r="L4764" s="49"/>
      <c r="M4764" s="49"/>
    </row>
    <row r="4765" spans="5:13">
      <c r="E4765" s="49"/>
      <c r="F4765" s="49"/>
      <c r="G4765" s="49"/>
      <c r="H4765" s="49"/>
      <c r="I4765" s="49"/>
      <c r="J4765" s="49"/>
      <c r="K4765" s="49"/>
      <c r="L4765" s="49"/>
      <c r="M4765" s="49"/>
    </row>
    <row r="4766" spans="5:13">
      <c r="E4766" s="49"/>
      <c r="F4766" s="49"/>
      <c r="G4766" s="49"/>
      <c r="H4766" s="49"/>
      <c r="I4766" s="49"/>
      <c r="J4766" s="49"/>
      <c r="K4766" s="49"/>
      <c r="L4766" s="49"/>
      <c r="M4766" s="49"/>
    </row>
    <row r="4767" spans="5:13">
      <c r="E4767" s="49"/>
      <c r="F4767" s="49"/>
      <c r="G4767" s="49"/>
      <c r="H4767" s="49"/>
      <c r="I4767" s="49"/>
      <c r="J4767" s="49"/>
      <c r="K4767" s="49"/>
      <c r="L4767" s="49"/>
      <c r="M4767" s="49"/>
    </row>
    <row r="4768" spans="5:13">
      <c r="E4768" s="49"/>
      <c r="F4768" s="49"/>
      <c r="G4768" s="49"/>
      <c r="H4768" s="49"/>
      <c r="I4768" s="49"/>
      <c r="J4768" s="49"/>
      <c r="K4768" s="49"/>
      <c r="L4768" s="49"/>
      <c r="M4768" s="49"/>
    </row>
    <row r="4769" spans="5:13">
      <c r="E4769" s="49"/>
      <c r="F4769" s="49"/>
      <c r="G4769" s="49"/>
      <c r="H4769" s="49"/>
      <c r="I4769" s="49"/>
      <c r="J4769" s="49"/>
      <c r="K4769" s="49"/>
      <c r="L4769" s="49"/>
      <c r="M4769" s="49"/>
    </row>
    <row r="4770" spans="5:13">
      <c r="E4770" s="49"/>
      <c r="F4770" s="49"/>
      <c r="G4770" s="49"/>
      <c r="H4770" s="49"/>
      <c r="I4770" s="49"/>
      <c r="J4770" s="49"/>
      <c r="K4770" s="49"/>
      <c r="L4770" s="49"/>
      <c r="M4770" s="49"/>
    </row>
    <row r="4771" spans="5:13">
      <c r="E4771" s="49"/>
      <c r="F4771" s="49"/>
      <c r="G4771" s="49"/>
      <c r="H4771" s="49"/>
      <c r="I4771" s="49"/>
      <c r="J4771" s="49"/>
      <c r="K4771" s="49"/>
      <c r="L4771" s="49"/>
      <c r="M4771" s="49"/>
    </row>
    <row r="4772" spans="5:13">
      <c r="E4772" s="49"/>
      <c r="F4772" s="49"/>
      <c r="G4772" s="49"/>
      <c r="H4772" s="49"/>
      <c r="I4772" s="49"/>
      <c r="J4772" s="49"/>
      <c r="K4772" s="49"/>
      <c r="L4772" s="49"/>
      <c r="M4772" s="49"/>
    </row>
    <row r="4773" spans="5:13">
      <c r="E4773" s="49"/>
      <c r="F4773" s="49"/>
      <c r="G4773" s="49"/>
      <c r="H4773" s="49"/>
      <c r="I4773" s="49"/>
      <c r="J4773" s="49"/>
      <c r="K4773" s="49"/>
      <c r="L4773" s="49"/>
      <c r="M4773" s="49"/>
    </row>
    <row r="4774" spans="5:13">
      <c r="E4774" s="49"/>
      <c r="F4774" s="49"/>
      <c r="G4774" s="49"/>
      <c r="H4774" s="49"/>
      <c r="I4774" s="49"/>
      <c r="J4774" s="49"/>
      <c r="K4774" s="49"/>
      <c r="L4774" s="49"/>
      <c r="M4774" s="49"/>
    </row>
    <row r="4775" spans="5:13">
      <c r="E4775" s="49"/>
      <c r="F4775" s="49"/>
      <c r="G4775" s="49"/>
      <c r="H4775" s="49"/>
      <c r="I4775" s="49"/>
      <c r="J4775" s="49"/>
      <c r="K4775" s="49"/>
      <c r="L4775" s="49"/>
      <c r="M4775" s="49"/>
    </row>
    <row r="4776" spans="5:13">
      <c r="E4776" s="49"/>
      <c r="F4776" s="49"/>
      <c r="G4776" s="49"/>
      <c r="H4776" s="49"/>
      <c r="I4776" s="49"/>
      <c r="J4776" s="49"/>
      <c r="K4776" s="49"/>
      <c r="L4776" s="49"/>
      <c r="M4776" s="49"/>
    </row>
    <row r="4777" spans="5:13">
      <c r="E4777" s="49"/>
      <c r="F4777" s="49"/>
      <c r="G4777" s="49"/>
      <c r="H4777" s="49"/>
      <c r="I4777" s="49"/>
      <c r="J4777" s="49"/>
      <c r="K4777" s="49"/>
      <c r="L4777" s="49"/>
      <c r="M4777" s="49"/>
    </row>
    <row r="4778" spans="5:13">
      <c r="E4778" s="49"/>
      <c r="F4778" s="49"/>
      <c r="G4778" s="49"/>
      <c r="H4778" s="49"/>
      <c r="I4778" s="49"/>
      <c r="J4778" s="49"/>
      <c r="K4778" s="49"/>
      <c r="L4778" s="49"/>
      <c r="M4778" s="49"/>
    </row>
    <row r="4779" spans="5:13">
      <c r="E4779" s="49"/>
      <c r="F4779" s="49"/>
      <c r="G4779" s="49"/>
      <c r="H4779" s="49"/>
      <c r="I4779" s="49"/>
      <c r="J4779" s="49"/>
      <c r="K4779" s="49"/>
      <c r="L4779" s="49"/>
      <c r="M4779" s="49"/>
    </row>
    <row r="4780" spans="5:13">
      <c r="E4780" s="49"/>
      <c r="F4780" s="49"/>
      <c r="G4780" s="49"/>
      <c r="H4780" s="49"/>
      <c r="I4780" s="49"/>
      <c r="J4780" s="49"/>
      <c r="K4780" s="49"/>
      <c r="L4780" s="49"/>
      <c r="M4780" s="49"/>
    </row>
    <row r="4781" spans="5:13">
      <c r="E4781" s="49"/>
      <c r="F4781" s="49"/>
      <c r="G4781" s="49"/>
      <c r="H4781" s="49"/>
      <c r="I4781" s="49"/>
      <c r="J4781" s="49"/>
      <c r="K4781" s="49"/>
      <c r="L4781" s="49"/>
      <c r="M4781" s="49"/>
    </row>
    <row r="4782" spans="5:13">
      <c r="E4782" s="49"/>
      <c r="F4782" s="49"/>
      <c r="G4782" s="49"/>
      <c r="H4782" s="49"/>
      <c r="I4782" s="49"/>
      <c r="J4782" s="49"/>
      <c r="K4782" s="49"/>
      <c r="L4782" s="49"/>
      <c r="M4782" s="49"/>
    </row>
    <row r="4783" spans="5:13">
      <c r="E4783" s="49"/>
      <c r="F4783" s="49"/>
      <c r="G4783" s="49"/>
      <c r="H4783" s="49"/>
      <c r="I4783" s="49"/>
      <c r="J4783" s="49"/>
      <c r="K4783" s="49"/>
      <c r="L4783" s="49"/>
      <c r="M4783" s="49"/>
    </row>
    <row r="4784" spans="5:13">
      <c r="E4784" s="49"/>
      <c r="F4784" s="49"/>
      <c r="G4784" s="49"/>
      <c r="H4784" s="49"/>
      <c r="I4784" s="49"/>
      <c r="J4784" s="49"/>
      <c r="K4784" s="49"/>
      <c r="L4784" s="49"/>
      <c r="M4784" s="49"/>
    </row>
    <row r="4785" spans="5:13">
      <c r="E4785" s="49"/>
      <c r="F4785" s="49"/>
      <c r="G4785" s="49"/>
      <c r="H4785" s="49"/>
      <c r="I4785" s="49"/>
      <c r="J4785" s="49"/>
      <c r="K4785" s="49"/>
      <c r="L4785" s="49"/>
      <c r="M4785" s="49"/>
    </row>
    <row r="4786" spans="5:13">
      <c r="E4786" s="49"/>
      <c r="F4786" s="49"/>
      <c r="G4786" s="49"/>
      <c r="H4786" s="49"/>
      <c r="I4786" s="49"/>
      <c r="J4786" s="49"/>
      <c r="K4786" s="49"/>
      <c r="L4786" s="49"/>
      <c r="M4786" s="49"/>
    </row>
    <row r="4787" spans="5:13">
      <c r="E4787" s="49"/>
      <c r="F4787" s="49"/>
      <c r="G4787" s="49"/>
      <c r="H4787" s="49"/>
      <c r="I4787" s="49"/>
      <c r="J4787" s="49"/>
      <c r="K4787" s="49"/>
      <c r="L4787" s="49"/>
      <c r="M4787" s="49"/>
    </row>
    <row r="4788" spans="5:13">
      <c r="E4788" s="49"/>
      <c r="F4788" s="49"/>
      <c r="G4788" s="49"/>
      <c r="H4788" s="49"/>
      <c r="I4788" s="49"/>
      <c r="J4788" s="49"/>
      <c r="K4788" s="49"/>
      <c r="L4788" s="49"/>
      <c r="M4788" s="49"/>
    </row>
    <row r="4789" spans="5:13">
      <c r="E4789" s="49"/>
      <c r="F4789" s="49"/>
      <c r="G4789" s="49"/>
      <c r="H4789" s="49"/>
      <c r="I4789" s="49"/>
      <c r="J4789" s="49"/>
      <c r="K4789" s="49"/>
      <c r="L4789" s="49"/>
      <c r="M4789" s="49"/>
    </row>
    <row r="4790" spans="5:13">
      <c r="E4790" s="49"/>
      <c r="F4790" s="49"/>
      <c r="G4790" s="49"/>
      <c r="H4790" s="49"/>
      <c r="I4790" s="49"/>
      <c r="J4790" s="49"/>
      <c r="K4790" s="49"/>
      <c r="L4790" s="49"/>
      <c r="M4790" s="49"/>
    </row>
    <row r="4791" spans="5:13">
      <c r="E4791" s="49"/>
      <c r="F4791" s="49"/>
      <c r="G4791" s="49"/>
      <c r="H4791" s="49"/>
      <c r="I4791" s="49"/>
      <c r="J4791" s="49"/>
      <c r="K4791" s="49"/>
      <c r="L4791" s="49"/>
      <c r="M4791" s="49"/>
    </row>
    <row r="4792" spans="5:13">
      <c r="E4792" s="49"/>
      <c r="F4792" s="49"/>
      <c r="G4792" s="49"/>
      <c r="H4792" s="49"/>
      <c r="I4792" s="49"/>
      <c r="J4792" s="49"/>
      <c r="K4792" s="49"/>
      <c r="L4792" s="49"/>
      <c r="M4792" s="49"/>
    </row>
    <row r="4793" spans="5:13">
      <c r="E4793" s="49"/>
      <c r="F4793" s="49"/>
      <c r="G4793" s="49"/>
      <c r="H4793" s="49"/>
      <c r="I4793" s="49"/>
      <c r="J4793" s="49"/>
      <c r="K4793" s="49"/>
      <c r="L4793" s="49"/>
      <c r="M4793" s="49"/>
    </row>
    <row r="4794" spans="5:13">
      <c r="E4794" s="49"/>
      <c r="F4794" s="49"/>
      <c r="G4794" s="49"/>
      <c r="H4794" s="49"/>
      <c r="I4794" s="49"/>
      <c r="J4794" s="49"/>
      <c r="K4794" s="49"/>
      <c r="L4794" s="49"/>
      <c r="M4794" s="49"/>
    </row>
    <row r="4795" spans="5:13">
      <c r="E4795" s="49"/>
      <c r="F4795" s="49"/>
      <c r="G4795" s="49"/>
      <c r="H4795" s="49"/>
      <c r="I4795" s="49"/>
      <c r="J4795" s="49"/>
      <c r="K4795" s="49"/>
      <c r="L4795" s="49"/>
      <c r="M4795" s="49"/>
    </row>
    <row r="4796" spans="5:13">
      <c r="E4796" s="49"/>
      <c r="F4796" s="49"/>
      <c r="G4796" s="49"/>
      <c r="H4796" s="49"/>
      <c r="I4796" s="49"/>
      <c r="J4796" s="49"/>
      <c r="K4796" s="49"/>
      <c r="L4796" s="49"/>
      <c r="M4796" s="49"/>
    </row>
    <row r="4797" spans="5:13">
      <c r="E4797" s="49"/>
      <c r="F4797" s="49"/>
      <c r="G4797" s="49"/>
      <c r="H4797" s="49"/>
      <c r="I4797" s="49"/>
      <c r="J4797" s="49"/>
      <c r="K4797" s="49"/>
      <c r="L4797" s="49"/>
      <c r="M4797" s="49"/>
    </row>
    <row r="4798" spans="5:13">
      <c r="E4798" s="49"/>
      <c r="F4798" s="49"/>
      <c r="G4798" s="49"/>
      <c r="H4798" s="49"/>
      <c r="I4798" s="49"/>
      <c r="J4798" s="49"/>
      <c r="K4798" s="49"/>
      <c r="L4798" s="49"/>
      <c r="M4798" s="49"/>
    </row>
    <row r="4799" spans="5:13">
      <c r="E4799" s="49"/>
      <c r="F4799" s="49"/>
      <c r="G4799" s="49"/>
      <c r="H4799" s="49"/>
      <c r="I4799" s="49"/>
      <c r="J4799" s="49"/>
      <c r="K4799" s="49"/>
      <c r="L4799" s="49"/>
      <c r="M4799" s="49"/>
    </row>
    <row r="4800" spans="5:13">
      <c r="E4800" s="49"/>
      <c r="F4800" s="49"/>
      <c r="G4800" s="49"/>
      <c r="H4800" s="49"/>
      <c r="I4800" s="49"/>
      <c r="J4800" s="49"/>
      <c r="K4800" s="49"/>
      <c r="L4800" s="49"/>
      <c r="M4800" s="49"/>
    </row>
    <row r="4801" spans="5:13">
      <c r="E4801" s="49"/>
      <c r="F4801" s="49"/>
      <c r="G4801" s="49"/>
      <c r="H4801" s="49"/>
      <c r="I4801" s="49"/>
      <c r="J4801" s="49"/>
      <c r="K4801" s="49"/>
      <c r="L4801" s="49"/>
      <c r="M4801" s="49"/>
    </row>
    <row r="4802" spans="5:13">
      <c r="E4802" s="49"/>
      <c r="F4802" s="49"/>
      <c r="G4802" s="49"/>
      <c r="H4802" s="49"/>
      <c r="I4802" s="49"/>
      <c r="J4802" s="49"/>
      <c r="K4802" s="49"/>
      <c r="L4802" s="49"/>
      <c r="M4802" s="49"/>
    </row>
    <row r="4803" spans="5:13">
      <c r="E4803" s="49"/>
      <c r="F4803" s="49"/>
      <c r="G4803" s="49"/>
      <c r="H4803" s="49"/>
      <c r="I4803" s="49"/>
      <c r="J4803" s="49"/>
      <c r="K4803" s="49"/>
      <c r="L4803" s="49"/>
      <c r="M4803" s="49"/>
    </row>
    <row r="4804" spans="5:13">
      <c r="E4804" s="49"/>
      <c r="F4804" s="49"/>
      <c r="G4804" s="49"/>
      <c r="H4804" s="49"/>
      <c r="I4804" s="49"/>
      <c r="J4804" s="49"/>
      <c r="K4804" s="49"/>
      <c r="L4804" s="49"/>
      <c r="M4804" s="49"/>
    </row>
    <row r="4805" spans="5:13">
      <c r="E4805" s="49"/>
      <c r="F4805" s="49"/>
      <c r="G4805" s="49"/>
      <c r="H4805" s="49"/>
      <c r="I4805" s="49"/>
      <c r="J4805" s="49"/>
      <c r="K4805" s="49"/>
      <c r="L4805" s="49"/>
      <c r="M4805" s="49"/>
    </row>
    <row r="4806" spans="5:13">
      <c r="E4806" s="49"/>
      <c r="F4806" s="49"/>
      <c r="G4806" s="49"/>
      <c r="H4806" s="49"/>
      <c r="I4806" s="49"/>
      <c r="J4806" s="49"/>
      <c r="K4806" s="49"/>
      <c r="L4806" s="49"/>
      <c r="M4806" s="49"/>
    </row>
    <row r="4807" spans="5:13">
      <c r="E4807" s="49"/>
      <c r="F4807" s="49"/>
      <c r="G4807" s="49"/>
      <c r="H4807" s="49"/>
      <c r="I4807" s="49"/>
      <c r="J4807" s="49"/>
      <c r="K4807" s="49"/>
      <c r="L4807" s="49"/>
      <c r="M4807" s="49"/>
    </row>
    <row r="4808" spans="5:13">
      <c r="E4808" s="49"/>
      <c r="F4808" s="49"/>
      <c r="G4808" s="49"/>
      <c r="H4808" s="49"/>
      <c r="I4808" s="49"/>
      <c r="J4808" s="49"/>
      <c r="K4808" s="49"/>
      <c r="L4808" s="49"/>
      <c r="M4808" s="49"/>
    </row>
    <row r="4809" spans="5:13">
      <c r="E4809" s="49"/>
      <c r="F4809" s="49"/>
      <c r="G4809" s="49"/>
      <c r="H4809" s="49"/>
      <c r="I4809" s="49"/>
      <c r="J4809" s="49"/>
      <c r="K4809" s="49"/>
      <c r="L4809" s="49"/>
      <c r="M4809" s="49"/>
    </row>
    <row r="4810" spans="5:13">
      <c r="E4810" s="49"/>
      <c r="F4810" s="49"/>
      <c r="G4810" s="49"/>
      <c r="H4810" s="49"/>
      <c r="I4810" s="49"/>
      <c r="J4810" s="49"/>
      <c r="K4810" s="49"/>
      <c r="L4810" s="49"/>
      <c r="M4810" s="49"/>
    </row>
    <row r="4811" spans="5:13">
      <c r="E4811" s="49"/>
      <c r="F4811" s="49"/>
      <c r="G4811" s="49"/>
      <c r="H4811" s="49"/>
      <c r="I4811" s="49"/>
      <c r="J4811" s="49"/>
      <c r="K4811" s="49"/>
      <c r="L4811" s="49"/>
      <c r="M4811" s="49"/>
    </row>
    <row r="4812" spans="5:13">
      <c r="E4812" s="49"/>
      <c r="F4812" s="49"/>
      <c r="G4812" s="49"/>
      <c r="H4812" s="49"/>
      <c r="I4812" s="49"/>
      <c r="J4812" s="49"/>
      <c r="K4812" s="49"/>
      <c r="L4812" s="49"/>
      <c r="M4812" s="49"/>
    </row>
    <row r="4813" spans="5:13">
      <c r="E4813" s="49"/>
      <c r="F4813" s="49"/>
      <c r="G4813" s="49"/>
      <c r="H4813" s="49"/>
      <c r="I4813" s="49"/>
      <c r="J4813" s="49"/>
      <c r="K4813" s="49"/>
      <c r="L4813" s="49"/>
      <c r="M4813" s="49"/>
    </row>
    <row r="4814" spans="5:13">
      <c r="E4814" s="49"/>
      <c r="F4814" s="49"/>
      <c r="G4814" s="49"/>
      <c r="H4814" s="49"/>
      <c r="I4814" s="49"/>
      <c r="J4814" s="49"/>
      <c r="K4814" s="49"/>
      <c r="L4814" s="49"/>
      <c r="M4814" s="49"/>
    </row>
    <row r="4815" spans="5:13">
      <c r="E4815" s="49"/>
      <c r="F4815" s="49"/>
      <c r="G4815" s="49"/>
      <c r="H4815" s="49"/>
      <c r="I4815" s="49"/>
      <c r="J4815" s="49"/>
      <c r="K4815" s="49"/>
      <c r="L4815" s="49"/>
      <c r="M4815" s="49"/>
    </row>
    <row r="4816" spans="5:13">
      <c r="E4816" s="49"/>
      <c r="F4816" s="49"/>
      <c r="G4816" s="49"/>
      <c r="H4816" s="49"/>
      <c r="I4816" s="49"/>
      <c r="J4816" s="49"/>
      <c r="K4816" s="49"/>
      <c r="L4816" s="49"/>
      <c r="M4816" s="49"/>
    </row>
    <row r="4817" spans="5:13">
      <c r="E4817" s="49"/>
      <c r="F4817" s="49"/>
      <c r="G4817" s="49"/>
      <c r="H4817" s="49"/>
      <c r="I4817" s="49"/>
      <c r="J4817" s="49"/>
      <c r="K4817" s="49"/>
      <c r="L4817" s="49"/>
      <c r="M4817" s="49"/>
    </row>
    <row r="4818" spans="5:13">
      <c r="E4818" s="49"/>
      <c r="F4818" s="49"/>
      <c r="G4818" s="49"/>
      <c r="H4818" s="49"/>
      <c r="I4818" s="49"/>
      <c r="J4818" s="49"/>
      <c r="K4818" s="49"/>
      <c r="L4818" s="49"/>
      <c r="M4818" s="49"/>
    </row>
    <row r="4819" spans="5:13">
      <c r="E4819" s="49"/>
      <c r="F4819" s="49"/>
      <c r="G4819" s="49"/>
      <c r="H4819" s="49"/>
      <c r="I4819" s="49"/>
      <c r="J4819" s="49"/>
      <c r="K4819" s="49"/>
      <c r="L4819" s="49"/>
      <c r="M4819" s="49"/>
    </row>
    <row r="4820" spans="5:13">
      <c r="E4820" s="49"/>
      <c r="F4820" s="49"/>
      <c r="G4820" s="49"/>
      <c r="H4820" s="49"/>
      <c r="I4820" s="49"/>
      <c r="J4820" s="49"/>
      <c r="K4820" s="49"/>
      <c r="L4820" s="49"/>
      <c r="M4820" s="49"/>
    </row>
    <row r="4821" spans="5:13">
      <c r="E4821" s="49"/>
      <c r="F4821" s="49"/>
      <c r="G4821" s="49"/>
      <c r="H4821" s="49"/>
      <c r="I4821" s="49"/>
      <c r="J4821" s="49"/>
      <c r="K4821" s="49"/>
      <c r="L4821" s="49"/>
      <c r="M4821" s="49"/>
    </row>
    <row r="4822" spans="5:13">
      <c r="E4822" s="49"/>
      <c r="F4822" s="49"/>
      <c r="G4822" s="49"/>
      <c r="H4822" s="49"/>
      <c r="I4822" s="49"/>
      <c r="J4822" s="49"/>
      <c r="K4822" s="49"/>
      <c r="L4822" s="49"/>
      <c r="M4822" s="49"/>
    </row>
    <row r="4823" spans="5:13">
      <c r="E4823" s="49"/>
      <c r="F4823" s="49"/>
      <c r="G4823" s="49"/>
      <c r="H4823" s="49"/>
      <c r="I4823" s="49"/>
      <c r="J4823" s="49"/>
      <c r="K4823" s="49"/>
      <c r="L4823" s="49"/>
      <c r="M4823" s="49"/>
    </row>
    <row r="4824" spans="5:13">
      <c r="E4824" s="49"/>
      <c r="F4824" s="49"/>
      <c r="G4824" s="49"/>
      <c r="H4824" s="49"/>
      <c r="I4824" s="49"/>
      <c r="J4824" s="49"/>
      <c r="K4824" s="49"/>
      <c r="L4824" s="49"/>
      <c r="M4824" s="49"/>
    </row>
    <row r="4825" spans="5:13">
      <c r="E4825" s="49"/>
      <c r="F4825" s="49"/>
      <c r="G4825" s="49"/>
      <c r="H4825" s="49"/>
      <c r="I4825" s="49"/>
      <c r="J4825" s="49"/>
      <c r="K4825" s="49"/>
      <c r="L4825" s="49"/>
      <c r="M4825" s="49"/>
    </row>
    <row r="4826" spans="5:13">
      <c r="E4826" s="49"/>
      <c r="F4826" s="49"/>
      <c r="G4826" s="49"/>
      <c r="H4826" s="49"/>
      <c r="I4826" s="49"/>
      <c r="J4826" s="49"/>
      <c r="K4826" s="49"/>
      <c r="L4826" s="49"/>
      <c r="M4826" s="49"/>
    </row>
    <row r="4827" spans="5:13">
      <c r="E4827" s="49"/>
      <c r="F4827" s="49"/>
      <c r="G4827" s="49"/>
      <c r="H4827" s="49"/>
      <c r="I4827" s="49"/>
      <c r="J4827" s="49"/>
      <c r="K4827" s="49"/>
      <c r="L4827" s="49"/>
      <c r="M4827" s="49"/>
    </row>
    <row r="4828" spans="5:13">
      <c r="E4828" s="49"/>
      <c r="F4828" s="49"/>
      <c r="G4828" s="49"/>
      <c r="H4828" s="49"/>
      <c r="I4828" s="49"/>
      <c r="J4828" s="49"/>
      <c r="K4828" s="49"/>
      <c r="L4828" s="49"/>
      <c r="M4828" s="49"/>
    </row>
    <row r="4829" spans="5:13">
      <c r="E4829" s="49"/>
      <c r="F4829" s="49"/>
      <c r="G4829" s="49"/>
      <c r="H4829" s="49"/>
      <c r="I4829" s="49"/>
      <c r="J4829" s="49"/>
      <c r="K4829" s="49"/>
      <c r="L4829" s="49"/>
      <c r="M4829" s="49"/>
    </row>
    <row r="4830" spans="5:13">
      <c r="E4830" s="49"/>
      <c r="F4830" s="49"/>
      <c r="G4830" s="49"/>
      <c r="H4830" s="49"/>
      <c r="I4830" s="49"/>
      <c r="J4830" s="49"/>
      <c r="K4830" s="49"/>
      <c r="L4830" s="49"/>
      <c r="M4830" s="49"/>
    </row>
    <row r="4831" spans="5:13">
      <c r="E4831" s="49"/>
      <c r="F4831" s="49"/>
      <c r="G4831" s="49"/>
      <c r="H4831" s="49"/>
      <c r="I4831" s="49"/>
      <c r="J4831" s="49"/>
      <c r="K4831" s="49"/>
      <c r="L4831" s="49"/>
      <c r="M4831" s="49"/>
    </row>
    <row r="4832" spans="5:13">
      <c r="E4832" s="49"/>
      <c r="F4832" s="49"/>
      <c r="G4832" s="49"/>
      <c r="H4832" s="49"/>
      <c r="I4832" s="49"/>
      <c r="J4832" s="49"/>
      <c r="K4832" s="49"/>
      <c r="L4832" s="49"/>
      <c r="M4832" s="49"/>
    </row>
    <row r="4833" spans="5:13">
      <c r="E4833" s="49"/>
      <c r="F4833" s="49"/>
      <c r="G4833" s="49"/>
      <c r="H4833" s="49"/>
      <c r="I4833" s="49"/>
      <c r="J4833" s="49"/>
      <c r="K4833" s="49"/>
      <c r="L4833" s="49"/>
      <c r="M4833" s="49"/>
    </row>
    <row r="4834" spans="5:13">
      <c r="E4834" s="49"/>
      <c r="F4834" s="49"/>
      <c r="G4834" s="49"/>
      <c r="H4834" s="49"/>
      <c r="I4834" s="49"/>
      <c r="J4834" s="49"/>
      <c r="K4834" s="49"/>
      <c r="L4834" s="49"/>
      <c r="M4834" s="49"/>
    </row>
    <row r="4835" spans="5:13">
      <c r="E4835" s="49"/>
      <c r="F4835" s="49"/>
      <c r="G4835" s="49"/>
      <c r="H4835" s="49"/>
      <c r="I4835" s="49"/>
      <c r="J4835" s="49"/>
      <c r="K4835" s="49"/>
      <c r="L4835" s="49"/>
      <c r="M4835" s="49"/>
    </row>
    <row r="4836" spans="5:13">
      <c r="E4836" s="49"/>
      <c r="F4836" s="49"/>
      <c r="G4836" s="49"/>
      <c r="H4836" s="49"/>
      <c r="I4836" s="49"/>
      <c r="J4836" s="49"/>
      <c r="K4836" s="49"/>
      <c r="L4836" s="49"/>
      <c r="M4836" s="49"/>
    </row>
    <row r="4837" spans="5:13">
      <c r="E4837" s="49"/>
      <c r="F4837" s="49"/>
      <c r="G4837" s="49"/>
      <c r="H4837" s="49"/>
      <c r="I4837" s="49"/>
      <c r="J4837" s="49"/>
      <c r="K4837" s="49"/>
      <c r="L4837" s="49"/>
      <c r="M4837" s="49"/>
    </row>
    <row r="4838" spans="5:13">
      <c r="E4838" s="49"/>
      <c r="F4838" s="49"/>
      <c r="G4838" s="49"/>
      <c r="H4838" s="49"/>
      <c r="I4838" s="49"/>
      <c r="J4838" s="49"/>
      <c r="K4838" s="49"/>
      <c r="L4838" s="49"/>
      <c r="M4838" s="49"/>
    </row>
    <row r="4839" spans="5:13">
      <c r="E4839" s="49"/>
      <c r="F4839" s="49"/>
      <c r="G4839" s="49"/>
      <c r="H4839" s="49"/>
      <c r="I4839" s="49"/>
      <c r="J4839" s="49"/>
      <c r="K4839" s="49"/>
      <c r="L4839" s="49"/>
      <c r="M4839" s="49"/>
    </row>
    <row r="4840" spans="5:13">
      <c r="E4840" s="49"/>
      <c r="F4840" s="49"/>
      <c r="G4840" s="49"/>
      <c r="H4840" s="49"/>
      <c r="I4840" s="49"/>
      <c r="J4840" s="49"/>
      <c r="K4840" s="49"/>
      <c r="L4840" s="49"/>
      <c r="M4840" s="49"/>
    </row>
    <row r="4841" spans="5:13">
      <c r="E4841" s="49"/>
      <c r="F4841" s="49"/>
      <c r="G4841" s="49"/>
      <c r="H4841" s="49"/>
      <c r="I4841" s="49"/>
      <c r="J4841" s="49"/>
      <c r="K4841" s="49"/>
      <c r="L4841" s="49"/>
      <c r="M4841" s="49"/>
    </row>
    <row r="4842" spans="5:13">
      <c r="E4842" s="49"/>
      <c r="F4842" s="49"/>
      <c r="G4842" s="49"/>
      <c r="H4842" s="49"/>
      <c r="I4842" s="49"/>
      <c r="J4842" s="49"/>
      <c r="K4842" s="49"/>
      <c r="L4842" s="49"/>
      <c r="M4842" s="49"/>
    </row>
    <row r="4843" spans="5:13">
      <c r="E4843" s="49"/>
      <c r="F4843" s="49"/>
      <c r="G4843" s="49"/>
      <c r="H4843" s="49"/>
      <c r="I4843" s="49"/>
      <c r="J4843" s="49"/>
      <c r="K4843" s="49"/>
      <c r="L4843" s="49"/>
      <c r="M4843" s="49"/>
    </row>
    <row r="4844" spans="5:13">
      <c r="E4844" s="49"/>
      <c r="F4844" s="49"/>
      <c r="G4844" s="49"/>
      <c r="H4844" s="49"/>
      <c r="I4844" s="49"/>
      <c r="J4844" s="49"/>
      <c r="K4844" s="49"/>
      <c r="L4844" s="49"/>
      <c r="M4844" s="49"/>
    </row>
    <row r="4845" spans="5:13">
      <c r="E4845" s="49"/>
      <c r="F4845" s="49"/>
      <c r="G4845" s="49"/>
      <c r="H4845" s="49"/>
      <c r="I4845" s="49"/>
      <c r="J4845" s="49"/>
      <c r="K4845" s="49"/>
      <c r="L4845" s="49"/>
      <c r="M4845" s="49"/>
    </row>
    <row r="4846" spans="5:13">
      <c r="E4846" s="49"/>
      <c r="F4846" s="49"/>
      <c r="G4846" s="49"/>
      <c r="H4846" s="49"/>
      <c r="I4846" s="49"/>
      <c r="J4846" s="49"/>
      <c r="K4846" s="49"/>
      <c r="L4846" s="49"/>
      <c r="M4846" s="49"/>
    </row>
    <row r="4847" spans="5:13">
      <c r="E4847" s="49"/>
      <c r="F4847" s="49"/>
      <c r="G4847" s="49"/>
      <c r="H4847" s="49"/>
      <c r="I4847" s="49"/>
      <c r="J4847" s="49"/>
      <c r="K4847" s="49"/>
      <c r="L4847" s="49"/>
      <c r="M4847" s="49"/>
    </row>
    <row r="4848" spans="5:13">
      <c r="E4848" s="49"/>
      <c r="F4848" s="49"/>
      <c r="G4848" s="49"/>
      <c r="H4848" s="49"/>
      <c r="I4848" s="49"/>
      <c r="J4848" s="49"/>
      <c r="K4848" s="49"/>
      <c r="L4848" s="49"/>
      <c r="M4848" s="49"/>
    </row>
    <row r="4849" spans="5:13">
      <c r="E4849" s="49"/>
      <c r="F4849" s="49"/>
      <c r="G4849" s="49"/>
      <c r="H4849" s="49"/>
      <c r="I4849" s="49"/>
      <c r="J4849" s="49"/>
      <c r="K4849" s="49"/>
      <c r="L4849" s="49"/>
      <c r="M4849" s="49"/>
    </row>
    <row r="4850" spans="5:13">
      <c r="E4850" s="49"/>
      <c r="F4850" s="49"/>
      <c r="G4850" s="49"/>
      <c r="H4850" s="49"/>
      <c r="I4850" s="49"/>
      <c r="J4850" s="49"/>
      <c r="K4850" s="49"/>
      <c r="L4850" s="49"/>
      <c r="M4850" s="49"/>
    </row>
    <row r="4851" spans="5:13">
      <c r="E4851" s="49"/>
      <c r="F4851" s="49"/>
      <c r="G4851" s="49"/>
      <c r="H4851" s="49"/>
      <c r="I4851" s="49"/>
      <c r="J4851" s="49"/>
      <c r="K4851" s="49"/>
      <c r="L4851" s="49"/>
      <c r="M4851" s="49"/>
    </row>
    <row r="4852" spans="5:13">
      <c r="E4852" s="49"/>
      <c r="F4852" s="49"/>
      <c r="G4852" s="49"/>
      <c r="H4852" s="49"/>
      <c r="I4852" s="49"/>
      <c r="J4852" s="49"/>
      <c r="K4852" s="49"/>
      <c r="L4852" s="49"/>
      <c r="M4852" s="49"/>
    </row>
    <row r="4853" spans="5:13">
      <c r="E4853" s="49"/>
      <c r="F4853" s="49"/>
      <c r="G4853" s="49"/>
      <c r="H4853" s="49"/>
      <c r="I4853" s="49"/>
      <c r="J4853" s="49"/>
      <c r="K4853" s="49"/>
      <c r="L4853" s="49"/>
      <c r="M4853" s="49"/>
    </row>
    <row r="4854" spans="5:13">
      <c r="E4854" s="49"/>
      <c r="F4854" s="49"/>
      <c r="G4854" s="49"/>
      <c r="H4854" s="49"/>
      <c r="I4854" s="49"/>
      <c r="J4854" s="49"/>
      <c r="K4854" s="49"/>
      <c r="L4854" s="49"/>
      <c r="M4854" s="49"/>
    </row>
    <row r="4855" spans="5:13">
      <c r="E4855" s="49"/>
      <c r="F4855" s="49"/>
      <c r="G4855" s="49"/>
      <c r="H4855" s="49"/>
      <c r="I4855" s="49"/>
      <c r="J4855" s="49"/>
      <c r="K4855" s="49"/>
      <c r="L4855" s="49"/>
      <c r="M4855" s="49"/>
    </row>
    <row r="4856" spans="5:13">
      <c r="E4856" s="49"/>
      <c r="F4856" s="49"/>
      <c r="G4856" s="49"/>
      <c r="H4856" s="49"/>
      <c r="I4856" s="49"/>
      <c r="J4856" s="49"/>
      <c r="K4856" s="49"/>
      <c r="L4856" s="49"/>
      <c r="M4856" s="49"/>
    </row>
    <row r="4857" spans="5:13">
      <c r="E4857" s="49"/>
      <c r="F4857" s="49"/>
      <c r="G4857" s="49"/>
      <c r="H4857" s="49"/>
      <c r="I4857" s="49"/>
      <c r="J4857" s="49"/>
      <c r="K4857" s="49"/>
      <c r="L4857" s="49"/>
      <c r="M4857" s="49"/>
    </row>
    <row r="4858" spans="5:13">
      <c r="E4858" s="49"/>
      <c r="F4858" s="49"/>
      <c r="G4858" s="49"/>
      <c r="H4858" s="49"/>
      <c r="I4858" s="49"/>
      <c r="J4858" s="49"/>
      <c r="K4858" s="49"/>
      <c r="L4858" s="49"/>
      <c r="M4858" s="49"/>
    </row>
    <row r="4859" spans="5:13">
      <c r="E4859" s="49"/>
      <c r="F4859" s="49"/>
      <c r="G4859" s="49"/>
      <c r="H4859" s="49"/>
      <c r="I4859" s="49"/>
      <c r="J4859" s="49"/>
      <c r="K4859" s="49"/>
      <c r="L4859" s="49"/>
      <c r="M4859" s="49"/>
    </row>
    <row r="4860" spans="5:13">
      <c r="E4860" s="49"/>
      <c r="F4860" s="49"/>
      <c r="G4860" s="49"/>
      <c r="H4860" s="49"/>
      <c r="I4860" s="49"/>
      <c r="J4860" s="49"/>
      <c r="K4860" s="49"/>
      <c r="L4860" s="49"/>
      <c r="M4860" s="49"/>
    </row>
    <row r="4861" spans="5:13">
      <c r="E4861" s="49"/>
      <c r="F4861" s="49"/>
      <c r="G4861" s="49"/>
      <c r="H4861" s="49"/>
      <c r="I4861" s="49"/>
      <c r="J4861" s="49"/>
      <c r="K4861" s="49"/>
      <c r="L4861" s="49"/>
      <c r="M4861" s="49"/>
    </row>
    <row r="4862" spans="5:13">
      <c r="E4862" s="49"/>
      <c r="F4862" s="49"/>
      <c r="G4862" s="49"/>
      <c r="H4862" s="49"/>
      <c r="I4862" s="49"/>
      <c r="J4862" s="49"/>
      <c r="K4862" s="49"/>
      <c r="L4862" s="49"/>
      <c r="M4862" s="49"/>
    </row>
    <row r="4863" spans="5:13">
      <c r="E4863" s="49"/>
      <c r="F4863" s="49"/>
      <c r="G4863" s="49"/>
      <c r="H4863" s="49"/>
      <c r="I4863" s="49"/>
      <c r="J4863" s="49"/>
      <c r="K4863" s="49"/>
      <c r="L4863" s="49"/>
      <c r="M4863" s="49"/>
    </row>
    <row r="4864" spans="5:13">
      <c r="E4864" s="49"/>
      <c r="F4864" s="49"/>
      <c r="G4864" s="49"/>
      <c r="H4864" s="49"/>
      <c r="I4864" s="49"/>
      <c r="J4864" s="49"/>
      <c r="K4864" s="49"/>
      <c r="L4864" s="49"/>
      <c r="M4864" s="49"/>
    </row>
    <row r="4865" spans="5:13">
      <c r="E4865" s="49"/>
      <c r="F4865" s="49"/>
      <c r="G4865" s="49"/>
      <c r="H4865" s="49"/>
      <c r="I4865" s="49"/>
      <c r="J4865" s="49"/>
      <c r="K4865" s="49"/>
      <c r="L4865" s="49"/>
      <c r="M4865" s="49"/>
    </row>
    <row r="4866" spans="5:13">
      <c r="E4866" s="49"/>
      <c r="F4866" s="49"/>
      <c r="G4866" s="49"/>
      <c r="H4866" s="49"/>
      <c r="I4866" s="49"/>
      <c r="J4866" s="49"/>
      <c r="K4866" s="49"/>
      <c r="L4866" s="49"/>
      <c r="M4866" s="49"/>
    </row>
    <row r="4867" spans="5:13">
      <c r="E4867" s="49"/>
      <c r="F4867" s="49"/>
      <c r="G4867" s="49"/>
      <c r="H4867" s="49"/>
      <c r="I4867" s="49"/>
      <c r="J4867" s="49"/>
      <c r="K4867" s="49"/>
      <c r="L4867" s="49"/>
      <c r="M4867" s="49"/>
    </row>
    <row r="4868" spans="5:13">
      <c r="E4868" s="49"/>
      <c r="F4868" s="49"/>
      <c r="G4868" s="49"/>
      <c r="H4868" s="49"/>
      <c r="I4868" s="49"/>
      <c r="J4868" s="49"/>
      <c r="K4868" s="49"/>
      <c r="L4868" s="49"/>
      <c r="M4868" s="49"/>
    </row>
    <row r="4869" spans="5:13">
      <c r="E4869" s="49"/>
      <c r="F4869" s="49"/>
      <c r="G4869" s="49"/>
      <c r="H4869" s="49"/>
      <c r="I4869" s="49"/>
      <c r="J4869" s="49"/>
      <c r="K4869" s="49"/>
      <c r="L4869" s="49"/>
      <c r="M4869" s="49"/>
    </row>
    <row r="4870" spans="5:13">
      <c r="E4870" s="49"/>
      <c r="F4870" s="49"/>
      <c r="G4870" s="49"/>
      <c r="H4870" s="49"/>
      <c r="I4870" s="49"/>
      <c r="J4870" s="49"/>
      <c r="K4870" s="49"/>
      <c r="L4870" s="49"/>
      <c r="M4870" s="49"/>
    </row>
    <row r="4871" spans="5:13">
      <c r="E4871" s="49"/>
      <c r="F4871" s="49"/>
      <c r="G4871" s="49"/>
      <c r="H4871" s="49"/>
      <c r="I4871" s="49"/>
      <c r="J4871" s="49"/>
      <c r="K4871" s="49"/>
      <c r="L4871" s="49"/>
      <c r="M4871" s="49"/>
    </row>
    <row r="4872" spans="5:13">
      <c r="E4872" s="49"/>
      <c r="F4872" s="49"/>
      <c r="G4872" s="49"/>
      <c r="H4872" s="49"/>
      <c r="I4872" s="49"/>
      <c r="J4872" s="49"/>
      <c r="K4872" s="49"/>
      <c r="L4872" s="49"/>
      <c r="M4872" s="49"/>
    </row>
    <row r="4873" spans="5:13">
      <c r="E4873" s="49"/>
      <c r="F4873" s="49"/>
      <c r="G4873" s="49"/>
      <c r="H4873" s="49"/>
      <c r="I4873" s="49"/>
      <c r="J4873" s="49"/>
      <c r="K4873" s="49"/>
      <c r="L4873" s="49"/>
      <c r="M4873" s="49"/>
    </row>
    <row r="4874" spans="5:13">
      <c r="E4874" s="49"/>
      <c r="F4874" s="49"/>
      <c r="G4874" s="49"/>
      <c r="H4874" s="49"/>
      <c r="I4874" s="49"/>
      <c r="J4874" s="49"/>
      <c r="K4874" s="49"/>
      <c r="L4874" s="49"/>
      <c r="M4874" s="49"/>
    </row>
    <row r="4875" spans="5:13">
      <c r="E4875" s="49"/>
      <c r="F4875" s="49"/>
      <c r="G4875" s="49"/>
      <c r="H4875" s="49"/>
      <c r="I4875" s="49"/>
      <c r="J4875" s="49"/>
      <c r="K4875" s="49"/>
      <c r="L4875" s="49"/>
      <c r="M4875" s="49"/>
    </row>
    <row r="4876" spans="5:13">
      <c r="E4876" s="49"/>
      <c r="F4876" s="49"/>
      <c r="G4876" s="49"/>
      <c r="H4876" s="49"/>
      <c r="I4876" s="49"/>
      <c r="J4876" s="49"/>
      <c r="K4876" s="49"/>
      <c r="L4876" s="49"/>
      <c r="M4876" s="49"/>
    </row>
    <row r="4877" spans="5:13">
      <c r="E4877" s="49"/>
      <c r="F4877" s="49"/>
      <c r="G4877" s="49"/>
      <c r="H4877" s="49"/>
      <c r="I4877" s="49"/>
      <c r="J4877" s="49"/>
      <c r="K4877" s="49"/>
      <c r="L4877" s="49"/>
      <c r="M4877" s="49"/>
    </row>
    <row r="4878" spans="5:13">
      <c r="E4878" s="49"/>
      <c r="F4878" s="49"/>
      <c r="G4878" s="49"/>
      <c r="H4878" s="49"/>
      <c r="I4878" s="49"/>
      <c r="J4878" s="49"/>
      <c r="K4878" s="49"/>
      <c r="L4878" s="49"/>
      <c r="M4878" s="49"/>
    </row>
    <row r="4879" spans="5:13">
      <c r="E4879" s="49"/>
      <c r="F4879" s="49"/>
      <c r="G4879" s="49"/>
      <c r="H4879" s="49"/>
      <c r="I4879" s="49"/>
      <c r="J4879" s="49"/>
      <c r="K4879" s="49"/>
      <c r="L4879" s="49"/>
      <c r="M4879" s="49"/>
    </row>
    <row r="4880" spans="5:13">
      <c r="E4880" s="49"/>
      <c r="F4880" s="49"/>
      <c r="G4880" s="49"/>
      <c r="H4880" s="49"/>
      <c r="I4880" s="49"/>
      <c r="J4880" s="49"/>
      <c r="K4880" s="49"/>
      <c r="L4880" s="49"/>
      <c r="M4880" s="49"/>
    </row>
    <row r="4881" spans="5:13">
      <c r="E4881" s="49"/>
      <c r="F4881" s="49"/>
      <c r="G4881" s="49"/>
      <c r="H4881" s="49"/>
      <c r="I4881" s="49"/>
      <c r="J4881" s="49"/>
      <c r="K4881" s="49"/>
      <c r="L4881" s="49"/>
      <c r="M4881" s="49"/>
    </row>
    <row r="4882" spans="5:13">
      <c r="E4882" s="49"/>
      <c r="F4882" s="49"/>
      <c r="G4882" s="49"/>
      <c r="H4882" s="49"/>
      <c r="I4882" s="49"/>
      <c r="J4882" s="49"/>
      <c r="K4882" s="49"/>
      <c r="L4882" s="49"/>
      <c r="M4882" s="49"/>
    </row>
    <row r="4883" spans="5:13">
      <c r="E4883" s="49"/>
      <c r="F4883" s="49"/>
      <c r="G4883" s="49"/>
      <c r="H4883" s="49"/>
      <c r="I4883" s="49"/>
      <c r="J4883" s="49"/>
      <c r="K4883" s="49"/>
      <c r="L4883" s="49"/>
      <c r="M4883" s="49"/>
    </row>
    <row r="4884" spans="5:13">
      <c r="E4884" s="49"/>
      <c r="F4884" s="49"/>
      <c r="G4884" s="49"/>
      <c r="H4884" s="49"/>
      <c r="I4884" s="49"/>
      <c r="J4884" s="49"/>
      <c r="K4884" s="49"/>
      <c r="L4884" s="49"/>
      <c r="M4884" s="49"/>
    </row>
    <row r="4885" spans="5:13">
      <c r="E4885" s="49"/>
      <c r="F4885" s="49"/>
      <c r="G4885" s="49"/>
      <c r="H4885" s="49"/>
      <c r="I4885" s="49"/>
      <c r="J4885" s="49"/>
      <c r="K4885" s="49"/>
      <c r="L4885" s="49"/>
      <c r="M4885" s="49"/>
    </row>
    <row r="4886" spans="5:13">
      <c r="E4886" s="49"/>
      <c r="F4886" s="49"/>
      <c r="G4886" s="49"/>
      <c r="H4886" s="49"/>
      <c r="I4886" s="49"/>
      <c r="J4886" s="49"/>
      <c r="K4886" s="49"/>
      <c r="L4886" s="49"/>
      <c r="M4886" s="49"/>
    </row>
    <row r="4887" spans="5:13">
      <c r="E4887" s="49"/>
      <c r="F4887" s="49"/>
      <c r="G4887" s="49"/>
      <c r="H4887" s="49"/>
      <c r="I4887" s="49"/>
      <c r="J4887" s="49"/>
      <c r="K4887" s="49"/>
      <c r="L4887" s="49"/>
      <c r="M4887" s="49"/>
    </row>
    <row r="4888" spans="5:13">
      <c r="E4888" s="49"/>
      <c r="F4888" s="49"/>
      <c r="G4888" s="49"/>
      <c r="H4888" s="49"/>
      <c r="I4888" s="49"/>
      <c r="J4888" s="49"/>
      <c r="K4888" s="49"/>
      <c r="L4888" s="49"/>
      <c r="M4888" s="49"/>
    </row>
    <row r="4889" spans="5:13">
      <c r="E4889" s="49"/>
      <c r="F4889" s="49"/>
      <c r="G4889" s="49"/>
      <c r="H4889" s="49"/>
      <c r="I4889" s="49"/>
      <c r="J4889" s="49"/>
      <c r="K4889" s="49"/>
      <c r="L4889" s="49"/>
      <c r="M4889" s="49"/>
    </row>
    <row r="4890" spans="5:13">
      <c r="E4890" s="49"/>
      <c r="F4890" s="49"/>
      <c r="G4890" s="49"/>
      <c r="H4890" s="49"/>
      <c r="I4890" s="49"/>
      <c r="J4890" s="49"/>
      <c r="K4890" s="49"/>
      <c r="L4890" s="49"/>
      <c r="M4890" s="49"/>
    </row>
    <row r="4891" spans="5:13">
      <c r="E4891" s="49"/>
      <c r="F4891" s="49"/>
      <c r="G4891" s="49"/>
      <c r="H4891" s="49"/>
      <c r="I4891" s="49"/>
      <c r="J4891" s="49"/>
      <c r="K4891" s="49"/>
      <c r="L4891" s="49"/>
      <c r="M4891" s="49"/>
    </row>
    <row r="4892" spans="5:13">
      <c r="E4892" s="49"/>
      <c r="F4892" s="49"/>
      <c r="G4892" s="49"/>
      <c r="H4892" s="49"/>
      <c r="I4892" s="49"/>
      <c r="J4892" s="49"/>
      <c r="K4892" s="49"/>
      <c r="L4892" s="49"/>
      <c r="M4892" s="49"/>
    </row>
    <row r="4893" spans="5:13">
      <c r="E4893" s="49"/>
      <c r="F4893" s="49"/>
      <c r="G4893" s="49"/>
      <c r="H4893" s="49"/>
      <c r="I4893" s="49"/>
      <c r="J4893" s="49"/>
      <c r="K4893" s="49"/>
      <c r="L4893" s="49"/>
      <c r="M4893" s="49"/>
    </row>
    <row r="4894" spans="5:13">
      <c r="E4894" s="49"/>
      <c r="F4894" s="49"/>
      <c r="G4894" s="49"/>
      <c r="H4894" s="49"/>
      <c r="I4894" s="49"/>
      <c r="J4894" s="49"/>
      <c r="K4894" s="49"/>
      <c r="L4894" s="49"/>
      <c r="M4894" s="49"/>
    </row>
    <row r="4895" spans="5:13">
      <c r="E4895" s="49"/>
      <c r="F4895" s="49"/>
      <c r="G4895" s="49"/>
      <c r="H4895" s="49"/>
      <c r="I4895" s="49"/>
      <c r="J4895" s="49"/>
      <c r="K4895" s="49"/>
      <c r="L4895" s="49"/>
      <c r="M4895" s="49"/>
    </row>
    <row r="4896" spans="5:13">
      <c r="E4896" s="49"/>
      <c r="F4896" s="49"/>
      <c r="G4896" s="49"/>
      <c r="H4896" s="49"/>
      <c r="I4896" s="49"/>
      <c r="J4896" s="49"/>
      <c r="K4896" s="49"/>
      <c r="L4896" s="49"/>
      <c r="M4896" s="49"/>
    </row>
    <row r="4897" spans="5:13">
      <c r="E4897" s="49"/>
      <c r="F4897" s="49"/>
      <c r="G4897" s="49"/>
      <c r="H4897" s="49"/>
      <c r="I4897" s="49"/>
      <c r="J4897" s="49"/>
      <c r="K4897" s="49"/>
      <c r="L4897" s="49"/>
      <c r="M4897" s="49"/>
    </row>
    <row r="4898" spans="5:13">
      <c r="E4898" s="49"/>
      <c r="F4898" s="49"/>
      <c r="G4898" s="49"/>
      <c r="H4898" s="49"/>
      <c r="I4898" s="49"/>
      <c r="J4898" s="49"/>
      <c r="K4898" s="49"/>
      <c r="L4898" s="49"/>
      <c r="M4898" s="49"/>
    </row>
    <row r="4899" spans="5:13">
      <c r="E4899" s="49"/>
      <c r="F4899" s="49"/>
      <c r="G4899" s="49"/>
      <c r="H4899" s="49"/>
      <c r="I4899" s="49"/>
      <c r="J4899" s="49"/>
      <c r="K4899" s="49"/>
      <c r="L4899" s="49"/>
      <c r="M4899" s="49"/>
    </row>
    <row r="4900" spans="5:13">
      <c r="E4900" s="49"/>
      <c r="F4900" s="49"/>
      <c r="G4900" s="49"/>
      <c r="H4900" s="49"/>
      <c r="I4900" s="49"/>
      <c r="J4900" s="49"/>
      <c r="K4900" s="49"/>
      <c r="L4900" s="49"/>
      <c r="M4900" s="49"/>
    </row>
    <row r="4901" spans="5:13">
      <c r="E4901" s="49"/>
      <c r="F4901" s="49"/>
      <c r="G4901" s="49"/>
      <c r="H4901" s="49"/>
      <c r="I4901" s="49"/>
      <c r="J4901" s="49"/>
      <c r="K4901" s="49"/>
      <c r="L4901" s="49"/>
      <c r="M4901" s="49"/>
    </row>
    <row r="4902" spans="5:13">
      <c r="E4902" s="49"/>
      <c r="F4902" s="49"/>
      <c r="G4902" s="49"/>
      <c r="H4902" s="49"/>
      <c r="I4902" s="49"/>
      <c r="J4902" s="49"/>
      <c r="K4902" s="49"/>
      <c r="L4902" s="49"/>
      <c r="M4902" s="49"/>
    </row>
    <row r="4903" spans="5:13">
      <c r="E4903" s="49"/>
      <c r="F4903" s="49"/>
      <c r="G4903" s="49"/>
      <c r="H4903" s="49"/>
      <c r="I4903" s="49"/>
      <c r="J4903" s="49"/>
      <c r="K4903" s="49"/>
      <c r="L4903" s="49"/>
      <c r="M4903" s="49"/>
    </row>
    <row r="4904" spans="5:13">
      <c r="E4904" s="49"/>
      <c r="F4904" s="49"/>
      <c r="G4904" s="49"/>
      <c r="H4904" s="49"/>
      <c r="I4904" s="49"/>
      <c r="J4904" s="49"/>
      <c r="K4904" s="49"/>
      <c r="L4904" s="49"/>
      <c r="M4904" s="49"/>
    </row>
    <row r="4905" spans="5:13">
      <c r="E4905" s="49"/>
      <c r="F4905" s="49"/>
      <c r="G4905" s="49"/>
      <c r="H4905" s="49"/>
      <c r="I4905" s="49"/>
      <c r="J4905" s="49"/>
      <c r="K4905" s="49"/>
      <c r="L4905" s="49"/>
      <c r="M4905" s="49"/>
    </row>
    <row r="4906" spans="5:13">
      <c r="E4906" s="49"/>
      <c r="F4906" s="49"/>
      <c r="G4906" s="49"/>
      <c r="H4906" s="49"/>
      <c r="I4906" s="49"/>
      <c r="J4906" s="49"/>
      <c r="K4906" s="49"/>
      <c r="L4906" s="49"/>
      <c r="M4906" s="49"/>
    </row>
    <row r="4907" spans="5:13">
      <c r="E4907" s="49"/>
      <c r="F4907" s="49"/>
      <c r="G4907" s="49"/>
      <c r="H4907" s="49"/>
      <c r="I4907" s="49"/>
      <c r="J4907" s="49"/>
      <c r="K4907" s="49"/>
      <c r="L4907" s="49"/>
      <c r="M4907" s="49"/>
    </row>
    <row r="4908" spans="5:13">
      <c r="E4908" s="49"/>
      <c r="F4908" s="49"/>
      <c r="G4908" s="49"/>
      <c r="H4908" s="49"/>
      <c r="I4908" s="49"/>
      <c r="J4908" s="49"/>
      <c r="K4908" s="49"/>
      <c r="L4908" s="49"/>
      <c r="M4908" s="49"/>
    </row>
    <row r="4909" spans="5:13">
      <c r="E4909" s="49"/>
      <c r="F4909" s="49"/>
      <c r="G4909" s="49"/>
      <c r="H4909" s="49"/>
      <c r="I4909" s="49"/>
      <c r="J4909" s="49"/>
      <c r="K4909" s="49"/>
      <c r="L4909" s="49"/>
      <c r="M4909" s="49"/>
    </row>
    <row r="4910" spans="5:13">
      <c r="E4910" s="49"/>
      <c r="F4910" s="49"/>
      <c r="G4910" s="49"/>
      <c r="H4910" s="49"/>
      <c r="I4910" s="49"/>
      <c r="J4910" s="49"/>
      <c r="K4910" s="49"/>
      <c r="L4910" s="49"/>
      <c r="M4910" s="49"/>
    </row>
    <row r="4911" spans="5:13">
      <c r="E4911" s="49"/>
      <c r="F4911" s="49"/>
      <c r="G4911" s="49"/>
      <c r="H4911" s="49"/>
      <c r="I4911" s="49"/>
      <c r="J4911" s="49"/>
      <c r="K4911" s="49"/>
      <c r="L4911" s="49"/>
      <c r="M4911" s="49"/>
    </row>
    <row r="4912" spans="5:13">
      <c r="E4912" s="49"/>
      <c r="F4912" s="49"/>
      <c r="G4912" s="49"/>
      <c r="H4912" s="49"/>
      <c r="I4912" s="49"/>
      <c r="J4912" s="49"/>
      <c r="K4912" s="49"/>
      <c r="L4912" s="49"/>
      <c r="M4912" s="49"/>
    </row>
    <row r="4913" spans="5:13">
      <c r="E4913" s="49"/>
      <c r="F4913" s="49"/>
      <c r="G4913" s="49"/>
      <c r="H4913" s="49"/>
      <c r="I4913" s="49"/>
      <c r="J4913" s="49"/>
      <c r="K4913" s="49"/>
      <c r="L4913" s="49"/>
      <c r="M4913" s="49"/>
    </row>
    <row r="4914" spans="5:13">
      <c r="E4914" s="49"/>
      <c r="F4914" s="49"/>
      <c r="G4914" s="49"/>
      <c r="H4914" s="49"/>
      <c r="I4914" s="49"/>
      <c r="J4914" s="49"/>
      <c r="K4914" s="49"/>
      <c r="L4914" s="49"/>
      <c r="M4914" s="49"/>
    </row>
    <row r="4915" spans="5:13">
      <c r="E4915" s="49"/>
      <c r="F4915" s="49"/>
      <c r="G4915" s="49"/>
      <c r="H4915" s="49"/>
      <c r="I4915" s="49"/>
      <c r="J4915" s="49"/>
      <c r="K4915" s="49"/>
      <c r="L4915" s="49"/>
      <c r="M4915" s="49"/>
    </row>
    <row r="4916" spans="5:13">
      <c r="E4916" s="49"/>
      <c r="F4916" s="49"/>
      <c r="G4916" s="49"/>
      <c r="H4916" s="49"/>
      <c r="I4916" s="49"/>
      <c r="J4916" s="49"/>
      <c r="K4916" s="49"/>
      <c r="L4916" s="49"/>
      <c r="M4916" s="49"/>
    </row>
    <row r="4917" spans="5:13">
      <c r="E4917" s="49"/>
      <c r="F4917" s="49"/>
      <c r="G4917" s="49"/>
      <c r="H4917" s="49"/>
      <c r="I4917" s="49"/>
      <c r="J4917" s="49"/>
      <c r="K4917" s="49"/>
      <c r="L4917" s="49"/>
      <c r="M4917" s="49"/>
    </row>
    <row r="4918" spans="5:13">
      <c r="E4918" s="49"/>
      <c r="F4918" s="49"/>
      <c r="G4918" s="49"/>
      <c r="H4918" s="49"/>
      <c r="I4918" s="49"/>
      <c r="J4918" s="49"/>
      <c r="K4918" s="49"/>
      <c r="L4918" s="49"/>
      <c r="M4918" s="49"/>
    </row>
    <row r="4919" spans="5:13">
      <c r="E4919" s="49"/>
      <c r="F4919" s="49"/>
      <c r="G4919" s="49"/>
      <c r="H4919" s="49"/>
      <c r="I4919" s="49"/>
      <c r="J4919" s="49"/>
      <c r="K4919" s="49"/>
      <c r="L4919" s="49"/>
      <c r="M4919" s="49"/>
    </row>
    <row r="4920" spans="5:13">
      <c r="E4920" s="49"/>
      <c r="F4920" s="49"/>
      <c r="G4920" s="49"/>
      <c r="H4920" s="49"/>
      <c r="I4920" s="49"/>
      <c r="J4920" s="49"/>
      <c r="K4920" s="49"/>
      <c r="L4920" s="49"/>
      <c r="M4920" s="49"/>
    </row>
    <row r="4921" spans="5:13">
      <c r="E4921" s="49"/>
      <c r="F4921" s="49"/>
      <c r="G4921" s="49"/>
      <c r="H4921" s="49"/>
      <c r="I4921" s="49"/>
      <c r="J4921" s="49"/>
      <c r="K4921" s="49"/>
      <c r="L4921" s="49"/>
      <c r="M4921" s="49"/>
    </row>
    <row r="4922" spans="5:13">
      <c r="E4922" s="49"/>
      <c r="F4922" s="49"/>
      <c r="G4922" s="49"/>
      <c r="H4922" s="49"/>
      <c r="I4922" s="49"/>
      <c r="J4922" s="49"/>
      <c r="K4922" s="49"/>
      <c r="L4922" s="49"/>
      <c r="M4922" s="49"/>
    </row>
    <row r="4923" spans="5:13">
      <c r="E4923" s="49"/>
      <c r="F4923" s="49"/>
      <c r="G4923" s="49"/>
      <c r="H4923" s="49"/>
      <c r="I4923" s="49"/>
      <c r="J4923" s="49"/>
      <c r="K4923" s="49"/>
      <c r="L4923" s="49"/>
      <c r="M4923" s="49"/>
    </row>
    <row r="4924" spans="5:13">
      <c r="E4924" s="49"/>
      <c r="F4924" s="49"/>
      <c r="G4924" s="49"/>
      <c r="H4924" s="49"/>
      <c r="I4924" s="49"/>
      <c r="J4924" s="49"/>
      <c r="K4924" s="49"/>
      <c r="L4924" s="49"/>
      <c r="M4924" s="49"/>
    </row>
    <row r="4925" spans="5:13">
      <c r="E4925" s="49"/>
      <c r="F4925" s="49"/>
      <c r="G4925" s="49"/>
      <c r="H4925" s="49"/>
      <c r="I4925" s="49"/>
      <c r="J4925" s="49"/>
      <c r="K4925" s="49"/>
      <c r="L4925" s="49"/>
      <c r="M4925" s="49"/>
    </row>
    <row r="4926" spans="5:13">
      <c r="E4926" s="49"/>
      <c r="F4926" s="49"/>
      <c r="G4926" s="49"/>
      <c r="H4926" s="49"/>
      <c r="I4926" s="49"/>
      <c r="J4926" s="49"/>
      <c r="K4926" s="49"/>
      <c r="L4926" s="49"/>
      <c r="M4926" s="49"/>
    </row>
    <row r="4927" spans="5:13">
      <c r="E4927" s="49"/>
      <c r="F4927" s="49"/>
      <c r="G4927" s="49"/>
      <c r="H4927" s="49"/>
      <c r="I4927" s="49"/>
      <c r="J4927" s="49"/>
      <c r="K4927" s="49"/>
      <c r="L4927" s="49"/>
      <c r="M4927" s="49"/>
    </row>
    <row r="4928" spans="5:13">
      <c r="E4928" s="49"/>
      <c r="F4928" s="49"/>
      <c r="G4928" s="49"/>
      <c r="H4928" s="49"/>
      <c r="I4928" s="49"/>
      <c r="J4928" s="49"/>
      <c r="K4928" s="49"/>
      <c r="L4928" s="49"/>
      <c r="M4928" s="49"/>
    </row>
    <row r="4929" spans="5:13">
      <c r="E4929" s="49"/>
      <c r="F4929" s="49"/>
      <c r="G4929" s="49"/>
      <c r="H4929" s="49"/>
      <c r="I4929" s="49"/>
      <c r="J4929" s="49"/>
      <c r="K4929" s="49"/>
      <c r="L4929" s="49"/>
      <c r="M4929" s="49"/>
    </row>
    <row r="4930" spans="5:13">
      <c r="E4930" s="49"/>
      <c r="F4930" s="49"/>
      <c r="G4930" s="49"/>
      <c r="H4930" s="49"/>
      <c r="I4930" s="49"/>
      <c r="J4930" s="49"/>
      <c r="K4930" s="49"/>
      <c r="L4930" s="49"/>
      <c r="M4930" s="49"/>
    </row>
    <row r="4931" spans="5:13">
      <c r="E4931" s="49"/>
      <c r="F4931" s="49"/>
      <c r="G4931" s="49"/>
      <c r="H4931" s="49"/>
      <c r="I4931" s="49"/>
      <c r="J4931" s="49"/>
      <c r="K4931" s="49"/>
      <c r="L4931" s="49"/>
      <c r="M4931" s="49"/>
    </row>
    <row r="4932" spans="5:13">
      <c r="E4932" s="49"/>
      <c r="F4932" s="49"/>
      <c r="G4932" s="49"/>
      <c r="H4932" s="49"/>
      <c r="I4932" s="49"/>
      <c r="J4932" s="49"/>
      <c r="K4932" s="49"/>
      <c r="L4932" s="49"/>
      <c r="M4932" s="49"/>
    </row>
    <row r="4933" spans="5:13">
      <c r="E4933" s="49"/>
      <c r="F4933" s="49"/>
      <c r="G4933" s="49"/>
      <c r="H4933" s="49"/>
      <c r="I4933" s="49"/>
      <c r="J4933" s="49"/>
      <c r="K4933" s="49"/>
      <c r="L4933" s="49"/>
      <c r="M4933" s="49"/>
    </row>
    <row r="4934" spans="5:13">
      <c r="E4934" s="49"/>
      <c r="F4934" s="49"/>
      <c r="G4934" s="49"/>
      <c r="H4934" s="49"/>
      <c r="I4934" s="49"/>
      <c r="J4934" s="49"/>
      <c r="K4934" s="49"/>
      <c r="L4934" s="49"/>
      <c r="M4934" s="49"/>
    </row>
    <row r="4935" spans="5:13">
      <c r="E4935" s="49"/>
      <c r="F4935" s="49"/>
      <c r="G4935" s="49"/>
      <c r="H4935" s="49"/>
      <c r="I4935" s="49"/>
      <c r="J4935" s="49"/>
      <c r="K4935" s="49"/>
      <c r="L4935" s="49"/>
      <c r="M4935" s="49"/>
    </row>
    <row r="4936" spans="5:13">
      <c r="E4936" s="49"/>
      <c r="F4936" s="49"/>
      <c r="G4936" s="49"/>
      <c r="H4936" s="49"/>
      <c r="I4936" s="49"/>
      <c r="J4936" s="49"/>
      <c r="K4936" s="49"/>
      <c r="L4936" s="49"/>
      <c r="M4936" s="49"/>
    </row>
    <row r="4937" spans="5:13">
      <c r="E4937" s="49"/>
      <c r="F4937" s="49"/>
      <c r="G4937" s="49"/>
      <c r="H4937" s="49"/>
      <c r="I4937" s="49"/>
      <c r="J4937" s="49"/>
      <c r="K4937" s="49"/>
      <c r="L4937" s="49"/>
      <c r="M4937" s="49"/>
    </row>
    <row r="4938" spans="5:13">
      <c r="E4938" s="49"/>
      <c r="F4938" s="49"/>
      <c r="G4938" s="49"/>
      <c r="H4938" s="49"/>
      <c r="I4938" s="49"/>
      <c r="J4938" s="49"/>
      <c r="K4938" s="49"/>
      <c r="L4938" s="49"/>
      <c r="M4938" s="49"/>
    </row>
    <row r="4939" spans="5:13">
      <c r="E4939" s="49"/>
      <c r="F4939" s="49"/>
      <c r="G4939" s="49"/>
      <c r="H4939" s="49"/>
      <c r="I4939" s="49"/>
      <c r="J4939" s="49"/>
      <c r="K4939" s="49"/>
      <c r="L4939" s="49"/>
      <c r="M4939" s="49"/>
    </row>
    <row r="4940" spans="5:13">
      <c r="E4940" s="49"/>
      <c r="F4940" s="49"/>
      <c r="G4940" s="49"/>
      <c r="H4940" s="49"/>
      <c r="I4940" s="49"/>
      <c r="J4940" s="49"/>
      <c r="K4940" s="49"/>
      <c r="L4940" s="49"/>
      <c r="M4940" s="49"/>
    </row>
    <row r="4941" spans="5:13">
      <c r="E4941" s="49"/>
      <c r="F4941" s="49"/>
      <c r="G4941" s="49"/>
      <c r="H4941" s="49"/>
      <c r="I4941" s="49"/>
      <c r="J4941" s="49"/>
      <c r="K4941" s="49"/>
      <c r="L4941" s="49"/>
      <c r="M4941" s="49"/>
    </row>
    <row r="4942" spans="5:13">
      <c r="E4942" s="49"/>
      <c r="F4942" s="49"/>
      <c r="G4942" s="49"/>
      <c r="H4942" s="49"/>
      <c r="I4942" s="49"/>
      <c r="J4942" s="49"/>
      <c r="K4942" s="49"/>
      <c r="L4942" s="49"/>
      <c r="M4942" s="49"/>
    </row>
    <row r="4943" spans="5:13">
      <c r="E4943" s="49"/>
      <c r="F4943" s="49"/>
      <c r="G4943" s="49"/>
      <c r="H4943" s="49"/>
      <c r="I4943" s="49"/>
      <c r="J4943" s="49"/>
      <c r="K4943" s="49"/>
      <c r="L4943" s="49"/>
      <c r="M4943" s="49"/>
    </row>
    <row r="4944" spans="5:13">
      <c r="E4944" s="49"/>
      <c r="F4944" s="49"/>
      <c r="G4944" s="49"/>
      <c r="H4944" s="49"/>
      <c r="I4944" s="49"/>
      <c r="J4944" s="49"/>
      <c r="K4944" s="49"/>
      <c r="L4944" s="49"/>
      <c r="M4944" s="49"/>
    </row>
    <row r="4945" spans="5:13">
      <c r="E4945" s="49"/>
      <c r="F4945" s="49"/>
      <c r="G4945" s="49"/>
      <c r="H4945" s="49"/>
      <c r="I4945" s="49"/>
      <c r="J4945" s="49"/>
      <c r="K4945" s="49"/>
      <c r="L4945" s="49"/>
      <c r="M4945" s="49"/>
    </row>
    <row r="4946" spans="5:13">
      <c r="E4946" s="49"/>
      <c r="F4946" s="49"/>
      <c r="G4946" s="49"/>
      <c r="H4946" s="49"/>
      <c r="I4946" s="49"/>
      <c r="J4946" s="49"/>
      <c r="K4946" s="49"/>
      <c r="L4946" s="49"/>
      <c r="M4946" s="49"/>
    </row>
    <row r="4947" spans="5:13">
      <c r="E4947" s="49"/>
      <c r="F4947" s="49"/>
      <c r="G4947" s="49"/>
      <c r="H4947" s="49"/>
      <c r="I4947" s="49"/>
      <c r="J4947" s="49"/>
      <c r="K4947" s="49"/>
      <c r="L4947" s="49"/>
      <c r="M4947" s="49"/>
    </row>
    <row r="4948" spans="5:13">
      <c r="E4948" s="49"/>
      <c r="F4948" s="49"/>
      <c r="G4948" s="49"/>
      <c r="H4948" s="49"/>
      <c r="I4948" s="49"/>
      <c r="J4948" s="49"/>
      <c r="K4948" s="49"/>
      <c r="L4948" s="49"/>
      <c r="M4948" s="49"/>
    </row>
    <row r="4949" spans="5:13">
      <c r="E4949" s="49"/>
      <c r="F4949" s="49"/>
      <c r="G4949" s="49"/>
      <c r="H4949" s="49"/>
      <c r="I4949" s="49"/>
      <c r="J4949" s="49"/>
      <c r="K4949" s="49"/>
      <c r="L4949" s="49"/>
      <c r="M4949" s="49"/>
    </row>
    <row r="4950" spans="5:13">
      <c r="E4950" s="49"/>
      <c r="F4950" s="49"/>
      <c r="G4950" s="49"/>
      <c r="H4950" s="49"/>
      <c r="I4950" s="49"/>
      <c r="J4950" s="49"/>
      <c r="K4950" s="49"/>
      <c r="L4950" s="49"/>
      <c r="M4950" s="49"/>
    </row>
    <row r="4951" spans="5:13">
      <c r="E4951" s="49"/>
      <c r="F4951" s="49"/>
      <c r="G4951" s="49"/>
      <c r="H4951" s="49"/>
      <c r="I4951" s="49"/>
      <c r="J4951" s="49"/>
      <c r="K4951" s="49"/>
      <c r="L4951" s="49"/>
      <c r="M4951" s="49"/>
    </row>
    <row r="4952" spans="5:13">
      <c r="E4952" s="49"/>
      <c r="F4952" s="49"/>
      <c r="G4952" s="49"/>
      <c r="H4952" s="49"/>
      <c r="I4952" s="49"/>
      <c r="J4952" s="49"/>
      <c r="K4952" s="49"/>
      <c r="L4952" s="49"/>
      <c r="M4952" s="49"/>
    </row>
    <row r="4953" spans="5:13">
      <c r="E4953" s="49"/>
      <c r="F4953" s="49"/>
      <c r="G4953" s="49"/>
      <c r="H4953" s="49"/>
      <c r="I4953" s="49"/>
      <c r="J4953" s="49"/>
      <c r="K4953" s="49"/>
      <c r="L4953" s="49"/>
      <c r="M4953" s="49"/>
    </row>
    <row r="4954" spans="5:13">
      <c r="E4954" s="49"/>
      <c r="F4954" s="49"/>
      <c r="G4954" s="49"/>
      <c r="H4954" s="49"/>
      <c r="I4954" s="49"/>
      <c r="J4954" s="49"/>
      <c r="K4954" s="49"/>
      <c r="L4954" s="49"/>
      <c r="M4954" s="49"/>
    </row>
    <row r="4955" spans="5:13">
      <c r="E4955" s="49"/>
      <c r="F4955" s="49"/>
      <c r="G4955" s="49"/>
      <c r="H4955" s="49"/>
      <c r="I4955" s="49"/>
      <c r="J4955" s="49"/>
      <c r="K4955" s="49"/>
      <c r="L4955" s="49"/>
      <c r="M4955" s="49"/>
    </row>
    <row r="4956" spans="5:13">
      <c r="E4956" s="49"/>
      <c r="F4956" s="49"/>
      <c r="G4956" s="49"/>
      <c r="H4956" s="49"/>
      <c r="I4956" s="49"/>
      <c r="J4956" s="49"/>
      <c r="K4956" s="49"/>
      <c r="L4956" s="49"/>
      <c r="M4956" s="49"/>
    </row>
    <row r="4957" spans="5:13">
      <c r="E4957" s="49"/>
      <c r="F4957" s="49"/>
      <c r="G4957" s="49"/>
      <c r="H4957" s="49"/>
      <c r="I4957" s="49"/>
      <c r="J4957" s="49"/>
      <c r="K4957" s="49"/>
      <c r="L4957" s="49"/>
      <c r="M4957" s="49"/>
    </row>
    <row r="4958" spans="5:13">
      <c r="E4958" s="49"/>
      <c r="F4958" s="49"/>
      <c r="G4958" s="49"/>
      <c r="H4958" s="49"/>
      <c r="I4958" s="49"/>
      <c r="J4958" s="49"/>
      <c r="K4958" s="49"/>
      <c r="L4958" s="49"/>
      <c r="M4958" s="49"/>
    </row>
    <row r="4959" spans="5:13">
      <c r="E4959" s="49"/>
      <c r="F4959" s="49"/>
      <c r="G4959" s="49"/>
      <c r="H4959" s="49"/>
      <c r="I4959" s="49"/>
      <c r="J4959" s="49"/>
      <c r="K4959" s="49"/>
      <c r="L4959" s="49"/>
      <c r="M4959" s="49"/>
    </row>
    <row r="4960" spans="5:13">
      <c r="E4960" s="49"/>
      <c r="F4960" s="49"/>
      <c r="G4960" s="49"/>
      <c r="H4960" s="49"/>
      <c r="I4960" s="49"/>
      <c r="J4960" s="49"/>
      <c r="K4960" s="49"/>
      <c r="L4960" s="49"/>
      <c r="M4960" s="49"/>
    </row>
    <row r="4961" spans="5:13">
      <c r="E4961" s="49"/>
      <c r="F4961" s="49"/>
      <c r="G4961" s="49"/>
      <c r="H4961" s="49"/>
      <c r="I4961" s="49"/>
      <c r="J4961" s="49"/>
      <c r="K4961" s="49"/>
      <c r="L4961" s="49"/>
      <c r="M4961" s="49"/>
    </row>
    <row r="4962" spans="5:13">
      <c r="E4962" s="49"/>
      <c r="F4962" s="49"/>
      <c r="G4962" s="49"/>
      <c r="H4962" s="49"/>
      <c r="I4962" s="49"/>
      <c r="J4962" s="49"/>
      <c r="K4962" s="49"/>
      <c r="L4962" s="49"/>
      <c r="M4962" s="49"/>
    </row>
    <row r="4963" spans="5:13">
      <c r="E4963" s="49"/>
      <c r="F4963" s="49"/>
      <c r="G4963" s="49"/>
      <c r="H4963" s="49"/>
      <c r="I4963" s="49"/>
      <c r="J4963" s="49"/>
      <c r="K4963" s="49"/>
      <c r="L4963" s="49"/>
      <c r="M4963" s="49"/>
    </row>
    <row r="4964" spans="5:13">
      <c r="E4964" s="49"/>
      <c r="F4964" s="49"/>
      <c r="G4964" s="49"/>
      <c r="H4964" s="49"/>
      <c r="I4964" s="49"/>
      <c r="J4964" s="49"/>
      <c r="K4964" s="49"/>
      <c r="L4964" s="49"/>
      <c r="M4964" s="49"/>
    </row>
    <row r="4965" spans="5:13">
      <c r="E4965" s="49"/>
      <c r="F4965" s="49"/>
      <c r="G4965" s="49"/>
      <c r="H4965" s="49"/>
      <c r="I4965" s="49"/>
      <c r="J4965" s="49"/>
      <c r="K4965" s="49"/>
      <c r="L4965" s="49"/>
      <c r="M4965" s="49"/>
    </row>
    <row r="4966" spans="5:13">
      <c r="E4966" s="49"/>
      <c r="F4966" s="49"/>
      <c r="G4966" s="49"/>
      <c r="H4966" s="49"/>
      <c r="I4966" s="49"/>
      <c r="J4966" s="49"/>
      <c r="K4966" s="49"/>
      <c r="L4966" s="49"/>
      <c r="M4966" s="49"/>
    </row>
    <row r="4967" spans="5:13">
      <c r="E4967" s="49"/>
      <c r="F4967" s="49"/>
      <c r="G4967" s="49"/>
      <c r="H4967" s="49"/>
      <c r="I4967" s="49"/>
      <c r="J4967" s="49"/>
      <c r="K4967" s="49"/>
      <c r="L4967" s="49"/>
      <c r="M4967" s="49"/>
    </row>
    <row r="4968" spans="5:13">
      <c r="E4968" s="49"/>
      <c r="F4968" s="49"/>
      <c r="G4968" s="49"/>
      <c r="H4968" s="49"/>
      <c r="I4968" s="49"/>
      <c r="J4968" s="49"/>
      <c r="K4968" s="49"/>
      <c r="L4968" s="49"/>
      <c r="M4968" s="49"/>
    </row>
    <row r="4969" spans="5:13">
      <c r="E4969" s="49"/>
      <c r="F4969" s="49"/>
      <c r="G4969" s="49"/>
      <c r="H4969" s="49"/>
      <c r="I4969" s="49"/>
      <c r="J4969" s="49"/>
      <c r="K4969" s="49"/>
      <c r="L4969" s="49"/>
      <c r="M4969" s="49"/>
    </row>
    <row r="4970" spans="5:13">
      <c r="E4970" s="49"/>
      <c r="F4970" s="49"/>
      <c r="G4970" s="49"/>
      <c r="H4970" s="49"/>
      <c r="I4970" s="49"/>
      <c r="J4970" s="49"/>
      <c r="K4970" s="49"/>
      <c r="L4970" s="49"/>
      <c r="M4970" s="49"/>
    </row>
    <row r="4971" spans="5:13">
      <c r="E4971" s="49"/>
      <c r="F4971" s="49"/>
      <c r="G4971" s="49"/>
      <c r="H4971" s="49"/>
      <c r="I4971" s="49"/>
      <c r="J4971" s="49"/>
      <c r="K4971" s="49"/>
      <c r="L4971" s="49"/>
      <c r="M4971" s="49"/>
    </row>
    <row r="4972" spans="5:13">
      <c r="E4972" s="49"/>
      <c r="F4972" s="49"/>
      <c r="G4972" s="49"/>
      <c r="H4972" s="49"/>
      <c r="I4972" s="49"/>
      <c r="J4972" s="49"/>
      <c r="K4972" s="49"/>
      <c r="L4972" s="49"/>
      <c r="M4972" s="49"/>
    </row>
    <row r="4973" spans="5:13">
      <c r="E4973" s="49"/>
      <c r="F4973" s="49"/>
      <c r="G4973" s="49"/>
      <c r="H4973" s="49"/>
      <c r="I4973" s="49"/>
      <c r="J4973" s="49"/>
      <c r="K4973" s="49"/>
      <c r="L4973" s="49"/>
      <c r="M4973" s="49"/>
    </row>
    <row r="4974" spans="5:13">
      <c r="E4974" s="49"/>
      <c r="F4974" s="49"/>
      <c r="G4974" s="49"/>
      <c r="H4974" s="49"/>
      <c r="I4974" s="49"/>
      <c r="J4974" s="49"/>
      <c r="K4974" s="49"/>
      <c r="L4974" s="49"/>
      <c r="M4974" s="49"/>
    </row>
    <row r="4975" spans="5:13">
      <c r="E4975" s="49"/>
      <c r="F4975" s="49"/>
      <c r="G4975" s="49"/>
      <c r="H4975" s="49"/>
      <c r="I4975" s="49"/>
      <c r="J4975" s="49"/>
      <c r="K4975" s="49"/>
      <c r="L4975" s="49"/>
      <c r="M4975" s="49"/>
    </row>
    <row r="4976" spans="5:13">
      <c r="E4976" s="49"/>
      <c r="F4976" s="49"/>
      <c r="G4976" s="49"/>
      <c r="H4976" s="49"/>
      <c r="I4976" s="49"/>
      <c r="J4976" s="49"/>
      <c r="K4976" s="49"/>
      <c r="L4976" s="49"/>
      <c r="M4976" s="49"/>
    </row>
    <row r="4977" spans="5:13">
      <c r="E4977" s="49"/>
      <c r="F4977" s="49"/>
      <c r="G4977" s="49"/>
      <c r="H4977" s="49"/>
      <c r="I4977" s="49"/>
      <c r="J4977" s="49"/>
      <c r="K4977" s="49"/>
      <c r="L4977" s="49"/>
      <c r="M4977" s="49"/>
    </row>
    <row r="4978" spans="5:13">
      <c r="E4978" s="49"/>
      <c r="F4978" s="49"/>
      <c r="G4978" s="49"/>
      <c r="H4978" s="49"/>
      <c r="I4978" s="49"/>
      <c r="J4978" s="49"/>
      <c r="K4978" s="49"/>
      <c r="L4978" s="49"/>
      <c r="M4978" s="49"/>
    </row>
    <row r="4979" spans="5:13">
      <c r="E4979" s="49"/>
      <c r="F4979" s="49"/>
      <c r="G4979" s="49"/>
      <c r="H4979" s="49"/>
      <c r="I4979" s="49"/>
      <c r="J4979" s="49"/>
      <c r="K4979" s="49"/>
      <c r="L4979" s="49"/>
      <c r="M4979" s="49"/>
    </row>
    <row r="4980" spans="5:13">
      <c r="E4980" s="49"/>
      <c r="F4980" s="49"/>
      <c r="G4980" s="49"/>
      <c r="H4980" s="49"/>
      <c r="I4980" s="49"/>
      <c r="J4980" s="49"/>
      <c r="K4980" s="49"/>
      <c r="L4980" s="49"/>
      <c r="M4980" s="49"/>
    </row>
    <row r="4981" spans="5:13">
      <c r="E4981" s="49"/>
      <c r="F4981" s="49"/>
      <c r="G4981" s="49"/>
      <c r="H4981" s="49"/>
      <c r="I4981" s="49"/>
      <c r="J4981" s="49"/>
      <c r="K4981" s="49"/>
      <c r="L4981" s="49"/>
      <c r="M4981" s="49"/>
    </row>
    <row r="4982" spans="5:13">
      <c r="E4982" s="49"/>
      <c r="F4982" s="49"/>
      <c r="G4982" s="49"/>
      <c r="H4982" s="49"/>
      <c r="I4982" s="49"/>
      <c r="J4982" s="49"/>
      <c r="K4982" s="49"/>
      <c r="L4982" s="49"/>
      <c r="M4982" s="49"/>
    </row>
    <row r="4983" spans="5:13">
      <c r="E4983" s="49"/>
      <c r="F4983" s="49"/>
      <c r="G4983" s="49"/>
      <c r="H4983" s="49"/>
      <c r="I4983" s="49"/>
      <c r="J4983" s="49"/>
      <c r="K4983" s="49"/>
      <c r="L4983" s="49"/>
      <c r="M4983" s="49"/>
    </row>
    <row r="4984" spans="5:13">
      <c r="E4984" s="49"/>
      <c r="F4984" s="49"/>
      <c r="G4984" s="49"/>
      <c r="H4984" s="49"/>
      <c r="I4984" s="49"/>
      <c r="J4984" s="49"/>
      <c r="K4984" s="49"/>
      <c r="L4984" s="49"/>
      <c r="M4984" s="49"/>
    </row>
    <row r="4985" spans="5:13">
      <c r="E4985" s="49"/>
      <c r="F4985" s="49"/>
      <c r="G4985" s="49"/>
      <c r="H4985" s="49"/>
      <c r="I4985" s="49"/>
      <c r="J4985" s="49"/>
      <c r="K4985" s="49"/>
      <c r="L4985" s="49"/>
      <c r="M4985" s="49"/>
    </row>
    <row r="4986" spans="5:13">
      <c r="E4986" s="49"/>
      <c r="F4986" s="49"/>
      <c r="G4986" s="49"/>
      <c r="H4986" s="49"/>
      <c r="I4986" s="49"/>
      <c r="J4986" s="49"/>
      <c r="K4986" s="49"/>
      <c r="L4986" s="49"/>
      <c r="M4986" s="49"/>
    </row>
    <row r="4987" spans="5:13">
      <c r="E4987" s="49"/>
      <c r="F4987" s="49"/>
      <c r="G4987" s="49"/>
      <c r="H4987" s="49"/>
      <c r="I4987" s="49"/>
      <c r="J4987" s="49"/>
      <c r="K4987" s="49"/>
      <c r="L4987" s="49"/>
      <c r="M4987" s="49"/>
    </row>
    <row r="4988" spans="5:13">
      <c r="E4988" s="49"/>
      <c r="F4988" s="49"/>
      <c r="G4988" s="49"/>
      <c r="H4988" s="49"/>
      <c r="I4988" s="49"/>
      <c r="J4988" s="49"/>
      <c r="K4988" s="49"/>
      <c r="L4988" s="49"/>
      <c r="M4988" s="49"/>
    </row>
    <row r="4989" spans="5:13">
      <c r="E4989" s="49"/>
      <c r="F4989" s="49"/>
      <c r="G4989" s="49"/>
      <c r="H4989" s="49"/>
      <c r="I4989" s="49"/>
      <c r="J4989" s="49"/>
      <c r="K4989" s="49"/>
      <c r="L4989" s="49"/>
      <c r="M4989" s="49"/>
    </row>
    <row r="4990" spans="5:13">
      <c r="E4990" s="49"/>
      <c r="F4990" s="49"/>
      <c r="G4990" s="49"/>
      <c r="H4990" s="49"/>
      <c r="I4990" s="49"/>
      <c r="J4990" s="49"/>
      <c r="K4990" s="49"/>
      <c r="L4990" s="49"/>
      <c r="M4990" s="49"/>
    </row>
    <row r="4991" spans="5:13">
      <c r="E4991" s="49"/>
      <c r="F4991" s="49"/>
      <c r="G4991" s="49"/>
      <c r="H4991" s="49"/>
      <c r="I4991" s="49"/>
      <c r="J4991" s="49"/>
      <c r="K4991" s="49"/>
      <c r="L4991" s="49"/>
      <c r="M4991" s="49"/>
    </row>
    <row r="4992" spans="5:13">
      <c r="E4992" s="49"/>
      <c r="F4992" s="49"/>
      <c r="G4992" s="49"/>
      <c r="H4992" s="49"/>
      <c r="I4992" s="49"/>
      <c r="J4992" s="49"/>
      <c r="K4992" s="49"/>
      <c r="L4992" s="49"/>
      <c r="M4992" s="49"/>
    </row>
    <row r="4993" spans="5:13">
      <c r="E4993" s="49"/>
      <c r="F4993" s="49"/>
      <c r="G4993" s="49"/>
      <c r="H4993" s="49"/>
      <c r="I4993" s="49"/>
      <c r="J4993" s="49"/>
      <c r="K4993" s="49"/>
      <c r="L4993" s="49"/>
      <c r="M4993" s="49"/>
    </row>
    <row r="4994" spans="5:13">
      <c r="E4994" s="49"/>
      <c r="F4994" s="49"/>
      <c r="G4994" s="49"/>
      <c r="H4994" s="49"/>
      <c r="I4994" s="49"/>
      <c r="J4994" s="49"/>
      <c r="K4994" s="49"/>
      <c r="L4994" s="49"/>
      <c r="M4994" s="49"/>
    </row>
    <row r="4995" spans="5:13">
      <c r="E4995" s="49"/>
      <c r="F4995" s="49"/>
      <c r="G4995" s="49"/>
      <c r="H4995" s="49"/>
      <c r="I4995" s="49"/>
      <c r="J4995" s="49"/>
      <c r="K4995" s="49"/>
      <c r="L4995" s="49"/>
      <c r="M4995" s="49"/>
    </row>
    <row r="4996" spans="5:13">
      <c r="E4996" s="49"/>
      <c r="F4996" s="49"/>
      <c r="G4996" s="49"/>
      <c r="H4996" s="49"/>
      <c r="I4996" s="49"/>
      <c r="J4996" s="49"/>
      <c r="K4996" s="49"/>
      <c r="L4996" s="49"/>
      <c r="M4996" s="49"/>
    </row>
    <row r="4997" spans="5:13">
      <c r="E4997" s="49"/>
      <c r="F4997" s="49"/>
      <c r="G4997" s="49"/>
      <c r="H4997" s="49"/>
      <c r="I4997" s="49"/>
      <c r="J4997" s="49"/>
      <c r="K4997" s="49"/>
      <c r="L4997" s="49"/>
      <c r="M4997" s="49"/>
    </row>
    <row r="4998" spans="5:13">
      <c r="E4998" s="49"/>
      <c r="F4998" s="49"/>
      <c r="G4998" s="49"/>
      <c r="H4998" s="49"/>
      <c r="I4998" s="49"/>
      <c r="J4998" s="49"/>
      <c r="K4998" s="49"/>
      <c r="L4998" s="49"/>
      <c r="M4998" s="49"/>
    </row>
    <row r="4999" spans="5:13">
      <c r="E4999" s="49"/>
      <c r="F4999" s="49"/>
      <c r="G4999" s="49"/>
      <c r="H4999" s="49"/>
      <c r="I4999" s="49"/>
      <c r="J4999" s="49"/>
      <c r="K4999" s="49"/>
      <c r="L4999" s="49"/>
      <c r="M4999" s="49"/>
    </row>
    <row r="5000" spans="5:13">
      <c r="E5000" s="49"/>
      <c r="F5000" s="49"/>
      <c r="G5000" s="49"/>
      <c r="H5000" s="49"/>
      <c r="I5000" s="49"/>
      <c r="J5000" s="49"/>
      <c r="K5000" s="49"/>
      <c r="L5000" s="49"/>
      <c r="M5000" s="49"/>
    </row>
    <row r="5001" spans="5:13">
      <c r="E5001" s="49"/>
      <c r="F5001" s="49"/>
      <c r="G5001" s="49"/>
      <c r="H5001" s="49"/>
      <c r="I5001" s="49"/>
      <c r="J5001" s="49"/>
      <c r="K5001" s="49"/>
      <c r="L5001" s="49"/>
      <c r="M5001" s="49"/>
    </row>
    <row r="5002" spans="5:13">
      <c r="E5002" s="49"/>
      <c r="F5002" s="49"/>
      <c r="G5002" s="49"/>
      <c r="H5002" s="49"/>
      <c r="I5002" s="49"/>
      <c r="J5002" s="49"/>
      <c r="K5002" s="49"/>
      <c r="L5002" s="49"/>
      <c r="M5002" s="49"/>
    </row>
    <row r="5003" spans="5:13">
      <c r="E5003" s="49"/>
      <c r="F5003" s="49"/>
      <c r="G5003" s="49"/>
      <c r="H5003" s="49"/>
      <c r="I5003" s="49"/>
      <c r="J5003" s="49"/>
      <c r="K5003" s="49"/>
      <c r="L5003" s="49"/>
      <c r="M5003" s="49"/>
    </row>
    <row r="5004" spans="5:13">
      <c r="E5004" s="49"/>
      <c r="F5004" s="49"/>
      <c r="G5004" s="49"/>
      <c r="H5004" s="49"/>
      <c r="I5004" s="49"/>
      <c r="J5004" s="49"/>
      <c r="K5004" s="49"/>
      <c r="L5004" s="49"/>
      <c r="M5004" s="49"/>
    </row>
    <row r="5005" spans="5:13">
      <c r="E5005" s="49"/>
      <c r="F5005" s="49"/>
      <c r="G5005" s="49"/>
      <c r="H5005" s="49"/>
      <c r="I5005" s="49"/>
      <c r="J5005" s="49"/>
      <c r="K5005" s="49"/>
      <c r="L5005" s="49"/>
      <c r="M5005" s="49"/>
    </row>
    <row r="5006" spans="5:13">
      <c r="E5006" s="49"/>
      <c r="F5006" s="49"/>
      <c r="G5006" s="49"/>
      <c r="H5006" s="49"/>
      <c r="I5006" s="49"/>
      <c r="J5006" s="49"/>
      <c r="K5006" s="49"/>
      <c r="L5006" s="49"/>
      <c r="M5006" s="49"/>
    </row>
    <row r="5007" spans="5:13">
      <c r="E5007" s="49"/>
      <c r="F5007" s="49"/>
      <c r="G5007" s="49"/>
      <c r="H5007" s="49"/>
      <c r="I5007" s="49"/>
      <c r="J5007" s="49"/>
      <c r="K5007" s="49"/>
      <c r="L5007" s="49"/>
      <c r="M5007" s="49"/>
    </row>
    <row r="5008" spans="5:13">
      <c r="E5008" s="49"/>
      <c r="F5008" s="49"/>
      <c r="G5008" s="49"/>
      <c r="H5008" s="49"/>
      <c r="I5008" s="49"/>
      <c r="J5008" s="49"/>
      <c r="K5008" s="49"/>
      <c r="L5008" s="49"/>
      <c r="M5008" s="49"/>
    </row>
    <row r="5009" spans="5:13">
      <c r="E5009" s="49"/>
      <c r="F5009" s="49"/>
      <c r="G5009" s="49"/>
      <c r="H5009" s="49"/>
      <c r="I5009" s="49"/>
      <c r="J5009" s="49"/>
      <c r="K5009" s="49"/>
      <c r="L5009" s="49"/>
      <c r="M5009" s="49"/>
    </row>
    <row r="5010" spans="5:13">
      <c r="E5010" s="49"/>
      <c r="F5010" s="49"/>
      <c r="G5010" s="49"/>
      <c r="H5010" s="49"/>
      <c r="I5010" s="49"/>
      <c r="J5010" s="49"/>
      <c r="K5010" s="49"/>
      <c r="L5010" s="49"/>
      <c r="M5010" s="49"/>
    </row>
    <row r="5011" spans="5:13">
      <c r="E5011" s="49"/>
      <c r="F5011" s="49"/>
      <c r="G5011" s="49"/>
      <c r="H5011" s="49"/>
      <c r="I5011" s="49"/>
      <c r="J5011" s="49"/>
      <c r="K5011" s="49"/>
      <c r="L5011" s="49"/>
      <c r="M5011" s="49"/>
    </row>
    <row r="5012" spans="5:13">
      <c r="E5012" s="49"/>
      <c r="F5012" s="49"/>
      <c r="G5012" s="49"/>
      <c r="H5012" s="49"/>
      <c r="I5012" s="49"/>
      <c r="J5012" s="49"/>
      <c r="K5012" s="49"/>
      <c r="L5012" s="49"/>
      <c r="M5012" s="49"/>
    </row>
    <row r="5013" spans="5:13">
      <c r="E5013" s="49"/>
      <c r="F5013" s="49"/>
      <c r="G5013" s="49"/>
      <c r="H5013" s="49"/>
      <c r="I5013" s="49"/>
      <c r="J5013" s="49"/>
      <c r="K5013" s="49"/>
      <c r="L5013" s="49"/>
      <c r="M5013" s="49"/>
    </row>
    <row r="5014" spans="5:13">
      <c r="E5014" s="49"/>
      <c r="F5014" s="49"/>
      <c r="G5014" s="49"/>
      <c r="H5014" s="49"/>
      <c r="I5014" s="49"/>
      <c r="J5014" s="49"/>
      <c r="K5014" s="49"/>
      <c r="L5014" s="49"/>
      <c r="M5014" s="49"/>
    </row>
    <row r="5015" spans="5:13">
      <c r="E5015" s="49"/>
      <c r="F5015" s="49"/>
      <c r="G5015" s="49"/>
      <c r="H5015" s="49"/>
      <c r="I5015" s="49"/>
      <c r="J5015" s="49"/>
      <c r="K5015" s="49"/>
      <c r="L5015" s="49"/>
      <c r="M5015" s="49"/>
    </row>
    <row r="5016" spans="5:13">
      <c r="E5016" s="49"/>
      <c r="F5016" s="49"/>
      <c r="G5016" s="49"/>
      <c r="H5016" s="49"/>
      <c r="I5016" s="49"/>
      <c r="J5016" s="49"/>
      <c r="K5016" s="49"/>
      <c r="L5016" s="49"/>
      <c r="M5016" s="49"/>
    </row>
    <row r="5017" spans="5:13">
      <c r="E5017" s="49"/>
      <c r="F5017" s="49"/>
      <c r="G5017" s="49"/>
      <c r="H5017" s="49"/>
      <c r="I5017" s="49"/>
      <c r="J5017" s="49"/>
      <c r="K5017" s="49"/>
      <c r="L5017" s="49"/>
      <c r="M5017" s="49"/>
    </row>
    <row r="5018" spans="5:13">
      <c r="E5018" s="49"/>
      <c r="F5018" s="49"/>
      <c r="G5018" s="49"/>
      <c r="H5018" s="49"/>
      <c r="I5018" s="49"/>
      <c r="J5018" s="49"/>
      <c r="K5018" s="49"/>
      <c r="L5018" s="49"/>
      <c r="M5018" s="49"/>
    </row>
    <row r="5019" spans="5:13">
      <c r="E5019" s="49"/>
      <c r="F5019" s="49"/>
      <c r="G5019" s="49"/>
      <c r="H5019" s="49"/>
      <c r="I5019" s="49"/>
      <c r="J5019" s="49"/>
      <c r="K5019" s="49"/>
      <c r="L5019" s="49"/>
      <c r="M5019" s="49"/>
    </row>
    <row r="5020" spans="5:13">
      <c r="E5020" s="49"/>
      <c r="F5020" s="49"/>
      <c r="G5020" s="49"/>
      <c r="H5020" s="49"/>
      <c r="I5020" s="49"/>
      <c r="J5020" s="49"/>
      <c r="K5020" s="49"/>
      <c r="L5020" s="49"/>
      <c r="M5020" s="49"/>
    </row>
    <row r="5021" spans="5:13">
      <c r="E5021" s="49"/>
      <c r="F5021" s="49"/>
      <c r="G5021" s="49"/>
      <c r="H5021" s="49"/>
      <c r="I5021" s="49"/>
      <c r="J5021" s="49"/>
      <c r="K5021" s="49"/>
      <c r="L5021" s="49"/>
      <c r="M5021" s="49"/>
    </row>
    <row r="5022" spans="5:13">
      <c r="E5022" s="49"/>
      <c r="F5022" s="49"/>
      <c r="G5022" s="49"/>
      <c r="H5022" s="49"/>
      <c r="I5022" s="49"/>
      <c r="J5022" s="49"/>
      <c r="K5022" s="49"/>
      <c r="L5022" s="49"/>
      <c r="M5022" s="49"/>
    </row>
    <row r="5023" spans="5:13">
      <c r="E5023" s="49"/>
      <c r="F5023" s="49"/>
      <c r="G5023" s="49"/>
      <c r="H5023" s="49"/>
      <c r="I5023" s="49"/>
      <c r="J5023" s="49"/>
      <c r="K5023" s="49"/>
      <c r="L5023" s="49"/>
      <c r="M5023" s="49"/>
    </row>
    <row r="5024" spans="5:13">
      <c r="E5024" s="49"/>
      <c r="F5024" s="49"/>
      <c r="G5024" s="49"/>
      <c r="H5024" s="49"/>
      <c r="I5024" s="49"/>
      <c r="J5024" s="49"/>
      <c r="K5024" s="49"/>
      <c r="L5024" s="49"/>
      <c r="M5024" s="49"/>
    </row>
    <row r="5025" spans="5:13">
      <c r="E5025" s="49"/>
      <c r="F5025" s="49"/>
      <c r="G5025" s="49"/>
      <c r="H5025" s="49"/>
      <c r="I5025" s="49"/>
      <c r="J5025" s="49"/>
      <c r="K5025" s="49"/>
      <c r="L5025" s="49"/>
      <c r="M5025" s="49"/>
    </row>
    <row r="5026" spans="5:13">
      <c r="E5026" s="49"/>
      <c r="F5026" s="49"/>
      <c r="G5026" s="49"/>
      <c r="H5026" s="49"/>
      <c r="I5026" s="49"/>
      <c r="J5026" s="49"/>
      <c r="K5026" s="49"/>
      <c r="L5026" s="49"/>
      <c r="M5026" s="49"/>
    </row>
    <row r="5027" spans="5:13">
      <c r="E5027" s="49"/>
      <c r="F5027" s="49"/>
      <c r="G5027" s="49"/>
      <c r="H5027" s="49"/>
      <c r="I5027" s="49"/>
      <c r="J5027" s="49"/>
      <c r="K5027" s="49"/>
      <c r="L5027" s="49"/>
      <c r="M5027" s="49"/>
    </row>
    <row r="5028" spans="5:13">
      <c r="E5028" s="49"/>
      <c r="F5028" s="49"/>
      <c r="G5028" s="49"/>
      <c r="H5028" s="49"/>
      <c r="I5028" s="49"/>
      <c r="J5028" s="49"/>
      <c r="K5028" s="49"/>
      <c r="L5028" s="49"/>
      <c r="M5028" s="49"/>
    </row>
    <row r="5029" spans="5:13">
      <c r="E5029" s="49"/>
      <c r="F5029" s="49"/>
      <c r="G5029" s="49"/>
      <c r="H5029" s="49"/>
      <c r="I5029" s="49"/>
      <c r="J5029" s="49"/>
      <c r="K5029" s="49"/>
      <c r="L5029" s="49"/>
      <c r="M5029" s="49"/>
    </row>
    <row r="5030" spans="5:13">
      <c r="E5030" s="49"/>
      <c r="F5030" s="49"/>
      <c r="G5030" s="49"/>
      <c r="H5030" s="49"/>
      <c r="I5030" s="49"/>
      <c r="J5030" s="49"/>
      <c r="K5030" s="49"/>
      <c r="L5030" s="49"/>
      <c r="M5030" s="49"/>
    </row>
    <row r="5031" spans="5:13">
      <c r="E5031" s="49"/>
      <c r="F5031" s="49"/>
      <c r="G5031" s="49"/>
      <c r="H5031" s="49"/>
      <c r="I5031" s="49"/>
      <c r="J5031" s="49"/>
      <c r="K5031" s="49"/>
      <c r="L5031" s="49"/>
      <c r="M5031" s="49"/>
    </row>
    <row r="5032" spans="5:13">
      <c r="E5032" s="49"/>
      <c r="F5032" s="49"/>
      <c r="G5032" s="49"/>
      <c r="H5032" s="49"/>
      <c r="I5032" s="49"/>
      <c r="J5032" s="49"/>
      <c r="K5032" s="49"/>
      <c r="L5032" s="49"/>
      <c r="M5032" s="49"/>
    </row>
    <row r="5033" spans="5:13">
      <c r="E5033" s="49"/>
      <c r="F5033" s="49"/>
      <c r="G5033" s="49"/>
      <c r="H5033" s="49"/>
      <c r="I5033" s="49"/>
      <c r="J5033" s="49"/>
      <c r="K5033" s="49"/>
      <c r="L5033" s="49"/>
      <c r="M5033" s="49"/>
    </row>
    <row r="5034" spans="5:13">
      <c r="E5034" s="49"/>
      <c r="F5034" s="49"/>
      <c r="G5034" s="49"/>
      <c r="H5034" s="49"/>
      <c r="I5034" s="49"/>
      <c r="J5034" s="49"/>
      <c r="K5034" s="49"/>
      <c r="L5034" s="49"/>
      <c r="M5034" s="49"/>
    </row>
    <row r="5035" spans="5:13">
      <c r="E5035" s="49"/>
      <c r="F5035" s="49"/>
      <c r="G5035" s="49"/>
      <c r="H5035" s="49"/>
      <c r="I5035" s="49"/>
      <c r="J5035" s="49"/>
      <c r="K5035" s="49"/>
      <c r="L5035" s="49"/>
      <c r="M5035" s="49"/>
    </row>
    <row r="5036" spans="5:13">
      <c r="E5036" s="49"/>
      <c r="F5036" s="49"/>
      <c r="G5036" s="49"/>
      <c r="H5036" s="49"/>
      <c r="I5036" s="49"/>
      <c r="J5036" s="49"/>
      <c r="K5036" s="49"/>
      <c r="L5036" s="49"/>
      <c r="M5036" s="49"/>
    </row>
    <row r="5037" spans="5:13">
      <c r="E5037" s="49"/>
      <c r="F5037" s="49"/>
      <c r="G5037" s="49"/>
      <c r="H5037" s="49"/>
      <c r="I5037" s="49"/>
      <c r="J5037" s="49"/>
      <c r="K5037" s="49"/>
      <c r="L5037" s="49"/>
      <c r="M5037" s="49"/>
    </row>
    <row r="5038" spans="5:13">
      <c r="E5038" s="49"/>
      <c r="F5038" s="49"/>
      <c r="G5038" s="49"/>
      <c r="H5038" s="49"/>
      <c r="I5038" s="49"/>
      <c r="J5038" s="49"/>
      <c r="K5038" s="49"/>
      <c r="L5038" s="49"/>
      <c r="M5038" s="49"/>
    </row>
    <row r="5039" spans="5:13">
      <c r="E5039" s="49"/>
      <c r="F5039" s="49"/>
      <c r="G5039" s="49"/>
      <c r="H5039" s="49"/>
      <c r="I5039" s="49"/>
      <c r="J5039" s="49"/>
      <c r="K5039" s="49"/>
      <c r="L5039" s="49"/>
      <c r="M5039" s="49"/>
    </row>
    <row r="5040" spans="5:13">
      <c r="E5040" s="49"/>
      <c r="F5040" s="49"/>
      <c r="G5040" s="49"/>
      <c r="H5040" s="49"/>
      <c r="I5040" s="49"/>
      <c r="J5040" s="49"/>
      <c r="K5040" s="49"/>
      <c r="L5040" s="49"/>
      <c r="M5040" s="49"/>
    </row>
    <row r="5041" spans="5:13">
      <c r="E5041" s="49"/>
      <c r="F5041" s="49"/>
      <c r="G5041" s="49"/>
      <c r="H5041" s="49"/>
      <c r="I5041" s="49"/>
      <c r="J5041" s="49"/>
      <c r="K5041" s="49"/>
      <c r="L5041" s="49"/>
      <c r="M5041" s="49"/>
    </row>
    <row r="5042" spans="5:13">
      <c r="E5042" s="49"/>
      <c r="F5042" s="49"/>
      <c r="G5042" s="49"/>
      <c r="H5042" s="49"/>
      <c r="I5042" s="49"/>
      <c r="J5042" s="49"/>
      <c r="K5042" s="49"/>
      <c r="L5042" s="49"/>
      <c r="M5042" s="49"/>
    </row>
    <row r="5043" spans="5:13">
      <c r="E5043" s="49"/>
      <c r="F5043" s="49"/>
      <c r="G5043" s="49"/>
      <c r="H5043" s="49"/>
      <c r="I5043" s="49"/>
      <c r="J5043" s="49"/>
      <c r="K5043" s="49"/>
      <c r="L5043" s="49"/>
      <c r="M5043" s="49"/>
    </row>
    <row r="5044" spans="5:13">
      <c r="E5044" s="49"/>
      <c r="F5044" s="49"/>
      <c r="G5044" s="49"/>
      <c r="H5044" s="49"/>
      <c r="I5044" s="49"/>
      <c r="J5044" s="49"/>
      <c r="K5044" s="49"/>
      <c r="L5044" s="49"/>
      <c r="M5044" s="49"/>
    </row>
    <row r="5045" spans="5:13">
      <c r="E5045" s="49"/>
      <c r="F5045" s="49"/>
      <c r="G5045" s="49"/>
      <c r="H5045" s="49"/>
      <c r="I5045" s="49"/>
      <c r="J5045" s="49"/>
      <c r="K5045" s="49"/>
      <c r="L5045" s="49"/>
      <c r="M5045" s="49"/>
    </row>
    <row r="5046" spans="5:13">
      <c r="E5046" s="49"/>
      <c r="F5046" s="49"/>
      <c r="G5046" s="49"/>
      <c r="H5046" s="49"/>
      <c r="I5046" s="49"/>
      <c r="J5046" s="49"/>
      <c r="K5046" s="49"/>
      <c r="L5046" s="49"/>
      <c r="M5046" s="49"/>
    </row>
    <row r="5047" spans="5:13">
      <c r="E5047" s="49"/>
      <c r="F5047" s="49"/>
      <c r="G5047" s="49"/>
      <c r="H5047" s="49"/>
      <c r="I5047" s="49"/>
      <c r="J5047" s="49"/>
      <c r="K5047" s="49"/>
      <c r="L5047" s="49"/>
      <c r="M5047" s="49"/>
    </row>
    <row r="5048" spans="5:13">
      <c r="E5048" s="49"/>
      <c r="F5048" s="49"/>
      <c r="G5048" s="49"/>
      <c r="H5048" s="49"/>
      <c r="I5048" s="49"/>
      <c r="J5048" s="49"/>
      <c r="K5048" s="49"/>
      <c r="L5048" s="49"/>
      <c r="M5048" s="49"/>
    </row>
    <row r="5049" spans="5:13">
      <c r="E5049" s="49"/>
      <c r="F5049" s="49"/>
      <c r="G5049" s="49"/>
      <c r="H5049" s="49"/>
      <c r="I5049" s="49"/>
      <c r="J5049" s="49"/>
      <c r="K5049" s="49"/>
      <c r="L5049" s="49"/>
      <c r="M5049" s="49"/>
    </row>
    <row r="5050" spans="5:13">
      <c r="E5050" s="49"/>
      <c r="F5050" s="49"/>
      <c r="G5050" s="49"/>
      <c r="H5050" s="49"/>
      <c r="I5050" s="49"/>
      <c r="J5050" s="49"/>
      <c r="K5050" s="49"/>
      <c r="L5050" s="49"/>
      <c r="M5050" s="49"/>
    </row>
    <row r="5051" spans="5:13">
      <c r="E5051" s="49"/>
      <c r="F5051" s="49"/>
      <c r="G5051" s="49"/>
      <c r="H5051" s="49"/>
      <c r="I5051" s="49"/>
      <c r="J5051" s="49"/>
      <c r="K5051" s="49"/>
      <c r="L5051" s="49"/>
      <c r="M5051" s="49"/>
    </row>
    <row r="5052" spans="5:13">
      <c r="E5052" s="49"/>
      <c r="F5052" s="49"/>
      <c r="G5052" s="49"/>
      <c r="H5052" s="49"/>
      <c r="I5052" s="49"/>
      <c r="J5052" s="49"/>
      <c r="K5052" s="49"/>
      <c r="L5052" s="49"/>
      <c r="M5052" s="49"/>
    </row>
    <row r="5053" spans="5:13">
      <c r="E5053" s="49"/>
      <c r="F5053" s="49"/>
      <c r="G5053" s="49"/>
      <c r="H5053" s="49"/>
      <c r="I5053" s="49"/>
      <c r="J5053" s="49"/>
      <c r="K5053" s="49"/>
      <c r="L5053" s="49"/>
      <c r="M5053" s="49"/>
    </row>
    <row r="5054" spans="5:13">
      <c r="E5054" s="49"/>
      <c r="F5054" s="49"/>
      <c r="G5054" s="49"/>
      <c r="H5054" s="49"/>
      <c r="I5054" s="49"/>
      <c r="J5054" s="49"/>
      <c r="K5054" s="49"/>
      <c r="L5054" s="49"/>
      <c r="M5054" s="49"/>
    </row>
    <row r="5055" spans="5:13">
      <c r="E5055" s="49"/>
      <c r="F5055" s="49"/>
      <c r="G5055" s="49"/>
      <c r="H5055" s="49"/>
      <c r="I5055" s="49"/>
      <c r="J5055" s="49"/>
      <c r="K5055" s="49"/>
      <c r="L5055" s="49"/>
      <c r="M5055" s="49"/>
    </row>
    <row r="5056" spans="5:13">
      <c r="E5056" s="49"/>
      <c r="F5056" s="49"/>
      <c r="G5056" s="49"/>
      <c r="H5056" s="49"/>
      <c r="I5056" s="49"/>
      <c r="J5056" s="49"/>
      <c r="K5056" s="49"/>
      <c r="L5056" s="49"/>
      <c r="M5056" s="49"/>
    </row>
    <row r="5057" spans="5:13">
      <c r="E5057" s="49"/>
      <c r="F5057" s="49"/>
      <c r="G5057" s="49"/>
      <c r="H5057" s="49"/>
      <c r="I5057" s="49"/>
      <c r="J5057" s="49"/>
      <c r="K5057" s="49"/>
      <c r="L5057" s="49"/>
      <c r="M5057" s="49"/>
    </row>
    <row r="5058" spans="5:13">
      <c r="E5058" s="49"/>
      <c r="F5058" s="49"/>
      <c r="G5058" s="49"/>
      <c r="H5058" s="49"/>
      <c r="I5058" s="49"/>
      <c r="J5058" s="49"/>
      <c r="K5058" s="49"/>
      <c r="L5058" s="49"/>
      <c r="M5058" s="49"/>
    </row>
    <row r="5059" spans="5:13">
      <c r="E5059" s="49"/>
      <c r="F5059" s="49"/>
      <c r="G5059" s="49"/>
      <c r="H5059" s="49"/>
      <c r="I5059" s="49"/>
      <c r="J5059" s="49"/>
      <c r="K5059" s="49"/>
      <c r="L5059" s="49"/>
      <c r="M5059" s="49"/>
    </row>
    <row r="5060" spans="5:13">
      <c r="E5060" s="49"/>
      <c r="F5060" s="49"/>
      <c r="G5060" s="49"/>
      <c r="H5060" s="49"/>
      <c r="I5060" s="49"/>
      <c r="J5060" s="49"/>
      <c r="K5060" s="49"/>
      <c r="L5060" s="49"/>
      <c r="M5060" s="49"/>
    </row>
    <row r="5061" spans="5:13">
      <c r="E5061" s="49"/>
      <c r="F5061" s="49"/>
      <c r="G5061" s="49"/>
      <c r="H5061" s="49"/>
      <c r="I5061" s="49"/>
      <c r="J5061" s="49"/>
      <c r="K5061" s="49"/>
      <c r="L5061" s="49"/>
      <c r="M5061" s="49"/>
    </row>
    <row r="5062" spans="5:13">
      <c r="E5062" s="49"/>
      <c r="F5062" s="49"/>
      <c r="G5062" s="49"/>
      <c r="H5062" s="49"/>
      <c r="I5062" s="49"/>
      <c r="J5062" s="49"/>
      <c r="K5062" s="49"/>
      <c r="L5062" s="49"/>
      <c r="M5062" s="49"/>
    </row>
    <row r="5063" spans="5:13">
      <c r="E5063" s="49"/>
      <c r="F5063" s="49"/>
      <c r="G5063" s="49"/>
      <c r="H5063" s="49"/>
      <c r="I5063" s="49"/>
      <c r="J5063" s="49"/>
      <c r="K5063" s="49"/>
      <c r="L5063" s="49"/>
      <c r="M5063" s="49"/>
    </row>
    <row r="5064" spans="5:13">
      <c r="E5064" s="49"/>
      <c r="F5064" s="49"/>
      <c r="G5064" s="49"/>
      <c r="H5064" s="49"/>
      <c r="I5064" s="49"/>
      <c r="J5064" s="49"/>
      <c r="K5064" s="49"/>
      <c r="L5064" s="49"/>
      <c r="M5064" s="49"/>
    </row>
    <row r="5065" spans="5:13">
      <c r="E5065" s="49"/>
      <c r="F5065" s="49"/>
      <c r="G5065" s="49"/>
      <c r="H5065" s="49"/>
      <c r="I5065" s="49"/>
      <c r="J5065" s="49"/>
      <c r="K5065" s="49"/>
      <c r="L5065" s="49"/>
      <c r="M5065" s="49"/>
    </row>
    <row r="5066" spans="5:13">
      <c r="E5066" s="49"/>
      <c r="F5066" s="49"/>
      <c r="G5066" s="49"/>
      <c r="H5066" s="49"/>
      <c r="I5066" s="49"/>
      <c r="J5066" s="49"/>
      <c r="K5066" s="49"/>
      <c r="L5066" s="49"/>
      <c r="M5066" s="49"/>
    </row>
    <row r="5067" spans="5:13">
      <c r="E5067" s="49"/>
      <c r="F5067" s="49"/>
      <c r="G5067" s="49"/>
      <c r="H5067" s="49"/>
      <c r="I5067" s="49"/>
      <c r="J5067" s="49"/>
      <c r="K5067" s="49"/>
      <c r="L5067" s="49"/>
      <c r="M5067" s="49"/>
    </row>
    <row r="5068" spans="5:13">
      <c r="E5068" s="49"/>
      <c r="F5068" s="49"/>
      <c r="G5068" s="49"/>
      <c r="H5068" s="49"/>
      <c r="I5068" s="49"/>
      <c r="J5068" s="49"/>
      <c r="K5068" s="49"/>
      <c r="L5068" s="49"/>
      <c r="M5068" s="49"/>
    </row>
    <row r="5069" spans="5:13">
      <c r="E5069" s="49"/>
      <c r="F5069" s="49"/>
      <c r="G5069" s="49"/>
      <c r="H5069" s="49"/>
      <c r="I5069" s="49"/>
      <c r="J5069" s="49"/>
      <c r="K5069" s="49"/>
      <c r="L5069" s="49"/>
      <c r="M5069" s="49"/>
    </row>
    <row r="5070" spans="5:13">
      <c r="E5070" s="49"/>
      <c r="F5070" s="49"/>
      <c r="G5070" s="49"/>
      <c r="H5070" s="49"/>
      <c r="I5070" s="49"/>
      <c r="J5070" s="49"/>
      <c r="K5070" s="49"/>
      <c r="L5070" s="49"/>
      <c r="M5070" s="49"/>
    </row>
    <row r="5071" spans="5:13">
      <c r="E5071" s="49"/>
      <c r="F5071" s="49"/>
      <c r="G5071" s="49"/>
      <c r="H5071" s="49"/>
      <c r="I5071" s="49"/>
      <c r="J5071" s="49"/>
      <c r="K5071" s="49"/>
      <c r="L5071" s="49"/>
      <c r="M5071" s="49"/>
    </row>
    <row r="5072" spans="5:13">
      <c r="E5072" s="49"/>
      <c r="F5072" s="49"/>
      <c r="G5072" s="49"/>
      <c r="H5072" s="49"/>
      <c r="I5072" s="49"/>
      <c r="J5072" s="49"/>
      <c r="K5072" s="49"/>
      <c r="L5072" s="49"/>
      <c r="M5072" s="49"/>
    </row>
    <row r="5073" spans="5:13">
      <c r="E5073" s="49"/>
      <c r="F5073" s="49"/>
      <c r="G5073" s="49"/>
      <c r="H5073" s="49"/>
      <c r="I5073" s="49"/>
      <c r="J5073" s="49"/>
      <c r="K5073" s="49"/>
      <c r="L5073" s="49"/>
      <c r="M5073" s="49"/>
    </row>
    <row r="5074" spans="5:13">
      <c r="E5074" s="49"/>
      <c r="F5074" s="49"/>
      <c r="G5074" s="49"/>
      <c r="H5074" s="49"/>
      <c r="I5074" s="49"/>
      <c r="J5074" s="49"/>
      <c r="K5074" s="49"/>
      <c r="L5074" s="49"/>
      <c r="M5074" s="49"/>
    </row>
    <row r="5075" spans="5:13">
      <c r="E5075" s="49"/>
      <c r="F5075" s="49"/>
      <c r="G5075" s="49"/>
      <c r="H5075" s="49"/>
      <c r="I5075" s="49"/>
      <c r="J5075" s="49"/>
      <c r="K5075" s="49"/>
      <c r="L5075" s="49"/>
      <c r="M5075" s="49"/>
    </row>
    <row r="5076" spans="5:13">
      <c r="E5076" s="49"/>
      <c r="F5076" s="49"/>
      <c r="G5076" s="49"/>
      <c r="H5076" s="49"/>
      <c r="I5076" s="49"/>
      <c r="J5076" s="49"/>
      <c r="K5076" s="49"/>
      <c r="L5076" s="49"/>
      <c r="M5076" s="49"/>
    </row>
    <row r="5077" spans="5:13">
      <c r="E5077" s="49"/>
      <c r="F5077" s="49"/>
      <c r="G5077" s="49"/>
      <c r="H5077" s="49"/>
      <c r="I5077" s="49"/>
      <c r="J5077" s="49"/>
      <c r="K5077" s="49"/>
      <c r="L5077" s="49"/>
      <c r="M5077" s="49"/>
    </row>
    <row r="5078" spans="5:13">
      <c r="E5078" s="49"/>
      <c r="F5078" s="49"/>
      <c r="G5078" s="49"/>
      <c r="H5078" s="49"/>
      <c r="I5078" s="49"/>
      <c r="J5078" s="49"/>
      <c r="K5078" s="49"/>
      <c r="L5078" s="49"/>
      <c r="M5078" s="49"/>
    </row>
    <row r="5079" spans="5:13">
      <c r="E5079" s="49"/>
      <c r="F5079" s="49"/>
      <c r="G5079" s="49"/>
      <c r="H5079" s="49"/>
      <c r="I5079" s="49"/>
      <c r="J5079" s="49"/>
      <c r="K5079" s="49"/>
      <c r="L5079" s="49"/>
      <c r="M5079" s="49"/>
    </row>
    <row r="5080" spans="5:13">
      <c r="E5080" s="49"/>
      <c r="F5080" s="49"/>
      <c r="G5080" s="49"/>
      <c r="H5080" s="49"/>
      <c r="I5080" s="49"/>
      <c r="J5080" s="49"/>
      <c r="K5080" s="49"/>
      <c r="L5080" s="49"/>
      <c r="M5080" s="49"/>
    </row>
    <row r="5081" spans="5:13">
      <c r="E5081" s="49"/>
      <c r="F5081" s="49"/>
      <c r="G5081" s="49"/>
      <c r="H5081" s="49"/>
      <c r="I5081" s="49"/>
      <c r="J5081" s="49"/>
      <c r="K5081" s="49"/>
      <c r="L5081" s="49"/>
      <c r="M5081" s="49"/>
    </row>
    <row r="5082" spans="5:13">
      <c r="E5082" s="49"/>
      <c r="F5082" s="49"/>
      <c r="G5082" s="49"/>
      <c r="H5082" s="49"/>
      <c r="I5082" s="49"/>
      <c r="J5082" s="49"/>
      <c r="K5082" s="49"/>
      <c r="L5082" s="49"/>
      <c r="M5082" s="49"/>
    </row>
    <row r="5083" spans="5:13">
      <c r="E5083" s="49"/>
      <c r="F5083" s="49"/>
      <c r="G5083" s="49"/>
      <c r="H5083" s="49"/>
      <c r="I5083" s="49"/>
      <c r="J5083" s="49"/>
      <c r="K5083" s="49"/>
      <c r="L5083" s="49"/>
      <c r="M5083" s="49"/>
    </row>
    <row r="5084" spans="5:13">
      <c r="H5084" s="846"/>
    </row>
    <row r="5085" spans="5:13">
      <c r="H5085" s="846"/>
    </row>
    <row r="5086" spans="5:13">
      <c r="H5086" s="846"/>
    </row>
    <row r="5087" spans="5:13">
      <c r="H5087" s="846"/>
    </row>
    <row r="5088" spans="5:13">
      <c r="H5088" s="846"/>
    </row>
    <row r="5089" spans="8:8">
      <c r="H5089" s="846"/>
    </row>
    <row r="5090" spans="8:8">
      <c r="H5090" s="846"/>
    </row>
    <row r="5091" spans="8:8">
      <c r="H5091" s="846"/>
    </row>
    <row r="5092" spans="8:8">
      <c r="H5092" s="846"/>
    </row>
    <row r="5093" spans="8:8">
      <c r="H5093" s="846"/>
    </row>
    <row r="5094" spans="8:8">
      <c r="H5094" s="846"/>
    </row>
    <row r="5095" spans="8:8">
      <c r="H5095" s="846"/>
    </row>
    <row r="5096" spans="8:8">
      <c r="H5096" s="846"/>
    </row>
    <row r="5097" spans="8:8">
      <c r="H5097" s="846"/>
    </row>
    <row r="5098" spans="8:8">
      <c r="H5098" s="846"/>
    </row>
    <row r="5099" spans="8:8">
      <c r="H5099" s="846"/>
    </row>
    <row r="5100" spans="8:8">
      <c r="H5100" s="846"/>
    </row>
    <row r="5101" spans="8:8">
      <c r="H5101" s="846"/>
    </row>
    <row r="5102" spans="8:8">
      <c r="H5102" s="846"/>
    </row>
    <row r="5103" spans="8:8">
      <c r="H5103" s="846"/>
    </row>
    <row r="5104" spans="8:8">
      <c r="H5104" s="846"/>
    </row>
    <row r="5105" spans="8:8">
      <c r="H5105" s="846"/>
    </row>
    <row r="5106" spans="8:8">
      <c r="H5106" s="846"/>
    </row>
    <row r="5107" spans="8:8">
      <c r="H5107" s="846"/>
    </row>
    <row r="5108" spans="8:8">
      <c r="H5108" s="846"/>
    </row>
    <row r="5109" spans="8:8">
      <c r="H5109" s="846"/>
    </row>
    <row r="5110" spans="8:8">
      <c r="H5110" s="846"/>
    </row>
    <row r="5111" spans="8:8">
      <c r="H5111" s="846"/>
    </row>
    <row r="5112" spans="8:8">
      <c r="H5112" s="846"/>
    </row>
    <row r="5113" spans="8:8">
      <c r="H5113" s="846"/>
    </row>
    <row r="5114" spans="8:8">
      <c r="H5114" s="846"/>
    </row>
    <row r="5115" spans="8:8">
      <c r="H5115" s="846"/>
    </row>
    <row r="5116" spans="8:8">
      <c r="H5116" s="846"/>
    </row>
    <row r="5117" spans="8:8">
      <c r="H5117" s="846"/>
    </row>
    <row r="5118" spans="8:8">
      <c r="H5118" s="846"/>
    </row>
    <row r="5119" spans="8:8">
      <c r="H5119" s="846"/>
    </row>
    <row r="5120" spans="8:8">
      <c r="H5120" s="846"/>
    </row>
    <row r="5121" spans="8:8">
      <c r="H5121" s="846"/>
    </row>
    <row r="5122" spans="8:8">
      <c r="H5122" s="846"/>
    </row>
    <row r="5123" spans="8:8">
      <c r="H5123" s="846"/>
    </row>
    <row r="5124" spans="8:8">
      <c r="H5124" s="846"/>
    </row>
    <row r="5125" spans="8:8">
      <c r="H5125" s="846"/>
    </row>
    <row r="5126" spans="8:8">
      <c r="H5126" s="846"/>
    </row>
    <row r="5127" spans="8:8">
      <c r="H5127" s="846"/>
    </row>
    <row r="5128" spans="8:8">
      <c r="H5128" s="846"/>
    </row>
    <row r="5129" spans="8:8">
      <c r="H5129" s="846"/>
    </row>
    <row r="5130" spans="8:8">
      <c r="H5130" s="846"/>
    </row>
    <row r="5131" spans="8:8">
      <c r="H5131" s="846"/>
    </row>
    <row r="5132" spans="8:8">
      <c r="H5132" s="846"/>
    </row>
    <row r="5133" spans="8:8">
      <c r="H5133" s="846"/>
    </row>
    <row r="5134" spans="8:8">
      <c r="H5134" s="846"/>
    </row>
    <row r="5135" spans="8:8">
      <c r="H5135" s="846"/>
    </row>
    <row r="5136" spans="8:8">
      <c r="H5136" s="846"/>
    </row>
    <row r="5137" spans="8:8">
      <c r="H5137" s="846"/>
    </row>
    <row r="5138" spans="8:8">
      <c r="H5138" s="846"/>
    </row>
    <row r="5139" spans="8:8">
      <c r="H5139" s="846"/>
    </row>
    <row r="5140" spans="8:8">
      <c r="H5140" s="846"/>
    </row>
    <row r="5141" spans="8:8">
      <c r="H5141" s="846"/>
    </row>
    <row r="5142" spans="8:8">
      <c r="H5142" s="846"/>
    </row>
    <row r="5143" spans="8:8">
      <c r="H5143" s="846"/>
    </row>
    <row r="5144" spans="8:8">
      <c r="H5144" s="846"/>
    </row>
    <row r="5145" spans="8:8">
      <c r="H5145" s="846"/>
    </row>
    <row r="5146" spans="8:8">
      <c r="H5146" s="846"/>
    </row>
    <row r="5147" spans="8:8">
      <c r="H5147" s="846"/>
    </row>
    <row r="5148" spans="8:8">
      <c r="H5148" s="846"/>
    </row>
    <row r="5149" spans="8:8">
      <c r="H5149" s="846"/>
    </row>
    <row r="5150" spans="8:8">
      <c r="H5150" s="846"/>
    </row>
    <row r="5151" spans="8:8">
      <c r="H5151" s="846"/>
    </row>
    <row r="5152" spans="8:8">
      <c r="H5152" s="846"/>
    </row>
    <row r="5153" spans="8:8">
      <c r="H5153" s="846"/>
    </row>
    <row r="5154" spans="8:8">
      <c r="H5154" s="846"/>
    </row>
    <row r="5155" spans="8:8">
      <c r="H5155" s="846"/>
    </row>
    <row r="5156" spans="8:8">
      <c r="H5156" s="846"/>
    </row>
    <row r="5157" spans="8:8">
      <c r="H5157" s="846"/>
    </row>
    <row r="5158" spans="8:8">
      <c r="H5158" s="846"/>
    </row>
    <row r="5159" spans="8:8">
      <c r="H5159" s="846"/>
    </row>
    <row r="5160" spans="8:8">
      <c r="H5160" s="846"/>
    </row>
    <row r="5161" spans="8:8">
      <c r="H5161" s="846"/>
    </row>
    <row r="5162" spans="8:8">
      <c r="H5162" s="846"/>
    </row>
    <row r="5163" spans="8:8">
      <c r="H5163" s="846"/>
    </row>
    <row r="5164" spans="8:8">
      <c r="H5164" s="846"/>
    </row>
    <row r="5165" spans="8:8">
      <c r="H5165" s="846"/>
    </row>
    <row r="5166" spans="8:8">
      <c r="H5166" s="846"/>
    </row>
    <row r="5167" spans="8:8">
      <c r="H5167" s="846"/>
    </row>
    <row r="5168" spans="8:8">
      <c r="H5168" s="846"/>
    </row>
    <row r="5169" spans="8:8">
      <c r="H5169" s="846"/>
    </row>
    <row r="5170" spans="8:8">
      <c r="H5170" s="846"/>
    </row>
    <row r="5171" spans="8:8">
      <c r="H5171" s="846"/>
    </row>
    <row r="5172" spans="8:8">
      <c r="H5172" s="846"/>
    </row>
    <row r="5173" spans="8:8">
      <c r="H5173" s="846"/>
    </row>
    <row r="5174" spans="8:8">
      <c r="H5174" s="846"/>
    </row>
    <row r="5175" spans="8:8">
      <c r="H5175" s="846"/>
    </row>
    <row r="5176" spans="8:8">
      <c r="H5176" s="846"/>
    </row>
    <row r="5177" spans="8:8">
      <c r="H5177" s="846"/>
    </row>
    <row r="5178" spans="8:8">
      <c r="H5178" s="846"/>
    </row>
    <row r="5179" spans="8:8">
      <c r="H5179" s="846"/>
    </row>
    <row r="5180" spans="8:8">
      <c r="H5180" s="846"/>
    </row>
    <row r="5181" spans="8:8">
      <c r="H5181" s="846"/>
    </row>
    <row r="5182" spans="8:8">
      <c r="H5182" s="846"/>
    </row>
    <row r="5183" spans="8:8">
      <c r="H5183" s="846"/>
    </row>
    <row r="5184" spans="8:8">
      <c r="H5184" s="846"/>
    </row>
    <row r="5185" spans="8:8">
      <c r="H5185" s="846"/>
    </row>
    <row r="5186" spans="8:8">
      <c r="H5186" s="846"/>
    </row>
    <row r="5187" spans="8:8">
      <c r="H5187" s="846"/>
    </row>
    <row r="5188" spans="8:8">
      <c r="H5188" s="846"/>
    </row>
    <row r="5189" spans="8:8">
      <c r="H5189" s="846"/>
    </row>
    <row r="5190" spans="8:8">
      <c r="H5190" s="846"/>
    </row>
    <row r="5191" spans="8:8">
      <c r="H5191" s="846"/>
    </row>
    <row r="5192" spans="8:8">
      <c r="H5192" s="846"/>
    </row>
    <row r="5193" spans="8:8">
      <c r="H5193" s="846"/>
    </row>
    <row r="5194" spans="8:8">
      <c r="H5194" s="846"/>
    </row>
    <row r="5195" spans="8:8">
      <c r="H5195" s="846"/>
    </row>
    <row r="5196" spans="8:8">
      <c r="H5196" s="846"/>
    </row>
    <row r="5197" spans="8:8">
      <c r="H5197" s="846"/>
    </row>
    <row r="5198" spans="8:8">
      <c r="H5198" s="846"/>
    </row>
    <row r="5199" spans="8:8">
      <c r="H5199" s="846"/>
    </row>
    <row r="5200" spans="8:8">
      <c r="H5200" s="846"/>
    </row>
    <row r="5201" spans="8:8">
      <c r="H5201" s="846"/>
    </row>
    <row r="5202" spans="8:8">
      <c r="H5202" s="846"/>
    </row>
    <row r="5203" spans="8:8">
      <c r="H5203" s="846"/>
    </row>
    <row r="5204" spans="8:8">
      <c r="H5204" s="846"/>
    </row>
    <row r="5205" spans="8:8">
      <c r="H5205" s="846"/>
    </row>
    <row r="5206" spans="8:8">
      <c r="H5206" s="846"/>
    </row>
    <row r="5207" spans="8:8">
      <c r="H5207" s="846"/>
    </row>
    <row r="5208" spans="8:8">
      <c r="H5208" s="846"/>
    </row>
    <row r="5209" spans="8:8">
      <c r="H5209" s="846"/>
    </row>
    <row r="5210" spans="8:8">
      <c r="H5210" s="846"/>
    </row>
    <row r="5211" spans="8:8">
      <c r="H5211" s="846"/>
    </row>
    <row r="5212" spans="8:8">
      <c r="H5212" s="846"/>
    </row>
    <row r="5213" spans="8:8">
      <c r="H5213" s="846"/>
    </row>
    <row r="5214" spans="8:8">
      <c r="H5214" s="846"/>
    </row>
    <row r="5215" spans="8:8">
      <c r="H5215" s="846"/>
    </row>
    <row r="5216" spans="8:8">
      <c r="H5216" s="846"/>
    </row>
    <row r="5217" spans="8:8">
      <c r="H5217" s="846"/>
    </row>
    <row r="5218" spans="8:8">
      <c r="H5218" s="846"/>
    </row>
    <row r="5219" spans="8:8">
      <c r="H5219" s="846"/>
    </row>
    <row r="5220" spans="8:8">
      <c r="H5220" s="846"/>
    </row>
    <row r="5221" spans="8:8">
      <c r="H5221" s="846"/>
    </row>
    <row r="5222" spans="8:8">
      <c r="H5222" s="846"/>
    </row>
    <row r="5223" spans="8:8">
      <c r="H5223" s="846"/>
    </row>
    <row r="5224" spans="8:8">
      <c r="H5224" s="846"/>
    </row>
    <row r="5225" spans="8:8">
      <c r="H5225" s="846"/>
    </row>
    <row r="5226" spans="8:8">
      <c r="H5226" s="846"/>
    </row>
    <row r="5227" spans="8:8">
      <c r="H5227" s="846"/>
    </row>
    <row r="5228" spans="8:8">
      <c r="H5228" s="846"/>
    </row>
    <row r="5229" spans="8:8">
      <c r="H5229" s="846"/>
    </row>
    <row r="5230" spans="8:8">
      <c r="H5230" s="846"/>
    </row>
    <row r="5231" spans="8:8">
      <c r="H5231" s="846"/>
    </row>
    <row r="5232" spans="8:8">
      <c r="H5232" s="846"/>
    </row>
    <row r="5233" spans="8:8">
      <c r="H5233" s="846"/>
    </row>
    <row r="5234" spans="8:8">
      <c r="H5234" s="846"/>
    </row>
    <row r="5235" spans="8:8">
      <c r="H5235" s="846"/>
    </row>
    <row r="5236" spans="8:8">
      <c r="H5236" s="846"/>
    </row>
    <row r="5237" spans="8:8">
      <c r="H5237" s="846"/>
    </row>
    <row r="5238" spans="8:8">
      <c r="H5238" s="846"/>
    </row>
    <row r="5239" spans="8:8">
      <c r="H5239" s="846"/>
    </row>
    <row r="5240" spans="8:8">
      <c r="H5240" s="846"/>
    </row>
    <row r="5241" spans="8:8">
      <c r="H5241" s="846"/>
    </row>
    <row r="5242" spans="8:8">
      <c r="H5242" s="846"/>
    </row>
    <row r="5243" spans="8:8">
      <c r="H5243" s="846"/>
    </row>
    <row r="5244" spans="8:8">
      <c r="H5244" s="846"/>
    </row>
    <row r="5245" spans="8:8">
      <c r="H5245" s="846"/>
    </row>
    <row r="5246" spans="8:8">
      <c r="H5246" s="846"/>
    </row>
    <row r="5247" spans="8:8">
      <c r="H5247" s="846"/>
    </row>
    <row r="5248" spans="8:8">
      <c r="H5248" s="846"/>
    </row>
    <row r="5249" spans="8:8">
      <c r="H5249" s="846"/>
    </row>
    <row r="5250" spans="8:8">
      <c r="H5250" s="846"/>
    </row>
    <row r="5251" spans="8:8">
      <c r="H5251" s="846"/>
    </row>
    <row r="5252" spans="8:8">
      <c r="H5252" s="846"/>
    </row>
    <row r="5253" spans="8:8">
      <c r="H5253" s="846"/>
    </row>
    <row r="5254" spans="8:8">
      <c r="H5254" s="846"/>
    </row>
    <row r="5255" spans="8:8">
      <c r="H5255" s="846"/>
    </row>
    <row r="5256" spans="8:8">
      <c r="H5256" s="846"/>
    </row>
    <row r="5257" spans="8:8">
      <c r="H5257" s="846"/>
    </row>
    <row r="5258" spans="8:8">
      <c r="H5258" s="846"/>
    </row>
    <row r="5259" spans="8:8">
      <c r="H5259" s="846"/>
    </row>
    <row r="5260" spans="8:8">
      <c r="H5260" s="846"/>
    </row>
    <row r="5261" spans="8:8">
      <c r="H5261" s="846"/>
    </row>
    <row r="5262" spans="8:8">
      <c r="H5262" s="846"/>
    </row>
    <row r="5263" spans="8:8">
      <c r="H5263" s="846"/>
    </row>
    <row r="5264" spans="8:8">
      <c r="H5264" s="846"/>
    </row>
    <row r="5265" spans="8:8">
      <c r="H5265" s="846"/>
    </row>
    <row r="5266" spans="8:8">
      <c r="H5266" s="846"/>
    </row>
    <row r="5267" spans="8:8">
      <c r="H5267" s="846"/>
    </row>
    <row r="5268" spans="8:8">
      <c r="H5268" s="846"/>
    </row>
    <row r="5269" spans="8:8">
      <c r="H5269" s="846"/>
    </row>
    <row r="5270" spans="8:8">
      <c r="H5270" s="846"/>
    </row>
    <row r="5271" spans="8:8">
      <c r="H5271" s="846"/>
    </row>
    <row r="5272" spans="8:8">
      <c r="H5272" s="846"/>
    </row>
    <row r="5273" spans="8:8">
      <c r="H5273" s="846"/>
    </row>
    <row r="5274" spans="8:8">
      <c r="H5274" s="846"/>
    </row>
    <row r="5275" spans="8:8">
      <c r="H5275" s="846"/>
    </row>
    <row r="5276" spans="8:8">
      <c r="H5276" s="846"/>
    </row>
    <row r="5277" spans="8:8">
      <c r="H5277" s="846"/>
    </row>
    <row r="5278" spans="8:8">
      <c r="H5278" s="846"/>
    </row>
    <row r="5279" spans="8:8">
      <c r="H5279" s="846"/>
    </row>
    <row r="5280" spans="8:8">
      <c r="H5280" s="846"/>
    </row>
    <row r="5281" spans="8:8">
      <c r="H5281" s="846"/>
    </row>
    <row r="5282" spans="8:8">
      <c r="H5282" s="846"/>
    </row>
    <row r="5283" spans="8:8">
      <c r="H5283" s="846"/>
    </row>
    <row r="5284" spans="8:8">
      <c r="H5284" s="846"/>
    </row>
    <row r="5285" spans="8:8">
      <c r="H5285" s="846"/>
    </row>
    <row r="5286" spans="8:8">
      <c r="H5286" s="846"/>
    </row>
    <row r="5287" spans="8:8">
      <c r="H5287" s="846"/>
    </row>
    <row r="5288" spans="8:8">
      <c r="H5288" s="846"/>
    </row>
    <row r="5289" spans="8:8">
      <c r="H5289" s="846"/>
    </row>
    <row r="5290" spans="8:8">
      <c r="H5290" s="846"/>
    </row>
    <row r="5291" spans="8:8">
      <c r="H5291" s="846"/>
    </row>
    <row r="5292" spans="8:8">
      <c r="H5292" s="846"/>
    </row>
    <row r="5293" spans="8:8">
      <c r="H5293" s="846"/>
    </row>
    <row r="5294" spans="8:8">
      <c r="H5294" s="846"/>
    </row>
    <row r="5295" spans="8:8">
      <c r="H5295" s="846"/>
    </row>
    <row r="5296" spans="8:8">
      <c r="H5296" s="846"/>
    </row>
    <row r="5297" spans="8:8">
      <c r="H5297" s="846"/>
    </row>
    <row r="5298" spans="8:8">
      <c r="H5298" s="846"/>
    </row>
    <row r="5299" spans="8:8">
      <c r="H5299" s="846"/>
    </row>
    <row r="5300" spans="8:8">
      <c r="H5300" s="846"/>
    </row>
    <row r="5301" spans="8:8">
      <c r="H5301" s="846"/>
    </row>
    <row r="5302" spans="8:8">
      <c r="H5302" s="846"/>
    </row>
    <row r="5303" spans="8:8">
      <c r="H5303" s="846"/>
    </row>
    <row r="5304" spans="8:8">
      <c r="H5304" s="846"/>
    </row>
    <row r="5305" spans="8:8">
      <c r="H5305" s="846"/>
    </row>
    <row r="5306" spans="8:8">
      <c r="H5306" s="846"/>
    </row>
    <row r="5307" spans="8:8">
      <c r="H5307" s="846"/>
    </row>
    <row r="5308" spans="8:8">
      <c r="H5308" s="846"/>
    </row>
    <row r="5309" spans="8:8">
      <c r="H5309" s="846"/>
    </row>
    <row r="5310" spans="8:8">
      <c r="H5310" s="846"/>
    </row>
    <row r="5311" spans="8:8">
      <c r="H5311" s="846"/>
    </row>
    <row r="5312" spans="8:8">
      <c r="H5312" s="846"/>
    </row>
    <row r="5313" spans="8:8">
      <c r="H5313" s="846"/>
    </row>
    <row r="5314" spans="8:8">
      <c r="H5314" s="846"/>
    </row>
    <row r="5315" spans="8:8">
      <c r="H5315" s="846"/>
    </row>
    <row r="5316" spans="8:8">
      <c r="H5316" s="846"/>
    </row>
    <row r="5317" spans="8:8">
      <c r="H5317" s="846"/>
    </row>
    <row r="5318" spans="8:8">
      <c r="H5318" s="846"/>
    </row>
    <row r="5319" spans="8:8">
      <c r="H5319" s="846"/>
    </row>
    <row r="5320" spans="8:8">
      <c r="H5320" s="846"/>
    </row>
    <row r="5321" spans="8:8">
      <c r="H5321" s="846"/>
    </row>
    <row r="5322" spans="8:8">
      <c r="H5322" s="846"/>
    </row>
    <row r="5323" spans="8:8">
      <c r="H5323" s="846"/>
    </row>
    <row r="5324" spans="8:8">
      <c r="H5324" s="846"/>
    </row>
    <row r="5325" spans="8:8">
      <c r="H5325" s="846"/>
    </row>
    <row r="5326" spans="8:8">
      <c r="H5326" s="846"/>
    </row>
    <row r="5327" spans="8:8">
      <c r="H5327" s="846"/>
    </row>
    <row r="5328" spans="8:8">
      <c r="H5328" s="846"/>
    </row>
    <row r="5329" spans="8:8">
      <c r="H5329" s="846"/>
    </row>
    <row r="5330" spans="8:8">
      <c r="H5330" s="846"/>
    </row>
    <row r="5331" spans="8:8">
      <c r="H5331" s="846"/>
    </row>
    <row r="5332" spans="8:8">
      <c r="H5332" s="846"/>
    </row>
    <row r="5333" spans="8:8">
      <c r="H5333" s="846"/>
    </row>
    <row r="5334" spans="8:8">
      <c r="H5334" s="846"/>
    </row>
    <row r="5335" spans="8:8">
      <c r="H5335" s="846"/>
    </row>
    <row r="5336" spans="8:8">
      <c r="H5336" s="846"/>
    </row>
    <row r="5337" spans="8:8">
      <c r="H5337" s="846"/>
    </row>
    <row r="5338" spans="8:8">
      <c r="H5338" s="846"/>
    </row>
    <row r="5339" spans="8:8">
      <c r="H5339" s="846"/>
    </row>
    <row r="5340" spans="8:8">
      <c r="H5340" s="846"/>
    </row>
    <row r="5341" spans="8:8">
      <c r="H5341" s="846"/>
    </row>
    <row r="5342" spans="8:8">
      <c r="H5342" s="846"/>
    </row>
    <row r="5343" spans="8:8">
      <c r="H5343" s="846"/>
    </row>
    <row r="5344" spans="8:8">
      <c r="H5344" s="846"/>
    </row>
    <row r="5345" spans="8:8">
      <c r="H5345" s="846"/>
    </row>
    <row r="5346" spans="8:8">
      <c r="H5346" s="846"/>
    </row>
    <row r="5347" spans="8:8">
      <c r="H5347" s="846"/>
    </row>
    <row r="5348" spans="8:8">
      <c r="H5348" s="846"/>
    </row>
    <row r="5349" spans="8:8">
      <c r="H5349" s="846"/>
    </row>
    <row r="5350" spans="8:8">
      <c r="H5350" s="846"/>
    </row>
    <row r="5351" spans="8:8">
      <c r="H5351" s="846"/>
    </row>
    <row r="5352" spans="8:8">
      <c r="H5352" s="846"/>
    </row>
    <row r="5353" spans="8:8">
      <c r="H5353" s="846"/>
    </row>
    <row r="5354" spans="8:8">
      <c r="H5354" s="846"/>
    </row>
    <row r="5355" spans="8:8">
      <c r="H5355" s="846"/>
    </row>
    <row r="5356" spans="8:8">
      <c r="H5356" s="846"/>
    </row>
    <row r="5357" spans="8:8">
      <c r="H5357" s="846"/>
    </row>
    <row r="5358" spans="8:8">
      <c r="H5358" s="846"/>
    </row>
    <row r="5359" spans="8:8">
      <c r="H5359" s="846"/>
    </row>
    <row r="5360" spans="8:8">
      <c r="H5360" s="846"/>
    </row>
    <row r="5361" spans="8:8">
      <c r="H5361" s="846"/>
    </row>
    <row r="5362" spans="8:8">
      <c r="H5362" s="846"/>
    </row>
    <row r="5363" spans="8:8">
      <c r="H5363" s="846"/>
    </row>
    <row r="5364" spans="8:8">
      <c r="H5364" s="846"/>
    </row>
    <row r="5365" spans="8:8">
      <c r="H5365" s="846"/>
    </row>
    <row r="5366" spans="8:8">
      <c r="H5366" s="846"/>
    </row>
    <row r="5367" spans="8:8">
      <c r="H5367" s="846"/>
    </row>
    <row r="5368" spans="8:8">
      <c r="H5368" s="846"/>
    </row>
    <row r="5369" spans="8:8">
      <c r="H5369" s="846"/>
    </row>
    <row r="5370" spans="8:8">
      <c r="H5370" s="846"/>
    </row>
    <row r="5371" spans="8:8">
      <c r="H5371" s="846"/>
    </row>
    <row r="5372" spans="8:8">
      <c r="H5372" s="846"/>
    </row>
    <row r="5373" spans="8:8">
      <c r="H5373" s="846"/>
    </row>
    <row r="5374" spans="8:8">
      <c r="H5374" s="846"/>
    </row>
    <row r="5375" spans="8:8">
      <c r="H5375" s="846"/>
    </row>
    <row r="5376" spans="8:8">
      <c r="H5376" s="846"/>
    </row>
    <row r="5377" spans="8:8">
      <c r="H5377" s="846"/>
    </row>
    <row r="5378" spans="8:8">
      <c r="H5378" s="846"/>
    </row>
    <row r="5379" spans="8:8">
      <c r="H5379" s="846"/>
    </row>
    <row r="5380" spans="8:8">
      <c r="H5380" s="846"/>
    </row>
    <row r="5381" spans="8:8">
      <c r="H5381" s="846"/>
    </row>
    <row r="5382" spans="8:8">
      <c r="H5382" s="846"/>
    </row>
    <row r="5383" spans="8:8">
      <c r="H5383" s="846"/>
    </row>
    <row r="5384" spans="8:8">
      <c r="H5384" s="846"/>
    </row>
    <row r="5385" spans="8:8">
      <c r="H5385" s="846"/>
    </row>
    <row r="5386" spans="8:8">
      <c r="H5386" s="846"/>
    </row>
    <row r="5387" spans="8:8">
      <c r="H5387" s="846"/>
    </row>
    <row r="5388" spans="8:8">
      <c r="H5388" s="846"/>
    </row>
    <row r="5389" spans="8:8">
      <c r="H5389" s="846"/>
    </row>
    <row r="5390" spans="8:8">
      <c r="H5390" s="846"/>
    </row>
    <row r="5391" spans="8:8">
      <c r="H5391" s="846"/>
    </row>
    <row r="5392" spans="8:8">
      <c r="H5392" s="846"/>
    </row>
    <row r="5393" spans="8:8">
      <c r="H5393" s="846"/>
    </row>
    <row r="5394" spans="8:8">
      <c r="H5394" s="846"/>
    </row>
    <row r="5395" spans="8:8">
      <c r="H5395" s="846"/>
    </row>
    <row r="5396" spans="8:8">
      <c r="H5396" s="846"/>
    </row>
    <row r="5397" spans="8:8">
      <c r="H5397" s="846"/>
    </row>
    <row r="5398" spans="8:8">
      <c r="H5398" s="846"/>
    </row>
    <row r="5399" spans="8:8">
      <c r="H5399" s="846"/>
    </row>
    <row r="5400" spans="8:8">
      <c r="H5400" s="846"/>
    </row>
    <row r="5401" spans="8:8">
      <c r="H5401" s="846"/>
    </row>
    <row r="5402" spans="8:8">
      <c r="H5402" s="846"/>
    </row>
    <row r="5403" spans="8:8">
      <c r="H5403" s="846"/>
    </row>
    <row r="5404" spans="8:8">
      <c r="H5404" s="846"/>
    </row>
    <row r="5405" spans="8:8">
      <c r="H5405" s="846"/>
    </row>
    <row r="5406" spans="8:8">
      <c r="H5406" s="846"/>
    </row>
    <row r="5407" spans="8:8">
      <c r="H5407" s="846"/>
    </row>
    <row r="5408" spans="8:8">
      <c r="H5408" s="846"/>
    </row>
    <row r="5409" spans="8:8">
      <c r="H5409" s="846"/>
    </row>
    <row r="5410" spans="8:8">
      <c r="H5410" s="846"/>
    </row>
    <row r="5411" spans="8:8">
      <c r="H5411" s="846"/>
    </row>
    <row r="5412" spans="8:8">
      <c r="H5412" s="846"/>
    </row>
    <row r="5413" spans="8:8">
      <c r="H5413" s="846"/>
    </row>
    <row r="5414" spans="8:8">
      <c r="H5414" s="846"/>
    </row>
    <row r="5415" spans="8:8">
      <c r="H5415" s="846"/>
    </row>
    <row r="5416" spans="8:8">
      <c r="H5416" s="846"/>
    </row>
    <row r="5417" spans="8:8">
      <c r="H5417" s="846"/>
    </row>
    <row r="5418" spans="8:8">
      <c r="H5418" s="846"/>
    </row>
    <row r="5419" spans="8:8">
      <c r="H5419" s="846"/>
    </row>
    <row r="5420" spans="8:8">
      <c r="H5420" s="846"/>
    </row>
    <row r="5421" spans="8:8">
      <c r="H5421" s="846"/>
    </row>
    <row r="5422" spans="8:8">
      <c r="H5422" s="846"/>
    </row>
    <row r="5423" spans="8:8">
      <c r="H5423" s="846"/>
    </row>
    <row r="5424" spans="8:8">
      <c r="H5424" s="846"/>
    </row>
    <row r="5425" spans="8:8">
      <c r="H5425" s="846"/>
    </row>
    <row r="5426" spans="8:8">
      <c r="H5426" s="846"/>
    </row>
    <row r="5427" spans="8:8">
      <c r="H5427" s="846"/>
    </row>
    <row r="5428" spans="8:8">
      <c r="H5428" s="846"/>
    </row>
    <row r="5429" spans="8:8">
      <c r="H5429" s="846"/>
    </row>
    <row r="5430" spans="8:8">
      <c r="H5430" s="846"/>
    </row>
    <row r="5431" spans="8:8">
      <c r="H5431" s="846"/>
    </row>
    <row r="5432" spans="8:8">
      <c r="H5432" s="846"/>
    </row>
    <row r="5433" spans="8:8">
      <c r="H5433" s="846"/>
    </row>
    <row r="5434" spans="8:8">
      <c r="H5434" s="846"/>
    </row>
    <row r="5435" spans="8:8">
      <c r="H5435" s="846"/>
    </row>
    <row r="5436" spans="8:8">
      <c r="H5436" s="846"/>
    </row>
    <row r="5437" spans="8:8">
      <c r="H5437" s="846"/>
    </row>
    <row r="5438" spans="8:8">
      <c r="H5438" s="846"/>
    </row>
    <row r="5439" spans="8:8">
      <c r="H5439" s="846"/>
    </row>
    <row r="5440" spans="8:8">
      <c r="H5440" s="846"/>
    </row>
    <row r="5441" spans="8:8">
      <c r="H5441" s="846"/>
    </row>
    <row r="5442" spans="8:8">
      <c r="H5442" s="846"/>
    </row>
    <row r="5443" spans="8:8">
      <c r="H5443" s="846"/>
    </row>
    <row r="5444" spans="8:8">
      <c r="H5444" s="846"/>
    </row>
    <row r="5445" spans="8:8">
      <c r="H5445" s="846"/>
    </row>
    <row r="5446" spans="8:8">
      <c r="H5446" s="846"/>
    </row>
    <row r="5447" spans="8:8">
      <c r="H5447" s="846"/>
    </row>
    <row r="5448" spans="8:8">
      <c r="H5448" s="846"/>
    </row>
    <row r="5449" spans="8:8">
      <c r="H5449" s="846"/>
    </row>
    <row r="5450" spans="8:8">
      <c r="H5450" s="846"/>
    </row>
    <row r="5451" spans="8:8">
      <c r="H5451" s="846"/>
    </row>
    <row r="5452" spans="8:8">
      <c r="H5452" s="846"/>
    </row>
    <row r="5453" spans="8:8">
      <c r="H5453" s="846"/>
    </row>
    <row r="5454" spans="8:8">
      <c r="H5454" s="846"/>
    </row>
    <row r="5455" spans="8:8">
      <c r="H5455" s="846"/>
    </row>
    <row r="5456" spans="8:8">
      <c r="H5456" s="846"/>
    </row>
    <row r="5457" spans="8:8">
      <c r="H5457" s="846"/>
    </row>
    <row r="5458" spans="8:8">
      <c r="H5458" s="846"/>
    </row>
    <row r="5459" spans="8:8">
      <c r="H5459" s="846"/>
    </row>
    <row r="5460" spans="8:8">
      <c r="H5460" s="846"/>
    </row>
    <row r="5461" spans="8:8">
      <c r="H5461" s="846"/>
    </row>
    <row r="5462" spans="8:8">
      <c r="H5462" s="846"/>
    </row>
    <row r="5463" spans="8:8">
      <c r="H5463" s="846"/>
    </row>
    <row r="5464" spans="8:8">
      <c r="H5464" s="846"/>
    </row>
    <row r="5465" spans="8:8">
      <c r="H5465" s="846"/>
    </row>
    <row r="5466" spans="8:8">
      <c r="H5466" s="846"/>
    </row>
    <row r="5467" spans="8:8">
      <c r="H5467" s="846"/>
    </row>
    <row r="5468" spans="8:8">
      <c r="H5468" s="846"/>
    </row>
    <row r="5469" spans="8:8">
      <c r="H5469" s="846"/>
    </row>
    <row r="5470" spans="8:8">
      <c r="H5470" s="846"/>
    </row>
    <row r="5471" spans="8:8">
      <c r="H5471" s="846"/>
    </row>
    <row r="5472" spans="8:8">
      <c r="H5472" s="846"/>
    </row>
    <row r="5473" spans="8:8">
      <c r="H5473" s="846"/>
    </row>
    <row r="5474" spans="8:8">
      <c r="H5474" s="846"/>
    </row>
    <row r="5475" spans="8:8">
      <c r="H5475" s="846"/>
    </row>
  </sheetData>
  <mergeCells count="10">
    <mergeCell ref="M828:R828"/>
    <mergeCell ref="P836:Q836"/>
    <mergeCell ref="P851:Q851"/>
    <mergeCell ref="P868:Q868"/>
    <mergeCell ref="O280:P280"/>
    <mergeCell ref="M779:R779"/>
    <mergeCell ref="M780:R780"/>
    <mergeCell ref="P788:Q788"/>
    <mergeCell ref="M810:R810"/>
    <mergeCell ref="P814:Q814"/>
  </mergeCells>
  <printOptions horizontalCentered="1"/>
  <pageMargins left="0.55118110236220497" right="0.511811023622047" top="0.63" bottom="0.59055118110236204" header="0.31496062992126" footer="0.23622047244094496"/>
  <pageSetup paperSize="9" orientation="landscape" r:id="rId1"/>
  <headerFooter alignWithMargins="0">
    <oddHeader>&amp;CElectrical Data 2021-2022
&amp;R&amp;P</oddHeader>
  </headerFooter>
  <drawing r:id="rId2"/>
</worksheet>
</file>

<file path=xl/worksheets/sheet10.xml><?xml version="1.0" encoding="utf-8"?>
<worksheet xmlns="http://schemas.openxmlformats.org/spreadsheetml/2006/main" xmlns:r="http://schemas.openxmlformats.org/officeDocument/2006/relationships">
  <sheetPr codeName="Sheet10"/>
  <dimension ref="A1:K704"/>
  <sheetViews>
    <sheetView view="pageBreakPreview" topLeftCell="A867" zoomScale="90" workbookViewId="0">
      <selection activeCell="J11" sqref="J11"/>
    </sheetView>
  </sheetViews>
  <sheetFormatPr defaultColWidth="9.21875"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709" t="s">
        <v>3110</v>
      </c>
    </row>
    <row r="2" spans="1:6">
      <c r="C2" s="710" t="s">
        <v>3111</v>
      </c>
    </row>
    <row r="5" spans="1:6">
      <c r="A5" s="711">
        <v>2.2800000000000001E-2</v>
      </c>
      <c r="B5" s="712" t="s">
        <v>132</v>
      </c>
      <c r="C5" s="713" t="s">
        <v>3112</v>
      </c>
      <c r="D5" s="713">
        <f>[6]Data!I2634</f>
        <v>121800</v>
      </c>
      <c r="E5" s="714" t="s">
        <v>132</v>
      </c>
      <c r="F5" s="713">
        <f>D5*A5</f>
        <v>2777.04</v>
      </c>
    </row>
    <row r="6" spans="1:6">
      <c r="A6" s="711">
        <v>3.5400000000000001E-2</v>
      </c>
      <c r="B6" s="712" t="s">
        <v>132</v>
      </c>
      <c r="C6" s="713" t="s">
        <v>3113</v>
      </c>
      <c r="D6" s="713">
        <f>[6]Data!I2635</f>
        <v>108400</v>
      </c>
      <c r="E6" s="714" t="s">
        <v>132</v>
      </c>
      <c r="F6" s="713">
        <f t="shared" ref="F6:F15" si="0">D6*A6</f>
        <v>3837.36</v>
      </c>
    </row>
    <row r="7" spans="1:6">
      <c r="A7" s="715">
        <v>3.2300000000000002E-2</v>
      </c>
      <c r="B7" s="712" t="s">
        <v>132</v>
      </c>
      <c r="C7" t="s">
        <v>3114</v>
      </c>
      <c r="D7" s="713">
        <f>[6]Data!I2636</f>
        <v>116700</v>
      </c>
      <c r="E7" s="714" t="s">
        <v>132</v>
      </c>
      <c r="F7" s="713">
        <f t="shared" si="0"/>
        <v>3769.41</v>
      </c>
    </row>
    <row r="8" spans="1:6">
      <c r="A8" s="716">
        <v>2.835</v>
      </c>
      <c r="B8" s="712" t="s">
        <v>425</v>
      </c>
      <c r="C8" s="713" t="s">
        <v>3115</v>
      </c>
      <c r="D8" s="713">
        <v>843</v>
      </c>
      <c r="E8" s="714" t="s">
        <v>425</v>
      </c>
      <c r="F8" s="713">
        <f t="shared" si="0"/>
        <v>2389.91</v>
      </c>
    </row>
    <row r="9" spans="1:6">
      <c r="A9" s="713">
        <v>2</v>
      </c>
      <c r="B9" s="712" t="s">
        <v>1572</v>
      </c>
      <c r="C9" t="s">
        <v>3116</v>
      </c>
      <c r="D9" s="717">
        <v>450</v>
      </c>
      <c r="E9" s="714" t="s">
        <v>729</v>
      </c>
      <c r="F9" s="713">
        <f t="shared" si="0"/>
        <v>900</v>
      </c>
    </row>
    <row r="10" spans="1:6">
      <c r="A10" s="713">
        <v>6</v>
      </c>
      <c r="B10" s="712" t="s">
        <v>1572</v>
      </c>
      <c r="C10" t="s">
        <v>3117</v>
      </c>
      <c r="D10" s="717">
        <v>79</v>
      </c>
      <c r="E10" s="714" t="s">
        <v>729</v>
      </c>
      <c r="F10" s="713">
        <f t="shared" si="0"/>
        <v>474</v>
      </c>
    </row>
    <row r="11" spans="1:6">
      <c r="A11" s="713">
        <v>4</v>
      </c>
      <c r="B11" s="712" t="s">
        <v>1572</v>
      </c>
      <c r="C11" t="s">
        <v>3118</v>
      </c>
      <c r="D11" s="717">
        <v>130</v>
      </c>
      <c r="E11" s="714" t="s">
        <v>729</v>
      </c>
      <c r="F11" s="713">
        <f t="shared" si="0"/>
        <v>520</v>
      </c>
    </row>
    <row r="12" spans="1:6">
      <c r="A12" s="713">
        <v>1</v>
      </c>
      <c r="B12" s="712" t="s">
        <v>1572</v>
      </c>
      <c r="C12" t="s">
        <v>3119</v>
      </c>
      <c r="D12" s="717">
        <v>985</v>
      </c>
      <c r="E12" s="714" t="s">
        <v>729</v>
      </c>
      <c r="F12" s="713">
        <f t="shared" si="0"/>
        <v>985</v>
      </c>
    </row>
    <row r="13" spans="1:6">
      <c r="A13" s="713">
        <v>2</v>
      </c>
      <c r="B13" s="712" t="s">
        <v>1572</v>
      </c>
      <c r="C13" t="s">
        <v>3120</v>
      </c>
      <c r="D13" s="717">
        <v>24.6</v>
      </c>
      <c r="E13" s="714" t="s">
        <v>729</v>
      </c>
      <c r="F13" s="713">
        <f t="shared" si="0"/>
        <v>49.2</v>
      </c>
    </row>
    <row r="14" spans="1:6">
      <c r="A14" s="713">
        <v>2</v>
      </c>
      <c r="B14" s="712" t="s">
        <v>1572</v>
      </c>
      <c r="C14" s="713" t="s">
        <v>455</v>
      </c>
      <c r="D14" s="713">
        <v>51.3</v>
      </c>
      <c r="E14" s="714" t="s">
        <v>729</v>
      </c>
      <c r="F14" s="713">
        <f t="shared" si="0"/>
        <v>102.6</v>
      </c>
    </row>
    <row r="15" spans="1:6">
      <c r="A15" s="713">
        <v>118</v>
      </c>
      <c r="B15" s="718"/>
      <c r="C15" s="713" t="s">
        <v>3121</v>
      </c>
      <c r="D15" s="713">
        <v>2.4500000000000002</v>
      </c>
      <c r="E15" s="714"/>
      <c r="F15" s="713">
        <f t="shared" si="0"/>
        <v>289.10000000000002</v>
      </c>
    </row>
    <row r="16" spans="1:6">
      <c r="E16" s="714"/>
      <c r="F16" s="719">
        <f>SUM(F5:F15)</f>
        <v>16093.62</v>
      </c>
    </row>
    <row r="17" spans="1:7">
      <c r="A17" s="713"/>
      <c r="B17" s="718"/>
      <c r="C17" s="719"/>
      <c r="D17" s="713"/>
      <c r="E17" s="714"/>
      <c r="F17" s="1161" t="s">
        <v>2163</v>
      </c>
    </row>
    <row r="18" spans="1:7">
      <c r="A18" s="713"/>
      <c r="B18" s="718"/>
      <c r="C18" s="719" t="s">
        <v>3122</v>
      </c>
      <c r="D18" s="713"/>
      <c r="E18" s="714"/>
      <c r="F18" s="719">
        <f>F16/2.835</f>
        <v>5676.76</v>
      </c>
    </row>
    <row r="19" spans="1:7">
      <c r="A19" s="713"/>
      <c r="B19" s="718"/>
      <c r="E19" s="720"/>
      <c r="F19" s="1157" t="s">
        <v>2163</v>
      </c>
    </row>
    <row r="20" spans="1:7">
      <c r="B20" s="721"/>
      <c r="E20" s="720"/>
    </row>
    <row r="21" spans="1:7" ht="16.5">
      <c r="A21" s="1780" t="s">
        <v>3123</v>
      </c>
      <c r="B21" s="1780"/>
      <c r="C21" s="1780"/>
      <c r="D21" s="723"/>
      <c r="E21" s="724"/>
      <c r="F21" s="725"/>
      <c r="G21" s="726"/>
    </row>
    <row r="22" spans="1:7" ht="16.5">
      <c r="A22" s="1780"/>
      <c r="B22" s="1780"/>
      <c r="C22" s="1780"/>
      <c r="D22" s="1783"/>
      <c r="E22" s="1783"/>
      <c r="F22" s="1783"/>
      <c r="G22" s="1783"/>
    </row>
    <row r="23" spans="1:7" ht="16.5">
      <c r="A23" s="727">
        <v>11.61</v>
      </c>
      <c r="B23" s="728" t="s">
        <v>476</v>
      </c>
      <c r="C23" s="729" t="s">
        <v>3124</v>
      </c>
      <c r="D23" s="725">
        <f>Data!V1352</f>
        <v>325</v>
      </c>
      <c r="E23" s="728" t="s">
        <v>476</v>
      </c>
      <c r="F23" s="725">
        <f>D23*A23</f>
        <v>3773.25</v>
      </c>
      <c r="G23" s="726"/>
    </row>
    <row r="24" spans="1:7" ht="16.5">
      <c r="A24" s="727">
        <v>7.8</v>
      </c>
      <c r="B24" s="728" t="s">
        <v>13</v>
      </c>
      <c r="C24" s="729" t="s">
        <v>3125</v>
      </c>
      <c r="D24" s="725">
        <f>Data!V1357</f>
        <v>29.05</v>
      </c>
      <c r="E24" s="728" t="s">
        <v>13</v>
      </c>
      <c r="F24" s="725">
        <f t="shared" ref="F24:F29" si="1">D24*A24</f>
        <v>226.59</v>
      </c>
      <c r="G24" s="726"/>
    </row>
    <row r="25" spans="1:7" ht="16.5">
      <c r="A25" s="727">
        <v>1.62</v>
      </c>
      <c r="B25" s="728" t="s">
        <v>468</v>
      </c>
      <c r="C25" s="729" t="s">
        <v>3126</v>
      </c>
      <c r="D25" s="725">
        <f>Data!P1395</f>
        <v>306.89999999999998</v>
      </c>
      <c r="E25" s="728" t="s">
        <v>468</v>
      </c>
      <c r="F25" s="725">
        <f t="shared" si="1"/>
        <v>497.18</v>
      </c>
      <c r="G25" s="726"/>
    </row>
    <row r="26" spans="1:7" ht="16.5">
      <c r="A26" s="727">
        <v>2</v>
      </c>
      <c r="B26" s="728" t="s">
        <v>237</v>
      </c>
      <c r="C26" s="729" t="s">
        <v>3127</v>
      </c>
      <c r="D26" s="725">
        <f>Data!P1398</f>
        <v>57.65</v>
      </c>
      <c r="E26" s="728" t="s">
        <v>237</v>
      </c>
      <c r="F26" s="725">
        <f t="shared" si="1"/>
        <v>115.3</v>
      </c>
      <c r="G26" s="726"/>
    </row>
    <row r="27" spans="1:7" ht="16.5">
      <c r="A27" s="727">
        <v>2</v>
      </c>
      <c r="B27" s="728" t="s">
        <v>237</v>
      </c>
      <c r="C27" s="729" t="s">
        <v>3128</v>
      </c>
      <c r="D27" s="725">
        <v>350</v>
      </c>
      <c r="E27" s="728" t="s">
        <v>237</v>
      </c>
      <c r="F27" s="725">
        <f t="shared" si="1"/>
        <v>700</v>
      </c>
      <c r="G27" s="726"/>
    </row>
    <row r="28" spans="1:7" ht="16.5">
      <c r="A28" s="727">
        <v>4</v>
      </c>
      <c r="B28" s="728" t="s">
        <v>237</v>
      </c>
      <c r="C28" s="729" t="s">
        <v>3129</v>
      </c>
      <c r="D28" s="725">
        <f>Data!P1401</f>
        <v>15</v>
      </c>
      <c r="E28" s="728" t="s">
        <v>237</v>
      </c>
      <c r="F28" s="725">
        <f t="shared" si="1"/>
        <v>60</v>
      </c>
      <c r="G28" s="726"/>
    </row>
    <row r="29" spans="1:7" ht="16.5">
      <c r="A29" s="727">
        <v>1.62</v>
      </c>
      <c r="B29" s="728" t="s">
        <v>724</v>
      </c>
      <c r="C29" s="729" t="s">
        <v>3130</v>
      </c>
      <c r="D29" s="725">
        <f>D42</f>
        <v>2085.6</v>
      </c>
      <c r="E29" s="728" t="s">
        <v>724</v>
      </c>
      <c r="F29" s="725">
        <f t="shared" si="1"/>
        <v>3378.67</v>
      </c>
      <c r="G29" s="726"/>
    </row>
    <row r="30" spans="1:7" ht="16.5">
      <c r="A30" s="723"/>
      <c r="B30" s="730"/>
      <c r="C30" s="729" t="s">
        <v>1557</v>
      </c>
      <c r="D30" s="723"/>
      <c r="E30" s="724"/>
      <c r="F30" s="725"/>
      <c r="G30" s="726"/>
    </row>
    <row r="31" spans="1:7" ht="16.5">
      <c r="A31" s="723"/>
      <c r="B31" s="723"/>
      <c r="C31" s="731" t="s">
        <v>3131</v>
      </c>
      <c r="D31" s="723"/>
      <c r="E31" s="723"/>
      <c r="F31" s="732">
        <f>SUM(F23:F30)</f>
        <v>8750.99</v>
      </c>
      <c r="G31" s="733" t="s">
        <v>729</v>
      </c>
    </row>
    <row r="32" spans="1:7" ht="16.5">
      <c r="A32" s="723"/>
      <c r="B32" s="723"/>
      <c r="C32" s="719" t="s">
        <v>3132</v>
      </c>
      <c r="D32" s="723"/>
      <c r="E32" s="723"/>
      <c r="F32" s="719">
        <f>F31/A29</f>
        <v>5401.85</v>
      </c>
      <c r="G32" s="723" t="s">
        <v>724</v>
      </c>
    </row>
    <row r="33" spans="1:11" ht="16.5">
      <c r="A33" s="733"/>
      <c r="B33" s="733"/>
      <c r="C33" s="734"/>
      <c r="D33" s="733"/>
      <c r="E33" s="733"/>
      <c r="F33" s="733"/>
      <c r="G33" s="723"/>
    </row>
    <row r="34" spans="1:11" ht="16.5">
      <c r="A34" s="723"/>
      <c r="B34" s="730"/>
      <c r="C34" s="722" t="s">
        <v>3133</v>
      </c>
      <c r="D34" s="722"/>
      <c r="E34" s="722"/>
      <c r="F34" s="722"/>
      <c r="G34" s="723"/>
    </row>
    <row r="35" spans="1:11" ht="16.5">
      <c r="A35" s="727"/>
      <c r="B35" s="728"/>
      <c r="C35" s="735" t="s">
        <v>3134</v>
      </c>
      <c r="D35" s="725"/>
      <c r="E35" s="728"/>
      <c r="F35" s="725"/>
      <c r="G35" s="723"/>
    </row>
    <row r="36" spans="1:11" ht="16.5">
      <c r="A36" s="727">
        <v>12.08</v>
      </c>
      <c r="B36" s="728" t="s">
        <v>476</v>
      </c>
      <c r="C36" s="729" t="s">
        <v>3124</v>
      </c>
      <c r="D36" s="725">
        <f t="shared" ref="D36:D41" si="2">D23</f>
        <v>325</v>
      </c>
      <c r="E36" s="728" t="s">
        <v>476</v>
      </c>
      <c r="F36" s="725">
        <f>D36*A36</f>
        <v>3926</v>
      </c>
      <c r="G36" s="723"/>
      <c r="I36">
        <f>Data!I4007</f>
        <v>306.89999999999998</v>
      </c>
      <c r="J36" s="740">
        <f>Data!F4007</f>
        <v>1.823</v>
      </c>
      <c r="K36">
        <f>Data!K4007</f>
        <v>559.48</v>
      </c>
    </row>
    <row r="37" spans="1:11" ht="16.5">
      <c r="A37" s="727">
        <v>8.1</v>
      </c>
      <c r="B37" s="728" t="s">
        <v>468</v>
      </c>
      <c r="C37" s="729" t="s">
        <v>3125</v>
      </c>
      <c r="D37" s="725">
        <f t="shared" si="2"/>
        <v>29.05</v>
      </c>
      <c r="E37" s="728" t="s">
        <v>468</v>
      </c>
      <c r="F37" s="725">
        <f t="shared" ref="F37:F42" si="3">D37*A37</f>
        <v>235.31</v>
      </c>
      <c r="G37" s="723"/>
      <c r="I37">
        <f>Data!I4008</f>
        <v>29.05</v>
      </c>
      <c r="J37" s="740">
        <f>Data!F4008</f>
        <v>8.1</v>
      </c>
    </row>
    <row r="38" spans="1:11" ht="16.5">
      <c r="A38" s="727">
        <v>1.823</v>
      </c>
      <c r="B38" s="728" t="s">
        <v>13</v>
      </c>
      <c r="C38" s="729" t="s">
        <v>3126</v>
      </c>
      <c r="D38" s="725">
        <f t="shared" si="2"/>
        <v>306.89999999999998</v>
      </c>
      <c r="E38" s="728" t="s">
        <v>13</v>
      </c>
      <c r="F38" s="725">
        <f t="shared" si="3"/>
        <v>559.48</v>
      </c>
      <c r="G38" s="723"/>
      <c r="I38">
        <f>Data!I4009</f>
        <v>350</v>
      </c>
      <c r="J38" s="740">
        <f>Data!F4009</f>
        <v>2</v>
      </c>
    </row>
    <row r="39" spans="1:11" ht="16.5">
      <c r="A39" s="727">
        <v>2</v>
      </c>
      <c r="B39" s="728" t="s">
        <v>3135</v>
      </c>
      <c r="C39" s="729" t="s">
        <v>3127</v>
      </c>
      <c r="D39" s="725">
        <f t="shared" si="2"/>
        <v>57.65</v>
      </c>
      <c r="E39" s="728" t="s">
        <v>237</v>
      </c>
      <c r="F39" s="725">
        <f t="shared" si="3"/>
        <v>115.3</v>
      </c>
      <c r="G39" s="723"/>
      <c r="I39">
        <f>Data!I4010</f>
        <v>57.65</v>
      </c>
      <c r="J39" s="740">
        <f>Data!F4010</f>
        <v>2</v>
      </c>
    </row>
    <row r="40" spans="1:11" ht="16.5">
      <c r="A40" s="727">
        <v>2</v>
      </c>
      <c r="B40" s="728" t="s">
        <v>237</v>
      </c>
      <c r="C40" s="729" t="s">
        <v>3128</v>
      </c>
      <c r="D40" s="725">
        <f t="shared" si="2"/>
        <v>350</v>
      </c>
      <c r="E40" s="728" t="s">
        <v>237</v>
      </c>
      <c r="F40" s="725">
        <f t="shared" si="3"/>
        <v>700</v>
      </c>
      <c r="G40" s="723"/>
      <c r="I40">
        <f>Data!I4011</f>
        <v>15</v>
      </c>
      <c r="J40" s="740">
        <f>Data!F4011</f>
        <v>4</v>
      </c>
    </row>
    <row r="41" spans="1:11" ht="16.5">
      <c r="A41" s="727">
        <v>4</v>
      </c>
      <c r="B41" s="728" t="s">
        <v>237</v>
      </c>
      <c r="C41" s="729" t="s">
        <v>3129</v>
      </c>
      <c r="D41" s="725">
        <f t="shared" si="2"/>
        <v>15</v>
      </c>
      <c r="E41" s="728" t="s">
        <v>237</v>
      </c>
      <c r="F41" s="725">
        <f t="shared" si="3"/>
        <v>60</v>
      </c>
      <c r="G41" s="723"/>
      <c r="I41">
        <f>Data!I4012</f>
        <v>2085.6</v>
      </c>
      <c r="J41" s="740">
        <f>Data!F4012</f>
        <v>1.823</v>
      </c>
    </row>
    <row r="42" spans="1:11" ht="16.5">
      <c r="A42" s="727">
        <v>1.823</v>
      </c>
      <c r="B42" s="728" t="s">
        <v>724</v>
      </c>
      <c r="C42" s="729" t="s">
        <v>3130</v>
      </c>
      <c r="D42" s="723">
        <f>F52</f>
        <v>2085.6</v>
      </c>
      <c r="E42" s="728" t="s">
        <v>724</v>
      </c>
      <c r="F42" s="725">
        <f t="shared" si="3"/>
        <v>3802.05</v>
      </c>
      <c r="G42" s="723"/>
      <c r="I42">
        <f>Data!I4013</f>
        <v>0</v>
      </c>
      <c r="J42" s="740">
        <f>Data!F4013</f>
        <v>0</v>
      </c>
    </row>
    <row r="43" spans="1:11" ht="16.5">
      <c r="A43" s="727"/>
      <c r="B43" s="728"/>
      <c r="C43" s="729" t="s">
        <v>1557</v>
      </c>
      <c r="D43" s="723"/>
      <c r="E43" s="724"/>
      <c r="F43" s="725"/>
      <c r="G43" s="723"/>
    </row>
    <row r="44" spans="1:11" ht="16.5">
      <c r="A44" s="723"/>
      <c r="B44" s="730"/>
      <c r="C44" s="729"/>
      <c r="D44" s="723"/>
      <c r="E44" s="724"/>
      <c r="F44" s="725"/>
      <c r="G44" s="723"/>
    </row>
    <row r="45" spans="1:11" ht="16.5">
      <c r="A45" s="723"/>
      <c r="B45" s="723"/>
      <c r="C45" s="736" t="s">
        <v>3131</v>
      </c>
      <c r="D45" s="723"/>
      <c r="E45" s="723"/>
      <c r="F45" s="725">
        <f>SUM(F36:F44)</f>
        <v>9398.14</v>
      </c>
      <c r="G45" s="723" t="s">
        <v>729</v>
      </c>
    </row>
    <row r="46" spans="1:11" ht="19.5">
      <c r="A46" s="723"/>
      <c r="B46" s="723"/>
      <c r="C46" s="719" t="s">
        <v>3136</v>
      </c>
      <c r="D46" s="733"/>
      <c r="E46" s="733"/>
      <c r="F46" s="737">
        <f>F45/A42</f>
        <v>5155.32</v>
      </c>
      <c r="G46" s="733" t="s">
        <v>724</v>
      </c>
    </row>
    <row r="47" spans="1:11" ht="16.5">
      <c r="A47" s="723"/>
      <c r="B47" s="723"/>
      <c r="C47" s="736"/>
      <c r="D47" s="723"/>
      <c r="E47" s="723"/>
      <c r="F47" s="723"/>
      <c r="G47" s="723"/>
    </row>
    <row r="48" spans="1:11" ht="16.5">
      <c r="A48" s="725">
        <v>1</v>
      </c>
      <c r="B48" s="728" t="s">
        <v>131</v>
      </c>
      <c r="C48" s="729" t="s">
        <v>3137</v>
      </c>
      <c r="D48" s="725">
        <f>Data!AE17</f>
        <v>919.6</v>
      </c>
      <c r="E48" s="729" t="s">
        <v>131</v>
      </c>
      <c r="F48" s="725">
        <f>D48*A48</f>
        <v>919.6</v>
      </c>
      <c r="G48" s="723"/>
    </row>
    <row r="49" spans="1:7" ht="16.5">
      <c r="A49" s="725">
        <v>1</v>
      </c>
      <c r="B49" s="728" t="s">
        <v>131</v>
      </c>
      <c r="C49" s="729" t="s">
        <v>3138</v>
      </c>
      <c r="D49" s="725">
        <f>Data!AE11</f>
        <v>679.8</v>
      </c>
      <c r="E49" s="729" t="s">
        <v>131</v>
      </c>
      <c r="F49" s="725">
        <f>D49*A49</f>
        <v>679.8</v>
      </c>
      <c r="G49" s="723"/>
    </row>
    <row r="50" spans="1:7" ht="16.5">
      <c r="A50" s="725">
        <v>0.5</v>
      </c>
      <c r="B50" s="728" t="s">
        <v>131</v>
      </c>
      <c r="C50" s="729" t="s">
        <v>3139</v>
      </c>
      <c r="D50" s="725">
        <f>Data!AE20</f>
        <v>972.4</v>
      </c>
      <c r="E50" s="729" t="s">
        <v>131</v>
      </c>
      <c r="F50" s="725">
        <f>D50*A50</f>
        <v>486.2</v>
      </c>
      <c r="G50" s="723"/>
    </row>
    <row r="51" spans="1:7" ht="16.5">
      <c r="A51" s="723"/>
      <c r="B51" s="730"/>
      <c r="C51" s="723"/>
      <c r="D51" s="723"/>
      <c r="E51" s="738"/>
      <c r="F51" s="739" t="s">
        <v>52</v>
      </c>
      <c r="G51" s="723"/>
    </row>
    <row r="52" spans="1:7" ht="16.5">
      <c r="A52" s="723"/>
      <c r="B52" s="730"/>
      <c r="C52" s="729" t="s">
        <v>3140</v>
      </c>
      <c r="D52" s="723"/>
      <c r="E52" s="738"/>
      <c r="F52" s="732">
        <f>SUM(F48:F51)</f>
        <v>2085.6</v>
      </c>
      <c r="G52" s="723"/>
    </row>
    <row r="53" spans="1:7" ht="16.5">
      <c r="A53" s="723"/>
      <c r="B53" s="730"/>
      <c r="C53" s="723"/>
      <c r="D53" s="723"/>
      <c r="E53" s="738"/>
      <c r="F53" s="739" t="s">
        <v>52</v>
      </c>
      <c r="G53" s="723"/>
    </row>
    <row r="54" spans="1:7" ht="16.5">
      <c r="A54" s="733"/>
      <c r="B54" s="733"/>
      <c r="C54" s="734"/>
      <c r="D54" s="733"/>
      <c r="E54" s="733"/>
      <c r="F54" s="733"/>
      <c r="G54" s="723"/>
    </row>
    <row r="55" spans="1:7" ht="16.5">
      <c r="A55" s="723"/>
      <c r="B55" s="1780" t="s">
        <v>3141</v>
      </c>
      <c r="C55" s="1780"/>
      <c r="D55" s="1780"/>
      <c r="E55" s="1780"/>
      <c r="F55" s="1780"/>
      <c r="G55" s="723"/>
    </row>
    <row r="56" spans="1:7" ht="16.5">
      <c r="A56" s="727"/>
      <c r="B56" s="728"/>
      <c r="C56" s="735" t="s">
        <v>3142</v>
      </c>
      <c r="D56" s="725"/>
      <c r="E56" s="728"/>
      <c r="F56" s="725"/>
      <c r="G56" s="723"/>
    </row>
    <row r="57" spans="1:7" ht="16.5">
      <c r="A57" s="727"/>
      <c r="B57" s="728"/>
      <c r="C57" s="729"/>
      <c r="D57" s="725"/>
      <c r="E57" s="728"/>
      <c r="F57" s="725"/>
      <c r="G57" s="723"/>
    </row>
    <row r="58" spans="1:7" ht="16.5">
      <c r="A58" s="727"/>
      <c r="B58" s="728"/>
      <c r="C58" s="729"/>
      <c r="D58" s="725"/>
      <c r="E58" s="728"/>
      <c r="F58" s="725"/>
      <c r="G58" s="723"/>
    </row>
    <row r="59" spans="1:7" ht="16.5">
      <c r="A59" s="727">
        <v>17.510000000000002</v>
      </c>
      <c r="B59" s="728" t="s">
        <v>476</v>
      </c>
      <c r="C59" s="729" t="s">
        <v>3143</v>
      </c>
      <c r="D59" s="725">
        <f>D36</f>
        <v>325</v>
      </c>
      <c r="E59" s="728" t="s">
        <v>476</v>
      </c>
      <c r="F59" s="725">
        <f>D59*A59</f>
        <v>5690.75</v>
      </c>
      <c r="G59" s="723"/>
    </row>
    <row r="60" spans="1:7" ht="16.5">
      <c r="A60" s="727">
        <v>2.48</v>
      </c>
      <c r="B60" s="728" t="s">
        <v>468</v>
      </c>
      <c r="C60" s="729" t="s">
        <v>3126</v>
      </c>
      <c r="D60" s="725">
        <f>D38</f>
        <v>306.89999999999998</v>
      </c>
      <c r="E60" s="728" t="s">
        <v>468</v>
      </c>
      <c r="F60" s="725">
        <f t="shared" ref="F60:F65" si="4">D60*A60</f>
        <v>761.11</v>
      </c>
      <c r="G60" s="723"/>
    </row>
    <row r="61" spans="1:7" ht="16.5">
      <c r="A61" s="727">
        <v>14.7</v>
      </c>
      <c r="B61" s="728" t="s">
        <v>13</v>
      </c>
      <c r="C61" s="729" t="s">
        <v>3144</v>
      </c>
      <c r="D61" s="725">
        <v>27.1</v>
      </c>
      <c r="E61" s="728" t="s">
        <v>13</v>
      </c>
      <c r="F61" s="725">
        <f t="shared" si="4"/>
        <v>398.37</v>
      </c>
      <c r="G61" s="723"/>
    </row>
    <row r="62" spans="1:7" ht="16.5">
      <c r="A62" s="727">
        <v>3</v>
      </c>
      <c r="B62" s="728" t="s">
        <v>3135</v>
      </c>
      <c r="C62" s="729" t="s">
        <v>3128</v>
      </c>
      <c r="D62" s="725">
        <v>175</v>
      </c>
      <c r="E62" s="728" t="s">
        <v>237</v>
      </c>
      <c r="F62" s="725">
        <f t="shared" si="4"/>
        <v>525</v>
      </c>
      <c r="G62" s="723"/>
    </row>
    <row r="63" spans="1:7" ht="16.5">
      <c r="A63" s="727">
        <v>3</v>
      </c>
      <c r="B63" s="728" t="s">
        <v>237</v>
      </c>
      <c r="C63" s="729" t="s">
        <v>3127</v>
      </c>
      <c r="D63" s="725">
        <v>60</v>
      </c>
      <c r="E63" s="728" t="s">
        <v>237</v>
      </c>
      <c r="F63" s="725">
        <f t="shared" si="4"/>
        <v>180</v>
      </c>
      <c r="G63" s="723"/>
    </row>
    <row r="64" spans="1:7" ht="16.5">
      <c r="A64" s="727">
        <v>6</v>
      </c>
      <c r="B64" s="728" t="s">
        <v>237</v>
      </c>
      <c r="C64" s="729" t="s">
        <v>3129</v>
      </c>
      <c r="D64" s="725">
        <v>15</v>
      </c>
      <c r="E64" s="728" t="s">
        <v>237</v>
      </c>
      <c r="F64" s="725">
        <f t="shared" si="4"/>
        <v>90</v>
      </c>
      <c r="G64" s="723"/>
    </row>
    <row r="65" spans="1:7" ht="16.5">
      <c r="A65" s="727">
        <v>2.48</v>
      </c>
      <c r="B65" s="728" t="s">
        <v>724</v>
      </c>
      <c r="C65" s="729" t="s">
        <v>3130</v>
      </c>
      <c r="D65" s="723">
        <f>F76</f>
        <v>2085.6</v>
      </c>
      <c r="E65" s="728" t="s">
        <v>724</v>
      </c>
      <c r="F65" s="725">
        <f t="shared" si="4"/>
        <v>5172.29</v>
      </c>
      <c r="G65" s="723"/>
    </row>
    <row r="66" spans="1:7" ht="16.5">
      <c r="A66" s="727"/>
      <c r="B66" s="728"/>
      <c r="C66" s="729" t="s">
        <v>1557</v>
      </c>
      <c r="D66" s="723"/>
      <c r="E66" s="724"/>
      <c r="F66" s="725"/>
      <c r="G66" s="723"/>
    </row>
    <row r="67" spans="1:7" ht="16.5">
      <c r="A67" s="723"/>
      <c r="B67" s="730"/>
      <c r="C67" s="729"/>
      <c r="D67" s="723"/>
      <c r="E67" s="724"/>
      <c r="F67" s="725"/>
      <c r="G67" s="723"/>
    </row>
    <row r="68" spans="1:7" ht="16.5">
      <c r="A68" s="723"/>
      <c r="B68" s="723"/>
      <c r="C68" s="736" t="s">
        <v>3131</v>
      </c>
      <c r="D68" s="723"/>
      <c r="E68" s="723"/>
      <c r="F68" s="732">
        <f>SUM(F59:F67)</f>
        <v>12817.52</v>
      </c>
      <c r="G68" s="733" t="s">
        <v>729</v>
      </c>
    </row>
    <row r="69" spans="1:7" ht="16.5">
      <c r="A69" s="723"/>
      <c r="B69" s="723"/>
      <c r="C69" s="736"/>
      <c r="D69" s="723"/>
      <c r="E69" s="723"/>
      <c r="F69" s="719">
        <f>F68/A65</f>
        <v>5168.3500000000004</v>
      </c>
      <c r="G69" s="723" t="s">
        <v>724</v>
      </c>
    </row>
    <row r="70" spans="1:7" ht="16.5">
      <c r="A70" s="723"/>
      <c r="B70" s="723"/>
      <c r="C70" s="736"/>
      <c r="D70" s="723"/>
      <c r="E70" s="723"/>
      <c r="F70" s="723"/>
      <c r="G70" s="723"/>
    </row>
    <row r="71" spans="1:7" ht="16.5">
      <c r="A71" s="725">
        <v>1</v>
      </c>
      <c r="B71" s="728" t="s">
        <v>131</v>
      </c>
      <c r="C71" s="729" t="s">
        <v>3137</v>
      </c>
      <c r="D71" s="725">
        <f>D48</f>
        <v>919.6</v>
      </c>
      <c r="E71" s="729" t="s">
        <v>131</v>
      </c>
      <c r="F71" s="725">
        <f>D71*A71</f>
        <v>919.6</v>
      </c>
      <c r="G71" s="723"/>
    </row>
    <row r="72" spans="1:7" ht="16.5">
      <c r="A72" s="725">
        <v>1</v>
      </c>
      <c r="B72" s="728" t="s">
        <v>131</v>
      </c>
      <c r="C72" s="729" t="s">
        <v>3138</v>
      </c>
      <c r="D72" s="725">
        <f>D49</f>
        <v>679.8</v>
      </c>
      <c r="E72" s="729" t="s">
        <v>131</v>
      </c>
      <c r="F72" s="725">
        <f>D72*A72</f>
        <v>679.8</v>
      </c>
      <c r="G72" s="723"/>
    </row>
    <row r="73" spans="1:7" ht="16.5">
      <c r="A73" s="725">
        <v>0.5</v>
      </c>
      <c r="B73" s="728" t="s">
        <v>131</v>
      </c>
      <c r="C73" s="729" t="s">
        <v>3139</v>
      </c>
      <c r="D73" s="725">
        <f>D50</f>
        <v>972.4</v>
      </c>
      <c r="E73" s="729" t="s">
        <v>131</v>
      </c>
      <c r="F73" s="725">
        <f>D73*A73</f>
        <v>486.2</v>
      </c>
      <c r="G73" s="723"/>
    </row>
    <row r="74" spans="1:7" ht="16.5">
      <c r="A74" s="723"/>
      <c r="B74" s="728" t="s">
        <v>145</v>
      </c>
      <c r="C74" s="729" t="s">
        <v>582</v>
      </c>
      <c r="D74" s="729" t="s">
        <v>85</v>
      </c>
      <c r="E74" s="729" t="s">
        <v>145</v>
      </c>
      <c r="F74" s="725"/>
      <c r="G74" s="723"/>
    </row>
    <row r="75" spans="1:7" ht="16.5">
      <c r="A75" s="723"/>
      <c r="B75" s="730"/>
      <c r="C75" s="723"/>
      <c r="D75" s="723"/>
      <c r="E75" s="738"/>
      <c r="F75" s="739" t="s">
        <v>52</v>
      </c>
      <c r="G75" s="723"/>
    </row>
    <row r="76" spans="1:7" ht="16.5">
      <c r="A76" s="723"/>
      <c r="B76" s="730"/>
      <c r="C76" s="729" t="s">
        <v>3140</v>
      </c>
      <c r="D76" s="723"/>
      <c r="E76" s="738"/>
      <c r="F76" s="732">
        <f>SUM(F71:F75)</f>
        <v>2085.6</v>
      </c>
      <c r="G76" s="723"/>
    </row>
    <row r="77" spans="1:7" ht="16.5">
      <c r="A77" s="723"/>
      <c r="B77" s="730"/>
      <c r="C77" s="723"/>
      <c r="D77" s="723"/>
      <c r="E77" s="738"/>
      <c r="F77" s="739" t="s">
        <v>52</v>
      </c>
      <c r="G77" s="723"/>
    </row>
    <row r="78" spans="1:7" ht="16.5">
      <c r="A78" s="723"/>
      <c r="B78" s="730"/>
      <c r="C78" s="729"/>
      <c r="D78" s="723"/>
      <c r="E78" s="738"/>
      <c r="F78" s="725"/>
      <c r="G78" s="723"/>
    </row>
    <row r="79" spans="1:7" ht="16.5">
      <c r="A79" s="723"/>
      <c r="B79" s="723"/>
      <c r="C79" s="723"/>
      <c r="D79" s="723"/>
      <c r="E79" s="723"/>
      <c r="F79" s="723"/>
      <c r="G79" s="723"/>
    </row>
    <row r="80" spans="1:7" ht="16.5">
      <c r="A80" s="723"/>
      <c r="B80" s="1780" t="s">
        <v>3145</v>
      </c>
      <c r="C80" s="1780"/>
      <c r="D80" s="1780"/>
      <c r="E80" s="722"/>
      <c r="F80" s="722"/>
      <c r="G80" s="723"/>
    </row>
    <row r="81" spans="1:7" ht="16.5">
      <c r="A81" s="727"/>
      <c r="B81" s="728"/>
      <c r="C81" s="735" t="s">
        <v>3146</v>
      </c>
      <c r="D81" s="725"/>
      <c r="E81" s="728"/>
      <c r="F81" s="725"/>
      <c r="G81" s="723"/>
    </row>
    <row r="82" spans="1:7" ht="16.5">
      <c r="A82" s="727"/>
      <c r="B82" s="728"/>
      <c r="C82" s="729"/>
      <c r="D82" s="725"/>
      <c r="E82" s="728"/>
      <c r="F82" s="725"/>
      <c r="G82" s="723"/>
    </row>
    <row r="83" spans="1:7" ht="16.5">
      <c r="A83" s="727"/>
      <c r="B83" s="728"/>
      <c r="C83" s="729"/>
      <c r="D83" s="725"/>
      <c r="E83" s="728"/>
      <c r="F83" s="725"/>
      <c r="G83" s="723"/>
    </row>
    <row r="84" spans="1:7" ht="16.5">
      <c r="A84" s="727">
        <v>4.88</v>
      </c>
      <c r="B84" s="728" t="s">
        <v>476</v>
      </c>
      <c r="C84" s="729" t="s">
        <v>3147</v>
      </c>
      <c r="D84" s="725">
        <f>D59</f>
        <v>325</v>
      </c>
      <c r="E84" s="728" t="s">
        <v>476</v>
      </c>
      <c r="F84" s="725">
        <f>D84*A84</f>
        <v>1586</v>
      </c>
      <c r="G84" s="723"/>
    </row>
    <row r="85" spans="1:7" ht="16.5">
      <c r="A85" s="727">
        <v>7.76</v>
      </c>
      <c r="B85" s="728" t="s">
        <v>476</v>
      </c>
      <c r="C85" s="729" t="s">
        <v>3148</v>
      </c>
      <c r="D85" s="725">
        <f>D84</f>
        <v>325</v>
      </c>
      <c r="E85" s="728" t="s">
        <v>476</v>
      </c>
      <c r="F85" s="725">
        <f t="shared" ref="F85:F93" si="5">D85*A85</f>
        <v>2522</v>
      </c>
      <c r="G85" s="723"/>
    </row>
    <row r="86" spans="1:7" ht="16.5">
      <c r="A86" s="727">
        <v>3.03</v>
      </c>
      <c r="B86" s="728" t="s">
        <v>476</v>
      </c>
      <c r="C86" s="729" t="s">
        <v>3149</v>
      </c>
      <c r="D86" s="725">
        <f>D85</f>
        <v>325</v>
      </c>
      <c r="E86" s="728" t="s">
        <v>476</v>
      </c>
      <c r="F86" s="725">
        <f t="shared" si="5"/>
        <v>984.75</v>
      </c>
      <c r="G86" s="723"/>
    </row>
    <row r="87" spans="1:7" ht="16.5">
      <c r="A87" s="727">
        <v>1.45</v>
      </c>
      <c r="B87" s="728" t="s">
        <v>476</v>
      </c>
      <c r="C87" s="729" t="s">
        <v>3143</v>
      </c>
      <c r="D87" s="725">
        <f>D86</f>
        <v>325</v>
      </c>
      <c r="E87" s="728" t="s">
        <v>476</v>
      </c>
      <c r="F87" s="725">
        <f t="shared" si="5"/>
        <v>471.25</v>
      </c>
      <c r="G87" s="723"/>
    </row>
    <row r="88" spans="1:7" ht="16.5">
      <c r="A88" s="727">
        <v>2.4300000000000002</v>
      </c>
      <c r="B88" s="728" t="s">
        <v>468</v>
      </c>
      <c r="C88" s="729" t="s">
        <v>3126</v>
      </c>
      <c r="D88" s="725">
        <v>209.9</v>
      </c>
      <c r="E88" s="728" t="s">
        <v>468</v>
      </c>
      <c r="F88" s="725">
        <f t="shared" si="5"/>
        <v>510.06</v>
      </c>
      <c r="G88" s="723"/>
    </row>
    <row r="89" spans="1:7" ht="16.5">
      <c r="A89" s="727">
        <v>11.7</v>
      </c>
      <c r="B89" s="728" t="s">
        <v>13</v>
      </c>
      <c r="C89" s="729" t="s">
        <v>3125</v>
      </c>
      <c r="D89" s="725">
        <f>D61</f>
        <v>27.1</v>
      </c>
      <c r="E89" s="728" t="s">
        <v>13</v>
      </c>
      <c r="F89" s="725">
        <f t="shared" si="5"/>
        <v>317.07</v>
      </c>
      <c r="G89" s="723"/>
    </row>
    <row r="90" spans="1:7" ht="16.5">
      <c r="A90" s="727">
        <v>3</v>
      </c>
      <c r="B90" s="728" t="s">
        <v>3135</v>
      </c>
      <c r="C90" s="729" t="s">
        <v>3150</v>
      </c>
      <c r="D90" s="725">
        <v>175</v>
      </c>
      <c r="E90" s="728" t="s">
        <v>237</v>
      </c>
      <c r="F90" s="725">
        <f t="shared" si="5"/>
        <v>525</v>
      </c>
      <c r="G90" s="723"/>
    </row>
    <row r="91" spans="1:7" ht="16.5">
      <c r="A91" s="727">
        <v>3</v>
      </c>
      <c r="B91" s="728" t="s">
        <v>237</v>
      </c>
      <c r="C91" s="729" t="s">
        <v>3127</v>
      </c>
      <c r="D91" s="725">
        <v>60</v>
      </c>
      <c r="E91" s="728" t="s">
        <v>237</v>
      </c>
      <c r="F91" s="725">
        <f t="shared" si="5"/>
        <v>180</v>
      </c>
      <c r="G91" s="723"/>
    </row>
    <row r="92" spans="1:7" ht="16.5">
      <c r="A92" s="727">
        <v>4</v>
      </c>
      <c r="B92" s="728" t="s">
        <v>237</v>
      </c>
      <c r="C92" s="729" t="s">
        <v>3129</v>
      </c>
      <c r="D92" s="725">
        <v>15</v>
      </c>
      <c r="E92" s="728" t="s">
        <v>237</v>
      </c>
      <c r="F92" s="725">
        <f t="shared" si="5"/>
        <v>60</v>
      </c>
      <c r="G92" s="723"/>
    </row>
    <row r="93" spans="1:7" ht="16.5">
      <c r="A93" s="727">
        <v>2.4300000000000002</v>
      </c>
      <c r="B93" s="728" t="s">
        <v>724</v>
      </c>
      <c r="C93" s="729" t="s">
        <v>3130</v>
      </c>
      <c r="D93" s="723">
        <f>D65</f>
        <v>2085.6</v>
      </c>
      <c r="E93" s="728" t="s">
        <v>724</v>
      </c>
      <c r="F93" s="725">
        <f t="shared" si="5"/>
        <v>5068.01</v>
      </c>
      <c r="G93" s="723"/>
    </row>
    <row r="94" spans="1:7" ht="16.5">
      <c r="A94" s="727"/>
      <c r="B94" s="728"/>
      <c r="C94" s="729" t="s">
        <v>1557</v>
      </c>
      <c r="D94" s="723"/>
      <c r="E94" s="724"/>
      <c r="F94" s="725">
        <v>11.26</v>
      </c>
      <c r="G94" s="723">
        <v>0</v>
      </c>
    </row>
    <row r="95" spans="1:7" ht="16.5">
      <c r="A95" s="723"/>
      <c r="B95" s="730"/>
      <c r="C95" s="729"/>
      <c r="D95" s="723"/>
      <c r="E95" s="724"/>
      <c r="F95" s="725"/>
      <c r="G95" s="723"/>
    </row>
    <row r="96" spans="1:7" ht="16.5">
      <c r="A96" s="723"/>
      <c r="B96" s="723"/>
      <c r="C96" s="736" t="s">
        <v>3131</v>
      </c>
      <c r="D96" s="723"/>
      <c r="E96" s="723"/>
      <c r="F96" s="732">
        <f>SUM(F84:F95)</f>
        <v>12235.4</v>
      </c>
      <c r="G96" s="733" t="s">
        <v>729</v>
      </c>
    </row>
    <row r="97" spans="1:7" ht="16.5">
      <c r="A97" s="723"/>
      <c r="B97" s="723"/>
      <c r="C97" s="736"/>
      <c r="D97" s="723"/>
      <c r="E97" s="723"/>
      <c r="F97" s="719">
        <f>F96/A93</f>
        <v>5035.1400000000003</v>
      </c>
      <c r="G97" s="723" t="s">
        <v>724</v>
      </c>
    </row>
    <row r="98" spans="1:7" ht="16.5">
      <c r="A98" s="723"/>
      <c r="B98" s="723"/>
      <c r="C98" s="736"/>
      <c r="D98" s="723"/>
      <c r="E98" s="723"/>
      <c r="F98" s="723"/>
      <c r="G98" s="723"/>
    </row>
    <row r="99" spans="1:7" ht="16.5">
      <c r="A99" s="725">
        <v>1</v>
      </c>
      <c r="B99" s="728" t="s">
        <v>131</v>
      </c>
      <c r="C99" s="729" t="s">
        <v>3137</v>
      </c>
      <c r="D99" s="725">
        <f>D71</f>
        <v>919.6</v>
      </c>
      <c r="E99" s="729" t="s">
        <v>131</v>
      </c>
      <c r="F99" s="725">
        <f>D99*A99</f>
        <v>919.6</v>
      </c>
      <c r="G99" s="723"/>
    </row>
    <row r="100" spans="1:7" ht="16.5">
      <c r="A100" s="725">
        <v>1</v>
      </c>
      <c r="B100" s="728" t="s">
        <v>131</v>
      </c>
      <c r="C100" s="729" t="s">
        <v>3138</v>
      </c>
      <c r="D100" s="725">
        <f>D72</f>
        <v>679.8</v>
      </c>
      <c r="E100" s="729" t="s">
        <v>131</v>
      </c>
      <c r="F100" s="725">
        <f>D100*A100</f>
        <v>679.8</v>
      </c>
      <c r="G100" s="723"/>
    </row>
    <row r="101" spans="1:7" ht="16.5">
      <c r="A101" s="725">
        <v>0.5</v>
      </c>
      <c r="B101" s="728" t="s">
        <v>131</v>
      </c>
      <c r="C101" s="729" t="s">
        <v>3139</v>
      </c>
      <c r="D101" s="725">
        <f>D73</f>
        <v>972.4</v>
      </c>
      <c r="E101" s="729" t="s">
        <v>131</v>
      </c>
      <c r="F101" s="725">
        <f>D101*A101</f>
        <v>486.2</v>
      </c>
      <c r="G101" s="723"/>
    </row>
    <row r="102" spans="1:7" ht="16.5">
      <c r="A102" s="723"/>
      <c r="B102" s="728"/>
      <c r="C102" s="729"/>
      <c r="D102" s="725"/>
      <c r="E102" s="729"/>
      <c r="F102" s="725"/>
      <c r="G102" s="723"/>
    </row>
    <row r="103" spans="1:7" ht="16.5">
      <c r="A103" s="723"/>
      <c r="B103" s="730"/>
      <c r="C103" s="729" t="s">
        <v>3140</v>
      </c>
      <c r="D103" s="723"/>
      <c r="E103" s="738"/>
      <c r="F103" s="732">
        <f>SUM(F99:F102)</f>
        <v>2085.6</v>
      </c>
      <c r="G103" s="723"/>
    </row>
    <row r="104" spans="1:7" ht="16.5">
      <c r="A104" s="723"/>
      <c r="B104" s="730"/>
      <c r="C104" s="723"/>
      <c r="D104" s="723"/>
      <c r="E104" s="738"/>
      <c r="F104" s="739" t="s">
        <v>52</v>
      </c>
      <c r="G104" s="723"/>
    </row>
    <row r="105" spans="1:7" ht="16.5">
      <c r="A105" s="723"/>
      <c r="B105" s="723"/>
      <c r="C105" s="723"/>
      <c r="D105" s="723"/>
      <c r="E105" s="723"/>
      <c r="F105" s="723"/>
      <c r="G105" s="723"/>
    </row>
    <row r="106" spans="1:7" ht="16.5">
      <c r="A106" s="1780" t="s">
        <v>3151</v>
      </c>
      <c r="B106" s="1780"/>
      <c r="C106" s="1780"/>
      <c r="D106" s="1780"/>
      <c r="E106" s="1780"/>
      <c r="F106" s="1780"/>
      <c r="G106" s="723"/>
    </row>
    <row r="107" spans="1:7" ht="16.5">
      <c r="A107" s="1780"/>
      <c r="B107" s="1780"/>
      <c r="C107" s="1780"/>
      <c r="D107" s="1780"/>
      <c r="E107" s="1780"/>
      <c r="F107" s="1780"/>
      <c r="G107" s="723"/>
    </row>
    <row r="108" spans="1:7" ht="16.5">
      <c r="A108" s="727"/>
      <c r="B108" s="728"/>
      <c r="C108" s="729"/>
      <c r="D108" s="725"/>
      <c r="E108" s="728"/>
      <c r="F108" s="725"/>
      <c r="G108" s="723"/>
    </row>
    <row r="109" spans="1:7" ht="16.5">
      <c r="A109" s="727">
        <v>10.33</v>
      </c>
      <c r="B109" s="728" t="s">
        <v>476</v>
      </c>
      <c r="C109" s="729" t="s">
        <v>3143</v>
      </c>
      <c r="D109" s="725">
        <f>D87</f>
        <v>325</v>
      </c>
      <c r="E109" s="728" t="s">
        <v>476</v>
      </c>
      <c r="F109" s="725">
        <f>D109*A109</f>
        <v>3357.25</v>
      </c>
      <c r="G109" s="723"/>
    </row>
    <row r="110" spans="1:7" ht="16.5">
      <c r="A110" s="727">
        <v>1.42</v>
      </c>
      <c r="B110" s="728" t="s">
        <v>468</v>
      </c>
      <c r="C110" s="729" t="s">
        <v>3126</v>
      </c>
      <c r="D110" s="725">
        <v>208.8</v>
      </c>
      <c r="E110" s="728" t="s">
        <v>468</v>
      </c>
      <c r="F110" s="725">
        <f t="shared" ref="F110:F115" si="6">D110*A110</f>
        <v>296.5</v>
      </c>
      <c r="G110" s="723"/>
    </row>
    <row r="111" spans="1:7" ht="16.5">
      <c r="A111" s="727">
        <v>6.9</v>
      </c>
      <c r="B111" s="728" t="s">
        <v>13</v>
      </c>
      <c r="C111" s="729" t="s">
        <v>3125</v>
      </c>
      <c r="D111" s="725">
        <f>D89</f>
        <v>27.1</v>
      </c>
      <c r="E111" s="728" t="s">
        <v>13</v>
      </c>
      <c r="F111" s="725">
        <f t="shared" si="6"/>
        <v>186.99</v>
      </c>
      <c r="G111" s="723"/>
    </row>
    <row r="112" spans="1:7" ht="16.5">
      <c r="A112" s="727">
        <v>2</v>
      </c>
      <c r="B112" s="728" t="s">
        <v>3135</v>
      </c>
      <c r="C112" s="729" t="str">
        <f>C36</f>
        <v>Aluminium section</v>
      </c>
      <c r="D112" s="725">
        <v>350</v>
      </c>
      <c r="E112" s="728" t="s">
        <v>237</v>
      </c>
      <c r="F112" s="725">
        <f t="shared" si="6"/>
        <v>700</v>
      </c>
      <c r="G112" s="723"/>
    </row>
    <row r="113" spans="1:8" ht="16.5">
      <c r="A113" s="727">
        <v>2</v>
      </c>
      <c r="B113" s="728" t="s">
        <v>237</v>
      </c>
      <c r="C113" s="729" t="s">
        <v>3127</v>
      </c>
      <c r="D113" s="725">
        <v>48</v>
      </c>
      <c r="E113" s="728" t="s">
        <v>237</v>
      </c>
      <c r="F113" s="725">
        <f t="shared" si="6"/>
        <v>96</v>
      </c>
      <c r="G113" s="723"/>
    </row>
    <row r="114" spans="1:8" ht="16.5">
      <c r="A114" s="727">
        <v>4</v>
      </c>
      <c r="B114" s="728" t="s">
        <v>237</v>
      </c>
      <c r="C114" s="729" t="s">
        <v>3129</v>
      </c>
      <c r="D114" s="725">
        <v>15</v>
      </c>
      <c r="E114" s="728" t="s">
        <v>237</v>
      </c>
      <c r="F114" s="725">
        <f t="shared" si="6"/>
        <v>60</v>
      </c>
      <c r="G114" s="723"/>
    </row>
    <row r="115" spans="1:8" ht="16.5">
      <c r="A115" s="727">
        <v>1.42</v>
      </c>
      <c r="B115" s="728" t="s">
        <v>724</v>
      </c>
      <c r="C115" s="729" t="s">
        <v>3130</v>
      </c>
      <c r="D115" s="723">
        <f>F125</f>
        <v>2085.6</v>
      </c>
      <c r="E115" s="728" t="s">
        <v>724</v>
      </c>
      <c r="F115" s="725">
        <f t="shared" si="6"/>
        <v>2961.55</v>
      </c>
      <c r="G115" s="723"/>
    </row>
    <row r="116" spans="1:8" ht="16.5">
      <c r="A116" s="727"/>
      <c r="B116" s="728"/>
      <c r="C116" s="729" t="s">
        <v>1557</v>
      </c>
      <c r="D116" s="723"/>
      <c r="E116" s="724"/>
      <c r="F116" s="725">
        <v>3.06</v>
      </c>
      <c r="G116" s="723"/>
    </row>
    <row r="117" spans="1:8" ht="16.5">
      <c r="A117" s="727"/>
      <c r="B117" s="728"/>
      <c r="C117" s="729"/>
      <c r="D117" s="723"/>
      <c r="E117" s="728"/>
      <c r="F117" s="725"/>
      <c r="G117" s="723"/>
    </row>
    <row r="118" spans="1:8" ht="16.5">
      <c r="A118" s="727"/>
      <c r="B118" s="728"/>
      <c r="C118" s="731" t="s">
        <v>3152</v>
      </c>
      <c r="D118" s="733"/>
      <c r="E118" s="722"/>
      <c r="F118" s="732">
        <f>SUM(F109:F117)</f>
        <v>7661.35</v>
      </c>
      <c r="G118" s="733" t="s">
        <v>729</v>
      </c>
      <c r="H118">
        <f>F118/A115</f>
        <v>5395.32</v>
      </c>
    </row>
    <row r="119" spans="1:8" ht="16.5">
      <c r="A119" s="723"/>
      <c r="B119" s="723"/>
      <c r="C119" s="736"/>
      <c r="D119" s="723"/>
      <c r="E119" s="723"/>
      <c r="F119" s="723"/>
      <c r="G119" s="723"/>
    </row>
    <row r="120" spans="1:8" ht="16.5">
      <c r="A120" s="725">
        <v>1</v>
      </c>
      <c r="B120" s="728" t="s">
        <v>131</v>
      </c>
      <c r="C120" s="729" t="s">
        <v>3137</v>
      </c>
      <c r="D120" s="725">
        <f>D99</f>
        <v>919.6</v>
      </c>
      <c r="E120" s="729" t="s">
        <v>131</v>
      </c>
      <c r="F120" s="725">
        <f>D120*A120</f>
        <v>919.6</v>
      </c>
      <c r="G120" s="723"/>
    </row>
    <row r="121" spans="1:8" ht="16.5">
      <c r="A121" s="725">
        <v>1</v>
      </c>
      <c r="B121" s="728" t="s">
        <v>131</v>
      </c>
      <c r="C121" s="729" t="s">
        <v>3138</v>
      </c>
      <c r="D121" s="725">
        <f>D100</f>
        <v>679.8</v>
      </c>
      <c r="E121" s="729" t="s">
        <v>131</v>
      </c>
      <c r="F121" s="725">
        <f>D121*A121</f>
        <v>679.8</v>
      </c>
      <c r="G121" s="723"/>
    </row>
    <row r="122" spans="1:8" ht="16.5">
      <c r="A122" s="725">
        <v>0.5</v>
      </c>
      <c r="B122" s="728" t="s">
        <v>131</v>
      </c>
      <c r="C122" s="729" t="s">
        <v>3139</v>
      </c>
      <c r="D122" s="725">
        <f>D101</f>
        <v>972.4</v>
      </c>
      <c r="E122" s="729" t="s">
        <v>131</v>
      </c>
      <c r="F122" s="725">
        <f>D122*A122</f>
        <v>486.2</v>
      </c>
      <c r="G122" s="723"/>
    </row>
    <row r="123" spans="1:8" ht="16.5">
      <c r="A123" s="723"/>
      <c r="B123" s="728"/>
      <c r="C123" s="729"/>
      <c r="D123" s="725"/>
      <c r="E123" s="729"/>
      <c r="F123" s="725"/>
      <c r="G123" s="723"/>
    </row>
    <row r="124" spans="1:8" ht="16.5">
      <c r="A124" s="723"/>
      <c r="B124" s="730"/>
      <c r="C124" s="723"/>
      <c r="D124" s="723"/>
      <c r="E124" s="738"/>
      <c r="F124" s="739" t="s">
        <v>52</v>
      </c>
      <c r="G124" s="723"/>
    </row>
    <row r="125" spans="1:8" ht="16.5">
      <c r="A125" s="723"/>
      <c r="B125" s="730"/>
      <c r="C125" s="729" t="s">
        <v>3140</v>
      </c>
      <c r="D125" s="723"/>
      <c r="E125" s="738"/>
      <c r="F125" s="732">
        <f>SUM(F120:F124)</f>
        <v>2085.6</v>
      </c>
      <c r="G125" s="723"/>
    </row>
    <row r="126" spans="1:8" ht="16.5">
      <c r="A126" s="723"/>
      <c r="B126" s="730"/>
      <c r="C126" s="729"/>
      <c r="D126" s="723"/>
      <c r="E126" s="738"/>
      <c r="F126" s="732"/>
      <c r="G126" s="723"/>
    </row>
    <row r="127" spans="1:8" ht="16.5">
      <c r="A127" s="723"/>
      <c r="B127" s="730"/>
      <c r="C127" s="723"/>
      <c r="D127" s="723"/>
      <c r="E127" s="738"/>
      <c r="F127" s="739" t="s">
        <v>52</v>
      </c>
      <c r="G127" s="723"/>
    </row>
    <row r="128" spans="1:8" ht="16.5">
      <c r="A128" s="723"/>
      <c r="B128" s="1780" t="s">
        <v>3153</v>
      </c>
      <c r="C128" s="1780"/>
      <c r="D128" s="1780"/>
      <c r="E128" s="722"/>
      <c r="F128" s="722"/>
      <c r="G128" s="723"/>
    </row>
    <row r="129" spans="1:7" ht="16.5">
      <c r="A129" s="727"/>
      <c r="B129" s="728"/>
      <c r="C129" s="735" t="s">
        <v>3146</v>
      </c>
      <c r="D129" s="725"/>
      <c r="E129" s="728"/>
      <c r="F129" s="725"/>
      <c r="G129" s="723"/>
    </row>
    <row r="130" spans="1:7" ht="16.5">
      <c r="A130" s="727"/>
      <c r="B130" s="728"/>
      <c r="C130" s="729"/>
      <c r="D130" s="725"/>
      <c r="E130" s="728"/>
      <c r="F130" s="725"/>
      <c r="G130" s="723"/>
    </row>
    <row r="131" spans="1:7" ht="16.5">
      <c r="A131" s="727"/>
      <c r="B131" s="728"/>
      <c r="C131" s="729"/>
      <c r="D131" s="725"/>
      <c r="E131" s="728"/>
      <c r="F131" s="725"/>
      <c r="G131" s="723"/>
    </row>
    <row r="132" spans="1:7" ht="16.5">
      <c r="A132" s="727">
        <v>4.42</v>
      </c>
      <c r="B132" s="728" t="s">
        <v>476</v>
      </c>
      <c r="C132" s="729" t="s">
        <v>3147</v>
      </c>
      <c r="D132" s="725">
        <f>D109</f>
        <v>325</v>
      </c>
      <c r="E132" s="728" t="s">
        <v>476</v>
      </c>
      <c r="F132" s="725">
        <f>D132*A132</f>
        <v>1436.5</v>
      </c>
      <c r="G132" s="723"/>
    </row>
    <row r="133" spans="1:7" ht="16.5">
      <c r="A133" s="727">
        <v>7.36</v>
      </c>
      <c r="B133" s="728" t="s">
        <v>476</v>
      </c>
      <c r="C133" s="729" t="s">
        <v>3148</v>
      </c>
      <c r="D133" s="725">
        <f>D132</f>
        <v>325</v>
      </c>
      <c r="E133" s="728" t="s">
        <v>476</v>
      </c>
      <c r="F133" s="725">
        <f t="shared" ref="F133:F141" si="7">D133*A133</f>
        <v>2392</v>
      </c>
      <c r="G133" s="723"/>
    </row>
    <row r="134" spans="1:7" ht="16.5">
      <c r="A134" s="727">
        <v>3.03</v>
      </c>
      <c r="B134" s="728" t="s">
        <v>476</v>
      </c>
      <c r="C134" s="729" t="s">
        <v>3149</v>
      </c>
      <c r="D134" s="725">
        <f>D133</f>
        <v>325</v>
      </c>
      <c r="E134" s="728" t="s">
        <v>476</v>
      </c>
      <c r="F134" s="725">
        <f t="shared" si="7"/>
        <v>984.75</v>
      </c>
      <c r="G134" s="723"/>
    </row>
    <row r="135" spans="1:7" ht="16.5">
      <c r="A135" s="727">
        <v>1.38</v>
      </c>
      <c r="B135" s="728" t="s">
        <v>476</v>
      </c>
      <c r="C135" s="729" t="s">
        <v>3143</v>
      </c>
      <c r="D135" s="725">
        <f>D134</f>
        <v>325</v>
      </c>
      <c r="E135" s="728" t="s">
        <v>476</v>
      </c>
      <c r="F135" s="725">
        <f t="shared" si="7"/>
        <v>448.5</v>
      </c>
      <c r="G135" s="723"/>
    </row>
    <row r="136" spans="1:7" ht="16.5">
      <c r="A136" s="727">
        <v>2.0249999999999999</v>
      </c>
      <c r="B136" s="728" t="s">
        <v>468</v>
      </c>
      <c r="C136" s="729" t="s">
        <v>3154</v>
      </c>
      <c r="D136" s="725">
        <f>D110</f>
        <v>208.8</v>
      </c>
      <c r="E136" s="728" t="s">
        <v>468</v>
      </c>
      <c r="F136" s="725">
        <f t="shared" si="7"/>
        <v>422.82</v>
      </c>
      <c r="G136" s="723"/>
    </row>
    <row r="137" spans="1:7" ht="16.5">
      <c r="A137" s="727">
        <v>11.1</v>
      </c>
      <c r="B137" s="728" t="s">
        <v>13</v>
      </c>
      <c r="C137" s="729" t="s">
        <v>3155</v>
      </c>
      <c r="D137" s="725">
        <f>D111</f>
        <v>27.1</v>
      </c>
      <c r="E137" s="728" t="s">
        <v>13</v>
      </c>
      <c r="F137" s="725">
        <f t="shared" si="7"/>
        <v>300.81</v>
      </c>
      <c r="G137" s="723"/>
    </row>
    <row r="138" spans="1:7" ht="16.5">
      <c r="A138" s="727">
        <v>3</v>
      </c>
      <c r="B138" s="728" t="s">
        <v>3135</v>
      </c>
      <c r="C138" s="729" t="str">
        <f>C62</f>
        <v>10" I Max hinges (304 grade) qtn</v>
      </c>
      <c r="D138" s="725">
        <f>D112</f>
        <v>350</v>
      </c>
      <c r="E138" s="728" t="s">
        <v>237</v>
      </c>
      <c r="F138" s="725">
        <f t="shared" si="7"/>
        <v>1050</v>
      </c>
      <c r="G138" s="723"/>
    </row>
    <row r="139" spans="1:7" ht="16.5">
      <c r="A139" s="727">
        <v>3</v>
      </c>
      <c r="B139" s="728" t="s">
        <v>237</v>
      </c>
      <c r="C139" s="729" t="s">
        <v>3156</v>
      </c>
      <c r="D139" s="725">
        <f>D113</f>
        <v>48</v>
      </c>
      <c r="E139" s="728" t="s">
        <v>237</v>
      </c>
      <c r="F139" s="725">
        <f t="shared" si="7"/>
        <v>144</v>
      </c>
      <c r="G139" s="723"/>
    </row>
    <row r="140" spans="1:7" ht="16.5">
      <c r="A140" s="727">
        <v>4</v>
      </c>
      <c r="B140" s="728" t="s">
        <v>237</v>
      </c>
      <c r="C140" s="729" t="s">
        <v>3157</v>
      </c>
      <c r="D140" s="725">
        <v>15</v>
      </c>
      <c r="E140" s="728" t="s">
        <v>237</v>
      </c>
      <c r="F140" s="725">
        <f t="shared" si="7"/>
        <v>60</v>
      </c>
      <c r="G140" s="723"/>
    </row>
    <row r="141" spans="1:7" ht="16.5">
      <c r="A141" s="727">
        <v>2.0249999999999999</v>
      </c>
      <c r="B141" s="728" t="s">
        <v>724</v>
      </c>
      <c r="C141" s="729" t="s">
        <v>3158</v>
      </c>
      <c r="D141" s="723">
        <f>F152</f>
        <v>2085.6</v>
      </c>
      <c r="E141" s="728" t="s">
        <v>724</v>
      </c>
      <c r="F141" s="725">
        <f t="shared" si="7"/>
        <v>4223.34</v>
      </c>
      <c r="G141" s="723"/>
    </row>
    <row r="142" spans="1:7" ht="16.5">
      <c r="A142" s="727"/>
      <c r="B142" s="728"/>
      <c r="C142" s="729" t="s">
        <v>3159</v>
      </c>
      <c r="D142" s="723"/>
      <c r="E142" s="724"/>
      <c r="F142" s="725"/>
      <c r="G142" s="723"/>
    </row>
    <row r="143" spans="1:7" ht="16.5">
      <c r="A143" s="723"/>
      <c r="B143" s="730"/>
      <c r="C143" s="729"/>
      <c r="D143" s="723"/>
      <c r="E143" s="724"/>
      <c r="F143" s="725"/>
      <c r="G143" s="723"/>
    </row>
    <row r="144" spans="1:7" ht="16.5">
      <c r="A144" s="723"/>
      <c r="B144" s="723"/>
      <c r="C144" s="736" t="s">
        <v>3131</v>
      </c>
      <c r="D144" s="723"/>
      <c r="E144" s="723"/>
      <c r="F144" s="733">
        <f>SUM(F132:F143)</f>
        <v>11462.72</v>
      </c>
      <c r="G144" s="733" t="s">
        <v>729</v>
      </c>
    </row>
    <row r="145" spans="1:7" ht="16.5">
      <c r="A145" s="723"/>
      <c r="B145" s="723"/>
      <c r="C145" s="719" t="s">
        <v>3160</v>
      </c>
      <c r="D145" s="723"/>
      <c r="E145" s="723"/>
      <c r="F145" s="719">
        <f>F144/A136</f>
        <v>5660.6</v>
      </c>
      <c r="G145" s="723" t="s">
        <v>724</v>
      </c>
    </row>
    <row r="146" spans="1:7" ht="16.5">
      <c r="A146" s="723"/>
      <c r="B146" s="723"/>
      <c r="C146" s="736"/>
      <c r="D146" s="723"/>
      <c r="E146" s="723"/>
      <c r="F146" s="723"/>
      <c r="G146" s="723"/>
    </row>
    <row r="147" spans="1:7" ht="16.5">
      <c r="A147" s="725">
        <v>1</v>
      </c>
      <c r="B147" s="728" t="s">
        <v>131</v>
      </c>
      <c r="C147" s="729" t="s">
        <v>3137</v>
      </c>
      <c r="D147" s="725">
        <f>D120</f>
        <v>919.6</v>
      </c>
      <c r="E147" s="729" t="s">
        <v>131</v>
      </c>
      <c r="F147" s="725">
        <f>D147*A147</f>
        <v>919.6</v>
      </c>
      <c r="G147" s="723"/>
    </row>
    <row r="148" spans="1:7" ht="16.5">
      <c r="A148" s="725">
        <v>1</v>
      </c>
      <c r="B148" s="728" t="s">
        <v>131</v>
      </c>
      <c r="C148" s="729" t="s">
        <v>3138</v>
      </c>
      <c r="D148" s="725">
        <f>D121</f>
        <v>679.8</v>
      </c>
      <c r="E148" s="729" t="s">
        <v>131</v>
      </c>
      <c r="F148" s="725">
        <f>D148*A148</f>
        <v>679.8</v>
      </c>
      <c r="G148" s="723"/>
    </row>
    <row r="149" spans="1:7" ht="16.5">
      <c r="A149" s="725">
        <v>0.5</v>
      </c>
      <c r="B149" s="728" t="s">
        <v>131</v>
      </c>
      <c r="C149" s="729" t="s">
        <v>3139</v>
      </c>
      <c r="D149" s="725">
        <f>D122</f>
        <v>972.4</v>
      </c>
      <c r="E149" s="729" t="s">
        <v>131</v>
      </c>
      <c r="F149" s="725">
        <f>D149*A149</f>
        <v>486.2</v>
      </c>
      <c r="G149" s="723"/>
    </row>
    <row r="150" spans="1:7" ht="16.5">
      <c r="A150" s="723"/>
      <c r="B150" s="728"/>
      <c r="C150" s="729"/>
      <c r="D150" s="725"/>
      <c r="E150" s="729"/>
      <c r="F150" s="725"/>
      <c r="G150" s="723"/>
    </row>
    <row r="151" spans="1:7" ht="16.5">
      <c r="A151" s="723"/>
      <c r="B151" s="730"/>
      <c r="C151" s="723"/>
      <c r="D151" s="723"/>
      <c r="E151" s="738"/>
      <c r="F151" s="739" t="s">
        <v>52</v>
      </c>
      <c r="G151" s="723"/>
    </row>
    <row r="152" spans="1:7" ht="16.5">
      <c r="A152" s="723"/>
      <c r="B152" s="730"/>
      <c r="C152" s="729" t="s">
        <v>3140</v>
      </c>
      <c r="D152" s="723"/>
      <c r="E152" s="738"/>
      <c r="F152" s="732">
        <f>SUM(F147:F151)</f>
        <v>2085.6</v>
      </c>
      <c r="G152" s="723"/>
    </row>
    <row r="153" spans="1:7" ht="16.5">
      <c r="A153" s="723"/>
      <c r="B153" s="730"/>
      <c r="C153" s="723"/>
      <c r="D153" s="723"/>
      <c r="E153" s="738"/>
      <c r="F153" s="739" t="s">
        <v>52</v>
      </c>
      <c r="G153" s="723"/>
    </row>
    <row r="155" spans="1:7">
      <c r="A155" s="1780" t="s">
        <v>3161</v>
      </c>
      <c r="B155" s="1780"/>
      <c r="C155" s="1780"/>
      <c r="D155" s="1780"/>
      <c r="E155" s="1780"/>
      <c r="F155" s="1780"/>
    </row>
    <row r="156" spans="1:7">
      <c r="A156" s="1780"/>
      <c r="B156" s="1780"/>
      <c r="C156" s="1780"/>
      <c r="D156" s="1780"/>
      <c r="E156" s="1780"/>
      <c r="F156" s="1780"/>
    </row>
    <row r="157" spans="1:7" ht="16.5">
      <c r="A157" s="727"/>
      <c r="B157" s="728"/>
      <c r="C157" s="729"/>
      <c r="D157" s="725"/>
      <c r="E157" s="728"/>
      <c r="F157" s="725"/>
    </row>
    <row r="158" spans="1:7" ht="16.5">
      <c r="A158" s="727">
        <v>6.56</v>
      </c>
      <c r="B158" s="728" t="s">
        <v>476</v>
      </c>
      <c r="C158" s="729" t="s">
        <v>3143</v>
      </c>
      <c r="D158" s="725">
        <f>D135</f>
        <v>325</v>
      </c>
      <c r="E158" s="728" t="s">
        <v>476</v>
      </c>
      <c r="F158" s="725">
        <f>D158*A158</f>
        <v>2132</v>
      </c>
    </row>
    <row r="159" spans="1:7" ht="16.5">
      <c r="A159" s="727">
        <v>1.0129999999999999</v>
      </c>
      <c r="B159" s="728" t="s">
        <v>468</v>
      </c>
      <c r="C159" s="729" t="s">
        <v>3126</v>
      </c>
      <c r="D159" s="725">
        <f>D136</f>
        <v>208.8</v>
      </c>
      <c r="E159" s="728" t="s">
        <v>468</v>
      </c>
      <c r="F159" s="725">
        <f t="shared" ref="F159:F164" si="8">D159*A159</f>
        <v>211.51</v>
      </c>
    </row>
    <row r="160" spans="1:7" ht="16.5">
      <c r="A160" s="727">
        <v>4.2</v>
      </c>
      <c r="B160" s="728" t="s">
        <v>13</v>
      </c>
      <c r="C160" s="729" t="s">
        <v>3125</v>
      </c>
      <c r="D160" s="725">
        <f>D137</f>
        <v>27.1</v>
      </c>
      <c r="E160" s="728" t="s">
        <v>13</v>
      </c>
      <c r="F160" s="725">
        <f t="shared" si="8"/>
        <v>113.82</v>
      </c>
    </row>
    <row r="161" spans="1:7" ht="16.5">
      <c r="A161" s="727">
        <v>1</v>
      </c>
      <c r="B161" s="728" t="s">
        <v>3135</v>
      </c>
      <c r="C161" s="729" t="str">
        <f>C138</f>
        <v>10" I Max hinges (304 grade) qtn</v>
      </c>
      <c r="D161" s="725">
        <f>D138</f>
        <v>350</v>
      </c>
      <c r="E161" s="728" t="s">
        <v>237</v>
      </c>
      <c r="F161" s="725">
        <f t="shared" si="8"/>
        <v>350</v>
      </c>
    </row>
    <row r="162" spans="1:7" ht="16.5">
      <c r="A162" s="727">
        <v>1</v>
      </c>
      <c r="B162" s="728" t="s">
        <v>237</v>
      </c>
      <c r="C162" s="729" t="s">
        <v>3127</v>
      </c>
      <c r="D162" s="725">
        <f>D139</f>
        <v>48</v>
      </c>
      <c r="E162" s="728" t="s">
        <v>237</v>
      </c>
      <c r="F162" s="725">
        <f t="shared" si="8"/>
        <v>48</v>
      </c>
    </row>
    <row r="163" spans="1:7" ht="16.5">
      <c r="A163" s="727">
        <v>4</v>
      </c>
      <c r="B163" s="728" t="s">
        <v>237</v>
      </c>
      <c r="C163" s="729" t="s">
        <v>3129</v>
      </c>
      <c r="D163" s="725">
        <v>15</v>
      </c>
      <c r="E163" s="728" t="s">
        <v>237</v>
      </c>
      <c r="F163" s="725">
        <f t="shared" si="8"/>
        <v>60</v>
      </c>
    </row>
    <row r="164" spans="1:7" ht="16.5">
      <c r="A164" s="727">
        <v>1.0129999999999999</v>
      </c>
      <c r="B164" s="728" t="s">
        <v>724</v>
      </c>
      <c r="C164" s="729" t="s">
        <v>3130</v>
      </c>
      <c r="D164" s="723">
        <f>D141</f>
        <v>2085.6</v>
      </c>
      <c r="E164" s="728" t="s">
        <v>724</v>
      </c>
      <c r="F164" s="725">
        <f t="shared" si="8"/>
        <v>2112.71</v>
      </c>
    </row>
    <row r="165" spans="1:7" ht="16.5">
      <c r="A165" s="727"/>
      <c r="B165" s="728"/>
      <c r="C165" s="729" t="s">
        <v>1557</v>
      </c>
      <c r="D165" s="723"/>
      <c r="E165" s="724"/>
      <c r="F165" s="725"/>
    </row>
    <row r="166" spans="1:7" ht="23.25" customHeight="1">
      <c r="A166" s="727"/>
      <c r="B166" s="728"/>
      <c r="C166" s="731" t="s">
        <v>3152</v>
      </c>
      <c r="D166" s="733"/>
      <c r="E166" s="722"/>
      <c r="F166" s="732">
        <f>SUM(F158:F165)</f>
        <v>5028.04</v>
      </c>
    </row>
    <row r="167" spans="1:7" ht="13.5" customHeight="1">
      <c r="A167" s="727"/>
      <c r="B167" s="728"/>
      <c r="C167" s="719" t="s">
        <v>3162</v>
      </c>
      <c r="D167" s="723"/>
      <c r="E167" s="723"/>
      <c r="F167" s="719">
        <f>F166/A164</f>
        <v>4963.51</v>
      </c>
      <c r="G167" s="723" t="s">
        <v>724</v>
      </c>
    </row>
    <row r="168" spans="1:7" ht="16.5">
      <c r="A168" s="723"/>
      <c r="B168" s="723"/>
      <c r="C168" s="736"/>
      <c r="D168" s="723"/>
      <c r="E168" s="723"/>
      <c r="F168" s="723"/>
    </row>
    <row r="169" spans="1:7" ht="16.5">
      <c r="A169" s="725">
        <v>1</v>
      </c>
      <c r="B169" s="728" t="s">
        <v>131</v>
      </c>
      <c r="C169" s="729" t="s">
        <v>3137</v>
      </c>
      <c r="D169" s="725">
        <f>D147</f>
        <v>919.6</v>
      </c>
      <c r="E169" s="729" t="s">
        <v>131</v>
      </c>
      <c r="F169" s="725">
        <f>D169*A169</f>
        <v>919.6</v>
      </c>
    </row>
    <row r="170" spans="1:7" ht="16.5">
      <c r="A170" s="725">
        <v>1</v>
      </c>
      <c r="B170" s="728" t="s">
        <v>131</v>
      </c>
      <c r="C170" s="729" t="s">
        <v>3138</v>
      </c>
      <c r="D170" s="725">
        <f>D148</f>
        <v>679.8</v>
      </c>
      <c r="E170" s="729" t="s">
        <v>131</v>
      </c>
      <c r="F170" s="725">
        <f>D170*A170</f>
        <v>679.8</v>
      </c>
    </row>
    <row r="171" spans="1:7" ht="16.5">
      <c r="A171" s="725">
        <v>0.5</v>
      </c>
      <c r="B171" s="728" t="s">
        <v>131</v>
      </c>
      <c r="C171" s="729" t="s">
        <v>3139</v>
      </c>
      <c r="D171" s="725">
        <f>D149</f>
        <v>972.4</v>
      </c>
      <c r="E171" s="729" t="s">
        <v>131</v>
      </c>
      <c r="F171" s="725">
        <f>D171*A171</f>
        <v>486.2</v>
      </c>
    </row>
    <row r="172" spans="1:7" ht="35.25" hidden="1" customHeight="1">
      <c r="A172" s="723"/>
      <c r="B172" s="728"/>
      <c r="C172" s="729"/>
      <c r="D172" s="725"/>
      <c r="E172" s="729"/>
      <c r="F172" s="725"/>
    </row>
    <row r="173" spans="1:7" ht="15.75" hidden="1" customHeight="1">
      <c r="A173" s="723"/>
      <c r="B173" s="730"/>
      <c r="C173" s="723"/>
      <c r="D173" s="723"/>
      <c r="E173" s="738"/>
      <c r="F173" s="739" t="s">
        <v>52</v>
      </c>
    </row>
    <row r="174" spans="1:7" ht="15.75" hidden="1" customHeight="1">
      <c r="A174" s="723"/>
      <c r="B174" s="730"/>
      <c r="C174" s="729" t="s">
        <v>3140</v>
      </c>
      <c r="D174" s="723"/>
      <c r="E174" s="738"/>
      <c r="F174" s="732">
        <f>SUM(F169:F173)</f>
        <v>2085.6</v>
      </c>
    </row>
    <row r="175" spans="1:7" ht="15.75" hidden="1" customHeight="1">
      <c r="A175" s="723"/>
      <c r="B175" s="730"/>
      <c r="C175" s="723"/>
      <c r="D175" s="723"/>
      <c r="E175" s="738"/>
      <c r="F175" s="739" t="s">
        <v>52</v>
      </c>
    </row>
    <row r="176" spans="1:7">
      <c r="F176" s="719">
        <f>SUM(F174)</f>
        <v>2085.6</v>
      </c>
    </row>
    <row r="178" spans="1:7" ht="19.5">
      <c r="B178" s="721"/>
      <c r="C178" s="737"/>
      <c r="D178" s="1784"/>
      <c r="E178" s="1784"/>
      <c r="F178" s="1784"/>
    </row>
    <row r="179" spans="1:7">
      <c r="A179" s="741"/>
      <c r="B179" s="742"/>
      <c r="C179" s="743"/>
      <c r="D179" s="744"/>
      <c r="E179" s="742"/>
      <c r="F179" s="744"/>
    </row>
    <row r="180" spans="1:7">
      <c r="A180" s="745"/>
      <c r="B180" s="746" t="s">
        <v>111</v>
      </c>
      <c r="C180" s="747" t="s">
        <v>3163</v>
      </c>
      <c r="D180" s="748"/>
      <c r="E180" s="749"/>
      <c r="F180" s="748"/>
      <c r="G180" s="740"/>
    </row>
    <row r="181" spans="1:7">
      <c r="A181" s="748"/>
      <c r="B181" s="750"/>
      <c r="C181" s="747" t="s">
        <v>3164</v>
      </c>
      <c r="D181" s="748"/>
      <c r="E181" s="749"/>
      <c r="F181" s="748"/>
      <c r="G181" s="740"/>
    </row>
    <row r="182" spans="1:7" ht="18">
      <c r="A182" s="748"/>
      <c r="B182" s="750"/>
      <c r="C182" s="751" t="s">
        <v>3165</v>
      </c>
      <c r="D182" s="748"/>
      <c r="E182" s="749"/>
      <c r="F182" s="748"/>
      <c r="G182" s="740"/>
    </row>
    <row r="183" spans="1:7">
      <c r="A183" s="748"/>
      <c r="B183" s="750"/>
      <c r="C183" s="752" t="s">
        <v>52</v>
      </c>
      <c r="D183" s="748"/>
      <c r="E183" s="749"/>
      <c r="F183" s="748"/>
      <c r="G183" s="740"/>
    </row>
    <row r="184" spans="1:7">
      <c r="A184" s="748"/>
      <c r="B184" s="750"/>
      <c r="C184" s="753" t="s">
        <v>3166</v>
      </c>
      <c r="D184" s="754"/>
      <c r="E184" s="755"/>
      <c r="F184" s="748"/>
      <c r="G184" s="740"/>
    </row>
    <row r="185" spans="1:7">
      <c r="A185" s="748"/>
      <c r="B185" s="750"/>
      <c r="C185" s="747" t="s">
        <v>3167</v>
      </c>
      <c r="D185" s="754"/>
      <c r="E185" s="755"/>
      <c r="F185" s="748"/>
      <c r="G185" s="740"/>
    </row>
    <row r="186" spans="1:7">
      <c r="A186" s="748"/>
      <c r="B186" s="750"/>
      <c r="C186" s="747" t="s">
        <v>3168</v>
      </c>
      <c r="G186" s="740"/>
    </row>
    <row r="187" spans="1:7">
      <c r="A187" s="748"/>
      <c r="B187" s="750"/>
      <c r="C187" s="747" t="s">
        <v>3169</v>
      </c>
      <c r="D187" s="754" t="s">
        <v>89</v>
      </c>
      <c r="E187" s="756">
        <f>2*2*3*0.15*0.15</f>
        <v>0.27</v>
      </c>
      <c r="F187" s="748" t="s">
        <v>5</v>
      </c>
      <c r="G187" s="740"/>
    </row>
    <row r="188" spans="1:7" ht="39" customHeight="1">
      <c r="A188" s="748"/>
      <c r="B188" s="750"/>
      <c r="C188" s="747" t="s">
        <v>3170</v>
      </c>
      <c r="D188" s="754" t="s">
        <v>89</v>
      </c>
      <c r="E188" s="756">
        <f>4*2*0.15*0.15*2.4</f>
        <v>0.432</v>
      </c>
      <c r="F188" s="748" t="s">
        <v>5</v>
      </c>
      <c r="G188" s="740"/>
    </row>
    <row r="189" spans="1:7" ht="22.5" customHeight="1">
      <c r="A189" s="748"/>
      <c r="B189" s="750"/>
      <c r="C189" s="747"/>
      <c r="D189" s="754"/>
      <c r="E189" s="752" t="s">
        <v>52</v>
      </c>
      <c r="F189" s="757"/>
      <c r="G189" s="740"/>
    </row>
    <row r="190" spans="1:7" ht="16.5" customHeight="1">
      <c r="A190" s="748"/>
      <c r="B190" s="750"/>
      <c r="C190" s="748"/>
      <c r="D190" s="748"/>
      <c r="E190" s="758">
        <f>SUM(E187:E189)</f>
        <v>0.70199999999999996</v>
      </c>
      <c r="F190" s="719" t="s">
        <v>5</v>
      </c>
      <c r="G190" s="740"/>
    </row>
    <row r="191" spans="1:7" ht="16.5" customHeight="1">
      <c r="A191" s="748"/>
      <c r="B191" s="750"/>
      <c r="C191" s="747" t="s">
        <v>3171</v>
      </c>
      <c r="D191" s="748"/>
      <c r="E191" s="759"/>
      <c r="F191" s="760"/>
      <c r="G191" s="740"/>
    </row>
    <row r="192" spans="1:7" ht="27.75" customHeight="1">
      <c r="A192" s="748"/>
      <c r="B192" s="750"/>
      <c r="C192" s="747" t="s">
        <v>3172</v>
      </c>
      <c r="D192" s="748"/>
      <c r="E192" s="761"/>
      <c r="F192" s="760"/>
      <c r="G192" s="740"/>
    </row>
    <row r="193" spans="1:8" ht="14.25" customHeight="1">
      <c r="A193" s="748"/>
      <c r="B193" s="750"/>
      <c r="C193" s="747"/>
      <c r="D193" s="748"/>
      <c r="E193" s="761"/>
      <c r="F193" s="760"/>
      <c r="G193" s="740"/>
    </row>
    <row r="194" spans="1:8" ht="39" customHeight="1">
      <c r="A194" s="762">
        <f>D197</f>
        <v>0.1208</v>
      </c>
      <c r="B194" s="750" t="s">
        <v>132</v>
      </c>
      <c r="C194" s="2" t="s">
        <v>3173</v>
      </c>
      <c r="D194" s="763">
        <f>3*1*1.8*0.15*0.05</f>
        <v>4.0500000000000001E-2</v>
      </c>
      <c r="E194" s="748">
        <v>106376</v>
      </c>
      <c r="F194" s="745" t="s">
        <v>132</v>
      </c>
      <c r="G194" s="764">
        <f>E194*A194</f>
        <v>12850.22</v>
      </c>
    </row>
    <row r="195" spans="1:8" ht="39" customHeight="1">
      <c r="A195" s="762"/>
      <c r="B195" s="750"/>
      <c r="C195" s="748" t="s">
        <v>3174</v>
      </c>
      <c r="D195" s="762">
        <f>6*1*0.1*0.05*2.15</f>
        <v>6.4500000000000002E-2</v>
      </c>
      <c r="E195" s="745"/>
      <c r="F195" s="764"/>
      <c r="G195" s="740"/>
    </row>
    <row r="196" spans="1:8" ht="39" customHeight="1">
      <c r="A196" s="762"/>
      <c r="B196" s="750"/>
      <c r="C196" s="748" t="s">
        <v>3175</v>
      </c>
      <c r="D196" s="762">
        <f>2*3*0.35*0.15*0.05</f>
        <v>1.5800000000000002E-2</v>
      </c>
      <c r="E196" s="745"/>
      <c r="F196" s="764"/>
      <c r="G196" s="740"/>
    </row>
    <row r="197" spans="1:8" ht="39" customHeight="1">
      <c r="A197" s="762"/>
      <c r="B197" s="750"/>
      <c r="C197" s="748"/>
      <c r="D197" s="765">
        <f>SUM(D194:D196)</f>
        <v>0.1208</v>
      </c>
      <c r="E197" s="745"/>
      <c r="F197" s="764"/>
      <c r="G197" s="740"/>
    </row>
    <row r="198" spans="1:8" ht="54.75" customHeight="1">
      <c r="A198" s="757">
        <v>4.5969999999999997E-2</v>
      </c>
      <c r="B198" s="746" t="s">
        <v>132</v>
      </c>
      <c r="C198" s="766" t="s">
        <v>3176</v>
      </c>
      <c r="D198" s="767">
        <f>8*1*0.815*0.35*0.01875</f>
        <v>4.2790000000000002E-2</v>
      </c>
      <c r="E198" s="764">
        <v>101921</v>
      </c>
      <c r="F198" s="745" t="s">
        <v>132</v>
      </c>
      <c r="G198" s="764">
        <f>E198*A198</f>
        <v>4685.3100000000004</v>
      </c>
      <c r="H198" s="740"/>
    </row>
    <row r="199" spans="1:8" ht="30.75">
      <c r="A199" s="757">
        <f>D199</f>
        <v>3.98</v>
      </c>
      <c r="B199" s="746" t="s">
        <v>132</v>
      </c>
      <c r="C199" s="766" t="s">
        <v>3177</v>
      </c>
      <c r="D199">
        <f>1.85*2.15</f>
        <v>3.98</v>
      </c>
      <c r="E199" s="764">
        <f>Data!AE30</f>
        <v>1602.7</v>
      </c>
      <c r="F199" s="745" t="s">
        <v>724</v>
      </c>
      <c r="G199" s="764">
        <f>E199*A199</f>
        <v>6378.75</v>
      </c>
      <c r="H199" s="740"/>
    </row>
    <row r="200" spans="1:8">
      <c r="A200" s="757">
        <f>D200</f>
        <v>17.399999999999999</v>
      </c>
      <c r="B200" s="746" t="s">
        <v>282</v>
      </c>
      <c r="C200" s="766" t="s">
        <v>3178</v>
      </c>
      <c r="D200">
        <f>6*2+3*1.8</f>
        <v>17.399999999999999</v>
      </c>
      <c r="E200" s="764">
        <v>30</v>
      </c>
      <c r="F200" s="745" t="s">
        <v>282</v>
      </c>
      <c r="G200" s="764">
        <f>E200*A200</f>
        <v>522</v>
      </c>
      <c r="H200" s="740"/>
    </row>
    <row r="201" spans="1:8">
      <c r="A201" s="768"/>
      <c r="B201" s="750"/>
      <c r="C201" s="747"/>
      <c r="E201" s="764"/>
      <c r="F201" s="749"/>
      <c r="G201" s="764">
        <f>E201*A201</f>
        <v>0</v>
      </c>
      <c r="H201" s="740"/>
    </row>
    <row r="202" spans="1:8">
      <c r="A202" s="768"/>
      <c r="B202" s="750"/>
      <c r="C202" s="747" t="s">
        <v>3179</v>
      </c>
      <c r="E202" s="764"/>
      <c r="F202" s="749"/>
      <c r="G202" s="764"/>
      <c r="H202" s="740"/>
    </row>
    <row r="203" spans="1:8" ht="37.5" customHeight="1">
      <c r="A203" s="768">
        <f>D205</f>
        <v>1.26</v>
      </c>
      <c r="B203" s="746" t="s">
        <v>425</v>
      </c>
      <c r="C203" s="766" t="s">
        <v>3180</v>
      </c>
      <c r="D203">
        <f>2*1*0.35*1.4</f>
        <v>0.98</v>
      </c>
      <c r="E203" s="764">
        <v>336</v>
      </c>
      <c r="F203" s="749" t="s">
        <v>425</v>
      </c>
      <c r="G203" s="764">
        <f>E203*A203</f>
        <v>423.36</v>
      </c>
      <c r="H203" s="740"/>
    </row>
    <row r="204" spans="1:8" ht="37.5" customHeight="1">
      <c r="A204" s="768"/>
      <c r="B204" s="746"/>
      <c r="C204" s="766" t="s">
        <v>3181</v>
      </c>
      <c r="D204">
        <f>2*1*0.35*0.4</f>
        <v>0.28000000000000003</v>
      </c>
      <c r="E204" s="764"/>
      <c r="F204" s="749"/>
      <c r="G204" s="764"/>
      <c r="H204" s="740"/>
    </row>
    <row r="205" spans="1:8" ht="37.5" customHeight="1">
      <c r="A205" s="768"/>
      <c r="B205" s="746"/>
      <c r="C205" s="766"/>
      <c r="D205" s="719">
        <f>SUM(D203:D204)</f>
        <v>1.26</v>
      </c>
      <c r="E205" s="764"/>
      <c r="F205" s="749"/>
      <c r="G205" s="764"/>
      <c r="H205" s="740"/>
    </row>
    <row r="206" spans="1:8" ht="42.75" customHeight="1">
      <c r="A206" s="768">
        <v>9.8000000000000007</v>
      </c>
      <c r="B206" s="746" t="s">
        <v>282</v>
      </c>
      <c r="C206" s="766" t="s">
        <v>3182</v>
      </c>
      <c r="D206">
        <v>9.8000000000000007</v>
      </c>
      <c r="E206" s="764">
        <v>59</v>
      </c>
      <c r="F206" s="749" t="s">
        <v>13</v>
      </c>
      <c r="G206" s="764">
        <f t="shared" ref="G206:G214" si="9">E206*A206</f>
        <v>578.20000000000005</v>
      </c>
      <c r="H206" s="740"/>
    </row>
    <row r="207" spans="1:8" ht="47.25">
      <c r="A207" s="768">
        <f>D207</f>
        <v>1.51</v>
      </c>
      <c r="B207" s="746" t="s">
        <v>425</v>
      </c>
      <c r="C207" s="769" t="s">
        <v>3183</v>
      </c>
      <c r="D207">
        <f>2*1*0.35*2.15</f>
        <v>1.51</v>
      </c>
      <c r="E207" s="764">
        <f>Data!AE32</f>
        <v>1498.2</v>
      </c>
      <c r="F207" s="745" t="s">
        <v>425</v>
      </c>
      <c r="G207" s="764">
        <f t="shared" si="9"/>
        <v>2262.2800000000002</v>
      </c>
      <c r="H207" s="740"/>
    </row>
    <row r="208" spans="1:8">
      <c r="A208" s="764"/>
      <c r="B208" s="746"/>
      <c r="C208" s="770" t="s">
        <v>2665</v>
      </c>
      <c r="E208" s="764"/>
      <c r="F208" s="745"/>
      <c r="G208" s="764">
        <f t="shared" si="9"/>
        <v>0</v>
      </c>
      <c r="H208" s="740"/>
    </row>
    <row r="209" spans="1:8">
      <c r="A209" s="764">
        <v>8</v>
      </c>
      <c r="B209" s="746" t="s">
        <v>131</v>
      </c>
      <c r="C209" s="747" t="s">
        <v>3184</v>
      </c>
      <c r="E209" s="764">
        <f>Data!P2645</f>
        <v>214.1</v>
      </c>
      <c r="F209" s="745" t="s">
        <v>131</v>
      </c>
      <c r="G209" s="764">
        <f t="shared" si="9"/>
        <v>1712.8</v>
      </c>
      <c r="H209" s="740"/>
    </row>
    <row r="210" spans="1:8">
      <c r="A210" s="764">
        <v>3</v>
      </c>
      <c r="B210" s="746" t="s">
        <v>131</v>
      </c>
      <c r="C210" s="747" t="s">
        <v>3185</v>
      </c>
      <c r="E210" s="764">
        <f>Data!P2646</f>
        <v>408</v>
      </c>
      <c r="F210" s="745" t="s">
        <v>131</v>
      </c>
      <c r="G210" s="764">
        <f t="shared" si="9"/>
        <v>1224</v>
      </c>
      <c r="H210" s="740"/>
    </row>
    <row r="211" spans="1:8">
      <c r="A211" s="764">
        <v>1</v>
      </c>
      <c r="B211" s="746" t="s">
        <v>131</v>
      </c>
      <c r="C211" s="747" t="s">
        <v>3186</v>
      </c>
      <c r="E211" s="771">
        <v>320</v>
      </c>
      <c r="F211" s="745" t="s">
        <v>131</v>
      </c>
      <c r="G211" s="764">
        <f t="shared" si="9"/>
        <v>320</v>
      </c>
      <c r="H211" s="740"/>
    </row>
    <row r="212" spans="1:8">
      <c r="A212" s="764">
        <v>2</v>
      </c>
      <c r="B212" s="746" t="s">
        <v>131</v>
      </c>
      <c r="C212" s="747" t="s">
        <v>3187</v>
      </c>
      <c r="E212" s="764">
        <v>650</v>
      </c>
      <c r="F212" s="745" t="s">
        <v>131</v>
      </c>
      <c r="G212" s="764">
        <f t="shared" si="9"/>
        <v>1300</v>
      </c>
      <c r="H212" s="740"/>
    </row>
    <row r="213" spans="1:8">
      <c r="A213" s="764">
        <v>2</v>
      </c>
      <c r="B213" s="746" t="s">
        <v>131</v>
      </c>
      <c r="C213" s="747" t="s">
        <v>3188</v>
      </c>
      <c r="E213" s="764">
        <v>200</v>
      </c>
      <c r="F213" s="745" t="s">
        <v>131</v>
      </c>
      <c r="G213" s="764">
        <f t="shared" si="9"/>
        <v>400</v>
      </c>
      <c r="H213" s="740"/>
    </row>
    <row r="214" spans="1:8">
      <c r="A214" s="764">
        <v>2</v>
      </c>
      <c r="B214" s="746" t="s">
        <v>131</v>
      </c>
      <c r="C214" s="747" t="s">
        <v>3189</v>
      </c>
      <c r="E214" s="764">
        <v>60</v>
      </c>
      <c r="F214" s="745" t="s">
        <v>131</v>
      </c>
      <c r="G214" s="764">
        <f t="shared" si="9"/>
        <v>120</v>
      </c>
      <c r="H214" s="740"/>
    </row>
    <row r="215" spans="1:8" hidden="1">
      <c r="A215" s="748"/>
      <c r="B215" s="750"/>
      <c r="C215" s="748" t="s">
        <v>3190</v>
      </c>
      <c r="E215" s="745" t="s">
        <v>49</v>
      </c>
      <c r="F215" s="749"/>
      <c r="G215" s="772">
        <v>400</v>
      </c>
      <c r="H215" s="740"/>
    </row>
    <row r="216" spans="1:8">
      <c r="A216" s="748"/>
      <c r="B216" s="750"/>
      <c r="C216" s="748" t="s">
        <v>3191</v>
      </c>
      <c r="E216" s="764"/>
      <c r="F216" s="749" t="s">
        <v>49</v>
      </c>
      <c r="G216" s="773">
        <v>400</v>
      </c>
      <c r="H216" s="740"/>
    </row>
    <row r="217" spans="1:8">
      <c r="A217" s="748"/>
      <c r="B217" s="750"/>
      <c r="E217" s="764"/>
      <c r="F217" s="749"/>
      <c r="G217" s="764"/>
      <c r="H217" s="740"/>
    </row>
    <row r="218" spans="1:8">
      <c r="A218" s="748"/>
      <c r="B218" s="750"/>
      <c r="C218" s="747" t="s">
        <v>3131</v>
      </c>
      <c r="E218" s="764"/>
      <c r="F218" s="749"/>
      <c r="G218" s="752">
        <f>SUM(G194:G217)</f>
        <v>33576.92</v>
      </c>
      <c r="H218" s="740"/>
    </row>
    <row r="219" spans="1:8">
      <c r="A219" s="748"/>
      <c r="B219" s="750"/>
      <c r="C219" s="770" t="s">
        <v>460</v>
      </c>
      <c r="E219" s="748"/>
      <c r="F219" s="774" t="s">
        <v>3192</v>
      </c>
      <c r="G219" s="775">
        <v>27750</v>
      </c>
      <c r="H219" s="758" t="s">
        <v>3193</v>
      </c>
    </row>
    <row r="220" spans="1:8">
      <c r="G220" s="740"/>
    </row>
    <row r="221" spans="1:8">
      <c r="A221" s="740"/>
      <c r="B221" s="721"/>
      <c r="C221" s="743"/>
      <c r="E221" s="720"/>
    </row>
    <row r="222" spans="1:8">
      <c r="A222" s="740"/>
      <c r="B222" s="721"/>
      <c r="C222" s="743"/>
      <c r="E222" s="720"/>
    </row>
    <row r="223" spans="1:8">
      <c r="A223" s="740"/>
      <c r="B223" s="721"/>
      <c r="C223" s="743"/>
      <c r="E223" s="720"/>
    </row>
    <row r="224" spans="1:8">
      <c r="A224" s="740"/>
      <c r="B224" s="721"/>
      <c r="C224" s="776"/>
      <c r="D224" s="776"/>
      <c r="E224" s="720"/>
    </row>
    <row r="225" spans="1:6" ht="18" customHeight="1">
      <c r="A225" s="740"/>
      <c r="B225" s="742"/>
      <c r="C225" s="743"/>
      <c r="E225" s="720"/>
    </row>
    <row r="226" spans="1:6">
      <c r="A226" s="740"/>
      <c r="B226" s="721"/>
      <c r="C226" s="743"/>
      <c r="E226" s="720"/>
    </row>
    <row r="227" spans="1:6">
      <c r="A227" s="777"/>
      <c r="B227" s="742"/>
      <c r="C227" s="743"/>
      <c r="D227" s="778"/>
      <c r="E227" s="743"/>
      <c r="F227" s="744"/>
    </row>
    <row r="228" spans="1:6">
      <c r="A228" s="777"/>
      <c r="B228" s="742"/>
      <c r="C228" s="743"/>
      <c r="D228" s="778"/>
      <c r="E228" s="743"/>
      <c r="F228" s="744"/>
    </row>
    <row r="229" spans="1:6">
      <c r="A229" s="777"/>
      <c r="B229" s="742"/>
      <c r="C229" s="743"/>
      <c r="D229" s="778"/>
      <c r="E229" s="743"/>
      <c r="F229" s="744"/>
    </row>
    <row r="230" spans="1:6" ht="18" customHeight="1">
      <c r="A230" s="740"/>
      <c r="B230" s="742"/>
      <c r="C230" s="743"/>
      <c r="D230" s="778"/>
      <c r="E230" s="743"/>
      <c r="F230" s="744"/>
    </row>
    <row r="231" spans="1:6">
      <c r="A231" s="740"/>
      <c r="B231" s="721"/>
      <c r="C231" s="743"/>
      <c r="E231" s="720"/>
      <c r="F231" s="776"/>
    </row>
    <row r="232" spans="1:6">
      <c r="A232" s="740"/>
      <c r="B232" s="721"/>
      <c r="C232" s="779"/>
      <c r="E232" s="720"/>
      <c r="F232" s="744"/>
    </row>
    <row r="233" spans="1:6">
      <c r="A233" s="740"/>
      <c r="B233" s="721"/>
      <c r="E233" s="720"/>
      <c r="F233" s="776"/>
    </row>
    <row r="234" spans="1:6">
      <c r="A234" s="740"/>
      <c r="B234" s="721"/>
      <c r="C234" s="779"/>
      <c r="E234" s="720"/>
      <c r="F234" s="744"/>
    </row>
    <row r="235" spans="1:6">
      <c r="A235" s="740"/>
      <c r="B235" s="721"/>
      <c r="C235" s="743"/>
      <c r="D235" s="744"/>
      <c r="E235" s="743"/>
      <c r="F235" s="780"/>
    </row>
    <row r="236" spans="1:6">
      <c r="A236" s="740"/>
      <c r="B236" s="721"/>
      <c r="C236" s="743"/>
      <c r="D236" s="744"/>
      <c r="E236" s="743"/>
      <c r="F236" s="780"/>
    </row>
    <row r="237" spans="1:6">
      <c r="A237" s="740"/>
      <c r="B237" s="721"/>
      <c r="C237" s="743"/>
      <c r="D237" s="744"/>
      <c r="E237" s="743"/>
      <c r="F237" s="780"/>
    </row>
    <row r="238" spans="1:6">
      <c r="A238" s="740"/>
      <c r="B238" s="721"/>
      <c r="C238" s="743"/>
      <c r="D238" s="744"/>
      <c r="E238" s="743"/>
      <c r="F238" s="780"/>
    </row>
    <row r="239" spans="1:6">
      <c r="A239" s="740"/>
      <c r="B239" s="721"/>
      <c r="C239" s="743"/>
      <c r="D239" s="744"/>
      <c r="E239" s="743"/>
      <c r="F239" s="780"/>
    </row>
    <row r="247" spans="1:8" ht="16.5">
      <c r="A247" s="1780" t="s">
        <v>3194</v>
      </c>
      <c r="B247" s="1780"/>
      <c r="C247" s="1780"/>
      <c r="D247" s="1780"/>
      <c r="E247" s="722"/>
      <c r="F247" s="722"/>
      <c r="G247" s="723"/>
    </row>
    <row r="248" spans="1:8" ht="16.5">
      <c r="A248" s="727"/>
      <c r="B248" s="728"/>
      <c r="C248" s="735"/>
      <c r="D248" s="725"/>
      <c r="E248" s="728"/>
      <c r="F248" s="725"/>
      <c r="G248" s="723"/>
    </row>
    <row r="249" spans="1:8" ht="16.5">
      <c r="A249" s="727"/>
      <c r="B249" s="728"/>
      <c r="C249" s="729"/>
      <c r="D249" s="725"/>
      <c r="E249" s="728"/>
      <c r="F249" s="725"/>
      <c r="G249" s="723"/>
    </row>
    <row r="250" spans="1:8" ht="16.5">
      <c r="A250" s="727">
        <v>28.49</v>
      </c>
      <c r="B250" s="728" t="s">
        <v>476</v>
      </c>
      <c r="C250" s="781" t="s">
        <v>3195</v>
      </c>
      <c r="D250" s="725">
        <v>292</v>
      </c>
      <c r="E250" s="728" t="s">
        <v>476</v>
      </c>
      <c r="F250" s="725">
        <f>D250*A250</f>
        <v>8319.08</v>
      </c>
      <c r="G250" s="723"/>
    </row>
    <row r="251" spans="1:8" ht="16.5">
      <c r="A251" s="782">
        <v>3.82</v>
      </c>
      <c r="B251" s="728" t="s">
        <v>13</v>
      </c>
      <c r="C251" s="729" t="s">
        <v>3196</v>
      </c>
      <c r="D251" s="725">
        <v>36.299999999999997</v>
      </c>
      <c r="E251" s="728" t="s">
        <v>13</v>
      </c>
      <c r="F251" s="725">
        <v>501.66</v>
      </c>
      <c r="G251" s="723"/>
    </row>
    <row r="252" spans="1:8" ht="16.5">
      <c r="A252" s="727">
        <v>1.52</v>
      </c>
      <c r="B252" s="728" t="s">
        <v>468</v>
      </c>
      <c r="C252" s="729" t="s">
        <v>3197</v>
      </c>
      <c r="D252" s="725">
        <v>387.2</v>
      </c>
      <c r="E252" s="728" t="s">
        <v>468</v>
      </c>
      <c r="F252" s="725">
        <f t="shared" ref="F252:F261" si="10">D252*A252</f>
        <v>588.54</v>
      </c>
      <c r="G252" s="723"/>
    </row>
    <row r="253" spans="1:8" ht="16.5">
      <c r="A253" s="727">
        <v>1.52</v>
      </c>
      <c r="B253" s="728" t="s">
        <v>468</v>
      </c>
      <c r="C253" s="729" t="s">
        <v>3198</v>
      </c>
      <c r="D253" s="725">
        <v>695</v>
      </c>
      <c r="E253" s="728" t="s">
        <v>237</v>
      </c>
      <c r="F253" s="725">
        <f t="shared" si="10"/>
        <v>1056.4000000000001</v>
      </c>
      <c r="G253" s="723"/>
    </row>
    <row r="254" spans="1:8" ht="16.5">
      <c r="A254" s="727">
        <v>3</v>
      </c>
      <c r="B254" s="728" t="s">
        <v>3199</v>
      </c>
      <c r="C254" s="729" t="s">
        <v>3200</v>
      </c>
      <c r="D254" s="725">
        <v>9</v>
      </c>
      <c r="E254" s="728" t="s">
        <v>3199</v>
      </c>
      <c r="F254" s="725">
        <f t="shared" si="10"/>
        <v>27</v>
      </c>
      <c r="G254" s="723"/>
      <c r="H254" s="783"/>
    </row>
    <row r="255" spans="1:8" ht="16.5">
      <c r="A255" s="727">
        <v>4.2</v>
      </c>
      <c r="B255" s="728" t="s">
        <v>729</v>
      </c>
      <c r="C255" s="729" t="s">
        <v>3201</v>
      </c>
      <c r="D255" s="725">
        <v>8.4499999999999993</v>
      </c>
      <c r="E255" s="728" t="s">
        <v>237</v>
      </c>
      <c r="F255" s="725">
        <f t="shared" si="10"/>
        <v>35.49</v>
      </c>
      <c r="G255" s="723"/>
      <c r="H255" s="783"/>
    </row>
    <row r="256" spans="1:8" ht="16.5">
      <c r="A256" s="727">
        <v>3.15</v>
      </c>
      <c r="B256" s="728" t="s">
        <v>724</v>
      </c>
      <c r="C256" s="729" t="s">
        <v>3130</v>
      </c>
      <c r="D256" s="723">
        <f>F272</f>
        <v>0</v>
      </c>
      <c r="E256" s="728" t="s">
        <v>724</v>
      </c>
      <c r="F256" s="725">
        <f t="shared" si="10"/>
        <v>0</v>
      </c>
      <c r="G256" s="723"/>
      <c r="H256" s="783"/>
    </row>
    <row r="257" spans="1:8" ht="16.5">
      <c r="A257" s="719">
        <v>1</v>
      </c>
      <c r="B257" s="718" t="s">
        <v>1572</v>
      </c>
      <c r="C257" s="719" t="s">
        <v>3202</v>
      </c>
      <c r="D257" s="719">
        <v>44.4</v>
      </c>
      <c r="E257" s="784" t="s">
        <v>729</v>
      </c>
      <c r="F257" s="719">
        <f t="shared" si="10"/>
        <v>44.4</v>
      </c>
      <c r="G257" s="723"/>
      <c r="H257" s="783"/>
    </row>
    <row r="258" spans="1:8" ht="16.5">
      <c r="A258" s="719">
        <v>1</v>
      </c>
      <c r="B258" s="718" t="s">
        <v>1572</v>
      </c>
      <c r="C258" s="719" t="s">
        <v>3203</v>
      </c>
      <c r="D258" s="719">
        <v>867.3</v>
      </c>
      <c r="E258" s="784" t="s">
        <v>729</v>
      </c>
      <c r="F258" s="719">
        <f t="shared" si="10"/>
        <v>867.3</v>
      </c>
      <c r="G258" s="723"/>
      <c r="H258" s="783"/>
    </row>
    <row r="259" spans="1:8" ht="18">
      <c r="A259" s="785">
        <v>45</v>
      </c>
      <c r="B259" s="786" t="s">
        <v>1572</v>
      </c>
      <c r="C259" s="785" t="s">
        <v>3204</v>
      </c>
      <c r="D259" s="787">
        <v>1.65</v>
      </c>
      <c r="E259" s="788" t="s">
        <v>1034</v>
      </c>
      <c r="F259" s="725">
        <f t="shared" si="10"/>
        <v>74.25</v>
      </c>
      <c r="G259" s="723"/>
      <c r="H259" s="783"/>
    </row>
    <row r="260" spans="1:8" ht="18">
      <c r="A260" s="785">
        <v>2</v>
      </c>
      <c r="B260" s="786" t="s">
        <v>1572</v>
      </c>
      <c r="C260" s="785" t="s">
        <v>3205</v>
      </c>
      <c r="D260" s="787">
        <v>76.2</v>
      </c>
      <c r="E260" s="784" t="s">
        <v>729</v>
      </c>
      <c r="F260" s="725">
        <f t="shared" si="10"/>
        <v>152.4</v>
      </c>
      <c r="G260" s="723"/>
      <c r="H260" s="783"/>
    </row>
    <row r="261" spans="1:8" ht="18">
      <c r="A261" s="785">
        <v>2</v>
      </c>
      <c r="B261" s="786" t="s">
        <v>1572</v>
      </c>
      <c r="C261" s="785" t="s">
        <v>3206</v>
      </c>
      <c r="D261" s="787">
        <v>50.6</v>
      </c>
      <c r="E261" s="784" t="s">
        <v>729</v>
      </c>
      <c r="F261" s="725">
        <f t="shared" si="10"/>
        <v>101.2</v>
      </c>
      <c r="G261" s="723"/>
      <c r="H261" s="783"/>
    </row>
    <row r="262" spans="1:8" ht="16.5">
      <c r="F262" s="740"/>
      <c r="G262" s="723"/>
      <c r="H262" s="783"/>
    </row>
    <row r="263" spans="1:8" ht="16.5">
      <c r="A263" s="727"/>
      <c r="B263" s="728"/>
      <c r="C263" s="729"/>
      <c r="D263" s="723"/>
      <c r="E263" s="724"/>
      <c r="F263" s="725"/>
      <c r="G263" s="723"/>
      <c r="H263" s="783"/>
    </row>
    <row r="264" spans="1:8" ht="16.5">
      <c r="A264" s="727"/>
      <c r="B264" s="728"/>
      <c r="C264" s="743" t="s">
        <v>3207</v>
      </c>
      <c r="E264" s="728"/>
      <c r="F264" s="725">
        <f>SUM(F250:F263)</f>
        <v>11767.72</v>
      </c>
      <c r="G264" s="723"/>
      <c r="H264" s="783"/>
    </row>
    <row r="265" spans="1:8" ht="16.5">
      <c r="A265" s="727"/>
      <c r="B265" s="728"/>
      <c r="C265" s="743" t="s">
        <v>460</v>
      </c>
      <c r="E265" s="722"/>
      <c r="F265" s="732">
        <f>F264/3.15</f>
        <v>3735.78</v>
      </c>
      <c r="G265" s="733" t="s">
        <v>729</v>
      </c>
      <c r="H265" s="783"/>
    </row>
    <row r="266" spans="1:8" ht="16.5">
      <c r="A266" s="723"/>
      <c r="B266" s="723"/>
      <c r="C266" s="736"/>
      <c r="D266" s="723"/>
      <c r="E266" s="723"/>
      <c r="F266" s="723"/>
      <c r="G266" s="723"/>
      <c r="H266" s="783"/>
    </row>
    <row r="267" spans="1:8" ht="16.5">
      <c r="A267" s="725">
        <v>1</v>
      </c>
      <c r="B267" s="728" t="s">
        <v>131</v>
      </c>
      <c r="C267" s="729" t="s">
        <v>3137</v>
      </c>
      <c r="D267" s="725">
        <f>E218</f>
        <v>0</v>
      </c>
      <c r="E267" s="729" t="s">
        <v>131</v>
      </c>
      <c r="F267" s="725">
        <f>D267*A267</f>
        <v>0</v>
      </c>
      <c r="G267" s="723"/>
      <c r="H267" s="783"/>
    </row>
    <row r="268" spans="1:8" ht="16.5">
      <c r="A268" s="725">
        <v>1</v>
      </c>
      <c r="B268" s="728" t="s">
        <v>131</v>
      </c>
      <c r="C268" s="729" t="s">
        <v>3138</v>
      </c>
      <c r="D268" s="725">
        <f>E219</f>
        <v>0</v>
      </c>
      <c r="E268" s="729" t="s">
        <v>131</v>
      </c>
      <c r="F268" s="725">
        <f>D268*A268</f>
        <v>0</v>
      </c>
      <c r="G268" s="723"/>
      <c r="H268" s="783"/>
    </row>
    <row r="269" spans="1:8" ht="16.5">
      <c r="A269" s="725">
        <v>0.5</v>
      </c>
      <c r="B269" s="728" t="s">
        <v>131</v>
      </c>
      <c r="C269" s="729" t="s">
        <v>3139</v>
      </c>
      <c r="D269" s="725">
        <f>D220</f>
        <v>0</v>
      </c>
      <c r="E269" s="729" t="s">
        <v>131</v>
      </c>
      <c r="F269" s="725">
        <f>D269*A269</f>
        <v>0</v>
      </c>
      <c r="G269" s="723"/>
      <c r="H269" s="783"/>
    </row>
    <row r="270" spans="1:8" ht="16.5">
      <c r="A270" s="723"/>
      <c r="B270" s="728" t="s">
        <v>145</v>
      </c>
      <c r="C270" s="729"/>
      <c r="D270" s="725"/>
      <c r="E270" s="729" t="s">
        <v>145</v>
      </c>
      <c r="F270" s="725"/>
      <c r="G270" s="723"/>
      <c r="H270" s="783"/>
    </row>
    <row r="271" spans="1:8" ht="16.5">
      <c r="A271" s="723"/>
      <c r="B271" s="730"/>
      <c r="C271" s="723"/>
      <c r="D271" s="723"/>
      <c r="E271" s="738"/>
      <c r="F271" s="739" t="s">
        <v>52</v>
      </c>
      <c r="G271" s="723"/>
      <c r="H271" s="783"/>
    </row>
    <row r="272" spans="1:8" ht="16.5">
      <c r="A272" s="723"/>
      <c r="B272" s="730"/>
      <c r="C272" s="729" t="s">
        <v>3140</v>
      </c>
      <c r="D272" s="723"/>
      <c r="E272" s="738"/>
      <c r="F272" s="732">
        <f>SUM(F267:F271)</f>
        <v>0</v>
      </c>
      <c r="G272" s="723"/>
      <c r="H272" s="783"/>
    </row>
    <row r="273" spans="1:8" ht="16.5">
      <c r="A273" s="723"/>
      <c r="B273" s="730"/>
      <c r="C273" s="723"/>
      <c r="D273" s="723"/>
      <c r="E273" s="738"/>
      <c r="F273" s="739" t="s">
        <v>52</v>
      </c>
      <c r="G273" s="723"/>
      <c r="H273" s="783"/>
    </row>
    <row r="274" spans="1:8">
      <c r="H274" s="783"/>
    </row>
    <row r="275" spans="1:8">
      <c r="H275" s="783"/>
    </row>
    <row r="276" spans="1:8">
      <c r="A276" s="783"/>
      <c r="B276" s="783"/>
      <c r="C276" s="783" t="s">
        <v>3208</v>
      </c>
      <c r="D276" s="783"/>
      <c r="E276" s="783"/>
      <c r="F276" s="783"/>
      <c r="H276" s="783"/>
    </row>
    <row r="277" spans="1:8" ht="16.5">
      <c r="A277" s="1780" t="s">
        <v>3209</v>
      </c>
      <c r="B277" s="1780"/>
      <c r="C277" s="1780"/>
      <c r="D277" s="1780"/>
      <c r="E277" s="722"/>
      <c r="F277" s="722"/>
      <c r="H277" s="783"/>
    </row>
    <row r="278" spans="1:8" ht="16.5">
      <c r="A278" s="727"/>
      <c r="B278" s="728"/>
      <c r="C278" s="735"/>
      <c r="D278" s="725"/>
      <c r="E278" s="728"/>
      <c r="F278" s="725"/>
      <c r="H278" s="783"/>
    </row>
    <row r="279" spans="1:8" ht="16.5">
      <c r="A279" s="727"/>
      <c r="B279" s="728"/>
      <c r="C279" s="729"/>
      <c r="D279" s="725"/>
      <c r="E279" s="728"/>
      <c r="F279" s="725"/>
    </row>
    <row r="280" spans="1:8" ht="16.5">
      <c r="A280" s="727">
        <v>29.06</v>
      </c>
      <c r="B280" s="728" t="s">
        <v>476</v>
      </c>
      <c r="C280" s="781" t="s">
        <v>3210</v>
      </c>
      <c r="D280" s="725">
        <v>321</v>
      </c>
      <c r="E280" s="728" t="s">
        <v>476</v>
      </c>
      <c r="F280" s="725">
        <f>D280*A280</f>
        <v>9328.26</v>
      </c>
    </row>
    <row r="281" spans="1:8" ht="16.5">
      <c r="A281" s="782">
        <v>9.24</v>
      </c>
      <c r="B281" s="728" t="s">
        <v>13</v>
      </c>
      <c r="C281" s="729" t="s">
        <v>3196</v>
      </c>
      <c r="D281" s="725">
        <v>38.799999999999997</v>
      </c>
      <c r="E281" s="728" t="s">
        <v>13</v>
      </c>
      <c r="F281" s="725">
        <f t="shared" ref="F281:F291" si="11">D281*A281</f>
        <v>358.51</v>
      </c>
    </row>
    <row r="282" spans="1:8" ht="16.5">
      <c r="A282" s="727">
        <v>1.49</v>
      </c>
      <c r="B282" s="728" t="s">
        <v>468</v>
      </c>
      <c r="C282" s="729" t="s">
        <v>3197</v>
      </c>
      <c r="D282" s="725">
        <v>394</v>
      </c>
      <c r="E282" s="728" t="s">
        <v>468</v>
      </c>
      <c r="F282" s="725">
        <f t="shared" si="11"/>
        <v>587.05999999999995</v>
      </c>
    </row>
    <row r="283" spans="1:8" ht="16.5">
      <c r="A283" s="727">
        <v>0.75</v>
      </c>
      <c r="B283" s="728" t="s">
        <v>468</v>
      </c>
      <c r="C283" s="729" t="s">
        <v>3198</v>
      </c>
      <c r="D283" s="725">
        <v>695</v>
      </c>
      <c r="E283" s="728" t="s">
        <v>237</v>
      </c>
      <c r="F283" s="725">
        <f t="shared" si="11"/>
        <v>521.25</v>
      </c>
    </row>
    <row r="284" spans="1:8" ht="16.5">
      <c r="A284" s="727">
        <v>2</v>
      </c>
      <c r="B284" s="728" t="s">
        <v>3199</v>
      </c>
      <c r="C284" s="729" t="s">
        <v>3200</v>
      </c>
      <c r="D284" s="725">
        <v>9</v>
      </c>
      <c r="E284" s="728" t="s">
        <v>3199</v>
      </c>
      <c r="F284" s="725">
        <f t="shared" si="11"/>
        <v>18</v>
      </c>
    </row>
    <row r="285" spans="1:8" ht="16.5">
      <c r="A285" s="727">
        <v>7.08</v>
      </c>
      <c r="B285" s="728" t="s">
        <v>729</v>
      </c>
      <c r="C285" s="729" t="s">
        <v>3201</v>
      </c>
      <c r="D285" s="725">
        <v>8.6</v>
      </c>
      <c r="E285" s="728" t="s">
        <v>237</v>
      </c>
      <c r="F285" s="725">
        <f t="shared" si="11"/>
        <v>60.89</v>
      </c>
    </row>
    <row r="286" spans="1:8" ht="16.5">
      <c r="A286" s="727">
        <v>2.1</v>
      </c>
      <c r="B286" s="728" t="s">
        <v>724</v>
      </c>
      <c r="C286" s="729" t="s">
        <v>3130</v>
      </c>
      <c r="D286" s="723">
        <f>D263</f>
        <v>0</v>
      </c>
      <c r="E286" s="728" t="s">
        <v>724</v>
      </c>
      <c r="F286" s="725">
        <f t="shared" si="11"/>
        <v>0</v>
      </c>
    </row>
    <row r="287" spans="1:8" ht="16.5">
      <c r="A287" s="719">
        <v>1</v>
      </c>
      <c r="B287" s="718" t="s">
        <v>1572</v>
      </c>
      <c r="C287" s="719" t="s">
        <v>3202</v>
      </c>
      <c r="D287" s="719">
        <v>48.9</v>
      </c>
      <c r="E287" s="784" t="s">
        <v>729</v>
      </c>
      <c r="F287" s="725">
        <f t="shared" si="11"/>
        <v>48.9</v>
      </c>
    </row>
    <row r="288" spans="1:8" ht="16.5">
      <c r="A288" s="719">
        <v>1</v>
      </c>
      <c r="B288" s="718" t="s">
        <v>1572</v>
      </c>
      <c r="C288" s="719" t="s">
        <v>3203</v>
      </c>
      <c r="D288" s="719">
        <v>884</v>
      </c>
      <c r="E288" s="784" t="s">
        <v>729</v>
      </c>
      <c r="F288" s="725">
        <f t="shared" si="11"/>
        <v>884</v>
      </c>
    </row>
    <row r="289" spans="1:7" ht="18">
      <c r="A289" s="785">
        <v>6</v>
      </c>
      <c r="B289" s="786" t="s">
        <v>1572</v>
      </c>
      <c r="C289" s="785" t="s">
        <v>3211</v>
      </c>
      <c r="D289" s="787">
        <f>D260</f>
        <v>76.2</v>
      </c>
      <c r="E289" s="788" t="s">
        <v>1034</v>
      </c>
      <c r="F289" s="725">
        <f t="shared" si="11"/>
        <v>457.2</v>
      </c>
    </row>
    <row r="290" spans="1:7" ht="18">
      <c r="A290" s="785">
        <v>2</v>
      </c>
      <c r="B290" s="786" t="s">
        <v>1572</v>
      </c>
      <c r="C290" s="785" t="s">
        <v>3205</v>
      </c>
      <c r="D290" s="787">
        <v>108.7</v>
      </c>
      <c r="E290" s="784" t="s">
        <v>729</v>
      </c>
      <c r="F290" s="725">
        <f t="shared" si="11"/>
        <v>217.4</v>
      </c>
    </row>
    <row r="291" spans="1:7" ht="18">
      <c r="A291" s="785">
        <v>2</v>
      </c>
      <c r="B291" s="786" t="s">
        <v>1572</v>
      </c>
      <c r="C291" s="785" t="s">
        <v>3206</v>
      </c>
      <c r="D291" s="787">
        <v>54.1</v>
      </c>
      <c r="E291" s="784" t="s">
        <v>729</v>
      </c>
      <c r="F291" s="725">
        <f t="shared" si="11"/>
        <v>108.2</v>
      </c>
    </row>
    <row r="292" spans="1:7">
      <c r="F292" s="740">
        <f>SUM(F280:F291)</f>
        <v>12589.67</v>
      </c>
    </row>
    <row r="293" spans="1:7" ht="16.5">
      <c r="A293" s="783"/>
      <c r="B293" s="783"/>
      <c r="C293" s="783"/>
      <c r="D293" s="783"/>
      <c r="E293" s="783"/>
      <c r="F293" s="725">
        <f>F292/A286</f>
        <v>5995.08</v>
      </c>
    </row>
    <row r="294" spans="1:7">
      <c r="A294" s="783"/>
      <c r="B294" s="783"/>
      <c r="C294" s="783"/>
      <c r="D294" s="783"/>
      <c r="E294" s="783"/>
      <c r="F294" s="783"/>
    </row>
    <row r="297" spans="1:7" ht="19.5">
      <c r="A297" s="789"/>
      <c r="B297" s="790"/>
      <c r="C297" s="791" t="s">
        <v>3212</v>
      </c>
      <c r="D297" s="792"/>
      <c r="E297" s="793"/>
      <c r="F297" s="792"/>
      <c r="G297" s="794"/>
    </row>
    <row r="298" spans="1:7" ht="18.75">
      <c r="A298" s="795">
        <v>3.488</v>
      </c>
      <c r="B298" s="796" t="s">
        <v>476</v>
      </c>
      <c r="C298" s="797" t="s">
        <v>3213</v>
      </c>
      <c r="D298" s="798">
        <f>D132</f>
        <v>325</v>
      </c>
      <c r="E298" s="796" t="s">
        <v>476</v>
      </c>
      <c r="F298" s="798">
        <f t="shared" ref="F298:F307" si="12">D298*A298</f>
        <v>1133.5999999999999</v>
      </c>
      <c r="G298" s="794"/>
    </row>
    <row r="299" spans="1:7" ht="18.75">
      <c r="A299" s="795">
        <v>4.38</v>
      </c>
      <c r="B299" s="796" t="s">
        <v>476</v>
      </c>
      <c r="C299" s="797" t="s">
        <v>3214</v>
      </c>
      <c r="D299" s="798">
        <f>D133</f>
        <v>325</v>
      </c>
      <c r="E299" s="796" t="s">
        <v>476</v>
      </c>
      <c r="F299" s="798">
        <f t="shared" si="12"/>
        <v>1423.5</v>
      </c>
      <c r="G299" s="794"/>
    </row>
    <row r="300" spans="1:7" ht="18.75">
      <c r="A300" s="795">
        <v>1.18</v>
      </c>
      <c r="B300" s="796" t="s">
        <v>476</v>
      </c>
      <c r="C300" s="797" t="s">
        <v>3215</v>
      </c>
      <c r="D300" s="798">
        <f>D134</f>
        <v>325</v>
      </c>
      <c r="E300" s="796" t="s">
        <v>476</v>
      </c>
      <c r="F300" s="798">
        <f t="shared" si="12"/>
        <v>383.5</v>
      </c>
      <c r="G300" s="794"/>
    </row>
    <row r="301" spans="1:7" ht="18.75">
      <c r="A301" s="795">
        <v>0.82</v>
      </c>
      <c r="B301" s="796" t="s">
        <v>476</v>
      </c>
      <c r="C301" s="797" t="s">
        <v>3216</v>
      </c>
      <c r="D301" s="798">
        <f>D135</f>
        <v>325</v>
      </c>
      <c r="E301" s="796" t="s">
        <v>476</v>
      </c>
      <c r="F301" s="798">
        <f t="shared" si="12"/>
        <v>266.5</v>
      </c>
      <c r="G301" s="794"/>
    </row>
    <row r="302" spans="1:7" ht="18.75">
      <c r="A302" s="795">
        <v>1.26</v>
      </c>
      <c r="B302" s="796" t="s">
        <v>468</v>
      </c>
      <c r="C302" s="797" t="s">
        <v>3154</v>
      </c>
      <c r="D302" s="798">
        <f t="shared" ref="D302:D307" si="13">D136</f>
        <v>208.8</v>
      </c>
      <c r="E302" s="796" t="s">
        <v>468</v>
      </c>
      <c r="F302" s="798">
        <f t="shared" si="12"/>
        <v>263.08999999999997</v>
      </c>
      <c r="G302" s="794"/>
    </row>
    <row r="303" spans="1:7" ht="18.75">
      <c r="A303" s="795">
        <v>6.6</v>
      </c>
      <c r="B303" s="796" t="s">
        <v>13</v>
      </c>
      <c r="C303" s="797" t="s">
        <v>3125</v>
      </c>
      <c r="D303" s="798">
        <f t="shared" si="13"/>
        <v>27.1</v>
      </c>
      <c r="E303" s="796" t="s">
        <v>13</v>
      </c>
      <c r="F303" s="798">
        <f t="shared" si="12"/>
        <v>178.86</v>
      </c>
      <c r="G303" s="794"/>
    </row>
    <row r="304" spans="1:7" ht="18.75">
      <c r="A304" s="795">
        <v>2</v>
      </c>
      <c r="B304" s="796" t="s">
        <v>237</v>
      </c>
      <c r="C304" s="797" t="s">
        <v>3217</v>
      </c>
      <c r="D304" s="798">
        <f t="shared" si="13"/>
        <v>350</v>
      </c>
      <c r="E304" s="796" t="s">
        <v>3218</v>
      </c>
      <c r="F304" s="798">
        <f t="shared" si="12"/>
        <v>700</v>
      </c>
      <c r="G304" s="794"/>
    </row>
    <row r="305" spans="1:8" ht="18.75">
      <c r="A305" s="795">
        <v>2</v>
      </c>
      <c r="B305" s="796" t="s">
        <v>237</v>
      </c>
      <c r="C305" s="797" t="s">
        <v>3156</v>
      </c>
      <c r="D305" s="798">
        <f t="shared" si="13"/>
        <v>48</v>
      </c>
      <c r="E305" s="796" t="s">
        <v>237</v>
      </c>
      <c r="F305" s="798">
        <f t="shared" si="12"/>
        <v>96</v>
      </c>
      <c r="G305" s="794"/>
    </row>
    <row r="306" spans="1:8" ht="18.75">
      <c r="A306" s="795">
        <v>4</v>
      </c>
      <c r="B306" s="796" t="s">
        <v>237</v>
      </c>
      <c r="C306" s="797" t="s">
        <v>3219</v>
      </c>
      <c r="D306" s="798">
        <f t="shared" si="13"/>
        <v>15</v>
      </c>
      <c r="E306" s="796" t="s">
        <v>237</v>
      </c>
      <c r="F306" s="798">
        <f t="shared" si="12"/>
        <v>60</v>
      </c>
      <c r="G306" s="794"/>
    </row>
    <row r="307" spans="1:8" ht="18.75">
      <c r="A307" s="795">
        <v>1.26</v>
      </c>
      <c r="B307" s="796" t="s">
        <v>724</v>
      </c>
      <c r="C307" s="797" t="s">
        <v>3158</v>
      </c>
      <c r="D307" s="798">
        <f t="shared" si="13"/>
        <v>2085.6</v>
      </c>
      <c r="E307" s="796" t="s">
        <v>724</v>
      </c>
      <c r="F307" s="798">
        <f t="shared" si="12"/>
        <v>2627.86</v>
      </c>
      <c r="G307" s="794"/>
    </row>
    <row r="308" spans="1:8" ht="18.75">
      <c r="A308" s="789"/>
      <c r="B308" s="790"/>
      <c r="C308" s="797" t="s">
        <v>3159</v>
      </c>
      <c r="D308" s="792"/>
      <c r="E308" s="799"/>
      <c r="F308" s="798">
        <v>9.4</v>
      </c>
      <c r="G308" s="794"/>
    </row>
    <row r="309" spans="1:8" ht="19.5">
      <c r="A309" s="789"/>
      <c r="B309" s="792"/>
      <c r="C309" s="800" t="s">
        <v>3220</v>
      </c>
      <c r="D309" s="792"/>
      <c r="E309" s="792"/>
      <c r="F309" s="801">
        <f>SUM(F298:F308)</f>
        <v>7142.31</v>
      </c>
      <c r="G309" s="794" t="s">
        <v>729</v>
      </c>
    </row>
    <row r="310" spans="1:8">
      <c r="F310" s="719">
        <f>F309/1.26</f>
        <v>5668.5</v>
      </c>
      <c r="G310" t="s">
        <v>724</v>
      </c>
    </row>
    <row r="315" spans="1:8">
      <c r="A315" s="1782" t="s">
        <v>3221</v>
      </c>
      <c r="B315" s="1782"/>
      <c r="C315" s="1782"/>
      <c r="D315" s="1782"/>
      <c r="E315" s="1782"/>
      <c r="F315" s="1782"/>
      <c r="G315" s="1782"/>
      <c r="H315" s="1782"/>
    </row>
    <row r="316" spans="1:8">
      <c r="A316" s="1782" t="s">
        <v>3222</v>
      </c>
      <c r="B316" s="1782"/>
      <c r="C316" s="1782"/>
      <c r="D316" s="1782"/>
      <c r="E316" s="1782"/>
      <c r="F316" s="1782"/>
      <c r="G316" s="1782"/>
      <c r="H316" s="1782"/>
    </row>
    <row r="317" spans="1:8">
      <c r="A317" s="783"/>
      <c r="B317" s="783" t="s">
        <v>3223</v>
      </c>
      <c r="C317" s="783" t="s">
        <v>3224</v>
      </c>
      <c r="D317" s="783"/>
      <c r="E317" s="783"/>
      <c r="F317" s="783"/>
      <c r="G317" s="783"/>
      <c r="H317" s="783"/>
    </row>
    <row r="318" spans="1:8">
      <c r="A318" s="783"/>
      <c r="B318" s="783"/>
      <c r="C318" s="783" t="s">
        <v>3225</v>
      </c>
      <c r="D318" s="783" t="s">
        <v>89</v>
      </c>
      <c r="E318" s="783" t="s">
        <v>3226</v>
      </c>
      <c r="F318" s="783" t="s">
        <v>89</v>
      </c>
      <c r="G318" s="802">
        <f>1*1.2*1.558</f>
        <v>1.87</v>
      </c>
      <c r="H318" s="783" t="s">
        <v>39</v>
      </c>
    </row>
    <row r="319" spans="1:8">
      <c r="A319" s="783"/>
      <c r="B319" s="783" t="s">
        <v>3227</v>
      </c>
      <c r="C319" s="783" t="s">
        <v>3228</v>
      </c>
      <c r="D319" s="783"/>
      <c r="E319" s="783"/>
      <c r="F319" s="783"/>
      <c r="G319" s="783"/>
      <c r="H319" s="783"/>
    </row>
    <row r="320" spans="1:8">
      <c r="A320" s="783"/>
      <c r="B320" s="783"/>
      <c r="C320" s="783" t="s">
        <v>3229</v>
      </c>
      <c r="D320" s="783" t="s">
        <v>89</v>
      </c>
      <c r="E320" s="783" t="s">
        <v>3230</v>
      </c>
      <c r="F320" s="783" t="s">
        <v>89</v>
      </c>
      <c r="G320" s="802">
        <f>1*2*1.35*0.695</f>
        <v>1.88</v>
      </c>
      <c r="H320" s="783" t="s">
        <v>39</v>
      </c>
    </row>
    <row r="321" spans="1:8">
      <c r="A321" s="783"/>
      <c r="B321" s="783" t="s">
        <v>3231</v>
      </c>
      <c r="C321" s="783" t="s">
        <v>3232</v>
      </c>
      <c r="D321" s="783"/>
      <c r="E321" s="783"/>
      <c r="F321" s="783"/>
      <c r="G321" s="802"/>
      <c r="H321" s="783"/>
    </row>
    <row r="322" spans="1:8">
      <c r="A322" s="783"/>
      <c r="B322" s="783"/>
      <c r="C322" s="783" t="s">
        <v>3233</v>
      </c>
      <c r="D322" s="783" t="s">
        <v>89</v>
      </c>
      <c r="E322" s="783" t="s">
        <v>3234</v>
      </c>
      <c r="F322" s="783" t="s">
        <v>89</v>
      </c>
      <c r="G322" s="802">
        <f>1*1*1.2*1.088</f>
        <v>1.31</v>
      </c>
      <c r="H322" s="783" t="s">
        <v>39</v>
      </c>
    </row>
    <row r="323" spans="1:8">
      <c r="A323" s="783"/>
      <c r="B323" s="783" t="s">
        <v>3235</v>
      </c>
      <c r="C323" s="783" t="s">
        <v>3236</v>
      </c>
      <c r="D323" s="783"/>
      <c r="E323" s="783"/>
      <c r="F323" s="783"/>
      <c r="G323" s="802"/>
      <c r="H323" s="783"/>
    </row>
    <row r="324" spans="1:8">
      <c r="A324" s="783"/>
      <c r="B324" s="783"/>
      <c r="C324" s="783" t="s">
        <v>3237</v>
      </c>
      <c r="D324" s="783" t="s">
        <v>89</v>
      </c>
      <c r="E324" s="783" t="s">
        <v>3238</v>
      </c>
      <c r="F324" s="783" t="s">
        <v>89</v>
      </c>
      <c r="G324" s="802">
        <f>1*2*1.25*0.605</f>
        <v>1.51</v>
      </c>
      <c r="H324" s="783" t="s">
        <v>39</v>
      </c>
    </row>
    <row r="325" spans="1:8">
      <c r="A325" s="783"/>
      <c r="B325" s="783" t="s">
        <v>3239</v>
      </c>
      <c r="C325" s="783" t="s">
        <v>3240</v>
      </c>
      <c r="D325" s="783"/>
      <c r="E325" s="783"/>
      <c r="F325" s="783"/>
      <c r="G325" s="802"/>
      <c r="H325" s="783"/>
    </row>
    <row r="326" spans="1:8">
      <c r="A326" s="783"/>
      <c r="B326" s="783"/>
      <c r="C326" s="783" t="s">
        <v>3241</v>
      </c>
      <c r="D326" s="783" t="s">
        <v>89</v>
      </c>
      <c r="E326" s="783" t="s">
        <v>3242</v>
      </c>
      <c r="F326" s="783" t="s">
        <v>89</v>
      </c>
      <c r="G326" s="802">
        <f>1*2*1.25*0.488</f>
        <v>1.22</v>
      </c>
      <c r="H326" s="783" t="s">
        <v>39</v>
      </c>
    </row>
    <row r="327" spans="1:8">
      <c r="A327" s="783"/>
      <c r="B327" s="783" t="s">
        <v>3239</v>
      </c>
      <c r="C327" s="783" t="s">
        <v>3243</v>
      </c>
      <c r="D327" s="783"/>
      <c r="E327" s="783"/>
      <c r="F327" s="783"/>
      <c r="G327" s="802"/>
      <c r="H327" s="783"/>
    </row>
    <row r="328" spans="1:8">
      <c r="A328" s="783"/>
      <c r="B328" s="783"/>
      <c r="C328" s="783" t="s">
        <v>3244</v>
      </c>
      <c r="D328" s="783" t="s">
        <v>89</v>
      </c>
      <c r="E328" s="783" t="s">
        <v>3245</v>
      </c>
      <c r="F328" s="783" t="s">
        <v>89</v>
      </c>
      <c r="G328" s="802">
        <f>2*2*0.55*0.355</f>
        <v>0.78</v>
      </c>
      <c r="H328" s="783" t="s">
        <v>39</v>
      </c>
    </row>
    <row r="329" spans="1:8">
      <c r="A329" s="783"/>
      <c r="B329" s="783"/>
      <c r="C329" s="783"/>
      <c r="D329" s="783"/>
      <c r="E329" s="783"/>
      <c r="F329" s="783"/>
      <c r="G329" s="802">
        <f>SUM(G318:G328)</f>
        <v>8.57</v>
      </c>
      <c r="H329" s="783" t="s">
        <v>39</v>
      </c>
    </row>
    <row r="330" spans="1:8">
      <c r="A330" s="783"/>
      <c r="B330" s="783"/>
      <c r="C330" s="783"/>
      <c r="D330" s="783"/>
      <c r="E330" s="783" t="s">
        <v>3246</v>
      </c>
      <c r="F330" s="783" t="s">
        <v>89</v>
      </c>
      <c r="G330" s="802">
        <f>G329*10%</f>
        <v>0.86</v>
      </c>
      <c r="H330" s="783" t="s">
        <v>39</v>
      </c>
    </row>
    <row r="331" spans="1:8">
      <c r="A331" s="783"/>
      <c r="B331" s="783"/>
      <c r="C331" s="783"/>
      <c r="D331" s="783"/>
      <c r="E331" s="783"/>
      <c r="F331" s="783"/>
      <c r="G331" s="803">
        <f>SUM(G329:G330)</f>
        <v>9.43</v>
      </c>
      <c r="H331" s="783" t="s">
        <v>39</v>
      </c>
    </row>
    <row r="332" spans="1:8">
      <c r="A332" s="783"/>
      <c r="B332" s="783"/>
      <c r="C332" s="783"/>
      <c r="D332" s="783"/>
      <c r="E332" s="783"/>
      <c r="F332" s="783"/>
      <c r="G332" s="783"/>
      <c r="H332" s="783"/>
    </row>
    <row r="333" spans="1:8">
      <c r="A333" s="783"/>
      <c r="B333" s="804" t="s">
        <v>3247</v>
      </c>
      <c r="C333" s="783" t="s">
        <v>3248</v>
      </c>
      <c r="D333" s="783"/>
      <c r="E333" s="783"/>
      <c r="F333" s="783"/>
      <c r="G333" s="783"/>
      <c r="H333" s="783"/>
    </row>
    <row r="334" spans="1:8" ht="17.25">
      <c r="A334" s="783"/>
      <c r="B334" s="783"/>
      <c r="C334" s="783" t="s">
        <v>3249</v>
      </c>
      <c r="D334" s="783" t="s">
        <v>89</v>
      </c>
      <c r="E334" s="783" t="s">
        <v>3250</v>
      </c>
      <c r="F334" s="783" t="s">
        <v>89</v>
      </c>
      <c r="G334" s="783">
        <f>1*2*0.55*1.25</f>
        <v>1.375</v>
      </c>
      <c r="H334" s="783" t="s">
        <v>3251</v>
      </c>
    </row>
    <row r="335" spans="1:8">
      <c r="A335" s="783"/>
      <c r="B335" s="783"/>
      <c r="C335" s="783"/>
      <c r="D335" s="783"/>
      <c r="E335" s="783"/>
      <c r="F335" s="783"/>
      <c r="G335" s="783"/>
      <c r="H335" s="783"/>
    </row>
    <row r="336" spans="1:8">
      <c r="A336" s="783"/>
      <c r="B336" s="804" t="s">
        <v>3252</v>
      </c>
      <c r="C336" s="783" t="s">
        <v>3125</v>
      </c>
      <c r="D336" s="783" t="s">
        <v>89</v>
      </c>
      <c r="E336" s="783" t="s">
        <v>3253</v>
      </c>
      <c r="F336" s="783" t="s">
        <v>89</v>
      </c>
      <c r="G336" s="783">
        <f>1*2*2*3.6</f>
        <v>14.4</v>
      </c>
      <c r="H336" s="783" t="s">
        <v>13</v>
      </c>
    </row>
    <row r="337" spans="1:8">
      <c r="A337" s="783"/>
      <c r="B337" s="783"/>
      <c r="C337" s="783"/>
      <c r="D337" s="783"/>
      <c r="E337" s="783"/>
      <c r="F337" s="783"/>
      <c r="G337" s="783"/>
      <c r="H337" s="783"/>
    </row>
    <row r="338" spans="1:8" ht="17.25">
      <c r="A338" s="783"/>
      <c r="B338" s="804" t="s">
        <v>3254</v>
      </c>
      <c r="C338" s="783" t="s">
        <v>3255</v>
      </c>
      <c r="D338" s="783" t="s">
        <v>89</v>
      </c>
      <c r="E338" s="783" t="s">
        <v>3256</v>
      </c>
      <c r="F338" s="783" t="s">
        <v>89</v>
      </c>
      <c r="G338" s="783">
        <f>1.2*1.35</f>
        <v>1.62</v>
      </c>
      <c r="H338" s="783" t="s">
        <v>3251</v>
      </c>
    </row>
    <row r="339" spans="1:8">
      <c r="A339" s="783"/>
      <c r="B339" s="783"/>
      <c r="C339" s="783"/>
      <c r="D339" s="783"/>
      <c r="E339" s="783"/>
      <c r="F339" s="783"/>
      <c r="G339" s="783"/>
      <c r="H339" s="783"/>
    </row>
    <row r="340" spans="1:8">
      <c r="A340" s="783"/>
      <c r="B340" s="783"/>
      <c r="C340" s="783"/>
      <c r="D340" s="783"/>
      <c r="E340" s="783"/>
      <c r="F340" s="783"/>
      <c r="G340" s="783"/>
      <c r="H340" s="783"/>
    </row>
    <row r="341" spans="1:8">
      <c r="A341" s="783"/>
      <c r="B341" s="783"/>
      <c r="C341" s="783"/>
      <c r="D341" s="783"/>
      <c r="E341" s="783"/>
      <c r="F341" s="783"/>
      <c r="G341" s="783"/>
      <c r="H341" s="783"/>
    </row>
    <row r="342" spans="1:8">
      <c r="A342" s="741">
        <v>9.43</v>
      </c>
      <c r="B342" s="742" t="s">
        <v>476</v>
      </c>
      <c r="C342" s="743" t="s">
        <v>3257</v>
      </c>
      <c r="D342" s="744"/>
      <c r="E342" s="744">
        <v>287</v>
      </c>
      <c r="F342" s="742" t="s">
        <v>476</v>
      </c>
      <c r="G342" s="744">
        <f t="shared" ref="G342:G347" si="14">E342*A342</f>
        <v>2706.41</v>
      </c>
      <c r="H342" s="783"/>
    </row>
    <row r="343" spans="1:8">
      <c r="A343" s="741">
        <f>G334</f>
        <v>1.375</v>
      </c>
      <c r="B343" s="742" t="s">
        <v>468</v>
      </c>
      <c r="C343" s="743" t="s">
        <v>3258</v>
      </c>
      <c r="D343" s="744"/>
      <c r="E343" s="744">
        <v>336</v>
      </c>
      <c r="F343" s="742" t="s">
        <v>468</v>
      </c>
      <c r="G343" s="744">
        <f t="shared" si="14"/>
        <v>462</v>
      </c>
      <c r="H343" s="783"/>
    </row>
    <row r="344" spans="1:8">
      <c r="A344" s="741">
        <v>14.4</v>
      </c>
      <c r="B344" s="742" t="s">
        <v>13</v>
      </c>
      <c r="C344" s="743" t="s">
        <v>3155</v>
      </c>
      <c r="D344" s="744"/>
      <c r="E344" s="744">
        <v>27.1</v>
      </c>
      <c r="F344" s="742" t="s">
        <v>13</v>
      </c>
      <c r="G344" s="744">
        <f t="shared" si="14"/>
        <v>390.24</v>
      </c>
      <c r="H344" s="783"/>
    </row>
    <row r="345" spans="1:8">
      <c r="A345" s="741">
        <v>1</v>
      </c>
      <c r="B345" s="742" t="s">
        <v>237</v>
      </c>
      <c r="C345" s="743" t="s">
        <v>3259</v>
      </c>
      <c r="D345" s="744"/>
      <c r="E345" s="744">
        <v>59.4</v>
      </c>
      <c r="F345" s="742" t="s">
        <v>237</v>
      </c>
      <c r="G345" s="744">
        <f t="shared" si="14"/>
        <v>59.4</v>
      </c>
      <c r="H345" s="783"/>
    </row>
    <row r="346" spans="1:8">
      <c r="A346" s="741">
        <v>1</v>
      </c>
      <c r="B346" s="742" t="s">
        <v>237</v>
      </c>
      <c r="C346" s="743" t="s">
        <v>3260</v>
      </c>
      <c r="D346" s="744"/>
      <c r="E346" s="744">
        <v>13.1</v>
      </c>
      <c r="F346" s="742" t="s">
        <v>237</v>
      </c>
      <c r="G346" s="744">
        <f t="shared" si="14"/>
        <v>13.1</v>
      </c>
      <c r="H346" s="783"/>
    </row>
    <row r="347" spans="1:8">
      <c r="A347" s="741">
        <v>1.62</v>
      </c>
      <c r="B347" s="742" t="s">
        <v>724</v>
      </c>
      <c r="C347" s="743" t="s">
        <v>3158</v>
      </c>
      <c r="E347">
        <f>G357</f>
        <v>1110</v>
      </c>
      <c r="F347" s="742" t="s">
        <v>724</v>
      </c>
      <c r="G347" s="744">
        <f t="shared" si="14"/>
        <v>1798.2</v>
      </c>
      <c r="H347" s="783"/>
    </row>
    <row r="348" spans="1:8">
      <c r="B348" s="721"/>
      <c r="C348" s="743" t="s">
        <v>1557</v>
      </c>
      <c r="E348" s="805"/>
      <c r="F348" s="744" t="s">
        <v>49</v>
      </c>
      <c r="G348" s="783">
        <v>2.56</v>
      </c>
      <c r="H348" s="783"/>
    </row>
    <row r="349" spans="1:8">
      <c r="C349" s="806" t="s">
        <v>3261</v>
      </c>
      <c r="F349" s="778"/>
      <c r="G349">
        <f>SUM(G342:G348)</f>
        <v>5431.91</v>
      </c>
      <c r="H349" s="783"/>
    </row>
    <row r="350" spans="1:8">
      <c r="C350" s="807" t="s">
        <v>3262</v>
      </c>
      <c r="D350" s="808" t="s">
        <v>89</v>
      </c>
      <c r="E350" s="808"/>
      <c r="F350" s="719"/>
      <c r="G350" s="803">
        <f>G349/A347</f>
        <v>3353.03</v>
      </c>
      <c r="H350" s="783"/>
    </row>
    <row r="351" spans="1:8">
      <c r="A351" s="783"/>
      <c r="B351" s="783"/>
      <c r="C351" s="783"/>
      <c r="D351" s="783"/>
      <c r="E351" s="783"/>
      <c r="F351" s="783"/>
      <c r="G351" s="783"/>
      <c r="H351" s="783"/>
    </row>
    <row r="352" spans="1:8">
      <c r="A352" s="783"/>
      <c r="B352" s="783"/>
      <c r="C352" s="809" t="s">
        <v>3263</v>
      </c>
      <c r="D352" s="783"/>
      <c r="E352" s="783"/>
      <c r="F352" s="783"/>
      <c r="G352" s="783"/>
      <c r="H352" s="783"/>
    </row>
    <row r="353" spans="1:8">
      <c r="A353" s="744">
        <v>1</v>
      </c>
      <c r="B353" s="742" t="s">
        <v>131</v>
      </c>
      <c r="C353" s="743" t="s">
        <v>3264</v>
      </c>
      <c r="D353" s="744"/>
      <c r="E353" s="744">
        <v>501</v>
      </c>
      <c r="F353" s="743" t="s">
        <v>131</v>
      </c>
      <c r="G353" s="783">
        <f>E353*A353</f>
        <v>501</v>
      </c>
      <c r="H353" s="783"/>
    </row>
    <row r="354" spans="1:8">
      <c r="A354" s="744">
        <v>1</v>
      </c>
      <c r="B354" s="742" t="s">
        <v>131</v>
      </c>
      <c r="C354" s="743" t="s">
        <v>3265</v>
      </c>
      <c r="D354" s="744"/>
      <c r="E354" s="744">
        <v>355</v>
      </c>
      <c r="F354" s="743" t="s">
        <v>131</v>
      </c>
      <c r="G354" s="783">
        <f>E354*A354</f>
        <v>355</v>
      </c>
      <c r="H354" s="783"/>
    </row>
    <row r="355" spans="1:8">
      <c r="A355" s="744">
        <v>0.5</v>
      </c>
      <c r="B355" s="742" t="s">
        <v>131</v>
      </c>
      <c r="C355" s="743" t="s">
        <v>3266</v>
      </c>
      <c r="D355" s="744"/>
      <c r="E355" s="744">
        <v>508</v>
      </c>
      <c r="F355" s="743" t="s">
        <v>131</v>
      </c>
      <c r="G355" s="783">
        <f>E355*A355</f>
        <v>254</v>
      </c>
      <c r="H355" s="783"/>
    </row>
    <row r="356" spans="1:8">
      <c r="B356" s="721"/>
      <c r="C356" s="743"/>
      <c r="E356" s="720"/>
      <c r="F356" s="776"/>
      <c r="G356" s="783"/>
      <c r="H356" s="783"/>
    </row>
    <row r="357" spans="1:8">
      <c r="B357" s="721"/>
      <c r="C357" s="743" t="s">
        <v>3140</v>
      </c>
      <c r="E357" s="720"/>
      <c r="F357" s="780"/>
      <c r="G357" s="808">
        <f>SUM(G353:G356)</f>
        <v>1110</v>
      </c>
      <c r="H357" s="783"/>
    </row>
    <row r="358" spans="1:8">
      <c r="B358" s="721"/>
      <c r="E358" s="720"/>
      <c r="F358" s="776"/>
      <c r="G358" s="783"/>
      <c r="H358" s="783"/>
    </row>
    <row r="359" spans="1:8">
      <c r="A359" s="810"/>
      <c r="B359" s="811"/>
      <c r="C359" s="812"/>
      <c r="D359" s="810"/>
      <c r="E359" s="813"/>
      <c r="F359" s="814"/>
      <c r="G359" s="815"/>
      <c r="H359" s="815"/>
    </row>
    <row r="360" spans="1:8">
      <c r="A360" s="783"/>
      <c r="B360" s="783"/>
      <c r="C360" s="783"/>
      <c r="D360" s="783"/>
      <c r="E360" s="783"/>
      <c r="F360" s="783"/>
      <c r="G360" s="783"/>
      <c r="H360" s="783"/>
    </row>
    <row r="361" spans="1:8">
      <c r="A361" s="1782" t="s">
        <v>3267</v>
      </c>
      <c r="B361" s="1782"/>
      <c r="C361" s="1782"/>
      <c r="D361" s="1782"/>
      <c r="E361" s="1782"/>
      <c r="F361" s="1782"/>
      <c r="G361" s="1782"/>
      <c r="H361" s="1782"/>
    </row>
    <row r="362" spans="1:8">
      <c r="A362" s="783"/>
      <c r="B362" s="783" t="s">
        <v>3223</v>
      </c>
      <c r="C362" s="783" t="s">
        <v>3224</v>
      </c>
      <c r="D362" s="783"/>
      <c r="E362" s="783"/>
      <c r="F362" s="783"/>
      <c r="G362" s="783"/>
      <c r="H362" s="783"/>
    </row>
    <row r="363" spans="1:8">
      <c r="A363" s="783"/>
      <c r="B363" s="783"/>
      <c r="C363" s="783" t="s">
        <v>3225</v>
      </c>
      <c r="D363" s="783" t="s">
        <v>89</v>
      </c>
      <c r="E363" s="783" t="s">
        <v>3268</v>
      </c>
      <c r="F363" s="783" t="s">
        <v>89</v>
      </c>
      <c r="G363" s="802">
        <f>1*2*2.4*1.558</f>
        <v>7.48</v>
      </c>
      <c r="H363" s="783" t="s">
        <v>39</v>
      </c>
    </row>
    <row r="364" spans="1:8">
      <c r="A364" s="783"/>
      <c r="B364" s="783" t="s">
        <v>3227</v>
      </c>
      <c r="C364" s="783" t="s">
        <v>3228</v>
      </c>
      <c r="D364" s="783"/>
      <c r="E364" s="783"/>
      <c r="F364" s="783"/>
      <c r="G364" s="802"/>
      <c r="H364" s="783"/>
    </row>
    <row r="365" spans="1:8">
      <c r="A365" s="783"/>
      <c r="B365" s="783"/>
      <c r="C365" s="783" t="s">
        <v>3229</v>
      </c>
      <c r="D365" s="783" t="s">
        <v>89</v>
      </c>
      <c r="E365" s="783" t="s">
        <v>3269</v>
      </c>
      <c r="F365" s="783" t="s">
        <v>89</v>
      </c>
      <c r="G365" s="802">
        <f>1*4*1.05*0.695</f>
        <v>2.92</v>
      </c>
      <c r="H365" s="783" t="s">
        <v>39</v>
      </c>
    </row>
    <row r="366" spans="1:8">
      <c r="A366" s="783"/>
      <c r="B366" s="783" t="s">
        <v>3231</v>
      </c>
      <c r="C366" s="783" t="s">
        <v>3232</v>
      </c>
      <c r="D366" s="783"/>
      <c r="E366" s="783"/>
      <c r="F366" s="783"/>
      <c r="G366" s="802"/>
      <c r="H366" s="783"/>
    </row>
    <row r="367" spans="1:8">
      <c r="A367" s="783"/>
      <c r="B367" s="783"/>
      <c r="C367" s="783" t="s">
        <v>3233</v>
      </c>
      <c r="D367" s="783" t="s">
        <v>89</v>
      </c>
      <c r="E367" s="783" t="s">
        <v>3270</v>
      </c>
      <c r="F367" s="783" t="s">
        <v>89</v>
      </c>
      <c r="G367" s="802">
        <f>1*1*2.4*1.088</f>
        <v>2.61</v>
      </c>
      <c r="H367" s="783" t="s">
        <v>39</v>
      </c>
    </row>
    <row r="368" spans="1:8">
      <c r="A368" s="783"/>
      <c r="B368" s="783" t="s">
        <v>3235</v>
      </c>
      <c r="C368" s="783" t="s">
        <v>3236</v>
      </c>
      <c r="D368" s="783"/>
      <c r="E368" s="783"/>
      <c r="F368" s="783"/>
      <c r="G368" s="802"/>
      <c r="H368" s="783"/>
    </row>
    <row r="369" spans="1:8">
      <c r="A369" s="783"/>
      <c r="B369" s="783"/>
      <c r="C369" s="783" t="s">
        <v>3237</v>
      </c>
      <c r="D369" s="783" t="s">
        <v>89</v>
      </c>
      <c r="E369" s="783" t="s">
        <v>3271</v>
      </c>
      <c r="F369" s="783" t="s">
        <v>89</v>
      </c>
      <c r="G369" s="802">
        <f>1*4*0.95*0.605</f>
        <v>2.2999999999999998</v>
      </c>
      <c r="H369" s="783" t="s">
        <v>39</v>
      </c>
    </row>
    <row r="370" spans="1:8">
      <c r="A370" s="783"/>
      <c r="B370" s="783" t="s">
        <v>3239</v>
      </c>
      <c r="C370" s="783" t="s">
        <v>3240</v>
      </c>
      <c r="D370" s="783"/>
      <c r="E370" s="783"/>
      <c r="F370" s="783"/>
      <c r="G370" s="802"/>
      <c r="H370" s="783"/>
    </row>
    <row r="371" spans="1:8">
      <c r="A371" s="783"/>
      <c r="B371" s="783"/>
      <c r="C371" s="783" t="s">
        <v>3241</v>
      </c>
      <c r="D371" s="783" t="s">
        <v>89</v>
      </c>
      <c r="E371" s="783" t="s">
        <v>3272</v>
      </c>
      <c r="F371" s="783" t="s">
        <v>89</v>
      </c>
      <c r="G371" s="802">
        <f>1*4*0.95*0.488</f>
        <v>1.85</v>
      </c>
      <c r="H371" s="783" t="s">
        <v>39</v>
      </c>
    </row>
    <row r="372" spans="1:8">
      <c r="A372" s="783"/>
      <c r="B372" s="783" t="s">
        <v>3239</v>
      </c>
      <c r="C372" s="783" t="s">
        <v>3243</v>
      </c>
      <c r="D372" s="783"/>
      <c r="E372" s="783"/>
      <c r="F372" s="783"/>
      <c r="G372" s="802"/>
      <c r="H372" s="783"/>
    </row>
    <row r="373" spans="1:8">
      <c r="A373" s="783"/>
      <c r="B373" s="783"/>
      <c r="C373" s="783" t="s">
        <v>3244</v>
      </c>
      <c r="D373" s="783" t="s">
        <v>89</v>
      </c>
      <c r="E373" s="783" t="s">
        <v>3273</v>
      </c>
      <c r="F373" s="783" t="s">
        <v>89</v>
      </c>
      <c r="G373" s="802">
        <f>2*4*0.55*0.355</f>
        <v>1.56</v>
      </c>
      <c r="H373" s="783" t="s">
        <v>39</v>
      </c>
    </row>
    <row r="374" spans="1:8">
      <c r="A374" s="783"/>
      <c r="B374" s="783"/>
      <c r="C374" s="783"/>
      <c r="D374" s="783"/>
      <c r="E374" s="783"/>
      <c r="F374" s="783"/>
      <c r="G374" s="802">
        <f>SUM(G363:G373)</f>
        <v>18.72</v>
      </c>
      <c r="H374" s="783" t="s">
        <v>39</v>
      </c>
    </row>
    <row r="375" spans="1:8">
      <c r="A375" s="783"/>
      <c r="B375" s="783"/>
      <c r="C375" s="783"/>
      <c r="D375" s="783"/>
      <c r="E375" s="783" t="s">
        <v>3246</v>
      </c>
      <c r="F375" s="783" t="s">
        <v>89</v>
      </c>
      <c r="G375" s="802">
        <f>G374*10%</f>
        <v>1.87</v>
      </c>
      <c r="H375" s="783" t="s">
        <v>39</v>
      </c>
    </row>
    <row r="376" spans="1:8">
      <c r="A376" s="783"/>
      <c r="B376" s="783"/>
      <c r="C376" s="783"/>
      <c r="D376" s="783"/>
      <c r="E376" s="783"/>
      <c r="F376" s="783"/>
      <c r="G376" s="803">
        <f>SUM(G374:G375)</f>
        <v>20.59</v>
      </c>
      <c r="H376" s="783" t="s">
        <v>39</v>
      </c>
    </row>
    <row r="377" spans="1:8">
      <c r="A377" s="783"/>
      <c r="B377" s="783"/>
      <c r="C377" s="783"/>
      <c r="D377" s="783"/>
      <c r="E377" s="783"/>
      <c r="F377" s="783"/>
      <c r="G377" s="783"/>
      <c r="H377" s="783"/>
    </row>
    <row r="378" spans="1:8">
      <c r="A378" s="783"/>
      <c r="B378" s="804" t="s">
        <v>3247</v>
      </c>
      <c r="C378" s="783" t="s">
        <v>3248</v>
      </c>
      <c r="D378" s="783"/>
      <c r="E378" s="783"/>
      <c r="F378" s="783"/>
      <c r="G378" s="802"/>
      <c r="H378" s="783"/>
    </row>
    <row r="379" spans="1:8" ht="17.25">
      <c r="A379" s="783"/>
      <c r="B379" s="783"/>
      <c r="C379" s="783" t="s">
        <v>3249</v>
      </c>
      <c r="D379" s="783" t="s">
        <v>89</v>
      </c>
      <c r="E379" s="783" t="s">
        <v>3274</v>
      </c>
      <c r="F379" s="783" t="s">
        <v>89</v>
      </c>
      <c r="G379" s="816">
        <f>1*4*0.55*0.95</f>
        <v>2.09</v>
      </c>
      <c r="H379" s="783" t="s">
        <v>3251</v>
      </c>
    </row>
    <row r="380" spans="1:8">
      <c r="A380" s="783"/>
      <c r="B380" s="783"/>
      <c r="C380" s="783"/>
      <c r="D380" s="783"/>
      <c r="E380" s="783"/>
      <c r="F380" s="783"/>
      <c r="G380" s="802"/>
      <c r="H380" s="783"/>
    </row>
    <row r="381" spans="1:8">
      <c r="A381" s="783"/>
      <c r="B381" s="804" t="s">
        <v>3252</v>
      </c>
      <c r="C381" s="783" t="s">
        <v>3125</v>
      </c>
      <c r="D381" s="783" t="s">
        <v>89</v>
      </c>
      <c r="E381" s="783" t="s">
        <v>3275</v>
      </c>
      <c r="F381" s="783" t="s">
        <v>89</v>
      </c>
      <c r="G381" s="802">
        <f>1*2*4*3.3</f>
        <v>26.4</v>
      </c>
      <c r="H381" s="783" t="s">
        <v>13</v>
      </c>
    </row>
    <row r="382" spans="1:8">
      <c r="A382" s="783"/>
      <c r="B382" s="783"/>
      <c r="C382" s="783"/>
      <c r="D382" s="783"/>
      <c r="E382" s="783"/>
      <c r="F382" s="783"/>
      <c r="G382" s="802"/>
      <c r="H382" s="783"/>
    </row>
    <row r="383" spans="1:8" ht="17.25">
      <c r="A383" s="783"/>
      <c r="B383" s="804" t="s">
        <v>3254</v>
      </c>
      <c r="C383" s="783" t="s">
        <v>3255</v>
      </c>
      <c r="D383" s="783" t="s">
        <v>89</v>
      </c>
      <c r="E383" s="783" t="s">
        <v>3276</v>
      </c>
      <c r="F383" s="783" t="s">
        <v>89</v>
      </c>
      <c r="G383" s="802">
        <f>2.4*1.05</f>
        <v>2.52</v>
      </c>
      <c r="H383" s="783" t="s">
        <v>3251</v>
      </c>
    </row>
    <row r="384" spans="1:8">
      <c r="A384" s="783"/>
      <c r="B384" s="783"/>
      <c r="C384" s="783"/>
      <c r="D384" s="783"/>
      <c r="E384" s="783"/>
      <c r="F384" s="783"/>
      <c r="G384" s="783"/>
      <c r="H384" s="783"/>
    </row>
    <row r="385" spans="1:8">
      <c r="A385" s="783"/>
      <c r="B385" s="783"/>
      <c r="C385" s="783"/>
      <c r="D385" s="783"/>
      <c r="E385" s="783"/>
      <c r="F385" s="783"/>
      <c r="G385" s="783"/>
      <c r="H385" s="783"/>
    </row>
    <row r="386" spans="1:8">
      <c r="A386" s="783"/>
      <c r="B386" s="783"/>
      <c r="C386" s="783"/>
      <c r="D386" s="783"/>
      <c r="E386" s="783"/>
      <c r="F386" s="783"/>
      <c r="G386" s="783"/>
      <c r="H386" s="783"/>
    </row>
    <row r="387" spans="1:8">
      <c r="A387" s="741">
        <v>20.59</v>
      </c>
      <c r="B387" s="742" t="s">
        <v>476</v>
      </c>
      <c r="C387" s="743" t="s">
        <v>3257</v>
      </c>
      <c r="D387" s="744"/>
      <c r="E387" s="744">
        <v>287</v>
      </c>
      <c r="F387" s="742" t="s">
        <v>476</v>
      </c>
      <c r="G387" s="744">
        <f t="shared" ref="G387:G392" si="15">E387*A387</f>
        <v>5909.33</v>
      </c>
      <c r="H387" s="783"/>
    </row>
    <row r="388" spans="1:8">
      <c r="A388" s="741">
        <v>2.09</v>
      </c>
      <c r="B388" s="742" t="s">
        <v>468</v>
      </c>
      <c r="C388" s="743" t="s">
        <v>3258</v>
      </c>
      <c r="D388" s="744"/>
      <c r="E388" s="744">
        <v>336</v>
      </c>
      <c r="F388" s="742" t="s">
        <v>468</v>
      </c>
      <c r="G388" s="744">
        <f t="shared" si="15"/>
        <v>702.24</v>
      </c>
      <c r="H388" s="783"/>
    </row>
    <row r="389" spans="1:8">
      <c r="A389" s="741">
        <v>26.4</v>
      </c>
      <c r="B389" s="742" t="s">
        <v>13</v>
      </c>
      <c r="C389" s="743" t="s">
        <v>3155</v>
      </c>
      <c r="D389" s="744"/>
      <c r="E389" s="744">
        <v>27.1</v>
      </c>
      <c r="F389" s="742" t="s">
        <v>13</v>
      </c>
      <c r="G389" s="744">
        <f t="shared" si="15"/>
        <v>715.44</v>
      </c>
      <c r="H389" s="783"/>
    </row>
    <row r="390" spans="1:8">
      <c r="A390" s="741">
        <v>1</v>
      </c>
      <c r="B390" s="742" t="s">
        <v>237</v>
      </c>
      <c r="C390" s="743" t="s">
        <v>3259</v>
      </c>
      <c r="D390" s="744"/>
      <c r="E390" s="744">
        <v>59.4</v>
      </c>
      <c r="F390" s="742" t="s">
        <v>237</v>
      </c>
      <c r="G390" s="744">
        <f t="shared" si="15"/>
        <v>59.4</v>
      </c>
      <c r="H390" s="783"/>
    </row>
    <row r="391" spans="1:8">
      <c r="A391" s="741">
        <v>1</v>
      </c>
      <c r="B391" s="742" t="s">
        <v>237</v>
      </c>
      <c r="C391" s="743" t="s">
        <v>3260</v>
      </c>
      <c r="D391" s="744"/>
      <c r="E391" s="744">
        <v>13.1</v>
      </c>
      <c r="F391" s="742" t="s">
        <v>237</v>
      </c>
      <c r="G391" s="744">
        <f t="shared" si="15"/>
        <v>13.1</v>
      </c>
      <c r="H391" s="783"/>
    </row>
    <row r="392" spans="1:8">
      <c r="A392" s="741">
        <v>2.52</v>
      </c>
      <c r="B392" s="742" t="s">
        <v>724</v>
      </c>
      <c r="C392" s="743" t="s">
        <v>3158</v>
      </c>
      <c r="E392">
        <f>G402</f>
        <v>1110</v>
      </c>
      <c r="F392" s="742" t="s">
        <v>724</v>
      </c>
      <c r="G392" s="744">
        <f t="shared" si="15"/>
        <v>2797.2</v>
      </c>
      <c r="H392" s="783"/>
    </row>
    <row r="393" spans="1:8">
      <c r="B393" s="721"/>
      <c r="C393" s="743" t="s">
        <v>1557</v>
      </c>
      <c r="E393" s="805"/>
      <c r="F393" s="744" t="s">
        <v>49</v>
      </c>
      <c r="G393">
        <v>4.26</v>
      </c>
      <c r="H393" s="783"/>
    </row>
    <row r="394" spans="1:8">
      <c r="C394" s="806" t="s">
        <v>1541</v>
      </c>
      <c r="F394" s="778"/>
      <c r="G394" s="721">
        <f>SUM(G387:G393)</f>
        <v>10200.969999999999</v>
      </c>
      <c r="H394" s="783"/>
    </row>
    <row r="395" spans="1:8">
      <c r="C395" s="807" t="s">
        <v>3262</v>
      </c>
      <c r="D395" s="808" t="s">
        <v>89</v>
      </c>
      <c r="E395" s="808"/>
      <c r="F395" s="719"/>
      <c r="G395" s="803">
        <f>G394/A392</f>
        <v>4048</v>
      </c>
      <c r="H395" s="783"/>
    </row>
    <row r="396" spans="1:8">
      <c r="A396" s="783"/>
      <c r="B396" s="783"/>
      <c r="C396" s="783"/>
      <c r="D396" s="783"/>
      <c r="E396" s="783"/>
      <c r="F396" s="783"/>
      <c r="G396" s="783"/>
      <c r="H396" s="783"/>
    </row>
    <row r="397" spans="1:8">
      <c r="A397" s="783"/>
      <c r="B397" s="783"/>
      <c r="C397" s="809" t="s">
        <v>3263</v>
      </c>
      <c r="D397" s="783"/>
      <c r="E397" s="783"/>
      <c r="F397" s="783"/>
      <c r="G397" s="783"/>
      <c r="H397" s="783"/>
    </row>
    <row r="398" spans="1:8">
      <c r="A398" s="744">
        <v>1</v>
      </c>
      <c r="B398" s="742" t="s">
        <v>131</v>
      </c>
      <c r="C398" s="743" t="s">
        <v>3264</v>
      </c>
      <c r="D398" s="744"/>
      <c r="E398" s="744">
        <v>501</v>
      </c>
      <c r="F398" s="743" t="s">
        <v>131</v>
      </c>
      <c r="G398" s="802">
        <f>E398*A398</f>
        <v>501</v>
      </c>
      <c r="H398" s="783"/>
    </row>
    <row r="399" spans="1:8">
      <c r="A399" s="744">
        <v>1</v>
      </c>
      <c r="B399" s="742" t="s">
        <v>131</v>
      </c>
      <c r="C399" s="743" t="s">
        <v>3265</v>
      </c>
      <c r="D399" s="744"/>
      <c r="E399" s="744">
        <v>355</v>
      </c>
      <c r="F399" s="743" t="s">
        <v>131</v>
      </c>
      <c r="G399" s="802">
        <f>E399*A399</f>
        <v>355</v>
      </c>
      <c r="H399" s="783"/>
    </row>
    <row r="400" spans="1:8">
      <c r="A400" s="744">
        <v>0.5</v>
      </c>
      <c r="B400" s="742" t="s">
        <v>131</v>
      </c>
      <c r="C400" s="743" t="s">
        <v>3266</v>
      </c>
      <c r="D400" s="744"/>
      <c r="E400" s="744">
        <v>508</v>
      </c>
      <c r="F400" s="743" t="s">
        <v>131</v>
      </c>
      <c r="G400" s="802">
        <f>E400*A400</f>
        <v>254</v>
      </c>
      <c r="H400" s="783"/>
    </row>
    <row r="401" spans="1:8">
      <c r="B401" s="721"/>
      <c r="C401" s="743"/>
      <c r="E401" s="720"/>
      <c r="F401" s="776"/>
      <c r="G401" s="783"/>
      <c r="H401" s="783"/>
    </row>
    <row r="402" spans="1:8">
      <c r="B402" s="721"/>
      <c r="C402" s="743" t="s">
        <v>3140</v>
      </c>
      <c r="E402" s="720"/>
      <c r="F402" s="780"/>
      <c r="G402" s="808">
        <f>SUM(G398:G401)</f>
        <v>1110</v>
      </c>
      <c r="H402" s="783"/>
    </row>
    <row r="403" spans="1:8">
      <c r="B403" s="721"/>
      <c r="E403" s="720"/>
      <c r="F403" s="776"/>
      <c r="G403" s="783"/>
      <c r="H403" s="783"/>
    </row>
    <row r="404" spans="1:8">
      <c r="A404" s="815"/>
      <c r="B404" s="815"/>
      <c r="C404" s="815"/>
      <c r="D404" s="815"/>
      <c r="E404" s="815"/>
      <c r="F404" s="815"/>
      <c r="G404" s="815"/>
      <c r="H404" s="815"/>
    </row>
    <row r="405" spans="1:8">
      <c r="A405" s="783"/>
      <c r="B405" s="783"/>
      <c r="C405" s="783"/>
      <c r="D405" s="783"/>
      <c r="E405" s="783"/>
      <c r="F405" s="783"/>
      <c r="G405" s="783"/>
      <c r="H405" s="783"/>
    </row>
    <row r="406" spans="1:8">
      <c r="A406" s="1782" t="s">
        <v>3277</v>
      </c>
      <c r="B406" s="1782"/>
      <c r="C406" s="1782"/>
      <c r="D406" s="1782"/>
      <c r="E406" s="1782"/>
      <c r="F406" s="1782"/>
      <c r="G406" s="1782"/>
      <c r="H406" s="1782"/>
    </row>
    <row r="407" spans="1:8">
      <c r="A407" s="783"/>
      <c r="B407" s="783" t="s">
        <v>3223</v>
      </c>
      <c r="C407" s="783" t="s">
        <v>3224</v>
      </c>
      <c r="D407" s="783"/>
      <c r="E407" s="783"/>
      <c r="F407" s="783"/>
      <c r="G407" s="783"/>
      <c r="H407" s="783"/>
    </row>
    <row r="408" spans="1:8">
      <c r="A408" s="783"/>
      <c r="B408" s="783"/>
      <c r="C408" s="783" t="s">
        <v>3225</v>
      </c>
      <c r="D408" s="783" t="s">
        <v>89</v>
      </c>
      <c r="E408" s="783" t="s">
        <v>3278</v>
      </c>
      <c r="F408" s="783" t="s">
        <v>89</v>
      </c>
      <c r="G408" s="802">
        <f>1*1*0.9*1.558</f>
        <v>1.4</v>
      </c>
      <c r="H408" s="783" t="s">
        <v>39</v>
      </c>
    </row>
    <row r="409" spans="1:8">
      <c r="A409" s="783"/>
      <c r="B409" s="783" t="s">
        <v>3227</v>
      </c>
      <c r="C409" s="783" t="s">
        <v>3228</v>
      </c>
      <c r="D409" s="783"/>
      <c r="E409" s="783"/>
      <c r="F409" s="783"/>
      <c r="G409" s="783"/>
      <c r="H409" s="783"/>
    </row>
    <row r="410" spans="1:8">
      <c r="A410" s="783"/>
      <c r="B410" s="783"/>
      <c r="C410" s="783" t="s">
        <v>3229</v>
      </c>
      <c r="D410" s="783" t="s">
        <v>89</v>
      </c>
      <c r="E410" s="783" t="s">
        <v>3230</v>
      </c>
      <c r="F410" s="783" t="s">
        <v>89</v>
      </c>
      <c r="G410" s="802">
        <f>1*2*1.35*0.695</f>
        <v>1.88</v>
      </c>
      <c r="H410" s="783" t="s">
        <v>39</v>
      </c>
    </row>
    <row r="411" spans="1:8">
      <c r="A411" s="783"/>
      <c r="B411" s="783" t="s">
        <v>3231</v>
      </c>
      <c r="C411" s="783" t="s">
        <v>3232</v>
      </c>
      <c r="D411" s="783"/>
      <c r="E411" s="783"/>
      <c r="F411" s="783"/>
      <c r="G411" s="802"/>
      <c r="H411" s="783"/>
    </row>
    <row r="412" spans="1:8">
      <c r="A412" s="783"/>
      <c r="B412" s="783"/>
      <c r="C412" s="783" t="s">
        <v>3233</v>
      </c>
      <c r="D412" s="783" t="s">
        <v>89</v>
      </c>
      <c r="E412" s="783" t="s">
        <v>3279</v>
      </c>
      <c r="F412" s="783" t="s">
        <v>89</v>
      </c>
      <c r="G412" s="802">
        <f>1*1*0.9*1.088</f>
        <v>0.98</v>
      </c>
      <c r="H412" s="783" t="s">
        <v>39</v>
      </c>
    </row>
    <row r="413" spans="1:8">
      <c r="A413" s="783"/>
      <c r="B413" s="783" t="s">
        <v>3235</v>
      </c>
      <c r="C413" s="783" t="s">
        <v>3236</v>
      </c>
      <c r="D413" s="783"/>
      <c r="E413" s="783"/>
      <c r="F413" s="783"/>
      <c r="G413" s="802"/>
      <c r="H413" s="783"/>
    </row>
    <row r="414" spans="1:8">
      <c r="A414" s="783"/>
      <c r="B414" s="783"/>
      <c r="C414" s="783" t="s">
        <v>3237</v>
      </c>
      <c r="D414" s="783" t="s">
        <v>89</v>
      </c>
      <c r="E414" s="783" t="s">
        <v>3238</v>
      </c>
      <c r="F414" s="783" t="s">
        <v>89</v>
      </c>
      <c r="G414" s="802">
        <f>1*2*1.25*0.605</f>
        <v>1.51</v>
      </c>
      <c r="H414" s="783" t="s">
        <v>39</v>
      </c>
    </row>
    <row r="415" spans="1:8">
      <c r="A415" s="783"/>
      <c r="B415" s="783" t="s">
        <v>3239</v>
      </c>
      <c r="C415" s="783" t="s">
        <v>3240</v>
      </c>
      <c r="D415" s="783"/>
      <c r="E415" s="783"/>
      <c r="F415" s="783"/>
      <c r="G415" s="802"/>
      <c r="H415" s="783"/>
    </row>
    <row r="416" spans="1:8">
      <c r="A416" s="783"/>
      <c r="B416" s="783"/>
      <c r="C416" s="783" t="s">
        <v>3241</v>
      </c>
      <c r="D416" s="783" t="s">
        <v>89</v>
      </c>
      <c r="E416" s="783" t="s">
        <v>3242</v>
      </c>
      <c r="F416" s="783" t="s">
        <v>89</v>
      </c>
      <c r="G416" s="802">
        <f>1*2*1.25*0.488</f>
        <v>1.22</v>
      </c>
      <c r="H416" s="783" t="s">
        <v>39</v>
      </c>
    </row>
    <row r="417" spans="1:8">
      <c r="A417" s="783"/>
      <c r="B417" s="783" t="s">
        <v>3239</v>
      </c>
      <c r="C417" s="783" t="s">
        <v>3243</v>
      </c>
      <c r="D417" s="783"/>
      <c r="E417" s="783"/>
      <c r="F417" s="783"/>
      <c r="G417" s="802"/>
      <c r="H417" s="783"/>
    </row>
    <row r="418" spans="1:8">
      <c r="A418" s="783"/>
      <c r="B418" s="783"/>
      <c r="C418" s="783" t="s">
        <v>3244</v>
      </c>
      <c r="D418" s="783" t="s">
        <v>89</v>
      </c>
      <c r="E418" s="783" t="s">
        <v>3280</v>
      </c>
      <c r="F418" s="783" t="s">
        <v>89</v>
      </c>
      <c r="G418" s="802">
        <f>2*2*0.45*0.355</f>
        <v>0.64</v>
      </c>
      <c r="H418" s="783" t="s">
        <v>39</v>
      </c>
    </row>
    <row r="419" spans="1:8">
      <c r="A419" s="783"/>
      <c r="B419" s="783"/>
      <c r="C419" s="783"/>
      <c r="D419" s="783"/>
      <c r="E419" s="783"/>
      <c r="F419" s="783"/>
      <c r="G419" s="802">
        <f>SUM(G408:G418)</f>
        <v>7.63</v>
      </c>
      <c r="H419" s="783" t="s">
        <v>39</v>
      </c>
    </row>
    <row r="420" spans="1:8">
      <c r="A420" s="783"/>
      <c r="B420" s="783"/>
      <c r="C420" s="783"/>
      <c r="D420" s="783"/>
      <c r="E420" s="783" t="s">
        <v>3246</v>
      </c>
      <c r="F420" s="783" t="s">
        <v>89</v>
      </c>
      <c r="G420" s="802">
        <f>G419*10%</f>
        <v>0.76</v>
      </c>
      <c r="H420" s="783" t="s">
        <v>39</v>
      </c>
    </row>
    <row r="421" spans="1:8">
      <c r="A421" s="783"/>
      <c r="B421" s="783"/>
      <c r="C421" s="783"/>
      <c r="D421" s="783"/>
      <c r="E421" s="783"/>
      <c r="F421" s="783"/>
      <c r="G421" s="817">
        <f>SUM(G419:G420)</f>
        <v>8.39</v>
      </c>
      <c r="H421" s="783" t="s">
        <v>39</v>
      </c>
    </row>
    <row r="422" spans="1:8">
      <c r="A422" s="783"/>
      <c r="B422" s="783"/>
      <c r="C422" s="783"/>
      <c r="D422" s="783"/>
      <c r="E422" s="783"/>
      <c r="F422" s="783"/>
      <c r="G422" s="783"/>
      <c r="H422" s="783"/>
    </row>
    <row r="423" spans="1:8">
      <c r="A423" s="783"/>
      <c r="B423" s="804" t="s">
        <v>3247</v>
      </c>
      <c r="C423" s="783" t="s">
        <v>3248</v>
      </c>
      <c r="D423" s="783"/>
      <c r="E423" s="783"/>
      <c r="F423" s="783"/>
      <c r="G423" s="783"/>
      <c r="H423" s="783"/>
    </row>
    <row r="424" spans="1:8" ht="17.25">
      <c r="A424" s="783"/>
      <c r="B424" s="783"/>
      <c r="C424" s="783" t="s">
        <v>3249</v>
      </c>
      <c r="D424" s="783" t="s">
        <v>89</v>
      </c>
      <c r="E424" s="783" t="s">
        <v>3281</v>
      </c>
      <c r="F424" s="783" t="s">
        <v>89</v>
      </c>
      <c r="G424" s="816">
        <f>1*2*0.45*1.25</f>
        <v>1.125</v>
      </c>
      <c r="H424" s="783" t="s">
        <v>3251</v>
      </c>
    </row>
    <row r="425" spans="1:8">
      <c r="A425" s="783"/>
      <c r="B425" s="783"/>
      <c r="C425" s="783"/>
      <c r="D425" s="783"/>
      <c r="E425" s="783"/>
      <c r="F425" s="783"/>
      <c r="G425" s="802"/>
      <c r="H425" s="783"/>
    </row>
    <row r="426" spans="1:8">
      <c r="A426" s="783"/>
      <c r="B426" s="804" t="s">
        <v>3252</v>
      </c>
      <c r="C426" s="783" t="s">
        <v>3125</v>
      </c>
      <c r="D426" s="783" t="s">
        <v>89</v>
      </c>
      <c r="E426" s="783" t="s">
        <v>3282</v>
      </c>
      <c r="F426" s="783" t="s">
        <v>89</v>
      </c>
      <c r="G426" s="802">
        <f>1*2*2*3.4</f>
        <v>13.6</v>
      </c>
      <c r="H426" s="783" t="s">
        <v>13</v>
      </c>
    </row>
    <row r="427" spans="1:8">
      <c r="A427" s="783"/>
      <c r="B427" s="783"/>
      <c r="C427" s="783"/>
      <c r="D427" s="783"/>
      <c r="E427" s="783"/>
      <c r="F427" s="783"/>
      <c r="G427" s="802"/>
      <c r="H427" s="783"/>
    </row>
    <row r="428" spans="1:8" ht="17.25">
      <c r="A428" s="783"/>
      <c r="B428" s="804" t="s">
        <v>3254</v>
      </c>
      <c r="C428" s="783" t="s">
        <v>3255</v>
      </c>
      <c r="D428" s="783" t="s">
        <v>89</v>
      </c>
      <c r="E428" s="783" t="s">
        <v>3283</v>
      </c>
      <c r="F428" s="783" t="s">
        <v>89</v>
      </c>
      <c r="G428" s="802">
        <f>0.9*1.35</f>
        <v>1.22</v>
      </c>
      <c r="H428" s="783" t="s">
        <v>3251</v>
      </c>
    </row>
    <row r="429" spans="1:8">
      <c r="A429" s="783"/>
      <c r="B429" s="783"/>
      <c r="C429" s="783"/>
      <c r="D429" s="783"/>
      <c r="E429" s="783"/>
      <c r="F429" s="783"/>
      <c r="G429" s="783"/>
      <c r="H429" s="783"/>
    </row>
    <row r="430" spans="1:8">
      <c r="A430" s="783"/>
      <c r="B430" s="783"/>
      <c r="C430" s="783"/>
      <c r="D430" s="783"/>
      <c r="E430" s="783"/>
      <c r="F430" s="783"/>
      <c r="G430" s="783"/>
      <c r="H430" s="783"/>
    </row>
    <row r="431" spans="1:8">
      <c r="A431" s="783"/>
      <c r="B431" s="783"/>
      <c r="C431" s="783"/>
      <c r="D431" s="783"/>
      <c r="E431" s="783"/>
      <c r="F431" s="783"/>
      <c r="G431" s="783"/>
      <c r="H431" s="783"/>
    </row>
    <row r="432" spans="1:8">
      <c r="A432" s="741">
        <f>G421</f>
        <v>8.39</v>
      </c>
      <c r="B432" s="742" t="s">
        <v>476</v>
      </c>
      <c r="C432" s="743" t="s">
        <v>3257</v>
      </c>
      <c r="D432" s="744"/>
      <c r="E432" s="744">
        <v>287</v>
      </c>
      <c r="F432" s="742" t="s">
        <v>476</v>
      </c>
      <c r="G432" s="744">
        <f t="shared" ref="G432:G437" si="16">E432*A432</f>
        <v>2407.9299999999998</v>
      </c>
      <c r="H432" s="783"/>
    </row>
    <row r="433" spans="1:8">
      <c r="A433" s="741">
        <f>G424</f>
        <v>1.125</v>
      </c>
      <c r="B433" s="742" t="s">
        <v>468</v>
      </c>
      <c r="C433" s="743" t="s">
        <v>3258</v>
      </c>
      <c r="D433" s="744"/>
      <c r="E433" s="744">
        <v>336</v>
      </c>
      <c r="F433" s="742" t="s">
        <v>468</v>
      </c>
      <c r="G433" s="744">
        <f t="shared" si="16"/>
        <v>378</v>
      </c>
      <c r="H433" s="783"/>
    </row>
    <row r="434" spans="1:8">
      <c r="A434" s="741">
        <v>13.6</v>
      </c>
      <c r="B434" s="742" t="s">
        <v>13</v>
      </c>
      <c r="C434" s="743" t="s">
        <v>3155</v>
      </c>
      <c r="D434" s="744"/>
      <c r="E434" s="744">
        <v>27.1</v>
      </c>
      <c r="F434" s="742" t="s">
        <v>13</v>
      </c>
      <c r="G434" s="744">
        <f t="shared" si="16"/>
        <v>368.56</v>
      </c>
      <c r="H434" s="783"/>
    </row>
    <row r="435" spans="1:8">
      <c r="A435" s="741">
        <v>1</v>
      </c>
      <c r="B435" s="742" t="s">
        <v>237</v>
      </c>
      <c r="C435" s="743" t="s">
        <v>3259</v>
      </c>
      <c r="D435" s="744"/>
      <c r="E435" s="744">
        <v>59.4</v>
      </c>
      <c r="F435" s="742" t="s">
        <v>237</v>
      </c>
      <c r="G435" s="744">
        <f t="shared" si="16"/>
        <v>59.4</v>
      </c>
      <c r="H435" s="783"/>
    </row>
    <row r="436" spans="1:8">
      <c r="A436" s="741">
        <v>1</v>
      </c>
      <c r="B436" s="742" t="s">
        <v>237</v>
      </c>
      <c r="C436" s="743" t="s">
        <v>3260</v>
      </c>
      <c r="D436" s="744"/>
      <c r="E436" s="744">
        <v>13.1</v>
      </c>
      <c r="F436" s="742" t="s">
        <v>237</v>
      </c>
      <c r="G436" s="744">
        <f t="shared" si="16"/>
        <v>13.1</v>
      </c>
      <c r="H436" s="783"/>
    </row>
    <row r="437" spans="1:8">
      <c r="A437" s="741">
        <v>1.22</v>
      </c>
      <c r="B437" s="742" t="s">
        <v>724</v>
      </c>
      <c r="C437" s="743" t="s">
        <v>3158</v>
      </c>
      <c r="E437">
        <f>G447</f>
        <v>1110</v>
      </c>
      <c r="F437" s="742" t="s">
        <v>724</v>
      </c>
      <c r="G437" s="744">
        <f t="shared" si="16"/>
        <v>1354.2</v>
      </c>
      <c r="H437" s="783"/>
    </row>
    <row r="438" spans="1:8">
      <c r="B438" s="721"/>
      <c r="C438" s="743" t="s">
        <v>1557</v>
      </c>
      <c r="E438" s="805"/>
      <c r="F438" s="744" t="s">
        <v>49</v>
      </c>
      <c r="G438" s="783">
        <v>4.7</v>
      </c>
      <c r="H438" s="783"/>
    </row>
    <row r="439" spans="1:8">
      <c r="C439" s="806" t="s">
        <v>3284</v>
      </c>
      <c r="F439" s="778"/>
      <c r="G439">
        <f>SUM(G432:G438)</f>
        <v>4585.8900000000003</v>
      </c>
      <c r="H439" s="783"/>
    </row>
    <row r="440" spans="1:8">
      <c r="C440" s="807" t="s">
        <v>3262</v>
      </c>
      <c r="D440" s="808" t="s">
        <v>89</v>
      </c>
      <c r="E440" s="808"/>
      <c r="F440" s="719"/>
      <c r="G440" s="803">
        <f>G439/A437</f>
        <v>3758.93</v>
      </c>
      <c r="H440" s="783"/>
    </row>
    <row r="441" spans="1:8">
      <c r="A441" s="783"/>
      <c r="B441" s="783"/>
      <c r="C441" s="783"/>
      <c r="D441" s="783"/>
      <c r="E441" s="783"/>
      <c r="F441" s="783"/>
      <c r="G441" s="783"/>
      <c r="H441" s="783"/>
    </row>
    <row r="442" spans="1:8">
      <c r="A442" s="783"/>
      <c r="B442" s="783"/>
      <c r="C442" s="809" t="s">
        <v>3263</v>
      </c>
      <c r="D442" s="783"/>
      <c r="E442" s="783"/>
      <c r="F442" s="783"/>
      <c r="G442" s="783"/>
      <c r="H442" s="783"/>
    </row>
    <row r="443" spans="1:8">
      <c r="A443" s="744">
        <v>1</v>
      </c>
      <c r="B443" s="742" t="s">
        <v>131</v>
      </c>
      <c r="C443" s="743" t="s">
        <v>3264</v>
      </c>
      <c r="D443" s="744"/>
      <c r="E443" s="744">
        <v>501</v>
      </c>
      <c r="F443" s="743" t="s">
        <v>131</v>
      </c>
      <c r="G443" s="783">
        <f>E443*A443</f>
        <v>501</v>
      </c>
      <c r="H443" s="783"/>
    </row>
    <row r="444" spans="1:8">
      <c r="A444" s="744">
        <v>1</v>
      </c>
      <c r="B444" s="742" t="s">
        <v>131</v>
      </c>
      <c r="C444" s="743" t="s">
        <v>3265</v>
      </c>
      <c r="D444" s="744"/>
      <c r="E444" s="744">
        <v>355</v>
      </c>
      <c r="F444" s="743" t="s">
        <v>131</v>
      </c>
      <c r="G444" s="783">
        <f>E444*A444</f>
        <v>355</v>
      </c>
      <c r="H444" s="783"/>
    </row>
    <row r="445" spans="1:8">
      <c r="A445" s="744">
        <v>0.5</v>
      </c>
      <c r="B445" s="742" t="s">
        <v>131</v>
      </c>
      <c r="C445" s="743" t="s">
        <v>3266</v>
      </c>
      <c r="D445" s="744"/>
      <c r="E445" s="744">
        <v>508</v>
      </c>
      <c r="F445" s="743" t="s">
        <v>131</v>
      </c>
      <c r="G445" s="783">
        <f>E445*A445</f>
        <v>254</v>
      </c>
      <c r="H445" s="783"/>
    </row>
    <row r="446" spans="1:8">
      <c r="B446" s="721"/>
      <c r="C446" s="743"/>
      <c r="E446" s="720"/>
      <c r="F446" s="776"/>
      <c r="G446" s="783"/>
      <c r="H446" s="783"/>
    </row>
    <row r="447" spans="1:8">
      <c r="B447" s="721"/>
      <c r="C447" s="743" t="s">
        <v>3140</v>
      </c>
      <c r="E447" s="720"/>
      <c r="F447" s="780"/>
      <c r="G447" s="808">
        <f>SUM(G443:G446)</f>
        <v>1110</v>
      </c>
      <c r="H447" s="783"/>
    </row>
    <row r="448" spans="1:8">
      <c r="B448" s="721"/>
      <c r="E448" s="720"/>
      <c r="F448" s="776"/>
      <c r="G448" s="783"/>
      <c r="H448" s="783"/>
    </row>
    <row r="449" spans="1:8">
      <c r="A449" s="815"/>
      <c r="B449" s="815"/>
      <c r="C449" s="815"/>
      <c r="D449" s="815"/>
      <c r="E449" s="815"/>
      <c r="F449" s="815"/>
      <c r="G449" s="815"/>
      <c r="H449" s="815"/>
    </row>
    <row r="450" spans="1:8">
      <c r="A450" s="783"/>
      <c r="B450" s="783"/>
      <c r="C450" s="783"/>
      <c r="D450" s="783"/>
      <c r="E450" s="783"/>
      <c r="F450" s="783"/>
      <c r="G450" s="783"/>
      <c r="H450" s="783"/>
    </row>
    <row r="451" spans="1:8">
      <c r="A451" s="1782" t="s">
        <v>3285</v>
      </c>
      <c r="B451" s="1782"/>
      <c r="C451" s="1782"/>
      <c r="D451" s="1782"/>
      <c r="E451" s="1782"/>
      <c r="F451" s="1782"/>
      <c r="G451" s="1782"/>
      <c r="H451" s="1782"/>
    </row>
    <row r="452" spans="1:8">
      <c r="A452" s="783"/>
      <c r="B452" s="783" t="s">
        <v>3223</v>
      </c>
      <c r="C452" s="783" t="s">
        <v>3224</v>
      </c>
      <c r="D452" s="783"/>
      <c r="E452" s="783"/>
      <c r="F452" s="783"/>
      <c r="G452" s="783"/>
      <c r="H452" s="783"/>
    </row>
    <row r="453" spans="1:8">
      <c r="A453" s="783"/>
      <c r="B453" s="783"/>
      <c r="C453" s="783" t="s">
        <v>3225</v>
      </c>
      <c r="D453" s="783" t="s">
        <v>89</v>
      </c>
      <c r="E453" s="783" t="s">
        <v>3268</v>
      </c>
      <c r="F453" s="783" t="s">
        <v>89</v>
      </c>
      <c r="G453" s="802">
        <f>1*2*2.4*1.558</f>
        <v>7.48</v>
      </c>
      <c r="H453" s="783" t="s">
        <v>39</v>
      </c>
    </row>
    <row r="454" spans="1:8">
      <c r="A454" s="783"/>
      <c r="B454" s="783" t="s">
        <v>3227</v>
      </c>
      <c r="C454" s="783" t="s">
        <v>3228</v>
      </c>
      <c r="D454" s="783"/>
      <c r="E454" s="783"/>
      <c r="F454" s="783"/>
      <c r="G454" s="783"/>
      <c r="H454" s="783"/>
    </row>
    <row r="455" spans="1:8">
      <c r="A455" s="783"/>
      <c r="B455" s="783"/>
      <c r="C455" s="783" t="s">
        <v>3229</v>
      </c>
      <c r="D455" s="783" t="s">
        <v>89</v>
      </c>
      <c r="E455" s="783" t="s">
        <v>3286</v>
      </c>
      <c r="F455" s="783" t="s">
        <v>89</v>
      </c>
      <c r="G455" s="802">
        <f>1*2*1.8*0.695</f>
        <v>2.5</v>
      </c>
      <c r="H455" s="783" t="s">
        <v>39</v>
      </c>
    </row>
    <row r="456" spans="1:8">
      <c r="A456" s="783"/>
      <c r="B456" s="783" t="s">
        <v>3231</v>
      </c>
      <c r="C456" s="783" t="s">
        <v>3232</v>
      </c>
      <c r="D456" s="783"/>
      <c r="E456" s="783"/>
      <c r="F456" s="783"/>
      <c r="G456" s="802"/>
      <c r="H456" s="783"/>
    </row>
    <row r="457" spans="1:8">
      <c r="A457" s="783"/>
      <c r="B457" s="783"/>
      <c r="C457" s="783" t="s">
        <v>3233</v>
      </c>
      <c r="D457" s="783" t="s">
        <v>89</v>
      </c>
      <c r="E457" s="783" t="s">
        <v>3270</v>
      </c>
      <c r="F457" s="783" t="s">
        <v>89</v>
      </c>
      <c r="G457" s="802">
        <f>1*1*2.4*1.088</f>
        <v>2.61</v>
      </c>
      <c r="H457" s="783" t="s">
        <v>39</v>
      </c>
    </row>
    <row r="458" spans="1:8">
      <c r="A458" s="783"/>
      <c r="B458" s="783" t="s">
        <v>3227</v>
      </c>
      <c r="C458" s="783" t="s">
        <v>3228</v>
      </c>
      <c r="D458" s="783"/>
      <c r="E458" s="783"/>
      <c r="F458" s="783"/>
      <c r="G458" s="783"/>
      <c r="H458" s="783"/>
    </row>
    <row r="459" spans="1:8">
      <c r="A459" s="783"/>
      <c r="B459" s="783"/>
      <c r="C459" s="783" t="s">
        <v>3287</v>
      </c>
      <c r="D459" s="783" t="s">
        <v>89</v>
      </c>
      <c r="E459" s="783" t="s">
        <v>3288</v>
      </c>
      <c r="F459" s="783" t="s">
        <v>89</v>
      </c>
      <c r="G459" s="802">
        <f>1*2*1.2*0.695</f>
        <v>1.67</v>
      </c>
      <c r="H459" s="783" t="s">
        <v>39</v>
      </c>
    </row>
    <row r="460" spans="1:8">
      <c r="A460" s="783"/>
      <c r="B460" s="783" t="s">
        <v>3235</v>
      </c>
      <c r="C460" s="783" t="s">
        <v>3236</v>
      </c>
      <c r="D460" s="783"/>
      <c r="E460" s="783"/>
      <c r="F460" s="783"/>
      <c r="G460" s="802"/>
      <c r="H460" s="783"/>
    </row>
    <row r="461" spans="1:8">
      <c r="A461" s="783"/>
      <c r="B461" s="783"/>
      <c r="C461" s="783" t="s">
        <v>3237</v>
      </c>
      <c r="D461" s="783" t="s">
        <v>89</v>
      </c>
      <c r="E461" s="783" t="s">
        <v>3289</v>
      </c>
      <c r="F461" s="783" t="s">
        <v>89</v>
      </c>
      <c r="G461" s="802">
        <f>1*4*1.1*0.605</f>
        <v>2.66</v>
      </c>
      <c r="H461" s="783" t="s">
        <v>39</v>
      </c>
    </row>
    <row r="462" spans="1:8">
      <c r="A462" s="783"/>
      <c r="B462" s="783" t="s">
        <v>3239</v>
      </c>
      <c r="C462" s="783" t="s">
        <v>3240</v>
      </c>
      <c r="D462" s="783"/>
      <c r="E462" s="783"/>
      <c r="F462" s="783"/>
      <c r="G462" s="802"/>
      <c r="H462" s="783"/>
    </row>
    <row r="463" spans="1:8">
      <c r="A463" s="783"/>
      <c r="B463" s="783"/>
      <c r="C463" s="783" t="s">
        <v>3241</v>
      </c>
      <c r="D463" s="783" t="s">
        <v>89</v>
      </c>
      <c r="E463" s="783" t="s">
        <v>3290</v>
      </c>
      <c r="F463" s="783" t="s">
        <v>89</v>
      </c>
      <c r="G463" s="802">
        <f>1*4*1.1*0.488</f>
        <v>2.15</v>
      </c>
      <c r="H463" s="783" t="s">
        <v>39</v>
      </c>
    </row>
    <row r="464" spans="1:8">
      <c r="A464" s="783"/>
      <c r="B464" s="783" t="s">
        <v>3291</v>
      </c>
      <c r="C464" s="783" t="s">
        <v>3243</v>
      </c>
      <c r="D464" s="783"/>
      <c r="E464" s="783"/>
      <c r="F464" s="783"/>
      <c r="G464" s="802"/>
      <c r="H464" s="783"/>
    </row>
    <row r="465" spans="1:8">
      <c r="A465" s="783"/>
      <c r="B465" s="783"/>
      <c r="C465" s="783" t="s">
        <v>3244</v>
      </c>
      <c r="D465" s="783" t="s">
        <v>89</v>
      </c>
      <c r="E465" s="783" t="s">
        <v>3273</v>
      </c>
      <c r="F465" s="783" t="s">
        <v>89</v>
      </c>
      <c r="G465" s="802">
        <f>2*4*0.55*0.355</f>
        <v>1.56</v>
      </c>
      <c r="H465" s="783" t="s">
        <v>39</v>
      </c>
    </row>
    <row r="466" spans="1:8">
      <c r="A466" s="783"/>
      <c r="B466" s="783"/>
      <c r="C466" s="783"/>
      <c r="D466" s="783"/>
      <c r="E466" s="783"/>
      <c r="F466" s="783"/>
      <c r="G466" s="802">
        <f>SUM(G453:G465)</f>
        <v>20.63</v>
      </c>
      <c r="H466" s="783" t="s">
        <v>39</v>
      </c>
    </row>
    <row r="467" spans="1:8">
      <c r="A467" s="783"/>
      <c r="B467" s="783"/>
      <c r="C467" s="783"/>
      <c r="D467" s="783"/>
      <c r="E467" s="783" t="s">
        <v>3246</v>
      </c>
      <c r="F467" s="783" t="s">
        <v>89</v>
      </c>
      <c r="G467" s="802">
        <f>G466*10%</f>
        <v>2.06</v>
      </c>
      <c r="H467" s="783" t="s">
        <v>39</v>
      </c>
    </row>
    <row r="468" spans="1:8">
      <c r="A468" s="783"/>
      <c r="B468" s="783"/>
      <c r="C468" s="783"/>
      <c r="D468" s="783"/>
      <c r="E468" s="783"/>
      <c r="F468" s="783"/>
      <c r="G468" s="803">
        <f>SUM(G466:G467)</f>
        <v>22.69</v>
      </c>
      <c r="H468" s="783" t="s">
        <v>39</v>
      </c>
    </row>
    <row r="469" spans="1:8">
      <c r="A469" s="783"/>
      <c r="B469" s="783"/>
      <c r="C469" s="783"/>
      <c r="D469" s="783"/>
      <c r="E469" s="783"/>
      <c r="F469" s="783"/>
      <c r="G469" s="783"/>
      <c r="H469" s="783"/>
    </row>
    <row r="470" spans="1:8">
      <c r="A470" s="783"/>
      <c r="B470" s="804" t="s">
        <v>3247</v>
      </c>
      <c r="C470" s="783" t="s">
        <v>3248</v>
      </c>
      <c r="D470" s="783"/>
      <c r="E470" s="783"/>
      <c r="F470" s="783"/>
      <c r="G470" s="783"/>
      <c r="H470" s="783"/>
    </row>
    <row r="471" spans="1:8" ht="17.25">
      <c r="A471" s="783"/>
      <c r="B471" s="783"/>
      <c r="C471" s="783" t="s">
        <v>3249</v>
      </c>
      <c r="D471" s="783" t="s">
        <v>89</v>
      </c>
      <c r="E471" s="783" t="s">
        <v>3292</v>
      </c>
      <c r="F471" s="783" t="s">
        <v>89</v>
      </c>
      <c r="G471" s="802">
        <f>1*4*0.55*1.1</f>
        <v>2.42</v>
      </c>
      <c r="H471" s="783" t="s">
        <v>3251</v>
      </c>
    </row>
    <row r="472" spans="1:8" ht="17.25">
      <c r="A472" s="783"/>
      <c r="B472" s="783"/>
      <c r="C472" s="783" t="s">
        <v>3293</v>
      </c>
      <c r="D472" s="783" t="s">
        <v>89</v>
      </c>
      <c r="E472" s="783" t="s">
        <v>3294</v>
      </c>
      <c r="F472" s="783" t="s">
        <v>89</v>
      </c>
      <c r="G472" s="802">
        <f>1*1*2.3*0.6</f>
        <v>1.38</v>
      </c>
      <c r="H472" s="783" t="s">
        <v>3251</v>
      </c>
    </row>
    <row r="473" spans="1:8" ht="17.25">
      <c r="A473" s="783"/>
      <c r="B473" s="783"/>
      <c r="C473" s="783"/>
      <c r="D473" s="783"/>
      <c r="E473" s="783"/>
      <c r="F473" s="783"/>
      <c r="G473" s="803">
        <f>SUM(G471:G472)</f>
        <v>3.8</v>
      </c>
      <c r="H473" s="809" t="s">
        <v>3295</v>
      </c>
    </row>
    <row r="474" spans="1:8">
      <c r="A474" s="783"/>
      <c r="B474" s="783"/>
      <c r="C474" s="783"/>
      <c r="D474" s="783"/>
      <c r="E474" s="783"/>
      <c r="F474" s="783"/>
      <c r="G474" s="803"/>
      <c r="H474" s="809"/>
    </row>
    <row r="475" spans="1:8">
      <c r="A475" s="783"/>
      <c r="B475" s="804" t="s">
        <v>3252</v>
      </c>
      <c r="C475" s="783" t="s">
        <v>3125</v>
      </c>
      <c r="D475" s="783" t="s">
        <v>89</v>
      </c>
      <c r="E475" s="783" t="s">
        <v>3296</v>
      </c>
      <c r="F475" s="783" t="s">
        <v>89</v>
      </c>
      <c r="G475" s="802">
        <f>1*2*4*3.3</f>
        <v>26.4</v>
      </c>
      <c r="H475" s="783" t="s">
        <v>13</v>
      </c>
    </row>
    <row r="476" spans="1:8">
      <c r="A476" s="783"/>
      <c r="B476" s="804"/>
      <c r="C476" s="783"/>
      <c r="D476" s="783" t="s">
        <v>89</v>
      </c>
      <c r="E476" s="783" t="s">
        <v>3297</v>
      </c>
      <c r="F476" s="783" t="s">
        <v>89</v>
      </c>
      <c r="G476" s="802">
        <f>1*2*1*5.8</f>
        <v>11.6</v>
      </c>
      <c r="H476" s="783" t="s">
        <v>13</v>
      </c>
    </row>
    <row r="477" spans="1:8">
      <c r="A477" s="783"/>
      <c r="B477" s="804"/>
      <c r="C477" s="783"/>
      <c r="D477" s="783"/>
      <c r="E477" s="783"/>
      <c r="F477" s="783"/>
      <c r="G477" s="803">
        <f>SUM(G475:G476)</f>
        <v>38</v>
      </c>
      <c r="H477" s="809" t="s">
        <v>13</v>
      </c>
    </row>
    <row r="478" spans="1:8">
      <c r="A478" s="783"/>
      <c r="B478" s="783"/>
      <c r="C478" s="783"/>
      <c r="D478" s="783"/>
      <c r="E478" s="783"/>
      <c r="F478" s="783"/>
      <c r="G478" s="802"/>
      <c r="H478" s="783"/>
    </row>
    <row r="479" spans="1:8" ht="17.25">
      <c r="A479" s="783"/>
      <c r="B479" s="804" t="s">
        <v>3254</v>
      </c>
      <c r="C479" s="783" t="s">
        <v>3255</v>
      </c>
      <c r="D479" s="783" t="s">
        <v>89</v>
      </c>
      <c r="E479" s="783" t="s">
        <v>3298</v>
      </c>
      <c r="F479" s="783" t="s">
        <v>89</v>
      </c>
      <c r="G479" s="802">
        <f>2.4*1.8</f>
        <v>4.32</v>
      </c>
      <c r="H479" s="783" t="s">
        <v>3251</v>
      </c>
    </row>
    <row r="480" spans="1:8">
      <c r="A480" s="783"/>
      <c r="B480" s="783"/>
      <c r="C480" s="783"/>
      <c r="D480" s="783"/>
      <c r="E480" s="783"/>
      <c r="F480" s="783"/>
      <c r="G480" s="783"/>
      <c r="H480" s="783"/>
    </row>
    <row r="481" spans="1:8">
      <c r="A481" s="783"/>
      <c r="B481" s="783"/>
      <c r="C481" s="783"/>
      <c r="D481" s="783"/>
      <c r="E481" s="783"/>
      <c r="F481" s="783"/>
      <c r="G481" s="783"/>
      <c r="H481" s="783"/>
    </row>
    <row r="482" spans="1:8">
      <c r="A482" s="783"/>
      <c r="B482" s="783"/>
      <c r="C482" s="783"/>
      <c r="D482" s="783"/>
      <c r="E482" s="783"/>
      <c r="F482" s="783"/>
      <c r="G482" s="783"/>
      <c r="H482" s="783"/>
    </row>
    <row r="483" spans="1:8">
      <c r="A483" s="741">
        <f>G468</f>
        <v>22.69</v>
      </c>
      <c r="B483" s="742" t="s">
        <v>476</v>
      </c>
      <c r="C483" s="743" t="s">
        <v>3257</v>
      </c>
      <c r="D483" s="744"/>
      <c r="E483" s="744">
        <v>287</v>
      </c>
      <c r="F483" s="742" t="s">
        <v>476</v>
      </c>
      <c r="G483" s="744">
        <f t="shared" ref="G483:G488" si="17">E483*A483</f>
        <v>6512.03</v>
      </c>
      <c r="H483" s="783"/>
    </row>
    <row r="484" spans="1:8">
      <c r="A484" s="741">
        <f>G473</f>
        <v>3.8</v>
      </c>
      <c r="B484" s="742" t="s">
        <v>468</v>
      </c>
      <c r="C484" s="743" t="s">
        <v>3258</v>
      </c>
      <c r="D484" s="744"/>
      <c r="E484" s="744">
        <v>336</v>
      </c>
      <c r="F484" s="742" t="s">
        <v>468</v>
      </c>
      <c r="G484" s="744">
        <f t="shared" si="17"/>
        <v>1276.8</v>
      </c>
      <c r="H484" s="783"/>
    </row>
    <row r="485" spans="1:8">
      <c r="A485" s="741">
        <v>38</v>
      </c>
      <c r="B485" s="742" t="s">
        <v>13</v>
      </c>
      <c r="C485" s="743" t="s">
        <v>3155</v>
      </c>
      <c r="D485" s="744"/>
      <c r="E485" s="744">
        <v>27.1</v>
      </c>
      <c r="F485" s="742" t="s">
        <v>13</v>
      </c>
      <c r="G485" s="744">
        <f t="shared" si="17"/>
        <v>1029.8</v>
      </c>
      <c r="H485" s="783"/>
    </row>
    <row r="486" spans="1:8">
      <c r="A486" s="741">
        <v>1</v>
      </c>
      <c r="B486" s="742" t="s">
        <v>237</v>
      </c>
      <c r="C486" s="743" t="s">
        <v>3259</v>
      </c>
      <c r="D486" s="744"/>
      <c r="E486" s="744">
        <v>59.4</v>
      </c>
      <c r="F486" s="742" t="s">
        <v>237</v>
      </c>
      <c r="G486" s="744">
        <f t="shared" si="17"/>
        <v>59.4</v>
      </c>
      <c r="H486" s="783"/>
    </row>
    <row r="487" spans="1:8">
      <c r="A487" s="741">
        <v>1</v>
      </c>
      <c r="B487" s="742" t="s">
        <v>237</v>
      </c>
      <c r="C487" s="743" t="s">
        <v>3260</v>
      </c>
      <c r="D487" s="744"/>
      <c r="E487" s="744">
        <v>13.1</v>
      </c>
      <c r="F487" s="742" t="s">
        <v>237</v>
      </c>
      <c r="G487" s="744">
        <f t="shared" si="17"/>
        <v>13.1</v>
      </c>
      <c r="H487" s="783"/>
    </row>
    <row r="488" spans="1:8">
      <c r="A488" s="741">
        <v>4.32</v>
      </c>
      <c r="B488" s="742" t="s">
        <v>724</v>
      </c>
      <c r="C488" s="743" t="s">
        <v>3158</v>
      </c>
      <c r="E488">
        <f>G498</f>
        <v>1110</v>
      </c>
      <c r="F488" s="742" t="s">
        <v>724</v>
      </c>
      <c r="G488" s="744">
        <f t="shared" si="17"/>
        <v>4795.2</v>
      </c>
      <c r="H488" s="783"/>
    </row>
    <row r="489" spans="1:8">
      <c r="B489" s="721"/>
      <c r="C489" s="743" t="s">
        <v>1557</v>
      </c>
      <c r="E489" s="805"/>
      <c r="F489" s="744" t="s">
        <v>49</v>
      </c>
      <c r="G489" s="783">
        <v>4.7</v>
      </c>
      <c r="H489" s="783"/>
    </row>
    <row r="490" spans="1:8">
      <c r="C490" s="806" t="s">
        <v>3299</v>
      </c>
      <c r="F490" s="778"/>
      <c r="G490">
        <f>SUM(G483:G489)</f>
        <v>13691.03</v>
      </c>
      <c r="H490" s="783"/>
    </row>
    <row r="491" spans="1:8">
      <c r="C491" s="807" t="s">
        <v>3262</v>
      </c>
      <c r="D491" s="808" t="s">
        <v>89</v>
      </c>
      <c r="E491" s="808"/>
      <c r="F491" s="719"/>
      <c r="G491" s="803">
        <f>G490/A488</f>
        <v>3169.22</v>
      </c>
      <c r="H491" s="783"/>
    </row>
    <row r="492" spans="1:8">
      <c r="A492" s="783"/>
      <c r="B492" s="783"/>
      <c r="C492" s="783"/>
      <c r="D492" s="783"/>
      <c r="E492" s="783"/>
      <c r="F492" s="783"/>
      <c r="G492" s="783"/>
      <c r="H492" s="783"/>
    </row>
    <row r="493" spans="1:8">
      <c r="A493" s="783"/>
      <c r="B493" s="783"/>
      <c r="C493" s="809" t="s">
        <v>3263</v>
      </c>
      <c r="D493" s="783"/>
      <c r="E493" s="783"/>
      <c r="F493" s="783"/>
      <c r="G493" s="783"/>
      <c r="H493" s="783"/>
    </row>
    <row r="494" spans="1:8">
      <c r="A494" s="744">
        <v>1</v>
      </c>
      <c r="B494" s="742" t="s">
        <v>131</v>
      </c>
      <c r="C494" s="743" t="s">
        <v>3264</v>
      </c>
      <c r="D494" s="744"/>
      <c r="E494" s="744">
        <v>501</v>
      </c>
      <c r="F494" s="743" t="s">
        <v>131</v>
      </c>
      <c r="G494" s="783">
        <f>E494*A494</f>
        <v>501</v>
      </c>
      <c r="H494" s="783"/>
    </row>
    <row r="495" spans="1:8">
      <c r="A495" s="744">
        <v>1</v>
      </c>
      <c r="B495" s="742" t="s">
        <v>131</v>
      </c>
      <c r="C495" s="743" t="s">
        <v>3265</v>
      </c>
      <c r="D495" s="744"/>
      <c r="E495" s="744">
        <v>355</v>
      </c>
      <c r="F495" s="743" t="s">
        <v>131</v>
      </c>
      <c r="G495" s="783">
        <f>E495*A495</f>
        <v>355</v>
      </c>
      <c r="H495" s="783"/>
    </row>
    <row r="496" spans="1:8">
      <c r="A496" s="744">
        <v>0.5</v>
      </c>
      <c r="B496" s="742" t="s">
        <v>131</v>
      </c>
      <c r="C496" s="743" t="s">
        <v>3266</v>
      </c>
      <c r="D496" s="744"/>
      <c r="E496" s="744">
        <v>508</v>
      </c>
      <c r="F496" s="743" t="s">
        <v>131</v>
      </c>
      <c r="G496" s="783">
        <f>E496*A496</f>
        <v>254</v>
      </c>
      <c r="H496" s="783"/>
    </row>
    <row r="497" spans="1:8">
      <c r="B497" s="721"/>
      <c r="C497" s="743"/>
      <c r="E497" s="720"/>
      <c r="F497" s="776"/>
      <c r="G497" s="783"/>
      <c r="H497" s="783"/>
    </row>
    <row r="498" spans="1:8">
      <c r="B498" s="721"/>
      <c r="C498" s="743" t="s">
        <v>3140</v>
      </c>
      <c r="E498" s="720"/>
      <c r="F498" s="780"/>
      <c r="G498" s="808">
        <f>SUM(G494:G497)</f>
        <v>1110</v>
      </c>
      <c r="H498" s="783"/>
    </row>
    <row r="499" spans="1:8">
      <c r="B499" s="721"/>
      <c r="E499" s="720"/>
      <c r="F499" s="776"/>
      <c r="G499" s="783"/>
      <c r="H499" s="783"/>
    </row>
    <row r="500" spans="1:8">
      <c r="A500" s="815"/>
      <c r="B500" s="815"/>
      <c r="C500" s="815"/>
      <c r="D500" s="815"/>
      <c r="E500" s="815"/>
      <c r="F500" s="815"/>
      <c r="G500" s="815"/>
      <c r="H500" s="815"/>
    </row>
    <row r="501" spans="1:8" ht="30" customHeight="1">
      <c r="A501" s="783"/>
      <c r="B501" s="783"/>
      <c r="C501" s="818" t="s">
        <v>3300</v>
      </c>
      <c r="D501" s="783"/>
      <c r="E501" s="783"/>
      <c r="F501" s="783"/>
      <c r="G501" s="783"/>
      <c r="H501" s="783"/>
    </row>
    <row r="502" spans="1:8">
      <c r="A502" s="783"/>
      <c r="B502" s="783" t="s">
        <v>3223</v>
      </c>
      <c r="C502" s="783" t="s">
        <v>3224</v>
      </c>
      <c r="D502" s="783"/>
      <c r="E502" s="783"/>
      <c r="F502" s="783"/>
      <c r="G502" s="783"/>
      <c r="H502" s="783"/>
    </row>
    <row r="503" spans="1:8">
      <c r="A503" s="783"/>
      <c r="B503" s="783"/>
      <c r="C503" s="783" t="s">
        <v>3301</v>
      </c>
      <c r="D503" s="783" t="s">
        <v>89</v>
      </c>
      <c r="E503" s="783" t="s">
        <v>3302</v>
      </c>
      <c r="F503" s="783" t="s">
        <v>89</v>
      </c>
      <c r="G503" s="802">
        <f>1*2*0.6</f>
        <v>1.2</v>
      </c>
      <c r="H503" s="783" t="s">
        <v>39</v>
      </c>
    </row>
    <row r="504" spans="1:8">
      <c r="A504" s="783"/>
      <c r="B504" s="783"/>
      <c r="C504" s="783" t="s">
        <v>3303</v>
      </c>
      <c r="D504" s="783" t="s">
        <v>89</v>
      </c>
      <c r="E504" s="783" t="s">
        <v>3304</v>
      </c>
      <c r="F504" s="783" t="s">
        <v>89</v>
      </c>
      <c r="G504" s="802">
        <f>1*2*0.9</f>
        <v>1.8</v>
      </c>
      <c r="H504" s="783" t="s">
        <v>39</v>
      </c>
    </row>
    <row r="505" spans="1:8">
      <c r="A505" s="783"/>
      <c r="B505" s="783"/>
      <c r="C505" s="783"/>
      <c r="D505" s="783"/>
      <c r="E505" s="783"/>
      <c r="F505" s="783"/>
      <c r="G505" s="802">
        <f>SUM(G503:G504)</f>
        <v>3</v>
      </c>
      <c r="H505" s="783" t="s">
        <v>39</v>
      </c>
    </row>
    <row r="506" spans="1:8">
      <c r="A506" s="783"/>
      <c r="B506" s="783"/>
      <c r="C506" s="783"/>
      <c r="D506" s="783" t="s">
        <v>89</v>
      </c>
      <c r="E506" s="783" t="s">
        <v>3305</v>
      </c>
      <c r="F506" s="783" t="s">
        <v>89</v>
      </c>
      <c r="G506" s="819">
        <f>3*1.558</f>
        <v>4.67</v>
      </c>
      <c r="H506" s="783" t="s">
        <v>39</v>
      </c>
    </row>
    <row r="507" spans="1:8">
      <c r="A507" s="783"/>
      <c r="B507" s="783"/>
      <c r="C507" s="783"/>
      <c r="D507" s="783"/>
      <c r="E507" s="783"/>
      <c r="F507" s="783"/>
      <c r="G507" s="802"/>
      <c r="H507" s="783"/>
    </row>
    <row r="508" spans="1:8">
      <c r="A508" s="783"/>
      <c r="B508" s="783"/>
      <c r="C508" s="783" t="s">
        <v>3306</v>
      </c>
      <c r="D508" s="783" t="s">
        <v>89</v>
      </c>
      <c r="E508" s="783" t="s">
        <v>3307</v>
      </c>
      <c r="F508" s="783" t="s">
        <v>89</v>
      </c>
      <c r="G508" s="819">
        <f>0.9*0.6</f>
        <v>0.54</v>
      </c>
      <c r="H508" s="783" t="s">
        <v>3308</v>
      </c>
    </row>
    <row r="509" spans="1:8">
      <c r="A509" s="783"/>
      <c r="B509" s="783"/>
      <c r="C509" s="783"/>
      <c r="D509" s="783"/>
      <c r="E509" s="783"/>
      <c r="F509" s="783"/>
      <c r="G509" s="819"/>
      <c r="H509" s="783"/>
    </row>
    <row r="510" spans="1:8">
      <c r="A510" s="783"/>
      <c r="B510" s="783"/>
      <c r="C510" s="783" t="s">
        <v>478</v>
      </c>
      <c r="D510" s="783" t="s">
        <v>89</v>
      </c>
      <c r="E510" s="783" t="s">
        <v>3309</v>
      </c>
      <c r="F510" s="783" t="s">
        <v>89</v>
      </c>
      <c r="G510" s="819">
        <f>0.9*0.6</f>
        <v>0.54</v>
      </c>
      <c r="H510" s="783" t="s">
        <v>3308</v>
      </c>
    </row>
    <row r="511" spans="1:8">
      <c r="A511" s="783"/>
      <c r="B511" s="783"/>
      <c r="C511" s="783"/>
      <c r="D511" s="783"/>
      <c r="E511" s="783"/>
      <c r="F511" s="783"/>
      <c r="G511" s="783"/>
      <c r="H511" s="783"/>
    </row>
    <row r="512" spans="1:8">
      <c r="A512" s="783"/>
      <c r="B512" s="783"/>
      <c r="C512" s="783"/>
      <c r="D512" s="783"/>
      <c r="E512" s="783"/>
      <c r="F512" s="783"/>
      <c r="G512" s="783"/>
      <c r="H512" s="783"/>
    </row>
    <row r="513" spans="1:8">
      <c r="A513" s="783"/>
      <c r="B513" s="783"/>
      <c r="C513" s="783"/>
      <c r="D513" s="783"/>
      <c r="E513" s="783"/>
      <c r="F513" s="783"/>
      <c r="G513" s="783"/>
      <c r="H513" s="783"/>
    </row>
    <row r="514" spans="1:8" ht="19.5">
      <c r="B514" s="721"/>
      <c r="D514" s="818"/>
      <c r="E514" s="818"/>
      <c r="F514" s="818"/>
      <c r="G514" s="783"/>
      <c r="H514" s="783"/>
    </row>
    <row r="515" spans="1:8">
      <c r="A515" s="741">
        <f>G506</f>
        <v>4.67</v>
      </c>
      <c r="B515" s="742" t="s">
        <v>476</v>
      </c>
      <c r="C515" s="743" t="s">
        <v>3124</v>
      </c>
      <c r="D515" s="744"/>
      <c r="E515" s="744">
        <v>287</v>
      </c>
      <c r="F515" s="742" t="s">
        <v>476</v>
      </c>
      <c r="G515" s="744">
        <f>E515*A515</f>
        <v>1340.29</v>
      </c>
      <c r="H515" s="783"/>
    </row>
    <row r="516" spans="1:8">
      <c r="A516" s="741">
        <f>G508</f>
        <v>0.54</v>
      </c>
      <c r="B516" s="742" t="s">
        <v>468</v>
      </c>
      <c r="C516" s="743" t="s">
        <v>3154</v>
      </c>
      <c r="D516" s="744"/>
      <c r="E516" s="744">
        <v>208.8</v>
      </c>
      <c r="F516" s="742" t="s">
        <v>468</v>
      </c>
      <c r="G516" s="744">
        <f>E516*A516</f>
        <v>112.75</v>
      </c>
      <c r="H516" s="783"/>
    </row>
    <row r="517" spans="1:8">
      <c r="A517" s="741">
        <f>G510</f>
        <v>0.54</v>
      </c>
      <c r="B517" s="742" t="s">
        <v>468</v>
      </c>
      <c r="C517" s="743" t="s">
        <v>3158</v>
      </c>
      <c r="D517" s="744"/>
      <c r="E517" s="744">
        <f>E488</f>
        <v>1110</v>
      </c>
      <c r="F517" s="742" t="s">
        <v>476</v>
      </c>
      <c r="G517" s="744">
        <f>E517*A517</f>
        <v>599.4</v>
      </c>
      <c r="H517" s="783"/>
    </row>
    <row r="518" spans="1:8">
      <c r="A518" s="741"/>
      <c r="B518" s="742"/>
      <c r="C518" s="743" t="s">
        <v>3159</v>
      </c>
      <c r="E518" s="805"/>
      <c r="F518" s="744"/>
      <c r="G518" s="783"/>
      <c r="H518" s="783"/>
    </row>
    <row r="519" spans="1:8">
      <c r="A519" s="741"/>
      <c r="B519" s="742"/>
      <c r="C519" s="806" t="s">
        <v>3310</v>
      </c>
      <c r="D519" s="744"/>
      <c r="E519" s="742"/>
      <c r="F519" s="744"/>
      <c r="G519" s="808">
        <f>SUM(G515:G518)</f>
        <v>2052.44</v>
      </c>
      <c r="H519" s="783"/>
    </row>
    <row r="520" spans="1:8">
      <c r="A520" s="741"/>
      <c r="B520" s="742"/>
      <c r="C520" s="807" t="s">
        <v>3262</v>
      </c>
      <c r="D520" s="744"/>
      <c r="E520" s="742"/>
      <c r="F520" s="780"/>
      <c r="G520" s="803">
        <f>G519/A517</f>
        <v>3800.81</v>
      </c>
      <c r="H520" s="783"/>
    </row>
    <row r="521" spans="1:8">
      <c r="A521" s="783"/>
      <c r="B521" s="783"/>
      <c r="C521" s="783"/>
      <c r="D521" s="783"/>
      <c r="E521" s="783"/>
      <c r="F521" s="783"/>
      <c r="G521" s="783"/>
      <c r="H521" s="783"/>
    </row>
    <row r="522" spans="1:8">
      <c r="A522" s="783"/>
      <c r="B522" s="783"/>
      <c r="C522" s="783"/>
      <c r="D522" s="783"/>
      <c r="E522" s="783"/>
      <c r="F522" s="783"/>
      <c r="G522" s="783"/>
      <c r="H522" s="783"/>
    </row>
    <row r="523" spans="1:8">
      <c r="A523" s="783"/>
      <c r="B523" s="783"/>
      <c r="C523" s="783"/>
      <c r="D523" s="783"/>
      <c r="E523" s="783"/>
      <c r="F523" s="783"/>
      <c r="G523" s="783"/>
      <c r="H523" s="783"/>
    </row>
    <row r="524" spans="1:8">
      <c r="A524" s="783"/>
      <c r="B524" s="783"/>
      <c r="C524" s="783"/>
      <c r="D524" s="783"/>
      <c r="E524" s="783"/>
      <c r="F524" s="783"/>
      <c r="G524" s="783"/>
      <c r="H524" s="783"/>
    </row>
    <row r="525" spans="1:8">
      <c r="A525" s="783"/>
      <c r="B525" s="783"/>
      <c r="C525" s="783"/>
      <c r="D525" s="783"/>
      <c r="E525" s="783"/>
      <c r="F525" s="783"/>
      <c r="G525" s="783"/>
      <c r="H525" s="783"/>
    </row>
    <row r="526" spans="1:8">
      <c r="A526" s="820">
        <v>2</v>
      </c>
      <c r="B526" s="746" t="s">
        <v>111</v>
      </c>
      <c r="C526" s="770" t="s">
        <v>3311</v>
      </c>
      <c r="D526" s="748"/>
      <c r="E526" s="749"/>
      <c r="F526" s="748"/>
      <c r="G526" s="740"/>
      <c r="H526" s="740"/>
    </row>
    <row r="527" spans="1:8">
      <c r="A527" s="748"/>
      <c r="B527" s="750"/>
      <c r="C527" s="747" t="s">
        <v>3312</v>
      </c>
      <c r="D527" s="748"/>
      <c r="E527" s="749"/>
      <c r="F527" s="748"/>
      <c r="G527" s="740"/>
      <c r="H527" s="740"/>
    </row>
    <row r="528" spans="1:8" ht="18">
      <c r="A528" s="748"/>
      <c r="B528" s="750"/>
      <c r="C528" s="751" t="s">
        <v>3313</v>
      </c>
      <c r="D528" s="748"/>
      <c r="E528" s="749"/>
      <c r="F528" s="748"/>
      <c r="G528" s="740"/>
      <c r="H528" s="740"/>
    </row>
    <row r="529" spans="1:8">
      <c r="A529" s="748"/>
      <c r="B529" s="750"/>
      <c r="C529" s="752" t="s">
        <v>52</v>
      </c>
      <c r="D529" s="748"/>
      <c r="E529" s="749"/>
      <c r="F529" s="748"/>
      <c r="G529" s="740"/>
      <c r="H529" s="740"/>
    </row>
    <row r="530" spans="1:8">
      <c r="A530" s="748"/>
      <c r="B530" s="750"/>
      <c r="C530" s="770" t="s">
        <v>3314</v>
      </c>
      <c r="G530" s="740"/>
      <c r="H530" s="740"/>
    </row>
    <row r="531" spans="1:8">
      <c r="A531" s="748"/>
      <c r="B531" s="750"/>
      <c r="C531" s="760" t="s">
        <v>3315</v>
      </c>
      <c r="D531" s="783"/>
      <c r="E531" s="756">
        <f>3*2*1.9*0.075*0.0375</f>
        <v>3.2099999999999997E-2</v>
      </c>
      <c r="F531" s="748" t="s">
        <v>5</v>
      </c>
      <c r="G531" s="740"/>
      <c r="H531" s="740"/>
    </row>
    <row r="532" spans="1:8">
      <c r="A532" s="748"/>
      <c r="B532" s="750"/>
      <c r="C532" s="747" t="s">
        <v>3316</v>
      </c>
      <c r="D532" s="783"/>
      <c r="E532" s="756">
        <f>3*2*0.5*0.075*0.0375</f>
        <v>8.3999999999999995E-3</v>
      </c>
      <c r="F532" s="748" t="s">
        <v>5</v>
      </c>
      <c r="G532" s="740"/>
      <c r="H532" s="740"/>
    </row>
    <row r="533" spans="1:8">
      <c r="A533" s="748"/>
      <c r="B533" s="750"/>
      <c r="C533" s="747"/>
      <c r="D533" s="754"/>
      <c r="E533" s="752" t="s">
        <v>52</v>
      </c>
      <c r="F533" s="757"/>
      <c r="G533" s="740"/>
      <c r="H533" s="740"/>
    </row>
    <row r="534" spans="1:8">
      <c r="A534" s="748"/>
      <c r="B534" s="750"/>
      <c r="C534" s="748"/>
      <c r="D534" s="748"/>
      <c r="E534" s="821">
        <f>SUM(E531:E533)</f>
        <v>4.0500000000000001E-2</v>
      </c>
      <c r="F534" t="s">
        <v>5</v>
      </c>
      <c r="G534" s="740"/>
      <c r="H534" s="740"/>
    </row>
    <row r="535" spans="1:8">
      <c r="A535" s="748"/>
      <c r="B535" s="750"/>
      <c r="C535" s="748"/>
      <c r="D535" s="748"/>
      <c r="E535" s="752" t="s">
        <v>52</v>
      </c>
      <c r="G535" s="740"/>
      <c r="H535" s="740"/>
    </row>
    <row r="536" spans="1:8">
      <c r="A536" s="748"/>
      <c r="B536" s="750"/>
      <c r="C536" s="747" t="s">
        <v>1340</v>
      </c>
      <c r="D536" s="783"/>
      <c r="E536" s="783"/>
      <c r="F536" s="783"/>
      <c r="G536" s="740"/>
      <c r="H536" s="740"/>
    </row>
    <row r="537" spans="1:8">
      <c r="A537" s="748"/>
      <c r="B537" s="750"/>
      <c r="C537" s="747" t="s">
        <v>3317</v>
      </c>
      <c r="D537" s="822"/>
      <c r="E537" s="755">
        <f>3*1.9*0.5</f>
        <v>2.85</v>
      </c>
      <c r="F537" s="742" t="s">
        <v>425</v>
      </c>
      <c r="G537" s="740"/>
      <c r="H537" s="740"/>
    </row>
    <row r="538" spans="1:8">
      <c r="A538" s="748"/>
      <c r="B538" s="750"/>
      <c r="C538" s="747"/>
      <c r="D538" s="822"/>
      <c r="E538" s="755"/>
      <c r="F538" s="757"/>
      <c r="G538" s="740"/>
      <c r="H538" s="740"/>
    </row>
    <row r="539" spans="1:8">
      <c r="A539" s="748"/>
      <c r="B539" s="750"/>
      <c r="C539" s="747" t="s">
        <v>3318</v>
      </c>
      <c r="D539" s="822"/>
      <c r="E539" s="755"/>
      <c r="F539" s="757"/>
      <c r="G539" s="740"/>
      <c r="H539" s="740"/>
    </row>
    <row r="540" spans="1:8">
      <c r="A540" s="748"/>
      <c r="B540" s="750"/>
      <c r="C540" s="747" t="s">
        <v>3319</v>
      </c>
      <c r="D540" s="822"/>
      <c r="E540" s="756">
        <f>3*1.775*0.375</f>
        <v>1.9968999999999999</v>
      </c>
      <c r="F540" s="757" t="str">
        <f>F537</f>
        <v>SQM</v>
      </c>
      <c r="G540" s="740"/>
      <c r="H540" s="740"/>
    </row>
    <row r="541" spans="1:8">
      <c r="A541" s="748"/>
      <c r="B541" s="750"/>
      <c r="C541" s="747" t="s">
        <v>3320</v>
      </c>
      <c r="D541" s="748"/>
      <c r="E541" s="761"/>
      <c r="F541" s="760"/>
      <c r="G541" s="740"/>
      <c r="H541" s="740"/>
    </row>
    <row r="542" spans="1:8">
      <c r="A542" s="762"/>
      <c r="B542" s="750"/>
      <c r="C542" s="747" t="s">
        <v>3321</v>
      </c>
      <c r="D542" s="822"/>
      <c r="E542" s="823">
        <f>1.775+0.375</f>
        <v>2.15</v>
      </c>
      <c r="F542" s="757"/>
      <c r="G542" s="764"/>
      <c r="H542" s="740"/>
    </row>
    <row r="543" spans="1:8">
      <c r="A543" s="762"/>
      <c r="B543" s="750"/>
      <c r="C543" s="748"/>
      <c r="D543" s="824"/>
      <c r="E543" s="825">
        <f>E542*6</f>
        <v>12.9</v>
      </c>
      <c r="F543" s="764" t="s">
        <v>13</v>
      </c>
      <c r="G543" s="764"/>
      <c r="H543" s="740"/>
    </row>
    <row r="544" spans="1:8">
      <c r="A544" s="762"/>
      <c r="B544" s="750"/>
      <c r="C544" s="826" t="s">
        <v>3322</v>
      </c>
      <c r="D544" s="824"/>
      <c r="E544" s="745"/>
      <c r="F544" s="764"/>
      <c r="G544" s="764"/>
      <c r="H544" s="740"/>
    </row>
    <row r="545" spans="1:8">
      <c r="A545" s="768"/>
      <c r="B545" s="750"/>
      <c r="C545" s="770" t="s">
        <v>3323</v>
      </c>
      <c r="D545" s="783"/>
      <c r="E545" s="764"/>
      <c r="F545" s="749"/>
      <c r="G545" s="764"/>
      <c r="H545" s="740"/>
    </row>
    <row r="546" spans="1:8">
      <c r="A546" s="757">
        <f>E534</f>
        <v>4.0500000000000001E-2</v>
      </c>
      <c r="B546" s="745" t="s">
        <v>132</v>
      </c>
      <c r="C546" s="747" t="s">
        <v>3324</v>
      </c>
      <c r="D546" s="764">
        <f>Data!I951</f>
        <v>99400</v>
      </c>
      <c r="E546" s="747" t="s">
        <v>132</v>
      </c>
      <c r="F546" s="764">
        <f>(A546*D546)</f>
        <v>4025.7</v>
      </c>
      <c r="G546" s="764"/>
      <c r="H546" s="740"/>
    </row>
    <row r="547" spans="1:8">
      <c r="A547" s="757">
        <f>E537</f>
        <v>2.85</v>
      </c>
      <c r="B547" s="742" t="s">
        <v>425</v>
      </c>
      <c r="C547" s="747" t="s">
        <v>3325</v>
      </c>
      <c r="D547" s="764">
        <f>Data!P3228</f>
        <v>57.65</v>
      </c>
      <c r="E547" s="742" t="s">
        <v>425</v>
      </c>
      <c r="F547" s="764">
        <f>(A547*D547)</f>
        <v>164.3</v>
      </c>
      <c r="G547" s="764"/>
      <c r="H547" s="740"/>
    </row>
    <row r="548" spans="1:8">
      <c r="A548" s="757">
        <f>E540</f>
        <v>1.9968999999999999</v>
      </c>
      <c r="B548" s="742" t="s">
        <v>425</v>
      </c>
      <c r="C548" s="747" t="s">
        <v>3318</v>
      </c>
      <c r="D548" s="764">
        <f>Data!I1072</f>
        <v>208.8</v>
      </c>
      <c r="E548" s="742" t="s">
        <v>425</v>
      </c>
      <c r="F548" s="764">
        <f t="shared" ref="F548:F554" si="18">(A548*D548)</f>
        <v>416.95</v>
      </c>
      <c r="G548" s="764"/>
      <c r="H548" s="740"/>
    </row>
    <row r="549" spans="1:8">
      <c r="A549" s="764">
        <f>E543</f>
        <v>12.9</v>
      </c>
      <c r="B549" s="764" t="s">
        <v>13</v>
      </c>
      <c r="C549" s="770" t="s">
        <v>3326</v>
      </c>
      <c r="D549" s="764">
        <f>Data!V3160</f>
        <v>89.6</v>
      </c>
      <c r="E549" s="764" t="s">
        <v>13</v>
      </c>
      <c r="F549" s="764">
        <f t="shared" si="18"/>
        <v>1155.8399999999999</v>
      </c>
      <c r="G549" s="764"/>
      <c r="H549" s="740"/>
    </row>
    <row r="550" spans="1:8">
      <c r="A550" s="764">
        <v>9</v>
      </c>
      <c r="B550" s="742" t="s">
        <v>131</v>
      </c>
      <c r="C550" s="743" t="s">
        <v>1479</v>
      </c>
      <c r="D550" s="764">
        <f>Data!V3161</f>
        <v>82.25</v>
      </c>
      <c r="E550" s="743" t="s">
        <v>131</v>
      </c>
      <c r="F550" s="764">
        <f t="shared" si="18"/>
        <v>740.25</v>
      </c>
      <c r="G550" s="764"/>
      <c r="H550" s="740"/>
    </row>
    <row r="551" spans="1:8">
      <c r="A551" s="764">
        <v>6</v>
      </c>
      <c r="B551" s="742" t="s">
        <v>131</v>
      </c>
      <c r="C551" s="743" t="s">
        <v>3327</v>
      </c>
      <c r="D551" s="764">
        <f>Data!V3162</f>
        <v>57.65</v>
      </c>
      <c r="E551" s="743" t="s">
        <v>131</v>
      </c>
      <c r="F551" s="764">
        <f t="shared" si="18"/>
        <v>345.9</v>
      </c>
      <c r="G551" s="764"/>
      <c r="H551" s="740"/>
    </row>
    <row r="552" spans="1:8">
      <c r="A552" s="764">
        <v>3</v>
      </c>
      <c r="B552" s="742" t="s">
        <v>131</v>
      </c>
      <c r="C552" s="743" t="s">
        <v>3328</v>
      </c>
      <c r="D552" s="764">
        <f>Data!V3163</f>
        <v>7.3</v>
      </c>
      <c r="E552" s="743" t="s">
        <v>131</v>
      </c>
      <c r="F552" s="764">
        <f t="shared" si="18"/>
        <v>21.9</v>
      </c>
      <c r="G552" s="764"/>
      <c r="H552" s="740"/>
    </row>
    <row r="553" spans="1:8">
      <c r="A553" s="764">
        <v>3</v>
      </c>
      <c r="B553" s="742" t="s">
        <v>131</v>
      </c>
      <c r="C553" s="743" t="s">
        <v>453</v>
      </c>
      <c r="D553" s="764">
        <f>Data!V3164</f>
        <v>2.41</v>
      </c>
      <c r="E553" s="743" t="s">
        <v>131</v>
      </c>
      <c r="F553" s="764">
        <f t="shared" si="18"/>
        <v>7.23</v>
      </c>
      <c r="G553" s="764"/>
      <c r="H553" s="740"/>
    </row>
    <row r="554" spans="1:8">
      <c r="A554" s="764">
        <v>120</v>
      </c>
      <c r="B554" s="742" t="s">
        <v>131</v>
      </c>
      <c r="C554" s="743" t="s">
        <v>3329</v>
      </c>
      <c r="D554" s="764">
        <f>Data!V3165</f>
        <v>0</v>
      </c>
      <c r="E554" s="743" t="s">
        <v>131</v>
      </c>
      <c r="F554" s="764">
        <f t="shared" si="18"/>
        <v>0</v>
      </c>
      <c r="G554" s="764"/>
      <c r="H554" s="740"/>
    </row>
    <row r="555" spans="1:8">
      <c r="A555" s="764"/>
      <c r="B555" s="746"/>
      <c r="C555" s="747"/>
      <c r="D555" s="783"/>
      <c r="E555" s="764"/>
      <c r="F555" s="752" t="s">
        <v>52</v>
      </c>
      <c r="G555" s="764"/>
      <c r="H555" s="740"/>
    </row>
    <row r="556" spans="1:8">
      <c r="A556" s="748"/>
      <c r="B556" s="750"/>
      <c r="C556" s="747" t="s">
        <v>3330</v>
      </c>
      <c r="D556" s="783"/>
      <c r="E556" s="745"/>
      <c r="F556" s="754">
        <f>SUM(F546:F555)</f>
        <v>6878.07</v>
      </c>
      <c r="G556" s="772"/>
      <c r="H556" s="740"/>
    </row>
    <row r="557" spans="1:8">
      <c r="A557" s="748"/>
      <c r="B557" s="750"/>
      <c r="C557" s="783"/>
      <c r="D557" s="764"/>
      <c r="E557" s="749"/>
      <c r="F557" s="752" t="s">
        <v>52</v>
      </c>
      <c r="G557" s="783"/>
      <c r="H557" s="740"/>
    </row>
    <row r="558" spans="1:8">
      <c r="A558" s="748"/>
      <c r="B558" s="750"/>
      <c r="C558" s="754" t="s">
        <v>3331</v>
      </c>
      <c r="D558" s="764"/>
      <c r="E558" s="749"/>
      <c r="F558" s="803">
        <f>F556/A547</f>
        <v>2413.36</v>
      </c>
      <c r="G558" s="764">
        <f>SUM(G542:G557)</f>
        <v>0</v>
      </c>
      <c r="H558" s="740"/>
    </row>
    <row r="559" spans="1:8">
      <c r="A559" s="748"/>
      <c r="B559" s="750"/>
      <c r="C559" s="748"/>
      <c r="D559" s="764"/>
      <c r="E559" s="749"/>
      <c r="F559" s="783"/>
      <c r="G559" s="783"/>
      <c r="H559" s="740"/>
    </row>
    <row r="560" spans="1:8">
      <c r="A560" s="748"/>
      <c r="B560" s="750"/>
      <c r="C560" s="770"/>
      <c r="D560" s="748"/>
      <c r="E560" s="1781"/>
      <c r="F560" s="1781"/>
      <c r="G560" s="1781"/>
      <c r="H560" s="1781"/>
    </row>
    <row r="561" spans="1:8">
      <c r="G561" s="740"/>
      <c r="H561" s="740"/>
    </row>
    <row r="562" spans="1:8">
      <c r="A562" s="783"/>
      <c r="B562" s="783"/>
      <c r="C562" s="783"/>
      <c r="D562" s="783"/>
      <c r="E562" s="783"/>
      <c r="F562" s="783"/>
      <c r="G562" s="783"/>
      <c r="H562" s="783"/>
    </row>
    <row r="563" spans="1:8">
      <c r="A563" s="827">
        <v>1</v>
      </c>
      <c r="B563" s="750"/>
      <c r="C563" s="747" t="s">
        <v>3312</v>
      </c>
      <c r="D563" s="748"/>
      <c r="E563" s="749"/>
      <c r="F563" s="748"/>
      <c r="G563" s="783"/>
      <c r="H563" s="783"/>
    </row>
    <row r="564" spans="1:8" ht="18">
      <c r="A564" s="748"/>
      <c r="B564" s="750"/>
      <c r="C564" s="751" t="s">
        <v>3332</v>
      </c>
      <c r="D564" s="748"/>
      <c r="E564" s="749"/>
      <c r="F564" s="748"/>
      <c r="G564" s="783"/>
      <c r="H564" s="783"/>
    </row>
    <row r="565" spans="1:8">
      <c r="A565" s="748"/>
      <c r="B565" s="750"/>
      <c r="C565" s="752" t="s">
        <v>52</v>
      </c>
      <c r="D565" s="748"/>
      <c r="E565" s="749"/>
      <c r="F565" s="748"/>
      <c r="G565" s="783"/>
      <c r="H565" s="783"/>
    </row>
    <row r="566" spans="1:8">
      <c r="A566" s="748"/>
      <c r="B566" s="750"/>
      <c r="C566" s="770" t="s">
        <v>3314</v>
      </c>
      <c r="F566" t="s">
        <v>5</v>
      </c>
      <c r="G566" s="783"/>
      <c r="H566" s="783"/>
    </row>
    <row r="567" spans="1:8">
      <c r="A567" s="748"/>
      <c r="B567" s="750"/>
      <c r="C567" s="760" t="s">
        <v>3333</v>
      </c>
      <c r="D567" s="783"/>
      <c r="E567" s="756">
        <f>3*2*1.9*0.075*0.0375</f>
        <v>3.2099999999999997E-2</v>
      </c>
      <c r="F567" s="748" t="s">
        <v>5</v>
      </c>
      <c r="G567" s="783"/>
      <c r="H567" s="783"/>
    </row>
    <row r="568" spans="1:8">
      <c r="A568" s="748"/>
      <c r="B568" s="750"/>
      <c r="C568" s="747" t="s">
        <v>3334</v>
      </c>
      <c r="D568" s="783"/>
      <c r="E568" s="756">
        <f>3*2*0.6*0.075*0.0375</f>
        <v>1.01E-2</v>
      </c>
      <c r="F568" s="748" t="s">
        <v>5</v>
      </c>
      <c r="G568" s="783"/>
      <c r="H568" s="783"/>
    </row>
    <row r="569" spans="1:8">
      <c r="A569" s="748"/>
      <c r="B569" s="750"/>
      <c r="C569" s="747"/>
      <c r="D569" s="754"/>
      <c r="E569" s="752" t="s">
        <v>52</v>
      </c>
      <c r="F569" s="757"/>
      <c r="G569" s="783"/>
      <c r="H569" s="783"/>
    </row>
    <row r="570" spans="1:8">
      <c r="A570" s="748"/>
      <c r="B570" s="750"/>
      <c r="C570" s="748"/>
      <c r="D570" s="748"/>
      <c r="E570" s="821">
        <f>SUM(E567:E569)</f>
        <v>4.2200000000000001E-2</v>
      </c>
      <c r="F570" t="s">
        <v>5</v>
      </c>
      <c r="G570" s="783"/>
      <c r="H570" s="783"/>
    </row>
    <row r="571" spans="1:8">
      <c r="A571" s="748"/>
      <c r="B571" s="750"/>
      <c r="C571" s="748"/>
      <c r="D571" s="748"/>
      <c r="E571" s="752" t="s">
        <v>52</v>
      </c>
      <c r="G571" s="783"/>
      <c r="H571" s="783"/>
    </row>
    <row r="572" spans="1:8">
      <c r="A572" s="748"/>
      <c r="B572" s="750"/>
      <c r="C572" s="747" t="s">
        <v>1340</v>
      </c>
      <c r="D572" s="783"/>
      <c r="E572" s="783"/>
      <c r="F572" s="783"/>
      <c r="G572" s="783"/>
      <c r="H572" s="783"/>
    </row>
    <row r="573" spans="1:8">
      <c r="A573" s="748"/>
      <c r="B573" s="750"/>
      <c r="C573" s="747" t="s">
        <v>3335</v>
      </c>
      <c r="D573" s="822"/>
      <c r="E573" s="755">
        <f>3*1.9*0.6</f>
        <v>3.42</v>
      </c>
      <c r="F573" s="742" t="s">
        <v>425</v>
      </c>
      <c r="G573" s="783"/>
      <c r="H573" s="783"/>
    </row>
    <row r="574" spans="1:8">
      <c r="A574" s="748"/>
      <c r="B574" s="750"/>
      <c r="C574" s="747"/>
      <c r="D574" s="822"/>
      <c r="E574" s="755"/>
      <c r="F574" s="757"/>
      <c r="G574" s="783"/>
      <c r="H574" s="783"/>
    </row>
    <row r="575" spans="1:8">
      <c r="A575" s="748"/>
      <c r="B575" s="750"/>
      <c r="C575" s="747" t="s">
        <v>3318</v>
      </c>
      <c r="D575" s="822"/>
      <c r="E575" s="755"/>
      <c r="F575" s="757"/>
      <c r="G575" s="783"/>
      <c r="H575" s="783"/>
    </row>
    <row r="576" spans="1:8">
      <c r="A576" s="748"/>
      <c r="B576" s="750"/>
      <c r="C576" s="747" t="s">
        <v>3336</v>
      </c>
      <c r="D576" s="822"/>
      <c r="E576" s="756">
        <f>3*1.775*0.475</f>
        <v>2.5293999999999999</v>
      </c>
      <c r="F576" s="757" t="str">
        <f>F573</f>
        <v>SQM</v>
      </c>
      <c r="G576" s="783"/>
      <c r="H576" s="783"/>
    </row>
    <row r="577" spans="1:8">
      <c r="A577" s="748"/>
      <c r="B577" s="750"/>
      <c r="C577" s="747" t="s">
        <v>3320</v>
      </c>
      <c r="D577" s="748"/>
      <c r="E577" s="761"/>
      <c r="F577" s="760"/>
      <c r="G577" s="783"/>
      <c r="H577" s="783"/>
    </row>
    <row r="578" spans="1:8">
      <c r="A578" s="762"/>
      <c r="B578" s="750"/>
      <c r="C578" s="747" t="s">
        <v>3337</v>
      </c>
      <c r="D578" s="822"/>
      <c r="E578" s="823">
        <f>1.775+0.475</f>
        <v>2.25</v>
      </c>
      <c r="F578" s="757"/>
      <c r="G578" s="783"/>
      <c r="H578" s="783"/>
    </row>
    <row r="579" spans="1:8">
      <c r="A579" s="762"/>
      <c r="B579" s="750"/>
      <c r="C579" s="748"/>
      <c r="D579" s="824"/>
      <c r="E579" s="825">
        <f>E578*6</f>
        <v>13.5</v>
      </c>
      <c r="F579" s="764" t="s">
        <v>13</v>
      </c>
      <c r="G579" s="783"/>
      <c r="H579" s="783"/>
    </row>
    <row r="580" spans="1:8">
      <c r="A580" s="762"/>
      <c r="B580" s="750"/>
      <c r="C580" s="828" t="s">
        <v>3322</v>
      </c>
      <c r="D580" s="824"/>
      <c r="E580" s="745"/>
      <c r="F580" s="764"/>
      <c r="G580" s="783"/>
      <c r="H580" s="783"/>
    </row>
    <row r="581" spans="1:8">
      <c r="A581" s="757"/>
      <c r="B581" s="746"/>
      <c r="C581" s="766"/>
      <c r="D581" s="783"/>
      <c r="E581" s="764"/>
      <c r="F581" s="745"/>
      <c r="G581" s="783"/>
      <c r="H581" s="783"/>
    </row>
    <row r="582" spans="1:8">
      <c r="A582" s="768"/>
      <c r="B582" s="750"/>
      <c r="C582" s="770" t="s">
        <v>3323</v>
      </c>
      <c r="D582" s="783"/>
      <c r="E582" s="764"/>
      <c r="F582" s="749"/>
      <c r="G582" s="783"/>
      <c r="H582" s="783"/>
    </row>
    <row r="583" spans="1:8">
      <c r="A583" s="757">
        <f>E570</f>
        <v>4.2200000000000001E-2</v>
      </c>
      <c r="B583" s="745" t="s">
        <v>132</v>
      </c>
      <c r="C583" s="747" t="s">
        <v>3338</v>
      </c>
      <c r="D583" s="764">
        <f>D546</f>
        <v>99400</v>
      </c>
      <c r="E583" s="745" t="s">
        <v>132</v>
      </c>
      <c r="F583" s="764">
        <f>(A583*D583)</f>
        <v>4194.68</v>
      </c>
      <c r="G583" s="783"/>
      <c r="H583" s="783"/>
    </row>
    <row r="584" spans="1:8">
      <c r="A584" s="757">
        <f>E573</f>
        <v>3.42</v>
      </c>
      <c r="B584" s="742" t="s">
        <v>425</v>
      </c>
      <c r="C584" s="747" t="s">
        <v>1340</v>
      </c>
      <c r="D584" s="764">
        <f t="shared" ref="D584:D591" si="19">D547</f>
        <v>57.65</v>
      </c>
      <c r="E584" s="742" t="s">
        <v>425</v>
      </c>
      <c r="F584" s="764">
        <f t="shared" ref="F584:F591" si="20">(A584*D584)</f>
        <v>197.16</v>
      </c>
      <c r="G584" s="783"/>
      <c r="H584" s="783"/>
    </row>
    <row r="585" spans="1:8">
      <c r="A585" s="768">
        <f>E576</f>
        <v>2.5293999999999999</v>
      </c>
      <c r="B585" s="742" t="s">
        <v>425</v>
      </c>
      <c r="C585" s="747" t="s">
        <v>3318</v>
      </c>
      <c r="D585" s="764">
        <f t="shared" si="19"/>
        <v>208.8</v>
      </c>
      <c r="E585" s="742" t="s">
        <v>425</v>
      </c>
      <c r="F585" s="764">
        <f t="shared" si="20"/>
        <v>528.14</v>
      </c>
      <c r="G585" s="783"/>
      <c r="H585" s="783"/>
    </row>
    <row r="586" spans="1:8">
      <c r="A586" s="764">
        <f>E579</f>
        <v>13.5</v>
      </c>
      <c r="B586" s="764" t="s">
        <v>13</v>
      </c>
      <c r="C586" s="770" t="s">
        <v>3326</v>
      </c>
      <c r="D586" s="764">
        <f t="shared" si="19"/>
        <v>89.6</v>
      </c>
      <c r="E586" s="764" t="s">
        <v>13</v>
      </c>
      <c r="F586" s="764">
        <f t="shared" si="20"/>
        <v>1209.5999999999999</v>
      </c>
      <c r="G586" s="783"/>
      <c r="H586" s="783"/>
    </row>
    <row r="587" spans="1:8">
      <c r="A587" s="764">
        <v>9</v>
      </c>
      <c r="B587" s="742" t="s">
        <v>131</v>
      </c>
      <c r="C587" s="743" t="s">
        <v>1479</v>
      </c>
      <c r="D587" s="764">
        <f t="shared" si="19"/>
        <v>82.25</v>
      </c>
      <c r="E587" s="743" t="s">
        <v>131</v>
      </c>
      <c r="F587" s="764">
        <f t="shared" si="20"/>
        <v>740.25</v>
      </c>
      <c r="G587" s="783"/>
      <c r="H587" s="783"/>
    </row>
    <row r="588" spans="1:8">
      <c r="A588" s="764">
        <v>6</v>
      </c>
      <c r="B588" s="742" t="s">
        <v>131</v>
      </c>
      <c r="C588" s="743" t="s">
        <v>3327</v>
      </c>
      <c r="D588" s="764">
        <f t="shared" si="19"/>
        <v>57.65</v>
      </c>
      <c r="E588" s="743" t="s">
        <v>131</v>
      </c>
      <c r="F588" s="764">
        <f t="shared" si="20"/>
        <v>345.9</v>
      </c>
      <c r="G588" s="783"/>
      <c r="H588" s="783"/>
    </row>
    <row r="589" spans="1:8">
      <c r="A589" s="764">
        <v>3</v>
      </c>
      <c r="B589" s="742" t="s">
        <v>131</v>
      </c>
      <c r="C589" s="743" t="s">
        <v>3328</v>
      </c>
      <c r="D589" s="764">
        <f t="shared" si="19"/>
        <v>7.3</v>
      </c>
      <c r="E589" s="743" t="s">
        <v>131</v>
      </c>
      <c r="F589" s="764">
        <f t="shared" si="20"/>
        <v>21.9</v>
      </c>
      <c r="G589" s="783"/>
      <c r="H589" s="783"/>
    </row>
    <row r="590" spans="1:8">
      <c r="A590" s="764">
        <v>3</v>
      </c>
      <c r="B590" s="742" t="s">
        <v>131</v>
      </c>
      <c r="C590" s="743" t="s">
        <v>453</v>
      </c>
      <c r="D590" s="764">
        <f t="shared" si="19"/>
        <v>2.41</v>
      </c>
      <c r="E590" s="743" t="s">
        <v>131</v>
      </c>
      <c r="F590" s="764">
        <f t="shared" si="20"/>
        <v>7.23</v>
      </c>
      <c r="G590" s="783"/>
      <c r="H590" s="783"/>
    </row>
    <row r="591" spans="1:8">
      <c r="A591" s="764">
        <v>120</v>
      </c>
      <c r="B591" s="742" t="s">
        <v>131</v>
      </c>
      <c r="C591" s="743" t="s">
        <v>3329</v>
      </c>
      <c r="D591" s="764">
        <f t="shared" si="19"/>
        <v>0</v>
      </c>
      <c r="E591" s="743" t="s">
        <v>131</v>
      </c>
      <c r="F591" s="764">
        <f t="shared" si="20"/>
        <v>0</v>
      </c>
      <c r="G591" s="783"/>
      <c r="H591" s="783"/>
    </row>
    <row r="592" spans="1:8">
      <c r="A592" s="764"/>
      <c r="B592" s="746"/>
      <c r="C592" s="747"/>
      <c r="D592" s="783"/>
      <c r="E592" s="764"/>
      <c r="F592" s="752" t="s">
        <v>52</v>
      </c>
      <c r="G592" s="783"/>
      <c r="H592" s="783"/>
    </row>
    <row r="593" spans="1:8">
      <c r="A593" s="748"/>
      <c r="B593" s="750"/>
      <c r="C593" s="747" t="s">
        <v>3339</v>
      </c>
      <c r="D593" s="783"/>
      <c r="E593" s="745"/>
      <c r="F593" s="754">
        <f>SUM(F583:F592)</f>
        <v>7244.86</v>
      </c>
      <c r="G593" s="783"/>
      <c r="H593" s="783"/>
    </row>
    <row r="594" spans="1:8">
      <c r="A594" s="748"/>
      <c r="B594" s="750"/>
      <c r="C594" s="783"/>
      <c r="D594" s="764"/>
      <c r="E594" s="749"/>
      <c r="F594" s="752" t="s">
        <v>52</v>
      </c>
      <c r="G594" s="783"/>
      <c r="H594" s="783"/>
    </row>
    <row r="595" spans="1:8">
      <c r="A595" s="748"/>
      <c r="B595" s="750"/>
      <c r="C595" s="754" t="s">
        <v>3331</v>
      </c>
      <c r="D595" s="764"/>
      <c r="E595" s="749"/>
      <c r="F595" s="803">
        <f>F593/A584</f>
        <v>2118.38</v>
      </c>
      <c r="G595" s="783"/>
      <c r="H595" s="783"/>
    </row>
    <row r="596" spans="1:8">
      <c r="A596" s="748"/>
      <c r="B596" s="750"/>
      <c r="C596" s="748"/>
      <c r="D596" s="764"/>
      <c r="E596" s="749"/>
      <c r="F596" s="783"/>
      <c r="G596" s="783"/>
      <c r="H596" s="783"/>
    </row>
    <row r="597" spans="1:8">
      <c r="A597" s="783"/>
      <c r="B597" s="783"/>
      <c r="C597" s="783"/>
      <c r="D597" s="783"/>
      <c r="E597" s="783"/>
      <c r="F597" s="783"/>
      <c r="G597" s="783"/>
      <c r="H597" s="783"/>
    </row>
    <row r="598" spans="1:8">
      <c r="A598" s="748">
        <v>3</v>
      </c>
      <c r="B598" s="750"/>
      <c r="C598" s="747" t="s">
        <v>3312</v>
      </c>
      <c r="D598" s="748"/>
      <c r="E598" s="749"/>
      <c r="F598" s="748"/>
      <c r="G598" s="783"/>
      <c r="H598" s="783"/>
    </row>
    <row r="599" spans="1:8" ht="18">
      <c r="A599" s="748"/>
      <c r="B599" s="750"/>
      <c r="C599" s="751" t="s">
        <v>3340</v>
      </c>
      <c r="D599" s="748"/>
      <c r="E599" s="749"/>
      <c r="F599" s="748"/>
      <c r="G599" s="783"/>
      <c r="H599" s="783"/>
    </row>
    <row r="600" spans="1:8">
      <c r="A600" s="748"/>
      <c r="B600" s="750"/>
      <c r="C600" s="752" t="s">
        <v>52</v>
      </c>
      <c r="D600" s="748"/>
      <c r="E600" s="749"/>
      <c r="F600" s="748"/>
      <c r="G600" s="783"/>
      <c r="H600" s="783"/>
    </row>
    <row r="601" spans="1:8">
      <c r="A601" s="748"/>
      <c r="B601" s="750"/>
      <c r="C601" s="770" t="s">
        <v>3314</v>
      </c>
      <c r="F601" t="s">
        <v>5</v>
      </c>
      <c r="G601" s="783"/>
      <c r="H601" s="783"/>
    </row>
    <row r="602" spans="1:8">
      <c r="A602" s="748"/>
      <c r="B602" s="750"/>
      <c r="C602" s="760" t="s">
        <v>3341</v>
      </c>
      <c r="D602" s="783"/>
      <c r="E602" s="756">
        <f>2*2*1.9*0.075*0.0375</f>
        <v>2.1399999999999999E-2</v>
      </c>
      <c r="F602" s="748" t="s">
        <v>5</v>
      </c>
      <c r="G602" s="783"/>
      <c r="H602" s="783"/>
    </row>
    <row r="603" spans="1:8">
      <c r="A603" s="748"/>
      <c r="B603" s="750"/>
      <c r="C603" s="747" t="s">
        <v>3342</v>
      </c>
      <c r="D603" s="783"/>
      <c r="E603" s="756">
        <f>2*2*0.5*0.075*0.0375</f>
        <v>5.5999999999999999E-3</v>
      </c>
      <c r="F603" s="748" t="s">
        <v>5</v>
      </c>
      <c r="G603" s="783"/>
      <c r="H603" s="783"/>
    </row>
    <row r="604" spans="1:8">
      <c r="A604" s="748"/>
      <c r="B604" s="750"/>
      <c r="C604" s="747"/>
      <c r="D604" s="754"/>
      <c r="E604" s="752" t="s">
        <v>52</v>
      </c>
      <c r="F604" s="757"/>
      <c r="G604" s="783"/>
      <c r="H604" s="783"/>
    </row>
    <row r="605" spans="1:8">
      <c r="A605" s="748"/>
      <c r="B605" s="750"/>
      <c r="C605" s="748"/>
      <c r="D605" s="748"/>
      <c r="E605" s="821">
        <f>SUM(E602:E604)</f>
        <v>2.7E-2</v>
      </c>
      <c r="F605" t="s">
        <v>5</v>
      </c>
      <c r="G605" s="783"/>
      <c r="H605" s="783"/>
    </row>
    <row r="606" spans="1:8">
      <c r="A606" s="748"/>
      <c r="B606" s="750"/>
      <c r="C606" s="748"/>
      <c r="D606" s="748"/>
      <c r="E606" s="752" t="s">
        <v>52</v>
      </c>
      <c r="G606" s="783"/>
      <c r="H606" s="783"/>
    </row>
    <row r="607" spans="1:8">
      <c r="A607" s="748"/>
      <c r="B607" s="750"/>
      <c r="C607" s="747" t="s">
        <v>1340</v>
      </c>
      <c r="D607" s="783"/>
      <c r="E607" s="783"/>
      <c r="F607" s="783"/>
      <c r="G607" s="783"/>
      <c r="H607" s="783"/>
    </row>
    <row r="608" spans="1:8">
      <c r="A608" s="748"/>
      <c r="B608" s="750"/>
      <c r="C608" s="747" t="s">
        <v>3343</v>
      </c>
      <c r="D608" s="822"/>
      <c r="E608" s="755">
        <f>2*1.9*0.5</f>
        <v>1.9</v>
      </c>
      <c r="F608" s="742" t="s">
        <v>425</v>
      </c>
      <c r="G608" s="783"/>
      <c r="H608" s="783"/>
    </row>
    <row r="609" spans="1:8">
      <c r="A609" s="748"/>
      <c r="B609" s="750"/>
      <c r="C609" s="747"/>
      <c r="D609" s="822"/>
      <c r="E609" s="755"/>
      <c r="F609" s="757"/>
      <c r="G609" s="783"/>
      <c r="H609" s="783"/>
    </row>
    <row r="610" spans="1:8">
      <c r="A610" s="748"/>
      <c r="B610" s="750"/>
      <c r="C610" s="747" t="s">
        <v>3318</v>
      </c>
      <c r="D610" s="822"/>
      <c r="E610" s="755"/>
      <c r="F610" s="757"/>
      <c r="G610" s="783"/>
      <c r="H610" s="783"/>
    </row>
    <row r="611" spans="1:8">
      <c r="A611" s="748"/>
      <c r="B611" s="750"/>
      <c r="C611" s="747" t="s">
        <v>3344</v>
      </c>
      <c r="D611" s="822"/>
      <c r="E611" s="756">
        <f>2*1.775*0.375</f>
        <v>1.3312999999999999</v>
      </c>
      <c r="F611" s="757" t="str">
        <f>F608</f>
        <v>SQM</v>
      </c>
      <c r="G611" s="783"/>
      <c r="H611" s="783"/>
    </row>
    <row r="612" spans="1:8">
      <c r="A612" s="748"/>
      <c r="B612" s="750"/>
      <c r="C612" s="747" t="s">
        <v>3345</v>
      </c>
      <c r="D612" s="748"/>
      <c r="E612" s="761"/>
      <c r="F612" s="760"/>
      <c r="G612" s="783"/>
      <c r="H612" s="783"/>
    </row>
    <row r="613" spans="1:8">
      <c r="A613" s="762"/>
      <c r="B613" s="750"/>
      <c r="C613" s="747" t="s">
        <v>3346</v>
      </c>
      <c r="D613" s="822"/>
      <c r="E613" s="823">
        <f>1.775+0.375</f>
        <v>2.15</v>
      </c>
      <c r="F613" s="757"/>
      <c r="G613" s="783"/>
      <c r="H613" s="783"/>
    </row>
    <row r="614" spans="1:8">
      <c r="A614" s="762"/>
      <c r="B614" s="750"/>
      <c r="C614" s="748"/>
      <c r="D614" s="824"/>
      <c r="E614" s="825">
        <f>E613*4</f>
        <v>8.6</v>
      </c>
      <c r="F614" s="764" t="s">
        <v>13</v>
      </c>
      <c r="G614" s="783"/>
      <c r="H614" s="783"/>
    </row>
    <row r="615" spans="1:8">
      <c r="A615" s="762"/>
      <c r="B615" s="750"/>
      <c r="C615" s="828" t="s">
        <v>3322</v>
      </c>
      <c r="D615" s="824"/>
      <c r="E615" s="745"/>
      <c r="F615" s="764"/>
      <c r="G615" s="783"/>
      <c r="H615" s="783"/>
    </row>
    <row r="616" spans="1:8">
      <c r="A616" s="757"/>
      <c r="B616" s="746"/>
      <c r="C616" s="766"/>
      <c r="D616" s="783"/>
      <c r="E616" s="764"/>
      <c r="F616" s="745"/>
      <c r="G616" s="783"/>
      <c r="H616" s="783"/>
    </row>
    <row r="617" spans="1:8">
      <c r="A617" s="768"/>
      <c r="B617" s="750"/>
      <c r="C617" s="770" t="s">
        <v>3323</v>
      </c>
      <c r="D617" s="783"/>
      <c r="E617" s="764"/>
      <c r="F617" s="749"/>
      <c r="G617" s="783"/>
      <c r="H617" s="783"/>
    </row>
    <row r="618" spans="1:8">
      <c r="A618" s="757">
        <f>E605</f>
        <v>2.7E-2</v>
      </c>
      <c r="B618" s="745" t="s">
        <v>132</v>
      </c>
      <c r="C618" s="747" t="s">
        <v>3338</v>
      </c>
      <c r="D618" s="764">
        <f>D583</f>
        <v>99400</v>
      </c>
      <c r="E618" s="745" t="s">
        <v>132</v>
      </c>
      <c r="F618" s="764">
        <f>(A618*D618)</f>
        <v>2683.8</v>
      </c>
      <c r="G618" s="783"/>
      <c r="H618" s="783"/>
    </row>
    <row r="619" spans="1:8">
      <c r="A619" s="757">
        <f>E608</f>
        <v>1.9</v>
      </c>
      <c r="B619" s="742" t="s">
        <v>425</v>
      </c>
      <c r="C619" s="747" t="s">
        <v>1340</v>
      </c>
      <c r="D619" s="764">
        <f t="shared" ref="D619:D626" si="21">D584</f>
        <v>57.65</v>
      </c>
      <c r="E619" s="742" t="s">
        <v>425</v>
      </c>
      <c r="F619" s="764">
        <f t="shared" ref="F619:F626" si="22">(A619*D619)</f>
        <v>109.54</v>
      </c>
      <c r="G619" s="783"/>
      <c r="H619" s="783"/>
    </row>
    <row r="620" spans="1:8">
      <c r="A620" s="768">
        <f>E611</f>
        <v>1.3312999999999999</v>
      </c>
      <c r="B620" s="742" t="s">
        <v>425</v>
      </c>
      <c r="C620" s="747" t="s">
        <v>3318</v>
      </c>
      <c r="D620" s="764">
        <f t="shared" si="21"/>
        <v>208.8</v>
      </c>
      <c r="E620" s="742" t="s">
        <v>425</v>
      </c>
      <c r="F620" s="764">
        <f t="shared" si="22"/>
        <v>277.98</v>
      </c>
      <c r="G620" s="783"/>
      <c r="H620" s="783"/>
    </row>
    <row r="621" spans="1:8">
      <c r="A621" s="764">
        <f>E614</f>
        <v>8.6</v>
      </c>
      <c r="B621" s="764" t="s">
        <v>13</v>
      </c>
      <c r="C621" s="770" t="s">
        <v>3326</v>
      </c>
      <c r="D621" s="764">
        <f t="shared" si="21"/>
        <v>89.6</v>
      </c>
      <c r="E621" s="764" t="s">
        <v>13</v>
      </c>
      <c r="F621" s="764">
        <f t="shared" si="22"/>
        <v>770.56</v>
      </c>
      <c r="G621" s="783"/>
      <c r="H621" s="783"/>
    </row>
    <row r="622" spans="1:8">
      <c r="A622" s="764">
        <v>6</v>
      </c>
      <c r="B622" s="742" t="s">
        <v>131</v>
      </c>
      <c r="C622" s="743" t="s">
        <v>1479</v>
      </c>
      <c r="D622" s="764">
        <f t="shared" si="21"/>
        <v>82.25</v>
      </c>
      <c r="E622" s="743" t="s">
        <v>131</v>
      </c>
      <c r="F622" s="764">
        <f t="shared" si="22"/>
        <v>493.5</v>
      </c>
      <c r="G622" s="783"/>
      <c r="H622" s="783"/>
    </row>
    <row r="623" spans="1:8">
      <c r="A623" s="764">
        <v>4</v>
      </c>
      <c r="B623" s="742" t="s">
        <v>131</v>
      </c>
      <c r="C623" s="743" t="s">
        <v>3327</v>
      </c>
      <c r="D623" s="764">
        <f t="shared" si="21"/>
        <v>57.65</v>
      </c>
      <c r="E623" s="743" t="s">
        <v>131</v>
      </c>
      <c r="F623" s="764">
        <f t="shared" si="22"/>
        <v>230.6</v>
      </c>
      <c r="G623" s="783"/>
      <c r="H623" s="783"/>
    </row>
    <row r="624" spans="1:8">
      <c r="A624" s="764">
        <v>2</v>
      </c>
      <c r="B624" s="742" t="s">
        <v>131</v>
      </c>
      <c r="C624" s="743" t="s">
        <v>3328</v>
      </c>
      <c r="D624" s="764">
        <f t="shared" si="21"/>
        <v>7.3</v>
      </c>
      <c r="E624" s="743" t="s">
        <v>131</v>
      </c>
      <c r="F624" s="764">
        <f t="shared" si="22"/>
        <v>14.6</v>
      </c>
      <c r="G624" s="783"/>
      <c r="H624" s="783"/>
    </row>
    <row r="625" spans="1:8">
      <c r="A625" s="764">
        <v>2</v>
      </c>
      <c r="B625" s="742" t="s">
        <v>131</v>
      </c>
      <c r="C625" s="743" t="s">
        <v>453</v>
      </c>
      <c r="D625" s="764">
        <f t="shared" si="21"/>
        <v>2.41</v>
      </c>
      <c r="E625" s="743" t="s">
        <v>131</v>
      </c>
      <c r="F625" s="764">
        <f t="shared" si="22"/>
        <v>4.82</v>
      </c>
      <c r="G625" s="783"/>
      <c r="H625" s="783"/>
    </row>
    <row r="626" spans="1:8">
      <c r="A626" s="764">
        <v>80</v>
      </c>
      <c r="B626" s="742" t="s">
        <v>131</v>
      </c>
      <c r="C626" s="743" t="s">
        <v>3329</v>
      </c>
      <c r="D626" s="764">
        <f t="shared" si="21"/>
        <v>0</v>
      </c>
      <c r="E626" s="743" t="s">
        <v>131</v>
      </c>
      <c r="F626" s="764">
        <f t="shared" si="22"/>
        <v>0</v>
      </c>
      <c r="G626" s="783"/>
      <c r="H626" s="783"/>
    </row>
    <row r="627" spans="1:8">
      <c r="A627" s="764"/>
      <c r="B627" s="746"/>
      <c r="C627" s="747"/>
      <c r="D627" s="783"/>
      <c r="E627" s="764"/>
      <c r="F627" s="752" t="s">
        <v>52</v>
      </c>
      <c r="G627" s="783"/>
      <c r="H627" s="783"/>
    </row>
    <row r="628" spans="1:8">
      <c r="A628" s="748"/>
      <c r="B628" s="750"/>
      <c r="C628" s="747" t="s">
        <v>3347</v>
      </c>
      <c r="D628" s="783"/>
      <c r="E628" s="745"/>
      <c r="F628" s="754">
        <f>SUM(F618:F627)</f>
        <v>4585.3999999999996</v>
      </c>
      <c r="G628" s="783"/>
      <c r="H628" s="783"/>
    </row>
    <row r="629" spans="1:8">
      <c r="A629" s="748"/>
      <c r="B629" s="750"/>
      <c r="C629" s="783"/>
      <c r="D629" s="764"/>
      <c r="E629" s="749"/>
      <c r="F629" s="752" t="s">
        <v>52</v>
      </c>
      <c r="G629" s="783"/>
      <c r="H629" s="783"/>
    </row>
    <row r="630" spans="1:8">
      <c r="A630" s="748"/>
      <c r="B630" s="750"/>
      <c r="C630" s="754" t="s">
        <v>3331</v>
      </c>
      <c r="D630" s="764"/>
      <c r="E630" s="749"/>
      <c r="F630" s="803">
        <f>F628/A619</f>
        <v>2413.37</v>
      </c>
      <c r="G630" s="783"/>
      <c r="H630" s="783"/>
    </row>
    <row r="631" spans="1:8">
      <c r="A631" s="748"/>
      <c r="B631" s="750"/>
      <c r="C631" s="748"/>
      <c r="D631" s="764"/>
      <c r="E631" s="749"/>
      <c r="F631" s="783"/>
      <c r="G631" s="783"/>
      <c r="H631" s="783"/>
    </row>
    <row r="632" spans="1:8">
      <c r="A632" s="783"/>
      <c r="B632" s="783"/>
      <c r="C632" s="783"/>
      <c r="D632" s="783"/>
      <c r="E632" s="783"/>
      <c r="F632" s="783"/>
      <c r="G632" s="783"/>
      <c r="H632" s="783"/>
    </row>
    <row r="633" spans="1:8">
      <c r="A633" s="783"/>
      <c r="B633" s="783"/>
      <c r="C633" s="783"/>
      <c r="D633" s="783"/>
      <c r="E633" s="783"/>
      <c r="F633" s="783"/>
      <c r="G633" s="783"/>
      <c r="H633" s="783"/>
    </row>
    <row r="634" spans="1:8">
      <c r="A634" s="827">
        <v>4</v>
      </c>
      <c r="B634" s="750"/>
      <c r="C634" s="747" t="s">
        <v>3312</v>
      </c>
      <c r="D634" s="748"/>
      <c r="E634" s="749"/>
      <c r="F634" s="748"/>
      <c r="G634" s="783"/>
      <c r="H634" s="783"/>
    </row>
    <row r="635" spans="1:8" ht="18">
      <c r="A635" s="748"/>
      <c r="B635" s="750"/>
      <c r="C635" s="751" t="s">
        <v>3348</v>
      </c>
      <c r="D635" s="748"/>
      <c r="E635" s="749"/>
      <c r="F635" s="748"/>
      <c r="G635" s="783"/>
      <c r="H635" s="783"/>
    </row>
    <row r="636" spans="1:8">
      <c r="A636" s="748"/>
      <c r="B636" s="750"/>
      <c r="C636" s="752" t="s">
        <v>52</v>
      </c>
      <c r="D636" s="748"/>
      <c r="E636" s="749"/>
      <c r="F636" s="748"/>
      <c r="G636" s="783"/>
      <c r="H636" s="783"/>
    </row>
    <row r="637" spans="1:8">
      <c r="A637" s="748"/>
      <c r="B637" s="750"/>
      <c r="C637" s="770" t="s">
        <v>3314</v>
      </c>
      <c r="F637" t="s">
        <v>5</v>
      </c>
      <c r="G637" s="783"/>
      <c r="H637" s="783"/>
    </row>
    <row r="638" spans="1:8">
      <c r="A638" s="748"/>
      <c r="B638" s="750"/>
      <c r="C638" s="760" t="s">
        <v>3349</v>
      </c>
      <c r="D638" s="783"/>
      <c r="E638" s="756">
        <f>2*2*1.9*0.075*0.0375</f>
        <v>2.1399999999999999E-2</v>
      </c>
      <c r="F638" s="748" t="s">
        <v>5</v>
      </c>
      <c r="G638" s="783"/>
      <c r="H638" s="783"/>
    </row>
    <row r="639" spans="1:8">
      <c r="A639" s="748"/>
      <c r="B639" s="750"/>
      <c r="C639" s="747" t="s">
        <v>3350</v>
      </c>
      <c r="D639" s="783"/>
      <c r="E639" s="756">
        <f>2*0.65*0.075*0.0375</f>
        <v>3.7000000000000002E-3</v>
      </c>
      <c r="F639" s="748" t="s">
        <v>5</v>
      </c>
      <c r="G639" s="783"/>
      <c r="H639" s="783"/>
    </row>
    <row r="640" spans="1:8">
      <c r="A640" s="748"/>
      <c r="B640" s="750"/>
      <c r="C640" s="747"/>
      <c r="D640" s="754"/>
      <c r="E640" s="752" t="s">
        <v>52</v>
      </c>
      <c r="F640" s="757"/>
      <c r="G640" s="783"/>
      <c r="H640" s="783"/>
    </row>
    <row r="641" spans="1:8">
      <c r="A641" s="748"/>
      <c r="B641" s="750"/>
      <c r="C641" s="748"/>
      <c r="D641" s="748"/>
      <c r="E641" s="821">
        <f>SUM(E638:E640)</f>
        <v>2.5100000000000001E-2</v>
      </c>
      <c r="F641" t="s">
        <v>5</v>
      </c>
      <c r="G641" s="783"/>
      <c r="H641" s="783"/>
    </row>
    <row r="642" spans="1:8">
      <c r="A642" s="748"/>
      <c r="B642" s="750"/>
      <c r="C642" s="748"/>
      <c r="D642" s="748"/>
      <c r="E642" s="752" t="s">
        <v>52</v>
      </c>
      <c r="G642" s="783"/>
      <c r="H642" s="783"/>
    </row>
    <row r="643" spans="1:8">
      <c r="A643" s="748"/>
      <c r="B643" s="750"/>
      <c r="C643" s="747" t="s">
        <v>1340</v>
      </c>
      <c r="D643" s="783"/>
      <c r="E643" s="783"/>
      <c r="F643" s="783"/>
      <c r="G643" s="783"/>
      <c r="H643" s="783"/>
    </row>
    <row r="644" spans="1:8">
      <c r="A644" s="748"/>
      <c r="B644" s="750"/>
      <c r="C644" s="747" t="s">
        <v>3351</v>
      </c>
      <c r="D644" s="822"/>
      <c r="E644" s="755">
        <f>1*1.9*0.65</f>
        <v>1.2350000000000001</v>
      </c>
      <c r="F644" s="742" t="s">
        <v>425</v>
      </c>
      <c r="G644" s="783"/>
      <c r="H644" s="783"/>
    </row>
    <row r="645" spans="1:8">
      <c r="A645" s="748"/>
      <c r="B645" s="750"/>
      <c r="C645" s="747"/>
      <c r="D645" s="822"/>
      <c r="E645" s="755"/>
      <c r="F645" s="757"/>
      <c r="G645" s="783"/>
      <c r="H645" s="783"/>
    </row>
    <row r="646" spans="1:8">
      <c r="A646" s="748"/>
      <c r="B646" s="750"/>
      <c r="C646" s="747" t="s">
        <v>3318</v>
      </c>
      <c r="D646" s="822"/>
      <c r="E646" s="755"/>
      <c r="F646" s="757"/>
      <c r="G646" s="783"/>
      <c r="H646" s="783"/>
    </row>
    <row r="647" spans="1:8">
      <c r="A647" s="748"/>
      <c r="B647" s="750"/>
      <c r="C647" s="747" t="s">
        <v>3352</v>
      </c>
      <c r="D647" s="822"/>
      <c r="E647" s="756">
        <f>1*1.775*0.525</f>
        <v>0.93189999999999995</v>
      </c>
      <c r="F647" s="757" t="str">
        <f>F644</f>
        <v>SQM</v>
      </c>
      <c r="G647" s="783"/>
      <c r="H647" s="783"/>
    </row>
    <row r="648" spans="1:8">
      <c r="A648" s="748"/>
      <c r="B648" s="750"/>
      <c r="C648" s="747" t="s">
        <v>3320</v>
      </c>
      <c r="D648" s="748"/>
      <c r="E648" s="761"/>
      <c r="F648" s="760"/>
      <c r="G648" s="783"/>
      <c r="H648" s="783"/>
    </row>
    <row r="649" spans="1:8">
      <c r="A649" s="762"/>
      <c r="B649" s="750"/>
      <c r="C649" s="747" t="s">
        <v>3353</v>
      </c>
      <c r="D649" s="822"/>
      <c r="E649" s="823">
        <f>1.775+0.525</f>
        <v>2.2999999999999998</v>
      </c>
      <c r="F649" s="757"/>
      <c r="G649" s="783"/>
      <c r="H649" s="783"/>
    </row>
    <row r="650" spans="1:8">
      <c r="A650" s="762"/>
      <c r="B650" s="750"/>
      <c r="C650" s="748"/>
      <c r="D650" s="824"/>
      <c r="E650" s="825">
        <f>E649*2</f>
        <v>4.5999999999999996</v>
      </c>
      <c r="F650" s="764" t="s">
        <v>13</v>
      </c>
      <c r="G650" s="783"/>
      <c r="H650" s="783"/>
    </row>
    <row r="651" spans="1:8">
      <c r="A651" s="762"/>
      <c r="B651" s="750"/>
      <c r="C651" s="828" t="s">
        <v>3322</v>
      </c>
      <c r="D651" s="824"/>
      <c r="E651" s="745"/>
      <c r="F651" s="764"/>
      <c r="G651" s="783"/>
      <c r="H651" s="783"/>
    </row>
    <row r="652" spans="1:8">
      <c r="A652" s="757"/>
      <c r="B652" s="746"/>
      <c r="C652" s="766"/>
      <c r="D652" s="783"/>
      <c r="E652" s="764"/>
      <c r="F652" s="745"/>
      <c r="G652" s="783"/>
      <c r="H652" s="783"/>
    </row>
    <row r="653" spans="1:8">
      <c r="A653" s="768"/>
      <c r="B653" s="750"/>
      <c r="C653" s="770" t="s">
        <v>3323</v>
      </c>
      <c r="D653" s="783"/>
      <c r="E653" s="764"/>
      <c r="F653" s="749"/>
      <c r="G653" s="783"/>
      <c r="H653" s="783"/>
    </row>
    <row r="654" spans="1:8">
      <c r="A654" s="757">
        <f>E641</f>
        <v>2.5100000000000001E-2</v>
      </c>
      <c r="B654" s="745" t="s">
        <v>132</v>
      </c>
      <c r="C654" s="747" t="s">
        <v>3338</v>
      </c>
      <c r="D654" s="764">
        <f>D618</f>
        <v>99400</v>
      </c>
      <c r="E654" s="745" t="s">
        <v>132</v>
      </c>
      <c r="F654" s="764">
        <f>(A654*D654)</f>
        <v>2494.94</v>
      </c>
      <c r="G654" s="783"/>
      <c r="H654" s="783"/>
    </row>
    <row r="655" spans="1:8">
      <c r="A655" s="757">
        <f>E644</f>
        <v>1.2350000000000001</v>
      </c>
      <c r="B655" s="742" t="s">
        <v>425</v>
      </c>
      <c r="C655" s="747" t="s">
        <v>1340</v>
      </c>
      <c r="D655" s="764">
        <f t="shared" ref="D655:D662" si="23">D619</f>
        <v>57.65</v>
      </c>
      <c r="E655" s="742" t="s">
        <v>425</v>
      </c>
      <c r="F655" s="764">
        <f t="shared" ref="F655:F662" si="24">(A655*D655)</f>
        <v>71.2</v>
      </c>
      <c r="G655" s="783"/>
      <c r="H655" s="783"/>
    </row>
    <row r="656" spans="1:8">
      <c r="A656" s="768">
        <f>E647</f>
        <v>0.93189999999999995</v>
      </c>
      <c r="B656" s="742" t="s">
        <v>425</v>
      </c>
      <c r="C656" s="747" t="s">
        <v>3318</v>
      </c>
      <c r="D656" s="764">
        <f t="shared" si="23"/>
        <v>208.8</v>
      </c>
      <c r="E656" s="742" t="s">
        <v>425</v>
      </c>
      <c r="F656" s="764">
        <f t="shared" si="24"/>
        <v>194.58</v>
      </c>
      <c r="G656" s="783"/>
      <c r="H656" s="783"/>
    </row>
    <row r="657" spans="1:8">
      <c r="A657" s="764">
        <f>E650</f>
        <v>4.5999999999999996</v>
      </c>
      <c r="B657" s="764" t="s">
        <v>13</v>
      </c>
      <c r="C657" s="770" t="s">
        <v>3326</v>
      </c>
      <c r="D657" s="764">
        <f t="shared" si="23"/>
        <v>89.6</v>
      </c>
      <c r="E657" s="764" t="s">
        <v>13</v>
      </c>
      <c r="F657" s="764">
        <f t="shared" si="24"/>
        <v>412.16</v>
      </c>
      <c r="G657" s="783"/>
      <c r="H657" s="783"/>
    </row>
    <row r="658" spans="1:8">
      <c r="A658" s="764">
        <v>3</v>
      </c>
      <c r="B658" s="742" t="s">
        <v>131</v>
      </c>
      <c r="C658" s="743" t="s">
        <v>1479</v>
      </c>
      <c r="D658" s="764">
        <f t="shared" si="23"/>
        <v>82.25</v>
      </c>
      <c r="E658" s="743" t="s">
        <v>131</v>
      </c>
      <c r="F658" s="764">
        <f t="shared" si="24"/>
        <v>246.75</v>
      </c>
      <c r="G658" s="783"/>
      <c r="H658" s="783"/>
    </row>
    <row r="659" spans="1:8">
      <c r="A659" s="764">
        <v>2</v>
      </c>
      <c r="B659" s="742" t="s">
        <v>131</v>
      </c>
      <c r="C659" s="743" t="s">
        <v>3327</v>
      </c>
      <c r="D659" s="764">
        <f t="shared" si="23"/>
        <v>57.65</v>
      </c>
      <c r="E659" s="743" t="s">
        <v>131</v>
      </c>
      <c r="F659" s="764">
        <f t="shared" si="24"/>
        <v>115.3</v>
      </c>
      <c r="G659" s="783"/>
      <c r="H659" s="783"/>
    </row>
    <row r="660" spans="1:8">
      <c r="A660" s="764">
        <v>1</v>
      </c>
      <c r="B660" s="742" t="s">
        <v>131</v>
      </c>
      <c r="C660" s="743" t="s">
        <v>3328</v>
      </c>
      <c r="D660" s="764">
        <f t="shared" si="23"/>
        <v>7.3</v>
      </c>
      <c r="E660" s="743" t="s">
        <v>131</v>
      </c>
      <c r="F660" s="764">
        <f t="shared" si="24"/>
        <v>7.3</v>
      </c>
      <c r="G660" s="783"/>
      <c r="H660" s="783"/>
    </row>
    <row r="661" spans="1:8">
      <c r="A661" s="764">
        <v>1</v>
      </c>
      <c r="B661" s="742" t="s">
        <v>131</v>
      </c>
      <c r="C661" s="743" t="s">
        <v>453</v>
      </c>
      <c r="D661" s="764">
        <f t="shared" si="23"/>
        <v>2.41</v>
      </c>
      <c r="E661" s="743" t="s">
        <v>131</v>
      </c>
      <c r="F661" s="764">
        <f t="shared" si="24"/>
        <v>2.41</v>
      </c>
      <c r="G661" s="783"/>
      <c r="H661" s="783"/>
    </row>
    <row r="662" spans="1:8">
      <c r="A662" s="764">
        <v>40</v>
      </c>
      <c r="B662" s="742" t="s">
        <v>131</v>
      </c>
      <c r="C662" s="743" t="s">
        <v>3329</v>
      </c>
      <c r="D662" s="764">
        <f t="shared" si="23"/>
        <v>0</v>
      </c>
      <c r="E662" s="743" t="s">
        <v>131</v>
      </c>
      <c r="F662" s="764">
        <f t="shared" si="24"/>
        <v>0</v>
      </c>
      <c r="G662" s="783"/>
      <c r="H662" s="783"/>
    </row>
    <row r="663" spans="1:8">
      <c r="A663" s="764"/>
      <c r="B663" s="746"/>
      <c r="C663" s="747"/>
      <c r="D663" s="783"/>
      <c r="E663" s="764"/>
      <c r="F663" s="752" t="s">
        <v>52</v>
      </c>
      <c r="G663" s="783"/>
      <c r="H663" s="783"/>
    </row>
    <row r="664" spans="1:8">
      <c r="A664" s="748"/>
      <c r="B664" s="750"/>
      <c r="C664" s="747" t="s">
        <v>3354</v>
      </c>
      <c r="D664" s="783"/>
      <c r="E664" s="745"/>
      <c r="F664" s="754">
        <f>SUM(F654:F663)</f>
        <v>3544.64</v>
      </c>
      <c r="G664" s="783"/>
      <c r="H664" s="783"/>
    </row>
    <row r="665" spans="1:8">
      <c r="A665" s="748"/>
      <c r="B665" s="750"/>
      <c r="C665" s="783"/>
      <c r="D665" s="764"/>
      <c r="E665" s="749"/>
      <c r="F665" s="752" t="s">
        <v>52</v>
      </c>
      <c r="G665" s="783"/>
      <c r="H665" s="783"/>
    </row>
    <row r="666" spans="1:8">
      <c r="A666" s="748"/>
      <c r="B666" s="750"/>
      <c r="C666" s="754" t="s">
        <v>3331</v>
      </c>
      <c r="D666" s="764"/>
      <c r="E666" s="749"/>
      <c r="F666" s="803">
        <f>F664/A655</f>
        <v>2870.15</v>
      </c>
      <c r="G666" s="783"/>
      <c r="H666" s="783"/>
    </row>
    <row r="667" spans="1:8">
      <c r="A667" s="748"/>
      <c r="B667" s="750"/>
      <c r="C667" s="748"/>
      <c r="D667" s="764"/>
      <c r="E667" s="749"/>
      <c r="F667" s="783"/>
      <c r="G667" s="783"/>
      <c r="H667" s="783"/>
    </row>
    <row r="668" spans="1:8">
      <c r="A668" s="783"/>
      <c r="B668" s="783"/>
      <c r="C668" s="783"/>
      <c r="D668" s="783"/>
      <c r="E668" s="783"/>
      <c r="F668" s="783"/>
      <c r="G668" s="783"/>
      <c r="H668" s="783"/>
    </row>
    <row r="669" spans="1:8">
      <c r="A669" s="783"/>
      <c r="B669" s="783"/>
      <c r="C669" s="783"/>
      <c r="D669" s="783"/>
      <c r="E669" s="783"/>
      <c r="F669" s="783"/>
      <c r="G669" s="783"/>
      <c r="H669" s="783"/>
    </row>
    <row r="670" spans="1:8">
      <c r="A670" s="748"/>
      <c r="B670" s="750"/>
      <c r="C670" s="747" t="s">
        <v>3312</v>
      </c>
      <c r="D670" s="748"/>
      <c r="E670" s="749"/>
      <c r="F670" s="748"/>
      <c r="G670" s="783"/>
      <c r="H670" s="783"/>
    </row>
    <row r="671" spans="1:8" ht="18">
      <c r="A671" s="748"/>
      <c r="B671" s="750"/>
      <c r="C671" s="751" t="s">
        <v>3355</v>
      </c>
      <c r="D671" s="748"/>
      <c r="E671" s="749"/>
      <c r="F671" s="748"/>
      <c r="G671" s="783"/>
      <c r="H671" s="783"/>
    </row>
    <row r="672" spans="1:8">
      <c r="A672" s="748"/>
      <c r="B672" s="750"/>
      <c r="C672" s="752" t="s">
        <v>52</v>
      </c>
      <c r="D672" s="748"/>
      <c r="E672" s="749"/>
      <c r="F672" s="748"/>
      <c r="G672" s="783"/>
      <c r="H672" s="783"/>
    </row>
    <row r="673" spans="1:8">
      <c r="A673" s="748"/>
      <c r="B673" s="750"/>
      <c r="C673" s="770" t="s">
        <v>3314</v>
      </c>
      <c r="F673" t="s">
        <v>5</v>
      </c>
      <c r="G673" s="783"/>
      <c r="H673" s="783"/>
    </row>
    <row r="674" spans="1:8">
      <c r="A674" s="748"/>
      <c r="B674" s="750"/>
      <c r="C674" s="760" t="s">
        <v>3349</v>
      </c>
      <c r="D674" s="783"/>
      <c r="E674" s="756">
        <f>2*2*1.9*0.075*0.0375</f>
        <v>2.1399999999999999E-2</v>
      </c>
      <c r="F674" s="748" t="s">
        <v>5</v>
      </c>
      <c r="G674" s="783"/>
      <c r="H674" s="783"/>
    </row>
    <row r="675" spans="1:8">
      <c r="A675" s="748"/>
      <c r="B675" s="750"/>
      <c r="C675" s="747" t="s">
        <v>3356</v>
      </c>
      <c r="D675" s="783"/>
      <c r="E675" s="756">
        <f>1*2*0.47*0.075*0.0375</f>
        <v>2.5999999999999999E-3</v>
      </c>
      <c r="F675" s="748" t="s">
        <v>5</v>
      </c>
      <c r="G675" s="783"/>
      <c r="H675" s="783"/>
    </row>
    <row r="676" spans="1:8">
      <c r="A676" s="748"/>
      <c r="B676" s="750"/>
      <c r="C676" s="747"/>
      <c r="D676" s="754"/>
      <c r="E676" s="752" t="s">
        <v>52</v>
      </c>
      <c r="F676" s="757"/>
      <c r="G676" s="783"/>
      <c r="H676" s="783"/>
    </row>
    <row r="677" spans="1:8">
      <c r="A677" s="748"/>
      <c r="B677" s="750"/>
      <c r="C677" s="748"/>
      <c r="D677" s="748"/>
      <c r="E677" s="821">
        <f>SUM(E674:E676)</f>
        <v>2.4E-2</v>
      </c>
      <c r="F677" t="s">
        <v>5</v>
      </c>
      <c r="G677" s="783"/>
      <c r="H677" s="783"/>
    </row>
    <row r="678" spans="1:8">
      <c r="A678" s="748"/>
      <c r="B678" s="750"/>
      <c r="C678" s="748"/>
      <c r="D678" s="748"/>
      <c r="E678" s="752" t="s">
        <v>52</v>
      </c>
      <c r="G678" s="783"/>
      <c r="H678" s="783"/>
    </row>
    <row r="679" spans="1:8">
      <c r="A679" s="748"/>
      <c r="B679" s="750"/>
      <c r="C679" s="747" t="s">
        <v>1340</v>
      </c>
      <c r="D679" s="783"/>
      <c r="E679" s="783"/>
      <c r="F679" s="783"/>
      <c r="G679" s="783"/>
      <c r="H679" s="783"/>
    </row>
    <row r="680" spans="1:8">
      <c r="A680" s="748"/>
      <c r="B680" s="750"/>
      <c r="C680" s="747" t="s">
        <v>3357</v>
      </c>
      <c r="D680" s="822"/>
      <c r="E680" s="755">
        <f>1*1.9*0.47</f>
        <v>0.89300000000000002</v>
      </c>
      <c r="F680" s="742" t="s">
        <v>425</v>
      </c>
      <c r="G680" s="783"/>
      <c r="H680" s="783"/>
    </row>
    <row r="681" spans="1:8">
      <c r="A681" s="748"/>
      <c r="B681" s="750"/>
      <c r="C681" s="747"/>
      <c r="D681" s="822"/>
      <c r="E681" s="755"/>
      <c r="F681" s="757"/>
      <c r="G681" s="783"/>
      <c r="H681" s="783"/>
    </row>
    <row r="682" spans="1:8">
      <c r="A682" s="748"/>
      <c r="B682" s="750"/>
      <c r="C682" s="747" t="s">
        <v>3318</v>
      </c>
      <c r="D682" s="822"/>
      <c r="E682" s="755"/>
      <c r="F682" s="757"/>
      <c r="G682" s="783"/>
      <c r="H682" s="783"/>
    </row>
    <row r="683" spans="1:8">
      <c r="A683" s="748"/>
      <c r="B683" s="750"/>
      <c r="C683" s="747" t="s">
        <v>3358</v>
      </c>
      <c r="D683" s="822"/>
      <c r="E683" s="756">
        <f>1*1.775*0.345</f>
        <v>0.61240000000000006</v>
      </c>
      <c r="F683" s="757" t="str">
        <f>F680</f>
        <v>SQM</v>
      </c>
      <c r="H683" s="783"/>
    </row>
    <row r="684" spans="1:8">
      <c r="A684" s="748"/>
      <c r="B684" s="750"/>
      <c r="C684" s="747" t="s">
        <v>3320</v>
      </c>
      <c r="D684" s="748"/>
      <c r="E684" s="761"/>
      <c r="F684" s="760"/>
      <c r="H684" s="783"/>
    </row>
    <row r="685" spans="1:8">
      <c r="A685" s="762"/>
      <c r="B685" s="750"/>
      <c r="C685" s="747" t="s">
        <v>3359</v>
      </c>
      <c r="D685" s="822"/>
      <c r="E685" s="823">
        <f>1.775+0.345</f>
        <v>2.12</v>
      </c>
      <c r="F685" s="757"/>
      <c r="H685" s="783"/>
    </row>
    <row r="686" spans="1:8">
      <c r="A686" s="762"/>
      <c r="B686" s="750"/>
      <c r="C686" s="748"/>
      <c r="D686" s="824"/>
      <c r="E686" s="825">
        <f>E685*2</f>
        <v>4.24</v>
      </c>
      <c r="F686" s="764" t="s">
        <v>13</v>
      </c>
      <c r="H686" s="783"/>
    </row>
    <row r="687" spans="1:8">
      <c r="A687" s="762"/>
      <c r="B687" s="750"/>
      <c r="C687" s="828" t="s">
        <v>3322</v>
      </c>
      <c r="D687" s="824"/>
      <c r="E687" s="745"/>
      <c r="F687" s="764"/>
      <c r="H687" s="783"/>
    </row>
    <row r="688" spans="1:8">
      <c r="A688" s="757"/>
      <c r="B688" s="746"/>
      <c r="C688" s="766"/>
      <c r="D688" s="783"/>
      <c r="E688" s="764"/>
      <c r="F688" s="745"/>
      <c r="H688" s="783"/>
    </row>
    <row r="689" spans="1:8">
      <c r="A689" s="768"/>
      <c r="B689" s="750"/>
      <c r="C689" s="770" t="s">
        <v>3323</v>
      </c>
      <c r="D689" s="783"/>
      <c r="E689" s="764"/>
      <c r="F689" s="749"/>
      <c r="H689" s="783"/>
    </row>
    <row r="690" spans="1:8">
      <c r="A690" s="757">
        <f>E677</f>
        <v>2.4E-2</v>
      </c>
      <c r="B690" s="745" t="s">
        <v>132</v>
      </c>
      <c r="C690" s="747" t="s">
        <v>3338</v>
      </c>
      <c r="D690" s="764">
        <f>D654</f>
        <v>99400</v>
      </c>
      <c r="E690" s="745" t="s">
        <v>132</v>
      </c>
      <c r="F690" s="764">
        <f>(A690*D690)</f>
        <v>2385.6</v>
      </c>
      <c r="H690" s="783"/>
    </row>
    <row r="691" spans="1:8">
      <c r="A691" s="757">
        <f>E680</f>
        <v>0.89300000000000002</v>
      </c>
      <c r="B691" s="742" t="s">
        <v>425</v>
      </c>
      <c r="C691" s="747" t="s">
        <v>1340</v>
      </c>
      <c r="D691" s="764">
        <f t="shared" ref="D691:D698" si="25">D655</f>
        <v>57.65</v>
      </c>
      <c r="E691" s="742" t="s">
        <v>425</v>
      </c>
      <c r="F691" s="764">
        <f t="shared" ref="F691:F698" si="26">(A691*D691)</f>
        <v>51.48</v>
      </c>
      <c r="H691" s="783"/>
    </row>
    <row r="692" spans="1:8">
      <c r="A692" s="768">
        <f>E683</f>
        <v>0.61240000000000006</v>
      </c>
      <c r="B692" s="742" t="s">
        <v>425</v>
      </c>
      <c r="C692" s="747" t="s">
        <v>3318</v>
      </c>
      <c r="D692" s="764">
        <f t="shared" si="25"/>
        <v>208.8</v>
      </c>
      <c r="E692" s="742" t="s">
        <v>425</v>
      </c>
      <c r="F692" s="764">
        <f t="shared" si="26"/>
        <v>127.87</v>
      </c>
      <c r="H692" s="783"/>
    </row>
    <row r="693" spans="1:8">
      <c r="A693" s="764">
        <f>E686</f>
        <v>4.24</v>
      </c>
      <c r="B693" s="764" t="s">
        <v>13</v>
      </c>
      <c r="C693" s="770" t="s">
        <v>3326</v>
      </c>
      <c r="D693" s="764">
        <f t="shared" si="25"/>
        <v>89.6</v>
      </c>
      <c r="E693" s="764" t="s">
        <v>13</v>
      </c>
      <c r="F693" s="764">
        <f t="shared" si="26"/>
        <v>379.9</v>
      </c>
      <c r="H693" s="783"/>
    </row>
    <row r="694" spans="1:8">
      <c r="A694" s="764">
        <v>3</v>
      </c>
      <c r="B694" s="742" t="s">
        <v>131</v>
      </c>
      <c r="C694" s="743" t="s">
        <v>1479</v>
      </c>
      <c r="D694" s="764">
        <f t="shared" si="25"/>
        <v>82.25</v>
      </c>
      <c r="E694" s="743" t="s">
        <v>131</v>
      </c>
      <c r="F694" s="764">
        <f t="shared" si="26"/>
        <v>246.75</v>
      </c>
      <c r="H694" s="783"/>
    </row>
    <row r="695" spans="1:8">
      <c r="A695" s="764">
        <v>2</v>
      </c>
      <c r="B695" s="742" t="s">
        <v>131</v>
      </c>
      <c r="C695" s="743" t="s">
        <v>3327</v>
      </c>
      <c r="D695" s="764">
        <f t="shared" si="25"/>
        <v>57.65</v>
      </c>
      <c r="E695" s="743" t="s">
        <v>131</v>
      </c>
      <c r="F695" s="764">
        <f t="shared" si="26"/>
        <v>115.3</v>
      </c>
      <c r="H695" s="783"/>
    </row>
    <row r="696" spans="1:8">
      <c r="A696" s="764">
        <v>1</v>
      </c>
      <c r="B696" s="742" t="s">
        <v>131</v>
      </c>
      <c r="C696" s="743" t="s">
        <v>3328</v>
      </c>
      <c r="D696" s="764">
        <f t="shared" si="25"/>
        <v>7.3</v>
      </c>
      <c r="E696" s="743" t="s">
        <v>131</v>
      </c>
      <c r="F696" s="764">
        <f t="shared" si="26"/>
        <v>7.3</v>
      </c>
      <c r="H696" s="783"/>
    </row>
    <row r="697" spans="1:8">
      <c r="A697" s="764">
        <v>1</v>
      </c>
      <c r="B697" s="742" t="s">
        <v>131</v>
      </c>
      <c r="C697" s="743" t="s">
        <v>453</v>
      </c>
      <c r="D697" s="764">
        <f t="shared" si="25"/>
        <v>2.41</v>
      </c>
      <c r="E697" s="743" t="s">
        <v>131</v>
      </c>
      <c r="F697" s="764">
        <f t="shared" si="26"/>
        <v>2.41</v>
      </c>
      <c r="H697" s="783"/>
    </row>
    <row r="698" spans="1:8">
      <c r="A698" s="764">
        <v>40</v>
      </c>
      <c r="B698" s="742" t="s">
        <v>131</v>
      </c>
      <c r="C698" s="743" t="s">
        <v>3329</v>
      </c>
      <c r="D698" s="764">
        <f t="shared" si="25"/>
        <v>0</v>
      </c>
      <c r="E698" s="743" t="s">
        <v>131</v>
      </c>
      <c r="F698" s="764">
        <f t="shared" si="26"/>
        <v>0</v>
      </c>
      <c r="H698" s="783"/>
    </row>
    <row r="699" spans="1:8">
      <c r="A699" s="764"/>
      <c r="B699" s="746"/>
      <c r="C699" s="747"/>
      <c r="D699" s="783"/>
      <c r="E699" s="764"/>
      <c r="F699" s="752" t="s">
        <v>52</v>
      </c>
      <c r="H699" s="783"/>
    </row>
    <row r="700" spans="1:8">
      <c r="A700" s="748"/>
      <c r="B700" s="750"/>
      <c r="C700" s="747" t="s">
        <v>3360</v>
      </c>
      <c r="D700" s="783"/>
      <c r="E700" s="745"/>
      <c r="F700" s="754">
        <f>SUM(F690:F699)</f>
        <v>3316.61</v>
      </c>
      <c r="H700" s="783"/>
    </row>
    <row r="701" spans="1:8">
      <c r="A701" s="748"/>
      <c r="B701" s="750"/>
      <c r="C701" s="783"/>
      <c r="D701" s="764"/>
      <c r="E701" s="749"/>
      <c r="F701" s="752" t="s">
        <v>52</v>
      </c>
      <c r="H701" s="783"/>
    </row>
    <row r="702" spans="1:8">
      <c r="A702" s="748"/>
      <c r="B702" s="750"/>
      <c r="C702" s="754" t="s">
        <v>3331</v>
      </c>
      <c r="D702" s="764"/>
      <c r="E702" s="749"/>
      <c r="F702" s="803">
        <f>F700/A691</f>
        <v>3714.01</v>
      </c>
      <c r="H702" s="783"/>
    </row>
    <row r="703" spans="1:8">
      <c r="A703" s="748"/>
      <c r="B703" s="750"/>
      <c r="C703" s="748"/>
      <c r="D703" s="764"/>
      <c r="E703" s="749"/>
      <c r="F703" s="783"/>
      <c r="H703" s="783"/>
    </row>
    <row r="704" spans="1:8">
      <c r="A704" s="783"/>
      <c r="B704" s="783"/>
      <c r="C704" s="783"/>
      <c r="D704" s="783"/>
      <c r="E704" s="783"/>
      <c r="F704" s="783"/>
      <c r="H704" s="783"/>
    </row>
  </sheetData>
  <mergeCells count="16">
    <mergeCell ref="A247:D247"/>
    <mergeCell ref="E560:H560"/>
    <mergeCell ref="A155:F156"/>
    <mergeCell ref="A21:C22"/>
    <mergeCell ref="A106:F107"/>
    <mergeCell ref="A277:D277"/>
    <mergeCell ref="A315:H315"/>
    <mergeCell ref="A316:H316"/>
    <mergeCell ref="A361:H361"/>
    <mergeCell ref="A406:H406"/>
    <mergeCell ref="A451:H451"/>
    <mergeCell ref="D22:G22"/>
    <mergeCell ref="B55:F55"/>
    <mergeCell ref="B80:D80"/>
    <mergeCell ref="B128:D128"/>
    <mergeCell ref="D178:F178"/>
  </mergeCells>
  <printOptions horizontalCentered="1"/>
  <pageMargins left="0.5" right="0.5" top="0.5" bottom="0.5" header="0.3" footer="0.3"/>
  <pageSetup paperSize="9" scale="72" orientation="portrait" r:id="rId1"/>
  <headerFooter>
    <oddHeader>&amp;C&amp;P</oddHeader>
  </headerFooter>
</worksheet>
</file>

<file path=xl/worksheets/sheet11.xml><?xml version="1.0" encoding="utf-8"?>
<worksheet xmlns="http://schemas.openxmlformats.org/spreadsheetml/2006/main" xmlns:r="http://schemas.openxmlformats.org/officeDocument/2006/relationships">
  <sheetPr codeName="Sheet3">
    <tabColor rgb="FF00B050"/>
  </sheetPr>
  <dimension ref="A1:S1836"/>
  <sheetViews>
    <sheetView showZeros="0" tabSelected="1" view="pageBreakPreview" zoomScale="70" zoomScaleSheetLayoutView="70" workbookViewId="0">
      <pane xSplit="4" ySplit="3" topLeftCell="E1326" activePane="bottomRight" state="frozen"/>
      <selection pane="topRight"/>
      <selection pane="bottomLeft"/>
      <selection pane="bottomRight" activeCell="Q1475" sqref="Q1475"/>
    </sheetView>
  </sheetViews>
  <sheetFormatPr defaultRowHeight="23.25"/>
  <cols>
    <col min="1" max="1" width="10" style="1641" customWidth="1"/>
    <col min="2" max="2" width="14.33203125" style="1650" customWidth="1"/>
    <col min="3" max="3" width="60.109375" style="1885" customWidth="1"/>
    <col min="4" max="4" width="16.6640625" style="1683" customWidth="1"/>
    <col min="5" max="5" width="10.88671875" style="1641" customWidth="1"/>
    <col min="6" max="6" width="14.77734375" style="1684" hidden="1" customWidth="1"/>
    <col min="7" max="7" width="17.88671875" style="1684" hidden="1" customWidth="1"/>
    <col min="8" max="8" width="10.21875" style="1650" hidden="1" customWidth="1"/>
    <col min="9" max="9" width="14.77734375" style="1650" hidden="1" customWidth="1"/>
    <col min="10" max="10" width="8.6640625" style="1650" hidden="1" customWidth="1"/>
    <col min="11" max="11" width="14.77734375" style="1650" hidden="1" customWidth="1"/>
    <col min="12" max="12" width="10.21875" style="1650" hidden="1" customWidth="1"/>
    <col min="13" max="13" width="16.33203125" style="1650" hidden="1" customWidth="1"/>
    <col min="14" max="14" width="11.5546875" style="1650" hidden="1" customWidth="1"/>
    <col min="15" max="15" width="17.88671875" style="1650" hidden="1" customWidth="1"/>
    <col min="16" max="16" width="14.33203125" style="1650" customWidth="1"/>
    <col min="17" max="17" width="24.77734375" style="1650" customWidth="1"/>
    <col min="18" max="18" width="17.88671875" style="55" bestFit="1" customWidth="1"/>
    <col min="19" max="19" width="10.21875" style="55" customWidth="1"/>
    <col min="20" max="16384" width="8.88671875" style="55"/>
  </cols>
  <sheetData>
    <row r="1" spans="1:19" ht="101.25" customHeight="1">
      <c r="A1" s="1746" t="str">
        <f>'Detail '!A1:J1</f>
        <v>NAME OF WORK :  CONSTRUCTION OF  NEW BUILDING FOR FIRE AND RESCUE SERVICE STATION WITH DEVELOPMENT WORKS AT VANNIYAMPATHY  IN CHENNAI CITY</v>
      </c>
      <c r="B1" s="1746"/>
      <c r="C1" s="1746"/>
      <c r="D1" s="1746"/>
      <c r="E1" s="1746"/>
      <c r="F1" s="1746"/>
      <c r="G1" s="1746"/>
      <c r="H1" s="1746"/>
      <c r="I1" s="1746"/>
      <c r="J1" s="1746"/>
      <c r="K1" s="1746"/>
      <c r="L1" s="1746"/>
      <c r="M1" s="1746"/>
      <c r="N1" s="1746"/>
      <c r="O1" s="1746"/>
      <c r="P1" s="1746"/>
      <c r="Q1" s="1746"/>
    </row>
    <row r="2" spans="1:19" s="1641" customFormat="1" ht="48" customHeight="1">
      <c r="A2" s="1745" t="s">
        <v>5288</v>
      </c>
      <c r="B2" s="1732"/>
      <c r="C2" s="1886" t="s">
        <v>2061</v>
      </c>
      <c r="D2" s="1745" t="s">
        <v>5289</v>
      </c>
      <c r="E2" s="1745" t="s">
        <v>3199</v>
      </c>
      <c r="F2" s="1745" t="s">
        <v>5290</v>
      </c>
      <c r="G2" s="1745"/>
      <c r="H2" s="1745" t="s">
        <v>5291</v>
      </c>
      <c r="I2" s="1745"/>
      <c r="J2" s="1745" t="s">
        <v>3653</v>
      </c>
      <c r="K2" s="1745"/>
      <c r="L2" s="1745" t="s">
        <v>5292</v>
      </c>
      <c r="M2" s="1745"/>
      <c r="N2" s="1745" t="s">
        <v>5293</v>
      </c>
      <c r="O2" s="1745"/>
      <c r="P2" s="1745" t="s">
        <v>5294</v>
      </c>
      <c r="Q2" s="1745"/>
    </row>
    <row r="3" spans="1:19" s="1641" customFormat="1" ht="52.5" customHeight="1">
      <c r="A3" s="1745"/>
      <c r="B3" s="1686" t="s">
        <v>2060</v>
      </c>
      <c r="C3" s="1887"/>
      <c r="D3" s="1745"/>
      <c r="E3" s="1745"/>
      <c r="F3" s="1686" t="s">
        <v>2060</v>
      </c>
      <c r="G3" s="1732" t="s">
        <v>2064</v>
      </c>
      <c r="H3" s="1686" t="s">
        <v>2060</v>
      </c>
      <c r="I3" s="1732" t="s">
        <v>2064</v>
      </c>
      <c r="J3" s="1686" t="s">
        <v>2060</v>
      </c>
      <c r="K3" s="1732" t="s">
        <v>2064</v>
      </c>
      <c r="L3" s="1686" t="s">
        <v>2060</v>
      </c>
      <c r="M3" s="1732" t="s">
        <v>2064</v>
      </c>
      <c r="N3" s="1686" t="s">
        <v>2060</v>
      </c>
      <c r="O3" s="1732" t="s">
        <v>2064</v>
      </c>
      <c r="P3" s="1686" t="s">
        <v>2060</v>
      </c>
      <c r="Q3" s="1732" t="s">
        <v>2064</v>
      </c>
    </row>
    <row r="4" spans="1:19" ht="50.25" customHeight="1">
      <c r="A4" s="1854">
        <v>1.1000000000000001</v>
      </c>
      <c r="B4" s="1648"/>
      <c r="C4" s="1863" t="s">
        <v>5295</v>
      </c>
      <c r="D4" s="1647"/>
      <c r="E4" s="1687" t="s">
        <v>85</v>
      </c>
      <c r="F4" s="1648"/>
      <c r="G4" s="1648"/>
      <c r="H4" s="1648"/>
      <c r="I4" s="1648"/>
      <c r="J4" s="1648"/>
      <c r="K4" s="1648"/>
      <c r="L4" s="1648"/>
      <c r="M4" s="1648"/>
      <c r="N4" s="1648"/>
      <c r="O4" s="1648"/>
      <c r="P4" s="1648"/>
      <c r="Q4" s="1648"/>
    </row>
    <row r="5" spans="1:19" ht="36" customHeight="1">
      <c r="A5" s="1854"/>
      <c r="B5" s="1648">
        <f>P5</f>
        <v>776.3</v>
      </c>
      <c r="C5" s="1863" t="s">
        <v>3368</v>
      </c>
      <c r="D5" s="1649">
        <f>ROUND(Data!K88,2)</f>
        <v>247.31</v>
      </c>
      <c r="E5" s="1687" t="s">
        <v>5296</v>
      </c>
      <c r="F5" s="1649">
        <f>'Detail '!I29</f>
        <v>776.3</v>
      </c>
      <c r="G5" s="1648">
        <f>F5*D5</f>
        <v>191986.75</v>
      </c>
      <c r="H5" s="1648"/>
      <c r="I5" s="1648">
        <f>H5*D5</f>
        <v>0</v>
      </c>
      <c r="K5" s="1648"/>
      <c r="L5" s="1648"/>
      <c r="M5" s="1648">
        <f>L5*D5</f>
        <v>0</v>
      </c>
      <c r="N5" s="1648"/>
      <c r="O5" s="1648">
        <f>N5*D5</f>
        <v>0</v>
      </c>
      <c r="P5" s="1648">
        <f>N5+F5</f>
        <v>776.3</v>
      </c>
      <c r="Q5" s="1648">
        <f>P5*D5</f>
        <v>191986.75</v>
      </c>
      <c r="R5" s="55">
        <f>G5+I5+K5+M5</f>
        <v>191986.75</v>
      </c>
      <c r="S5" s="55">
        <f>Q5-R5</f>
        <v>0</v>
      </c>
    </row>
    <row r="6" spans="1:19">
      <c r="A6" s="1854"/>
      <c r="B6" s="1648">
        <f t="shared" ref="B6:B69" si="0">P6</f>
        <v>356.4</v>
      </c>
      <c r="C6" s="1863" t="s">
        <v>5297</v>
      </c>
      <c r="D6" s="1649">
        <f>ROUND(Data!K89,2)</f>
        <v>258.52999999999997</v>
      </c>
      <c r="E6" s="1687" t="s">
        <v>5296</v>
      </c>
      <c r="F6" s="1649">
        <f>'Detail '!I39</f>
        <v>356.4</v>
      </c>
      <c r="G6" s="1648">
        <f t="shared" ref="G6:G69" si="1">F6*D6</f>
        <v>92140.09</v>
      </c>
      <c r="H6" s="1648"/>
      <c r="I6" s="1648">
        <f t="shared" ref="I6:I69" si="2">H6*D6</f>
        <v>0</v>
      </c>
      <c r="J6" s="1651"/>
      <c r="K6" s="1648"/>
      <c r="L6" s="1648"/>
      <c r="M6" s="1648">
        <f t="shared" ref="M6:M69" si="3">L6*D6</f>
        <v>0</v>
      </c>
      <c r="N6" s="1648"/>
      <c r="O6" s="1648">
        <f t="shared" ref="O6:O69" si="4">N6*D6</f>
        <v>0</v>
      </c>
      <c r="P6" s="1648">
        <f t="shared" ref="P6:P69" si="5">N6+F6</f>
        <v>356.4</v>
      </c>
      <c r="Q6" s="1648">
        <f t="shared" ref="Q6:Q69" si="6">P6*D6</f>
        <v>92140.09</v>
      </c>
      <c r="R6" s="55">
        <f t="shared" ref="R6:R69" si="7">G6+I6+K6+M6</f>
        <v>92140.09</v>
      </c>
      <c r="S6" s="55">
        <f t="shared" ref="S6:S69" si="8">Q6-R6</f>
        <v>0</v>
      </c>
    </row>
    <row r="7" spans="1:19" ht="46.5" hidden="1">
      <c r="A7" s="1854">
        <v>1.2</v>
      </c>
      <c r="B7" s="1648">
        <f t="shared" si="0"/>
        <v>0</v>
      </c>
      <c r="C7" s="1863" t="s">
        <v>5298</v>
      </c>
      <c r="D7" s="1649"/>
      <c r="E7" s="1687"/>
      <c r="F7" s="1649"/>
      <c r="G7" s="1648">
        <f t="shared" si="1"/>
        <v>0</v>
      </c>
      <c r="H7" s="1648"/>
      <c r="I7" s="1648">
        <f t="shared" si="2"/>
        <v>0</v>
      </c>
      <c r="J7" s="1648"/>
      <c r="K7" s="1648">
        <f t="shared" ref="K7:K69" si="9">J7*D7</f>
        <v>0</v>
      </c>
      <c r="L7" s="1648"/>
      <c r="M7" s="1648">
        <f t="shared" si="3"/>
        <v>0</v>
      </c>
      <c r="N7" s="1648">
        <f t="shared" ref="N7:N69" si="10">H7+J7+L7</f>
        <v>0</v>
      </c>
      <c r="O7" s="1648">
        <f t="shared" si="4"/>
        <v>0</v>
      </c>
      <c r="P7" s="1648">
        <f t="shared" si="5"/>
        <v>0</v>
      </c>
      <c r="Q7" s="1648">
        <f t="shared" si="6"/>
        <v>0</v>
      </c>
      <c r="R7" s="55">
        <f t="shared" si="7"/>
        <v>0</v>
      </c>
      <c r="S7" s="55">
        <f t="shared" si="8"/>
        <v>0</v>
      </c>
    </row>
    <row r="8" spans="1:19" hidden="1">
      <c r="A8" s="1854"/>
      <c r="B8" s="1648">
        <f t="shared" si="0"/>
        <v>0</v>
      </c>
      <c r="C8" s="1863" t="s">
        <v>3368</v>
      </c>
      <c r="D8" s="1649">
        <f>ROUND(Data!K90,2)</f>
        <v>233.76</v>
      </c>
      <c r="E8" s="1687" t="s">
        <v>5296</v>
      </c>
      <c r="F8" s="1649"/>
      <c r="G8" s="1648">
        <f t="shared" si="1"/>
        <v>0</v>
      </c>
      <c r="H8" s="1648"/>
      <c r="I8" s="1648">
        <f t="shared" si="2"/>
        <v>0</v>
      </c>
      <c r="J8" s="1648"/>
      <c r="K8" s="1648">
        <f t="shared" si="9"/>
        <v>0</v>
      </c>
      <c r="L8" s="1648"/>
      <c r="M8" s="1648">
        <f t="shared" si="3"/>
        <v>0</v>
      </c>
      <c r="N8" s="1648">
        <f t="shared" si="10"/>
        <v>0</v>
      </c>
      <c r="O8" s="1648">
        <f t="shared" si="4"/>
        <v>0</v>
      </c>
      <c r="P8" s="1648">
        <f t="shared" si="5"/>
        <v>0</v>
      </c>
      <c r="Q8" s="1648">
        <f t="shared" si="6"/>
        <v>0</v>
      </c>
      <c r="R8" s="55">
        <f t="shared" si="7"/>
        <v>0</v>
      </c>
      <c r="S8" s="55">
        <f t="shared" si="8"/>
        <v>0</v>
      </c>
    </row>
    <row r="9" spans="1:19" hidden="1">
      <c r="A9" s="1854"/>
      <c r="B9" s="1648">
        <f t="shared" si="0"/>
        <v>0</v>
      </c>
      <c r="C9" s="1863" t="s">
        <v>5297</v>
      </c>
      <c r="D9" s="1649">
        <f>ROUND(Data!K91,2)</f>
        <v>244.98</v>
      </c>
      <c r="E9" s="1687" t="s">
        <v>5296</v>
      </c>
      <c r="F9" s="1649"/>
      <c r="G9" s="1648">
        <f t="shared" si="1"/>
        <v>0</v>
      </c>
      <c r="H9" s="1648"/>
      <c r="I9" s="1648">
        <f t="shared" si="2"/>
        <v>0</v>
      </c>
      <c r="J9" s="1648"/>
      <c r="K9" s="1648">
        <f t="shared" si="9"/>
        <v>0</v>
      </c>
      <c r="L9" s="1648"/>
      <c r="M9" s="1648">
        <f t="shared" si="3"/>
        <v>0</v>
      </c>
      <c r="N9" s="1648">
        <f t="shared" si="10"/>
        <v>0</v>
      </c>
      <c r="O9" s="1648">
        <f t="shared" si="4"/>
        <v>0</v>
      </c>
      <c r="P9" s="1648">
        <f t="shared" si="5"/>
        <v>0</v>
      </c>
      <c r="Q9" s="1648">
        <f t="shared" si="6"/>
        <v>0</v>
      </c>
      <c r="R9" s="55">
        <f t="shared" si="7"/>
        <v>0</v>
      </c>
      <c r="S9" s="55">
        <f t="shared" si="8"/>
        <v>0</v>
      </c>
    </row>
    <row r="10" spans="1:19" hidden="1">
      <c r="A10" s="1854">
        <v>1.3</v>
      </c>
      <c r="B10" s="1648">
        <f t="shared" si="0"/>
        <v>0</v>
      </c>
      <c r="C10" s="1863"/>
      <c r="D10" s="1649"/>
      <c r="E10" s="1687" t="s">
        <v>85</v>
      </c>
      <c r="F10" s="1649"/>
      <c r="G10" s="1648">
        <f t="shared" si="1"/>
        <v>0</v>
      </c>
      <c r="H10" s="1648"/>
      <c r="I10" s="1648">
        <f t="shared" si="2"/>
        <v>0</v>
      </c>
      <c r="J10" s="1648"/>
      <c r="K10" s="1648">
        <f t="shared" si="9"/>
        <v>0</v>
      </c>
      <c r="L10" s="1648"/>
      <c r="M10" s="1648">
        <f t="shared" si="3"/>
        <v>0</v>
      </c>
      <c r="N10" s="1648">
        <f t="shared" si="10"/>
        <v>0</v>
      </c>
      <c r="O10" s="1648">
        <f t="shared" si="4"/>
        <v>0</v>
      </c>
      <c r="P10" s="1648">
        <f t="shared" si="5"/>
        <v>0</v>
      </c>
      <c r="Q10" s="1648">
        <f t="shared" si="6"/>
        <v>0</v>
      </c>
      <c r="R10" s="55">
        <f t="shared" si="7"/>
        <v>0</v>
      </c>
      <c r="S10" s="55">
        <f t="shared" si="8"/>
        <v>0</v>
      </c>
    </row>
    <row r="11" spans="1:19" hidden="1">
      <c r="A11" s="1854"/>
      <c r="B11" s="1648">
        <f t="shared" si="0"/>
        <v>0</v>
      </c>
      <c r="C11" s="1863" t="s">
        <v>3368</v>
      </c>
      <c r="D11" s="1649">
        <f>ROUND(Data!K101,2)</f>
        <v>361.59</v>
      </c>
      <c r="E11" s="1687" t="s">
        <v>5296</v>
      </c>
      <c r="F11" s="1649"/>
      <c r="G11" s="1648">
        <f t="shared" si="1"/>
        <v>0</v>
      </c>
      <c r="H11" s="1648"/>
      <c r="I11" s="1648">
        <f t="shared" si="2"/>
        <v>0</v>
      </c>
      <c r="J11" s="1648"/>
      <c r="K11" s="1648">
        <f t="shared" si="9"/>
        <v>0</v>
      </c>
      <c r="L11" s="1648"/>
      <c r="M11" s="1648">
        <f t="shared" si="3"/>
        <v>0</v>
      </c>
      <c r="N11" s="1648">
        <f t="shared" si="10"/>
        <v>0</v>
      </c>
      <c r="O11" s="1648">
        <f t="shared" si="4"/>
        <v>0</v>
      </c>
      <c r="P11" s="1648">
        <f t="shared" si="5"/>
        <v>0</v>
      </c>
      <c r="Q11" s="1648">
        <f t="shared" si="6"/>
        <v>0</v>
      </c>
      <c r="R11" s="55">
        <f t="shared" si="7"/>
        <v>0</v>
      </c>
      <c r="S11" s="55">
        <f t="shared" si="8"/>
        <v>0</v>
      </c>
    </row>
    <row r="12" spans="1:19" hidden="1">
      <c r="A12" s="1854"/>
      <c r="B12" s="1648">
        <f t="shared" si="0"/>
        <v>0</v>
      </c>
      <c r="C12" s="1863" t="s">
        <v>5297</v>
      </c>
      <c r="D12" s="1649">
        <f>ROUND(Data!K102,2)</f>
        <v>372.81</v>
      </c>
      <c r="E12" s="1687" t="s">
        <v>5296</v>
      </c>
      <c r="F12" s="1649"/>
      <c r="G12" s="1648">
        <f t="shared" si="1"/>
        <v>0</v>
      </c>
      <c r="H12" s="1648"/>
      <c r="I12" s="1648">
        <f t="shared" si="2"/>
        <v>0</v>
      </c>
      <c r="J12" s="1648"/>
      <c r="K12" s="1648">
        <f t="shared" si="9"/>
        <v>0</v>
      </c>
      <c r="L12" s="1648"/>
      <c r="M12" s="1648">
        <f t="shared" si="3"/>
        <v>0</v>
      </c>
      <c r="N12" s="1648">
        <f t="shared" si="10"/>
        <v>0</v>
      </c>
      <c r="O12" s="1648">
        <f t="shared" si="4"/>
        <v>0</v>
      </c>
      <c r="P12" s="1648">
        <f t="shared" si="5"/>
        <v>0</v>
      </c>
      <c r="Q12" s="1648">
        <f t="shared" si="6"/>
        <v>0</v>
      </c>
      <c r="R12" s="55">
        <f t="shared" si="7"/>
        <v>0</v>
      </c>
      <c r="S12" s="55">
        <f t="shared" si="8"/>
        <v>0</v>
      </c>
    </row>
    <row r="13" spans="1:19" ht="46.5" hidden="1">
      <c r="A13" s="1854">
        <v>1.4</v>
      </c>
      <c r="B13" s="1648">
        <f t="shared" si="0"/>
        <v>0</v>
      </c>
      <c r="C13" s="1863" t="s">
        <v>5299</v>
      </c>
      <c r="D13" s="1649"/>
      <c r="E13" s="1687"/>
      <c r="F13" s="1649"/>
      <c r="G13" s="1648">
        <f t="shared" si="1"/>
        <v>0</v>
      </c>
      <c r="H13" s="1648"/>
      <c r="I13" s="1648">
        <f t="shared" si="2"/>
        <v>0</v>
      </c>
      <c r="J13" s="1648"/>
      <c r="K13" s="1648">
        <f t="shared" si="9"/>
        <v>0</v>
      </c>
      <c r="L13" s="1648"/>
      <c r="M13" s="1648">
        <f t="shared" si="3"/>
        <v>0</v>
      </c>
      <c r="N13" s="1648">
        <f t="shared" si="10"/>
        <v>0</v>
      </c>
      <c r="O13" s="1648">
        <f t="shared" si="4"/>
        <v>0</v>
      </c>
      <c r="P13" s="1648">
        <f t="shared" si="5"/>
        <v>0</v>
      </c>
      <c r="Q13" s="1648">
        <f t="shared" si="6"/>
        <v>0</v>
      </c>
      <c r="R13" s="55">
        <f t="shared" si="7"/>
        <v>0</v>
      </c>
      <c r="S13" s="55">
        <f t="shared" si="8"/>
        <v>0</v>
      </c>
    </row>
    <row r="14" spans="1:19" hidden="1">
      <c r="A14" s="1854"/>
      <c r="B14" s="1648">
        <f t="shared" si="0"/>
        <v>0</v>
      </c>
      <c r="C14" s="1863" t="s">
        <v>3368</v>
      </c>
      <c r="D14" s="1649">
        <f>ROUND(Data!K116,2)</f>
        <v>130.43</v>
      </c>
      <c r="E14" s="1687" t="s">
        <v>5296</v>
      </c>
      <c r="F14" s="1649"/>
      <c r="G14" s="1648">
        <f t="shared" si="1"/>
        <v>0</v>
      </c>
      <c r="H14" s="1648"/>
      <c r="I14" s="1648">
        <f t="shared" si="2"/>
        <v>0</v>
      </c>
      <c r="J14" s="1648"/>
      <c r="K14" s="1648">
        <f t="shared" si="9"/>
        <v>0</v>
      </c>
      <c r="L14" s="1648"/>
      <c r="M14" s="1648">
        <f t="shared" si="3"/>
        <v>0</v>
      </c>
      <c r="N14" s="1648">
        <f t="shared" si="10"/>
        <v>0</v>
      </c>
      <c r="O14" s="1648">
        <f t="shared" si="4"/>
        <v>0</v>
      </c>
      <c r="P14" s="1648">
        <f t="shared" si="5"/>
        <v>0</v>
      </c>
      <c r="Q14" s="1648">
        <f t="shared" si="6"/>
        <v>0</v>
      </c>
      <c r="R14" s="55">
        <f t="shared" si="7"/>
        <v>0</v>
      </c>
      <c r="S14" s="55">
        <f t="shared" si="8"/>
        <v>0</v>
      </c>
    </row>
    <row r="15" spans="1:19" hidden="1">
      <c r="A15" s="1854"/>
      <c r="B15" s="1648">
        <f t="shared" si="0"/>
        <v>0</v>
      </c>
      <c r="C15" s="1863" t="s">
        <v>5297</v>
      </c>
      <c r="D15" s="1649">
        <f>ROUND(Data!L116,2)</f>
        <v>141.65</v>
      </c>
      <c r="E15" s="1687" t="s">
        <v>5296</v>
      </c>
      <c r="F15" s="1649"/>
      <c r="G15" s="1648">
        <f t="shared" si="1"/>
        <v>0</v>
      </c>
      <c r="H15" s="1648"/>
      <c r="I15" s="1648">
        <f t="shared" si="2"/>
        <v>0</v>
      </c>
      <c r="J15" s="1648"/>
      <c r="K15" s="1648">
        <f t="shared" si="9"/>
        <v>0</v>
      </c>
      <c r="L15" s="1648"/>
      <c r="M15" s="1648">
        <f t="shared" si="3"/>
        <v>0</v>
      </c>
      <c r="N15" s="1648">
        <f t="shared" si="10"/>
        <v>0</v>
      </c>
      <c r="O15" s="1648">
        <f t="shared" si="4"/>
        <v>0</v>
      </c>
      <c r="P15" s="1648">
        <f t="shared" si="5"/>
        <v>0</v>
      </c>
      <c r="Q15" s="1648">
        <f t="shared" si="6"/>
        <v>0</v>
      </c>
      <c r="R15" s="55">
        <f t="shared" si="7"/>
        <v>0</v>
      </c>
      <c r="S15" s="55">
        <f t="shared" si="8"/>
        <v>0</v>
      </c>
    </row>
    <row r="16" spans="1:19" ht="46.5">
      <c r="A16" s="1854">
        <v>1.5</v>
      </c>
      <c r="B16" s="1648">
        <f t="shared" si="0"/>
        <v>0</v>
      </c>
      <c r="C16" s="1863" t="s">
        <v>5300</v>
      </c>
      <c r="D16" s="1649"/>
      <c r="E16" s="1687" t="s">
        <v>85</v>
      </c>
      <c r="F16" s="1649"/>
      <c r="G16" s="1648">
        <f t="shared" si="1"/>
        <v>0</v>
      </c>
      <c r="H16" s="1648"/>
      <c r="I16" s="1648">
        <f t="shared" si="2"/>
        <v>0</v>
      </c>
      <c r="J16" s="1648"/>
      <c r="K16" s="1648">
        <f t="shared" si="9"/>
        <v>0</v>
      </c>
      <c r="L16" s="1648"/>
      <c r="M16" s="1648">
        <f t="shared" si="3"/>
        <v>0</v>
      </c>
      <c r="N16" s="1648">
        <f t="shared" si="10"/>
        <v>0</v>
      </c>
      <c r="O16" s="1648">
        <f t="shared" si="4"/>
        <v>0</v>
      </c>
      <c r="P16" s="1648">
        <f t="shared" si="5"/>
        <v>0</v>
      </c>
      <c r="Q16" s="1648">
        <f t="shared" si="6"/>
        <v>0</v>
      </c>
      <c r="R16" s="55">
        <f t="shared" si="7"/>
        <v>0</v>
      </c>
      <c r="S16" s="55">
        <f t="shared" si="8"/>
        <v>0</v>
      </c>
    </row>
    <row r="17" spans="1:19">
      <c r="A17" s="1854"/>
      <c r="B17" s="1648">
        <f t="shared" si="0"/>
        <v>22.7</v>
      </c>
      <c r="C17" s="1863" t="s">
        <v>3368</v>
      </c>
      <c r="D17" s="1649">
        <f>ROUND(Data!K118,2)</f>
        <v>116.88</v>
      </c>
      <c r="E17" s="1687" t="s">
        <v>5296</v>
      </c>
      <c r="F17" s="1649"/>
      <c r="G17" s="1648">
        <f t="shared" si="1"/>
        <v>0</v>
      </c>
      <c r="H17" s="1648"/>
      <c r="I17" s="1648">
        <f t="shared" si="2"/>
        <v>0</v>
      </c>
      <c r="J17" s="1648">
        <f>Sump!I6</f>
        <v>22.7</v>
      </c>
      <c r="K17" s="1648">
        <f t="shared" si="9"/>
        <v>2653.18</v>
      </c>
      <c r="L17" s="1648"/>
      <c r="M17" s="1648">
        <f t="shared" si="3"/>
        <v>0</v>
      </c>
      <c r="N17" s="1648">
        <f>H17+J17+L17</f>
        <v>22.7</v>
      </c>
      <c r="O17" s="1648">
        <f>N17*D17</f>
        <v>2653.18</v>
      </c>
      <c r="P17" s="1648">
        <f t="shared" si="5"/>
        <v>22.7</v>
      </c>
      <c r="Q17" s="1648">
        <f t="shared" si="6"/>
        <v>2653.18</v>
      </c>
      <c r="R17" s="55">
        <f t="shared" si="7"/>
        <v>2653.18</v>
      </c>
      <c r="S17" s="55">
        <f t="shared" si="8"/>
        <v>0</v>
      </c>
    </row>
    <row r="18" spans="1:19">
      <c r="A18" s="1854"/>
      <c r="B18" s="1648">
        <f t="shared" si="0"/>
        <v>10.3</v>
      </c>
      <c r="C18" s="1863" t="s">
        <v>5297</v>
      </c>
      <c r="D18" s="1649">
        <f>ROUND(Data!K119,2)</f>
        <v>128.1</v>
      </c>
      <c r="E18" s="1687" t="s">
        <v>5296</v>
      </c>
      <c r="F18" s="1649"/>
      <c r="G18" s="1648">
        <f t="shared" si="1"/>
        <v>0</v>
      </c>
      <c r="H18" s="1648"/>
      <c r="I18" s="1648">
        <f t="shared" si="2"/>
        <v>0</v>
      </c>
      <c r="J18" s="1648">
        <f>Sump!I8</f>
        <v>10.3</v>
      </c>
      <c r="K18" s="1648">
        <f t="shared" si="9"/>
        <v>1319.43</v>
      </c>
      <c r="L18" s="1648"/>
      <c r="M18" s="1648">
        <f t="shared" si="3"/>
        <v>0</v>
      </c>
      <c r="N18" s="1648">
        <f>H18+J18+L18</f>
        <v>10.3</v>
      </c>
      <c r="O18" s="1648">
        <f>N18*D18</f>
        <v>1319.43</v>
      </c>
      <c r="P18" s="1648">
        <f t="shared" si="5"/>
        <v>10.3</v>
      </c>
      <c r="Q18" s="1648">
        <f t="shared" si="6"/>
        <v>1319.43</v>
      </c>
      <c r="R18" s="55">
        <f t="shared" si="7"/>
        <v>1319.43</v>
      </c>
      <c r="S18" s="55">
        <f t="shared" si="8"/>
        <v>0</v>
      </c>
    </row>
    <row r="19" spans="1:19" hidden="1">
      <c r="A19" s="1854"/>
      <c r="B19" s="1648">
        <f t="shared" si="0"/>
        <v>0</v>
      </c>
      <c r="C19" s="1863" t="s">
        <v>5301</v>
      </c>
      <c r="D19" s="1649">
        <f>ROUND(Data!K120,2)</f>
        <v>139.32</v>
      </c>
      <c r="E19" s="1687" t="s">
        <v>5296</v>
      </c>
      <c r="F19" s="1649"/>
      <c r="G19" s="1648">
        <f t="shared" si="1"/>
        <v>0</v>
      </c>
      <c r="H19" s="1648"/>
      <c r="I19" s="1648">
        <f t="shared" si="2"/>
        <v>0</v>
      </c>
      <c r="J19" s="1648"/>
      <c r="K19" s="1648">
        <f t="shared" si="9"/>
        <v>0</v>
      </c>
      <c r="L19" s="1648"/>
      <c r="M19" s="1648">
        <f t="shared" si="3"/>
        <v>0</v>
      </c>
      <c r="N19" s="1648">
        <f t="shared" si="10"/>
        <v>0</v>
      </c>
      <c r="O19" s="1648">
        <f t="shared" si="4"/>
        <v>0</v>
      </c>
      <c r="P19" s="1648">
        <f t="shared" si="5"/>
        <v>0</v>
      </c>
      <c r="Q19" s="1648">
        <f t="shared" si="6"/>
        <v>0</v>
      </c>
      <c r="R19" s="55">
        <f t="shared" si="7"/>
        <v>0</v>
      </c>
      <c r="S19" s="55">
        <f t="shared" si="8"/>
        <v>0</v>
      </c>
    </row>
    <row r="20" spans="1:19" hidden="1">
      <c r="A20" s="1854"/>
      <c r="B20" s="1648">
        <f t="shared" si="0"/>
        <v>0</v>
      </c>
      <c r="C20" s="1863" t="s">
        <v>5302</v>
      </c>
      <c r="D20" s="1649">
        <f>ROUND(Data!K121,2)</f>
        <v>150.54</v>
      </c>
      <c r="E20" s="1687" t="s">
        <v>5296</v>
      </c>
      <c r="F20" s="1649"/>
      <c r="G20" s="1648">
        <f t="shared" si="1"/>
        <v>0</v>
      </c>
      <c r="H20" s="1648"/>
      <c r="I20" s="1648">
        <f t="shared" si="2"/>
        <v>0</v>
      </c>
      <c r="J20" s="1648"/>
      <c r="K20" s="1648">
        <f t="shared" si="9"/>
        <v>0</v>
      </c>
      <c r="L20" s="1648"/>
      <c r="M20" s="1648">
        <f t="shared" si="3"/>
        <v>0</v>
      </c>
      <c r="N20" s="1648">
        <f t="shared" si="10"/>
        <v>0</v>
      </c>
      <c r="O20" s="1648">
        <f t="shared" si="4"/>
        <v>0</v>
      </c>
      <c r="P20" s="1648">
        <f t="shared" si="5"/>
        <v>0</v>
      </c>
      <c r="Q20" s="1648">
        <f t="shared" si="6"/>
        <v>0</v>
      </c>
      <c r="R20" s="55">
        <f t="shared" si="7"/>
        <v>0</v>
      </c>
      <c r="S20" s="55">
        <f t="shared" si="8"/>
        <v>0</v>
      </c>
    </row>
    <row r="21" spans="1:19" ht="69.75" hidden="1">
      <c r="A21" s="1854">
        <v>1.6</v>
      </c>
      <c r="B21" s="1648">
        <f t="shared" si="0"/>
        <v>0</v>
      </c>
      <c r="C21" s="1863" t="s">
        <v>5303</v>
      </c>
      <c r="D21" s="1649"/>
      <c r="E21" s="1687"/>
      <c r="F21" s="1649"/>
      <c r="G21" s="1648">
        <f t="shared" si="1"/>
        <v>0</v>
      </c>
      <c r="H21" s="1648"/>
      <c r="I21" s="1648">
        <f t="shared" si="2"/>
        <v>0</v>
      </c>
      <c r="J21" s="1648"/>
      <c r="K21" s="1648">
        <f t="shared" si="9"/>
        <v>0</v>
      </c>
      <c r="L21" s="1648"/>
      <c r="M21" s="1648">
        <f t="shared" si="3"/>
        <v>0</v>
      </c>
      <c r="N21" s="1648">
        <f t="shared" si="10"/>
        <v>0</v>
      </c>
      <c r="O21" s="1648">
        <f t="shared" si="4"/>
        <v>0</v>
      </c>
      <c r="P21" s="1648">
        <f t="shared" si="5"/>
        <v>0</v>
      </c>
      <c r="Q21" s="1648">
        <f t="shared" si="6"/>
        <v>0</v>
      </c>
      <c r="R21" s="55">
        <f t="shared" si="7"/>
        <v>0</v>
      </c>
      <c r="S21" s="55">
        <f t="shared" si="8"/>
        <v>0</v>
      </c>
    </row>
    <row r="22" spans="1:19" hidden="1">
      <c r="A22" s="1854"/>
      <c r="B22" s="1648">
        <f t="shared" si="0"/>
        <v>0</v>
      </c>
      <c r="C22" s="1863" t="s">
        <v>3368</v>
      </c>
      <c r="D22" s="1649">
        <f>ROUND(Data!K133,2)</f>
        <v>175.32</v>
      </c>
      <c r="E22" s="1687" t="s">
        <v>5296</v>
      </c>
      <c r="F22" s="1649"/>
      <c r="G22" s="1648">
        <f t="shared" si="1"/>
        <v>0</v>
      </c>
      <c r="H22" s="1648"/>
      <c r="I22" s="1648">
        <f t="shared" si="2"/>
        <v>0</v>
      </c>
      <c r="J22" s="1648"/>
      <c r="K22" s="1648">
        <f t="shared" si="9"/>
        <v>0</v>
      </c>
      <c r="L22" s="1648"/>
      <c r="M22" s="1648">
        <f t="shared" si="3"/>
        <v>0</v>
      </c>
      <c r="N22" s="1648">
        <f t="shared" si="10"/>
        <v>0</v>
      </c>
      <c r="O22" s="1648">
        <f t="shared" si="4"/>
        <v>0</v>
      </c>
      <c r="P22" s="1648">
        <f t="shared" si="5"/>
        <v>0</v>
      </c>
      <c r="Q22" s="1648">
        <f t="shared" si="6"/>
        <v>0</v>
      </c>
      <c r="R22" s="55">
        <f t="shared" si="7"/>
        <v>0</v>
      </c>
      <c r="S22" s="55">
        <f t="shared" si="8"/>
        <v>0</v>
      </c>
    </row>
    <row r="23" spans="1:19" hidden="1">
      <c r="A23" s="1854"/>
      <c r="B23" s="1648">
        <f t="shared" si="0"/>
        <v>0</v>
      </c>
      <c r="C23" s="1863" t="s">
        <v>5297</v>
      </c>
      <c r="D23" s="1649">
        <f>ROUND(Data!K134,2)</f>
        <v>186.54</v>
      </c>
      <c r="E23" s="1687" t="s">
        <v>5296</v>
      </c>
      <c r="F23" s="1649"/>
      <c r="G23" s="1648">
        <f t="shared" si="1"/>
        <v>0</v>
      </c>
      <c r="H23" s="1648"/>
      <c r="I23" s="1648">
        <f t="shared" si="2"/>
        <v>0</v>
      </c>
      <c r="J23" s="1648"/>
      <c r="K23" s="1648">
        <f t="shared" si="9"/>
        <v>0</v>
      </c>
      <c r="L23" s="1648"/>
      <c r="M23" s="1648">
        <f t="shared" si="3"/>
        <v>0</v>
      </c>
      <c r="N23" s="1648">
        <f t="shared" si="10"/>
        <v>0</v>
      </c>
      <c r="O23" s="1648">
        <f t="shared" si="4"/>
        <v>0</v>
      </c>
      <c r="P23" s="1648">
        <f t="shared" si="5"/>
        <v>0</v>
      </c>
      <c r="Q23" s="1648">
        <f t="shared" si="6"/>
        <v>0</v>
      </c>
      <c r="R23" s="55">
        <f t="shared" si="7"/>
        <v>0</v>
      </c>
      <c r="S23" s="55">
        <f t="shared" si="8"/>
        <v>0</v>
      </c>
    </row>
    <row r="24" spans="1:19" ht="69.75" hidden="1">
      <c r="A24" s="1854">
        <v>1.7</v>
      </c>
      <c r="B24" s="1648">
        <f t="shared" si="0"/>
        <v>0</v>
      </c>
      <c r="C24" s="1863" t="s">
        <v>5304</v>
      </c>
      <c r="D24" s="1649"/>
      <c r="E24" s="1687" t="s">
        <v>85</v>
      </c>
      <c r="F24" s="1649"/>
      <c r="G24" s="1648">
        <f t="shared" si="1"/>
        <v>0</v>
      </c>
      <c r="H24" s="1648"/>
      <c r="I24" s="1648">
        <f t="shared" si="2"/>
        <v>0</v>
      </c>
      <c r="J24" s="1648"/>
      <c r="K24" s="1648">
        <f t="shared" si="9"/>
        <v>0</v>
      </c>
      <c r="L24" s="1648"/>
      <c r="M24" s="1648">
        <f t="shared" si="3"/>
        <v>0</v>
      </c>
      <c r="N24" s="1648">
        <f t="shared" si="10"/>
        <v>0</v>
      </c>
      <c r="O24" s="1648">
        <f t="shared" si="4"/>
        <v>0</v>
      </c>
      <c r="P24" s="1648">
        <f t="shared" si="5"/>
        <v>0</v>
      </c>
      <c r="Q24" s="1648">
        <f t="shared" si="6"/>
        <v>0</v>
      </c>
      <c r="R24" s="55">
        <f t="shared" si="7"/>
        <v>0</v>
      </c>
      <c r="S24" s="55">
        <f t="shared" si="8"/>
        <v>0</v>
      </c>
    </row>
    <row r="25" spans="1:19" hidden="1">
      <c r="A25" s="1854"/>
      <c r="B25" s="1648">
        <f t="shared" si="0"/>
        <v>0</v>
      </c>
      <c r="C25" s="1863" t="s">
        <v>3368</v>
      </c>
      <c r="D25" s="1649">
        <f>ROUND(Data!K104,2)</f>
        <v>348.04</v>
      </c>
      <c r="E25" s="1687" t="s">
        <v>5296</v>
      </c>
      <c r="F25" s="1649"/>
      <c r="G25" s="1648">
        <f t="shared" si="1"/>
        <v>0</v>
      </c>
      <c r="H25" s="1648"/>
      <c r="I25" s="1648">
        <f t="shared" si="2"/>
        <v>0</v>
      </c>
      <c r="J25" s="1648"/>
      <c r="K25" s="1648">
        <f t="shared" si="9"/>
        <v>0</v>
      </c>
      <c r="L25" s="1648"/>
      <c r="M25" s="1648">
        <f t="shared" si="3"/>
        <v>0</v>
      </c>
      <c r="N25" s="1648">
        <f t="shared" si="10"/>
        <v>0</v>
      </c>
      <c r="O25" s="1648">
        <f t="shared" si="4"/>
        <v>0</v>
      </c>
      <c r="P25" s="1648">
        <f t="shared" si="5"/>
        <v>0</v>
      </c>
      <c r="Q25" s="1648">
        <f t="shared" si="6"/>
        <v>0</v>
      </c>
      <c r="R25" s="55">
        <f t="shared" si="7"/>
        <v>0</v>
      </c>
      <c r="S25" s="55">
        <f t="shared" si="8"/>
        <v>0</v>
      </c>
    </row>
    <row r="26" spans="1:19" hidden="1">
      <c r="A26" s="1854"/>
      <c r="B26" s="1648">
        <f t="shared" si="0"/>
        <v>0</v>
      </c>
      <c r="C26" s="1863" t="s">
        <v>5297</v>
      </c>
      <c r="D26" s="1649">
        <f>ROUND(Data!K105,2)</f>
        <v>359.26</v>
      </c>
      <c r="E26" s="1687" t="s">
        <v>5296</v>
      </c>
      <c r="F26" s="1649"/>
      <c r="G26" s="1648">
        <f t="shared" si="1"/>
        <v>0</v>
      </c>
      <c r="H26" s="1648"/>
      <c r="I26" s="1648">
        <f t="shared" si="2"/>
        <v>0</v>
      </c>
      <c r="J26" s="1648"/>
      <c r="K26" s="1648">
        <f t="shared" si="9"/>
        <v>0</v>
      </c>
      <c r="L26" s="1648"/>
      <c r="M26" s="1648">
        <f t="shared" si="3"/>
        <v>0</v>
      </c>
      <c r="N26" s="1648">
        <f t="shared" si="10"/>
        <v>0</v>
      </c>
      <c r="O26" s="1648">
        <f t="shared" si="4"/>
        <v>0</v>
      </c>
      <c r="P26" s="1648">
        <f t="shared" si="5"/>
        <v>0</v>
      </c>
      <c r="Q26" s="1648">
        <f t="shared" si="6"/>
        <v>0</v>
      </c>
      <c r="R26" s="55">
        <f t="shared" si="7"/>
        <v>0</v>
      </c>
      <c r="S26" s="55">
        <f t="shared" si="8"/>
        <v>0</v>
      </c>
    </row>
    <row r="27" spans="1:19" ht="46.5" hidden="1">
      <c r="A27" s="1854">
        <v>1.8</v>
      </c>
      <c r="B27" s="1648">
        <f t="shared" si="0"/>
        <v>0</v>
      </c>
      <c r="C27" s="1863" t="s">
        <v>5305</v>
      </c>
      <c r="D27" s="1649"/>
      <c r="E27" s="1687" t="s">
        <v>85</v>
      </c>
      <c r="F27" s="1649"/>
      <c r="G27" s="1648">
        <f t="shared" si="1"/>
        <v>0</v>
      </c>
      <c r="H27" s="1648"/>
      <c r="I27" s="1648">
        <f t="shared" si="2"/>
        <v>0</v>
      </c>
      <c r="J27" s="1648"/>
      <c r="K27" s="1648">
        <f t="shared" si="9"/>
        <v>0</v>
      </c>
      <c r="L27" s="1648"/>
      <c r="M27" s="1648">
        <f t="shared" si="3"/>
        <v>0</v>
      </c>
      <c r="N27" s="1648">
        <f t="shared" si="10"/>
        <v>0</v>
      </c>
      <c r="O27" s="1648">
        <f t="shared" si="4"/>
        <v>0</v>
      </c>
      <c r="P27" s="1648">
        <f t="shared" si="5"/>
        <v>0</v>
      </c>
      <c r="Q27" s="1648">
        <f t="shared" si="6"/>
        <v>0</v>
      </c>
      <c r="R27" s="55">
        <f t="shared" si="7"/>
        <v>0</v>
      </c>
      <c r="S27" s="55">
        <f t="shared" si="8"/>
        <v>0</v>
      </c>
    </row>
    <row r="28" spans="1:19" s="57" customFormat="1" hidden="1">
      <c r="A28" s="1854"/>
      <c r="B28" s="1648">
        <f t="shared" si="0"/>
        <v>0</v>
      </c>
      <c r="C28" s="1863" t="s">
        <v>3368</v>
      </c>
      <c r="D28" s="1649">
        <f>ROUND(Data!K129,2)</f>
        <v>174.02</v>
      </c>
      <c r="E28" s="1687" t="s">
        <v>5296</v>
      </c>
      <c r="F28" s="1649"/>
      <c r="G28" s="1648">
        <f t="shared" si="1"/>
        <v>0</v>
      </c>
      <c r="H28" s="1648"/>
      <c r="I28" s="1648">
        <f t="shared" si="2"/>
        <v>0</v>
      </c>
      <c r="J28" s="1648"/>
      <c r="K28" s="1648">
        <f t="shared" si="9"/>
        <v>0</v>
      </c>
      <c r="L28" s="1648"/>
      <c r="M28" s="1648">
        <f t="shared" si="3"/>
        <v>0</v>
      </c>
      <c r="N28" s="1648">
        <f t="shared" si="10"/>
        <v>0</v>
      </c>
      <c r="O28" s="1648">
        <f t="shared" si="4"/>
        <v>0</v>
      </c>
      <c r="P28" s="1648">
        <f t="shared" si="5"/>
        <v>0</v>
      </c>
      <c r="Q28" s="1648">
        <f t="shared" si="6"/>
        <v>0</v>
      </c>
      <c r="R28" s="55">
        <f t="shared" si="7"/>
        <v>0</v>
      </c>
      <c r="S28" s="55">
        <f t="shared" si="8"/>
        <v>0</v>
      </c>
    </row>
    <row r="29" spans="1:19" hidden="1">
      <c r="A29" s="1854"/>
      <c r="B29" s="1648">
        <f t="shared" si="0"/>
        <v>0</v>
      </c>
      <c r="C29" s="1863" t="s">
        <v>5297</v>
      </c>
      <c r="D29" s="1649">
        <f>ROUND(Data!K130,2)</f>
        <v>185.24</v>
      </c>
      <c r="E29" s="1687" t="s">
        <v>5296</v>
      </c>
      <c r="F29" s="1649"/>
      <c r="G29" s="1648">
        <f t="shared" si="1"/>
        <v>0</v>
      </c>
      <c r="H29" s="1648"/>
      <c r="I29" s="1648">
        <f t="shared" si="2"/>
        <v>0</v>
      </c>
      <c r="J29" s="1648"/>
      <c r="K29" s="1648">
        <f t="shared" si="9"/>
        <v>0</v>
      </c>
      <c r="L29" s="1648"/>
      <c r="M29" s="1648">
        <f t="shared" si="3"/>
        <v>0</v>
      </c>
      <c r="N29" s="1648">
        <f t="shared" si="10"/>
        <v>0</v>
      </c>
      <c r="O29" s="1648">
        <f t="shared" si="4"/>
        <v>0</v>
      </c>
      <c r="P29" s="1648">
        <f t="shared" si="5"/>
        <v>0</v>
      </c>
      <c r="Q29" s="1648">
        <f t="shared" si="6"/>
        <v>0</v>
      </c>
      <c r="R29" s="55">
        <f t="shared" si="7"/>
        <v>0</v>
      </c>
      <c r="S29" s="55">
        <f t="shared" si="8"/>
        <v>0</v>
      </c>
    </row>
    <row r="30" spans="1:19" hidden="1">
      <c r="A30" s="1854">
        <v>1.9</v>
      </c>
      <c r="B30" s="1648">
        <f t="shared" si="0"/>
        <v>0</v>
      </c>
      <c r="C30" s="1863" t="s">
        <v>5306</v>
      </c>
      <c r="D30" s="1649"/>
      <c r="E30" s="1687"/>
      <c r="F30" s="1649"/>
      <c r="G30" s="1648">
        <f t="shared" si="1"/>
        <v>0</v>
      </c>
      <c r="H30" s="1648"/>
      <c r="I30" s="1648">
        <f t="shared" si="2"/>
        <v>0</v>
      </c>
      <c r="J30" s="1648"/>
      <c r="K30" s="1648">
        <f t="shared" si="9"/>
        <v>0</v>
      </c>
      <c r="L30" s="1648"/>
      <c r="M30" s="1648">
        <f t="shared" si="3"/>
        <v>0</v>
      </c>
      <c r="N30" s="1648">
        <f t="shared" si="10"/>
        <v>0</v>
      </c>
      <c r="O30" s="1648">
        <f t="shared" si="4"/>
        <v>0</v>
      </c>
      <c r="P30" s="1648">
        <f t="shared" si="5"/>
        <v>0</v>
      </c>
      <c r="Q30" s="1648">
        <f t="shared" si="6"/>
        <v>0</v>
      </c>
      <c r="R30" s="55">
        <f t="shared" si="7"/>
        <v>0</v>
      </c>
      <c r="S30" s="55">
        <f t="shared" si="8"/>
        <v>0</v>
      </c>
    </row>
    <row r="31" spans="1:19" hidden="1">
      <c r="A31" s="1854"/>
      <c r="B31" s="1648">
        <f t="shared" si="0"/>
        <v>0</v>
      </c>
      <c r="C31" s="1863" t="s">
        <v>5307</v>
      </c>
      <c r="D31" s="1649"/>
      <c r="E31" s="1687" t="s">
        <v>13</v>
      </c>
      <c r="F31" s="1649"/>
      <c r="G31" s="1648">
        <f t="shared" si="1"/>
        <v>0</v>
      </c>
      <c r="H31" s="1648"/>
      <c r="I31" s="1648">
        <f t="shared" si="2"/>
        <v>0</v>
      </c>
      <c r="J31" s="1648"/>
      <c r="K31" s="1648">
        <f t="shared" si="9"/>
        <v>0</v>
      </c>
      <c r="L31" s="1648"/>
      <c r="M31" s="1648">
        <f t="shared" si="3"/>
        <v>0</v>
      </c>
      <c r="N31" s="1648">
        <f t="shared" si="10"/>
        <v>0</v>
      </c>
      <c r="O31" s="1648">
        <f t="shared" si="4"/>
        <v>0</v>
      </c>
      <c r="P31" s="1648">
        <f t="shared" si="5"/>
        <v>0</v>
      </c>
      <c r="Q31" s="1648">
        <f t="shared" si="6"/>
        <v>0</v>
      </c>
      <c r="R31" s="55">
        <f t="shared" si="7"/>
        <v>0</v>
      </c>
      <c r="S31" s="55">
        <f t="shared" si="8"/>
        <v>0</v>
      </c>
    </row>
    <row r="32" spans="1:19" hidden="1">
      <c r="A32" s="1854"/>
      <c r="B32" s="1648">
        <f t="shared" si="0"/>
        <v>0</v>
      </c>
      <c r="C32" s="1863" t="s">
        <v>5308</v>
      </c>
      <c r="D32" s="1649"/>
      <c r="E32" s="1687" t="s">
        <v>13</v>
      </c>
      <c r="F32" s="1649"/>
      <c r="G32" s="1648">
        <f t="shared" si="1"/>
        <v>0</v>
      </c>
      <c r="H32" s="1648"/>
      <c r="I32" s="1648">
        <f t="shared" si="2"/>
        <v>0</v>
      </c>
      <c r="J32" s="1648"/>
      <c r="K32" s="1648">
        <f t="shared" si="9"/>
        <v>0</v>
      </c>
      <c r="L32" s="1648"/>
      <c r="M32" s="1648">
        <f t="shared" si="3"/>
        <v>0</v>
      </c>
      <c r="N32" s="1648">
        <f t="shared" si="10"/>
        <v>0</v>
      </c>
      <c r="O32" s="1648">
        <f t="shared" si="4"/>
        <v>0</v>
      </c>
      <c r="P32" s="1648">
        <f t="shared" si="5"/>
        <v>0</v>
      </c>
      <c r="Q32" s="1648">
        <f t="shared" si="6"/>
        <v>0</v>
      </c>
      <c r="R32" s="55">
        <f t="shared" si="7"/>
        <v>0</v>
      </c>
      <c r="S32" s="55">
        <f t="shared" si="8"/>
        <v>0</v>
      </c>
    </row>
    <row r="33" spans="1:19" hidden="1">
      <c r="A33" s="1854"/>
      <c r="B33" s="1648">
        <f t="shared" si="0"/>
        <v>0</v>
      </c>
      <c r="C33" s="1863" t="s">
        <v>5309</v>
      </c>
      <c r="D33" s="1649"/>
      <c r="E33" s="1687" t="s">
        <v>13</v>
      </c>
      <c r="F33" s="1649"/>
      <c r="G33" s="1648">
        <f t="shared" si="1"/>
        <v>0</v>
      </c>
      <c r="H33" s="1648"/>
      <c r="I33" s="1648">
        <f t="shared" si="2"/>
        <v>0</v>
      </c>
      <c r="J33" s="1648"/>
      <c r="K33" s="1648">
        <f t="shared" si="9"/>
        <v>0</v>
      </c>
      <c r="L33" s="1648"/>
      <c r="M33" s="1648">
        <f t="shared" si="3"/>
        <v>0</v>
      </c>
      <c r="N33" s="1648">
        <f t="shared" si="10"/>
        <v>0</v>
      </c>
      <c r="O33" s="1648">
        <f t="shared" si="4"/>
        <v>0</v>
      </c>
      <c r="P33" s="1648">
        <f t="shared" si="5"/>
        <v>0</v>
      </c>
      <c r="Q33" s="1648">
        <f t="shared" si="6"/>
        <v>0</v>
      </c>
      <c r="R33" s="55">
        <f t="shared" si="7"/>
        <v>0</v>
      </c>
      <c r="S33" s="55">
        <f t="shared" si="8"/>
        <v>0</v>
      </c>
    </row>
    <row r="34" spans="1:19" hidden="1">
      <c r="A34" s="1854"/>
      <c r="B34" s="1648">
        <f t="shared" si="0"/>
        <v>0</v>
      </c>
      <c r="C34" s="1863" t="s">
        <v>5310</v>
      </c>
      <c r="D34" s="1649"/>
      <c r="E34" s="1687" t="s">
        <v>13</v>
      </c>
      <c r="F34" s="1649"/>
      <c r="G34" s="1648">
        <f t="shared" si="1"/>
        <v>0</v>
      </c>
      <c r="H34" s="1648"/>
      <c r="I34" s="1648">
        <f t="shared" si="2"/>
        <v>0</v>
      </c>
      <c r="J34" s="1648"/>
      <c r="K34" s="1648">
        <f t="shared" si="9"/>
        <v>0</v>
      </c>
      <c r="L34" s="1648"/>
      <c r="M34" s="1648">
        <f t="shared" si="3"/>
        <v>0</v>
      </c>
      <c r="N34" s="1648">
        <f t="shared" si="10"/>
        <v>0</v>
      </c>
      <c r="O34" s="1648">
        <f t="shared" si="4"/>
        <v>0</v>
      </c>
      <c r="P34" s="1648">
        <f t="shared" si="5"/>
        <v>0</v>
      </c>
      <c r="Q34" s="1648">
        <f t="shared" si="6"/>
        <v>0</v>
      </c>
      <c r="R34" s="55">
        <f t="shared" si="7"/>
        <v>0</v>
      </c>
      <c r="S34" s="55">
        <f t="shared" si="8"/>
        <v>0</v>
      </c>
    </row>
    <row r="35" spans="1:19" hidden="1">
      <c r="A35" s="1854"/>
      <c r="B35" s="1648">
        <f t="shared" si="0"/>
        <v>0</v>
      </c>
      <c r="C35" s="1863" t="s">
        <v>5311</v>
      </c>
      <c r="D35" s="1649"/>
      <c r="E35" s="1687" t="s">
        <v>13</v>
      </c>
      <c r="F35" s="1649"/>
      <c r="G35" s="1648">
        <f t="shared" si="1"/>
        <v>0</v>
      </c>
      <c r="H35" s="1648"/>
      <c r="I35" s="1648">
        <f t="shared" si="2"/>
        <v>0</v>
      </c>
      <c r="J35" s="1648"/>
      <c r="K35" s="1648">
        <f t="shared" si="9"/>
        <v>0</v>
      </c>
      <c r="L35" s="1648"/>
      <c r="M35" s="1648">
        <f t="shared" si="3"/>
        <v>0</v>
      </c>
      <c r="N35" s="1648">
        <f t="shared" si="10"/>
        <v>0</v>
      </c>
      <c r="O35" s="1648">
        <f t="shared" si="4"/>
        <v>0</v>
      </c>
      <c r="P35" s="1648">
        <f t="shared" si="5"/>
        <v>0</v>
      </c>
      <c r="Q35" s="1648">
        <f t="shared" si="6"/>
        <v>0</v>
      </c>
      <c r="R35" s="55">
        <f t="shared" si="7"/>
        <v>0</v>
      </c>
      <c r="S35" s="55">
        <f t="shared" si="8"/>
        <v>0</v>
      </c>
    </row>
    <row r="36" spans="1:19" hidden="1">
      <c r="A36" s="1854"/>
      <c r="B36" s="1648">
        <f t="shared" si="0"/>
        <v>0</v>
      </c>
      <c r="C36" s="1863" t="s">
        <v>5312</v>
      </c>
      <c r="D36" s="1649"/>
      <c r="E36" s="1687" t="s">
        <v>13</v>
      </c>
      <c r="F36" s="1649"/>
      <c r="G36" s="1648">
        <f t="shared" si="1"/>
        <v>0</v>
      </c>
      <c r="H36" s="1648"/>
      <c r="I36" s="1648">
        <f t="shared" si="2"/>
        <v>0</v>
      </c>
      <c r="J36" s="1648"/>
      <c r="K36" s="1648">
        <f t="shared" si="9"/>
        <v>0</v>
      </c>
      <c r="L36" s="1648"/>
      <c r="M36" s="1648">
        <f t="shared" si="3"/>
        <v>0</v>
      </c>
      <c r="N36" s="1648">
        <f t="shared" si="10"/>
        <v>0</v>
      </c>
      <c r="O36" s="1648">
        <f t="shared" si="4"/>
        <v>0</v>
      </c>
      <c r="P36" s="1648">
        <f t="shared" si="5"/>
        <v>0</v>
      </c>
      <c r="Q36" s="1648">
        <f t="shared" si="6"/>
        <v>0</v>
      </c>
      <c r="R36" s="55">
        <f t="shared" si="7"/>
        <v>0</v>
      </c>
      <c r="S36" s="55">
        <f t="shared" si="8"/>
        <v>0</v>
      </c>
    </row>
    <row r="37" spans="1:19" s="57" customFormat="1" ht="43.9" customHeight="1">
      <c r="A37" s="1854">
        <v>2.1</v>
      </c>
      <c r="B37" s="1648">
        <f t="shared" si="0"/>
        <v>1.8</v>
      </c>
      <c r="C37" s="1863" t="s">
        <v>5313</v>
      </c>
      <c r="D37" s="1649">
        <f>ROUND(Data!K144,2)</f>
        <v>1678.12</v>
      </c>
      <c r="E37" s="1687" t="s">
        <v>5296</v>
      </c>
      <c r="F37" s="1649"/>
      <c r="G37" s="1648">
        <f t="shared" si="1"/>
        <v>0</v>
      </c>
      <c r="H37" s="1648"/>
      <c r="I37" s="1648">
        <f t="shared" si="2"/>
        <v>0</v>
      </c>
      <c r="J37" s="1670">
        <v>1.8</v>
      </c>
      <c r="K37" s="1648">
        <f t="shared" si="9"/>
        <v>3020.62</v>
      </c>
      <c r="L37" s="1648"/>
      <c r="M37" s="1648">
        <f t="shared" si="3"/>
        <v>0</v>
      </c>
      <c r="N37" s="1648">
        <f t="shared" si="10"/>
        <v>1.8</v>
      </c>
      <c r="O37" s="1648">
        <f t="shared" si="4"/>
        <v>3020.62</v>
      </c>
      <c r="P37" s="1648">
        <f t="shared" si="5"/>
        <v>1.8</v>
      </c>
      <c r="Q37" s="1648">
        <f t="shared" si="6"/>
        <v>3020.62</v>
      </c>
      <c r="R37" s="55">
        <f t="shared" si="7"/>
        <v>3020.62</v>
      </c>
      <c r="S37" s="55">
        <f t="shared" si="8"/>
        <v>0</v>
      </c>
    </row>
    <row r="38" spans="1:19" ht="43.9" hidden="1" customHeight="1">
      <c r="A38" s="1854">
        <v>2.2000000000000002</v>
      </c>
      <c r="B38" s="1648">
        <f t="shared" si="0"/>
        <v>0</v>
      </c>
      <c r="C38" s="1863" t="s">
        <v>5314</v>
      </c>
      <c r="D38" s="1649">
        <f>ROUND(Data!K161,2)</f>
        <v>1547.55</v>
      </c>
      <c r="E38" s="1687" t="s">
        <v>5296</v>
      </c>
      <c r="F38" s="1649"/>
      <c r="G38" s="1648">
        <f t="shared" si="1"/>
        <v>0</v>
      </c>
      <c r="H38" s="1648"/>
      <c r="I38" s="1648">
        <f t="shared" si="2"/>
        <v>0</v>
      </c>
      <c r="J38" s="1648"/>
      <c r="K38" s="1648">
        <f t="shared" si="9"/>
        <v>0</v>
      </c>
      <c r="L38" s="1648"/>
      <c r="M38" s="1648">
        <f t="shared" si="3"/>
        <v>0</v>
      </c>
      <c r="N38" s="1648">
        <f t="shared" si="10"/>
        <v>0</v>
      </c>
      <c r="O38" s="1648">
        <f t="shared" si="4"/>
        <v>0</v>
      </c>
      <c r="P38" s="1648">
        <f t="shared" si="5"/>
        <v>0</v>
      </c>
      <c r="Q38" s="1648">
        <f t="shared" si="6"/>
        <v>0</v>
      </c>
      <c r="R38" s="55">
        <f t="shared" si="7"/>
        <v>0</v>
      </c>
      <c r="S38" s="55">
        <f t="shared" si="8"/>
        <v>0</v>
      </c>
    </row>
    <row r="39" spans="1:19" ht="46.5" hidden="1" customHeight="1">
      <c r="A39" s="1854">
        <v>2.2999999999999998</v>
      </c>
      <c r="B39" s="1648">
        <f t="shared" si="0"/>
        <v>0</v>
      </c>
      <c r="C39" s="1863" t="s">
        <v>5315</v>
      </c>
      <c r="D39" s="1649">
        <f>ROUND(Data!C165,2)</f>
        <v>857.9</v>
      </c>
      <c r="E39" s="1687" t="s">
        <v>5296</v>
      </c>
      <c r="F39" s="1649"/>
      <c r="G39" s="1648">
        <f t="shared" si="1"/>
        <v>0</v>
      </c>
      <c r="H39" s="1648"/>
      <c r="I39" s="1648">
        <f t="shared" si="2"/>
        <v>0</v>
      </c>
      <c r="J39" s="1648"/>
      <c r="K39" s="1648">
        <f t="shared" si="9"/>
        <v>0</v>
      </c>
      <c r="L39" s="1648"/>
      <c r="M39" s="1648">
        <f t="shared" si="3"/>
        <v>0</v>
      </c>
      <c r="N39" s="1648">
        <f t="shared" si="10"/>
        <v>0</v>
      </c>
      <c r="O39" s="1648">
        <f t="shared" si="4"/>
        <v>0</v>
      </c>
      <c r="P39" s="1648">
        <f t="shared" si="5"/>
        <v>0</v>
      </c>
      <c r="Q39" s="1648">
        <f t="shared" si="6"/>
        <v>0</v>
      </c>
      <c r="R39" s="55">
        <f t="shared" si="7"/>
        <v>0</v>
      </c>
      <c r="S39" s="55">
        <f t="shared" si="8"/>
        <v>0</v>
      </c>
    </row>
    <row r="40" spans="1:19" ht="46.5" hidden="1" customHeight="1">
      <c r="A40" s="1854">
        <v>2.4</v>
      </c>
      <c r="B40" s="1648">
        <f t="shared" si="0"/>
        <v>0</v>
      </c>
      <c r="C40" s="1863" t="s">
        <v>5316</v>
      </c>
      <c r="D40" s="1649">
        <f>ROUND(Data!C166,2)</f>
        <v>938.9</v>
      </c>
      <c r="E40" s="1687" t="s">
        <v>5296</v>
      </c>
      <c r="F40" s="1649"/>
      <c r="G40" s="1648">
        <f t="shared" si="1"/>
        <v>0</v>
      </c>
      <c r="H40" s="1648"/>
      <c r="I40" s="1648">
        <f t="shared" si="2"/>
        <v>0</v>
      </c>
      <c r="J40" s="1648"/>
      <c r="K40" s="1648">
        <f t="shared" si="9"/>
        <v>0</v>
      </c>
      <c r="L40" s="1648"/>
      <c r="M40" s="1648">
        <f t="shared" si="3"/>
        <v>0</v>
      </c>
      <c r="N40" s="1648">
        <f t="shared" si="10"/>
        <v>0</v>
      </c>
      <c r="O40" s="1648">
        <f t="shared" si="4"/>
        <v>0</v>
      </c>
      <c r="P40" s="1648">
        <f t="shared" si="5"/>
        <v>0</v>
      </c>
      <c r="Q40" s="1648">
        <f t="shared" si="6"/>
        <v>0</v>
      </c>
      <c r="R40" s="55">
        <f t="shared" si="7"/>
        <v>0</v>
      </c>
      <c r="S40" s="55">
        <f t="shared" si="8"/>
        <v>0</v>
      </c>
    </row>
    <row r="41" spans="1:19" ht="22.5" hidden="1" customHeight="1">
      <c r="A41" s="1854">
        <v>2.5</v>
      </c>
      <c r="B41" s="1648">
        <f t="shared" si="0"/>
        <v>0</v>
      </c>
      <c r="C41" s="1863" t="s">
        <v>5317</v>
      </c>
      <c r="D41" s="1649">
        <f>ROUND(Data!K189,2)</f>
        <v>375.43</v>
      </c>
      <c r="E41" s="1687" t="s">
        <v>5296</v>
      </c>
      <c r="F41" s="1649"/>
      <c r="G41" s="1648">
        <f t="shared" si="1"/>
        <v>0</v>
      </c>
      <c r="H41" s="1648"/>
      <c r="I41" s="1648">
        <f t="shared" si="2"/>
        <v>0</v>
      </c>
      <c r="J41" s="1648"/>
      <c r="K41" s="1648">
        <f t="shared" si="9"/>
        <v>0</v>
      </c>
      <c r="L41" s="1648"/>
      <c r="M41" s="1648">
        <f t="shared" si="3"/>
        <v>0</v>
      </c>
      <c r="N41" s="1648">
        <f t="shared" si="10"/>
        <v>0</v>
      </c>
      <c r="O41" s="1648">
        <f t="shared" si="4"/>
        <v>0</v>
      </c>
      <c r="P41" s="1648">
        <f t="shared" si="5"/>
        <v>0</v>
      </c>
      <c r="Q41" s="1648">
        <f t="shared" si="6"/>
        <v>0</v>
      </c>
      <c r="R41" s="55">
        <f t="shared" si="7"/>
        <v>0</v>
      </c>
      <c r="S41" s="55">
        <f t="shared" si="8"/>
        <v>0</v>
      </c>
    </row>
    <row r="42" spans="1:19" ht="48" hidden="1" customHeight="1">
      <c r="A42" s="1854">
        <v>2.6</v>
      </c>
      <c r="B42" s="1648">
        <f t="shared" si="0"/>
        <v>0</v>
      </c>
      <c r="C42" s="1863" t="s">
        <v>5318</v>
      </c>
      <c r="D42" s="1649">
        <f>ROUND(Data!K171,2)</f>
        <v>1357.63</v>
      </c>
      <c r="E42" s="1687" t="s">
        <v>5296</v>
      </c>
      <c r="F42" s="1649"/>
      <c r="G42" s="1648">
        <f t="shared" si="1"/>
        <v>0</v>
      </c>
      <c r="H42" s="1648"/>
      <c r="I42" s="1648">
        <f t="shared" si="2"/>
        <v>0</v>
      </c>
      <c r="J42" s="1648"/>
      <c r="K42" s="1648">
        <f t="shared" si="9"/>
        <v>0</v>
      </c>
      <c r="L42" s="1648"/>
      <c r="M42" s="1648">
        <f t="shared" si="3"/>
        <v>0</v>
      </c>
      <c r="N42" s="1648">
        <f t="shared" si="10"/>
        <v>0</v>
      </c>
      <c r="O42" s="1648">
        <f t="shared" si="4"/>
        <v>0</v>
      </c>
      <c r="P42" s="1648">
        <f t="shared" si="5"/>
        <v>0</v>
      </c>
      <c r="Q42" s="1648">
        <f t="shared" si="6"/>
        <v>0</v>
      </c>
      <c r="R42" s="55">
        <f t="shared" si="7"/>
        <v>0</v>
      </c>
      <c r="S42" s="55">
        <f t="shared" si="8"/>
        <v>0</v>
      </c>
    </row>
    <row r="43" spans="1:19" ht="48" hidden="1" customHeight="1">
      <c r="A43" s="1854">
        <v>2.7</v>
      </c>
      <c r="B43" s="1648">
        <f t="shared" si="0"/>
        <v>0</v>
      </c>
      <c r="C43" s="1863" t="s">
        <v>5319</v>
      </c>
      <c r="D43" s="1649">
        <f>ROUND(Data!K179,2)</f>
        <v>1770.63</v>
      </c>
      <c r="E43" s="1687" t="s">
        <v>5296</v>
      </c>
      <c r="F43" s="1649"/>
      <c r="G43" s="1648">
        <f t="shared" si="1"/>
        <v>0</v>
      </c>
      <c r="H43" s="1648"/>
      <c r="I43" s="1648">
        <f t="shared" si="2"/>
        <v>0</v>
      </c>
      <c r="J43" s="1648"/>
      <c r="K43" s="1648">
        <f t="shared" si="9"/>
        <v>0</v>
      </c>
      <c r="L43" s="1648"/>
      <c r="M43" s="1648">
        <f t="shared" si="3"/>
        <v>0</v>
      </c>
      <c r="N43" s="1648">
        <f t="shared" si="10"/>
        <v>0</v>
      </c>
      <c r="O43" s="1648">
        <f t="shared" si="4"/>
        <v>0</v>
      </c>
      <c r="P43" s="1648">
        <f t="shared" si="5"/>
        <v>0</v>
      </c>
      <c r="Q43" s="1648">
        <f t="shared" si="6"/>
        <v>0</v>
      </c>
      <c r="R43" s="55">
        <f t="shared" si="7"/>
        <v>0</v>
      </c>
      <c r="S43" s="55">
        <f t="shared" si="8"/>
        <v>0</v>
      </c>
    </row>
    <row r="44" spans="1:19" s="57" customFormat="1" ht="48" customHeight="1">
      <c r="A44" s="1854">
        <v>3.1</v>
      </c>
      <c r="B44" s="1648">
        <f t="shared" si="0"/>
        <v>133.19999999999999</v>
      </c>
      <c r="C44" s="1863" t="s">
        <v>5320</v>
      </c>
      <c r="D44" s="1649">
        <f>ROUND(Data!K204,2)</f>
        <v>4926.24</v>
      </c>
      <c r="E44" s="1687" t="s">
        <v>5296</v>
      </c>
      <c r="F44" s="1649">
        <f>'Detail '!I93</f>
        <v>131.4</v>
      </c>
      <c r="G44" s="1648">
        <f t="shared" si="1"/>
        <v>647307.93999999994</v>
      </c>
      <c r="H44" s="1648"/>
      <c r="I44" s="1648">
        <f t="shared" si="2"/>
        <v>0</v>
      </c>
      <c r="J44" s="1648">
        <f>Sump!I12</f>
        <v>1.8</v>
      </c>
      <c r="K44" s="1648">
        <f t="shared" si="9"/>
        <v>8867.23</v>
      </c>
      <c r="L44" s="1648"/>
      <c r="M44" s="1648">
        <f t="shared" si="3"/>
        <v>0</v>
      </c>
      <c r="N44" s="1648">
        <f t="shared" si="10"/>
        <v>1.8</v>
      </c>
      <c r="O44" s="1648">
        <f t="shared" si="4"/>
        <v>8867.23</v>
      </c>
      <c r="P44" s="1648">
        <f t="shared" si="5"/>
        <v>133.19999999999999</v>
      </c>
      <c r="Q44" s="1648">
        <f t="shared" si="6"/>
        <v>656175.17000000004</v>
      </c>
      <c r="R44" s="55">
        <f t="shared" si="7"/>
        <v>656175.17000000004</v>
      </c>
      <c r="S44" s="55">
        <f t="shared" si="8"/>
        <v>0</v>
      </c>
    </row>
    <row r="45" spans="1:19" ht="60" customHeight="1">
      <c r="A45" s="1854">
        <v>3.2</v>
      </c>
      <c r="B45" s="1648">
        <f t="shared" si="0"/>
        <v>145.1</v>
      </c>
      <c r="C45" s="1863" t="s">
        <v>5321</v>
      </c>
      <c r="D45" s="1649">
        <f>ROUND(Data!K219,2)</f>
        <v>6472.62</v>
      </c>
      <c r="E45" s="1687" t="s">
        <v>5296</v>
      </c>
      <c r="F45" s="1649">
        <f>'Detail '!I99</f>
        <v>145.1</v>
      </c>
      <c r="G45" s="1648">
        <f t="shared" si="1"/>
        <v>939177.16</v>
      </c>
      <c r="H45" s="1648"/>
      <c r="I45" s="1648">
        <f t="shared" si="2"/>
        <v>0</v>
      </c>
      <c r="J45" s="1648"/>
      <c r="K45" s="1648">
        <f t="shared" si="9"/>
        <v>0</v>
      </c>
      <c r="L45" s="1648"/>
      <c r="M45" s="1648">
        <f t="shared" si="3"/>
        <v>0</v>
      </c>
      <c r="N45" s="1648">
        <f t="shared" si="10"/>
        <v>0</v>
      </c>
      <c r="O45" s="1648">
        <f t="shared" si="4"/>
        <v>0</v>
      </c>
      <c r="P45" s="1648">
        <f t="shared" si="5"/>
        <v>145.1</v>
      </c>
      <c r="Q45" s="1648">
        <f t="shared" si="6"/>
        <v>939177.16</v>
      </c>
      <c r="R45" s="55">
        <f t="shared" si="7"/>
        <v>939177.16</v>
      </c>
      <c r="S45" s="55">
        <f t="shared" si="8"/>
        <v>0</v>
      </c>
    </row>
    <row r="46" spans="1:19" ht="56.25" hidden="1" customHeight="1">
      <c r="A46" s="1854">
        <v>3.3</v>
      </c>
      <c r="B46" s="1648">
        <f t="shared" si="0"/>
        <v>0</v>
      </c>
      <c r="C46" s="1863" t="s">
        <v>5322</v>
      </c>
      <c r="D46" s="1649">
        <f>ROUND(Data!K234,2)</f>
        <v>4255.84</v>
      </c>
      <c r="E46" s="1687" t="s">
        <v>5296</v>
      </c>
      <c r="F46" s="1649"/>
      <c r="G46" s="1648">
        <f t="shared" si="1"/>
        <v>0</v>
      </c>
      <c r="H46" s="1648"/>
      <c r="I46" s="1648">
        <f t="shared" si="2"/>
        <v>0</v>
      </c>
      <c r="J46" s="1648"/>
      <c r="K46" s="1648">
        <f t="shared" si="9"/>
        <v>0</v>
      </c>
      <c r="L46" s="1648"/>
      <c r="M46" s="1648">
        <f t="shared" si="3"/>
        <v>0</v>
      </c>
      <c r="N46" s="1648">
        <f t="shared" si="10"/>
        <v>0</v>
      </c>
      <c r="O46" s="1648">
        <f t="shared" si="4"/>
        <v>0</v>
      </c>
      <c r="P46" s="1648">
        <f t="shared" si="5"/>
        <v>0</v>
      </c>
      <c r="Q46" s="1648">
        <f t="shared" si="6"/>
        <v>0</v>
      </c>
      <c r="R46" s="55">
        <f t="shared" si="7"/>
        <v>0</v>
      </c>
      <c r="S46" s="55">
        <f t="shared" si="8"/>
        <v>0</v>
      </c>
    </row>
    <row r="47" spans="1:19" ht="59.25" hidden="1" customHeight="1">
      <c r="A47" s="1854">
        <v>3.4</v>
      </c>
      <c r="B47" s="1648">
        <f t="shared" si="0"/>
        <v>0</v>
      </c>
      <c r="C47" s="1863" t="s">
        <v>5323</v>
      </c>
      <c r="D47" s="1649"/>
      <c r="E47" s="1687" t="s">
        <v>5324</v>
      </c>
      <c r="F47" s="1649"/>
      <c r="G47" s="1648">
        <f t="shared" si="1"/>
        <v>0</v>
      </c>
      <c r="H47" s="1648"/>
      <c r="I47" s="1648">
        <f t="shared" si="2"/>
        <v>0</v>
      </c>
      <c r="J47" s="1648"/>
      <c r="K47" s="1648">
        <f t="shared" si="9"/>
        <v>0</v>
      </c>
      <c r="L47" s="1648"/>
      <c r="M47" s="1648">
        <f t="shared" si="3"/>
        <v>0</v>
      </c>
      <c r="N47" s="1648">
        <f t="shared" si="10"/>
        <v>0</v>
      </c>
      <c r="O47" s="1648">
        <f t="shared" si="4"/>
        <v>0</v>
      </c>
      <c r="P47" s="1648">
        <f t="shared" si="5"/>
        <v>0</v>
      </c>
      <c r="Q47" s="1648">
        <f t="shared" si="6"/>
        <v>0</v>
      </c>
      <c r="R47" s="55">
        <f t="shared" si="7"/>
        <v>0</v>
      </c>
      <c r="S47" s="55">
        <f t="shared" si="8"/>
        <v>0</v>
      </c>
    </row>
    <row r="48" spans="1:19" ht="46.5" hidden="1" customHeight="1">
      <c r="A48" s="1854">
        <v>3.5</v>
      </c>
      <c r="B48" s="1648">
        <f t="shared" si="0"/>
        <v>0</v>
      </c>
      <c r="C48" s="1863" t="s">
        <v>5325</v>
      </c>
      <c r="D48" s="1649"/>
      <c r="E48" s="1687" t="s">
        <v>5324</v>
      </c>
      <c r="F48" s="1649"/>
      <c r="G48" s="1648">
        <f t="shared" si="1"/>
        <v>0</v>
      </c>
      <c r="H48" s="1648"/>
      <c r="I48" s="1648">
        <f t="shared" si="2"/>
        <v>0</v>
      </c>
      <c r="J48" s="1648"/>
      <c r="K48" s="1648">
        <f t="shared" si="9"/>
        <v>0</v>
      </c>
      <c r="L48" s="1648"/>
      <c r="M48" s="1648">
        <f t="shared" si="3"/>
        <v>0</v>
      </c>
      <c r="N48" s="1648">
        <f t="shared" si="10"/>
        <v>0</v>
      </c>
      <c r="O48" s="1648">
        <f t="shared" si="4"/>
        <v>0</v>
      </c>
      <c r="P48" s="1648">
        <f t="shared" si="5"/>
        <v>0</v>
      </c>
      <c r="Q48" s="1648">
        <f t="shared" si="6"/>
        <v>0</v>
      </c>
      <c r="R48" s="55">
        <f t="shared" si="7"/>
        <v>0</v>
      </c>
      <c r="S48" s="55">
        <f t="shared" si="8"/>
        <v>0</v>
      </c>
    </row>
    <row r="49" spans="1:19" ht="93" hidden="1" customHeight="1">
      <c r="A49" s="1854">
        <v>3.6</v>
      </c>
      <c r="B49" s="1648">
        <f t="shared" si="0"/>
        <v>0</v>
      </c>
      <c r="C49" s="1863" t="s">
        <v>5326</v>
      </c>
      <c r="D49" s="1649">
        <f>ROUND(Data!K249,2)</f>
        <v>188.14</v>
      </c>
      <c r="E49" s="1687" t="s">
        <v>5324</v>
      </c>
      <c r="F49" s="1649"/>
      <c r="G49" s="1648">
        <f t="shared" si="1"/>
        <v>0</v>
      </c>
      <c r="H49" s="1648"/>
      <c r="I49" s="1648">
        <f t="shared" si="2"/>
        <v>0</v>
      </c>
      <c r="J49" s="1648"/>
      <c r="K49" s="1648">
        <f t="shared" si="9"/>
        <v>0</v>
      </c>
      <c r="L49" s="1648"/>
      <c r="M49" s="1648">
        <f t="shared" si="3"/>
        <v>0</v>
      </c>
      <c r="N49" s="1648">
        <f t="shared" si="10"/>
        <v>0</v>
      </c>
      <c r="O49" s="1648">
        <f t="shared" si="4"/>
        <v>0</v>
      </c>
      <c r="P49" s="1648">
        <f t="shared" si="5"/>
        <v>0</v>
      </c>
      <c r="Q49" s="1648">
        <f t="shared" si="6"/>
        <v>0</v>
      </c>
      <c r="R49" s="55">
        <f t="shared" si="7"/>
        <v>0</v>
      </c>
      <c r="S49" s="55">
        <f t="shared" si="8"/>
        <v>0</v>
      </c>
    </row>
    <row r="50" spans="1:19" ht="46.5" hidden="1" customHeight="1">
      <c r="A50" s="1854">
        <v>3.7</v>
      </c>
      <c r="B50" s="1648">
        <f t="shared" si="0"/>
        <v>0</v>
      </c>
      <c r="C50" s="1863" t="s">
        <v>5327</v>
      </c>
      <c r="D50" s="1649">
        <f>ROUND(Data!K261,2)</f>
        <v>144.66999999999999</v>
      </c>
      <c r="E50" s="1687" t="s">
        <v>5324</v>
      </c>
      <c r="F50" s="1649"/>
      <c r="G50" s="1648">
        <f t="shared" si="1"/>
        <v>0</v>
      </c>
      <c r="H50" s="1648"/>
      <c r="I50" s="1648">
        <f t="shared" si="2"/>
        <v>0</v>
      </c>
      <c r="J50" s="1648"/>
      <c r="K50" s="1648">
        <f t="shared" si="9"/>
        <v>0</v>
      </c>
      <c r="L50" s="1648"/>
      <c r="M50" s="1648">
        <f t="shared" si="3"/>
        <v>0</v>
      </c>
      <c r="N50" s="1648">
        <f t="shared" si="10"/>
        <v>0</v>
      </c>
      <c r="O50" s="1648">
        <f t="shared" si="4"/>
        <v>0</v>
      </c>
      <c r="P50" s="1648">
        <f t="shared" si="5"/>
        <v>0</v>
      </c>
      <c r="Q50" s="1648">
        <f t="shared" si="6"/>
        <v>0</v>
      </c>
      <c r="R50" s="55">
        <f t="shared" si="7"/>
        <v>0</v>
      </c>
      <c r="S50" s="55">
        <f t="shared" si="8"/>
        <v>0</v>
      </c>
    </row>
    <row r="51" spans="1:19" ht="25.5" hidden="1" customHeight="1">
      <c r="A51" s="1854">
        <v>4.0999999999999996</v>
      </c>
      <c r="B51" s="1648">
        <f t="shared" si="0"/>
        <v>0</v>
      </c>
      <c r="C51" s="1864" t="s">
        <v>5328</v>
      </c>
      <c r="D51" s="1649">
        <f>ROUND(Data!K285,2)</f>
        <v>8096.13</v>
      </c>
      <c r="E51" s="1687" t="s">
        <v>5296</v>
      </c>
      <c r="F51" s="1649"/>
      <c r="G51" s="1648">
        <f t="shared" si="1"/>
        <v>0</v>
      </c>
      <c r="H51" s="1648"/>
      <c r="I51" s="1648">
        <f t="shared" si="2"/>
        <v>0</v>
      </c>
      <c r="J51" s="1648"/>
      <c r="K51" s="1648">
        <f t="shared" si="9"/>
        <v>0</v>
      </c>
      <c r="L51" s="1648"/>
      <c r="M51" s="1648">
        <f t="shared" si="3"/>
        <v>0</v>
      </c>
      <c r="N51" s="1648">
        <f t="shared" si="10"/>
        <v>0</v>
      </c>
      <c r="O51" s="1648">
        <f t="shared" si="4"/>
        <v>0</v>
      </c>
      <c r="P51" s="1648">
        <f t="shared" si="5"/>
        <v>0</v>
      </c>
      <c r="Q51" s="1648">
        <f t="shared" si="6"/>
        <v>0</v>
      </c>
      <c r="R51" s="55">
        <f t="shared" si="7"/>
        <v>0</v>
      </c>
      <c r="S51" s="55">
        <f t="shared" si="8"/>
        <v>0</v>
      </c>
    </row>
    <row r="52" spans="1:19" ht="18.75" hidden="1" customHeight="1">
      <c r="A52" s="1854">
        <v>4.2</v>
      </c>
      <c r="B52" s="1648">
        <f t="shared" si="0"/>
        <v>0</v>
      </c>
      <c r="C52" s="1864" t="s">
        <v>5329</v>
      </c>
      <c r="D52" s="1649">
        <f>Data!K821</f>
        <v>8746.64</v>
      </c>
      <c r="E52" s="1687" t="s">
        <v>5296</v>
      </c>
      <c r="F52" s="1649"/>
      <c r="G52" s="1648">
        <f t="shared" si="1"/>
        <v>0</v>
      </c>
      <c r="H52" s="1648"/>
      <c r="I52" s="1648">
        <f t="shared" si="2"/>
        <v>0</v>
      </c>
      <c r="J52" s="1648"/>
      <c r="K52" s="1648">
        <f t="shared" si="9"/>
        <v>0</v>
      </c>
      <c r="L52" s="1648"/>
      <c r="M52" s="1648">
        <f t="shared" si="3"/>
        <v>0</v>
      </c>
      <c r="N52" s="1648">
        <f t="shared" si="10"/>
        <v>0</v>
      </c>
      <c r="O52" s="1648">
        <f t="shared" si="4"/>
        <v>0</v>
      </c>
      <c r="P52" s="1648">
        <f t="shared" si="5"/>
        <v>0</v>
      </c>
      <c r="Q52" s="1648">
        <f t="shared" si="6"/>
        <v>0</v>
      </c>
      <c r="R52" s="55">
        <f t="shared" si="7"/>
        <v>0</v>
      </c>
      <c r="S52" s="55">
        <f t="shared" si="8"/>
        <v>0</v>
      </c>
    </row>
    <row r="53" spans="1:19" ht="71.25" hidden="1" customHeight="1">
      <c r="A53" s="1854">
        <v>5</v>
      </c>
      <c r="B53" s="1648">
        <f t="shared" si="0"/>
        <v>0</v>
      </c>
      <c r="C53" s="1863" t="s">
        <v>5330</v>
      </c>
      <c r="D53" s="1649">
        <f>ROUND(Data!K306,2)</f>
        <v>5752.68</v>
      </c>
      <c r="E53" s="1687" t="s">
        <v>5296</v>
      </c>
      <c r="F53" s="1649"/>
      <c r="G53" s="1648">
        <f t="shared" si="1"/>
        <v>0</v>
      </c>
      <c r="H53" s="1648"/>
      <c r="I53" s="1648">
        <f t="shared" si="2"/>
        <v>0</v>
      </c>
      <c r="J53" s="1648"/>
      <c r="K53" s="1648">
        <f t="shared" si="9"/>
        <v>0</v>
      </c>
      <c r="L53" s="1648"/>
      <c r="M53" s="1648">
        <f t="shared" si="3"/>
        <v>0</v>
      </c>
      <c r="N53" s="1648">
        <f t="shared" si="10"/>
        <v>0</v>
      </c>
      <c r="O53" s="1648">
        <f t="shared" si="4"/>
        <v>0</v>
      </c>
      <c r="P53" s="1648">
        <f t="shared" si="5"/>
        <v>0</v>
      </c>
      <c r="Q53" s="1648">
        <f t="shared" si="6"/>
        <v>0</v>
      </c>
      <c r="R53" s="55">
        <f t="shared" si="7"/>
        <v>0</v>
      </c>
      <c r="S53" s="55">
        <f t="shared" si="8"/>
        <v>0</v>
      </c>
    </row>
    <row r="54" spans="1:19" ht="69.75" hidden="1" customHeight="1">
      <c r="A54" s="1854">
        <v>6.1</v>
      </c>
      <c r="B54" s="1648">
        <f t="shared" si="0"/>
        <v>0</v>
      </c>
      <c r="C54" s="1864" t="s">
        <v>5331</v>
      </c>
      <c r="D54" s="1649">
        <f>Data!X321</f>
        <v>7075.46</v>
      </c>
      <c r="E54" s="1687" t="s">
        <v>5296</v>
      </c>
      <c r="F54" s="1649"/>
      <c r="G54" s="1648">
        <f t="shared" si="1"/>
        <v>0</v>
      </c>
      <c r="H54" s="1648"/>
      <c r="I54" s="1648">
        <f t="shared" si="2"/>
        <v>0</v>
      </c>
      <c r="J54" s="1648"/>
      <c r="K54" s="1648">
        <f t="shared" si="9"/>
        <v>0</v>
      </c>
      <c r="L54" s="1648"/>
      <c r="M54" s="1648">
        <f t="shared" si="3"/>
        <v>0</v>
      </c>
      <c r="N54" s="1648">
        <f t="shared" si="10"/>
        <v>0</v>
      </c>
      <c r="O54" s="1648">
        <f t="shared" si="4"/>
        <v>0</v>
      </c>
      <c r="P54" s="1648">
        <f t="shared" si="5"/>
        <v>0</v>
      </c>
      <c r="Q54" s="1648">
        <f t="shared" si="6"/>
        <v>0</v>
      </c>
      <c r="R54" s="55">
        <f t="shared" si="7"/>
        <v>0</v>
      </c>
      <c r="S54" s="55">
        <f t="shared" si="8"/>
        <v>0</v>
      </c>
    </row>
    <row r="55" spans="1:19" ht="69.75">
      <c r="A55" s="1854">
        <v>6.2</v>
      </c>
      <c r="B55" s="1648">
        <f t="shared" si="0"/>
        <v>58</v>
      </c>
      <c r="C55" s="1864" t="s">
        <v>5332</v>
      </c>
      <c r="D55" s="1649">
        <f>ROUND(Data!AG321,2)</f>
        <v>6739.92</v>
      </c>
      <c r="E55" s="1687" t="s">
        <v>5296</v>
      </c>
      <c r="F55" s="1649">
        <f>'Detail '!I436</f>
        <v>58</v>
      </c>
      <c r="G55" s="1648">
        <f t="shared" si="1"/>
        <v>390915.36</v>
      </c>
      <c r="H55" s="1648"/>
      <c r="I55" s="1648">
        <f t="shared" si="2"/>
        <v>0</v>
      </c>
      <c r="J55" s="1648"/>
      <c r="K55" s="1648">
        <f t="shared" si="9"/>
        <v>0</v>
      </c>
      <c r="L55" s="1648"/>
      <c r="M55" s="1648">
        <f t="shared" si="3"/>
        <v>0</v>
      </c>
      <c r="N55" s="1648">
        <f t="shared" si="10"/>
        <v>0</v>
      </c>
      <c r="O55" s="1648">
        <f t="shared" si="4"/>
        <v>0</v>
      </c>
      <c r="P55" s="1648">
        <f t="shared" si="5"/>
        <v>58</v>
      </c>
      <c r="Q55" s="1648">
        <f t="shared" si="6"/>
        <v>390915.36</v>
      </c>
      <c r="R55" s="55">
        <f t="shared" si="7"/>
        <v>390915.36</v>
      </c>
      <c r="S55" s="55">
        <f t="shared" si="8"/>
        <v>0</v>
      </c>
    </row>
    <row r="56" spans="1:19" ht="69.75" hidden="1" customHeight="1">
      <c r="A56" s="1854">
        <v>6.3</v>
      </c>
      <c r="B56" s="1648">
        <f t="shared" si="0"/>
        <v>0</v>
      </c>
      <c r="C56" s="1864" t="s">
        <v>5333</v>
      </c>
      <c r="D56" s="1649"/>
      <c r="E56" s="1687" t="s">
        <v>5296</v>
      </c>
      <c r="F56" s="1649"/>
      <c r="G56" s="1648">
        <f t="shared" si="1"/>
        <v>0</v>
      </c>
      <c r="H56" s="1648"/>
      <c r="I56" s="1648">
        <f t="shared" si="2"/>
        <v>0</v>
      </c>
      <c r="J56" s="1648"/>
      <c r="K56" s="1648">
        <f t="shared" si="9"/>
        <v>0</v>
      </c>
      <c r="L56" s="1648"/>
      <c r="M56" s="1648">
        <f t="shared" si="3"/>
        <v>0</v>
      </c>
      <c r="N56" s="1648">
        <f t="shared" si="10"/>
        <v>0</v>
      </c>
      <c r="O56" s="1648">
        <f t="shared" si="4"/>
        <v>0</v>
      </c>
      <c r="P56" s="1648">
        <f t="shared" si="5"/>
        <v>0</v>
      </c>
      <c r="Q56" s="1648">
        <f t="shared" si="6"/>
        <v>0</v>
      </c>
      <c r="R56" s="55">
        <f t="shared" si="7"/>
        <v>0</v>
      </c>
      <c r="S56" s="55">
        <f t="shared" si="8"/>
        <v>0</v>
      </c>
    </row>
    <row r="57" spans="1:19" ht="13.5" hidden="1" customHeight="1">
      <c r="A57" s="1854">
        <v>6.4</v>
      </c>
      <c r="B57" s="1648">
        <f t="shared" si="0"/>
        <v>0</v>
      </c>
      <c r="C57" s="1864" t="s">
        <v>5334</v>
      </c>
      <c r="D57" s="1649"/>
      <c r="E57" s="1687" t="s">
        <v>5296</v>
      </c>
      <c r="F57" s="1649"/>
      <c r="G57" s="1648">
        <f t="shared" si="1"/>
        <v>0</v>
      </c>
      <c r="H57" s="1648"/>
      <c r="I57" s="1648">
        <f t="shared" si="2"/>
        <v>0</v>
      </c>
      <c r="J57" s="1648"/>
      <c r="K57" s="1648">
        <f t="shared" si="9"/>
        <v>0</v>
      </c>
      <c r="L57" s="1648"/>
      <c r="M57" s="1648">
        <f t="shared" si="3"/>
        <v>0</v>
      </c>
      <c r="N57" s="1648">
        <f t="shared" si="10"/>
        <v>0</v>
      </c>
      <c r="O57" s="1648">
        <f t="shared" si="4"/>
        <v>0</v>
      </c>
      <c r="P57" s="1648">
        <f t="shared" si="5"/>
        <v>0</v>
      </c>
      <c r="Q57" s="1648">
        <f t="shared" si="6"/>
        <v>0</v>
      </c>
      <c r="R57" s="55">
        <f t="shared" si="7"/>
        <v>0</v>
      </c>
      <c r="S57" s="55">
        <f t="shared" si="8"/>
        <v>0</v>
      </c>
    </row>
    <row r="58" spans="1:19" ht="80.25" hidden="1" customHeight="1">
      <c r="A58" s="1854">
        <v>6.5</v>
      </c>
      <c r="B58" s="1648">
        <f t="shared" si="0"/>
        <v>0</v>
      </c>
      <c r="C58" s="1864" t="s">
        <v>5335</v>
      </c>
      <c r="D58" s="1649">
        <f>Data!K321</f>
        <v>6743.09</v>
      </c>
      <c r="E58" s="1687" t="s">
        <v>5296</v>
      </c>
      <c r="F58" s="1649"/>
      <c r="G58" s="1648">
        <f t="shared" si="1"/>
        <v>0</v>
      </c>
      <c r="H58" s="1648"/>
      <c r="I58" s="1648">
        <f t="shared" si="2"/>
        <v>0</v>
      </c>
      <c r="J58" s="1648"/>
      <c r="K58" s="1648">
        <f t="shared" si="9"/>
        <v>0</v>
      </c>
      <c r="L58" s="1648"/>
      <c r="M58" s="1648">
        <f t="shared" si="3"/>
        <v>0</v>
      </c>
      <c r="N58" s="1648">
        <f t="shared" si="10"/>
        <v>0</v>
      </c>
      <c r="O58" s="1648">
        <f t="shared" si="4"/>
        <v>0</v>
      </c>
      <c r="P58" s="1648">
        <f t="shared" si="5"/>
        <v>0</v>
      </c>
      <c r="Q58" s="1648">
        <f t="shared" si="6"/>
        <v>0</v>
      </c>
      <c r="R58" s="55">
        <f t="shared" si="7"/>
        <v>0</v>
      </c>
      <c r="S58" s="55">
        <f t="shared" si="8"/>
        <v>0</v>
      </c>
    </row>
    <row r="59" spans="1:19" ht="69.75" hidden="1" customHeight="1">
      <c r="A59" s="1854">
        <v>6.6</v>
      </c>
      <c r="B59" s="1648">
        <f t="shared" si="0"/>
        <v>0</v>
      </c>
      <c r="C59" s="1864" t="s">
        <v>5336</v>
      </c>
      <c r="D59" s="1649"/>
      <c r="E59" s="1687" t="s">
        <v>5296</v>
      </c>
      <c r="F59" s="1649"/>
      <c r="G59" s="1648">
        <f t="shared" si="1"/>
        <v>0</v>
      </c>
      <c r="H59" s="1648"/>
      <c r="I59" s="1648">
        <f t="shared" si="2"/>
        <v>0</v>
      </c>
      <c r="J59" s="1648"/>
      <c r="K59" s="1648">
        <f t="shared" si="9"/>
        <v>0</v>
      </c>
      <c r="L59" s="1648"/>
      <c r="M59" s="1648">
        <f t="shared" si="3"/>
        <v>0</v>
      </c>
      <c r="N59" s="1648">
        <f t="shared" si="10"/>
        <v>0</v>
      </c>
      <c r="O59" s="1648">
        <f t="shared" si="4"/>
        <v>0</v>
      </c>
      <c r="P59" s="1648">
        <f t="shared" si="5"/>
        <v>0</v>
      </c>
      <c r="Q59" s="1648">
        <f t="shared" si="6"/>
        <v>0</v>
      </c>
      <c r="R59" s="55">
        <f t="shared" si="7"/>
        <v>0</v>
      </c>
      <c r="S59" s="55">
        <f t="shared" si="8"/>
        <v>0</v>
      </c>
    </row>
    <row r="60" spans="1:19" ht="46.5" hidden="1" customHeight="1">
      <c r="A60" s="1854">
        <v>7.1</v>
      </c>
      <c r="B60" s="1648">
        <f t="shared" si="0"/>
        <v>0</v>
      </c>
      <c r="C60" s="1864" t="s">
        <v>5337</v>
      </c>
      <c r="D60" s="1649"/>
      <c r="E60" s="1687" t="s">
        <v>5324</v>
      </c>
      <c r="F60" s="1649"/>
      <c r="G60" s="1648">
        <f t="shared" si="1"/>
        <v>0</v>
      </c>
      <c r="H60" s="1648"/>
      <c r="I60" s="1648">
        <f t="shared" si="2"/>
        <v>0</v>
      </c>
      <c r="J60" s="1648"/>
      <c r="K60" s="1648">
        <f t="shared" si="9"/>
        <v>0</v>
      </c>
      <c r="L60" s="1648"/>
      <c r="M60" s="1648">
        <f t="shared" si="3"/>
        <v>0</v>
      </c>
      <c r="N60" s="1648">
        <f t="shared" si="10"/>
        <v>0</v>
      </c>
      <c r="O60" s="1648">
        <f t="shared" si="4"/>
        <v>0</v>
      </c>
      <c r="P60" s="1648">
        <f t="shared" si="5"/>
        <v>0</v>
      </c>
      <c r="Q60" s="1648">
        <f t="shared" si="6"/>
        <v>0</v>
      </c>
      <c r="R60" s="55">
        <f t="shared" si="7"/>
        <v>0</v>
      </c>
      <c r="S60" s="55">
        <f t="shared" si="8"/>
        <v>0</v>
      </c>
    </row>
    <row r="61" spans="1:19" ht="72" customHeight="1">
      <c r="A61" s="1854">
        <v>7.2</v>
      </c>
      <c r="B61" s="1648">
        <f t="shared" si="0"/>
        <v>36</v>
      </c>
      <c r="C61" s="1863" t="s">
        <v>5338</v>
      </c>
      <c r="D61" s="1649">
        <f>ROUND(Data!K329,2)</f>
        <v>719</v>
      </c>
      <c r="E61" s="1687" t="s">
        <v>5324</v>
      </c>
      <c r="F61" s="1649">
        <f>'Detail '!I102</f>
        <v>36</v>
      </c>
      <c r="G61" s="1648">
        <f t="shared" si="1"/>
        <v>25884</v>
      </c>
      <c r="H61" s="1648"/>
      <c r="I61" s="1648">
        <f t="shared" si="2"/>
        <v>0</v>
      </c>
      <c r="J61" s="1648"/>
      <c r="K61" s="1648">
        <f t="shared" si="9"/>
        <v>0</v>
      </c>
      <c r="L61" s="1648"/>
      <c r="M61" s="1648">
        <f t="shared" si="3"/>
        <v>0</v>
      </c>
      <c r="N61" s="1648">
        <f t="shared" si="10"/>
        <v>0</v>
      </c>
      <c r="O61" s="1648">
        <f t="shared" si="4"/>
        <v>0</v>
      </c>
      <c r="P61" s="1648">
        <f t="shared" si="5"/>
        <v>36</v>
      </c>
      <c r="Q61" s="1648">
        <f t="shared" si="6"/>
        <v>25884</v>
      </c>
      <c r="R61" s="55">
        <f t="shared" si="7"/>
        <v>25884</v>
      </c>
      <c r="S61" s="55">
        <f t="shared" si="8"/>
        <v>0</v>
      </c>
    </row>
    <row r="62" spans="1:19" ht="46.5" hidden="1" customHeight="1">
      <c r="A62" s="1854">
        <v>7.3</v>
      </c>
      <c r="B62" s="1648">
        <f t="shared" si="0"/>
        <v>0</v>
      </c>
      <c r="C62" s="1864" t="s">
        <v>5339</v>
      </c>
      <c r="D62" s="1649">
        <f>ROUND(Data!K497,2)</f>
        <v>326.05</v>
      </c>
      <c r="E62" s="1687" t="s">
        <v>5324</v>
      </c>
      <c r="F62" s="1649"/>
      <c r="G62" s="1648">
        <f t="shared" si="1"/>
        <v>0</v>
      </c>
      <c r="H62" s="1648"/>
      <c r="I62" s="1648">
        <f t="shared" si="2"/>
        <v>0</v>
      </c>
      <c r="J62" s="1648"/>
      <c r="K62" s="1648">
        <f t="shared" si="9"/>
        <v>0</v>
      </c>
      <c r="L62" s="1648"/>
      <c r="M62" s="1648">
        <f t="shared" si="3"/>
        <v>0</v>
      </c>
      <c r="N62" s="1648">
        <f t="shared" si="10"/>
        <v>0</v>
      </c>
      <c r="O62" s="1648">
        <f t="shared" si="4"/>
        <v>0</v>
      </c>
      <c r="P62" s="1648">
        <f t="shared" si="5"/>
        <v>0</v>
      </c>
      <c r="Q62" s="1648">
        <f t="shared" si="6"/>
        <v>0</v>
      </c>
      <c r="R62" s="55">
        <f t="shared" si="7"/>
        <v>0</v>
      </c>
      <c r="S62" s="55">
        <f t="shared" si="8"/>
        <v>0</v>
      </c>
    </row>
    <row r="63" spans="1:19" s="57" customFormat="1" ht="25.5" hidden="1" customHeight="1">
      <c r="A63" s="1854">
        <v>8.1</v>
      </c>
      <c r="B63" s="1648">
        <f t="shared" si="0"/>
        <v>0</v>
      </c>
      <c r="C63" s="1864" t="s">
        <v>5340</v>
      </c>
      <c r="D63" s="1649"/>
      <c r="E63" s="1687"/>
      <c r="F63" s="1649"/>
      <c r="G63" s="1648">
        <f t="shared" si="1"/>
        <v>0</v>
      </c>
      <c r="H63" s="1648"/>
      <c r="I63" s="1648">
        <f t="shared" si="2"/>
        <v>0</v>
      </c>
      <c r="J63" s="1648"/>
      <c r="K63" s="1648">
        <f t="shared" si="9"/>
        <v>0</v>
      </c>
      <c r="L63" s="1648"/>
      <c r="M63" s="1648">
        <f t="shared" si="3"/>
        <v>0</v>
      </c>
      <c r="N63" s="1648">
        <f t="shared" si="10"/>
        <v>0</v>
      </c>
      <c r="O63" s="1648">
        <f t="shared" si="4"/>
        <v>0</v>
      </c>
      <c r="P63" s="1648">
        <f t="shared" si="5"/>
        <v>0</v>
      </c>
      <c r="Q63" s="1648">
        <f t="shared" si="6"/>
        <v>0</v>
      </c>
      <c r="R63" s="55">
        <f t="shared" si="7"/>
        <v>0</v>
      </c>
      <c r="S63" s="55">
        <f t="shared" si="8"/>
        <v>0</v>
      </c>
    </row>
    <row r="64" spans="1:19" s="57" customFormat="1" ht="25.5" hidden="1" customHeight="1">
      <c r="A64" s="1854"/>
      <c r="B64" s="1648">
        <f t="shared" si="0"/>
        <v>0</v>
      </c>
      <c r="C64" s="1863" t="s">
        <v>5341</v>
      </c>
      <c r="D64" s="1649">
        <f>ROUND(Data!K287,2)</f>
        <v>8221.09</v>
      </c>
      <c r="E64" s="1687" t="s">
        <v>5296</v>
      </c>
      <c r="F64" s="1649"/>
      <c r="G64" s="1648">
        <f t="shared" si="1"/>
        <v>0</v>
      </c>
      <c r="H64" s="1648"/>
      <c r="I64" s="1648">
        <f t="shared" si="2"/>
        <v>0</v>
      </c>
      <c r="J64" s="1648"/>
      <c r="K64" s="1648">
        <f t="shared" si="9"/>
        <v>0</v>
      </c>
      <c r="L64" s="1648"/>
      <c r="M64" s="1648">
        <f t="shared" si="3"/>
        <v>0</v>
      </c>
      <c r="N64" s="1648">
        <f t="shared" si="10"/>
        <v>0</v>
      </c>
      <c r="O64" s="1648">
        <f t="shared" si="4"/>
        <v>0</v>
      </c>
      <c r="P64" s="1648">
        <f t="shared" si="5"/>
        <v>0</v>
      </c>
      <c r="Q64" s="1648">
        <f t="shared" si="6"/>
        <v>0</v>
      </c>
      <c r="R64" s="55">
        <f t="shared" si="7"/>
        <v>0</v>
      </c>
      <c r="S64" s="55">
        <f t="shared" si="8"/>
        <v>0</v>
      </c>
    </row>
    <row r="65" spans="1:19" s="57" customFormat="1" ht="25.5" hidden="1" customHeight="1">
      <c r="A65" s="1854"/>
      <c r="B65" s="1648">
        <f t="shared" si="0"/>
        <v>0</v>
      </c>
      <c r="C65" s="1863" t="s">
        <v>5342</v>
      </c>
      <c r="D65" s="1649">
        <f>ROUND(Data!K288,2)</f>
        <v>8467.27</v>
      </c>
      <c r="E65" s="1687" t="s">
        <v>5296</v>
      </c>
      <c r="F65" s="1649"/>
      <c r="G65" s="1648">
        <f t="shared" si="1"/>
        <v>0</v>
      </c>
      <c r="H65" s="1648"/>
      <c r="I65" s="1648">
        <f t="shared" si="2"/>
        <v>0</v>
      </c>
      <c r="J65" s="1648"/>
      <c r="K65" s="1648">
        <f t="shared" si="9"/>
        <v>0</v>
      </c>
      <c r="L65" s="1648"/>
      <c r="M65" s="1648">
        <f t="shared" si="3"/>
        <v>0</v>
      </c>
      <c r="N65" s="1648">
        <f t="shared" si="10"/>
        <v>0</v>
      </c>
      <c r="O65" s="1648">
        <f t="shared" si="4"/>
        <v>0</v>
      </c>
      <c r="P65" s="1648">
        <f t="shared" si="5"/>
        <v>0</v>
      </c>
      <c r="Q65" s="1648">
        <f t="shared" si="6"/>
        <v>0</v>
      </c>
      <c r="R65" s="55">
        <f t="shared" si="7"/>
        <v>0</v>
      </c>
      <c r="S65" s="55">
        <f t="shared" si="8"/>
        <v>0</v>
      </c>
    </row>
    <row r="66" spans="1:19" s="57" customFormat="1" ht="25.5" hidden="1" customHeight="1">
      <c r="A66" s="1854"/>
      <c r="B66" s="1648">
        <f t="shared" si="0"/>
        <v>0</v>
      </c>
      <c r="C66" s="1863" t="s">
        <v>5343</v>
      </c>
      <c r="D66" s="1649">
        <f>ROUND(Data!K289,2)</f>
        <v>8713.4500000000007</v>
      </c>
      <c r="E66" s="1687" t="s">
        <v>5296</v>
      </c>
      <c r="F66" s="1649"/>
      <c r="G66" s="1648">
        <f t="shared" si="1"/>
        <v>0</v>
      </c>
      <c r="H66" s="1648"/>
      <c r="I66" s="1648">
        <f t="shared" si="2"/>
        <v>0</v>
      </c>
      <c r="J66" s="1648"/>
      <c r="K66" s="1648">
        <f t="shared" si="9"/>
        <v>0</v>
      </c>
      <c r="L66" s="1648"/>
      <c r="M66" s="1648">
        <f t="shared" si="3"/>
        <v>0</v>
      </c>
      <c r="N66" s="1648">
        <f t="shared" si="10"/>
        <v>0</v>
      </c>
      <c r="O66" s="1648">
        <f t="shared" si="4"/>
        <v>0</v>
      </c>
      <c r="P66" s="1648">
        <f t="shared" si="5"/>
        <v>0</v>
      </c>
      <c r="Q66" s="1648">
        <f t="shared" si="6"/>
        <v>0</v>
      </c>
      <c r="R66" s="55">
        <f t="shared" si="7"/>
        <v>0</v>
      </c>
      <c r="S66" s="55">
        <f t="shared" si="8"/>
        <v>0</v>
      </c>
    </row>
    <row r="67" spans="1:19" s="57" customFormat="1" ht="25.5" hidden="1" customHeight="1">
      <c r="A67" s="1854"/>
      <c r="B67" s="1648">
        <f t="shared" si="0"/>
        <v>0</v>
      </c>
      <c r="C67" s="1863" t="s">
        <v>5344</v>
      </c>
      <c r="D67" s="1649">
        <f>ROUND(Data!K290,2)</f>
        <v>8959.6299999999992</v>
      </c>
      <c r="E67" s="1687" t="s">
        <v>5296</v>
      </c>
      <c r="F67" s="1649"/>
      <c r="G67" s="1648">
        <f t="shared" si="1"/>
        <v>0</v>
      </c>
      <c r="H67" s="1648"/>
      <c r="I67" s="1648">
        <f t="shared" si="2"/>
        <v>0</v>
      </c>
      <c r="J67" s="1648"/>
      <c r="K67" s="1648">
        <f t="shared" si="9"/>
        <v>0</v>
      </c>
      <c r="L67" s="1648"/>
      <c r="M67" s="1648">
        <f t="shared" si="3"/>
        <v>0</v>
      </c>
      <c r="N67" s="1648">
        <f t="shared" si="10"/>
        <v>0</v>
      </c>
      <c r="O67" s="1648">
        <f t="shared" si="4"/>
        <v>0</v>
      </c>
      <c r="P67" s="1648">
        <f t="shared" si="5"/>
        <v>0</v>
      </c>
      <c r="Q67" s="1648">
        <f t="shared" si="6"/>
        <v>0</v>
      </c>
      <c r="R67" s="55">
        <f t="shared" si="7"/>
        <v>0</v>
      </c>
      <c r="S67" s="55">
        <f t="shared" si="8"/>
        <v>0</v>
      </c>
    </row>
    <row r="68" spans="1:19" s="57" customFormat="1" ht="25.5" hidden="1" customHeight="1">
      <c r="A68" s="1855"/>
      <c r="B68" s="1648">
        <f t="shared" si="0"/>
        <v>0</v>
      </c>
      <c r="C68" s="1863" t="s">
        <v>5345</v>
      </c>
      <c r="D68" s="1649">
        <f>ROUND(Data!K291,2)</f>
        <v>9205.81</v>
      </c>
      <c r="E68" s="1687" t="s">
        <v>5296</v>
      </c>
      <c r="F68" s="1649"/>
      <c r="G68" s="1648">
        <f t="shared" si="1"/>
        <v>0</v>
      </c>
      <c r="H68" s="1648"/>
      <c r="I68" s="1648">
        <f t="shared" si="2"/>
        <v>0</v>
      </c>
      <c r="J68" s="1648"/>
      <c r="K68" s="1648">
        <f t="shared" si="9"/>
        <v>0</v>
      </c>
      <c r="L68" s="1648"/>
      <c r="M68" s="1648">
        <f t="shared" si="3"/>
        <v>0</v>
      </c>
      <c r="N68" s="1648">
        <f t="shared" si="10"/>
        <v>0</v>
      </c>
      <c r="O68" s="1648">
        <f t="shared" si="4"/>
        <v>0</v>
      </c>
      <c r="P68" s="1648">
        <f t="shared" si="5"/>
        <v>0</v>
      </c>
      <c r="Q68" s="1648">
        <f t="shared" si="6"/>
        <v>0</v>
      </c>
      <c r="R68" s="55">
        <f t="shared" si="7"/>
        <v>0</v>
      </c>
      <c r="S68" s="55">
        <f t="shared" si="8"/>
        <v>0</v>
      </c>
    </row>
    <row r="69" spans="1:19" ht="25.5" hidden="1" customHeight="1">
      <c r="A69" s="1854">
        <v>8.1999999999999993</v>
      </c>
      <c r="B69" s="1648">
        <f t="shared" si="0"/>
        <v>0</v>
      </c>
      <c r="C69" s="1864" t="s">
        <v>5346</v>
      </c>
      <c r="D69" s="1649"/>
      <c r="E69" s="1687"/>
      <c r="F69" s="1649"/>
      <c r="G69" s="1648">
        <f t="shared" si="1"/>
        <v>0</v>
      </c>
      <c r="H69" s="1648"/>
      <c r="I69" s="1648">
        <f t="shared" si="2"/>
        <v>0</v>
      </c>
      <c r="J69" s="1648"/>
      <c r="K69" s="1648">
        <f t="shared" si="9"/>
        <v>0</v>
      </c>
      <c r="L69" s="1648"/>
      <c r="M69" s="1648">
        <f t="shared" si="3"/>
        <v>0</v>
      </c>
      <c r="N69" s="1648">
        <f t="shared" si="10"/>
        <v>0</v>
      </c>
      <c r="O69" s="1648">
        <f t="shared" si="4"/>
        <v>0</v>
      </c>
      <c r="P69" s="1648">
        <f t="shared" si="5"/>
        <v>0</v>
      </c>
      <c r="Q69" s="1648">
        <f t="shared" si="6"/>
        <v>0</v>
      </c>
      <c r="R69" s="55">
        <f t="shared" si="7"/>
        <v>0</v>
      </c>
      <c r="S69" s="55">
        <f t="shared" si="8"/>
        <v>0</v>
      </c>
    </row>
    <row r="70" spans="1:19" ht="25.5" hidden="1" customHeight="1">
      <c r="A70" s="1687"/>
      <c r="B70" s="1648">
        <f t="shared" ref="B70:B133" si="11">P70</f>
        <v>0</v>
      </c>
      <c r="C70" s="1863" t="s">
        <v>5341</v>
      </c>
      <c r="D70" s="1649">
        <f>ROUND(Data!K823,2)</f>
        <v>8871.6</v>
      </c>
      <c r="E70" s="1687" t="s">
        <v>5296</v>
      </c>
      <c r="F70" s="1649"/>
      <c r="G70" s="1648">
        <f t="shared" ref="G70:G133" si="12">F70*D70</f>
        <v>0</v>
      </c>
      <c r="H70" s="1648"/>
      <c r="I70" s="1648">
        <f t="shared" ref="I70:I133" si="13">H70*D70</f>
        <v>0</v>
      </c>
      <c r="J70" s="1648"/>
      <c r="K70" s="1648">
        <f t="shared" ref="K70:K133" si="14">J70*D70</f>
        <v>0</v>
      </c>
      <c r="L70" s="1648"/>
      <c r="M70" s="1648">
        <f t="shared" ref="M70:M133" si="15">L70*D70</f>
        <v>0</v>
      </c>
      <c r="N70" s="1648">
        <f t="shared" ref="N70:N133" si="16">H70+J70+L70</f>
        <v>0</v>
      </c>
      <c r="O70" s="1648">
        <f t="shared" ref="O70:O133" si="17">N70*D70</f>
        <v>0</v>
      </c>
      <c r="P70" s="1648">
        <f t="shared" ref="P70:P133" si="18">N70+F70</f>
        <v>0</v>
      </c>
      <c r="Q70" s="1648">
        <f t="shared" ref="Q70:Q133" si="19">P70*D70</f>
        <v>0</v>
      </c>
      <c r="R70" s="55">
        <f t="shared" ref="R70:R133" si="20">G70+I70+K70+M70</f>
        <v>0</v>
      </c>
      <c r="S70" s="55">
        <f t="shared" ref="S70:S133" si="21">Q70-R70</f>
        <v>0</v>
      </c>
    </row>
    <row r="71" spans="1:19" ht="25.5" hidden="1" customHeight="1">
      <c r="A71" s="1687"/>
      <c r="B71" s="1648">
        <f t="shared" si="11"/>
        <v>0</v>
      </c>
      <c r="C71" s="1863" t="s">
        <v>5342</v>
      </c>
      <c r="D71" s="1649">
        <f>ROUND(Data!K824,2)</f>
        <v>9117.7800000000007</v>
      </c>
      <c r="E71" s="1687" t="s">
        <v>5296</v>
      </c>
      <c r="F71" s="1649"/>
      <c r="G71" s="1648">
        <f t="shared" si="12"/>
        <v>0</v>
      </c>
      <c r="H71" s="1648"/>
      <c r="I71" s="1648">
        <f t="shared" si="13"/>
        <v>0</v>
      </c>
      <c r="J71" s="1648"/>
      <c r="K71" s="1648">
        <f t="shared" si="14"/>
        <v>0</v>
      </c>
      <c r="L71" s="1648"/>
      <c r="M71" s="1648">
        <f t="shared" si="15"/>
        <v>0</v>
      </c>
      <c r="N71" s="1648">
        <f t="shared" si="16"/>
        <v>0</v>
      </c>
      <c r="O71" s="1648">
        <f t="shared" si="17"/>
        <v>0</v>
      </c>
      <c r="P71" s="1648">
        <f t="shared" si="18"/>
        <v>0</v>
      </c>
      <c r="Q71" s="1648">
        <f t="shared" si="19"/>
        <v>0</v>
      </c>
      <c r="R71" s="55">
        <f t="shared" si="20"/>
        <v>0</v>
      </c>
      <c r="S71" s="55">
        <f t="shared" si="21"/>
        <v>0</v>
      </c>
    </row>
    <row r="72" spans="1:19" ht="25.5" hidden="1" customHeight="1">
      <c r="A72" s="1687"/>
      <c r="B72" s="1648">
        <f t="shared" si="11"/>
        <v>0</v>
      </c>
      <c r="C72" s="1863" t="s">
        <v>5343</v>
      </c>
      <c r="D72" s="1649">
        <f>ROUND(Data!K825,2)</f>
        <v>9363.9599999999991</v>
      </c>
      <c r="E72" s="1687" t="s">
        <v>5296</v>
      </c>
      <c r="F72" s="1649"/>
      <c r="G72" s="1648">
        <f t="shared" si="12"/>
        <v>0</v>
      </c>
      <c r="H72" s="1648"/>
      <c r="I72" s="1648">
        <f t="shared" si="13"/>
        <v>0</v>
      </c>
      <c r="J72" s="1648"/>
      <c r="K72" s="1648">
        <f t="shared" si="14"/>
        <v>0</v>
      </c>
      <c r="L72" s="1648"/>
      <c r="M72" s="1648">
        <f t="shared" si="15"/>
        <v>0</v>
      </c>
      <c r="N72" s="1648">
        <f t="shared" si="16"/>
        <v>0</v>
      </c>
      <c r="O72" s="1648">
        <f t="shared" si="17"/>
        <v>0</v>
      </c>
      <c r="P72" s="1648">
        <f t="shared" si="18"/>
        <v>0</v>
      </c>
      <c r="Q72" s="1648">
        <f t="shared" si="19"/>
        <v>0</v>
      </c>
      <c r="R72" s="55">
        <f t="shared" si="20"/>
        <v>0</v>
      </c>
      <c r="S72" s="55">
        <f t="shared" si="21"/>
        <v>0</v>
      </c>
    </row>
    <row r="73" spans="1:19" ht="25.5" hidden="1" customHeight="1">
      <c r="A73" s="1687"/>
      <c r="B73" s="1648">
        <f t="shared" si="11"/>
        <v>0</v>
      </c>
      <c r="C73" s="1863" t="s">
        <v>5344</v>
      </c>
      <c r="D73" s="1649">
        <f>ROUND(Data!K826,2)</f>
        <v>9610.14</v>
      </c>
      <c r="E73" s="1687" t="s">
        <v>5296</v>
      </c>
      <c r="F73" s="1649"/>
      <c r="G73" s="1648">
        <f t="shared" si="12"/>
        <v>0</v>
      </c>
      <c r="H73" s="1648"/>
      <c r="I73" s="1648">
        <f t="shared" si="13"/>
        <v>0</v>
      </c>
      <c r="J73" s="1648"/>
      <c r="K73" s="1648">
        <f t="shared" si="14"/>
        <v>0</v>
      </c>
      <c r="L73" s="1648"/>
      <c r="M73" s="1648">
        <f t="shared" si="15"/>
        <v>0</v>
      </c>
      <c r="N73" s="1648">
        <f t="shared" si="16"/>
        <v>0</v>
      </c>
      <c r="O73" s="1648">
        <f t="shared" si="17"/>
        <v>0</v>
      </c>
      <c r="P73" s="1648">
        <f t="shared" si="18"/>
        <v>0</v>
      </c>
      <c r="Q73" s="1648">
        <f t="shared" si="19"/>
        <v>0</v>
      </c>
      <c r="R73" s="55">
        <f t="shared" si="20"/>
        <v>0</v>
      </c>
      <c r="S73" s="55">
        <f t="shared" si="21"/>
        <v>0</v>
      </c>
    </row>
    <row r="74" spans="1:19" ht="25.5" hidden="1" customHeight="1">
      <c r="A74" s="1854"/>
      <c r="B74" s="1648">
        <f t="shared" si="11"/>
        <v>0</v>
      </c>
      <c r="C74" s="1863" t="s">
        <v>5345</v>
      </c>
      <c r="D74" s="1649">
        <f>ROUND(Data!K827,2)</f>
        <v>9856.32</v>
      </c>
      <c r="E74" s="1687" t="s">
        <v>5296</v>
      </c>
      <c r="F74" s="1649"/>
      <c r="G74" s="1648">
        <f t="shared" si="12"/>
        <v>0</v>
      </c>
      <c r="H74" s="1648"/>
      <c r="I74" s="1648">
        <f t="shared" si="13"/>
        <v>0</v>
      </c>
      <c r="J74" s="1648"/>
      <c r="K74" s="1648">
        <f t="shared" si="14"/>
        <v>0</v>
      </c>
      <c r="L74" s="1648"/>
      <c r="M74" s="1648">
        <f t="shared" si="15"/>
        <v>0</v>
      </c>
      <c r="N74" s="1648">
        <f t="shared" si="16"/>
        <v>0</v>
      </c>
      <c r="O74" s="1648">
        <f t="shared" si="17"/>
        <v>0</v>
      </c>
      <c r="P74" s="1648">
        <f t="shared" si="18"/>
        <v>0</v>
      </c>
      <c r="Q74" s="1648">
        <f t="shared" si="19"/>
        <v>0</v>
      </c>
      <c r="R74" s="55">
        <f t="shared" si="20"/>
        <v>0</v>
      </c>
      <c r="S74" s="55">
        <f t="shared" si="21"/>
        <v>0</v>
      </c>
    </row>
    <row r="75" spans="1:19" ht="25.5" hidden="1" customHeight="1">
      <c r="A75" s="1854"/>
      <c r="B75" s="1648">
        <f t="shared" si="11"/>
        <v>0</v>
      </c>
      <c r="C75" s="1863" t="s">
        <v>5347</v>
      </c>
      <c r="D75" s="1649">
        <f>ROUND(Data!K828,2)</f>
        <v>10102.5</v>
      </c>
      <c r="E75" s="1687" t="s">
        <v>5296</v>
      </c>
      <c r="F75" s="1649"/>
      <c r="G75" s="1648">
        <f t="shared" si="12"/>
        <v>0</v>
      </c>
      <c r="H75" s="1648"/>
      <c r="I75" s="1648">
        <f t="shared" si="13"/>
        <v>0</v>
      </c>
      <c r="J75" s="1648"/>
      <c r="K75" s="1648">
        <f t="shared" si="14"/>
        <v>0</v>
      </c>
      <c r="L75" s="1648"/>
      <c r="M75" s="1648">
        <f t="shared" si="15"/>
        <v>0</v>
      </c>
      <c r="N75" s="1648">
        <f t="shared" si="16"/>
        <v>0</v>
      </c>
      <c r="O75" s="1648">
        <f t="shared" si="17"/>
        <v>0</v>
      </c>
      <c r="P75" s="1648">
        <f t="shared" si="18"/>
        <v>0</v>
      </c>
      <c r="Q75" s="1648">
        <f t="shared" si="19"/>
        <v>0</v>
      </c>
      <c r="R75" s="55">
        <f t="shared" si="20"/>
        <v>0</v>
      </c>
      <c r="S75" s="55">
        <f t="shared" si="21"/>
        <v>0</v>
      </c>
    </row>
    <row r="76" spans="1:19" ht="25.5" hidden="1" customHeight="1">
      <c r="A76" s="1854"/>
      <c r="B76" s="1648">
        <f t="shared" si="11"/>
        <v>0</v>
      </c>
      <c r="C76" s="1863" t="s">
        <v>5348</v>
      </c>
      <c r="D76" s="1649">
        <f>ROUND(Data!K829,2)</f>
        <v>10348.68</v>
      </c>
      <c r="E76" s="1687" t="s">
        <v>5296</v>
      </c>
      <c r="F76" s="1649"/>
      <c r="G76" s="1648">
        <f t="shared" si="12"/>
        <v>0</v>
      </c>
      <c r="H76" s="1648"/>
      <c r="I76" s="1648">
        <f t="shared" si="13"/>
        <v>0</v>
      </c>
      <c r="J76" s="1648"/>
      <c r="K76" s="1648">
        <f t="shared" si="14"/>
        <v>0</v>
      </c>
      <c r="L76" s="1648"/>
      <c r="M76" s="1648">
        <f t="shared" si="15"/>
        <v>0</v>
      </c>
      <c r="N76" s="1648">
        <f t="shared" si="16"/>
        <v>0</v>
      </c>
      <c r="O76" s="1648">
        <f t="shared" si="17"/>
        <v>0</v>
      </c>
      <c r="P76" s="1648">
        <f t="shared" si="18"/>
        <v>0</v>
      </c>
      <c r="Q76" s="1648">
        <f t="shared" si="19"/>
        <v>0</v>
      </c>
      <c r="R76" s="55">
        <f t="shared" si="20"/>
        <v>0</v>
      </c>
      <c r="S76" s="55">
        <f t="shared" si="21"/>
        <v>0</v>
      </c>
    </row>
    <row r="77" spans="1:19" ht="25.5" hidden="1" customHeight="1">
      <c r="A77" s="1854"/>
      <c r="B77" s="1648">
        <f t="shared" si="11"/>
        <v>0</v>
      </c>
      <c r="C77" s="1863" t="s">
        <v>5349</v>
      </c>
      <c r="D77" s="1649">
        <f>ROUND(Data!K830,2)</f>
        <v>10594.86</v>
      </c>
      <c r="E77" s="1687" t="s">
        <v>5296</v>
      </c>
      <c r="F77" s="1649"/>
      <c r="G77" s="1648">
        <f t="shared" si="12"/>
        <v>0</v>
      </c>
      <c r="H77" s="1648"/>
      <c r="I77" s="1648">
        <f t="shared" si="13"/>
        <v>0</v>
      </c>
      <c r="J77" s="1648"/>
      <c r="K77" s="1648">
        <f t="shared" si="14"/>
        <v>0</v>
      </c>
      <c r="L77" s="1648"/>
      <c r="M77" s="1648">
        <f t="shared" si="15"/>
        <v>0</v>
      </c>
      <c r="N77" s="1648">
        <f t="shared" si="16"/>
        <v>0</v>
      </c>
      <c r="O77" s="1648">
        <f t="shared" si="17"/>
        <v>0</v>
      </c>
      <c r="P77" s="1648">
        <f t="shared" si="18"/>
        <v>0</v>
      </c>
      <c r="Q77" s="1648">
        <f t="shared" si="19"/>
        <v>0</v>
      </c>
      <c r="R77" s="55">
        <f t="shared" si="20"/>
        <v>0</v>
      </c>
      <c r="S77" s="55">
        <f t="shared" si="21"/>
        <v>0</v>
      </c>
    </row>
    <row r="78" spans="1:19" ht="25.5" hidden="1" customHeight="1">
      <c r="A78" s="1854"/>
      <c r="B78" s="1648">
        <f t="shared" si="11"/>
        <v>0</v>
      </c>
      <c r="C78" s="1863" t="s">
        <v>5350</v>
      </c>
      <c r="D78" s="1649">
        <f>ROUND(Data!K831,2)</f>
        <v>10841.04</v>
      </c>
      <c r="E78" s="1687" t="s">
        <v>5296</v>
      </c>
      <c r="F78" s="1649"/>
      <c r="G78" s="1648">
        <f t="shared" si="12"/>
        <v>0</v>
      </c>
      <c r="H78" s="1648"/>
      <c r="I78" s="1648">
        <f t="shared" si="13"/>
        <v>0</v>
      </c>
      <c r="J78" s="1648"/>
      <c r="K78" s="1648">
        <f t="shared" si="14"/>
        <v>0</v>
      </c>
      <c r="L78" s="1648"/>
      <c r="M78" s="1648">
        <f t="shared" si="15"/>
        <v>0</v>
      </c>
      <c r="N78" s="1648">
        <f t="shared" si="16"/>
        <v>0</v>
      </c>
      <c r="O78" s="1648">
        <f t="shared" si="17"/>
        <v>0</v>
      </c>
      <c r="P78" s="1648">
        <f t="shared" si="18"/>
        <v>0</v>
      </c>
      <c r="Q78" s="1648">
        <f t="shared" si="19"/>
        <v>0</v>
      </c>
      <c r="R78" s="55">
        <f t="shared" si="20"/>
        <v>0</v>
      </c>
      <c r="S78" s="55">
        <f t="shared" si="21"/>
        <v>0</v>
      </c>
    </row>
    <row r="79" spans="1:19" ht="25.5" hidden="1" customHeight="1">
      <c r="A79" s="1854"/>
      <c r="B79" s="1648">
        <f t="shared" si="11"/>
        <v>0</v>
      </c>
      <c r="C79" s="1863" t="s">
        <v>5351</v>
      </c>
      <c r="D79" s="1649">
        <f>ROUND(Data!K832,2)</f>
        <v>11087.22</v>
      </c>
      <c r="E79" s="1687" t="s">
        <v>5296</v>
      </c>
      <c r="F79" s="1649"/>
      <c r="G79" s="1648">
        <f t="shared" si="12"/>
        <v>0</v>
      </c>
      <c r="H79" s="1648"/>
      <c r="I79" s="1648">
        <f t="shared" si="13"/>
        <v>0</v>
      </c>
      <c r="J79" s="1648"/>
      <c r="K79" s="1648">
        <f t="shared" si="14"/>
        <v>0</v>
      </c>
      <c r="L79" s="1648"/>
      <c r="M79" s="1648">
        <f t="shared" si="15"/>
        <v>0</v>
      </c>
      <c r="N79" s="1648">
        <f t="shared" si="16"/>
        <v>0</v>
      </c>
      <c r="O79" s="1648">
        <f t="shared" si="17"/>
        <v>0</v>
      </c>
      <c r="P79" s="1648">
        <f t="shared" si="18"/>
        <v>0</v>
      </c>
      <c r="Q79" s="1648">
        <f t="shared" si="19"/>
        <v>0</v>
      </c>
      <c r="R79" s="55">
        <f t="shared" si="20"/>
        <v>0</v>
      </c>
      <c r="S79" s="55">
        <f t="shared" si="21"/>
        <v>0</v>
      </c>
    </row>
    <row r="80" spans="1:19" ht="25.5" hidden="1" customHeight="1">
      <c r="A80" s="1854"/>
      <c r="B80" s="1648">
        <f t="shared" si="11"/>
        <v>0</v>
      </c>
      <c r="C80" s="1863" t="s">
        <v>5352</v>
      </c>
      <c r="D80" s="1649">
        <f>ROUND(Data!K833,2)</f>
        <v>11333.4</v>
      </c>
      <c r="E80" s="1687" t="s">
        <v>5296</v>
      </c>
      <c r="F80" s="1649"/>
      <c r="G80" s="1648">
        <f t="shared" si="12"/>
        <v>0</v>
      </c>
      <c r="H80" s="1648"/>
      <c r="I80" s="1648">
        <f t="shared" si="13"/>
        <v>0</v>
      </c>
      <c r="J80" s="1648"/>
      <c r="K80" s="1648">
        <f t="shared" si="14"/>
        <v>0</v>
      </c>
      <c r="L80" s="1648"/>
      <c r="M80" s="1648">
        <f t="shared" si="15"/>
        <v>0</v>
      </c>
      <c r="N80" s="1648">
        <f t="shared" si="16"/>
        <v>0</v>
      </c>
      <c r="O80" s="1648">
        <f t="shared" si="17"/>
        <v>0</v>
      </c>
      <c r="P80" s="1648">
        <f t="shared" si="18"/>
        <v>0</v>
      </c>
      <c r="Q80" s="1648">
        <f t="shared" si="19"/>
        <v>0</v>
      </c>
      <c r="R80" s="55">
        <f t="shared" si="20"/>
        <v>0</v>
      </c>
      <c r="S80" s="55">
        <f t="shared" si="21"/>
        <v>0</v>
      </c>
    </row>
    <row r="81" spans="1:19" ht="25.5" hidden="1" customHeight="1">
      <c r="A81" s="1854"/>
      <c r="B81" s="1648">
        <f t="shared" si="11"/>
        <v>0</v>
      </c>
      <c r="C81" s="1863" t="s">
        <v>5353</v>
      </c>
      <c r="D81" s="1649">
        <f>ROUND(Data!K834,2)</f>
        <v>11579.58</v>
      </c>
      <c r="E81" s="1687" t="s">
        <v>5296</v>
      </c>
      <c r="F81" s="1649"/>
      <c r="G81" s="1648">
        <f t="shared" si="12"/>
        <v>0</v>
      </c>
      <c r="H81" s="1648"/>
      <c r="I81" s="1648">
        <f t="shared" si="13"/>
        <v>0</v>
      </c>
      <c r="J81" s="1648"/>
      <c r="K81" s="1648">
        <f t="shared" si="14"/>
        <v>0</v>
      </c>
      <c r="L81" s="1648"/>
      <c r="M81" s="1648">
        <f t="shared" si="15"/>
        <v>0</v>
      </c>
      <c r="N81" s="1648">
        <f t="shared" si="16"/>
        <v>0</v>
      </c>
      <c r="O81" s="1648">
        <f t="shared" si="17"/>
        <v>0</v>
      </c>
      <c r="P81" s="1648">
        <f t="shared" si="18"/>
        <v>0</v>
      </c>
      <c r="Q81" s="1648">
        <f t="shared" si="19"/>
        <v>0</v>
      </c>
      <c r="R81" s="55">
        <f t="shared" si="20"/>
        <v>0</v>
      </c>
      <c r="S81" s="55">
        <f t="shared" si="21"/>
        <v>0</v>
      </c>
    </row>
    <row r="82" spans="1:19" ht="25.5" hidden="1" customHeight="1">
      <c r="A82" s="1854"/>
      <c r="B82" s="1648">
        <f t="shared" si="11"/>
        <v>0</v>
      </c>
      <c r="C82" s="1863" t="s">
        <v>5354</v>
      </c>
      <c r="D82" s="1649">
        <f>ROUND(Data!K835,2)</f>
        <v>11825.76</v>
      </c>
      <c r="E82" s="1687" t="s">
        <v>5296</v>
      </c>
      <c r="F82" s="1649"/>
      <c r="G82" s="1648">
        <f t="shared" si="12"/>
        <v>0</v>
      </c>
      <c r="H82" s="1648"/>
      <c r="I82" s="1648">
        <f t="shared" si="13"/>
        <v>0</v>
      </c>
      <c r="J82" s="1648"/>
      <c r="K82" s="1648">
        <f t="shared" si="14"/>
        <v>0</v>
      </c>
      <c r="L82" s="1648"/>
      <c r="M82" s="1648">
        <f t="shared" si="15"/>
        <v>0</v>
      </c>
      <c r="N82" s="1648">
        <f t="shared" si="16"/>
        <v>0</v>
      </c>
      <c r="O82" s="1648">
        <f t="shared" si="17"/>
        <v>0</v>
      </c>
      <c r="P82" s="1648">
        <f t="shared" si="18"/>
        <v>0</v>
      </c>
      <c r="Q82" s="1648">
        <f t="shared" si="19"/>
        <v>0</v>
      </c>
      <c r="R82" s="55">
        <f t="shared" si="20"/>
        <v>0</v>
      </c>
      <c r="S82" s="55">
        <f t="shared" si="21"/>
        <v>0</v>
      </c>
    </row>
    <row r="83" spans="1:19" ht="46.5" hidden="1" customHeight="1">
      <c r="A83" s="1854">
        <v>9.1</v>
      </c>
      <c r="B83" s="1648">
        <f t="shared" si="11"/>
        <v>0</v>
      </c>
      <c r="C83" s="1863" t="s">
        <v>5355</v>
      </c>
      <c r="D83" s="1649"/>
      <c r="E83" s="1687"/>
      <c r="F83" s="1649"/>
      <c r="G83" s="1648">
        <f t="shared" si="12"/>
        <v>0</v>
      </c>
      <c r="H83" s="1648"/>
      <c r="I83" s="1648">
        <f t="shared" si="13"/>
        <v>0</v>
      </c>
      <c r="J83" s="1648"/>
      <c r="K83" s="1648">
        <f t="shared" si="14"/>
        <v>0</v>
      </c>
      <c r="L83" s="1648"/>
      <c r="M83" s="1648">
        <f t="shared" si="15"/>
        <v>0</v>
      </c>
      <c r="N83" s="1648">
        <f t="shared" si="16"/>
        <v>0</v>
      </c>
      <c r="O83" s="1648">
        <f t="shared" si="17"/>
        <v>0</v>
      </c>
      <c r="P83" s="1648">
        <f t="shared" si="18"/>
        <v>0</v>
      </c>
      <c r="Q83" s="1648">
        <f t="shared" si="19"/>
        <v>0</v>
      </c>
      <c r="R83" s="55">
        <f t="shared" si="20"/>
        <v>0</v>
      </c>
      <c r="S83" s="55">
        <f t="shared" si="21"/>
        <v>0</v>
      </c>
    </row>
    <row r="84" spans="1:19" ht="25.5" hidden="1" customHeight="1">
      <c r="A84" s="1854"/>
      <c r="B84" s="1648">
        <f t="shared" si="11"/>
        <v>0</v>
      </c>
      <c r="C84" s="1863" t="s">
        <v>3380</v>
      </c>
      <c r="D84" s="1649">
        <f>Data!X347</f>
        <v>7085.26</v>
      </c>
      <c r="E84" s="1687" t="s">
        <v>5296</v>
      </c>
      <c r="F84" s="1649"/>
      <c r="G84" s="1648">
        <f t="shared" si="12"/>
        <v>0</v>
      </c>
      <c r="H84" s="1648"/>
      <c r="I84" s="1648">
        <f t="shared" si="13"/>
        <v>0</v>
      </c>
      <c r="J84" s="1648"/>
      <c r="K84" s="1648">
        <f t="shared" si="14"/>
        <v>0</v>
      </c>
      <c r="L84" s="1648"/>
      <c r="M84" s="1648">
        <f t="shared" si="15"/>
        <v>0</v>
      </c>
      <c r="N84" s="1648">
        <f t="shared" si="16"/>
        <v>0</v>
      </c>
      <c r="O84" s="1648">
        <f t="shared" si="17"/>
        <v>0</v>
      </c>
      <c r="P84" s="1648">
        <f t="shared" si="18"/>
        <v>0</v>
      </c>
      <c r="Q84" s="1648">
        <f t="shared" si="19"/>
        <v>0</v>
      </c>
      <c r="R84" s="55">
        <f t="shared" si="20"/>
        <v>0</v>
      </c>
      <c r="S84" s="55">
        <f t="shared" si="21"/>
        <v>0</v>
      </c>
    </row>
    <row r="85" spans="1:19" ht="25.5" hidden="1" customHeight="1">
      <c r="A85" s="1854"/>
      <c r="B85" s="1648">
        <f t="shared" si="11"/>
        <v>0</v>
      </c>
      <c r="C85" s="1863" t="s">
        <v>4812</v>
      </c>
      <c r="D85" s="1649">
        <f>Data!X348</f>
        <v>7251.25</v>
      </c>
      <c r="E85" s="1687" t="s">
        <v>5296</v>
      </c>
      <c r="F85" s="1649"/>
      <c r="G85" s="1648">
        <f t="shared" si="12"/>
        <v>0</v>
      </c>
      <c r="H85" s="1648"/>
      <c r="I85" s="1648">
        <f t="shared" si="13"/>
        <v>0</v>
      </c>
      <c r="J85" s="1648"/>
      <c r="K85" s="1648">
        <f t="shared" si="14"/>
        <v>0</v>
      </c>
      <c r="L85" s="1648"/>
      <c r="M85" s="1648">
        <f t="shared" si="15"/>
        <v>0</v>
      </c>
      <c r="N85" s="1648">
        <f t="shared" si="16"/>
        <v>0</v>
      </c>
      <c r="O85" s="1648">
        <f t="shared" si="17"/>
        <v>0</v>
      </c>
      <c r="P85" s="1648">
        <f t="shared" si="18"/>
        <v>0</v>
      </c>
      <c r="Q85" s="1648">
        <f t="shared" si="19"/>
        <v>0</v>
      </c>
      <c r="R85" s="55">
        <f t="shared" si="20"/>
        <v>0</v>
      </c>
      <c r="S85" s="55">
        <f t="shared" si="21"/>
        <v>0</v>
      </c>
    </row>
    <row r="86" spans="1:19" ht="25.5" hidden="1" customHeight="1">
      <c r="A86" s="1854"/>
      <c r="B86" s="1648">
        <f t="shared" si="11"/>
        <v>0</v>
      </c>
      <c r="C86" s="1863" t="s">
        <v>5356</v>
      </c>
      <c r="D86" s="1649">
        <f>Data!X349</f>
        <v>7417.24</v>
      </c>
      <c r="E86" s="1687" t="s">
        <v>5296</v>
      </c>
      <c r="F86" s="1649"/>
      <c r="G86" s="1648">
        <f t="shared" si="12"/>
        <v>0</v>
      </c>
      <c r="H86" s="1648"/>
      <c r="I86" s="1648">
        <f t="shared" si="13"/>
        <v>0</v>
      </c>
      <c r="J86" s="1648"/>
      <c r="K86" s="1648">
        <f t="shared" si="14"/>
        <v>0</v>
      </c>
      <c r="L86" s="1648"/>
      <c r="M86" s="1648">
        <f t="shared" si="15"/>
        <v>0</v>
      </c>
      <c r="N86" s="1648">
        <f t="shared" si="16"/>
        <v>0</v>
      </c>
      <c r="O86" s="1648">
        <f t="shared" si="17"/>
        <v>0</v>
      </c>
      <c r="P86" s="1648">
        <f t="shared" si="18"/>
        <v>0</v>
      </c>
      <c r="Q86" s="1648">
        <f t="shared" si="19"/>
        <v>0</v>
      </c>
      <c r="R86" s="55">
        <f t="shared" si="20"/>
        <v>0</v>
      </c>
      <c r="S86" s="55">
        <f t="shared" si="21"/>
        <v>0</v>
      </c>
    </row>
    <row r="87" spans="1:19" ht="25.5" hidden="1" customHeight="1">
      <c r="A87" s="1854"/>
      <c r="B87" s="1648">
        <f t="shared" si="11"/>
        <v>0</v>
      </c>
      <c r="C87" s="1863" t="s">
        <v>5357</v>
      </c>
      <c r="D87" s="1649">
        <f>Data!X350</f>
        <v>7583.23</v>
      </c>
      <c r="E87" s="1687" t="s">
        <v>5296</v>
      </c>
      <c r="F87" s="1649"/>
      <c r="G87" s="1648">
        <f t="shared" si="12"/>
        <v>0</v>
      </c>
      <c r="H87" s="1648"/>
      <c r="I87" s="1648">
        <f t="shared" si="13"/>
        <v>0</v>
      </c>
      <c r="J87" s="1648"/>
      <c r="K87" s="1648">
        <f t="shared" si="14"/>
        <v>0</v>
      </c>
      <c r="L87" s="1648"/>
      <c r="M87" s="1648">
        <f t="shared" si="15"/>
        <v>0</v>
      </c>
      <c r="N87" s="1648">
        <f t="shared" si="16"/>
        <v>0</v>
      </c>
      <c r="O87" s="1648">
        <f t="shared" si="17"/>
        <v>0</v>
      </c>
      <c r="P87" s="1648">
        <f t="shared" si="18"/>
        <v>0</v>
      </c>
      <c r="Q87" s="1648">
        <f t="shared" si="19"/>
        <v>0</v>
      </c>
      <c r="R87" s="55">
        <f t="shared" si="20"/>
        <v>0</v>
      </c>
      <c r="S87" s="55">
        <f t="shared" si="21"/>
        <v>0</v>
      </c>
    </row>
    <row r="88" spans="1:19" ht="25.5" hidden="1" customHeight="1">
      <c r="A88" s="1854"/>
      <c r="B88" s="1648">
        <f t="shared" si="11"/>
        <v>0</v>
      </c>
      <c r="C88" s="1863" t="s">
        <v>5358</v>
      </c>
      <c r="D88" s="1649">
        <f>Data!X351</f>
        <v>7749.22</v>
      </c>
      <c r="E88" s="1687" t="s">
        <v>5296</v>
      </c>
      <c r="F88" s="1649"/>
      <c r="G88" s="1648">
        <f t="shared" si="12"/>
        <v>0</v>
      </c>
      <c r="H88" s="1648"/>
      <c r="I88" s="1648">
        <f t="shared" si="13"/>
        <v>0</v>
      </c>
      <c r="J88" s="1648"/>
      <c r="K88" s="1648">
        <f t="shared" si="14"/>
        <v>0</v>
      </c>
      <c r="L88" s="1648"/>
      <c r="M88" s="1648">
        <f t="shared" si="15"/>
        <v>0</v>
      </c>
      <c r="N88" s="1648">
        <f t="shared" si="16"/>
        <v>0</v>
      </c>
      <c r="O88" s="1648">
        <f t="shared" si="17"/>
        <v>0</v>
      </c>
      <c r="P88" s="1648">
        <f t="shared" si="18"/>
        <v>0</v>
      </c>
      <c r="Q88" s="1648">
        <f t="shared" si="19"/>
        <v>0</v>
      </c>
      <c r="R88" s="55">
        <f t="shared" si="20"/>
        <v>0</v>
      </c>
      <c r="S88" s="55">
        <f t="shared" si="21"/>
        <v>0</v>
      </c>
    </row>
    <row r="89" spans="1:19" ht="48.75" customHeight="1">
      <c r="A89" s="1854">
        <v>9.1999999999999993</v>
      </c>
      <c r="B89" s="1648">
        <f t="shared" si="11"/>
        <v>0</v>
      </c>
      <c r="C89" s="1864" t="s">
        <v>5359</v>
      </c>
      <c r="D89" s="1649"/>
      <c r="E89" s="1687"/>
      <c r="F89" s="1649"/>
      <c r="G89" s="1648">
        <f t="shared" si="12"/>
        <v>0</v>
      </c>
      <c r="H89" s="1648"/>
      <c r="I89" s="1648">
        <f t="shared" si="13"/>
        <v>0</v>
      </c>
      <c r="J89" s="1648"/>
      <c r="K89" s="1648">
        <f t="shared" si="14"/>
        <v>0</v>
      </c>
      <c r="L89" s="1648"/>
      <c r="M89" s="1648">
        <f t="shared" si="15"/>
        <v>0</v>
      </c>
      <c r="N89" s="1648">
        <f t="shared" si="16"/>
        <v>0</v>
      </c>
      <c r="O89" s="1648">
        <f t="shared" si="17"/>
        <v>0</v>
      </c>
      <c r="P89" s="1648">
        <f t="shared" si="18"/>
        <v>0</v>
      </c>
      <c r="Q89" s="1648">
        <f t="shared" si="19"/>
        <v>0</v>
      </c>
      <c r="R89" s="55">
        <f t="shared" si="20"/>
        <v>0</v>
      </c>
      <c r="S89" s="55">
        <f t="shared" si="21"/>
        <v>0</v>
      </c>
    </row>
    <row r="90" spans="1:19" ht="32.25" customHeight="1">
      <c r="A90" s="1854"/>
      <c r="B90" s="1648">
        <f t="shared" si="11"/>
        <v>42</v>
      </c>
      <c r="C90" s="1863" t="s">
        <v>5360</v>
      </c>
      <c r="D90" s="1649">
        <f>ROUND(Data!AG347,2)</f>
        <v>6764.22</v>
      </c>
      <c r="E90" s="1687" t="s">
        <v>5296</v>
      </c>
      <c r="F90" s="1649">
        <f>'Detail '!I482</f>
        <v>42</v>
      </c>
      <c r="G90" s="1648">
        <f t="shared" si="12"/>
        <v>284097.24</v>
      </c>
      <c r="H90" s="1648"/>
      <c r="I90" s="1648">
        <f t="shared" si="13"/>
        <v>0</v>
      </c>
      <c r="J90" s="1648"/>
      <c r="K90" s="1648">
        <f t="shared" si="14"/>
        <v>0</v>
      </c>
      <c r="L90" s="1648"/>
      <c r="M90" s="1648">
        <f t="shared" si="15"/>
        <v>0</v>
      </c>
      <c r="N90" s="1648">
        <f t="shared" si="16"/>
        <v>0</v>
      </c>
      <c r="O90" s="1648">
        <f t="shared" si="17"/>
        <v>0</v>
      </c>
      <c r="P90" s="1648">
        <f t="shared" si="18"/>
        <v>42</v>
      </c>
      <c r="Q90" s="1648">
        <f t="shared" si="19"/>
        <v>284097.24</v>
      </c>
      <c r="R90" s="55">
        <f t="shared" si="20"/>
        <v>284097.24</v>
      </c>
      <c r="S90" s="55">
        <f t="shared" si="21"/>
        <v>0</v>
      </c>
    </row>
    <row r="91" spans="1:19" ht="33" customHeight="1">
      <c r="A91" s="1854"/>
      <c r="B91" s="1648">
        <f t="shared" si="11"/>
        <v>95.8</v>
      </c>
      <c r="C91" s="1863" t="s">
        <v>4812</v>
      </c>
      <c r="D91" s="1649">
        <f>ROUND(Data!AG348,2)</f>
        <v>6930.21</v>
      </c>
      <c r="E91" s="1687" t="s">
        <v>5296</v>
      </c>
      <c r="F91" s="1649">
        <f>'Detail '!I526</f>
        <v>95.8</v>
      </c>
      <c r="G91" s="1648">
        <f t="shared" si="12"/>
        <v>663914.12</v>
      </c>
      <c r="H91" s="1648"/>
      <c r="I91" s="1648">
        <f t="shared" si="13"/>
        <v>0</v>
      </c>
      <c r="J91" s="1648"/>
      <c r="K91" s="1648">
        <f t="shared" si="14"/>
        <v>0</v>
      </c>
      <c r="L91" s="1648"/>
      <c r="M91" s="1648">
        <f t="shared" si="15"/>
        <v>0</v>
      </c>
      <c r="N91" s="1648">
        <f t="shared" si="16"/>
        <v>0</v>
      </c>
      <c r="O91" s="1648">
        <f t="shared" si="17"/>
        <v>0</v>
      </c>
      <c r="P91" s="1648">
        <f t="shared" si="18"/>
        <v>95.8</v>
      </c>
      <c r="Q91" s="1648">
        <f t="shared" si="19"/>
        <v>663914.12</v>
      </c>
      <c r="R91" s="55">
        <f t="shared" si="20"/>
        <v>663914.12</v>
      </c>
      <c r="S91" s="55">
        <f t="shared" si="21"/>
        <v>0</v>
      </c>
    </row>
    <row r="92" spans="1:19" ht="34.5" customHeight="1">
      <c r="A92" s="1854"/>
      <c r="B92" s="1648">
        <f t="shared" si="11"/>
        <v>100.4</v>
      </c>
      <c r="C92" s="1863" t="s">
        <v>5356</v>
      </c>
      <c r="D92" s="1649">
        <f>ROUND(Data!AG349,2)</f>
        <v>7096.2</v>
      </c>
      <c r="E92" s="1687" t="s">
        <v>5296</v>
      </c>
      <c r="F92" s="1649">
        <f>'Detail '!I569</f>
        <v>100.4</v>
      </c>
      <c r="G92" s="1648">
        <f t="shared" si="12"/>
        <v>712458.48</v>
      </c>
      <c r="H92" s="1648"/>
      <c r="I92" s="1648">
        <f t="shared" si="13"/>
        <v>0</v>
      </c>
      <c r="J92" s="1648"/>
      <c r="K92" s="1648">
        <f t="shared" si="14"/>
        <v>0</v>
      </c>
      <c r="L92" s="1648"/>
      <c r="M92" s="1648">
        <f t="shared" si="15"/>
        <v>0</v>
      </c>
      <c r="N92" s="1648">
        <f t="shared" si="16"/>
        <v>0</v>
      </c>
      <c r="O92" s="1648">
        <f t="shared" si="17"/>
        <v>0</v>
      </c>
      <c r="P92" s="1648">
        <f t="shared" si="18"/>
        <v>100.4</v>
      </c>
      <c r="Q92" s="1648">
        <f t="shared" si="19"/>
        <v>712458.48</v>
      </c>
      <c r="R92" s="55">
        <f t="shared" si="20"/>
        <v>712458.48</v>
      </c>
      <c r="S92" s="55">
        <f t="shared" si="21"/>
        <v>0</v>
      </c>
    </row>
    <row r="93" spans="1:19" ht="42" customHeight="1">
      <c r="A93" s="1854"/>
      <c r="B93" s="1648">
        <f t="shared" si="11"/>
        <v>99.2</v>
      </c>
      <c r="C93" s="1863" t="s">
        <v>5357</v>
      </c>
      <c r="D93" s="1649">
        <f>ROUND(Data!AG350,2)</f>
        <v>7262.19</v>
      </c>
      <c r="E93" s="1687" t="s">
        <v>5296</v>
      </c>
      <c r="F93" s="1649">
        <f>'Detail '!I620</f>
        <v>99.2</v>
      </c>
      <c r="G93" s="1648">
        <f t="shared" si="12"/>
        <v>720409.25</v>
      </c>
      <c r="H93" s="1648"/>
      <c r="I93" s="1648">
        <f t="shared" si="13"/>
        <v>0</v>
      </c>
      <c r="J93" s="1648"/>
      <c r="K93" s="1648">
        <f t="shared" si="14"/>
        <v>0</v>
      </c>
      <c r="L93" s="1648"/>
      <c r="M93" s="1648">
        <f t="shared" si="15"/>
        <v>0</v>
      </c>
      <c r="N93" s="1648">
        <f t="shared" si="16"/>
        <v>0</v>
      </c>
      <c r="O93" s="1648">
        <f t="shared" si="17"/>
        <v>0</v>
      </c>
      <c r="P93" s="1648">
        <f t="shared" si="18"/>
        <v>99.2</v>
      </c>
      <c r="Q93" s="1648">
        <f t="shared" si="19"/>
        <v>720409.25</v>
      </c>
      <c r="R93" s="55">
        <f t="shared" si="20"/>
        <v>720409.25</v>
      </c>
      <c r="S93" s="55">
        <f t="shared" si="21"/>
        <v>0</v>
      </c>
    </row>
    <row r="94" spans="1:19" ht="40.5" customHeight="1">
      <c r="A94" s="1854"/>
      <c r="B94" s="1648">
        <f t="shared" si="11"/>
        <v>128.9</v>
      </c>
      <c r="C94" s="1863" t="s">
        <v>5358</v>
      </c>
      <c r="D94" s="1649">
        <f>ROUND(Data!AG351,2)</f>
        <v>7428.18</v>
      </c>
      <c r="E94" s="1687" t="s">
        <v>5296</v>
      </c>
      <c r="F94" s="1649">
        <v>128.9</v>
      </c>
      <c r="G94" s="1648">
        <f t="shared" si="12"/>
        <v>957492.4</v>
      </c>
      <c r="H94" s="1648"/>
      <c r="I94" s="1648">
        <f t="shared" si="13"/>
        <v>0</v>
      </c>
      <c r="J94" s="1648"/>
      <c r="K94" s="1648">
        <f t="shared" si="14"/>
        <v>0</v>
      </c>
      <c r="L94" s="1648"/>
      <c r="M94" s="1648">
        <f t="shared" si="15"/>
        <v>0</v>
      </c>
      <c r="N94" s="1648">
        <f t="shared" si="16"/>
        <v>0</v>
      </c>
      <c r="O94" s="1648">
        <f t="shared" si="17"/>
        <v>0</v>
      </c>
      <c r="P94" s="1648">
        <f t="shared" si="18"/>
        <v>128.9</v>
      </c>
      <c r="Q94" s="1648">
        <f t="shared" si="19"/>
        <v>957492.4</v>
      </c>
      <c r="R94" s="55">
        <f t="shared" si="20"/>
        <v>957492.4</v>
      </c>
      <c r="S94" s="55">
        <f t="shared" si="21"/>
        <v>0</v>
      </c>
    </row>
    <row r="95" spans="1:19" ht="40.5" customHeight="1">
      <c r="A95" s="1854"/>
      <c r="B95" s="1648">
        <f t="shared" si="11"/>
        <v>11.4</v>
      </c>
      <c r="C95" s="1863" t="s">
        <v>5347</v>
      </c>
      <c r="D95" s="1649">
        <f>ROUND(Data!AG352,2)</f>
        <v>7594.17</v>
      </c>
      <c r="E95" s="1687" t="s">
        <v>5296</v>
      </c>
      <c r="F95" s="1649">
        <f>'Detail '!I684</f>
        <v>11.4</v>
      </c>
      <c r="G95" s="1648">
        <f t="shared" si="12"/>
        <v>86573.54</v>
      </c>
      <c r="H95" s="1648"/>
      <c r="I95" s="1648">
        <f t="shared" si="13"/>
        <v>0</v>
      </c>
      <c r="J95" s="1648"/>
      <c r="K95" s="1648">
        <f t="shared" si="14"/>
        <v>0</v>
      </c>
      <c r="L95" s="1648"/>
      <c r="M95" s="1648">
        <f t="shared" si="15"/>
        <v>0</v>
      </c>
      <c r="N95" s="1648">
        <f t="shared" si="16"/>
        <v>0</v>
      </c>
      <c r="O95" s="1648">
        <f t="shared" si="17"/>
        <v>0</v>
      </c>
      <c r="P95" s="1648">
        <f t="shared" si="18"/>
        <v>11.4</v>
      </c>
      <c r="Q95" s="1648">
        <f t="shared" si="19"/>
        <v>86573.54</v>
      </c>
      <c r="R95" s="55">
        <f t="shared" si="20"/>
        <v>86573.54</v>
      </c>
      <c r="S95" s="55">
        <f t="shared" si="21"/>
        <v>0</v>
      </c>
    </row>
    <row r="96" spans="1:19" ht="40.5" hidden="1" customHeight="1">
      <c r="A96" s="1854"/>
      <c r="B96" s="1648">
        <f t="shared" si="11"/>
        <v>0</v>
      </c>
      <c r="C96" s="1863" t="s">
        <v>5348</v>
      </c>
      <c r="D96" s="1649">
        <f>ROUND(Data!AG353,2)</f>
        <v>7760.16</v>
      </c>
      <c r="E96" s="1687" t="s">
        <v>5296</v>
      </c>
      <c r="F96" s="1649"/>
      <c r="G96" s="1648">
        <f t="shared" si="12"/>
        <v>0</v>
      </c>
      <c r="H96" s="1648"/>
      <c r="I96" s="1648">
        <f t="shared" si="13"/>
        <v>0</v>
      </c>
      <c r="J96" s="1648"/>
      <c r="K96" s="1648">
        <f t="shared" si="14"/>
        <v>0</v>
      </c>
      <c r="L96" s="1648"/>
      <c r="M96" s="1648">
        <f t="shared" si="15"/>
        <v>0</v>
      </c>
      <c r="N96" s="1648">
        <f t="shared" si="16"/>
        <v>0</v>
      </c>
      <c r="O96" s="1648">
        <f t="shared" si="17"/>
        <v>0</v>
      </c>
      <c r="P96" s="1648">
        <f t="shared" si="18"/>
        <v>0</v>
      </c>
      <c r="Q96" s="1648">
        <f t="shared" si="19"/>
        <v>0</v>
      </c>
      <c r="R96" s="55">
        <f t="shared" si="20"/>
        <v>0</v>
      </c>
      <c r="S96" s="55">
        <f t="shared" si="21"/>
        <v>0</v>
      </c>
    </row>
    <row r="97" spans="1:19" ht="40.5" hidden="1" customHeight="1">
      <c r="A97" s="1854"/>
      <c r="B97" s="1648">
        <f t="shared" si="11"/>
        <v>0</v>
      </c>
      <c r="C97" s="1863" t="s">
        <v>5349</v>
      </c>
      <c r="D97" s="1649">
        <f>ROUND(Data!AG354,2)</f>
        <v>7926.15</v>
      </c>
      <c r="E97" s="1687" t="s">
        <v>5296</v>
      </c>
      <c r="F97" s="1649"/>
      <c r="G97" s="1648">
        <f t="shared" si="12"/>
        <v>0</v>
      </c>
      <c r="H97" s="1648"/>
      <c r="I97" s="1648">
        <f t="shared" si="13"/>
        <v>0</v>
      </c>
      <c r="J97" s="1648"/>
      <c r="K97" s="1648">
        <f t="shared" si="14"/>
        <v>0</v>
      </c>
      <c r="L97" s="1648"/>
      <c r="M97" s="1648">
        <f t="shared" si="15"/>
        <v>0</v>
      </c>
      <c r="N97" s="1648">
        <f t="shared" si="16"/>
        <v>0</v>
      </c>
      <c r="O97" s="1648">
        <f t="shared" si="17"/>
        <v>0</v>
      </c>
      <c r="P97" s="1648">
        <f t="shared" si="18"/>
        <v>0</v>
      </c>
      <c r="Q97" s="1648">
        <f t="shared" si="19"/>
        <v>0</v>
      </c>
      <c r="R97" s="55">
        <f t="shared" si="20"/>
        <v>0</v>
      </c>
      <c r="S97" s="55">
        <f t="shared" si="21"/>
        <v>0</v>
      </c>
    </row>
    <row r="98" spans="1:19" ht="40.5" hidden="1" customHeight="1">
      <c r="A98" s="1854"/>
      <c r="B98" s="1648">
        <f t="shared" si="11"/>
        <v>0</v>
      </c>
      <c r="C98" s="1863" t="s">
        <v>5350</v>
      </c>
      <c r="D98" s="1649">
        <f>ROUND(Data!AG355,2)</f>
        <v>8092.14</v>
      </c>
      <c r="E98" s="1687" t="s">
        <v>5296</v>
      </c>
      <c r="F98" s="1649"/>
      <c r="G98" s="1648">
        <f t="shared" si="12"/>
        <v>0</v>
      </c>
      <c r="H98" s="1648"/>
      <c r="I98" s="1648">
        <f t="shared" si="13"/>
        <v>0</v>
      </c>
      <c r="J98" s="1648"/>
      <c r="K98" s="1648">
        <f t="shared" si="14"/>
        <v>0</v>
      </c>
      <c r="L98" s="1648"/>
      <c r="M98" s="1648">
        <f t="shared" si="15"/>
        <v>0</v>
      </c>
      <c r="N98" s="1648">
        <f t="shared" si="16"/>
        <v>0</v>
      </c>
      <c r="O98" s="1648">
        <f t="shared" si="17"/>
        <v>0</v>
      </c>
      <c r="P98" s="1648">
        <f t="shared" si="18"/>
        <v>0</v>
      </c>
      <c r="Q98" s="1648">
        <f t="shared" si="19"/>
        <v>0</v>
      </c>
      <c r="R98" s="55">
        <f t="shared" si="20"/>
        <v>0</v>
      </c>
      <c r="S98" s="55">
        <f t="shared" si="21"/>
        <v>0</v>
      </c>
    </row>
    <row r="99" spans="1:19" ht="40.5" hidden="1" customHeight="1">
      <c r="A99" s="1854"/>
      <c r="B99" s="1648">
        <f t="shared" si="11"/>
        <v>0</v>
      </c>
      <c r="C99" s="1863" t="s">
        <v>5351</v>
      </c>
      <c r="D99" s="1649">
        <f>ROUND(Data!AG356,2)</f>
        <v>8258.1299999999992</v>
      </c>
      <c r="E99" s="1687" t="s">
        <v>5296</v>
      </c>
      <c r="F99" s="1649"/>
      <c r="G99" s="1648">
        <f t="shared" si="12"/>
        <v>0</v>
      </c>
      <c r="H99" s="1648"/>
      <c r="I99" s="1648">
        <f t="shared" si="13"/>
        <v>0</v>
      </c>
      <c r="J99" s="1648"/>
      <c r="K99" s="1648">
        <f t="shared" si="14"/>
        <v>0</v>
      </c>
      <c r="L99" s="1648"/>
      <c r="M99" s="1648">
        <f t="shared" si="15"/>
        <v>0</v>
      </c>
      <c r="N99" s="1648">
        <f t="shared" si="16"/>
        <v>0</v>
      </c>
      <c r="O99" s="1648">
        <f t="shared" si="17"/>
        <v>0</v>
      </c>
      <c r="P99" s="1648">
        <f t="shared" si="18"/>
        <v>0</v>
      </c>
      <c r="Q99" s="1648">
        <f t="shared" si="19"/>
        <v>0</v>
      </c>
      <c r="R99" s="55">
        <f t="shared" si="20"/>
        <v>0</v>
      </c>
      <c r="S99" s="55">
        <f t="shared" si="21"/>
        <v>0</v>
      </c>
    </row>
    <row r="100" spans="1:19" ht="40.5" hidden="1" customHeight="1">
      <c r="A100" s="1854"/>
      <c r="B100" s="1648">
        <f t="shared" si="11"/>
        <v>0</v>
      </c>
      <c r="C100" s="1863" t="s">
        <v>5352</v>
      </c>
      <c r="D100" s="1649">
        <f>ROUND(Data!AG357,2)</f>
        <v>8424.1200000000008</v>
      </c>
      <c r="E100" s="1687" t="s">
        <v>5296</v>
      </c>
      <c r="F100" s="1649"/>
      <c r="G100" s="1648">
        <f t="shared" si="12"/>
        <v>0</v>
      </c>
      <c r="H100" s="1648"/>
      <c r="I100" s="1648">
        <f t="shared" si="13"/>
        <v>0</v>
      </c>
      <c r="J100" s="1648"/>
      <c r="K100" s="1648">
        <f t="shared" si="14"/>
        <v>0</v>
      </c>
      <c r="L100" s="1648"/>
      <c r="M100" s="1648">
        <f t="shared" si="15"/>
        <v>0</v>
      </c>
      <c r="N100" s="1648">
        <f t="shared" si="16"/>
        <v>0</v>
      </c>
      <c r="O100" s="1648">
        <f t="shared" si="17"/>
        <v>0</v>
      </c>
      <c r="P100" s="1648">
        <f t="shared" si="18"/>
        <v>0</v>
      </c>
      <c r="Q100" s="1648">
        <f t="shared" si="19"/>
        <v>0</v>
      </c>
      <c r="R100" s="55">
        <f t="shared" si="20"/>
        <v>0</v>
      </c>
      <c r="S100" s="55">
        <f t="shared" si="21"/>
        <v>0</v>
      </c>
    </row>
    <row r="101" spans="1:19" ht="40.5" hidden="1" customHeight="1">
      <c r="A101" s="1854"/>
      <c r="B101" s="1648">
        <f t="shared" si="11"/>
        <v>0</v>
      </c>
      <c r="C101" s="1863" t="s">
        <v>5353</v>
      </c>
      <c r="D101" s="1649">
        <f>ROUND(Data!AG358,2)</f>
        <v>8590.11</v>
      </c>
      <c r="E101" s="1687" t="s">
        <v>5296</v>
      </c>
      <c r="F101" s="1649"/>
      <c r="G101" s="1648">
        <f t="shared" si="12"/>
        <v>0</v>
      </c>
      <c r="H101" s="1648"/>
      <c r="I101" s="1648">
        <f t="shared" si="13"/>
        <v>0</v>
      </c>
      <c r="J101" s="1648"/>
      <c r="K101" s="1648">
        <f t="shared" si="14"/>
        <v>0</v>
      </c>
      <c r="L101" s="1648"/>
      <c r="M101" s="1648">
        <f t="shared" si="15"/>
        <v>0</v>
      </c>
      <c r="N101" s="1648">
        <f t="shared" si="16"/>
        <v>0</v>
      </c>
      <c r="O101" s="1648">
        <f t="shared" si="17"/>
        <v>0</v>
      </c>
      <c r="P101" s="1648">
        <f t="shared" si="18"/>
        <v>0</v>
      </c>
      <c r="Q101" s="1648">
        <f t="shared" si="19"/>
        <v>0</v>
      </c>
      <c r="R101" s="55">
        <f t="shared" si="20"/>
        <v>0</v>
      </c>
      <c r="S101" s="55">
        <f t="shared" si="21"/>
        <v>0</v>
      </c>
    </row>
    <row r="102" spans="1:19" ht="40.5" hidden="1" customHeight="1">
      <c r="A102" s="1854"/>
      <c r="B102" s="1648">
        <f t="shared" si="11"/>
        <v>0</v>
      </c>
      <c r="C102" s="1863" t="s">
        <v>5354</v>
      </c>
      <c r="D102" s="1649">
        <f>ROUND(Data!AG359,2)</f>
        <v>8756.1</v>
      </c>
      <c r="E102" s="1687" t="s">
        <v>5296</v>
      </c>
      <c r="F102" s="1649"/>
      <c r="G102" s="1648">
        <f t="shared" si="12"/>
        <v>0</v>
      </c>
      <c r="H102" s="1648"/>
      <c r="I102" s="1648">
        <f t="shared" si="13"/>
        <v>0</v>
      </c>
      <c r="J102" s="1648"/>
      <c r="K102" s="1648">
        <f t="shared" si="14"/>
        <v>0</v>
      </c>
      <c r="L102" s="1648"/>
      <c r="M102" s="1648">
        <f t="shared" si="15"/>
        <v>0</v>
      </c>
      <c r="N102" s="1648">
        <f t="shared" si="16"/>
        <v>0</v>
      </c>
      <c r="O102" s="1648">
        <f t="shared" si="17"/>
        <v>0</v>
      </c>
      <c r="P102" s="1648">
        <f t="shared" si="18"/>
        <v>0</v>
      </c>
      <c r="Q102" s="1648">
        <f t="shared" si="19"/>
        <v>0</v>
      </c>
      <c r="R102" s="55">
        <f t="shared" si="20"/>
        <v>0</v>
      </c>
      <c r="S102" s="55">
        <f t="shared" si="21"/>
        <v>0</v>
      </c>
    </row>
    <row r="103" spans="1:19" ht="40.5" hidden="1" customHeight="1">
      <c r="A103" s="1854"/>
      <c r="B103" s="1648">
        <f t="shared" si="11"/>
        <v>0</v>
      </c>
      <c r="C103" s="1863" t="s">
        <v>5361</v>
      </c>
      <c r="D103" s="1649">
        <f>ROUND(Data!AG360,2)</f>
        <v>8922.09</v>
      </c>
      <c r="E103" s="1687" t="s">
        <v>5296</v>
      </c>
      <c r="F103" s="1649"/>
      <c r="G103" s="1648">
        <f t="shared" si="12"/>
        <v>0</v>
      </c>
      <c r="H103" s="1648"/>
      <c r="I103" s="1648">
        <f t="shared" si="13"/>
        <v>0</v>
      </c>
      <c r="J103" s="1648"/>
      <c r="K103" s="1648">
        <f t="shared" si="14"/>
        <v>0</v>
      </c>
      <c r="L103" s="1648"/>
      <c r="M103" s="1648">
        <f t="shared" si="15"/>
        <v>0</v>
      </c>
      <c r="N103" s="1648">
        <f t="shared" si="16"/>
        <v>0</v>
      </c>
      <c r="O103" s="1648">
        <f t="shared" si="17"/>
        <v>0</v>
      </c>
      <c r="P103" s="1648">
        <f t="shared" si="18"/>
        <v>0</v>
      </c>
      <c r="Q103" s="1648">
        <f t="shared" si="19"/>
        <v>0</v>
      </c>
      <c r="R103" s="55">
        <f t="shared" si="20"/>
        <v>0</v>
      </c>
      <c r="S103" s="55">
        <f t="shared" si="21"/>
        <v>0</v>
      </c>
    </row>
    <row r="104" spans="1:19" ht="40.5" hidden="1" customHeight="1">
      <c r="A104" s="1854">
        <v>9.3000000000000007</v>
      </c>
      <c r="B104" s="1648">
        <f t="shared" si="11"/>
        <v>0</v>
      </c>
      <c r="C104" s="1863" t="s">
        <v>5362</v>
      </c>
      <c r="D104" s="1649">
        <f>ROUND(Data!AG361,2)</f>
        <v>0</v>
      </c>
      <c r="E104" s="1687" t="s">
        <v>5296</v>
      </c>
      <c r="F104" s="1649"/>
      <c r="G104" s="1648">
        <f t="shared" si="12"/>
        <v>0</v>
      </c>
      <c r="H104" s="1648"/>
      <c r="I104" s="1648">
        <f t="shared" si="13"/>
        <v>0</v>
      </c>
      <c r="J104" s="1648"/>
      <c r="K104" s="1648">
        <f t="shared" si="14"/>
        <v>0</v>
      </c>
      <c r="L104" s="1648"/>
      <c r="M104" s="1648">
        <f t="shared" si="15"/>
        <v>0</v>
      </c>
      <c r="N104" s="1648">
        <f t="shared" si="16"/>
        <v>0</v>
      </c>
      <c r="O104" s="1648">
        <f t="shared" si="17"/>
        <v>0</v>
      </c>
      <c r="P104" s="1648">
        <f t="shared" si="18"/>
        <v>0</v>
      </c>
      <c r="Q104" s="1648">
        <f t="shared" si="19"/>
        <v>0</v>
      </c>
      <c r="R104" s="55">
        <f t="shared" si="20"/>
        <v>0</v>
      </c>
      <c r="S104" s="55">
        <f t="shared" si="21"/>
        <v>0</v>
      </c>
    </row>
    <row r="105" spans="1:19" ht="40.5" hidden="1" customHeight="1">
      <c r="A105" s="1854"/>
      <c r="B105" s="1648">
        <f t="shared" si="11"/>
        <v>0</v>
      </c>
      <c r="C105" s="1863" t="s">
        <v>3380</v>
      </c>
      <c r="D105" s="1649">
        <f>ROUND(Data!AG362,2)</f>
        <v>0</v>
      </c>
      <c r="E105" s="1687" t="s">
        <v>5296</v>
      </c>
      <c r="F105" s="1649"/>
      <c r="G105" s="1648">
        <f t="shared" si="12"/>
        <v>0</v>
      </c>
      <c r="H105" s="1648"/>
      <c r="I105" s="1648">
        <f t="shared" si="13"/>
        <v>0</v>
      </c>
      <c r="J105" s="1648"/>
      <c r="K105" s="1648">
        <f t="shared" si="14"/>
        <v>0</v>
      </c>
      <c r="L105" s="1648"/>
      <c r="M105" s="1648">
        <f t="shared" si="15"/>
        <v>0</v>
      </c>
      <c r="N105" s="1648">
        <f t="shared" si="16"/>
        <v>0</v>
      </c>
      <c r="O105" s="1648">
        <f t="shared" si="17"/>
        <v>0</v>
      </c>
      <c r="P105" s="1648">
        <f t="shared" si="18"/>
        <v>0</v>
      </c>
      <c r="Q105" s="1648">
        <f t="shared" si="19"/>
        <v>0</v>
      </c>
      <c r="R105" s="55">
        <f t="shared" si="20"/>
        <v>0</v>
      </c>
      <c r="S105" s="55">
        <f t="shared" si="21"/>
        <v>0</v>
      </c>
    </row>
    <row r="106" spans="1:19" ht="40.5" hidden="1" customHeight="1">
      <c r="A106" s="1854"/>
      <c r="B106" s="1648">
        <f t="shared" si="11"/>
        <v>0</v>
      </c>
      <c r="C106" s="1863" t="s">
        <v>4812</v>
      </c>
      <c r="D106" s="1649">
        <f>ROUND(Data!AG363,2)</f>
        <v>0</v>
      </c>
      <c r="E106" s="1687" t="s">
        <v>5296</v>
      </c>
      <c r="F106" s="1649"/>
      <c r="G106" s="1648">
        <f t="shared" si="12"/>
        <v>0</v>
      </c>
      <c r="H106" s="1648"/>
      <c r="I106" s="1648">
        <f t="shared" si="13"/>
        <v>0</v>
      </c>
      <c r="J106" s="1648"/>
      <c r="K106" s="1648">
        <f t="shared" si="14"/>
        <v>0</v>
      </c>
      <c r="L106" s="1648"/>
      <c r="M106" s="1648">
        <f t="shared" si="15"/>
        <v>0</v>
      </c>
      <c r="N106" s="1648">
        <f t="shared" si="16"/>
        <v>0</v>
      </c>
      <c r="O106" s="1648">
        <f t="shared" si="17"/>
        <v>0</v>
      </c>
      <c r="P106" s="1648">
        <f t="shared" si="18"/>
        <v>0</v>
      </c>
      <c r="Q106" s="1648">
        <f t="shared" si="19"/>
        <v>0</v>
      </c>
      <c r="R106" s="55">
        <f t="shared" si="20"/>
        <v>0</v>
      </c>
      <c r="S106" s="55">
        <f t="shared" si="21"/>
        <v>0</v>
      </c>
    </row>
    <row r="107" spans="1:19" ht="40.5" hidden="1" customHeight="1">
      <c r="A107" s="1854"/>
      <c r="B107" s="1648">
        <f t="shared" si="11"/>
        <v>0</v>
      </c>
      <c r="C107" s="1863" t="s">
        <v>5356</v>
      </c>
      <c r="D107" s="1649">
        <f>ROUND(Data!AG364,2)</f>
        <v>29785.15</v>
      </c>
      <c r="E107" s="1687" t="s">
        <v>5296</v>
      </c>
      <c r="F107" s="1649"/>
      <c r="G107" s="1648">
        <f t="shared" si="12"/>
        <v>0</v>
      </c>
      <c r="H107" s="1648"/>
      <c r="I107" s="1648">
        <f t="shared" si="13"/>
        <v>0</v>
      </c>
      <c r="J107" s="1648"/>
      <c r="K107" s="1648">
        <f t="shared" si="14"/>
        <v>0</v>
      </c>
      <c r="L107" s="1648"/>
      <c r="M107" s="1648">
        <f t="shared" si="15"/>
        <v>0</v>
      </c>
      <c r="N107" s="1648">
        <f t="shared" si="16"/>
        <v>0</v>
      </c>
      <c r="O107" s="1648">
        <f t="shared" si="17"/>
        <v>0</v>
      </c>
      <c r="P107" s="1648">
        <f t="shared" si="18"/>
        <v>0</v>
      </c>
      <c r="Q107" s="1648">
        <f t="shared" si="19"/>
        <v>0</v>
      </c>
      <c r="R107" s="55">
        <f t="shared" si="20"/>
        <v>0</v>
      </c>
      <c r="S107" s="55">
        <f t="shared" si="21"/>
        <v>0</v>
      </c>
    </row>
    <row r="108" spans="1:19" ht="40.5" hidden="1" customHeight="1">
      <c r="A108" s="1854"/>
      <c r="B108" s="1648">
        <f t="shared" si="11"/>
        <v>0</v>
      </c>
      <c r="C108" s="1863" t="s">
        <v>5357</v>
      </c>
      <c r="D108" s="1649">
        <f>ROUND(Data!AG365,2)</f>
        <v>7875.64</v>
      </c>
      <c r="E108" s="1687" t="s">
        <v>5296</v>
      </c>
      <c r="F108" s="1649"/>
      <c r="G108" s="1648">
        <f t="shared" si="12"/>
        <v>0</v>
      </c>
      <c r="H108" s="1648"/>
      <c r="I108" s="1648">
        <f t="shared" si="13"/>
        <v>0</v>
      </c>
      <c r="J108" s="1648"/>
      <c r="K108" s="1648">
        <f t="shared" si="14"/>
        <v>0</v>
      </c>
      <c r="L108" s="1648"/>
      <c r="M108" s="1648">
        <f t="shared" si="15"/>
        <v>0</v>
      </c>
      <c r="N108" s="1648">
        <f t="shared" si="16"/>
        <v>0</v>
      </c>
      <c r="O108" s="1648">
        <f t="shared" si="17"/>
        <v>0</v>
      </c>
      <c r="P108" s="1648">
        <f t="shared" si="18"/>
        <v>0</v>
      </c>
      <c r="Q108" s="1648">
        <f t="shared" si="19"/>
        <v>0</v>
      </c>
      <c r="R108" s="55">
        <f t="shared" si="20"/>
        <v>0</v>
      </c>
      <c r="S108" s="55">
        <f t="shared" si="21"/>
        <v>0</v>
      </c>
    </row>
    <row r="109" spans="1:19" ht="40.5" hidden="1" customHeight="1">
      <c r="A109" s="1856"/>
      <c r="B109" s="1648">
        <f t="shared" si="11"/>
        <v>0</v>
      </c>
      <c r="C109" s="1863" t="s">
        <v>5358</v>
      </c>
      <c r="D109" s="1649">
        <f>ROUND(Data!AG366,2)</f>
        <v>3645.95</v>
      </c>
      <c r="E109" s="1687" t="s">
        <v>5296</v>
      </c>
      <c r="F109" s="1649"/>
      <c r="G109" s="1648">
        <f t="shared" si="12"/>
        <v>0</v>
      </c>
      <c r="H109" s="1648"/>
      <c r="I109" s="1648">
        <f t="shared" si="13"/>
        <v>0</v>
      </c>
      <c r="J109" s="1648"/>
      <c r="K109" s="1648">
        <f t="shared" si="14"/>
        <v>0</v>
      </c>
      <c r="L109" s="1648"/>
      <c r="M109" s="1648">
        <f t="shared" si="15"/>
        <v>0</v>
      </c>
      <c r="N109" s="1648">
        <f t="shared" si="16"/>
        <v>0</v>
      </c>
      <c r="O109" s="1648">
        <f t="shared" si="17"/>
        <v>0</v>
      </c>
      <c r="P109" s="1648">
        <f t="shared" si="18"/>
        <v>0</v>
      </c>
      <c r="Q109" s="1648">
        <f t="shared" si="19"/>
        <v>0</v>
      </c>
      <c r="R109" s="55">
        <f t="shared" si="20"/>
        <v>0</v>
      </c>
      <c r="S109" s="55">
        <f t="shared" si="21"/>
        <v>0</v>
      </c>
    </row>
    <row r="110" spans="1:19" ht="40.5" hidden="1" customHeight="1">
      <c r="A110" s="1854">
        <v>9.4</v>
      </c>
      <c r="B110" s="1648">
        <f t="shared" si="11"/>
        <v>0</v>
      </c>
      <c r="C110" s="1863" t="s">
        <v>5363</v>
      </c>
      <c r="D110" s="1649">
        <f>ROUND(Data!AG367,2)</f>
        <v>10307.44</v>
      </c>
      <c r="E110" s="1687" t="s">
        <v>5296</v>
      </c>
      <c r="F110" s="1649"/>
      <c r="G110" s="1648">
        <f t="shared" si="12"/>
        <v>0</v>
      </c>
      <c r="H110" s="1648"/>
      <c r="I110" s="1648">
        <f t="shared" si="13"/>
        <v>0</v>
      </c>
      <c r="J110" s="1648"/>
      <c r="K110" s="1648">
        <f t="shared" si="14"/>
        <v>0</v>
      </c>
      <c r="L110" s="1648"/>
      <c r="M110" s="1648">
        <f t="shared" si="15"/>
        <v>0</v>
      </c>
      <c r="N110" s="1648">
        <f t="shared" si="16"/>
        <v>0</v>
      </c>
      <c r="O110" s="1648">
        <f t="shared" si="17"/>
        <v>0</v>
      </c>
      <c r="P110" s="1648">
        <f t="shared" si="18"/>
        <v>0</v>
      </c>
      <c r="Q110" s="1648">
        <f t="shared" si="19"/>
        <v>0</v>
      </c>
      <c r="R110" s="55">
        <f t="shared" si="20"/>
        <v>0</v>
      </c>
      <c r="S110" s="55">
        <f t="shared" si="21"/>
        <v>0</v>
      </c>
    </row>
    <row r="111" spans="1:19" ht="40.5" hidden="1" customHeight="1">
      <c r="A111" s="1854"/>
      <c r="B111" s="1648">
        <f t="shared" si="11"/>
        <v>0</v>
      </c>
      <c r="C111" s="1863" t="s">
        <v>3380</v>
      </c>
      <c r="D111" s="1649">
        <f>ROUND(Data!AG368,2)</f>
        <v>4826.58</v>
      </c>
      <c r="E111" s="1687" t="s">
        <v>5296</v>
      </c>
      <c r="F111" s="1649"/>
      <c r="G111" s="1648">
        <f t="shared" si="12"/>
        <v>0</v>
      </c>
      <c r="H111" s="1648"/>
      <c r="I111" s="1648">
        <f t="shared" si="13"/>
        <v>0</v>
      </c>
      <c r="J111" s="1648"/>
      <c r="K111" s="1648">
        <f t="shared" si="14"/>
        <v>0</v>
      </c>
      <c r="L111" s="1648"/>
      <c r="M111" s="1648">
        <f t="shared" si="15"/>
        <v>0</v>
      </c>
      <c r="N111" s="1648">
        <f t="shared" si="16"/>
        <v>0</v>
      </c>
      <c r="O111" s="1648">
        <f t="shared" si="17"/>
        <v>0</v>
      </c>
      <c r="P111" s="1648">
        <f t="shared" si="18"/>
        <v>0</v>
      </c>
      <c r="Q111" s="1648">
        <f t="shared" si="19"/>
        <v>0</v>
      </c>
      <c r="R111" s="55">
        <f t="shared" si="20"/>
        <v>0</v>
      </c>
      <c r="S111" s="55">
        <f t="shared" si="21"/>
        <v>0</v>
      </c>
    </row>
    <row r="112" spans="1:19" ht="40.5" hidden="1" customHeight="1">
      <c r="A112" s="1854"/>
      <c r="B112" s="1648">
        <f t="shared" si="11"/>
        <v>0</v>
      </c>
      <c r="C112" s="1863" t="s">
        <v>4812</v>
      </c>
      <c r="D112" s="1649">
        <f>ROUND(Data!AG369,2)</f>
        <v>11823.24</v>
      </c>
      <c r="E112" s="1687" t="s">
        <v>5296</v>
      </c>
      <c r="F112" s="1649"/>
      <c r="G112" s="1648">
        <f t="shared" si="12"/>
        <v>0</v>
      </c>
      <c r="H112" s="1648"/>
      <c r="I112" s="1648">
        <f t="shared" si="13"/>
        <v>0</v>
      </c>
      <c r="J112" s="1648"/>
      <c r="K112" s="1648">
        <f t="shared" si="14"/>
        <v>0</v>
      </c>
      <c r="L112" s="1648"/>
      <c r="M112" s="1648">
        <f t="shared" si="15"/>
        <v>0</v>
      </c>
      <c r="N112" s="1648">
        <f t="shared" si="16"/>
        <v>0</v>
      </c>
      <c r="O112" s="1648">
        <f t="shared" si="17"/>
        <v>0</v>
      </c>
      <c r="P112" s="1648">
        <f t="shared" si="18"/>
        <v>0</v>
      </c>
      <c r="Q112" s="1648">
        <f t="shared" si="19"/>
        <v>0</v>
      </c>
      <c r="R112" s="55">
        <f t="shared" si="20"/>
        <v>0</v>
      </c>
      <c r="S112" s="55">
        <f t="shared" si="21"/>
        <v>0</v>
      </c>
    </row>
    <row r="113" spans="1:19" ht="40.5" hidden="1" customHeight="1">
      <c r="A113" s="1854"/>
      <c r="B113" s="1648">
        <f t="shared" si="11"/>
        <v>0</v>
      </c>
      <c r="C113" s="1863" t="s">
        <v>5356</v>
      </c>
      <c r="D113" s="1649">
        <f>ROUND(Data!AG370,2)</f>
        <v>5</v>
      </c>
      <c r="E113" s="1687" t="s">
        <v>5296</v>
      </c>
      <c r="F113" s="1649"/>
      <c r="G113" s="1648">
        <f t="shared" si="12"/>
        <v>0</v>
      </c>
      <c r="H113" s="1648"/>
      <c r="I113" s="1648">
        <f t="shared" si="13"/>
        <v>0</v>
      </c>
      <c r="J113" s="1648"/>
      <c r="K113" s="1648">
        <f t="shared" si="14"/>
        <v>0</v>
      </c>
      <c r="L113" s="1648"/>
      <c r="M113" s="1648">
        <f t="shared" si="15"/>
        <v>0</v>
      </c>
      <c r="N113" s="1648">
        <f t="shared" si="16"/>
        <v>0</v>
      </c>
      <c r="O113" s="1648">
        <f t="shared" si="17"/>
        <v>0</v>
      </c>
      <c r="P113" s="1648">
        <f t="shared" si="18"/>
        <v>0</v>
      </c>
      <c r="Q113" s="1648">
        <f t="shared" si="19"/>
        <v>0</v>
      </c>
      <c r="R113" s="55">
        <f t="shared" si="20"/>
        <v>0</v>
      </c>
      <c r="S113" s="55">
        <f t="shared" si="21"/>
        <v>0</v>
      </c>
    </row>
    <row r="114" spans="1:19" ht="40.5" hidden="1" customHeight="1">
      <c r="A114" s="1854"/>
      <c r="B114" s="1648">
        <f t="shared" si="11"/>
        <v>0</v>
      </c>
      <c r="C114" s="1863" t="s">
        <v>5357</v>
      </c>
      <c r="D114" s="1649"/>
      <c r="E114" s="1687" t="s">
        <v>5296</v>
      </c>
      <c r="F114" s="1649"/>
      <c r="G114" s="1648">
        <f t="shared" si="12"/>
        <v>0</v>
      </c>
      <c r="H114" s="1648"/>
      <c r="I114" s="1648">
        <f t="shared" si="13"/>
        <v>0</v>
      </c>
      <c r="J114" s="1648"/>
      <c r="K114" s="1648">
        <f t="shared" si="14"/>
        <v>0</v>
      </c>
      <c r="L114" s="1648"/>
      <c r="M114" s="1648">
        <f t="shared" si="15"/>
        <v>0</v>
      </c>
      <c r="N114" s="1648">
        <f t="shared" si="16"/>
        <v>0</v>
      </c>
      <c r="O114" s="1648">
        <f t="shared" si="17"/>
        <v>0</v>
      </c>
      <c r="P114" s="1648">
        <f t="shared" si="18"/>
        <v>0</v>
      </c>
      <c r="Q114" s="1648">
        <f t="shared" si="19"/>
        <v>0</v>
      </c>
      <c r="R114" s="55">
        <f t="shared" si="20"/>
        <v>0</v>
      </c>
      <c r="S114" s="55">
        <f t="shared" si="21"/>
        <v>0</v>
      </c>
    </row>
    <row r="115" spans="1:19" ht="40.5" hidden="1" customHeight="1">
      <c r="A115" s="1856"/>
      <c r="B115" s="1648">
        <f t="shared" si="11"/>
        <v>0</v>
      </c>
      <c r="C115" s="1863" t="s">
        <v>5358</v>
      </c>
      <c r="D115" s="1649">
        <f>ROUND(Data!AG372,2)</f>
        <v>68269</v>
      </c>
      <c r="E115" s="1687" t="s">
        <v>5296</v>
      </c>
      <c r="F115" s="1649"/>
      <c r="G115" s="1648">
        <f t="shared" si="12"/>
        <v>0</v>
      </c>
      <c r="H115" s="1648"/>
      <c r="I115" s="1648">
        <f t="shared" si="13"/>
        <v>0</v>
      </c>
      <c r="J115" s="1648"/>
      <c r="K115" s="1648">
        <f t="shared" si="14"/>
        <v>0</v>
      </c>
      <c r="L115" s="1648"/>
      <c r="M115" s="1648">
        <f t="shared" si="15"/>
        <v>0</v>
      </c>
      <c r="N115" s="1648">
        <f t="shared" si="16"/>
        <v>0</v>
      </c>
      <c r="O115" s="1648">
        <f t="shared" si="17"/>
        <v>0</v>
      </c>
      <c r="P115" s="1648">
        <f t="shared" si="18"/>
        <v>0</v>
      </c>
      <c r="Q115" s="1648">
        <f t="shared" si="19"/>
        <v>0</v>
      </c>
      <c r="R115" s="55">
        <f t="shared" si="20"/>
        <v>0</v>
      </c>
      <c r="S115" s="55">
        <f t="shared" si="21"/>
        <v>0</v>
      </c>
    </row>
    <row r="116" spans="1:19" ht="40.5" hidden="1" customHeight="1">
      <c r="A116" s="1854">
        <v>9.5</v>
      </c>
      <c r="B116" s="1648">
        <f t="shared" si="11"/>
        <v>0</v>
      </c>
      <c r="C116" s="1864" t="s">
        <v>5364</v>
      </c>
      <c r="D116" s="1649"/>
      <c r="E116" s="1687" t="s">
        <v>5296</v>
      </c>
      <c r="F116" s="1649"/>
      <c r="G116" s="1648">
        <f t="shared" si="12"/>
        <v>0</v>
      </c>
      <c r="H116" s="1648"/>
      <c r="I116" s="1648">
        <f t="shared" si="13"/>
        <v>0</v>
      </c>
      <c r="J116" s="1648"/>
      <c r="K116" s="1648">
        <f t="shared" si="14"/>
        <v>0</v>
      </c>
      <c r="L116" s="1648"/>
      <c r="M116" s="1648">
        <f t="shared" si="15"/>
        <v>0</v>
      </c>
      <c r="N116" s="1648">
        <f t="shared" si="16"/>
        <v>0</v>
      </c>
      <c r="O116" s="1648">
        <f t="shared" si="17"/>
        <v>0</v>
      </c>
      <c r="P116" s="1648">
        <f t="shared" si="18"/>
        <v>0</v>
      </c>
      <c r="Q116" s="1648">
        <f t="shared" si="19"/>
        <v>0</v>
      </c>
      <c r="R116" s="55">
        <f t="shared" si="20"/>
        <v>0</v>
      </c>
      <c r="S116" s="55">
        <f t="shared" si="21"/>
        <v>0</v>
      </c>
    </row>
    <row r="117" spans="1:19" ht="40.5" hidden="1" customHeight="1">
      <c r="A117" s="1854"/>
      <c r="B117" s="1648">
        <f t="shared" si="11"/>
        <v>0</v>
      </c>
      <c r="C117" s="1863" t="s">
        <v>3380</v>
      </c>
      <c r="D117" s="1649">
        <f>ROUND(Data!AG374,2)</f>
        <v>6826.9</v>
      </c>
      <c r="E117" s="1687" t="s">
        <v>5296</v>
      </c>
      <c r="F117" s="1649"/>
      <c r="G117" s="1648">
        <f t="shared" si="12"/>
        <v>0</v>
      </c>
      <c r="H117" s="1648"/>
      <c r="I117" s="1648">
        <f t="shared" si="13"/>
        <v>0</v>
      </c>
      <c r="J117" s="1648"/>
      <c r="K117" s="1648">
        <f t="shared" si="14"/>
        <v>0</v>
      </c>
      <c r="L117" s="1648"/>
      <c r="M117" s="1648">
        <f t="shared" si="15"/>
        <v>0</v>
      </c>
      <c r="N117" s="1648">
        <f t="shared" si="16"/>
        <v>0</v>
      </c>
      <c r="O117" s="1648">
        <f t="shared" si="17"/>
        <v>0</v>
      </c>
      <c r="P117" s="1648">
        <f t="shared" si="18"/>
        <v>0</v>
      </c>
      <c r="Q117" s="1648">
        <f t="shared" si="19"/>
        <v>0</v>
      </c>
      <c r="R117" s="55">
        <f t="shared" si="20"/>
        <v>0</v>
      </c>
      <c r="S117" s="55">
        <f t="shared" si="21"/>
        <v>0</v>
      </c>
    </row>
    <row r="118" spans="1:19" ht="40.5" hidden="1" customHeight="1">
      <c r="A118" s="1854"/>
      <c r="B118" s="1648">
        <f t="shared" si="11"/>
        <v>0</v>
      </c>
      <c r="C118" s="1863" t="s">
        <v>4812</v>
      </c>
      <c r="D118" s="1649"/>
      <c r="E118" s="1687" t="s">
        <v>5296</v>
      </c>
      <c r="F118" s="1649"/>
      <c r="G118" s="1648">
        <f t="shared" si="12"/>
        <v>0</v>
      </c>
      <c r="H118" s="1648"/>
      <c r="I118" s="1648">
        <f t="shared" si="13"/>
        <v>0</v>
      </c>
      <c r="J118" s="1648"/>
      <c r="K118" s="1648">
        <f t="shared" si="14"/>
        <v>0</v>
      </c>
      <c r="L118" s="1648"/>
      <c r="M118" s="1648">
        <f t="shared" si="15"/>
        <v>0</v>
      </c>
      <c r="N118" s="1648">
        <f t="shared" si="16"/>
        <v>0</v>
      </c>
      <c r="O118" s="1648">
        <f t="shared" si="17"/>
        <v>0</v>
      </c>
      <c r="P118" s="1648">
        <f t="shared" si="18"/>
        <v>0</v>
      </c>
      <c r="Q118" s="1648">
        <f t="shared" si="19"/>
        <v>0</v>
      </c>
      <c r="R118" s="55">
        <f t="shared" si="20"/>
        <v>0</v>
      </c>
      <c r="S118" s="55">
        <f t="shared" si="21"/>
        <v>0</v>
      </c>
    </row>
    <row r="119" spans="1:19" ht="40.5" hidden="1" customHeight="1">
      <c r="A119" s="1854"/>
      <c r="B119" s="1648">
        <f t="shared" si="11"/>
        <v>0</v>
      </c>
      <c r="C119" s="1863" t="s">
        <v>5356</v>
      </c>
      <c r="D119" s="1649">
        <f>ROUND(Data!AG376,2)</f>
        <v>6909.18</v>
      </c>
      <c r="E119" s="1687" t="s">
        <v>5296</v>
      </c>
      <c r="F119" s="1649"/>
      <c r="G119" s="1648">
        <f t="shared" si="12"/>
        <v>0</v>
      </c>
      <c r="H119" s="1648"/>
      <c r="I119" s="1648">
        <f t="shared" si="13"/>
        <v>0</v>
      </c>
      <c r="J119" s="1648"/>
      <c r="K119" s="1648">
        <f t="shared" si="14"/>
        <v>0</v>
      </c>
      <c r="L119" s="1648"/>
      <c r="M119" s="1648">
        <f t="shared" si="15"/>
        <v>0</v>
      </c>
      <c r="N119" s="1648">
        <f t="shared" si="16"/>
        <v>0</v>
      </c>
      <c r="O119" s="1648">
        <f t="shared" si="17"/>
        <v>0</v>
      </c>
      <c r="P119" s="1648">
        <f t="shared" si="18"/>
        <v>0</v>
      </c>
      <c r="Q119" s="1648">
        <f t="shared" si="19"/>
        <v>0</v>
      </c>
      <c r="R119" s="55">
        <f t="shared" si="20"/>
        <v>0</v>
      </c>
      <c r="S119" s="55">
        <f t="shared" si="21"/>
        <v>0</v>
      </c>
    </row>
    <row r="120" spans="1:19" ht="40.5" hidden="1" customHeight="1">
      <c r="A120" s="1854"/>
      <c r="B120" s="1648">
        <f t="shared" si="11"/>
        <v>0</v>
      </c>
      <c r="C120" s="1863" t="s">
        <v>5357</v>
      </c>
      <c r="D120" s="1649">
        <f>ROUND(Data!AG377,2)</f>
        <v>7075.17</v>
      </c>
      <c r="E120" s="1687" t="s">
        <v>5296</v>
      </c>
      <c r="F120" s="1649"/>
      <c r="G120" s="1648">
        <f t="shared" si="12"/>
        <v>0</v>
      </c>
      <c r="H120" s="1648"/>
      <c r="I120" s="1648">
        <f t="shared" si="13"/>
        <v>0</v>
      </c>
      <c r="J120" s="1648"/>
      <c r="K120" s="1648">
        <f t="shared" si="14"/>
        <v>0</v>
      </c>
      <c r="L120" s="1648"/>
      <c r="M120" s="1648">
        <f t="shared" si="15"/>
        <v>0</v>
      </c>
      <c r="N120" s="1648">
        <f t="shared" si="16"/>
        <v>0</v>
      </c>
      <c r="O120" s="1648">
        <f t="shared" si="17"/>
        <v>0</v>
      </c>
      <c r="P120" s="1648">
        <f t="shared" si="18"/>
        <v>0</v>
      </c>
      <c r="Q120" s="1648">
        <f t="shared" si="19"/>
        <v>0</v>
      </c>
      <c r="R120" s="55">
        <f t="shared" si="20"/>
        <v>0</v>
      </c>
      <c r="S120" s="55">
        <f t="shared" si="21"/>
        <v>0</v>
      </c>
    </row>
    <row r="121" spans="1:19" ht="40.5" hidden="1" customHeight="1">
      <c r="A121" s="1855"/>
      <c r="B121" s="1648">
        <f t="shared" si="11"/>
        <v>0</v>
      </c>
      <c r="C121" s="1863" t="s">
        <v>5358</v>
      </c>
      <c r="D121" s="1649">
        <f>ROUND(Data!AG378,2)</f>
        <v>7241.16</v>
      </c>
      <c r="E121" s="1687" t="s">
        <v>5296</v>
      </c>
      <c r="F121" s="1649"/>
      <c r="G121" s="1648">
        <f t="shared" si="12"/>
        <v>0</v>
      </c>
      <c r="H121" s="1648"/>
      <c r="I121" s="1648">
        <f t="shared" si="13"/>
        <v>0</v>
      </c>
      <c r="J121" s="1648"/>
      <c r="K121" s="1648">
        <f t="shared" si="14"/>
        <v>0</v>
      </c>
      <c r="L121" s="1648"/>
      <c r="M121" s="1648">
        <f t="shared" si="15"/>
        <v>0</v>
      </c>
      <c r="N121" s="1648">
        <f t="shared" si="16"/>
        <v>0</v>
      </c>
      <c r="O121" s="1648">
        <f t="shared" si="17"/>
        <v>0</v>
      </c>
      <c r="P121" s="1648">
        <f t="shared" si="18"/>
        <v>0</v>
      </c>
      <c r="Q121" s="1648">
        <f t="shared" si="19"/>
        <v>0</v>
      </c>
      <c r="R121" s="55">
        <f t="shared" si="20"/>
        <v>0</v>
      </c>
      <c r="S121" s="55">
        <f t="shared" si="21"/>
        <v>0</v>
      </c>
    </row>
    <row r="122" spans="1:19" ht="40.5" hidden="1" customHeight="1">
      <c r="A122" s="1854">
        <v>9.6</v>
      </c>
      <c r="B122" s="1648">
        <f t="shared" si="11"/>
        <v>0</v>
      </c>
      <c r="C122" s="1863" t="s">
        <v>5365</v>
      </c>
      <c r="D122" s="1649">
        <f>ROUND(Data!AG379,2)</f>
        <v>7407.15</v>
      </c>
      <c r="E122" s="1687" t="s">
        <v>5296</v>
      </c>
      <c r="F122" s="1649"/>
      <c r="G122" s="1648">
        <f t="shared" si="12"/>
        <v>0</v>
      </c>
      <c r="H122" s="1648"/>
      <c r="I122" s="1648">
        <f t="shared" si="13"/>
        <v>0</v>
      </c>
      <c r="J122" s="1648"/>
      <c r="K122" s="1648">
        <f t="shared" si="14"/>
        <v>0</v>
      </c>
      <c r="L122" s="1648"/>
      <c r="M122" s="1648">
        <f t="shared" si="15"/>
        <v>0</v>
      </c>
      <c r="N122" s="1648">
        <f t="shared" si="16"/>
        <v>0</v>
      </c>
      <c r="O122" s="1648">
        <f t="shared" si="17"/>
        <v>0</v>
      </c>
      <c r="P122" s="1648">
        <f t="shared" si="18"/>
        <v>0</v>
      </c>
      <c r="Q122" s="1648">
        <f t="shared" si="19"/>
        <v>0</v>
      </c>
      <c r="R122" s="55">
        <f t="shared" si="20"/>
        <v>0</v>
      </c>
      <c r="S122" s="55">
        <f t="shared" si="21"/>
        <v>0</v>
      </c>
    </row>
    <row r="123" spans="1:19" ht="40.5" hidden="1" customHeight="1">
      <c r="A123" s="1854"/>
      <c r="B123" s="1648">
        <f t="shared" si="11"/>
        <v>0</v>
      </c>
      <c r="C123" s="1863" t="s">
        <v>3380</v>
      </c>
      <c r="D123" s="1649">
        <f>ROUND(Data!AG380,2)</f>
        <v>7573.14</v>
      </c>
      <c r="E123" s="1687" t="s">
        <v>5296</v>
      </c>
      <c r="F123" s="1649"/>
      <c r="G123" s="1648">
        <f t="shared" si="12"/>
        <v>0</v>
      </c>
      <c r="H123" s="1648"/>
      <c r="I123" s="1648">
        <f t="shared" si="13"/>
        <v>0</v>
      </c>
      <c r="J123" s="1648"/>
      <c r="K123" s="1648">
        <f t="shared" si="14"/>
        <v>0</v>
      </c>
      <c r="L123" s="1648"/>
      <c r="M123" s="1648">
        <f t="shared" si="15"/>
        <v>0</v>
      </c>
      <c r="N123" s="1648">
        <f t="shared" si="16"/>
        <v>0</v>
      </c>
      <c r="O123" s="1648">
        <f t="shared" si="17"/>
        <v>0</v>
      </c>
      <c r="P123" s="1648">
        <f t="shared" si="18"/>
        <v>0</v>
      </c>
      <c r="Q123" s="1648">
        <f t="shared" si="19"/>
        <v>0</v>
      </c>
      <c r="R123" s="55">
        <f t="shared" si="20"/>
        <v>0</v>
      </c>
      <c r="S123" s="55">
        <f t="shared" si="21"/>
        <v>0</v>
      </c>
    </row>
    <row r="124" spans="1:19" ht="40.5" hidden="1" customHeight="1">
      <c r="A124" s="1854"/>
      <c r="B124" s="1648">
        <f t="shared" si="11"/>
        <v>0</v>
      </c>
      <c r="C124" s="1863" t="s">
        <v>4812</v>
      </c>
      <c r="D124" s="1649">
        <f>ROUND(Data!AG381,2)</f>
        <v>7158.17</v>
      </c>
      <c r="E124" s="1687" t="s">
        <v>5296</v>
      </c>
      <c r="F124" s="1649"/>
      <c r="G124" s="1648">
        <f t="shared" si="12"/>
        <v>0</v>
      </c>
      <c r="H124" s="1648"/>
      <c r="I124" s="1648">
        <f t="shared" si="13"/>
        <v>0</v>
      </c>
      <c r="J124" s="1648"/>
      <c r="K124" s="1648">
        <f t="shared" si="14"/>
        <v>0</v>
      </c>
      <c r="L124" s="1648"/>
      <c r="M124" s="1648">
        <f t="shared" si="15"/>
        <v>0</v>
      </c>
      <c r="N124" s="1648">
        <f t="shared" si="16"/>
        <v>0</v>
      </c>
      <c r="O124" s="1648">
        <f t="shared" si="17"/>
        <v>0</v>
      </c>
      <c r="P124" s="1648">
        <f t="shared" si="18"/>
        <v>0</v>
      </c>
      <c r="Q124" s="1648">
        <f t="shared" si="19"/>
        <v>0</v>
      </c>
      <c r="R124" s="55">
        <f t="shared" si="20"/>
        <v>0</v>
      </c>
      <c r="S124" s="55">
        <f t="shared" si="21"/>
        <v>0</v>
      </c>
    </row>
    <row r="125" spans="1:19" ht="40.5" hidden="1" customHeight="1">
      <c r="A125" s="1854"/>
      <c r="B125" s="1648">
        <f t="shared" si="11"/>
        <v>0</v>
      </c>
      <c r="C125" s="1863" t="s">
        <v>5356</v>
      </c>
      <c r="D125" s="1649">
        <f>ROUND(Data!AG382,2)</f>
        <v>0</v>
      </c>
      <c r="E125" s="1687" t="s">
        <v>5296</v>
      </c>
      <c r="F125" s="1649"/>
      <c r="G125" s="1648">
        <f t="shared" si="12"/>
        <v>0</v>
      </c>
      <c r="H125" s="1648"/>
      <c r="I125" s="1648">
        <f t="shared" si="13"/>
        <v>0</v>
      </c>
      <c r="J125" s="1648"/>
      <c r="K125" s="1648">
        <f t="shared" si="14"/>
        <v>0</v>
      </c>
      <c r="L125" s="1648"/>
      <c r="M125" s="1648">
        <f t="shared" si="15"/>
        <v>0</v>
      </c>
      <c r="N125" s="1648">
        <f t="shared" si="16"/>
        <v>0</v>
      </c>
      <c r="O125" s="1648">
        <f t="shared" si="17"/>
        <v>0</v>
      </c>
      <c r="P125" s="1648">
        <f t="shared" si="18"/>
        <v>0</v>
      </c>
      <c r="Q125" s="1648">
        <f t="shared" si="19"/>
        <v>0</v>
      </c>
      <c r="R125" s="55">
        <f t="shared" si="20"/>
        <v>0</v>
      </c>
      <c r="S125" s="55">
        <f t="shared" si="21"/>
        <v>0</v>
      </c>
    </row>
    <row r="126" spans="1:19" ht="40.5" hidden="1" customHeight="1">
      <c r="A126" s="1854"/>
      <c r="B126" s="1648">
        <f t="shared" si="11"/>
        <v>0</v>
      </c>
      <c r="C126" s="1863" t="s">
        <v>5357</v>
      </c>
      <c r="D126" s="1649">
        <f>ROUND(Data!AG383,2)</f>
        <v>0</v>
      </c>
      <c r="E126" s="1687" t="s">
        <v>5296</v>
      </c>
      <c r="F126" s="1649"/>
      <c r="G126" s="1648">
        <f t="shared" si="12"/>
        <v>0</v>
      </c>
      <c r="H126" s="1648"/>
      <c r="I126" s="1648">
        <f t="shared" si="13"/>
        <v>0</v>
      </c>
      <c r="J126" s="1648"/>
      <c r="K126" s="1648">
        <f t="shared" si="14"/>
        <v>0</v>
      </c>
      <c r="L126" s="1648"/>
      <c r="M126" s="1648">
        <f t="shared" si="15"/>
        <v>0</v>
      </c>
      <c r="N126" s="1648">
        <f t="shared" si="16"/>
        <v>0</v>
      </c>
      <c r="O126" s="1648">
        <f t="shared" si="17"/>
        <v>0</v>
      </c>
      <c r="P126" s="1648">
        <f t="shared" si="18"/>
        <v>0</v>
      </c>
      <c r="Q126" s="1648">
        <f t="shared" si="19"/>
        <v>0</v>
      </c>
      <c r="R126" s="55">
        <f t="shared" si="20"/>
        <v>0</v>
      </c>
      <c r="S126" s="55">
        <f t="shared" si="21"/>
        <v>0</v>
      </c>
    </row>
    <row r="127" spans="1:19" ht="40.5" hidden="1" customHeight="1">
      <c r="A127" s="1856"/>
      <c r="B127" s="1648">
        <f t="shared" si="11"/>
        <v>0</v>
      </c>
      <c r="C127" s="1863" t="s">
        <v>5358</v>
      </c>
      <c r="D127" s="1649">
        <f>ROUND(Data!AG384,2)</f>
        <v>0</v>
      </c>
      <c r="E127" s="1687" t="s">
        <v>5296</v>
      </c>
      <c r="F127" s="1649"/>
      <c r="G127" s="1648">
        <f t="shared" si="12"/>
        <v>0</v>
      </c>
      <c r="H127" s="1648"/>
      <c r="I127" s="1648">
        <f t="shared" si="13"/>
        <v>0</v>
      </c>
      <c r="J127" s="1648"/>
      <c r="K127" s="1648">
        <f t="shared" si="14"/>
        <v>0</v>
      </c>
      <c r="L127" s="1648"/>
      <c r="M127" s="1648">
        <f t="shared" si="15"/>
        <v>0</v>
      </c>
      <c r="N127" s="1648">
        <f t="shared" si="16"/>
        <v>0</v>
      </c>
      <c r="O127" s="1648">
        <f t="shared" si="17"/>
        <v>0</v>
      </c>
      <c r="P127" s="1648">
        <f t="shared" si="18"/>
        <v>0</v>
      </c>
      <c r="Q127" s="1648">
        <f t="shared" si="19"/>
        <v>0</v>
      </c>
      <c r="R127" s="55">
        <f t="shared" si="20"/>
        <v>0</v>
      </c>
      <c r="S127" s="55">
        <f t="shared" si="21"/>
        <v>0</v>
      </c>
    </row>
    <row r="128" spans="1:19" ht="40.5" hidden="1" customHeight="1">
      <c r="A128" s="1854">
        <v>10.1</v>
      </c>
      <c r="B128" s="1648">
        <f t="shared" si="11"/>
        <v>0</v>
      </c>
      <c r="C128" s="1864" t="s">
        <v>5366</v>
      </c>
      <c r="D128" s="1649">
        <f>ROUND(Data!AG385,2)</f>
        <v>0</v>
      </c>
      <c r="E128" s="1687" t="s">
        <v>5296</v>
      </c>
      <c r="F128" s="1649"/>
      <c r="G128" s="1648">
        <f t="shared" si="12"/>
        <v>0</v>
      </c>
      <c r="H128" s="1648"/>
      <c r="I128" s="1648">
        <f t="shared" si="13"/>
        <v>0</v>
      </c>
      <c r="J128" s="1648"/>
      <c r="K128" s="1648">
        <f t="shared" si="14"/>
        <v>0</v>
      </c>
      <c r="L128" s="1648"/>
      <c r="M128" s="1648">
        <f t="shared" si="15"/>
        <v>0</v>
      </c>
      <c r="N128" s="1648">
        <f t="shared" si="16"/>
        <v>0</v>
      </c>
      <c r="O128" s="1648">
        <f t="shared" si="17"/>
        <v>0</v>
      </c>
      <c r="P128" s="1648">
        <f t="shared" si="18"/>
        <v>0</v>
      </c>
      <c r="Q128" s="1648">
        <f t="shared" si="19"/>
        <v>0</v>
      </c>
      <c r="R128" s="55">
        <f t="shared" si="20"/>
        <v>0</v>
      </c>
      <c r="S128" s="55">
        <f t="shared" si="21"/>
        <v>0</v>
      </c>
    </row>
    <row r="129" spans="1:19" ht="40.5" hidden="1" customHeight="1">
      <c r="A129" s="1854"/>
      <c r="B129" s="1648">
        <f t="shared" si="11"/>
        <v>0</v>
      </c>
      <c r="C129" s="1863" t="s">
        <v>5367</v>
      </c>
      <c r="D129" s="1649">
        <f>ROUND(Data!AG386,2)</f>
        <v>0</v>
      </c>
      <c r="E129" s="1687" t="s">
        <v>5296</v>
      </c>
      <c r="F129" s="1649"/>
      <c r="G129" s="1648">
        <f t="shared" si="12"/>
        <v>0</v>
      </c>
      <c r="H129" s="1648"/>
      <c r="I129" s="1648">
        <f t="shared" si="13"/>
        <v>0</v>
      </c>
      <c r="J129" s="1648"/>
      <c r="K129" s="1648">
        <f t="shared" si="14"/>
        <v>0</v>
      </c>
      <c r="L129" s="1648"/>
      <c r="M129" s="1648">
        <f t="shared" si="15"/>
        <v>0</v>
      </c>
      <c r="N129" s="1648">
        <f t="shared" si="16"/>
        <v>0</v>
      </c>
      <c r="O129" s="1648">
        <f t="shared" si="17"/>
        <v>0</v>
      </c>
      <c r="P129" s="1648">
        <f t="shared" si="18"/>
        <v>0</v>
      </c>
      <c r="Q129" s="1648">
        <f t="shared" si="19"/>
        <v>0</v>
      </c>
      <c r="R129" s="55">
        <f t="shared" si="20"/>
        <v>0</v>
      </c>
      <c r="S129" s="55">
        <f t="shared" si="21"/>
        <v>0</v>
      </c>
    </row>
    <row r="130" spans="1:19" ht="40.5" hidden="1" customHeight="1">
      <c r="A130" s="1854"/>
      <c r="B130" s="1648">
        <f t="shared" si="11"/>
        <v>0</v>
      </c>
      <c r="C130" s="1863" t="s">
        <v>5368</v>
      </c>
      <c r="D130" s="1649">
        <f>ROUND(Data!AG387,2)</f>
        <v>0</v>
      </c>
      <c r="E130" s="1687" t="s">
        <v>5296</v>
      </c>
      <c r="F130" s="1649"/>
      <c r="G130" s="1648">
        <f t="shared" si="12"/>
        <v>0</v>
      </c>
      <c r="H130" s="1648"/>
      <c r="I130" s="1648">
        <f t="shared" si="13"/>
        <v>0</v>
      </c>
      <c r="J130" s="1648"/>
      <c r="K130" s="1648">
        <f t="shared" si="14"/>
        <v>0</v>
      </c>
      <c r="L130" s="1648"/>
      <c r="M130" s="1648">
        <f t="shared" si="15"/>
        <v>0</v>
      </c>
      <c r="N130" s="1648">
        <f t="shared" si="16"/>
        <v>0</v>
      </c>
      <c r="O130" s="1648">
        <f t="shared" si="17"/>
        <v>0</v>
      </c>
      <c r="P130" s="1648">
        <f t="shared" si="18"/>
        <v>0</v>
      </c>
      <c r="Q130" s="1648">
        <f t="shared" si="19"/>
        <v>0</v>
      </c>
      <c r="R130" s="55">
        <f t="shared" si="20"/>
        <v>0</v>
      </c>
      <c r="S130" s="55">
        <f t="shared" si="21"/>
        <v>0</v>
      </c>
    </row>
    <row r="131" spans="1:19" ht="40.5" hidden="1" customHeight="1">
      <c r="A131" s="1854"/>
      <c r="B131" s="1648">
        <f t="shared" si="11"/>
        <v>0</v>
      </c>
      <c r="C131" s="1863" t="s">
        <v>5369</v>
      </c>
      <c r="D131" s="1649">
        <f>ROUND(Data!AG388,2)</f>
        <v>29785.15</v>
      </c>
      <c r="E131" s="1687" t="s">
        <v>5296</v>
      </c>
      <c r="F131" s="1649"/>
      <c r="G131" s="1648">
        <f t="shared" si="12"/>
        <v>0</v>
      </c>
      <c r="H131" s="1648"/>
      <c r="I131" s="1648">
        <f t="shared" si="13"/>
        <v>0</v>
      </c>
      <c r="J131" s="1648"/>
      <c r="K131" s="1648">
        <f t="shared" si="14"/>
        <v>0</v>
      </c>
      <c r="L131" s="1648"/>
      <c r="M131" s="1648">
        <f t="shared" si="15"/>
        <v>0</v>
      </c>
      <c r="N131" s="1648">
        <f t="shared" si="16"/>
        <v>0</v>
      </c>
      <c r="O131" s="1648">
        <f t="shared" si="17"/>
        <v>0</v>
      </c>
      <c r="P131" s="1648">
        <f t="shared" si="18"/>
        <v>0</v>
      </c>
      <c r="Q131" s="1648">
        <f t="shared" si="19"/>
        <v>0</v>
      </c>
      <c r="R131" s="55">
        <f t="shared" si="20"/>
        <v>0</v>
      </c>
      <c r="S131" s="55">
        <f t="shared" si="21"/>
        <v>0</v>
      </c>
    </row>
    <row r="132" spans="1:19" ht="40.5" hidden="1" customHeight="1">
      <c r="A132" s="1854"/>
      <c r="B132" s="1648">
        <f t="shared" si="11"/>
        <v>0</v>
      </c>
      <c r="C132" s="1863" t="s">
        <v>5370</v>
      </c>
      <c r="D132" s="1649">
        <f>ROUND(Data!AG389,2)</f>
        <v>5001.03</v>
      </c>
      <c r="E132" s="1687" t="s">
        <v>5296</v>
      </c>
      <c r="F132" s="1649"/>
      <c r="G132" s="1648">
        <f t="shared" si="12"/>
        <v>0</v>
      </c>
      <c r="H132" s="1648"/>
      <c r="I132" s="1648">
        <f t="shared" si="13"/>
        <v>0</v>
      </c>
      <c r="J132" s="1648"/>
      <c r="K132" s="1648">
        <f t="shared" si="14"/>
        <v>0</v>
      </c>
      <c r="L132" s="1648"/>
      <c r="M132" s="1648">
        <f t="shared" si="15"/>
        <v>0</v>
      </c>
      <c r="N132" s="1648">
        <f t="shared" si="16"/>
        <v>0</v>
      </c>
      <c r="O132" s="1648">
        <f t="shared" si="17"/>
        <v>0</v>
      </c>
      <c r="P132" s="1648">
        <f t="shared" si="18"/>
        <v>0</v>
      </c>
      <c r="Q132" s="1648">
        <f t="shared" si="19"/>
        <v>0</v>
      </c>
      <c r="R132" s="55">
        <f t="shared" si="20"/>
        <v>0</v>
      </c>
      <c r="S132" s="55">
        <f t="shared" si="21"/>
        <v>0</v>
      </c>
    </row>
    <row r="133" spans="1:19" ht="40.5" hidden="1" customHeight="1">
      <c r="A133" s="1854"/>
      <c r="B133" s="1648">
        <f t="shared" si="11"/>
        <v>0</v>
      </c>
      <c r="C133" s="1863" t="s">
        <v>5371</v>
      </c>
      <c r="D133" s="1649">
        <f>ROUND(Data!AG390,2)</f>
        <v>7291.9</v>
      </c>
      <c r="E133" s="1687" t="s">
        <v>5296</v>
      </c>
      <c r="F133" s="1649"/>
      <c r="G133" s="1648">
        <f t="shared" si="12"/>
        <v>0</v>
      </c>
      <c r="H133" s="1648"/>
      <c r="I133" s="1648">
        <f t="shared" si="13"/>
        <v>0</v>
      </c>
      <c r="J133" s="1648"/>
      <c r="K133" s="1648">
        <f t="shared" si="14"/>
        <v>0</v>
      </c>
      <c r="L133" s="1648"/>
      <c r="M133" s="1648">
        <f t="shared" si="15"/>
        <v>0</v>
      </c>
      <c r="N133" s="1648">
        <f t="shared" si="16"/>
        <v>0</v>
      </c>
      <c r="O133" s="1648">
        <f t="shared" si="17"/>
        <v>0</v>
      </c>
      <c r="P133" s="1648">
        <f t="shared" si="18"/>
        <v>0</v>
      </c>
      <c r="Q133" s="1648">
        <f t="shared" si="19"/>
        <v>0</v>
      </c>
      <c r="R133" s="55">
        <f t="shared" si="20"/>
        <v>0</v>
      </c>
      <c r="S133" s="55">
        <f t="shared" si="21"/>
        <v>0</v>
      </c>
    </row>
    <row r="134" spans="1:19" ht="40.5" hidden="1" customHeight="1">
      <c r="A134" s="1856"/>
      <c r="B134" s="1648">
        <f t="shared" ref="B134:B197" si="22">P134</f>
        <v>0</v>
      </c>
      <c r="C134" s="1863" t="s">
        <v>5372</v>
      </c>
      <c r="D134" s="1649">
        <f>ROUND(Data!AG391,2)</f>
        <v>6904.04</v>
      </c>
      <c r="E134" s="1687" t="s">
        <v>5296</v>
      </c>
      <c r="F134" s="1649"/>
      <c r="G134" s="1648">
        <f t="shared" ref="G134:G197" si="23">F134*D134</f>
        <v>0</v>
      </c>
      <c r="H134" s="1648"/>
      <c r="I134" s="1648">
        <f t="shared" ref="I134:I197" si="24">H134*D134</f>
        <v>0</v>
      </c>
      <c r="J134" s="1648"/>
      <c r="K134" s="1648">
        <f t="shared" ref="K134:K197" si="25">J134*D134</f>
        <v>0</v>
      </c>
      <c r="L134" s="1648"/>
      <c r="M134" s="1648">
        <f t="shared" ref="M134:M197" si="26">L134*D134</f>
        <v>0</v>
      </c>
      <c r="N134" s="1648">
        <f t="shared" ref="N134:N197" si="27">H134+J134+L134</f>
        <v>0</v>
      </c>
      <c r="O134" s="1648">
        <f t="shared" ref="O134:O197" si="28">N134*D134</f>
        <v>0</v>
      </c>
      <c r="P134" s="1648">
        <f t="shared" ref="P134:P197" si="29">N134+F134</f>
        <v>0</v>
      </c>
      <c r="Q134" s="1648">
        <f t="shared" ref="Q134:Q197" si="30">P134*D134</f>
        <v>0</v>
      </c>
      <c r="R134" s="55">
        <f t="shared" ref="R134:R197" si="31">G134+I134+K134+M134</f>
        <v>0</v>
      </c>
      <c r="S134" s="55">
        <f t="shared" ref="S134:S197" si="32">Q134-R134</f>
        <v>0</v>
      </c>
    </row>
    <row r="135" spans="1:19" ht="40.5" hidden="1" customHeight="1">
      <c r="A135" s="1856"/>
      <c r="B135" s="1648">
        <f t="shared" si="22"/>
        <v>0</v>
      </c>
      <c r="C135" s="1863" t="s">
        <v>7561</v>
      </c>
      <c r="D135" s="1649"/>
      <c r="E135" s="1687" t="s">
        <v>5296</v>
      </c>
      <c r="F135" s="1649"/>
      <c r="G135" s="1648">
        <f t="shared" si="23"/>
        <v>0</v>
      </c>
      <c r="H135" s="1648"/>
      <c r="I135" s="1648">
        <f t="shared" si="24"/>
        <v>0</v>
      </c>
      <c r="J135" s="1648"/>
      <c r="K135" s="1648">
        <f t="shared" si="25"/>
        <v>0</v>
      </c>
      <c r="L135" s="1648"/>
      <c r="M135" s="1648">
        <f t="shared" si="26"/>
        <v>0</v>
      </c>
      <c r="N135" s="1648">
        <f t="shared" si="27"/>
        <v>0</v>
      </c>
      <c r="O135" s="1648">
        <f t="shared" si="28"/>
        <v>0</v>
      </c>
      <c r="P135" s="1648">
        <f t="shared" si="29"/>
        <v>0</v>
      </c>
      <c r="Q135" s="1648">
        <f t="shared" si="30"/>
        <v>0</v>
      </c>
      <c r="R135" s="55">
        <f t="shared" si="31"/>
        <v>0</v>
      </c>
      <c r="S135" s="55">
        <f t="shared" si="32"/>
        <v>0</v>
      </c>
    </row>
    <row r="136" spans="1:19" ht="36" hidden="1" customHeight="1">
      <c r="A136" s="1856"/>
      <c r="B136" s="1648">
        <f t="shared" si="22"/>
        <v>0</v>
      </c>
      <c r="C136" s="1863" t="s">
        <v>5593</v>
      </c>
      <c r="D136" s="1649"/>
      <c r="E136" s="1687" t="s">
        <v>5296</v>
      </c>
      <c r="F136" s="1649"/>
      <c r="G136" s="1648">
        <f t="shared" si="23"/>
        <v>0</v>
      </c>
      <c r="H136" s="1648"/>
      <c r="I136" s="1648">
        <f t="shared" si="24"/>
        <v>0</v>
      </c>
      <c r="J136" s="1648"/>
      <c r="K136" s="1648">
        <f t="shared" si="25"/>
        <v>0</v>
      </c>
      <c r="L136" s="1648"/>
      <c r="M136" s="1648">
        <f t="shared" si="26"/>
        <v>0</v>
      </c>
      <c r="N136" s="1648">
        <f t="shared" si="27"/>
        <v>0</v>
      </c>
      <c r="O136" s="1648">
        <f t="shared" si="28"/>
        <v>0</v>
      </c>
      <c r="P136" s="1648">
        <f t="shared" si="29"/>
        <v>0</v>
      </c>
      <c r="Q136" s="1648">
        <f t="shared" si="30"/>
        <v>0</v>
      </c>
      <c r="R136" s="55">
        <f t="shared" si="31"/>
        <v>0</v>
      </c>
      <c r="S136" s="55">
        <f t="shared" si="32"/>
        <v>0</v>
      </c>
    </row>
    <row r="137" spans="1:19" ht="77.25" customHeight="1">
      <c r="A137" s="1854">
        <v>10.199999999999999</v>
      </c>
      <c r="B137" s="1648">
        <f t="shared" si="22"/>
        <v>0</v>
      </c>
      <c r="C137" s="1864" t="s">
        <v>5373</v>
      </c>
      <c r="D137" s="1649"/>
      <c r="E137" s="1687"/>
      <c r="F137" s="1649"/>
      <c r="G137" s="1648">
        <f t="shared" si="23"/>
        <v>0</v>
      </c>
      <c r="H137" s="1648"/>
      <c r="I137" s="1648">
        <f t="shared" si="24"/>
        <v>0</v>
      </c>
      <c r="J137" s="1648"/>
      <c r="K137" s="1648">
        <f t="shared" si="25"/>
        <v>0</v>
      </c>
      <c r="L137" s="1648"/>
      <c r="M137" s="1648">
        <f t="shared" si="26"/>
        <v>0</v>
      </c>
      <c r="N137" s="1648">
        <f t="shared" si="27"/>
        <v>0</v>
      </c>
      <c r="O137" s="1648">
        <f t="shared" si="28"/>
        <v>0</v>
      </c>
      <c r="P137" s="1648">
        <f t="shared" si="29"/>
        <v>0</v>
      </c>
      <c r="Q137" s="1648">
        <f t="shared" si="30"/>
        <v>0</v>
      </c>
      <c r="R137" s="55">
        <f t="shared" si="31"/>
        <v>0</v>
      </c>
      <c r="S137" s="55">
        <f t="shared" si="32"/>
        <v>0</v>
      </c>
    </row>
    <row r="138" spans="1:19" ht="39" hidden="1" customHeight="1">
      <c r="A138" s="1854"/>
      <c r="B138" s="1648">
        <f t="shared" si="22"/>
        <v>0</v>
      </c>
      <c r="C138" s="1863" t="s">
        <v>5367</v>
      </c>
      <c r="D138" s="1649">
        <f>ROUND(Data!AG409,2)</f>
        <v>852.87</v>
      </c>
      <c r="E138" s="1687" t="s">
        <v>5324</v>
      </c>
      <c r="F138" s="1651"/>
      <c r="G138" s="1648">
        <f t="shared" si="23"/>
        <v>0</v>
      </c>
      <c r="H138" s="1648"/>
      <c r="I138" s="1648">
        <f t="shared" si="24"/>
        <v>0</v>
      </c>
      <c r="J138" s="1648"/>
      <c r="K138" s="1648">
        <f t="shared" si="25"/>
        <v>0</v>
      </c>
      <c r="L138" s="1648"/>
      <c r="M138" s="1648">
        <f t="shared" si="26"/>
        <v>0</v>
      </c>
      <c r="N138" s="1648">
        <f t="shared" si="27"/>
        <v>0</v>
      </c>
      <c r="O138" s="1648">
        <f t="shared" si="28"/>
        <v>0</v>
      </c>
      <c r="P138" s="1648">
        <f t="shared" si="29"/>
        <v>0</v>
      </c>
      <c r="Q138" s="1648">
        <f t="shared" si="30"/>
        <v>0</v>
      </c>
      <c r="R138" s="55">
        <f t="shared" si="31"/>
        <v>0</v>
      </c>
      <c r="S138" s="55">
        <f t="shared" si="32"/>
        <v>0</v>
      </c>
    </row>
    <row r="139" spans="1:19" ht="36.75" customHeight="1">
      <c r="A139" s="1854"/>
      <c r="B139" s="1648">
        <f t="shared" si="22"/>
        <v>14.2</v>
      </c>
      <c r="C139" s="1863" t="s">
        <v>5374</v>
      </c>
      <c r="D139" s="1649">
        <f>ROUND(Data!AG411,2)</f>
        <v>862.25</v>
      </c>
      <c r="E139" s="1687" t="s">
        <v>5324</v>
      </c>
      <c r="F139" s="1649">
        <f>'Detail '!I689</f>
        <v>14.2</v>
      </c>
      <c r="G139" s="1648">
        <f t="shared" si="23"/>
        <v>12243.95</v>
      </c>
      <c r="H139" s="1648"/>
      <c r="I139" s="1648">
        <f t="shared" si="24"/>
        <v>0</v>
      </c>
      <c r="J139" s="1648"/>
      <c r="K139" s="1648">
        <f t="shared" si="25"/>
        <v>0</v>
      </c>
      <c r="L139" s="1648"/>
      <c r="M139" s="1648">
        <f t="shared" si="26"/>
        <v>0</v>
      </c>
      <c r="N139" s="1648">
        <f t="shared" si="27"/>
        <v>0</v>
      </c>
      <c r="O139" s="1648">
        <f t="shared" si="28"/>
        <v>0</v>
      </c>
      <c r="P139" s="1648">
        <f t="shared" si="29"/>
        <v>14.2</v>
      </c>
      <c r="Q139" s="1648">
        <f t="shared" si="30"/>
        <v>12243.95</v>
      </c>
      <c r="R139" s="55">
        <f t="shared" si="31"/>
        <v>12243.95</v>
      </c>
      <c r="S139" s="55">
        <f t="shared" si="32"/>
        <v>0</v>
      </c>
    </row>
    <row r="140" spans="1:19" ht="40.5" customHeight="1">
      <c r="A140" s="1854"/>
      <c r="B140" s="1648">
        <f t="shared" si="22"/>
        <v>52.5</v>
      </c>
      <c r="C140" s="1863" t="s">
        <v>5369</v>
      </c>
      <c r="D140" s="1649">
        <f>ROUND(Data!AG412,2)</f>
        <v>881.17</v>
      </c>
      <c r="E140" s="1687" t="s">
        <v>5324</v>
      </c>
      <c r="F140" s="1649">
        <f>'Detail '!I696</f>
        <v>52.5</v>
      </c>
      <c r="G140" s="1648">
        <f t="shared" si="23"/>
        <v>46261.43</v>
      </c>
      <c r="H140" s="1648"/>
      <c r="I140" s="1648">
        <f t="shared" si="24"/>
        <v>0</v>
      </c>
      <c r="J140" s="1648"/>
      <c r="K140" s="1648">
        <f t="shared" si="25"/>
        <v>0</v>
      </c>
      <c r="L140" s="1648"/>
      <c r="M140" s="1648">
        <f t="shared" si="26"/>
        <v>0</v>
      </c>
      <c r="N140" s="1648">
        <f t="shared" si="27"/>
        <v>0</v>
      </c>
      <c r="O140" s="1648">
        <f t="shared" si="28"/>
        <v>0</v>
      </c>
      <c r="P140" s="1648">
        <f t="shared" si="29"/>
        <v>52.5</v>
      </c>
      <c r="Q140" s="1648">
        <f t="shared" si="30"/>
        <v>46261.43</v>
      </c>
      <c r="R140" s="55">
        <f t="shared" si="31"/>
        <v>46261.43</v>
      </c>
      <c r="S140" s="55">
        <f t="shared" si="32"/>
        <v>0</v>
      </c>
    </row>
    <row r="141" spans="1:19" ht="34.5" customHeight="1">
      <c r="A141" s="1854"/>
      <c r="B141" s="1648">
        <f t="shared" si="22"/>
        <v>113</v>
      </c>
      <c r="C141" s="1863" t="s">
        <v>5370</v>
      </c>
      <c r="D141" s="1649">
        <f>ROUND(Data!AG413,2)</f>
        <v>900.09</v>
      </c>
      <c r="E141" s="1687" t="s">
        <v>5324</v>
      </c>
      <c r="F141" s="1649">
        <f>'Detail '!I706</f>
        <v>113</v>
      </c>
      <c r="G141" s="1648">
        <f t="shared" si="23"/>
        <v>101710.17</v>
      </c>
      <c r="H141" s="1648"/>
      <c r="I141" s="1648">
        <f t="shared" si="24"/>
        <v>0</v>
      </c>
      <c r="J141" s="1648"/>
      <c r="K141" s="1648">
        <f t="shared" si="25"/>
        <v>0</v>
      </c>
      <c r="L141" s="1648"/>
      <c r="M141" s="1648">
        <f t="shared" si="26"/>
        <v>0</v>
      </c>
      <c r="N141" s="1648">
        <f t="shared" si="27"/>
        <v>0</v>
      </c>
      <c r="O141" s="1648">
        <f t="shared" si="28"/>
        <v>0</v>
      </c>
      <c r="P141" s="1648">
        <f t="shared" si="29"/>
        <v>113</v>
      </c>
      <c r="Q141" s="1648">
        <f t="shared" si="30"/>
        <v>101710.17</v>
      </c>
      <c r="R141" s="55">
        <f t="shared" si="31"/>
        <v>101710.17</v>
      </c>
      <c r="S141" s="55">
        <f t="shared" si="32"/>
        <v>0</v>
      </c>
    </row>
    <row r="142" spans="1:19" ht="25.5" customHeight="1">
      <c r="A142" s="1854"/>
      <c r="B142" s="1648">
        <f t="shared" si="22"/>
        <v>117.4</v>
      </c>
      <c r="C142" s="1863" t="s">
        <v>5371</v>
      </c>
      <c r="D142" s="1649">
        <f>ROUND(Data!AG414,2)</f>
        <v>919.01</v>
      </c>
      <c r="E142" s="1687" t="s">
        <v>5324</v>
      </c>
      <c r="F142" s="1649">
        <f>'Detail '!I717</f>
        <v>117.4</v>
      </c>
      <c r="G142" s="1648">
        <f t="shared" si="23"/>
        <v>107891.77</v>
      </c>
      <c r="H142" s="1648"/>
      <c r="I142" s="1648">
        <f t="shared" si="24"/>
        <v>0</v>
      </c>
      <c r="J142" s="1648"/>
      <c r="K142" s="1648">
        <f t="shared" si="25"/>
        <v>0</v>
      </c>
      <c r="L142" s="1648"/>
      <c r="M142" s="1648">
        <f t="shared" si="26"/>
        <v>0</v>
      </c>
      <c r="N142" s="1648">
        <f t="shared" si="27"/>
        <v>0</v>
      </c>
      <c r="O142" s="1648">
        <f t="shared" si="28"/>
        <v>0</v>
      </c>
      <c r="P142" s="1648">
        <f t="shared" si="29"/>
        <v>117.4</v>
      </c>
      <c r="Q142" s="1648">
        <f t="shared" si="30"/>
        <v>107891.77</v>
      </c>
      <c r="R142" s="55">
        <f t="shared" si="31"/>
        <v>107891.77</v>
      </c>
      <c r="S142" s="55">
        <f t="shared" si="32"/>
        <v>0</v>
      </c>
    </row>
    <row r="143" spans="1:19" ht="25.5" customHeight="1">
      <c r="A143" s="1856"/>
      <c r="B143" s="1648">
        <f t="shared" si="22"/>
        <v>50.3</v>
      </c>
      <c r="C143" s="1863" t="s">
        <v>5372</v>
      </c>
      <c r="D143" s="1649">
        <f>ROUND(Data!AG415,2)</f>
        <v>937.93</v>
      </c>
      <c r="E143" s="1687" t="s">
        <v>5324</v>
      </c>
      <c r="F143" s="1649">
        <f>'Detail '!I725</f>
        <v>50.3</v>
      </c>
      <c r="G143" s="1648">
        <f t="shared" si="23"/>
        <v>47177.88</v>
      </c>
      <c r="H143" s="1648"/>
      <c r="I143" s="1648">
        <f t="shared" si="24"/>
        <v>0</v>
      </c>
      <c r="J143" s="1648"/>
      <c r="K143" s="1648">
        <f t="shared" si="25"/>
        <v>0</v>
      </c>
      <c r="L143" s="1648"/>
      <c r="M143" s="1648">
        <f t="shared" si="26"/>
        <v>0</v>
      </c>
      <c r="N143" s="1648">
        <f t="shared" si="27"/>
        <v>0</v>
      </c>
      <c r="O143" s="1648">
        <f t="shared" si="28"/>
        <v>0</v>
      </c>
      <c r="P143" s="1648">
        <f t="shared" si="29"/>
        <v>50.3</v>
      </c>
      <c r="Q143" s="1648">
        <f t="shared" si="30"/>
        <v>47177.88</v>
      </c>
      <c r="R143" s="55">
        <f t="shared" si="31"/>
        <v>47177.88</v>
      </c>
      <c r="S143" s="55">
        <f t="shared" si="32"/>
        <v>0</v>
      </c>
    </row>
    <row r="144" spans="1:19" ht="25.5" hidden="1" customHeight="1">
      <c r="A144" s="1856"/>
      <c r="B144" s="1648">
        <f t="shared" si="22"/>
        <v>0</v>
      </c>
      <c r="C144" s="1863" t="s">
        <v>5347</v>
      </c>
      <c r="D144" s="1649">
        <f>ROUND(Data!AG416,2)</f>
        <v>956.85</v>
      </c>
      <c r="E144" s="1687" t="s">
        <v>5324</v>
      </c>
      <c r="F144" s="1649"/>
      <c r="G144" s="1648">
        <f t="shared" si="23"/>
        <v>0</v>
      </c>
      <c r="H144" s="1648"/>
      <c r="I144" s="1648">
        <f t="shared" si="24"/>
        <v>0</v>
      </c>
      <c r="J144" s="1648"/>
      <c r="K144" s="1648">
        <f t="shared" si="25"/>
        <v>0</v>
      </c>
      <c r="L144" s="1648"/>
      <c r="M144" s="1648">
        <f t="shared" si="26"/>
        <v>0</v>
      </c>
      <c r="N144" s="1648">
        <f t="shared" si="27"/>
        <v>0</v>
      </c>
      <c r="O144" s="1648">
        <f t="shared" si="28"/>
        <v>0</v>
      </c>
      <c r="P144" s="1648">
        <f t="shared" si="29"/>
        <v>0</v>
      </c>
      <c r="Q144" s="1648">
        <f t="shared" si="30"/>
        <v>0</v>
      </c>
      <c r="R144" s="55">
        <f t="shared" si="31"/>
        <v>0</v>
      </c>
      <c r="S144" s="55">
        <f t="shared" si="32"/>
        <v>0</v>
      </c>
    </row>
    <row r="145" spans="1:19" ht="25.5" hidden="1" customHeight="1">
      <c r="A145" s="1856"/>
      <c r="B145" s="1648">
        <f t="shared" si="22"/>
        <v>0</v>
      </c>
      <c r="C145" s="1863" t="s">
        <v>5348</v>
      </c>
      <c r="D145" s="1649">
        <f>ROUND(Data!AG417,2)</f>
        <v>975.77</v>
      </c>
      <c r="E145" s="1687" t="s">
        <v>5324</v>
      </c>
      <c r="F145" s="1649"/>
      <c r="G145" s="1648">
        <f t="shared" si="23"/>
        <v>0</v>
      </c>
      <c r="H145" s="1648"/>
      <c r="I145" s="1648">
        <f t="shared" si="24"/>
        <v>0</v>
      </c>
      <c r="J145" s="1648"/>
      <c r="K145" s="1648">
        <f t="shared" si="25"/>
        <v>0</v>
      </c>
      <c r="L145" s="1648"/>
      <c r="M145" s="1648">
        <f t="shared" si="26"/>
        <v>0</v>
      </c>
      <c r="N145" s="1648">
        <f t="shared" si="27"/>
        <v>0</v>
      </c>
      <c r="O145" s="1648">
        <f t="shared" si="28"/>
        <v>0</v>
      </c>
      <c r="P145" s="1648">
        <f t="shared" si="29"/>
        <v>0</v>
      </c>
      <c r="Q145" s="1648">
        <f t="shared" si="30"/>
        <v>0</v>
      </c>
      <c r="R145" s="55">
        <f t="shared" si="31"/>
        <v>0</v>
      </c>
      <c r="S145" s="55">
        <f t="shared" si="32"/>
        <v>0</v>
      </c>
    </row>
    <row r="146" spans="1:19" ht="25.5" hidden="1" customHeight="1">
      <c r="A146" s="1856"/>
      <c r="B146" s="1648">
        <f t="shared" si="22"/>
        <v>0</v>
      </c>
      <c r="C146" s="1863" t="s">
        <v>5349</v>
      </c>
      <c r="D146" s="1649">
        <f>ROUND(Data!AG418,2)</f>
        <v>994.69</v>
      </c>
      <c r="E146" s="1687" t="s">
        <v>5324</v>
      </c>
      <c r="F146" s="1649"/>
      <c r="G146" s="1648">
        <f t="shared" si="23"/>
        <v>0</v>
      </c>
      <c r="H146" s="1648"/>
      <c r="I146" s="1648">
        <f t="shared" si="24"/>
        <v>0</v>
      </c>
      <c r="J146" s="1648"/>
      <c r="K146" s="1648">
        <f t="shared" si="25"/>
        <v>0</v>
      </c>
      <c r="L146" s="1648"/>
      <c r="M146" s="1648">
        <f t="shared" si="26"/>
        <v>0</v>
      </c>
      <c r="N146" s="1648">
        <f t="shared" si="27"/>
        <v>0</v>
      </c>
      <c r="O146" s="1648">
        <f t="shared" si="28"/>
        <v>0</v>
      </c>
      <c r="P146" s="1648">
        <f t="shared" si="29"/>
        <v>0</v>
      </c>
      <c r="Q146" s="1648">
        <f t="shared" si="30"/>
        <v>0</v>
      </c>
      <c r="R146" s="55">
        <f t="shared" si="31"/>
        <v>0</v>
      </c>
      <c r="S146" s="55">
        <f t="shared" si="32"/>
        <v>0</v>
      </c>
    </row>
    <row r="147" spans="1:19" ht="25.5" hidden="1" customHeight="1">
      <c r="A147" s="1856"/>
      <c r="B147" s="1648">
        <f t="shared" si="22"/>
        <v>0</v>
      </c>
      <c r="C147" s="1863" t="s">
        <v>5350</v>
      </c>
      <c r="D147" s="1649">
        <f>ROUND(Data!AG419,2)</f>
        <v>1013.61</v>
      </c>
      <c r="E147" s="1687" t="s">
        <v>5324</v>
      </c>
      <c r="F147" s="1649"/>
      <c r="G147" s="1648">
        <f t="shared" si="23"/>
        <v>0</v>
      </c>
      <c r="H147" s="1648"/>
      <c r="I147" s="1648">
        <f t="shared" si="24"/>
        <v>0</v>
      </c>
      <c r="J147" s="1648"/>
      <c r="K147" s="1648">
        <f t="shared" si="25"/>
        <v>0</v>
      </c>
      <c r="L147" s="1648"/>
      <c r="M147" s="1648">
        <f t="shared" si="26"/>
        <v>0</v>
      </c>
      <c r="N147" s="1648">
        <f t="shared" si="27"/>
        <v>0</v>
      </c>
      <c r="O147" s="1648">
        <f t="shared" si="28"/>
        <v>0</v>
      </c>
      <c r="P147" s="1648">
        <f t="shared" si="29"/>
        <v>0</v>
      </c>
      <c r="Q147" s="1648">
        <f t="shared" si="30"/>
        <v>0</v>
      </c>
      <c r="R147" s="55">
        <f t="shared" si="31"/>
        <v>0</v>
      </c>
      <c r="S147" s="55">
        <f t="shared" si="32"/>
        <v>0</v>
      </c>
    </row>
    <row r="148" spans="1:19" ht="25.5" hidden="1" customHeight="1">
      <c r="A148" s="1856"/>
      <c r="B148" s="1648">
        <f t="shared" si="22"/>
        <v>0</v>
      </c>
      <c r="C148" s="1863" t="s">
        <v>5351</v>
      </c>
      <c r="D148" s="1649">
        <f>ROUND(Data!AG420,2)</f>
        <v>1032.53</v>
      </c>
      <c r="E148" s="1687" t="s">
        <v>5324</v>
      </c>
      <c r="F148" s="1649"/>
      <c r="G148" s="1648">
        <f t="shared" si="23"/>
        <v>0</v>
      </c>
      <c r="H148" s="1648"/>
      <c r="I148" s="1648">
        <f t="shared" si="24"/>
        <v>0</v>
      </c>
      <c r="J148" s="1648"/>
      <c r="K148" s="1648">
        <f t="shared" si="25"/>
        <v>0</v>
      </c>
      <c r="L148" s="1648"/>
      <c r="M148" s="1648">
        <f t="shared" si="26"/>
        <v>0</v>
      </c>
      <c r="N148" s="1648">
        <f t="shared" si="27"/>
        <v>0</v>
      </c>
      <c r="O148" s="1648">
        <f t="shared" si="28"/>
        <v>0</v>
      </c>
      <c r="P148" s="1648">
        <f t="shared" si="29"/>
        <v>0</v>
      </c>
      <c r="Q148" s="1648">
        <f t="shared" si="30"/>
        <v>0</v>
      </c>
      <c r="R148" s="55">
        <f t="shared" si="31"/>
        <v>0</v>
      </c>
      <c r="S148" s="55">
        <f t="shared" si="32"/>
        <v>0</v>
      </c>
    </row>
    <row r="149" spans="1:19" ht="26.25" hidden="1" customHeight="1">
      <c r="A149" s="1856"/>
      <c r="B149" s="1648">
        <f t="shared" si="22"/>
        <v>0</v>
      </c>
      <c r="C149" s="1863" t="s">
        <v>5352</v>
      </c>
      <c r="D149" s="1649">
        <f>ROUND(Data!AG421,2)</f>
        <v>1051.45</v>
      </c>
      <c r="E149" s="1687" t="s">
        <v>5324</v>
      </c>
      <c r="F149" s="1649"/>
      <c r="G149" s="1648">
        <f t="shared" si="23"/>
        <v>0</v>
      </c>
      <c r="H149" s="1648"/>
      <c r="I149" s="1648">
        <f t="shared" si="24"/>
        <v>0</v>
      </c>
      <c r="J149" s="1648"/>
      <c r="K149" s="1648">
        <f t="shared" si="25"/>
        <v>0</v>
      </c>
      <c r="L149" s="1648"/>
      <c r="M149" s="1648">
        <f t="shared" si="26"/>
        <v>0</v>
      </c>
      <c r="N149" s="1648">
        <f t="shared" si="27"/>
        <v>0</v>
      </c>
      <c r="O149" s="1648">
        <f t="shared" si="28"/>
        <v>0</v>
      </c>
      <c r="P149" s="1648">
        <f t="shared" si="29"/>
        <v>0</v>
      </c>
      <c r="Q149" s="1648">
        <f t="shared" si="30"/>
        <v>0</v>
      </c>
      <c r="R149" s="55">
        <f t="shared" si="31"/>
        <v>0</v>
      </c>
      <c r="S149" s="55">
        <f t="shared" si="32"/>
        <v>0</v>
      </c>
    </row>
    <row r="150" spans="1:19" ht="25.5" hidden="1" customHeight="1">
      <c r="A150" s="1856"/>
      <c r="B150" s="1648">
        <f t="shared" si="22"/>
        <v>0</v>
      </c>
      <c r="C150" s="1863" t="s">
        <v>5353</v>
      </c>
      <c r="D150" s="1649">
        <f>ROUND(Data!AG422,2)</f>
        <v>1070.3699999999999</v>
      </c>
      <c r="E150" s="1687" t="s">
        <v>5324</v>
      </c>
      <c r="F150" s="1649"/>
      <c r="G150" s="1648">
        <f t="shared" si="23"/>
        <v>0</v>
      </c>
      <c r="H150" s="1648"/>
      <c r="I150" s="1648">
        <f t="shared" si="24"/>
        <v>0</v>
      </c>
      <c r="J150" s="1648"/>
      <c r="K150" s="1648">
        <f t="shared" si="25"/>
        <v>0</v>
      </c>
      <c r="L150" s="1648"/>
      <c r="M150" s="1648">
        <f t="shared" si="26"/>
        <v>0</v>
      </c>
      <c r="N150" s="1648">
        <f t="shared" si="27"/>
        <v>0</v>
      </c>
      <c r="O150" s="1648">
        <f t="shared" si="28"/>
        <v>0</v>
      </c>
      <c r="P150" s="1648">
        <f t="shared" si="29"/>
        <v>0</v>
      </c>
      <c r="Q150" s="1648">
        <f t="shared" si="30"/>
        <v>0</v>
      </c>
      <c r="R150" s="55">
        <f t="shared" si="31"/>
        <v>0</v>
      </c>
      <c r="S150" s="55">
        <f t="shared" si="32"/>
        <v>0</v>
      </c>
    </row>
    <row r="151" spans="1:19" ht="25.5" hidden="1" customHeight="1">
      <c r="A151" s="1856"/>
      <c r="B151" s="1648">
        <f t="shared" si="22"/>
        <v>0</v>
      </c>
      <c r="C151" s="1863" t="s">
        <v>5354</v>
      </c>
      <c r="D151" s="1649">
        <f>ROUND(Data!AG423,2)</f>
        <v>0</v>
      </c>
      <c r="E151" s="1687" t="s">
        <v>5324</v>
      </c>
      <c r="F151" s="1649"/>
      <c r="G151" s="1648">
        <f t="shared" si="23"/>
        <v>0</v>
      </c>
      <c r="H151" s="1648"/>
      <c r="I151" s="1648">
        <f t="shared" si="24"/>
        <v>0</v>
      </c>
      <c r="J151" s="1648"/>
      <c r="K151" s="1648">
        <f t="shared" si="25"/>
        <v>0</v>
      </c>
      <c r="L151" s="1648"/>
      <c r="M151" s="1648">
        <f t="shared" si="26"/>
        <v>0</v>
      </c>
      <c r="N151" s="1648">
        <f t="shared" si="27"/>
        <v>0</v>
      </c>
      <c r="O151" s="1648">
        <f t="shared" si="28"/>
        <v>0</v>
      </c>
      <c r="P151" s="1648">
        <f t="shared" si="29"/>
        <v>0</v>
      </c>
      <c r="Q151" s="1648">
        <f t="shared" si="30"/>
        <v>0</v>
      </c>
      <c r="R151" s="55">
        <f t="shared" si="31"/>
        <v>0</v>
      </c>
      <c r="S151" s="55">
        <f t="shared" si="32"/>
        <v>0</v>
      </c>
    </row>
    <row r="152" spans="1:19" ht="25.5" hidden="1" customHeight="1">
      <c r="A152" s="1856"/>
      <c r="B152" s="1648">
        <f t="shared" si="22"/>
        <v>0</v>
      </c>
      <c r="C152" s="1863" t="s">
        <v>5361</v>
      </c>
      <c r="D152" s="1649">
        <f>ROUND(Data!AG424,2)</f>
        <v>29785.15</v>
      </c>
      <c r="E152" s="1687" t="s">
        <v>5324</v>
      </c>
      <c r="F152" s="1649"/>
      <c r="G152" s="1648">
        <f t="shared" si="23"/>
        <v>0</v>
      </c>
      <c r="H152" s="1648"/>
      <c r="I152" s="1648">
        <f t="shared" si="24"/>
        <v>0</v>
      </c>
      <c r="J152" s="1648"/>
      <c r="K152" s="1648">
        <f t="shared" si="25"/>
        <v>0</v>
      </c>
      <c r="L152" s="1648"/>
      <c r="M152" s="1648">
        <f t="shared" si="26"/>
        <v>0</v>
      </c>
      <c r="N152" s="1648">
        <f t="shared" si="27"/>
        <v>0</v>
      </c>
      <c r="O152" s="1648">
        <f t="shared" si="28"/>
        <v>0</v>
      </c>
      <c r="P152" s="1648">
        <f t="shared" si="29"/>
        <v>0</v>
      </c>
      <c r="Q152" s="1648">
        <f t="shared" si="30"/>
        <v>0</v>
      </c>
      <c r="R152" s="55">
        <f t="shared" si="31"/>
        <v>0</v>
      </c>
      <c r="S152" s="55">
        <f t="shared" si="32"/>
        <v>0</v>
      </c>
    </row>
    <row r="153" spans="1:19" ht="69.75" hidden="1" customHeight="1">
      <c r="A153" s="1854">
        <v>10.3</v>
      </c>
      <c r="B153" s="1648">
        <f t="shared" si="22"/>
        <v>0</v>
      </c>
      <c r="C153" s="1864" t="s">
        <v>5375</v>
      </c>
      <c r="D153" s="1649">
        <f>ROUND(Data!AG425,2)</f>
        <v>5001.03</v>
      </c>
      <c r="E153" s="1687" t="s">
        <v>5324</v>
      </c>
      <c r="F153" s="1649"/>
      <c r="G153" s="1648">
        <f t="shared" si="23"/>
        <v>0</v>
      </c>
      <c r="H153" s="1648"/>
      <c r="I153" s="1648">
        <f t="shared" si="24"/>
        <v>0</v>
      </c>
      <c r="J153" s="1648"/>
      <c r="K153" s="1648">
        <f t="shared" si="25"/>
        <v>0</v>
      </c>
      <c r="L153" s="1648"/>
      <c r="M153" s="1648">
        <f t="shared" si="26"/>
        <v>0</v>
      </c>
      <c r="N153" s="1648">
        <f t="shared" si="27"/>
        <v>0</v>
      </c>
      <c r="O153" s="1648">
        <f t="shared" si="28"/>
        <v>0</v>
      </c>
      <c r="P153" s="1648">
        <f t="shared" si="29"/>
        <v>0</v>
      </c>
      <c r="Q153" s="1648">
        <f t="shared" si="30"/>
        <v>0</v>
      </c>
      <c r="R153" s="55">
        <f t="shared" si="31"/>
        <v>0</v>
      </c>
      <c r="S153" s="55">
        <f t="shared" si="32"/>
        <v>0</v>
      </c>
    </row>
    <row r="154" spans="1:19" ht="25.5" hidden="1" customHeight="1">
      <c r="A154" s="1854"/>
      <c r="B154" s="1648">
        <f t="shared" si="22"/>
        <v>0</v>
      </c>
      <c r="C154" s="1863" t="s">
        <v>5367</v>
      </c>
      <c r="D154" s="1649">
        <f>ROUND(Data!AG426,2)</f>
        <v>7291.9</v>
      </c>
      <c r="E154" s="1687" t="s">
        <v>5324</v>
      </c>
      <c r="F154" s="1649"/>
      <c r="G154" s="1648">
        <f t="shared" si="23"/>
        <v>0</v>
      </c>
      <c r="H154" s="1648"/>
      <c r="I154" s="1648">
        <f t="shared" si="24"/>
        <v>0</v>
      </c>
      <c r="J154" s="1648"/>
      <c r="K154" s="1648">
        <f t="shared" si="25"/>
        <v>0</v>
      </c>
      <c r="L154" s="1648"/>
      <c r="M154" s="1648">
        <f t="shared" si="26"/>
        <v>0</v>
      </c>
      <c r="N154" s="1648">
        <f t="shared" si="27"/>
        <v>0</v>
      </c>
      <c r="O154" s="1648">
        <f t="shared" si="28"/>
        <v>0</v>
      </c>
      <c r="P154" s="1648">
        <f t="shared" si="29"/>
        <v>0</v>
      </c>
      <c r="Q154" s="1648">
        <f t="shared" si="30"/>
        <v>0</v>
      </c>
      <c r="R154" s="55">
        <f t="shared" si="31"/>
        <v>0</v>
      </c>
      <c r="S154" s="55">
        <f t="shared" si="32"/>
        <v>0</v>
      </c>
    </row>
    <row r="155" spans="1:19" ht="25.5" hidden="1" customHeight="1">
      <c r="A155" s="1854"/>
      <c r="B155" s="1648">
        <f t="shared" si="22"/>
        <v>0</v>
      </c>
      <c r="C155" s="1863" t="s">
        <v>5368</v>
      </c>
      <c r="D155" s="1649">
        <f>ROUND(Data!AG427,2)</f>
        <v>6904.04</v>
      </c>
      <c r="E155" s="1687" t="s">
        <v>5324</v>
      </c>
      <c r="F155" s="1649"/>
      <c r="G155" s="1648">
        <f t="shared" si="23"/>
        <v>0</v>
      </c>
      <c r="H155" s="1648"/>
      <c r="I155" s="1648">
        <f t="shared" si="24"/>
        <v>0</v>
      </c>
      <c r="J155" s="1648"/>
      <c r="K155" s="1648">
        <f t="shared" si="25"/>
        <v>0</v>
      </c>
      <c r="L155" s="1648"/>
      <c r="M155" s="1648">
        <f t="shared" si="26"/>
        <v>0</v>
      </c>
      <c r="N155" s="1648">
        <f t="shared" si="27"/>
        <v>0</v>
      </c>
      <c r="O155" s="1648">
        <f t="shared" si="28"/>
        <v>0</v>
      </c>
      <c r="P155" s="1648">
        <f t="shared" si="29"/>
        <v>0</v>
      </c>
      <c r="Q155" s="1648">
        <f t="shared" si="30"/>
        <v>0</v>
      </c>
      <c r="R155" s="55">
        <f t="shared" si="31"/>
        <v>0</v>
      </c>
      <c r="S155" s="55">
        <f t="shared" si="32"/>
        <v>0</v>
      </c>
    </row>
    <row r="156" spans="1:19" ht="25.5" hidden="1" customHeight="1">
      <c r="A156" s="1854"/>
      <c r="B156" s="1648">
        <f t="shared" si="22"/>
        <v>0</v>
      </c>
      <c r="C156" s="1863" t="s">
        <v>5369</v>
      </c>
      <c r="D156" s="1649">
        <f>ROUND(Data!AG428,2)</f>
        <v>4826.58</v>
      </c>
      <c r="E156" s="1687" t="s">
        <v>5324</v>
      </c>
      <c r="F156" s="1649"/>
      <c r="G156" s="1648">
        <f t="shared" si="23"/>
        <v>0</v>
      </c>
      <c r="H156" s="1648"/>
      <c r="I156" s="1648">
        <f t="shared" si="24"/>
        <v>0</v>
      </c>
      <c r="J156" s="1648"/>
      <c r="K156" s="1648">
        <f t="shared" si="25"/>
        <v>0</v>
      </c>
      <c r="L156" s="1648"/>
      <c r="M156" s="1648">
        <f t="shared" si="26"/>
        <v>0</v>
      </c>
      <c r="N156" s="1648">
        <f t="shared" si="27"/>
        <v>0</v>
      </c>
      <c r="O156" s="1648">
        <f t="shared" si="28"/>
        <v>0</v>
      </c>
      <c r="P156" s="1648">
        <f t="shared" si="29"/>
        <v>0</v>
      </c>
      <c r="Q156" s="1648">
        <f t="shared" si="30"/>
        <v>0</v>
      </c>
      <c r="R156" s="55">
        <f t="shared" si="31"/>
        <v>0</v>
      </c>
      <c r="S156" s="55">
        <f t="shared" si="32"/>
        <v>0</v>
      </c>
    </row>
    <row r="157" spans="1:19" ht="25.5" hidden="1" customHeight="1">
      <c r="A157" s="1854"/>
      <c r="B157" s="1648">
        <f t="shared" si="22"/>
        <v>0</v>
      </c>
      <c r="C157" s="1863" t="s">
        <v>5370</v>
      </c>
      <c r="D157" s="1649">
        <f>ROUND(Data!AG429,2)</f>
        <v>11823.24</v>
      </c>
      <c r="E157" s="1687" t="s">
        <v>5324</v>
      </c>
      <c r="F157" s="1649"/>
      <c r="G157" s="1648">
        <f t="shared" si="23"/>
        <v>0</v>
      </c>
      <c r="H157" s="1648"/>
      <c r="I157" s="1648">
        <f t="shared" si="24"/>
        <v>0</v>
      </c>
      <c r="J157" s="1648"/>
      <c r="K157" s="1648">
        <f t="shared" si="25"/>
        <v>0</v>
      </c>
      <c r="L157" s="1648"/>
      <c r="M157" s="1648">
        <f t="shared" si="26"/>
        <v>0</v>
      </c>
      <c r="N157" s="1648">
        <f t="shared" si="27"/>
        <v>0</v>
      </c>
      <c r="O157" s="1648">
        <f t="shared" si="28"/>
        <v>0</v>
      </c>
      <c r="P157" s="1648">
        <f t="shared" si="29"/>
        <v>0</v>
      </c>
      <c r="Q157" s="1648">
        <f t="shared" si="30"/>
        <v>0</v>
      </c>
      <c r="R157" s="55">
        <f t="shared" si="31"/>
        <v>0</v>
      </c>
      <c r="S157" s="55">
        <f t="shared" si="32"/>
        <v>0</v>
      </c>
    </row>
    <row r="158" spans="1:19" ht="25.5" hidden="1" customHeight="1">
      <c r="A158" s="1854"/>
      <c r="B158" s="1648">
        <f t="shared" si="22"/>
        <v>0</v>
      </c>
      <c r="C158" s="1863" t="s">
        <v>5371</v>
      </c>
      <c r="D158" s="1649">
        <f>ROUND(Data!AG430,2)</f>
        <v>0</v>
      </c>
      <c r="E158" s="1687" t="s">
        <v>5324</v>
      </c>
      <c r="F158" s="1649"/>
      <c r="G158" s="1648">
        <f t="shared" si="23"/>
        <v>0</v>
      </c>
      <c r="H158" s="1648"/>
      <c r="I158" s="1648">
        <f t="shared" si="24"/>
        <v>0</v>
      </c>
      <c r="J158" s="1648"/>
      <c r="K158" s="1648">
        <f t="shared" si="25"/>
        <v>0</v>
      </c>
      <c r="L158" s="1648"/>
      <c r="M158" s="1648">
        <f t="shared" si="26"/>
        <v>0</v>
      </c>
      <c r="N158" s="1648">
        <f t="shared" si="27"/>
        <v>0</v>
      </c>
      <c r="O158" s="1648">
        <f t="shared" si="28"/>
        <v>0</v>
      </c>
      <c r="P158" s="1648">
        <f t="shared" si="29"/>
        <v>0</v>
      </c>
      <c r="Q158" s="1648">
        <f t="shared" si="30"/>
        <v>0</v>
      </c>
      <c r="R158" s="55">
        <f t="shared" si="31"/>
        <v>0</v>
      </c>
      <c r="S158" s="55">
        <f t="shared" si="32"/>
        <v>0</v>
      </c>
    </row>
    <row r="159" spans="1:19" ht="25.5" hidden="1" customHeight="1">
      <c r="A159" s="1856"/>
      <c r="B159" s="1648">
        <f t="shared" si="22"/>
        <v>0</v>
      </c>
      <c r="C159" s="1863" t="s">
        <v>5372</v>
      </c>
      <c r="D159" s="1649"/>
      <c r="E159" s="1687" t="s">
        <v>5324</v>
      </c>
      <c r="F159" s="1649"/>
      <c r="G159" s="1648">
        <f t="shared" si="23"/>
        <v>0</v>
      </c>
      <c r="H159" s="1648"/>
      <c r="I159" s="1648">
        <f t="shared" si="24"/>
        <v>0</v>
      </c>
      <c r="J159" s="1648"/>
      <c r="K159" s="1648">
        <f t="shared" si="25"/>
        <v>0</v>
      </c>
      <c r="L159" s="1648"/>
      <c r="M159" s="1648">
        <f t="shared" si="26"/>
        <v>0</v>
      </c>
      <c r="N159" s="1648">
        <f t="shared" si="27"/>
        <v>0</v>
      </c>
      <c r="O159" s="1648">
        <f t="shared" si="28"/>
        <v>0</v>
      </c>
      <c r="P159" s="1648">
        <f t="shared" si="29"/>
        <v>0</v>
      </c>
      <c r="Q159" s="1648">
        <f t="shared" si="30"/>
        <v>0</v>
      </c>
      <c r="R159" s="55">
        <f t="shared" si="31"/>
        <v>0</v>
      </c>
      <c r="S159" s="55">
        <f t="shared" si="32"/>
        <v>0</v>
      </c>
    </row>
    <row r="160" spans="1:19" ht="69.75" hidden="1" customHeight="1">
      <c r="A160" s="1854">
        <v>10.4</v>
      </c>
      <c r="B160" s="1648">
        <f t="shared" si="22"/>
        <v>0</v>
      </c>
      <c r="C160" s="1864" t="s">
        <v>5376</v>
      </c>
      <c r="D160" s="1649">
        <f>ROUND(Data!AG432,2)</f>
        <v>65631.94</v>
      </c>
      <c r="E160" s="1687" t="s">
        <v>5324</v>
      </c>
      <c r="F160" s="1649"/>
      <c r="G160" s="1648">
        <f t="shared" si="23"/>
        <v>0</v>
      </c>
      <c r="H160" s="1648"/>
      <c r="I160" s="1648">
        <f t="shared" si="24"/>
        <v>0</v>
      </c>
      <c r="J160" s="1648"/>
      <c r="K160" s="1648">
        <f t="shared" si="25"/>
        <v>0</v>
      </c>
      <c r="L160" s="1648"/>
      <c r="M160" s="1648">
        <f t="shared" si="26"/>
        <v>0</v>
      </c>
      <c r="N160" s="1648">
        <f t="shared" si="27"/>
        <v>0</v>
      </c>
      <c r="O160" s="1648">
        <f t="shared" si="28"/>
        <v>0</v>
      </c>
      <c r="P160" s="1648">
        <f t="shared" si="29"/>
        <v>0</v>
      </c>
      <c r="Q160" s="1648">
        <f t="shared" si="30"/>
        <v>0</v>
      </c>
      <c r="R160" s="55">
        <f t="shared" si="31"/>
        <v>0</v>
      </c>
      <c r="S160" s="55">
        <f t="shared" si="32"/>
        <v>0</v>
      </c>
    </row>
    <row r="161" spans="1:19" ht="25.5" hidden="1" customHeight="1">
      <c r="A161" s="1854"/>
      <c r="B161" s="1648">
        <f t="shared" si="22"/>
        <v>0</v>
      </c>
      <c r="C161" s="1863" t="s">
        <v>5367</v>
      </c>
      <c r="D161" s="1649"/>
      <c r="E161" s="1687" t="s">
        <v>5324</v>
      </c>
      <c r="F161" s="1649"/>
      <c r="G161" s="1648">
        <f t="shared" si="23"/>
        <v>0</v>
      </c>
      <c r="H161" s="1648"/>
      <c r="I161" s="1648">
        <f t="shared" si="24"/>
        <v>0</v>
      </c>
      <c r="J161" s="1648"/>
      <c r="K161" s="1648">
        <f t="shared" si="25"/>
        <v>0</v>
      </c>
      <c r="L161" s="1648"/>
      <c r="M161" s="1648">
        <f t="shared" si="26"/>
        <v>0</v>
      </c>
      <c r="N161" s="1648">
        <f t="shared" si="27"/>
        <v>0</v>
      </c>
      <c r="O161" s="1648">
        <f t="shared" si="28"/>
        <v>0</v>
      </c>
      <c r="P161" s="1648">
        <f t="shared" si="29"/>
        <v>0</v>
      </c>
      <c r="Q161" s="1648">
        <f t="shared" si="30"/>
        <v>0</v>
      </c>
      <c r="R161" s="55">
        <f t="shared" si="31"/>
        <v>0</v>
      </c>
      <c r="S161" s="55">
        <f t="shared" si="32"/>
        <v>0</v>
      </c>
    </row>
    <row r="162" spans="1:19" ht="25.5" hidden="1" customHeight="1">
      <c r="A162" s="1854"/>
      <c r="B162" s="1648">
        <f t="shared" si="22"/>
        <v>0</v>
      </c>
      <c r="C162" s="1863" t="s">
        <v>5368</v>
      </c>
      <c r="D162" s="1649">
        <f>ROUND(Data!AG434,2)</f>
        <v>6563.19</v>
      </c>
      <c r="E162" s="1687" t="s">
        <v>5324</v>
      </c>
      <c r="F162" s="1649"/>
      <c r="G162" s="1648">
        <f t="shared" si="23"/>
        <v>0</v>
      </c>
      <c r="H162" s="1648"/>
      <c r="I162" s="1648">
        <f t="shared" si="24"/>
        <v>0</v>
      </c>
      <c r="J162" s="1648"/>
      <c r="K162" s="1648">
        <f t="shared" si="25"/>
        <v>0</v>
      </c>
      <c r="L162" s="1648"/>
      <c r="M162" s="1648">
        <f t="shared" si="26"/>
        <v>0</v>
      </c>
      <c r="N162" s="1648">
        <f t="shared" si="27"/>
        <v>0</v>
      </c>
      <c r="O162" s="1648">
        <f t="shared" si="28"/>
        <v>0</v>
      </c>
      <c r="P162" s="1648">
        <f t="shared" si="29"/>
        <v>0</v>
      </c>
      <c r="Q162" s="1648">
        <f t="shared" si="30"/>
        <v>0</v>
      </c>
      <c r="R162" s="55">
        <f t="shared" si="31"/>
        <v>0</v>
      </c>
      <c r="S162" s="55">
        <f t="shared" si="32"/>
        <v>0</v>
      </c>
    </row>
    <row r="163" spans="1:19" ht="25.5" hidden="1" customHeight="1">
      <c r="A163" s="1854"/>
      <c r="B163" s="1648">
        <f t="shared" si="22"/>
        <v>0</v>
      </c>
      <c r="C163" s="1863" t="s">
        <v>5369</v>
      </c>
      <c r="D163" s="1649"/>
      <c r="E163" s="1687" t="s">
        <v>5324</v>
      </c>
      <c r="F163" s="1649"/>
      <c r="G163" s="1648">
        <f t="shared" si="23"/>
        <v>0</v>
      </c>
      <c r="H163" s="1648"/>
      <c r="I163" s="1648">
        <f t="shared" si="24"/>
        <v>0</v>
      </c>
      <c r="J163" s="1648"/>
      <c r="K163" s="1648">
        <f t="shared" si="25"/>
        <v>0</v>
      </c>
      <c r="L163" s="1648"/>
      <c r="M163" s="1648">
        <f t="shared" si="26"/>
        <v>0</v>
      </c>
      <c r="N163" s="1648">
        <f t="shared" si="27"/>
        <v>0</v>
      </c>
      <c r="O163" s="1648">
        <f t="shared" si="28"/>
        <v>0</v>
      </c>
      <c r="P163" s="1648">
        <f t="shared" si="29"/>
        <v>0</v>
      </c>
      <c r="Q163" s="1648">
        <f t="shared" si="30"/>
        <v>0</v>
      </c>
      <c r="R163" s="55">
        <f t="shared" si="31"/>
        <v>0</v>
      </c>
      <c r="S163" s="55">
        <f t="shared" si="32"/>
        <v>0</v>
      </c>
    </row>
    <row r="164" spans="1:19" ht="25.5" hidden="1" customHeight="1">
      <c r="A164" s="1854"/>
      <c r="B164" s="1648">
        <f t="shared" si="22"/>
        <v>0</v>
      </c>
      <c r="C164" s="1863" t="s">
        <v>5370</v>
      </c>
      <c r="D164" s="1649">
        <f>ROUND(Data!AG436,2)</f>
        <v>0</v>
      </c>
      <c r="E164" s="1687" t="s">
        <v>5324</v>
      </c>
      <c r="F164" s="1649"/>
      <c r="G164" s="1648">
        <f t="shared" si="23"/>
        <v>0</v>
      </c>
      <c r="H164" s="1648"/>
      <c r="I164" s="1648">
        <f t="shared" si="24"/>
        <v>0</v>
      </c>
      <c r="J164" s="1648"/>
      <c r="K164" s="1648">
        <f t="shared" si="25"/>
        <v>0</v>
      </c>
      <c r="L164" s="1648"/>
      <c r="M164" s="1648">
        <f t="shared" si="26"/>
        <v>0</v>
      </c>
      <c r="N164" s="1648">
        <f t="shared" si="27"/>
        <v>0</v>
      </c>
      <c r="O164" s="1648">
        <f t="shared" si="28"/>
        <v>0</v>
      </c>
      <c r="P164" s="1648">
        <f t="shared" si="29"/>
        <v>0</v>
      </c>
      <c r="Q164" s="1648">
        <f t="shared" si="30"/>
        <v>0</v>
      </c>
      <c r="R164" s="55">
        <f t="shared" si="31"/>
        <v>0</v>
      </c>
      <c r="S164" s="55">
        <f t="shared" si="32"/>
        <v>0</v>
      </c>
    </row>
    <row r="165" spans="1:19" ht="25.5" hidden="1" customHeight="1">
      <c r="A165" s="1854"/>
      <c r="B165" s="1648">
        <f t="shared" si="22"/>
        <v>0</v>
      </c>
      <c r="C165" s="1863" t="s">
        <v>5371</v>
      </c>
      <c r="D165" s="1649">
        <f>ROUND(Data!AG437,2)</f>
        <v>0</v>
      </c>
      <c r="E165" s="1687" t="s">
        <v>5324</v>
      </c>
      <c r="F165" s="1649"/>
      <c r="G165" s="1648">
        <f t="shared" si="23"/>
        <v>0</v>
      </c>
      <c r="H165" s="1648"/>
      <c r="I165" s="1648">
        <f t="shared" si="24"/>
        <v>0</v>
      </c>
      <c r="J165" s="1648"/>
      <c r="K165" s="1648">
        <f t="shared" si="25"/>
        <v>0</v>
      </c>
      <c r="L165" s="1648"/>
      <c r="M165" s="1648">
        <f t="shared" si="26"/>
        <v>0</v>
      </c>
      <c r="N165" s="1648">
        <f t="shared" si="27"/>
        <v>0</v>
      </c>
      <c r="O165" s="1648">
        <f t="shared" si="28"/>
        <v>0</v>
      </c>
      <c r="P165" s="1648">
        <f t="shared" si="29"/>
        <v>0</v>
      </c>
      <c r="Q165" s="1648">
        <f t="shared" si="30"/>
        <v>0</v>
      </c>
      <c r="R165" s="55">
        <f t="shared" si="31"/>
        <v>0</v>
      </c>
      <c r="S165" s="55">
        <f t="shared" si="32"/>
        <v>0</v>
      </c>
    </row>
    <row r="166" spans="1:19" ht="25.5" hidden="1" customHeight="1">
      <c r="A166" s="1856"/>
      <c r="B166" s="1648">
        <f t="shared" si="22"/>
        <v>0</v>
      </c>
      <c r="C166" s="1863" t="s">
        <v>5372</v>
      </c>
      <c r="D166" s="1649">
        <f>ROUND(Data!AG438,2)</f>
        <v>0</v>
      </c>
      <c r="E166" s="1687" t="s">
        <v>5324</v>
      </c>
      <c r="F166" s="1649"/>
      <c r="G166" s="1648">
        <f t="shared" si="23"/>
        <v>0</v>
      </c>
      <c r="H166" s="1648"/>
      <c r="I166" s="1648">
        <f t="shared" si="24"/>
        <v>0</v>
      </c>
      <c r="J166" s="1648"/>
      <c r="K166" s="1648">
        <f t="shared" si="25"/>
        <v>0</v>
      </c>
      <c r="L166" s="1648"/>
      <c r="M166" s="1648">
        <f t="shared" si="26"/>
        <v>0</v>
      </c>
      <c r="N166" s="1648">
        <f t="shared" si="27"/>
        <v>0</v>
      </c>
      <c r="O166" s="1648">
        <f t="shared" si="28"/>
        <v>0</v>
      </c>
      <c r="P166" s="1648">
        <f t="shared" si="29"/>
        <v>0</v>
      </c>
      <c r="Q166" s="1648">
        <f t="shared" si="30"/>
        <v>0</v>
      </c>
      <c r="R166" s="55">
        <f t="shared" si="31"/>
        <v>0</v>
      </c>
      <c r="S166" s="55">
        <f t="shared" si="32"/>
        <v>0</v>
      </c>
    </row>
    <row r="167" spans="1:19" ht="84.75" hidden="1" customHeight="1">
      <c r="A167" s="1854">
        <v>10.5</v>
      </c>
      <c r="B167" s="1648">
        <f t="shared" si="22"/>
        <v>0</v>
      </c>
      <c r="C167" s="1864" t="s">
        <v>5377</v>
      </c>
      <c r="D167" s="1649">
        <f>ROUND(Data!AG439,2)</f>
        <v>0</v>
      </c>
      <c r="E167" s="1687" t="s">
        <v>5324</v>
      </c>
      <c r="F167" s="1649"/>
      <c r="G167" s="1648">
        <f t="shared" si="23"/>
        <v>0</v>
      </c>
      <c r="H167" s="1648"/>
      <c r="I167" s="1648">
        <f t="shared" si="24"/>
        <v>0</v>
      </c>
      <c r="J167" s="1648"/>
      <c r="K167" s="1648">
        <f t="shared" si="25"/>
        <v>0</v>
      </c>
      <c r="L167" s="1648"/>
      <c r="M167" s="1648">
        <f t="shared" si="26"/>
        <v>0</v>
      </c>
      <c r="N167" s="1648">
        <f t="shared" si="27"/>
        <v>0</v>
      </c>
      <c r="O167" s="1648">
        <f t="shared" si="28"/>
        <v>0</v>
      </c>
      <c r="P167" s="1648">
        <f t="shared" si="29"/>
        <v>0</v>
      </c>
      <c r="Q167" s="1648">
        <f t="shared" si="30"/>
        <v>0</v>
      </c>
      <c r="R167" s="55">
        <f t="shared" si="31"/>
        <v>0</v>
      </c>
      <c r="S167" s="55">
        <f t="shared" si="32"/>
        <v>0</v>
      </c>
    </row>
    <row r="168" spans="1:19" ht="49.5" hidden="1" customHeight="1">
      <c r="A168" s="1854"/>
      <c r="B168" s="1648">
        <f t="shared" si="22"/>
        <v>0</v>
      </c>
      <c r="C168" s="1863" t="s">
        <v>5367</v>
      </c>
      <c r="D168" s="1649">
        <f>ROUND(Data!AG440,2)</f>
        <v>4922.3900000000003</v>
      </c>
      <c r="E168" s="1687" t="s">
        <v>5324</v>
      </c>
      <c r="F168" s="1649"/>
      <c r="G168" s="1648">
        <f t="shared" si="23"/>
        <v>0</v>
      </c>
      <c r="H168" s="1648"/>
      <c r="I168" s="1648">
        <f t="shared" si="24"/>
        <v>0</v>
      </c>
      <c r="J168" s="1648"/>
      <c r="K168" s="1648">
        <f t="shared" si="25"/>
        <v>0</v>
      </c>
      <c r="L168" s="1648"/>
      <c r="M168" s="1648">
        <f t="shared" si="26"/>
        <v>0</v>
      </c>
      <c r="N168" s="1648">
        <f t="shared" si="27"/>
        <v>0</v>
      </c>
      <c r="O168" s="1648">
        <f t="shared" si="28"/>
        <v>0</v>
      </c>
      <c r="P168" s="1648">
        <f t="shared" si="29"/>
        <v>0</v>
      </c>
      <c r="Q168" s="1648">
        <f t="shared" si="30"/>
        <v>0</v>
      </c>
      <c r="R168" s="55">
        <f t="shared" si="31"/>
        <v>0</v>
      </c>
      <c r="S168" s="55">
        <f t="shared" si="32"/>
        <v>0</v>
      </c>
    </row>
    <row r="169" spans="1:19" ht="49.5" hidden="1" customHeight="1">
      <c r="A169" s="1854"/>
      <c r="B169" s="1648">
        <f t="shared" si="22"/>
        <v>0</v>
      </c>
      <c r="C169" s="1863" t="s">
        <v>5368</v>
      </c>
      <c r="D169" s="1649">
        <f>ROUND(Data!AG441,2)</f>
        <v>1041.7</v>
      </c>
      <c r="E169" s="1687" t="s">
        <v>5324</v>
      </c>
      <c r="F169" s="1649"/>
      <c r="G169" s="1648">
        <f t="shared" si="23"/>
        <v>0</v>
      </c>
      <c r="H169" s="1648"/>
      <c r="I169" s="1648">
        <f t="shared" si="24"/>
        <v>0</v>
      </c>
      <c r="J169" s="1648"/>
      <c r="K169" s="1648">
        <f t="shared" si="25"/>
        <v>0</v>
      </c>
      <c r="L169" s="1648"/>
      <c r="M169" s="1648">
        <f t="shared" si="26"/>
        <v>0</v>
      </c>
      <c r="N169" s="1648">
        <f t="shared" si="27"/>
        <v>0</v>
      </c>
      <c r="O169" s="1648">
        <f t="shared" si="28"/>
        <v>0</v>
      </c>
      <c r="P169" s="1648">
        <f t="shared" si="29"/>
        <v>0</v>
      </c>
      <c r="Q169" s="1648">
        <f t="shared" si="30"/>
        <v>0</v>
      </c>
      <c r="R169" s="55">
        <f t="shared" si="31"/>
        <v>0</v>
      </c>
      <c r="S169" s="55">
        <f t="shared" si="32"/>
        <v>0</v>
      </c>
    </row>
    <row r="170" spans="1:19" ht="49.5" hidden="1" customHeight="1">
      <c r="A170" s="1854"/>
      <c r="B170" s="1648">
        <f t="shared" si="22"/>
        <v>0</v>
      </c>
      <c r="C170" s="1863" t="s">
        <v>5369</v>
      </c>
      <c r="D170" s="1649">
        <f>ROUND(Data!AG442,2)</f>
        <v>5</v>
      </c>
      <c r="E170" s="1687" t="s">
        <v>5324</v>
      </c>
      <c r="F170" s="1649"/>
      <c r="G170" s="1648">
        <f t="shared" si="23"/>
        <v>0</v>
      </c>
      <c r="H170" s="1648"/>
      <c r="I170" s="1648">
        <f t="shared" si="24"/>
        <v>0</v>
      </c>
      <c r="J170" s="1648"/>
      <c r="K170" s="1648">
        <f t="shared" si="25"/>
        <v>0</v>
      </c>
      <c r="L170" s="1648"/>
      <c r="M170" s="1648">
        <f t="shared" si="26"/>
        <v>0</v>
      </c>
      <c r="N170" s="1648">
        <f t="shared" si="27"/>
        <v>0</v>
      </c>
      <c r="O170" s="1648">
        <f t="shared" si="28"/>
        <v>0</v>
      </c>
      <c r="P170" s="1648">
        <f t="shared" si="29"/>
        <v>0</v>
      </c>
      <c r="Q170" s="1648">
        <f t="shared" si="30"/>
        <v>0</v>
      </c>
      <c r="R170" s="55">
        <f t="shared" si="31"/>
        <v>0</v>
      </c>
      <c r="S170" s="55">
        <f t="shared" si="32"/>
        <v>0</v>
      </c>
    </row>
    <row r="171" spans="1:19" ht="43.5" hidden="1" customHeight="1">
      <c r="A171" s="1854"/>
      <c r="B171" s="1648">
        <f t="shared" si="22"/>
        <v>0</v>
      </c>
      <c r="C171" s="1863" t="s">
        <v>5370</v>
      </c>
      <c r="D171" s="1649"/>
      <c r="E171" s="1687" t="s">
        <v>5324</v>
      </c>
      <c r="F171" s="1649"/>
      <c r="G171" s="1648">
        <f t="shared" si="23"/>
        <v>0</v>
      </c>
      <c r="H171" s="1648"/>
      <c r="I171" s="1648">
        <f t="shared" si="24"/>
        <v>0</v>
      </c>
      <c r="J171" s="1648"/>
      <c r="K171" s="1648">
        <f t="shared" si="25"/>
        <v>0</v>
      </c>
      <c r="L171" s="1648"/>
      <c r="M171" s="1648">
        <f t="shared" si="26"/>
        <v>0</v>
      </c>
      <c r="N171" s="1648">
        <f t="shared" si="27"/>
        <v>0</v>
      </c>
      <c r="O171" s="1648">
        <f t="shared" si="28"/>
        <v>0</v>
      </c>
      <c r="P171" s="1648">
        <f t="shared" si="29"/>
        <v>0</v>
      </c>
      <c r="Q171" s="1648">
        <f t="shared" si="30"/>
        <v>0</v>
      </c>
      <c r="R171" s="55">
        <f t="shared" si="31"/>
        <v>0</v>
      </c>
      <c r="S171" s="55">
        <f t="shared" si="32"/>
        <v>0</v>
      </c>
    </row>
    <row r="172" spans="1:19" ht="43.5" hidden="1" customHeight="1">
      <c r="A172" s="1854"/>
      <c r="B172" s="1648">
        <f t="shared" si="22"/>
        <v>0</v>
      </c>
      <c r="C172" s="1863" t="s">
        <v>5371</v>
      </c>
      <c r="D172" s="1649">
        <f>ROUND(Data!AG444,2)</f>
        <v>5969.09</v>
      </c>
      <c r="E172" s="1687" t="s">
        <v>5324</v>
      </c>
      <c r="F172" s="1649"/>
      <c r="G172" s="1648">
        <f t="shared" si="23"/>
        <v>0</v>
      </c>
      <c r="H172" s="1648"/>
      <c r="I172" s="1648">
        <f t="shared" si="24"/>
        <v>0</v>
      </c>
      <c r="J172" s="1648"/>
      <c r="K172" s="1648">
        <f t="shared" si="25"/>
        <v>0</v>
      </c>
      <c r="L172" s="1648"/>
      <c r="M172" s="1648">
        <f t="shared" si="26"/>
        <v>0</v>
      </c>
      <c r="N172" s="1648">
        <f t="shared" si="27"/>
        <v>0</v>
      </c>
      <c r="O172" s="1648">
        <f t="shared" si="28"/>
        <v>0</v>
      </c>
      <c r="P172" s="1648">
        <f t="shared" si="29"/>
        <v>0</v>
      </c>
      <c r="Q172" s="1648">
        <f t="shared" si="30"/>
        <v>0</v>
      </c>
      <c r="R172" s="55">
        <f t="shared" si="31"/>
        <v>0</v>
      </c>
      <c r="S172" s="55">
        <f t="shared" si="32"/>
        <v>0</v>
      </c>
    </row>
    <row r="173" spans="1:19" ht="36" hidden="1" customHeight="1">
      <c r="A173" s="1855"/>
      <c r="B173" s="1648">
        <f t="shared" si="22"/>
        <v>0</v>
      </c>
      <c r="C173" s="1863" t="s">
        <v>5372</v>
      </c>
      <c r="D173" s="1649"/>
      <c r="E173" s="1687" t="s">
        <v>5324</v>
      </c>
      <c r="F173" s="1649"/>
      <c r="G173" s="1648">
        <f t="shared" si="23"/>
        <v>0</v>
      </c>
      <c r="H173" s="1648"/>
      <c r="I173" s="1648">
        <f t="shared" si="24"/>
        <v>0</v>
      </c>
      <c r="J173" s="1648"/>
      <c r="K173" s="1648">
        <f t="shared" si="25"/>
        <v>0</v>
      </c>
      <c r="L173" s="1648"/>
      <c r="M173" s="1648">
        <f t="shared" si="26"/>
        <v>0</v>
      </c>
      <c r="N173" s="1648">
        <f t="shared" si="27"/>
        <v>0</v>
      </c>
      <c r="O173" s="1648">
        <f t="shared" si="28"/>
        <v>0</v>
      </c>
      <c r="P173" s="1648">
        <f t="shared" si="29"/>
        <v>0</v>
      </c>
      <c r="Q173" s="1648">
        <f t="shared" si="30"/>
        <v>0</v>
      </c>
      <c r="R173" s="55">
        <f t="shared" si="31"/>
        <v>0</v>
      </c>
      <c r="S173" s="55">
        <f t="shared" si="32"/>
        <v>0</v>
      </c>
    </row>
    <row r="174" spans="1:19" ht="69.75" hidden="1" customHeight="1">
      <c r="A174" s="1854">
        <v>10.6</v>
      </c>
      <c r="B174" s="1648">
        <f t="shared" si="22"/>
        <v>0</v>
      </c>
      <c r="C174" s="1864" t="s">
        <v>5378</v>
      </c>
      <c r="D174" s="1649">
        <f>ROUND(Data!AG446,2)</f>
        <v>596.91</v>
      </c>
      <c r="E174" s="1687" t="s">
        <v>5324</v>
      </c>
      <c r="F174" s="1649"/>
      <c r="G174" s="1648">
        <f t="shared" si="23"/>
        <v>0</v>
      </c>
      <c r="H174" s="1648"/>
      <c r="I174" s="1648">
        <f t="shared" si="24"/>
        <v>0</v>
      </c>
      <c r="J174" s="1648"/>
      <c r="K174" s="1648">
        <f t="shared" si="25"/>
        <v>0</v>
      </c>
      <c r="L174" s="1648"/>
      <c r="M174" s="1648">
        <f t="shared" si="26"/>
        <v>0</v>
      </c>
      <c r="N174" s="1648">
        <f t="shared" si="27"/>
        <v>0</v>
      </c>
      <c r="O174" s="1648">
        <f t="shared" si="28"/>
        <v>0</v>
      </c>
      <c r="P174" s="1648">
        <f t="shared" si="29"/>
        <v>0</v>
      </c>
      <c r="Q174" s="1648">
        <f t="shared" si="30"/>
        <v>0</v>
      </c>
      <c r="R174" s="55">
        <f t="shared" si="31"/>
        <v>0</v>
      </c>
      <c r="S174" s="55">
        <f t="shared" si="32"/>
        <v>0</v>
      </c>
    </row>
    <row r="175" spans="1:19" ht="25.5" hidden="1" customHeight="1">
      <c r="A175" s="1854"/>
      <c r="B175" s="1648">
        <f t="shared" si="22"/>
        <v>0</v>
      </c>
      <c r="C175" s="1863" t="s">
        <v>5367</v>
      </c>
      <c r="D175" s="1649">
        <f>Data!AG446</f>
        <v>596.91</v>
      </c>
      <c r="E175" s="1687" t="s">
        <v>5324</v>
      </c>
      <c r="F175" s="1649"/>
      <c r="G175" s="1648">
        <f t="shared" si="23"/>
        <v>0</v>
      </c>
      <c r="H175" s="1648"/>
      <c r="I175" s="1648">
        <f t="shared" si="24"/>
        <v>0</v>
      </c>
      <c r="J175" s="1648"/>
      <c r="K175" s="1648">
        <f t="shared" si="25"/>
        <v>0</v>
      </c>
      <c r="L175" s="1648"/>
      <c r="M175" s="1648">
        <f t="shared" si="26"/>
        <v>0</v>
      </c>
      <c r="N175" s="1648">
        <f t="shared" si="27"/>
        <v>0</v>
      </c>
      <c r="O175" s="1648">
        <f t="shared" si="28"/>
        <v>0</v>
      </c>
      <c r="P175" s="1648">
        <f t="shared" si="29"/>
        <v>0</v>
      </c>
      <c r="Q175" s="1648">
        <f t="shared" si="30"/>
        <v>0</v>
      </c>
      <c r="R175" s="55">
        <f t="shared" si="31"/>
        <v>0</v>
      </c>
      <c r="S175" s="55">
        <f t="shared" si="32"/>
        <v>0</v>
      </c>
    </row>
    <row r="176" spans="1:19" ht="25.5" hidden="1" customHeight="1">
      <c r="A176" s="1854"/>
      <c r="B176" s="1648">
        <f t="shared" si="22"/>
        <v>0</v>
      </c>
      <c r="C176" s="1863" t="s">
        <v>5368</v>
      </c>
      <c r="D176" s="1649">
        <f>ROUND(Data!AG448,2)</f>
        <v>603.08000000000004</v>
      </c>
      <c r="E176" s="1687" t="s">
        <v>5324</v>
      </c>
      <c r="F176" s="1649"/>
      <c r="G176" s="1648">
        <f t="shared" si="23"/>
        <v>0</v>
      </c>
      <c r="H176" s="1648"/>
      <c r="I176" s="1648">
        <f t="shared" si="24"/>
        <v>0</v>
      </c>
      <c r="J176" s="1648"/>
      <c r="K176" s="1648">
        <f t="shared" si="25"/>
        <v>0</v>
      </c>
      <c r="L176" s="1648"/>
      <c r="M176" s="1648">
        <f t="shared" si="26"/>
        <v>0</v>
      </c>
      <c r="N176" s="1648">
        <f t="shared" si="27"/>
        <v>0</v>
      </c>
      <c r="O176" s="1648">
        <f t="shared" si="28"/>
        <v>0</v>
      </c>
      <c r="P176" s="1648">
        <f t="shared" si="29"/>
        <v>0</v>
      </c>
      <c r="Q176" s="1648">
        <f t="shared" si="30"/>
        <v>0</v>
      </c>
      <c r="R176" s="55">
        <f t="shared" si="31"/>
        <v>0</v>
      </c>
      <c r="S176" s="55">
        <f t="shared" si="32"/>
        <v>0</v>
      </c>
    </row>
    <row r="177" spans="1:19" ht="25.5" hidden="1" customHeight="1">
      <c r="A177" s="1854"/>
      <c r="B177" s="1648">
        <f t="shared" si="22"/>
        <v>0</v>
      </c>
      <c r="C177" s="1863" t="s">
        <v>5369</v>
      </c>
      <c r="D177" s="1649">
        <f>ROUND(Data!AG449,2)</f>
        <v>615.53</v>
      </c>
      <c r="E177" s="1687" t="s">
        <v>5324</v>
      </c>
      <c r="F177" s="1649"/>
      <c r="G177" s="1648">
        <f t="shared" si="23"/>
        <v>0</v>
      </c>
      <c r="H177" s="1648"/>
      <c r="I177" s="1648">
        <f t="shared" si="24"/>
        <v>0</v>
      </c>
      <c r="J177" s="1648"/>
      <c r="K177" s="1648">
        <f t="shared" si="25"/>
        <v>0</v>
      </c>
      <c r="L177" s="1648"/>
      <c r="M177" s="1648">
        <f t="shared" si="26"/>
        <v>0</v>
      </c>
      <c r="N177" s="1648">
        <f t="shared" si="27"/>
        <v>0</v>
      </c>
      <c r="O177" s="1648">
        <f t="shared" si="28"/>
        <v>0</v>
      </c>
      <c r="P177" s="1648">
        <f t="shared" si="29"/>
        <v>0</v>
      </c>
      <c r="Q177" s="1648">
        <f t="shared" si="30"/>
        <v>0</v>
      </c>
      <c r="R177" s="55">
        <f t="shared" si="31"/>
        <v>0</v>
      </c>
      <c r="S177" s="55">
        <f t="shared" si="32"/>
        <v>0</v>
      </c>
    </row>
    <row r="178" spans="1:19" ht="26.25" hidden="1" customHeight="1">
      <c r="A178" s="1854"/>
      <c r="B178" s="1648">
        <f t="shared" si="22"/>
        <v>0</v>
      </c>
      <c r="C178" s="1863" t="s">
        <v>5370</v>
      </c>
      <c r="D178" s="1649">
        <f>ROUND(Data!AG450,2)</f>
        <v>627.98</v>
      </c>
      <c r="E178" s="1687" t="s">
        <v>5324</v>
      </c>
      <c r="F178" s="1649"/>
      <c r="G178" s="1648">
        <f t="shared" si="23"/>
        <v>0</v>
      </c>
      <c r="H178" s="1648"/>
      <c r="I178" s="1648">
        <f t="shared" si="24"/>
        <v>0</v>
      </c>
      <c r="J178" s="1648"/>
      <c r="K178" s="1648">
        <f t="shared" si="25"/>
        <v>0</v>
      </c>
      <c r="L178" s="1648"/>
      <c r="M178" s="1648">
        <f t="shared" si="26"/>
        <v>0</v>
      </c>
      <c r="N178" s="1648">
        <f t="shared" si="27"/>
        <v>0</v>
      </c>
      <c r="O178" s="1648">
        <f t="shared" si="28"/>
        <v>0</v>
      </c>
      <c r="P178" s="1648">
        <f t="shared" si="29"/>
        <v>0</v>
      </c>
      <c r="Q178" s="1648">
        <f t="shared" si="30"/>
        <v>0</v>
      </c>
      <c r="R178" s="55">
        <f t="shared" si="31"/>
        <v>0</v>
      </c>
      <c r="S178" s="55">
        <f t="shared" si="32"/>
        <v>0</v>
      </c>
    </row>
    <row r="179" spans="1:19" ht="25.5" hidden="1" customHeight="1">
      <c r="A179" s="1854"/>
      <c r="B179" s="1648">
        <f t="shared" si="22"/>
        <v>0</v>
      </c>
      <c r="C179" s="1863" t="s">
        <v>5371</v>
      </c>
      <c r="D179" s="1649">
        <f>ROUND(Data!AG451,2)</f>
        <v>640.42999999999995</v>
      </c>
      <c r="E179" s="1687" t="s">
        <v>5324</v>
      </c>
      <c r="F179" s="1649"/>
      <c r="G179" s="1648">
        <f t="shared" si="23"/>
        <v>0</v>
      </c>
      <c r="H179" s="1648"/>
      <c r="I179" s="1648">
        <f t="shared" si="24"/>
        <v>0</v>
      </c>
      <c r="J179" s="1648"/>
      <c r="K179" s="1648">
        <f t="shared" si="25"/>
        <v>0</v>
      </c>
      <c r="L179" s="1648"/>
      <c r="M179" s="1648">
        <f t="shared" si="26"/>
        <v>0</v>
      </c>
      <c r="N179" s="1648">
        <f t="shared" si="27"/>
        <v>0</v>
      </c>
      <c r="O179" s="1648">
        <f t="shared" si="28"/>
        <v>0</v>
      </c>
      <c r="P179" s="1648">
        <f t="shared" si="29"/>
        <v>0</v>
      </c>
      <c r="Q179" s="1648">
        <f t="shared" si="30"/>
        <v>0</v>
      </c>
      <c r="R179" s="55">
        <f t="shared" si="31"/>
        <v>0</v>
      </c>
      <c r="S179" s="55">
        <f t="shared" si="32"/>
        <v>0</v>
      </c>
    </row>
    <row r="180" spans="1:19" ht="25.5" hidden="1" customHeight="1">
      <c r="A180" s="1856"/>
      <c r="B180" s="1648">
        <f t="shared" si="22"/>
        <v>0</v>
      </c>
      <c r="C180" s="1863" t="s">
        <v>5372</v>
      </c>
      <c r="D180" s="1649">
        <f>ROUND(Data!AG452,2)</f>
        <v>652.88</v>
      </c>
      <c r="E180" s="1687" t="s">
        <v>5324</v>
      </c>
      <c r="F180" s="1649"/>
      <c r="G180" s="1648">
        <f t="shared" si="23"/>
        <v>0</v>
      </c>
      <c r="H180" s="1648"/>
      <c r="I180" s="1648">
        <f t="shared" si="24"/>
        <v>0</v>
      </c>
      <c r="J180" s="1648"/>
      <c r="K180" s="1648">
        <f t="shared" si="25"/>
        <v>0</v>
      </c>
      <c r="L180" s="1648"/>
      <c r="M180" s="1648">
        <f t="shared" si="26"/>
        <v>0</v>
      </c>
      <c r="N180" s="1648">
        <f t="shared" si="27"/>
        <v>0</v>
      </c>
      <c r="O180" s="1648">
        <f t="shared" si="28"/>
        <v>0</v>
      </c>
      <c r="P180" s="1648">
        <f t="shared" si="29"/>
        <v>0</v>
      </c>
      <c r="Q180" s="1648">
        <f t="shared" si="30"/>
        <v>0</v>
      </c>
      <c r="R180" s="55">
        <f t="shared" si="31"/>
        <v>0</v>
      </c>
      <c r="S180" s="55">
        <f t="shared" si="32"/>
        <v>0</v>
      </c>
    </row>
    <row r="181" spans="1:19" ht="69.75" hidden="1" customHeight="1">
      <c r="A181" s="1854">
        <v>11.1</v>
      </c>
      <c r="B181" s="1648">
        <f t="shared" si="22"/>
        <v>0</v>
      </c>
      <c r="C181" s="1864" t="s">
        <v>5379</v>
      </c>
      <c r="D181" s="1649">
        <f>ROUND(Data!AG453,2)</f>
        <v>665.33</v>
      </c>
      <c r="E181" s="1687" t="s">
        <v>5324</v>
      </c>
      <c r="F181" s="1649"/>
      <c r="G181" s="1648">
        <f t="shared" si="23"/>
        <v>0</v>
      </c>
      <c r="H181" s="1648"/>
      <c r="I181" s="1648">
        <f t="shared" si="24"/>
        <v>0</v>
      </c>
      <c r="J181" s="1648"/>
      <c r="K181" s="1648">
        <f t="shared" si="25"/>
        <v>0</v>
      </c>
      <c r="L181" s="1648"/>
      <c r="M181" s="1648">
        <f t="shared" si="26"/>
        <v>0</v>
      </c>
      <c r="N181" s="1648">
        <f t="shared" si="27"/>
        <v>0</v>
      </c>
      <c r="O181" s="1648">
        <f t="shared" si="28"/>
        <v>0</v>
      </c>
      <c r="P181" s="1648">
        <f t="shared" si="29"/>
        <v>0</v>
      </c>
      <c r="Q181" s="1648">
        <f t="shared" si="30"/>
        <v>0</v>
      </c>
      <c r="R181" s="55">
        <f t="shared" si="31"/>
        <v>0</v>
      </c>
      <c r="S181" s="55">
        <f t="shared" si="32"/>
        <v>0</v>
      </c>
    </row>
    <row r="182" spans="1:19" ht="25.5" hidden="1" customHeight="1">
      <c r="A182" s="1854"/>
      <c r="B182" s="1648">
        <f t="shared" si="22"/>
        <v>0</v>
      </c>
      <c r="C182" s="1863" t="s">
        <v>3380</v>
      </c>
      <c r="D182" s="1649">
        <f>ROUND(Data!AG454,2)</f>
        <v>677.78</v>
      </c>
      <c r="E182" s="1687" t="s">
        <v>5324</v>
      </c>
      <c r="F182" s="1649"/>
      <c r="G182" s="1648">
        <f t="shared" si="23"/>
        <v>0</v>
      </c>
      <c r="H182" s="1648"/>
      <c r="I182" s="1648">
        <f t="shared" si="24"/>
        <v>0</v>
      </c>
      <c r="J182" s="1648"/>
      <c r="K182" s="1648">
        <f t="shared" si="25"/>
        <v>0</v>
      </c>
      <c r="L182" s="1648"/>
      <c r="M182" s="1648">
        <f t="shared" si="26"/>
        <v>0</v>
      </c>
      <c r="N182" s="1648">
        <f t="shared" si="27"/>
        <v>0</v>
      </c>
      <c r="O182" s="1648">
        <f t="shared" si="28"/>
        <v>0</v>
      </c>
      <c r="P182" s="1648">
        <f t="shared" si="29"/>
        <v>0</v>
      </c>
      <c r="Q182" s="1648">
        <f t="shared" si="30"/>
        <v>0</v>
      </c>
      <c r="R182" s="55">
        <f t="shared" si="31"/>
        <v>0</v>
      </c>
      <c r="S182" s="55">
        <f t="shared" si="32"/>
        <v>0</v>
      </c>
    </row>
    <row r="183" spans="1:19" ht="25.5" hidden="1" customHeight="1">
      <c r="A183" s="1854"/>
      <c r="B183" s="1648">
        <f t="shared" si="22"/>
        <v>0</v>
      </c>
      <c r="C183" s="1863" t="s">
        <v>4812</v>
      </c>
      <c r="D183" s="1649">
        <f>ROUND(Data!AG455,2)</f>
        <v>690.23</v>
      </c>
      <c r="E183" s="1687" t="s">
        <v>5324</v>
      </c>
      <c r="F183" s="1649"/>
      <c r="G183" s="1648">
        <f t="shared" si="23"/>
        <v>0</v>
      </c>
      <c r="H183" s="1648"/>
      <c r="I183" s="1648">
        <f t="shared" si="24"/>
        <v>0</v>
      </c>
      <c r="J183" s="1648"/>
      <c r="K183" s="1648">
        <f t="shared" si="25"/>
        <v>0</v>
      </c>
      <c r="L183" s="1648"/>
      <c r="M183" s="1648">
        <f t="shared" si="26"/>
        <v>0</v>
      </c>
      <c r="N183" s="1648">
        <f t="shared" si="27"/>
        <v>0</v>
      </c>
      <c r="O183" s="1648">
        <f t="shared" si="28"/>
        <v>0</v>
      </c>
      <c r="P183" s="1648">
        <f t="shared" si="29"/>
        <v>0</v>
      </c>
      <c r="Q183" s="1648">
        <f t="shared" si="30"/>
        <v>0</v>
      </c>
      <c r="R183" s="55">
        <f t="shared" si="31"/>
        <v>0</v>
      </c>
      <c r="S183" s="55">
        <f t="shared" si="32"/>
        <v>0</v>
      </c>
    </row>
    <row r="184" spans="1:19" ht="25.5" hidden="1" customHeight="1">
      <c r="A184" s="1854"/>
      <c r="B184" s="1648">
        <f t="shared" si="22"/>
        <v>0</v>
      </c>
      <c r="C184" s="1863" t="s">
        <v>5356</v>
      </c>
      <c r="D184" s="1649">
        <f>ROUND(Data!AG456,2)</f>
        <v>702.68</v>
      </c>
      <c r="E184" s="1687" t="s">
        <v>5324</v>
      </c>
      <c r="F184" s="1649"/>
      <c r="G184" s="1648">
        <f t="shared" si="23"/>
        <v>0</v>
      </c>
      <c r="H184" s="1648"/>
      <c r="I184" s="1648">
        <f t="shared" si="24"/>
        <v>0</v>
      </c>
      <c r="J184" s="1648"/>
      <c r="K184" s="1648">
        <f t="shared" si="25"/>
        <v>0</v>
      </c>
      <c r="L184" s="1648"/>
      <c r="M184" s="1648">
        <f t="shared" si="26"/>
        <v>0</v>
      </c>
      <c r="N184" s="1648">
        <f t="shared" si="27"/>
        <v>0</v>
      </c>
      <c r="O184" s="1648">
        <f t="shared" si="28"/>
        <v>0</v>
      </c>
      <c r="P184" s="1648">
        <f t="shared" si="29"/>
        <v>0</v>
      </c>
      <c r="Q184" s="1648">
        <f t="shared" si="30"/>
        <v>0</v>
      </c>
      <c r="R184" s="55">
        <f t="shared" si="31"/>
        <v>0</v>
      </c>
      <c r="S184" s="55">
        <f t="shared" si="32"/>
        <v>0</v>
      </c>
    </row>
    <row r="185" spans="1:19" ht="25.5" hidden="1" customHeight="1">
      <c r="A185" s="1854"/>
      <c r="B185" s="1648">
        <f t="shared" si="22"/>
        <v>0</v>
      </c>
      <c r="C185" s="1863" t="s">
        <v>5357</v>
      </c>
      <c r="D185" s="1649">
        <f>ROUND(Data!AG457,2)</f>
        <v>715.13</v>
      </c>
      <c r="E185" s="1687" t="s">
        <v>5324</v>
      </c>
      <c r="F185" s="1649"/>
      <c r="G185" s="1648">
        <f t="shared" si="23"/>
        <v>0</v>
      </c>
      <c r="H185" s="1648"/>
      <c r="I185" s="1648">
        <f t="shared" si="24"/>
        <v>0</v>
      </c>
      <c r="J185" s="1648"/>
      <c r="K185" s="1648">
        <f t="shared" si="25"/>
        <v>0</v>
      </c>
      <c r="L185" s="1648"/>
      <c r="M185" s="1648">
        <f t="shared" si="26"/>
        <v>0</v>
      </c>
      <c r="N185" s="1648">
        <f t="shared" si="27"/>
        <v>0</v>
      </c>
      <c r="O185" s="1648">
        <f t="shared" si="28"/>
        <v>0</v>
      </c>
      <c r="P185" s="1648">
        <f t="shared" si="29"/>
        <v>0</v>
      </c>
      <c r="Q185" s="1648">
        <f t="shared" si="30"/>
        <v>0</v>
      </c>
      <c r="R185" s="55">
        <f t="shared" si="31"/>
        <v>0</v>
      </c>
      <c r="S185" s="55">
        <f t="shared" si="32"/>
        <v>0</v>
      </c>
    </row>
    <row r="186" spans="1:19" ht="4.5" hidden="1" customHeight="1">
      <c r="A186" s="1856"/>
      <c r="B186" s="1648">
        <f t="shared" si="22"/>
        <v>0</v>
      </c>
      <c r="C186" s="1863" t="s">
        <v>5358</v>
      </c>
      <c r="D186" s="1649">
        <f>ROUND(Data!AG458,2)</f>
        <v>727.58</v>
      </c>
      <c r="E186" s="1687" t="s">
        <v>5324</v>
      </c>
      <c r="F186" s="1649"/>
      <c r="G186" s="1648">
        <f t="shared" si="23"/>
        <v>0</v>
      </c>
      <c r="H186" s="1648"/>
      <c r="I186" s="1648">
        <f t="shared" si="24"/>
        <v>0</v>
      </c>
      <c r="J186" s="1648"/>
      <c r="K186" s="1648">
        <f t="shared" si="25"/>
        <v>0</v>
      </c>
      <c r="L186" s="1648"/>
      <c r="M186" s="1648">
        <f t="shared" si="26"/>
        <v>0</v>
      </c>
      <c r="N186" s="1648">
        <f t="shared" si="27"/>
        <v>0</v>
      </c>
      <c r="O186" s="1648">
        <f t="shared" si="28"/>
        <v>0</v>
      </c>
      <c r="P186" s="1648">
        <f t="shared" si="29"/>
        <v>0</v>
      </c>
      <c r="Q186" s="1648">
        <f t="shared" si="30"/>
        <v>0</v>
      </c>
      <c r="R186" s="55">
        <f t="shared" si="31"/>
        <v>0</v>
      </c>
      <c r="S186" s="55">
        <f t="shared" si="32"/>
        <v>0</v>
      </c>
    </row>
    <row r="187" spans="1:19" ht="40.5" hidden="1" customHeight="1">
      <c r="A187" s="1856"/>
      <c r="B187" s="1648">
        <f t="shared" si="22"/>
        <v>0</v>
      </c>
      <c r="C187" s="1863" t="s">
        <v>7561</v>
      </c>
      <c r="D187" s="1649">
        <f>Data!AG415</f>
        <v>937.93</v>
      </c>
      <c r="E187" s="1687" t="s">
        <v>5324</v>
      </c>
      <c r="F187" s="1649"/>
      <c r="G187" s="1648">
        <f t="shared" si="23"/>
        <v>0</v>
      </c>
      <c r="H187" s="1648"/>
      <c r="I187" s="1648">
        <f t="shared" si="24"/>
        <v>0</v>
      </c>
      <c r="J187" s="1648"/>
      <c r="K187" s="1648">
        <f t="shared" si="25"/>
        <v>0</v>
      </c>
      <c r="L187" s="1648"/>
      <c r="M187" s="1648">
        <f t="shared" si="26"/>
        <v>0</v>
      </c>
      <c r="N187" s="1648">
        <f t="shared" si="27"/>
        <v>0</v>
      </c>
      <c r="O187" s="1648">
        <f t="shared" si="28"/>
        <v>0</v>
      </c>
      <c r="P187" s="1648">
        <f t="shared" si="29"/>
        <v>0</v>
      </c>
      <c r="Q187" s="1648">
        <f t="shared" si="30"/>
        <v>0</v>
      </c>
      <c r="R187" s="55">
        <f t="shared" si="31"/>
        <v>0</v>
      </c>
      <c r="S187" s="55">
        <f t="shared" si="32"/>
        <v>0</v>
      </c>
    </row>
    <row r="188" spans="1:19" ht="37.5" hidden="1" customHeight="1">
      <c r="A188" s="1856"/>
      <c r="B188" s="1648">
        <f t="shared" si="22"/>
        <v>0</v>
      </c>
      <c r="C188" s="1863" t="s">
        <v>5593</v>
      </c>
      <c r="D188" s="1649">
        <f>Data!AG416</f>
        <v>956.85</v>
      </c>
      <c r="E188" s="1687" t="s">
        <v>5324</v>
      </c>
      <c r="F188" s="1649"/>
      <c r="G188" s="1648">
        <f t="shared" si="23"/>
        <v>0</v>
      </c>
      <c r="H188" s="1648"/>
      <c r="I188" s="1648">
        <f t="shared" si="24"/>
        <v>0</v>
      </c>
      <c r="J188" s="1648"/>
      <c r="K188" s="1648">
        <f t="shared" si="25"/>
        <v>0</v>
      </c>
      <c r="L188" s="1648"/>
      <c r="M188" s="1648">
        <f t="shared" si="26"/>
        <v>0</v>
      </c>
      <c r="N188" s="1648">
        <f t="shared" si="27"/>
        <v>0</v>
      </c>
      <c r="O188" s="1648">
        <f t="shared" si="28"/>
        <v>0</v>
      </c>
      <c r="P188" s="1648">
        <f t="shared" si="29"/>
        <v>0</v>
      </c>
      <c r="Q188" s="1648">
        <f t="shared" si="30"/>
        <v>0</v>
      </c>
      <c r="R188" s="55">
        <f t="shared" si="31"/>
        <v>0</v>
      </c>
      <c r="S188" s="55">
        <f t="shared" si="32"/>
        <v>0</v>
      </c>
    </row>
    <row r="189" spans="1:19" ht="74.25" customHeight="1">
      <c r="A189" s="1854">
        <v>11.2</v>
      </c>
      <c r="B189" s="1648">
        <f t="shared" si="22"/>
        <v>0</v>
      </c>
      <c r="C189" s="1864" t="s">
        <v>5380</v>
      </c>
      <c r="D189" s="1649"/>
      <c r="E189" s="1687"/>
      <c r="F189" s="1649"/>
      <c r="G189" s="1648">
        <f t="shared" si="23"/>
        <v>0</v>
      </c>
      <c r="H189" s="1648"/>
      <c r="I189" s="1648">
        <f t="shared" si="24"/>
        <v>0</v>
      </c>
      <c r="J189" s="1648"/>
      <c r="K189" s="1648">
        <f t="shared" si="25"/>
        <v>0</v>
      </c>
      <c r="L189" s="1648"/>
      <c r="M189" s="1648">
        <f t="shared" si="26"/>
        <v>0</v>
      </c>
      <c r="N189" s="1648">
        <f t="shared" si="27"/>
        <v>0</v>
      </c>
      <c r="O189" s="1648">
        <f t="shared" si="28"/>
        <v>0</v>
      </c>
      <c r="P189" s="1648">
        <f t="shared" si="29"/>
        <v>0</v>
      </c>
      <c r="Q189" s="1648">
        <f t="shared" si="30"/>
        <v>0</v>
      </c>
      <c r="R189" s="55">
        <f t="shared" si="31"/>
        <v>0</v>
      </c>
      <c r="S189" s="55">
        <f t="shared" si="32"/>
        <v>0</v>
      </c>
    </row>
    <row r="190" spans="1:19" ht="41.25" customHeight="1">
      <c r="A190" s="1854"/>
      <c r="B190" s="1648">
        <f t="shared" si="22"/>
        <v>10.1</v>
      </c>
      <c r="C190" s="1863" t="s">
        <v>3380</v>
      </c>
      <c r="D190" s="1649">
        <f>ROUND(Data!AG448,2)</f>
        <v>603.08000000000004</v>
      </c>
      <c r="E190" s="1687" t="s">
        <v>5324</v>
      </c>
      <c r="F190" s="1649">
        <f>'Detail '!I731</f>
        <v>10.1</v>
      </c>
      <c r="G190" s="1648">
        <f t="shared" si="23"/>
        <v>6091.11</v>
      </c>
      <c r="H190" s="1648"/>
      <c r="I190" s="1648">
        <f t="shared" si="24"/>
        <v>0</v>
      </c>
      <c r="J190" s="1648"/>
      <c r="K190" s="1648">
        <f t="shared" si="25"/>
        <v>0</v>
      </c>
      <c r="L190" s="1648"/>
      <c r="M190" s="1648">
        <f t="shared" si="26"/>
        <v>0</v>
      </c>
      <c r="N190" s="1648">
        <f t="shared" si="27"/>
        <v>0</v>
      </c>
      <c r="O190" s="1648">
        <f t="shared" si="28"/>
        <v>0</v>
      </c>
      <c r="P190" s="1648">
        <f t="shared" si="29"/>
        <v>10.1</v>
      </c>
      <c r="Q190" s="1648">
        <f t="shared" si="30"/>
        <v>6091.11</v>
      </c>
      <c r="R190" s="55">
        <f t="shared" si="31"/>
        <v>6091.11</v>
      </c>
      <c r="S190" s="55">
        <f t="shared" si="32"/>
        <v>0</v>
      </c>
    </row>
    <row r="191" spans="1:19" ht="41.25" customHeight="1">
      <c r="A191" s="1854"/>
      <c r="B191" s="1648">
        <f t="shared" si="22"/>
        <v>37.799999999999997</v>
      </c>
      <c r="C191" s="1863" t="s">
        <v>4812</v>
      </c>
      <c r="D191" s="1649">
        <f>ROUND(Data!AG449,2)</f>
        <v>615.53</v>
      </c>
      <c r="E191" s="1687" t="s">
        <v>5324</v>
      </c>
      <c r="F191" s="1649">
        <f>'Detail '!I739</f>
        <v>37.799999999999997</v>
      </c>
      <c r="G191" s="1648">
        <f t="shared" si="23"/>
        <v>23267.03</v>
      </c>
      <c r="H191" s="1648"/>
      <c r="I191" s="1648">
        <f t="shared" si="24"/>
        <v>0</v>
      </c>
      <c r="J191" s="1648"/>
      <c r="K191" s="1648">
        <f t="shared" si="25"/>
        <v>0</v>
      </c>
      <c r="L191" s="1648"/>
      <c r="M191" s="1648">
        <f t="shared" si="26"/>
        <v>0</v>
      </c>
      <c r="N191" s="1648">
        <f t="shared" si="27"/>
        <v>0</v>
      </c>
      <c r="O191" s="1648">
        <f t="shared" si="28"/>
        <v>0</v>
      </c>
      <c r="P191" s="1648">
        <f t="shared" si="29"/>
        <v>37.799999999999997</v>
      </c>
      <c r="Q191" s="1648">
        <f t="shared" si="30"/>
        <v>23267.03</v>
      </c>
      <c r="R191" s="55">
        <f t="shared" si="31"/>
        <v>23267.03</v>
      </c>
      <c r="S191" s="55">
        <f t="shared" si="32"/>
        <v>0</v>
      </c>
    </row>
    <row r="192" spans="1:19" ht="41.25" customHeight="1">
      <c r="A192" s="1854"/>
      <c r="B192" s="1648">
        <f t="shared" si="22"/>
        <v>26.5</v>
      </c>
      <c r="C192" s="1863" t="s">
        <v>5356</v>
      </c>
      <c r="D192" s="1649">
        <f>ROUND(Data!AG450,2)</f>
        <v>627.98</v>
      </c>
      <c r="E192" s="1687" t="s">
        <v>5324</v>
      </c>
      <c r="F192" s="1649">
        <f>'Detail '!I751</f>
        <v>26.5</v>
      </c>
      <c r="G192" s="1648">
        <f t="shared" si="23"/>
        <v>16641.47</v>
      </c>
      <c r="H192" s="1648"/>
      <c r="I192" s="1648">
        <f t="shared" si="24"/>
        <v>0</v>
      </c>
      <c r="J192" s="1648"/>
      <c r="K192" s="1648">
        <f t="shared" si="25"/>
        <v>0</v>
      </c>
      <c r="L192" s="1648"/>
      <c r="M192" s="1648">
        <f t="shared" si="26"/>
        <v>0</v>
      </c>
      <c r="N192" s="1648">
        <f t="shared" si="27"/>
        <v>0</v>
      </c>
      <c r="O192" s="1648">
        <f t="shared" si="28"/>
        <v>0</v>
      </c>
      <c r="P192" s="1648">
        <f t="shared" si="29"/>
        <v>26.5</v>
      </c>
      <c r="Q192" s="1648">
        <f t="shared" si="30"/>
        <v>16641.47</v>
      </c>
      <c r="R192" s="55">
        <f t="shared" si="31"/>
        <v>16641.47</v>
      </c>
      <c r="S192" s="55">
        <f t="shared" si="32"/>
        <v>0</v>
      </c>
    </row>
    <row r="193" spans="1:19" ht="41.25" customHeight="1">
      <c r="A193" s="1854"/>
      <c r="B193" s="1648">
        <f t="shared" si="22"/>
        <v>26</v>
      </c>
      <c r="C193" s="1863" t="s">
        <v>5357</v>
      </c>
      <c r="D193" s="1649">
        <f>ROUND(Data!AG451,2)</f>
        <v>640.42999999999995</v>
      </c>
      <c r="E193" s="1687" t="s">
        <v>5324</v>
      </c>
      <c r="F193" s="1649">
        <f>'Detail '!I759</f>
        <v>26</v>
      </c>
      <c r="G193" s="1648">
        <f t="shared" si="23"/>
        <v>16651.18</v>
      </c>
      <c r="H193" s="1648"/>
      <c r="I193" s="1648">
        <f t="shared" si="24"/>
        <v>0</v>
      </c>
      <c r="J193" s="1648"/>
      <c r="K193" s="1648">
        <f t="shared" si="25"/>
        <v>0</v>
      </c>
      <c r="L193" s="1648"/>
      <c r="M193" s="1648">
        <f t="shared" si="26"/>
        <v>0</v>
      </c>
      <c r="N193" s="1648">
        <f t="shared" si="27"/>
        <v>0</v>
      </c>
      <c r="O193" s="1648">
        <f t="shared" si="28"/>
        <v>0</v>
      </c>
      <c r="P193" s="1648">
        <f t="shared" si="29"/>
        <v>26</v>
      </c>
      <c r="Q193" s="1648">
        <f t="shared" si="30"/>
        <v>16651.18</v>
      </c>
      <c r="R193" s="55">
        <f t="shared" si="31"/>
        <v>16651.18</v>
      </c>
      <c r="S193" s="55">
        <f t="shared" si="32"/>
        <v>0</v>
      </c>
    </row>
    <row r="194" spans="1:19" ht="41.25" customHeight="1">
      <c r="A194" s="1856"/>
      <c r="B194" s="1648">
        <f t="shared" si="22"/>
        <v>23.1</v>
      </c>
      <c r="C194" s="1863" t="s">
        <v>5358</v>
      </c>
      <c r="D194" s="1649">
        <f>ROUND(Data!AG452,2)</f>
        <v>652.88</v>
      </c>
      <c r="E194" s="1687" t="s">
        <v>5324</v>
      </c>
      <c r="F194" s="1649">
        <v>23.1</v>
      </c>
      <c r="G194" s="1648">
        <f t="shared" si="23"/>
        <v>15081.53</v>
      </c>
      <c r="H194" s="1648"/>
      <c r="I194" s="1648">
        <f t="shared" si="24"/>
        <v>0</v>
      </c>
      <c r="J194" s="1648"/>
      <c r="K194" s="1648">
        <f t="shared" si="25"/>
        <v>0</v>
      </c>
      <c r="L194" s="1648"/>
      <c r="M194" s="1648">
        <f t="shared" si="26"/>
        <v>0</v>
      </c>
      <c r="N194" s="1648">
        <f t="shared" si="27"/>
        <v>0</v>
      </c>
      <c r="O194" s="1648">
        <f t="shared" si="28"/>
        <v>0</v>
      </c>
      <c r="P194" s="1648">
        <f t="shared" si="29"/>
        <v>23.1</v>
      </c>
      <c r="Q194" s="1648">
        <f t="shared" si="30"/>
        <v>15081.53</v>
      </c>
      <c r="R194" s="55">
        <f t="shared" si="31"/>
        <v>15081.53</v>
      </c>
      <c r="S194" s="55">
        <f t="shared" si="32"/>
        <v>0</v>
      </c>
    </row>
    <row r="195" spans="1:19" ht="69.75" hidden="1" customHeight="1">
      <c r="A195" s="1854">
        <v>11.3</v>
      </c>
      <c r="B195" s="1648">
        <f t="shared" si="22"/>
        <v>0</v>
      </c>
      <c r="C195" s="1864" t="s">
        <v>5381</v>
      </c>
      <c r="D195" s="1649"/>
      <c r="E195" s="1687" t="s">
        <v>5324</v>
      </c>
      <c r="F195" s="1649"/>
      <c r="G195" s="1648">
        <f t="shared" si="23"/>
        <v>0</v>
      </c>
      <c r="H195" s="1648"/>
      <c r="I195" s="1648">
        <f t="shared" si="24"/>
        <v>0</v>
      </c>
      <c r="J195" s="1648"/>
      <c r="K195" s="1648">
        <f t="shared" si="25"/>
        <v>0</v>
      </c>
      <c r="L195" s="1648"/>
      <c r="M195" s="1648">
        <f t="shared" si="26"/>
        <v>0</v>
      </c>
      <c r="N195" s="1648">
        <f t="shared" si="27"/>
        <v>0</v>
      </c>
      <c r="O195" s="1648">
        <f t="shared" si="28"/>
        <v>0</v>
      </c>
      <c r="P195" s="1648">
        <f t="shared" si="29"/>
        <v>0</v>
      </c>
      <c r="Q195" s="1648">
        <f t="shared" si="30"/>
        <v>0</v>
      </c>
      <c r="R195" s="55">
        <f t="shared" si="31"/>
        <v>0</v>
      </c>
      <c r="S195" s="55">
        <f t="shared" si="32"/>
        <v>0</v>
      </c>
    </row>
    <row r="196" spans="1:19" ht="25.5" hidden="1" customHeight="1">
      <c r="A196" s="1854"/>
      <c r="B196" s="1648">
        <f t="shared" si="22"/>
        <v>0</v>
      </c>
      <c r="C196" s="1863" t="s">
        <v>3380</v>
      </c>
      <c r="D196" s="1649"/>
      <c r="E196" s="1687" t="s">
        <v>5324</v>
      </c>
      <c r="F196" s="1649"/>
      <c r="G196" s="1648">
        <f t="shared" si="23"/>
        <v>0</v>
      </c>
      <c r="H196" s="1648"/>
      <c r="I196" s="1648">
        <f t="shared" si="24"/>
        <v>0</v>
      </c>
      <c r="J196" s="1648"/>
      <c r="K196" s="1648">
        <f t="shared" si="25"/>
        <v>0</v>
      </c>
      <c r="L196" s="1648"/>
      <c r="M196" s="1648">
        <f t="shared" si="26"/>
        <v>0</v>
      </c>
      <c r="N196" s="1648">
        <f t="shared" si="27"/>
        <v>0</v>
      </c>
      <c r="O196" s="1648">
        <f t="shared" si="28"/>
        <v>0</v>
      </c>
      <c r="P196" s="1648">
        <f t="shared" si="29"/>
        <v>0</v>
      </c>
      <c r="Q196" s="1648">
        <f t="shared" si="30"/>
        <v>0</v>
      </c>
      <c r="R196" s="55">
        <f t="shared" si="31"/>
        <v>0</v>
      </c>
      <c r="S196" s="55">
        <f t="shared" si="32"/>
        <v>0</v>
      </c>
    </row>
    <row r="197" spans="1:19" ht="25.5" hidden="1" customHeight="1">
      <c r="A197" s="1854"/>
      <c r="B197" s="1648">
        <f t="shared" si="22"/>
        <v>0</v>
      </c>
      <c r="C197" s="1863" t="s">
        <v>4812</v>
      </c>
      <c r="D197" s="1649"/>
      <c r="E197" s="1687" t="s">
        <v>5324</v>
      </c>
      <c r="F197" s="1649"/>
      <c r="G197" s="1648">
        <f t="shared" si="23"/>
        <v>0</v>
      </c>
      <c r="H197" s="1648"/>
      <c r="I197" s="1648">
        <f t="shared" si="24"/>
        <v>0</v>
      </c>
      <c r="J197" s="1648"/>
      <c r="K197" s="1648">
        <f t="shared" si="25"/>
        <v>0</v>
      </c>
      <c r="L197" s="1648"/>
      <c r="M197" s="1648">
        <f t="shared" si="26"/>
        <v>0</v>
      </c>
      <c r="N197" s="1648">
        <f t="shared" si="27"/>
        <v>0</v>
      </c>
      <c r="O197" s="1648">
        <f t="shared" si="28"/>
        <v>0</v>
      </c>
      <c r="P197" s="1648">
        <f t="shared" si="29"/>
        <v>0</v>
      </c>
      <c r="Q197" s="1648">
        <f t="shared" si="30"/>
        <v>0</v>
      </c>
      <c r="R197" s="55">
        <f t="shared" si="31"/>
        <v>0</v>
      </c>
      <c r="S197" s="55">
        <f t="shared" si="32"/>
        <v>0</v>
      </c>
    </row>
    <row r="198" spans="1:19" ht="25.5" hidden="1" customHeight="1">
      <c r="A198" s="1854"/>
      <c r="B198" s="1648">
        <f t="shared" ref="B198:B261" si="33">P198</f>
        <v>0</v>
      </c>
      <c r="C198" s="1863" t="s">
        <v>5356</v>
      </c>
      <c r="D198" s="1649"/>
      <c r="E198" s="1687" t="s">
        <v>5324</v>
      </c>
      <c r="F198" s="1649"/>
      <c r="G198" s="1648">
        <f t="shared" ref="G198:G261" si="34">F198*D198</f>
        <v>0</v>
      </c>
      <c r="H198" s="1648"/>
      <c r="I198" s="1648">
        <f t="shared" ref="I198:I261" si="35">H198*D198</f>
        <v>0</v>
      </c>
      <c r="J198" s="1648"/>
      <c r="K198" s="1648">
        <f t="shared" ref="K198:K261" si="36">J198*D198</f>
        <v>0</v>
      </c>
      <c r="L198" s="1648"/>
      <c r="M198" s="1648">
        <f t="shared" ref="M198:M261" si="37">L198*D198</f>
        <v>0</v>
      </c>
      <c r="N198" s="1648">
        <f t="shared" ref="N198:N261" si="38">H198+J198+L198</f>
        <v>0</v>
      </c>
      <c r="O198" s="1648">
        <f t="shared" ref="O198:O261" si="39">N198*D198</f>
        <v>0</v>
      </c>
      <c r="P198" s="1648">
        <f t="shared" ref="P198:P261" si="40">N198+F198</f>
        <v>0</v>
      </c>
      <c r="Q198" s="1648">
        <f t="shared" ref="Q198:Q261" si="41">P198*D198</f>
        <v>0</v>
      </c>
      <c r="R198" s="55">
        <f t="shared" ref="R198:R261" si="42">G198+I198+K198+M198</f>
        <v>0</v>
      </c>
      <c r="S198" s="55">
        <f t="shared" ref="S198:S261" si="43">Q198-R198</f>
        <v>0</v>
      </c>
    </row>
    <row r="199" spans="1:19" ht="25.5" hidden="1" customHeight="1">
      <c r="A199" s="1854"/>
      <c r="B199" s="1648">
        <f t="shared" si="33"/>
        <v>0</v>
      </c>
      <c r="C199" s="1863" t="s">
        <v>5357</v>
      </c>
      <c r="D199" s="1649"/>
      <c r="E199" s="1687" t="s">
        <v>5324</v>
      </c>
      <c r="F199" s="1649"/>
      <c r="G199" s="1648">
        <f t="shared" si="34"/>
        <v>0</v>
      </c>
      <c r="H199" s="1648"/>
      <c r="I199" s="1648">
        <f t="shared" si="35"/>
        <v>0</v>
      </c>
      <c r="J199" s="1648"/>
      <c r="K199" s="1648">
        <f t="shared" si="36"/>
        <v>0</v>
      </c>
      <c r="L199" s="1648"/>
      <c r="M199" s="1648">
        <f t="shared" si="37"/>
        <v>0</v>
      </c>
      <c r="N199" s="1648">
        <f t="shared" si="38"/>
        <v>0</v>
      </c>
      <c r="O199" s="1648">
        <f t="shared" si="39"/>
        <v>0</v>
      </c>
      <c r="P199" s="1648">
        <f t="shared" si="40"/>
        <v>0</v>
      </c>
      <c r="Q199" s="1648">
        <f t="shared" si="41"/>
        <v>0</v>
      </c>
      <c r="R199" s="55">
        <f t="shared" si="42"/>
        <v>0</v>
      </c>
      <c r="S199" s="55">
        <f t="shared" si="43"/>
        <v>0</v>
      </c>
    </row>
    <row r="200" spans="1:19" ht="25.5" hidden="1" customHeight="1">
      <c r="A200" s="1856"/>
      <c r="B200" s="1648">
        <f t="shared" si="33"/>
        <v>0</v>
      </c>
      <c r="C200" s="1863" t="s">
        <v>5358</v>
      </c>
      <c r="D200" s="1649"/>
      <c r="E200" s="1687" t="s">
        <v>5324</v>
      </c>
      <c r="F200" s="1649"/>
      <c r="G200" s="1648">
        <f t="shared" si="34"/>
        <v>0</v>
      </c>
      <c r="H200" s="1648"/>
      <c r="I200" s="1648">
        <f t="shared" si="35"/>
        <v>0</v>
      </c>
      <c r="J200" s="1648"/>
      <c r="K200" s="1648">
        <f t="shared" si="36"/>
        <v>0</v>
      </c>
      <c r="L200" s="1648"/>
      <c r="M200" s="1648">
        <f t="shared" si="37"/>
        <v>0</v>
      </c>
      <c r="N200" s="1648">
        <f t="shared" si="38"/>
        <v>0</v>
      </c>
      <c r="O200" s="1648">
        <f t="shared" si="39"/>
        <v>0</v>
      </c>
      <c r="P200" s="1648">
        <f t="shared" si="40"/>
        <v>0</v>
      </c>
      <c r="Q200" s="1648">
        <f t="shared" si="41"/>
        <v>0</v>
      </c>
      <c r="R200" s="55">
        <f t="shared" si="42"/>
        <v>0</v>
      </c>
      <c r="S200" s="55">
        <f t="shared" si="43"/>
        <v>0</v>
      </c>
    </row>
    <row r="201" spans="1:19" ht="69.75" hidden="1" customHeight="1">
      <c r="A201" s="1854">
        <v>11.4</v>
      </c>
      <c r="B201" s="1648">
        <f t="shared" si="33"/>
        <v>0</v>
      </c>
      <c r="C201" s="1864" t="s">
        <v>5382</v>
      </c>
      <c r="D201" s="1649"/>
      <c r="E201" s="1687" t="s">
        <v>5324</v>
      </c>
      <c r="F201" s="1649"/>
      <c r="G201" s="1648">
        <f t="shared" si="34"/>
        <v>0</v>
      </c>
      <c r="H201" s="1648"/>
      <c r="I201" s="1648">
        <f t="shared" si="35"/>
        <v>0</v>
      </c>
      <c r="J201" s="1648"/>
      <c r="K201" s="1648">
        <f t="shared" si="36"/>
        <v>0</v>
      </c>
      <c r="L201" s="1648"/>
      <c r="M201" s="1648">
        <f t="shared" si="37"/>
        <v>0</v>
      </c>
      <c r="N201" s="1648">
        <f t="shared" si="38"/>
        <v>0</v>
      </c>
      <c r="O201" s="1648">
        <f t="shared" si="39"/>
        <v>0</v>
      </c>
      <c r="P201" s="1648">
        <f t="shared" si="40"/>
        <v>0</v>
      </c>
      <c r="Q201" s="1648">
        <f t="shared" si="41"/>
        <v>0</v>
      </c>
      <c r="R201" s="55">
        <f t="shared" si="42"/>
        <v>0</v>
      </c>
      <c r="S201" s="55">
        <f t="shared" si="43"/>
        <v>0</v>
      </c>
    </row>
    <row r="202" spans="1:19" ht="25.5" hidden="1" customHeight="1">
      <c r="A202" s="1687"/>
      <c r="B202" s="1648">
        <f t="shared" si="33"/>
        <v>0</v>
      </c>
      <c r="C202" s="1863" t="s">
        <v>3380</v>
      </c>
      <c r="D202" s="1649"/>
      <c r="E202" s="1687" t="s">
        <v>5324</v>
      </c>
      <c r="F202" s="1649"/>
      <c r="G202" s="1648">
        <f t="shared" si="34"/>
        <v>0</v>
      </c>
      <c r="H202" s="1648"/>
      <c r="I202" s="1648">
        <f t="shared" si="35"/>
        <v>0</v>
      </c>
      <c r="J202" s="1648"/>
      <c r="K202" s="1648">
        <f t="shared" si="36"/>
        <v>0</v>
      </c>
      <c r="L202" s="1648"/>
      <c r="M202" s="1648">
        <f t="shared" si="37"/>
        <v>0</v>
      </c>
      <c r="N202" s="1648">
        <f t="shared" si="38"/>
        <v>0</v>
      </c>
      <c r="O202" s="1648">
        <f t="shared" si="39"/>
        <v>0</v>
      </c>
      <c r="P202" s="1648">
        <f t="shared" si="40"/>
        <v>0</v>
      </c>
      <c r="Q202" s="1648">
        <f t="shared" si="41"/>
        <v>0</v>
      </c>
      <c r="R202" s="55">
        <f t="shared" si="42"/>
        <v>0</v>
      </c>
      <c r="S202" s="55">
        <f t="shared" si="43"/>
        <v>0</v>
      </c>
    </row>
    <row r="203" spans="1:19" ht="25.5" hidden="1" customHeight="1">
      <c r="A203" s="1687"/>
      <c r="B203" s="1648">
        <f t="shared" si="33"/>
        <v>0</v>
      </c>
      <c r="C203" s="1863" t="s">
        <v>4812</v>
      </c>
      <c r="D203" s="1649"/>
      <c r="E203" s="1687" t="s">
        <v>5324</v>
      </c>
      <c r="F203" s="1649"/>
      <c r="G203" s="1648">
        <f t="shared" si="34"/>
        <v>0</v>
      </c>
      <c r="H203" s="1648"/>
      <c r="I203" s="1648">
        <f t="shared" si="35"/>
        <v>0</v>
      </c>
      <c r="J203" s="1648"/>
      <c r="K203" s="1648">
        <f t="shared" si="36"/>
        <v>0</v>
      </c>
      <c r="L203" s="1648"/>
      <c r="M203" s="1648">
        <f t="shared" si="37"/>
        <v>0</v>
      </c>
      <c r="N203" s="1648">
        <f t="shared" si="38"/>
        <v>0</v>
      </c>
      <c r="O203" s="1648">
        <f t="shared" si="39"/>
        <v>0</v>
      </c>
      <c r="P203" s="1648">
        <f t="shared" si="40"/>
        <v>0</v>
      </c>
      <c r="Q203" s="1648">
        <f t="shared" si="41"/>
        <v>0</v>
      </c>
      <c r="R203" s="55">
        <f t="shared" si="42"/>
        <v>0</v>
      </c>
      <c r="S203" s="55">
        <f t="shared" si="43"/>
        <v>0</v>
      </c>
    </row>
    <row r="204" spans="1:19" ht="25.5" hidden="1" customHeight="1">
      <c r="A204" s="1687"/>
      <c r="B204" s="1648">
        <f t="shared" si="33"/>
        <v>0</v>
      </c>
      <c r="C204" s="1863" t="s">
        <v>5356</v>
      </c>
      <c r="D204" s="1649"/>
      <c r="E204" s="1687" t="s">
        <v>5324</v>
      </c>
      <c r="F204" s="1649"/>
      <c r="G204" s="1648">
        <f t="shared" si="34"/>
        <v>0</v>
      </c>
      <c r="H204" s="1648"/>
      <c r="I204" s="1648">
        <f t="shared" si="35"/>
        <v>0</v>
      </c>
      <c r="J204" s="1648"/>
      <c r="K204" s="1648">
        <f t="shared" si="36"/>
        <v>0</v>
      </c>
      <c r="L204" s="1648"/>
      <c r="M204" s="1648">
        <f t="shared" si="37"/>
        <v>0</v>
      </c>
      <c r="N204" s="1648">
        <f t="shared" si="38"/>
        <v>0</v>
      </c>
      <c r="O204" s="1648">
        <f t="shared" si="39"/>
        <v>0</v>
      </c>
      <c r="P204" s="1648">
        <f t="shared" si="40"/>
        <v>0</v>
      </c>
      <c r="Q204" s="1648">
        <f t="shared" si="41"/>
        <v>0</v>
      </c>
      <c r="R204" s="55">
        <f t="shared" si="42"/>
        <v>0</v>
      </c>
      <c r="S204" s="55">
        <f t="shared" si="43"/>
        <v>0</v>
      </c>
    </row>
    <row r="205" spans="1:19" ht="25.5" hidden="1" customHeight="1">
      <c r="A205" s="1687"/>
      <c r="B205" s="1648">
        <f t="shared" si="33"/>
        <v>0</v>
      </c>
      <c r="C205" s="1863" t="s">
        <v>5357</v>
      </c>
      <c r="D205" s="1649"/>
      <c r="E205" s="1687" t="s">
        <v>5324</v>
      </c>
      <c r="F205" s="1649"/>
      <c r="G205" s="1648">
        <f t="shared" si="34"/>
        <v>0</v>
      </c>
      <c r="H205" s="1648"/>
      <c r="I205" s="1648">
        <f t="shared" si="35"/>
        <v>0</v>
      </c>
      <c r="J205" s="1648"/>
      <c r="K205" s="1648">
        <f t="shared" si="36"/>
        <v>0</v>
      </c>
      <c r="L205" s="1648"/>
      <c r="M205" s="1648">
        <f t="shared" si="37"/>
        <v>0</v>
      </c>
      <c r="N205" s="1648">
        <f t="shared" si="38"/>
        <v>0</v>
      </c>
      <c r="O205" s="1648">
        <f t="shared" si="39"/>
        <v>0</v>
      </c>
      <c r="P205" s="1648">
        <f t="shared" si="40"/>
        <v>0</v>
      </c>
      <c r="Q205" s="1648">
        <f t="shared" si="41"/>
        <v>0</v>
      </c>
      <c r="R205" s="55">
        <f t="shared" si="42"/>
        <v>0</v>
      </c>
      <c r="S205" s="55">
        <f t="shared" si="43"/>
        <v>0</v>
      </c>
    </row>
    <row r="206" spans="1:19" ht="25.5" hidden="1" customHeight="1">
      <c r="A206" s="1688"/>
      <c r="B206" s="1648">
        <f t="shared" si="33"/>
        <v>0</v>
      </c>
      <c r="C206" s="1863" t="s">
        <v>5358</v>
      </c>
      <c r="D206" s="1649"/>
      <c r="E206" s="1687" t="s">
        <v>5324</v>
      </c>
      <c r="F206" s="1649"/>
      <c r="G206" s="1648">
        <f t="shared" si="34"/>
        <v>0</v>
      </c>
      <c r="H206" s="1648"/>
      <c r="I206" s="1648">
        <f t="shared" si="35"/>
        <v>0</v>
      </c>
      <c r="J206" s="1648"/>
      <c r="K206" s="1648">
        <f t="shared" si="36"/>
        <v>0</v>
      </c>
      <c r="L206" s="1648"/>
      <c r="M206" s="1648">
        <f t="shared" si="37"/>
        <v>0</v>
      </c>
      <c r="N206" s="1648">
        <f t="shared" si="38"/>
        <v>0</v>
      </c>
      <c r="O206" s="1648">
        <f t="shared" si="39"/>
        <v>0</v>
      </c>
      <c r="P206" s="1648">
        <f t="shared" si="40"/>
        <v>0</v>
      </c>
      <c r="Q206" s="1648">
        <f t="shared" si="41"/>
        <v>0</v>
      </c>
      <c r="R206" s="55">
        <f t="shared" si="42"/>
        <v>0</v>
      </c>
      <c r="S206" s="55">
        <f t="shared" si="43"/>
        <v>0</v>
      </c>
    </row>
    <row r="207" spans="1:19" ht="87.75" hidden="1" customHeight="1">
      <c r="A207" s="1857">
        <v>11.5</v>
      </c>
      <c r="B207" s="1648">
        <f t="shared" si="33"/>
        <v>0</v>
      </c>
      <c r="C207" s="1864" t="s">
        <v>5383</v>
      </c>
      <c r="D207" s="1649"/>
      <c r="E207" s="1687" t="s">
        <v>5324</v>
      </c>
      <c r="F207" s="1649"/>
      <c r="G207" s="1648">
        <f t="shared" si="34"/>
        <v>0</v>
      </c>
      <c r="H207" s="1648"/>
      <c r="I207" s="1648">
        <f t="shared" si="35"/>
        <v>0</v>
      </c>
      <c r="J207" s="1648"/>
      <c r="K207" s="1648">
        <f t="shared" si="36"/>
        <v>0</v>
      </c>
      <c r="L207" s="1648"/>
      <c r="M207" s="1648">
        <f t="shared" si="37"/>
        <v>0</v>
      </c>
      <c r="N207" s="1648">
        <f t="shared" si="38"/>
        <v>0</v>
      </c>
      <c r="O207" s="1648">
        <f t="shared" si="39"/>
        <v>0</v>
      </c>
      <c r="P207" s="1648">
        <f t="shared" si="40"/>
        <v>0</v>
      </c>
      <c r="Q207" s="1648">
        <f t="shared" si="41"/>
        <v>0</v>
      </c>
      <c r="R207" s="55">
        <f t="shared" si="42"/>
        <v>0</v>
      </c>
      <c r="S207" s="55">
        <f t="shared" si="43"/>
        <v>0</v>
      </c>
    </row>
    <row r="208" spans="1:19" ht="48.75" hidden="1" customHeight="1">
      <c r="A208" s="1857"/>
      <c r="B208" s="1648">
        <f t="shared" si="33"/>
        <v>0</v>
      </c>
      <c r="C208" s="1863" t="s">
        <v>3380</v>
      </c>
      <c r="D208" s="1649">
        <f>ROUND(Data!K434,2)</f>
        <v>566.14</v>
      </c>
      <c r="E208" s="1687" t="s">
        <v>5324</v>
      </c>
      <c r="F208" s="1649"/>
      <c r="G208" s="1648">
        <f t="shared" si="34"/>
        <v>0</v>
      </c>
      <c r="H208" s="1648"/>
      <c r="I208" s="1648">
        <f t="shared" si="35"/>
        <v>0</v>
      </c>
      <c r="J208" s="1648"/>
      <c r="K208" s="1648">
        <f t="shared" si="36"/>
        <v>0</v>
      </c>
      <c r="L208" s="1648"/>
      <c r="M208" s="1648">
        <f t="shared" si="37"/>
        <v>0</v>
      </c>
      <c r="N208" s="1648">
        <f t="shared" si="38"/>
        <v>0</v>
      </c>
      <c r="O208" s="1648">
        <f t="shared" si="39"/>
        <v>0</v>
      </c>
      <c r="P208" s="1648">
        <f t="shared" si="40"/>
        <v>0</v>
      </c>
      <c r="Q208" s="1648">
        <f t="shared" si="41"/>
        <v>0</v>
      </c>
      <c r="R208" s="55">
        <f t="shared" si="42"/>
        <v>0</v>
      </c>
      <c r="S208" s="55">
        <f t="shared" si="43"/>
        <v>0</v>
      </c>
    </row>
    <row r="209" spans="1:19" ht="42" hidden="1" customHeight="1">
      <c r="A209" s="1857"/>
      <c r="B209" s="1648">
        <f t="shared" si="33"/>
        <v>0</v>
      </c>
      <c r="C209" s="1863" t="s">
        <v>4812</v>
      </c>
      <c r="D209" s="1649">
        <f>ROUND(Data!K435,2)</f>
        <v>577.76</v>
      </c>
      <c r="E209" s="1687" t="s">
        <v>5324</v>
      </c>
      <c r="F209" s="1649"/>
      <c r="G209" s="1648">
        <f t="shared" si="34"/>
        <v>0</v>
      </c>
      <c r="H209" s="1648"/>
      <c r="I209" s="1648">
        <f t="shared" si="35"/>
        <v>0</v>
      </c>
      <c r="J209" s="1648"/>
      <c r="K209" s="1648">
        <f t="shared" si="36"/>
        <v>0</v>
      </c>
      <c r="L209" s="1648"/>
      <c r="M209" s="1648">
        <f t="shared" si="37"/>
        <v>0</v>
      </c>
      <c r="N209" s="1648">
        <f t="shared" si="38"/>
        <v>0</v>
      </c>
      <c r="O209" s="1648">
        <f t="shared" si="39"/>
        <v>0</v>
      </c>
      <c r="P209" s="1648">
        <f t="shared" si="40"/>
        <v>0</v>
      </c>
      <c r="Q209" s="1648">
        <f t="shared" si="41"/>
        <v>0</v>
      </c>
      <c r="R209" s="55">
        <f t="shared" si="42"/>
        <v>0</v>
      </c>
      <c r="S209" s="55">
        <f t="shared" si="43"/>
        <v>0</v>
      </c>
    </row>
    <row r="210" spans="1:19" ht="42" hidden="1" customHeight="1">
      <c r="A210" s="1857"/>
      <c r="B210" s="1648">
        <f t="shared" si="33"/>
        <v>0</v>
      </c>
      <c r="C210" s="1863" t="s">
        <v>5356</v>
      </c>
      <c r="D210" s="1649">
        <f>ROUND(Data!K436,2)</f>
        <v>589.38</v>
      </c>
      <c r="E210" s="1687" t="s">
        <v>5324</v>
      </c>
      <c r="F210" s="1649"/>
      <c r="G210" s="1648">
        <f t="shared" si="34"/>
        <v>0</v>
      </c>
      <c r="H210" s="1648"/>
      <c r="I210" s="1648">
        <f t="shared" si="35"/>
        <v>0</v>
      </c>
      <c r="J210" s="1648"/>
      <c r="K210" s="1648">
        <f t="shared" si="36"/>
        <v>0</v>
      </c>
      <c r="L210" s="1648"/>
      <c r="M210" s="1648">
        <f t="shared" si="37"/>
        <v>0</v>
      </c>
      <c r="N210" s="1648">
        <f t="shared" si="38"/>
        <v>0</v>
      </c>
      <c r="O210" s="1648">
        <f t="shared" si="39"/>
        <v>0</v>
      </c>
      <c r="P210" s="1648">
        <f t="shared" si="40"/>
        <v>0</v>
      </c>
      <c r="Q210" s="1648">
        <f t="shared" si="41"/>
        <v>0</v>
      </c>
      <c r="R210" s="55">
        <f t="shared" si="42"/>
        <v>0</v>
      </c>
      <c r="S210" s="55">
        <f t="shared" si="43"/>
        <v>0</v>
      </c>
    </row>
    <row r="211" spans="1:19" ht="42" hidden="1" customHeight="1">
      <c r="A211" s="1857"/>
      <c r="B211" s="1648">
        <f t="shared" si="33"/>
        <v>0</v>
      </c>
      <c r="C211" s="1863" t="s">
        <v>5357</v>
      </c>
      <c r="D211" s="1649">
        <f>ROUND(Data!K437,2)</f>
        <v>601</v>
      </c>
      <c r="E211" s="1687" t="s">
        <v>5324</v>
      </c>
      <c r="F211" s="1649"/>
      <c r="G211" s="1648">
        <f t="shared" si="34"/>
        <v>0</v>
      </c>
      <c r="H211" s="1648"/>
      <c r="I211" s="1648">
        <f t="shared" si="35"/>
        <v>0</v>
      </c>
      <c r="J211" s="1648"/>
      <c r="K211" s="1648">
        <f t="shared" si="36"/>
        <v>0</v>
      </c>
      <c r="L211" s="1648"/>
      <c r="M211" s="1648">
        <f t="shared" si="37"/>
        <v>0</v>
      </c>
      <c r="N211" s="1648">
        <f t="shared" si="38"/>
        <v>0</v>
      </c>
      <c r="O211" s="1648">
        <f t="shared" si="39"/>
        <v>0</v>
      </c>
      <c r="P211" s="1648">
        <f t="shared" si="40"/>
        <v>0</v>
      </c>
      <c r="Q211" s="1648">
        <f t="shared" si="41"/>
        <v>0</v>
      </c>
      <c r="R211" s="55">
        <f t="shared" si="42"/>
        <v>0</v>
      </c>
      <c r="S211" s="55">
        <f t="shared" si="43"/>
        <v>0</v>
      </c>
    </row>
    <row r="212" spans="1:19" ht="25.5" hidden="1" customHeight="1">
      <c r="A212" s="1858"/>
      <c r="B212" s="1648">
        <f t="shared" si="33"/>
        <v>0</v>
      </c>
      <c r="C212" s="1863" t="s">
        <v>5358</v>
      </c>
      <c r="D212" s="1649">
        <f>ROUND(Data!K438,2)</f>
        <v>612.62</v>
      </c>
      <c r="E212" s="1687" t="s">
        <v>5324</v>
      </c>
      <c r="F212" s="1649"/>
      <c r="G212" s="1648">
        <f t="shared" si="34"/>
        <v>0</v>
      </c>
      <c r="H212" s="1648"/>
      <c r="I212" s="1648">
        <f t="shared" si="35"/>
        <v>0</v>
      </c>
      <c r="J212" s="1648"/>
      <c r="K212" s="1648">
        <f t="shared" si="36"/>
        <v>0</v>
      </c>
      <c r="L212" s="1648"/>
      <c r="M212" s="1648">
        <f t="shared" si="37"/>
        <v>0</v>
      </c>
      <c r="N212" s="1648">
        <f t="shared" si="38"/>
        <v>0</v>
      </c>
      <c r="O212" s="1648">
        <f t="shared" si="39"/>
        <v>0</v>
      </c>
      <c r="P212" s="1648">
        <f t="shared" si="40"/>
        <v>0</v>
      </c>
      <c r="Q212" s="1648">
        <f t="shared" si="41"/>
        <v>0</v>
      </c>
      <c r="R212" s="55">
        <f t="shared" si="42"/>
        <v>0</v>
      </c>
      <c r="S212" s="55">
        <f t="shared" si="43"/>
        <v>0</v>
      </c>
    </row>
    <row r="213" spans="1:19" ht="69.75" hidden="1" customHeight="1">
      <c r="A213" s="1857">
        <v>11.6</v>
      </c>
      <c r="B213" s="1648">
        <f t="shared" si="33"/>
        <v>0</v>
      </c>
      <c r="C213" s="1864" t="s">
        <v>5384</v>
      </c>
      <c r="D213" s="1649"/>
      <c r="E213" s="1687" t="s">
        <v>5324</v>
      </c>
      <c r="F213" s="1649"/>
      <c r="G213" s="1648">
        <f t="shared" si="34"/>
        <v>0</v>
      </c>
      <c r="H213" s="1648"/>
      <c r="I213" s="1648">
        <f t="shared" si="35"/>
        <v>0</v>
      </c>
      <c r="J213" s="1648"/>
      <c r="K213" s="1648">
        <f t="shared" si="36"/>
        <v>0</v>
      </c>
      <c r="L213" s="1648"/>
      <c r="M213" s="1648">
        <f t="shared" si="37"/>
        <v>0</v>
      </c>
      <c r="N213" s="1648">
        <f t="shared" si="38"/>
        <v>0</v>
      </c>
      <c r="O213" s="1648">
        <f t="shared" si="39"/>
        <v>0</v>
      </c>
      <c r="P213" s="1648">
        <f t="shared" si="40"/>
        <v>0</v>
      </c>
      <c r="Q213" s="1648">
        <f t="shared" si="41"/>
        <v>0</v>
      </c>
      <c r="R213" s="55">
        <f t="shared" si="42"/>
        <v>0</v>
      </c>
      <c r="S213" s="55">
        <f t="shared" si="43"/>
        <v>0</v>
      </c>
    </row>
    <row r="214" spans="1:19" ht="25.5" hidden="1" customHeight="1">
      <c r="A214" s="1857"/>
      <c r="B214" s="1648">
        <f t="shared" si="33"/>
        <v>0</v>
      </c>
      <c r="C214" s="1863" t="s">
        <v>3380</v>
      </c>
      <c r="D214" s="1649"/>
      <c r="E214" s="1687" t="s">
        <v>5324</v>
      </c>
      <c r="F214" s="1649"/>
      <c r="G214" s="1648">
        <f t="shared" si="34"/>
        <v>0</v>
      </c>
      <c r="H214" s="1648"/>
      <c r="I214" s="1648">
        <f t="shared" si="35"/>
        <v>0</v>
      </c>
      <c r="J214" s="1648"/>
      <c r="K214" s="1648">
        <f t="shared" si="36"/>
        <v>0</v>
      </c>
      <c r="L214" s="1648"/>
      <c r="M214" s="1648">
        <f t="shared" si="37"/>
        <v>0</v>
      </c>
      <c r="N214" s="1648">
        <f t="shared" si="38"/>
        <v>0</v>
      </c>
      <c r="O214" s="1648">
        <f t="shared" si="39"/>
        <v>0</v>
      </c>
      <c r="P214" s="1648">
        <f t="shared" si="40"/>
        <v>0</v>
      </c>
      <c r="Q214" s="1648">
        <f t="shared" si="41"/>
        <v>0</v>
      </c>
      <c r="R214" s="55">
        <f t="shared" si="42"/>
        <v>0</v>
      </c>
      <c r="S214" s="55">
        <f t="shared" si="43"/>
        <v>0</v>
      </c>
    </row>
    <row r="215" spans="1:19" ht="25.5" hidden="1" customHeight="1">
      <c r="A215" s="1857"/>
      <c r="B215" s="1648">
        <f t="shared" si="33"/>
        <v>0</v>
      </c>
      <c r="C215" s="1863" t="s">
        <v>4812</v>
      </c>
      <c r="D215" s="1649"/>
      <c r="E215" s="1687" t="s">
        <v>5324</v>
      </c>
      <c r="F215" s="1649"/>
      <c r="G215" s="1648">
        <f t="shared" si="34"/>
        <v>0</v>
      </c>
      <c r="H215" s="1648"/>
      <c r="I215" s="1648">
        <f t="shared" si="35"/>
        <v>0</v>
      </c>
      <c r="J215" s="1648"/>
      <c r="K215" s="1648">
        <f t="shared" si="36"/>
        <v>0</v>
      </c>
      <c r="L215" s="1648"/>
      <c r="M215" s="1648">
        <f t="shared" si="37"/>
        <v>0</v>
      </c>
      <c r="N215" s="1648">
        <f t="shared" si="38"/>
        <v>0</v>
      </c>
      <c r="O215" s="1648">
        <f t="shared" si="39"/>
        <v>0</v>
      </c>
      <c r="P215" s="1648">
        <f t="shared" si="40"/>
        <v>0</v>
      </c>
      <c r="Q215" s="1648">
        <f t="shared" si="41"/>
        <v>0</v>
      </c>
      <c r="R215" s="55">
        <f t="shared" si="42"/>
        <v>0</v>
      </c>
      <c r="S215" s="55">
        <f t="shared" si="43"/>
        <v>0</v>
      </c>
    </row>
    <row r="216" spans="1:19" ht="25.5" hidden="1" customHeight="1">
      <c r="A216" s="1857"/>
      <c r="B216" s="1648">
        <f t="shared" si="33"/>
        <v>0</v>
      </c>
      <c r="C216" s="1863" t="s">
        <v>5356</v>
      </c>
      <c r="D216" s="1649"/>
      <c r="E216" s="1687" t="s">
        <v>5324</v>
      </c>
      <c r="F216" s="1649"/>
      <c r="G216" s="1648">
        <f t="shared" si="34"/>
        <v>0</v>
      </c>
      <c r="H216" s="1648"/>
      <c r="I216" s="1648">
        <f t="shared" si="35"/>
        <v>0</v>
      </c>
      <c r="J216" s="1648"/>
      <c r="K216" s="1648">
        <f t="shared" si="36"/>
        <v>0</v>
      </c>
      <c r="L216" s="1648"/>
      <c r="M216" s="1648">
        <f t="shared" si="37"/>
        <v>0</v>
      </c>
      <c r="N216" s="1648">
        <f t="shared" si="38"/>
        <v>0</v>
      </c>
      <c r="O216" s="1648">
        <f t="shared" si="39"/>
        <v>0</v>
      </c>
      <c r="P216" s="1648">
        <f t="shared" si="40"/>
        <v>0</v>
      </c>
      <c r="Q216" s="1648">
        <f t="shared" si="41"/>
        <v>0</v>
      </c>
      <c r="R216" s="55">
        <f t="shared" si="42"/>
        <v>0</v>
      </c>
      <c r="S216" s="55">
        <f t="shared" si="43"/>
        <v>0</v>
      </c>
    </row>
    <row r="217" spans="1:19" ht="25.5" hidden="1" customHeight="1">
      <c r="A217" s="1857"/>
      <c r="B217" s="1648">
        <f t="shared" si="33"/>
        <v>0</v>
      </c>
      <c r="C217" s="1863" t="s">
        <v>5357</v>
      </c>
      <c r="D217" s="1649"/>
      <c r="E217" s="1687" t="s">
        <v>5324</v>
      </c>
      <c r="F217" s="1649"/>
      <c r="G217" s="1648">
        <f t="shared" si="34"/>
        <v>0</v>
      </c>
      <c r="H217" s="1648"/>
      <c r="I217" s="1648">
        <f t="shared" si="35"/>
        <v>0</v>
      </c>
      <c r="J217" s="1648"/>
      <c r="K217" s="1648">
        <f t="shared" si="36"/>
        <v>0</v>
      </c>
      <c r="L217" s="1648"/>
      <c r="M217" s="1648">
        <f t="shared" si="37"/>
        <v>0</v>
      </c>
      <c r="N217" s="1648">
        <f t="shared" si="38"/>
        <v>0</v>
      </c>
      <c r="O217" s="1648">
        <f t="shared" si="39"/>
        <v>0</v>
      </c>
      <c r="P217" s="1648">
        <f t="shared" si="40"/>
        <v>0</v>
      </c>
      <c r="Q217" s="1648">
        <f t="shared" si="41"/>
        <v>0</v>
      </c>
      <c r="R217" s="55">
        <f t="shared" si="42"/>
        <v>0</v>
      </c>
      <c r="S217" s="55">
        <f t="shared" si="43"/>
        <v>0</v>
      </c>
    </row>
    <row r="218" spans="1:19" ht="7.5" hidden="1" customHeight="1">
      <c r="A218" s="1858"/>
      <c r="B218" s="1648">
        <f t="shared" si="33"/>
        <v>0</v>
      </c>
      <c r="C218" s="1863" t="s">
        <v>5358</v>
      </c>
      <c r="D218" s="1649"/>
      <c r="E218" s="1687" t="s">
        <v>5324</v>
      </c>
      <c r="F218" s="1649"/>
      <c r="G218" s="1648">
        <f t="shared" si="34"/>
        <v>0</v>
      </c>
      <c r="H218" s="1648"/>
      <c r="I218" s="1648">
        <f t="shared" si="35"/>
        <v>0</v>
      </c>
      <c r="J218" s="1648"/>
      <c r="K218" s="1648">
        <f t="shared" si="36"/>
        <v>0</v>
      </c>
      <c r="L218" s="1648"/>
      <c r="M218" s="1648">
        <f t="shared" si="37"/>
        <v>0</v>
      </c>
      <c r="N218" s="1648">
        <f t="shared" si="38"/>
        <v>0</v>
      </c>
      <c r="O218" s="1648">
        <f t="shared" si="39"/>
        <v>0</v>
      </c>
      <c r="P218" s="1648">
        <f t="shared" si="40"/>
        <v>0</v>
      </c>
      <c r="Q218" s="1648">
        <f t="shared" si="41"/>
        <v>0</v>
      </c>
      <c r="R218" s="55">
        <f t="shared" si="42"/>
        <v>0</v>
      </c>
      <c r="S218" s="55">
        <f t="shared" si="43"/>
        <v>0</v>
      </c>
    </row>
    <row r="219" spans="1:19" ht="57.75" hidden="1" customHeight="1">
      <c r="A219" s="1854">
        <v>12.1</v>
      </c>
      <c r="B219" s="1648">
        <f t="shared" si="33"/>
        <v>0</v>
      </c>
      <c r="C219" s="1864" t="s">
        <v>5385</v>
      </c>
      <c r="D219" s="1649"/>
      <c r="E219" s="1687" t="s">
        <v>5324</v>
      </c>
      <c r="F219" s="1649"/>
      <c r="G219" s="1648">
        <f t="shared" si="34"/>
        <v>0</v>
      </c>
      <c r="H219" s="1648"/>
      <c r="I219" s="1648">
        <f t="shared" si="35"/>
        <v>0</v>
      </c>
      <c r="J219" s="1648"/>
      <c r="K219" s="1648">
        <f t="shared" si="36"/>
        <v>0</v>
      </c>
      <c r="L219" s="1648"/>
      <c r="M219" s="1648">
        <f t="shared" si="37"/>
        <v>0</v>
      </c>
      <c r="N219" s="1648">
        <f t="shared" si="38"/>
        <v>0</v>
      </c>
      <c r="O219" s="1648">
        <f t="shared" si="39"/>
        <v>0</v>
      </c>
      <c r="P219" s="1648">
        <f t="shared" si="40"/>
        <v>0</v>
      </c>
      <c r="Q219" s="1648">
        <f t="shared" si="41"/>
        <v>0</v>
      </c>
      <c r="R219" s="55">
        <f t="shared" si="42"/>
        <v>0</v>
      </c>
      <c r="S219" s="55">
        <f t="shared" si="43"/>
        <v>0</v>
      </c>
    </row>
    <row r="220" spans="1:19" s="57" customFormat="1" ht="34.5" hidden="1" customHeight="1">
      <c r="A220" s="1687"/>
      <c r="B220" s="1648">
        <f t="shared" si="33"/>
        <v>0</v>
      </c>
      <c r="C220" s="1863" t="s">
        <v>3380</v>
      </c>
      <c r="D220" s="1649">
        <f>ROUND(Data!K467,2)</f>
        <v>409.05</v>
      </c>
      <c r="E220" s="1687" t="s">
        <v>5324</v>
      </c>
      <c r="F220" s="1649"/>
      <c r="G220" s="1648">
        <f t="shared" si="34"/>
        <v>0</v>
      </c>
      <c r="H220" s="1648"/>
      <c r="I220" s="1648">
        <f t="shared" si="35"/>
        <v>0</v>
      </c>
      <c r="J220" s="1648"/>
      <c r="K220" s="1648">
        <f t="shared" si="36"/>
        <v>0</v>
      </c>
      <c r="L220" s="1648"/>
      <c r="M220" s="1648">
        <f t="shared" si="37"/>
        <v>0</v>
      </c>
      <c r="N220" s="1648">
        <f t="shared" si="38"/>
        <v>0</v>
      </c>
      <c r="O220" s="1648">
        <f t="shared" si="39"/>
        <v>0</v>
      </c>
      <c r="P220" s="1648">
        <f t="shared" si="40"/>
        <v>0</v>
      </c>
      <c r="Q220" s="1648">
        <f t="shared" si="41"/>
        <v>0</v>
      </c>
      <c r="R220" s="55">
        <f t="shared" si="42"/>
        <v>0</v>
      </c>
      <c r="S220" s="55">
        <f t="shared" si="43"/>
        <v>0</v>
      </c>
    </row>
    <row r="221" spans="1:19" s="57" customFormat="1" ht="43.5" hidden="1" customHeight="1">
      <c r="A221" s="1687"/>
      <c r="B221" s="1648">
        <f t="shared" si="33"/>
        <v>0</v>
      </c>
      <c r="C221" s="1863" t="s">
        <v>4812</v>
      </c>
      <c r="D221" s="1649">
        <f>ROUND(Data!K468,2)</f>
        <v>417.35</v>
      </c>
      <c r="E221" s="1687" t="s">
        <v>5324</v>
      </c>
      <c r="F221" s="1649"/>
      <c r="G221" s="1648">
        <f t="shared" si="34"/>
        <v>0</v>
      </c>
      <c r="H221" s="1648"/>
      <c r="I221" s="1648">
        <f t="shared" si="35"/>
        <v>0</v>
      </c>
      <c r="J221" s="1648"/>
      <c r="K221" s="1648">
        <f t="shared" si="36"/>
        <v>0</v>
      </c>
      <c r="L221" s="1648"/>
      <c r="M221" s="1648">
        <f t="shared" si="37"/>
        <v>0</v>
      </c>
      <c r="N221" s="1648">
        <f t="shared" si="38"/>
        <v>0</v>
      </c>
      <c r="O221" s="1648">
        <f t="shared" si="39"/>
        <v>0</v>
      </c>
      <c r="P221" s="1648">
        <f t="shared" si="40"/>
        <v>0</v>
      </c>
      <c r="Q221" s="1648">
        <f t="shared" si="41"/>
        <v>0</v>
      </c>
      <c r="R221" s="55">
        <f t="shared" si="42"/>
        <v>0</v>
      </c>
      <c r="S221" s="55">
        <f t="shared" si="43"/>
        <v>0</v>
      </c>
    </row>
    <row r="222" spans="1:19" s="57" customFormat="1" ht="43.5" hidden="1" customHeight="1">
      <c r="A222" s="1687"/>
      <c r="B222" s="1648">
        <f t="shared" si="33"/>
        <v>0</v>
      </c>
      <c r="C222" s="1863" t="s">
        <v>5356</v>
      </c>
      <c r="D222" s="1649">
        <f>ROUND(Data!K469,2)</f>
        <v>425.65</v>
      </c>
      <c r="E222" s="1687" t="s">
        <v>5324</v>
      </c>
      <c r="F222" s="1649"/>
      <c r="G222" s="1648">
        <f t="shared" si="34"/>
        <v>0</v>
      </c>
      <c r="H222" s="1648"/>
      <c r="I222" s="1648">
        <f t="shared" si="35"/>
        <v>0</v>
      </c>
      <c r="J222" s="1648"/>
      <c r="K222" s="1648">
        <f t="shared" si="36"/>
        <v>0</v>
      </c>
      <c r="L222" s="1648"/>
      <c r="M222" s="1648">
        <f t="shared" si="37"/>
        <v>0</v>
      </c>
      <c r="N222" s="1648">
        <f t="shared" si="38"/>
        <v>0</v>
      </c>
      <c r="O222" s="1648">
        <f t="shared" si="39"/>
        <v>0</v>
      </c>
      <c r="P222" s="1648">
        <f t="shared" si="40"/>
        <v>0</v>
      </c>
      <c r="Q222" s="1648">
        <f t="shared" si="41"/>
        <v>0</v>
      </c>
      <c r="R222" s="55">
        <f t="shared" si="42"/>
        <v>0</v>
      </c>
      <c r="S222" s="55">
        <f t="shared" si="43"/>
        <v>0</v>
      </c>
    </row>
    <row r="223" spans="1:19" s="57" customFormat="1" ht="43.5" hidden="1" customHeight="1">
      <c r="A223" s="1687"/>
      <c r="B223" s="1648">
        <f t="shared" si="33"/>
        <v>0</v>
      </c>
      <c r="C223" s="1863" t="s">
        <v>5357</v>
      </c>
      <c r="D223" s="1649">
        <f>ROUND(Data!K470,2)</f>
        <v>433.95</v>
      </c>
      <c r="E223" s="1687" t="s">
        <v>5324</v>
      </c>
      <c r="F223" s="1649"/>
      <c r="G223" s="1648">
        <f t="shared" si="34"/>
        <v>0</v>
      </c>
      <c r="H223" s="1648"/>
      <c r="I223" s="1648">
        <f t="shared" si="35"/>
        <v>0</v>
      </c>
      <c r="J223" s="1648"/>
      <c r="K223" s="1648">
        <f t="shared" si="36"/>
        <v>0</v>
      </c>
      <c r="L223" s="1648"/>
      <c r="M223" s="1648">
        <f t="shared" si="37"/>
        <v>0</v>
      </c>
      <c r="N223" s="1648">
        <f t="shared" si="38"/>
        <v>0</v>
      </c>
      <c r="O223" s="1648">
        <f t="shared" si="39"/>
        <v>0</v>
      </c>
      <c r="P223" s="1648">
        <f t="shared" si="40"/>
        <v>0</v>
      </c>
      <c r="Q223" s="1648">
        <f t="shared" si="41"/>
        <v>0</v>
      </c>
      <c r="R223" s="55">
        <f t="shared" si="42"/>
        <v>0</v>
      </c>
      <c r="S223" s="55">
        <f t="shared" si="43"/>
        <v>0</v>
      </c>
    </row>
    <row r="224" spans="1:19" ht="43.5" hidden="1" customHeight="1">
      <c r="A224" s="1688"/>
      <c r="B224" s="1648">
        <f t="shared" si="33"/>
        <v>0</v>
      </c>
      <c r="C224" s="1863" t="s">
        <v>5358</v>
      </c>
      <c r="D224" s="1649">
        <f>ROUND(Data!K471,2)</f>
        <v>442.25</v>
      </c>
      <c r="E224" s="1687" t="s">
        <v>5324</v>
      </c>
      <c r="F224" s="1649"/>
      <c r="G224" s="1648">
        <f t="shared" si="34"/>
        <v>0</v>
      </c>
      <c r="H224" s="1648"/>
      <c r="I224" s="1648">
        <f t="shared" si="35"/>
        <v>0</v>
      </c>
      <c r="J224" s="1648"/>
      <c r="K224" s="1648">
        <f t="shared" si="36"/>
        <v>0</v>
      </c>
      <c r="L224" s="1648"/>
      <c r="M224" s="1648">
        <f t="shared" si="37"/>
        <v>0</v>
      </c>
      <c r="N224" s="1648">
        <f t="shared" si="38"/>
        <v>0</v>
      </c>
      <c r="O224" s="1648">
        <f t="shared" si="39"/>
        <v>0</v>
      </c>
      <c r="P224" s="1648">
        <f t="shared" si="40"/>
        <v>0</v>
      </c>
      <c r="Q224" s="1648">
        <f t="shared" si="41"/>
        <v>0</v>
      </c>
      <c r="R224" s="55">
        <f t="shared" si="42"/>
        <v>0</v>
      </c>
      <c r="S224" s="55">
        <f t="shared" si="43"/>
        <v>0</v>
      </c>
    </row>
    <row r="225" spans="1:19" ht="69.75" hidden="1" customHeight="1">
      <c r="A225" s="1854">
        <v>12.2</v>
      </c>
      <c r="B225" s="1648">
        <f t="shared" si="33"/>
        <v>0</v>
      </c>
      <c r="C225" s="1863" t="s">
        <v>5386</v>
      </c>
      <c r="D225" s="1649"/>
      <c r="E225" s="1687" t="s">
        <v>5324</v>
      </c>
      <c r="F225" s="1649"/>
      <c r="G225" s="1648">
        <f t="shared" si="34"/>
        <v>0</v>
      </c>
      <c r="H225" s="1648"/>
      <c r="I225" s="1648">
        <f t="shared" si="35"/>
        <v>0</v>
      </c>
      <c r="J225" s="1648"/>
      <c r="K225" s="1648">
        <f t="shared" si="36"/>
        <v>0</v>
      </c>
      <c r="L225" s="1648"/>
      <c r="M225" s="1648">
        <f t="shared" si="37"/>
        <v>0</v>
      </c>
      <c r="N225" s="1648">
        <f t="shared" si="38"/>
        <v>0</v>
      </c>
      <c r="O225" s="1648">
        <f t="shared" si="39"/>
        <v>0</v>
      </c>
      <c r="P225" s="1648">
        <f t="shared" si="40"/>
        <v>0</v>
      </c>
      <c r="Q225" s="1648">
        <f t="shared" si="41"/>
        <v>0</v>
      </c>
      <c r="R225" s="55">
        <f t="shared" si="42"/>
        <v>0</v>
      </c>
      <c r="S225" s="55">
        <f t="shared" si="43"/>
        <v>0</v>
      </c>
    </row>
    <row r="226" spans="1:19" ht="25.5" hidden="1" customHeight="1">
      <c r="A226" s="1687"/>
      <c r="B226" s="1648">
        <f t="shared" si="33"/>
        <v>0</v>
      </c>
      <c r="C226" s="1863" t="s">
        <v>3380</v>
      </c>
      <c r="D226" s="1649"/>
      <c r="E226" s="1687" t="s">
        <v>5324</v>
      </c>
      <c r="F226" s="1649"/>
      <c r="G226" s="1648">
        <f t="shared" si="34"/>
        <v>0</v>
      </c>
      <c r="H226" s="1648"/>
      <c r="I226" s="1648">
        <f t="shared" si="35"/>
        <v>0</v>
      </c>
      <c r="J226" s="1648"/>
      <c r="K226" s="1648">
        <f t="shared" si="36"/>
        <v>0</v>
      </c>
      <c r="L226" s="1648"/>
      <c r="M226" s="1648">
        <f t="shared" si="37"/>
        <v>0</v>
      </c>
      <c r="N226" s="1648">
        <f t="shared" si="38"/>
        <v>0</v>
      </c>
      <c r="O226" s="1648">
        <f t="shared" si="39"/>
        <v>0</v>
      </c>
      <c r="P226" s="1648">
        <f t="shared" si="40"/>
        <v>0</v>
      </c>
      <c r="Q226" s="1648">
        <f t="shared" si="41"/>
        <v>0</v>
      </c>
      <c r="R226" s="55">
        <f t="shared" si="42"/>
        <v>0</v>
      </c>
      <c r="S226" s="55">
        <f t="shared" si="43"/>
        <v>0</v>
      </c>
    </row>
    <row r="227" spans="1:19" ht="25.5" hidden="1" customHeight="1">
      <c r="A227" s="1687"/>
      <c r="B227" s="1648">
        <f t="shared" si="33"/>
        <v>0</v>
      </c>
      <c r="C227" s="1863" t="s">
        <v>4812</v>
      </c>
      <c r="D227" s="1649"/>
      <c r="E227" s="1687" t="s">
        <v>5324</v>
      </c>
      <c r="F227" s="1649"/>
      <c r="G227" s="1648">
        <f t="shared" si="34"/>
        <v>0</v>
      </c>
      <c r="H227" s="1648"/>
      <c r="I227" s="1648">
        <f t="shared" si="35"/>
        <v>0</v>
      </c>
      <c r="J227" s="1648"/>
      <c r="K227" s="1648">
        <f t="shared" si="36"/>
        <v>0</v>
      </c>
      <c r="L227" s="1648"/>
      <c r="M227" s="1648">
        <f t="shared" si="37"/>
        <v>0</v>
      </c>
      <c r="N227" s="1648">
        <f t="shared" si="38"/>
        <v>0</v>
      </c>
      <c r="O227" s="1648">
        <f t="shared" si="39"/>
        <v>0</v>
      </c>
      <c r="P227" s="1648">
        <f t="shared" si="40"/>
        <v>0</v>
      </c>
      <c r="Q227" s="1648">
        <f t="shared" si="41"/>
        <v>0</v>
      </c>
      <c r="R227" s="55">
        <f t="shared" si="42"/>
        <v>0</v>
      </c>
      <c r="S227" s="55">
        <f t="shared" si="43"/>
        <v>0</v>
      </c>
    </row>
    <row r="228" spans="1:19" ht="25.5" hidden="1" customHeight="1">
      <c r="A228" s="1687"/>
      <c r="B228" s="1648">
        <f t="shared" si="33"/>
        <v>0</v>
      </c>
      <c r="C228" s="1863" t="s">
        <v>5356</v>
      </c>
      <c r="D228" s="1649"/>
      <c r="E228" s="1687" t="s">
        <v>5324</v>
      </c>
      <c r="F228" s="1649"/>
      <c r="G228" s="1648">
        <f t="shared" si="34"/>
        <v>0</v>
      </c>
      <c r="H228" s="1648"/>
      <c r="I228" s="1648">
        <f t="shared" si="35"/>
        <v>0</v>
      </c>
      <c r="J228" s="1648"/>
      <c r="K228" s="1648">
        <f t="shared" si="36"/>
        <v>0</v>
      </c>
      <c r="L228" s="1648"/>
      <c r="M228" s="1648">
        <f t="shared" si="37"/>
        <v>0</v>
      </c>
      <c r="N228" s="1648">
        <f t="shared" si="38"/>
        <v>0</v>
      </c>
      <c r="O228" s="1648">
        <f t="shared" si="39"/>
        <v>0</v>
      </c>
      <c r="P228" s="1648">
        <f t="shared" si="40"/>
        <v>0</v>
      </c>
      <c r="Q228" s="1648">
        <f t="shared" si="41"/>
        <v>0</v>
      </c>
      <c r="R228" s="55">
        <f t="shared" si="42"/>
        <v>0</v>
      </c>
      <c r="S228" s="55">
        <f t="shared" si="43"/>
        <v>0</v>
      </c>
    </row>
    <row r="229" spans="1:19" ht="25.5" hidden="1" customHeight="1">
      <c r="A229" s="1687"/>
      <c r="B229" s="1648">
        <f t="shared" si="33"/>
        <v>0</v>
      </c>
      <c r="C229" s="1863" t="s">
        <v>5357</v>
      </c>
      <c r="D229" s="1649"/>
      <c r="E229" s="1687" t="s">
        <v>5324</v>
      </c>
      <c r="F229" s="1649"/>
      <c r="G229" s="1648">
        <f t="shared" si="34"/>
        <v>0</v>
      </c>
      <c r="H229" s="1648"/>
      <c r="I229" s="1648">
        <f t="shared" si="35"/>
        <v>0</v>
      </c>
      <c r="J229" s="1648"/>
      <c r="K229" s="1648">
        <f t="shared" si="36"/>
        <v>0</v>
      </c>
      <c r="L229" s="1648"/>
      <c r="M229" s="1648">
        <f t="shared" si="37"/>
        <v>0</v>
      </c>
      <c r="N229" s="1648">
        <f t="shared" si="38"/>
        <v>0</v>
      </c>
      <c r="O229" s="1648">
        <f t="shared" si="39"/>
        <v>0</v>
      </c>
      <c r="P229" s="1648">
        <f t="shared" si="40"/>
        <v>0</v>
      </c>
      <c r="Q229" s="1648">
        <f t="shared" si="41"/>
        <v>0</v>
      </c>
      <c r="R229" s="55">
        <f t="shared" si="42"/>
        <v>0</v>
      </c>
      <c r="S229" s="55">
        <f t="shared" si="43"/>
        <v>0</v>
      </c>
    </row>
    <row r="230" spans="1:19" ht="25.5" hidden="1" customHeight="1">
      <c r="A230" s="1688"/>
      <c r="B230" s="1648">
        <f t="shared" si="33"/>
        <v>0</v>
      </c>
      <c r="C230" s="1863" t="s">
        <v>5358</v>
      </c>
      <c r="D230" s="1649"/>
      <c r="E230" s="1687" t="s">
        <v>5324</v>
      </c>
      <c r="F230" s="1649"/>
      <c r="G230" s="1648">
        <f t="shared" si="34"/>
        <v>0</v>
      </c>
      <c r="H230" s="1648"/>
      <c r="I230" s="1648">
        <f t="shared" si="35"/>
        <v>0</v>
      </c>
      <c r="J230" s="1648"/>
      <c r="K230" s="1648">
        <f t="shared" si="36"/>
        <v>0</v>
      </c>
      <c r="L230" s="1648"/>
      <c r="M230" s="1648">
        <f t="shared" si="37"/>
        <v>0</v>
      </c>
      <c r="N230" s="1648">
        <f t="shared" si="38"/>
        <v>0</v>
      </c>
      <c r="O230" s="1648">
        <f t="shared" si="39"/>
        <v>0</v>
      </c>
      <c r="P230" s="1648">
        <f t="shared" si="40"/>
        <v>0</v>
      </c>
      <c r="Q230" s="1648">
        <f t="shared" si="41"/>
        <v>0</v>
      </c>
      <c r="R230" s="55">
        <f t="shared" si="42"/>
        <v>0</v>
      </c>
      <c r="S230" s="55">
        <f t="shared" si="43"/>
        <v>0</v>
      </c>
    </row>
    <row r="231" spans="1:19" ht="25.5" hidden="1" customHeight="1">
      <c r="A231" s="1688"/>
      <c r="B231" s="1648">
        <f t="shared" si="33"/>
        <v>0</v>
      </c>
      <c r="C231" s="1863"/>
      <c r="D231" s="1649"/>
      <c r="E231" s="1687" t="s">
        <v>5324</v>
      </c>
      <c r="F231" s="1649"/>
      <c r="G231" s="1648">
        <f t="shared" si="34"/>
        <v>0</v>
      </c>
      <c r="H231" s="1648"/>
      <c r="I231" s="1648">
        <f t="shared" si="35"/>
        <v>0</v>
      </c>
      <c r="J231" s="1648"/>
      <c r="K231" s="1648">
        <f t="shared" si="36"/>
        <v>0</v>
      </c>
      <c r="L231" s="1648"/>
      <c r="M231" s="1648">
        <f t="shared" si="37"/>
        <v>0</v>
      </c>
      <c r="N231" s="1648">
        <f t="shared" si="38"/>
        <v>0</v>
      </c>
      <c r="O231" s="1648">
        <f t="shared" si="39"/>
        <v>0</v>
      </c>
      <c r="P231" s="1648">
        <f t="shared" si="40"/>
        <v>0</v>
      </c>
      <c r="Q231" s="1648">
        <f t="shared" si="41"/>
        <v>0</v>
      </c>
      <c r="R231" s="55">
        <f t="shared" si="42"/>
        <v>0</v>
      </c>
      <c r="S231" s="55">
        <f t="shared" si="43"/>
        <v>0</v>
      </c>
    </row>
    <row r="232" spans="1:19" ht="43.5" hidden="1" customHeight="1">
      <c r="A232" s="1688"/>
      <c r="B232" s="1648">
        <f t="shared" si="33"/>
        <v>0</v>
      </c>
      <c r="C232" s="1863" t="s">
        <v>7561</v>
      </c>
      <c r="D232" s="1649">
        <f>Data!AG452</f>
        <v>652.88</v>
      </c>
      <c r="E232" s="1687" t="s">
        <v>5324</v>
      </c>
      <c r="F232" s="1649"/>
      <c r="G232" s="1648">
        <f t="shared" si="34"/>
        <v>0</v>
      </c>
      <c r="H232" s="1648"/>
      <c r="I232" s="1648">
        <f t="shared" si="35"/>
        <v>0</v>
      </c>
      <c r="J232" s="1648"/>
      <c r="K232" s="1648">
        <f t="shared" si="36"/>
        <v>0</v>
      </c>
      <c r="L232" s="1648"/>
      <c r="M232" s="1648">
        <f t="shared" si="37"/>
        <v>0</v>
      </c>
      <c r="N232" s="1648">
        <f t="shared" si="38"/>
        <v>0</v>
      </c>
      <c r="O232" s="1648">
        <f t="shared" si="39"/>
        <v>0</v>
      </c>
      <c r="P232" s="1648">
        <f t="shared" si="40"/>
        <v>0</v>
      </c>
      <c r="Q232" s="1648">
        <f t="shared" si="41"/>
        <v>0</v>
      </c>
      <c r="R232" s="55">
        <f t="shared" si="42"/>
        <v>0</v>
      </c>
      <c r="S232" s="55">
        <f t="shared" si="43"/>
        <v>0</v>
      </c>
    </row>
    <row r="233" spans="1:19" s="1642" customFormat="1" ht="46.5" customHeight="1">
      <c r="A233" s="1854">
        <v>13.1</v>
      </c>
      <c r="B233" s="1648">
        <f t="shared" si="33"/>
        <v>130.80000000000001</v>
      </c>
      <c r="C233" s="1863" t="s">
        <v>5387</v>
      </c>
      <c r="D233" s="1649">
        <f>ROUND(Data!K482,2)</f>
        <v>40.65</v>
      </c>
      <c r="E233" s="1687" t="s">
        <v>5296</v>
      </c>
      <c r="F233" s="1649">
        <f>'Detail '!I790</f>
        <v>130.80000000000001</v>
      </c>
      <c r="G233" s="1648">
        <f t="shared" si="34"/>
        <v>5317.02</v>
      </c>
      <c r="H233" s="1648"/>
      <c r="I233" s="1648">
        <f t="shared" si="35"/>
        <v>0</v>
      </c>
      <c r="J233" s="1648"/>
      <c r="K233" s="1648">
        <f t="shared" si="36"/>
        <v>0</v>
      </c>
      <c r="L233" s="1648"/>
      <c r="M233" s="1648">
        <f t="shared" si="37"/>
        <v>0</v>
      </c>
      <c r="N233" s="1648">
        <f t="shared" si="38"/>
        <v>0</v>
      </c>
      <c r="O233" s="1648">
        <f t="shared" si="39"/>
        <v>0</v>
      </c>
      <c r="P233" s="1648">
        <f t="shared" si="40"/>
        <v>130.80000000000001</v>
      </c>
      <c r="Q233" s="1648">
        <f t="shared" si="41"/>
        <v>5317.02</v>
      </c>
      <c r="R233" s="55">
        <f t="shared" si="42"/>
        <v>5317.02</v>
      </c>
      <c r="S233" s="55">
        <f t="shared" si="43"/>
        <v>0</v>
      </c>
    </row>
    <row r="234" spans="1:19" ht="62.25" hidden="1" customHeight="1">
      <c r="A234" s="1854">
        <v>13.2</v>
      </c>
      <c r="B234" s="1648">
        <f t="shared" si="33"/>
        <v>0</v>
      </c>
      <c r="C234" s="1863" t="s">
        <v>5388</v>
      </c>
      <c r="D234" s="1649"/>
      <c r="E234" s="1687" t="s">
        <v>5296</v>
      </c>
      <c r="F234" s="1649"/>
      <c r="G234" s="1648">
        <f t="shared" si="34"/>
        <v>0</v>
      </c>
      <c r="H234" s="1648"/>
      <c r="I234" s="1648">
        <f t="shared" si="35"/>
        <v>0</v>
      </c>
      <c r="J234" s="1648"/>
      <c r="K234" s="1648">
        <f t="shared" si="36"/>
        <v>0</v>
      </c>
      <c r="L234" s="1648"/>
      <c r="M234" s="1648">
        <f t="shared" si="37"/>
        <v>0</v>
      </c>
      <c r="N234" s="1648">
        <f t="shared" si="38"/>
        <v>0</v>
      </c>
      <c r="O234" s="1648">
        <f t="shared" si="39"/>
        <v>0</v>
      </c>
      <c r="P234" s="1648">
        <f t="shared" si="40"/>
        <v>0</v>
      </c>
      <c r="Q234" s="1648">
        <f t="shared" si="41"/>
        <v>0</v>
      </c>
      <c r="R234" s="55">
        <f t="shared" si="42"/>
        <v>0</v>
      </c>
      <c r="S234" s="55">
        <f t="shared" si="43"/>
        <v>0</v>
      </c>
    </row>
    <row r="235" spans="1:19" s="57" customFormat="1" ht="38.25" hidden="1" customHeight="1">
      <c r="A235" s="1687" t="s">
        <v>691</v>
      </c>
      <c r="B235" s="1648">
        <f t="shared" si="33"/>
        <v>0</v>
      </c>
      <c r="C235" s="1864" t="s">
        <v>5389</v>
      </c>
      <c r="D235" s="1649"/>
      <c r="E235" s="1687"/>
      <c r="F235" s="1649"/>
      <c r="G235" s="1648">
        <f t="shared" si="34"/>
        <v>0</v>
      </c>
      <c r="H235" s="1648"/>
      <c r="I235" s="1648">
        <f t="shared" si="35"/>
        <v>0</v>
      </c>
      <c r="J235" s="1648"/>
      <c r="K235" s="1648">
        <f t="shared" si="36"/>
        <v>0</v>
      </c>
      <c r="L235" s="1648"/>
      <c r="M235" s="1648">
        <f t="shared" si="37"/>
        <v>0</v>
      </c>
      <c r="N235" s="1648">
        <f t="shared" si="38"/>
        <v>0</v>
      </c>
      <c r="O235" s="1648">
        <f t="shared" si="39"/>
        <v>0</v>
      </c>
      <c r="P235" s="1648">
        <f t="shared" si="40"/>
        <v>0</v>
      </c>
      <c r="Q235" s="1648">
        <f t="shared" si="41"/>
        <v>0</v>
      </c>
      <c r="R235" s="55">
        <f t="shared" si="42"/>
        <v>0</v>
      </c>
      <c r="S235" s="55">
        <f t="shared" si="43"/>
        <v>0</v>
      </c>
    </row>
    <row r="236" spans="1:19" s="57" customFormat="1" ht="50.25" hidden="1" customHeight="1">
      <c r="A236" s="1687"/>
      <c r="B236" s="1648">
        <f t="shared" si="33"/>
        <v>0</v>
      </c>
      <c r="C236" s="1863" t="s">
        <v>5341</v>
      </c>
      <c r="D236" s="1649">
        <f>ROUND(Data!K535,2)</f>
        <v>1538.39</v>
      </c>
      <c r="E236" s="1687" t="s">
        <v>5324</v>
      </c>
      <c r="F236" s="1649"/>
      <c r="G236" s="1648">
        <f t="shared" si="34"/>
        <v>0</v>
      </c>
      <c r="H236" s="1648"/>
      <c r="I236" s="1648">
        <f t="shared" si="35"/>
        <v>0</v>
      </c>
      <c r="J236" s="1648"/>
      <c r="K236" s="1648">
        <f t="shared" si="36"/>
        <v>0</v>
      </c>
      <c r="L236" s="1648"/>
      <c r="M236" s="1648">
        <f t="shared" si="37"/>
        <v>0</v>
      </c>
      <c r="N236" s="1648">
        <f t="shared" si="38"/>
        <v>0</v>
      </c>
      <c r="O236" s="1648">
        <f t="shared" si="39"/>
        <v>0</v>
      </c>
      <c r="P236" s="1648">
        <f t="shared" si="40"/>
        <v>0</v>
      </c>
      <c r="Q236" s="1648">
        <f t="shared" si="41"/>
        <v>0</v>
      </c>
      <c r="R236" s="55">
        <f t="shared" si="42"/>
        <v>0</v>
      </c>
      <c r="S236" s="55">
        <f t="shared" si="43"/>
        <v>0</v>
      </c>
    </row>
    <row r="237" spans="1:19" s="57" customFormat="1" ht="50.25" hidden="1" customHeight="1">
      <c r="A237" s="1687"/>
      <c r="B237" s="1648">
        <f t="shared" si="33"/>
        <v>0</v>
      </c>
      <c r="C237" s="1863" t="s">
        <v>5342</v>
      </c>
      <c r="D237" s="1649">
        <f>ROUND(Data!K536,2)</f>
        <v>1543.36</v>
      </c>
      <c r="E237" s="1687" t="s">
        <v>5324</v>
      </c>
      <c r="F237" s="1649"/>
      <c r="G237" s="1648">
        <f t="shared" si="34"/>
        <v>0</v>
      </c>
      <c r="H237" s="1648"/>
      <c r="I237" s="1648">
        <f t="shared" si="35"/>
        <v>0</v>
      </c>
      <c r="J237" s="1648"/>
      <c r="K237" s="1648">
        <f t="shared" si="36"/>
        <v>0</v>
      </c>
      <c r="L237" s="1648"/>
      <c r="M237" s="1648">
        <f t="shared" si="37"/>
        <v>0</v>
      </c>
      <c r="N237" s="1648">
        <f t="shared" si="38"/>
        <v>0</v>
      </c>
      <c r="O237" s="1648">
        <f t="shared" si="39"/>
        <v>0</v>
      </c>
      <c r="P237" s="1648">
        <f t="shared" si="40"/>
        <v>0</v>
      </c>
      <c r="Q237" s="1648">
        <f t="shared" si="41"/>
        <v>0</v>
      </c>
      <c r="R237" s="55">
        <f t="shared" si="42"/>
        <v>0</v>
      </c>
      <c r="S237" s="55">
        <f t="shared" si="43"/>
        <v>0</v>
      </c>
    </row>
    <row r="238" spans="1:19" s="57" customFormat="1" ht="50.25" hidden="1" customHeight="1">
      <c r="A238" s="1687"/>
      <c r="B238" s="1648">
        <f t="shared" si="33"/>
        <v>0</v>
      </c>
      <c r="C238" s="1863" t="s">
        <v>5343</v>
      </c>
      <c r="D238" s="1649">
        <f>ROUND(Data!K537,2)</f>
        <v>1548.33</v>
      </c>
      <c r="E238" s="1687" t="s">
        <v>5324</v>
      </c>
      <c r="F238" s="1649"/>
      <c r="G238" s="1648">
        <f t="shared" si="34"/>
        <v>0</v>
      </c>
      <c r="H238" s="1648"/>
      <c r="I238" s="1648">
        <f t="shared" si="35"/>
        <v>0</v>
      </c>
      <c r="J238" s="1648"/>
      <c r="K238" s="1648">
        <f t="shared" si="36"/>
        <v>0</v>
      </c>
      <c r="L238" s="1648"/>
      <c r="M238" s="1648">
        <f t="shared" si="37"/>
        <v>0</v>
      </c>
      <c r="N238" s="1648">
        <f t="shared" si="38"/>
        <v>0</v>
      </c>
      <c r="O238" s="1648">
        <f t="shared" si="39"/>
        <v>0</v>
      </c>
      <c r="P238" s="1648">
        <f t="shared" si="40"/>
        <v>0</v>
      </c>
      <c r="Q238" s="1648">
        <f t="shared" si="41"/>
        <v>0</v>
      </c>
      <c r="R238" s="55">
        <f t="shared" si="42"/>
        <v>0</v>
      </c>
      <c r="S238" s="55">
        <f t="shared" si="43"/>
        <v>0</v>
      </c>
    </row>
    <row r="239" spans="1:19" s="57" customFormat="1" ht="50.25" hidden="1" customHeight="1">
      <c r="A239" s="1687"/>
      <c r="B239" s="1648">
        <f t="shared" si="33"/>
        <v>0</v>
      </c>
      <c r="C239" s="1863" t="s">
        <v>5344</v>
      </c>
      <c r="D239" s="1649">
        <f>ROUND(Data!K538,2)</f>
        <v>1553.3</v>
      </c>
      <c r="E239" s="1687" t="s">
        <v>5324</v>
      </c>
      <c r="F239" s="1649"/>
      <c r="G239" s="1648">
        <f t="shared" si="34"/>
        <v>0</v>
      </c>
      <c r="H239" s="1648"/>
      <c r="I239" s="1648">
        <f t="shared" si="35"/>
        <v>0</v>
      </c>
      <c r="J239" s="1648"/>
      <c r="K239" s="1648">
        <f t="shared" si="36"/>
        <v>0</v>
      </c>
      <c r="L239" s="1648"/>
      <c r="M239" s="1648">
        <f t="shared" si="37"/>
        <v>0</v>
      </c>
      <c r="N239" s="1648">
        <f t="shared" si="38"/>
        <v>0</v>
      </c>
      <c r="O239" s="1648">
        <f t="shared" si="39"/>
        <v>0</v>
      </c>
      <c r="P239" s="1648">
        <f t="shared" si="40"/>
        <v>0</v>
      </c>
      <c r="Q239" s="1648">
        <f t="shared" si="41"/>
        <v>0</v>
      </c>
      <c r="R239" s="55">
        <f t="shared" si="42"/>
        <v>0</v>
      </c>
      <c r="S239" s="55">
        <f t="shared" si="43"/>
        <v>0</v>
      </c>
    </row>
    <row r="240" spans="1:19" ht="41.25" hidden="1" customHeight="1">
      <c r="A240" s="1688"/>
      <c r="B240" s="1648">
        <f t="shared" si="33"/>
        <v>0</v>
      </c>
      <c r="C240" s="1863" t="s">
        <v>5345</v>
      </c>
      <c r="D240" s="1649">
        <f>ROUND(Data!K539,2)</f>
        <v>1558.27</v>
      </c>
      <c r="E240" s="1687" t="s">
        <v>5324</v>
      </c>
      <c r="F240" s="1649"/>
      <c r="G240" s="1648">
        <f t="shared" si="34"/>
        <v>0</v>
      </c>
      <c r="H240" s="1648"/>
      <c r="I240" s="1648">
        <f t="shared" si="35"/>
        <v>0</v>
      </c>
      <c r="J240" s="1648"/>
      <c r="K240" s="1648">
        <f t="shared" si="36"/>
        <v>0</v>
      </c>
      <c r="L240" s="1648"/>
      <c r="M240" s="1648">
        <f t="shared" si="37"/>
        <v>0</v>
      </c>
      <c r="N240" s="1648">
        <f t="shared" si="38"/>
        <v>0</v>
      </c>
      <c r="O240" s="1648">
        <f t="shared" si="39"/>
        <v>0</v>
      </c>
      <c r="P240" s="1648">
        <f t="shared" si="40"/>
        <v>0</v>
      </c>
      <c r="Q240" s="1648">
        <f t="shared" si="41"/>
        <v>0</v>
      </c>
      <c r="R240" s="55">
        <f t="shared" si="42"/>
        <v>0</v>
      </c>
      <c r="S240" s="55">
        <f t="shared" si="43"/>
        <v>0</v>
      </c>
    </row>
    <row r="241" spans="1:19" ht="41.25" hidden="1" customHeight="1">
      <c r="A241" s="1688"/>
      <c r="B241" s="1648">
        <f t="shared" si="33"/>
        <v>0</v>
      </c>
      <c r="C241" s="1863" t="s">
        <v>5347</v>
      </c>
      <c r="D241" s="1649">
        <f>ROUND(Data!K540,2)</f>
        <v>1563.24</v>
      </c>
      <c r="E241" s="1687" t="s">
        <v>5324</v>
      </c>
      <c r="F241" s="1649"/>
      <c r="G241" s="1648">
        <f t="shared" si="34"/>
        <v>0</v>
      </c>
      <c r="H241" s="1648"/>
      <c r="I241" s="1648">
        <f t="shared" si="35"/>
        <v>0</v>
      </c>
      <c r="J241" s="1648"/>
      <c r="K241" s="1648">
        <f t="shared" si="36"/>
        <v>0</v>
      </c>
      <c r="L241" s="1648"/>
      <c r="M241" s="1648">
        <f t="shared" si="37"/>
        <v>0</v>
      </c>
      <c r="N241" s="1648">
        <f t="shared" si="38"/>
        <v>0</v>
      </c>
      <c r="O241" s="1648">
        <f t="shared" si="39"/>
        <v>0</v>
      </c>
      <c r="P241" s="1648">
        <f t="shared" si="40"/>
        <v>0</v>
      </c>
      <c r="Q241" s="1648">
        <f t="shared" si="41"/>
        <v>0</v>
      </c>
      <c r="R241" s="55">
        <f t="shared" si="42"/>
        <v>0</v>
      </c>
      <c r="S241" s="55">
        <f t="shared" si="43"/>
        <v>0</v>
      </c>
    </row>
    <row r="242" spans="1:19" ht="41.25" hidden="1" customHeight="1">
      <c r="A242" s="1688"/>
      <c r="B242" s="1648">
        <f t="shared" si="33"/>
        <v>0</v>
      </c>
      <c r="C242" s="1863" t="s">
        <v>5348</v>
      </c>
      <c r="D242" s="1649">
        <f>ROUND(Data!K541,2)</f>
        <v>1568.21</v>
      </c>
      <c r="E242" s="1687" t="s">
        <v>5324</v>
      </c>
      <c r="F242" s="1649"/>
      <c r="G242" s="1648">
        <f t="shared" si="34"/>
        <v>0</v>
      </c>
      <c r="H242" s="1648"/>
      <c r="I242" s="1648">
        <f t="shared" si="35"/>
        <v>0</v>
      </c>
      <c r="J242" s="1648"/>
      <c r="K242" s="1648">
        <f t="shared" si="36"/>
        <v>0</v>
      </c>
      <c r="L242" s="1648"/>
      <c r="M242" s="1648">
        <f t="shared" si="37"/>
        <v>0</v>
      </c>
      <c r="N242" s="1648">
        <f t="shared" si="38"/>
        <v>0</v>
      </c>
      <c r="O242" s="1648">
        <f t="shared" si="39"/>
        <v>0</v>
      </c>
      <c r="P242" s="1648">
        <f t="shared" si="40"/>
        <v>0</v>
      </c>
      <c r="Q242" s="1648">
        <f t="shared" si="41"/>
        <v>0</v>
      </c>
      <c r="R242" s="55">
        <f t="shared" si="42"/>
        <v>0</v>
      </c>
      <c r="S242" s="55">
        <f t="shared" si="43"/>
        <v>0</v>
      </c>
    </row>
    <row r="243" spans="1:19" ht="41.25" hidden="1" customHeight="1">
      <c r="A243" s="1688"/>
      <c r="B243" s="1648">
        <f t="shared" si="33"/>
        <v>0</v>
      </c>
      <c r="C243" s="1863" t="s">
        <v>5349</v>
      </c>
      <c r="D243" s="1649">
        <f>ROUND(Data!K542,2)</f>
        <v>1573.18</v>
      </c>
      <c r="E243" s="1687" t="s">
        <v>5324</v>
      </c>
      <c r="F243" s="1649"/>
      <c r="G243" s="1648">
        <f t="shared" si="34"/>
        <v>0</v>
      </c>
      <c r="H243" s="1648"/>
      <c r="I243" s="1648">
        <f t="shared" si="35"/>
        <v>0</v>
      </c>
      <c r="J243" s="1648"/>
      <c r="K243" s="1648">
        <f t="shared" si="36"/>
        <v>0</v>
      </c>
      <c r="L243" s="1648"/>
      <c r="M243" s="1648">
        <f t="shared" si="37"/>
        <v>0</v>
      </c>
      <c r="N243" s="1648">
        <f t="shared" si="38"/>
        <v>0</v>
      </c>
      <c r="O243" s="1648">
        <f t="shared" si="39"/>
        <v>0</v>
      </c>
      <c r="P243" s="1648">
        <f t="shared" si="40"/>
        <v>0</v>
      </c>
      <c r="Q243" s="1648">
        <f t="shared" si="41"/>
        <v>0</v>
      </c>
      <c r="R243" s="55">
        <f t="shared" si="42"/>
        <v>0</v>
      </c>
      <c r="S243" s="55">
        <f t="shared" si="43"/>
        <v>0</v>
      </c>
    </row>
    <row r="244" spans="1:19" ht="41.25" hidden="1" customHeight="1">
      <c r="A244" s="1688"/>
      <c r="B244" s="1648">
        <f t="shared" si="33"/>
        <v>0</v>
      </c>
      <c r="C244" s="1863" t="s">
        <v>5350</v>
      </c>
      <c r="D244" s="1649">
        <f>ROUND(Data!K543,2)</f>
        <v>1578.15</v>
      </c>
      <c r="E244" s="1687" t="s">
        <v>5324</v>
      </c>
      <c r="F244" s="1649"/>
      <c r="G244" s="1648">
        <f t="shared" si="34"/>
        <v>0</v>
      </c>
      <c r="H244" s="1648"/>
      <c r="I244" s="1648">
        <f t="shared" si="35"/>
        <v>0</v>
      </c>
      <c r="J244" s="1648"/>
      <c r="K244" s="1648">
        <f t="shared" si="36"/>
        <v>0</v>
      </c>
      <c r="L244" s="1648"/>
      <c r="M244" s="1648">
        <f t="shared" si="37"/>
        <v>0</v>
      </c>
      <c r="N244" s="1648">
        <f t="shared" si="38"/>
        <v>0</v>
      </c>
      <c r="O244" s="1648">
        <f t="shared" si="39"/>
        <v>0</v>
      </c>
      <c r="P244" s="1648">
        <f t="shared" si="40"/>
        <v>0</v>
      </c>
      <c r="Q244" s="1648">
        <f t="shared" si="41"/>
        <v>0</v>
      </c>
      <c r="R244" s="55">
        <f t="shared" si="42"/>
        <v>0</v>
      </c>
      <c r="S244" s="55">
        <f t="shared" si="43"/>
        <v>0</v>
      </c>
    </row>
    <row r="245" spans="1:19" ht="41.25" hidden="1" customHeight="1">
      <c r="A245" s="1688"/>
      <c r="B245" s="1648">
        <f t="shared" si="33"/>
        <v>0</v>
      </c>
      <c r="C245" s="1863" t="s">
        <v>5351</v>
      </c>
      <c r="D245" s="1649">
        <f>ROUND(Data!K544,2)</f>
        <v>1583.12</v>
      </c>
      <c r="E245" s="1687" t="s">
        <v>5324</v>
      </c>
      <c r="F245" s="1649"/>
      <c r="G245" s="1648">
        <f t="shared" si="34"/>
        <v>0</v>
      </c>
      <c r="H245" s="1648"/>
      <c r="I245" s="1648">
        <f t="shared" si="35"/>
        <v>0</v>
      </c>
      <c r="J245" s="1648"/>
      <c r="K245" s="1648">
        <f t="shared" si="36"/>
        <v>0</v>
      </c>
      <c r="L245" s="1648"/>
      <c r="M245" s="1648">
        <f t="shared" si="37"/>
        <v>0</v>
      </c>
      <c r="N245" s="1648">
        <f t="shared" si="38"/>
        <v>0</v>
      </c>
      <c r="O245" s="1648">
        <f t="shared" si="39"/>
        <v>0</v>
      </c>
      <c r="P245" s="1648">
        <f t="shared" si="40"/>
        <v>0</v>
      </c>
      <c r="Q245" s="1648">
        <f t="shared" si="41"/>
        <v>0</v>
      </c>
      <c r="R245" s="55">
        <f t="shared" si="42"/>
        <v>0</v>
      </c>
      <c r="S245" s="55">
        <f t="shared" si="43"/>
        <v>0</v>
      </c>
    </row>
    <row r="246" spans="1:19" ht="41.25" hidden="1" customHeight="1">
      <c r="A246" s="1688"/>
      <c r="B246" s="1648">
        <f t="shared" si="33"/>
        <v>0</v>
      </c>
      <c r="C246" s="1863" t="s">
        <v>5352</v>
      </c>
      <c r="D246" s="1649">
        <f>ROUND(Data!K545,2)</f>
        <v>1588.09</v>
      </c>
      <c r="E246" s="1687" t="s">
        <v>5324</v>
      </c>
      <c r="F246" s="1649"/>
      <c r="G246" s="1648">
        <f t="shared" si="34"/>
        <v>0</v>
      </c>
      <c r="H246" s="1648"/>
      <c r="I246" s="1648">
        <f t="shared" si="35"/>
        <v>0</v>
      </c>
      <c r="J246" s="1648"/>
      <c r="K246" s="1648">
        <f t="shared" si="36"/>
        <v>0</v>
      </c>
      <c r="L246" s="1648"/>
      <c r="M246" s="1648">
        <f t="shared" si="37"/>
        <v>0</v>
      </c>
      <c r="N246" s="1648">
        <f t="shared" si="38"/>
        <v>0</v>
      </c>
      <c r="O246" s="1648">
        <f t="shared" si="39"/>
        <v>0</v>
      </c>
      <c r="P246" s="1648">
        <f t="shared" si="40"/>
        <v>0</v>
      </c>
      <c r="Q246" s="1648">
        <f t="shared" si="41"/>
        <v>0</v>
      </c>
      <c r="R246" s="55">
        <f t="shared" si="42"/>
        <v>0</v>
      </c>
      <c r="S246" s="55">
        <f t="shared" si="43"/>
        <v>0</v>
      </c>
    </row>
    <row r="247" spans="1:19" ht="41.25" hidden="1" customHeight="1">
      <c r="A247" s="1688"/>
      <c r="B247" s="1648">
        <f t="shared" si="33"/>
        <v>0</v>
      </c>
      <c r="C247" s="1863" t="s">
        <v>5353</v>
      </c>
      <c r="D247" s="1649">
        <f>ROUND(Data!K546,2)</f>
        <v>1593.06</v>
      </c>
      <c r="E247" s="1687" t="s">
        <v>5324</v>
      </c>
      <c r="F247" s="1649"/>
      <c r="G247" s="1648">
        <f t="shared" si="34"/>
        <v>0</v>
      </c>
      <c r="H247" s="1648"/>
      <c r="I247" s="1648">
        <f t="shared" si="35"/>
        <v>0</v>
      </c>
      <c r="J247" s="1648"/>
      <c r="K247" s="1648">
        <f t="shared" si="36"/>
        <v>0</v>
      </c>
      <c r="L247" s="1648"/>
      <c r="M247" s="1648">
        <f t="shared" si="37"/>
        <v>0</v>
      </c>
      <c r="N247" s="1648">
        <f t="shared" si="38"/>
        <v>0</v>
      </c>
      <c r="O247" s="1648">
        <f t="shared" si="39"/>
        <v>0</v>
      </c>
      <c r="P247" s="1648">
        <f t="shared" si="40"/>
        <v>0</v>
      </c>
      <c r="Q247" s="1648">
        <f t="shared" si="41"/>
        <v>0</v>
      </c>
      <c r="R247" s="55">
        <f t="shared" si="42"/>
        <v>0</v>
      </c>
      <c r="S247" s="55">
        <f t="shared" si="43"/>
        <v>0</v>
      </c>
    </row>
    <row r="248" spans="1:19" s="57" customFormat="1" ht="60.75" hidden="1" customHeight="1">
      <c r="A248" s="1687" t="s">
        <v>698</v>
      </c>
      <c r="B248" s="1648">
        <f t="shared" si="33"/>
        <v>0</v>
      </c>
      <c r="C248" s="1864" t="s">
        <v>5390</v>
      </c>
      <c r="D248" s="1649"/>
      <c r="E248" s="1687"/>
      <c r="F248" s="1649"/>
      <c r="G248" s="1648">
        <f t="shared" si="34"/>
        <v>0</v>
      </c>
      <c r="H248" s="1648"/>
      <c r="I248" s="1648">
        <f t="shared" si="35"/>
        <v>0</v>
      </c>
      <c r="J248" s="1648"/>
      <c r="K248" s="1648">
        <f t="shared" si="36"/>
        <v>0</v>
      </c>
      <c r="L248" s="1648"/>
      <c r="M248" s="1648">
        <f t="shared" si="37"/>
        <v>0</v>
      </c>
      <c r="N248" s="1648">
        <f t="shared" si="38"/>
        <v>0</v>
      </c>
      <c r="O248" s="1648">
        <f t="shared" si="39"/>
        <v>0</v>
      </c>
      <c r="P248" s="1648">
        <f t="shared" si="40"/>
        <v>0</v>
      </c>
      <c r="Q248" s="1648">
        <f t="shared" si="41"/>
        <v>0</v>
      </c>
      <c r="R248" s="55">
        <f t="shared" si="42"/>
        <v>0</v>
      </c>
      <c r="S248" s="55">
        <f t="shared" si="43"/>
        <v>0</v>
      </c>
    </row>
    <row r="249" spans="1:19" s="57" customFormat="1" ht="48.75" hidden="1" customHeight="1">
      <c r="A249" s="1687"/>
      <c r="B249" s="1648">
        <f t="shared" si="33"/>
        <v>0</v>
      </c>
      <c r="C249" s="1863" t="s">
        <v>5391</v>
      </c>
      <c r="D249" s="1649">
        <f>ROUND(Data!K557,2)</f>
        <v>1684.54</v>
      </c>
      <c r="E249" s="1687" t="s">
        <v>5324</v>
      </c>
      <c r="F249" s="1649"/>
      <c r="G249" s="1648">
        <f t="shared" si="34"/>
        <v>0</v>
      </c>
      <c r="H249" s="1648"/>
      <c r="I249" s="1648">
        <f t="shared" si="35"/>
        <v>0</v>
      </c>
      <c r="J249" s="1648"/>
      <c r="K249" s="1648">
        <f t="shared" si="36"/>
        <v>0</v>
      </c>
      <c r="L249" s="1648"/>
      <c r="M249" s="1648">
        <f t="shared" si="37"/>
        <v>0</v>
      </c>
      <c r="N249" s="1648">
        <f t="shared" si="38"/>
        <v>0</v>
      </c>
      <c r="O249" s="1648">
        <f t="shared" si="39"/>
        <v>0</v>
      </c>
      <c r="P249" s="1648">
        <f t="shared" si="40"/>
        <v>0</v>
      </c>
      <c r="Q249" s="1648">
        <f t="shared" si="41"/>
        <v>0</v>
      </c>
      <c r="R249" s="55">
        <f t="shared" si="42"/>
        <v>0</v>
      </c>
      <c r="S249" s="55">
        <f t="shared" si="43"/>
        <v>0</v>
      </c>
    </row>
    <row r="250" spans="1:19" s="57" customFormat="1" ht="50.25" hidden="1" customHeight="1">
      <c r="A250" s="1687"/>
      <c r="B250" s="1648">
        <f t="shared" si="33"/>
        <v>0</v>
      </c>
      <c r="C250" s="1863" t="s">
        <v>5392</v>
      </c>
      <c r="D250" s="1649">
        <f>ROUND(Data!K559,2)</f>
        <v>1689.59</v>
      </c>
      <c r="E250" s="1687" t="s">
        <v>5324</v>
      </c>
      <c r="F250" s="1649"/>
      <c r="G250" s="1648">
        <f t="shared" si="34"/>
        <v>0</v>
      </c>
      <c r="H250" s="1648"/>
      <c r="I250" s="1648">
        <f t="shared" si="35"/>
        <v>0</v>
      </c>
      <c r="J250" s="1648"/>
      <c r="K250" s="1648">
        <f t="shared" si="36"/>
        <v>0</v>
      </c>
      <c r="L250" s="1648"/>
      <c r="M250" s="1648">
        <f t="shared" si="37"/>
        <v>0</v>
      </c>
      <c r="N250" s="1648">
        <f t="shared" si="38"/>
        <v>0</v>
      </c>
      <c r="O250" s="1648">
        <f t="shared" si="39"/>
        <v>0</v>
      </c>
      <c r="P250" s="1648">
        <f t="shared" si="40"/>
        <v>0</v>
      </c>
      <c r="Q250" s="1648">
        <f t="shared" si="41"/>
        <v>0</v>
      </c>
      <c r="R250" s="55">
        <f t="shared" si="42"/>
        <v>0</v>
      </c>
      <c r="S250" s="55">
        <f t="shared" si="43"/>
        <v>0</v>
      </c>
    </row>
    <row r="251" spans="1:19" s="57" customFormat="1" ht="50.25" hidden="1" customHeight="1">
      <c r="A251" s="1687"/>
      <c r="B251" s="1648">
        <f t="shared" si="33"/>
        <v>0</v>
      </c>
      <c r="C251" s="1863" t="s">
        <v>5393</v>
      </c>
      <c r="D251" s="1649">
        <f>ROUND(Data!K560,2)</f>
        <v>1699.53</v>
      </c>
      <c r="E251" s="1687" t="s">
        <v>5324</v>
      </c>
      <c r="F251" s="1649"/>
      <c r="G251" s="1648">
        <f t="shared" si="34"/>
        <v>0</v>
      </c>
      <c r="H251" s="1648"/>
      <c r="I251" s="1648">
        <f t="shared" si="35"/>
        <v>0</v>
      </c>
      <c r="J251" s="1648"/>
      <c r="K251" s="1648">
        <f t="shared" si="36"/>
        <v>0</v>
      </c>
      <c r="L251" s="1648"/>
      <c r="M251" s="1648">
        <f t="shared" si="37"/>
        <v>0</v>
      </c>
      <c r="N251" s="1648">
        <f t="shared" si="38"/>
        <v>0</v>
      </c>
      <c r="O251" s="1648">
        <f t="shared" si="39"/>
        <v>0</v>
      </c>
      <c r="P251" s="1648">
        <f t="shared" si="40"/>
        <v>0</v>
      </c>
      <c r="Q251" s="1648">
        <f t="shared" si="41"/>
        <v>0</v>
      </c>
      <c r="R251" s="55">
        <f t="shared" si="42"/>
        <v>0</v>
      </c>
      <c r="S251" s="55">
        <f t="shared" si="43"/>
        <v>0</v>
      </c>
    </row>
    <row r="252" spans="1:19" s="57" customFormat="1" ht="50.25" hidden="1" customHeight="1">
      <c r="A252" s="1687"/>
      <c r="B252" s="1648">
        <f t="shared" si="33"/>
        <v>0</v>
      </c>
      <c r="C252" s="1863" t="s">
        <v>5394</v>
      </c>
      <c r="D252" s="1649">
        <f>ROUND(Data!K561,2)</f>
        <v>1709.47</v>
      </c>
      <c r="E252" s="1687" t="s">
        <v>5324</v>
      </c>
      <c r="F252" s="1649"/>
      <c r="G252" s="1648">
        <f t="shared" si="34"/>
        <v>0</v>
      </c>
      <c r="H252" s="1648"/>
      <c r="I252" s="1648">
        <f t="shared" si="35"/>
        <v>0</v>
      </c>
      <c r="J252" s="1648"/>
      <c r="K252" s="1648">
        <f t="shared" si="36"/>
        <v>0</v>
      </c>
      <c r="L252" s="1648"/>
      <c r="M252" s="1648">
        <f t="shared" si="37"/>
        <v>0</v>
      </c>
      <c r="N252" s="1648">
        <f t="shared" si="38"/>
        <v>0</v>
      </c>
      <c r="O252" s="1648">
        <f t="shared" si="39"/>
        <v>0</v>
      </c>
      <c r="P252" s="1648">
        <f t="shared" si="40"/>
        <v>0</v>
      </c>
      <c r="Q252" s="1648">
        <f t="shared" si="41"/>
        <v>0</v>
      </c>
      <c r="R252" s="55">
        <f t="shared" si="42"/>
        <v>0</v>
      </c>
      <c r="S252" s="55">
        <f t="shared" si="43"/>
        <v>0</v>
      </c>
    </row>
    <row r="253" spans="1:19" s="57" customFormat="1" ht="50.25" hidden="1" customHeight="1">
      <c r="A253" s="1687"/>
      <c r="B253" s="1648">
        <f t="shared" si="33"/>
        <v>0</v>
      </c>
      <c r="C253" s="1863" t="s">
        <v>5395</v>
      </c>
      <c r="D253" s="1649">
        <f>ROUND(Data!K562,2)</f>
        <v>1719.41</v>
      </c>
      <c r="E253" s="1687" t="s">
        <v>5324</v>
      </c>
      <c r="F253" s="1649"/>
      <c r="G253" s="1648">
        <f t="shared" si="34"/>
        <v>0</v>
      </c>
      <c r="H253" s="1648"/>
      <c r="I253" s="1648">
        <f t="shared" si="35"/>
        <v>0</v>
      </c>
      <c r="J253" s="1648"/>
      <c r="K253" s="1648">
        <f t="shared" si="36"/>
        <v>0</v>
      </c>
      <c r="L253" s="1648"/>
      <c r="M253" s="1648">
        <f t="shared" si="37"/>
        <v>0</v>
      </c>
      <c r="N253" s="1648">
        <f t="shared" si="38"/>
        <v>0</v>
      </c>
      <c r="O253" s="1648">
        <f t="shared" si="39"/>
        <v>0</v>
      </c>
      <c r="P253" s="1648">
        <f t="shared" si="40"/>
        <v>0</v>
      </c>
      <c r="Q253" s="1648">
        <f t="shared" si="41"/>
        <v>0</v>
      </c>
      <c r="R253" s="55">
        <f t="shared" si="42"/>
        <v>0</v>
      </c>
      <c r="S253" s="55">
        <f t="shared" si="43"/>
        <v>0</v>
      </c>
    </row>
    <row r="254" spans="1:19" ht="41.25" hidden="1" customHeight="1">
      <c r="A254" s="1688"/>
      <c r="B254" s="1648">
        <f t="shared" si="33"/>
        <v>0</v>
      </c>
      <c r="C254" s="1863" t="s">
        <v>5396</v>
      </c>
      <c r="D254" s="1649">
        <f>ROUND(Data!K563,2)</f>
        <v>1729.35</v>
      </c>
      <c r="E254" s="1687" t="s">
        <v>5324</v>
      </c>
      <c r="F254" s="1649"/>
      <c r="G254" s="1648">
        <f t="shared" si="34"/>
        <v>0</v>
      </c>
      <c r="H254" s="1648"/>
      <c r="I254" s="1648">
        <f t="shared" si="35"/>
        <v>0</v>
      </c>
      <c r="J254" s="1648"/>
      <c r="K254" s="1648">
        <f t="shared" si="36"/>
        <v>0</v>
      </c>
      <c r="L254" s="1648"/>
      <c r="M254" s="1648">
        <f t="shared" si="37"/>
        <v>0</v>
      </c>
      <c r="N254" s="1648">
        <f t="shared" si="38"/>
        <v>0</v>
      </c>
      <c r="O254" s="1648">
        <f t="shared" si="39"/>
        <v>0</v>
      </c>
      <c r="P254" s="1648">
        <f t="shared" si="40"/>
        <v>0</v>
      </c>
      <c r="Q254" s="1648">
        <f t="shared" si="41"/>
        <v>0</v>
      </c>
      <c r="R254" s="55">
        <f t="shared" si="42"/>
        <v>0</v>
      </c>
      <c r="S254" s="55">
        <f t="shared" si="43"/>
        <v>0</v>
      </c>
    </row>
    <row r="255" spans="1:19" ht="25.5" customHeight="1">
      <c r="A255" s="1854">
        <v>15.1</v>
      </c>
      <c r="B255" s="1648">
        <f t="shared" si="33"/>
        <v>0</v>
      </c>
      <c r="C255" s="1864" t="s">
        <v>5397</v>
      </c>
      <c r="D255" s="1649"/>
      <c r="E255" s="1687"/>
      <c r="F255" s="1649"/>
      <c r="G255" s="1648">
        <f t="shared" si="34"/>
        <v>0</v>
      </c>
      <c r="H255" s="1648"/>
      <c r="I255" s="1648">
        <f t="shared" si="35"/>
        <v>0</v>
      </c>
      <c r="J255" s="1648"/>
      <c r="K255" s="1648">
        <f t="shared" si="36"/>
        <v>0</v>
      </c>
      <c r="L255" s="1648"/>
      <c r="M255" s="1648">
        <f t="shared" si="37"/>
        <v>0</v>
      </c>
      <c r="N255" s="1648">
        <f t="shared" si="38"/>
        <v>0</v>
      </c>
      <c r="O255" s="1648">
        <f t="shared" si="39"/>
        <v>0</v>
      </c>
      <c r="P255" s="1648">
        <f t="shared" si="40"/>
        <v>0</v>
      </c>
      <c r="Q255" s="1648">
        <f t="shared" si="41"/>
        <v>0</v>
      </c>
      <c r="R255" s="55">
        <f t="shared" si="42"/>
        <v>0</v>
      </c>
      <c r="S255" s="55">
        <f t="shared" si="43"/>
        <v>0</v>
      </c>
    </row>
    <row r="256" spans="1:19" ht="31.5" customHeight="1">
      <c r="A256" s="1854"/>
      <c r="B256" s="1648">
        <f t="shared" si="33"/>
        <v>5.8</v>
      </c>
      <c r="C256" s="1863" t="s">
        <v>5341</v>
      </c>
      <c r="D256" s="1649">
        <f>ROUND(Data!K590,2)</f>
        <v>563.35</v>
      </c>
      <c r="E256" s="1687" t="s">
        <v>5324</v>
      </c>
      <c r="F256" s="1649">
        <f>'Detail '!I797</f>
        <v>5.8</v>
      </c>
      <c r="G256" s="1648">
        <f t="shared" si="34"/>
        <v>3267.43</v>
      </c>
      <c r="H256" s="1648"/>
      <c r="I256" s="1648">
        <f t="shared" si="35"/>
        <v>0</v>
      </c>
      <c r="J256" s="1648"/>
      <c r="K256" s="1648">
        <f t="shared" si="36"/>
        <v>0</v>
      </c>
      <c r="L256" s="1648"/>
      <c r="M256" s="1648">
        <f t="shared" si="37"/>
        <v>0</v>
      </c>
      <c r="N256" s="1648">
        <f t="shared" si="38"/>
        <v>0</v>
      </c>
      <c r="O256" s="1648">
        <f t="shared" si="39"/>
        <v>0</v>
      </c>
      <c r="P256" s="1648">
        <f t="shared" si="40"/>
        <v>5.8</v>
      </c>
      <c r="Q256" s="1648">
        <f t="shared" si="41"/>
        <v>3267.43</v>
      </c>
      <c r="R256" s="55">
        <f t="shared" si="42"/>
        <v>3267.43</v>
      </c>
      <c r="S256" s="55">
        <f t="shared" si="43"/>
        <v>0</v>
      </c>
    </row>
    <row r="257" spans="1:19" ht="31.5" customHeight="1">
      <c r="A257" s="1854"/>
      <c r="B257" s="1648">
        <f t="shared" si="33"/>
        <v>21.6</v>
      </c>
      <c r="C257" s="1863" t="s">
        <v>5342</v>
      </c>
      <c r="D257" s="1649">
        <f>ROUND(Data!K591,2)</f>
        <v>568.27</v>
      </c>
      <c r="E257" s="1687" t="s">
        <v>5324</v>
      </c>
      <c r="F257" s="1649">
        <f>'Detail '!I805</f>
        <v>21.6</v>
      </c>
      <c r="G257" s="1648">
        <f t="shared" si="34"/>
        <v>12274.63</v>
      </c>
      <c r="H257" s="1648"/>
      <c r="I257" s="1648">
        <f t="shared" si="35"/>
        <v>0</v>
      </c>
      <c r="J257" s="1648"/>
      <c r="K257" s="1648">
        <f t="shared" si="36"/>
        <v>0</v>
      </c>
      <c r="L257" s="1648"/>
      <c r="M257" s="1648">
        <f t="shared" si="37"/>
        <v>0</v>
      </c>
      <c r="N257" s="1648">
        <f t="shared" si="38"/>
        <v>0</v>
      </c>
      <c r="O257" s="1648">
        <f t="shared" si="39"/>
        <v>0</v>
      </c>
      <c r="P257" s="1648">
        <f t="shared" si="40"/>
        <v>21.6</v>
      </c>
      <c r="Q257" s="1648">
        <f t="shared" si="41"/>
        <v>12274.63</v>
      </c>
      <c r="R257" s="55">
        <f t="shared" si="42"/>
        <v>12274.63</v>
      </c>
      <c r="S257" s="55">
        <f t="shared" si="43"/>
        <v>0</v>
      </c>
    </row>
    <row r="258" spans="1:19" ht="31.5" customHeight="1">
      <c r="A258" s="1854"/>
      <c r="B258" s="1648">
        <f t="shared" si="33"/>
        <v>24.5</v>
      </c>
      <c r="C258" s="1863" t="s">
        <v>5343</v>
      </c>
      <c r="D258" s="1649">
        <f>ROUND(Data!K592,2)</f>
        <v>573.19000000000005</v>
      </c>
      <c r="E258" s="1687" t="s">
        <v>5324</v>
      </c>
      <c r="F258" s="1649">
        <f>'Detail '!I817</f>
        <v>24.5</v>
      </c>
      <c r="G258" s="1648">
        <f t="shared" si="34"/>
        <v>14043.16</v>
      </c>
      <c r="H258" s="1648"/>
      <c r="I258" s="1648">
        <f t="shared" si="35"/>
        <v>0</v>
      </c>
      <c r="J258" s="1648"/>
      <c r="K258" s="1648">
        <f t="shared" si="36"/>
        <v>0</v>
      </c>
      <c r="L258" s="1648"/>
      <c r="M258" s="1648">
        <f t="shared" si="37"/>
        <v>0</v>
      </c>
      <c r="N258" s="1648">
        <f t="shared" si="38"/>
        <v>0</v>
      </c>
      <c r="O258" s="1648">
        <f t="shared" si="39"/>
        <v>0</v>
      </c>
      <c r="P258" s="1648">
        <f t="shared" si="40"/>
        <v>24.5</v>
      </c>
      <c r="Q258" s="1648">
        <f t="shared" si="41"/>
        <v>14043.16</v>
      </c>
      <c r="R258" s="55">
        <f t="shared" si="42"/>
        <v>14043.16</v>
      </c>
      <c r="S258" s="55">
        <f t="shared" si="43"/>
        <v>0</v>
      </c>
    </row>
    <row r="259" spans="1:19" ht="31.5" customHeight="1">
      <c r="A259" s="1854"/>
      <c r="B259" s="1648">
        <f t="shared" si="33"/>
        <v>15.9</v>
      </c>
      <c r="C259" s="1863" t="s">
        <v>5344</v>
      </c>
      <c r="D259" s="1649">
        <f>ROUND(Data!K593,2)</f>
        <v>578.11</v>
      </c>
      <c r="E259" s="1687" t="s">
        <v>5324</v>
      </c>
      <c r="F259" s="1649">
        <f>'Detail '!I825</f>
        <v>15.9</v>
      </c>
      <c r="G259" s="1648">
        <f t="shared" si="34"/>
        <v>9191.9500000000007</v>
      </c>
      <c r="H259" s="1648"/>
      <c r="I259" s="1648">
        <f t="shared" si="35"/>
        <v>0</v>
      </c>
      <c r="J259" s="1648"/>
      <c r="K259" s="1648">
        <f t="shared" si="36"/>
        <v>0</v>
      </c>
      <c r="L259" s="1648"/>
      <c r="M259" s="1648">
        <f t="shared" si="37"/>
        <v>0</v>
      </c>
      <c r="N259" s="1648">
        <f t="shared" si="38"/>
        <v>0</v>
      </c>
      <c r="O259" s="1648">
        <f t="shared" si="39"/>
        <v>0</v>
      </c>
      <c r="P259" s="1648">
        <f t="shared" si="40"/>
        <v>15.9</v>
      </c>
      <c r="Q259" s="1648">
        <f t="shared" si="41"/>
        <v>9191.9500000000007</v>
      </c>
      <c r="R259" s="55">
        <f t="shared" si="42"/>
        <v>9191.9500000000007</v>
      </c>
      <c r="S259" s="55">
        <f t="shared" si="43"/>
        <v>0</v>
      </c>
    </row>
    <row r="260" spans="1:19" ht="31.5" customHeight="1">
      <c r="A260" s="1856"/>
      <c r="B260" s="1648">
        <f t="shared" si="33"/>
        <v>13.7</v>
      </c>
      <c r="C260" s="1863" t="s">
        <v>5345</v>
      </c>
      <c r="D260" s="1649">
        <f>ROUND(Data!K594,2)</f>
        <v>583.03</v>
      </c>
      <c r="E260" s="1687" t="s">
        <v>5324</v>
      </c>
      <c r="F260" s="1649">
        <f>'Detail '!I832</f>
        <v>13.7</v>
      </c>
      <c r="G260" s="1648">
        <f t="shared" si="34"/>
        <v>7987.51</v>
      </c>
      <c r="H260" s="1648"/>
      <c r="I260" s="1648">
        <f t="shared" si="35"/>
        <v>0</v>
      </c>
      <c r="J260" s="1648"/>
      <c r="K260" s="1648">
        <f t="shared" si="36"/>
        <v>0</v>
      </c>
      <c r="L260" s="1648"/>
      <c r="M260" s="1648">
        <f t="shared" si="37"/>
        <v>0</v>
      </c>
      <c r="N260" s="1648">
        <f t="shared" si="38"/>
        <v>0</v>
      </c>
      <c r="O260" s="1648">
        <f t="shared" si="39"/>
        <v>0</v>
      </c>
      <c r="P260" s="1648">
        <f t="shared" si="40"/>
        <v>13.7</v>
      </c>
      <c r="Q260" s="1648">
        <f t="shared" si="41"/>
        <v>7987.51</v>
      </c>
      <c r="R260" s="55">
        <f t="shared" si="42"/>
        <v>7987.51</v>
      </c>
      <c r="S260" s="55">
        <f t="shared" si="43"/>
        <v>0</v>
      </c>
    </row>
    <row r="261" spans="1:19" ht="25.5" customHeight="1">
      <c r="A261" s="1854">
        <v>15.2</v>
      </c>
      <c r="B261" s="1648">
        <f t="shared" si="33"/>
        <v>0</v>
      </c>
      <c r="C261" s="1864" t="s">
        <v>5398</v>
      </c>
      <c r="D261" s="1649"/>
      <c r="E261" s="1687"/>
      <c r="F261" s="1649"/>
      <c r="G261" s="1648">
        <f t="shared" si="34"/>
        <v>0</v>
      </c>
      <c r="H261" s="1648"/>
      <c r="I261" s="1648">
        <f t="shared" si="35"/>
        <v>0</v>
      </c>
      <c r="J261" s="1648"/>
      <c r="K261" s="1648">
        <f t="shared" si="36"/>
        <v>0</v>
      </c>
      <c r="L261" s="1648"/>
      <c r="M261" s="1648">
        <f t="shared" si="37"/>
        <v>0</v>
      </c>
      <c r="N261" s="1648">
        <f t="shared" si="38"/>
        <v>0</v>
      </c>
      <c r="O261" s="1648">
        <f t="shared" si="39"/>
        <v>0</v>
      </c>
      <c r="P261" s="1648">
        <f t="shared" si="40"/>
        <v>0</v>
      </c>
      <c r="Q261" s="1648">
        <f t="shared" si="41"/>
        <v>0</v>
      </c>
      <c r="R261" s="55">
        <f t="shared" si="42"/>
        <v>0</v>
      </c>
      <c r="S261" s="55">
        <f t="shared" si="43"/>
        <v>0</v>
      </c>
    </row>
    <row r="262" spans="1:19" ht="25.5" customHeight="1">
      <c r="A262" s="1687"/>
      <c r="B262" s="1648">
        <f t="shared" ref="B262:B325" si="44">P262</f>
        <v>2.9</v>
      </c>
      <c r="C262" s="1863" t="s">
        <v>5341</v>
      </c>
      <c r="D262" s="1649">
        <f>Data!X590</f>
        <v>597.15</v>
      </c>
      <c r="E262" s="1687" t="s">
        <v>5324</v>
      </c>
      <c r="F262" s="1649">
        <f>'Detail '!I838</f>
        <v>2.9</v>
      </c>
      <c r="G262" s="1648">
        <f t="shared" ref="G262:G325" si="45">F262*D262</f>
        <v>1731.74</v>
      </c>
      <c r="H262" s="1648"/>
      <c r="I262" s="1648">
        <f t="shared" ref="I262:I325" si="46">H262*D262</f>
        <v>0</v>
      </c>
      <c r="J262" s="1648"/>
      <c r="K262" s="1648">
        <f t="shared" ref="K262:K325" si="47">J262*D262</f>
        <v>0</v>
      </c>
      <c r="L262" s="1648"/>
      <c r="M262" s="1648">
        <f t="shared" ref="M262:M325" si="48">L262*D262</f>
        <v>0</v>
      </c>
      <c r="N262" s="1648">
        <f t="shared" ref="N262:N325" si="49">H262+J262+L262</f>
        <v>0</v>
      </c>
      <c r="O262" s="1648">
        <f t="shared" ref="O262:O325" si="50">N262*D262</f>
        <v>0</v>
      </c>
      <c r="P262" s="1648">
        <f t="shared" ref="P262:P325" si="51">N262+F262</f>
        <v>2.9</v>
      </c>
      <c r="Q262" s="1648">
        <f t="shared" ref="Q262:Q325" si="52">P262*D262</f>
        <v>1731.74</v>
      </c>
      <c r="R262" s="55">
        <f t="shared" ref="R262:R325" si="53">G262+I262+K262+M262</f>
        <v>1731.74</v>
      </c>
      <c r="S262" s="55">
        <f t="shared" ref="S262:S325" si="54">Q262-R262</f>
        <v>0</v>
      </c>
    </row>
    <row r="263" spans="1:19" ht="25.5" customHeight="1">
      <c r="A263" s="1687"/>
      <c r="B263" s="1648">
        <f t="shared" si="44"/>
        <v>7.2</v>
      </c>
      <c r="C263" s="1863" t="s">
        <v>5342</v>
      </c>
      <c r="D263" s="1649">
        <f>Data!X591</f>
        <v>607</v>
      </c>
      <c r="E263" s="1687" t="s">
        <v>5324</v>
      </c>
      <c r="F263" s="1649">
        <f>'Detail '!I846</f>
        <v>7.2</v>
      </c>
      <c r="G263" s="1648">
        <f t="shared" si="45"/>
        <v>4370.3999999999996</v>
      </c>
      <c r="H263" s="1648"/>
      <c r="I263" s="1648">
        <f t="shared" si="46"/>
        <v>0</v>
      </c>
      <c r="J263" s="1648"/>
      <c r="K263" s="1648">
        <f t="shared" si="47"/>
        <v>0</v>
      </c>
      <c r="L263" s="1648"/>
      <c r="M263" s="1648">
        <f t="shared" si="48"/>
        <v>0</v>
      </c>
      <c r="N263" s="1648">
        <f t="shared" si="49"/>
        <v>0</v>
      </c>
      <c r="O263" s="1648">
        <f t="shared" si="50"/>
        <v>0</v>
      </c>
      <c r="P263" s="1648">
        <f t="shared" si="51"/>
        <v>7.2</v>
      </c>
      <c r="Q263" s="1648">
        <f t="shared" si="52"/>
        <v>4370.3999999999996</v>
      </c>
      <c r="R263" s="55">
        <f t="shared" si="53"/>
        <v>4370.3999999999996</v>
      </c>
      <c r="S263" s="55">
        <f t="shared" si="54"/>
        <v>0</v>
      </c>
    </row>
    <row r="264" spans="1:19" ht="25.5" customHeight="1">
      <c r="A264" s="1687"/>
      <c r="B264" s="1648">
        <f t="shared" si="44"/>
        <v>13</v>
      </c>
      <c r="C264" s="1863" t="s">
        <v>5343</v>
      </c>
      <c r="D264" s="1649">
        <f>Data!X592</f>
        <v>616.85</v>
      </c>
      <c r="E264" s="1687" t="s">
        <v>5324</v>
      </c>
      <c r="F264" s="1649">
        <f>'Detail '!I858</f>
        <v>13</v>
      </c>
      <c r="G264" s="1648">
        <f t="shared" si="45"/>
        <v>8019.05</v>
      </c>
      <c r="H264" s="1648"/>
      <c r="I264" s="1648">
        <f t="shared" si="46"/>
        <v>0</v>
      </c>
      <c r="J264" s="1648"/>
      <c r="K264" s="1648">
        <f t="shared" si="47"/>
        <v>0</v>
      </c>
      <c r="L264" s="1648"/>
      <c r="M264" s="1648">
        <f t="shared" si="48"/>
        <v>0</v>
      </c>
      <c r="N264" s="1648">
        <f t="shared" si="49"/>
        <v>0</v>
      </c>
      <c r="O264" s="1648">
        <f t="shared" si="50"/>
        <v>0</v>
      </c>
      <c r="P264" s="1648">
        <f t="shared" si="51"/>
        <v>13</v>
      </c>
      <c r="Q264" s="1648">
        <f t="shared" si="52"/>
        <v>8019.05</v>
      </c>
      <c r="R264" s="55">
        <f t="shared" si="53"/>
        <v>8019.05</v>
      </c>
      <c r="S264" s="55">
        <f t="shared" si="54"/>
        <v>0</v>
      </c>
    </row>
    <row r="265" spans="1:19" ht="25.5" customHeight="1">
      <c r="A265" s="1687"/>
      <c r="B265" s="1648">
        <f t="shared" si="44"/>
        <v>8.6999999999999993</v>
      </c>
      <c r="C265" s="1863" t="s">
        <v>5344</v>
      </c>
      <c r="D265" s="1649">
        <f>Data!X593</f>
        <v>626.70000000000005</v>
      </c>
      <c r="E265" s="1687" t="s">
        <v>5324</v>
      </c>
      <c r="F265" s="1649">
        <f>'Detail '!I866</f>
        <v>8.6999999999999993</v>
      </c>
      <c r="G265" s="1648">
        <f t="shared" si="45"/>
        <v>5452.29</v>
      </c>
      <c r="H265" s="1648"/>
      <c r="I265" s="1648">
        <f t="shared" si="46"/>
        <v>0</v>
      </c>
      <c r="J265" s="1648"/>
      <c r="K265" s="1648">
        <f t="shared" si="47"/>
        <v>0</v>
      </c>
      <c r="L265" s="1648"/>
      <c r="M265" s="1648">
        <f t="shared" si="48"/>
        <v>0</v>
      </c>
      <c r="N265" s="1648">
        <f t="shared" si="49"/>
        <v>0</v>
      </c>
      <c r="O265" s="1648">
        <f t="shared" si="50"/>
        <v>0</v>
      </c>
      <c r="P265" s="1648">
        <f t="shared" si="51"/>
        <v>8.6999999999999993</v>
      </c>
      <c r="Q265" s="1648">
        <f t="shared" si="52"/>
        <v>5452.29</v>
      </c>
      <c r="R265" s="55">
        <f t="shared" si="53"/>
        <v>5452.29</v>
      </c>
      <c r="S265" s="55">
        <f t="shared" si="54"/>
        <v>0</v>
      </c>
    </row>
    <row r="266" spans="1:19" ht="31.5" customHeight="1">
      <c r="A266" s="1688"/>
      <c r="B266" s="1648">
        <f t="shared" si="44"/>
        <v>8</v>
      </c>
      <c r="C266" s="1863" t="s">
        <v>5345</v>
      </c>
      <c r="D266" s="1649">
        <f>Data!X594</f>
        <v>636.54999999999995</v>
      </c>
      <c r="E266" s="1687" t="s">
        <v>5324</v>
      </c>
      <c r="F266" s="1649">
        <v>8</v>
      </c>
      <c r="G266" s="1648">
        <f t="shared" si="45"/>
        <v>5092.3999999999996</v>
      </c>
      <c r="H266" s="1648"/>
      <c r="I266" s="1648">
        <f t="shared" si="46"/>
        <v>0</v>
      </c>
      <c r="J266" s="1648"/>
      <c r="K266" s="1648">
        <f t="shared" si="47"/>
        <v>0</v>
      </c>
      <c r="L266" s="1648"/>
      <c r="M266" s="1648">
        <f t="shared" si="48"/>
        <v>0</v>
      </c>
      <c r="N266" s="1648">
        <f t="shared" si="49"/>
        <v>0</v>
      </c>
      <c r="O266" s="1648">
        <f t="shared" si="50"/>
        <v>0</v>
      </c>
      <c r="P266" s="1648">
        <f t="shared" si="51"/>
        <v>8</v>
      </c>
      <c r="Q266" s="1648">
        <f t="shared" si="52"/>
        <v>5092.3999999999996</v>
      </c>
      <c r="R266" s="55">
        <f t="shared" si="53"/>
        <v>5092.3999999999996</v>
      </c>
      <c r="S266" s="55">
        <f t="shared" si="54"/>
        <v>0</v>
      </c>
    </row>
    <row r="267" spans="1:19" s="57" customFormat="1" ht="31.5" hidden="1" customHeight="1">
      <c r="A267" s="1854">
        <v>16.100000000000001</v>
      </c>
      <c r="B267" s="1648">
        <f t="shared" si="44"/>
        <v>0</v>
      </c>
      <c r="C267" s="1863" t="s">
        <v>5399</v>
      </c>
      <c r="D267" s="1649">
        <f>Data!X595</f>
        <v>646.4</v>
      </c>
      <c r="E267" s="1687" t="s">
        <v>5324</v>
      </c>
      <c r="F267" s="1649"/>
      <c r="G267" s="1648">
        <f t="shared" si="45"/>
        <v>0</v>
      </c>
      <c r="H267" s="1648"/>
      <c r="I267" s="1648">
        <f t="shared" si="46"/>
        <v>0</v>
      </c>
      <c r="J267" s="1648"/>
      <c r="K267" s="1648">
        <f t="shared" si="47"/>
        <v>0</v>
      </c>
      <c r="L267" s="1648"/>
      <c r="M267" s="1648">
        <f t="shared" si="48"/>
        <v>0</v>
      </c>
      <c r="N267" s="1648">
        <f t="shared" si="49"/>
        <v>0</v>
      </c>
      <c r="O267" s="1648">
        <f t="shared" si="50"/>
        <v>0</v>
      </c>
      <c r="P267" s="1648">
        <f t="shared" si="51"/>
        <v>0</v>
      </c>
      <c r="Q267" s="1648">
        <f t="shared" si="52"/>
        <v>0</v>
      </c>
      <c r="R267" s="55">
        <f t="shared" si="53"/>
        <v>0</v>
      </c>
      <c r="S267" s="55">
        <f t="shared" si="54"/>
        <v>0</v>
      </c>
    </row>
    <row r="268" spans="1:19" s="57" customFormat="1" ht="31.5" hidden="1" customHeight="1">
      <c r="A268" s="1854"/>
      <c r="B268" s="1648">
        <f t="shared" si="44"/>
        <v>0</v>
      </c>
      <c r="C268" s="1863" t="s">
        <v>3380</v>
      </c>
      <c r="D268" s="1649">
        <f>Data!X596</f>
        <v>0</v>
      </c>
      <c r="E268" s="1687" t="s">
        <v>5324</v>
      </c>
      <c r="F268" s="1649"/>
      <c r="G268" s="1648">
        <f t="shared" si="45"/>
        <v>0</v>
      </c>
      <c r="H268" s="1648"/>
      <c r="I268" s="1648">
        <f t="shared" si="46"/>
        <v>0</v>
      </c>
      <c r="J268" s="1648"/>
      <c r="K268" s="1648">
        <f t="shared" si="47"/>
        <v>0</v>
      </c>
      <c r="L268" s="1648"/>
      <c r="M268" s="1648">
        <f t="shared" si="48"/>
        <v>0</v>
      </c>
      <c r="N268" s="1648">
        <f t="shared" si="49"/>
        <v>0</v>
      </c>
      <c r="O268" s="1648">
        <f t="shared" si="50"/>
        <v>0</v>
      </c>
      <c r="P268" s="1648">
        <f t="shared" si="51"/>
        <v>0</v>
      </c>
      <c r="Q268" s="1648">
        <f t="shared" si="52"/>
        <v>0</v>
      </c>
      <c r="R268" s="55">
        <f t="shared" si="53"/>
        <v>0</v>
      </c>
      <c r="S268" s="55">
        <f t="shared" si="54"/>
        <v>0</v>
      </c>
    </row>
    <row r="269" spans="1:19" s="57" customFormat="1" ht="31.5" hidden="1" customHeight="1">
      <c r="A269" s="1854"/>
      <c r="B269" s="1648">
        <f t="shared" si="44"/>
        <v>0</v>
      </c>
      <c r="C269" s="1863" t="s">
        <v>5342</v>
      </c>
      <c r="D269" s="1649">
        <f>Data!X597</f>
        <v>0</v>
      </c>
      <c r="E269" s="1687" t="s">
        <v>5324</v>
      </c>
      <c r="F269" s="1649"/>
      <c r="G269" s="1648">
        <f t="shared" si="45"/>
        <v>0</v>
      </c>
      <c r="H269" s="1648"/>
      <c r="I269" s="1648">
        <f t="shared" si="46"/>
        <v>0</v>
      </c>
      <c r="J269" s="1648"/>
      <c r="K269" s="1648">
        <f t="shared" si="47"/>
        <v>0</v>
      </c>
      <c r="L269" s="1648"/>
      <c r="M269" s="1648">
        <f t="shared" si="48"/>
        <v>0</v>
      </c>
      <c r="N269" s="1648">
        <f t="shared" si="49"/>
        <v>0</v>
      </c>
      <c r="O269" s="1648">
        <f t="shared" si="50"/>
        <v>0</v>
      </c>
      <c r="P269" s="1648">
        <f t="shared" si="51"/>
        <v>0</v>
      </c>
      <c r="Q269" s="1648">
        <f t="shared" si="52"/>
        <v>0</v>
      </c>
      <c r="R269" s="55">
        <f t="shared" si="53"/>
        <v>0</v>
      </c>
      <c r="S269" s="55">
        <f t="shared" si="54"/>
        <v>0</v>
      </c>
    </row>
    <row r="270" spans="1:19" s="57" customFormat="1" ht="31.5" hidden="1" customHeight="1">
      <c r="A270" s="1854"/>
      <c r="B270" s="1648">
        <f t="shared" si="44"/>
        <v>0</v>
      </c>
      <c r="C270" s="1863" t="s">
        <v>5343</v>
      </c>
      <c r="D270" s="1649">
        <f>Data!X598</f>
        <v>0</v>
      </c>
      <c r="E270" s="1687" t="s">
        <v>5324</v>
      </c>
      <c r="F270" s="1649"/>
      <c r="G270" s="1648">
        <f t="shared" si="45"/>
        <v>0</v>
      </c>
      <c r="H270" s="1648"/>
      <c r="I270" s="1648">
        <f t="shared" si="46"/>
        <v>0</v>
      </c>
      <c r="J270" s="1648"/>
      <c r="K270" s="1648">
        <f t="shared" si="47"/>
        <v>0</v>
      </c>
      <c r="L270" s="1648"/>
      <c r="M270" s="1648">
        <f t="shared" si="48"/>
        <v>0</v>
      </c>
      <c r="N270" s="1648">
        <f t="shared" si="49"/>
        <v>0</v>
      </c>
      <c r="O270" s="1648">
        <f t="shared" si="50"/>
        <v>0</v>
      </c>
      <c r="P270" s="1648">
        <f t="shared" si="51"/>
        <v>0</v>
      </c>
      <c r="Q270" s="1648">
        <f t="shared" si="52"/>
        <v>0</v>
      </c>
      <c r="R270" s="55">
        <f t="shared" si="53"/>
        <v>0</v>
      </c>
      <c r="S270" s="55">
        <f t="shared" si="54"/>
        <v>0</v>
      </c>
    </row>
    <row r="271" spans="1:19" s="57" customFormat="1" ht="31.5" hidden="1" customHeight="1">
      <c r="A271" s="1854"/>
      <c r="B271" s="1648">
        <f t="shared" si="44"/>
        <v>0</v>
      </c>
      <c r="C271" s="1863" t="s">
        <v>5344</v>
      </c>
      <c r="D271" s="1649">
        <f>Data!X599</f>
        <v>0</v>
      </c>
      <c r="E271" s="1687" t="s">
        <v>5324</v>
      </c>
      <c r="F271" s="1649"/>
      <c r="G271" s="1648">
        <f t="shared" si="45"/>
        <v>0</v>
      </c>
      <c r="H271" s="1648"/>
      <c r="I271" s="1648">
        <f t="shared" si="46"/>
        <v>0</v>
      </c>
      <c r="J271" s="1648"/>
      <c r="K271" s="1648">
        <f t="shared" si="47"/>
        <v>0</v>
      </c>
      <c r="L271" s="1648"/>
      <c r="M271" s="1648">
        <f t="shared" si="48"/>
        <v>0</v>
      </c>
      <c r="N271" s="1648">
        <f t="shared" si="49"/>
        <v>0</v>
      </c>
      <c r="O271" s="1648">
        <f t="shared" si="50"/>
        <v>0</v>
      </c>
      <c r="P271" s="1648">
        <f t="shared" si="51"/>
        <v>0</v>
      </c>
      <c r="Q271" s="1648">
        <f t="shared" si="52"/>
        <v>0</v>
      </c>
      <c r="R271" s="55">
        <f t="shared" si="53"/>
        <v>0</v>
      </c>
      <c r="S271" s="55">
        <f t="shared" si="54"/>
        <v>0</v>
      </c>
    </row>
    <row r="272" spans="1:19" s="57" customFormat="1" ht="31.5" hidden="1" customHeight="1">
      <c r="A272" s="1855"/>
      <c r="B272" s="1648">
        <f t="shared" si="44"/>
        <v>0</v>
      </c>
      <c r="C272" s="1863" t="s">
        <v>5345</v>
      </c>
      <c r="D272" s="1649">
        <f>Data!X600</f>
        <v>0</v>
      </c>
      <c r="E272" s="1687" t="s">
        <v>5324</v>
      </c>
      <c r="F272" s="1649"/>
      <c r="G272" s="1648">
        <f t="shared" si="45"/>
        <v>0</v>
      </c>
      <c r="H272" s="1648"/>
      <c r="I272" s="1648">
        <f t="shared" si="46"/>
        <v>0</v>
      </c>
      <c r="J272" s="1648"/>
      <c r="K272" s="1648">
        <f t="shared" si="47"/>
        <v>0</v>
      </c>
      <c r="L272" s="1648"/>
      <c r="M272" s="1648">
        <f t="shared" si="48"/>
        <v>0</v>
      </c>
      <c r="N272" s="1648">
        <f t="shared" si="49"/>
        <v>0</v>
      </c>
      <c r="O272" s="1648">
        <f t="shared" si="50"/>
        <v>0</v>
      </c>
      <c r="P272" s="1648">
        <f t="shared" si="51"/>
        <v>0</v>
      </c>
      <c r="Q272" s="1648">
        <f t="shared" si="52"/>
        <v>0</v>
      </c>
      <c r="R272" s="55">
        <f t="shared" si="53"/>
        <v>0</v>
      </c>
      <c r="S272" s="55">
        <f t="shared" si="54"/>
        <v>0</v>
      </c>
    </row>
    <row r="273" spans="1:19" ht="31.5" hidden="1" customHeight="1">
      <c r="A273" s="1854">
        <v>16.2</v>
      </c>
      <c r="B273" s="1648">
        <f t="shared" si="44"/>
        <v>0</v>
      </c>
      <c r="C273" s="1863" t="s">
        <v>5400</v>
      </c>
      <c r="D273" s="1649">
        <f>Data!X601</f>
        <v>0</v>
      </c>
      <c r="E273" s="1687" t="s">
        <v>5324</v>
      </c>
      <c r="F273" s="1649">
        <f>'Detail '!I874</f>
        <v>0</v>
      </c>
      <c r="G273" s="1648">
        <f t="shared" si="45"/>
        <v>0</v>
      </c>
      <c r="H273" s="1648"/>
      <c r="I273" s="1648">
        <f t="shared" si="46"/>
        <v>0</v>
      </c>
      <c r="J273" s="1648"/>
      <c r="K273" s="1648">
        <f t="shared" si="47"/>
        <v>0</v>
      </c>
      <c r="L273" s="1648"/>
      <c r="M273" s="1648">
        <f t="shared" si="48"/>
        <v>0</v>
      </c>
      <c r="N273" s="1648">
        <f t="shared" si="49"/>
        <v>0</v>
      </c>
      <c r="O273" s="1648">
        <f t="shared" si="50"/>
        <v>0</v>
      </c>
      <c r="P273" s="1648">
        <f t="shared" si="51"/>
        <v>0</v>
      </c>
      <c r="Q273" s="1648">
        <f t="shared" si="52"/>
        <v>0</v>
      </c>
      <c r="R273" s="55">
        <f t="shared" si="53"/>
        <v>0</v>
      </c>
      <c r="S273" s="55">
        <f t="shared" si="54"/>
        <v>0</v>
      </c>
    </row>
    <row r="274" spans="1:19" ht="31.5" hidden="1" customHeight="1">
      <c r="A274" s="1687"/>
      <c r="B274" s="1648">
        <f t="shared" si="44"/>
        <v>0</v>
      </c>
      <c r="C274" s="1863" t="s">
        <v>3380</v>
      </c>
      <c r="D274" s="1649">
        <f>Data!X602</f>
        <v>0</v>
      </c>
      <c r="E274" s="1687" t="s">
        <v>5324</v>
      </c>
      <c r="F274" s="1649">
        <f>'Detail '!I875</f>
        <v>0</v>
      </c>
      <c r="G274" s="1648">
        <f t="shared" si="45"/>
        <v>0</v>
      </c>
      <c r="H274" s="1648"/>
      <c r="I274" s="1648">
        <f t="shared" si="46"/>
        <v>0</v>
      </c>
      <c r="J274" s="1648"/>
      <c r="K274" s="1648">
        <f t="shared" si="47"/>
        <v>0</v>
      </c>
      <c r="L274" s="1648"/>
      <c r="M274" s="1648">
        <f t="shared" si="48"/>
        <v>0</v>
      </c>
      <c r="N274" s="1648">
        <f t="shared" si="49"/>
        <v>0</v>
      </c>
      <c r="O274" s="1648">
        <f t="shared" si="50"/>
        <v>0</v>
      </c>
      <c r="P274" s="1648">
        <f t="shared" si="51"/>
        <v>0</v>
      </c>
      <c r="Q274" s="1648">
        <f t="shared" si="52"/>
        <v>0</v>
      </c>
      <c r="R274" s="55">
        <f t="shared" si="53"/>
        <v>0</v>
      </c>
      <c r="S274" s="55">
        <f t="shared" si="54"/>
        <v>0</v>
      </c>
    </row>
    <row r="275" spans="1:19" ht="31.5" hidden="1" customHeight="1">
      <c r="A275" s="1687"/>
      <c r="B275" s="1648">
        <f t="shared" si="44"/>
        <v>0</v>
      </c>
      <c r="C275" s="1863" t="s">
        <v>4812</v>
      </c>
      <c r="D275" s="1649">
        <f>Data!X603</f>
        <v>0</v>
      </c>
      <c r="E275" s="1687" t="s">
        <v>5324</v>
      </c>
      <c r="F275" s="1649"/>
      <c r="G275" s="1648">
        <f t="shared" si="45"/>
        <v>0</v>
      </c>
      <c r="H275" s="1648"/>
      <c r="I275" s="1648">
        <f t="shared" si="46"/>
        <v>0</v>
      </c>
      <c r="J275" s="1648"/>
      <c r="K275" s="1648">
        <f t="shared" si="47"/>
        <v>0</v>
      </c>
      <c r="L275" s="1648"/>
      <c r="M275" s="1648">
        <f t="shared" si="48"/>
        <v>0</v>
      </c>
      <c r="N275" s="1648">
        <f t="shared" si="49"/>
        <v>0</v>
      </c>
      <c r="O275" s="1648">
        <f t="shared" si="50"/>
        <v>0</v>
      </c>
      <c r="P275" s="1648">
        <f t="shared" si="51"/>
        <v>0</v>
      </c>
      <c r="Q275" s="1648">
        <f t="shared" si="52"/>
        <v>0</v>
      </c>
      <c r="R275" s="55">
        <f t="shared" si="53"/>
        <v>0</v>
      </c>
      <c r="S275" s="55">
        <f t="shared" si="54"/>
        <v>0</v>
      </c>
    </row>
    <row r="276" spans="1:19" ht="31.5" hidden="1" customHeight="1">
      <c r="A276" s="1687"/>
      <c r="B276" s="1648">
        <f t="shared" si="44"/>
        <v>0</v>
      </c>
      <c r="C276" s="1863" t="s">
        <v>5356</v>
      </c>
      <c r="D276" s="1649">
        <f>Data!X604</f>
        <v>0</v>
      </c>
      <c r="E276" s="1687" t="s">
        <v>5324</v>
      </c>
      <c r="F276" s="1649"/>
      <c r="G276" s="1648">
        <f t="shared" si="45"/>
        <v>0</v>
      </c>
      <c r="H276" s="1648"/>
      <c r="I276" s="1648">
        <f t="shared" si="46"/>
        <v>0</v>
      </c>
      <c r="J276" s="1648"/>
      <c r="K276" s="1648">
        <f t="shared" si="47"/>
        <v>0</v>
      </c>
      <c r="L276" s="1648"/>
      <c r="M276" s="1648">
        <f t="shared" si="48"/>
        <v>0</v>
      </c>
      <c r="N276" s="1648">
        <f t="shared" si="49"/>
        <v>0</v>
      </c>
      <c r="O276" s="1648">
        <f t="shared" si="50"/>
        <v>0</v>
      </c>
      <c r="P276" s="1648">
        <f t="shared" si="51"/>
        <v>0</v>
      </c>
      <c r="Q276" s="1648">
        <f t="shared" si="52"/>
        <v>0</v>
      </c>
      <c r="R276" s="55">
        <f t="shared" si="53"/>
        <v>0</v>
      </c>
      <c r="S276" s="55">
        <f t="shared" si="54"/>
        <v>0</v>
      </c>
    </row>
    <row r="277" spans="1:19" ht="31.5" hidden="1" customHeight="1">
      <c r="A277" s="1687"/>
      <c r="B277" s="1648">
        <f t="shared" si="44"/>
        <v>0</v>
      </c>
      <c r="C277" s="1863" t="s">
        <v>5357</v>
      </c>
      <c r="D277" s="1649">
        <f>Data!X605</f>
        <v>0</v>
      </c>
      <c r="E277" s="1687" t="s">
        <v>5324</v>
      </c>
      <c r="F277" s="1649"/>
      <c r="G277" s="1648">
        <f t="shared" si="45"/>
        <v>0</v>
      </c>
      <c r="H277" s="1648"/>
      <c r="I277" s="1648">
        <f t="shared" si="46"/>
        <v>0</v>
      </c>
      <c r="J277" s="1648"/>
      <c r="K277" s="1648">
        <f t="shared" si="47"/>
        <v>0</v>
      </c>
      <c r="L277" s="1648"/>
      <c r="M277" s="1648">
        <f t="shared" si="48"/>
        <v>0</v>
      </c>
      <c r="N277" s="1648">
        <f t="shared" si="49"/>
        <v>0</v>
      </c>
      <c r="O277" s="1648">
        <f t="shared" si="50"/>
        <v>0</v>
      </c>
      <c r="P277" s="1648">
        <f t="shared" si="51"/>
        <v>0</v>
      </c>
      <c r="Q277" s="1648">
        <f t="shared" si="52"/>
        <v>0</v>
      </c>
      <c r="R277" s="55">
        <f t="shared" si="53"/>
        <v>0</v>
      </c>
      <c r="S277" s="55">
        <f t="shared" si="54"/>
        <v>0</v>
      </c>
    </row>
    <row r="278" spans="1:19" ht="31.5" hidden="1" customHeight="1">
      <c r="A278" s="1688"/>
      <c r="B278" s="1648">
        <f t="shared" si="44"/>
        <v>0</v>
      </c>
      <c r="C278" s="1863" t="s">
        <v>5358</v>
      </c>
      <c r="D278" s="1649">
        <f>Data!X606</f>
        <v>0</v>
      </c>
      <c r="E278" s="1687" t="s">
        <v>5324</v>
      </c>
      <c r="F278" s="1649"/>
      <c r="G278" s="1648">
        <f t="shared" si="45"/>
        <v>0</v>
      </c>
      <c r="H278" s="1648"/>
      <c r="I278" s="1648">
        <f t="shared" si="46"/>
        <v>0</v>
      </c>
      <c r="J278" s="1648"/>
      <c r="K278" s="1648">
        <f t="shared" si="47"/>
        <v>0</v>
      </c>
      <c r="L278" s="1648"/>
      <c r="M278" s="1648">
        <f t="shared" si="48"/>
        <v>0</v>
      </c>
      <c r="N278" s="1648">
        <f t="shared" si="49"/>
        <v>0</v>
      </c>
      <c r="O278" s="1648">
        <f t="shared" si="50"/>
        <v>0</v>
      </c>
      <c r="P278" s="1648">
        <f t="shared" si="51"/>
        <v>0</v>
      </c>
      <c r="Q278" s="1648">
        <f t="shared" si="52"/>
        <v>0</v>
      </c>
      <c r="R278" s="55">
        <f t="shared" si="53"/>
        <v>0</v>
      </c>
      <c r="S278" s="55">
        <f t="shared" si="54"/>
        <v>0</v>
      </c>
    </row>
    <row r="279" spans="1:19" ht="31.5" hidden="1" customHeight="1">
      <c r="A279" s="1854">
        <v>16.3</v>
      </c>
      <c r="B279" s="1648">
        <f t="shared" si="44"/>
        <v>0</v>
      </c>
      <c r="C279" s="1863" t="s">
        <v>5401</v>
      </c>
      <c r="D279" s="1649">
        <f>Data!X607</f>
        <v>0</v>
      </c>
      <c r="E279" s="1687" t="s">
        <v>5324</v>
      </c>
      <c r="F279" s="1649"/>
      <c r="G279" s="1648">
        <f t="shared" si="45"/>
        <v>0</v>
      </c>
      <c r="H279" s="1648"/>
      <c r="I279" s="1648">
        <f t="shared" si="46"/>
        <v>0</v>
      </c>
      <c r="J279" s="1648"/>
      <c r="K279" s="1648">
        <f t="shared" si="47"/>
        <v>0</v>
      </c>
      <c r="L279" s="1648"/>
      <c r="M279" s="1648">
        <f t="shared" si="48"/>
        <v>0</v>
      </c>
      <c r="N279" s="1648">
        <f t="shared" si="49"/>
        <v>0</v>
      </c>
      <c r="O279" s="1648">
        <f t="shared" si="50"/>
        <v>0</v>
      </c>
      <c r="P279" s="1648">
        <f t="shared" si="51"/>
        <v>0</v>
      </c>
      <c r="Q279" s="1648">
        <f t="shared" si="52"/>
        <v>0</v>
      </c>
      <c r="R279" s="55">
        <f t="shared" si="53"/>
        <v>0</v>
      </c>
      <c r="S279" s="55">
        <f t="shared" si="54"/>
        <v>0</v>
      </c>
    </row>
    <row r="280" spans="1:19" ht="31.5" hidden="1" customHeight="1">
      <c r="A280" s="1854"/>
      <c r="B280" s="1648">
        <f t="shared" si="44"/>
        <v>0</v>
      </c>
      <c r="C280" s="1863" t="s">
        <v>3380</v>
      </c>
      <c r="D280" s="1649">
        <f>Data!X608</f>
        <v>0</v>
      </c>
      <c r="E280" s="1687" t="s">
        <v>5324</v>
      </c>
      <c r="F280" s="1649"/>
      <c r="G280" s="1648">
        <f t="shared" si="45"/>
        <v>0</v>
      </c>
      <c r="H280" s="1648"/>
      <c r="I280" s="1648">
        <f t="shared" si="46"/>
        <v>0</v>
      </c>
      <c r="J280" s="1648"/>
      <c r="K280" s="1648">
        <f t="shared" si="47"/>
        <v>0</v>
      </c>
      <c r="L280" s="1648"/>
      <c r="M280" s="1648">
        <f t="shared" si="48"/>
        <v>0</v>
      </c>
      <c r="N280" s="1648">
        <f t="shared" si="49"/>
        <v>0</v>
      </c>
      <c r="O280" s="1648">
        <f t="shared" si="50"/>
        <v>0</v>
      </c>
      <c r="P280" s="1648">
        <f t="shared" si="51"/>
        <v>0</v>
      </c>
      <c r="Q280" s="1648">
        <f t="shared" si="52"/>
        <v>0</v>
      </c>
      <c r="R280" s="55">
        <f t="shared" si="53"/>
        <v>0</v>
      </c>
      <c r="S280" s="55">
        <f t="shared" si="54"/>
        <v>0</v>
      </c>
    </row>
    <row r="281" spans="1:19" ht="31.5" hidden="1" customHeight="1">
      <c r="A281" s="1854"/>
      <c r="B281" s="1648">
        <f t="shared" si="44"/>
        <v>0</v>
      </c>
      <c r="C281" s="1863" t="s">
        <v>4812</v>
      </c>
      <c r="D281" s="1649">
        <f>Data!X609</f>
        <v>0</v>
      </c>
      <c r="E281" s="1687" t="s">
        <v>5324</v>
      </c>
      <c r="F281" s="1649"/>
      <c r="G281" s="1648">
        <f t="shared" si="45"/>
        <v>0</v>
      </c>
      <c r="H281" s="1648"/>
      <c r="I281" s="1648">
        <f t="shared" si="46"/>
        <v>0</v>
      </c>
      <c r="J281" s="1648"/>
      <c r="K281" s="1648">
        <f t="shared" si="47"/>
        <v>0</v>
      </c>
      <c r="L281" s="1648"/>
      <c r="M281" s="1648">
        <f t="shared" si="48"/>
        <v>0</v>
      </c>
      <c r="N281" s="1648">
        <f t="shared" si="49"/>
        <v>0</v>
      </c>
      <c r="O281" s="1648">
        <f t="shared" si="50"/>
        <v>0</v>
      </c>
      <c r="P281" s="1648">
        <f t="shared" si="51"/>
        <v>0</v>
      </c>
      <c r="Q281" s="1648">
        <f t="shared" si="52"/>
        <v>0</v>
      </c>
      <c r="R281" s="55">
        <f t="shared" si="53"/>
        <v>0</v>
      </c>
      <c r="S281" s="55">
        <f t="shared" si="54"/>
        <v>0</v>
      </c>
    </row>
    <row r="282" spans="1:19" ht="31.5" hidden="1" customHeight="1">
      <c r="A282" s="1854"/>
      <c r="B282" s="1648">
        <f t="shared" si="44"/>
        <v>0</v>
      </c>
      <c r="C282" s="1863" t="s">
        <v>5356</v>
      </c>
      <c r="D282" s="1649">
        <f>Data!X610</f>
        <v>0</v>
      </c>
      <c r="E282" s="1687" t="s">
        <v>5324</v>
      </c>
      <c r="F282" s="1649"/>
      <c r="G282" s="1648">
        <f t="shared" si="45"/>
        <v>0</v>
      </c>
      <c r="H282" s="1648"/>
      <c r="I282" s="1648">
        <f t="shared" si="46"/>
        <v>0</v>
      </c>
      <c r="J282" s="1648"/>
      <c r="K282" s="1648">
        <f t="shared" si="47"/>
        <v>0</v>
      </c>
      <c r="L282" s="1648"/>
      <c r="M282" s="1648">
        <f t="shared" si="48"/>
        <v>0</v>
      </c>
      <c r="N282" s="1648">
        <f t="shared" si="49"/>
        <v>0</v>
      </c>
      <c r="O282" s="1648">
        <f t="shared" si="50"/>
        <v>0</v>
      </c>
      <c r="P282" s="1648">
        <f t="shared" si="51"/>
        <v>0</v>
      </c>
      <c r="Q282" s="1648">
        <f t="shared" si="52"/>
        <v>0</v>
      </c>
      <c r="R282" s="55">
        <f t="shared" si="53"/>
        <v>0</v>
      </c>
      <c r="S282" s="55">
        <f t="shared" si="54"/>
        <v>0</v>
      </c>
    </row>
    <row r="283" spans="1:19" ht="31.5" hidden="1" customHeight="1">
      <c r="A283" s="1687"/>
      <c r="B283" s="1648">
        <f t="shared" si="44"/>
        <v>0</v>
      </c>
      <c r="C283" s="1863" t="s">
        <v>5357</v>
      </c>
      <c r="D283" s="1649">
        <f>Data!X611</f>
        <v>0</v>
      </c>
      <c r="E283" s="1687" t="s">
        <v>5324</v>
      </c>
      <c r="F283" s="1649"/>
      <c r="G283" s="1648">
        <f t="shared" si="45"/>
        <v>0</v>
      </c>
      <c r="H283" s="1648"/>
      <c r="I283" s="1648">
        <f t="shared" si="46"/>
        <v>0</v>
      </c>
      <c r="J283" s="1648"/>
      <c r="K283" s="1648">
        <f t="shared" si="47"/>
        <v>0</v>
      </c>
      <c r="L283" s="1648"/>
      <c r="M283" s="1648">
        <f t="shared" si="48"/>
        <v>0</v>
      </c>
      <c r="N283" s="1648">
        <f t="shared" si="49"/>
        <v>0</v>
      </c>
      <c r="O283" s="1648">
        <f t="shared" si="50"/>
        <v>0</v>
      </c>
      <c r="P283" s="1648">
        <f t="shared" si="51"/>
        <v>0</v>
      </c>
      <c r="Q283" s="1648">
        <f t="shared" si="52"/>
        <v>0</v>
      </c>
      <c r="R283" s="55">
        <f t="shared" si="53"/>
        <v>0</v>
      </c>
      <c r="S283" s="55">
        <f t="shared" si="54"/>
        <v>0</v>
      </c>
    </row>
    <row r="284" spans="1:19" ht="31.5" hidden="1" customHeight="1">
      <c r="A284" s="1688"/>
      <c r="B284" s="1648">
        <f t="shared" si="44"/>
        <v>0</v>
      </c>
      <c r="C284" s="1863" t="s">
        <v>5358</v>
      </c>
      <c r="D284" s="1649">
        <f>Data!X612</f>
        <v>0</v>
      </c>
      <c r="E284" s="1687" t="s">
        <v>5324</v>
      </c>
      <c r="F284" s="1649"/>
      <c r="G284" s="1648">
        <f t="shared" si="45"/>
        <v>0</v>
      </c>
      <c r="H284" s="1648"/>
      <c r="I284" s="1648">
        <f t="shared" si="46"/>
        <v>0</v>
      </c>
      <c r="J284" s="1648"/>
      <c r="K284" s="1648">
        <f t="shared" si="47"/>
        <v>0</v>
      </c>
      <c r="L284" s="1648"/>
      <c r="M284" s="1648">
        <f t="shared" si="48"/>
        <v>0</v>
      </c>
      <c r="N284" s="1648">
        <f t="shared" si="49"/>
        <v>0</v>
      </c>
      <c r="O284" s="1648">
        <f t="shared" si="50"/>
        <v>0</v>
      </c>
      <c r="P284" s="1648">
        <f t="shared" si="51"/>
        <v>0</v>
      </c>
      <c r="Q284" s="1648">
        <f t="shared" si="52"/>
        <v>0</v>
      </c>
      <c r="R284" s="55">
        <f t="shared" si="53"/>
        <v>0</v>
      </c>
      <c r="S284" s="55">
        <f t="shared" si="54"/>
        <v>0</v>
      </c>
    </row>
    <row r="285" spans="1:19" ht="31.5" hidden="1" customHeight="1">
      <c r="A285" s="1854">
        <v>17</v>
      </c>
      <c r="B285" s="1648">
        <f t="shared" si="44"/>
        <v>0</v>
      </c>
      <c r="C285" s="1863" t="s">
        <v>5402</v>
      </c>
      <c r="D285" s="1649">
        <f>Data!X613</f>
        <v>0</v>
      </c>
      <c r="E285" s="1687" t="s">
        <v>5324</v>
      </c>
      <c r="F285" s="1649"/>
      <c r="G285" s="1648">
        <f t="shared" si="45"/>
        <v>0</v>
      </c>
      <c r="H285" s="1648"/>
      <c r="I285" s="1648">
        <f t="shared" si="46"/>
        <v>0</v>
      </c>
      <c r="J285" s="1648"/>
      <c r="K285" s="1648">
        <f t="shared" si="47"/>
        <v>0</v>
      </c>
      <c r="L285" s="1648"/>
      <c r="M285" s="1648">
        <f t="shared" si="48"/>
        <v>0</v>
      </c>
      <c r="N285" s="1648">
        <f t="shared" si="49"/>
        <v>0</v>
      </c>
      <c r="O285" s="1648">
        <f t="shared" si="50"/>
        <v>0</v>
      </c>
      <c r="P285" s="1648">
        <f t="shared" si="51"/>
        <v>0</v>
      </c>
      <c r="Q285" s="1648">
        <f t="shared" si="52"/>
        <v>0</v>
      </c>
      <c r="R285" s="55">
        <f t="shared" si="53"/>
        <v>0</v>
      </c>
      <c r="S285" s="55">
        <f t="shared" si="54"/>
        <v>0</v>
      </c>
    </row>
    <row r="286" spans="1:19" ht="31.5" hidden="1" customHeight="1">
      <c r="A286" s="1854">
        <v>18</v>
      </c>
      <c r="B286" s="1648">
        <f t="shared" si="44"/>
        <v>0</v>
      </c>
      <c r="C286" s="1863" t="s">
        <v>5403</v>
      </c>
      <c r="D286" s="1649">
        <f>Data!X614</f>
        <v>0</v>
      </c>
      <c r="E286" s="1687" t="s">
        <v>5324</v>
      </c>
      <c r="F286" s="1649"/>
      <c r="G286" s="1648">
        <f t="shared" si="45"/>
        <v>0</v>
      </c>
      <c r="H286" s="1648"/>
      <c r="I286" s="1648">
        <f t="shared" si="46"/>
        <v>0</v>
      </c>
      <c r="J286" s="1648"/>
      <c r="K286" s="1648">
        <f t="shared" si="47"/>
        <v>0</v>
      </c>
      <c r="L286" s="1648"/>
      <c r="M286" s="1648">
        <f t="shared" si="48"/>
        <v>0</v>
      </c>
      <c r="N286" s="1648">
        <f t="shared" si="49"/>
        <v>0</v>
      </c>
      <c r="O286" s="1648">
        <f t="shared" si="50"/>
        <v>0</v>
      </c>
      <c r="P286" s="1648">
        <f t="shared" si="51"/>
        <v>0</v>
      </c>
      <c r="Q286" s="1648">
        <f t="shared" si="52"/>
        <v>0</v>
      </c>
      <c r="R286" s="55">
        <f t="shared" si="53"/>
        <v>0</v>
      </c>
      <c r="S286" s="55">
        <f t="shared" si="54"/>
        <v>0</v>
      </c>
    </row>
    <row r="287" spans="1:19" ht="31.5" hidden="1" customHeight="1">
      <c r="A287" s="1854">
        <v>19</v>
      </c>
      <c r="B287" s="1648">
        <f t="shared" si="44"/>
        <v>0</v>
      </c>
      <c r="C287" s="1863" t="s">
        <v>5404</v>
      </c>
      <c r="D287" s="1649">
        <f>Data!X615</f>
        <v>0</v>
      </c>
      <c r="E287" s="1687" t="s">
        <v>5324</v>
      </c>
      <c r="F287" s="1649"/>
      <c r="G287" s="1648">
        <f t="shared" si="45"/>
        <v>0</v>
      </c>
      <c r="H287" s="1648"/>
      <c r="I287" s="1648">
        <f t="shared" si="46"/>
        <v>0</v>
      </c>
      <c r="J287" s="1648"/>
      <c r="K287" s="1648">
        <f t="shared" si="47"/>
        <v>0</v>
      </c>
      <c r="L287" s="1648"/>
      <c r="M287" s="1648">
        <f t="shared" si="48"/>
        <v>0</v>
      </c>
      <c r="N287" s="1648">
        <f t="shared" si="49"/>
        <v>0</v>
      </c>
      <c r="O287" s="1648">
        <f t="shared" si="50"/>
        <v>0</v>
      </c>
      <c r="P287" s="1648">
        <f t="shared" si="51"/>
        <v>0</v>
      </c>
      <c r="Q287" s="1648">
        <f t="shared" si="52"/>
        <v>0</v>
      </c>
      <c r="R287" s="55">
        <f t="shared" si="53"/>
        <v>0</v>
      </c>
      <c r="S287" s="55">
        <f t="shared" si="54"/>
        <v>0</v>
      </c>
    </row>
    <row r="288" spans="1:19" ht="31.5" hidden="1" customHeight="1">
      <c r="A288" s="1854">
        <v>20</v>
      </c>
      <c r="B288" s="1648">
        <f t="shared" si="44"/>
        <v>0</v>
      </c>
      <c r="C288" s="1863" t="s">
        <v>5405</v>
      </c>
      <c r="D288" s="1649">
        <f>Data!X616</f>
        <v>0</v>
      </c>
      <c r="E288" s="1687" t="s">
        <v>5324</v>
      </c>
      <c r="F288" s="1649"/>
      <c r="G288" s="1648">
        <f t="shared" si="45"/>
        <v>0</v>
      </c>
      <c r="H288" s="1648"/>
      <c r="I288" s="1648">
        <f t="shared" si="46"/>
        <v>0</v>
      </c>
      <c r="J288" s="1648"/>
      <c r="K288" s="1648">
        <f t="shared" si="47"/>
        <v>0</v>
      </c>
      <c r="L288" s="1648"/>
      <c r="M288" s="1648">
        <f t="shared" si="48"/>
        <v>0</v>
      </c>
      <c r="N288" s="1648">
        <f t="shared" si="49"/>
        <v>0</v>
      </c>
      <c r="O288" s="1648">
        <f t="shared" si="50"/>
        <v>0</v>
      </c>
      <c r="P288" s="1648">
        <f t="shared" si="51"/>
        <v>0</v>
      </c>
      <c r="Q288" s="1648">
        <f t="shared" si="52"/>
        <v>0</v>
      </c>
      <c r="R288" s="55">
        <f t="shared" si="53"/>
        <v>0</v>
      </c>
      <c r="S288" s="55">
        <f t="shared" si="54"/>
        <v>0</v>
      </c>
    </row>
    <row r="289" spans="1:19" ht="31.5" hidden="1" customHeight="1">
      <c r="A289" s="1854">
        <v>21.1</v>
      </c>
      <c r="B289" s="1648">
        <f t="shared" si="44"/>
        <v>0</v>
      </c>
      <c r="C289" s="1864" t="s">
        <v>5406</v>
      </c>
      <c r="D289" s="1649">
        <f>Data!X617</f>
        <v>0</v>
      </c>
      <c r="E289" s="1687" t="s">
        <v>5324</v>
      </c>
      <c r="F289" s="1649"/>
      <c r="G289" s="1648">
        <f t="shared" si="45"/>
        <v>0</v>
      </c>
      <c r="H289" s="1648"/>
      <c r="I289" s="1648">
        <f t="shared" si="46"/>
        <v>0</v>
      </c>
      <c r="J289" s="1648"/>
      <c r="K289" s="1648">
        <f t="shared" si="47"/>
        <v>0</v>
      </c>
      <c r="L289" s="1648"/>
      <c r="M289" s="1648">
        <f t="shared" si="48"/>
        <v>0</v>
      </c>
      <c r="N289" s="1648">
        <f t="shared" si="49"/>
        <v>0</v>
      </c>
      <c r="O289" s="1648">
        <f t="shared" si="50"/>
        <v>0</v>
      </c>
      <c r="P289" s="1648">
        <f t="shared" si="51"/>
        <v>0</v>
      </c>
      <c r="Q289" s="1648">
        <f t="shared" si="52"/>
        <v>0</v>
      </c>
      <c r="R289" s="55">
        <f t="shared" si="53"/>
        <v>0</v>
      </c>
      <c r="S289" s="55">
        <f t="shared" si="54"/>
        <v>0</v>
      </c>
    </row>
    <row r="290" spans="1:19" ht="31.5" hidden="1" customHeight="1">
      <c r="A290" s="1854"/>
      <c r="B290" s="1648">
        <f t="shared" si="44"/>
        <v>0</v>
      </c>
      <c r="C290" s="1863" t="s">
        <v>5407</v>
      </c>
      <c r="D290" s="1649">
        <f>Data!X618</f>
        <v>0</v>
      </c>
      <c r="E290" s="1687" t="s">
        <v>5324</v>
      </c>
      <c r="F290" s="1649">
        <f>'Detail '!I892</f>
        <v>0</v>
      </c>
      <c r="G290" s="1648">
        <f t="shared" si="45"/>
        <v>0</v>
      </c>
      <c r="H290" s="1648"/>
      <c r="I290" s="1648">
        <f t="shared" si="46"/>
        <v>0</v>
      </c>
      <c r="J290" s="1648"/>
      <c r="K290" s="1648">
        <f t="shared" si="47"/>
        <v>0</v>
      </c>
      <c r="L290" s="1648"/>
      <c r="M290" s="1648">
        <f t="shared" si="48"/>
        <v>0</v>
      </c>
      <c r="N290" s="1648">
        <f t="shared" si="49"/>
        <v>0</v>
      </c>
      <c r="O290" s="1648">
        <f t="shared" si="50"/>
        <v>0</v>
      </c>
      <c r="P290" s="1648">
        <f t="shared" si="51"/>
        <v>0</v>
      </c>
      <c r="Q290" s="1648">
        <f t="shared" si="52"/>
        <v>0</v>
      </c>
      <c r="R290" s="55">
        <f t="shared" si="53"/>
        <v>0</v>
      </c>
      <c r="S290" s="55">
        <f t="shared" si="54"/>
        <v>0</v>
      </c>
    </row>
    <row r="291" spans="1:19" ht="31.5" hidden="1" customHeight="1">
      <c r="A291" s="1854"/>
      <c r="B291" s="1648">
        <f t="shared" si="44"/>
        <v>0</v>
      </c>
      <c r="C291" s="1863" t="s">
        <v>5408</v>
      </c>
      <c r="D291" s="1649">
        <f>Data!X619</f>
        <v>0</v>
      </c>
      <c r="E291" s="1687" t="s">
        <v>5324</v>
      </c>
      <c r="F291" s="1649">
        <f>'Detail '!I893</f>
        <v>0</v>
      </c>
      <c r="G291" s="1648">
        <f t="shared" si="45"/>
        <v>0</v>
      </c>
      <c r="H291" s="1648"/>
      <c r="I291" s="1648">
        <f t="shared" si="46"/>
        <v>0</v>
      </c>
      <c r="J291" s="1648"/>
      <c r="K291" s="1648">
        <f t="shared" si="47"/>
        <v>0</v>
      </c>
      <c r="L291" s="1648"/>
      <c r="M291" s="1648">
        <f t="shared" si="48"/>
        <v>0</v>
      </c>
      <c r="N291" s="1648">
        <f t="shared" si="49"/>
        <v>0</v>
      </c>
      <c r="O291" s="1648">
        <f t="shared" si="50"/>
        <v>0</v>
      </c>
      <c r="P291" s="1648">
        <f t="shared" si="51"/>
        <v>0</v>
      </c>
      <c r="Q291" s="1648">
        <f t="shared" si="52"/>
        <v>0</v>
      </c>
      <c r="R291" s="55">
        <f t="shared" si="53"/>
        <v>0</v>
      </c>
      <c r="S291" s="55">
        <f t="shared" si="54"/>
        <v>0</v>
      </c>
    </row>
    <row r="292" spans="1:19" ht="31.5" hidden="1" customHeight="1">
      <c r="A292" s="1856"/>
      <c r="B292" s="1648">
        <f t="shared" si="44"/>
        <v>0</v>
      </c>
      <c r="C292" s="1863" t="s">
        <v>5409</v>
      </c>
      <c r="D292" s="1649">
        <f>Data!X620</f>
        <v>0</v>
      </c>
      <c r="E292" s="1687" t="s">
        <v>5324</v>
      </c>
      <c r="F292" s="1649"/>
      <c r="G292" s="1648">
        <f t="shared" si="45"/>
        <v>0</v>
      </c>
      <c r="H292" s="1648"/>
      <c r="I292" s="1648">
        <f t="shared" si="46"/>
        <v>0</v>
      </c>
      <c r="J292" s="1648"/>
      <c r="K292" s="1648">
        <f t="shared" si="47"/>
        <v>0</v>
      </c>
      <c r="L292" s="1648"/>
      <c r="M292" s="1648">
        <f t="shared" si="48"/>
        <v>0</v>
      </c>
      <c r="N292" s="1648">
        <f t="shared" si="49"/>
        <v>0</v>
      </c>
      <c r="O292" s="1648">
        <f t="shared" si="50"/>
        <v>0</v>
      </c>
      <c r="P292" s="1648">
        <f t="shared" si="51"/>
        <v>0</v>
      </c>
      <c r="Q292" s="1648">
        <f t="shared" si="52"/>
        <v>0</v>
      </c>
      <c r="R292" s="55">
        <f t="shared" si="53"/>
        <v>0</v>
      </c>
      <c r="S292" s="55">
        <f t="shared" si="54"/>
        <v>0</v>
      </c>
    </row>
    <row r="293" spans="1:19" ht="25.5" hidden="1" customHeight="1">
      <c r="A293" s="1856"/>
      <c r="B293" s="1648">
        <f t="shared" si="44"/>
        <v>0</v>
      </c>
      <c r="C293" s="1863" t="s">
        <v>5345</v>
      </c>
      <c r="D293" s="1649">
        <f>Data!X594</f>
        <v>636.54999999999995</v>
      </c>
      <c r="E293" s="1687" t="s">
        <v>5324</v>
      </c>
      <c r="F293" s="1649"/>
      <c r="G293" s="1648">
        <f t="shared" si="45"/>
        <v>0</v>
      </c>
      <c r="H293" s="1648"/>
      <c r="I293" s="1648">
        <f t="shared" si="46"/>
        <v>0</v>
      </c>
      <c r="J293" s="1648"/>
      <c r="K293" s="1648">
        <f t="shared" si="47"/>
        <v>0</v>
      </c>
      <c r="L293" s="1648"/>
      <c r="M293" s="1648">
        <f t="shared" si="48"/>
        <v>0</v>
      </c>
      <c r="N293" s="1648">
        <f t="shared" si="49"/>
        <v>0</v>
      </c>
      <c r="O293" s="1648">
        <f t="shared" si="50"/>
        <v>0</v>
      </c>
      <c r="P293" s="1648">
        <f t="shared" si="51"/>
        <v>0</v>
      </c>
      <c r="Q293" s="1648">
        <f t="shared" si="52"/>
        <v>0</v>
      </c>
      <c r="R293" s="55">
        <f t="shared" si="53"/>
        <v>0</v>
      </c>
      <c r="S293" s="55">
        <f t="shared" si="54"/>
        <v>0</v>
      </c>
    </row>
    <row r="294" spans="1:19" ht="46.5" customHeight="1">
      <c r="A294" s="1854">
        <v>21.2</v>
      </c>
      <c r="B294" s="1648">
        <f t="shared" si="44"/>
        <v>0</v>
      </c>
      <c r="C294" s="1864" t="s">
        <v>3467</v>
      </c>
      <c r="D294" s="1649"/>
      <c r="E294" s="1687"/>
      <c r="F294" s="1649"/>
      <c r="G294" s="1648">
        <f t="shared" si="45"/>
        <v>0</v>
      </c>
      <c r="H294" s="1648"/>
      <c r="I294" s="1648">
        <f t="shared" si="46"/>
        <v>0</v>
      </c>
      <c r="J294" s="1648"/>
      <c r="K294" s="1648">
        <f t="shared" si="47"/>
        <v>0</v>
      </c>
      <c r="L294" s="1648"/>
      <c r="M294" s="1648">
        <f t="shared" si="48"/>
        <v>0</v>
      </c>
      <c r="N294" s="1648">
        <f t="shared" si="49"/>
        <v>0</v>
      </c>
      <c r="O294" s="1648">
        <f t="shared" si="50"/>
        <v>0</v>
      </c>
      <c r="P294" s="1648">
        <f t="shared" si="51"/>
        <v>0</v>
      </c>
      <c r="Q294" s="1648">
        <f t="shared" si="52"/>
        <v>0</v>
      </c>
      <c r="R294" s="55">
        <f t="shared" si="53"/>
        <v>0</v>
      </c>
      <c r="S294" s="55">
        <f t="shared" si="54"/>
        <v>0</v>
      </c>
    </row>
    <row r="295" spans="1:19" ht="46.5" customHeight="1">
      <c r="A295" s="1854"/>
      <c r="B295" s="1653">
        <f t="shared" si="44"/>
        <v>0.441</v>
      </c>
      <c r="C295" s="1863" t="s">
        <v>3468</v>
      </c>
      <c r="D295" s="1649">
        <f>ROUND(Data!K923,2)</f>
        <v>125878</v>
      </c>
      <c r="E295" s="1687" t="s">
        <v>5296</v>
      </c>
      <c r="F295" s="1710">
        <f>'Detail '!I879</f>
        <v>0.441</v>
      </c>
      <c r="G295" s="1648">
        <f t="shared" si="45"/>
        <v>55512.2</v>
      </c>
      <c r="H295" s="1648"/>
      <c r="I295" s="1648">
        <f t="shared" si="46"/>
        <v>0</v>
      </c>
      <c r="J295" s="1648"/>
      <c r="K295" s="1648">
        <f t="shared" si="47"/>
        <v>0</v>
      </c>
      <c r="L295" s="1648"/>
      <c r="M295" s="1648">
        <f t="shared" si="48"/>
        <v>0</v>
      </c>
      <c r="N295" s="1648">
        <f t="shared" si="49"/>
        <v>0</v>
      </c>
      <c r="O295" s="1648">
        <f t="shared" si="50"/>
        <v>0</v>
      </c>
      <c r="P295" s="1653">
        <f t="shared" si="51"/>
        <v>0.441</v>
      </c>
      <c r="Q295" s="1648">
        <f t="shared" si="52"/>
        <v>55512.2</v>
      </c>
      <c r="R295" s="55">
        <f t="shared" si="53"/>
        <v>55512.2</v>
      </c>
      <c r="S295" s="55">
        <f t="shared" si="54"/>
        <v>0</v>
      </c>
    </row>
    <row r="296" spans="1:19" ht="33.75" customHeight="1">
      <c r="A296" s="1855"/>
      <c r="B296" s="1653">
        <f t="shared" si="44"/>
        <v>0.252</v>
      </c>
      <c r="C296" s="1863" t="s">
        <v>3469</v>
      </c>
      <c r="D296" s="1649">
        <f>ROUND(Data!K930,2)</f>
        <v>113678</v>
      </c>
      <c r="E296" s="1687" t="s">
        <v>5296</v>
      </c>
      <c r="F296" s="1710">
        <f>'Detail '!I884</f>
        <v>0.252</v>
      </c>
      <c r="G296" s="1648">
        <f t="shared" si="45"/>
        <v>28646.86</v>
      </c>
      <c r="H296" s="1648"/>
      <c r="I296" s="1648">
        <f t="shared" si="46"/>
        <v>0</v>
      </c>
      <c r="J296" s="1648"/>
      <c r="K296" s="1648">
        <f t="shared" si="47"/>
        <v>0</v>
      </c>
      <c r="L296" s="1648"/>
      <c r="M296" s="1648">
        <f t="shared" si="48"/>
        <v>0</v>
      </c>
      <c r="N296" s="1648">
        <f t="shared" si="49"/>
        <v>0</v>
      </c>
      <c r="O296" s="1648">
        <f t="shared" si="50"/>
        <v>0</v>
      </c>
      <c r="P296" s="1653">
        <f t="shared" si="51"/>
        <v>0.252</v>
      </c>
      <c r="Q296" s="1648">
        <f t="shared" si="52"/>
        <v>28646.86</v>
      </c>
      <c r="R296" s="55">
        <f t="shared" si="53"/>
        <v>28646.86</v>
      </c>
      <c r="S296" s="55">
        <f t="shared" si="54"/>
        <v>0</v>
      </c>
    </row>
    <row r="297" spans="1:19" ht="37.5" hidden="1" customHeight="1">
      <c r="A297" s="1854">
        <v>21.3</v>
      </c>
      <c r="B297" s="1648">
        <f t="shared" si="44"/>
        <v>0</v>
      </c>
      <c r="C297" s="1863" t="s">
        <v>5410</v>
      </c>
      <c r="D297" s="1649">
        <f>ROUND(Data!K912,2)</f>
        <v>2135</v>
      </c>
      <c r="E297" s="1687" t="s">
        <v>5324</v>
      </c>
      <c r="F297" s="1649"/>
      <c r="G297" s="1648">
        <f t="shared" si="45"/>
        <v>0</v>
      </c>
      <c r="H297" s="1648"/>
      <c r="I297" s="1648">
        <f t="shared" si="46"/>
        <v>0</v>
      </c>
      <c r="J297" s="1648"/>
      <c r="K297" s="1648">
        <f t="shared" si="47"/>
        <v>0</v>
      </c>
      <c r="L297" s="1648"/>
      <c r="M297" s="1648">
        <f t="shared" si="48"/>
        <v>0</v>
      </c>
      <c r="N297" s="1648">
        <f t="shared" si="49"/>
        <v>0</v>
      </c>
      <c r="O297" s="1648">
        <f t="shared" si="50"/>
        <v>0</v>
      </c>
      <c r="P297" s="1648">
        <f t="shared" si="51"/>
        <v>0</v>
      </c>
      <c r="Q297" s="1648">
        <f t="shared" si="52"/>
        <v>0</v>
      </c>
      <c r="R297" s="55">
        <f t="shared" si="53"/>
        <v>0</v>
      </c>
      <c r="S297" s="55">
        <f t="shared" si="54"/>
        <v>0</v>
      </c>
    </row>
    <row r="298" spans="1:19" ht="43.5" customHeight="1">
      <c r="A298" s="1854">
        <v>22.1</v>
      </c>
      <c r="B298" s="1648">
        <f t="shared" si="44"/>
        <v>0</v>
      </c>
      <c r="C298" s="1863" t="s">
        <v>5411</v>
      </c>
      <c r="D298" s="1649"/>
      <c r="E298" s="1687"/>
      <c r="F298" s="1649"/>
      <c r="G298" s="1648">
        <f t="shared" si="45"/>
        <v>0</v>
      </c>
      <c r="H298" s="1648"/>
      <c r="I298" s="1648">
        <f t="shared" si="46"/>
        <v>0</v>
      </c>
      <c r="J298" s="1648"/>
      <c r="K298" s="1648">
        <f t="shared" si="47"/>
        <v>0</v>
      </c>
      <c r="L298" s="1648"/>
      <c r="M298" s="1648">
        <f t="shared" si="48"/>
        <v>0</v>
      </c>
      <c r="N298" s="1648">
        <f t="shared" si="49"/>
        <v>0</v>
      </c>
      <c r="O298" s="1648">
        <f t="shared" si="50"/>
        <v>0</v>
      </c>
      <c r="P298" s="1648">
        <f t="shared" si="51"/>
        <v>0</v>
      </c>
      <c r="Q298" s="1648">
        <f t="shared" si="52"/>
        <v>0</v>
      </c>
      <c r="R298" s="55">
        <f t="shared" si="53"/>
        <v>0</v>
      </c>
      <c r="S298" s="55">
        <f t="shared" si="54"/>
        <v>0</v>
      </c>
    </row>
    <row r="299" spans="1:19" ht="35.25" hidden="1" customHeight="1">
      <c r="A299" s="1687"/>
      <c r="B299" s="1648">
        <f t="shared" si="44"/>
        <v>0</v>
      </c>
      <c r="C299" s="1863" t="s">
        <v>3632</v>
      </c>
      <c r="D299" s="1654">
        <v>6752.88</v>
      </c>
      <c r="E299" s="1687" t="s">
        <v>5324</v>
      </c>
      <c r="F299" s="1649"/>
      <c r="G299" s="1648">
        <f t="shared" si="45"/>
        <v>0</v>
      </c>
      <c r="H299" s="1648"/>
      <c r="I299" s="1648">
        <f t="shared" si="46"/>
        <v>0</v>
      </c>
      <c r="J299" s="1648"/>
      <c r="K299" s="1648">
        <f t="shared" si="47"/>
        <v>0</v>
      </c>
      <c r="L299" s="1648"/>
      <c r="M299" s="1648">
        <f t="shared" si="48"/>
        <v>0</v>
      </c>
      <c r="N299" s="1648">
        <f t="shared" si="49"/>
        <v>0</v>
      </c>
      <c r="O299" s="1648">
        <f t="shared" si="50"/>
        <v>0</v>
      </c>
      <c r="P299" s="1648">
        <f t="shared" si="51"/>
        <v>0</v>
      </c>
      <c r="Q299" s="1648">
        <f t="shared" si="52"/>
        <v>0</v>
      </c>
      <c r="R299" s="55">
        <f t="shared" si="53"/>
        <v>0</v>
      </c>
      <c r="S299" s="55">
        <f t="shared" si="54"/>
        <v>0</v>
      </c>
    </row>
    <row r="300" spans="1:19" ht="25.5" hidden="1" customHeight="1">
      <c r="A300" s="1687"/>
      <c r="B300" s="1648">
        <f t="shared" si="44"/>
        <v>0</v>
      </c>
      <c r="C300" s="1863" t="s">
        <v>5412</v>
      </c>
      <c r="D300" s="1649">
        <f>ROUND(Data!K1000,2)</f>
        <v>5112.2700000000004</v>
      </c>
      <c r="E300" s="1687" t="s">
        <v>5324</v>
      </c>
      <c r="F300" s="1649"/>
      <c r="G300" s="1648">
        <f t="shared" si="45"/>
        <v>0</v>
      </c>
      <c r="H300" s="1648"/>
      <c r="I300" s="1648">
        <f t="shared" si="46"/>
        <v>0</v>
      </c>
      <c r="J300" s="1648"/>
      <c r="K300" s="1648">
        <f t="shared" si="47"/>
        <v>0</v>
      </c>
      <c r="L300" s="1648"/>
      <c r="M300" s="1648">
        <f t="shared" si="48"/>
        <v>0</v>
      </c>
      <c r="N300" s="1648">
        <f t="shared" si="49"/>
        <v>0</v>
      </c>
      <c r="O300" s="1648">
        <f t="shared" si="50"/>
        <v>0</v>
      </c>
      <c r="P300" s="1648">
        <f t="shared" si="51"/>
        <v>0</v>
      </c>
      <c r="Q300" s="1648">
        <f t="shared" si="52"/>
        <v>0</v>
      </c>
      <c r="R300" s="55">
        <f t="shared" si="53"/>
        <v>0</v>
      </c>
      <c r="S300" s="55">
        <f t="shared" si="54"/>
        <v>0</v>
      </c>
    </row>
    <row r="301" spans="1:19" ht="25.5" hidden="1" customHeight="1">
      <c r="A301" s="1688"/>
      <c r="B301" s="1648">
        <f t="shared" si="44"/>
        <v>0</v>
      </c>
      <c r="C301" s="1863" t="s">
        <v>5413</v>
      </c>
      <c r="D301" s="1649">
        <f>ROUND(Data!K1030,2)</f>
        <v>5136.9399999999996</v>
      </c>
      <c r="E301" s="1687" t="s">
        <v>5324</v>
      </c>
      <c r="F301" s="1649"/>
      <c r="G301" s="1648">
        <f t="shared" si="45"/>
        <v>0</v>
      </c>
      <c r="H301" s="1648"/>
      <c r="I301" s="1648">
        <f t="shared" si="46"/>
        <v>0</v>
      </c>
      <c r="J301" s="1648"/>
      <c r="K301" s="1648">
        <f t="shared" si="47"/>
        <v>0</v>
      </c>
      <c r="L301" s="1648"/>
      <c r="M301" s="1648">
        <f t="shared" si="48"/>
        <v>0</v>
      </c>
      <c r="N301" s="1648">
        <f t="shared" si="49"/>
        <v>0</v>
      </c>
      <c r="O301" s="1648">
        <f t="shared" si="50"/>
        <v>0</v>
      </c>
      <c r="P301" s="1648">
        <f t="shared" si="51"/>
        <v>0</v>
      </c>
      <c r="Q301" s="1648">
        <f t="shared" si="52"/>
        <v>0</v>
      </c>
      <c r="R301" s="55">
        <f t="shared" si="53"/>
        <v>0</v>
      </c>
      <c r="S301" s="55">
        <f t="shared" si="54"/>
        <v>0</v>
      </c>
    </row>
    <row r="302" spans="1:19" ht="25.5" customHeight="1">
      <c r="A302" s="1688"/>
      <c r="B302" s="1648">
        <f t="shared" si="44"/>
        <v>17.100000000000001</v>
      </c>
      <c r="C302" s="1863" t="s">
        <v>5414</v>
      </c>
      <c r="D302" s="1654">
        <f>Data!R2834</f>
        <v>5257.76</v>
      </c>
      <c r="E302" s="1687" t="s">
        <v>5324</v>
      </c>
      <c r="F302" s="1649">
        <v>17.100000000000001</v>
      </c>
      <c r="G302" s="1648">
        <f t="shared" si="45"/>
        <v>89907.7</v>
      </c>
      <c r="H302" s="1648"/>
      <c r="I302" s="1648">
        <f t="shared" si="46"/>
        <v>0</v>
      </c>
      <c r="J302" s="1648"/>
      <c r="K302" s="1648">
        <f t="shared" si="47"/>
        <v>0</v>
      </c>
      <c r="L302" s="1648"/>
      <c r="M302" s="1648">
        <f t="shared" si="48"/>
        <v>0</v>
      </c>
      <c r="N302" s="1648">
        <f t="shared" si="49"/>
        <v>0</v>
      </c>
      <c r="O302" s="1648">
        <f t="shared" si="50"/>
        <v>0</v>
      </c>
      <c r="P302" s="1648">
        <f t="shared" si="51"/>
        <v>17.100000000000001</v>
      </c>
      <c r="Q302" s="1648">
        <f t="shared" si="52"/>
        <v>89907.7</v>
      </c>
      <c r="R302" s="55">
        <f t="shared" si="53"/>
        <v>89907.7</v>
      </c>
      <c r="S302" s="55">
        <f t="shared" si="54"/>
        <v>0</v>
      </c>
    </row>
    <row r="303" spans="1:19" ht="25.5" hidden="1" customHeight="1">
      <c r="A303" s="1854">
        <v>22.2</v>
      </c>
      <c r="B303" s="1648">
        <f t="shared" si="44"/>
        <v>0</v>
      </c>
      <c r="C303" s="1864" t="s">
        <v>5415</v>
      </c>
      <c r="D303" s="1649"/>
      <c r="E303" s="1687"/>
      <c r="F303" s="1649"/>
      <c r="G303" s="1648">
        <f t="shared" si="45"/>
        <v>0</v>
      </c>
      <c r="H303" s="1648"/>
      <c r="I303" s="1648">
        <f t="shared" si="46"/>
        <v>0</v>
      </c>
      <c r="J303" s="1648"/>
      <c r="K303" s="1648">
        <f t="shared" si="47"/>
        <v>0</v>
      </c>
      <c r="L303" s="1648"/>
      <c r="M303" s="1648">
        <f t="shared" si="48"/>
        <v>0</v>
      </c>
      <c r="N303" s="1648">
        <f t="shared" si="49"/>
        <v>0</v>
      </c>
      <c r="O303" s="1648">
        <f t="shared" si="50"/>
        <v>0</v>
      </c>
      <c r="P303" s="1648">
        <f t="shared" si="51"/>
        <v>0</v>
      </c>
      <c r="Q303" s="1648">
        <f t="shared" si="52"/>
        <v>0</v>
      </c>
      <c r="R303" s="55">
        <f t="shared" si="53"/>
        <v>0</v>
      </c>
      <c r="S303" s="55">
        <f t="shared" si="54"/>
        <v>0</v>
      </c>
    </row>
    <row r="304" spans="1:19" ht="25.5" hidden="1" customHeight="1">
      <c r="A304" s="1687"/>
      <c r="B304" s="1648">
        <f t="shared" si="44"/>
        <v>0</v>
      </c>
      <c r="C304" s="1863" t="s">
        <v>5416</v>
      </c>
      <c r="D304" s="1649">
        <f>ROUND(Data!K1081,2)</f>
        <v>3659.42</v>
      </c>
      <c r="E304" s="1687" t="s">
        <v>5324</v>
      </c>
      <c r="F304" s="1649"/>
      <c r="G304" s="1648">
        <f t="shared" si="45"/>
        <v>0</v>
      </c>
      <c r="H304" s="1648"/>
      <c r="I304" s="1648">
        <f t="shared" si="46"/>
        <v>0</v>
      </c>
      <c r="J304" s="1648"/>
      <c r="K304" s="1648">
        <f t="shared" si="47"/>
        <v>0</v>
      </c>
      <c r="L304" s="1648"/>
      <c r="M304" s="1648">
        <f t="shared" si="48"/>
        <v>0</v>
      </c>
      <c r="N304" s="1648">
        <f t="shared" si="49"/>
        <v>0</v>
      </c>
      <c r="O304" s="1648">
        <f t="shared" si="50"/>
        <v>0</v>
      </c>
      <c r="P304" s="1648">
        <f t="shared" si="51"/>
        <v>0</v>
      </c>
      <c r="Q304" s="1648">
        <f t="shared" si="52"/>
        <v>0</v>
      </c>
      <c r="R304" s="55">
        <f t="shared" si="53"/>
        <v>0</v>
      </c>
      <c r="S304" s="55">
        <f t="shared" si="54"/>
        <v>0</v>
      </c>
    </row>
    <row r="305" spans="1:19" ht="25.5" hidden="1" customHeight="1">
      <c r="A305" s="1687"/>
      <c r="B305" s="1648">
        <f t="shared" si="44"/>
        <v>0</v>
      </c>
      <c r="C305" s="1863" t="s">
        <v>5417</v>
      </c>
      <c r="D305" s="1649"/>
      <c r="E305" s="1687" t="s">
        <v>5324</v>
      </c>
      <c r="F305" s="1649"/>
      <c r="G305" s="1648">
        <f t="shared" si="45"/>
        <v>0</v>
      </c>
      <c r="H305" s="1648"/>
      <c r="I305" s="1648">
        <f t="shared" si="46"/>
        <v>0</v>
      </c>
      <c r="J305" s="1648"/>
      <c r="K305" s="1648">
        <f t="shared" si="47"/>
        <v>0</v>
      </c>
      <c r="L305" s="1648"/>
      <c r="M305" s="1648">
        <f t="shared" si="48"/>
        <v>0</v>
      </c>
      <c r="N305" s="1648">
        <f t="shared" si="49"/>
        <v>0</v>
      </c>
      <c r="O305" s="1648">
        <f t="shared" si="50"/>
        <v>0</v>
      </c>
      <c r="P305" s="1648">
        <f t="shared" si="51"/>
        <v>0</v>
      </c>
      <c r="Q305" s="1648">
        <f t="shared" si="52"/>
        <v>0</v>
      </c>
      <c r="R305" s="55">
        <f t="shared" si="53"/>
        <v>0</v>
      </c>
      <c r="S305" s="55">
        <f t="shared" si="54"/>
        <v>0</v>
      </c>
    </row>
    <row r="306" spans="1:19" ht="25.5" hidden="1" customHeight="1">
      <c r="A306" s="1687"/>
      <c r="B306" s="1648">
        <f t="shared" si="44"/>
        <v>0</v>
      </c>
      <c r="C306" s="1863" t="s">
        <v>5418</v>
      </c>
      <c r="D306" s="1649">
        <f>ROUND(Data!K1097,2)</f>
        <v>3858.29</v>
      </c>
      <c r="E306" s="1687" t="s">
        <v>5324</v>
      </c>
      <c r="F306" s="1649"/>
      <c r="G306" s="1648">
        <f t="shared" si="45"/>
        <v>0</v>
      </c>
      <c r="H306" s="1648"/>
      <c r="I306" s="1648">
        <f t="shared" si="46"/>
        <v>0</v>
      </c>
      <c r="J306" s="1648"/>
      <c r="K306" s="1648">
        <f t="shared" si="47"/>
        <v>0</v>
      </c>
      <c r="L306" s="1648"/>
      <c r="M306" s="1648">
        <f t="shared" si="48"/>
        <v>0</v>
      </c>
      <c r="N306" s="1648">
        <f t="shared" si="49"/>
        <v>0</v>
      </c>
      <c r="O306" s="1648">
        <f t="shared" si="50"/>
        <v>0</v>
      </c>
      <c r="P306" s="1648">
        <f t="shared" si="51"/>
        <v>0</v>
      </c>
      <c r="Q306" s="1648">
        <f t="shared" si="52"/>
        <v>0</v>
      </c>
      <c r="R306" s="55">
        <f t="shared" si="53"/>
        <v>0</v>
      </c>
      <c r="S306" s="55">
        <f t="shared" si="54"/>
        <v>0</v>
      </c>
    </row>
    <row r="307" spans="1:19" ht="25.5" hidden="1" customHeight="1">
      <c r="A307" s="1688"/>
      <c r="B307" s="1648">
        <f t="shared" si="44"/>
        <v>0</v>
      </c>
      <c r="C307" s="1863" t="s">
        <v>5419</v>
      </c>
      <c r="D307" s="1649">
        <f>ROUND(Data!K1112,2)</f>
        <v>2856.35</v>
      </c>
      <c r="E307" s="1687" t="s">
        <v>5324</v>
      </c>
      <c r="F307" s="1649"/>
      <c r="G307" s="1648">
        <f t="shared" si="45"/>
        <v>0</v>
      </c>
      <c r="H307" s="1648"/>
      <c r="I307" s="1648">
        <f t="shared" si="46"/>
        <v>0</v>
      </c>
      <c r="J307" s="1648"/>
      <c r="K307" s="1648">
        <f t="shared" si="47"/>
        <v>0</v>
      </c>
      <c r="L307" s="1648"/>
      <c r="M307" s="1648">
        <f t="shared" si="48"/>
        <v>0</v>
      </c>
      <c r="N307" s="1648">
        <f t="shared" si="49"/>
        <v>0</v>
      </c>
      <c r="O307" s="1648">
        <f t="shared" si="50"/>
        <v>0</v>
      </c>
      <c r="P307" s="1648">
        <f t="shared" si="51"/>
        <v>0</v>
      </c>
      <c r="Q307" s="1648">
        <f t="shared" si="52"/>
        <v>0</v>
      </c>
      <c r="R307" s="55">
        <f t="shared" si="53"/>
        <v>0</v>
      </c>
      <c r="S307" s="55">
        <f t="shared" si="54"/>
        <v>0</v>
      </c>
    </row>
    <row r="308" spans="1:19" ht="37.5" hidden="1" customHeight="1">
      <c r="A308" s="1854">
        <v>22.3</v>
      </c>
      <c r="B308" s="1648">
        <f t="shared" si="44"/>
        <v>0</v>
      </c>
      <c r="C308" s="1863" t="s">
        <v>5420</v>
      </c>
      <c r="D308" s="1649"/>
      <c r="E308" s="1687" t="s">
        <v>5324</v>
      </c>
      <c r="F308" s="1649"/>
      <c r="G308" s="1648">
        <f t="shared" si="45"/>
        <v>0</v>
      </c>
      <c r="H308" s="1648"/>
      <c r="I308" s="1648">
        <f t="shared" si="46"/>
        <v>0</v>
      </c>
      <c r="J308" s="1648"/>
      <c r="K308" s="1648">
        <f t="shared" si="47"/>
        <v>0</v>
      </c>
      <c r="L308" s="1648"/>
      <c r="M308" s="1648">
        <f t="shared" si="48"/>
        <v>0</v>
      </c>
      <c r="N308" s="1648">
        <f t="shared" si="49"/>
        <v>0</v>
      </c>
      <c r="O308" s="1648">
        <f t="shared" si="50"/>
        <v>0</v>
      </c>
      <c r="P308" s="1648">
        <f t="shared" si="51"/>
        <v>0</v>
      </c>
      <c r="Q308" s="1648">
        <f t="shared" si="52"/>
        <v>0</v>
      </c>
      <c r="R308" s="55">
        <f t="shared" si="53"/>
        <v>0</v>
      </c>
      <c r="S308" s="55">
        <f t="shared" si="54"/>
        <v>0</v>
      </c>
    </row>
    <row r="309" spans="1:19" ht="43.5" hidden="1" customHeight="1">
      <c r="A309" s="1854">
        <v>23.1</v>
      </c>
      <c r="B309" s="1648">
        <f t="shared" si="44"/>
        <v>0</v>
      </c>
      <c r="C309" s="1863" t="s">
        <v>5421</v>
      </c>
      <c r="D309" s="1649"/>
      <c r="E309" s="1687" t="s">
        <v>5324</v>
      </c>
      <c r="F309" s="1649"/>
      <c r="G309" s="1648">
        <f t="shared" si="45"/>
        <v>0</v>
      </c>
      <c r="H309" s="1648"/>
      <c r="I309" s="1648">
        <f t="shared" si="46"/>
        <v>0</v>
      </c>
      <c r="J309" s="1648"/>
      <c r="K309" s="1648">
        <f t="shared" si="47"/>
        <v>0</v>
      </c>
      <c r="L309" s="1648"/>
      <c r="M309" s="1648">
        <f t="shared" si="48"/>
        <v>0</v>
      </c>
      <c r="N309" s="1648">
        <f t="shared" si="49"/>
        <v>0</v>
      </c>
      <c r="O309" s="1648">
        <f t="shared" si="50"/>
        <v>0</v>
      </c>
      <c r="P309" s="1648">
        <f t="shared" si="51"/>
        <v>0</v>
      </c>
      <c r="Q309" s="1648">
        <f t="shared" si="52"/>
        <v>0</v>
      </c>
      <c r="R309" s="55">
        <f t="shared" si="53"/>
        <v>0</v>
      </c>
      <c r="S309" s="55">
        <f t="shared" si="54"/>
        <v>0</v>
      </c>
    </row>
    <row r="310" spans="1:19" ht="25.5" hidden="1" customHeight="1">
      <c r="A310" s="1688"/>
      <c r="B310" s="1648">
        <f t="shared" si="44"/>
        <v>0</v>
      </c>
      <c r="C310" s="1863" t="s">
        <v>5407</v>
      </c>
      <c r="D310" s="1649">
        <f>ROUND(Data!K1066,2)</f>
        <v>3687.68</v>
      </c>
      <c r="E310" s="1687" t="s">
        <v>5324</v>
      </c>
      <c r="F310" s="1649"/>
      <c r="G310" s="1648">
        <f t="shared" si="45"/>
        <v>0</v>
      </c>
      <c r="H310" s="1648"/>
      <c r="I310" s="1648">
        <f t="shared" si="46"/>
        <v>0</v>
      </c>
      <c r="J310" s="1648"/>
      <c r="K310" s="1648">
        <f t="shared" si="47"/>
        <v>0</v>
      </c>
      <c r="L310" s="1648"/>
      <c r="M310" s="1648">
        <f t="shared" si="48"/>
        <v>0</v>
      </c>
      <c r="N310" s="1648">
        <f t="shared" si="49"/>
        <v>0</v>
      </c>
      <c r="O310" s="1648">
        <f t="shared" si="50"/>
        <v>0</v>
      </c>
      <c r="P310" s="1648">
        <f t="shared" si="51"/>
        <v>0</v>
      </c>
      <c r="Q310" s="1648">
        <f t="shared" si="52"/>
        <v>0</v>
      </c>
      <c r="R310" s="55">
        <f t="shared" si="53"/>
        <v>0</v>
      </c>
      <c r="S310" s="55">
        <f t="shared" si="54"/>
        <v>0</v>
      </c>
    </row>
    <row r="311" spans="1:19" ht="25.5" hidden="1" customHeight="1">
      <c r="A311" s="1854">
        <v>23.2</v>
      </c>
      <c r="B311" s="1648">
        <f t="shared" si="44"/>
        <v>0</v>
      </c>
      <c r="C311" s="1863" t="s">
        <v>5422</v>
      </c>
      <c r="D311" s="1649">
        <f>ROUND(Data!K1185,2)</f>
        <v>747</v>
      </c>
      <c r="E311" s="1687" t="s">
        <v>5324</v>
      </c>
      <c r="F311" s="1649"/>
      <c r="G311" s="1648">
        <f t="shared" si="45"/>
        <v>0</v>
      </c>
      <c r="H311" s="1648"/>
      <c r="I311" s="1648">
        <f t="shared" si="46"/>
        <v>0</v>
      </c>
      <c r="J311" s="1648"/>
      <c r="K311" s="1648">
        <f t="shared" si="47"/>
        <v>0</v>
      </c>
      <c r="L311" s="1648"/>
      <c r="M311" s="1648">
        <f t="shared" si="48"/>
        <v>0</v>
      </c>
      <c r="N311" s="1648">
        <f t="shared" si="49"/>
        <v>0</v>
      </c>
      <c r="O311" s="1648">
        <f t="shared" si="50"/>
        <v>0</v>
      </c>
      <c r="P311" s="1648">
        <f t="shared" si="51"/>
        <v>0</v>
      </c>
      <c r="Q311" s="1648">
        <f t="shared" si="52"/>
        <v>0</v>
      </c>
      <c r="R311" s="55">
        <f t="shared" si="53"/>
        <v>0</v>
      </c>
      <c r="S311" s="55">
        <f t="shared" si="54"/>
        <v>0</v>
      </c>
    </row>
    <row r="312" spans="1:19" s="57" customFormat="1" ht="51" customHeight="1">
      <c r="A312" s="1854">
        <v>23.3</v>
      </c>
      <c r="B312" s="1648">
        <f t="shared" si="44"/>
        <v>49</v>
      </c>
      <c r="C312" s="1863" t="s">
        <v>5423</v>
      </c>
      <c r="D312" s="1649">
        <f>Data!K1170</f>
        <v>52</v>
      </c>
      <c r="E312" s="1687" t="s">
        <v>729</v>
      </c>
      <c r="F312" s="1649">
        <f>'Detail '!I900</f>
        <v>49</v>
      </c>
      <c r="G312" s="1648">
        <f t="shared" si="45"/>
        <v>2548</v>
      </c>
      <c r="H312" s="1648"/>
      <c r="I312" s="1648">
        <f t="shared" si="46"/>
        <v>0</v>
      </c>
      <c r="J312" s="1648"/>
      <c r="K312" s="1648">
        <f t="shared" si="47"/>
        <v>0</v>
      </c>
      <c r="L312" s="1648"/>
      <c r="M312" s="1648">
        <f t="shared" si="48"/>
        <v>0</v>
      </c>
      <c r="N312" s="1648">
        <f t="shared" si="49"/>
        <v>0</v>
      </c>
      <c r="O312" s="1648">
        <f t="shared" si="50"/>
        <v>0</v>
      </c>
      <c r="P312" s="1648">
        <f t="shared" si="51"/>
        <v>49</v>
      </c>
      <c r="Q312" s="1648">
        <f t="shared" si="52"/>
        <v>2548</v>
      </c>
      <c r="R312" s="55">
        <f t="shared" si="53"/>
        <v>2548</v>
      </c>
      <c r="S312" s="55">
        <f t="shared" si="54"/>
        <v>0</v>
      </c>
    </row>
    <row r="313" spans="1:19" ht="46.5" hidden="1" customHeight="1">
      <c r="A313" s="1854">
        <v>23.4</v>
      </c>
      <c r="B313" s="1648">
        <f t="shared" si="44"/>
        <v>0</v>
      </c>
      <c r="C313" s="1863" t="s">
        <v>5424</v>
      </c>
      <c r="D313" s="1649"/>
      <c r="E313" s="1687"/>
      <c r="F313" s="1649"/>
      <c r="G313" s="1648">
        <f t="shared" si="45"/>
        <v>0</v>
      </c>
      <c r="H313" s="1648"/>
      <c r="I313" s="1648">
        <f t="shared" si="46"/>
        <v>0</v>
      </c>
      <c r="J313" s="1648"/>
      <c r="K313" s="1648">
        <f t="shared" si="47"/>
        <v>0</v>
      </c>
      <c r="L313" s="1648"/>
      <c r="M313" s="1648">
        <f t="shared" si="48"/>
        <v>0</v>
      </c>
      <c r="N313" s="1648">
        <f t="shared" si="49"/>
        <v>0</v>
      </c>
      <c r="O313" s="1648">
        <f t="shared" si="50"/>
        <v>0</v>
      </c>
      <c r="P313" s="1648">
        <f t="shared" si="51"/>
        <v>0</v>
      </c>
      <c r="Q313" s="1648">
        <f t="shared" si="52"/>
        <v>0</v>
      </c>
      <c r="R313" s="55">
        <f t="shared" si="53"/>
        <v>0</v>
      </c>
      <c r="S313" s="55">
        <f t="shared" si="54"/>
        <v>0</v>
      </c>
    </row>
    <row r="314" spans="1:19" ht="33" hidden="1" customHeight="1">
      <c r="A314" s="1687"/>
      <c r="B314" s="1648">
        <f t="shared" si="44"/>
        <v>0</v>
      </c>
      <c r="C314" s="1863" t="s">
        <v>5425</v>
      </c>
      <c r="D314" s="1649">
        <f>Data!X1399</f>
        <v>16343.94</v>
      </c>
      <c r="E314" s="1687" t="s">
        <v>729</v>
      </c>
      <c r="F314" s="1649"/>
      <c r="G314" s="1648">
        <f t="shared" si="45"/>
        <v>0</v>
      </c>
      <c r="H314" s="1648"/>
      <c r="I314" s="1648">
        <f t="shared" si="46"/>
        <v>0</v>
      </c>
      <c r="J314" s="1648"/>
      <c r="K314" s="1648">
        <f t="shared" si="47"/>
        <v>0</v>
      </c>
      <c r="L314" s="1648"/>
      <c r="M314" s="1648">
        <f t="shared" si="48"/>
        <v>0</v>
      </c>
      <c r="N314" s="1648">
        <f t="shared" si="49"/>
        <v>0</v>
      </c>
      <c r="O314" s="1648">
        <f t="shared" si="50"/>
        <v>0</v>
      </c>
      <c r="P314" s="1648">
        <f t="shared" si="51"/>
        <v>0</v>
      </c>
      <c r="Q314" s="1648">
        <f t="shared" si="52"/>
        <v>0</v>
      </c>
      <c r="R314" s="55">
        <f t="shared" si="53"/>
        <v>0</v>
      </c>
      <c r="S314" s="55">
        <f t="shared" si="54"/>
        <v>0</v>
      </c>
    </row>
    <row r="315" spans="1:19" ht="33" hidden="1" customHeight="1">
      <c r="A315" s="1687"/>
      <c r="B315" s="1648">
        <f t="shared" si="44"/>
        <v>0</v>
      </c>
      <c r="C315" s="1863" t="s">
        <v>5426</v>
      </c>
      <c r="D315" s="1649">
        <f>Data!R1404</f>
        <v>12316.86</v>
      </c>
      <c r="E315" s="1687" t="s">
        <v>729</v>
      </c>
      <c r="F315" s="1649"/>
      <c r="G315" s="1648">
        <f t="shared" si="45"/>
        <v>0</v>
      </c>
      <c r="H315" s="1648"/>
      <c r="I315" s="1648">
        <f t="shared" si="46"/>
        <v>0</v>
      </c>
      <c r="J315" s="1648"/>
      <c r="K315" s="1648">
        <f t="shared" si="47"/>
        <v>0</v>
      </c>
      <c r="L315" s="1648"/>
      <c r="M315" s="1648">
        <f t="shared" si="48"/>
        <v>0</v>
      </c>
      <c r="N315" s="1648">
        <f t="shared" si="49"/>
        <v>0</v>
      </c>
      <c r="O315" s="1648">
        <f t="shared" si="50"/>
        <v>0</v>
      </c>
      <c r="P315" s="1648">
        <f t="shared" si="51"/>
        <v>0</v>
      </c>
      <c r="Q315" s="1648">
        <f t="shared" si="52"/>
        <v>0</v>
      </c>
      <c r="R315" s="55">
        <f t="shared" si="53"/>
        <v>0</v>
      </c>
      <c r="S315" s="55">
        <f t="shared" si="54"/>
        <v>0</v>
      </c>
    </row>
    <row r="316" spans="1:19" ht="33" hidden="1" customHeight="1">
      <c r="A316" s="1687"/>
      <c r="B316" s="1648">
        <f t="shared" si="44"/>
        <v>0</v>
      </c>
      <c r="C316" s="1863" t="s">
        <v>5427</v>
      </c>
      <c r="D316" s="1649">
        <f>Data!X1365</f>
        <v>10473.56</v>
      </c>
      <c r="E316" s="1687" t="s">
        <v>729</v>
      </c>
      <c r="F316" s="1649"/>
      <c r="G316" s="1648">
        <f t="shared" si="45"/>
        <v>0</v>
      </c>
      <c r="H316" s="1648"/>
      <c r="I316" s="1648">
        <f t="shared" si="46"/>
        <v>0</v>
      </c>
      <c r="J316" s="1648"/>
      <c r="K316" s="1648">
        <f t="shared" si="47"/>
        <v>0</v>
      </c>
      <c r="L316" s="1648"/>
      <c r="M316" s="1648">
        <f t="shared" si="48"/>
        <v>0</v>
      </c>
      <c r="N316" s="1648">
        <f t="shared" si="49"/>
        <v>0</v>
      </c>
      <c r="O316" s="1648">
        <f t="shared" si="50"/>
        <v>0</v>
      </c>
      <c r="P316" s="1648">
        <f t="shared" si="51"/>
        <v>0</v>
      </c>
      <c r="Q316" s="1648">
        <f t="shared" si="52"/>
        <v>0</v>
      </c>
      <c r="R316" s="55">
        <f t="shared" si="53"/>
        <v>0</v>
      </c>
      <c r="S316" s="55">
        <f t="shared" si="54"/>
        <v>0</v>
      </c>
    </row>
    <row r="317" spans="1:19" ht="33" hidden="1" customHeight="1">
      <c r="A317" s="1687"/>
      <c r="B317" s="1648">
        <f t="shared" si="44"/>
        <v>0</v>
      </c>
      <c r="C317" s="1863" t="s">
        <v>5428</v>
      </c>
      <c r="D317" s="1649">
        <f>Data!R1421</f>
        <v>9840.4500000000007</v>
      </c>
      <c r="E317" s="1687" t="s">
        <v>729</v>
      </c>
      <c r="F317" s="1649"/>
      <c r="G317" s="1648">
        <f t="shared" si="45"/>
        <v>0</v>
      </c>
      <c r="H317" s="1648"/>
      <c r="I317" s="1648">
        <f t="shared" si="46"/>
        <v>0</v>
      </c>
      <c r="J317" s="1648"/>
      <c r="K317" s="1648">
        <f t="shared" si="47"/>
        <v>0</v>
      </c>
      <c r="L317" s="1648"/>
      <c r="M317" s="1648">
        <f t="shared" si="48"/>
        <v>0</v>
      </c>
      <c r="N317" s="1648">
        <f t="shared" si="49"/>
        <v>0</v>
      </c>
      <c r="O317" s="1648">
        <f t="shared" si="50"/>
        <v>0</v>
      </c>
      <c r="P317" s="1648">
        <f t="shared" si="51"/>
        <v>0</v>
      </c>
      <c r="Q317" s="1648">
        <f t="shared" si="52"/>
        <v>0</v>
      </c>
      <c r="R317" s="55">
        <f t="shared" si="53"/>
        <v>0</v>
      </c>
      <c r="S317" s="55">
        <f t="shared" si="54"/>
        <v>0</v>
      </c>
    </row>
    <row r="318" spans="1:19" ht="33" hidden="1" customHeight="1">
      <c r="A318" s="1687"/>
      <c r="B318" s="1648">
        <f t="shared" si="44"/>
        <v>0</v>
      </c>
      <c r="C318" s="1863" t="s">
        <v>5429</v>
      </c>
      <c r="D318" s="1649"/>
      <c r="E318" s="1687" t="s">
        <v>729</v>
      </c>
      <c r="F318" s="1649"/>
      <c r="G318" s="1648">
        <f t="shared" si="45"/>
        <v>0</v>
      </c>
      <c r="H318" s="1648"/>
      <c r="I318" s="1648">
        <f t="shared" si="46"/>
        <v>0</v>
      </c>
      <c r="J318" s="1648"/>
      <c r="K318" s="1648">
        <f t="shared" si="47"/>
        <v>0</v>
      </c>
      <c r="L318" s="1648"/>
      <c r="M318" s="1648">
        <f t="shared" si="48"/>
        <v>0</v>
      </c>
      <c r="N318" s="1648">
        <f t="shared" si="49"/>
        <v>0</v>
      </c>
      <c r="O318" s="1648">
        <f t="shared" si="50"/>
        <v>0</v>
      </c>
      <c r="P318" s="1648">
        <f t="shared" si="51"/>
        <v>0</v>
      </c>
      <c r="Q318" s="1648">
        <f t="shared" si="52"/>
        <v>0</v>
      </c>
      <c r="R318" s="55">
        <f t="shared" si="53"/>
        <v>0</v>
      </c>
      <c r="S318" s="55">
        <f t="shared" si="54"/>
        <v>0</v>
      </c>
    </row>
    <row r="319" spans="1:19" ht="33" hidden="1" customHeight="1">
      <c r="A319" s="1687"/>
      <c r="B319" s="1648">
        <f t="shared" si="44"/>
        <v>0</v>
      </c>
      <c r="C319" s="1863" t="s">
        <v>5430</v>
      </c>
      <c r="D319" s="1649">
        <f>Data!AD1380</f>
        <v>9063.73</v>
      </c>
      <c r="E319" s="1687" t="s">
        <v>729</v>
      </c>
      <c r="F319" s="1649"/>
      <c r="G319" s="1648">
        <f t="shared" si="45"/>
        <v>0</v>
      </c>
      <c r="H319" s="1648"/>
      <c r="I319" s="1648">
        <f t="shared" si="46"/>
        <v>0</v>
      </c>
      <c r="J319" s="1648"/>
      <c r="K319" s="1648">
        <f t="shared" si="47"/>
        <v>0</v>
      </c>
      <c r="L319" s="1648"/>
      <c r="M319" s="1648">
        <f t="shared" si="48"/>
        <v>0</v>
      </c>
      <c r="N319" s="1648">
        <f t="shared" si="49"/>
        <v>0</v>
      </c>
      <c r="O319" s="1648">
        <f t="shared" si="50"/>
        <v>0</v>
      </c>
      <c r="P319" s="1648">
        <f t="shared" si="51"/>
        <v>0</v>
      </c>
      <c r="Q319" s="1648">
        <f t="shared" si="52"/>
        <v>0</v>
      </c>
      <c r="R319" s="55">
        <f t="shared" si="53"/>
        <v>0</v>
      </c>
      <c r="S319" s="55">
        <f t="shared" si="54"/>
        <v>0</v>
      </c>
    </row>
    <row r="320" spans="1:19" ht="33" hidden="1" customHeight="1">
      <c r="A320" s="1687"/>
      <c r="B320" s="1648">
        <f t="shared" si="44"/>
        <v>0</v>
      </c>
      <c r="C320" s="1863" t="s">
        <v>5431</v>
      </c>
      <c r="D320" s="1649">
        <f>Data!X1382</f>
        <v>8281.5400000000009</v>
      </c>
      <c r="E320" s="1687" t="s">
        <v>729</v>
      </c>
      <c r="F320" s="1649"/>
      <c r="G320" s="1648">
        <f t="shared" si="45"/>
        <v>0</v>
      </c>
      <c r="H320" s="1648"/>
      <c r="I320" s="1648">
        <f t="shared" si="46"/>
        <v>0</v>
      </c>
      <c r="J320" s="1648"/>
      <c r="K320" s="1648">
        <f t="shared" si="47"/>
        <v>0</v>
      </c>
      <c r="L320" s="1648"/>
      <c r="M320" s="1648">
        <f t="shared" si="48"/>
        <v>0</v>
      </c>
      <c r="N320" s="1648">
        <f t="shared" si="49"/>
        <v>0</v>
      </c>
      <c r="O320" s="1648">
        <f t="shared" si="50"/>
        <v>0</v>
      </c>
      <c r="P320" s="1648">
        <f t="shared" si="51"/>
        <v>0</v>
      </c>
      <c r="Q320" s="1648">
        <f t="shared" si="52"/>
        <v>0</v>
      </c>
      <c r="R320" s="55">
        <f t="shared" si="53"/>
        <v>0</v>
      </c>
      <c r="S320" s="55">
        <f t="shared" si="54"/>
        <v>0</v>
      </c>
    </row>
    <row r="321" spans="1:19" ht="33" hidden="1" customHeight="1">
      <c r="A321" s="1687"/>
      <c r="B321" s="1648">
        <f t="shared" si="44"/>
        <v>0</v>
      </c>
      <c r="C321" s="1863" t="s">
        <v>5432</v>
      </c>
      <c r="D321" s="1649">
        <f>Data!AD1363</f>
        <v>7043.28</v>
      </c>
      <c r="E321" s="1687" t="s">
        <v>729</v>
      </c>
      <c r="F321" s="1649"/>
      <c r="G321" s="1648">
        <f t="shared" si="45"/>
        <v>0</v>
      </c>
      <c r="H321" s="1648"/>
      <c r="I321" s="1648">
        <f t="shared" si="46"/>
        <v>0</v>
      </c>
      <c r="J321" s="1648"/>
      <c r="K321" s="1648">
        <f t="shared" si="47"/>
        <v>0</v>
      </c>
      <c r="L321" s="1648"/>
      <c r="M321" s="1648">
        <f t="shared" si="48"/>
        <v>0</v>
      </c>
      <c r="N321" s="1648">
        <f t="shared" si="49"/>
        <v>0</v>
      </c>
      <c r="O321" s="1648">
        <f t="shared" si="50"/>
        <v>0</v>
      </c>
      <c r="P321" s="1648">
        <f t="shared" si="51"/>
        <v>0</v>
      </c>
      <c r="Q321" s="1648">
        <f t="shared" si="52"/>
        <v>0</v>
      </c>
      <c r="R321" s="55">
        <f t="shared" si="53"/>
        <v>0</v>
      </c>
      <c r="S321" s="55">
        <f t="shared" si="54"/>
        <v>0</v>
      </c>
    </row>
    <row r="322" spans="1:19" ht="33" hidden="1" customHeight="1">
      <c r="A322" s="1687"/>
      <c r="B322" s="1648">
        <f t="shared" si="44"/>
        <v>0</v>
      </c>
      <c r="C322" s="1863" t="s">
        <v>5433</v>
      </c>
      <c r="D322" s="1649">
        <f>Data!AD1397</f>
        <v>4508.79</v>
      </c>
      <c r="E322" s="1687" t="s">
        <v>729</v>
      </c>
      <c r="F322" s="1649"/>
      <c r="G322" s="1648">
        <f t="shared" si="45"/>
        <v>0</v>
      </c>
      <c r="H322" s="1648"/>
      <c r="I322" s="1648">
        <f t="shared" si="46"/>
        <v>0</v>
      </c>
      <c r="J322" s="1648"/>
      <c r="K322" s="1648">
        <f t="shared" si="47"/>
        <v>0</v>
      </c>
      <c r="L322" s="1648"/>
      <c r="M322" s="1648">
        <f t="shared" si="48"/>
        <v>0</v>
      </c>
      <c r="N322" s="1648">
        <f t="shared" si="49"/>
        <v>0</v>
      </c>
      <c r="O322" s="1648">
        <f t="shared" si="50"/>
        <v>0</v>
      </c>
      <c r="P322" s="1648">
        <f t="shared" si="51"/>
        <v>0</v>
      </c>
      <c r="Q322" s="1648">
        <f t="shared" si="52"/>
        <v>0</v>
      </c>
      <c r="R322" s="55">
        <f t="shared" si="53"/>
        <v>0</v>
      </c>
      <c r="S322" s="55">
        <f t="shared" si="54"/>
        <v>0</v>
      </c>
    </row>
    <row r="323" spans="1:19" ht="33" hidden="1" customHeight="1">
      <c r="A323" s="1687"/>
      <c r="B323" s="1648">
        <f t="shared" si="44"/>
        <v>0</v>
      </c>
      <c r="C323" s="1863" t="s">
        <v>5434</v>
      </c>
      <c r="D323" s="1649">
        <f>Data!R1438</f>
        <v>4250.1499999999996</v>
      </c>
      <c r="E323" s="1687" t="s">
        <v>729</v>
      </c>
      <c r="F323" s="1649"/>
      <c r="G323" s="1648">
        <f t="shared" si="45"/>
        <v>0</v>
      </c>
      <c r="H323" s="1648"/>
      <c r="I323" s="1648">
        <f t="shared" si="46"/>
        <v>0</v>
      </c>
      <c r="J323" s="1648"/>
      <c r="K323" s="1648">
        <f t="shared" si="47"/>
        <v>0</v>
      </c>
      <c r="L323" s="1648"/>
      <c r="M323" s="1648">
        <f t="shared" si="48"/>
        <v>0</v>
      </c>
      <c r="N323" s="1648">
        <f t="shared" si="49"/>
        <v>0</v>
      </c>
      <c r="O323" s="1648">
        <f t="shared" si="50"/>
        <v>0</v>
      </c>
      <c r="P323" s="1648">
        <f t="shared" si="51"/>
        <v>0</v>
      </c>
      <c r="Q323" s="1648">
        <f t="shared" si="52"/>
        <v>0</v>
      </c>
      <c r="R323" s="55">
        <f t="shared" si="53"/>
        <v>0</v>
      </c>
      <c r="S323" s="55">
        <f t="shared" si="54"/>
        <v>0</v>
      </c>
    </row>
    <row r="324" spans="1:19" ht="33" hidden="1" customHeight="1">
      <c r="A324" s="1687"/>
      <c r="B324" s="1648">
        <f t="shared" si="44"/>
        <v>0</v>
      </c>
      <c r="C324" s="1863" t="s">
        <v>5435</v>
      </c>
      <c r="D324" s="1649">
        <f>Data!R1479</f>
        <v>5203.1499999999996</v>
      </c>
      <c r="E324" s="1687" t="s">
        <v>729</v>
      </c>
      <c r="F324" s="1649"/>
      <c r="G324" s="1648">
        <f t="shared" si="45"/>
        <v>0</v>
      </c>
      <c r="H324" s="1648"/>
      <c r="I324" s="1648">
        <f t="shared" si="46"/>
        <v>0</v>
      </c>
      <c r="J324" s="1648"/>
      <c r="K324" s="1648">
        <f t="shared" si="47"/>
        <v>0</v>
      </c>
      <c r="L324" s="1648"/>
      <c r="M324" s="1648">
        <f t="shared" si="48"/>
        <v>0</v>
      </c>
      <c r="N324" s="1648">
        <f t="shared" si="49"/>
        <v>0</v>
      </c>
      <c r="O324" s="1648">
        <f t="shared" si="50"/>
        <v>0</v>
      </c>
      <c r="P324" s="1648">
        <f t="shared" si="51"/>
        <v>0</v>
      </c>
      <c r="Q324" s="1648">
        <f t="shared" si="52"/>
        <v>0</v>
      </c>
      <c r="R324" s="55">
        <f t="shared" si="53"/>
        <v>0</v>
      </c>
      <c r="S324" s="55">
        <f t="shared" si="54"/>
        <v>0</v>
      </c>
    </row>
    <row r="325" spans="1:19" ht="18" hidden="1" customHeight="1">
      <c r="A325" s="1688"/>
      <c r="B325" s="1648">
        <f t="shared" si="44"/>
        <v>0</v>
      </c>
      <c r="C325" s="1863" t="s">
        <v>5436</v>
      </c>
      <c r="D325" s="1649">
        <f>Data!X1440</f>
        <v>5768</v>
      </c>
      <c r="E325" s="1687" t="s">
        <v>729</v>
      </c>
      <c r="F325" s="1649"/>
      <c r="G325" s="1648">
        <f t="shared" si="45"/>
        <v>0</v>
      </c>
      <c r="H325" s="1648"/>
      <c r="I325" s="1648">
        <f t="shared" si="46"/>
        <v>0</v>
      </c>
      <c r="J325" s="1648"/>
      <c r="K325" s="1648">
        <f t="shared" si="47"/>
        <v>0</v>
      </c>
      <c r="L325" s="1648"/>
      <c r="M325" s="1648">
        <f t="shared" si="48"/>
        <v>0</v>
      </c>
      <c r="N325" s="1648">
        <f t="shared" si="49"/>
        <v>0</v>
      </c>
      <c r="O325" s="1648">
        <f t="shared" si="50"/>
        <v>0</v>
      </c>
      <c r="P325" s="1648">
        <f t="shared" si="51"/>
        <v>0</v>
      </c>
      <c r="Q325" s="1648">
        <f t="shared" si="52"/>
        <v>0</v>
      </c>
      <c r="R325" s="55">
        <f t="shared" si="53"/>
        <v>0</v>
      </c>
      <c r="S325" s="55">
        <f t="shared" si="54"/>
        <v>0</v>
      </c>
    </row>
    <row r="326" spans="1:19" ht="56.25" hidden="1" customHeight="1">
      <c r="A326" s="1854">
        <v>24</v>
      </c>
      <c r="B326" s="1648">
        <f t="shared" ref="B326:B389" si="55">P326</f>
        <v>0</v>
      </c>
      <c r="C326" s="1863" t="s">
        <v>5437</v>
      </c>
      <c r="D326" s="1649">
        <f>Data!K1191</f>
        <v>69.599999999999994</v>
      </c>
      <c r="E326" s="1687" t="s">
        <v>994</v>
      </c>
      <c r="F326" s="1649"/>
      <c r="G326" s="1648">
        <f t="shared" ref="G326:G389" si="56">F326*D326</f>
        <v>0</v>
      </c>
      <c r="H326" s="1648"/>
      <c r="I326" s="1648">
        <f t="shared" ref="I326:I389" si="57">H326*D326</f>
        <v>0</v>
      </c>
      <c r="J326" s="1648"/>
      <c r="K326" s="1648">
        <f t="shared" ref="K326:K389" si="58">J326*D326</f>
        <v>0</v>
      </c>
      <c r="L326" s="1648"/>
      <c r="M326" s="1648">
        <f t="shared" ref="M326:M389" si="59">L326*D326</f>
        <v>0</v>
      </c>
      <c r="N326" s="1648">
        <f t="shared" ref="N326:N389" si="60">H326+J326+L326</f>
        <v>0</v>
      </c>
      <c r="O326" s="1648">
        <f t="shared" ref="O326:O389" si="61">N326*D326</f>
        <v>0</v>
      </c>
      <c r="P326" s="1648">
        <f t="shared" ref="P326:P389" si="62">N326+F326</f>
        <v>0</v>
      </c>
      <c r="Q326" s="1648">
        <f t="shared" ref="Q326:Q389" si="63">P326*D326</f>
        <v>0</v>
      </c>
      <c r="R326" s="55">
        <f t="shared" ref="R326:R389" si="64">G326+I326+K326+M326</f>
        <v>0</v>
      </c>
      <c r="S326" s="55">
        <f t="shared" ref="S326:S389" si="65">Q326-R326</f>
        <v>0</v>
      </c>
    </row>
    <row r="327" spans="1:19" ht="45.75" customHeight="1">
      <c r="A327" s="1854">
        <v>25</v>
      </c>
      <c r="B327" s="1648">
        <f t="shared" si="55"/>
        <v>252</v>
      </c>
      <c r="C327" s="1863" t="s">
        <v>5438</v>
      </c>
      <c r="D327" s="1649">
        <f>ROUND(Data!K1194,2)</f>
        <v>9.6</v>
      </c>
      <c r="E327" s="1687" t="s">
        <v>729</v>
      </c>
      <c r="F327" s="1649">
        <f>'Detail '!I903</f>
        <v>252</v>
      </c>
      <c r="G327" s="1648">
        <f t="shared" si="56"/>
        <v>2419.1999999999998</v>
      </c>
      <c r="H327" s="1648"/>
      <c r="I327" s="1648">
        <f t="shared" si="57"/>
        <v>0</v>
      </c>
      <c r="J327" s="1648"/>
      <c r="K327" s="1648">
        <f t="shared" si="58"/>
        <v>0</v>
      </c>
      <c r="L327" s="1648"/>
      <c r="M327" s="1648">
        <f t="shared" si="59"/>
        <v>0</v>
      </c>
      <c r="N327" s="1648">
        <f t="shared" si="60"/>
        <v>0</v>
      </c>
      <c r="O327" s="1648">
        <f t="shared" si="61"/>
        <v>0</v>
      </c>
      <c r="P327" s="1648">
        <f t="shared" si="62"/>
        <v>252</v>
      </c>
      <c r="Q327" s="1648">
        <f t="shared" si="63"/>
        <v>2419.1999999999998</v>
      </c>
      <c r="R327" s="55">
        <f t="shared" si="64"/>
        <v>2419.1999999999998</v>
      </c>
      <c r="S327" s="55">
        <f t="shared" si="65"/>
        <v>0</v>
      </c>
    </row>
    <row r="328" spans="1:19" ht="45.75" customHeight="1">
      <c r="A328" s="1854">
        <v>26</v>
      </c>
      <c r="B328" s="1648">
        <f t="shared" si="55"/>
        <v>62.7</v>
      </c>
      <c r="C328" s="1863" t="s">
        <v>5439</v>
      </c>
      <c r="D328" s="1649">
        <f>ROUND(Data!K204,2)</f>
        <v>4926.24</v>
      </c>
      <c r="E328" s="1687" t="s">
        <v>5296</v>
      </c>
      <c r="F328" s="1649">
        <f>'Detail '!I913</f>
        <v>62.7</v>
      </c>
      <c r="G328" s="1648">
        <f t="shared" si="56"/>
        <v>308875.25</v>
      </c>
      <c r="H328" s="1648"/>
      <c r="I328" s="1648">
        <f t="shared" si="57"/>
        <v>0</v>
      </c>
      <c r="J328" s="1648"/>
      <c r="K328" s="1648">
        <f t="shared" si="58"/>
        <v>0</v>
      </c>
      <c r="L328" s="1648"/>
      <c r="M328" s="1648">
        <f t="shared" si="59"/>
        <v>0</v>
      </c>
      <c r="N328" s="1648">
        <f t="shared" si="60"/>
        <v>0</v>
      </c>
      <c r="O328" s="1648">
        <f t="shared" si="61"/>
        <v>0</v>
      </c>
      <c r="P328" s="1648">
        <f t="shared" si="62"/>
        <v>62.7</v>
      </c>
      <c r="Q328" s="1648">
        <f t="shared" si="63"/>
        <v>308875.25</v>
      </c>
      <c r="R328" s="55">
        <f t="shared" si="64"/>
        <v>308875.25</v>
      </c>
      <c r="S328" s="55">
        <f t="shared" si="65"/>
        <v>0</v>
      </c>
    </row>
    <row r="329" spans="1:19" ht="57" hidden="1" customHeight="1">
      <c r="A329" s="1854">
        <v>27.1</v>
      </c>
      <c r="B329" s="1648">
        <f t="shared" si="55"/>
        <v>0</v>
      </c>
      <c r="C329" s="1863" t="s">
        <v>5440</v>
      </c>
      <c r="D329" s="1649">
        <f>ROUND(Data!Y368,2)</f>
        <v>7349.46</v>
      </c>
      <c r="E329" s="1687" t="s">
        <v>5296</v>
      </c>
      <c r="F329" s="1649"/>
      <c r="G329" s="1648">
        <f t="shared" si="56"/>
        <v>0</v>
      </c>
      <c r="H329" s="1648"/>
      <c r="I329" s="1648">
        <f t="shared" si="57"/>
        <v>0</v>
      </c>
      <c r="J329" s="1648"/>
      <c r="K329" s="1648">
        <f t="shared" si="58"/>
        <v>0</v>
      </c>
      <c r="L329" s="1648"/>
      <c r="M329" s="1648">
        <f t="shared" si="59"/>
        <v>0</v>
      </c>
      <c r="N329" s="1648">
        <f t="shared" si="60"/>
        <v>0</v>
      </c>
      <c r="O329" s="1648">
        <f t="shared" si="61"/>
        <v>0</v>
      </c>
      <c r="P329" s="1648">
        <f t="shared" si="62"/>
        <v>0</v>
      </c>
      <c r="Q329" s="1648">
        <f t="shared" si="63"/>
        <v>0</v>
      </c>
      <c r="R329" s="55">
        <f t="shared" si="64"/>
        <v>0</v>
      </c>
      <c r="S329" s="55">
        <f t="shared" si="65"/>
        <v>0</v>
      </c>
    </row>
    <row r="330" spans="1:19" ht="63" hidden="1" customHeight="1">
      <c r="A330" s="1854">
        <v>27.2</v>
      </c>
      <c r="B330" s="1648">
        <f t="shared" si="55"/>
        <v>0</v>
      </c>
      <c r="C330" s="1863" t="s">
        <v>5441</v>
      </c>
      <c r="D330" s="1649">
        <f>ROUND(Data!AG381,2)</f>
        <v>7158.17</v>
      </c>
      <c r="E330" s="1687" t="s">
        <v>5296</v>
      </c>
      <c r="F330" s="1649"/>
      <c r="G330" s="1648">
        <f t="shared" si="56"/>
        <v>0</v>
      </c>
      <c r="H330" s="1648"/>
      <c r="I330" s="1648">
        <f t="shared" si="57"/>
        <v>0</v>
      </c>
      <c r="J330" s="1648"/>
      <c r="K330" s="1648">
        <f t="shared" si="58"/>
        <v>0</v>
      </c>
      <c r="L330" s="1648"/>
      <c r="M330" s="1648">
        <f t="shared" si="59"/>
        <v>0</v>
      </c>
      <c r="N330" s="1648">
        <f t="shared" si="60"/>
        <v>0</v>
      </c>
      <c r="O330" s="1648">
        <f t="shared" si="61"/>
        <v>0</v>
      </c>
      <c r="P330" s="1648">
        <f t="shared" si="62"/>
        <v>0</v>
      </c>
      <c r="Q330" s="1648">
        <f t="shared" si="63"/>
        <v>0</v>
      </c>
      <c r="R330" s="55">
        <f t="shared" si="64"/>
        <v>0</v>
      </c>
      <c r="S330" s="55">
        <f t="shared" si="65"/>
        <v>0</v>
      </c>
    </row>
    <row r="331" spans="1:19" ht="39.950000000000003" hidden="1" customHeight="1">
      <c r="A331" s="1854">
        <v>27.3</v>
      </c>
      <c r="B331" s="1648">
        <f t="shared" si="55"/>
        <v>0</v>
      </c>
      <c r="C331" s="1863" t="s">
        <v>5442</v>
      </c>
      <c r="D331" s="1649"/>
      <c r="E331" s="1687" t="s">
        <v>5296</v>
      </c>
      <c r="F331" s="1649"/>
      <c r="G331" s="1648">
        <f t="shared" si="56"/>
        <v>0</v>
      </c>
      <c r="H331" s="1648"/>
      <c r="I331" s="1648">
        <f t="shared" si="57"/>
        <v>0</v>
      </c>
      <c r="J331" s="1648"/>
      <c r="K331" s="1648">
        <f t="shared" si="58"/>
        <v>0</v>
      </c>
      <c r="L331" s="1648"/>
      <c r="M331" s="1648">
        <f t="shared" si="59"/>
        <v>0</v>
      </c>
      <c r="N331" s="1648">
        <f t="shared" si="60"/>
        <v>0</v>
      </c>
      <c r="O331" s="1648">
        <f t="shared" si="61"/>
        <v>0</v>
      </c>
      <c r="P331" s="1648">
        <f t="shared" si="62"/>
        <v>0</v>
      </c>
      <c r="Q331" s="1648">
        <f t="shared" si="63"/>
        <v>0</v>
      </c>
      <c r="R331" s="55">
        <f t="shared" si="64"/>
        <v>0</v>
      </c>
      <c r="S331" s="55">
        <f t="shared" si="65"/>
        <v>0</v>
      </c>
    </row>
    <row r="332" spans="1:19" ht="39.950000000000003" hidden="1" customHeight="1">
      <c r="A332" s="1854">
        <v>27.4</v>
      </c>
      <c r="B332" s="1648">
        <f t="shared" si="55"/>
        <v>0</v>
      </c>
      <c r="C332" s="1863" t="s">
        <v>5443</v>
      </c>
      <c r="D332" s="1649"/>
      <c r="E332" s="1687" t="s">
        <v>5296</v>
      </c>
      <c r="F332" s="1649"/>
      <c r="G332" s="1648">
        <f t="shared" si="56"/>
        <v>0</v>
      </c>
      <c r="H332" s="1648"/>
      <c r="I332" s="1648">
        <f t="shared" si="57"/>
        <v>0</v>
      </c>
      <c r="J332" s="1648"/>
      <c r="K332" s="1648">
        <f t="shared" si="58"/>
        <v>0</v>
      </c>
      <c r="L332" s="1648"/>
      <c r="M332" s="1648">
        <f t="shared" si="59"/>
        <v>0</v>
      </c>
      <c r="N332" s="1648">
        <f t="shared" si="60"/>
        <v>0</v>
      </c>
      <c r="O332" s="1648">
        <f t="shared" si="61"/>
        <v>0</v>
      </c>
      <c r="P332" s="1648">
        <f t="shared" si="62"/>
        <v>0</v>
      </c>
      <c r="Q332" s="1648">
        <f t="shared" si="63"/>
        <v>0</v>
      </c>
      <c r="R332" s="55">
        <f t="shared" si="64"/>
        <v>0</v>
      </c>
      <c r="S332" s="55">
        <f t="shared" si="65"/>
        <v>0</v>
      </c>
    </row>
    <row r="333" spans="1:19" ht="39.950000000000003" hidden="1" customHeight="1">
      <c r="A333" s="1854">
        <v>27.5</v>
      </c>
      <c r="B333" s="1648">
        <f t="shared" si="55"/>
        <v>0</v>
      </c>
      <c r="C333" s="1863" t="s">
        <v>5444</v>
      </c>
      <c r="D333" s="1649">
        <f>ROUND(Data!K372,2)</f>
        <v>7182.58</v>
      </c>
      <c r="E333" s="1687" t="s">
        <v>5296</v>
      </c>
      <c r="F333" s="1649"/>
      <c r="G333" s="1648">
        <f t="shared" si="56"/>
        <v>0</v>
      </c>
      <c r="H333" s="1648"/>
      <c r="I333" s="1648">
        <f t="shared" si="57"/>
        <v>0</v>
      </c>
      <c r="J333" s="1648"/>
      <c r="K333" s="1648">
        <f t="shared" si="58"/>
        <v>0</v>
      </c>
      <c r="L333" s="1648"/>
      <c r="M333" s="1648">
        <f t="shared" si="59"/>
        <v>0</v>
      </c>
      <c r="N333" s="1648">
        <f t="shared" si="60"/>
        <v>0</v>
      </c>
      <c r="O333" s="1648">
        <f t="shared" si="61"/>
        <v>0</v>
      </c>
      <c r="P333" s="1648">
        <f t="shared" si="62"/>
        <v>0</v>
      </c>
      <c r="Q333" s="1648">
        <f t="shared" si="63"/>
        <v>0</v>
      </c>
      <c r="R333" s="55">
        <f t="shared" si="64"/>
        <v>0</v>
      </c>
      <c r="S333" s="55">
        <f t="shared" si="65"/>
        <v>0</v>
      </c>
    </row>
    <row r="334" spans="1:19" ht="39.950000000000003" hidden="1" customHeight="1">
      <c r="A334" s="1854">
        <v>27.6</v>
      </c>
      <c r="B334" s="1648">
        <f t="shared" si="55"/>
        <v>0</v>
      </c>
      <c r="C334" s="1863" t="s">
        <v>5445</v>
      </c>
      <c r="D334" s="1649"/>
      <c r="E334" s="1687" t="s">
        <v>5296</v>
      </c>
      <c r="F334" s="1649"/>
      <c r="G334" s="1648">
        <f t="shared" si="56"/>
        <v>0</v>
      </c>
      <c r="H334" s="1648"/>
      <c r="I334" s="1648">
        <f t="shared" si="57"/>
        <v>0</v>
      </c>
      <c r="J334" s="1648"/>
      <c r="K334" s="1648">
        <f t="shared" si="58"/>
        <v>0</v>
      </c>
      <c r="L334" s="1648"/>
      <c r="M334" s="1648">
        <f t="shared" si="59"/>
        <v>0</v>
      </c>
      <c r="N334" s="1648">
        <f t="shared" si="60"/>
        <v>0</v>
      </c>
      <c r="O334" s="1648">
        <f t="shared" si="61"/>
        <v>0</v>
      </c>
      <c r="P334" s="1648">
        <f t="shared" si="62"/>
        <v>0</v>
      </c>
      <c r="Q334" s="1648">
        <f t="shared" si="63"/>
        <v>0</v>
      </c>
      <c r="R334" s="55">
        <f t="shared" si="64"/>
        <v>0</v>
      </c>
      <c r="S334" s="55">
        <f t="shared" si="65"/>
        <v>0</v>
      </c>
    </row>
    <row r="335" spans="1:19" ht="45.75" customHeight="1">
      <c r="A335" s="1854">
        <v>28</v>
      </c>
      <c r="B335" s="1648">
        <f t="shared" si="55"/>
        <v>16.8</v>
      </c>
      <c r="C335" s="1864" t="s">
        <v>5446</v>
      </c>
      <c r="D335" s="1649">
        <f>'Data-prt'!F332</f>
        <v>528.26</v>
      </c>
      <c r="E335" s="1687" t="s">
        <v>5324</v>
      </c>
      <c r="F335" s="1649">
        <f>'Detail '!I924</f>
        <v>16.8</v>
      </c>
      <c r="G335" s="1648">
        <f t="shared" si="56"/>
        <v>8874.77</v>
      </c>
      <c r="H335" s="1648"/>
      <c r="I335" s="1648">
        <f t="shared" si="57"/>
        <v>0</v>
      </c>
      <c r="J335" s="1648"/>
      <c r="K335" s="1648">
        <f t="shared" si="58"/>
        <v>0</v>
      </c>
      <c r="L335" s="1648"/>
      <c r="M335" s="1648">
        <f t="shared" si="59"/>
        <v>0</v>
      </c>
      <c r="N335" s="1648">
        <f t="shared" si="60"/>
        <v>0</v>
      </c>
      <c r="O335" s="1648">
        <f t="shared" si="61"/>
        <v>0</v>
      </c>
      <c r="P335" s="1648">
        <f t="shared" si="62"/>
        <v>16.8</v>
      </c>
      <c r="Q335" s="1648">
        <f t="shared" si="63"/>
        <v>8874.77</v>
      </c>
      <c r="R335" s="55">
        <f t="shared" si="64"/>
        <v>8874.77</v>
      </c>
      <c r="S335" s="55">
        <f t="shared" si="65"/>
        <v>0</v>
      </c>
    </row>
    <row r="336" spans="1:19" ht="25.5" hidden="1" customHeight="1">
      <c r="A336" s="1854">
        <v>29.1</v>
      </c>
      <c r="B336" s="1648">
        <f t="shared" si="55"/>
        <v>0</v>
      </c>
      <c r="C336" s="1864" t="s">
        <v>5447</v>
      </c>
      <c r="D336" s="1649"/>
      <c r="E336" s="1687" t="s">
        <v>5324</v>
      </c>
      <c r="F336" s="1649"/>
      <c r="G336" s="1648">
        <f t="shared" si="56"/>
        <v>0</v>
      </c>
      <c r="H336" s="1648"/>
      <c r="I336" s="1648">
        <f t="shared" si="57"/>
        <v>0</v>
      </c>
      <c r="J336" s="1648"/>
      <c r="K336" s="1648">
        <f t="shared" si="58"/>
        <v>0</v>
      </c>
      <c r="L336" s="1648"/>
      <c r="M336" s="1648">
        <f t="shared" si="59"/>
        <v>0</v>
      </c>
      <c r="N336" s="1648">
        <f t="shared" si="60"/>
        <v>0</v>
      </c>
      <c r="O336" s="1648">
        <f t="shared" si="61"/>
        <v>0</v>
      </c>
      <c r="P336" s="1648">
        <f t="shared" si="62"/>
        <v>0</v>
      </c>
      <c r="Q336" s="1648">
        <f t="shared" si="63"/>
        <v>0</v>
      </c>
      <c r="R336" s="55">
        <f t="shared" si="64"/>
        <v>0</v>
      </c>
      <c r="S336" s="55">
        <f t="shared" si="65"/>
        <v>0</v>
      </c>
    </row>
    <row r="337" spans="1:19" ht="25.5" hidden="1" customHeight="1">
      <c r="A337" s="1854">
        <v>29.2</v>
      </c>
      <c r="B337" s="1648">
        <f t="shared" si="55"/>
        <v>0</v>
      </c>
      <c r="C337" s="1864" t="s">
        <v>5448</v>
      </c>
      <c r="D337" s="1649">
        <f>ROUND(Data!K1241,2)</f>
        <v>1270.03</v>
      </c>
      <c r="E337" s="1687" t="s">
        <v>5324</v>
      </c>
      <c r="F337" s="1649"/>
      <c r="G337" s="1648">
        <f t="shared" si="56"/>
        <v>0</v>
      </c>
      <c r="H337" s="1648"/>
      <c r="I337" s="1648">
        <f t="shared" si="57"/>
        <v>0</v>
      </c>
      <c r="J337" s="1648"/>
      <c r="K337" s="1648">
        <f t="shared" si="58"/>
        <v>0</v>
      </c>
      <c r="L337" s="1648"/>
      <c r="M337" s="1648">
        <f t="shared" si="59"/>
        <v>0</v>
      </c>
      <c r="N337" s="1648">
        <f t="shared" si="60"/>
        <v>0</v>
      </c>
      <c r="O337" s="1648">
        <f t="shared" si="61"/>
        <v>0</v>
      </c>
      <c r="P337" s="1648">
        <f t="shared" si="62"/>
        <v>0</v>
      </c>
      <c r="Q337" s="1648">
        <f t="shared" si="63"/>
        <v>0</v>
      </c>
      <c r="R337" s="55">
        <f t="shared" si="64"/>
        <v>0</v>
      </c>
      <c r="S337" s="55">
        <f t="shared" si="65"/>
        <v>0</v>
      </c>
    </row>
    <row r="338" spans="1:19" ht="25.5" hidden="1" customHeight="1">
      <c r="A338" s="1854">
        <v>29.3</v>
      </c>
      <c r="B338" s="1648">
        <f t="shared" si="55"/>
        <v>0</v>
      </c>
      <c r="C338" s="1863" t="s">
        <v>5449</v>
      </c>
      <c r="D338" s="1649">
        <f>ROUND(Data!K1264,2)</f>
        <v>1239.8</v>
      </c>
      <c r="E338" s="1687" t="s">
        <v>5324</v>
      </c>
      <c r="F338" s="1649"/>
      <c r="G338" s="1648">
        <f t="shared" si="56"/>
        <v>0</v>
      </c>
      <c r="H338" s="1648"/>
      <c r="I338" s="1648">
        <f t="shared" si="57"/>
        <v>0</v>
      </c>
      <c r="J338" s="1648"/>
      <c r="K338" s="1648">
        <f t="shared" si="58"/>
        <v>0</v>
      </c>
      <c r="L338" s="1648"/>
      <c r="M338" s="1648">
        <f t="shared" si="59"/>
        <v>0</v>
      </c>
      <c r="N338" s="1648">
        <f t="shared" si="60"/>
        <v>0</v>
      </c>
      <c r="O338" s="1648">
        <f t="shared" si="61"/>
        <v>0</v>
      </c>
      <c r="P338" s="1648">
        <f t="shared" si="62"/>
        <v>0</v>
      </c>
      <c r="Q338" s="1648">
        <f t="shared" si="63"/>
        <v>0</v>
      </c>
      <c r="R338" s="55">
        <f t="shared" si="64"/>
        <v>0</v>
      </c>
      <c r="S338" s="55">
        <f t="shared" si="65"/>
        <v>0</v>
      </c>
    </row>
    <row r="339" spans="1:19" ht="25.5" hidden="1" customHeight="1">
      <c r="A339" s="1854">
        <v>29.4</v>
      </c>
      <c r="B339" s="1648">
        <f t="shared" si="55"/>
        <v>0</v>
      </c>
      <c r="C339" s="1863" t="s">
        <v>5450</v>
      </c>
      <c r="D339" s="1649">
        <f>ROUND(Data!K1278,2)</f>
        <v>1414.02</v>
      </c>
      <c r="E339" s="1687" t="s">
        <v>5324</v>
      </c>
      <c r="F339" s="1649"/>
      <c r="G339" s="1648">
        <f t="shared" si="56"/>
        <v>0</v>
      </c>
      <c r="H339" s="1648"/>
      <c r="I339" s="1648">
        <f t="shared" si="57"/>
        <v>0</v>
      </c>
      <c r="J339" s="1648"/>
      <c r="K339" s="1648">
        <f t="shared" si="58"/>
        <v>0</v>
      </c>
      <c r="L339" s="1648"/>
      <c r="M339" s="1648">
        <f t="shared" si="59"/>
        <v>0</v>
      </c>
      <c r="N339" s="1648">
        <f t="shared" si="60"/>
        <v>0</v>
      </c>
      <c r="O339" s="1648">
        <f t="shared" si="61"/>
        <v>0</v>
      </c>
      <c r="P339" s="1648">
        <f t="shared" si="62"/>
        <v>0</v>
      </c>
      <c r="Q339" s="1648">
        <f t="shared" si="63"/>
        <v>0</v>
      </c>
      <c r="R339" s="55">
        <f t="shared" si="64"/>
        <v>0</v>
      </c>
      <c r="S339" s="55">
        <f t="shared" si="65"/>
        <v>0</v>
      </c>
    </row>
    <row r="340" spans="1:19" ht="25.5" hidden="1" customHeight="1">
      <c r="A340" s="1854">
        <v>29.5</v>
      </c>
      <c r="B340" s="1648">
        <f t="shared" si="55"/>
        <v>0</v>
      </c>
      <c r="C340" s="1863" t="s">
        <v>5451</v>
      </c>
      <c r="D340" s="1649">
        <f>D338</f>
        <v>1239.8</v>
      </c>
      <c r="E340" s="1687" t="s">
        <v>5324</v>
      </c>
      <c r="F340" s="1649"/>
      <c r="G340" s="1648">
        <f t="shared" si="56"/>
        <v>0</v>
      </c>
      <c r="H340" s="1648"/>
      <c r="I340" s="1648">
        <f t="shared" si="57"/>
        <v>0</v>
      </c>
      <c r="J340" s="1648"/>
      <c r="K340" s="1648">
        <f t="shared" si="58"/>
        <v>0</v>
      </c>
      <c r="L340" s="1648"/>
      <c r="M340" s="1648">
        <f t="shared" si="59"/>
        <v>0</v>
      </c>
      <c r="N340" s="1648">
        <f t="shared" si="60"/>
        <v>0</v>
      </c>
      <c r="O340" s="1648">
        <f t="shared" si="61"/>
        <v>0</v>
      </c>
      <c r="P340" s="1648">
        <f t="shared" si="62"/>
        <v>0</v>
      </c>
      <c r="Q340" s="1648">
        <f t="shared" si="63"/>
        <v>0</v>
      </c>
      <c r="R340" s="55">
        <f t="shared" si="64"/>
        <v>0</v>
      </c>
      <c r="S340" s="55">
        <f t="shared" si="65"/>
        <v>0</v>
      </c>
    </row>
    <row r="341" spans="1:19" ht="45.75" customHeight="1">
      <c r="A341" s="1854">
        <v>30</v>
      </c>
      <c r="B341" s="1648">
        <f t="shared" si="55"/>
        <v>19.7</v>
      </c>
      <c r="C341" s="1863" t="s">
        <v>5452</v>
      </c>
      <c r="D341" s="1649">
        <f>ROUND(Data!K1312,2)</f>
        <v>461.95</v>
      </c>
      <c r="E341" s="1687" t="s">
        <v>5324</v>
      </c>
      <c r="F341" s="1649">
        <f>'Detail '!I938</f>
        <v>19.7</v>
      </c>
      <c r="G341" s="1648">
        <f t="shared" si="56"/>
        <v>9100.42</v>
      </c>
      <c r="H341" s="1648"/>
      <c r="I341" s="1648">
        <f t="shared" si="57"/>
        <v>0</v>
      </c>
      <c r="J341" s="1648"/>
      <c r="K341" s="1648">
        <f t="shared" si="58"/>
        <v>0</v>
      </c>
      <c r="L341" s="1648"/>
      <c r="M341" s="1648">
        <f t="shared" si="59"/>
        <v>0</v>
      </c>
      <c r="N341" s="1648">
        <f t="shared" si="60"/>
        <v>0</v>
      </c>
      <c r="O341" s="1648">
        <f t="shared" si="61"/>
        <v>0</v>
      </c>
      <c r="P341" s="1648">
        <f t="shared" si="62"/>
        <v>19.7</v>
      </c>
      <c r="Q341" s="1648">
        <f t="shared" si="63"/>
        <v>9100.42</v>
      </c>
      <c r="R341" s="55">
        <f t="shared" si="64"/>
        <v>9100.42</v>
      </c>
      <c r="S341" s="55">
        <f t="shared" si="65"/>
        <v>0</v>
      </c>
    </row>
    <row r="342" spans="1:19" ht="45.75" customHeight="1">
      <c r="A342" s="1854">
        <v>31</v>
      </c>
      <c r="B342" s="1648">
        <f t="shared" si="55"/>
        <v>71.8</v>
      </c>
      <c r="C342" s="1863" t="s">
        <v>3479</v>
      </c>
      <c r="D342" s="1649">
        <f>Data!K1330</f>
        <v>3835.16</v>
      </c>
      <c r="E342" s="1687" t="s">
        <v>5296</v>
      </c>
      <c r="F342" s="1649">
        <f>'Detail '!I955</f>
        <v>71.8</v>
      </c>
      <c r="G342" s="1648">
        <f t="shared" si="56"/>
        <v>275364.49</v>
      </c>
      <c r="H342" s="1648"/>
      <c r="I342" s="1648">
        <f t="shared" si="57"/>
        <v>0</v>
      </c>
      <c r="J342" s="1648"/>
      <c r="K342" s="1648">
        <f t="shared" si="58"/>
        <v>0</v>
      </c>
      <c r="L342" s="1648"/>
      <c r="M342" s="1648">
        <f t="shared" si="59"/>
        <v>0</v>
      </c>
      <c r="N342" s="1648">
        <f t="shared" si="60"/>
        <v>0</v>
      </c>
      <c r="O342" s="1648">
        <f t="shared" si="61"/>
        <v>0</v>
      </c>
      <c r="P342" s="1648">
        <f t="shared" si="62"/>
        <v>71.8</v>
      </c>
      <c r="Q342" s="1648">
        <f t="shared" si="63"/>
        <v>275364.49</v>
      </c>
      <c r="R342" s="55">
        <f t="shared" si="64"/>
        <v>275364.49</v>
      </c>
      <c r="S342" s="55">
        <f t="shared" si="65"/>
        <v>0</v>
      </c>
    </row>
    <row r="343" spans="1:19" ht="46.5" hidden="1" customHeight="1">
      <c r="A343" s="1854">
        <v>32</v>
      </c>
      <c r="B343" s="1648">
        <f t="shared" si="55"/>
        <v>0</v>
      </c>
      <c r="C343" s="1863" t="s">
        <v>5453</v>
      </c>
      <c r="D343" s="1649"/>
      <c r="E343" s="1687" t="s">
        <v>5324</v>
      </c>
      <c r="F343" s="1649"/>
      <c r="G343" s="1648">
        <f t="shared" si="56"/>
        <v>0</v>
      </c>
      <c r="H343" s="1648"/>
      <c r="I343" s="1648">
        <f t="shared" si="57"/>
        <v>0</v>
      </c>
      <c r="J343" s="1648"/>
      <c r="K343" s="1648">
        <f t="shared" si="58"/>
        <v>0</v>
      </c>
      <c r="L343" s="1648"/>
      <c r="M343" s="1648">
        <f t="shared" si="59"/>
        <v>0</v>
      </c>
      <c r="N343" s="1648">
        <f t="shared" si="60"/>
        <v>0</v>
      </c>
      <c r="O343" s="1648">
        <f t="shared" si="61"/>
        <v>0</v>
      </c>
      <c r="P343" s="1648">
        <f t="shared" si="62"/>
        <v>0</v>
      </c>
      <c r="Q343" s="1648">
        <f t="shared" si="63"/>
        <v>0</v>
      </c>
      <c r="R343" s="55">
        <f t="shared" si="64"/>
        <v>0</v>
      </c>
      <c r="S343" s="55">
        <f t="shared" si="65"/>
        <v>0</v>
      </c>
    </row>
    <row r="344" spans="1:19" ht="51" hidden="1" customHeight="1">
      <c r="A344" s="1854">
        <v>32.1</v>
      </c>
      <c r="B344" s="1648">
        <f t="shared" si="55"/>
        <v>0</v>
      </c>
      <c r="C344" s="1863" t="s">
        <v>5454</v>
      </c>
      <c r="D344" s="1649">
        <f>ROUND(Data!K1365,2)</f>
        <v>1226.1600000000001</v>
      </c>
      <c r="E344" s="1687" t="s">
        <v>5324</v>
      </c>
      <c r="F344" s="1649"/>
      <c r="G344" s="1648">
        <f t="shared" si="56"/>
        <v>0</v>
      </c>
      <c r="H344" s="1648"/>
      <c r="I344" s="1648">
        <f t="shared" si="57"/>
        <v>0</v>
      </c>
      <c r="J344" s="1648"/>
      <c r="K344" s="1648">
        <f t="shared" si="58"/>
        <v>0</v>
      </c>
      <c r="L344" s="1648"/>
      <c r="M344" s="1648">
        <f t="shared" si="59"/>
        <v>0</v>
      </c>
      <c r="N344" s="1648">
        <f t="shared" si="60"/>
        <v>0</v>
      </c>
      <c r="O344" s="1648">
        <f t="shared" si="61"/>
        <v>0</v>
      </c>
      <c r="P344" s="1648">
        <f t="shared" si="62"/>
        <v>0</v>
      </c>
      <c r="Q344" s="1648">
        <f t="shared" si="63"/>
        <v>0</v>
      </c>
      <c r="R344" s="55">
        <f t="shared" si="64"/>
        <v>0</v>
      </c>
      <c r="S344" s="55">
        <f t="shared" si="65"/>
        <v>0</v>
      </c>
    </row>
    <row r="345" spans="1:19" ht="46.5" hidden="1" customHeight="1">
      <c r="A345" s="1854">
        <v>32.200000000000003</v>
      </c>
      <c r="B345" s="1648">
        <f t="shared" si="55"/>
        <v>0</v>
      </c>
      <c r="C345" s="1863" t="s">
        <v>5455</v>
      </c>
      <c r="D345" s="1649"/>
      <c r="E345" s="1687" t="s">
        <v>5324</v>
      </c>
      <c r="F345" s="1649"/>
      <c r="G345" s="1648">
        <f t="shared" si="56"/>
        <v>0</v>
      </c>
      <c r="H345" s="1648"/>
      <c r="I345" s="1648">
        <f t="shared" si="57"/>
        <v>0</v>
      </c>
      <c r="J345" s="1648"/>
      <c r="K345" s="1648">
        <f t="shared" si="58"/>
        <v>0</v>
      </c>
      <c r="L345" s="1648"/>
      <c r="M345" s="1648">
        <f t="shared" si="59"/>
        <v>0</v>
      </c>
      <c r="N345" s="1648">
        <f t="shared" si="60"/>
        <v>0</v>
      </c>
      <c r="O345" s="1648">
        <f t="shared" si="61"/>
        <v>0</v>
      </c>
      <c r="P345" s="1648">
        <f t="shared" si="62"/>
        <v>0</v>
      </c>
      <c r="Q345" s="1648">
        <f t="shared" si="63"/>
        <v>0</v>
      </c>
      <c r="R345" s="55">
        <f t="shared" si="64"/>
        <v>0</v>
      </c>
      <c r="S345" s="55">
        <f t="shared" si="65"/>
        <v>0</v>
      </c>
    </row>
    <row r="346" spans="1:19" ht="45.75" customHeight="1">
      <c r="A346" s="1854">
        <v>33</v>
      </c>
      <c r="B346" s="1648">
        <f t="shared" si="55"/>
        <v>5850.6</v>
      </c>
      <c r="C346" s="1863" t="s">
        <v>5456</v>
      </c>
      <c r="D346" s="1649">
        <f>Data!K1400</f>
        <v>259.47000000000003</v>
      </c>
      <c r="E346" s="1687" t="s">
        <v>5324</v>
      </c>
      <c r="F346" s="1649">
        <f>'Detail '!I1059</f>
        <v>5850.6</v>
      </c>
      <c r="G346" s="1648">
        <f t="shared" si="56"/>
        <v>1518055.18</v>
      </c>
      <c r="H346" s="1648"/>
      <c r="I346" s="1648">
        <f t="shared" si="57"/>
        <v>0</v>
      </c>
      <c r="J346" s="1648"/>
      <c r="K346" s="1648">
        <f t="shared" si="58"/>
        <v>0</v>
      </c>
      <c r="L346" s="1648"/>
      <c r="M346" s="1648">
        <f t="shared" si="59"/>
        <v>0</v>
      </c>
      <c r="N346" s="1648">
        <f t="shared" si="60"/>
        <v>0</v>
      </c>
      <c r="O346" s="1648">
        <f t="shared" si="61"/>
        <v>0</v>
      </c>
      <c r="P346" s="1648">
        <f t="shared" si="62"/>
        <v>5850.6</v>
      </c>
      <c r="Q346" s="1648">
        <f t="shared" si="63"/>
        <v>1518055.18</v>
      </c>
      <c r="R346" s="55">
        <f t="shared" si="64"/>
        <v>1518055.18</v>
      </c>
      <c r="S346" s="55">
        <f t="shared" si="65"/>
        <v>0</v>
      </c>
    </row>
    <row r="347" spans="1:19" ht="47.25" customHeight="1">
      <c r="A347" s="1854">
        <v>34</v>
      </c>
      <c r="B347" s="1648">
        <f t="shared" si="55"/>
        <v>15.8</v>
      </c>
      <c r="C347" s="1863" t="s">
        <v>3499</v>
      </c>
      <c r="D347" s="1649">
        <f>Data!K1414</f>
        <v>265.55</v>
      </c>
      <c r="E347" s="1687" t="s">
        <v>5324</v>
      </c>
      <c r="F347" s="1649">
        <f>'Detail '!I1063</f>
        <v>15.8</v>
      </c>
      <c r="G347" s="1648">
        <f t="shared" si="56"/>
        <v>4195.6899999999996</v>
      </c>
      <c r="H347" s="1648"/>
      <c r="I347" s="1648">
        <f t="shared" si="57"/>
        <v>0</v>
      </c>
      <c r="J347" s="1648"/>
      <c r="K347" s="1648">
        <f t="shared" si="58"/>
        <v>0</v>
      </c>
      <c r="L347" s="1648"/>
      <c r="M347" s="1648">
        <f t="shared" si="59"/>
        <v>0</v>
      </c>
      <c r="N347" s="1648">
        <f t="shared" si="60"/>
        <v>0</v>
      </c>
      <c r="O347" s="1648">
        <f t="shared" si="61"/>
        <v>0</v>
      </c>
      <c r="P347" s="1648">
        <f t="shared" si="62"/>
        <v>15.8</v>
      </c>
      <c r="Q347" s="1648">
        <f t="shared" si="63"/>
        <v>4195.6899999999996</v>
      </c>
      <c r="R347" s="55">
        <f t="shared" si="64"/>
        <v>4195.6899999999996</v>
      </c>
      <c r="S347" s="55">
        <f t="shared" si="65"/>
        <v>0</v>
      </c>
    </row>
    <row r="348" spans="1:19" ht="57.75" customHeight="1">
      <c r="A348" s="1854">
        <v>35</v>
      </c>
      <c r="B348" s="1648">
        <f t="shared" si="55"/>
        <v>2189.8000000000002</v>
      </c>
      <c r="C348" s="1863" t="s">
        <v>5457</v>
      </c>
      <c r="D348" s="1649">
        <f>ROUND(Data!K1426,2)</f>
        <v>297.83999999999997</v>
      </c>
      <c r="E348" s="1687" t="s">
        <v>5324</v>
      </c>
      <c r="F348" s="1649">
        <f>'Detail '!I1175</f>
        <v>2189.8000000000002</v>
      </c>
      <c r="G348" s="1648">
        <f t="shared" si="56"/>
        <v>652210.03</v>
      </c>
      <c r="H348" s="1648"/>
      <c r="I348" s="1648">
        <f t="shared" si="57"/>
        <v>0</v>
      </c>
      <c r="J348" s="1648"/>
      <c r="K348" s="1648">
        <f t="shared" si="58"/>
        <v>0</v>
      </c>
      <c r="L348" s="1648"/>
      <c r="M348" s="1648">
        <f t="shared" si="59"/>
        <v>0</v>
      </c>
      <c r="N348" s="1648">
        <f t="shared" si="60"/>
        <v>0</v>
      </c>
      <c r="O348" s="1648">
        <f t="shared" si="61"/>
        <v>0</v>
      </c>
      <c r="P348" s="1648">
        <f t="shared" si="62"/>
        <v>2189.8000000000002</v>
      </c>
      <c r="Q348" s="1648">
        <f t="shared" si="63"/>
        <v>652210.03</v>
      </c>
      <c r="R348" s="55">
        <f t="shared" si="64"/>
        <v>652210.03</v>
      </c>
      <c r="S348" s="55">
        <f t="shared" si="65"/>
        <v>0</v>
      </c>
    </row>
    <row r="349" spans="1:19" ht="57.75" customHeight="1">
      <c r="A349" s="1854">
        <v>36</v>
      </c>
      <c r="B349" s="1648">
        <f t="shared" si="55"/>
        <v>0</v>
      </c>
      <c r="C349" s="1864" t="s">
        <v>5458</v>
      </c>
      <c r="D349" s="1649"/>
      <c r="E349" s="1687"/>
      <c r="F349" s="1649"/>
      <c r="G349" s="1648">
        <f t="shared" si="56"/>
        <v>0</v>
      </c>
      <c r="H349" s="1648"/>
      <c r="I349" s="1648">
        <f t="shared" si="57"/>
        <v>0</v>
      </c>
      <c r="J349" s="1648"/>
      <c r="K349" s="1648">
        <f t="shared" si="58"/>
        <v>0</v>
      </c>
      <c r="L349" s="1648"/>
      <c r="M349" s="1648">
        <f t="shared" si="59"/>
        <v>0</v>
      </c>
      <c r="N349" s="1648">
        <f t="shared" si="60"/>
        <v>0</v>
      </c>
      <c r="O349" s="1648">
        <f t="shared" si="61"/>
        <v>0</v>
      </c>
      <c r="P349" s="1648">
        <f t="shared" si="62"/>
        <v>0</v>
      </c>
      <c r="Q349" s="1648">
        <f t="shared" si="63"/>
        <v>0</v>
      </c>
      <c r="R349" s="55">
        <f t="shared" si="64"/>
        <v>0</v>
      </c>
      <c r="S349" s="55">
        <f t="shared" si="65"/>
        <v>0</v>
      </c>
    </row>
    <row r="350" spans="1:19" ht="43.5" customHeight="1">
      <c r="A350" s="1687" t="s">
        <v>85</v>
      </c>
      <c r="B350" s="1648">
        <f t="shared" si="55"/>
        <v>308.39999999999998</v>
      </c>
      <c r="C350" s="1863" t="s">
        <v>5459</v>
      </c>
      <c r="D350" s="1649">
        <f>ROUND(Data!K1460,2)</f>
        <v>84.27</v>
      </c>
      <c r="E350" s="1687" t="s">
        <v>13</v>
      </c>
      <c r="F350" s="1649">
        <f>'Detail '!I1181</f>
        <v>308.39999999999998</v>
      </c>
      <c r="G350" s="1648">
        <f t="shared" si="56"/>
        <v>25988.87</v>
      </c>
      <c r="H350" s="1648"/>
      <c r="I350" s="1648">
        <f t="shared" si="57"/>
        <v>0</v>
      </c>
      <c r="J350" s="1648"/>
      <c r="K350" s="1648">
        <f t="shared" si="58"/>
        <v>0</v>
      </c>
      <c r="L350" s="1648"/>
      <c r="M350" s="1648">
        <f t="shared" si="59"/>
        <v>0</v>
      </c>
      <c r="N350" s="1648">
        <f t="shared" si="60"/>
        <v>0</v>
      </c>
      <c r="O350" s="1648">
        <f t="shared" si="61"/>
        <v>0</v>
      </c>
      <c r="P350" s="1648">
        <f t="shared" si="62"/>
        <v>308.39999999999998</v>
      </c>
      <c r="Q350" s="1648">
        <f t="shared" si="63"/>
        <v>25988.87</v>
      </c>
      <c r="R350" s="55">
        <f t="shared" si="64"/>
        <v>25988.87</v>
      </c>
      <c r="S350" s="55">
        <f t="shared" si="65"/>
        <v>0</v>
      </c>
    </row>
    <row r="351" spans="1:19" ht="43.5" customHeight="1">
      <c r="A351" s="1687"/>
      <c r="B351" s="1648">
        <f t="shared" si="55"/>
        <v>308.39999999999998</v>
      </c>
      <c r="C351" s="1863" t="s">
        <v>5460</v>
      </c>
      <c r="D351" s="1649">
        <f>ROUND(Data!K1472,2)</f>
        <v>55.22</v>
      </c>
      <c r="E351" s="1687" t="s">
        <v>13</v>
      </c>
      <c r="F351" s="1649">
        <f>'Detail '!I1187</f>
        <v>308.39999999999998</v>
      </c>
      <c r="G351" s="1648">
        <f t="shared" si="56"/>
        <v>17029.849999999999</v>
      </c>
      <c r="H351" s="1648"/>
      <c r="I351" s="1648">
        <f t="shared" si="57"/>
        <v>0</v>
      </c>
      <c r="J351" s="1648"/>
      <c r="K351" s="1648">
        <f t="shared" si="58"/>
        <v>0</v>
      </c>
      <c r="L351" s="1648"/>
      <c r="M351" s="1648">
        <f t="shared" si="59"/>
        <v>0</v>
      </c>
      <c r="N351" s="1648">
        <f t="shared" si="60"/>
        <v>0</v>
      </c>
      <c r="O351" s="1648">
        <f t="shared" si="61"/>
        <v>0</v>
      </c>
      <c r="P351" s="1648">
        <f t="shared" si="62"/>
        <v>308.39999999999998</v>
      </c>
      <c r="Q351" s="1648">
        <f t="shared" si="63"/>
        <v>17029.849999999999</v>
      </c>
      <c r="R351" s="55">
        <f t="shared" si="64"/>
        <v>17029.849999999999</v>
      </c>
      <c r="S351" s="55">
        <f t="shared" si="65"/>
        <v>0</v>
      </c>
    </row>
    <row r="352" spans="1:19" ht="43.5" customHeight="1">
      <c r="A352" s="1691"/>
      <c r="B352" s="1648">
        <f t="shared" si="55"/>
        <v>451.8</v>
      </c>
      <c r="C352" s="1863" t="s">
        <v>5461</v>
      </c>
      <c r="D352" s="1649">
        <f>ROUND(Data!K1485,2)</f>
        <v>41.31</v>
      </c>
      <c r="E352" s="1687" t="s">
        <v>13</v>
      </c>
      <c r="F352" s="1649">
        <f>'Detail '!I1195</f>
        <v>451.8</v>
      </c>
      <c r="G352" s="1648">
        <f t="shared" si="56"/>
        <v>18663.86</v>
      </c>
      <c r="H352" s="1648"/>
      <c r="I352" s="1648">
        <f t="shared" si="57"/>
        <v>0</v>
      </c>
      <c r="J352" s="1648"/>
      <c r="K352" s="1648">
        <f t="shared" si="58"/>
        <v>0</v>
      </c>
      <c r="L352" s="1648"/>
      <c r="M352" s="1648">
        <f t="shared" si="59"/>
        <v>0</v>
      </c>
      <c r="N352" s="1648">
        <f t="shared" si="60"/>
        <v>0</v>
      </c>
      <c r="O352" s="1648">
        <f t="shared" si="61"/>
        <v>0</v>
      </c>
      <c r="P352" s="1648">
        <f t="shared" si="62"/>
        <v>451.8</v>
      </c>
      <c r="Q352" s="1648">
        <f t="shared" si="63"/>
        <v>18663.86</v>
      </c>
      <c r="R352" s="55">
        <f t="shared" si="64"/>
        <v>18663.86</v>
      </c>
      <c r="S352" s="55">
        <f t="shared" si="65"/>
        <v>0</v>
      </c>
    </row>
    <row r="353" spans="1:19" ht="43.5" customHeight="1">
      <c r="A353" s="1854">
        <v>37.1</v>
      </c>
      <c r="B353" s="1648">
        <f t="shared" si="55"/>
        <v>2189.8000000000002</v>
      </c>
      <c r="C353" s="1863" t="s">
        <v>5462</v>
      </c>
      <c r="D353" s="1649">
        <f>ROUND(Data!K1498,2)</f>
        <v>47.21</v>
      </c>
      <c r="E353" s="1687" t="s">
        <v>5324</v>
      </c>
      <c r="F353" s="1649">
        <f>'Detail '!I1198</f>
        <v>2189.8000000000002</v>
      </c>
      <c r="G353" s="1648">
        <f t="shared" si="56"/>
        <v>103380.46</v>
      </c>
      <c r="H353" s="1648"/>
      <c r="I353" s="1648">
        <f t="shared" si="57"/>
        <v>0</v>
      </c>
      <c r="J353" s="1648"/>
      <c r="K353" s="1648">
        <f t="shared" si="58"/>
        <v>0</v>
      </c>
      <c r="L353" s="1648"/>
      <c r="M353" s="1648">
        <f t="shared" si="59"/>
        <v>0</v>
      </c>
      <c r="N353" s="1648">
        <f t="shared" si="60"/>
        <v>0</v>
      </c>
      <c r="O353" s="1648">
        <f t="shared" si="61"/>
        <v>0</v>
      </c>
      <c r="P353" s="1648">
        <f t="shared" si="62"/>
        <v>2189.8000000000002</v>
      </c>
      <c r="Q353" s="1648">
        <f t="shared" si="63"/>
        <v>103380.46</v>
      </c>
      <c r="R353" s="55">
        <f t="shared" si="64"/>
        <v>103380.46</v>
      </c>
      <c r="S353" s="55">
        <f t="shared" si="65"/>
        <v>0</v>
      </c>
    </row>
    <row r="354" spans="1:19" ht="78" hidden="1" customHeight="1">
      <c r="A354" s="1854">
        <v>37.200000000000003</v>
      </c>
      <c r="B354" s="1648">
        <f t="shared" si="55"/>
        <v>0</v>
      </c>
      <c r="C354" s="1863" t="s">
        <v>5463</v>
      </c>
      <c r="D354" s="1649"/>
      <c r="E354" s="1687" t="s">
        <v>5324</v>
      </c>
      <c r="F354" s="1649"/>
      <c r="G354" s="1648">
        <f t="shared" si="56"/>
        <v>0</v>
      </c>
      <c r="H354" s="1648"/>
      <c r="I354" s="1648">
        <f t="shared" si="57"/>
        <v>0</v>
      </c>
      <c r="J354" s="1648"/>
      <c r="K354" s="1648">
        <f t="shared" si="58"/>
        <v>0</v>
      </c>
      <c r="L354" s="1648"/>
      <c r="M354" s="1648">
        <f t="shared" si="59"/>
        <v>0</v>
      </c>
      <c r="N354" s="1648">
        <f t="shared" si="60"/>
        <v>0</v>
      </c>
      <c r="O354" s="1648">
        <f t="shared" si="61"/>
        <v>0</v>
      </c>
      <c r="P354" s="1648">
        <f t="shared" si="62"/>
        <v>0</v>
      </c>
      <c r="Q354" s="1648">
        <f t="shared" si="63"/>
        <v>0</v>
      </c>
      <c r="R354" s="55">
        <f t="shared" si="64"/>
        <v>0</v>
      </c>
      <c r="S354" s="55">
        <f t="shared" si="65"/>
        <v>0</v>
      </c>
    </row>
    <row r="355" spans="1:19" ht="71.25" hidden="1" customHeight="1">
      <c r="A355" s="1854">
        <v>38.1</v>
      </c>
      <c r="B355" s="1648">
        <f t="shared" si="55"/>
        <v>0</v>
      </c>
      <c r="C355" s="1863" t="s">
        <v>5464</v>
      </c>
      <c r="D355" s="1649">
        <f>ROUND(Data!K1513,2)</f>
        <v>204.36</v>
      </c>
      <c r="E355" s="1687" t="s">
        <v>5324</v>
      </c>
      <c r="F355" s="1649"/>
      <c r="G355" s="1648">
        <f t="shared" si="56"/>
        <v>0</v>
      </c>
      <c r="H355" s="1648"/>
      <c r="I355" s="1648">
        <f t="shared" si="57"/>
        <v>0</v>
      </c>
      <c r="J355" s="1648"/>
      <c r="K355" s="1648">
        <f t="shared" si="58"/>
        <v>0</v>
      </c>
      <c r="L355" s="1648"/>
      <c r="M355" s="1648">
        <f t="shared" si="59"/>
        <v>0</v>
      </c>
      <c r="N355" s="1648">
        <f t="shared" si="60"/>
        <v>0</v>
      </c>
      <c r="O355" s="1648">
        <f t="shared" si="61"/>
        <v>0</v>
      </c>
      <c r="P355" s="1648">
        <f t="shared" si="62"/>
        <v>0</v>
      </c>
      <c r="Q355" s="1648">
        <f t="shared" si="63"/>
        <v>0</v>
      </c>
      <c r="R355" s="55">
        <f t="shared" si="64"/>
        <v>0</v>
      </c>
      <c r="S355" s="55">
        <f t="shared" si="65"/>
        <v>0</v>
      </c>
    </row>
    <row r="356" spans="1:19" ht="26.25" hidden="1" customHeight="1">
      <c r="A356" s="1854">
        <v>38.200000000000003</v>
      </c>
      <c r="B356" s="1648">
        <f t="shared" si="55"/>
        <v>0</v>
      </c>
      <c r="C356" s="1863" t="s">
        <v>1648</v>
      </c>
      <c r="D356" s="1649">
        <f>ROUND(Data!K1526,2)</f>
        <v>169</v>
      </c>
      <c r="E356" s="1687" t="s">
        <v>5324</v>
      </c>
      <c r="F356" s="1649"/>
      <c r="G356" s="1648">
        <f t="shared" si="56"/>
        <v>0</v>
      </c>
      <c r="H356" s="1648"/>
      <c r="I356" s="1648">
        <f t="shared" si="57"/>
        <v>0</v>
      </c>
      <c r="J356" s="1648"/>
      <c r="K356" s="1648">
        <f t="shared" si="58"/>
        <v>0</v>
      </c>
      <c r="L356" s="1648"/>
      <c r="M356" s="1648">
        <f t="shared" si="59"/>
        <v>0</v>
      </c>
      <c r="N356" s="1648">
        <f t="shared" si="60"/>
        <v>0</v>
      </c>
      <c r="O356" s="1648">
        <f t="shared" si="61"/>
        <v>0</v>
      </c>
      <c r="P356" s="1648">
        <f t="shared" si="62"/>
        <v>0</v>
      </c>
      <c r="Q356" s="1648">
        <f t="shared" si="63"/>
        <v>0</v>
      </c>
      <c r="R356" s="55">
        <f t="shared" si="64"/>
        <v>0</v>
      </c>
      <c r="S356" s="55">
        <f t="shared" si="65"/>
        <v>0</v>
      </c>
    </row>
    <row r="357" spans="1:19" ht="43.5" customHeight="1">
      <c r="A357" s="1854">
        <v>39</v>
      </c>
      <c r="B357" s="1648">
        <f t="shared" si="55"/>
        <v>5851.2</v>
      </c>
      <c r="C357" s="1863" t="s">
        <v>5465</v>
      </c>
      <c r="D357" s="1649">
        <f>Data!K1193</f>
        <v>70.150000000000006</v>
      </c>
      <c r="E357" s="1687" t="s">
        <v>994</v>
      </c>
      <c r="F357" s="1649">
        <f>'Detail '!I1208</f>
        <v>5851.2</v>
      </c>
      <c r="G357" s="1648">
        <f t="shared" si="56"/>
        <v>410461.68</v>
      </c>
      <c r="H357" s="1648"/>
      <c r="I357" s="1648">
        <f t="shared" si="57"/>
        <v>0</v>
      </c>
      <c r="J357" s="1648"/>
      <c r="K357" s="1648">
        <f t="shared" si="58"/>
        <v>0</v>
      </c>
      <c r="L357" s="1648"/>
      <c r="M357" s="1648">
        <f t="shared" si="59"/>
        <v>0</v>
      </c>
      <c r="N357" s="1648">
        <f t="shared" si="60"/>
        <v>0</v>
      </c>
      <c r="O357" s="1648">
        <f t="shared" si="61"/>
        <v>0</v>
      </c>
      <c r="P357" s="1648">
        <f t="shared" si="62"/>
        <v>5851.2</v>
      </c>
      <c r="Q357" s="1648">
        <f t="shared" si="63"/>
        <v>410461.68</v>
      </c>
      <c r="R357" s="55">
        <f t="shared" si="64"/>
        <v>410461.68</v>
      </c>
      <c r="S357" s="55">
        <f t="shared" si="65"/>
        <v>0</v>
      </c>
    </row>
    <row r="358" spans="1:19" ht="43.5" customHeight="1">
      <c r="A358" s="1854">
        <v>40</v>
      </c>
      <c r="B358" s="1648">
        <f t="shared" si="55"/>
        <v>189</v>
      </c>
      <c r="C358" s="1863" t="s">
        <v>5466</v>
      </c>
      <c r="D358" s="1649">
        <f>ROUND(Data!K1540,2)</f>
        <v>240.31</v>
      </c>
      <c r="E358" s="1687" t="s">
        <v>5324</v>
      </c>
      <c r="F358" s="1649">
        <f>'Detail '!I1213</f>
        <v>189</v>
      </c>
      <c r="G358" s="1648">
        <f t="shared" si="56"/>
        <v>45418.59</v>
      </c>
      <c r="H358" s="1648"/>
      <c r="I358" s="1648">
        <f t="shared" si="57"/>
        <v>0</v>
      </c>
      <c r="J358" s="1648"/>
      <c r="K358" s="1648">
        <f t="shared" si="58"/>
        <v>0</v>
      </c>
      <c r="L358" s="1648"/>
      <c r="M358" s="1648">
        <f t="shared" si="59"/>
        <v>0</v>
      </c>
      <c r="N358" s="1648">
        <f t="shared" si="60"/>
        <v>0</v>
      </c>
      <c r="O358" s="1648">
        <f t="shared" si="61"/>
        <v>0</v>
      </c>
      <c r="P358" s="1648">
        <f t="shared" si="62"/>
        <v>189</v>
      </c>
      <c r="Q358" s="1648">
        <f t="shared" si="63"/>
        <v>45418.59</v>
      </c>
      <c r="R358" s="55">
        <f t="shared" si="64"/>
        <v>45418.59</v>
      </c>
      <c r="S358" s="55">
        <f t="shared" si="65"/>
        <v>0</v>
      </c>
    </row>
    <row r="359" spans="1:19" ht="50.25" customHeight="1">
      <c r="A359" s="1854">
        <v>41</v>
      </c>
      <c r="B359" s="1648">
        <f t="shared" si="55"/>
        <v>167.2</v>
      </c>
      <c r="C359" s="1863" t="s">
        <v>5467</v>
      </c>
      <c r="D359" s="1649">
        <f>ROUND(Data!K1553,2)</f>
        <v>142.15</v>
      </c>
      <c r="E359" s="1687" t="s">
        <v>5324</v>
      </c>
      <c r="F359" s="1649">
        <f>'Detail '!I1223</f>
        <v>167.2</v>
      </c>
      <c r="G359" s="1648">
        <f t="shared" si="56"/>
        <v>23767.48</v>
      </c>
      <c r="H359" s="1648"/>
      <c r="I359" s="1648">
        <f t="shared" si="57"/>
        <v>0</v>
      </c>
      <c r="J359" s="1648"/>
      <c r="K359" s="1648">
        <f t="shared" si="58"/>
        <v>0</v>
      </c>
      <c r="L359" s="1648"/>
      <c r="M359" s="1648">
        <f t="shared" si="59"/>
        <v>0</v>
      </c>
      <c r="N359" s="1648">
        <f t="shared" si="60"/>
        <v>0</v>
      </c>
      <c r="O359" s="1648">
        <f t="shared" si="61"/>
        <v>0</v>
      </c>
      <c r="P359" s="1648">
        <f t="shared" si="62"/>
        <v>167.2</v>
      </c>
      <c r="Q359" s="1648">
        <f t="shared" si="63"/>
        <v>23767.48</v>
      </c>
      <c r="R359" s="55">
        <f t="shared" si="64"/>
        <v>23767.48</v>
      </c>
      <c r="S359" s="55">
        <f t="shared" si="65"/>
        <v>0</v>
      </c>
    </row>
    <row r="360" spans="1:19" ht="46.5" hidden="1" customHeight="1">
      <c r="A360" s="1854">
        <v>42</v>
      </c>
      <c r="B360" s="1648">
        <f t="shared" si="55"/>
        <v>0</v>
      </c>
      <c r="C360" s="1863" t="s">
        <v>5468</v>
      </c>
      <c r="D360" s="1649"/>
      <c r="E360" s="1687"/>
      <c r="F360" s="1649"/>
      <c r="G360" s="1648">
        <f t="shared" si="56"/>
        <v>0</v>
      </c>
      <c r="H360" s="1648"/>
      <c r="I360" s="1648">
        <f t="shared" si="57"/>
        <v>0</v>
      </c>
      <c r="J360" s="1648"/>
      <c r="K360" s="1648">
        <f t="shared" si="58"/>
        <v>0</v>
      </c>
      <c r="L360" s="1648"/>
      <c r="M360" s="1648">
        <f t="shared" si="59"/>
        <v>0</v>
      </c>
      <c r="N360" s="1648">
        <f t="shared" si="60"/>
        <v>0</v>
      </c>
      <c r="O360" s="1648">
        <f t="shared" si="61"/>
        <v>0</v>
      </c>
      <c r="P360" s="1648">
        <f t="shared" si="62"/>
        <v>0</v>
      </c>
      <c r="Q360" s="1648">
        <f t="shared" si="63"/>
        <v>0</v>
      </c>
      <c r="R360" s="55">
        <f t="shared" si="64"/>
        <v>0</v>
      </c>
      <c r="S360" s="55">
        <f t="shared" si="65"/>
        <v>0</v>
      </c>
    </row>
    <row r="361" spans="1:19" ht="25.5" hidden="1" customHeight="1">
      <c r="A361" s="1687"/>
      <c r="B361" s="1648">
        <f t="shared" si="55"/>
        <v>0</v>
      </c>
      <c r="C361" s="1863" t="s">
        <v>5469</v>
      </c>
      <c r="D361" s="1649">
        <f>ROUND(Data!K1582,2)</f>
        <v>92263.5</v>
      </c>
      <c r="E361" s="1687" t="s">
        <v>11</v>
      </c>
      <c r="F361" s="1649"/>
      <c r="G361" s="1648">
        <f t="shared" si="56"/>
        <v>0</v>
      </c>
      <c r="H361" s="1648"/>
      <c r="I361" s="1648">
        <f t="shared" si="57"/>
        <v>0</v>
      </c>
      <c r="J361" s="1648"/>
      <c r="K361" s="1648">
        <f t="shared" si="58"/>
        <v>0</v>
      </c>
      <c r="L361" s="1648"/>
      <c r="M361" s="1648">
        <f t="shared" si="59"/>
        <v>0</v>
      </c>
      <c r="N361" s="1648">
        <f t="shared" si="60"/>
        <v>0</v>
      </c>
      <c r="O361" s="1648">
        <f t="shared" si="61"/>
        <v>0</v>
      </c>
      <c r="P361" s="1648">
        <f t="shared" si="62"/>
        <v>0</v>
      </c>
      <c r="Q361" s="1648">
        <f t="shared" si="63"/>
        <v>0</v>
      </c>
      <c r="R361" s="55">
        <f t="shared" si="64"/>
        <v>0</v>
      </c>
      <c r="S361" s="55">
        <f t="shared" si="65"/>
        <v>0</v>
      </c>
    </row>
    <row r="362" spans="1:19" ht="25.5" hidden="1" customHeight="1">
      <c r="A362" s="1688"/>
      <c r="B362" s="1648">
        <f t="shared" si="55"/>
        <v>0</v>
      </c>
      <c r="C362" s="1863" t="s">
        <v>5470</v>
      </c>
      <c r="D362" s="1649">
        <f>ROUND(Data!K1595,2)</f>
        <v>92263.5</v>
      </c>
      <c r="E362" s="1687" t="s">
        <v>11</v>
      </c>
      <c r="F362" s="1649"/>
      <c r="G362" s="1648">
        <f t="shared" si="56"/>
        <v>0</v>
      </c>
      <c r="H362" s="1648"/>
      <c r="I362" s="1648">
        <f t="shared" si="57"/>
        <v>0</v>
      </c>
      <c r="J362" s="1648"/>
      <c r="K362" s="1648">
        <f t="shared" si="58"/>
        <v>0</v>
      </c>
      <c r="L362" s="1648"/>
      <c r="M362" s="1648">
        <f t="shared" si="59"/>
        <v>0</v>
      </c>
      <c r="N362" s="1648">
        <f t="shared" si="60"/>
        <v>0</v>
      </c>
      <c r="O362" s="1648">
        <f t="shared" si="61"/>
        <v>0</v>
      </c>
      <c r="P362" s="1648">
        <f t="shared" si="62"/>
        <v>0</v>
      </c>
      <c r="Q362" s="1648">
        <f t="shared" si="63"/>
        <v>0</v>
      </c>
      <c r="R362" s="55">
        <f t="shared" si="64"/>
        <v>0</v>
      </c>
      <c r="S362" s="55">
        <f t="shared" si="65"/>
        <v>0</v>
      </c>
    </row>
    <row r="363" spans="1:19" ht="46.5" hidden="1" customHeight="1">
      <c r="A363" s="1854">
        <v>43</v>
      </c>
      <c r="B363" s="1648">
        <f t="shared" si="55"/>
        <v>0</v>
      </c>
      <c r="C363" s="1863" t="s">
        <v>5471</v>
      </c>
      <c r="D363" s="1649"/>
      <c r="E363" s="1687"/>
      <c r="F363" s="1649"/>
      <c r="G363" s="1648">
        <f t="shared" si="56"/>
        <v>0</v>
      </c>
      <c r="H363" s="1648"/>
      <c r="I363" s="1648">
        <f t="shared" si="57"/>
        <v>0</v>
      </c>
      <c r="J363" s="1648"/>
      <c r="K363" s="1648">
        <f t="shared" si="58"/>
        <v>0</v>
      </c>
      <c r="L363" s="1648"/>
      <c r="M363" s="1648">
        <f t="shared" si="59"/>
        <v>0</v>
      </c>
      <c r="N363" s="1648">
        <f t="shared" si="60"/>
        <v>0</v>
      </c>
      <c r="O363" s="1648">
        <f t="shared" si="61"/>
        <v>0</v>
      </c>
      <c r="P363" s="1648">
        <f t="shared" si="62"/>
        <v>0</v>
      </c>
      <c r="Q363" s="1648">
        <f t="shared" si="63"/>
        <v>0</v>
      </c>
      <c r="R363" s="55">
        <f t="shared" si="64"/>
        <v>0</v>
      </c>
      <c r="S363" s="55">
        <f t="shared" si="65"/>
        <v>0</v>
      </c>
    </row>
    <row r="364" spans="1:19" ht="25.5" hidden="1" customHeight="1">
      <c r="A364" s="1687"/>
      <c r="B364" s="1648">
        <f t="shared" si="55"/>
        <v>0</v>
      </c>
      <c r="C364" s="1863" t="s">
        <v>5469</v>
      </c>
      <c r="D364" s="1649">
        <f>ROUND(Data!K1608,2)</f>
        <v>90172</v>
      </c>
      <c r="E364" s="1687" t="s">
        <v>11</v>
      </c>
      <c r="F364" s="1649"/>
      <c r="G364" s="1648">
        <f t="shared" si="56"/>
        <v>0</v>
      </c>
      <c r="H364" s="1648"/>
      <c r="I364" s="1648">
        <f t="shared" si="57"/>
        <v>0</v>
      </c>
      <c r="J364" s="1648"/>
      <c r="K364" s="1648">
        <f t="shared" si="58"/>
        <v>0</v>
      </c>
      <c r="L364" s="1648"/>
      <c r="M364" s="1648">
        <f t="shared" si="59"/>
        <v>0</v>
      </c>
      <c r="N364" s="1648">
        <f t="shared" si="60"/>
        <v>0</v>
      </c>
      <c r="O364" s="1648">
        <f t="shared" si="61"/>
        <v>0</v>
      </c>
      <c r="P364" s="1648">
        <f t="shared" si="62"/>
        <v>0</v>
      </c>
      <c r="Q364" s="1648">
        <f t="shared" si="63"/>
        <v>0</v>
      </c>
      <c r="R364" s="55">
        <f t="shared" si="64"/>
        <v>0</v>
      </c>
      <c r="S364" s="55">
        <f t="shared" si="65"/>
        <v>0</v>
      </c>
    </row>
    <row r="365" spans="1:19" ht="25.5" hidden="1" customHeight="1">
      <c r="A365" s="1688"/>
      <c r="B365" s="1648">
        <f t="shared" si="55"/>
        <v>0</v>
      </c>
      <c r="C365" s="1863" t="s">
        <v>5470</v>
      </c>
      <c r="D365" s="1649">
        <f>ROUND(Data!K1620,2)</f>
        <v>90172</v>
      </c>
      <c r="E365" s="1687" t="s">
        <v>11</v>
      </c>
      <c r="F365" s="1649"/>
      <c r="G365" s="1648">
        <f t="shared" si="56"/>
        <v>0</v>
      </c>
      <c r="H365" s="1648"/>
      <c r="I365" s="1648">
        <f t="shared" si="57"/>
        <v>0</v>
      </c>
      <c r="J365" s="1648"/>
      <c r="K365" s="1648">
        <f t="shared" si="58"/>
        <v>0</v>
      </c>
      <c r="L365" s="1648"/>
      <c r="M365" s="1648">
        <f t="shared" si="59"/>
        <v>0</v>
      </c>
      <c r="N365" s="1648">
        <f t="shared" si="60"/>
        <v>0</v>
      </c>
      <c r="O365" s="1648">
        <f t="shared" si="61"/>
        <v>0</v>
      </c>
      <c r="P365" s="1648">
        <f t="shared" si="62"/>
        <v>0</v>
      </c>
      <c r="Q365" s="1648">
        <f t="shared" si="63"/>
        <v>0</v>
      </c>
      <c r="R365" s="55">
        <f t="shared" si="64"/>
        <v>0</v>
      </c>
      <c r="S365" s="55">
        <f t="shared" si="65"/>
        <v>0</v>
      </c>
    </row>
    <row r="366" spans="1:19" ht="25.5" hidden="1" customHeight="1">
      <c r="A366" s="1854">
        <v>44.1</v>
      </c>
      <c r="B366" s="1648">
        <f t="shared" si="55"/>
        <v>0</v>
      </c>
      <c r="C366" s="1863" t="s">
        <v>5472</v>
      </c>
      <c r="D366" s="1649">
        <f>ROUND(Data!K1638,2)</f>
        <v>349.29</v>
      </c>
      <c r="E366" s="1687" t="s">
        <v>13</v>
      </c>
      <c r="F366" s="1649"/>
      <c r="G366" s="1648">
        <f t="shared" si="56"/>
        <v>0</v>
      </c>
      <c r="H366" s="1648"/>
      <c r="I366" s="1648">
        <f t="shared" si="57"/>
        <v>0</v>
      </c>
      <c r="J366" s="1648"/>
      <c r="K366" s="1648">
        <f t="shared" si="58"/>
        <v>0</v>
      </c>
      <c r="L366" s="1648"/>
      <c r="M366" s="1648">
        <f t="shared" si="59"/>
        <v>0</v>
      </c>
      <c r="N366" s="1648">
        <f t="shared" si="60"/>
        <v>0</v>
      </c>
      <c r="O366" s="1648">
        <f t="shared" si="61"/>
        <v>0</v>
      </c>
      <c r="P366" s="1648">
        <f t="shared" si="62"/>
        <v>0</v>
      </c>
      <c r="Q366" s="1648">
        <f t="shared" si="63"/>
        <v>0</v>
      </c>
      <c r="R366" s="55">
        <f t="shared" si="64"/>
        <v>0</v>
      </c>
      <c r="S366" s="55">
        <f t="shared" si="65"/>
        <v>0</v>
      </c>
    </row>
    <row r="367" spans="1:19" ht="63" hidden="1" customHeight="1">
      <c r="A367" s="1854">
        <v>44.2</v>
      </c>
      <c r="B367" s="1648">
        <f t="shared" si="55"/>
        <v>0</v>
      </c>
      <c r="C367" s="1863" t="s">
        <v>5473</v>
      </c>
      <c r="D367" s="1649"/>
      <c r="E367" s="1687" t="s">
        <v>729</v>
      </c>
      <c r="F367" s="1649"/>
      <c r="G367" s="1648">
        <f t="shared" si="56"/>
        <v>0</v>
      </c>
      <c r="H367" s="1648"/>
      <c r="I367" s="1648">
        <f t="shared" si="57"/>
        <v>0</v>
      </c>
      <c r="J367" s="1648"/>
      <c r="K367" s="1648">
        <f t="shared" si="58"/>
        <v>0</v>
      </c>
      <c r="L367" s="1648"/>
      <c r="M367" s="1648">
        <f t="shared" si="59"/>
        <v>0</v>
      </c>
      <c r="N367" s="1648">
        <f t="shared" si="60"/>
        <v>0</v>
      </c>
      <c r="O367" s="1648">
        <f t="shared" si="61"/>
        <v>0</v>
      </c>
      <c r="P367" s="1648">
        <f t="shared" si="62"/>
        <v>0</v>
      </c>
      <c r="Q367" s="1648">
        <f t="shared" si="63"/>
        <v>0</v>
      </c>
      <c r="R367" s="55">
        <f t="shared" si="64"/>
        <v>0</v>
      </c>
      <c r="S367" s="55">
        <f t="shared" si="65"/>
        <v>0</v>
      </c>
    </row>
    <row r="368" spans="1:19" ht="40.5" hidden="1" customHeight="1">
      <c r="A368" s="1854">
        <v>45</v>
      </c>
      <c r="B368" s="1648">
        <f t="shared" si="55"/>
        <v>0</v>
      </c>
      <c r="C368" s="1864" t="s">
        <v>5474</v>
      </c>
      <c r="D368" s="1649">
        <f>ROUND(Data!K1653,2)</f>
        <v>329.64</v>
      </c>
      <c r="E368" s="1687" t="s">
        <v>5324</v>
      </c>
      <c r="F368" s="1649"/>
      <c r="G368" s="1648">
        <f t="shared" si="56"/>
        <v>0</v>
      </c>
      <c r="H368" s="1648"/>
      <c r="I368" s="1648">
        <f t="shared" si="57"/>
        <v>0</v>
      </c>
      <c r="J368" s="1648"/>
      <c r="K368" s="1648">
        <f t="shared" si="58"/>
        <v>0</v>
      </c>
      <c r="L368" s="1648"/>
      <c r="M368" s="1648">
        <f t="shared" si="59"/>
        <v>0</v>
      </c>
      <c r="N368" s="1648">
        <f t="shared" si="60"/>
        <v>0</v>
      </c>
      <c r="O368" s="1648">
        <f t="shared" si="61"/>
        <v>0</v>
      </c>
      <c r="P368" s="1648">
        <f t="shared" si="62"/>
        <v>0</v>
      </c>
      <c r="Q368" s="1648">
        <f t="shared" si="63"/>
        <v>0</v>
      </c>
      <c r="R368" s="55">
        <f t="shared" si="64"/>
        <v>0</v>
      </c>
      <c r="S368" s="55">
        <f t="shared" si="65"/>
        <v>0</v>
      </c>
    </row>
    <row r="369" spans="1:19" ht="45.75" customHeight="1">
      <c r="A369" s="1854">
        <v>46</v>
      </c>
      <c r="B369" s="1648">
        <f t="shared" si="55"/>
        <v>34.6</v>
      </c>
      <c r="C369" s="1863" t="s">
        <v>5475</v>
      </c>
      <c r="D369" s="1649">
        <f>ROUND(Data!K1670,2)</f>
        <v>58</v>
      </c>
      <c r="E369" s="1687" t="s">
        <v>13</v>
      </c>
      <c r="F369" s="1649">
        <f>'Detail '!I1260</f>
        <v>34.6</v>
      </c>
      <c r="G369" s="1648">
        <f t="shared" si="56"/>
        <v>2006.8</v>
      </c>
      <c r="H369" s="1648"/>
      <c r="I369" s="1648">
        <f t="shared" si="57"/>
        <v>0</v>
      </c>
      <c r="J369" s="1648"/>
      <c r="K369" s="1648">
        <f t="shared" si="58"/>
        <v>0</v>
      </c>
      <c r="L369" s="1648"/>
      <c r="M369" s="1648">
        <f t="shared" si="59"/>
        <v>0</v>
      </c>
      <c r="N369" s="1648">
        <f t="shared" si="60"/>
        <v>0</v>
      </c>
      <c r="O369" s="1648">
        <f t="shared" si="61"/>
        <v>0</v>
      </c>
      <c r="P369" s="1648">
        <f t="shared" si="62"/>
        <v>34.6</v>
      </c>
      <c r="Q369" s="1648">
        <f t="shared" si="63"/>
        <v>2006.8</v>
      </c>
      <c r="R369" s="55">
        <f t="shared" si="64"/>
        <v>2006.8</v>
      </c>
      <c r="S369" s="55">
        <f t="shared" si="65"/>
        <v>0</v>
      </c>
    </row>
    <row r="370" spans="1:19" ht="45.75" customHeight="1">
      <c r="A370" s="1854">
        <v>47</v>
      </c>
      <c r="B370" s="1648">
        <f t="shared" si="55"/>
        <v>47</v>
      </c>
      <c r="C370" s="1863" t="s">
        <v>5476</v>
      </c>
      <c r="D370" s="1649">
        <f>ROUND(Data!K1682,2)</f>
        <v>95</v>
      </c>
      <c r="E370" s="1687" t="s">
        <v>729</v>
      </c>
      <c r="F370" s="1649">
        <f>'Detail '!I1263</f>
        <v>47</v>
      </c>
      <c r="G370" s="1648">
        <f t="shared" si="56"/>
        <v>4465</v>
      </c>
      <c r="H370" s="1648"/>
      <c r="I370" s="1648">
        <f t="shared" si="57"/>
        <v>0</v>
      </c>
      <c r="J370" s="1648"/>
      <c r="K370" s="1648">
        <f t="shared" si="58"/>
        <v>0</v>
      </c>
      <c r="L370" s="1648"/>
      <c r="M370" s="1648">
        <f t="shared" si="59"/>
        <v>0</v>
      </c>
      <c r="N370" s="1648">
        <f t="shared" si="60"/>
        <v>0</v>
      </c>
      <c r="O370" s="1648">
        <f t="shared" si="61"/>
        <v>0</v>
      </c>
      <c r="P370" s="1648">
        <f t="shared" si="62"/>
        <v>47</v>
      </c>
      <c r="Q370" s="1648">
        <f t="shared" si="63"/>
        <v>4465</v>
      </c>
      <c r="R370" s="55">
        <f t="shared" si="64"/>
        <v>4465</v>
      </c>
      <c r="S370" s="55">
        <f t="shared" si="65"/>
        <v>0</v>
      </c>
    </row>
    <row r="371" spans="1:19" ht="45.75" customHeight="1">
      <c r="A371" s="1854">
        <v>48</v>
      </c>
      <c r="B371" s="1648">
        <f t="shared" si="55"/>
        <v>80</v>
      </c>
      <c r="C371" s="1863" t="s">
        <v>5477</v>
      </c>
      <c r="D371" s="1649">
        <f>ROUND(Data!K1690,2)</f>
        <v>55</v>
      </c>
      <c r="E371" s="1687" t="s">
        <v>729</v>
      </c>
      <c r="F371" s="1649">
        <f>'Detail '!I1267</f>
        <v>80</v>
      </c>
      <c r="G371" s="1648">
        <f t="shared" si="56"/>
        <v>4400</v>
      </c>
      <c r="H371" s="1648"/>
      <c r="I371" s="1648">
        <f t="shared" si="57"/>
        <v>0</v>
      </c>
      <c r="J371" s="1648"/>
      <c r="K371" s="1648">
        <f t="shared" si="58"/>
        <v>0</v>
      </c>
      <c r="L371" s="1648"/>
      <c r="M371" s="1648">
        <f t="shared" si="59"/>
        <v>0</v>
      </c>
      <c r="N371" s="1648">
        <f t="shared" si="60"/>
        <v>0</v>
      </c>
      <c r="O371" s="1648">
        <f t="shared" si="61"/>
        <v>0</v>
      </c>
      <c r="P371" s="1648">
        <f t="shared" si="62"/>
        <v>80</v>
      </c>
      <c r="Q371" s="1648">
        <f t="shared" si="63"/>
        <v>4400</v>
      </c>
      <c r="R371" s="55">
        <f t="shared" si="64"/>
        <v>4400</v>
      </c>
      <c r="S371" s="55">
        <f t="shared" si="65"/>
        <v>0</v>
      </c>
    </row>
    <row r="372" spans="1:19" ht="45.75" customHeight="1">
      <c r="A372" s="1854">
        <v>49</v>
      </c>
      <c r="B372" s="1648">
        <f t="shared" si="55"/>
        <v>140</v>
      </c>
      <c r="C372" s="1863" t="s">
        <v>5478</v>
      </c>
      <c r="D372" s="1649">
        <f>ROUND(Data!K1697,2)</f>
        <v>1.5</v>
      </c>
      <c r="E372" s="1687" t="s">
        <v>729</v>
      </c>
      <c r="F372" s="1649">
        <f>'Detail '!I1270</f>
        <v>140</v>
      </c>
      <c r="G372" s="1648">
        <f t="shared" si="56"/>
        <v>210</v>
      </c>
      <c r="H372" s="1648"/>
      <c r="I372" s="1648">
        <f t="shared" si="57"/>
        <v>0</v>
      </c>
      <c r="J372" s="1648"/>
      <c r="K372" s="1648">
        <f t="shared" si="58"/>
        <v>0</v>
      </c>
      <c r="L372" s="1648"/>
      <c r="M372" s="1648">
        <f t="shared" si="59"/>
        <v>0</v>
      </c>
      <c r="N372" s="1648">
        <f t="shared" si="60"/>
        <v>0</v>
      </c>
      <c r="O372" s="1648">
        <f t="shared" si="61"/>
        <v>0</v>
      </c>
      <c r="P372" s="1648">
        <f t="shared" si="62"/>
        <v>140</v>
      </c>
      <c r="Q372" s="1648">
        <f t="shared" si="63"/>
        <v>210</v>
      </c>
      <c r="R372" s="55">
        <f t="shared" si="64"/>
        <v>210</v>
      </c>
      <c r="S372" s="55">
        <f t="shared" si="65"/>
        <v>0</v>
      </c>
    </row>
    <row r="373" spans="1:19" ht="48" hidden="1" customHeight="1">
      <c r="A373" s="1854">
        <v>50.1</v>
      </c>
      <c r="B373" s="1648">
        <f t="shared" si="55"/>
        <v>0</v>
      </c>
      <c r="C373" s="1863" t="s">
        <v>5479</v>
      </c>
      <c r="D373" s="1649"/>
      <c r="E373" s="1687" t="s">
        <v>5324</v>
      </c>
      <c r="F373" s="1649"/>
      <c r="G373" s="1648">
        <f t="shared" si="56"/>
        <v>0</v>
      </c>
      <c r="H373" s="1648"/>
      <c r="I373" s="1648">
        <f t="shared" si="57"/>
        <v>0</v>
      </c>
      <c r="J373" s="1648"/>
      <c r="K373" s="1648">
        <f t="shared" si="58"/>
        <v>0</v>
      </c>
      <c r="L373" s="1648"/>
      <c r="M373" s="1648">
        <f t="shared" si="59"/>
        <v>0</v>
      </c>
      <c r="N373" s="1648">
        <f t="shared" si="60"/>
        <v>0</v>
      </c>
      <c r="O373" s="1648">
        <f t="shared" si="61"/>
        <v>0</v>
      </c>
      <c r="P373" s="1648">
        <f t="shared" si="62"/>
        <v>0</v>
      </c>
      <c r="Q373" s="1648">
        <f t="shared" si="63"/>
        <v>0</v>
      </c>
      <c r="R373" s="55">
        <f t="shared" si="64"/>
        <v>0</v>
      </c>
      <c r="S373" s="55">
        <f t="shared" si="65"/>
        <v>0</v>
      </c>
    </row>
    <row r="374" spans="1:19" ht="65.25" customHeight="1">
      <c r="A374" s="1854">
        <v>50.2</v>
      </c>
      <c r="B374" s="1648">
        <f t="shared" si="55"/>
        <v>86</v>
      </c>
      <c r="C374" s="1863" t="s">
        <v>3521</v>
      </c>
      <c r="D374" s="1649">
        <f>ROUND(Data!K1746,2)</f>
        <v>267.3</v>
      </c>
      <c r="E374" s="1687" t="s">
        <v>13</v>
      </c>
      <c r="F374" s="1649">
        <f>'Detail '!I2437</f>
        <v>86</v>
      </c>
      <c r="G374" s="1648">
        <f t="shared" si="56"/>
        <v>22987.8</v>
      </c>
      <c r="H374" s="1648"/>
      <c r="I374" s="1648">
        <f t="shared" si="57"/>
        <v>0</v>
      </c>
      <c r="J374" s="1648"/>
      <c r="K374" s="1648">
        <f t="shared" si="58"/>
        <v>0</v>
      </c>
      <c r="L374" s="1648"/>
      <c r="M374" s="1648">
        <f t="shared" si="59"/>
        <v>0</v>
      </c>
      <c r="N374" s="1648">
        <f t="shared" si="60"/>
        <v>0</v>
      </c>
      <c r="O374" s="1648">
        <f t="shared" si="61"/>
        <v>0</v>
      </c>
      <c r="P374" s="1648">
        <f t="shared" si="62"/>
        <v>86</v>
      </c>
      <c r="Q374" s="1648">
        <f t="shared" si="63"/>
        <v>22987.8</v>
      </c>
      <c r="R374" s="55">
        <f t="shared" si="64"/>
        <v>22987.8</v>
      </c>
      <c r="S374" s="55">
        <f t="shared" si="65"/>
        <v>0</v>
      </c>
    </row>
    <row r="375" spans="1:19" ht="49.5" customHeight="1">
      <c r="A375" s="1854">
        <v>50.3</v>
      </c>
      <c r="B375" s="1648">
        <f t="shared" si="55"/>
        <v>5</v>
      </c>
      <c r="C375" s="1863" t="s">
        <v>5480</v>
      </c>
      <c r="D375" s="1649">
        <f>ROUND(Data!K1762,2)</f>
        <v>367.23</v>
      </c>
      <c r="E375" s="1687" t="s">
        <v>729</v>
      </c>
      <c r="F375" s="1649">
        <f>'Detail '!I1274</f>
        <v>5</v>
      </c>
      <c r="G375" s="1648">
        <f t="shared" si="56"/>
        <v>1836.15</v>
      </c>
      <c r="H375" s="1648"/>
      <c r="I375" s="1648">
        <f t="shared" si="57"/>
        <v>0</v>
      </c>
      <c r="J375" s="1648"/>
      <c r="K375" s="1648">
        <f t="shared" si="58"/>
        <v>0</v>
      </c>
      <c r="L375" s="1648"/>
      <c r="M375" s="1648">
        <f t="shared" si="59"/>
        <v>0</v>
      </c>
      <c r="N375" s="1648">
        <f t="shared" si="60"/>
        <v>0</v>
      </c>
      <c r="O375" s="1648">
        <f t="shared" si="61"/>
        <v>0</v>
      </c>
      <c r="P375" s="1648">
        <f t="shared" si="62"/>
        <v>5</v>
      </c>
      <c r="Q375" s="1648">
        <f t="shared" si="63"/>
        <v>1836.15</v>
      </c>
      <c r="R375" s="55">
        <f t="shared" si="64"/>
        <v>1836.15</v>
      </c>
      <c r="S375" s="55">
        <f t="shared" si="65"/>
        <v>0</v>
      </c>
    </row>
    <row r="376" spans="1:19" ht="43.5" customHeight="1">
      <c r="A376" s="1854">
        <v>50.4</v>
      </c>
      <c r="B376" s="1648">
        <f t="shared" si="55"/>
        <v>5</v>
      </c>
      <c r="C376" s="1863" t="s">
        <v>5481</v>
      </c>
      <c r="D376" s="1649">
        <f>ROUND(Data!K1775,2)</f>
        <v>903.38</v>
      </c>
      <c r="E376" s="1687" t="s">
        <v>729</v>
      </c>
      <c r="F376" s="1649">
        <f>'Detail '!I1277</f>
        <v>5</v>
      </c>
      <c r="G376" s="1648">
        <f t="shared" si="56"/>
        <v>4516.8999999999996</v>
      </c>
      <c r="H376" s="1648"/>
      <c r="I376" s="1648">
        <f t="shared" si="57"/>
        <v>0</v>
      </c>
      <c r="J376" s="1648"/>
      <c r="K376" s="1648">
        <f t="shared" si="58"/>
        <v>0</v>
      </c>
      <c r="L376" s="1648"/>
      <c r="M376" s="1648">
        <f t="shared" si="59"/>
        <v>0</v>
      </c>
      <c r="N376" s="1648">
        <f t="shared" si="60"/>
        <v>0</v>
      </c>
      <c r="O376" s="1648">
        <f t="shared" si="61"/>
        <v>0</v>
      </c>
      <c r="P376" s="1648">
        <f t="shared" si="62"/>
        <v>5</v>
      </c>
      <c r="Q376" s="1648">
        <f t="shared" si="63"/>
        <v>4516.8999999999996</v>
      </c>
      <c r="R376" s="55">
        <f t="shared" si="64"/>
        <v>4516.8999999999996</v>
      </c>
      <c r="S376" s="55">
        <f t="shared" si="65"/>
        <v>0</v>
      </c>
    </row>
    <row r="377" spans="1:19" ht="62.25" customHeight="1">
      <c r="A377" s="1854">
        <v>50.5</v>
      </c>
      <c r="B377" s="1648">
        <f t="shared" si="55"/>
        <v>1</v>
      </c>
      <c r="C377" s="1863" t="s">
        <v>5482</v>
      </c>
      <c r="D377" s="1649">
        <f>ROUND(Data!K1790,2)</f>
        <v>19544.189999999999</v>
      </c>
      <c r="E377" s="1687" t="s">
        <v>729</v>
      </c>
      <c r="F377" s="1649">
        <f>'Detail '!I1280</f>
        <v>1</v>
      </c>
      <c r="G377" s="1648">
        <f t="shared" si="56"/>
        <v>19544.189999999999</v>
      </c>
      <c r="H377" s="1648"/>
      <c r="I377" s="1648">
        <f t="shared" si="57"/>
        <v>0</v>
      </c>
      <c r="J377" s="1648"/>
      <c r="K377" s="1648">
        <f t="shared" si="58"/>
        <v>0</v>
      </c>
      <c r="L377" s="1648"/>
      <c r="M377" s="1648">
        <f t="shared" si="59"/>
        <v>0</v>
      </c>
      <c r="N377" s="1648">
        <f t="shared" si="60"/>
        <v>0</v>
      </c>
      <c r="O377" s="1648">
        <f t="shared" si="61"/>
        <v>0</v>
      </c>
      <c r="P377" s="1648">
        <f t="shared" si="62"/>
        <v>1</v>
      </c>
      <c r="Q377" s="1648">
        <f t="shared" si="63"/>
        <v>19544.189999999999</v>
      </c>
      <c r="R377" s="55">
        <f t="shared" si="64"/>
        <v>19544.189999999999</v>
      </c>
      <c r="S377" s="55">
        <f t="shared" si="65"/>
        <v>0</v>
      </c>
    </row>
    <row r="378" spans="1:19" ht="53.25" hidden="1" customHeight="1">
      <c r="A378" s="1854">
        <v>51</v>
      </c>
      <c r="B378" s="1648">
        <f t="shared" si="55"/>
        <v>0</v>
      </c>
      <c r="C378" s="1863" t="s">
        <v>5483</v>
      </c>
      <c r="D378" s="1649">
        <f>ROUND(Data!K1796,2)</f>
        <v>7035</v>
      </c>
      <c r="E378" s="1687" t="s">
        <v>729</v>
      </c>
      <c r="F378" s="1649"/>
      <c r="G378" s="1648">
        <f t="shared" si="56"/>
        <v>0</v>
      </c>
      <c r="H378" s="1648"/>
      <c r="I378" s="1648">
        <f t="shared" si="57"/>
        <v>0</v>
      </c>
      <c r="J378" s="1648"/>
      <c r="K378" s="1648">
        <f t="shared" si="58"/>
        <v>0</v>
      </c>
      <c r="L378" s="1648"/>
      <c r="M378" s="1648">
        <f t="shared" si="59"/>
        <v>0</v>
      </c>
      <c r="N378" s="1648">
        <f t="shared" si="60"/>
        <v>0</v>
      </c>
      <c r="O378" s="1648">
        <f t="shared" si="61"/>
        <v>0</v>
      </c>
      <c r="P378" s="1648">
        <f t="shared" si="62"/>
        <v>0</v>
      </c>
      <c r="Q378" s="1648">
        <f t="shared" si="63"/>
        <v>0</v>
      </c>
      <c r="R378" s="55">
        <f t="shared" si="64"/>
        <v>0</v>
      </c>
      <c r="S378" s="55">
        <f t="shared" si="65"/>
        <v>0</v>
      </c>
    </row>
    <row r="379" spans="1:19" s="57" customFormat="1" ht="43.5" customHeight="1">
      <c r="A379" s="1854">
        <v>52</v>
      </c>
      <c r="B379" s="1648">
        <f t="shared" si="55"/>
        <v>0</v>
      </c>
      <c r="C379" s="1864" t="s">
        <v>5484</v>
      </c>
      <c r="D379" s="1649"/>
      <c r="E379" s="1687"/>
      <c r="F379" s="1649"/>
      <c r="G379" s="1648">
        <f t="shared" si="56"/>
        <v>0</v>
      </c>
      <c r="H379" s="1648"/>
      <c r="I379" s="1648">
        <f t="shared" si="57"/>
        <v>0</v>
      </c>
      <c r="J379" s="1648"/>
      <c r="K379" s="1648">
        <f t="shared" si="58"/>
        <v>0</v>
      </c>
      <c r="L379" s="1648"/>
      <c r="M379" s="1648">
        <f t="shared" si="59"/>
        <v>0</v>
      </c>
      <c r="N379" s="1648">
        <f t="shared" si="60"/>
        <v>0</v>
      </c>
      <c r="O379" s="1648">
        <f t="shared" si="61"/>
        <v>0</v>
      </c>
      <c r="P379" s="1648">
        <f t="shared" si="62"/>
        <v>0</v>
      </c>
      <c r="Q379" s="1648">
        <f t="shared" si="63"/>
        <v>0</v>
      </c>
      <c r="R379" s="55">
        <f t="shared" si="64"/>
        <v>0</v>
      </c>
      <c r="S379" s="55">
        <f t="shared" si="65"/>
        <v>0</v>
      </c>
    </row>
    <row r="380" spans="1:19" s="57" customFormat="1" ht="43.5" customHeight="1">
      <c r="A380" s="1687"/>
      <c r="B380" s="1648">
        <f t="shared" si="55"/>
        <v>175.3</v>
      </c>
      <c r="C380" s="1863" t="s">
        <v>5485</v>
      </c>
      <c r="D380" s="1649">
        <v>261.45999999999998</v>
      </c>
      <c r="E380" s="1687" t="s">
        <v>13</v>
      </c>
      <c r="F380" s="1649">
        <f>'Detail '!I1287</f>
        <v>175.3</v>
      </c>
      <c r="G380" s="1648">
        <f t="shared" si="56"/>
        <v>45833.94</v>
      </c>
      <c r="H380" s="1648"/>
      <c r="I380" s="1648">
        <f t="shared" si="57"/>
        <v>0</v>
      </c>
      <c r="J380" s="1648"/>
      <c r="K380" s="1648">
        <f t="shared" si="58"/>
        <v>0</v>
      </c>
      <c r="L380" s="1648"/>
      <c r="M380" s="1648">
        <f t="shared" si="59"/>
        <v>0</v>
      </c>
      <c r="N380" s="1648">
        <f t="shared" si="60"/>
        <v>0</v>
      </c>
      <c r="O380" s="1648">
        <f t="shared" si="61"/>
        <v>0</v>
      </c>
      <c r="P380" s="1648">
        <f t="shared" si="62"/>
        <v>175.3</v>
      </c>
      <c r="Q380" s="1648">
        <f t="shared" si="63"/>
        <v>45833.94</v>
      </c>
      <c r="R380" s="55">
        <f t="shared" si="64"/>
        <v>45833.94</v>
      </c>
      <c r="S380" s="55">
        <f t="shared" si="65"/>
        <v>0</v>
      </c>
    </row>
    <row r="381" spans="1:19" s="57" customFormat="1" ht="43.5" customHeight="1">
      <c r="A381" s="1687"/>
      <c r="B381" s="1648">
        <f t="shared" si="55"/>
        <v>158</v>
      </c>
      <c r="C381" s="1863" t="s">
        <v>5486</v>
      </c>
      <c r="D381" s="1649">
        <v>243.43</v>
      </c>
      <c r="E381" s="1687" t="s">
        <v>13</v>
      </c>
      <c r="F381" s="1649">
        <f>'Detail '!I1296</f>
        <v>158</v>
      </c>
      <c r="G381" s="1648">
        <f t="shared" si="56"/>
        <v>38461.94</v>
      </c>
      <c r="H381" s="1648"/>
      <c r="I381" s="1648">
        <f t="shared" si="57"/>
        <v>0</v>
      </c>
      <c r="J381" s="1648"/>
      <c r="K381" s="1648">
        <f t="shared" si="58"/>
        <v>0</v>
      </c>
      <c r="L381" s="1648"/>
      <c r="M381" s="1648">
        <f t="shared" si="59"/>
        <v>0</v>
      </c>
      <c r="N381" s="1648">
        <f t="shared" si="60"/>
        <v>0</v>
      </c>
      <c r="O381" s="1648">
        <f t="shared" si="61"/>
        <v>0</v>
      </c>
      <c r="P381" s="1648">
        <f t="shared" si="62"/>
        <v>158</v>
      </c>
      <c r="Q381" s="1648">
        <f t="shared" si="63"/>
        <v>38461.94</v>
      </c>
      <c r="R381" s="55">
        <f t="shared" si="64"/>
        <v>38461.94</v>
      </c>
      <c r="S381" s="55">
        <f t="shared" si="65"/>
        <v>0</v>
      </c>
    </row>
    <row r="382" spans="1:19" ht="41.25" hidden="1" customHeight="1">
      <c r="A382" s="1688"/>
      <c r="B382" s="1648">
        <f t="shared" si="55"/>
        <v>0</v>
      </c>
      <c r="C382" s="1863" t="s">
        <v>5487</v>
      </c>
      <c r="D382" s="1649">
        <v>238.64</v>
      </c>
      <c r="E382" s="1687" t="s">
        <v>13</v>
      </c>
      <c r="F382" s="1649"/>
      <c r="G382" s="1648">
        <f t="shared" si="56"/>
        <v>0</v>
      </c>
      <c r="H382" s="1648"/>
      <c r="I382" s="1648">
        <f t="shared" si="57"/>
        <v>0</v>
      </c>
      <c r="J382" s="1648"/>
      <c r="K382" s="1648">
        <f t="shared" si="58"/>
        <v>0</v>
      </c>
      <c r="L382" s="1648"/>
      <c r="M382" s="1648">
        <f t="shared" si="59"/>
        <v>0</v>
      </c>
      <c r="N382" s="1648">
        <f t="shared" si="60"/>
        <v>0</v>
      </c>
      <c r="O382" s="1648">
        <f t="shared" si="61"/>
        <v>0</v>
      </c>
      <c r="P382" s="1648">
        <f t="shared" si="62"/>
        <v>0</v>
      </c>
      <c r="Q382" s="1648">
        <f t="shared" si="63"/>
        <v>0</v>
      </c>
      <c r="R382" s="55">
        <f t="shared" si="64"/>
        <v>0</v>
      </c>
      <c r="S382" s="55">
        <f t="shared" si="65"/>
        <v>0</v>
      </c>
    </row>
    <row r="383" spans="1:19" ht="60" customHeight="1">
      <c r="A383" s="1854">
        <v>52.1</v>
      </c>
      <c r="B383" s="1648">
        <f t="shared" si="55"/>
        <v>94</v>
      </c>
      <c r="C383" s="1863" t="s">
        <v>3531</v>
      </c>
      <c r="D383" s="1649">
        <v>322.48</v>
      </c>
      <c r="E383" s="1687" t="s">
        <v>13</v>
      </c>
      <c r="F383" s="1649">
        <f>'Detail '!I1299</f>
        <v>94</v>
      </c>
      <c r="G383" s="1648">
        <f t="shared" si="56"/>
        <v>30313.119999999999</v>
      </c>
      <c r="H383" s="1648"/>
      <c r="I383" s="1648">
        <f t="shared" si="57"/>
        <v>0</v>
      </c>
      <c r="J383" s="1648"/>
      <c r="K383" s="1648">
        <f t="shared" si="58"/>
        <v>0</v>
      </c>
      <c r="L383" s="1648"/>
      <c r="M383" s="1648">
        <f t="shared" si="59"/>
        <v>0</v>
      </c>
      <c r="N383" s="1648">
        <f t="shared" si="60"/>
        <v>0</v>
      </c>
      <c r="O383" s="1648">
        <f t="shared" si="61"/>
        <v>0</v>
      </c>
      <c r="P383" s="1648">
        <f t="shared" si="62"/>
        <v>94</v>
      </c>
      <c r="Q383" s="1648">
        <f t="shared" si="63"/>
        <v>30313.119999999999</v>
      </c>
      <c r="R383" s="55">
        <f t="shared" si="64"/>
        <v>30313.119999999999</v>
      </c>
      <c r="S383" s="55">
        <f t="shared" si="65"/>
        <v>0</v>
      </c>
    </row>
    <row r="384" spans="1:19" ht="56.25" customHeight="1">
      <c r="A384" s="1854">
        <v>53.1</v>
      </c>
      <c r="B384" s="1648">
        <f t="shared" si="55"/>
        <v>29</v>
      </c>
      <c r="C384" s="1863" t="s">
        <v>5488</v>
      </c>
      <c r="D384" s="1649">
        <v>3406.02</v>
      </c>
      <c r="E384" s="1687" t="s">
        <v>729</v>
      </c>
      <c r="F384" s="1649">
        <f>'Detail '!I2479</f>
        <v>29</v>
      </c>
      <c r="G384" s="1648">
        <f t="shared" si="56"/>
        <v>98774.58</v>
      </c>
      <c r="H384" s="1648"/>
      <c r="I384" s="1648">
        <f t="shared" si="57"/>
        <v>0</v>
      </c>
      <c r="J384" s="1648"/>
      <c r="K384" s="1648">
        <f t="shared" si="58"/>
        <v>0</v>
      </c>
      <c r="L384" s="1648"/>
      <c r="M384" s="1648">
        <f t="shared" si="59"/>
        <v>0</v>
      </c>
      <c r="N384" s="1648">
        <f t="shared" si="60"/>
        <v>0</v>
      </c>
      <c r="O384" s="1648">
        <f t="shared" si="61"/>
        <v>0</v>
      </c>
      <c r="P384" s="1648">
        <f t="shared" si="62"/>
        <v>29</v>
      </c>
      <c r="Q384" s="1648">
        <f t="shared" si="63"/>
        <v>98774.58</v>
      </c>
      <c r="R384" s="55">
        <f t="shared" si="64"/>
        <v>98774.58</v>
      </c>
      <c r="S384" s="55">
        <f t="shared" si="65"/>
        <v>0</v>
      </c>
    </row>
    <row r="385" spans="1:19" ht="43.5" hidden="1" customHeight="1">
      <c r="A385" s="1854">
        <v>53.2</v>
      </c>
      <c r="B385" s="1648">
        <f t="shared" si="55"/>
        <v>0</v>
      </c>
      <c r="C385" s="1863" t="s">
        <v>5489</v>
      </c>
      <c r="D385" s="1649"/>
      <c r="E385" s="1687" t="s">
        <v>729</v>
      </c>
      <c r="F385" s="1649"/>
      <c r="G385" s="1648">
        <f t="shared" si="56"/>
        <v>0</v>
      </c>
      <c r="H385" s="1648"/>
      <c r="I385" s="1648">
        <f t="shared" si="57"/>
        <v>0</v>
      </c>
      <c r="J385" s="1648"/>
      <c r="K385" s="1648">
        <f t="shared" si="58"/>
        <v>0</v>
      </c>
      <c r="L385" s="1648"/>
      <c r="M385" s="1648">
        <f t="shared" si="59"/>
        <v>0</v>
      </c>
      <c r="N385" s="1648">
        <f t="shared" si="60"/>
        <v>0</v>
      </c>
      <c r="O385" s="1648">
        <f t="shared" si="61"/>
        <v>0</v>
      </c>
      <c r="P385" s="1648">
        <f t="shared" si="62"/>
        <v>0</v>
      </c>
      <c r="Q385" s="1648">
        <f t="shared" si="63"/>
        <v>0</v>
      </c>
      <c r="R385" s="55">
        <f t="shared" si="64"/>
        <v>0</v>
      </c>
      <c r="S385" s="55">
        <f t="shared" si="65"/>
        <v>0</v>
      </c>
    </row>
    <row r="386" spans="1:19" ht="45.75" customHeight="1">
      <c r="A386" s="1854">
        <v>53.3</v>
      </c>
      <c r="B386" s="1648">
        <f t="shared" si="55"/>
        <v>14</v>
      </c>
      <c r="C386" s="1863" t="s">
        <v>3532</v>
      </c>
      <c r="D386" s="1649">
        <f>ROUND(Data!K1952,2)</f>
        <v>30</v>
      </c>
      <c r="E386" s="1687" t="s">
        <v>729</v>
      </c>
      <c r="F386" s="1649">
        <f>'Detail '!I1301</f>
        <v>4</v>
      </c>
      <c r="G386" s="1648">
        <f t="shared" si="56"/>
        <v>120</v>
      </c>
      <c r="H386" s="1648"/>
      <c r="I386" s="1648">
        <f t="shared" si="57"/>
        <v>0</v>
      </c>
      <c r="J386" s="1648">
        <f>Sump!I40</f>
        <v>10</v>
      </c>
      <c r="K386" s="1648">
        <f t="shared" si="58"/>
        <v>300</v>
      </c>
      <c r="L386" s="1648"/>
      <c r="M386" s="1648">
        <f t="shared" si="59"/>
        <v>0</v>
      </c>
      <c r="N386" s="1648">
        <f t="shared" si="60"/>
        <v>10</v>
      </c>
      <c r="O386" s="1648">
        <f t="shared" si="61"/>
        <v>300</v>
      </c>
      <c r="P386" s="1648">
        <f t="shared" si="62"/>
        <v>14</v>
      </c>
      <c r="Q386" s="1648">
        <f t="shared" si="63"/>
        <v>420</v>
      </c>
      <c r="R386" s="55">
        <f t="shared" si="64"/>
        <v>420</v>
      </c>
      <c r="S386" s="55">
        <f t="shared" si="65"/>
        <v>0</v>
      </c>
    </row>
    <row r="387" spans="1:19" ht="25.5" hidden="1" customHeight="1">
      <c r="A387" s="1693">
        <v>54</v>
      </c>
      <c r="B387" s="1648">
        <f t="shared" si="55"/>
        <v>0</v>
      </c>
      <c r="C387" s="1863" t="s">
        <v>5490</v>
      </c>
      <c r="D387" s="1649">
        <f>ROUND(Data!K1954,2)</f>
        <v>206</v>
      </c>
      <c r="E387" s="1687" t="s">
        <v>729</v>
      </c>
      <c r="F387" s="1649"/>
      <c r="G387" s="1648">
        <f t="shared" si="56"/>
        <v>0</v>
      </c>
      <c r="H387" s="1648"/>
      <c r="I387" s="1648">
        <f t="shared" si="57"/>
        <v>0</v>
      </c>
      <c r="J387" s="1648"/>
      <c r="K387" s="1648">
        <f t="shared" si="58"/>
        <v>0</v>
      </c>
      <c r="L387" s="1648"/>
      <c r="M387" s="1648">
        <f t="shared" si="59"/>
        <v>0</v>
      </c>
      <c r="N387" s="1648">
        <f t="shared" si="60"/>
        <v>0</v>
      </c>
      <c r="O387" s="1648">
        <f t="shared" si="61"/>
        <v>0</v>
      </c>
      <c r="P387" s="1648">
        <f t="shared" si="62"/>
        <v>0</v>
      </c>
      <c r="Q387" s="1648">
        <f t="shared" si="63"/>
        <v>0</v>
      </c>
      <c r="R387" s="55">
        <f t="shared" si="64"/>
        <v>0</v>
      </c>
      <c r="S387" s="55">
        <f t="shared" si="65"/>
        <v>0</v>
      </c>
    </row>
    <row r="388" spans="1:19" ht="36.75" hidden="1" customHeight="1">
      <c r="A388" s="1854">
        <v>54.1</v>
      </c>
      <c r="B388" s="1648">
        <f t="shared" si="55"/>
        <v>0</v>
      </c>
      <c r="C388" s="1863" t="s">
        <v>5491</v>
      </c>
      <c r="D388" s="1649">
        <f>ROUND(Data!K1957,2)</f>
        <v>300</v>
      </c>
      <c r="E388" s="1687" t="s">
        <v>729</v>
      </c>
      <c r="F388" s="1649"/>
      <c r="G388" s="1648">
        <f t="shared" si="56"/>
        <v>0</v>
      </c>
      <c r="H388" s="1648"/>
      <c r="I388" s="1648">
        <f t="shared" si="57"/>
        <v>0</v>
      </c>
      <c r="J388" s="1648"/>
      <c r="K388" s="1648">
        <f t="shared" si="58"/>
        <v>0</v>
      </c>
      <c r="L388" s="1648"/>
      <c r="M388" s="1648">
        <f t="shared" si="59"/>
        <v>0</v>
      </c>
      <c r="N388" s="1648">
        <f t="shared" si="60"/>
        <v>0</v>
      </c>
      <c r="O388" s="1648">
        <f t="shared" si="61"/>
        <v>0</v>
      </c>
      <c r="P388" s="1648">
        <f t="shared" si="62"/>
        <v>0</v>
      </c>
      <c r="Q388" s="1648">
        <f t="shared" si="63"/>
        <v>0</v>
      </c>
      <c r="R388" s="55">
        <f t="shared" si="64"/>
        <v>0</v>
      </c>
      <c r="S388" s="55">
        <f t="shared" si="65"/>
        <v>0</v>
      </c>
    </row>
    <row r="389" spans="1:19" ht="36.75" hidden="1" customHeight="1">
      <c r="A389" s="1854">
        <v>54.2</v>
      </c>
      <c r="B389" s="1648">
        <f t="shared" si="55"/>
        <v>0</v>
      </c>
      <c r="C389" s="1863" t="s">
        <v>5492</v>
      </c>
      <c r="D389" s="1649">
        <f>ROUND(Data!K1960,2)</f>
        <v>250</v>
      </c>
      <c r="E389" s="1687" t="s">
        <v>729</v>
      </c>
      <c r="F389" s="1649"/>
      <c r="G389" s="1648">
        <f t="shared" si="56"/>
        <v>0</v>
      </c>
      <c r="H389" s="1648"/>
      <c r="I389" s="1648">
        <f t="shared" si="57"/>
        <v>0</v>
      </c>
      <c r="J389" s="1648"/>
      <c r="K389" s="1648">
        <f t="shared" si="58"/>
        <v>0</v>
      </c>
      <c r="L389" s="1648"/>
      <c r="M389" s="1648">
        <f t="shared" si="59"/>
        <v>0</v>
      </c>
      <c r="N389" s="1648">
        <f t="shared" si="60"/>
        <v>0</v>
      </c>
      <c r="O389" s="1648">
        <f t="shared" si="61"/>
        <v>0</v>
      </c>
      <c r="P389" s="1648">
        <f t="shared" si="62"/>
        <v>0</v>
      </c>
      <c r="Q389" s="1648">
        <f t="shared" si="63"/>
        <v>0</v>
      </c>
      <c r="R389" s="55">
        <f t="shared" si="64"/>
        <v>0</v>
      </c>
      <c r="S389" s="55">
        <f t="shared" si="65"/>
        <v>0</v>
      </c>
    </row>
    <row r="390" spans="1:19" ht="25.5" hidden="1" customHeight="1">
      <c r="A390" s="1854">
        <v>55.1</v>
      </c>
      <c r="B390" s="1648">
        <f t="shared" ref="B390:B453" si="66">P390</f>
        <v>0</v>
      </c>
      <c r="C390" s="1863" t="s">
        <v>5493</v>
      </c>
      <c r="D390" s="1649">
        <f>Data!K2403</f>
        <v>905.27</v>
      </c>
      <c r="E390" s="1687" t="s">
        <v>729</v>
      </c>
      <c r="F390" s="1649"/>
      <c r="G390" s="1648">
        <f t="shared" ref="G390:G453" si="67">F390*D390</f>
        <v>0</v>
      </c>
      <c r="H390" s="1648"/>
      <c r="I390" s="1648">
        <f t="shared" ref="I390:I453" si="68">H390*D390</f>
        <v>0</v>
      </c>
      <c r="J390" s="1648"/>
      <c r="K390" s="1648">
        <f t="shared" ref="K390:K453" si="69">J390*D390</f>
        <v>0</v>
      </c>
      <c r="L390" s="1648"/>
      <c r="M390" s="1648">
        <f t="shared" ref="M390:M453" si="70">L390*D390</f>
        <v>0</v>
      </c>
      <c r="N390" s="1648">
        <f t="shared" ref="N390:N453" si="71">H390+J390+L390</f>
        <v>0</v>
      </c>
      <c r="O390" s="1648">
        <f t="shared" ref="O390:O453" si="72">N390*D390</f>
        <v>0</v>
      </c>
      <c r="P390" s="1648">
        <f t="shared" ref="P390:P453" si="73">N390+F390</f>
        <v>0</v>
      </c>
      <c r="Q390" s="1648">
        <f t="shared" ref="Q390:Q453" si="74">P390*D390</f>
        <v>0</v>
      </c>
      <c r="R390" s="55">
        <f t="shared" ref="R390:R453" si="75">G390+I390+K390+M390</f>
        <v>0</v>
      </c>
      <c r="S390" s="55">
        <f t="shared" ref="S390:S453" si="76">Q390-R390</f>
        <v>0</v>
      </c>
    </row>
    <row r="391" spans="1:19" ht="45.75" hidden="1" customHeight="1">
      <c r="A391" s="1854">
        <v>55.2</v>
      </c>
      <c r="B391" s="1648">
        <f t="shared" si="66"/>
        <v>0</v>
      </c>
      <c r="C391" s="1863" t="s">
        <v>5494</v>
      </c>
      <c r="D391" s="1649">
        <f>Data!K2415</f>
        <v>2252.5500000000002</v>
      </c>
      <c r="E391" s="1687" t="s">
        <v>729</v>
      </c>
      <c r="F391" s="1649"/>
      <c r="G391" s="1648">
        <f t="shared" si="67"/>
        <v>0</v>
      </c>
      <c r="H391" s="1648"/>
      <c r="I391" s="1648">
        <f t="shared" si="68"/>
        <v>0</v>
      </c>
      <c r="J391" s="1648"/>
      <c r="K391" s="1648">
        <f t="shared" si="69"/>
        <v>0</v>
      </c>
      <c r="L391" s="1648"/>
      <c r="M391" s="1648">
        <f t="shared" si="70"/>
        <v>0</v>
      </c>
      <c r="N391" s="1648">
        <f t="shared" si="71"/>
        <v>0</v>
      </c>
      <c r="O391" s="1648">
        <f t="shared" si="72"/>
        <v>0</v>
      </c>
      <c r="P391" s="1648">
        <f t="shared" si="73"/>
        <v>0</v>
      </c>
      <c r="Q391" s="1648">
        <f t="shared" si="74"/>
        <v>0</v>
      </c>
      <c r="R391" s="55">
        <f t="shared" si="75"/>
        <v>0</v>
      </c>
      <c r="S391" s="55">
        <f t="shared" si="76"/>
        <v>0</v>
      </c>
    </row>
    <row r="392" spans="1:19" ht="25.5" hidden="1" customHeight="1">
      <c r="A392" s="1854">
        <v>56.1</v>
      </c>
      <c r="B392" s="1648">
        <f t="shared" si="66"/>
        <v>0</v>
      </c>
      <c r="C392" s="1863" t="s">
        <v>5495</v>
      </c>
      <c r="D392" s="1649">
        <f>ROUND(Data!K1977,2)</f>
        <v>3445.38</v>
      </c>
      <c r="E392" s="1687" t="s">
        <v>729</v>
      </c>
      <c r="F392" s="1649"/>
      <c r="G392" s="1648">
        <f t="shared" si="67"/>
        <v>0</v>
      </c>
      <c r="H392" s="1648"/>
      <c r="I392" s="1648">
        <f t="shared" si="68"/>
        <v>0</v>
      </c>
      <c r="J392" s="1648"/>
      <c r="K392" s="1648">
        <f t="shared" si="69"/>
        <v>0</v>
      </c>
      <c r="L392" s="1648"/>
      <c r="M392" s="1648">
        <f t="shared" si="70"/>
        <v>0</v>
      </c>
      <c r="N392" s="1648">
        <f t="shared" si="71"/>
        <v>0</v>
      </c>
      <c r="O392" s="1648">
        <f t="shared" si="72"/>
        <v>0</v>
      </c>
      <c r="P392" s="1648">
        <f t="shared" si="73"/>
        <v>0</v>
      </c>
      <c r="Q392" s="1648">
        <f t="shared" si="74"/>
        <v>0</v>
      </c>
      <c r="R392" s="55">
        <f t="shared" si="75"/>
        <v>0</v>
      </c>
      <c r="S392" s="55">
        <f t="shared" si="76"/>
        <v>0</v>
      </c>
    </row>
    <row r="393" spans="1:19" ht="25.5" hidden="1" customHeight="1">
      <c r="A393" s="1854">
        <v>56.2</v>
      </c>
      <c r="B393" s="1648">
        <f t="shared" si="66"/>
        <v>0</v>
      </c>
      <c r="C393" s="1863" t="s">
        <v>5496</v>
      </c>
      <c r="D393" s="1649">
        <f>ROUND(Data!K1998,2)</f>
        <v>5359.56</v>
      </c>
      <c r="E393" s="1687" t="s">
        <v>729</v>
      </c>
      <c r="F393" s="1649"/>
      <c r="G393" s="1648">
        <f t="shared" si="67"/>
        <v>0</v>
      </c>
      <c r="H393" s="1648"/>
      <c r="I393" s="1648">
        <f t="shared" si="68"/>
        <v>0</v>
      </c>
      <c r="J393" s="1648"/>
      <c r="K393" s="1648">
        <f t="shared" si="69"/>
        <v>0</v>
      </c>
      <c r="L393" s="1648"/>
      <c r="M393" s="1648">
        <f t="shared" si="70"/>
        <v>0</v>
      </c>
      <c r="N393" s="1648">
        <f t="shared" si="71"/>
        <v>0</v>
      </c>
      <c r="O393" s="1648">
        <f t="shared" si="72"/>
        <v>0</v>
      </c>
      <c r="P393" s="1648">
        <f t="shared" si="73"/>
        <v>0</v>
      </c>
      <c r="Q393" s="1648">
        <f t="shared" si="74"/>
        <v>0</v>
      </c>
      <c r="R393" s="55">
        <f t="shared" si="75"/>
        <v>0</v>
      </c>
      <c r="S393" s="55">
        <f t="shared" si="76"/>
        <v>0</v>
      </c>
    </row>
    <row r="394" spans="1:19" ht="41.25" hidden="1" customHeight="1">
      <c r="A394" s="1693">
        <v>57</v>
      </c>
      <c r="B394" s="1648">
        <f t="shared" si="66"/>
        <v>0</v>
      </c>
      <c r="C394" s="1863" t="s">
        <v>5497</v>
      </c>
      <c r="D394" s="1649">
        <f>ROUND(Data!K2015,2)</f>
        <v>7287.75</v>
      </c>
      <c r="E394" s="1687" t="s">
        <v>729</v>
      </c>
      <c r="F394" s="1649"/>
      <c r="G394" s="1648">
        <f t="shared" si="67"/>
        <v>0</v>
      </c>
      <c r="H394" s="1648"/>
      <c r="I394" s="1648">
        <f t="shared" si="68"/>
        <v>0</v>
      </c>
      <c r="J394" s="1648"/>
      <c r="K394" s="1648">
        <f t="shared" si="69"/>
        <v>0</v>
      </c>
      <c r="L394" s="1648"/>
      <c r="M394" s="1648">
        <f t="shared" si="70"/>
        <v>0</v>
      </c>
      <c r="N394" s="1648">
        <f t="shared" si="71"/>
        <v>0</v>
      </c>
      <c r="O394" s="1648">
        <f t="shared" si="72"/>
        <v>0</v>
      </c>
      <c r="P394" s="1648">
        <f t="shared" si="73"/>
        <v>0</v>
      </c>
      <c r="Q394" s="1648">
        <f t="shared" si="74"/>
        <v>0</v>
      </c>
      <c r="R394" s="55">
        <f t="shared" si="75"/>
        <v>0</v>
      </c>
      <c r="S394" s="55">
        <f t="shared" si="76"/>
        <v>0</v>
      </c>
    </row>
    <row r="395" spans="1:19" ht="45.75" hidden="1" customHeight="1">
      <c r="A395" s="1854">
        <v>57.1</v>
      </c>
      <c r="B395" s="1648">
        <f t="shared" si="66"/>
        <v>0</v>
      </c>
      <c r="C395" s="1863" t="s">
        <v>5498</v>
      </c>
      <c r="D395" s="1649">
        <f>ROUND(Data!K2034,2)</f>
        <v>7681.75</v>
      </c>
      <c r="E395" s="1687" t="s">
        <v>729</v>
      </c>
      <c r="F395" s="1649"/>
      <c r="G395" s="1648">
        <f t="shared" si="67"/>
        <v>0</v>
      </c>
      <c r="H395" s="1648"/>
      <c r="I395" s="1648">
        <f t="shared" si="68"/>
        <v>0</v>
      </c>
      <c r="J395" s="1648"/>
      <c r="K395" s="1648">
        <f t="shared" si="69"/>
        <v>0</v>
      </c>
      <c r="L395" s="1648"/>
      <c r="M395" s="1648">
        <f t="shared" si="70"/>
        <v>0</v>
      </c>
      <c r="N395" s="1648">
        <f t="shared" si="71"/>
        <v>0</v>
      </c>
      <c r="O395" s="1648">
        <f t="shared" si="72"/>
        <v>0</v>
      </c>
      <c r="P395" s="1648">
        <f t="shared" si="73"/>
        <v>0</v>
      </c>
      <c r="Q395" s="1648">
        <f t="shared" si="74"/>
        <v>0</v>
      </c>
      <c r="R395" s="55">
        <f t="shared" si="75"/>
        <v>0</v>
      </c>
      <c r="S395" s="55">
        <f t="shared" si="76"/>
        <v>0</v>
      </c>
    </row>
    <row r="396" spans="1:19" ht="40.5" customHeight="1">
      <c r="A396" s="1854">
        <v>58.1</v>
      </c>
      <c r="B396" s="1648">
        <f t="shared" si="66"/>
        <v>0</v>
      </c>
      <c r="C396" s="1863" t="s">
        <v>5499</v>
      </c>
      <c r="D396" s="1649"/>
      <c r="E396" s="1687"/>
      <c r="F396" s="1649"/>
      <c r="G396" s="1648">
        <f t="shared" si="67"/>
        <v>0</v>
      </c>
      <c r="H396" s="1648"/>
      <c r="I396" s="1648">
        <f t="shared" si="68"/>
        <v>0</v>
      </c>
      <c r="J396" s="1648"/>
      <c r="K396" s="1648">
        <f t="shared" si="69"/>
        <v>0</v>
      </c>
      <c r="L396" s="1648"/>
      <c r="M396" s="1648">
        <f t="shared" si="70"/>
        <v>0</v>
      </c>
      <c r="N396" s="1648">
        <f t="shared" si="71"/>
        <v>0</v>
      </c>
      <c r="O396" s="1648">
        <f t="shared" si="72"/>
        <v>0</v>
      </c>
      <c r="P396" s="1648">
        <f t="shared" si="73"/>
        <v>0</v>
      </c>
      <c r="Q396" s="1648">
        <f t="shared" si="74"/>
        <v>0</v>
      </c>
      <c r="R396" s="55">
        <f t="shared" si="75"/>
        <v>0</v>
      </c>
      <c r="S396" s="55">
        <f t="shared" si="76"/>
        <v>0</v>
      </c>
    </row>
    <row r="397" spans="1:19" ht="40.5" customHeight="1">
      <c r="A397" s="1687"/>
      <c r="B397" s="1648">
        <f t="shared" si="66"/>
        <v>308.39999999999998</v>
      </c>
      <c r="C397" s="1863" t="s">
        <v>5500</v>
      </c>
      <c r="D397" s="1649">
        <f>ROUND(Data!K2063,2)</f>
        <v>735.27</v>
      </c>
      <c r="E397" s="1687" t="s">
        <v>13</v>
      </c>
      <c r="F397" s="1649">
        <f>'Detail '!I1234</f>
        <v>308.39999999999998</v>
      </c>
      <c r="G397" s="1648">
        <f t="shared" si="67"/>
        <v>226757.27</v>
      </c>
      <c r="H397" s="1648"/>
      <c r="I397" s="1648">
        <f t="shared" si="68"/>
        <v>0</v>
      </c>
      <c r="J397" s="1648"/>
      <c r="K397" s="1648">
        <f t="shared" si="69"/>
        <v>0</v>
      </c>
      <c r="L397" s="1648"/>
      <c r="M397" s="1648">
        <f t="shared" si="70"/>
        <v>0</v>
      </c>
      <c r="N397" s="1648">
        <f t="shared" si="71"/>
        <v>0</v>
      </c>
      <c r="O397" s="1648">
        <f t="shared" si="72"/>
        <v>0</v>
      </c>
      <c r="P397" s="1648">
        <f t="shared" si="73"/>
        <v>308.39999999999998</v>
      </c>
      <c r="Q397" s="1648">
        <f t="shared" si="74"/>
        <v>226757.27</v>
      </c>
      <c r="R397" s="55">
        <f t="shared" si="75"/>
        <v>226757.27</v>
      </c>
      <c r="S397" s="55">
        <f t="shared" si="76"/>
        <v>0</v>
      </c>
    </row>
    <row r="398" spans="1:19" ht="40.5" customHeight="1">
      <c r="A398" s="1688"/>
      <c r="B398" s="1648">
        <f t="shared" si="66"/>
        <v>383.3</v>
      </c>
      <c r="C398" s="1863" t="s">
        <v>5501</v>
      </c>
      <c r="D398" s="1649">
        <f>ROUND(Data!K2087,2)</f>
        <v>617.97</v>
      </c>
      <c r="E398" s="1687" t="s">
        <v>13</v>
      </c>
      <c r="F398" s="1649">
        <f>'Detail '!I1256</f>
        <v>383.3</v>
      </c>
      <c r="G398" s="1648">
        <f t="shared" si="67"/>
        <v>236867.9</v>
      </c>
      <c r="H398" s="1648"/>
      <c r="I398" s="1648">
        <f t="shared" si="68"/>
        <v>0</v>
      </c>
      <c r="J398" s="1648"/>
      <c r="K398" s="1648">
        <f t="shared" si="69"/>
        <v>0</v>
      </c>
      <c r="L398" s="1648"/>
      <c r="M398" s="1648">
        <f t="shared" si="70"/>
        <v>0</v>
      </c>
      <c r="N398" s="1648">
        <f t="shared" si="71"/>
        <v>0</v>
      </c>
      <c r="O398" s="1648">
        <f t="shared" si="72"/>
        <v>0</v>
      </c>
      <c r="P398" s="1648">
        <f t="shared" si="73"/>
        <v>383.3</v>
      </c>
      <c r="Q398" s="1648">
        <f t="shared" si="74"/>
        <v>236867.9</v>
      </c>
      <c r="R398" s="55">
        <f t="shared" si="75"/>
        <v>236867.9</v>
      </c>
      <c r="S398" s="55">
        <f t="shared" si="76"/>
        <v>0</v>
      </c>
    </row>
    <row r="399" spans="1:19" ht="20.100000000000001" hidden="1" customHeight="1">
      <c r="A399" s="1854">
        <v>58.2</v>
      </c>
      <c r="B399" s="1648">
        <f t="shared" si="66"/>
        <v>0</v>
      </c>
      <c r="C399" s="1863" t="s">
        <v>5502</v>
      </c>
      <c r="D399" s="1649">
        <f>ROUND(Data!K2098,2)</f>
        <v>454</v>
      </c>
      <c r="E399" s="1687" t="s">
        <v>729</v>
      </c>
      <c r="F399" s="1649"/>
      <c r="G399" s="1648">
        <f t="shared" si="67"/>
        <v>0</v>
      </c>
      <c r="H399" s="1648"/>
      <c r="I399" s="1648">
        <f t="shared" si="68"/>
        <v>0</v>
      </c>
      <c r="J399" s="1648"/>
      <c r="K399" s="1648">
        <f t="shared" si="69"/>
        <v>0</v>
      </c>
      <c r="L399" s="1648"/>
      <c r="M399" s="1648">
        <f t="shared" si="70"/>
        <v>0</v>
      </c>
      <c r="N399" s="1648">
        <f t="shared" si="71"/>
        <v>0</v>
      </c>
      <c r="O399" s="1648">
        <f t="shared" si="72"/>
        <v>0</v>
      </c>
      <c r="P399" s="1648">
        <f t="shared" si="73"/>
        <v>0</v>
      </c>
      <c r="Q399" s="1648">
        <f t="shared" si="74"/>
        <v>0</v>
      </c>
      <c r="R399" s="55">
        <f t="shared" si="75"/>
        <v>0</v>
      </c>
      <c r="S399" s="55">
        <f t="shared" si="76"/>
        <v>0</v>
      </c>
    </row>
    <row r="400" spans="1:19" ht="39.950000000000003" hidden="1" customHeight="1">
      <c r="A400" s="1854">
        <v>59.1</v>
      </c>
      <c r="B400" s="1648">
        <f t="shared" si="66"/>
        <v>0</v>
      </c>
      <c r="C400" s="1863" t="s">
        <v>5503</v>
      </c>
      <c r="D400" s="1649"/>
      <c r="E400" s="1687" t="s">
        <v>729</v>
      </c>
      <c r="F400" s="1649"/>
      <c r="G400" s="1648">
        <f t="shared" si="67"/>
        <v>0</v>
      </c>
      <c r="H400" s="1648"/>
      <c r="I400" s="1648">
        <f t="shared" si="68"/>
        <v>0</v>
      </c>
      <c r="J400" s="1648"/>
      <c r="K400" s="1648">
        <f t="shared" si="69"/>
        <v>0</v>
      </c>
      <c r="L400" s="1648"/>
      <c r="M400" s="1648">
        <f t="shared" si="70"/>
        <v>0</v>
      </c>
      <c r="N400" s="1648">
        <f t="shared" si="71"/>
        <v>0</v>
      </c>
      <c r="O400" s="1648">
        <f t="shared" si="72"/>
        <v>0</v>
      </c>
      <c r="P400" s="1648">
        <f t="shared" si="73"/>
        <v>0</v>
      </c>
      <c r="Q400" s="1648">
        <f t="shared" si="74"/>
        <v>0</v>
      </c>
      <c r="R400" s="55">
        <f t="shared" si="75"/>
        <v>0</v>
      </c>
      <c r="S400" s="55">
        <f t="shared" si="76"/>
        <v>0</v>
      </c>
    </row>
    <row r="401" spans="1:19" ht="60.75" customHeight="1">
      <c r="A401" s="1854">
        <v>59.2</v>
      </c>
      <c r="B401" s="1648">
        <f t="shared" si="66"/>
        <v>57</v>
      </c>
      <c r="C401" s="1863" t="s">
        <v>5504</v>
      </c>
      <c r="D401" s="1649">
        <f>ROUND(Data!K2111,2)</f>
        <v>2069.09</v>
      </c>
      <c r="E401" s="1687" t="s">
        <v>729</v>
      </c>
      <c r="F401" s="1649">
        <f>'Detail '!I1327</f>
        <v>57</v>
      </c>
      <c r="G401" s="1648">
        <f t="shared" si="67"/>
        <v>117938.13</v>
      </c>
      <c r="H401" s="1648"/>
      <c r="I401" s="1648">
        <f t="shared" si="68"/>
        <v>0</v>
      </c>
      <c r="J401" s="1648"/>
      <c r="K401" s="1648">
        <f t="shared" si="69"/>
        <v>0</v>
      </c>
      <c r="L401" s="1648"/>
      <c r="M401" s="1648">
        <f t="shared" si="70"/>
        <v>0</v>
      </c>
      <c r="N401" s="1648">
        <f t="shared" si="71"/>
        <v>0</v>
      </c>
      <c r="O401" s="1648">
        <f t="shared" si="72"/>
        <v>0</v>
      </c>
      <c r="P401" s="1648">
        <f t="shared" si="73"/>
        <v>57</v>
      </c>
      <c r="Q401" s="1648">
        <f t="shared" si="74"/>
        <v>117938.13</v>
      </c>
      <c r="R401" s="55">
        <f t="shared" si="75"/>
        <v>117938.13</v>
      </c>
      <c r="S401" s="55">
        <f t="shared" si="76"/>
        <v>0</v>
      </c>
    </row>
    <row r="402" spans="1:19" ht="39.950000000000003" hidden="1" customHeight="1">
      <c r="A402" s="1854">
        <v>59.3</v>
      </c>
      <c r="B402" s="1648">
        <f t="shared" si="66"/>
        <v>0</v>
      </c>
      <c r="C402" s="1863" t="s">
        <v>5505</v>
      </c>
      <c r="D402" s="1649"/>
      <c r="E402" s="1687" t="s">
        <v>729</v>
      </c>
      <c r="F402" s="1649"/>
      <c r="G402" s="1648">
        <f t="shared" si="67"/>
        <v>0</v>
      </c>
      <c r="H402" s="1648"/>
      <c r="I402" s="1648">
        <f t="shared" si="68"/>
        <v>0</v>
      </c>
      <c r="J402" s="1648"/>
      <c r="K402" s="1648">
        <f t="shared" si="69"/>
        <v>0</v>
      </c>
      <c r="L402" s="1648"/>
      <c r="M402" s="1648">
        <f t="shared" si="70"/>
        <v>0</v>
      </c>
      <c r="N402" s="1648">
        <f t="shared" si="71"/>
        <v>0</v>
      </c>
      <c r="O402" s="1648">
        <f t="shared" si="72"/>
        <v>0</v>
      </c>
      <c r="P402" s="1648">
        <f t="shared" si="73"/>
        <v>0</v>
      </c>
      <c r="Q402" s="1648">
        <f t="shared" si="74"/>
        <v>0</v>
      </c>
      <c r="R402" s="55">
        <f t="shared" si="75"/>
        <v>0</v>
      </c>
      <c r="S402" s="55">
        <f t="shared" si="76"/>
        <v>0</v>
      </c>
    </row>
    <row r="403" spans="1:19" ht="48.75" hidden="1" customHeight="1">
      <c r="A403" s="1854">
        <v>59.4</v>
      </c>
      <c r="B403" s="1648">
        <f t="shared" si="66"/>
        <v>0</v>
      </c>
      <c r="C403" s="1863" t="s">
        <v>5506</v>
      </c>
      <c r="D403" s="1649"/>
      <c r="E403" s="1687" t="s">
        <v>729</v>
      </c>
      <c r="F403" s="1649"/>
      <c r="G403" s="1648">
        <f t="shared" si="67"/>
        <v>0</v>
      </c>
      <c r="H403" s="1648"/>
      <c r="I403" s="1648">
        <f t="shared" si="68"/>
        <v>0</v>
      </c>
      <c r="J403" s="1648"/>
      <c r="K403" s="1648">
        <f t="shared" si="69"/>
        <v>0</v>
      </c>
      <c r="L403" s="1648"/>
      <c r="M403" s="1648">
        <f t="shared" si="70"/>
        <v>0</v>
      </c>
      <c r="N403" s="1648">
        <f t="shared" si="71"/>
        <v>0</v>
      </c>
      <c r="O403" s="1648">
        <f t="shared" si="72"/>
        <v>0</v>
      </c>
      <c r="P403" s="1648">
        <f t="shared" si="73"/>
        <v>0</v>
      </c>
      <c r="Q403" s="1648">
        <f t="shared" si="74"/>
        <v>0</v>
      </c>
      <c r="R403" s="55">
        <f t="shared" si="75"/>
        <v>0</v>
      </c>
      <c r="S403" s="55">
        <f t="shared" si="76"/>
        <v>0</v>
      </c>
    </row>
    <row r="404" spans="1:19" ht="67.5" hidden="1" customHeight="1">
      <c r="A404" s="1854">
        <v>59.5</v>
      </c>
      <c r="B404" s="1648">
        <f t="shared" si="66"/>
        <v>0</v>
      </c>
      <c r="C404" s="1863" t="s">
        <v>5507</v>
      </c>
      <c r="D404" s="1649">
        <f>Data!K2111</f>
        <v>2069.09</v>
      </c>
      <c r="E404" s="1687" t="s">
        <v>729</v>
      </c>
      <c r="F404" s="1649"/>
      <c r="G404" s="1648">
        <f t="shared" si="67"/>
        <v>0</v>
      </c>
      <c r="H404" s="1648"/>
      <c r="I404" s="1648">
        <f t="shared" si="68"/>
        <v>0</v>
      </c>
      <c r="J404" s="1648"/>
      <c r="K404" s="1648">
        <f t="shared" si="69"/>
        <v>0</v>
      </c>
      <c r="L404" s="1648"/>
      <c r="M404" s="1648">
        <f t="shared" si="70"/>
        <v>0</v>
      </c>
      <c r="N404" s="1648">
        <f t="shared" si="71"/>
        <v>0</v>
      </c>
      <c r="O404" s="1648">
        <f t="shared" si="72"/>
        <v>0</v>
      </c>
      <c r="P404" s="1648">
        <f t="shared" si="73"/>
        <v>0</v>
      </c>
      <c r="Q404" s="1648">
        <f t="shared" si="74"/>
        <v>0</v>
      </c>
      <c r="R404" s="55">
        <f t="shared" si="75"/>
        <v>0</v>
      </c>
      <c r="S404" s="55">
        <f t="shared" si="76"/>
        <v>0</v>
      </c>
    </row>
    <row r="405" spans="1:19" ht="61.5" hidden="1" customHeight="1">
      <c r="A405" s="1854">
        <v>59.6</v>
      </c>
      <c r="B405" s="1648">
        <f t="shared" si="66"/>
        <v>0</v>
      </c>
      <c r="C405" s="1863" t="s">
        <v>5508</v>
      </c>
      <c r="D405" s="1649"/>
      <c r="E405" s="1687" t="s">
        <v>729</v>
      </c>
      <c r="F405" s="1649"/>
      <c r="G405" s="1648">
        <f t="shared" si="67"/>
        <v>0</v>
      </c>
      <c r="H405" s="1648"/>
      <c r="I405" s="1648">
        <f t="shared" si="68"/>
        <v>0</v>
      </c>
      <c r="J405" s="1648"/>
      <c r="K405" s="1648">
        <f t="shared" si="69"/>
        <v>0</v>
      </c>
      <c r="L405" s="1648"/>
      <c r="M405" s="1648">
        <f t="shared" si="70"/>
        <v>0</v>
      </c>
      <c r="N405" s="1648">
        <f t="shared" si="71"/>
        <v>0</v>
      </c>
      <c r="O405" s="1648">
        <f t="shared" si="72"/>
        <v>0</v>
      </c>
      <c r="P405" s="1648">
        <f t="shared" si="73"/>
        <v>0</v>
      </c>
      <c r="Q405" s="1648">
        <f t="shared" si="74"/>
        <v>0</v>
      </c>
      <c r="R405" s="55">
        <f t="shared" si="75"/>
        <v>0</v>
      </c>
      <c r="S405" s="55">
        <f t="shared" si="76"/>
        <v>0</v>
      </c>
    </row>
    <row r="406" spans="1:19" ht="54.75" customHeight="1">
      <c r="A406" s="1854">
        <v>60</v>
      </c>
      <c r="B406" s="1648">
        <f t="shared" si="66"/>
        <v>96</v>
      </c>
      <c r="C406" s="1863" t="s">
        <v>5509</v>
      </c>
      <c r="D406" s="1649">
        <f>ROUND(Data!K2119,2)</f>
        <v>160</v>
      </c>
      <c r="E406" s="1687" t="s">
        <v>729</v>
      </c>
      <c r="F406" s="1649">
        <f>'Detail '!I1334</f>
        <v>96</v>
      </c>
      <c r="G406" s="1648">
        <f t="shared" si="67"/>
        <v>15360</v>
      </c>
      <c r="H406" s="1648"/>
      <c r="I406" s="1648">
        <f t="shared" si="68"/>
        <v>0</v>
      </c>
      <c r="J406" s="1648"/>
      <c r="K406" s="1648">
        <f t="shared" si="69"/>
        <v>0</v>
      </c>
      <c r="L406" s="1648"/>
      <c r="M406" s="1648">
        <f t="shared" si="70"/>
        <v>0</v>
      </c>
      <c r="N406" s="1648">
        <f t="shared" si="71"/>
        <v>0</v>
      </c>
      <c r="O406" s="1648">
        <f t="shared" si="72"/>
        <v>0</v>
      </c>
      <c r="P406" s="1648">
        <f t="shared" si="73"/>
        <v>96</v>
      </c>
      <c r="Q406" s="1648">
        <f t="shared" si="74"/>
        <v>15360</v>
      </c>
      <c r="R406" s="55">
        <f t="shared" si="75"/>
        <v>15360</v>
      </c>
      <c r="S406" s="55">
        <f t="shared" si="76"/>
        <v>0</v>
      </c>
    </row>
    <row r="407" spans="1:19" ht="41.25" hidden="1" customHeight="1">
      <c r="A407" s="1854">
        <v>61.1</v>
      </c>
      <c r="B407" s="1648">
        <f t="shared" si="66"/>
        <v>0</v>
      </c>
      <c r="C407" s="1863" t="s">
        <v>5510</v>
      </c>
      <c r="D407" s="1649"/>
      <c r="E407" s="1687"/>
      <c r="F407" s="1649"/>
      <c r="G407" s="1648">
        <f t="shared" si="67"/>
        <v>0</v>
      </c>
      <c r="H407" s="1648"/>
      <c r="I407" s="1648">
        <f t="shared" si="68"/>
        <v>0</v>
      </c>
      <c r="J407" s="1648"/>
      <c r="K407" s="1648">
        <f t="shared" si="69"/>
        <v>0</v>
      </c>
      <c r="L407" s="1648"/>
      <c r="M407" s="1648">
        <f t="shared" si="70"/>
        <v>0</v>
      </c>
      <c r="N407" s="1648">
        <f t="shared" si="71"/>
        <v>0</v>
      </c>
      <c r="O407" s="1648">
        <f t="shared" si="72"/>
        <v>0</v>
      </c>
      <c r="P407" s="1648">
        <f t="shared" si="73"/>
        <v>0</v>
      </c>
      <c r="Q407" s="1648">
        <f t="shared" si="74"/>
        <v>0</v>
      </c>
      <c r="R407" s="55">
        <f t="shared" si="75"/>
        <v>0</v>
      </c>
      <c r="S407" s="55">
        <f t="shared" si="76"/>
        <v>0</v>
      </c>
    </row>
    <row r="408" spans="1:19" ht="41.25" hidden="1" customHeight="1">
      <c r="A408" s="1687"/>
      <c r="B408" s="1648">
        <f t="shared" si="66"/>
        <v>0</v>
      </c>
      <c r="C408" s="1863" t="s">
        <v>5511</v>
      </c>
      <c r="D408" s="1649">
        <f>ROUND(Data!K2138,2)</f>
        <v>590.19000000000005</v>
      </c>
      <c r="E408" s="1687" t="s">
        <v>13</v>
      </c>
      <c r="F408" s="1649"/>
      <c r="G408" s="1648">
        <f t="shared" si="67"/>
        <v>0</v>
      </c>
      <c r="H408" s="1648"/>
      <c r="I408" s="1648">
        <f t="shared" si="68"/>
        <v>0</v>
      </c>
      <c r="J408" s="1648"/>
      <c r="K408" s="1648">
        <f t="shared" si="69"/>
        <v>0</v>
      </c>
      <c r="L408" s="1648"/>
      <c r="M408" s="1648">
        <f t="shared" si="70"/>
        <v>0</v>
      </c>
      <c r="N408" s="1648">
        <f t="shared" si="71"/>
        <v>0</v>
      </c>
      <c r="O408" s="1648">
        <f t="shared" si="72"/>
        <v>0</v>
      </c>
      <c r="P408" s="1648">
        <f t="shared" si="73"/>
        <v>0</v>
      </c>
      <c r="Q408" s="1648">
        <f t="shared" si="74"/>
        <v>0</v>
      </c>
      <c r="R408" s="55">
        <f t="shared" si="75"/>
        <v>0</v>
      </c>
      <c r="S408" s="55">
        <f t="shared" si="76"/>
        <v>0</v>
      </c>
    </row>
    <row r="409" spans="1:19" ht="41.25" hidden="1" customHeight="1">
      <c r="A409" s="1688"/>
      <c r="B409" s="1648">
        <f t="shared" si="66"/>
        <v>0</v>
      </c>
      <c r="C409" s="1863" t="s">
        <v>5512</v>
      </c>
      <c r="D409" s="1649">
        <f>ROUND(Data!K2158,2)</f>
        <v>777.1</v>
      </c>
      <c r="E409" s="1687" t="s">
        <v>13</v>
      </c>
      <c r="F409" s="1649"/>
      <c r="G409" s="1648">
        <f t="shared" si="67"/>
        <v>0</v>
      </c>
      <c r="H409" s="1648"/>
      <c r="I409" s="1648">
        <f t="shared" si="68"/>
        <v>0</v>
      </c>
      <c r="J409" s="1648"/>
      <c r="K409" s="1648">
        <f t="shared" si="69"/>
        <v>0</v>
      </c>
      <c r="L409" s="1648"/>
      <c r="M409" s="1648">
        <f t="shared" si="70"/>
        <v>0</v>
      </c>
      <c r="N409" s="1648">
        <f t="shared" si="71"/>
        <v>0</v>
      </c>
      <c r="O409" s="1648">
        <f t="shared" si="72"/>
        <v>0</v>
      </c>
      <c r="P409" s="1648">
        <f t="shared" si="73"/>
        <v>0</v>
      </c>
      <c r="Q409" s="1648">
        <f t="shared" si="74"/>
        <v>0</v>
      </c>
      <c r="R409" s="55">
        <f t="shared" si="75"/>
        <v>0</v>
      </c>
      <c r="S409" s="55">
        <f t="shared" si="76"/>
        <v>0</v>
      </c>
    </row>
    <row r="410" spans="1:19" ht="45.75" hidden="1" customHeight="1">
      <c r="A410" s="1854">
        <v>61.2</v>
      </c>
      <c r="B410" s="1648">
        <f t="shared" si="66"/>
        <v>0</v>
      </c>
      <c r="C410" s="1864" t="s">
        <v>5513</v>
      </c>
      <c r="D410" s="1649"/>
      <c r="E410" s="1687"/>
      <c r="F410" s="1649"/>
      <c r="G410" s="1648">
        <f t="shared" si="67"/>
        <v>0</v>
      </c>
      <c r="H410" s="1648"/>
      <c r="I410" s="1648">
        <f t="shared" si="68"/>
        <v>0</v>
      </c>
      <c r="J410" s="1648"/>
      <c r="K410" s="1648">
        <f t="shared" si="69"/>
        <v>0</v>
      </c>
      <c r="L410" s="1648"/>
      <c r="M410" s="1648">
        <f t="shared" si="70"/>
        <v>0</v>
      </c>
      <c r="N410" s="1648">
        <f t="shared" si="71"/>
        <v>0</v>
      </c>
      <c r="O410" s="1648">
        <f t="shared" si="72"/>
        <v>0</v>
      </c>
      <c r="P410" s="1648">
        <f t="shared" si="73"/>
        <v>0</v>
      </c>
      <c r="Q410" s="1648">
        <f t="shared" si="74"/>
        <v>0</v>
      </c>
      <c r="R410" s="55">
        <f t="shared" si="75"/>
        <v>0</v>
      </c>
      <c r="S410" s="55">
        <f t="shared" si="76"/>
        <v>0</v>
      </c>
    </row>
    <row r="411" spans="1:19" ht="45.75" hidden="1" customHeight="1">
      <c r="A411" s="1687"/>
      <c r="B411" s="1648">
        <f t="shared" si="66"/>
        <v>0</v>
      </c>
      <c r="C411" s="1863" t="s">
        <v>5514</v>
      </c>
      <c r="D411" s="1649">
        <f>ROUND(Data!K2169,2)</f>
        <v>248.21</v>
      </c>
      <c r="E411" s="1687" t="s">
        <v>13</v>
      </c>
      <c r="F411" s="1649"/>
      <c r="G411" s="1648">
        <f t="shared" si="67"/>
        <v>0</v>
      </c>
      <c r="H411" s="1648"/>
      <c r="I411" s="1648">
        <f t="shared" si="68"/>
        <v>0</v>
      </c>
      <c r="J411" s="1648"/>
      <c r="K411" s="1648">
        <f t="shared" si="69"/>
        <v>0</v>
      </c>
      <c r="L411" s="1648"/>
      <c r="M411" s="1648">
        <f t="shared" si="70"/>
        <v>0</v>
      </c>
      <c r="N411" s="1648">
        <f t="shared" si="71"/>
        <v>0</v>
      </c>
      <c r="O411" s="1648">
        <f t="shared" si="72"/>
        <v>0</v>
      </c>
      <c r="P411" s="1648">
        <f t="shared" si="73"/>
        <v>0</v>
      </c>
      <c r="Q411" s="1648">
        <f t="shared" si="74"/>
        <v>0</v>
      </c>
      <c r="R411" s="55">
        <f t="shared" si="75"/>
        <v>0</v>
      </c>
      <c r="S411" s="55">
        <f t="shared" si="76"/>
        <v>0</v>
      </c>
    </row>
    <row r="412" spans="1:19" ht="55.5" hidden="1" customHeight="1">
      <c r="A412" s="1688"/>
      <c r="B412" s="1648">
        <f t="shared" si="66"/>
        <v>0</v>
      </c>
      <c r="C412" s="1863" t="s">
        <v>5515</v>
      </c>
      <c r="D412" s="1649">
        <f>ROUND(Data!K2184,2)</f>
        <v>364.35</v>
      </c>
      <c r="E412" s="1687" t="s">
        <v>13</v>
      </c>
      <c r="F412" s="1649"/>
      <c r="G412" s="1648">
        <f t="shared" si="67"/>
        <v>0</v>
      </c>
      <c r="H412" s="1648"/>
      <c r="I412" s="1648">
        <f t="shared" si="68"/>
        <v>0</v>
      </c>
      <c r="J412" s="1648"/>
      <c r="K412" s="1648">
        <f t="shared" si="69"/>
        <v>0</v>
      </c>
      <c r="L412" s="1648"/>
      <c r="M412" s="1648">
        <f t="shared" si="70"/>
        <v>0</v>
      </c>
      <c r="N412" s="1648">
        <f t="shared" si="71"/>
        <v>0</v>
      </c>
      <c r="O412" s="1648">
        <f t="shared" si="72"/>
        <v>0</v>
      </c>
      <c r="P412" s="1648">
        <f t="shared" si="73"/>
        <v>0</v>
      </c>
      <c r="Q412" s="1648">
        <f t="shared" si="74"/>
        <v>0</v>
      </c>
      <c r="R412" s="55">
        <f t="shared" si="75"/>
        <v>0</v>
      </c>
      <c r="S412" s="55">
        <f t="shared" si="76"/>
        <v>0</v>
      </c>
    </row>
    <row r="413" spans="1:19" ht="41.25" hidden="1" customHeight="1">
      <c r="A413" s="1854">
        <v>62.1</v>
      </c>
      <c r="B413" s="1648">
        <f t="shared" si="66"/>
        <v>0</v>
      </c>
      <c r="C413" s="1863" t="s">
        <v>5516</v>
      </c>
      <c r="D413" s="1649"/>
      <c r="E413" s="1687"/>
      <c r="F413" s="1649"/>
      <c r="G413" s="1648">
        <f t="shared" si="67"/>
        <v>0</v>
      </c>
      <c r="H413" s="1648"/>
      <c r="I413" s="1648">
        <f t="shared" si="68"/>
        <v>0</v>
      </c>
      <c r="J413" s="1648"/>
      <c r="K413" s="1648">
        <f t="shared" si="69"/>
        <v>0</v>
      </c>
      <c r="L413" s="1648"/>
      <c r="M413" s="1648">
        <f t="shared" si="70"/>
        <v>0</v>
      </c>
      <c r="N413" s="1648">
        <f t="shared" si="71"/>
        <v>0</v>
      </c>
      <c r="O413" s="1648">
        <f t="shared" si="72"/>
        <v>0</v>
      </c>
      <c r="P413" s="1648">
        <f t="shared" si="73"/>
        <v>0</v>
      </c>
      <c r="Q413" s="1648">
        <f t="shared" si="74"/>
        <v>0</v>
      </c>
      <c r="R413" s="55">
        <f t="shared" si="75"/>
        <v>0</v>
      </c>
      <c r="S413" s="55">
        <f t="shared" si="76"/>
        <v>0</v>
      </c>
    </row>
    <row r="414" spans="1:19" ht="41.25" hidden="1" customHeight="1">
      <c r="A414" s="1687"/>
      <c r="B414" s="1648">
        <f t="shared" si="66"/>
        <v>0</v>
      </c>
      <c r="C414" s="1863" t="s">
        <v>5514</v>
      </c>
      <c r="D414" s="1649">
        <f>ROUND(Data!K2193,2)</f>
        <v>104.1</v>
      </c>
      <c r="E414" s="1687" t="s">
        <v>729</v>
      </c>
      <c r="F414" s="1649"/>
      <c r="G414" s="1648">
        <f t="shared" si="67"/>
        <v>0</v>
      </c>
      <c r="H414" s="1648"/>
      <c r="I414" s="1648">
        <f t="shared" si="68"/>
        <v>0</v>
      </c>
      <c r="J414" s="1648"/>
      <c r="K414" s="1648">
        <f t="shared" si="69"/>
        <v>0</v>
      </c>
      <c r="L414" s="1648"/>
      <c r="M414" s="1648">
        <f t="shared" si="70"/>
        <v>0</v>
      </c>
      <c r="N414" s="1648">
        <f t="shared" si="71"/>
        <v>0</v>
      </c>
      <c r="O414" s="1648">
        <f t="shared" si="72"/>
        <v>0</v>
      </c>
      <c r="P414" s="1648">
        <f t="shared" si="73"/>
        <v>0</v>
      </c>
      <c r="Q414" s="1648">
        <f t="shared" si="74"/>
        <v>0</v>
      </c>
      <c r="R414" s="55">
        <f t="shared" si="75"/>
        <v>0</v>
      </c>
      <c r="S414" s="55">
        <f t="shared" si="76"/>
        <v>0</v>
      </c>
    </row>
    <row r="415" spans="1:19" ht="49.5" hidden="1" customHeight="1">
      <c r="A415" s="1688"/>
      <c r="B415" s="1648">
        <f t="shared" si="66"/>
        <v>0</v>
      </c>
      <c r="C415" s="1863" t="s">
        <v>5515</v>
      </c>
      <c r="D415" s="1649">
        <f>ROUND(Data!K2200,2)</f>
        <v>143.15</v>
      </c>
      <c r="E415" s="1687" t="s">
        <v>729</v>
      </c>
      <c r="F415" s="1649"/>
      <c r="G415" s="1648">
        <f t="shared" si="67"/>
        <v>0</v>
      </c>
      <c r="H415" s="1648"/>
      <c r="I415" s="1648">
        <f t="shared" si="68"/>
        <v>0</v>
      </c>
      <c r="J415" s="1648"/>
      <c r="K415" s="1648">
        <f t="shared" si="69"/>
        <v>0</v>
      </c>
      <c r="L415" s="1648"/>
      <c r="M415" s="1648">
        <f t="shared" si="70"/>
        <v>0</v>
      </c>
      <c r="N415" s="1648">
        <f t="shared" si="71"/>
        <v>0</v>
      </c>
      <c r="O415" s="1648">
        <f t="shared" si="72"/>
        <v>0</v>
      </c>
      <c r="P415" s="1648">
        <f t="shared" si="73"/>
        <v>0</v>
      </c>
      <c r="Q415" s="1648">
        <f t="shared" si="74"/>
        <v>0</v>
      </c>
      <c r="R415" s="55">
        <f t="shared" si="75"/>
        <v>0</v>
      </c>
      <c r="S415" s="55">
        <f t="shared" si="76"/>
        <v>0</v>
      </c>
    </row>
    <row r="416" spans="1:19" ht="41.25" hidden="1" customHeight="1">
      <c r="A416" s="1854">
        <v>62.2</v>
      </c>
      <c r="B416" s="1648">
        <f t="shared" si="66"/>
        <v>0</v>
      </c>
      <c r="C416" s="1864" t="s">
        <v>5517</v>
      </c>
      <c r="D416" s="1649"/>
      <c r="E416" s="1687"/>
      <c r="F416" s="1649"/>
      <c r="G416" s="1648">
        <f t="shared" si="67"/>
        <v>0</v>
      </c>
      <c r="H416" s="1648"/>
      <c r="I416" s="1648">
        <f t="shared" si="68"/>
        <v>0</v>
      </c>
      <c r="J416" s="1648"/>
      <c r="K416" s="1648">
        <f t="shared" si="69"/>
        <v>0</v>
      </c>
      <c r="L416" s="1648"/>
      <c r="M416" s="1648">
        <f t="shared" si="70"/>
        <v>0</v>
      </c>
      <c r="N416" s="1648">
        <f t="shared" si="71"/>
        <v>0</v>
      </c>
      <c r="O416" s="1648">
        <f t="shared" si="72"/>
        <v>0</v>
      </c>
      <c r="P416" s="1648">
        <f t="shared" si="73"/>
        <v>0</v>
      </c>
      <c r="Q416" s="1648">
        <f t="shared" si="74"/>
        <v>0</v>
      </c>
      <c r="R416" s="55">
        <f t="shared" si="75"/>
        <v>0</v>
      </c>
      <c r="S416" s="55">
        <f t="shared" si="76"/>
        <v>0</v>
      </c>
    </row>
    <row r="417" spans="1:19" ht="41.25" hidden="1" customHeight="1">
      <c r="A417" s="1687"/>
      <c r="B417" s="1648">
        <f t="shared" si="66"/>
        <v>0</v>
      </c>
      <c r="C417" s="1863" t="s">
        <v>5514</v>
      </c>
      <c r="D417" s="1649">
        <f>ROUND(Data!K2206,2)</f>
        <v>131</v>
      </c>
      <c r="E417" s="1687" t="s">
        <v>729</v>
      </c>
      <c r="F417" s="1649"/>
      <c r="G417" s="1648">
        <f t="shared" si="67"/>
        <v>0</v>
      </c>
      <c r="H417" s="1648"/>
      <c r="I417" s="1648">
        <f t="shared" si="68"/>
        <v>0</v>
      </c>
      <c r="J417" s="1648"/>
      <c r="K417" s="1648">
        <f t="shared" si="69"/>
        <v>0</v>
      </c>
      <c r="L417" s="1648"/>
      <c r="M417" s="1648">
        <f t="shared" si="70"/>
        <v>0</v>
      </c>
      <c r="N417" s="1648">
        <f t="shared" si="71"/>
        <v>0</v>
      </c>
      <c r="O417" s="1648">
        <f t="shared" si="72"/>
        <v>0</v>
      </c>
      <c r="P417" s="1648">
        <f t="shared" si="73"/>
        <v>0</v>
      </c>
      <c r="Q417" s="1648">
        <f t="shared" si="74"/>
        <v>0</v>
      </c>
      <c r="R417" s="55">
        <f t="shared" si="75"/>
        <v>0</v>
      </c>
      <c r="S417" s="55">
        <f t="shared" si="76"/>
        <v>0</v>
      </c>
    </row>
    <row r="418" spans="1:19" ht="55.5" hidden="1" customHeight="1">
      <c r="A418" s="1688"/>
      <c r="B418" s="1648">
        <f t="shared" si="66"/>
        <v>0</v>
      </c>
      <c r="C418" s="1863" t="s">
        <v>5515</v>
      </c>
      <c r="D418" s="1649">
        <f>ROUND(Data!K2216,2)</f>
        <v>169.15</v>
      </c>
      <c r="E418" s="1687" t="s">
        <v>729</v>
      </c>
      <c r="F418" s="1649"/>
      <c r="G418" s="1648">
        <f t="shared" si="67"/>
        <v>0</v>
      </c>
      <c r="H418" s="1648"/>
      <c r="I418" s="1648">
        <f t="shared" si="68"/>
        <v>0</v>
      </c>
      <c r="J418" s="1648"/>
      <c r="K418" s="1648">
        <f t="shared" si="69"/>
        <v>0</v>
      </c>
      <c r="L418" s="1648"/>
      <c r="M418" s="1648">
        <f t="shared" si="70"/>
        <v>0</v>
      </c>
      <c r="N418" s="1648">
        <f t="shared" si="71"/>
        <v>0</v>
      </c>
      <c r="O418" s="1648">
        <f t="shared" si="72"/>
        <v>0</v>
      </c>
      <c r="P418" s="1648">
        <f t="shared" si="73"/>
        <v>0</v>
      </c>
      <c r="Q418" s="1648">
        <f t="shared" si="74"/>
        <v>0</v>
      </c>
      <c r="R418" s="55">
        <f t="shared" si="75"/>
        <v>0</v>
      </c>
      <c r="S418" s="55">
        <f t="shared" si="76"/>
        <v>0</v>
      </c>
    </row>
    <row r="419" spans="1:19" ht="20.100000000000001" hidden="1" customHeight="1">
      <c r="A419" s="1854">
        <v>63</v>
      </c>
      <c r="B419" s="1648">
        <f t="shared" si="66"/>
        <v>0</v>
      </c>
      <c r="C419" s="1863" t="s">
        <v>5518</v>
      </c>
      <c r="D419" s="1649">
        <f>ROUND(Data!K2225,2)</f>
        <v>31.87</v>
      </c>
      <c r="E419" s="1687" t="s">
        <v>729</v>
      </c>
      <c r="F419" s="1649"/>
      <c r="G419" s="1648">
        <f t="shared" si="67"/>
        <v>0</v>
      </c>
      <c r="H419" s="1648"/>
      <c r="I419" s="1648">
        <f t="shared" si="68"/>
        <v>0</v>
      </c>
      <c r="J419" s="1648"/>
      <c r="K419" s="1648">
        <f t="shared" si="69"/>
        <v>0</v>
      </c>
      <c r="L419" s="1648"/>
      <c r="M419" s="1648">
        <f t="shared" si="70"/>
        <v>0</v>
      </c>
      <c r="N419" s="1648">
        <f t="shared" si="71"/>
        <v>0</v>
      </c>
      <c r="O419" s="1648">
        <f t="shared" si="72"/>
        <v>0</v>
      </c>
      <c r="P419" s="1648">
        <f t="shared" si="73"/>
        <v>0</v>
      </c>
      <c r="Q419" s="1648">
        <f t="shared" si="74"/>
        <v>0</v>
      </c>
      <c r="R419" s="55">
        <f t="shared" si="75"/>
        <v>0</v>
      </c>
      <c r="S419" s="55">
        <f t="shared" si="76"/>
        <v>0</v>
      </c>
    </row>
    <row r="420" spans="1:19" ht="45.75" customHeight="1">
      <c r="A420" s="1854"/>
      <c r="B420" s="1648">
        <f t="shared" si="66"/>
        <v>0</v>
      </c>
      <c r="C420" s="1864" t="s">
        <v>5519</v>
      </c>
      <c r="D420" s="1649"/>
      <c r="E420" s="1687"/>
      <c r="F420" s="1649"/>
      <c r="G420" s="1648">
        <f t="shared" si="67"/>
        <v>0</v>
      </c>
      <c r="H420" s="1648"/>
      <c r="I420" s="1648">
        <f t="shared" si="68"/>
        <v>0</v>
      </c>
      <c r="J420" s="1648"/>
      <c r="K420" s="1648">
        <f t="shared" si="69"/>
        <v>0</v>
      </c>
      <c r="L420" s="1648"/>
      <c r="M420" s="1648">
        <f t="shared" si="70"/>
        <v>0</v>
      </c>
      <c r="N420" s="1648">
        <f t="shared" si="71"/>
        <v>0</v>
      </c>
      <c r="O420" s="1648">
        <f t="shared" si="72"/>
        <v>0</v>
      </c>
      <c r="P420" s="1648">
        <f t="shared" si="73"/>
        <v>0</v>
      </c>
      <c r="Q420" s="1648">
        <f t="shared" si="74"/>
        <v>0</v>
      </c>
      <c r="R420" s="55">
        <f t="shared" si="75"/>
        <v>0</v>
      </c>
      <c r="S420" s="55">
        <f t="shared" si="76"/>
        <v>0</v>
      </c>
    </row>
    <row r="421" spans="1:19" ht="20.100000000000001" hidden="1" customHeight="1">
      <c r="A421" s="1854">
        <v>64</v>
      </c>
      <c r="B421" s="1648">
        <f t="shared" si="66"/>
        <v>0</v>
      </c>
      <c r="C421" s="1863" t="s">
        <v>5520</v>
      </c>
      <c r="D421" s="1649">
        <f>Data!K2261</f>
        <v>1630</v>
      </c>
      <c r="E421" s="1687" t="s">
        <v>729</v>
      </c>
      <c r="F421" s="1649"/>
      <c r="G421" s="1648">
        <f t="shared" si="67"/>
        <v>0</v>
      </c>
      <c r="H421" s="1648"/>
      <c r="I421" s="1648">
        <f t="shared" si="68"/>
        <v>0</v>
      </c>
      <c r="J421" s="1648"/>
      <c r="K421" s="1648">
        <f t="shared" si="69"/>
        <v>0</v>
      </c>
      <c r="L421" s="1648"/>
      <c r="M421" s="1648">
        <f t="shared" si="70"/>
        <v>0</v>
      </c>
      <c r="N421" s="1648">
        <f t="shared" si="71"/>
        <v>0</v>
      </c>
      <c r="O421" s="1648">
        <f t="shared" si="72"/>
        <v>0</v>
      </c>
      <c r="P421" s="1648">
        <f t="shared" si="73"/>
        <v>0</v>
      </c>
      <c r="Q421" s="1648">
        <f t="shared" si="74"/>
        <v>0</v>
      </c>
      <c r="R421" s="55">
        <f t="shared" si="75"/>
        <v>0</v>
      </c>
      <c r="S421" s="55">
        <f t="shared" si="76"/>
        <v>0</v>
      </c>
    </row>
    <row r="422" spans="1:19" ht="30.75" hidden="1" customHeight="1">
      <c r="A422" s="1687"/>
      <c r="B422" s="1648">
        <f t="shared" si="66"/>
        <v>0</v>
      </c>
      <c r="C422" s="1863" t="s">
        <v>3669</v>
      </c>
      <c r="D422" s="1649">
        <f>Data!K2262</f>
        <v>1633</v>
      </c>
      <c r="E422" s="1687" t="s">
        <v>729</v>
      </c>
      <c r="F422" s="1649"/>
      <c r="G422" s="1648">
        <f t="shared" si="67"/>
        <v>0</v>
      </c>
      <c r="H422" s="1648"/>
      <c r="I422" s="1648">
        <f t="shared" si="68"/>
        <v>0</v>
      </c>
      <c r="J422" s="1648"/>
      <c r="K422" s="1648">
        <f t="shared" si="69"/>
        <v>0</v>
      </c>
      <c r="L422" s="1648"/>
      <c r="M422" s="1648">
        <f t="shared" si="70"/>
        <v>0</v>
      </c>
      <c r="N422" s="1648">
        <f t="shared" si="71"/>
        <v>0</v>
      </c>
      <c r="O422" s="1648">
        <f t="shared" si="72"/>
        <v>0</v>
      </c>
      <c r="P422" s="1648">
        <f t="shared" si="73"/>
        <v>0</v>
      </c>
      <c r="Q422" s="1648">
        <f t="shared" si="74"/>
        <v>0</v>
      </c>
      <c r="R422" s="55">
        <f t="shared" si="75"/>
        <v>0</v>
      </c>
      <c r="S422" s="55">
        <f t="shared" si="76"/>
        <v>0</v>
      </c>
    </row>
    <row r="423" spans="1:19" ht="20.100000000000001" hidden="1" customHeight="1">
      <c r="A423" s="1688"/>
      <c r="B423" s="1648">
        <f t="shared" si="66"/>
        <v>0</v>
      </c>
      <c r="C423" s="1863" t="s">
        <v>5521</v>
      </c>
      <c r="D423" s="1649">
        <f>Data!K2263</f>
        <v>1670</v>
      </c>
      <c r="E423" s="1687" t="s">
        <v>729</v>
      </c>
      <c r="F423" s="1649"/>
      <c r="G423" s="1648">
        <f t="shared" si="67"/>
        <v>0</v>
      </c>
      <c r="H423" s="1648"/>
      <c r="I423" s="1648">
        <f t="shared" si="68"/>
        <v>0</v>
      </c>
      <c r="J423" s="1648"/>
      <c r="K423" s="1648">
        <f t="shared" si="69"/>
        <v>0</v>
      </c>
      <c r="L423" s="1648"/>
      <c r="M423" s="1648">
        <f t="shared" si="70"/>
        <v>0</v>
      </c>
      <c r="N423" s="1648">
        <f t="shared" si="71"/>
        <v>0</v>
      </c>
      <c r="O423" s="1648">
        <f t="shared" si="72"/>
        <v>0</v>
      </c>
      <c r="P423" s="1648">
        <f t="shared" si="73"/>
        <v>0</v>
      </c>
      <c r="Q423" s="1648">
        <f t="shared" si="74"/>
        <v>0</v>
      </c>
      <c r="R423" s="55">
        <f t="shared" si="75"/>
        <v>0</v>
      </c>
      <c r="S423" s="55">
        <f t="shared" si="76"/>
        <v>0</v>
      </c>
    </row>
    <row r="424" spans="1:19" ht="20.100000000000001" hidden="1" customHeight="1">
      <c r="A424" s="1854">
        <v>65</v>
      </c>
      <c r="B424" s="1648">
        <f t="shared" si="66"/>
        <v>0</v>
      </c>
      <c r="C424" s="1863" t="s">
        <v>5522</v>
      </c>
      <c r="D424" s="1649">
        <f>Data!K2264</f>
        <v>1705</v>
      </c>
      <c r="E424" s="1687" t="s">
        <v>729</v>
      </c>
      <c r="F424" s="1649"/>
      <c r="G424" s="1648">
        <f t="shared" si="67"/>
        <v>0</v>
      </c>
      <c r="H424" s="1648"/>
      <c r="I424" s="1648">
        <f t="shared" si="68"/>
        <v>0</v>
      </c>
      <c r="J424" s="1648"/>
      <c r="K424" s="1648">
        <f t="shared" si="69"/>
        <v>0</v>
      </c>
      <c r="L424" s="1648"/>
      <c r="M424" s="1648">
        <f t="shared" si="70"/>
        <v>0</v>
      </c>
      <c r="N424" s="1648">
        <f t="shared" si="71"/>
        <v>0</v>
      </c>
      <c r="O424" s="1648">
        <f t="shared" si="72"/>
        <v>0</v>
      </c>
      <c r="P424" s="1648">
        <f t="shared" si="73"/>
        <v>0</v>
      </c>
      <c r="Q424" s="1648">
        <f t="shared" si="74"/>
        <v>0</v>
      </c>
      <c r="R424" s="55">
        <f t="shared" si="75"/>
        <v>0</v>
      </c>
      <c r="S424" s="55">
        <f t="shared" si="76"/>
        <v>0</v>
      </c>
    </row>
    <row r="425" spans="1:19" ht="20.100000000000001" hidden="1" customHeight="1">
      <c r="A425" s="1854">
        <v>66</v>
      </c>
      <c r="B425" s="1648">
        <f t="shared" si="66"/>
        <v>0</v>
      </c>
      <c r="C425" s="1863" t="s">
        <v>5523</v>
      </c>
      <c r="D425" s="1649">
        <f>Data!K2265</f>
        <v>3052</v>
      </c>
      <c r="E425" s="1687" t="s">
        <v>729</v>
      </c>
      <c r="F425" s="1649"/>
      <c r="G425" s="1648">
        <f t="shared" si="67"/>
        <v>0</v>
      </c>
      <c r="H425" s="1648"/>
      <c r="I425" s="1648">
        <f t="shared" si="68"/>
        <v>0</v>
      </c>
      <c r="J425" s="1648"/>
      <c r="K425" s="1648">
        <f t="shared" si="69"/>
        <v>0</v>
      </c>
      <c r="L425" s="1648"/>
      <c r="M425" s="1648">
        <f t="shared" si="70"/>
        <v>0</v>
      </c>
      <c r="N425" s="1648">
        <f t="shared" si="71"/>
        <v>0</v>
      </c>
      <c r="O425" s="1648">
        <f t="shared" si="72"/>
        <v>0</v>
      </c>
      <c r="P425" s="1648">
        <f t="shared" si="73"/>
        <v>0</v>
      </c>
      <c r="Q425" s="1648">
        <f t="shared" si="74"/>
        <v>0</v>
      </c>
      <c r="R425" s="55">
        <f t="shared" si="75"/>
        <v>0</v>
      </c>
      <c r="S425" s="55">
        <f t="shared" si="76"/>
        <v>0</v>
      </c>
    </row>
    <row r="426" spans="1:19" ht="20.100000000000001" hidden="1" customHeight="1">
      <c r="A426" s="1854">
        <v>67</v>
      </c>
      <c r="B426" s="1648">
        <f t="shared" si="66"/>
        <v>0</v>
      </c>
      <c r="C426" s="1863" t="s">
        <v>5524</v>
      </c>
      <c r="D426" s="1649">
        <f>Data!K2266</f>
        <v>835</v>
      </c>
      <c r="E426" s="1687" t="s">
        <v>729</v>
      </c>
      <c r="F426" s="1649"/>
      <c r="G426" s="1648">
        <f t="shared" si="67"/>
        <v>0</v>
      </c>
      <c r="H426" s="1648"/>
      <c r="I426" s="1648">
        <f t="shared" si="68"/>
        <v>0</v>
      </c>
      <c r="J426" s="1648"/>
      <c r="K426" s="1648">
        <f t="shared" si="69"/>
        <v>0</v>
      </c>
      <c r="L426" s="1648"/>
      <c r="M426" s="1648">
        <f t="shared" si="70"/>
        <v>0</v>
      </c>
      <c r="N426" s="1648">
        <f t="shared" si="71"/>
        <v>0</v>
      </c>
      <c r="O426" s="1648">
        <f t="shared" si="72"/>
        <v>0</v>
      </c>
      <c r="P426" s="1648">
        <f t="shared" si="73"/>
        <v>0</v>
      </c>
      <c r="Q426" s="1648">
        <f t="shared" si="74"/>
        <v>0</v>
      </c>
      <c r="R426" s="55">
        <f t="shared" si="75"/>
        <v>0</v>
      </c>
      <c r="S426" s="55">
        <f t="shared" si="76"/>
        <v>0</v>
      </c>
    </row>
    <row r="427" spans="1:19" ht="20.100000000000001" hidden="1" customHeight="1">
      <c r="A427" s="1854">
        <v>68</v>
      </c>
      <c r="B427" s="1648">
        <f t="shared" si="66"/>
        <v>0</v>
      </c>
      <c r="C427" s="1863" t="s">
        <v>5525</v>
      </c>
      <c r="D427" s="1649">
        <f>Data!K2267</f>
        <v>1133</v>
      </c>
      <c r="E427" s="1687" t="s">
        <v>729</v>
      </c>
      <c r="F427" s="1649"/>
      <c r="G427" s="1648">
        <f t="shared" si="67"/>
        <v>0</v>
      </c>
      <c r="H427" s="1648"/>
      <c r="I427" s="1648">
        <f t="shared" si="68"/>
        <v>0</v>
      </c>
      <c r="J427" s="1648"/>
      <c r="K427" s="1648">
        <f t="shared" si="69"/>
        <v>0</v>
      </c>
      <c r="L427" s="1648"/>
      <c r="M427" s="1648">
        <f t="shared" si="70"/>
        <v>0</v>
      </c>
      <c r="N427" s="1648">
        <f t="shared" si="71"/>
        <v>0</v>
      </c>
      <c r="O427" s="1648">
        <f t="shared" si="72"/>
        <v>0</v>
      </c>
      <c r="P427" s="1648">
        <f t="shared" si="73"/>
        <v>0</v>
      </c>
      <c r="Q427" s="1648">
        <f t="shared" si="74"/>
        <v>0</v>
      </c>
      <c r="R427" s="55">
        <f t="shared" si="75"/>
        <v>0</v>
      </c>
      <c r="S427" s="55">
        <f t="shared" si="76"/>
        <v>0</v>
      </c>
    </row>
    <row r="428" spans="1:19" ht="45.75" hidden="1" customHeight="1">
      <c r="A428" s="1854">
        <v>69</v>
      </c>
      <c r="B428" s="1648">
        <f t="shared" si="66"/>
        <v>0</v>
      </c>
      <c r="C428" s="1863" t="s">
        <v>5526</v>
      </c>
      <c r="D428" s="1649">
        <f>Data!K2268</f>
        <v>150</v>
      </c>
      <c r="E428" s="1687" t="s">
        <v>729</v>
      </c>
      <c r="F428" s="1649"/>
      <c r="G428" s="1648">
        <f t="shared" si="67"/>
        <v>0</v>
      </c>
      <c r="H428" s="1648"/>
      <c r="I428" s="1648">
        <f t="shared" si="68"/>
        <v>0</v>
      </c>
      <c r="J428" s="1648"/>
      <c r="K428" s="1648">
        <f t="shared" si="69"/>
        <v>0</v>
      </c>
      <c r="L428" s="1648"/>
      <c r="M428" s="1648">
        <f t="shared" si="70"/>
        <v>0</v>
      </c>
      <c r="N428" s="1648">
        <f t="shared" si="71"/>
        <v>0</v>
      </c>
      <c r="O428" s="1648">
        <f t="shared" si="72"/>
        <v>0</v>
      </c>
      <c r="P428" s="1648">
        <f t="shared" si="73"/>
        <v>0</v>
      </c>
      <c r="Q428" s="1648">
        <f t="shared" si="74"/>
        <v>0</v>
      </c>
      <c r="R428" s="55">
        <f t="shared" si="75"/>
        <v>0</v>
      </c>
      <c r="S428" s="55">
        <f t="shared" si="76"/>
        <v>0</v>
      </c>
    </row>
    <row r="429" spans="1:19" ht="29.25" hidden="1" customHeight="1">
      <c r="A429" s="1854">
        <v>70.099999999999994</v>
      </c>
      <c r="B429" s="1648">
        <f t="shared" si="66"/>
        <v>0</v>
      </c>
      <c r="C429" s="1863" t="s">
        <v>5527</v>
      </c>
      <c r="D429" s="1649">
        <f>Data!K2269</f>
        <v>517</v>
      </c>
      <c r="E429" s="1687" t="s">
        <v>729</v>
      </c>
      <c r="F429" s="1649"/>
      <c r="G429" s="1648">
        <f t="shared" si="67"/>
        <v>0</v>
      </c>
      <c r="H429" s="1648"/>
      <c r="I429" s="1648">
        <f t="shared" si="68"/>
        <v>0</v>
      </c>
      <c r="J429" s="1648"/>
      <c r="K429" s="1648">
        <f t="shared" si="69"/>
        <v>0</v>
      </c>
      <c r="L429" s="1648"/>
      <c r="M429" s="1648">
        <f t="shared" si="70"/>
        <v>0</v>
      </c>
      <c r="N429" s="1648">
        <f t="shared" si="71"/>
        <v>0</v>
      </c>
      <c r="O429" s="1648">
        <f t="shared" si="72"/>
        <v>0</v>
      </c>
      <c r="P429" s="1648">
        <f t="shared" si="73"/>
        <v>0</v>
      </c>
      <c r="Q429" s="1648">
        <f t="shared" si="74"/>
        <v>0</v>
      </c>
      <c r="R429" s="55">
        <f t="shared" si="75"/>
        <v>0</v>
      </c>
      <c r="S429" s="55">
        <f t="shared" si="76"/>
        <v>0</v>
      </c>
    </row>
    <row r="430" spans="1:19" ht="20.100000000000001" hidden="1" customHeight="1">
      <c r="A430" s="1854">
        <v>70.2</v>
      </c>
      <c r="B430" s="1648">
        <f t="shared" si="66"/>
        <v>0</v>
      </c>
      <c r="C430" s="1863" t="s">
        <v>5528</v>
      </c>
      <c r="D430" s="1649"/>
      <c r="E430" s="1687" t="s">
        <v>729</v>
      </c>
      <c r="F430" s="1649"/>
      <c r="G430" s="1648">
        <f t="shared" si="67"/>
        <v>0</v>
      </c>
      <c r="H430" s="1648"/>
      <c r="I430" s="1648">
        <f t="shared" si="68"/>
        <v>0</v>
      </c>
      <c r="J430" s="1648"/>
      <c r="K430" s="1648">
        <f t="shared" si="69"/>
        <v>0</v>
      </c>
      <c r="L430" s="1648"/>
      <c r="M430" s="1648">
        <f t="shared" si="70"/>
        <v>0</v>
      </c>
      <c r="N430" s="1648">
        <f t="shared" si="71"/>
        <v>0</v>
      </c>
      <c r="O430" s="1648">
        <f t="shared" si="72"/>
        <v>0</v>
      </c>
      <c r="P430" s="1648">
        <f t="shared" si="73"/>
        <v>0</v>
      </c>
      <c r="Q430" s="1648">
        <f t="shared" si="74"/>
        <v>0</v>
      </c>
      <c r="R430" s="55">
        <f t="shared" si="75"/>
        <v>0</v>
      </c>
      <c r="S430" s="55">
        <f t="shared" si="76"/>
        <v>0</v>
      </c>
    </row>
    <row r="431" spans="1:19" ht="20.100000000000001" hidden="1" customHeight="1">
      <c r="A431" s="1854">
        <v>70.3</v>
      </c>
      <c r="B431" s="1648">
        <f t="shared" si="66"/>
        <v>0</v>
      </c>
      <c r="C431" s="1863" t="s">
        <v>5529</v>
      </c>
      <c r="D431" s="1649">
        <f>Data!K2271</f>
        <v>9.4</v>
      </c>
      <c r="E431" s="1687" t="s">
        <v>729</v>
      </c>
      <c r="F431" s="1649"/>
      <c r="G431" s="1648">
        <f t="shared" si="67"/>
        <v>0</v>
      </c>
      <c r="H431" s="1648"/>
      <c r="I431" s="1648">
        <f t="shared" si="68"/>
        <v>0</v>
      </c>
      <c r="J431" s="1648"/>
      <c r="K431" s="1648">
        <f t="shared" si="69"/>
        <v>0</v>
      </c>
      <c r="L431" s="1648"/>
      <c r="M431" s="1648">
        <f t="shared" si="70"/>
        <v>0</v>
      </c>
      <c r="N431" s="1648">
        <f t="shared" si="71"/>
        <v>0</v>
      </c>
      <c r="O431" s="1648">
        <f t="shared" si="72"/>
        <v>0</v>
      </c>
      <c r="P431" s="1648">
        <f t="shared" si="73"/>
        <v>0</v>
      </c>
      <c r="Q431" s="1648">
        <f t="shared" si="74"/>
        <v>0</v>
      </c>
      <c r="R431" s="55">
        <f t="shared" si="75"/>
        <v>0</v>
      </c>
      <c r="S431" s="55">
        <f t="shared" si="76"/>
        <v>0</v>
      </c>
    </row>
    <row r="432" spans="1:19" ht="20.100000000000001" hidden="1" customHeight="1">
      <c r="A432" s="1854">
        <v>70.400000000000006</v>
      </c>
      <c r="B432" s="1648">
        <f t="shared" si="66"/>
        <v>0</v>
      </c>
      <c r="C432" s="1863" t="s">
        <v>5530</v>
      </c>
      <c r="D432" s="1649">
        <f>Data!K2272</f>
        <v>10</v>
      </c>
      <c r="E432" s="1687" t="s">
        <v>729</v>
      </c>
      <c r="F432" s="1649"/>
      <c r="G432" s="1648">
        <f t="shared" si="67"/>
        <v>0</v>
      </c>
      <c r="H432" s="1648"/>
      <c r="I432" s="1648">
        <f t="shared" si="68"/>
        <v>0</v>
      </c>
      <c r="J432" s="1648"/>
      <c r="K432" s="1648">
        <f t="shared" si="69"/>
        <v>0</v>
      </c>
      <c r="L432" s="1648"/>
      <c r="M432" s="1648">
        <f t="shared" si="70"/>
        <v>0</v>
      </c>
      <c r="N432" s="1648">
        <f t="shared" si="71"/>
        <v>0</v>
      </c>
      <c r="O432" s="1648">
        <f t="shared" si="72"/>
        <v>0</v>
      </c>
      <c r="P432" s="1648">
        <f t="shared" si="73"/>
        <v>0</v>
      </c>
      <c r="Q432" s="1648">
        <f t="shared" si="74"/>
        <v>0</v>
      </c>
      <c r="R432" s="55">
        <f t="shared" si="75"/>
        <v>0</v>
      </c>
      <c r="S432" s="55">
        <f t="shared" si="76"/>
        <v>0</v>
      </c>
    </row>
    <row r="433" spans="1:19" ht="41.25" hidden="1" customHeight="1">
      <c r="A433" s="1854">
        <v>71</v>
      </c>
      <c r="B433" s="1648">
        <f t="shared" si="66"/>
        <v>0</v>
      </c>
      <c r="C433" s="1863" t="s">
        <v>5531</v>
      </c>
      <c r="D433" s="1649">
        <f>Data!K2273</f>
        <v>1345.6</v>
      </c>
      <c r="E433" s="1687" t="s">
        <v>729</v>
      </c>
      <c r="F433" s="1649"/>
      <c r="G433" s="1648">
        <f t="shared" si="67"/>
        <v>0</v>
      </c>
      <c r="H433" s="1648"/>
      <c r="I433" s="1648">
        <f t="shared" si="68"/>
        <v>0</v>
      </c>
      <c r="J433" s="1648"/>
      <c r="K433" s="1648">
        <f t="shared" si="69"/>
        <v>0</v>
      </c>
      <c r="L433" s="1648"/>
      <c r="M433" s="1648">
        <f t="shared" si="70"/>
        <v>0</v>
      </c>
      <c r="N433" s="1648">
        <f t="shared" si="71"/>
        <v>0</v>
      </c>
      <c r="O433" s="1648">
        <f t="shared" si="72"/>
        <v>0</v>
      </c>
      <c r="P433" s="1648">
        <f t="shared" si="73"/>
        <v>0</v>
      </c>
      <c r="Q433" s="1648">
        <f t="shared" si="74"/>
        <v>0</v>
      </c>
      <c r="R433" s="55">
        <f t="shared" si="75"/>
        <v>0</v>
      </c>
      <c r="S433" s="55">
        <f t="shared" si="76"/>
        <v>0</v>
      </c>
    </row>
    <row r="434" spans="1:19" ht="45.75" customHeight="1">
      <c r="A434" s="1854">
        <v>72</v>
      </c>
      <c r="B434" s="1648">
        <f t="shared" si="66"/>
        <v>163</v>
      </c>
      <c r="C434" s="1863" t="s">
        <v>5532</v>
      </c>
      <c r="D434" s="1649">
        <f>Data!K2274</f>
        <v>33.9</v>
      </c>
      <c r="E434" s="1687" t="s">
        <v>729</v>
      </c>
      <c r="F434" s="1649">
        <f>'Detail '!I1761</f>
        <v>163</v>
      </c>
      <c r="G434" s="1648">
        <f t="shared" si="67"/>
        <v>5525.7</v>
      </c>
      <c r="H434" s="1648"/>
      <c r="I434" s="1648">
        <f t="shared" si="68"/>
        <v>0</v>
      </c>
      <c r="J434" s="1648"/>
      <c r="K434" s="1648">
        <f t="shared" si="69"/>
        <v>0</v>
      </c>
      <c r="L434" s="1648"/>
      <c r="M434" s="1648">
        <f t="shared" si="70"/>
        <v>0</v>
      </c>
      <c r="N434" s="1648">
        <f t="shared" si="71"/>
        <v>0</v>
      </c>
      <c r="O434" s="1648">
        <f t="shared" si="72"/>
        <v>0</v>
      </c>
      <c r="P434" s="1648">
        <f t="shared" si="73"/>
        <v>163</v>
      </c>
      <c r="Q434" s="1648">
        <f t="shared" si="74"/>
        <v>5525.7</v>
      </c>
      <c r="R434" s="55">
        <f t="shared" si="75"/>
        <v>5525.7</v>
      </c>
      <c r="S434" s="55">
        <f t="shared" si="76"/>
        <v>0</v>
      </c>
    </row>
    <row r="435" spans="1:19" ht="45.75" customHeight="1">
      <c r="A435" s="1687">
        <v>73.099999999999994</v>
      </c>
      <c r="B435" s="1648">
        <f t="shared" si="66"/>
        <v>8</v>
      </c>
      <c r="C435" s="1863" t="s">
        <v>5533</v>
      </c>
      <c r="D435" s="1649">
        <f>Data!K2275</f>
        <v>4212</v>
      </c>
      <c r="E435" s="1687" t="s">
        <v>729</v>
      </c>
      <c r="F435" s="1649">
        <f>'Detail '!I3052</f>
        <v>8</v>
      </c>
      <c r="G435" s="1648">
        <f t="shared" si="67"/>
        <v>33696</v>
      </c>
      <c r="H435" s="1648"/>
      <c r="I435" s="1648">
        <f t="shared" si="68"/>
        <v>0</v>
      </c>
      <c r="J435" s="1648"/>
      <c r="K435" s="1648">
        <f t="shared" si="69"/>
        <v>0</v>
      </c>
      <c r="L435" s="1648"/>
      <c r="M435" s="1648">
        <f t="shared" si="70"/>
        <v>0</v>
      </c>
      <c r="N435" s="1648">
        <f t="shared" si="71"/>
        <v>0</v>
      </c>
      <c r="O435" s="1648">
        <f t="shared" si="72"/>
        <v>0</v>
      </c>
      <c r="P435" s="1648">
        <f t="shared" si="73"/>
        <v>8</v>
      </c>
      <c r="Q435" s="1648">
        <f t="shared" si="74"/>
        <v>33696</v>
      </c>
      <c r="R435" s="55">
        <f t="shared" si="75"/>
        <v>33696</v>
      </c>
      <c r="S435" s="55">
        <f t="shared" si="76"/>
        <v>0</v>
      </c>
    </row>
    <row r="436" spans="1:19" ht="45.75" customHeight="1">
      <c r="A436" s="1854">
        <v>73.2</v>
      </c>
      <c r="B436" s="1648">
        <f t="shared" si="66"/>
        <v>0</v>
      </c>
      <c r="C436" s="1863" t="s">
        <v>5534</v>
      </c>
      <c r="D436" s="1649">
        <f>Data!K2276</f>
        <v>3430</v>
      </c>
      <c r="E436" s="1687" t="s">
        <v>729</v>
      </c>
      <c r="F436" s="1649">
        <f>'Detail '!I3059</f>
        <v>0</v>
      </c>
      <c r="G436" s="1648">
        <f t="shared" si="67"/>
        <v>0</v>
      </c>
      <c r="H436" s="1648"/>
      <c r="I436" s="1648">
        <f t="shared" si="68"/>
        <v>0</v>
      </c>
      <c r="J436" s="1648"/>
      <c r="K436" s="1648">
        <f t="shared" si="69"/>
        <v>0</v>
      </c>
      <c r="L436" s="1648"/>
      <c r="M436" s="1648">
        <f t="shared" si="70"/>
        <v>0</v>
      </c>
      <c r="N436" s="1648">
        <f t="shared" si="71"/>
        <v>0</v>
      </c>
      <c r="O436" s="1648">
        <f t="shared" si="72"/>
        <v>0</v>
      </c>
      <c r="P436" s="1648">
        <f t="shared" si="73"/>
        <v>0</v>
      </c>
      <c r="Q436" s="1648">
        <f t="shared" si="74"/>
        <v>0</v>
      </c>
      <c r="R436" s="55">
        <f t="shared" si="75"/>
        <v>0</v>
      </c>
      <c r="S436" s="55">
        <f t="shared" si="76"/>
        <v>0</v>
      </c>
    </row>
    <row r="437" spans="1:19" ht="45.75" customHeight="1">
      <c r="A437" s="1854">
        <v>74</v>
      </c>
      <c r="B437" s="1648">
        <f t="shared" si="66"/>
        <v>163</v>
      </c>
      <c r="C437" s="1863" t="s">
        <v>5535</v>
      </c>
      <c r="D437" s="1649">
        <f>Data!K2277</f>
        <v>571</v>
      </c>
      <c r="E437" s="1687" t="s">
        <v>729</v>
      </c>
      <c r="F437" s="1649">
        <f>'Detail '!I1815</f>
        <v>163</v>
      </c>
      <c r="G437" s="1648">
        <f t="shared" si="67"/>
        <v>93073</v>
      </c>
      <c r="H437" s="1648"/>
      <c r="I437" s="1648">
        <f t="shared" si="68"/>
        <v>0</v>
      </c>
      <c r="J437" s="1648"/>
      <c r="K437" s="1648">
        <f t="shared" si="69"/>
        <v>0</v>
      </c>
      <c r="L437" s="1648"/>
      <c r="M437" s="1648">
        <f t="shared" si="70"/>
        <v>0</v>
      </c>
      <c r="N437" s="1648">
        <f t="shared" si="71"/>
        <v>0</v>
      </c>
      <c r="O437" s="1648">
        <f t="shared" si="72"/>
        <v>0</v>
      </c>
      <c r="P437" s="1648">
        <f t="shared" si="73"/>
        <v>163</v>
      </c>
      <c r="Q437" s="1648">
        <f t="shared" si="74"/>
        <v>93073</v>
      </c>
      <c r="R437" s="55">
        <f t="shared" si="75"/>
        <v>93073</v>
      </c>
      <c r="S437" s="55">
        <f t="shared" si="76"/>
        <v>0</v>
      </c>
    </row>
    <row r="438" spans="1:19" ht="27" hidden="1" customHeight="1">
      <c r="A438" s="1854">
        <v>75</v>
      </c>
      <c r="B438" s="1648">
        <f t="shared" si="66"/>
        <v>0</v>
      </c>
      <c r="C438" s="1864" t="s">
        <v>5536</v>
      </c>
      <c r="D438" s="1649"/>
      <c r="E438" s="1687"/>
      <c r="F438" s="1649"/>
      <c r="G438" s="1648">
        <f t="shared" si="67"/>
        <v>0</v>
      </c>
      <c r="H438" s="1648"/>
      <c r="I438" s="1648">
        <f t="shared" si="68"/>
        <v>0</v>
      </c>
      <c r="J438" s="1648"/>
      <c r="K438" s="1648">
        <f t="shared" si="69"/>
        <v>0</v>
      </c>
      <c r="L438" s="1648"/>
      <c r="M438" s="1648">
        <f t="shared" si="70"/>
        <v>0</v>
      </c>
      <c r="N438" s="1648">
        <f t="shared" si="71"/>
        <v>0</v>
      </c>
      <c r="O438" s="1648">
        <f t="shared" si="72"/>
        <v>0</v>
      </c>
      <c r="P438" s="1648">
        <f t="shared" si="73"/>
        <v>0</v>
      </c>
      <c r="Q438" s="1648">
        <f t="shared" si="74"/>
        <v>0</v>
      </c>
      <c r="R438" s="55">
        <f t="shared" si="75"/>
        <v>0</v>
      </c>
      <c r="S438" s="55">
        <f t="shared" si="76"/>
        <v>0</v>
      </c>
    </row>
    <row r="439" spans="1:19" ht="27" hidden="1" customHeight="1">
      <c r="A439" s="1687"/>
      <c r="B439" s="1648">
        <f t="shared" si="66"/>
        <v>0</v>
      </c>
      <c r="C439" s="1863" t="s">
        <v>5537</v>
      </c>
      <c r="D439" s="1649"/>
      <c r="E439" s="1687" t="s">
        <v>729</v>
      </c>
      <c r="F439" s="1649"/>
      <c r="G439" s="1648">
        <f t="shared" si="67"/>
        <v>0</v>
      </c>
      <c r="H439" s="1648"/>
      <c r="I439" s="1648">
        <f t="shared" si="68"/>
        <v>0</v>
      </c>
      <c r="J439" s="1648"/>
      <c r="K439" s="1648">
        <f t="shared" si="69"/>
        <v>0</v>
      </c>
      <c r="L439" s="1648"/>
      <c r="M439" s="1648">
        <f t="shared" si="70"/>
        <v>0</v>
      </c>
      <c r="N439" s="1648">
        <f t="shared" si="71"/>
        <v>0</v>
      </c>
      <c r="O439" s="1648">
        <f t="shared" si="72"/>
        <v>0</v>
      </c>
      <c r="P439" s="1648">
        <f t="shared" si="73"/>
        <v>0</v>
      </c>
      <c r="Q439" s="1648">
        <f t="shared" si="74"/>
        <v>0</v>
      </c>
      <c r="R439" s="55">
        <f t="shared" si="75"/>
        <v>0</v>
      </c>
      <c r="S439" s="55">
        <f t="shared" si="76"/>
        <v>0</v>
      </c>
    </row>
    <row r="440" spans="1:19" ht="27" hidden="1" customHeight="1">
      <c r="A440" s="1688"/>
      <c r="B440" s="1648">
        <f t="shared" si="66"/>
        <v>0</v>
      </c>
      <c r="C440" s="1863" t="s">
        <v>5538</v>
      </c>
      <c r="D440" s="1649"/>
      <c r="E440" s="1687" t="s">
        <v>729</v>
      </c>
      <c r="F440" s="1649"/>
      <c r="G440" s="1648">
        <f t="shared" si="67"/>
        <v>0</v>
      </c>
      <c r="H440" s="1648"/>
      <c r="I440" s="1648">
        <f t="shared" si="68"/>
        <v>0</v>
      </c>
      <c r="J440" s="1648"/>
      <c r="K440" s="1648">
        <f t="shared" si="69"/>
        <v>0</v>
      </c>
      <c r="L440" s="1648"/>
      <c r="M440" s="1648">
        <f t="shared" si="70"/>
        <v>0</v>
      </c>
      <c r="N440" s="1648">
        <f t="shared" si="71"/>
        <v>0</v>
      </c>
      <c r="O440" s="1648">
        <f t="shared" si="72"/>
        <v>0</v>
      </c>
      <c r="P440" s="1648">
        <f t="shared" si="73"/>
        <v>0</v>
      </c>
      <c r="Q440" s="1648">
        <f t="shared" si="74"/>
        <v>0</v>
      </c>
      <c r="R440" s="55">
        <f t="shared" si="75"/>
        <v>0</v>
      </c>
      <c r="S440" s="55">
        <f t="shared" si="76"/>
        <v>0</v>
      </c>
    </row>
    <row r="441" spans="1:19" ht="34.5" customHeight="1">
      <c r="A441" s="1854">
        <v>76</v>
      </c>
      <c r="B441" s="1648">
        <f t="shared" si="66"/>
        <v>75</v>
      </c>
      <c r="C441" s="1863" t="s">
        <v>5539</v>
      </c>
      <c r="D441" s="1649">
        <f>Elec.Data!K463</f>
        <v>26.3</v>
      </c>
      <c r="E441" s="1687" t="s">
        <v>13</v>
      </c>
      <c r="F441" s="1649">
        <f>'Detail '!I1817</f>
        <v>75</v>
      </c>
      <c r="G441" s="1648">
        <f t="shared" si="67"/>
        <v>1972.5</v>
      </c>
      <c r="H441" s="1648"/>
      <c r="I441" s="1648">
        <f t="shared" si="68"/>
        <v>0</v>
      </c>
      <c r="J441" s="1648"/>
      <c r="K441" s="1648">
        <f t="shared" si="69"/>
        <v>0</v>
      </c>
      <c r="L441" s="1648"/>
      <c r="M441" s="1648">
        <f t="shared" si="70"/>
        <v>0</v>
      </c>
      <c r="N441" s="1648">
        <f t="shared" si="71"/>
        <v>0</v>
      </c>
      <c r="O441" s="1648">
        <f t="shared" si="72"/>
        <v>0</v>
      </c>
      <c r="P441" s="1648">
        <f t="shared" si="73"/>
        <v>75</v>
      </c>
      <c r="Q441" s="1648">
        <f t="shared" si="74"/>
        <v>1972.5</v>
      </c>
      <c r="R441" s="55">
        <f t="shared" si="75"/>
        <v>1972.5</v>
      </c>
      <c r="S441" s="55">
        <f t="shared" si="76"/>
        <v>0</v>
      </c>
    </row>
    <row r="442" spans="1:19" ht="34.5" hidden="1" customHeight="1">
      <c r="A442" s="1854">
        <v>77</v>
      </c>
      <c r="B442" s="1648">
        <f t="shared" si="66"/>
        <v>0</v>
      </c>
      <c r="C442" s="1863" t="s">
        <v>5540</v>
      </c>
      <c r="D442" s="1649">
        <f>ROUND(Data!K2282,2)</f>
        <v>208</v>
      </c>
      <c r="E442" s="1687" t="s">
        <v>13</v>
      </c>
      <c r="F442" s="1649"/>
      <c r="G442" s="1648">
        <f t="shared" si="67"/>
        <v>0</v>
      </c>
      <c r="H442" s="1648"/>
      <c r="I442" s="1648">
        <f t="shared" si="68"/>
        <v>0</v>
      </c>
      <c r="J442" s="1648"/>
      <c r="K442" s="1648">
        <f t="shared" si="69"/>
        <v>0</v>
      </c>
      <c r="L442" s="1648"/>
      <c r="M442" s="1648">
        <f t="shared" si="70"/>
        <v>0</v>
      </c>
      <c r="N442" s="1648">
        <f t="shared" si="71"/>
        <v>0</v>
      </c>
      <c r="O442" s="1648">
        <f t="shared" si="72"/>
        <v>0</v>
      </c>
      <c r="P442" s="1648">
        <f t="shared" si="73"/>
        <v>0</v>
      </c>
      <c r="Q442" s="1648">
        <f t="shared" si="74"/>
        <v>0</v>
      </c>
      <c r="R442" s="55">
        <f t="shared" si="75"/>
        <v>0</v>
      </c>
      <c r="S442" s="55">
        <f t="shared" si="76"/>
        <v>0</v>
      </c>
    </row>
    <row r="443" spans="1:19" ht="49.5" hidden="1" customHeight="1">
      <c r="A443" s="1854">
        <v>77.099999999999994</v>
      </c>
      <c r="B443" s="1648">
        <f t="shared" si="66"/>
        <v>0</v>
      </c>
      <c r="C443" s="1863" t="s">
        <v>3679</v>
      </c>
      <c r="D443" s="1649">
        <f>ROUND(Data!K2283,2)</f>
        <v>266</v>
      </c>
      <c r="E443" s="1687" t="s">
        <v>13</v>
      </c>
      <c r="F443" s="1649"/>
      <c r="G443" s="1648">
        <f t="shared" si="67"/>
        <v>0</v>
      </c>
      <c r="H443" s="1648"/>
      <c r="I443" s="1648">
        <f t="shared" si="68"/>
        <v>0</v>
      </c>
      <c r="J443" s="1648"/>
      <c r="K443" s="1648">
        <f t="shared" si="69"/>
        <v>0</v>
      </c>
      <c r="L443" s="1648"/>
      <c r="M443" s="1648">
        <f t="shared" si="70"/>
        <v>0</v>
      </c>
      <c r="N443" s="1648">
        <f t="shared" si="71"/>
        <v>0</v>
      </c>
      <c r="O443" s="1648">
        <f t="shared" si="72"/>
        <v>0</v>
      </c>
      <c r="P443" s="1648">
        <f t="shared" si="73"/>
        <v>0</v>
      </c>
      <c r="Q443" s="1648">
        <f t="shared" si="74"/>
        <v>0</v>
      </c>
      <c r="R443" s="55">
        <f t="shared" si="75"/>
        <v>0</v>
      </c>
      <c r="S443" s="55">
        <f t="shared" si="76"/>
        <v>0</v>
      </c>
    </row>
    <row r="444" spans="1:19" ht="39" customHeight="1">
      <c r="A444" s="1854">
        <v>77.2</v>
      </c>
      <c r="B444" s="1648">
        <f t="shared" si="66"/>
        <v>18</v>
      </c>
      <c r="C444" s="1863" t="s">
        <v>5541</v>
      </c>
      <c r="D444" s="1649">
        <v>1839</v>
      </c>
      <c r="E444" s="1687" t="s">
        <v>729</v>
      </c>
      <c r="F444" s="1649">
        <f>'Detail '!I2789</f>
        <v>18</v>
      </c>
      <c r="G444" s="1648">
        <f t="shared" si="67"/>
        <v>33102</v>
      </c>
      <c r="H444" s="1648"/>
      <c r="I444" s="1648">
        <f t="shared" si="68"/>
        <v>0</v>
      </c>
      <c r="J444" s="1648"/>
      <c r="K444" s="1648">
        <f t="shared" si="69"/>
        <v>0</v>
      </c>
      <c r="L444" s="1648"/>
      <c r="M444" s="1648">
        <f t="shared" si="70"/>
        <v>0</v>
      </c>
      <c r="N444" s="1648">
        <f t="shared" si="71"/>
        <v>0</v>
      </c>
      <c r="O444" s="1648">
        <f t="shared" si="72"/>
        <v>0</v>
      </c>
      <c r="P444" s="1648">
        <f t="shared" si="73"/>
        <v>18</v>
      </c>
      <c r="Q444" s="1648">
        <f t="shared" si="74"/>
        <v>33102</v>
      </c>
      <c r="R444" s="55">
        <f t="shared" si="75"/>
        <v>33102</v>
      </c>
      <c r="S444" s="55">
        <f t="shared" si="76"/>
        <v>0</v>
      </c>
    </row>
    <row r="445" spans="1:19" ht="39" customHeight="1">
      <c r="A445" s="1854">
        <v>77.3</v>
      </c>
      <c r="B445" s="1648">
        <f t="shared" si="66"/>
        <v>10</v>
      </c>
      <c r="C445" s="1863" t="s">
        <v>5542</v>
      </c>
      <c r="D445" s="1649">
        <f>Data!K2285</f>
        <v>77</v>
      </c>
      <c r="E445" s="1687" t="s">
        <v>729</v>
      </c>
      <c r="F445" s="1649">
        <f>'Detail '!I1874</f>
        <v>10</v>
      </c>
      <c r="G445" s="1648">
        <f t="shared" si="67"/>
        <v>770</v>
      </c>
      <c r="H445" s="1648"/>
      <c r="I445" s="1648">
        <f t="shared" si="68"/>
        <v>0</v>
      </c>
      <c r="J445" s="1648"/>
      <c r="K445" s="1648">
        <f t="shared" si="69"/>
        <v>0</v>
      </c>
      <c r="L445" s="1648"/>
      <c r="M445" s="1648">
        <f t="shared" si="70"/>
        <v>0</v>
      </c>
      <c r="N445" s="1648">
        <f t="shared" si="71"/>
        <v>0</v>
      </c>
      <c r="O445" s="1648">
        <f t="shared" si="72"/>
        <v>0</v>
      </c>
      <c r="P445" s="1648">
        <f t="shared" si="73"/>
        <v>10</v>
      </c>
      <c r="Q445" s="1648">
        <f t="shared" si="74"/>
        <v>770</v>
      </c>
      <c r="R445" s="55">
        <f t="shared" si="75"/>
        <v>770</v>
      </c>
      <c r="S445" s="55">
        <f t="shared" si="76"/>
        <v>0</v>
      </c>
    </row>
    <row r="446" spans="1:19" ht="39" customHeight="1">
      <c r="A446" s="1854">
        <v>77.400000000000006</v>
      </c>
      <c r="B446" s="1648">
        <f t="shared" si="66"/>
        <v>45</v>
      </c>
      <c r="C446" s="1863" t="s">
        <v>5543</v>
      </c>
      <c r="D446" s="1649">
        <f>Data!K2304</f>
        <v>87.66</v>
      </c>
      <c r="E446" s="1687" t="s">
        <v>13</v>
      </c>
      <c r="F446" s="1649">
        <f>'Detail '!I1877</f>
        <v>45</v>
      </c>
      <c r="G446" s="1648">
        <f t="shared" si="67"/>
        <v>3944.7</v>
      </c>
      <c r="H446" s="1648"/>
      <c r="I446" s="1648">
        <f t="shared" si="68"/>
        <v>0</v>
      </c>
      <c r="J446" s="1648"/>
      <c r="K446" s="1648">
        <f t="shared" si="69"/>
        <v>0</v>
      </c>
      <c r="L446" s="1648"/>
      <c r="M446" s="1648">
        <f t="shared" si="70"/>
        <v>0</v>
      </c>
      <c r="N446" s="1648">
        <f t="shared" si="71"/>
        <v>0</v>
      </c>
      <c r="O446" s="1648">
        <f t="shared" si="72"/>
        <v>0</v>
      </c>
      <c r="P446" s="1648">
        <f t="shared" si="73"/>
        <v>45</v>
      </c>
      <c r="Q446" s="1648">
        <f t="shared" si="74"/>
        <v>3944.7</v>
      </c>
      <c r="R446" s="55">
        <f t="shared" si="75"/>
        <v>3944.7</v>
      </c>
      <c r="S446" s="55">
        <f t="shared" si="76"/>
        <v>0</v>
      </c>
    </row>
    <row r="447" spans="1:19" ht="39" customHeight="1">
      <c r="A447" s="1854">
        <v>78</v>
      </c>
      <c r="B447" s="1648">
        <f t="shared" si="66"/>
        <v>2</v>
      </c>
      <c r="C447" s="1863" t="s">
        <v>5544</v>
      </c>
      <c r="D447" s="1654">
        <v>2921</v>
      </c>
      <c r="E447" s="1687" t="s">
        <v>729</v>
      </c>
      <c r="F447" s="1649">
        <f>'Detail '!I1879</f>
        <v>2</v>
      </c>
      <c r="G447" s="1648">
        <f t="shared" si="67"/>
        <v>5842</v>
      </c>
      <c r="H447" s="1648"/>
      <c r="I447" s="1648">
        <f t="shared" si="68"/>
        <v>0</v>
      </c>
      <c r="J447" s="1648"/>
      <c r="K447" s="1648">
        <f t="shared" si="69"/>
        <v>0</v>
      </c>
      <c r="L447" s="1648"/>
      <c r="M447" s="1648">
        <f t="shared" si="70"/>
        <v>0</v>
      </c>
      <c r="N447" s="1648">
        <f t="shared" si="71"/>
        <v>0</v>
      </c>
      <c r="O447" s="1648">
        <f t="shared" si="72"/>
        <v>0</v>
      </c>
      <c r="P447" s="1648">
        <f t="shared" si="73"/>
        <v>2</v>
      </c>
      <c r="Q447" s="1648">
        <f t="shared" si="74"/>
        <v>5842</v>
      </c>
      <c r="R447" s="55">
        <f t="shared" si="75"/>
        <v>5842</v>
      </c>
      <c r="S447" s="55">
        <f t="shared" si="76"/>
        <v>0</v>
      </c>
    </row>
    <row r="448" spans="1:19" ht="25.5" hidden="1" customHeight="1">
      <c r="A448" s="1854">
        <v>78.099999999999994</v>
      </c>
      <c r="B448" s="1648">
        <f t="shared" si="66"/>
        <v>0</v>
      </c>
      <c r="C448" s="1863" t="s">
        <v>5545</v>
      </c>
      <c r="D448" s="1649"/>
      <c r="E448" s="1687" t="s">
        <v>729</v>
      </c>
      <c r="F448" s="1649"/>
      <c r="G448" s="1648">
        <f t="shared" si="67"/>
        <v>0</v>
      </c>
      <c r="H448" s="1648"/>
      <c r="I448" s="1648">
        <f t="shared" si="68"/>
        <v>0</v>
      </c>
      <c r="J448" s="1648"/>
      <c r="K448" s="1648">
        <f t="shared" si="69"/>
        <v>0</v>
      </c>
      <c r="L448" s="1648"/>
      <c r="M448" s="1648">
        <f t="shared" si="70"/>
        <v>0</v>
      </c>
      <c r="N448" s="1648">
        <f t="shared" si="71"/>
        <v>0</v>
      </c>
      <c r="O448" s="1648">
        <f t="shared" si="72"/>
        <v>0</v>
      </c>
      <c r="P448" s="1648">
        <f t="shared" si="73"/>
        <v>0</v>
      </c>
      <c r="Q448" s="1648">
        <f t="shared" si="74"/>
        <v>0</v>
      </c>
      <c r="R448" s="55">
        <f t="shared" si="75"/>
        <v>0</v>
      </c>
      <c r="S448" s="55">
        <f t="shared" si="76"/>
        <v>0</v>
      </c>
    </row>
    <row r="449" spans="1:19" ht="46.5" hidden="1" customHeight="1">
      <c r="A449" s="1854">
        <v>79.099999999999994</v>
      </c>
      <c r="B449" s="1648">
        <f t="shared" si="66"/>
        <v>0</v>
      </c>
      <c r="C449" s="1863" t="s">
        <v>5546</v>
      </c>
      <c r="D449" s="1649">
        <f>Elec.Data!K569</f>
        <v>550</v>
      </c>
      <c r="E449" s="1687" t="s">
        <v>729</v>
      </c>
      <c r="F449" s="1649"/>
      <c r="G449" s="1648">
        <f t="shared" si="67"/>
        <v>0</v>
      </c>
      <c r="H449" s="1648"/>
      <c r="I449" s="1648">
        <f t="shared" si="68"/>
        <v>0</v>
      </c>
      <c r="J449" s="1648"/>
      <c r="K449" s="1648">
        <f t="shared" si="69"/>
        <v>0</v>
      </c>
      <c r="L449" s="1648"/>
      <c r="M449" s="1648">
        <f t="shared" si="70"/>
        <v>0</v>
      </c>
      <c r="N449" s="1648">
        <f t="shared" si="71"/>
        <v>0</v>
      </c>
      <c r="O449" s="1648">
        <f t="shared" si="72"/>
        <v>0</v>
      </c>
      <c r="P449" s="1648">
        <f t="shared" si="73"/>
        <v>0</v>
      </c>
      <c r="Q449" s="1648">
        <f t="shared" si="74"/>
        <v>0</v>
      </c>
      <c r="R449" s="55">
        <f t="shared" si="75"/>
        <v>0</v>
      </c>
      <c r="S449" s="55">
        <f t="shared" si="76"/>
        <v>0</v>
      </c>
    </row>
    <row r="450" spans="1:19" ht="33" hidden="1" customHeight="1">
      <c r="A450" s="1854">
        <v>79.2</v>
      </c>
      <c r="B450" s="1648">
        <f t="shared" si="66"/>
        <v>0</v>
      </c>
      <c r="C450" s="1863" t="s">
        <v>5547</v>
      </c>
      <c r="D450" s="1649">
        <f>Elec.Data!K588</f>
        <v>825</v>
      </c>
      <c r="E450" s="1687" t="s">
        <v>729</v>
      </c>
      <c r="F450" s="1649"/>
      <c r="G450" s="1648">
        <f t="shared" si="67"/>
        <v>0</v>
      </c>
      <c r="H450" s="1648"/>
      <c r="I450" s="1648">
        <f t="shared" si="68"/>
        <v>0</v>
      </c>
      <c r="J450" s="1648"/>
      <c r="K450" s="1648">
        <f t="shared" si="69"/>
        <v>0</v>
      </c>
      <c r="L450" s="1648"/>
      <c r="M450" s="1648">
        <f t="shared" si="70"/>
        <v>0</v>
      </c>
      <c r="N450" s="1648">
        <f t="shared" si="71"/>
        <v>0</v>
      </c>
      <c r="O450" s="1648">
        <f t="shared" si="72"/>
        <v>0</v>
      </c>
      <c r="P450" s="1648">
        <f t="shared" si="73"/>
        <v>0</v>
      </c>
      <c r="Q450" s="1648">
        <f t="shared" si="74"/>
        <v>0</v>
      </c>
      <c r="R450" s="55">
        <f t="shared" si="75"/>
        <v>0</v>
      </c>
      <c r="S450" s="55">
        <f t="shared" si="76"/>
        <v>0</v>
      </c>
    </row>
    <row r="451" spans="1:19" ht="51.75" customHeight="1">
      <c r="A451" s="1854">
        <v>80</v>
      </c>
      <c r="B451" s="1648">
        <f t="shared" si="66"/>
        <v>1</v>
      </c>
      <c r="C451" s="1863" t="s">
        <v>5548</v>
      </c>
      <c r="D451" s="1649">
        <f>Data!K2287</f>
        <v>818.75</v>
      </c>
      <c r="E451" s="1687" t="s">
        <v>729</v>
      </c>
      <c r="F451" s="1649">
        <f>'Detail '!I1884</f>
        <v>1</v>
      </c>
      <c r="G451" s="1648">
        <f t="shared" si="67"/>
        <v>818.75</v>
      </c>
      <c r="H451" s="1648"/>
      <c r="I451" s="1648">
        <f t="shared" si="68"/>
        <v>0</v>
      </c>
      <c r="J451" s="1648"/>
      <c r="K451" s="1648">
        <f t="shared" si="69"/>
        <v>0</v>
      </c>
      <c r="L451" s="1648"/>
      <c r="M451" s="1648">
        <f t="shared" si="70"/>
        <v>0</v>
      </c>
      <c r="N451" s="1648">
        <f t="shared" si="71"/>
        <v>0</v>
      </c>
      <c r="O451" s="1648">
        <f t="shared" si="72"/>
        <v>0</v>
      </c>
      <c r="P451" s="1648">
        <f t="shared" si="73"/>
        <v>1</v>
      </c>
      <c r="Q451" s="1648">
        <f t="shared" si="74"/>
        <v>818.75</v>
      </c>
      <c r="R451" s="55">
        <f t="shared" si="75"/>
        <v>818.75</v>
      </c>
      <c r="S451" s="55">
        <f t="shared" si="76"/>
        <v>0</v>
      </c>
    </row>
    <row r="452" spans="1:19" ht="45.75" hidden="1" customHeight="1">
      <c r="A452" s="1854">
        <v>81</v>
      </c>
      <c r="B452" s="1648">
        <f t="shared" si="66"/>
        <v>0</v>
      </c>
      <c r="C452" s="1863" t="s">
        <v>5549</v>
      </c>
      <c r="D452" s="1649">
        <f>ROUND(Data!K2288,2)</f>
        <v>2589.9</v>
      </c>
      <c r="E452" s="1687" t="s">
        <v>724</v>
      </c>
      <c r="F452" s="1649"/>
      <c r="G452" s="1648">
        <f t="shared" si="67"/>
        <v>0</v>
      </c>
      <c r="H452" s="1648"/>
      <c r="I452" s="1648">
        <f t="shared" si="68"/>
        <v>0</v>
      </c>
      <c r="J452" s="1648"/>
      <c r="K452" s="1648">
        <f t="shared" si="69"/>
        <v>0</v>
      </c>
      <c r="L452" s="1648"/>
      <c r="M452" s="1648">
        <f t="shared" si="70"/>
        <v>0</v>
      </c>
      <c r="N452" s="1648">
        <f t="shared" si="71"/>
        <v>0</v>
      </c>
      <c r="O452" s="1648">
        <f t="shared" si="72"/>
        <v>0</v>
      </c>
      <c r="P452" s="1648">
        <f t="shared" si="73"/>
        <v>0</v>
      </c>
      <c r="Q452" s="1648">
        <f t="shared" si="74"/>
        <v>0</v>
      </c>
      <c r="R452" s="55">
        <f t="shared" si="75"/>
        <v>0</v>
      </c>
      <c r="S452" s="55">
        <f t="shared" si="76"/>
        <v>0</v>
      </c>
    </row>
    <row r="453" spans="1:19" ht="39" customHeight="1">
      <c r="A453" s="1854">
        <v>82</v>
      </c>
      <c r="B453" s="1648">
        <f t="shared" si="66"/>
        <v>12</v>
      </c>
      <c r="C453" s="1863" t="s">
        <v>5550</v>
      </c>
      <c r="D453" s="1654">
        <v>3367</v>
      </c>
      <c r="E453" s="1687" t="s">
        <v>729</v>
      </c>
      <c r="F453" s="1649">
        <f>'Detail '!I2925</f>
        <v>12</v>
      </c>
      <c r="G453" s="1648">
        <f t="shared" si="67"/>
        <v>40404</v>
      </c>
      <c r="H453" s="1648"/>
      <c r="I453" s="1648">
        <f t="shared" si="68"/>
        <v>0</v>
      </c>
      <c r="J453" s="1648"/>
      <c r="K453" s="1648">
        <f t="shared" si="69"/>
        <v>0</v>
      </c>
      <c r="L453" s="1648"/>
      <c r="M453" s="1648">
        <f t="shared" si="70"/>
        <v>0</v>
      </c>
      <c r="N453" s="1648">
        <f t="shared" si="71"/>
        <v>0</v>
      </c>
      <c r="O453" s="1648">
        <f t="shared" si="72"/>
        <v>0</v>
      </c>
      <c r="P453" s="1648">
        <f t="shared" si="73"/>
        <v>12</v>
      </c>
      <c r="Q453" s="1648">
        <f t="shared" si="74"/>
        <v>40404</v>
      </c>
      <c r="R453" s="55">
        <f t="shared" si="75"/>
        <v>40404</v>
      </c>
      <c r="S453" s="55">
        <f t="shared" si="76"/>
        <v>0</v>
      </c>
    </row>
    <row r="454" spans="1:19" ht="40.5" hidden="1" customHeight="1">
      <c r="A454" s="1854">
        <v>83</v>
      </c>
      <c r="B454" s="1648">
        <f t="shared" ref="B454:B517" si="77">P454</f>
        <v>0</v>
      </c>
      <c r="C454" s="1863" t="s">
        <v>2155</v>
      </c>
      <c r="D454" s="1649">
        <f>Elec.Data!K725</f>
        <v>190</v>
      </c>
      <c r="E454" s="1687" t="s">
        <v>13</v>
      </c>
      <c r="F454" s="1649"/>
      <c r="G454" s="1648">
        <f t="shared" ref="G454:G517" si="78">F454*D454</f>
        <v>0</v>
      </c>
      <c r="H454" s="1648"/>
      <c r="I454" s="1648">
        <f t="shared" ref="I454:I517" si="79">H454*D454</f>
        <v>0</v>
      </c>
      <c r="J454" s="1648"/>
      <c r="K454" s="1648">
        <f t="shared" ref="K454:K517" si="80">J454*D454</f>
        <v>0</v>
      </c>
      <c r="L454" s="1648"/>
      <c r="M454" s="1648">
        <f t="shared" ref="M454:M517" si="81">L454*D454</f>
        <v>0</v>
      </c>
      <c r="N454" s="1648">
        <f t="shared" ref="N454:N517" si="82">H454+J454+L454</f>
        <v>0</v>
      </c>
      <c r="O454" s="1648">
        <f t="shared" ref="O454:O517" si="83">N454*D454</f>
        <v>0</v>
      </c>
      <c r="P454" s="1648">
        <f t="shared" ref="P454:P517" si="84">N454+F454</f>
        <v>0</v>
      </c>
      <c r="Q454" s="1648">
        <f t="shared" ref="Q454:Q517" si="85">P454*D454</f>
        <v>0</v>
      </c>
      <c r="R454" s="55">
        <f t="shared" ref="R454:R517" si="86">G454+I454+K454+M454</f>
        <v>0</v>
      </c>
      <c r="S454" s="55">
        <f t="shared" ref="S454:S517" si="87">Q454-R454</f>
        <v>0</v>
      </c>
    </row>
    <row r="455" spans="1:19" ht="20.100000000000001" hidden="1" customHeight="1">
      <c r="A455" s="1854">
        <v>84</v>
      </c>
      <c r="B455" s="1648">
        <f t="shared" si="77"/>
        <v>0</v>
      </c>
      <c r="C455" s="1863" t="s">
        <v>5551</v>
      </c>
      <c r="D455" s="1649"/>
      <c r="E455" s="1687" t="s">
        <v>13</v>
      </c>
      <c r="F455" s="1649"/>
      <c r="G455" s="1648">
        <f t="shared" si="78"/>
        <v>0</v>
      </c>
      <c r="H455" s="1648"/>
      <c r="I455" s="1648">
        <f t="shared" si="79"/>
        <v>0</v>
      </c>
      <c r="J455" s="1648"/>
      <c r="K455" s="1648">
        <f t="shared" si="80"/>
        <v>0</v>
      </c>
      <c r="L455" s="1648"/>
      <c r="M455" s="1648">
        <f t="shared" si="81"/>
        <v>0</v>
      </c>
      <c r="N455" s="1648">
        <f t="shared" si="82"/>
        <v>0</v>
      </c>
      <c r="O455" s="1648">
        <f t="shared" si="83"/>
        <v>0</v>
      </c>
      <c r="P455" s="1648">
        <f t="shared" si="84"/>
        <v>0</v>
      </c>
      <c r="Q455" s="1648">
        <f t="shared" si="85"/>
        <v>0</v>
      </c>
      <c r="R455" s="55">
        <f t="shared" si="86"/>
        <v>0</v>
      </c>
      <c r="S455" s="55">
        <f t="shared" si="87"/>
        <v>0</v>
      </c>
    </row>
    <row r="456" spans="1:19" ht="20.100000000000001" hidden="1" customHeight="1">
      <c r="A456" s="1854">
        <v>85</v>
      </c>
      <c r="B456" s="1648">
        <f t="shared" si="77"/>
        <v>0</v>
      </c>
      <c r="C456" s="1863" t="s">
        <v>5552</v>
      </c>
      <c r="D456" s="1649">
        <f>Elec.Data!K684</f>
        <v>130</v>
      </c>
      <c r="E456" s="1687" t="s">
        <v>13</v>
      </c>
      <c r="F456" s="1649"/>
      <c r="G456" s="1648">
        <f t="shared" si="78"/>
        <v>0</v>
      </c>
      <c r="H456" s="1648"/>
      <c r="I456" s="1648">
        <f t="shared" si="79"/>
        <v>0</v>
      </c>
      <c r="J456" s="1648"/>
      <c r="K456" s="1648">
        <f t="shared" si="80"/>
        <v>0</v>
      </c>
      <c r="L456" s="1648"/>
      <c r="M456" s="1648">
        <f t="shared" si="81"/>
        <v>0</v>
      </c>
      <c r="N456" s="1648">
        <f t="shared" si="82"/>
        <v>0</v>
      </c>
      <c r="O456" s="1648">
        <f t="shared" si="83"/>
        <v>0</v>
      </c>
      <c r="P456" s="1648">
        <f t="shared" si="84"/>
        <v>0</v>
      </c>
      <c r="Q456" s="1648">
        <f t="shared" si="85"/>
        <v>0</v>
      </c>
      <c r="R456" s="55">
        <f t="shared" si="86"/>
        <v>0</v>
      </c>
      <c r="S456" s="55">
        <f t="shared" si="87"/>
        <v>0</v>
      </c>
    </row>
    <row r="457" spans="1:19" ht="51.95" customHeight="1">
      <c r="A457" s="1854">
        <v>86</v>
      </c>
      <c r="B457" s="1648">
        <f t="shared" si="77"/>
        <v>514.1</v>
      </c>
      <c r="C457" s="1863" t="s">
        <v>5553</v>
      </c>
      <c r="D457" s="1649">
        <v>34</v>
      </c>
      <c r="E457" s="1687" t="s">
        <v>5324</v>
      </c>
      <c r="F457" s="1649">
        <f>'Detail '!I1888</f>
        <v>514.1</v>
      </c>
      <c r="G457" s="1648">
        <f t="shared" si="78"/>
        <v>17479.400000000001</v>
      </c>
      <c r="H457" s="1648"/>
      <c r="I457" s="1648">
        <f t="shared" si="79"/>
        <v>0</v>
      </c>
      <c r="J457" s="1648"/>
      <c r="K457" s="1648">
        <f t="shared" si="80"/>
        <v>0</v>
      </c>
      <c r="L457" s="1648"/>
      <c r="M457" s="1648">
        <f t="shared" si="81"/>
        <v>0</v>
      </c>
      <c r="N457" s="1648">
        <f t="shared" si="82"/>
        <v>0</v>
      </c>
      <c r="O457" s="1648">
        <f t="shared" si="83"/>
        <v>0</v>
      </c>
      <c r="P457" s="1648">
        <f t="shared" si="84"/>
        <v>514.1</v>
      </c>
      <c r="Q457" s="1648">
        <f t="shared" si="85"/>
        <v>17479.400000000001</v>
      </c>
      <c r="R457" s="55">
        <f t="shared" si="86"/>
        <v>17479.400000000001</v>
      </c>
      <c r="S457" s="55">
        <f t="shared" si="87"/>
        <v>0</v>
      </c>
    </row>
    <row r="458" spans="1:19" ht="51.75" hidden="1" customHeight="1">
      <c r="A458" s="1854">
        <v>87</v>
      </c>
      <c r="B458" s="1648">
        <f t="shared" si="77"/>
        <v>0</v>
      </c>
      <c r="C458" s="1863" t="s">
        <v>5554</v>
      </c>
      <c r="D458" s="1654">
        <v>2695</v>
      </c>
      <c r="E458" s="1687" t="s">
        <v>729</v>
      </c>
      <c r="F458" s="1649"/>
      <c r="G458" s="1648">
        <f t="shared" si="78"/>
        <v>0</v>
      </c>
      <c r="H458" s="1648"/>
      <c r="I458" s="1648">
        <f t="shared" si="79"/>
        <v>0</v>
      </c>
      <c r="J458" s="1648"/>
      <c r="K458" s="1648">
        <f t="shared" si="80"/>
        <v>0</v>
      </c>
      <c r="L458" s="1648"/>
      <c r="M458" s="1648">
        <f t="shared" si="81"/>
        <v>0</v>
      </c>
      <c r="N458" s="1648">
        <f t="shared" si="82"/>
        <v>0</v>
      </c>
      <c r="O458" s="1648">
        <f t="shared" si="83"/>
        <v>0</v>
      </c>
      <c r="P458" s="1648">
        <f t="shared" si="84"/>
        <v>0</v>
      </c>
      <c r="Q458" s="1648">
        <f t="shared" si="85"/>
        <v>0</v>
      </c>
      <c r="R458" s="55">
        <f t="shared" si="86"/>
        <v>0</v>
      </c>
      <c r="S458" s="55">
        <f t="shared" si="87"/>
        <v>0</v>
      </c>
    </row>
    <row r="459" spans="1:19" ht="60.75" customHeight="1">
      <c r="A459" s="1854">
        <v>112</v>
      </c>
      <c r="B459" s="1648">
        <f t="shared" si="77"/>
        <v>47</v>
      </c>
      <c r="C459" s="1863" t="s">
        <v>5555</v>
      </c>
      <c r="D459" s="1649">
        <f>ROUND(Data!K2280,2)</f>
        <v>2336</v>
      </c>
      <c r="E459" s="1687" t="s">
        <v>729</v>
      </c>
      <c r="F459" s="1649">
        <f>'Detail '!I1891</f>
        <v>47</v>
      </c>
      <c r="G459" s="1648">
        <f t="shared" si="78"/>
        <v>109792</v>
      </c>
      <c r="H459" s="1648"/>
      <c r="I459" s="1648">
        <f t="shared" si="79"/>
        <v>0</v>
      </c>
      <c r="J459" s="1648"/>
      <c r="K459" s="1648">
        <f t="shared" si="80"/>
        <v>0</v>
      </c>
      <c r="L459" s="1648"/>
      <c r="M459" s="1648">
        <f t="shared" si="81"/>
        <v>0</v>
      </c>
      <c r="N459" s="1648">
        <f t="shared" si="82"/>
        <v>0</v>
      </c>
      <c r="O459" s="1648">
        <f t="shared" si="83"/>
        <v>0</v>
      </c>
      <c r="P459" s="1648">
        <f t="shared" si="84"/>
        <v>47</v>
      </c>
      <c r="Q459" s="1648">
        <f t="shared" si="85"/>
        <v>109792</v>
      </c>
      <c r="R459" s="55">
        <f t="shared" si="86"/>
        <v>109792</v>
      </c>
      <c r="S459" s="55">
        <f t="shared" si="87"/>
        <v>0</v>
      </c>
    </row>
    <row r="460" spans="1:19" ht="57.6" customHeight="1">
      <c r="A460" s="1854">
        <v>238</v>
      </c>
      <c r="B460" s="1653">
        <f t="shared" si="77"/>
        <v>112.634</v>
      </c>
      <c r="C460" s="1863" t="s">
        <v>5556</v>
      </c>
      <c r="D460" s="1649">
        <f>ROUND(Data!K1567,2)</f>
        <v>4755.5</v>
      </c>
      <c r="E460" s="1687" t="s">
        <v>11</v>
      </c>
      <c r="F460" s="1652">
        <f>'Detail '!I1893</f>
        <v>111.554</v>
      </c>
      <c r="G460" s="1648">
        <f t="shared" si="78"/>
        <v>530495.05000000005</v>
      </c>
      <c r="H460" s="1648"/>
      <c r="I460" s="1648">
        <f t="shared" si="79"/>
        <v>0</v>
      </c>
      <c r="J460" s="1648">
        <f>Sump!I46</f>
        <v>1.08</v>
      </c>
      <c r="K460" s="1648">
        <f t="shared" si="80"/>
        <v>5135.9399999999996</v>
      </c>
      <c r="L460" s="1648"/>
      <c r="M460" s="1648">
        <f t="shared" si="81"/>
        <v>0</v>
      </c>
      <c r="N460" s="1648">
        <f t="shared" si="82"/>
        <v>1.08</v>
      </c>
      <c r="O460" s="1648">
        <f t="shared" si="83"/>
        <v>5135.9399999999996</v>
      </c>
      <c r="P460" s="1653">
        <f t="shared" si="84"/>
        <v>112.634</v>
      </c>
      <c r="Q460" s="1648">
        <f t="shared" si="85"/>
        <v>535630.99</v>
      </c>
      <c r="R460" s="55">
        <f t="shared" si="86"/>
        <v>535630.99</v>
      </c>
      <c r="S460" s="55">
        <f t="shared" si="87"/>
        <v>0</v>
      </c>
    </row>
    <row r="461" spans="1:19" ht="38.25" customHeight="1">
      <c r="A461" s="1854"/>
      <c r="B461" s="1648">
        <f t="shared" si="77"/>
        <v>4032</v>
      </c>
      <c r="C461" s="1863" t="s">
        <v>7380</v>
      </c>
      <c r="D461" s="1649">
        <f>Data!K3738</f>
        <v>98.65</v>
      </c>
      <c r="E461" s="1687" t="s">
        <v>7568</v>
      </c>
      <c r="F461" s="1652">
        <f>'Detail '!I3044</f>
        <v>4032</v>
      </c>
      <c r="G461" s="1648">
        <f t="shared" si="78"/>
        <v>397756.8</v>
      </c>
      <c r="H461" s="1648"/>
      <c r="I461" s="1648">
        <f t="shared" si="79"/>
        <v>0</v>
      </c>
      <c r="J461" s="1648"/>
      <c r="K461" s="1648">
        <f t="shared" si="80"/>
        <v>0</v>
      </c>
      <c r="L461" s="1648"/>
      <c r="M461" s="1648">
        <f t="shared" si="81"/>
        <v>0</v>
      </c>
      <c r="N461" s="1648">
        <f t="shared" si="82"/>
        <v>0</v>
      </c>
      <c r="O461" s="1648">
        <f t="shared" si="83"/>
        <v>0</v>
      </c>
      <c r="P461" s="1648">
        <f t="shared" si="84"/>
        <v>4032</v>
      </c>
      <c r="Q461" s="1648">
        <f t="shared" si="85"/>
        <v>397756.8</v>
      </c>
      <c r="R461" s="55">
        <f t="shared" si="86"/>
        <v>397756.8</v>
      </c>
      <c r="S461" s="55">
        <f t="shared" si="87"/>
        <v>0</v>
      </c>
    </row>
    <row r="462" spans="1:19" ht="45.75" customHeight="1">
      <c r="A462" s="1854"/>
      <c r="B462" s="1648">
        <f t="shared" si="77"/>
        <v>0</v>
      </c>
      <c r="C462" s="1865" t="s">
        <v>2019</v>
      </c>
      <c r="D462" s="1649"/>
      <c r="E462" s="1687"/>
      <c r="F462" s="1649"/>
      <c r="G462" s="1648">
        <f t="shared" si="78"/>
        <v>0</v>
      </c>
      <c r="H462" s="1648"/>
      <c r="I462" s="1648">
        <f t="shared" si="79"/>
        <v>0</v>
      </c>
      <c r="J462" s="1648"/>
      <c r="K462" s="1648">
        <f t="shared" si="80"/>
        <v>0</v>
      </c>
      <c r="L462" s="1648"/>
      <c r="M462" s="1648">
        <f t="shared" si="81"/>
        <v>0</v>
      </c>
      <c r="N462" s="1648">
        <f t="shared" si="82"/>
        <v>0</v>
      </c>
      <c r="O462" s="1648">
        <f t="shared" si="83"/>
        <v>0</v>
      </c>
      <c r="P462" s="1648">
        <f t="shared" si="84"/>
        <v>0</v>
      </c>
      <c r="Q462" s="1648">
        <f t="shared" si="85"/>
        <v>0</v>
      </c>
      <c r="R462" s="55">
        <f t="shared" si="86"/>
        <v>0</v>
      </c>
      <c r="S462" s="55">
        <f t="shared" si="87"/>
        <v>0</v>
      </c>
    </row>
    <row r="463" spans="1:19" ht="108" hidden="1" customHeight="1">
      <c r="A463" s="1688"/>
      <c r="B463" s="1648">
        <f t="shared" si="77"/>
        <v>0</v>
      </c>
      <c r="C463" s="1864" t="s">
        <v>5557</v>
      </c>
      <c r="D463" s="1651"/>
      <c r="E463" s="1688"/>
      <c r="F463" s="1649"/>
      <c r="G463" s="1648">
        <f t="shared" si="78"/>
        <v>0</v>
      </c>
      <c r="H463" s="1648"/>
      <c r="I463" s="1648">
        <f t="shared" si="79"/>
        <v>0</v>
      </c>
      <c r="J463" s="1648"/>
      <c r="K463" s="1648">
        <f t="shared" si="80"/>
        <v>0</v>
      </c>
      <c r="L463" s="1648"/>
      <c r="M463" s="1648">
        <f t="shared" si="81"/>
        <v>0</v>
      </c>
      <c r="N463" s="1648">
        <f t="shared" si="82"/>
        <v>0</v>
      </c>
      <c r="O463" s="1648">
        <f t="shared" si="83"/>
        <v>0</v>
      </c>
      <c r="P463" s="1648">
        <f t="shared" si="84"/>
        <v>0</v>
      </c>
      <c r="Q463" s="1648">
        <f t="shared" si="85"/>
        <v>0</v>
      </c>
      <c r="R463" s="55">
        <f t="shared" si="86"/>
        <v>0</v>
      </c>
      <c r="S463" s="55">
        <f t="shared" si="87"/>
        <v>0</v>
      </c>
    </row>
    <row r="464" spans="1:19" ht="51" hidden="1" customHeight="1">
      <c r="A464" s="1688"/>
      <c r="B464" s="1648">
        <f t="shared" si="77"/>
        <v>0</v>
      </c>
      <c r="C464" s="1864" t="s">
        <v>5558</v>
      </c>
      <c r="D464" s="1648">
        <f>'pile data '!F17</f>
        <v>2873.76</v>
      </c>
      <c r="E464" s="1687" t="s">
        <v>13</v>
      </c>
      <c r="F464" s="1649"/>
      <c r="G464" s="1648">
        <f t="shared" si="78"/>
        <v>0</v>
      </c>
      <c r="H464" s="1648"/>
      <c r="I464" s="1648">
        <f t="shared" si="79"/>
        <v>0</v>
      </c>
      <c r="J464" s="1648"/>
      <c r="K464" s="1648">
        <f t="shared" si="80"/>
        <v>0</v>
      </c>
      <c r="L464" s="1648"/>
      <c r="M464" s="1648">
        <f t="shared" si="81"/>
        <v>0</v>
      </c>
      <c r="N464" s="1648">
        <f t="shared" si="82"/>
        <v>0</v>
      </c>
      <c r="O464" s="1648">
        <f t="shared" si="83"/>
        <v>0</v>
      </c>
      <c r="P464" s="1648">
        <f t="shared" si="84"/>
        <v>0</v>
      </c>
      <c r="Q464" s="1648">
        <f t="shared" si="85"/>
        <v>0</v>
      </c>
      <c r="R464" s="55">
        <f t="shared" si="86"/>
        <v>0</v>
      </c>
      <c r="S464" s="55">
        <f t="shared" si="87"/>
        <v>0</v>
      </c>
    </row>
    <row r="465" spans="1:19" ht="51" hidden="1" customHeight="1">
      <c r="A465" s="1688"/>
      <c r="B465" s="1648">
        <f t="shared" si="77"/>
        <v>0</v>
      </c>
      <c r="C465" s="1864" t="s">
        <v>5559</v>
      </c>
      <c r="D465" s="1648">
        <f>'pile data '!F81</f>
        <v>3602</v>
      </c>
      <c r="E465" s="1687" t="s">
        <v>13</v>
      </c>
      <c r="F465" s="1649"/>
      <c r="G465" s="1648">
        <f t="shared" si="78"/>
        <v>0</v>
      </c>
      <c r="H465" s="1648"/>
      <c r="I465" s="1648">
        <f t="shared" si="79"/>
        <v>0</v>
      </c>
      <c r="J465" s="1648"/>
      <c r="K465" s="1648">
        <f t="shared" si="80"/>
        <v>0</v>
      </c>
      <c r="L465" s="1648"/>
      <c r="M465" s="1648">
        <f t="shared" si="81"/>
        <v>0</v>
      </c>
      <c r="N465" s="1648">
        <f t="shared" si="82"/>
        <v>0</v>
      </c>
      <c r="O465" s="1648">
        <f t="shared" si="83"/>
        <v>0</v>
      </c>
      <c r="P465" s="1648">
        <f t="shared" si="84"/>
        <v>0</v>
      </c>
      <c r="Q465" s="1648">
        <f t="shared" si="85"/>
        <v>0</v>
      </c>
      <c r="R465" s="55">
        <f t="shared" si="86"/>
        <v>0</v>
      </c>
      <c r="S465" s="55">
        <f t="shared" si="87"/>
        <v>0</v>
      </c>
    </row>
    <row r="466" spans="1:19" ht="42.75" hidden="1" customHeight="1">
      <c r="A466" s="1854"/>
      <c r="B466" s="1648">
        <f t="shared" si="77"/>
        <v>0</v>
      </c>
      <c r="C466" s="1864" t="s">
        <v>5560</v>
      </c>
      <c r="D466" s="1648">
        <f>'pile data '!F141</f>
        <v>2501.3200000000002</v>
      </c>
      <c r="E466" s="1687" t="s">
        <v>13</v>
      </c>
      <c r="F466" s="1649"/>
      <c r="G466" s="1648">
        <f t="shared" si="78"/>
        <v>0</v>
      </c>
      <c r="H466" s="1648"/>
      <c r="I466" s="1648">
        <f t="shared" si="79"/>
        <v>0</v>
      </c>
      <c r="J466" s="1648"/>
      <c r="K466" s="1648">
        <f t="shared" si="80"/>
        <v>0</v>
      </c>
      <c r="L466" s="1648"/>
      <c r="M466" s="1648">
        <f t="shared" si="81"/>
        <v>0</v>
      </c>
      <c r="N466" s="1648">
        <f t="shared" si="82"/>
        <v>0</v>
      </c>
      <c r="O466" s="1648">
        <f t="shared" si="83"/>
        <v>0</v>
      </c>
      <c r="P466" s="1648">
        <f t="shared" si="84"/>
        <v>0</v>
      </c>
      <c r="Q466" s="1648">
        <f t="shared" si="85"/>
        <v>0</v>
      </c>
      <c r="R466" s="55">
        <f t="shared" si="86"/>
        <v>0</v>
      </c>
      <c r="S466" s="55">
        <f t="shared" si="87"/>
        <v>0</v>
      </c>
    </row>
    <row r="467" spans="1:19" ht="80.25" hidden="1" customHeight="1">
      <c r="A467" s="1854"/>
      <c r="B467" s="1648">
        <f t="shared" si="77"/>
        <v>0</v>
      </c>
      <c r="C467" s="1866" t="s">
        <v>5561</v>
      </c>
      <c r="D467" s="1649"/>
      <c r="E467" s="1687"/>
      <c r="F467" s="1649"/>
      <c r="G467" s="1648">
        <f t="shared" si="78"/>
        <v>0</v>
      </c>
      <c r="H467" s="1648"/>
      <c r="I467" s="1648">
        <f t="shared" si="79"/>
        <v>0</v>
      </c>
      <c r="J467" s="1648"/>
      <c r="K467" s="1648">
        <f t="shared" si="80"/>
        <v>0</v>
      </c>
      <c r="L467" s="1648"/>
      <c r="M467" s="1648">
        <f t="shared" si="81"/>
        <v>0</v>
      </c>
      <c r="N467" s="1648">
        <f t="shared" si="82"/>
        <v>0</v>
      </c>
      <c r="O467" s="1648">
        <f t="shared" si="83"/>
        <v>0</v>
      </c>
      <c r="P467" s="1648">
        <f t="shared" si="84"/>
        <v>0</v>
      </c>
      <c r="Q467" s="1648">
        <f t="shared" si="85"/>
        <v>0</v>
      </c>
      <c r="R467" s="55">
        <f t="shared" si="86"/>
        <v>0</v>
      </c>
      <c r="S467" s="55">
        <f t="shared" si="87"/>
        <v>0</v>
      </c>
    </row>
    <row r="468" spans="1:19" ht="80.25" hidden="1" customHeight="1">
      <c r="A468" s="1854"/>
      <c r="B468" s="1648">
        <f t="shared" si="77"/>
        <v>0</v>
      </c>
      <c r="C468" s="1864" t="s">
        <v>5558</v>
      </c>
      <c r="D468" s="1655">
        <f>'pile data '!F28</f>
        <v>3125.97</v>
      </c>
      <c r="E468" s="1689" t="s">
        <v>13</v>
      </c>
      <c r="F468" s="1649"/>
      <c r="G468" s="1648">
        <f t="shared" si="78"/>
        <v>0</v>
      </c>
      <c r="H468" s="1648"/>
      <c r="I468" s="1648">
        <f t="shared" si="79"/>
        <v>0</v>
      </c>
      <c r="J468" s="1648"/>
      <c r="K468" s="1648">
        <f t="shared" si="80"/>
        <v>0</v>
      </c>
      <c r="L468" s="1648"/>
      <c r="M468" s="1648">
        <f t="shared" si="81"/>
        <v>0</v>
      </c>
      <c r="N468" s="1648">
        <f t="shared" si="82"/>
        <v>0</v>
      </c>
      <c r="O468" s="1648">
        <f t="shared" si="83"/>
        <v>0</v>
      </c>
      <c r="P468" s="1648">
        <f t="shared" si="84"/>
        <v>0</v>
      </c>
      <c r="Q468" s="1648">
        <f t="shared" si="85"/>
        <v>0</v>
      </c>
      <c r="R468" s="55">
        <f t="shared" si="86"/>
        <v>0</v>
      </c>
      <c r="S468" s="55">
        <f t="shared" si="87"/>
        <v>0</v>
      </c>
    </row>
    <row r="469" spans="1:19" ht="80.25" hidden="1" customHeight="1">
      <c r="A469" s="1854"/>
      <c r="B469" s="1648">
        <f t="shared" si="77"/>
        <v>0</v>
      </c>
      <c r="C469" s="1864" t="s">
        <v>5559</v>
      </c>
      <c r="D469" s="1649">
        <f>'pile data '!F92</f>
        <v>1989.25</v>
      </c>
      <c r="E469" s="1687"/>
      <c r="F469" s="1649"/>
      <c r="G469" s="1648">
        <f t="shared" si="78"/>
        <v>0</v>
      </c>
      <c r="H469" s="1648"/>
      <c r="I469" s="1648">
        <f t="shared" si="79"/>
        <v>0</v>
      </c>
      <c r="J469" s="1648"/>
      <c r="K469" s="1648">
        <f t="shared" si="80"/>
        <v>0</v>
      </c>
      <c r="L469" s="1648"/>
      <c r="M469" s="1648">
        <f t="shared" si="81"/>
        <v>0</v>
      </c>
      <c r="N469" s="1648">
        <f t="shared" si="82"/>
        <v>0</v>
      </c>
      <c r="O469" s="1648">
        <f t="shared" si="83"/>
        <v>0</v>
      </c>
      <c r="P469" s="1648">
        <f t="shared" si="84"/>
        <v>0</v>
      </c>
      <c r="Q469" s="1648">
        <f t="shared" si="85"/>
        <v>0</v>
      </c>
      <c r="R469" s="55">
        <f t="shared" si="86"/>
        <v>0</v>
      </c>
      <c r="S469" s="55">
        <f t="shared" si="87"/>
        <v>0</v>
      </c>
    </row>
    <row r="470" spans="1:19" ht="42" hidden="1" customHeight="1">
      <c r="A470" s="1854"/>
      <c r="B470" s="1648">
        <f t="shared" si="77"/>
        <v>0</v>
      </c>
      <c r="C470" s="1864" t="s">
        <v>5560</v>
      </c>
      <c r="D470" s="1655">
        <f>'pile data '!F152</f>
        <v>895.16</v>
      </c>
      <c r="E470" s="1689" t="s">
        <v>13</v>
      </c>
      <c r="F470" s="1649"/>
      <c r="G470" s="1648">
        <f t="shared" si="78"/>
        <v>0</v>
      </c>
      <c r="H470" s="1648"/>
      <c r="I470" s="1648">
        <f t="shared" si="79"/>
        <v>0</v>
      </c>
      <c r="J470" s="1648"/>
      <c r="K470" s="1648">
        <f t="shared" si="80"/>
        <v>0</v>
      </c>
      <c r="L470" s="1648"/>
      <c r="M470" s="1648">
        <f t="shared" si="81"/>
        <v>0</v>
      </c>
      <c r="N470" s="1648">
        <f t="shared" si="82"/>
        <v>0</v>
      </c>
      <c r="O470" s="1648">
        <f t="shared" si="83"/>
        <v>0</v>
      </c>
      <c r="P470" s="1648">
        <f t="shared" si="84"/>
        <v>0</v>
      </c>
      <c r="Q470" s="1648">
        <f t="shared" si="85"/>
        <v>0</v>
      </c>
      <c r="R470" s="55">
        <f t="shared" si="86"/>
        <v>0</v>
      </c>
      <c r="S470" s="55">
        <f t="shared" si="87"/>
        <v>0</v>
      </c>
    </row>
    <row r="471" spans="1:19" ht="53.25" hidden="1" customHeight="1">
      <c r="A471" s="1854"/>
      <c r="B471" s="1648">
        <f t="shared" si="77"/>
        <v>0</v>
      </c>
      <c r="C471" s="1866" t="s">
        <v>3365</v>
      </c>
      <c r="D471" s="1655">
        <v>70000</v>
      </c>
      <c r="E471" s="1690" t="s">
        <v>41</v>
      </c>
      <c r="F471" s="1649"/>
      <c r="G471" s="1648">
        <f t="shared" si="78"/>
        <v>0</v>
      </c>
      <c r="H471" s="1648"/>
      <c r="I471" s="1648">
        <f t="shared" si="79"/>
        <v>0</v>
      </c>
      <c r="J471" s="1648"/>
      <c r="K471" s="1648">
        <f t="shared" si="80"/>
        <v>0</v>
      </c>
      <c r="L471" s="1648"/>
      <c r="M471" s="1648">
        <f t="shared" si="81"/>
        <v>0</v>
      </c>
      <c r="N471" s="1648">
        <f t="shared" si="82"/>
        <v>0</v>
      </c>
      <c r="O471" s="1648">
        <f t="shared" si="83"/>
        <v>0</v>
      </c>
      <c r="P471" s="1648">
        <f t="shared" si="84"/>
        <v>0</v>
      </c>
      <c r="Q471" s="1648">
        <f t="shared" si="85"/>
        <v>0</v>
      </c>
      <c r="R471" s="55">
        <f t="shared" si="86"/>
        <v>0</v>
      </c>
      <c r="S471" s="55">
        <f t="shared" si="87"/>
        <v>0</v>
      </c>
    </row>
    <row r="472" spans="1:19" ht="54.75" hidden="1" customHeight="1">
      <c r="A472" s="1854"/>
      <c r="B472" s="1648">
        <f t="shared" si="77"/>
        <v>0</v>
      </c>
      <c r="C472" s="1866" t="s">
        <v>3366</v>
      </c>
      <c r="D472" s="1655">
        <v>50000</v>
      </c>
      <c r="E472" s="1690" t="s">
        <v>1715</v>
      </c>
      <c r="F472" s="1649"/>
      <c r="G472" s="1648">
        <f t="shared" si="78"/>
        <v>0</v>
      </c>
      <c r="H472" s="1648"/>
      <c r="I472" s="1648">
        <f t="shared" si="79"/>
        <v>0</v>
      </c>
      <c r="J472" s="1648"/>
      <c r="K472" s="1648">
        <f t="shared" si="80"/>
        <v>0</v>
      </c>
      <c r="L472" s="1648"/>
      <c r="M472" s="1648">
        <f t="shared" si="81"/>
        <v>0</v>
      </c>
      <c r="N472" s="1648">
        <f t="shared" si="82"/>
        <v>0</v>
      </c>
      <c r="O472" s="1648">
        <f t="shared" si="83"/>
        <v>0</v>
      </c>
      <c r="P472" s="1648">
        <f t="shared" si="84"/>
        <v>0</v>
      </c>
      <c r="Q472" s="1648">
        <f t="shared" si="85"/>
        <v>0</v>
      </c>
      <c r="R472" s="55">
        <f t="shared" si="86"/>
        <v>0</v>
      </c>
      <c r="S472" s="55">
        <f t="shared" si="87"/>
        <v>0</v>
      </c>
    </row>
    <row r="473" spans="1:19" ht="45" customHeight="1">
      <c r="A473" s="1854"/>
      <c r="B473" s="1648">
        <f t="shared" si="77"/>
        <v>71.3</v>
      </c>
      <c r="C473" s="1863" t="s">
        <v>5562</v>
      </c>
      <c r="D473" s="1654">
        <v>3656.09</v>
      </c>
      <c r="E473" s="1687" t="s">
        <v>5</v>
      </c>
      <c r="F473" s="1649">
        <f>'Detail '!I49</f>
        <v>71.3</v>
      </c>
      <c r="G473" s="1648">
        <f t="shared" si="78"/>
        <v>260679.22</v>
      </c>
      <c r="H473" s="1648"/>
      <c r="I473" s="1648">
        <f t="shared" si="79"/>
        <v>0</v>
      </c>
      <c r="J473" s="1648"/>
      <c r="K473" s="1648">
        <f t="shared" si="80"/>
        <v>0</v>
      </c>
      <c r="L473" s="1648"/>
      <c r="M473" s="1648">
        <f t="shared" si="81"/>
        <v>0</v>
      </c>
      <c r="N473" s="1648">
        <f t="shared" si="82"/>
        <v>0</v>
      </c>
      <c r="O473" s="1648">
        <f t="shared" si="83"/>
        <v>0</v>
      </c>
      <c r="P473" s="1648">
        <f t="shared" si="84"/>
        <v>71.3</v>
      </c>
      <c r="Q473" s="1648">
        <f t="shared" si="85"/>
        <v>260679.22</v>
      </c>
      <c r="R473" s="55">
        <f t="shared" si="86"/>
        <v>260679.22</v>
      </c>
      <c r="S473" s="55">
        <f t="shared" si="87"/>
        <v>0</v>
      </c>
    </row>
    <row r="474" spans="1:19" ht="45" customHeight="1">
      <c r="A474" s="1854"/>
      <c r="B474" s="1648">
        <f t="shared" si="77"/>
        <v>223.6</v>
      </c>
      <c r="C474" s="1867" t="s">
        <v>5563</v>
      </c>
      <c r="D474" s="1649">
        <f>Data!R154</f>
        <v>345.05</v>
      </c>
      <c r="E474" s="1687" t="s">
        <v>5296</v>
      </c>
      <c r="F474" s="1649">
        <f>'Detail '!I68</f>
        <v>223.6</v>
      </c>
      <c r="G474" s="1648">
        <f t="shared" si="78"/>
        <v>77153.179999999993</v>
      </c>
      <c r="H474" s="1648"/>
      <c r="I474" s="1648">
        <f t="shared" si="79"/>
        <v>0</v>
      </c>
      <c r="J474" s="1648"/>
      <c r="K474" s="1648">
        <f t="shared" si="80"/>
        <v>0</v>
      </c>
      <c r="L474" s="1648"/>
      <c r="M474" s="1648">
        <f t="shared" si="81"/>
        <v>0</v>
      </c>
      <c r="N474" s="1648">
        <f t="shared" si="82"/>
        <v>0</v>
      </c>
      <c r="O474" s="1648">
        <f t="shared" si="83"/>
        <v>0</v>
      </c>
      <c r="P474" s="1648">
        <f t="shared" si="84"/>
        <v>223.6</v>
      </c>
      <c r="Q474" s="1648">
        <f t="shared" si="85"/>
        <v>77153.179999999993</v>
      </c>
      <c r="R474" s="55">
        <f t="shared" si="86"/>
        <v>77153.179999999993</v>
      </c>
      <c r="S474" s="55">
        <f t="shared" si="87"/>
        <v>0</v>
      </c>
    </row>
    <row r="475" spans="1:19" ht="45" customHeight="1">
      <c r="A475" s="1691"/>
      <c r="B475" s="1648">
        <f t="shared" si="77"/>
        <v>220.2</v>
      </c>
      <c r="C475" s="1863" t="s">
        <v>5564</v>
      </c>
      <c r="D475" s="1649">
        <f>Data!K1442</f>
        <v>283.74</v>
      </c>
      <c r="E475" s="1687" t="s">
        <v>724</v>
      </c>
      <c r="F475" s="1649">
        <f>'Detail '!I934</f>
        <v>152.5</v>
      </c>
      <c r="G475" s="1648">
        <f t="shared" si="78"/>
        <v>43270.35</v>
      </c>
      <c r="H475" s="1648"/>
      <c r="I475" s="1648">
        <f t="shared" si="79"/>
        <v>0</v>
      </c>
      <c r="J475" s="1648">
        <f>Sump!I37</f>
        <v>67.7</v>
      </c>
      <c r="K475" s="1648">
        <f t="shared" si="80"/>
        <v>19209.2</v>
      </c>
      <c r="L475" s="1648"/>
      <c r="M475" s="1648">
        <f t="shared" si="81"/>
        <v>0</v>
      </c>
      <c r="N475" s="1648">
        <f t="shared" si="82"/>
        <v>67.7</v>
      </c>
      <c r="O475" s="1648">
        <f t="shared" si="83"/>
        <v>19209.2</v>
      </c>
      <c r="P475" s="1648">
        <f t="shared" si="84"/>
        <v>220.2</v>
      </c>
      <c r="Q475" s="1648">
        <f t="shared" si="85"/>
        <v>62479.55</v>
      </c>
      <c r="R475" s="55">
        <f t="shared" si="86"/>
        <v>62479.55</v>
      </c>
      <c r="S475" s="55">
        <f t="shared" si="87"/>
        <v>0</v>
      </c>
    </row>
    <row r="476" spans="1:19" s="1643" customFormat="1" ht="54.75" hidden="1" customHeight="1">
      <c r="A476" s="1732"/>
      <c r="B476" s="1648">
        <f t="shared" si="77"/>
        <v>0</v>
      </c>
      <c r="C476" s="1863" t="s">
        <v>5565</v>
      </c>
      <c r="D476" s="1648">
        <f>Data!R144</f>
        <v>397.43</v>
      </c>
      <c r="E476" s="1687" t="s">
        <v>5</v>
      </c>
      <c r="F476" s="1649"/>
      <c r="G476" s="1648">
        <f t="shared" si="78"/>
        <v>0</v>
      </c>
      <c r="H476" s="1648"/>
      <c r="I476" s="1648">
        <f t="shared" si="79"/>
        <v>0</v>
      </c>
      <c r="J476" s="1648"/>
      <c r="K476" s="1648">
        <f t="shared" si="80"/>
        <v>0</v>
      </c>
      <c r="L476" s="1648"/>
      <c r="M476" s="1648">
        <f t="shared" si="81"/>
        <v>0</v>
      </c>
      <c r="N476" s="1648">
        <f t="shared" si="82"/>
        <v>0</v>
      </c>
      <c r="O476" s="1648">
        <f t="shared" si="83"/>
        <v>0</v>
      </c>
      <c r="P476" s="1648">
        <f t="shared" si="84"/>
        <v>0</v>
      </c>
      <c r="Q476" s="1648">
        <f t="shared" si="85"/>
        <v>0</v>
      </c>
      <c r="R476" s="55">
        <f t="shared" si="86"/>
        <v>0</v>
      </c>
      <c r="S476" s="55">
        <f t="shared" si="87"/>
        <v>0</v>
      </c>
    </row>
    <row r="477" spans="1:19" s="1643" customFormat="1" ht="54.75" hidden="1" customHeight="1">
      <c r="A477" s="1732"/>
      <c r="B477" s="1648">
        <f t="shared" si="77"/>
        <v>0</v>
      </c>
      <c r="C477" s="1863"/>
      <c r="D477" s="1648"/>
      <c r="E477" s="1687"/>
      <c r="F477" s="1649"/>
      <c r="G477" s="1648">
        <f t="shared" si="78"/>
        <v>0</v>
      </c>
      <c r="H477" s="1648"/>
      <c r="I477" s="1648">
        <f t="shared" si="79"/>
        <v>0</v>
      </c>
      <c r="J477" s="1648"/>
      <c r="K477" s="1648">
        <f t="shared" si="80"/>
        <v>0</v>
      </c>
      <c r="L477" s="1648"/>
      <c r="M477" s="1648">
        <f t="shared" si="81"/>
        <v>0</v>
      </c>
      <c r="N477" s="1648">
        <f t="shared" si="82"/>
        <v>0</v>
      </c>
      <c r="O477" s="1648">
        <f t="shared" si="83"/>
        <v>0</v>
      </c>
      <c r="P477" s="1648">
        <f t="shared" si="84"/>
        <v>0</v>
      </c>
      <c r="Q477" s="1648">
        <f t="shared" si="85"/>
        <v>0</v>
      </c>
      <c r="R477" s="55">
        <f t="shared" si="86"/>
        <v>0</v>
      </c>
      <c r="S477" s="55">
        <f t="shared" si="87"/>
        <v>0</v>
      </c>
    </row>
    <row r="478" spans="1:19" ht="74.25" hidden="1" customHeight="1">
      <c r="A478" s="1854">
        <v>4.0999999999999996</v>
      </c>
      <c r="B478" s="1648">
        <f t="shared" si="77"/>
        <v>0</v>
      </c>
      <c r="C478" s="1864" t="s">
        <v>33</v>
      </c>
      <c r="D478" s="1649"/>
      <c r="E478" s="1687"/>
      <c r="F478" s="1649"/>
      <c r="G478" s="1648">
        <f t="shared" si="78"/>
        <v>0</v>
      </c>
      <c r="H478" s="1648"/>
      <c r="I478" s="1648">
        <f t="shared" si="79"/>
        <v>0</v>
      </c>
      <c r="J478" s="1648"/>
      <c r="K478" s="1648">
        <f t="shared" si="80"/>
        <v>0</v>
      </c>
      <c r="L478" s="1648"/>
      <c r="M478" s="1648">
        <f t="shared" si="81"/>
        <v>0</v>
      </c>
      <c r="N478" s="1648">
        <f t="shared" si="82"/>
        <v>0</v>
      </c>
      <c r="O478" s="1648">
        <f t="shared" si="83"/>
        <v>0</v>
      </c>
      <c r="P478" s="1648">
        <f t="shared" si="84"/>
        <v>0</v>
      </c>
      <c r="Q478" s="1648">
        <f t="shared" si="85"/>
        <v>0</v>
      </c>
      <c r="R478" s="55">
        <f t="shared" si="86"/>
        <v>0</v>
      </c>
      <c r="S478" s="55">
        <f t="shared" si="87"/>
        <v>0</v>
      </c>
    </row>
    <row r="479" spans="1:19" ht="50.25" hidden="1" customHeight="1">
      <c r="A479" s="1854"/>
      <c r="B479" s="1648">
        <f t="shared" si="77"/>
        <v>0</v>
      </c>
      <c r="C479" s="1863" t="s">
        <v>5367</v>
      </c>
      <c r="D479" s="1649">
        <f>Data!X718</f>
        <v>8064.28</v>
      </c>
      <c r="E479" s="1687" t="s">
        <v>5</v>
      </c>
      <c r="F479" s="1649"/>
      <c r="G479" s="1648">
        <f t="shared" si="78"/>
        <v>0</v>
      </c>
      <c r="H479" s="1648"/>
      <c r="I479" s="1648">
        <f t="shared" si="79"/>
        <v>0</v>
      </c>
      <c r="J479" s="1648"/>
      <c r="K479" s="1648">
        <f t="shared" si="80"/>
        <v>0</v>
      </c>
      <c r="L479" s="1648"/>
      <c r="M479" s="1648">
        <f t="shared" si="81"/>
        <v>0</v>
      </c>
      <c r="N479" s="1648">
        <f t="shared" si="82"/>
        <v>0</v>
      </c>
      <c r="O479" s="1648">
        <f t="shared" si="83"/>
        <v>0</v>
      </c>
      <c r="P479" s="1648">
        <f t="shared" si="84"/>
        <v>0</v>
      </c>
      <c r="Q479" s="1648">
        <f t="shared" si="85"/>
        <v>0</v>
      </c>
      <c r="R479" s="55">
        <f t="shared" si="86"/>
        <v>0</v>
      </c>
      <c r="S479" s="55">
        <f t="shared" si="87"/>
        <v>0</v>
      </c>
    </row>
    <row r="480" spans="1:19" ht="50.25" hidden="1" customHeight="1">
      <c r="A480" s="1854">
        <v>8.1</v>
      </c>
      <c r="B480" s="1648">
        <f t="shared" si="77"/>
        <v>0</v>
      </c>
      <c r="C480" s="1863" t="s">
        <v>5566</v>
      </c>
      <c r="D480" s="1649">
        <f>Data!X720</f>
        <v>8189.24</v>
      </c>
      <c r="E480" s="1687" t="s">
        <v>5</v>
      </c>
      <c r="F480" s="1649"/>
      <c r="G480" s="1648">
        <f t="shared" si="78"/>
        <v>0</v>
      </c>
      <c r="H480" s="1648"/>
      <c r="I480" s="1648">
        <f t="shared" si="79"/>
        <v>0</v>
      </c>
      <c r="J480" s="1648"/>
      <c r="K480" s="1648">
        <f t="shared" si="80"/>
        <v>0</v>
      </c>
      <c r="L480" s="1648"/>
      <c r="M480" s="1648">
        <f t="shared" si="81"/>
        <v>0</v>
      </c>
      <c r="N480" s="1648">
        <f t="shared" si="82"/>
        <v>0</v>
      </c>
      <c r="O480" s="1648">
        <f t="shared" si="83"/>
        <v>0</v>
      </c>
      <c r="P480" s="1648">
        <f t="shared" si="84"/>
        <v>0</v>
      </c>
      <c r="Q480" s="1648">
        <f t="shared" si="85"/>
        <v>0</v>
      </c>
      <c r="R480" s="55">
        <f t="shared" si="86"/>
        <v>0</v>
      </c>
      <c r="S480" s="55">
        <f t="shared" si="87"/>
        <v>0</v>
      </c>
    </row>
    <row r="481" spans="1:19" ht="50.25" hidden="1" customHeight="1">
      <c r="A481" s="1854"/>
      <c r="B481" s="1648">
        <f t="shared" si="77"/>
        <v>0</v>
      </c>
      <c r="C481" s="1863" t="s">
        <v>5369</v>
      </c>
      <c r="D481" s="1649">
        <f>Data!X721</f>
        <v>8435.42</v>
      </c>
      <c r="E481" s="1687" t="s">
        <v>5</v>
      </c>
      <c r="F481" s="1649"/>
      <c r="G481" s="1648">
        <f t="shared" si="78"/>
        <v>0</v>
      </c>
      <c r="H481" s="1648"/>
      <c r="I481" s="1648">
        <f t="shared" si="79"/>
        <v>0</v>
      </c>
      <c r="J481" s="1648"/>
      <c r="K481" s="1648">
        <f t="shared" si="80"/>
        <v>0</v>
      </c>
      <c r="L481" s="1648"/>
      <c r="M481" s="1648">
        <f t="shared" si="81"/>
        <v>0</v>
      </c>
      <c r="N481" s="1648">
        <f t="shared" si="82"/>
        <v>0</v>
      </c>
      <c r="O481" s="1648">
        <f t="shared" si="83"/>
        <v>0</v>
      </c>
      <c r="P481" s="1648">
        <f t="shared" si="84"/>
        <v>0</v>
      </c>
      <c r="Q481" s="1648">
        <f t="shared" si="85"/>
        <v>0</v>
      </c>
      <c r="R481" s="55">
        <f t="shared" si="86"/>
        <v>0</v>
      </c>
      <c r="S481" s="55">
        <f t="shared" si="87"/>
        <v>0</v>
      </c>
    </row>
    <row r="482" spans="1:19" ht="50.25" hidden="1" customHeight="1">
      <c r="A482" s="1854"/>
      <c r="B482" s="1648">
        <f t="shared" si="77"/>
        <v>0</v>
      </c>
      <c r="C482" s="1863" t="s">
        <v>5370</v>
      </c>
      <c r="D482" s="1649">
        <f>Data!X722</f>
        <v>8681.6</v>
      </c>
      <c r="E482" s="1687" t="s">
        <v>5</v>
      </c>
      <c r="F482" s="1649"/>
      <c r="G482" s="1648">
        <f t="shared" si="78"/>
        <v>0</v>
      </c>
      <c r="H482" s="1648"/>
      <c r="I482" s="1648">
        <f t="shared" si="79"/>
        <v>0</v>
      </c>
      <c r="J482" s="1648"/>
      <c r="K482" s="1648">
        <f t="shared" si="80"/>
        <v>0</v>
      </c>
      <c r="L482" s="1648"/>
      <c r="M482" s="1648">
        <f t="shared" si="81"/>
        <v>0</v>
      </c>
      <c r="N482" s="1648">
        <f t="shared" si="82"/>
        <v>0</v>
      </c>
      <c r="O482" s="1648">
        <f t="shared" si="83"/>
        <v>0</v>
      </c>
      <c r="P482" s="1648">
        <f t="shared" si="84"/>
        <v>0</v>
      </c>
      <c r="Q482" s="1648">
        <f t="shared" si="85"/>
        <v>0</v>
      </c>
      <c r="R482" s="55">
        <f t="shared" si="86"/>
        <v>0</v>
      </c>
      <c r="S482" s="55">
        <f t="shared" si="87"/>
        <v>0</v>
      </c>
    </row>
    <row r="483" spans="1:19" ht="50.25" hidden="1" customHeight="1">
      <c r="A483" s="1854"/>
      <c r="B483" s="1648">
        <f t="shared" si="77"/>
        <v>0</v>
      </c>
      <c r="C483" s="1863" t="s">
        <v>5395</v>
      </c>
      <c r="D483" s="1649">
        <f>Data!X723</f>
        <v>8927.7800000000007</v>
      </c>
      <c r="E483" s="1687" t="s">
        <v>5</v>
      </c>
      <c r="F483" s="1649"/>
      <c r="G483" s="1648">
        <f t="shared" si="78"/>
        <v>0</v>
      </c>
      <c r="H483" s="1648"/>
      <c r="I483" s="1648">
        <f t="shared" si="79"/>
        <v>0</v>
      </c>
      <c r="J483" s="1648"/>
      <c r="K483" s="1648">
        <f t="shared" si="80"/>
        <v>0</v>
      </c>
      <c r="L483" s="1648"/>
      <c r="M483" s="1648">
        <f t="shared" si="81"/>
        <v>0</v>
      </c>
      <c r="N483" s="1648">
        <f t="shared" si="82"/>
        <v>0</v>
      </c>
      <c r="O483" s="1648">
        <f t="shared" si="83"/>
        <v>0</v>
      </c>
      <c r="P483" s="1648">
        <f t="shared" si="84"/>
        <v>0</v>
      </c>
      <c r="Q483" s="1648">
        <f t="shared" si="85"/>
        <v>0</v>
      </c>
      <c r="R483" s="55">
        <f t="shared" si="86"/>
        <v>0</v>
      </c>
      <c r="S483" s="55">
        <f t="shared" si="87"/>
        <v>0</v>
      </c>
    </row>
    <row r="484" spans="1:19" ht="51.95" hidden="1" customHeight="1">
      <c r="A484" s="1854">
        <v>4.0999999999999996</v>
      </c>
      <c r="B484" s="1648">
        <f t="shared" si="77"/>
        <v>0</v>
      </c>
      <c r="C484" s="1864" t="s">
        <v>4199</v>
      </c>
      <c r="D484" s="1649"/>
      <c r="E484" s="1687"/>
      <c r="F484" s="1649"/>
      <c r="G484" s="1648">
        <f t="shared" si="78"/>
        <v>0</v>
      </c>
      <c r="H484" s="1648"/>
      <c r="I484" s="1648">
        <f t="shared" si="79"/>
        <v>0</v>
      </c>
      <c r="J484" s="1648"/>
      <c r="K484" s="1648">
        <f t="shared" si="80"/>
        <v>0</v>
      </c>
      <c r="L484" s="1648"/>
      <c r="M484" s="1648">
        <f t="shared" si="81"/>
        <v>0</v>
      </c>
      <c r="N484" s="1648">
        <f t="shared" si="82"/>
        <v>0</v>
      </c>
      <c r="O484" s="1648">
        <f t="shared" si="83"/>
        <v>0</v>
      </c>
      <c r="P484" s="1648">
        <f t="shared" si="84"/>
        <v>0</v>
      </c>
      <c r="Q484" s="1648">
        <f t="shared" si="85"/>
        <v>0</v>
      </c>
      <c r="R484" s="55">
        <f t="shared" si="86"/>
        <v>0</v>
      </c>
      <c r="S484" s="55">
        <f t="shared" si="87"/>
        <v>0</v>
      </c>
    </row>
    <row r="485" spans="1:19" ht="49.5" hidden="1" customHeight="1">
      <c r="A485" s="1854"/>
      <c r="B485" s="1648">
        <f t="shared" si="77"/>
        <v>0</v>
      </c>
      <c r="C485" s="1863" t="s">
        <v>5367</v>
      </c>
      <c r="D485" s="1649">
        <f>Data!X742</f>
        <v>8252.94</v>
      </c>
      <c r="E485" s="1687" t="s">
        <v>5</v>
      </c>
      <c r="F485" s="1649"/>
      <c r="G485" s="1648">
        <f t="shared" si="78"/>
        <v>0</v>
      </c>
      <c r="H485" s="1648"/>
      <c r="I485" s="1648">
        <f t="shared" si="79"/>
        <v>0</v>
      </c>
      <c r="J485" s="1648"/>
      <c r="K485" s="1648">
        <f t="shared" si="80"/>
        <v>0</v>
      </c>
      <c r="L485" s="1648"/>
      <c r="M485" s="1648">
        <f t="shared" si="81"/>
        <v>0</v>
      </c>
      <c r="N485" s="1648">
        <f t="shared" si="82"/>
        <v>0</v>
      </c>
      <c r="O485" s="1648">
        <f t="shared" si="83"/>
        <v>0</v>
      </c>
      <c r="P485" s="1648">
        <f t="shared" si="84"/>
        <v>0</v>
      </c>
      <c r="Q485" s="1648">
        <f t="shared" si="85"/>
        <v>0</v>
      </c>
      <c r="R485" s="55">
        <f t="shared" si="86"/>
        <v>0</v>
      </c>
      <c r="S485" s="55">
        <f t="shared" si="87"/>
        <v>0</v>
      </c>
    </row>
    <row r="486" spans="1:19" ht="50.25" hidden="1" customHeight="1">
      <c r="A486" s="1854">
        <v>8.1</v>
      </c>
      <c r="B486" s="1648">
        <f t="shared" si="77"/>
        <v>0</v>
      </c>
      <c r="C486" s="1863" t="s">
        <v>5566</v>
      </c>
      <c r="D486" s="1649">
        <f>Data!X744</f>
        <v>8377.9</v>
      </c>
      <c r="E486" s="1687" t="s">
        <v>5</v>
      </c>
      <c r="F486" s="1649"/>
      <c r="G486" s="1648">
        <f t="shared" si="78"/>
        <v>0</v>
      </c>
      <c r="H486" s="1648"/>
      <c r="I486" s="1648">
        <f t="shared" si="79"/>
        <v>0</v>
      </c>
      <c r="J486" s="1648"/>
      <c r="K486" s="1648">
        <f t="shared" si="80"/>
        <v>0</v>
      </c>
      <c r="L486" s="1648"/>
      <c r="M486" s="1648">
        <f t="shared" si="81"/>
        <v>0</v>
      </c>
      <c r="N486" s="1648">
        <f t="shared" si="82"/>
        <v>0</v>
      </c>
      <c r="O486" s="1648">
        <f t="shared" si="83"/>
        <v>0</v>
      </c>
      <c r="P486" s="1648">
        <f t="shared" si="84"/>
        <v>0</v>
      </c>
      <c r="Q486" s="1648">
        <f t="shared" si="85"/>
        <v>0</v>
      </c>
      <c r="R486" s="55">
        <f t="shared" si="86"/>
        <v>0</v>
      </c>
      <c r="S486" s="55">
        <f t="shared" si="87"/>
        <v>0</v>
      </c>
    </row>
    <row r="487" spans="1:19" ht="50.25" hidden="1" customHeight="1">
      <c r="A487" s="1854"/>
      <c r="B487" s="1648">
        <f t="shared" si="77"/>
        <v>0</v>
      </c>
      <c r="C487" s="1863" t="s">
        <v>5369</v>
      </c>
      <c r="D487" s="1649">
        <f>Data!X745</f>
        <v>8624.08</v>
      </c>
      <c r="E487" s="1687" t="s">
        <v>5</v>
      </c>
      <c r="F487" s="1649"/>
      <c r="G487" s="1648">
        <f t="shared" si="78"/>
        <v>0</v>
      </c>
      <c r="H487" s="1648"/>
      <c r="I487" s="1648">
        <f t="shared" si="79"/>
        <v>0</v>
      </c>
      <c r="J487" s="1648"/>
      <c r="K487" s="1648">
        <f t="shared" si="80"/>
        <v>0</v>
      </c>
      <c r="L487" s="1648"/>
      <c r="M487" s="1648">
        <f t="shared" si="81"/>
        <v>0</v>
      </c>
      <c r="N487" s="1648">
        <f t="shared" si="82"/>
        <v>0</v>
      </c>
      <c r="O487" s="1648">
        <f t="shared" si="83"/>
        <v>0</v>
      </c>
      <c r="P487" s="1648">
        <f t="shared" si="84"/>
        <v>0</v>
      </c>
      <c r="Q487" s="1648">
        <f t="shared" si="85"/>
        <v>0</v>
      </c>
      <c r="R487" s="55">
        <f t="shared" si="86"/>
        <v>0</v>
      </c>
      <c r="S487" s="55">
        <f t="shared" si="87"/>
        <v>0</v>
      </c>
    </row>
    <row r="488" spans="1:19" ht="50.25" hidden="1" customHeight="1">
      <c r="A488" s="1854"/>
      <c r="B488" s="1648">
        <f t="shared" si="77"/>
        <v>0</v>
      </c>
      <c r="C488" s="1863" t="s">
        <v>5370</v>
      </c>
      <c r="D488" s="1649">
        <f>Data!X746</f>
        <v>8870.26</v>
      </c>
      <c r="E488" s="1687" t="s">
        <v>5</v>
      </c>
      <c r="F488" s="1649"/>
      <c r="G488" s="1648">
        <f t="shared" si="78"/>
        <v>0</v>
      </c>
      <c r="H488" s="1648"/>
      <c r="I488" s="1648">
        <f t="shared" si="79"/>
        <v>0</v>
      </c>
      <c r="J488" s="1648"/>
      <c r="K488" s="1648">
        <f t="shared" si="80"/>
        <v>0</v>
      </c>
      <c r="L488" s="1648"/>
      <c r="M488" s="1648">
        <f t="shared" si="81"/>
        <v>0</v>
      </c>
      <c r="N488" s="1648">
        <f t="shared" si="82"/>
        <v>0</v>
      </c>
      <c r="O488" s="1648">
        <f t="shared" si="83"/>
        <v>0</v>
      </c>
      <c r="P488" s="1648">
        <f t="shared" si="84"/>
        <v>0</v>
      </c>
      <c r="Q488" s="1648">
        <f t="shared" si="85"/>
        <v>0</v>
      </c>
      <c r="R488" s="55">
        <f t="shared" si="86"/>
        <v>0</v>
      </c>
      <c r="S488" s="55">
        <f t="shared" si="87"/>
        <v>0</v>
      </c>
    </row>
    <row r="489" spans="1:19" ht="50.25" hidden="1" customHeight="1">
      <c r="A489" s="1854"/>
      <c r="B489" s="1648">
        <f t="shared" si="77"/>
        <v>0</v>
      </c>
      <c r="C489" s="1863" t="s">
        <v>5395</v>
      </c>
      <c r="D489" s="1649">
        <f>Data!X747</f>
        <v>9116.44</v>
      </c>
      <c r="E489" s="1687" t="s">
        <v>5</v>
      </c>
      <c r="F489" s="1649"/>
      <c r="G489" s="1648">
        <f t="shared" si="78"/>
        <v>0</v>
      </c>
      <c r="H489" s="1648"/>
      <c r="I489" s="1648">
        <f t="shared" si="79"/>
        <v>0</v>
      </c>
      <c r="J489" s="1648"/>
      <c r="K489" s="1648">
        <f t="shared" si="80"/>
        <v>0</v>
      </c>
      <c r="L489" s="1648"/>
      <c r="M489" s="1648">
        <f t="shared" si="81"/>
        <v>0</v>
      </c>
      <c r="N489" s="1648">
        <f t="shared" si="82"/>
        <v>0</v>
      </c>
      <c r="O489" s="1648">
        <f t="shared" si="83"/>
        <v>0</v>
      </c>
      <c r="P489" s="1648">
        <f t="shared" si="84"/>
        <v>0</v>
      </c>
      <c r="Q489" s="1648">
        <f t="shared" si="85"/>
        <v>0</v>
      </c>
      <c r="R489" s="55">
        <f t="shared" si="86"/>
        <v>0</v>
      </c>
      <c r="S489" s="55">
        <f t="shared" si="87"/>
        <v>0</v>
      </c>
    </row>
    <row r="490" spans="1:19" ht="48.75" hidden="1" customHeight="1">
      <c r="A490" s="1854"/>
      <c r="B490" s="1648">
        <f t="shared" si="77"/>
        <v>0</v>
      </c>
      <c r="C490" s="1863" t="s">
        <v>5567</v>
      </c>
      <c r="D490" s="1649">
        <f>Data!X748</f>
        <v>9362.6200000000008</v>
      </c>
      <c r="E490" s="1687" t="s">
        <v>5</v>
      </c>
      <c r="F490" s="1649"/>
      <c r="G490" s="1648">
        <f t="shared" si="78"/>
        <v>0</v>
      </c>
      <c r="H490" s="1648"/>
      <c r="I490" s="1648">
        <f t="shared" si="79"/>
        <v>0</v>
      </c>
      <c r="J490" s="1648"/>
      <c r="K490" s="1648">
        <f t="shared" si="80"/>
        <v>0</v>
      </c>
      <c r="L490" s="1648"/>
      <c r="M490" s="1648">
        <f t="shared" si="81"/>
        <v>0</v>
      </c>
      <c r="N490" s="1648">
        <f t="shared" si="82"/>
        <v>0</v>
      </c>
      <c r="O490" s="1648">
        <f t="shared" si="83"/>
        <v>0</v>
      </c>
      <c r="P490" s="1648">
        <f t="shared" si="84"/>
        <v>0</v>
      </c>
      <c r="Q490" s="1648">
        <f t="shared" si="85"/>
        <v>0</v>
      </c>
      <c r="R490" s="55">
        <f t="shared" si="86"/>
        <v>0</v>
      </c>
      <c r="S490" s="55">
        <f t="shared" si="87"/>
        <v>0</v>
      </c>
    </row>
    <row r="491" spans="1:19" ht="48.75" hidden="1" customHeight="1">
      <c r="A491" s="1854"/>
      <c r="B491" s="1648">
        <f t="shared" si="77"/>
        <v>0</v>
      </c>
      <c r="C491" s="1863" t="s">
        <v>5568</v>
      </c>
      <c r="D491" s="1649">
        <f>Data!X749</f>
        <v>9460.9599999999991</v>
      </c>
      <c r="E491" s="1687" t="s">
        <v>5</v>
      </c>
      <c r="F491" s="1649"/>
      <c r="G491" s="1648">
        <f t="shared" si="78"/>
        <v>0</v>
      </c>
      <c r="H491" s="1648"/>
      <c r="I491" s="1648">
        <f t="shared" si="79"/>
        <v>0</v>
      </c>
      <c r="J491" s="1648"/>
      <c r="K491" s="1648">
        <f t="shared" si="80"/>
        <v>0</v>
      </c>
      <c r="L491" s="1648"/>
      <c r="M491" s="1648">
        <f t="shared" si="81"/>
        <v>0</v>
      </c>
      <c r="N491" s="1648">
        <f t="shared" si="82"/>
        <v>0</v>
      </c>
      <c r="O491" s="1648">
        <f t="shared" si="83"/>
        <v>0</v>
      </c>
      <c r="P491" s="1648">
        <f t="shared" si="84"/>
        <v>0</v>
      </c>
      <c r="Q491" s="1648">
        <f t="shared" si="85"/>
        <v>0</v>
      </c>
      <c r="R491" s="55">
        <f t="shared" si="86"/>
        <v>0</v>
      </c>
      <c r="S491" s="55">
        <f t="shared" si="87"/>
        <v>0</v>
      </c>
    </row>
    <row r="492" spans="1:19" ht="61.5" customHeight="1">
      <c r="A492" s="1854" t="s">
        <v>5569</v>
      </c>
      <c r="B492" s="1648">
        <f t="shared" si="77"/>
        <v>0</v>
      </c>
      <c r="C492" s="1865" t="s">
        <v>66</v>
      </c>
      <c r="D492" s="1649"/>
      <c r="E492" s="1687"/>
      <c r="F492" s="1649"/>
      <c r="G492" s="1648">
        <f t="shared" si="78"/>
        <v>0</v>
      </c>
      <c r="H492" s="1648"/>
      <c r="I492" s="1648">
        <f t="shared" si="79"/>
        <v>0</v>
      </c>
      <c r="J492" s="1648"/>
      <c r="K492" s="1648">
        <f t="shared" si="80"/>
        <v>0</v>
      </c>
      <c r="L492" s="1648"/>
      <c r="M492" s="1648">
        <f t="shared" si="81"/>
        <v>0</v>
      </c>
      <c r="N492" s="1648">
        <f t="shared" si="82"/>
        <v>0</v>
      </c>
      <c r="O492" s="1648">
        <f t="shared" si="83"/>
        <v>0</v>
      </c>
      <c r="P492" s="1648">
        <f t="shared" si="84"/>
        <v>0</v>
      </c>
      <c r="Q492" s="1648">
        <f t="shared" si="85"/>
        <v>0</v>
      </c>
      <c r="R492" s="55">
        <f t="shared" si="86"/>
        <v>0</v>
      </c>
      <c r="S492" s="55">
        <f t="shared" si="87"/>
        <v>0</v>
      </c>
    </row>
    <row r="493" spans="1:19" ht="38.25" customHeight="1">
      <c r="A493" s="1854"/>
      <c r="B493" s="1648">
        <f t="shared" si="77"/>
        <v>267.39999999999998</v>
      </c>
      <c r="C493" s="1863" t="s">
        <v>5367</v>
      </c>
      <c r="D493" s="1649">
        <f>Data!X688</f>
        <v>8608.5499999999993</v>
      </c>
      <c r="E493" s="1687" t="s">
        <v>5</v>
      </c>
      <c r="F493" s="1649">
        <f>'Detail '!I135</f>
        <v>258.39999999999998</v>
      </c>
      <c r="G493" s="1648">
        <f t="shared" si="78"/>
        <v>2224449.3199999998</v>
      </c>
      <c r="H493" s="1648"/>
      <c r="I493" s="1648">
        <f t="shared" si="79"/>
        <v>0</v>
      </c>
      <c r="J493" s="1648">
        <f>Sump!I20</f>
        <v>9</v>
      </c>
      <c r="K493" s="1648">
        <f t="shared" si="80"/>
        <v>77476.95</v>
      </c>
      <c r="L493" s="1648"/>
      <c r="M493" s="1648">
        <f t="shared" si="81"/>
        <v>0</v>
      </c>
      <c r="N493" s="1648">
        <f t="shared" si="82"/>
        <v>9</v>
      </c>
      <c r="O493" s="1648">
        <f t="shared" si="83"/>
        <v>77476.95</v>
      </c>
      <c r="P493" s="1648">
        <f t="shared" si="84"/>
        <v>267.39999999999998</v>
      </c>
      <c r="Q493" s="1648">
        <f t="shared" si="85"/>
        <v>2301926.27</v>
      </c>
      <c r="R493" s="55">
        <f t="shared" si="86"/>
        <v>2301926.27</v>
      </c>
      <c r="S493" s="55">
        <f t="shared" si="87"/>
        <v>0</v>
      </c>
    </row>
    <row r="494" spans="1:19" ht="38.25" customHeight="1">
      <c r="A494" s="1854"/>
      <c r="B494" s="1648">
        <f t="shared" si="77"/>
        <v>122.7</v>
      </c>
      <c r="C494" s="1863" t="s">
        <v>5368</v>
      </c>
      <c r="D494" s="1649">
        <f>Data!X690</f>
        <v>8733.51</v>
      </c>
      <c r="E494" s="1687" t="s">
        <v>5</v>
      </c>
      <c r="F494" s="1649">
        <f>'Detail '!I187</f>
        <v>122.7</v>
      </c>
      <c r="G494" s="1648">
        <f t="shared" si="78"/>
        <v>1071601.68</v>
      </c>
      <c r="H494" s="1648"/>
      <c r="I494" s="1648">
        <f t="shared" si="79"/>
        <v>0</v>
      </c>
      <c r="J494" s="1648"/>
      <c r="K494" s="1648">
        <f t="shared" si="80"/>
        <v>0</v>
      </c>
      <c r="L494" s="1648"/>
      <c r="M494" s="1648">
        <f t="shared" si="81"/>
        <v>0</v>
      </c>
      <c r="N494" s="1648">
        <f t="shared" si="82"/>
        <v>0</v>
      </c>
      <c r="O494" s="1648">
        <f t="shared" si="83"/>
        <v>0</v>
      </c>
      <c r="P494" s="1648">
        <f t="shared" si="84"/>
        <v>122.7</v>
      </c>
      <c r="Q494" s="1648">
        <f t="shared" si="85"/>
        <v>1071601.68</v>
      </c>
      <c r="R494" s="55">
        <f t="shared" si="86"/>
        <v>1071601.68</v>
      </c>
      <c r="S494" s="55">
        <f t="shared" si="87"/>
        <v>0</v>
      </c>
    </row>
    <row r="495" spans="1:19" ht="38.25" customHeight="1">
      <c r="A495" s="1854"/>
      <c r="B495" s="1648">
        <f t="shared" si="77"/>
        <v>125.4</v>
      </c>
      <c r="C495" s="1863" t="s">
        <v>5369</v>
      </c>
      <c r="D495" s="1649">
        <f>Data!X691</f>
        <v>8979.69</v>
      </c>
      <c r="E495" s="1687" t="s">
        <v>5</v>
      </c>
      <c r="F495" s="1649">
        <f>'Detail '!I233</f>
        <v>125.4</v>
      </c>
      <c r="G495" s="1648">
        <f t="shared" si="78"/>
        <v>1126053.1299999999</v>
      </c>
      <c r="H495" s="1648"/>
      <c r="I495" s="1648">
        <f t="shared" si="79"/>
        <v>0</v>
      </c>
      <c r="J495" s="1648"/>
      <c r="K495" s="1648">
        <f t="shared" si="80"/>
        <v>0</v>
      </c>
      <c r="L495" s="1648"/>
      <c r="M495" s="1648">
        <f t="shared" si="81"/>
        <v>0</v>
      </c>
      <c r="N495" s="1648">
        <f t="shared" si="82"/>
        <v>0</v>
      </c>
      <c r="O495" s="1648">
        <f t="shared" si="83"/>
        <v>0</v>
      </c>
      <c r="P495" s="1648">
        <f t="shared" si="84"/>
        <v>125.4</v>
      </c>
      <c r="Q495" s="1648">
        <f t="shared" si="85"/>
        <v>1126053.1299999999</v>
      </c>
      <c r="R495" s="55">
        <f t="shared" si="86"/>
        <v>1126053.1299999999</v>
      </c>
      <c r="S495" s="55">
        <f t="shared" si="87"/>
        <v>0</v>
      </c>
    </row>
    <row r="496" spans="1:19" ht="31.5" customHeight="1">
      <c r="A496" s="1854"/>
      <c r="B496" s="1648">
        <f t="shared" si="77"/>
        <v>158.19999999999999</v>
      </c>
      <c r="C496" s="1863" t="s">
        <v>5370</v>
      </c>
      <c r="D496" s="1649">
        <f>Data!X692</f>
        <v>9225.8700000000008</v>
      </c>
      <c r="E496" s="1687" t="s">
        <v>5</v>
      </c>
      <c r="F496" s="1649">
        <f>'Detail '!I285</f>
        <v>158.19999999999999</v>
      </c>
      <c r="G496" s="1648">
        <f t="shared" si="78"/>
        <v>1459532.63</v>
      </c>
      <c r="H496" s="1648"/>
      <c r="I496" s="1648">
        <f t="shared" si="79"/>
        <v>0</v>
      </c>
      <c r="J496" s="1648"/>
      <c r="K496" s="1648">
        <f t="shared" si="80"/>
        <v>0</v>
      </c>
      <c r="L496" s="1648"/>
      <c r="M496" s="1648">
        <f t="shared" si="81"/>
        <v>0</v>
      </c>
      <c r="N496" s="1648">
        <f t="shared" si="82"/>
        <v>0</v>
      </c>
      <c r="O496" s="1648">
        <f t="shared" si="83"/>
        <v>0</v>
      </c>
      <c r="P496" s="1648">
        <f t="shared" si="84"/>
        <v>158.19999999999999</v>
      </c>
      <c r="Q496" s="1648">
        <f t="shared" si="85"/>
        <v>1459532.63</v>
      </c>
      <c r="R496" s="55">
        <f t="shared" si="86"/>
        <v>1459532.63</v>
      </c>
      <c r="S496" s="55">
        <f t="shared" si="87"/>
        <v>0</v>
      </c>
    </row>
    <row r="497" spans="1:19" ht="50.25" customHeight="1">
      <c r="A497" s="1854"/>
      <c r="B497" s="1648">
        <f t="shared" si="77"/>
        <v>153.19999999999999</v>
      </c>
      <c r="C497" s="1863" t="s">
        <v>5395</v>
      </c>
      <c r="D497" s="1649">
        <f>Data!X693</f>
        <v>9472.0499999999993</v>
      </c>
      <c r="E497" s="1687" t="s">
        <v>5</v>
      </c>
      <c r="F497" s="1649">
        <f>'Detail '!I340</f>
        <v>153.19999999999999</v>
      </c>
      <c r="G497" s="1648">
        <f t="shared" si="78"/>
        <v>1451118.06</v>
      </c>
      <c r="H497" s="1648"/>
      <c r="I497" s="1648">
        <f t="shared" si="79"/>
        <v>0</v>
      </c>
      <c r="J497" s="1648"/>
      <c r="K497" s="1648">
        <f t="shared" si="80"/>
        <v>0</v>
      </c>
      <c r="L497" s="1648"/>
      <c r="M497" s="1648">
        <f t="shared" si="81"/>
        <v>0</v>
      </c>
      <c r="N497" s="1648">
        <f t="shared" si="82"/>
        <v>0</v>
      </c>
      <c r="O497" s="1648">
        <f t="shared" si="83"/>
        <v>0</v>
      </c>
      <c r="P497" s="1648">
        <f t="shared" si="84"/>
        <v>153.19999999999999</v>
      </c>
      <c r="Q497" s="1648">
        <f t="shared" si="85"/>
        <v>1451118.06</v>
      </c>
      <c r="R497" s="55">
        <f t="shared" si="86"/>
        <v>1451118.06</v>
      </c>
      <c r="S497" s="55">
        <f t="shared" si="87"/>
        <v>0</v>
      </c>
    </row>
    <row r="498" spans="1:19" ht="50.25" customHeight="1">
      <c r="A498" s="1854"/>
      <c r="B498" s="1648">
        <f t="shared" si="77"/>
        <v>157.9</v>
      </c>
      <c r="C498" s="1863" t="s">
        <v>7005</v>
      </c>
      <c r="D498" s="1649">
        <f>Data!X694</f>
        <v>9718.23</v>
      </c>
      <c r="E498" s="1687" t="s">
        <v>5</v>
      </c>
      <c r="F498" s="1649">
        <f>'Detail '!I390</f>
        <v>157.9</v>
      </c>
      <c r="G498" s="1648">
        <f t="shared" si="78"/>
        <v>1534508.52</v>
      </c>
      <c r="H498" s="1648"/>
      <c r="I498" s="1648">
        <f t="shared" si="79"/>
        <v>0</v>
      </c>
      <c r="J498" s="1648"/>
      <c r="K498" s="1648">
        <f t="shared" si="80"/>
        <v>0</v>
      </c>
      <c r="L498" s="1648"/>
      <c r="M498" s="1648">
        <f t="shared" si="81"/>
        <v>0</v>
      </c>
      <c r="N498" s="1648">
        <f t="shared" si="82"/>
        <v>0</v>
      </c>
      <c r="O498" s="1648">
        <f t="shared" si="83"/>
        <v>0</v>
      </c>
      <c r="P498" s="1648">
        <f t="shared" si="84"/>
        <v>157.9</v>
      </c>
      <c r="Q498" s="1648">
        <f t="shared" si="85"/>
        <v>1534508.52</v>
      </c>
      <c r="R498" s="55">
        <f t="shared" si="86"/>
        <v>1534508.52</v>
      </c>
      <c r="S498" s="55">
        <f t="shared" si="87"/>
        <v>0</v>
      </c>
    </row>
    <row r="499" spans="1:19" ht="48.75" hidden="1" customHeight="1">
      <c r="A499" s="1854" t="s">
        <v>5569</v>
      </c>
      <c r="B499" s="1648">
        <f t="shared" si="77"/>
        <v>0</v>
      </c>
      <c r="C499" s="1865" t="s">
        <v>4205</v>
      </c>
      <c r="D499" s="1649"/>
      <c r="E499" s="1687" t="s">
        <v>5</v>
      </c>
      <c r="F499" s="1649"/>
      <c r="G499" s="1648">
        <f t="shared" si="78"/>
        <v>0</v>
      </c>
      <c r="H499" s="1648"/>
      <c r="I499" s="1648">
        <f t="shared" si="79"/>
        <v>0</v>
      </c>
      <c r="J499" s="1648"/>
      <c r="K499" s="1648">
        <f t="shared" si="80"/>
        <v>0</v>
      </c>
      <c r="L499" s="1648"/>
      <c r="M499" s="1648">
        <f t="shared" si="81"/>
        <v>0</v>
      </c>
      <c r="N499" s="1648">
        <f t="shared" si="82"/>
        <v>0</v>
      </c>
      <c r="O499" s="1648">
        <f t="shared" si="83"/>
        <v>0</v>
      </c>
      <c r="P499" s="1648">
        <f t="shared" si="84"/>
        <v>0</v>
      </c>
      <c r="Q499" s="1648">
        <f t="shared" si="85"/>
        <v>0</v>
      </c>
      <c r="R499" s="55">
        <f t="shared" si="86"/>
        <v>0</v>
      </c>
      <c r="S499" s="55">
        <f t="shared" si="87"/>
        <v>0</v>
      </c>
    </row>
    <row r="500" spans="1:19" ht="48.75" hidden="1" customHeight="1">
      <c r="A500" s="1854"/>
      <c r="B500" s="1648">
        <f t="shared" si="77"/>
        <v>0</v>
      </c>
      <c r="C500" s="1863" t="s">
        <v>5367</v>
      </c>
      <c r="D500" s="1649">
        <f>Data!X694</f>
        <v>9718.23</v>
      </c>
      <c r="E500" s="1687" t="s">
        <v>5</v>
      </c>
      <c r="F500" s="1649"/>
      <c r="G500" s="1648">
        <f t="shared" si="78"/>
        <v>0</v>
      </c>
      <c r="H500" s="1648"/>
      <c r="I500" s="1648">
        <f t="shared" si="79"/>
        <v>0</v>
      </c>
      <c r="J500" s="1648"/>
      <c r="K500" s="1648">
        <f t="shared" si="80"/>
        <v>0</v>
      </c>
      <c r="L500" s="1648"/>
      <c r="M500" s="1648">
        <f t="shared" si="81"/>
        <v>0</v>
      </c>
      <c r="N500" s="1648">
        <f t="shared" si="82"/>
        <v>0</v>
      </c>
      <c r="O500" s="1648">
        <f t="shared" si="83"/>
        <v>0</v>
      </c>
      <c r="P500" s="1648">
        <f t="shared" si="84"/>
        <v>0</v>
      </c>
      <c r="Q500" s="1648">
        <f t="shared" si="85"/>
        <v>0</v>
      </c>
      <c r="R500" s="55">
        <f t="shared" si="86"/>
        <v>0</v>
      </c>
      <c r="S500" s="55">
        <f t="shared" si="87"/>
        <v>0</v>
      </c>
    </row>
    <row r="501" spans="1:19" ht="48.75" hidden="1" customHeight="1">
      <c r="A501" s="1854"/>
      <c r="B501" s="1648">
        <f t="shared" si="77"/>
        <v>0</v>
      </c>
      <c r="C501" s="1863" t="s">
        <v>5368</v>
      </c>
      <c r="D501" s="1649">
        <f>Data!X696</f>
        <v>10210.59</v>
      </c>
      <c r="E501" s="1687" t="s">
        <v>5</v>
      </c>
      <c r="F501" s="1649"/>
      <c r="G501" s="1648">
        <f t="shared" si="78"/>
        <v>0</v>
      </c>
      <c r="H501" s="1648"/>
      <c r="I501" s="1648">
        <f t="shared" si="79"/>
        <v>0</v>
      </c>
      <c r="J501" s="1648"/>
      <c r="K501" s="1648">
        <f t="shared" si="80"/>
        <v>0</v>
      </c>
      <c r="L501" s="1648"/>
      <c r="M501" s="1648">
        <f t="shared" si="81"/>
        <v>0</v>
      </c>
      <c r="N501" s="1648">
        <f t="shared" si="82"/>
        <v>0</v>
      </c>
      <c r="O501" s="1648">
        <f t="shared" si="83"/>
        <v>0</v>
      </c>
      <c r="P501" s="1648">
        <f t="shared" si="84"/>
        <v>0</v>
      </c>
      <c r="Q501" s="1648">
        <f t="shared" si="85"/>
        <v>0</v>
      </c>
      <c r="R501" s="55">
        <f t="shared" si="86"/>
        <v>0</v>
      </c>
      <c r="S501" s="55">
        <f t="shared" si="87"/>
        <v>0</v>
      </c>
    </row>
    <row r="502" spans="1:19" ht="48.75" hidden="1" customHeight="1">
      <c r="A502" s="1854"/>
      <c r="B502" s="1648">
        <f t="shared" si="77"/>
        <v>0</v>
      </c>
      <c r="C502" s="1863" t="s">
        <v>5369</v>
      </c>
      <c r="D502" s="1649">
        <f>Data!X697</f>
        <v>10456.77</v>
      </c>
      <c r="E502" s="1687" t="s">
        <v>5</v>
      </c>
      <c r="F502" s="1649"/>
      <c r="G502" s="1648">
        <f t="shared" si="78"/>
        <v>0</v>
      </c>
      <c r="H502" s="1648"/>
      <c r="I502" s="1648">
        <f t="shared" si="79"/>
        <v>0</v>
      </c>
      <c r="J502" s="1648"/>
      <c r="K502" s="1648">
        <f t="shared" si="80"/>
        <v>0</v>
      </c>
      <c r="L502" s="1648"/>
      <c r="M502" s="1648">
        <f t="shared" si="81"/>
        <v>0</v>
      </c>
      <c r="N502" s="1648">
        <f t="shared" si="82"/>
        <v>0</v>
      </c>
      <c r="O502" s="1648">
        <f t="shared" si="83"/>
        <v>0</v>
      </c>
      <c r="P502" s="1648">
        <f t="shared" si="84"/>
        <v>0</v>
      </c>
      <c r="Q502" s="1648">
        <f t="shared" si="85"/>
        <v>0</v>
      </c>
      <c r="R502" s="55">
        <f t="shared" si="86"/>
        <v>0</v>
      </c>
      <c r="S502" s="55">
        <f t="shared" si="87"/>
        <v>0</v>
      </c>
    </row>
    <row r="503" spans="1:19" ht="48.75" hidden="1" customHeight="1">
      <c r="A503" s="1854"/>
      <c r="B503" s="1648">
        <f t="shared" si="77"/>
        <v>0</v>
      </c>
      <c r="C503" s="1863" t="s">
        <v>5370</v>
      </c>
      <c r="D503" s="1649">
        <f>Data!X698</f>
        <v>10702.95</v>
      </c>
      <c r="E503" s="1687" t="s">
        <v>5</v>
      </c>
      <c r="F503" s="1649"/>
      <c r="G503" s="1648">
        <f t="shared" si="78"/>
        <v>0</v>
      </c>
      <c r="H503" s="1648"/>
      <c r="I503" s="1648">
        <f t="shared" si="79"/>
        <v>0</v>
      </c>
      <c r="J503" s="1648"/>
      <c r="K503" s="1648">
        <f t="shared" si="80"/>
        <v>0</v>
      </c>
      <c r="L503" s="1648"/>
      <c r="M503" s="1648">
        <f t="shared" si="81"/>
        <v>0</v>
      </c>
      <c r="N503" s="1648">
        <f t="shared" si="82"/>
        <v>0</v>
      </c>
      <c r="O503" s="1648">
        <f t="shared" si="83"/>
        <v>0</v>
      </c>
      <c r="P503" s="1648">
        <f t="shared" si="84"/>
        <v>0</v>
      </c>
      <c r="Q503" s="1648">
        <f t="shared" si="85"/>
        <v>0</v>
      </c>
      <c r="R503" s="55">
        <f t="shared" si="86"/>
        <v>0</v>
      </c>
      <c r="S503" s="55">
        <f t="shared" si="87"/>
        <v>0</v>
      </c>
    </row>
    <row r="504" spans="1:19" ht="48.75" hidden="1" customHeight="1">
      <c r="A504" s="1854"/>
      <c r="B504" s="1648">
        <f t="shared" si="77"/>
        <v>0</v>
      </c>
      <c r="C504" s="1863" t="s">
        <v>5395</v>
      </c>
      <c r="D504" s="1649">
        <f>Data!X699</f>
        <v>10949.13</v>
      </c>
      <c r="E504" s="1687" t="s">
        <v>5</v>
      </c>
      <c r="F504" s="1649"/>
      <c r="G504" s="1648">
        <f t="shared" si="78"/>
        <v>0</v>
      </c>
      <c r="H504" s="1648"/>
      <c r="I504" s="1648">
        <f t="shared" si="79"/>
        <v>0</v>
      </c>
      <c r="J504" s="1648"/>
      <c r="K504" s="1648">
        <f t="shared" si="80"/>
        <v>0</v>
      </c>
      <c r="L504" s="1648"/>
      <c r="M504" s="1648">
        <f t="shared" si="81"/>
        <v>0</v>
      </c>
      <c r="N504" s="1648">
        <f t="shared" si="82"/>
        <v>0</v>
      </c>
      <c r="O504" s="1648">
        <f t="shared" si="83"/>
        <v>0</v>
      </c>
      <c r="P504" s="1648">
        <f t="shared" si="84"/>
        <v>0</v>
      </c>
      <c r="Q504" s="1648">
        <f t="shared" si="85"/>
        <v>0</v>
      </c>
      <c r="R504" s="55">
        <f t="shared" si="86"/>
        <v>0</v>
      </c>
      <c r="S504" s="55">
        <f t="shared" si="87"/>
        <v>0</v>
      </c>
    </row>
    <row r="505" spans="1:19" ht="48.75" hidden="1" customHeight="1">
      <c r="A505" s="1854"/>
      <c r="B505" s="1648">
        <f t="shared" si="77"/>
        <v>0</v>
      </c>
      <c r="C505" s="1864" t="s">
        <v>5570</v>
      </c>
      <c r="D505" s="1649"/>
      <c r="E505" s="1687" t="s">
        <v>5</v>
      </c>
      <c r="F505" s="1649"/>
      <c r="G505" s="1648">
        <f t="shared" si="78"/>
        <v>0</v>
      </c>
      <c r="H505" s="1648"/>
      <c r="I505" s="1648">
        <f t="shared" si="79"/>
        <v>0</v>
      </c>
      <c r="J505" s="1648"/>
      <c r="K505" s="1648">
        <f t="shared" si="80"/>
        <v>0</v>
      </c>
      <c r="L505" s="1648"/>
      <c r="M505" s="1648">
        <f t="shared" si="81"/>
        <v>0</v>
      </c>
      <c r="N505" s="1648">
        <f t="shared" si="82"/>
        <v>0</v>
      </c>
      <c r="O505" s="1648">
        <f t="shared" si="83"/>
        <v>0</v>
      </c>
      <c r="P505" s="1648">
        <f t="shared" si="84"/>
        <v>0</v>
      </c>
      <c r="Q505" s="1648">
        <f t="shared" si="85"/>
        <v>0</v>
      </c>
      <c r="R505" s="55">
        <f t="shared" si="86"/>
        <v>0</v>
      </c>
      <c r="S505" s="55">
        <f t="shared" si="87"/>
        <v>0</v>
      </c>
    </row>
    <row r="506" spans="1:19" ht="48.75" hidden="1" customHeight="1">
      <c r="A506" s="1854"/>
      <c r="B506" s="1648">
        <f t="shared" si="77"/>
        <v>0</v>
      </c>
      <c r="C506" s="1867" t="s">
        <v>5571</v>
      </c>
      <c r="D506" s="1649">
        <f>Data!R1183</f>
        <v>8470.08</v>
      </c>
      <c r="E506" s="1687" t="s">
        <v>5</v>
      </c>
      <c r="F506" s="1649"/>
      <c r="G506" s="1648">
        <f t="shared" si="78"/>
        <v>0</v>
      </c>
      <c r="H506" s="1648"/>
      <c r="I506" s="1648">
        <f t="shared" si="79"/>
        <v>0</v>
      </c>
      <c r="J506" s="1648"/>
      <c r="K506" s="1648">
        <f t="shared" si="80"/>
        <v>0</v>
      </c>
      <c r="L506" s="1648"/>
      <c r="M506" s="1648">
        <f t="shared" si="81"/>
        <v>0</v>
      </c>
      <c r="N506" s="1648">
        <f t="shared" si="82"/>
        <v>0</v>
      </c>
      <c r="O506" s="1648">
        <f t="shared" si="83"/>
        <v>0</v>
      </c>
      <c r="P506" s="1648">
        <f t="shared" si="84"/>
        <v>0</v>
      </c>
      <c r="Q506" s="1648">
        <f t="shared" si="85"/>
        <v>0</v>
      </c>
      <c r="R506" s="55">
        <f t="shared" si="86"/>
        <v>0</v>
      </c>
      <c r="S506" s="55">
        <f t="shared" si="87"/>
        <v>0</v>
      </c>
    </row>
    <row r="507" spans="1:19" ht="48.75" hidden="1" customHeight="1">
      <c r="A507" s="1854"/>
      <c r="B507" s="1648">
        <f t="shared" si="77"/>
        <v>0</v>
      </c>
      <c r="C507" s="1867" t="s">
        <v>5572</v>
      </c>
      <c r="D507" s="1649">
        <f>Data!R1184</f>
        <v>8595.0400000000009</v>
      </c>
      <c r="E507" s="1687" t="s">
        <v>5</v>
      </c>
      <c r="F507" s="1649"/>
      <c r="G507" s="1648">
        <f t="shared" si="78"/>
        <v>0</v>
      </c>
      <c r="H507" s="1648"/>
      <c r="I507" s="1648">
        <f t="shared" si="79"/>
        <v>0</v>
      </c>
      <c r="J507" s="1648"/>
      <c r="K507" s="1648">
        <f t="shared" si="80"/>
        <v>0</v>
      </c>
      <c r="L507" s="1648"/>
      <c r="M507" s="1648">
        <f t="shared" si="81"/>
        <v>0</v>
      </c>
      <c r="N507" s="1648">
        <f t="shared" si="82"/>
        <v>0</v>
      </c>
      <c r="O507" s="1648">
        <f t="shared" si="83"/>
        <v>0</v>
      </c>
      <c r="P507" s="1648">
        <f t="shared" si="84"/>
        <v>0</v>
      </c>
      <c r="Q507" s="1648">
        <f t="shared" si="85"/>
        <v>0</v>
      </c>
      <c r="R507" s="55">
        <f t="shared" si="86"/>
        <v>0</v>
      </c>
      <c r="S507" s="55">
        <f t="shared" si="87"/>
        <v>0</v>
      </c>
    </row>
    <row r="508" spans="1:19" ht="48.75" hidden="1" customHeight="1">
      <c r="A508" s="1854"/>
      <c r="B508" s="1648">
        <f t="shared" si="77"/>
        <v>0</v>
      </c>
      <c r="C508" s="1864" t="s">
        <v>5573</v>
      </c>
      <c r="D508" s="1649"/>
      <c r="E508" s="1687" t="s">
        <v>5</v>
      </c>
      <c r="F508" s="1649"/>
      <c r="G508" s="1648">
        <f t="shared" si="78"/>
        <v>0</v>
      </c>
      <c r="H508" s="1648"/>
      <c r="I508" s="1648">
        <f t="shared" si="79"/>
        <v>0</v>
      </c>
      <c r="J508" s="1648"/>
      <c r="K508" s="1648">
        <f t="shared" si="80"/>
        <v>0</v>
      </c>
      <c r="L508" s="1648"/>
      <c r="M508" s="1648">
        <f t="shared" si="81"/>
        <v>0</v>
      </c>
      <c r="N508" s="1648">
        <f t="shared" si="82"/>
        <v>0</v>
      </c>
      <c r="O508" s="1648">
        <f t="shared" si="83"/>
        <v>0</v>
      </c>
      <c r="P508" s="1648">
        <f t="shared" si="84"/>
        <v>0</v>
      </c>
      <c r="Q508" s="1648">
        <f t="shared" si="85"/>
        <v>0</v>
      </c>
      <c r="R508" s="55">
        <f t="shared" si="86"/>
        <v>0</v>
      </c>
      <c r="S508" s="55">
        <f t="shared" si="87"/>
        <v>0</v>
      </c>
    </row>
    <row r="509" spans="1:19" ht="48.75" hidden="1" customHeight="1">
      <c r="A509" s="1854"/>
      <c r="B509" s="1648">
        <f t="shared" si="77"/>
        <v>0</v>
      </c>
      <c r="C509" s="1863" t="s">
        <v>5367</v>
      </c>
      <c r="D509" s="1649">
        <f>Data!R1156</f>
        <v>8391.75</v>
      </c>
      <c r="E509" s="1687" t="s">
        <v>5</v>
      </c>
      <c r="F509" s="1649"/>
      <c r="G509" s="1648">
        <f t="shared" si="78"/>
        <v>0</v>
      </c>
      <c r="H509" s="1648"/>
      <c r="I509" s="1648">
        <f t="shared" si="79"/>
        <v>0</v>
      </c>
      <c r="J509" s="1648"/>
      <c r="K509" s="1648">
        <f t="shared" si="80"/>
        <v>0</v>
      </c>
      <c r="L509" s="1648"/>
      <c r="M509" s="1648">
        <f t="shared" si="81"/>
        <v>0</v>
      </c>
      <c r="N509" s="1648">
        <f t="shared" si="82"/>
        <v>0</v>
      </c>
      <c r="O509" s="1648">
        <f t="shared" si="83"/>
        <v>0</v>
      </c>
      <c r="P509" s="1648">
        <f t="shared" si="84"/>
        <v>0</v>
      </c>
      <c r="Q509" s="1648">
        <f t="shared" si="85"/>
        <v>0</v>
      </c>
      <c r="R509" s="55">
        <f t="shared" si="86"/>
        <v>0</v>
      </c>
      <c r="S509" s="55">
        <f t="shared" si="87"/>
        <v>0</v>
      </c>
    </row>
    <row r="510" spans="1:19" ht="48.75" hidden="1" customHeight="1">
      <c r="A510" s="1854"/>
      <c r="B510" s="1648">
        <f t="shared" si="77"/>
        <v>0</v>
      </c>
      <c r="C510" s="1863" t="s">
        <v>5574</v>
      </c>
      <c r="D510" s="1649">
        <f>Data!R1158</f>
        <v>8516.7099999999991</v>
      </c>
      <c r="E510" s="1687" t="s">
        <v>5</v>
      </c>
      <c r="F510" s="1649"/>
      <c r="G510" s="1648">
        <f t="shared" si="78"/>
        <v>0</v>
      </c>
      <c r="H510" s="1648"/>
      <c r="I510" s="1648">
        <f t="shared" si="79"/>
        <v>0</v>
      </c>
      <c r="J510" s="1648"/>
      <c r="K510" s="1648">
        <f t="shared" si="80"/>
        <v>0</v>
      </c>
      <c r="L510" s="1648"/>
      <c r="M510" s="1648">
        <f t="shared" si="81"/>
        <v>0</v>
      </c>
      <c r="N510" s="1648">
        <f t="shared" si="82"/>
        <v>0</v>
      </c>
      <c r="O510" s="1648">
        <f t="shared" si="83"/>
        <v>0</v>
      </c>
      <c r="P510" s="1648">
        <f t="shared" si="84"/>
        <v>0</v>
      </c>
      <c r="Q510" s="1648">
        <f t="shared" si="85"/>
        <v>0</v>
      </c>
      <c r="R510" s="55">
        <f t="shared" si="86"/>
        <v>0</v>
      </c>
      <c r="S510" s="55">
        <f t="shared" si="87"/>
        <v>0</v>
      </c>
    </row>
    <row r="511" spans="1:19" ht="48.75" hidden="1" customHeight="1">
      <c r="A511" s="1854"/>
      <c r="B511" s="1648">
        <f t="shared" si="77"/>
        <v>0</v>
      </c>
      <c r="C511" s="1863" t="s">
        <v>5369</v>
      </c>
      <c r="D511" s="1649">
        <f>Data!R1159</f>
        <v>8762.89</v>
      </c>
      <c r="E511" s="1687" t="s">
        <v>5</v>
      </c>
      <c r="F511" s="1649"/>
      <c r="G511" s="1648">
        <f t="shared" si="78"/>
        <v>0</v>
      </c>
      <c r="H511" s="1648"/>
      <c r="I511" s="1648">
        <f t="shared" si="79"/>
        <v>0</v>
      </c>
      <c r="J511" s="1648"/>
      <c r="K511" s="1648">
        <f t="shared" si="80"/>
        <v>0</v>
      </c>
      <c r="L511" s="1648"/>
      <c r="M511" s="1648">
        <f t="shared" si="81"/>
        <v>0</v>
      </c>
      <c r="N511" s="1648">
        <f t="shared" si="82"/>
        <v>0</v>
      </c>
      <c r="O511" s="1648">
        <f t="shared" si="83"/>
        <v>0</v>
      </c>
      <c r="P511" s="1648">
        <f t="shared" si="84"/>
        <v>0</v>
      </c>
      <c r="Q511" s="1648">
        <f t="shared" si="85"/>
        <v>0</v>
      </c>
      <c r="R511" s="55">
        <f t="shared" si="86"/>
        <v>0</v>
      </c>
      <c r="S511" s="55">
        <f t="shared" si="87"/>
        <v>0</v>
      </c>
    </row>
    <row r="512" spans="1:19" ht="48.75" hidden="1" customHeight="1">
      <c r="A512" s="1854"/>
      <c r="B512" s="1648">
        <f t="shared" si="77"/>
        <v>0</v>
      </c>
      <c r="C512" s="1863" t="s">
        <v>5370</v>
      </c>
      <c r="D512" s="1649">
        <f>Data!R1160</f>
        <v>9009.07</v>
      </c>
      <c r="E512" s="1687" t="s">
        <v>5</v>
      </c>
      <c r="F512" s="1649"/>
      <c r="G512" s="1648">
        <f t="shared" si="78"/>
        <v>0</v>
      </c>
      <c r="H512" s="1648"/>
      <c r="I512" s="1648">
        <f t="shared" si="79"/>
        <v>0</v>
      </c>
      <c r="J512" s="1648"/>
      <c r="K512" s="1648">
        <f t="shared" si="80"/>
        <v>0</v>
      </c>
      <c r="L512" s="1648"/>
      <c r="M512" s="1648">
        <f t="shared" si="81"/>
        <v>0</v>
      </c>
      <c r="N512" s="1648">
        <f t="shared" si="82"/>
        <v>0</v>
      </c>
      <c r="O512" s="1648">
        <f t="shared" si="83"/>
        <v>0</v>
      </c>
      <c r="P512" s="1648">
        <f t="shared" si="84"/>
        <v>0</v>
      </c>
      <c r="Q512" s="1648">
        <f t="shared" si="85"/>
        <v>0</v>
      </c>
      <c r="R512" s="55">
        <f t="shared" si="86"/>
        <v>0</v>
      </c>
      <c r="S512" s="55">
        <f t="shared" si="87"/>
        <v>0</v>
      </c>
    </row>
    <row r="513" spans="1:19" ht="48.75" hidden="1" customHeight="1">
      <c r="A513" s="1854"/>
      <c r="B513" s="1648">
        <f t="shared" si="77"/>
        <v>0</v>
      </c>
      <c r="C513" s="1863" t="s">
        <v>5395</v>
      </c>
      <c r="D513" s="1649">
        <f>Data!R1161</f>
        <v>9255.25</v>
      </c>
      <c r="E513" s="1687" t="s">
        <v>5</v>
      </c>
      <c r="F513" s="1649"/>
      <c r="G513" s="1648">
        <f t="shared" si="78"/>
        <v>0</v>
      </c>
      <c r="H513" s="1648"/>
      <c r="I513" s="1648">
        <f t="shared" si="79"/>
        <v>0</v>
      </c>
      <c r="J513" s="1648"/>
      <c r="K513" s="1648">
        <f t="shared" si="80"/>
        <v>0</v>
      </c>
      <c r="L513" s="1648"/>
      <c r="M513" s="1648">
        <f t="shared" si="81"/>
        <v>0</v>
      </c>
      <c r="N513" s="1648">
        <f t="shared" si="82"/>
        <v>0</v>
      </c>
      <c r="O513" s="1648">
        <f t="shared" si="83"/>
        <v>0</v>
      </c>
      <c r="P513" s="1648">
        <f t="shared" si="84"/>
        <v>0</v>
      </c>
      <c r="Q513" s="1648">
        <f t="shared" si="85"/>
        <v>0</v>
      </c>
      <c r="R513" s="55">
        <f t="shared" si="86"/>
        <v>0</v>
      </c>
      <c r="S513" s="55">
        <f t="shared" si="87"/>
        <v>0</v>
      </c>
    </row>
    <row r="514" spans="1:19" ht="48.75" hidden="1" customHeight="1">
      <c r="A514" s="1854"/>
      <c r="B514" s="1648">
        <f t="shared" si="77"/>
        <v>0</v>
      </c>
      <c r="C514" s="1863" t="s">
        <v>5372</v>
      </c>
      <c r="D514" s="1649">
        <f>Data!R1162</f>
        <v>9501.43</v>
      </c>
      <c r="E514" s="1687" t="s">
        <v>5</v>
      </c>
      <c r="F514" s="1649"/>
      <c r="G514" s="1648">
        <f t="shared" si="78"/>
        <v>0</v>
      </c>
      <c r="H514" s="1648"/>
      <c r="I514" s="1648">
        <f t="shared" si="79"/>
        <v>0</v>
      </c>
      <c r="J514" s="1648"/>
      <c r="K514" s="1648">
        <f t="shared" si="80"/>
        <v>0</v>
      </c>
      <c r="L514" s="1648"/>
      <c r="M514" s="1648">
        <f t="shared" si="81"/>
        <v>0</v>
      </c>
      <c r="N514" s="1648">
        <f t="shared" si="82"/>
        <v>0</v>
      </c>
      <c r="O514" s="1648">
        <f t="shared" si="83"/>
        <v>0</v>
      </c>
      <c r="P514" s="1648">
        <f t="shared" si="84"/>
        <v>0</v>
      </c>
      <c r="Q514" s="1648">
        <f t="shared" si="85"/>
        <v>0</v>
      </c>
      <c r="R514" s="55">
        <f t="shared" si="86"/>
        <v>0</v>
      </c>
      <c r="S514" s="55">
        <f t="shared" si="87"/>
        <v>0</v>
      </c>
    </row>
    <row r="515" spans="1:19" ht="48.75" hidden="1" customHeight="1">
      <c r="A515" s="1854"/>
      <c r="B515" s="1648">
        <f t="shared" si="77"/>
        <v>0</v>
      </c>
      <c r="C515" s="1863" t="s">
        <v>5575</v>
      </c>
      <c r="D515" s="1649">
        <f>Data!R1163</f>
        <v>9747.61</v>
      </c>
      <c r="E515" s="1687" t="s">
        <v>5</v>
      </c>
      <c r="F515" s="1649"/>
      <c r="G515" s="1648">
        <f t="shared" si="78"/>
        <v>0</v>
      </c>
      <c r="H515" s="1648"/>
      <c r="I515" s="1648">
        <f t="shared" si="79"/>
        <v>0</v>
      </c>
      <c r="J515" s="1648"/>
      <c r="K515" s="1648">
        <f t="shared" si="80"/>
        <v>0</v>
      </c>
      <c r="L515" s="1648"/>
      <c r="M515" s="1648">
        <f t="shared" si="81"/>
        <v>0</v>
      </c>
      <c r="N515" s="1648">
        <f t="shared" si="82"/>
        <v>0</v>
      </c>
      <c r="O515" s="1648">
        <f t="shared" si="83"/>
        <v>0</v>
      </c>
      <c r="P515" s="1648">
        <f t="shared" si="84"/>
        <v>0</v>
      </c>
      <c r="Q515" s="1648">
        <f t="shared" si="85"/>
        <v>0</v>
      </c>
      <c r="R515" s="55">
        <f t="shared" si="86"/>
        <v>0</v>
      </c>
      <c r="S515" s="55">
        <f t="shared" si="87"/>
        <v>0</v>
      </c>
    </row>
    <row r="516" spans="1:19" ht="48.75" hidden="1" customHeight="1">
      <c r="A516" s="1854"/>
      <c r="B516" s="1648">
        <f t="shared" si="77"/>
        <v>0</v>
      </c>
      <c r="C516" s="1863" t="s">
        <v>5576</v>
      </c>
      <c r="D516" s="1649">
        <f>Data!R1164</f>
        <v>9993.7900000000009</v>
      </c>
      <c r="E516" s="1687" t="s">
        <v>5</v>
      </c>
      <c r="F516" s="1649"/>
      <c r="G516" s="1648">
        <f t="shared" si="78"/>
        <v>0</v>
      </c>
      <c r="H516" s="1648"/>
      <c r="I516" s="1648">
        <f t="shared" si="79"/>
        <v>0</v>
      </c>
      <c r="J516" s="1648"/>
      <c r="K516" s="1648">
        <f t="shared" si="80"/>
        <v>0</v>
      </c>
      <c r="L516" s="1648"/>
      <c r="M516" s="1648">
        <f t="shared" si="81"/>
        <v>0</v>
      </c>
      <c r="N516" s="1648">
        <f t="shared" si="82"/>
        <v>0</v>
      </c>
      <c r="O516" s="1648">
        <f t="shared" si="83"/>
        <v>0</v>
      </c>
      <c r="P516" s="1648">
        <f t="shared" si="84"/>
        <v>0</v>
      </c>
      <c r="Q516" s="1648">
        <f t="shared" si="85"/>
        <v>0</v>
      </c>
      <c r="R516" s="55">
        <f t="shared" si="86"/>
        <v>0</v>
      </c>
      <c r="S516" s="55">
        <f t="shared" si="87"/>
        <v>0</v>
      </c>
    </row>
    <row r="517" spans="1:19" ht="48.75" hidden="1" customHeight="1">
      <c r="A517" s="1854"/>
      <c r="B517" s="1648">
        <f t="shared" si="77"/>
        <v>0</v>
      </c>
      <c r="C517" s="1863" t="s">
        <v>5577</v>
      </c>
      <c r="D517" s="1649">
        <f>Data!R1165</f>
        <v>10239.969999999999</v>
      </c>
      <c r="E517" s="1687" t="s">
        <v>5</v>
      </c>
      <c r="F517" s="1649"/>
      <c r="G517" s="1648">
        <f t="shared" si="78"/>
        <v>0</v>
      </c>
      <c r="H517" s="1648"/>
      <c r="I517" s="1648">
        <f t="shared" si="79"/>
        <v>0</v>
      </c>
      <c r="J517" s="1648"/>
      <c r="K517" s="1648">
        <f t="shared" si="80"/>
        <v>0</v>
      </c>
      <c r="L517" s="1648"/>
      <c r="M517" s="1648">
        <f t="shared" si="81"/>
        <v>0</v>
      </c>
      <c r="N517" s="1648">
        <f t="shared" si="82"/>
        <v>0</v>
      </c>
      <c r="O517" s="1648">
        <f t="shared" si="83"/>
        <v>0</v>
      </c>
      <c r="P517" s="1648">
        <f t="shared" si="84"/>
        <v>0</v>
      </c>
      <c r="Q517" s="1648">
        <f t="shared" si="85"/>
        <v>0</v>
      </c>
      <c r="R517" s="55">
        <f t="shared" si="86"/>
        <v>0</v>
      </c>
      <c r="S517" s="55">
        <f t="shared" si="87"/>
        <v>0</v>
      </c>
    </row>
    <row r="518" spans="1:19" ht="48.75" hidden="1" customHeight="1">
      <c r="A518" s="1854"/>
      <c r="B518" s="1648">
        <f t="shared" ref="B518:B581" si="88">P518</f>
        <v>0</v>
      </c>
      <c r="C518" s="1867" t="s">
        <v>5578</v>
      </c>
      <c r="D518" s="1649">
        <f>Data!R1166</f>
        <v>10486.15</v>
      </c>
      <c r="E518" s="1687" t="s">
        <v>5</v>
      </c>
      <c r="F518" s="1649"/>
      <c r="G518" s="1648">
        <f t="shared" ref="G518:G581" si="89">F518*D518</f>
        <v>0</v>
      </c>
      <c r="H518" s="1648"/>
      <c r="I518" s="1648">
        <f t="shared" ref="I518:I581" si="90">H518*D518</f>
        <v>0</v>
      </c>
      <c r="J518" s="1648"/>
      <c r="K518" s="1648">
        <f t="shared" ref="K518:K581" si="91">J518*D518</f>
        <v>0</v>
      </c>
      <c r="L518" s="1648"/>
      <c r="M518" s="1648">
        <f t="shared" ref="M518:M581" si="92">L518*D518</f>
        <v>0</v>
      </c>
      <c r="N518" s="1648">
        <f t="shared" ref="N518:N581" si="93">H518+J518+L518</f>
        <v>0</v>
      </c>
      <c r="O518" s="1648">
        <f t="shared" ref="O518:O581" si="94">N518*D518</f>
        <v>0</v>
      </c>
      <c r="P518" s="1648">
        <f t="shared" ref="P518:P581" si="95">N518+F518</f>
        <v>0</v>
      </c>
      <c r="Q518" s="1648">
        <f t="shared" ref="Q518:Q581" si="96">P518*D518</f>
        <v>0</v>
      </c>
      <c r="R518" s="55">
        <f t="shared" ref="R518:R581" si="97">G518+I518+K518+M518</f>
        <v>0</v>
      </c>
      <c r="S518" s="55">
        <f t="shared" ref="S518:S581" si="98">Q518-R518</f>
        <v>0</v>
      </c>
    </row>
    <row r="519" spans="1:19" ht="48.75" hidden="1" customHeight="1">
      <c r="A519" s="1854"/>
      <c r="B519" s="1648">
        <f t="shared" si="88"/>
        <v>0</v>
      </c>
      <c r="C519" s="1867" t="s">
        <v>5579</v>
      </c>
      <c r="D519" s="1649">
        <f>Data!R1167</f>
        <v>10732.33</v>
      </c>
      <c r="E519" s="1687" t="s">
        <v>5</v>
      </c>
      <c r="F519" s="1649"/>
      <c r="G519" s="1648">
        <f t="shared" si="89"/>
        <v>0</v>
      </c>
      <c r="H519" s="1648"/>
      <c r="I519" s="1648">
        <f t="shared" si="90"/>
        <v>0</v>
      </c>
      <c r="J519" s="1648"/>
      <c r="K519" s="1648">
        <f t="shared" si="91"/>
        <v>0</v>
      </c>
      <c r="L519" s="1648"/>
      <c r="M519" s="1648">
        <f t="shared" si="92"/>
        <v>0</v>
      </c>
      <c r="N519" s="1648">
        <f t="shared" si="93"/>
        <v>0</v>
      </c>
      <c r="O519" s="1648">
        <f t="shared" si="94"/>
        <v>0</v>
      </c>
      <c r="P519" s="1648">
        <f t="shared" si="95"/>
        <v>0</v>
      </c>
      <c r="Q519" s="1648">
        <f t="shared" si="96"/>
        <v>0</v>
      </c>
      <c r="R519" s="55">
        <f t="shared" si="97"/>
        <v>0</v>
      </c>
      <c r="S519" s="55">
        <f t="shared" si="98"/>
        <v>0</v>
      </c>
    </row>
    <row r="520" spans="1:19" ht="48.75" hidden="1" customHeight="1">
      <c r="A520" s="1854"/>
      <c r="B520" s="1648">
        <f t="shared" si="88"/>
        <v>0</v>
      </c>
      <c r="C520" s="1867" t="s">
        <v>5580</v>
      </c>
      <c r="D520" s="1649">
        <f>Data!R1168</f>
        <v>10978.51</v>
      </c>
      <c r="E520" s="1687" t="s">
        <v>5</v>
      </c>
      <c r="F520" s="1649"/>
      <c r="G520" s="1648">
        <f t="shared" si="89"/>
        <v>0</v>
      </c>
      <c r="H520" s="1648"/>
      <c r="I520" s="1648">
        <f t="shared" si="90"/>
        <v>0</v>
      </c>
      <c r="J520" s="1648"/>
      <c r="K520" s="1648">
        <f t="shared" si="91"/>
        <v>0</v>
      </c>
      <c r="L520" s="1648"/>
      <c r="M520" s="1648">
        <f t="shared" si="92"/>
        <v>0</v>
      </c>
      <c r="N520" s="1648">
        <f t="shared" si="93"/>
        <v>0</v>
      </c>
      <c r="O520" s="1648">
        <f t="shared" si="94"/>
        <v>0</v>
      </c>
      <c r="P520" s="1648">
        <f t="shared" si="95"/>
        <v>0</v>
      </c>
      <c r="Q520" s="1648">
        <f t="shared" si="96"/>
        <v>0</v>
      </c>
      <c r="R520" s="55">
        <f t="shared" si="97"/>
        <v>0</v>
      </c>
      <c r="S520" s="55">
        <f t="shared" si="98"/>
        <v>0</v>
      </c>
    </row>
    <row r="521" spans="1:19" ht="48.75" hidden="1" customHeight="1">
      <c r="A521" s="1854"/>
      <c r="B521" s="1648">
        <f t="shared" si="88"/>
        <v>0</v>
      </c>
      <c r="C521" s="1863" t="s">
        <v>5353</v>
      </c>
      <c r="D521" s="1649">
        <f>Data!R1169</f>
        <v>11224.69</v>
      </c>
      <c r="E521" s="1687" t="s">
        <v>5</v>
      </c>
      <c r="F521" s="1649"/>
      <c r="G521" s="1648">
        <f t="shared" si="89"/>
        <v>0</v>
      </c>
      <c r="H521" s="1648"/>
      <c r="I521" s="1648">
        <f t="shared" si="90"/>
        <v>0</v>
      </c>
      <c r="J521" s="1648"/>
      <c r="K521" s="1648">
        <f t="shared" si="91"/>
        <v>0</v>
      </c>
      <c r="L521" s="1648"/>
      <c r="M521" s="1648">
        <f t="shared" si="92"/>
        <v>0</v>
      </c>
      <c r="N521" s="1648">
        <f t="shared" si="93"/>
        <v>0</v>
      </c>
      <c r="O521" s="1648">
        <f t="shared" si="94"/>
        <v>0</v>
      </c>
      <c r="P521" s="1648">
        <f t="shared" si="95"/>
        <v>0</v>
      </c>
      <c r="Q521" s="1648">
        <f t="shared" si="96"/>
        <v>0</v>
      </c>
      <c r="R521" s="55">
        <f t="shared" si="97"/>
        <v>0</v>
      </c>
      <c r="S521" s="55">
        <f t="shared" si="98"/>
        <v>0</v>
      </c>
    </row>
    <row r="522" spans="1:19" ht="48.75" hidden="1" customHeight="1">
      <c r="A522" s="1854"/>
      <c r="B522" s="1648">
        <f t="shared" si="88"/>
        <v>0</v>
      </c>
      <c r="C522" s="1863" t="s">
        <v>5354</v>
      </c>
      <c r="D522" s="1649">
        <f>Data!R1170</f>
        <v>11470.87</v>
      </c>
      <c r="E522" s="1687" t="s">
        <v>5</v>
      </c>
      <c r="F522" s="1649"/>
      <c r="G522" s="1648">
        <f t="shared" si="89"/>
        <v>0</v>
      </c>
      <c r="H522" s="1648"/>
      <c r="I522" s="1648">
        <f t="shared" si="90"/>
        <v>0</v>
      </c>
      <c r="J522" s="1648"/>
      <c r="K522" s="1648">
        <f t="shared" si="91"/>
        <v>0</v>
      </c>
      <c r="L522" s="1648"/>
      <c r="M522" s="1648">
        <f t="shared" si="92"/>
        <v>0</v>
      </c>
      <c r="N522" s="1648">
        <f t="shared" si="93"/>
        <v>0</v>
      </c>
      <c r="O522" s="1648">
        <f t="shared" si="94"/>
        <v>0</v>
      </c>
      <c r="P522" s="1648">
        <f t="shared" si="95"/>
        <v>0</v>
      </c>
      <c r="Q522" s="1648">
        <f t="shared" si="96"/>
        <v>0</v>
      </c>
      <c r="R522" s="55">
        <f t="shared" si="97"/>
        <v>0</v>
      </c>
      <c r="S522" s="55">
        <f t="shared" si="98"/>
        <v>0</v>
      </c>
    </row>
    <row r="523" spans="1:19" ht="48.75" hidden="1" customHeight="1">
      <c r="A523" s="1854"/>
      <c r="B523" s="1648">
        <f t="shared" si="88"/>
        <v>0</v>
      </c>
      <c r="C523" s="1863" t="s">
        <v>5581</v>
      </c>
      <c r="D523" s="1649">
        <f>Data!R1171</f>
        <v>11717.05</v>
      </c>
      <c r="E523" s="1687" t="s">
        <v>5</v>
      </c>
      <c r="F523" s="1649"/>
      <c r="G523" s="1648">
        <f t="shared" si="89"/>
        <v>0</v>
      </c>
      <c r="H523" s="1648"/>
      <c r="I523" s="1648">
        <f t="shared" si="90"/>
        <v>0</v>
      </c>
      <c r="J523" s="1648"/>
      <c r="K523" s="1648">
        <f t="shared" si="91"/>
        <v>0</v>
      </c>
      <c r="L523" s="1648"/>
      <c r="M523" s="1648">
        <f t="shared" si="92"/>
        <v>0</v>
      </c>
      <c r="N523" s="1648">
        <f t="shared" si="93"/>
        <v>0</v>
      </c>
      <c r="O523" s="1648">
        <f t="shared" si="94"/>
        <v>0</v>
      </c>
      <c r="P523" s="1648">
        <f t="shared" si="95"/>
        <v>0</v>
      </c>
      <c r="Q523" s="1648">
        <f t="shared" si="96"/>
        <v>0</v>
      </c>
      <c r="R523" s="55">
        <f t="shared" si="97"/>
        <v>0</v>
      </c>
      <c r="S523" s="55">
        <f t="shared" si="98"/>
        <v>0</v>
      </c>
    </row>
    <row r="524" spans="1:19" s="57" customFormat="1" ht="48.75" hidden="1" customHeight="1">
      <c r="A524" s="1687" t="s">
        <v>691</v>
      </c>
      <c r="B524" s="1648">
        <f t="shared" si="88"/>
        <v>0</v>
      </c>
      <c r="C524" s="1864" t="s">
        <v>5582</v>
      </c>
      <c r="D524" s="1649"/>
      <c r="E524" s="1687" t="s">
        <v>5</v>
      </c>
      <c r="F524" s="1649"/>
      <c r="G524" s="1648">
        <f t="shared" si="89"/>
        <v>0</v>
      </c>
      <c r="H524" s="1648"/>
      <c r="I524" s="1648">
        <f t="shared" si="90"/>
        <v>0</v>
      </c>
      <c r="J524" s="1648"/>
      <c r="K524" s="1648">
        <f t="shared" si="91"/>
        <v>0</v>
      </c>
      <c r="L524" s="1648"/>
      <c r="M524" s="1648">
        <f t="shared" si="92"/>
        <v>0</v>
      </c>
      <c r="N524" s="1648">
        <f t="shared" si="93"/>
        <v>0</v>
      </c>
      <c r="O524" s="1648">
        <f t="shared" si="94"/>
        <v>0</v>
      </c>
      <c r="P524" s="1648">
        <f t="shared" si="95"/>
        <v>0</v>
      </c>
      <c r="Q524" s="1648">
        <f t="shared" si="96"/>
        <v>0</v>
      </c>
      <c r="R524" s="55">
        <f t="shared" si="97"/>
        <v>0</v>
      </c>
      <c r="S524" s="55">
        <f t="shared" si="98"/>
        <v>0</v>
      </c>
    </row>
    <row r="525" spans="1:19" s="57" customFormat="1" ht="48.75" hidden="1" customHeight="1">
      <c r="A525" s="1687"/>
      <c r="B525" s="1648">
        <f t="shared" si="88"/>
        <v>0</v>
      </c>
      <c r="C525" s="1863" t="s">
        <v>5583</v>
      </c>
      <c r="D525" s="1649">
        <f>Data!X537</f>
        <v>1540.6</v>
      </c>
      <c r="E525" s="1687" t="s">
        <v>5</v>
      </c>
      <c r="F525" s="1649"/>
      <c r="G525" s="1648">
        <f t="shared" si="89"/>
        <v>0</v>
      </c>
      <c r="H525" s="1648"/>
      <c r="I525" s="1648">
        <f t="shared" si="90"/>
        <v>0</v>
      </c>
      <c r="J525" s="1648"/>
      <c r="K525" s="1648">
        <f t="shared" si="91"/>
        <v>0</v>
      </c>
      <c r="L525" s="1648"/>
      <c r="M525" s="1648">
        <f t="shared" si="92"/>
        <v>0</v>
      </c>
      <c r="N525" s="1648">
        <f t="shared" si="93"/>
        <v>0</v>
      </c>
      <c r="O525" s="1648">
        <f t="shared" si="94"/>
        <v>0</v>
      </c>
      <c r="P525" s="1648">
        <f t="shared" si="95"/>
        <v>0</v>
      </c>
      <c r="Q525" s="1648">
        <f t="shared" si="96"/>
        <v>0</v>
      </c>
      <c r="R525" s="55">
        <f t="shared" si="97"/>
        <v>0</v>
      </c>
      <c r="S525" s="55">
        <f t="shared" si="98"/>
        <v>0</v>
      </c>
    </row>
    <row r="526" spans="1:19" s="57" customFormat="1" ht="48.75" hidden="1" customHeight="1">
      <c r="A526" s="1687"/>
      <c r="B526" s="1648">
        <f t="shared" si="88"/>
        <v>0</v>
      </c>
      <c r="C526" s="1863" t="s">
        <v>5342</v>
      </c>
      <c r="D526" s="1649">
        <f>Data!X538</f>
        <v>1545.57</v>
      </c>
      <c r="E526" s="1687" t="s">
        <v>5</v>
      </c>
      <c r="F526" s="1649"/>
      <c r="G526" s="1648">
        <f t="shared" si="89"/>
        <v>0</v>
      </c>
      <c r="H526" s="1648"/>
      <c r="I526" s="1648">
        <f t="shared" si="90"/>
        <v>0</v>
      </c>
      <c r="J526" s="1648"/>
      <c r="K526" s="1648">
        <f t="shared" si="91"/>
        <v>0</v>
      </c>
      <c r="L526" s="1648"/>
      <c r="M526" s="1648">
        <f t="shared" si="92"/>
        <v>0</v>
      </c>
      <c r="N526" s="1648">
        <f t="shared" si="93"/>
        <v>0</v>
      </c>
      <c r="O526" s="1648">
        <f t="shared" si="94"/>
        <v>0</v>
      </c>
      <c r="P526" s="1648">
        <f t="shared" si="95"/>
        <v>0</v>
      </c>
      <c r="Q526" s="1648">
        <f t="shared" si="96"/>
        <v>0</v>
      </c>
      <c r="R526" s="55">
        <f t="shared" si="97"/>
        <v>0</v>
      </c>
      <c r="S526" s="55">
        <f t="shared" si="98"/>
        <v>0</v>
      </c>
    </row>
    <row r="527" spans="1:19" s="57" customFormat="1" ht="48.75" hidden="1" customHeight="1">
      <c r="A527" s="1687"/>
      <c r="B527" s="1648">
        <f t="shared" si="88"/>
        <v>0</v>
      </c>
      <c r="C527" s="1863" t="s">
        <v>5343</v>
      </c>
      <c r="D527" s="1649">
        <f>Data!X539</f>
        <v>1550.54</v>
      </c>
      <c r="E527" s="1687" t="s">
        <v>5</v>
      </c>
      <c r="F527" s="1649"/>
      <c r="G527" s="1648">
        <f t="shared" si="89"/>
        <v>0</v>
      </c>
      <c r="H527" s="1648"/>
      <c r="I527" s="1648">
        <f t="shared" si="90"/>
        <v>0</v>
      </c>
      <c r="J527" s="1648"/>
      <c r="K527" s="1648">
        <f t="shared" si="91"/>
        <v>0</v>
      </c>
      <c r="L527" s="1648"/>
      <c r="M527" s="1648">
        <f t="shared" si="92"/>
        <v>0</v>
      </c>
      <c r="N527" s="1648">
        <f t="shared" si="93"/>
        <v>0</v>
      </c>
      <c r="O527" s="1648">
        <f t="shared" si="94"/>
        <v>0</v>
      </c>
      <c r="P527" s="1648">
        <f t="shared" si="95"/>
        <v>0</v>
      </c>
      <c r="Q527" s="1648">
        <f t="shared" si="96"/>
        <v>0</v>
      </c>
      <c r="R527" s="55">
        <f t="shared" si="97"/>
        <v>0</v>
      </c>
      <c r="S527" s="55">
        <f t="shared" si="98"/>
        <v>0</v>
      </c>
    </row>
    <row r="528" spans="1:19" s="57" customFormat="1" ht="48.75" hidden="1" customHeight="1">
      <c r="A528" s="1687"/>
      <c r="B528" s="1648">
        <f t="shared" si="88"/>
        <v>0</v>
      </c>
      <c r="C528" s="1863" t="s">
        <v>5344</v>
      </c>
      <c r="D528" s="1649">
        <f>Data!X540</f>
        <v>1555.51</v>
      </c>
      <c r="E528" s="1687" t="s">
        <v>5</v>
      </c>
      <c r="F528" s="1649"/>
      <c r="G528" s="1648">
        <f t="shared" si="89"/>
        <v>0</v>
      </c>
      <c r="H528" s="1648"/>
      <c r="I528" s="1648">
        <f t="shared" si="90"/>
        <v>0</v>
      </c>
      <c r="J528" s="1648"/>
      <c r="K528" s="1648">
        <f t="shared" si="91"/>
        <v>0</v>
      </c>
      <c r="L528" s="1648"/>
      <c r="M528" s="1648">
        <f t="shared" si="92"/>
        <v>0</v>
      </c>
      <c r="N528" s="1648">
        <f t="shared" si="93"/>
        <v>0</v>
      </c>
      <c r="O528" s="1648">
        <f t="shared" si="94"/>
        <v>0</v>
      </c>
      <c r="P528" s="1648">
        <f t="shared" si="95"/>
        <v>0</v>
      </c>
      <c r="Q528" s="1648">
        <f t="shared" si="96"/>
        <v>0</v>
      </c>
      <c r="R528" s="55">
        <f t="shared" si="97"/>
        <v>0</v>
      </c>
      <c r="S528" s="55">
        <f t="shared" si="98"/>
        <v>0</v>
      </c>
    </row>
    <row r="529" spans="1:19" ht="48.75" hidden="1" customHeight="1">
      <c r="A529" s="1688"/>
      <c r="B529" s="1648">
        <f t="shared" si="88"/>
        <v>0</v>
      </c>
      <c r="C529" s="1863" t="s">
        <v>5345</v>
      </c>
      <c r="D529" s="1649">
        <f>Data!X541</f>
        <v>1560.48</v>
      </c>
      <c r="E529" s="1687" t="s">
        <v>5</v>
      </c>
      <c r="F529" s="1649"/>
      <c r="G529" s="1648">
        <f t="shared" si="89"/>
        <v>0</v>
      </c>
      <c r="H529" s="1648"/>
      <c r="I529" s="1648">
        <f t="shared" si="90"/>
        <v>0</v>
      </c>
      <c r="J529" s="1648"/>
      <c r="K529" s="1648">
        <f t="shared" si="91"/>
        <v>0</v>
      </c>
      <c r="L529" s="1648"/>
      <c r="M529" s="1648">
        <f t="shared" si="92"/>
        <v>0</v>
      </c>
      <c r="N529" s="1648">
        <f t="shared" si="93"/>
        <v>0</v>
      </c>
      <c r="O529" s="1648">
        <f t="shared" si="94"/>
        <v>0</v>
      </c>
      <c r="P529" s="1648">
        <f t="shared" si="95"/>
        <v>0</v>
      </c>
      <c r="Q529" s="1648">
        <f t="shared" si="96"/>
        <v>0</v>
      </c>
      <c r="R529" s="55">
        <f t="shared" si="97"/>
        <v>0</v>
      </c>
      <c r="S529" s="55">
        <f t="shared" si="98"/>
        <v>0</v>
      </c>
    </row>
    <row r="530" spans="1:19" s="57" customFormat="1" ht="48.75" hidden="1" customHeight="1">
      <c r="A530" s="1687" t="s">
        <v>698</v>
      </c>
      <c r="B530" s="1648">
        <f t="shared" si="88"/>
        <v>0</v>
      </c>
      <c r="C530" s="1864" t="s">
        <v>5584</v>
      </c>
      <c r="D530" s="1649"/>
      <c r="E530" s="1687" t="s">
        <v>5</v>
      </c>
      <c r="F530" s="1649"/>
      <c r="G530" s="1648">
        <f t="shared" si="89"/>
        <v>0</v>
      </c>
      <c r="H530" s="1648"/>
      <c r="I530" s="1648">
        <f t="shared" si="90"/>
        <v>0</v>
      </c>
      <c r="J530" s="1648"/>
      <c r="K530" s="1648">
        <f t="shared" si="91"/>
        <v>0</v>
      </c>
      <c r="L530" s="1648"/>
      <c r="M530" s="1648">
        <f t="shared" si="92"/>
        <v>0</v>
      </c>
      <c r="N530" s="1648">
        <f t="shared" si="93"/>
        <v>0</v>
      </c>
      <c r="O530" s="1648">
        <f t="shared" si="94"/>
        <v>0</v>
      </c>
      <c r="P530" s="1648">
        <f t="shared" si="95"/>
        <v>0</v>
      </c>
      <c r="Q530" s="1648">
        <f t="shared" si="96"/>
        <v>0</v>
      </c>
      <c r="R530" s="55">
        <f t="shared" si="97"/>
        <v>0</v>
      </c>
      <c r="S530" s="55">
        <f t="shared" si="98"/>
        <v>0</v>
      </c>
    </row>
    <row r="531" spans="1:19" s="57" customFormat="1" ht="48.75" hidden="1" customHeight="1">
      <c r="A531" s="1687"/>
      <c r="B531" s="1648">
        <f t="shared" si="88"/>
        <v>0</v>
      </c>
      <c r="C531" s="1863" t="s">
        <v>5391</v>
      </c>
      <c r="D531" s="1649">
        <f>Data!X559</f>
        <v>1688.92</v>
      </c>
      <c r="E531" s="1687" t="s">
        <v>5</v>
      </c>
      <c r="F531" s="1649"/>
      <c r="G531" s="1648">
        <f t="shared" si="89"/>
        <v>0</v>
      </c>
      <c r="H531" s="1648"/>
      <c r="I531" s="1648">
        <f t="shared" si="90"/>
        <v>0</v>
      </c>
      <c r="J531" s="1648"/>
      <c r="K531" s="1648">
        <f t="shared" si="91"/>
        <v>0</v>
      </c>
      <c r="L531" s="1648"/>
      <c r="M531" s="1648">
        <f t="shared" si="92"/>
        <v>0</v>
      </c>
      <c r="N531" s="1648">
        <f t="shared" si="93"/>
        <v>0</v>
      </c>
      <c r="O531" s="1648">
        <f t="shared" si="94"/>
        <v>0</v>
      </c>
      <c r="P531" s="1648">
        <f t="shared" si="95"/>
        <v>0</v>
      </c>
      <c r="Q531" s="1648">
        <f t="shared" si="96"/>
        <v>0</v>
      </c>
      <c r="R531" s="55">
        <f t="shared" si="97"/>
        <v>0</v>
      </c>
      <c r="S531" s="55">
        <f t="shared" si="98"/>
        <v>0</v>
      </c>
    </row>
    <row r="532" spans="1:19" s="57" customFormat="1" ht="48.75" hidden="1" customHeight="1">
      <c r="A532" s="1687"/>
      <c r="B532" s="1648">
        <f t="shared" si="88"/>
        <v>0</v>
      </c>
      <c r="C532" s="1863" t="s">
        <v>5585</v>
      </c>
      <c r="D532" s="1649">
        <f>Data!X561</f>
        <v>1693.97</v>
      </c>
      <c r="E532" s="1687" t="s">
        <v>5</v>
      </c>
      <c r="F532" s="1649"/>
      <c r="G532" s="1648">
        <f t="shared" si="89"/>
        <v>0</v>
      </c>
      <c r="H532" s="1648"/>
      <c r="I532" s="1648">
        <f t="shared" si="90"/>
        <v>0</v>
      </c>
      <c r="J532" s="1648"/>
      <c r="K532" s="1648">
        <f t="shared" si="91"/>
        <v>0</v>
      </c>
      <c r="L532" s="1648"/>
      <c r="M532" s="1648">
        <f t="shared" si="92"/>
        <v>0</v>
      </c>
      <c r="N532" s="1648">
        <f t="shared" si="93"/>
        <v>0</v>
      </c>
      <c r="O532" s="1648">
        <f t="shared" si="94"/>
        <v>0</v>
      </c>
      <c r="P532" s="1648">
        <f t="shared" si="95"/>
        <v>0</v>
      </c>
      <c r="Q532" s="1648">
        <f t="shared" si="96"/>
        <v>0</v>
      </c>
      <c r="R532" s="55">
        <f t="shared" si="97"/>
        <v>0</v>
      </c>
      <c r="S532" s="55">
        <f t="shared" si="98"/>
        <v>0</v>
      </c>
    </row>
    <row r="533" spans="1:19" s="57" customFormat="1" ht="48.75" hidden="1" customHeight="1">
      <c r="A533" s="1687"/>
      <c r="B533" s="1648">
        <f t="shared" si="88"/>
        <v>0</v>
      </c>
      <c r="C533" s="1863" t="s">
        <v>5393</v>
      </c>
      <c r="D533" s="1649">
        <f>Data!X562</f>
        <v>1703.91</v>
      </c>
      <c r="E533" s="1687" t="s">
        <v>5</v>
      </c>
      <c r="F533" s="1649"/>
      <c r="G533" s="1648">
        <f t="shared" si="89"/>
        <v>0</v>
      </c>
      <c r="H533" s="1648"/>
      <c r="I533" s="1648">
        <f t="shared" si="90"/>
        <v>0</v>
      </c>
      <c r="J533" s="1648"/>
      <c r="K533" s="1648">
        <f t="shared" si="91"/>
        <v>0</v>
      </c>
      <c r="L533" s="1648"/>
      <c r="M533" s="1648">
        <f t="shared" si="92"/>
        <v>0</v>
      </c>
      <c r="N533" s="1648">
        <f t="shared" si="93"/>
        <v>0</v>
      </c>
      <c r="O533" s="1648">
        <f t="shared" si="94"/>
        <v>0</v>
      </c>
      <c r="P533" s="1648">
        <f t="shared" si="95"/>
        <v>0</v>
      </c>
      <c r="Q533" s="1648">
        <f t="shared" si="96"/>
        <v>0</v>
      </c>
      <c r="R533" s="55">
        <f t="shared" si="97"/>
        <v>0</v>
      </c>
      <c r="S533" s="55">
        <f t="shared" si="98"/>
        <v>0</v>
      </c>
    </row>
    <row r="534" spans="1:19" s="57" customFormat="1" ht="48.75" hidden="1" customHeight="1">
      <c r="A534" s="1687"/>
      <c r="B534" s="1648">
        <f t="shared" si="88"/>
        <v>0</v>
      </c>
      <c r="C534" s="1863" t="s">
        <v>5394</v>
      </c>
      <c r="D534" s="1649">
        <f>Data!X563</f>
        <v>1713.85</v>
      </c>
      <c r="E534" s="1687" t="s">
        <v>5</v>
      </c>
      <c r="F534" s="1649"/>
      <c r="G534" s="1648">
        <f t="shared" si="89"/>
        <v>0</v>
      </c>
      <c r="H534" s="1648"/>
      <c r="I534" s="1648">
        <f t="shared" si="90"/>
        <v>0</v>
      </c>
      <c r="J534" s="1648"/>
      <c r="K534" s="1648">
        <f t="shared" si="91"/>
        <v>0</v>
      </c>
      <c r="L534" s="1648"/>
      <c r="M534" s="1648">
        <f t="shared" si="92"/>
        <v>0</v>
      </c>
      <c r="N534" s="1648">
        <f t="shared" si="93"/>
        <v>0</v>
      </c>
      <c r="O534" s="1648">
        <f t="shared" si="94"/>
        <v>0</v>
      </c>
      <c r="P534" s="1648">
        <f t="shared" si="95"/>
        <v>0</v>
      </c>
      <c r="Q534" s="1648">
        <f t="shared" si="96"/>
        <v>0</v>
      </c>
      <c r="R534" s="55">
        <f t="shared" si="97"/>
        <v>0</v>
      </c>
      <c r="S534" s="55">
        <f t="shared" si="98"/>
        <v>0</v>
      </c>
    </row>
    <row r="535" spans="1:19" s="57" customFormat="1" ht="48.75" hidden="1" customHeight="1">
      <c r="A535" s="1687"/>
      <c r="B535" s="1648">
        <f t="shared" si="88"/>
        <v>0</v>
      </c>
      <c r="C535" s="1863" t="s">
        <v>5395</v>
      </c>
      <c r="D535" s="1649">
        <f>Data!X564</f>
        <v>1723.79</v>
      </c>
      <c r="E535" s="1687" t="s">
        <v>5</v>
      </c>
      <c r="F535" s="1649"/>
      <c r="G535" s="1648">
        <f t="shared" si="89"/>
        <v>0</v>
      </c>
      <c r="H535" s="1648"/>
      <c r="I535" s="1648">
        <f t="shared" si="90"/>
        <v>0</v>
      </c>
      <c r="J535" s="1648"/>
      <c r="K535" s="1648">
        <f t="shared" si="91"/>
        <v>0</v>
      </c>
      <c r="L535" s="1648"/>
      <c r="M535" s="1648">
        <f t="shared" si="92"/>
        <v>0</v>
      </c>
      <c r="N535" s="1648">
        <f t="shared" si="93"/>
        <v>0</v>
      </c>
      <c r="O535" s="1648">
        <f t="shared" si="94"/>
        <v>0</v>
      </c>
      <c r="P535" s="1648">
        <f t="shared" si="95"/>
        <v>0</v>
      </c>
      <c r="Q535" s="1648">
        <f t="shared" si="96"/>
        <v>0</v>
      </c>
      <c r="R535" s="55">
        <f t="shared" si="97"/>
        <v>0</v>
      </c>
      <c r="S535" s="55">
        <f t="shared" si="98"/>
        <v>0</v>
      </c>
    </row>
    <row r="536" spans="1:19" ht="48.75" hidden="1" customHeight="1">
      <c r="A536" s="1688"/>
      <c r="B536" s="1648">
        <f t="shared" si="88"/>
        <v>0</v>
      </c>
      <c r="C536" s="1863" t="s">
        <v>5396</v>
      </c>
      <c r="D536" s="1649">
        <f>Data!X565</f>
        <v>1733.73</v>
      </c>
      <c r="E536" s="1687" t="s">
        <v>5</v>
      </c>
      <c r="F536" s="1649"/>
      <c r="G536" s="1648">
        <f t="shared" si="89"/>
        <v>0</v>
      </c>
      <c r="H536" s="1648"/>
      <c r="I536" s="1648">
        <f t="shared" si="90"/>
        <v>0</v>
      </c>
      <c r="J536" s="1648"/>
      <c r="K536" s="1648">
        <f t="shared" si="91"/>
        <v>0</v>
      </c>
      <c r="L536" s="1648"/>
      <c r="M536" s="1648">
        <f t="shared" si="92"/>
        <v>0</v>
      </c>
      <c r="N536" s="1648">
        <f t="shared" si="93"/>
        <v>0</v>
      </c>
      <c r="O536" s="1648">
        <f t="shared" si="94"/>
        <v>0</v>
      </c>
      <c r="P536" s="1648">
        <f t="shared" si="95"/>
        <v>0</v>
      </c>
      <c r="Q536" s="1648">
        <f t="shared" si="96"/>
        <v>0</v>
      </c>
      <c r="R536" s="55">
        <f t="shared" si="97"/>
        <v>0</v>
      </c>
      <c r="S536" s="55">
        <f t="shared" si="98"/>
        <v>0</v>
      </c>
    </row>
    <row r="537" spans="1:19" s="57" customFormat="1" ht="48.75" hidden="1" customHeight="1">
      <c r="A537" s="1687" t="s">
        <v>691</v>
      </c>
      <c r="B537" s="1648">
        <f t="shared" si="88"/>
        <v>0</v>
      </c>
      <c r="C537" s="1864" t="s">
        <v>3463</v>
      </c>
      <c r="D537" s="1649"/>
      <c r="E537" s="1687" t="s">
        <v>5</v>
      </c>
      <c r="F537" s="1649"/>
      <c r="G537" s="1648">
        <f t="shared" si="89"/>
        <v>0</v>
      </c>
      <c r="H537" s="1648"/>
      <c r="I537" s="1648">
        <f t="shared" si="90"/>
        <v>0</v>
      </c>
      <c r="J537" s="1648"/>
      <c r="K537" s="1648">
        <f t="shared" si="91"/>
        <v>0</v>
      </c>
      <c r="L537" s="1648"/>
      <c r="M537" s="1648">
        <f t="shared" si="92"/>
        <v>0</v>
      </c>
      <c r="N537" s="1648">
        <f t="shared" si="93"/>
        <v>0</v>
      </c>
      <c r="O537" s="1648">
        <f t="shared" si="94"/>
        <v>0</v>
      </c>
      <c r="P537" s="1648">
        <f t="shared" si="95"/>
        <v>0</v>
      </c>
      <c r="Q537" s="1648">
        <f t="shared" si="96"/>
        <v>0</v>
      </c>
      <c r="R537" s="55">
        <f t="shared" si="97"/>
        <v>0</v>
      </c>
      <c r="S537" s="55">
        <f t="shared" si="98"/>
        <v>0</v>
      </c>
    </row>
    <row r="538" spans="1:19" s="57" customFormat="1" ht="48.75" hidden="1" customHeight="1">
      <c r="A538" s="1687"/>
      <c r="B538" s="1648">
        <f t="shared" si="88"/>
        <v>0</v>
      </c>
      <c r="C538" s="1863" t="s">
        <v>5583</v>
      </c>
      <c r="D538" s="1649">
        <f>Data!AK537</f>
        <v>1554.35</v>
      </c>
      <c r="E538" s="1687" t="s">
        <v>5</v>
      </c>
      <c r="F538" s="1649"/>
      <c r="G538" s="1648">
        <f t="shared" si="89"/>
        <v>0</v>
      </c>
      <c r="H538" s="1648"/>
      <c r="I538" s="1648">
        <f t="shared" si="90"/>
        <v>0</v>
      </c>
      <c r="J538" s="1648"/>
      <c r="K538" s="1648">
        <f t="shared" si="91"/>
        <v>0</v>
      </c>
      <c r="L538" s="1648"/>
      <c r="M538" s="1648">
        <f t="shared" si="92"/>
        <v>0</v>
      </c>
      <c r="N538" s="1648">
        <f t="shared" si="93"/>
        <v>0</v>
      </c>
      <c r="O538" s="1648">
        <f t="shared" si="94"/>
        <v>0</v>
      </c>
      <c r="P538" s="1648">
        <f t="shared" si="95"/>
        <v>0</v>
      </c>
      <c r="Q538" s="1648">
        <f t="shared" si="96"/>
        <v>0</v>
      </c>
      <c r="R538" s="55">
        <f t="shared" si="97"/>
        <v>0</v>
      </c>
      <c r="S538" s="55">
        <f t="shared" si="98"/>
        <v>0</v>
      </c>
    </row>
    <row r="539" spans="1:19" s="57" customFormat="1" ht="48.75" hidden="1" customHeight="1">
      <c r="A539" s="1687"/>
      <c r="B539" s="1648">
        <f t="shared" si="88"/>
        <v>0</v>
      </c>
      <c r="C539" s="1863" t="s">
        <v>5342</v>
      </c>
      <c r="D539" s="1649">
        <f>Data!AK538</f>
        <v>1559.32</v>
      </c>
      <c r="E539" s="1687" t="s">
        <v>5</v>
      </c>
      <c r="F539" s="1649"/>
      <c r="G539" s="1648">
        <f t="shared" si="89"/>
        <v>0</v>
      </c>
      <c r="H539" s="1648"/>
      <c r="I539" s="1648">
        <f t="shared" si="90"/>
        <v>0</v>
      </c>
      <c r="J539" s="1648"/>
      <c r="K539" s="1648">
        <f t="shared" si="91"/>
        <v>0</v>
      </c>
      <c r="L539" s="1648"/>
      <c r="M539" s="1648">
        <f t="shared" si="92"/>
        <v>0</v>
      </c>
      <c r="N539" s="1648">
        <f t="shared" si="93"/>
        <v>0</v>
      </c>
      <c r="O539" s="1648">
        <f t="shared" si="94"/>
        <v>0</v>
      </c>
      <c r="P539" s="1648">
        <f t="shared" si="95"/>
        <v>0</v>
      </c>
      <c r="Q539" s="1648">
        <f t="shared" si="96"/>
        <v>0</v>
      </c>
      <c r="R539" s="55">
        <f t="shared" si="97"/>
        <v>0</v>
      </c>
      <c r="S539" s="55">
        <f t="shared" si="98"/>
        <v>0</v>
      </c>
    </row>
    <row r="540" spans="1:19" s="57" customFormat="1" ht="48.75" hidden="1" customHeight="1">
      <c r="A540" s="1687"/>
      <c r="B540" s="1648">
        <f t="shared" si="88"/>
        <v>0</v>
      </c>
      <c r="C540" s="1863" t="s">
        <v>5343</v>
      </c>
      <c r="D540" s="1649">
        <f>Data!AK539</f>
        <v>1564.29</v>
      </c>
      <c r="E540" s="1687" t="s">
        <v>5</v>
      </c>
      <c r="F540" s="1649"/>
      <c r="G540" s="1648">
        <f t="shared" si="89"/>
        <v>0</v>
      </c>
      <c r="H540" s="1648"/>
      <c r="I540" s="1648">
        <f t="shared" si="90"/>
        <v>0</v>
      </c>
      <c r="J540" s="1648"/>
      <c r="K540" s="1648">
        <f t="shared" si="91"/>
        <v>0</v>
      </c>
      <c r="L540" s="1648"/>
      <c r="M540" s="1648">
        <f t="shared" si="92"/>
        <v>0</v>
      </c>
      <c r="N540" s="1648">
        <f t="shared" si="93"/>
        <v>0</v>
      </c>
      <c r="O540" s="1648">
        <f t="shared" si="94"/>
        <v>0</v>
      </c>
      <c r="P540" s="1648">
        <f t="shared" si="95"/>
        <v>0</v>
      </c>
      <c r="Q540" s="1648">
        <f t="shared" si="96"/>
        <v>0</v>
      </c>
      <c r="R540" s="55">
        <f t="shared" si="97"/>
        <v>0</v>
      </c>
      <c r="S540" s="55">
        <f t="shared" si="98"/>
        <v>0</v>
      </c>
    </row>
    <row r="541" spans="1:19" s="57" customFormat="1" ht="48.75" hidden="1" customHeight="1">
      <c r="A541" s="1687"/>
      <c r="B541" s="1648">
        <f t="shared" si="88"/>
        <v>0</v>
      </c>
      <c r="C541" s="1863" t="s">
        <v>5344</v>
      </c>
      <c r="D541" s="1649">
        <f>Data!AK540</f>
        <v>1569.26</v>
      </c>
      <c r="E541" s="1687" t="s">
        <v>5</v>
      </c>
      <c r="F541" s="1649"/>
      <c r="G541" s="1648">
        <f t="shared" si="89"/>
        <v>0</v>
      </c>
      <c r="H541" s="1648"/>
      <c r="I541" s="1648">
        <f t="shared" si="90"/>
        <v>0</v>
      </c>
      <c r="J541" s="1648"/>
      <c r="K541" s="1648">
        <f t="shared" si="91"/>
        <v>0</v>
      </c>
      <c r="L541" s="1648"/>
      <c r="M541" s="1648">
        <f t="shared" si="92"/>
        <v>0</v>
      </c>
      <c r="N541" s="1648">
        <f t="shared" si="93"/>
        <v>0</v>
      </c>
      <c r="O541" s="1648">
        <f t="shared" si="94"/>
        <v>0</v>
      </c>
      <c r="P541" s="1648">
        <f t="shared" si="95"/>
        <v>0</v>
      </c>
      <c r="Q541" s="1648">
        <f t="shared" si="96"/>
        <v>0</v>
      </c>
      <c r="R541" s="55">
        <f t="shared" si="97"/>
        <v>0</v>
      </c>
      <c r="S541" s="55">
        <f t="shared" si="98"/>
        <v>0</v>
      </c>
    </row>
    <row r="542" spans="1:19" ht="48.75" hidden="1" customHeight="1">
      <c r="A542" s="1688"/>
      <c r="B542" s="1648">
        <f t="shared" si="88"/>
        <v>0</v>
      </c>
      <c r="C542" s="1863" t="s">
        <v>5345</v>
      </c>
      <c r="D542" s="1649">
        <f>Data!AK541</f>
        <v>1574.23</v>
      </c>
      <c r="E542" s="1687" t="s">
        <v>5</v>
      </c>
      <c r="F542" s="1649"/>
      <c r="G542" s="1648">
        <f t="shared" si="89"/>
        <v>0</v>
      </c>
      <c r="H542" s="1648"/>
      <c r="I542" s="1648">
        <f t="shared" si="90"/>
        <v>0</v>
      </c>
      <c r="J542" s="1648"/>
      <c r="K542" s="1648">
        <f t="shared" si="91"/>
        <v>0</v>
      </c>
      <c r="L542" s="1648"/>
      <c r="M542" s="1648">
        <f t="shared" si="92"/>
        <v>0</v>
      </c>
      <c r="N542" s="1648">
        <f t="shared" si="93"/>
        <v>0</v>
      </c>
      <c r="O542" s="1648">
        <f t="shared" si="94"/>
        <v>0</v>
      </c>
      <c r="P542" s="1648">
        <f t="shared" si="95"/>
        <v>0</v>
      </c>
      <c r="Q542" s="1648">
        <f t="shared" si="96"/>
        <v>0</v>
      </c>
      <c r="R542" s="55">
        <f t="shared" si="97"/>
        <v>0</v>
      </c>
      <c r="S542" s="55">
        <f t="shared" si="98"/>
        <v>0</v>
      </c>
    </row>
    <row r="543" spans="1:19" s="57" customFormat="1" ht="48.75" hidden="1" customHeight="1">
      <c r="A543" s="1687" t="s">
        <v>698</v>
      </c>
      <c r="B543" s="1648">
        <f t="shared" si="88"/>
        <v>0</v>
      </c>
      <c r="C543" s="1864" t="s">
        <v>3466</v>
      </c>
      <c r="D543" s="1649"/>
      <c r="E543" s="1687" t="s">
        <v>5</v>
      </c>
      <c r="F543" s="1649"/>
      <c r="G543" s="1648">
        <f t="shared" si="89"/>
        <v>0</v>
      </c>
      <c r="H543" s="1648"/>
      <c r="I543" s="1648">
        <f t="shared" si="90"/>
        <v>0</v>
      </c>
      <c r="J543" s="1648"/>
      <c r="K543" s="1648">
        <f t="shared" si="91"/>
        <v>0</v>
      </c>
      <c r="L543" s="1648"/>
      <c r="M543" s="1648">
        <f t="shared" si="92"/>
        <v>0</v>
      </c>
      <c r="N543" s="1648">
        <f t="shared" si="93"/>
        <v>0</v>
      </c>
      <c r="O543" s="1648">
        <f t="shared" si="94"/>
        <v>0</v>
      </c>
      <c r="P543" s="1648">
        <f t="shared" si="95"/>
        <v>0</v>
      </c>
      <c r="Q543" s="1648">
        <f t="shared" si="96"/>
        <v>0</v>
      </c>
      <c r="R543" s="55">
        <f t="shared" si="97"/>
        <v>0</v>
      </c>
      <c r="S543" s="55">
        <f t="shared" si="98"/>
        <v>0</v>
      </c>
    </row>
    <row r="544" spans="1:19" s="57" customFormat="1" ht="48.75" hidden="1" customHeight="1">
      <c r="A544" s="1687"/>
      <c r="B544" s="1648">
        <f t="shared" si="88"/>
        <v>0</v>
      </c>
      <c r="C544" s="1863" t="s">
        <v>5391</v>
      </c>
      <c r="D544" s="1649">
        <f>Data!AK559</f>
        <v>1716.45</v>
      </c>
      <c r="E544" s="1687" t="s">
        <v>5</v>
      </c>
      <c r="F544" s="1649"/>
      <c r="G544" s="1648">
        <f t="shared" si="89"/>
        <v>0</v>
      </c>
      <c r="H544" s="1648"/>
      <c r="I544" s="1648">
        <f t="shared" si="90"/>
        <v>0</v>
      </c>
      <c r="J544" s="1648"/>
      <c r="K544" s="1648">
        <f t="shared" si="91"/>
        <v>0</v>
      </c>
      <c r="L544" s="1648"/>
      <c r="M544" s="1648">
        <f t="shared" si="92"/>
        <v>0</v>
      </c>
      <c r="N544" s="1648">
        <f t="shared" si="93"/>
        <v>0</v>
      </c>
      <c r="O544" s="1648">
        <f t="shared" si="94"/>
        <v>0</v>
      </c>
      <c r="P544" s="1648">
        <f t="shared" si="95"/>
        <v>0</v>
      </c>
      <c r="Q544" s="1648">
        <f t="shared" si="96"/>
        <v>0</v>
      </c>
      <c r="R544" s="55">
        <f t="shared" si="97"/>
        <v>0</v>
      </c>
      <c r="S544" s="55">
        <f t="shared" si="98"/>
        <v>0</v>
      </c>
    </row>
    <row r="545" spans="1:19" s="57" customFormat="1" ht="48.75" hidden="1" customHeight="1">
      <c r="A545" s="1687"/>
      <c r="B545" s="1648">
        <f t="shared" si="88"/>
        <v>0</v>
      </c>
      <c r="C545" s="1863" t="s">
        <v>5585</v>
      </c>
      <c r="D545" s="1649">
        <f>Data!AK561</f>
        <v>1721.5</v>
      </c>
      <c r="E545" s="1687" t="s">
        <v>5</v>
      </c>
      <c r="F545" s="1649"/>
      <c r="G545" s="1648">
        <f t="shared" si="89"/>
        <v>0</v>
      </c>
      <c r="H545" s="1648"/>
      <c r="I545" s="1648">
        <f t="shared" si="90"/>
        <v>0</v>
      </c>
      <c r="J545" s="1648"/>
      <c r="K545" s="1648">
        <f t="shared" si="91"/>
        <v>0</v>
      </c>
      <c r="L545" s="1648"/>
      <c r="M545" s="1648">
        <f t="shared" si="92"/>
        <v>0</v>
      </c>
      <c r="N545" s="1648">
        <f t="shared" si="93"/>
        <v>0</v>
      </c>
      <c r="O545" s="1648">
        <f t="shared" si="94"/>
        <v>0</v>
      </c>
      <c r="P545" s="1648">
        <f t="shared" si="95"/>
        <v>0</v>
      </c>
      <c r="Q545" s="1648">
        <f t="shared" si="96"/>
        <v>0</v>
      </c>
      <c r="R545" s="55">
        <f t="shared" si="97"/>
        <v>0</v>
      </c>
      <c r="S545" s="55">
        <f t="shared" si="98"/>
        <v>0</v>
      </c>
    </row>
    <row r="546" spans="1:19" s="57" customFormat="1" ht="48.75" hidden="1" customHeight="1">
      <c r="A546" s="1687"/>
      <c r="B546" s="1648">
        <f t="shared" si="88"/>
        <v>0</v>
      </c>
      <c r="C546" s="1863" t="s">
        <v>5393</v>
      </c>
      <c r="D546" s="1649">
        <f>Data!AK562</f>
        <v>1731.44</v>
      </c>
      <c r="E546" s="1687" t="s">
        <v>5</v>
      </c>
      <c r="F546" s="1649"/>
      <c r="G546" s="1648">
        <f t="shared" si="89"/>
        <v>0</v>
      </c>
      <c r="H546" s="1648"/>
      <c r="I546" s="1648">
        <f t="shared" si="90"/>
        <v>0</v>
      </c>
      <c r="J546" s="1648"/>
      <c r="K546" s="1648">
        <f t="shared" si="91"/>
        <v>0</v>
      </c>
      <c r="L546" s="1648"/>
      <c r="M546" s="1648">
        <f t="shared" si="92"/>
        <v>0</v>
      </c>
      <c r="N546" s="1648">
        <f t="shared" si="93"/>
        <v>0</v>
      </c>
      <c r="O546" s="1648">
        <f t="shared" si="94"/>
        <v>0</v>
      </c>
      <c r="P546" s="1648">
        <f t="shared" si="95"/>
        <v>0</v>
      </c>
      <c r="Q546" s="1648">
        <f t="shared" si="96"/>
        <v>0</v>
      </c>
      <c r="R546" s="55">
        <f t="shared" si="97"/>
        <v>0</v>
      </c>
      <c r="S546" s="55">
        <f t="shared" si="98"/>
        <v>0</v>
      </c>
    </row>
    <row r="547" spans="1:19" s="57" customFormat="1" ht="48.75" hidden="1" customHeight="1">
      <c r="A547" s="1687"/>
      <c r="B547" s="1648">
        <f t="shared" si="88"/>
        <v>0</v>
      </c>
      <c r="C547" s="1863" t="s">
        <v>5394</v>
      </c>
      <c r="D547" s="1649">
        <f>Data!AK563</f>
        <v>1741.38</v>
      </c>
      <c r="E547" s="1687" t="s">
        <v>5</v>
      </c>
      <c r="F547" s="1649"/>
      <c r="G547" s="1648">
        <f t="shared" si="89"/>
        <v>0</v>
      </c>
      <c r="H547" s="1648"/>
      <c r="I547" s="1648">
        <f t="shared" si="90"/>
        <v>0</v>
      </c>
      <c r="J547" s="1648"/>
      <c r="K547" s="1648">
        <f t="shared" si="91"/>
        <v>0</v>
      </c>
      <c r="L547" s="1648"/>
      <c r="M547" s="1648">
        <f t="shared" si="92"/>
        <v>0</v>
      </c>
      <c r="N547" s="1648">
        <f t="shared" si="93"/>
        <v>0</v>
      </c>
      <c r="O547" s="1648">
        <f t="shared" si="94"/>
        <v>0</v>
      </c>
      <c r="P547" s="1648">
        <f t="shared" si="95"/>
        <v>0</v>
      </c>
      <c r="Q547" s="1648">
        <f t="shared" si="96"/>
        <v>0</v>
      </c>
      <c r="R547" s="55">
        <f t="shared" si="97"/>
        <v>0</v>
      </c>
      <c r="S547" s="55">
        <f t="shared" si="98"/>
        <v>0</v>
      </c>
    </row>
    <row r="548" spans="1:19" s="57" customFormat="1" ht="48.75" hidden="1" customHeight="1">
      <c r="A548" s="1687"/>
      <c r="B548" s="1648">
        <f t="shared" si="88"/>
        <v>0</v>
      </c>
      <c r="C548" s="1863" t="s">
        <v>5395</v>
      </c>
      <c r="D548" s="1649">
        <f>Data!AK564</f>
        <v>1751.32</v>
      </c>
      <c r="E548" s="1687" t="s">
        <v>5</v>
      </c>
      <c r="F548" s="1649"/>
      <c r="G548" s="1648">
        <f t="shared" si="89"/>
        <v>0</v>
      </c>
      <c r="H548" s="1648"/>
      <c r="I548" s="1648">
        <f t="shared" si="90"/>
        <v>0</v>
      </c>
      <c r="J548" s="1648"/>
      <c r="K548" s="1648">
        <f t="shared" si="91"/>
        <v>0</v>
      </c>
      <c r="L548" s="1648"/>
      <c r="M548" s="1648">
        <f t="shared" si="92"/>
        <v>0</v>
      </c>
      <c r="N548" s="1648">
        <f t="shared" si="93"/>
        <v>0</v>
      </c>
      <c r="O548" s="1648">
        <f t="shared" si="94"/>
        <v>0</v>
      </c>
      <c r="P548" s="1648">
        <f t="shared" si="95"/>
        <v>0</v>
      </c>
      <c r="Q548" s="1648">
        <f t="shared" si="96"/>
        <v>0</v>
      </c>
      <c r="R548" s="55">
        <f t="shared" si="97"/>
        <v>0</v>
      </c>
      <c r="S548" s="55">
        <f t="shared" si="98"/>
        <v>0</v>
      </c>
    </row>
    <row r="549" spans="1:19" ht="48.75" hidden="1" customHeight="1">
      <c r="A549" s="1688"/>
      <c r="B549" s="1648">
        <f t="shared" si="88"/>
        <v>0</v>
      </c>
      <c r="C549" s="1863" t="s">
        <v>5396</v>
      </c>
      <c r="D549" s="1649">
        <f>Data!AK565</f>
        <v>1761.26</v>
      </c>
      <c r="E549" s="1687" t="s">
        <v>5</v>
      </c>
      <c r="F549" s="1649"/>
      <c r="G549" s="1648">
        <f t="shared" si="89"/>
        <v>0</v>
      </c>
      <c r="H549" s="1648"/>
      <c r="I549" s="1648">
        <f t="shared" si="90"/>
        <v>0</v>
      </c>
      <c r="J549" s="1648"/>
      <c r="K549" s="1648">
        <f t="shared" si="91"/>
        <v>0</v>
      </c>
      <c r="L549" s="1648"/>
      <c r="M549" s="1648">
        <f t="shared" si="92"/>
        <v>0</v>
      </c>
      <c r="N549" s="1648">
        <f t="shared" si="93"/>
        <v>0</v>
      </c>
      <c r="O549" s="1648">
        <f t="shared" si="94"/>
        <v>0</v>
      </c>
      <c r="P549" s="1648">
        <f t="shared" si="95"/>
        <v>0</v>
      </c>
      <c r="Q549" s="1648">
        <f t="shared" si="96"/>
        <v>0</v>
      </c>
      <c r="R549" s="55">
        <f t="shared" si="97"/>
        <v>0</v>
      </c>
      <c r="S549" s="55">
        <f t="shared" si="98"/>
        <v>0</v>
      </c>
    </row>
    <row r="550" spans="1:19" ht="48.75" hidden="1" customHeight="1">
      <c r="A550" s="1687" t="s">
        <v>691</v>
      </c>
      <c r="B550" s="1648">
        <f t="shared" si="88"/>
        <v>0</v>
      </c>
      <c r="C550" s="1864" t="s">
        <v>5586</v>
      </c>
      <c r="D550" s="1649"/>
      <c r="E550" s="1687" t="s">
        <v>5</v>
      </c>
      <c r="F550" s="1649"/>
      <c r="G550" s="1648">
        <f t="shared" si="89"/>
        <v>0</v>
      </c>
      <c r="H550" s="1648"/>
      <c r="I550" s="1648">
        <f t="shared" si="90"/>
        <v>0</v>
      </c>
      <c r="J550" s="1648"/>
      <c r="K550" s="1648">
        <f t="shared" si="91"/>
        <v>0</v>
      </c>
      <c r="L550" s="1648"/>
      <c r="M550" s="1648">
        <f t="shared" si="92"/>
        <v>0</v>
      </c>
      <c r="N550" s="1648">
        <f t="shared" si="93"/>
        <v>0</v>
      </c>
      <c r="O550" s="1648">
        <f t="shared" si="94"/>
        <v>0</v>
      </c>
      <c r="P550" s="1648">
        <f t="shared" si="95"/>
        <v>0</v>
      </c>
      <c r="Q550" s="1648">
        <f t="shared" si="96"/>
        <v>0</v>
      </c>
      <c r="R550" s="55">
        <f t="shared" si="97"/>
        <v>0</v>
      </c>
      <c r="S550" s="55">
        <f t="shared" si="98"/>
        <v>0</v>
      </c>
    </row>
    <row r="551" spans="1:19" ht="48.75" hidden="1" customHeight="1">
      <c r="A551" s="1687"/>
      <c r="B551" s="1648">
        <f t="shared" si="88"/>
        <v>0</v>
      </c>
      <c r="C551" s="1863" t="s">
        <v>5341</v>
      </c>
      <c r="D551" s="1649">
        <f>Data!AD537</f>
        <v>1551.58</v>
      </c>
      <c r="E551" s="1687" t="s">
        <v>5</v>
      </c>
      <c r="F551" s="1649"/>
      <c r="G551" s="1648">
        <f t="shared" si="89"/>
        <v>0</v>
      </c>
      <c r="H551" s="1648"/>
      <c r="I551" s="1648">
        <f t="shared" si="90"/>
        <v>0</v>
      </c>
      <c r="J551" s="1648"/>
      <c r="K551" s="1648">
        <f t="shared" si="91"/>
        <v>0</v>
      </c>
      <c r="L551" s="1648"/>
      <c r="M551" s="1648">
        <f t="shared" si="92"/>
        <v>0</v>
      </c>
      <c r="N551" s="1648">
        <f t="shared" si="93"/>
        <v>0</v>
      </c>
      <c r="O551" s="1648">
        <f t="shared" si="94"/>
        <v>0</v>
      </c>
      <c r="P551" s="1648">
        <f t="shared" si="95"/>
        <v>0</v>
      </c>
      <c r="Q551" s="1648">
        <f t="shared" si="96"/>
        <v>0</v>
      </c>
      <c r="R551" s="55">
        <f t="shared" si="97"/>
        <v>0</v>
      </c>
      <c r="S551" s="55">
        <f t="shared" si="98"/>
        <v>0</v>
      </c>
    </row>
    <row r="552" spans="1:19" ht="48.75" hidden="1" customHeight="1">
      <c r="A552" s="1687"/>
      <c r="B552" s="1648">
        <f t="shared" si="88"/>
        <v>0</v>
      </c>
      <c r="C552" s="1863" t="s">
        <v>5342</v>
      </c>
      <c r="D552" s="1649">
        <f>Data!AD538</f>
        <v>1556.55</v>
      </c>
      <c r="E552" s="1687" t="s">
        <v>5</v>
      </c>
      <c r="F552" s="1649"/>
      <c r="G552" s="1648">
        <f t="shared" si="89"/>
        <v>0</v>
      </c>
      <c r="H552" s="1648"/>
      <c r="I552" s="1648">
        <f t="shared" si="90"/>
        <v>0</v>
      </c>
      <c r="J552" s="1648"/>
      <c r="K552" s="1648">
        <f t="shared" si="91"/>
        <v>0</v>
      </c>
      <c r="L552" s="1648"/>
      <c r="M552" s="1648">
        <f t="shared" si="92"/>
        <v>0</v>
      </c>
      <c r="N552" s="1648">
        <f t="shared" si="93"/>
        <v>0</v>
      </c>
      <c r="O552" s="1648">
        <f t="shared" si="94"/>
        <v>0</v>
      </c>
      <c r="P552" s="1648">
        <f t="shared" si="95"/>
        <v>0</v>
      </c>
      <c r="Q552" s="1648">
        <f t="shared" si="96"/>
        <v>0</v>
      </c>
      <c r="R552" s="55">
        <f t="shared" si="97"/>
        <v>0</v>
      </c>
      <c r="S552" s="55">
        <f t="shared" si="98"/>
        <v>0</v>
      </c>
    </row>
    <row r="553" spans="1:19" ht="48.75" hidden="1" customHeight="1">
      <c r="A553" s="1687"/>
      <c r="B553" s="1648">
        <f t="shared" si="88"/>
        <v>0</v>
      </c>
      <c r="C553" s="1863" t="s">
        <v>5343</v>
      </c>
      <c r="D553" s="1649">
        <f>Data!AD539</f>
        <v>1561.52</v>
      </c>
      <c r="E553" s="1687" t="s">
        <v>5</v>
      </c>
      <c r="F553" s="1649"/>
      <c r="G553" s="1648">
        <f t="shared" si="89"/>
        <v>0</v>
      </c>
      <c r="H553" s="1648"/>
      <c r="I553" s="1648">
        <f t="shared" si="90"/>
        <v>0</v>
      </c>
      <c r="J553" s="1648"/>
      <c r="K553" s="1648">
        <f t="shared" si="91"/>
        <v>0</v>
      </c>
      <c r="L553" s="1648"/>
      <c r="M553" s="1648">
        <f t="shared" si="92"/>
        <v>0</v>
      </c>
      <c r="N553" s="1648">
        <f t="shared" si="93"/>
        <v>0</v>
      </c>
      <c r="O553" s="1648">
        <f t="shared" si="94"/>
        <v>0</v>
      </c>
      <c r="P553" s="1648">
        <f t="shared" si="95"/>
        <v>0</v>
      </c>
      <c r="Q553" s="1648">
        <f t="shared" si="96"/>
        <v>0</v>
      </c>
      <c r="R553" s="55">
        <f t="shared" si="97"/>
        <v>0</v>
      </c>
      <c r="S553" s="55">
        <f t="shared" si="98"/>
        <v>0</v>
      </c>
    </row>
    <row r="554" spans="1:19" ht="48.75" hidden="1" customHeight="1">
      <c r="A554" s="1687"/>
      <c r="B554" s="1648">
        <f t="shared" si="88"/>
        <v>0</v>
      </c>
      <c r="C554" s="1863" t="s">
        <v>5344</v>
      </c>
      <c r="D554" s="1649">
        <f>Data!AD540</f>
        <v>1566.49</v>
      </c>
      <c r="E554" s="1687" t="s">
        <v>5</v>
      </c>
      <c r="F554" s="1649"/>
      <c r="G554" s="1648">
        <f t="shared" si="89"/>
        <v>0</v>
      </c>
      <c r="H554" s="1648"/>
      <c r="I554" s="1648">
        <f t="shared" si="90"/>
        <v>0</v>
      </c>
      <c r="J554" s="1648"/>
      <c r="K554" s="1648">
        <f t="shared" si="91"/>
        <v>0</v>
      </c>
      <c r="L554" s="1648"/>
      <c r="M554" s="1648">
        <f t="shared" si="92"/>
        <v>0</v>
      </c>
      <c r="N554" s="1648">
        <f t="shared" si="93"/>
        <v>0</v>
      </c>
      <c r="O554" s="1648">
        <f t="shared" si="94"/>
        <v>0</v>
      </c>
      <c r="P554" s="1648">
        <f t="shared" si="95"/>
        <v>0</v>
      </c>
      <c r="Q554" s="1648">
        <f t="shared" si="96"/>
        <v>0</v>
      </c>
      <c r="R554" s="55">
        <f t="shared" si="97"/>
        <v>0</v>
      </c>
      <c r="S554" s="55">
        <f t="shared" si="98"/>
        <v>0</v>
      </c>
    </row>
    <row r="555" spans="1:19" ht="48.75" hidden="1" customHeight="1">
      <c r="A555" s="1688"/>
      <c r="B555" s="1648">
        <f t="shared" si="88"/>
        <v>0</v>
      </c>
      <c r="C555" s="1863" t="s">
        <v>5345</v>
      </c>
      <c r="D555" s="1649">
        <f>Data!AD541</f>
        <v>1571.46</v>
      </c>
      <c r="E555" s="1687" t="s">
        <v>5</v>
      </c>
      <c r="F555" s="1649"/>
      <c r="G555" s="1648">
        <f t="shared" si="89"/>
        <v>0</v>
      </c>
      <c r="H555" s="1648"/>
      <c r="I555" s="1648">
        <f t="shared" si="90"/>
        <v>0</v>
      </c>
      <c r="J555" s="1648"/>
      <c r="K555" s="1648">
        <f t="shared" si="91"/>
        <v>0</v>
      </c>
      <c r="L555" s="1648"/>
      <c r="M555" s="1648">
        <f t="shared" si="92"/>
        <v>0</v>
      </c>
      <c r="N555" s="1648">
        <f t="shared" si="93"/>
        <v>0</v>
      </c>
      <c r="O555" s="1648">
        <f t="shared" si="94"/>
        <v>0</v>
      </c>
      <c r="P555" s="1648">
        <f t="shared" si="95"/>
        <v>0</v>
      </c>
      <c r="Q555" s="1648">
        <f t="shared" si="96"/>
        <v>0</v>
      </c>
      <c r="R555" s="55">
        <f t="shared" si="97"/>
        <v>0</v>
      </c>
      <c r="S555" s="55">
        <f t="shared" si="98"/>
        <v>0</v>
      </c>
    </row>
    <row r="556" spans="1:19" ht="48.75" hidden="1" customHeight="1">
      <c r="A556" s="1687" t="s">
        <v>698</v>
      </c>
      <c r="B556" s="1648">
        <f t="shared" si="88"/>
        <v>0</v>
      </c>
      <c r="C556" s="1864" t="s">
        <v>5587</v>
      </c>
      <c r="D556" s="1649"/>
      <c r="E556" s="1687" t="s">
        <v>5</v>
      </c>
      <c r="F556" s="1649"/>
      <c r="G556" s="1648">
        <f t="shared" si="89"/>
        <v>0</v>
      </c>
      <c r="H556" s="1648"/>
      <c r="I556" s="1648">
        <f t="shared" si="90"/>
        <v>0</v>
      </c>
      <c r="J556" s="1648"/>
      <c r="K556" s="1648">
        <f t="shared" si="91"/>
        <v>0</v>
      </c>
      <c r="L556" s="1648"/>
      <c r="M556" s="1648">
        <f t="shared" si="92"/>
        <v>0</v>
      </c>
      <c r="N556" s="1648">
        <f t="shared" si="93"/>
        <v>0</v>
      </c>
      <c r="O556" s="1648">
        <f t="shared" si="94"/>
        <v>0</v>
      </c>
      <c r="P556" s="1648">
        <f t="shared" si="95"/>
        <v>0</v>
      </c>
      <c r="Q556" s="1648">
        <f t="shared" si="96"/>
        <v>0</v>
      </c>
      <c r="R556" s="55">
        <f t="shared" si="97"/>
        <v>0</v>
      </c>
      <c r="S556" s="55">
        <f t="shared" si="98"/>
        <v>0</v>
      </c>
    </row>
    <row r="557" spans="1:19" ht="48.75" hidden="1" customHeight="1">
      <c r="A557" s="1687"/>
      <c r="B557" s="1648">
        <f t="shared" si="88"/>
        <v>0</v>
      </c>
      <c r="C557" s="1863" t="s">
        <v>5391</v>
      </c>
      <c r="D557" s="1649">
        <f>Data!AD559</f>
        <v>1710.9</v>
      </c>
      <c r="E557" s="1687" t="s">
        <v>5</v>
      </c>
      <c r="F557" s="1649"/>
      <c r="G557" s="1648">
        <f t="shared" si="89"/>
        <v>0</v>
      </c>
      <c r="H557" s="1648"/>
      <c r="I557" s="1648">
        <f t="shared" si="90"/>
        <v>0</v>
      </c>
      <c r="J557" s="1648"/>
      <c r="K557" s="1648">
        <f t="shared" si="91"/>
        <v>0</v>
      </c>
      <c r="L557" s="1648"/>
      <c r="M557" s="1648">
        <f t="shared" si="92"/>
        <v>0</v>
      </c>
      <c r="N557" s="1648">
        <f t="shared" si="93"/>
        <v>0</v>
      </c>
      <c r="O557" s="1648">
        <f t="shared" si="94"/>
        <v>0</v>
      </c>
      <c r="P557" s="1648">
        <f t="shared" si="95"/>
        <v>0</v>
      </c>
      <c r="Q557" s="1648">
        <f t="shared" si="96"/>
        <v>0</v>
      </c>
      <c r="R557" s="55">
        <f t="shared" si="97"/>
        <v>0</v>
      </c>
      <c r="S557" s="55">
        <f t="shared" si="98"/>
        <v>0</v>
      </c>
    </row>
    <row r="558" spans="1:19" ht="48.75" hidden="1" customHeight="1">
      <c r="A558" s="1687"/>
      <c r="B558" s="1648">
        <f t="shared" si="88"/>
        <v>0</v>
      </c>
      <c r="C558" s="1863" t="s">
        <v>5392</v>
      </c>
      <c r="D558" s="1649">
        <f>Data!AD561</f>
        <v>1715.95</v>
      </c>
      <c r="E558" s="1687" t="s">
        <v>5</v>
      </c>
      <c r="F558" s="1649"/>
      <c r="G558" s="1648">
        <f t="shared" si="89"/>
        <v>0</v>
      </c>
      <c r="H558" s="1648"/>
      <c r="I558" s="1648">
        <f t="shared" si="90"/>
        <v>0</v>
      </c>
      <c r="J558" s="1648"/>
      <c r="K558" s="1648">
        <f t="shared" si="91"/>
        <v>0</v>
      </c>
      <c r="L558" s="1648"/>
      <c r="M558" s="1648">
        <f t="shared" si="92"/>
        <v>0</v>
      </c>
      <c r="N558" s="1648">
        <f t="shared" si="93"/>
        <v>0</v>
      </c>
      <c r="O558" s="1648">
        <f t="shared" si="94"/>
        <v>0</v>
      </c>
      <c r="P558" s="1648">
        <f t="shared" si="95"/>
        <v>0</v>
      </c>
      <c r="Q558" s="1648">
        <f t="shared" si="96"/>
        <v>0</v>
      </c>
      <c r="R558" s="55">
        <f t="shared" si="97"/>
        <v>0</v>
      </c>
      <c r="S558" s="55">
        <f t="shared" si="98"/>
        <v>0</v>
      </c>
    </row>
    <row r="559" spans="1:19" ht="48.75" hidden="1" customHeight="1">
      <c r="A559" s="1687"/>
      <c r="B559" s="1648">
        <f t="shared" si="88"/>
        <v>0</v>
      </c>
      <c r="C559" s="1863" t="s">
        <v>5393</v>
      </c>
      <c r="D559" s="1649">
        <f>Data!AD562</f>
        <v>1725.89</v>
      </c>
      <c r="E559" s="1687" t="s">
        <v>5</v>
      </c>
      <c r="F559" s="1649"/>
      <c r="G559" s="1648">
        <f t="shared" si="89"/>
        <v>0</v>
      </c>
      <c r="H559" s="1648"/>
      <c r="I559" s="1648">
        <f t="shared" si="90"/>
        <v>0</v>
      </c>
      <c r="J559" s="1648"/>
      <c r="K559" s="1648">
        <f t="shared" si="91"/>
        <v>0</v>
      </c>
      <c r="L559" s="1648"/>
      <c r="M559" s="1648">
        <f t="shared" si="92"/>
        <v>0</v>
      </c>
      <c r="N559" s="1648">
        <f t="shared" si="93"/>
        <v>0</v>
      </c>
      <c r="O559" s="1648">
        <f t="shared" si="94"/>
        <v>0</v>
      </c>
      <c r="P559" s="1648">
        <f t="shared" si="95"/>
        <v>0</v>
      </c>
      <c r="Q559" s="1648">
        <f t="shared" si="96"/>
        <v>0</v>
      </c>
      <c r="R559" s="55">
        <f t="shared" si="97"/>
        <v>0</v>
      </c>
      <c r="S559" s="55">
        <f t="shared" si="98"/>
        <v>0</v>
      </c>
    </row>
    <row r="560" spans="1:19" ht="48.75" hidden="1" customHeight="1">
      <c r="A560" s="1687"/>
      <c r="B560" s="1648">
        <f t="shared" si="88"/>
        <v>0</v>
      </c>
      <c r="C560" s="1863" t="s">
        <v>5394</v>
      </c>
      <c r="D560" s="1649">
        <f>Data!AD563</f>
        <v>1735.83</v>
      </c>
      <c r="E560" s="1687" t="s">
        <v>5</v>
      </c>
      <c r="F560" s="1649"/>
      <c r="G560" s="1648">
        <f t="shared" si="89"/>
        <v>0</v>
      </c>
      <c r="H560" s="1648"/>
      <c r="I560" s="1648">
        <f t="shared" si="90"/>
        <v>0</v>
      </c>
      <c r="J560" s="1648"/>
      <c r="K560" s="1648">
        <f t="shared" si="91"/>
        <v>0</v>
      </c>
      <c r="L560" s="1648"/>
      <c r="M560" s="1648">
        <f t="shared" si="92"/>
        <v>0</v>
      </c>
      <c r="N560" s="1648">
        <f t="shared" si="93"/>
        <v>0</v>
      </c>
      <c r="O560" s="1648">
        <f t="shared" si="94"/>
        <v>0</v>
      </c>
      <c r="P560" s="1648">
        <f t="shared" si="95"/>
        <v>0</v>
      </c>
      <c r="Q560" s="1648">
        <f t="shared" si="96"/>
        <v>0</v>
      </c>
      <c r="R560" s="55">
        <f t="shared" si="97"/>
        <v>0</v>
      </c>
      <c r="S560" s="55">
        <f t="shared" si="98"/>
        <v>0</v>
      </c>
    </row>
    <row r="561" spans="1:19" ht="48.75" hidden="1" customHeight="1">
      <c r="A561" s="1687"/>
      <c r="B561" s="1648">
        <f t="shared" si="88"/>
        <v>0</v>
      </c>
      <c r="C561" s="1863" t="s">
        <v>5395</v>
      </c>
      <c r="D561" s="1649">
        <f>Data!AD564</f>
        <v>1745.77</v>
      </c>
      <c r="E561" s="1687" t="s">
        <v>5</v>
      </c>
      <c r="F561" s="1649"/>
      <c r="G561" s="1648">
        <f t="shared" si="89"/>
        <v>0</v>
      </c>
      <c r="H561" s="1648"/>
      <c r="I561" s="1648">
        <f t="shared" si="90"/>
        <v>0</v>
      </c>
      <c r="J561" s="1648"/>
      <c r="K561" s="1648">
        <f t="shared" si="91"/>
        <v>0</v>
      </c>
      <c r="L561" s="1648"/>
      <c r="M561" s="1648">
        <f t="shared" si="92"/>
        <v>0</v>
      </c>
      <c r="N561" s="1648">
        <f t="shared" si="93"/>
        <v>0</v>
      </c>
      <c r="O561" s="1648">
        <f t="shared" si="94"/>
        <v>0</v>
      </c>
      <c r="P561" s="1648">
        <f t="shared" si="95"/>
        <v>0</v>
      </c>
      <c r="Q561" s="1648">
        <f t="shared" si="96"/>
        <v>0</v>
      </c>
      <c r="R561" s="55">
        <f t="shared" si="97"/>
        <v>0</v>
      </c>
      <c r="S561" s="55">
        <f t="shared" si="98"/>
        <v>0</v>
      </c>
    </row>
    <row r="562" spans="1:19" ht="48.75" hidden="1" customHeight="1">
      <c r="A562" s="1688"/>
      <c r="B562" s="1648">
        <f t="shared" si="88"/>
        <v>0</v>
      </c>
      <c r="C562" s="1863" t="s">
        <v>5396</v>
      </c>
      <c r="D562" s="1649">
        <f>Data!AD565</f>
        <v>1755.71</v>
      </c>
      <c r="E562" s="1687" t="s">
        <v>5</v>
      </c>
      <c r="F562" s="1649"/>
      <c r="G562" s="1648">
        <f t="shared" si="89"/>
        <v>0</v>
      </c>
      <c r="H562" s="1648"/>
      <c r="I562" s="1648">
        <f t="shared" si="90"/>
        <v>0</v>
      </c>
      <c r="J562" s="1648"/>
      <c r="K562" s="1648">
        <f t="shared" si="91"/>
        <v>0</v>
      </c>
      <c r="L562" s="1648"/>
      <c r="M562" s="1648">
        <f t="shared" si="92"/>
        <v>0</v>
      </c>
      <c r="N562" s="1648">
        <f t="shared" si="93"/>
        <v>0</v>
      </c>
      <c r="O562" s="1648">
        <f t="shared" si="94"/>
        <v>0</v>
      </c>
      <c r="P562" s="1648">
        <f t="shared" si="95"/>
        <v>0</v>
      </c>
      <c r="Q562" s="1648">
        <f t="shared" si="96"/>
        <v>0</v>
      </c>
      <c r="R562" s="55">
        <f t="shared" si="97"/>
        <v>0</v>
      </c>
      <c r="S562" s="55">
        <f t="shared" si="98"/>
        <v>0</v>
      </c>
    </row>
    <row r="563" spans="1:19" ht="48.75" hidden="1" customHeight="1">
      <c r="A563" s="1688"/>
      <c r="B563" s="1648">
        <f t="shared" si="88"/>
        <v>0</v>
      </c>
      <c r="C563" s="1866" t="s">
        <v>5588</v>
      </c>
      <c r="D563" s="1649"/>
      <c r="E563" s="1687" t="s">
        <v>5</v>
      </c>
      <c r="F563" s="1649"/>
      <c r="G563" s="1648">
        <f t="shared" si="89"/>
        <v>0</v>
      </c>
      <c r="H563" s="1648"/>
      <c r="I563" s="1648">
        <f t="shared" si="90"/>
        <v>0</v>
      </c>
      <c r="J563" s="1648"/>
      <c r="K563" s="1648">
        <f t="shared" si="91"/>
        <v>0</v>
      </c>
      <c r="L563" s="1648"/>
      <c r="M563" s="1648">
        <f t="shared" si="92"/>
        <v>0</v>
      </c>
      <c r="N563" s="1648">
        <f t="shared" si="93"/>
        <v>0</v>
      </c>
      <c r="O563" s="1648">
        <f t="shared" si="94"/>
        <v>0</v>
      </c>
      <c r="P563" s="1648">
        <f t="shared" si="95"/>
        <v>0</v>
      </c>
      <c r="Q563" s="1648">
        <f t="shared" si="96"/>
        <v>0</v>
      </c>
      <c r="R563" s="55">
        <f t="shared" si="97"/>
        <v>0</v>
      </c>
      <c r="S563" s="55">
        <f t="shared" si="98"/>
        <v>0</v>
      </c>
    </row>
    <row r="564" spans="1:19" ht="48.75" hidden="1" customHeight="1">
      <c r="A564" s="1688"/>
      <c r="B564" s="1648">
        <f t="shared" si="88"/>
        <v>0</v>
      </c>
      <c r="C564" s="1863" t="s">
        <v>5589</v>
      </c>
      <c r="D564" s="1649">
        <f>Data!AD486</f>
        <v>3100</v>
      </c>
      <c r="E564" s="1687" t="s">
        <v>5</v>
      </c>
      <c r="F564" s="1649"/>
      <c r="G564" s="1648">
        <f t="shared" si="89"/>
        <v>0</v>
      </c>
      <c r="H564" s="1648"/>
      <c r="I564" s="1648">
        <f t="shared" si="90"/>
        <v>0</v>
      </c>
      <c r="J564" s="1648"/>
      <c r="K564" s="1648">
        <f t="shared" si="91"/>
        <v>0</v>
      </c>
      <c r="L564" s="1648"/>
      <c r="M564" s="1648">
        <f t="shared" si="92"/>
        <v>0</v>
      </c>
      <c r="N564" s="1648">
        <f t="shared" si="93"/>
        <v>0</v>
      </c>
      <c r="O564" s="1648">
        <f t="shared" si="94"/>
        <v>0</v>
      </c>
      <c r="P564" s="1648">
        <f t="shared" si="95"/>
        <v>0</v>
      </c>
      <c r="Q564" s="1648">
        <f t="shared" si="96"/>
        <v>0</v>
      </c>
      <c r="R564" s="55">
        <f t="shared" si="97"/>
        <v>0</v>
      </c>
      <c r="S564" s="55">
        <f t="shared" si="98"/>
        <v>0</v>
      </c>
    </row>
    <row r="565" spans="1:19" ht="48.75" hidden="1" customHeight="1">
      <c r="A565" s="1688"/>
      <c r="B565" s="1648">
        <f t="shared" si="88"/>
        <v>0</v>
      </c>
      <c r="C565" s="1863" t="s">
        <v>5342</v>
      </c>
      <c r="D565" s="1649">
        <f>Data!AD487</f>
        <v>3109.26</v>
      </c>
      <c r="E565" s="1687" t="s">
        <v>5</v>
      </c>
      <c r="F565" s="1649"/>
      <c r="G565" s="1648">
        <f t="shared" si="89"/>
        <v>0</v>
      </c>
      <c r="H565" s="1648"/>
      <c r="I565" s="1648">
        <f t="shared" si="90"/>
        <v>0</v>
      </c>
      <c r="J565" s="1648"/>
      <c r="K565" s="1648">
        <f t="shared" si="91"/>
        <v>0</v>
      </c>
      <c r="L565" s="1648"/>
      <c r="M565" s="1648">
        <f t="shared" si="92"/>
        <v>0</v>
      </c>
      <c r="N565" s="1648">
        <f t="shared" si="93"/>
        <v>0</v>
      </c>
      <c r="O565" s="1648">
        <f t="shared" si="94"/>
        <v>0</v>
      </c>
      <c r="P565" s="1648">
        <f t="shared" si="95"/>
        <v>0</v>
      </c>
      <c r="Q565" s="1648">
        <f t="shared" si="96"/>
        <v>0</v>
      </c>
      <c r="R565" s="55">
        <f t="shared" si="97"/>
        <v>0</v>
      </c>
      <c r="S565" s="55">
        <f t="shared" si="98"/>
        <v>0</v>
      </c>
    </row>
    <row r="566" spans="1:19" ht="48.75" hidden="1" customHeight="1">
      <c r="A566" s="1688"/>
      <c r="B566" s="1648">
        <f t="shared" si="88"/>
        <v>0</v>
      </c>
      <c r="C566" s="1863" t="s">
        <v>5343</v>
      </c>
      <c r="D566" s="1649">
        <f>Data!AD488</f>
        <v>3118.52</v>
      </c>
      <c r="E566" s="1687" t="s">
        <v>5</v>
      </c>
      <c r="F566" s="1649"/>
      <c r="G566" s="1648">
        <f t="shared" si="89"/>
        <v>0</v>
      </c>
      <c r="H566" s="1648"/>
      <c r="I566" s="1648">
        <f t="shared" si="90"/>
        <v>0</v>
      </c>
      <c r="J566" s="1648"/>
      <c r="K566" s="1648">
        <f t="shared" si="91"/>
        <v>0</v>
      </c>
      <c r="L566" s="1648"/>
      <c r="M566" s="1648">
        <f t="shared" si="92"/>
        <v>0</v>
      </c>
      <c r="N566" s="1648">
        <f t="shared" si="93"/>
        <v>0</v>
      </c>
      <c r="O566" s="1648">
        <f t="shared" si="94"/>
        <v>0</v>
      </c>
      <c r="P566" s="1648">
        <f t="shared" si="95"/>
        <v>0</v>
      </c>
      <c r="Q566" s="1648">
        <f t="shared" si="96"/>
        <v>0</v>
      </c>
      <c r="R566" s="55">
        <f t="shared" si="97"/>
        <v>0</v>
      </c>
      <c r="S566" s="55">
        <f t="shared" si="98"/>
        <v>0</v>
      </c>
    </row>
    <row r="567" spans="1:19" ht="48.75" hidden="1" customHeight="1">
      <c r="A567" s="1688"/>
      <c r="B567" s="1648">
        <f t="shared" si="88"/>
        <v>0</v>
      </c>
      <c r="C567" s="1863" t="s">
        <v>5344</v>
      </c>
      <c r="D567" s="1649">
        <f>Data!AD489</f>
        <v>3127.78</v>
      </c>
      <c r="E567" s="1687" t="s">
        <v>5</v>
      </c>
      <c r="F567" s="1649"/>
      <c r="G567" s="1648">
        <f t="shared" si="89"/>
        <v>0</v>
      </c>
      <c r="H567" s="1648"/>
      <c r="I567" s="1648">
        <f t="shared" si="90"/>
        <v>0</v>
      </c>
      <c r="J567" s="1648"/>
      <c r="K567" s="1648">
        <f t="shared" si="91"/>
        <v>0</v>
      </c>
      <c r="L567" s="1648"/>
      <c r="M567" s="1648">
        <f t="shared" si="92"/>
        <v>0</v>
      </c>
      <c r="N567" s="1648">
        <f t="shared" si="93"/>
        <v>0</v>
      </c>
      <c r="O567" s="1648">
        <f t="shared" si="94"/>
        <v>0</v>
      </c>
      <c r="P567" s="1648">
        <f t="shared" si="95"/>
        <v>0</v>
      </c>
      <c r="Q567" s="1648">
        <f t="shared" si="96"/>
        <v>0</v>
      </c>
      <c r="R567" s="55">
        <f t="shared" si="97"/>
        <v>0</v>
      </c>
      <c r="S567" s="55">
        <f t="shared" si="98"/>
        <v>0</v>
      </c>
    </row>
    <row r="568" spans="1:19" ht="48.75" hidden="1" customHeight="1">
      <c r="A568" s="1688"/>
      <c r="B568" s="1648">
        <f t="shared" si="88"/>
        <v>0</v>
      </c>
      <c r="C568" s="1863" t="s">
        <v>5345</v>
      </c>
      <c r="D568" s="1649">
        <f>Data!AD490</f>
        <v>3137.04</v>
      </c>
      <c r="E568" s="1687" t="s">
        <v>5</v>
      </c>
      <c r="F568" s="1649"/>
      <c r="G568" s="1648">
        <f t="shared" si="89"/>
        <v>0</v>
      </c>
      <c r="H568" s="1648"/>
      <c r="I568" s="1648">
        <f t="shared" si="90"/>
        <v>0</v>
      </c>
      <c r="J568" s="1648"/>
      <c r="K568" s="1648">
        <f t="shared" si="91"/>
        <v>0</v>
      </c>
      <c r="L568" s="1648"/>
      <c r="M568" s="1648">
        <f t="shared" si="92"/>
        <v>0</v>
      </c>
      <c r="N568" s="1648">
        <f t="shared" si="93"/>
        <v>0</v>
      </c>
      <c r="O568" s="1648">
        <f t="shared" si="94"/>
        <v>0</v>
      </c>
      <c r="P568" s="1648">
        <f t="shared" si="95"/>
        <v>0</v>
      </c>
      <c r="Q568" s="1648">
        <f t="shared" si="96"/>
        <v>0</v>
      </c>
      <c r="R568" s="55">
        <f t="shared" si="97"/>
        <v>0</v>
      </c>
      <c r="S568" s="55">
        <f t="shared" si="98"/>
        <v>0</v>
      </c>
    </row>
    <row r="569" spans="1:19" s="57" customFormat="1" ht="48.75" hidden="1" customHeight="1">
      <c r="A569" s="1859"/>
      <c r="B569" s="1648">
        <f t="shared" si="88"/>
        <v>0</v>
      </c>
      <c r="C569" s="1863" t="s">
        <v>5590</v>
      </c>
      <c r="D569" s="1649"/>
      <c r="E569" s="1687" t="s">
        <v>5</v>
      </c>
      <c r="F569" s="1649"/>
      <c r="G569" s="1648">
        <f t="shared" si="89"/>
        <v>0</v>
      </c>
      <c r="H569" s="1648"/>
      <c r="I569" s="1648">
        <f t="shared" si="90"/>
        <v>0</v>
      </c>
      <c r="J569" s="1648"/>
      <c r="K569" s="1648">
        <f t="shared" si="91"/>
        <v>0</v>
      </c>
      <c r="L569" s="1648"/>
      <c r="M569" s="1648">
        <f t="shared" si="92"/>
        <v>0</v>
      </c>
      <c r="N569" s="1648">
        <f t="shared" si="93"/>
        <v>0</v>
      </c>
      <c r="O569" s="1648">
        <f t="shared" si="94"/>
        <v>0</v>
      </c>
      <c r="P569" s="1648">
        <f t="shared" si="95"/>
        <v>0</v>
      </c>
      <c r="Q569" s="1648">
        <f t="shared" si="96"/>
        <v>0</v>
      </c>
      <c r="R569" s="55">
        <f t="shared" si="97"/>
        <v>0</v>
      </c>
      <c r="S569" s="55">
        <f t="shared" si="98"/>
        <v>0</v>
      </c>
    </row>
    <row r="570" spans="1:19" s="57" customFormat="1" ht="48.75" hidden="1" customHeight="1">
      <c r="A570" s="1854"/>
      <c r="B570" s="1648">
        <f t="shared" si="88"/>
        <v>0</v>
      </c>
      <c r="C570" s="1863" t="s">
        <v>3380</v>
      </c>
      <c r="D570" s="1649">
        <f>Data!X486</f>
        <v>3079.48</v>
      </c>
      <c r="E570" s="1687" t="s">
        <v>5</v>
      </c>
      <c r="F570" s="1649"/>
      <c r="G570" s="1648">
        <f t="shared" si="89"/>
        <v>0</v>
      </c>
      <c r="H570" s="1648"/>
      <c r="I570" s="1648">
        <f t="shared" si="90"/>
        <v>0</v>
      </c>
      <c r="J570" s="1648"/>
      <c r="K570" s="1648">
        <f t="shared" si="91"/>
        <v>0</v>
      </c>
      <c r="L570" s="1648"/>
      <c r="M570" s="1648">
        <f t="shared" si="92"/>
        <v>0</v>
      </c>
      <c r="N570" s="1648">
        <f t="shared" si="93"/>
        <v>0</v>
      </c>
      <c r="O570" s="1648">
        <f t="shared" si="94"/>
        <v>0</v>
      </c>
      <c r="P570" s="1648">
        <f t="shared" si="95"/>
        <v>0</v>
      </c>
      <c r="Q570" s="1648">
        <f t="shared" si="96"/>
        <v>0</v>
      </c>
      <c r="R570" s="55">
        <f t="shared" si="97"/>
        <v>0</v>
      </c>
      <c r="S570" s="55">
        <f t="shared" si="98"/>
        <v>0</v>
      </c>
    </row>
    <row r="571" spans="1:19" s="57" customFormat="1" ht="48.75" hidden="1" customHeight="1">
      <c r="A571" s="1854"/>
      <c r="B571" s="1648">
        <f t="shared" si="88"/>
        <v>0</v>
      </c>
      <c r="C571" s="1863" t="s">
        <v>5342</v>
      </c>
      <c r="D571" s="1649">
        <f>Data!X487</f>
        <v>3088.74</v>
      </c>
      <c r="E571" s="1687" t="s">
        <v>5</v>
      </c>
      <c r="F571" s="1649"/>
      <c r="G571" s="1648">
        <f t="shared" si="89"/>
        <v>0</v>
      </c>
      <c r="H571" s="1648"/>
      <c r="I571" s="1648">
        <f t="shared" si="90"/>
        <v>0</v>
      </c>
      <c r="J571" s="1648"/>
      <c r="K571" s="1648">
        <f t="shared" si="91"/>
        <v>0</v>
      </c>
      <c r="L571" s="1648"/>
      <c r="M571" s="1648">
        <f t="shared" si="92"/>
        <v>0</v>
      </c>
      <c r="N571" s="1648">
        <f t="shared" si="93"/>
        <v>0</v>
      </c>
      <c r="O571" s="1648">
        <f t="shared" si="94"/>
        <v>0</v>
      </c>
      <c r="P571" s="1648">
        <f t="shared" si="95"/>
        <v>0</v>
      </c>
      <c r="Q571" s="1648">
        <f t="shared" si="96"/>
        <v>0</v>
      </c>
      <c r="R571" s="55">
        <f t="shared" si="97"/>
        <v>0</v>
      </c>
      <c r="S571" s="55">
        <f t="shared" si="98"/>
        <v>0</v>
      </c>
    </row>
    <row r="572" spans="1:19" s="57" customFormat="1" ht="48.75" hidden="1" customHeight="1">
      <c r="A572" s="1854"/>
      <c r="B572" s="1648">
        <f t="shared" si="88"/>
        <v>0</v>
      </c>
      <c r="C572" s="1863" t="s">
        <v>5343</v>
      </c>
      <c r="D572" s="1649">
        <f>Data!X488</f>
        <v>3098</v>
      </c>
      <c r="E572" s="1687" t="s">
        <v>5</v>
      </c>
      <c r="F572" s="1649"/>
      <c r="G572" s="1648">
        <f t="shared" si="89"/>
        <v>0</v>
      </c>
      <c r="H572" s="1648"/>
      <c r="I572" s="1648">
        <f t="shared" si="90"/>
        <v>0</v>
      </c>
      <c r="J572" s="1648"/>
      <c r="K572" s="1648">
        <f t="shared" si="91"/>
        <v>0</v>
      </c>
      <c r="L572" s="1648"/>
      <c r="M572" s="1648">
        <f t="shared" si="92"/>
        <v>0</v>
      </c>
      <c r="N572" s="1648">
        <f t="shared" si="93"/>
        <v>0</v>
      </c>
      <c r="O572" s="1648">
        <f t="shared" si="94"/>
        <v>0</v>
      </c>
      <c r="P572" s="1648">
        <f t="shared" si="95"/>
        <v>0</v>
      </c>
      <c r="Q572" s="1648">
        <f t="shared" si="96"/>
        <v>0</v>
      </c>
      <c r="R572" s="55">
        <f t="shared" si="97"/>
        <v>0</v>
      </c>
      <c r="S572" s="55">
        <f t="shared" si="98"/>
        <v>0</v>
      </c>
    </row>
    <row r="573" spans="1:19" s="57" customFormat="1" ht="48.75" hidden="1" customHeight="1">
      <c r="A573" s="1854"/>
      <c r="B573" s="1648">
        <f t="shared" si="88"/>
        <v>0</v>
      </c>
      <c r="C573" s="1863" t="s">
        <v>5344</v>
      </c>
      <c r="D573" s="1649">
        <f>Data!X489</f>
        <v>3107.26</v>
      </c>
      <c r="E573" s="1687" t="s">
        <v>5</v>
      </c>
      <c r="F573" s="1649"/>
      <c r="G573" s="1648">
        <f t="shared" si="89"/>
        <v>0</v>
      </c>
      <c r="H573" s="1648"/>
      <c r="I573" s="1648">
        <f t="shared" si="90"/>
        <v>0</v>
      </c>
      <c r="J573" s="1648"/>
      <c r="K573" s="1648">
        <f t="shared" si="91"/>
        <v>0</v>
      </c>
      <c r="L573" s="1648"/>
      <c r="M573" s="1648">
        <f t="shared" si="92"/>
        <v>0</v>
      </c>
      <c r="N573" s="1648">
        <f t="shared" si="93"/>
        <v>0</v>
      </c>
      <c r="O573" s="1648">
        <f t="shared" si="94"/>
        <v>0</v>
      </c>
      <c r="P573" s="1648">
        <f t="shared" si="95"/>
        <v>0</v>
      </c>
      <c r="Q573" s="1648">
        <f t="shared" si="96"/>
        <v>0</v>
      </c>
      <c r="R573" s="55">
        <f t="shared" si="97"/>
        <v>0</v>
      </c>
      <c r="S573" s="55">
        <f t="shared" si="98"/>
        <v>0</v>
      </c>
    </row>
    <row r="574" spans="1:19" s="57" customFormat="1" ht="48.75" hidden="1" customHeight="1">
      <c r="A574" s="1856"/>
      <c r="B574" s="1648">
        <f t="shared" si="88"/>
        <v>0</v>
      </c>
      <c r="C574" s="1863" t="s">
        <v>5345</v>
      </c>
      <c r="D574" s="1649">
        <f>Data!X490</f>
        <v>3116.52</v>
      </c>
      <c r="E574" s="1687" t="s">
        <v>5</v>
      </c>
      <c r="F574" s="1649"/>
      <c r="G574" s="1648">
        <f t="shared" si="89"/>
        <v>0</v>
      </c>
      <c r="H574" s="1648"/>
      <c r="I574" s="1648">
        <f t="shared" si="90"/>
        <v>0</v>
      </c>
      <c r="J574" s="1648"/>
      <c r="K574" s="1648">
        <f t="shared" si="91"/>
        <v>0</v>
      </c>
      <c r="L574" s="1648"/>
      <c r="M574" s="1648">
        <f t="shared" si="92"/>
        <v>0</v>
      </c>
      <c r="N574" s="1648">
        <f t="shared" si="93"/>
        <v>0</v>
      </c>
      <c r="O574" s="1648">
        <f t="shared" si="94"/>
        <v>0</v>
      </c>
      <c r="P574" s="1648">
        <f t="shared" si="95"/>
        <v>0</v>
      </c>
      <c r="Q574" s="1648">
        <f t="shared" si="96"/>
        <v>0</v>
      </c>
      <c r="R574" s="55">
        <f t="shared" si="97"/>
        <v>0</v>
      </c>
      <c r="S574" s="55">
        <f t="shared" si="98"/>
        <v>0</v>
      </c>
    </row>
    <row r="575" spans="1:19" s="1644" customFormat="1" ht="48.75" hidden="1" customHeight="1">
      <c r="A575" s="1856"/>
      <c r="B575" s="1648">
        <f t="shared" si="88"/>
        <v>0</v>
      </c>
      <c r="C575" s="1863" t="s">
        <v>5347</v>
      </c>
      <c r="D575" s="1649">
        <f>Data!X491</f>
        <v>0</v>
      </c>
      <c r="E575" s="1687" t="s">
        <v>5</v>
      </c>
      <c r="F575" s="1649"/>
      <c r="G575" s="1648">
        <f t="shared" si="89"/>
        <v>0</v>
      </c>
      <c r="H575" s="1648"/>
      <c r="I575" s="1648">
        <f t="shared" si="90"/>
        <v>0</v>
      </c>
      <c r="J575" s="1648"/>
      <c r="K575" s="1648">
        <f t="shared" si="91"/>
        <v>0</v>
      </c>
      <c r="L575" s="1648"/>
      <c r="M575" s="1648">
        <f t="shared" si="92"/>
        <v>0</v>
      </c>
      <c r="N575" s="1648">
        <f t="shared" si="93"/>
        <v>0</v>
      </c>
      <c r="O575" s="1648">
        <f t="shared" si="94"/>
        <v>0</v>
      </c>
      <c r="P575" s="1648">
        <f t="shared" si="95"/>
        <v>0</v>
      </c>
      <c r="Q575" s="1648">
        <f t="shared" si="96"/>
        <v>0</v>
      </c>
      <c r="R575" s="55">
        <f t="shared" si="97"/>
        <v>0</v>
      </c>
      <c r="S575" s="55">
        <f t="shared" si="98"/>
        <v>0</v>
      </c>
    </row>
    <row r="576" spans="1:19" ht="48.75" hidden="1" customHeight="1">
      <c r="A576" s="1854">
        <v>6.2</v>
      </c>
      <c r="B576" s="1648">
        <f t="shared" si="88"/>
        <v>0</v>
      </c>
      <c r="C576" s="1864" t="s">
        <v>5591</v>
      </c>
      <c r="D576" s="1649">
        <f>Data!AS73</f>
        <v>7070.72</v>
      </c>
      <c r="E576" s="1687" t="s">
        <v>5</v>
      </c>
      <c r="F576" s="1649"/>
      <c r="G576" s="1648">
        <f t="shared" si="89"/>
        <v>0</v>
      </c>
      <c r="H576" s="1648"/>
      <c r="I576" s="1648">
        <f t="shared" si="90"/>
        <v>0</v>
      </c>
      <c r="J576" s="1648"/>
      <c r="K576" s="1648">
        <f t="shared" si="91"/>
        <v>0</v>
      </c>
      <c r="L576" s="1648"/>
      <c r="M576" s="1648">
        <f t="shared" si="92"/>
        <v>0</v>
      </c>
      <c r="N576" s="1648">
        <f t="shared" si="93"/>
        <v>0</v>
      </c>
      <c r="O576" s="1648">
        <f t="shared" si="94"/>
        <v>0</v>
      </c>
      <c r="P576" s="1648">
        <f t="shared" si="95"/>
        <v>0</v>
      </c>
      <c r="Q576" s="1648">
        <f t="shared" si="96"/>
        <v>0</v>
      </c>
      <c r="R576" s="55">
        <f t="shared" si="97"/>
        <v>0</v>
      </c>
      <c r="S576" s="55">
        <f t="shared" si="98"/>
        <v>0</v>
      </c>
    </row>
    <row r="577" spans="1:19" ht="48.75" hidden="1" customHeight="1">
      <c r="A577" s="1854">
        <v>9.1999999999999993</v>
      </c>
      <c r="B577" s="1648">
        <f t="shared" si="88"/>
        <v>0</v>
      </c>
      <c r="C577" s="1864" t="s">
        <v>5592</v>
      </c>
      <c r="D577" s="1649"/>
      <c r="E577" s="1687" t="s">
        <v>5</v>
      </c>
      <c r="F577" s="1649"/>
      <c r="G577" s="1648">
        <f t="shared" si="89"/>
        <v>0</v>
      </c>
      <c r="H577" s="1648"/>
      <c r="I577" s="1648">
        <f t="shared" si="90"/>
        <v>0</v>
      </c>
      <c r="J577" s="1648"/>
      <c r="K577" s="1648">
        <f t="shared" si="91"/>
        <v>0</v>
      </c>
      <c r="L577" s="1648"/>
      <c r="M577" s="1648">
        <f t="shared" si="92"/>
        <v>0</v>
      </c>
      <c r="N577" s="1648">
        <f t="shared" si="93"/>
        <v>0</v>
      </c>
      <c r="O577" s="1648">
        <f t="shared" si="94"/>
        <v>0</v>
      </c>
      <c r="P577" s="1648">
        <f t="shared" si="95"/>
        <v>0</v>
      </c>
      <c r="Q577" s="1648">
        <f t="shared" si="96"/>
        <v>0</v>
      </c>
      <c r="R577" s="55">
        <f t="shared" si="97"/>
        <v>0</v>
      </c>
      <c r="S577" s="55">
        <f t="shared" si="98"/>
        <v>0</v>
      </c>
    </row>
    <row r="578" spans="1:19" ht="48.75" hidden="1" customHeight="1">
      <c r="A578" s="1854"/>
      <c r="B578" s="1648">
        <f t="shared" si="88"/>
        <v>0</v>
      </c>
      <c r="C578" s="1863" t="s">
        <v>5583</v>
      </c>
      <c r="D578" s="1649">
        <f>Data!AS99</f>
        <v>7078.75</v>
      </c>
      <c r="E578" s="1687" t="s">
        <v>5</v>
      </c>
      <c r="F578" s="1649"/>
      <c r="G578" s="1648">
        <f t="shared" si="89"/>
        <v>0</v>
      </c>
      <c r="H578" s="1648"/>
      <c r="I578" s="1648">
        <f t="shared" si="90"/>
        <v>0</v>
      </c>
      <c r="J578" s="1648"/>
      <c r="K578" s="1648">
        <f t="shared" si="91"/>
        <v>0</v>
      </c>
      <c r="L578" s="1648"/>
      <c r="M578" s="1648">
        <f t="shared" si="92"/>
        <v>0</v>
      </c>
      <c r="N578" s="1648">
        <f t="shared" si="93"/>
        <v>0</v>
      </c>
      <c r="O578" s="1648">
        <f t="shared" si="94"/>
        <v>0</v>
      </c>
      <c r="P578" s="1648">
        <f t="shared" si="95"/>
        <v>0</v>
      </c>
      <c r="Q578" s="1648">
        <f t="shared" si="96"/>
        <v>0</v>
      </c>
      <c r="R578" s="55">
        <f t="shared" si="97"/>
        <v>0</v>
      </c>
      <c r="S578" s="55">
        <f t="shared" si="98"/>
        <v>0</v>
      </c>
    </row>
    <row r="579" spans="1:19" ht="48.75" hidden="1" customHeight="1">
      <c r="A579" s="1854"/>
      <c r="B579" s="1648">
        <f t="shared" si="88"/>
        <v>0</v>
      </c>
      <c r="C579" s="1863" t="s">
        <v>4812</v>
      </c>
      <c r="D579" s="1649">
        <f>Data!AS100</f>
        <v>7244.74</v>
      </c>
      <c r="E579" s="1687" t="s">
        <v>5</v>
      </c>
      <c r="F579" s="1649"/>
      <c r="G579" s="1648">
        <f t="shared" si="89"/>
        <v>0</v>
      </c>
      <c r="H579" s="1648"/>
      <c r="I579" s="1648">
        <f t="shared" si="90"/>
        <v>0</v>
      </c>
      <c r="J579" s="1648"/>
      <c r="K579" s="1648">
        <f t="shared" si="91"/>
        <v>0</v>
      </c>
      <c r="L579" s="1648"/>
      <c r="M579" s="1648">
        <f t="shared" si="92"/>
        <v>0</v>
      </c>
      <c r="N579" s="1648">
        <f t="shared" si="93"/>
        <v>0</v>
      </c>
      <c r="O579" s="1648">
        <f t="shared" si="94"/>
        <v>0</v>
      </c>
      <c r="P579" s="1648">
        <f t="shared" si="95"/>
        <v>0</v>
      </c>
      <c r="Q579" s="1648">
        <f t="shared" si="96"/>
        <v>0</v>
      </c>
      <c r="R579" s="55">
        <f t="shared" si="97"/>
        <v>0</v>
      </c>
      <c r="S579" s="55">
        <f t="shared" si="98"/>
        <v>0</v>
      </c>
    </row>
    <row r="580" spans="1:19" ht="48.75" hidden="1" customHeight="1">
      <c r="A580" s="1854"/>
      <c r="B580" s="1648">
        <f t="shared" si="88"/>
        <v>0</v>
      </c>
      <c r="C580" s="1863" t="s">
        <v>5356</v>
      </c>
      <c r="D580" s="1649">
        <f>Data!AS101</f>
        <v>7410.73</v>
      </c>
      <c r="E580" s="1687" t="s">
        <v>5</v>
      </c>
      <c r="F580" s="1649"/>
      <c r="G580" s="1648">
        <f t="shared" si="89"/>
        <v>0</v>
      </c>
      <c r="H580" s="1648"/>
      <c r="I580" s="1648">
        <f t="shared" si="90"/>
        <v>0</v>
      </c>
      <c r="J580" s="1648"/>
      <c r="K580" s="1648">
        <f t="shared" si="91"/>
        <v>0</v>
      </c>
      <c r="L580" s="1648"/>
      <c r="M580" s="1648">
        <f t="shared" si="92"/>
        <v>0</v>
      </c>
      <c r="N580" s="1648">
        <f t="shared" si="93"/>
        <v>0</v>
      </c>
      <c r="O580" s="1648">
        <f t="shared" si="94"/>
        <v>0</v>
      </c>
      <c r="P580" s="1648">
        <f t="shared" si="95"/>
        <v>0</v>
      </c>
      <c r="Q580" s="1648">
        <f t="shared" si="96"/>
        <v>0</v>
      </c>
      <c r="R580" s="55">
        <f t="shared" si="97"/>
        <v>0</v>
      </c>
      <c r="S580" s="55">
        <f t="shared" si="98"/>
        <v>0</v>
      </c>
    </row>
    <row r="581" spans="1:19" ht="48.75" hidden="1" customHeight="1">
      <c r="A581" s="1854"/>
      <c r="B581" s="1648">
        <f t="shared" si="88"/>
        <v>0</v>
      </c>
      <c r="C581" s="1863" t="s">
        <v>5357</v>
      </c>
      <c r="D581" s="1649">
        <f>Data!AS102</f>
        <v>7576.72</v>
      </c>
      <c r="E581" s="1687" t="s">
        <v>5</v>
      </c>
      <c r="F581" s="1649"/>
      <c r="G581" s="1648">
        <f t="shared" si="89"/>
        <v>0</v>
      </c>
      <c r="H581" s="1648"/>
      <c r="I581" s="1648">
        <f t="shared" si="90"/>
        <v>0</v>
      </c>
      <c r="J581" s="1648"/>
      <c r="K581" s="1648">
        <f t="shared" si="91"/>
        <v>0</v>
      </c>
      <c r="L581" s="1648"/>
      <c r="M581" s="1648">
        <f t="shared" si="92"/>
        <v>0</v>
      </c>
      <c r="N581" s="1648">
        <f t="shared" si="93"/>
        <v>0</v>
      </c>
      <c r="O581" s="1648">
        <f t="shared" si="94"/>
        <v>0</v>
      </c>
      <c r="P581" s="1648">
        <f t="shared" si="95"/>
        <v>0</v>
      </c>
      <c r="Q581" s="1648">
        <f t="shared" si="96"/>
        <v>0</v>
      </c>
      <c r="R581" s="55">
        <f t="shared" si="97"/>
        <v>0</v>
      </c>
      <c r="S581" s="55">
        <f t="shared" si="98"/>
        <v>0</v>
      </c>
    </row>
    <row r="582" spans="1:19" ht="48.75" hidden="1" customHeight="1">
      <c r="A582" s="1854"/>
      <c r="B582" s="1648">
        <f t="shared" ref="B582:B645" si="99">P582</f>
        <v>0</v>
      </c>
      <c r="C582" s="1863" t="s">
        <v>5358</v>
      </c>
      <c r="D582" s="1649">
        <f>Data!AS103</f>
        <v>7742.71</v>
      </c>
      <c r="E582" s="1687" t="s">
        <v>5</v>
      </c>
      <c r="F582" s="1649"/>
      <c r="G582" s="1648">
        <f t="shared" ref="G582:G645" si="100">F582*D582</f>
        <v>0</v>
      </c>
      <c r="H582" s="1648"/>
      <c r="I582" s="1648">
        <f t="shared" ref="I582:I645" si="101">H582*D582</f>
        <v>0</v>
      </c>
      <c r="J582" s="1648"/>
      <c r="K582" s="1648">
        <f t="shared" ref="K582:K645" si="102">J582*D582</f>
        <v>0</v>
      </c>
      <c r="L582" s="1648"/>
      <c r="M582" s="1648">
        <f t="shared" ref="M582:M645" si="103">L582*D582</f>
        <v>0</v>
      </c>
      <c r="N582" s="1648">
        <f t="shared" ref="N582:N645" si="104">H582+J582+L582</f>
        <v>0</v>
      </c>
      <c r="O582" s="1648">
        <f t="shared" ref="O582:O645" si="105">N582*D582</f>
        <v>0</v>
      </c>
      <c r="P582" s="1648">
        <f t="shared" ref="P582:P645" si="106">N582+F582</f>
        <v>0</v>
      </c>
      <c r="Q582" s="1648">
        <f t="shared" ref="Q582:Q645" si="107">P582*D582</f>
        <v>0</v>
      </c>
      <c r="R582" s="55">
        <f t="shared" ref="R582:R645" si="108">G582+I582+K582+M582</f>
        <v>0</v>
      </c>
      <c r="S582" s="55">
        <f t="shared" ref="S582:S645" si="109">Q582-R582</f>
        <v>0</v>
      </c>
    </row>
    <row r="583" spans="1:19" ht="48.75" hidden="1" customHeight="1">
      <c r="A583" s="1854"/>
      <c r="B583" s="1648">
        <f t="shared" si="99"/>
        <v>0</v>
      </c>
      <c r="C583" s="1863" t="s">
        <v>5593</v>
      </c>
      <c r="D583" s="1649">
        <f>Data!AS104</f>
        <v>0</v>
      </c>
      <c r="E583" s="1687" t="s">
        <v>5</v>
      </c>
      <c r="F583" s="1649"/>
      <c r="G583" s="1648">
        <f t="shared" si="100"/>
        <v>0</v>
      </c>
      <c r="H583" s="1648"/>
      <c r="I583" s="1648">
        <f t="shared" si="101"/>
        <v>0</v>
      </c>
      <c r="J583" s="1648"/>
      <c r="K583" s="1648">
        <f t="shared" si="102"/>
        <v>0</v>
      </c>
      <c r="L583" s="1648"/>
      <c r="M583" s="1648">
        <f t="shared" si="103"/>
        <v>0</v>
      </c>
      <c r="N583" s="1648">
        <f t="shared" si="104"/>
        <v>0</v>
      </c>
      <c r="O583" s="1648">
        <f t="shared" si="105"/>
        <v>0</v>
      </c>
      <c r="P583" s="1648">
        <f t="shared" si="106"/>
        <v>0</v>
      </c>
      <c r="Q583" s="1648">
        <f t="shared" si="107"/>
        <v>0</v>
      </c>
      <c r="R583" s="55">
        <f t="shared" si="108"/>
        <v>0</v>
      </c>
      <c r="S583" s="55">
        <f t="shared" si="109"/>
        <v>0</v>
      </c>
    </row>
    <row r="584" spans="1:19" ht="48.75" hidden="1" customHeight="1">
      <c r="A584" s="1854">
        <v>10.199999999999999</v>
      </c>
      <c r="B584" s="1648">
        <f t="shared" si="99"/>
        <v>0</v>
      </c>
      <c r="C584" s="1864" t="s">
        <v>5594</v>
      </c>
      <c r="D584" s="1649"/>
      <c r="E584" s="1687" t="s">
        <v>5</v>
      </c>
      <c r="F584" s="1649"/>
      <c r="G584" s="1648">
        <f t="shared" si="100"/>
        <v>0</v>
      </c>
      <c r="H584" s="1648"/>
      <c r="I584" s="1648">
        <f t="shared" si="101"/>
        <v>0</v>
      </c>
      <c r="J584" s="1648"/>
      <c r="K584" s="1648">
        <f t="shared" si="102"/>
        <v>0</v>
      </c>
      <c r="L584" s="1648"/>
      <c r="M584" s="1648">
        <f t="shared" si="103"/>
        <v>0</v>
      </c>
      <c r="N584" s="1648">
        <f t="shared" si="104"/>
        <v>0</v>
      </c>
      <c r="O584" s="1648">
        <f t="shared" si="105"/>
        <v>0</v>
      </c>
      <c r="P584" s="1648">
        <f t="shared" si="106"/>
        <v>0</v>
      </c>
      <c r="Q584" s="1648">
        <f t="shared" si="107"/>
        <v>0</v>
      </c>
      <c r="R584" s="55">
        <f t="shared" si="108"/>
        <v>0</v>
      </c>
      <c r="S584" s="55">
        <f t="shared" si="109"/>
        <v>0</v>
      </c>
    </row>
    <row r="585" spans="1:19" ht="48.75" hidden="1" customHeight="1">
      <c r="A585" s="1854"/>
      <c r="B585" s="1648">
        <f t="shared" si="99"/>
        <v>0</v>
      </c>
      <c r="C585" s="1863" t="s">
        <v>5595</v>
      </c>
      <c r="D585" s="1649">
        <f>Data!AS153</f>
        <v>893.72</v>
      </c>
      <c r="E585" s="1687" t="s">
        <v>5</v>
      </c>
      <c r="F585" s="1649"/>
      <c r="G585" s="1648">
        <f t="shared" si="100"/>
        <v>0</v>
      </c>
      <c r="H585" s="1648"/>
      <c r="I585" s="1648">
        <f t="shared" si="101"/>
        <v>0</v>
      </c>
      <c r="J585" s="1648"/>
      <c r="K585" s="1648">
        <f t="shared" si="102"/>
        <v>0</v>
      </c>
      <c r="L585" s="1648"/>
      <c r="M585" s="1648">
        <f t="shared" si="103"/>
        <v>0</v>
      </c>
      <c r="N585" s="1648">
        <f t="shared" si="104"/>
        <v>0</v>
      </c>
      <c r="O585" s="1648">
        <f t="shared" si="105"/>
        <v>0</v>
      </c>
      <c r="P585" s="1648">
        <f t="shared" si="106"/>
        <v>0</v>
      </c>
      <c r="Q585" s="1648">
        <f t="shared" si="107"/>
        <v>0</v>
      </c>
      <c r="R585" s="55">
        <f t="shared" si="108"/>
        <v>0</v>
      </c>
      <c r="S585" s="55">
        <f t="shared" si="109"/>
        <v>0</v>
      </c>
    </row>
    <row r="586" spans="1:19" ht="48.75" hidden="1" customHeight="1">
      <c r="A586" s="1854"/>
      <c r="B586" s="1648">
        <f t="shared" si="99"/>
        <v>0</v>
      </c>
      <c r="C586" s="1863" t="s">
        <v>5585</v>
      </c>
      <c r="D586" s="1649">
        <f>Data!AS155</f>
        <v>902.77</v>
      </c>
      <c r="E586" s="1687" t="s">
        <v>5</v>
      </c>
      <c r="F586" s="1649"/>
      <c r="G586" s="1648">
        <f t="shared" si="100"/>
        <v>0</v>
      </c>
      <c r="H586" s="1648"/>
      <c r="I586" s="1648">
        <f t="shared" si="101"/>
        <v>0</v>
      </c>
      <c r="J586" s="1648"/>
      <c r="K586" s="1648">
        <f t="shared" si="102"/>
        <v>0</v>
      </c>
      <c r="L586" s="1648"/>
      <c r="M586" s="1648">
        <f t="shared" si="103"/>
        <v>0</v>
      </c>
      <c r="N586" s="1648">
        <f t="shared" si="104"/>
        <v>0</v>
      </c>
      <c r="O586" s="1648">
        <f t="shared" si="105"/>
        <v>0</v>
      </c>
      <c r="P586" s="1648">
        <f t="shared" si="106"/>
        <v>0</v>
      </c>
      <c r="Q586" s="1648">
        <f t="shared" si="107"/>
        <v>0</v>
      </c>
      <c r="R586" s="55">
        <f t="shared" si="108"/>
        <v>0</v>
      </c>
      <c r="S586" s="55">
        <f t="shared" si="109"/>
        <v>0</v>
      </c>
    </row>
    <row r="587" spans="1:19" ht="48.75" hidden="1" customHeight="1">
      <c r="A587" s="1854"/>
      <c r="B587" s="1648">
        <f t="shared" si="99"/>
        <v>0</v>
      </c>
      <c r="C587" s="1863" t="s">
        <v>5369</v>
      </c>
      <c r="D587" s="1649">
        <f>Data!AS156</f>
        <v>921.03</v>
      </c>
      <c r="E587" s="1687" t="s">
        <v>5</v>
      </c>
      <c r="F587" s="1649"/>
      <c r="G587" s="1648">
        <f t="shared" si="100"/>
        <v>0</v>
      </c>
      <c r="H587" s="1648"/>
      <c r="I587" s="1648">
        <f t="shared" si="101"/>
        <v>0</v>
      </c>
      <c r="J587" s="1648"/>
      <c r="K587" s="1648">
        <f t="shared" si="102"/>
        <v>0</v>
      </c>
      <c r="L587" s="1648"/>
      <c r="M587" s="1648">
        <f t="shared" si="103"/>
        <v>0</v>
      </c>
      <c r="N587" s="1648">
        <f t="shared" si="104"/>
        <v>0</v>
      </c>
      <c r="O587" s="1648">
        <f t="shared" si="105"/>
        <v>0</v>
      </c>
      <c r="P587" s="1648">
        <f t="shared" si="106"/>
        <v>0</v>
      </c>
      <c r="Q587" s="1648">
        <f t="shared" si="107"/>
        <v>0</v>
      </c>
      <c r="R587" s="55">
        <f t="shared" si="108"/>
        <v>0</v>
      </c>
      <c r="S587" s="55">
        <f t="shared" si="109"/>
        <v>0</v>
      </c>
    </row>
    <row r="588" spans="1:19" ht="48.75" hidden="1" customHeight="1">
      <c r="A588" s="1854"/>
      <c r="B588" s="1648">
        <f t="shared" si="99"/>
        <v>0</v>
      </c>
      <c r="C588" s="1863" t="s">
        <v>5370</v>
      </c>
      <c r="D588" s="1649">
        <f>Data!AS157</f>
        <v>939.29</v>
      </c>
      <c r="E588" s="1687" t="s">
        <v>5</v>
      </c>
      <c r="F588" s="1649"/>
      <c r="G588" s="1648">
        <f t="shared" si="100"/>
        <v>0</v>
      </c>
      <c r="H588" s="1648"/>
      <c r="I588" s="1648">
        <f t="shared" si="101"/>
        <v>0</v>
      </c>
      <c r="J588" s="1648"/>
      <c r="K588" s="1648">
        <f t="shared" si="102"/>
        <v>0</v>
      </c>
      <c r="L588" s="1648"/>
      <c r="M588" s="1648">
        <f t="shared" si="103"/>
        <v>0</v>
      </c>
      <c r="N588" s="1648">
        <f t="shared" si="104"/>
        <v>0</v>
      </c>
      <c r="O588" s="1648">
        <f t="shared" si="105"/>
        <v>0</v>
      </c>
      <c r="P588" s="1648">
        <f t="shared" si="106"/>
        <v>0</v>
      </c>
      <c r="Q588" s="1648">
        <f t="shared" si="107"/>
        <v>0</v>
      </c>
      <c r="R588" s="55">
        <f t="shared" si="108"/>
        <v>0</v>
      </c>
      <c r="S588" s="55">
        <f t="shared" si="109"/>
        <v>0</v>
      </c>
    </row>
    <row r="589" spans="1:19" ht="48.75" hidden="1" customHeight="1">
      <c r="A589" s="1854"/>
      <c r="B589" s="1648">
        <f t="shared" si="99"/>
        <v>0</v>
      </c>
      <c r="C589" s="1863" t="s">
        <v>5371</v>
      </c>
      <c r="D589" s="1649">
        <f>Data!AS158</f>
        <v>957.55</v>
      </c>
      <c r="E589" s="1687" t="s">
        <v>5</v>
      </c>
      <c r="F589" s="1649"/>
      <c r="G589" s="1648">
        <f t="shared" si="100"/>
        <v>0</v>
      </c>
      <c r="H589" s="1648"/>
      <c r="I589" s="1648">
        <f t="shared" si="101"/>
        <v>0</v>
      </c>
      <c r="J589" s="1648"/>
      <c r="K589" s="1648">
        <f t="shared" si="102"/>
        <v>0</v>
      </c>
      <c r="L589" s="1648"/>
      <c r="M589" s="1648">
        <f t="shared" si="103"/>
        <v>0</v>
      </c>
      <c r="N589" s="1648">
        <f t="shared" si="104"/>
        <v>0</v>
      </c>
      <c r="O589" s="1648">
        <f t="shared" si="105"/>
        <v>0</v>
      </c>
      <c r="P589" s="1648">
        <f t="shared" si="106"/>
        <v>0</v>
      </c>
      <c r="Q589" s="1648">
        <f t="shared" si="107"/>
        <v>0</v>
      </c>
      <c r="R589" s="55">
        <f t="shared" si="108"/>
        <v>0</v>
      </c>
      <c r="S589" s="55">
        <f t="shared" si="109"/>
        <v>0</v>
      </c>
    </row>
    <row r="590" spans="1:19" ht="48.75" hidden="1" customHeight="1">
      <c r="A590" s="1854"/>
      <c r="B590" s="1648">
        <f t="shared" si="99"/>
        <v>0</v>
      </c>
      <c r="C590" s="1863" t="s">
        <v>5372</v>
      </c>
      <c r="D590" s="1649">
        <f>Data!AS159</f>
        <v>975.81</v>
      </c>
      <c r="E590" s="1687" t="s">
        <v>5</v>
      </c>
      <c r="F590" s="1649"/>
      <c r="G590" s="1648">
        <f t="shared" si="100"/>
        <v>0</v>
      </c>
      <c r="H590" s="1648"/>
      <c r="I590" s="1648">
        <f t="shared" si="101"/>
        <v>0</v>
      </c>
      <c r="J590" s="1648"/>
      <c r="K590" s="1648">
        <f t="shared" si="102"/>
        <v>0</v>
      </c>
      <c r="L590" s="1648"/>
      <c r="M590" s="1648">
        <f t="shared" si="103"/>
        <v>0</v>
      </c>
      <c r="N590" s="1648">
        <f t="shared" si="104"/>
        <v>0</v>
      </c>
      <c r="O590" s="1648">
        <f t="shared" si="105"/>
        <v>0</v>
      </c>
      <c r="P590" s="1648">
        <f t="shared" si="106"/>
        <v>0</v>
      </c>
      <c r="Q590" s="1648">
        <f t="shared" si="107"/>
        <v>0</v>
      </c>
      <c r="R590" s="55">
        <f t="shared" si="108"/>
        <v>0</v>
      </c>
      <c r="S590" s="55">
        <f t="shared" si="109"/>
        <v>0</v>
      </c>
    </row>
    <row r="591" spans="1:19" ht="48.75" hidden="1" customHeight="1">
      <c r="A591" s="1854"/>
      <c r="B591" s="1648">
        <f t="shared" si="99"/>
        <v>0</v>
      </c>
      <c r="C591" s="1863" t="s">
        <v>5575</v>
      </c>
      <c r="D591" s="1649">
        <f>Data!AS160</f>
        <v>0</v>
      </c>
      <c r="E591" s="1687" t="s">
        <v>5</v>
      </c>
      <c r="F591" s="1649"/>
      <c r="G591" s="1648">
        <f t="shared" si="100"/>
        <v>0</v>
      </c>
      <c r="H591" s="1648"/>
      <c r="I591" s="1648">
        <f t="shared" si="101"/>
        <v>0</v>
      </c>
      <c r="J591" s="1648"/>
      <c r="K591" s="1648">
        <f t="shared" si="102"/>
        <v>0</v>
      </c>
      <c r="L591" s="1648"/>
      <c r="M591" s="1648">
        <f t="shared" si="103"/>
        <v>0</v>
      </c>
      <c r="N591" s="1648">
        <f t="shared" si="104"/>
        <v>0</v>
      </c>
      <c r="O591" s="1648">
        <f t="shared" si="105"/>
        <v>0</v>
      </c>
      <c r="P591" s="1648">
        <f t="shared" si="106"/>
        <v>0</v>
      </c>
      <c r="Q591" s="1648">
        <f t="shared" si="107"/>
        <v>0</v>
      </c>
      <c r="R591" s="55">
        <f t="shared" si="108"/>
        <v>0</v>
      </c>
      <c r="S591" s="55">
        <f t="shared" si="109"/>
        <v>0</v>
      </c>
    </row>
    <row r="592" spans="1:19" ht="48.75" hidden="1" customHeight="1">
      <c r="A592" s="1854">
        <v>11.2</v>
      </c>
      <c r="B592" s="1648">
        <f t="shared" si="99"/>
        <v>0</v>
      </c>
      <c r="C592" s="1864" t="s">
        <v>5596</v>
      </c>
      <c r="D592" s="1649"/>
      <c r="E592" s="1687" t="s">
        <v>5</v>
      </c>
      <c r="F592" s="1649"/>
      <c r="G592" s="1648">
        <f t="shared" si="100"/>
        <v>0</v>
      </c>
      <c r="H592" s="1648"/>
      <c r="I592" s="1648">
        <f t="shared" si="101"/>
        <v>0</v>
      </c>
      <c r="J592" s="1648"/>
      <c r="K592" s="1648">
        <f t="shared" si="102"/>
        <v>0</v>
      </c>
      <c r="L592" s="1648"/>
      <c r="M592" s="1648">
        <f t="shared" si="103"/>
        <v>0</v>
      </c>
      <c r="N592" s="1648">
        <f t="shared" si="104"/>
        <v>0</v>
      </c>
      <c r="O592" s="1648">
        <f t="shared" si="105"/>
        <v>0</v>
      </c>
      <c r="P592" s="1648">
        <f t="shared" si="106"/>
        <v>0</v>
      </c>
      <c r="Q592" s="1648">
        <f t="shared" si="107"/>
        <v>0</v>
      </c>
      <c r="R592" s="55">
        <f t="shared" si="108"/>
        <v>0</v>
      </c>
      <c r="S592" s="55">
        <f t="shared" si="109"/>
        <v>0</v>
      </c>
    </row>
    <row r="593" spans="1:19" ht="48.75" hidden="1" customHeight="1">
      <c r="A593" s="1854"/>
      <c r="B593" s="1648">
        <f t="shared" si="99"/>
        <v>0</v>
      </c>
      <c r="C593" s="1863" t="s">
        <v>5583</v>
      </c>
      <c r="D593" s="1649">
        <f>Data!AS187</f>
        <v>612.37</v>
      </c>
      <c r="E593" s="1687" t="s">
        <v>5</v>
      </c>
      <c r="F593" s="1649"/>
      <c r="G593" s="1648">
        <f t="shared" si="100"/>
        <v>0</v>
      </c>
      <c r="H593" s="1648"/>
      <c r="I593" s="1648">
        <f t="shared" si="101"/>
        <v>0</v>
      </c>
      <c r="J593" s="1648"/>
      <c r="K593" s="1648">
        <f t="shared" si="102"/>
        <v>0</v>
      </c>
      <c r="L593" s="1648"/>
      <c r="M593" s="1648">
        <f t="shared" si="103"/>
        <v>0</v>
      </c>
      <c r="N593" s="1648">
        <f t="shared" si="104"/>
        <v>0</v>
      </c>
      <c r="O593" s="1648">
        <f t="shared" si="105"/>
        <v>0</v>
      </c>
      <c r="P593" s="1648">
        <f t="shared" si="106"/>
        <v>0</v>
      </c>
      <c r="Q593" s="1648">
        <f t="shared" si="107"/>
        <v>0</v>
      </c>
      <c r="R593" s="55">
        <f t="shared" si="108"/>
        <v>0</v>
      </c>
      <c r="S593" s="55">
        <f t="shared" si="109"/>
        <v>0</v>
      </c>
    </row>
    <row r="594" spans="1:19" ht="48.75" hidden="1" customHeight="1">
      <c r="A594" s="1854"/>
      <c r="B594" s="1648">
        <f t="shared" si="99"/>
        <v>0</v>
      </c>
      <c r="C594" s="1863" t="s">
        <v>4812</v>
      </c>
      <c r="D594" s="1649">
        <f>Data!AS188</f>
        <v>623.99</v>
      </c>
      <c r="E594" s="1687" t="s">
        <v>5</v>
      </c>
      <c r="F594" s="1649"/>
      <c r="G594" s="1648">
        <f t="shared" si="100"/>
        <v>0</v>
      </c>
      <c r="H594" s="1648"/>
      <c r="I594" s="1648">
        <f t="shared" si="101"/>
        <v>0</v>
      </c>
      <c r="J594" s="1648"/>
      <c r="K594" s="1648">
        <f t="shared" si="102"/>
        <v>0</v>
      </c>
      <c r="L594" s="1648"/>
      <c r="M594" s="1648">
        <f t="shared" si="103"/>
        <v>0</v>
      </c>
      <c r="N594" s="1648">
        <f t="shared" si="104"/>
        <v>0</v>
      </c>
      <c r="O594" s="1648">
        <f t="shared" si="105"/>
        <v>0</v>
      </c>
      <c r="P594" s="1648">
        <f t="shared" si="106"/>
        <v>0</v>
      </c>
      <c r="Q594" s="1648">
        <f t="shared" si="107"/>
        <v>0</v>
      </c>
      <c r="R594" s="55">
        <f t="shared" si="108"/>
        <v>0</v>
      </c>
      <c r="S594" s="55">
        <f t="shared" si="109"/>
        <v>0</v>
      </c>
    </row>
    <row r="595" spans="1:19" ht="48.75" hidden="1" customHeight="1">
      <c r="A595" s="1854"/>
      <c r="B595" s="1648">
        <f t="shared" si="99"/>
        <v>0</v>
      </c>
      <c r="C595" s="1863" t="s">
        <v>5356</v>
      </c>
      <c r="D595" s="1649">
        <f>Data!AS189</f>
        <v>635.61</v>
      </c>
      <c r="E595" s="1687" t="s">
        <v>5</v>
      </c>
      <c r="F595" s="1649"/>
      <c r="G595" s="1648">
        <f t="shared" si="100"/>
        <v>0</v>
      </c>
      <c r="H595" s="1648"/>
      <c r="I595" s="1648">
        <f t="shared" si="101"/>
        <v>0</v>
      </c>
      <c r="J595" s="1648"/>
      <c r="K595" s="1648">
        <f t="shared" si="102"/>
        <v>0</v>
      </c>
      <c r="L595" s="1648"/>
      <c r="M595" s="1648">
        <f t="shared" si="103"/>
        <v>0</v>
      </c>
      <c r="N595" s="1648">
        <f t="shared" si="104"/>
        <v>0</v>
      </c>
      <c r="O595" s="1648">
        <f t="shared" si="105"/>
        <v>0</v>
      </c>
      <c r="P595" s="1648">
        <f t="shared" si="106"/>
        <v>0</v>
      </c>
      <c r="Q595" s="1648">
        <f t="shared" si="107"/>
        <v>0</v>
      </c>
      <c r="R595" s="55">
        <f t="shared" si="108"/>
        <v>0</v>
      </c>
      <c r="S595" s="55">
        <f t="shared" si="109"/>
        <v>0</v>
      </c>
    </row>
    <row r="596" spans="1:19" ht="48.75" hidden="1" customHeight="1">
      <c r="A596" s="1854"/>
      <c r="B596" s="1648">
        <f t="shared" si="99"/>
        <v>0</v>
      </c>
      <c r="C596" s="1863" t="s">
        <v>5357</v>
      </c>
      <c r="D596" s="1649">
        <f>Data!AS190</f>
        <v>647.23</v>
      </c>
      <c r="E596" s="1687" t="s">
        <v>5</v>
      </c>
      <c r="F596" s="1649"/>
      <c r="G596" s="1648">
        <f t="shared" si="100"/>
        <v>0</v>
      </c>
      <c r="H596" s="1648"/>
      <c r="I596" s="1648">
        <f t="shared" si="101"/>
        <v>0</v>
      </c>
      <c r="J596" s="1648"/>
      <c r="K596" s="1648">
        <f t="shared" si="102"/>
        <v>0</v>
      </c>
      <c r="L596" s="1648"/>
      <c r="M596" s="1648">
        <f t="shared" si="103"/>
        <v>0</v>
      </c>
      <c r="N596" s="1648">
        <f t="shared" si="104"/>
        <v>0</v>
      </c>
      <c r="O596" s="1648">
        <f t="shared" si="105"/>
        <v>0</v>
      </c>
      <c r="P596" s="1648">
        <f t="shared" si="106"/>
        <v>0</v>
      </c>
      <c r="Q596" s="1648">
        <f t="shared" si="107"/>
        <v>0</v>
      </c>
      <c r="R596" s="55">
        <f t="shared" si="108"/>
        <v>0</v>
      </c>
      <c r="S596" s="55">
        <f t="shared" si="109"/>
        <v>0</v>
      </c>
    </row>
    <row r="597" spans="1:19" ht="48.75" hidden="1" customHeight="1">
      <c r="A597" s="1854"/>
      <c r="B597" s="1648">
        <f t="shared" si="99"/>
        <v>0</v>
      </c>
      <c r="C597" s="1863" t="s">
        <v>5358</v>
      </c>
      <c r="D597" s="1649">
        <f>Data!AS191</f>
        <v>658.85</v>
      </c>
      <c r="E597" s="1687" t="s">
        <v>5</v>
      </c>
      <c r="F597" s="1649"/>
      <c r="G597" s="1648">
        <f t="shared" si="100"/>
        <v>0</v>
      </c>
      <c r="H597" s="1648"/>
      <c r="I597" s="1648">
        <f t="shared" si="101"/>
        <v>0</v>
      </c>
      <c r="J597" s="1648"/>
      <c r="K597" s="1648">
        <f t="shared" si="102"/>
        <v>0</v>
      </c>
      <c r="L597" s="1648"/>
      <c r="M597" s="1648">
        <f t="shared" si="103"/>
        <v>0</v>
      </c>
      <c r="N597" s="1648">
        <f t="shared" si="104"/>
        <v>0</v>
      </c>
      <c r="O597" s="1648">
        <f t="shared" si="105"/>
        <v>0</v>
      </c>
      <c r="P597" s="1648">
        <f t="shared" si="106"/>
        <v>0</v>
      </c>
      <c r="Q597" s="1648">
        <f t="shared" si="107"/>
        <v>0</v>
      </c>
      <c r="R597" s="55">
        <f t="shared" si="108"/>
        <v>0</v>
      </c>
      <c r="S597" s="55">
        <f t="shared" si="109"/>
        <v>0</v>
      </c>
    </row>
    <row r="598" spans="1:19" ht="48.75" hidden="1" customHeight="1">
      <c r="A598" s="1732"/>
      <c r="B598" s="1648">
        <f t="shared" si="99"/>
        <v>0</v>
      </c>
      <c r="C598" s="1863" t="s">
        <v>5597</v>
      </c>
      <c r="D598" s="1649">
        <f>Data!K368</f>
        <v>7099.58</v>
      </c>
      <c r="E598" s="1687" t="s">
        <v>5</v>
      </c>
      <c r="F598" s="1649"/>
      <c r="G598" s="1648">
        <f t="shared" si="100"/>
        <v>0</v>
      </c>
      <c r="H598" s="1648"/>
      <c r="I598" s="1648">
        <f t="shared" si="101"/>
        <v>0</v>
      </c>
      <c r="J598" s="1648"/>
      <c r="K598" s="1648">
        <f t="shared" si="102"/>
        <v>0</v>
      </c>
      <c r="L598" s="1648"/>
      <c r="M598" s="1648">
        <f t="shared" si="103"/>
        <v>0</v>
      </c>
      <c r="N598" s="1648">
        <f t="shared" si="104"/>
        <v>0</v>
      </c>
      <c r="O598" s="1648">
        <f t="shared" si="105"/>
        <v>0</v>
      </c>
      <c r="P598" s="1648">
        <f t="shared" si="106"/>
        <v>0</v>
      </c>
      <c r="Q598" s="1648">
        <f t="shared" si="107"/>
        <v>0</v>
      </c>
      <c r="R598" s="55">
        <f t="shared" si="108"/>
        <v>0</v>
      </c>
      <c r="S598" s="55">
        <f t="shared" si="109"/>
        <v>0</v>
      </c>
    </row>
    <row r="599" spans="1:19" ht="48.75" hidden="1" customHeight="1">
      <c r="A599" s="1860"/>
      <c r="B599" s="1648">
        <f t="shared" si="99"/>
        <v>0</v>
      </c>
      <c r="C599" s="1863" t="s">
        <v>5598</v>
      </c>
      <c r="D599" s="1649">
        <f>Data!K369</f>
        <v>7265.57</v>
      </c>
      <c r="E599" s="1687" t="s">
        <v>5</v>
      </c>
      <c r="F599" s="1649"/>
      <c r="G599" s="1648">
        <f t="shared" si="100"/>
        <v>0</v>
      </c>
      <c r="H599" s="1648"/>
      <c r="I599" s="1648">
        <f t="shared" si="101"/>
        <v>0</v>
      </c>
      <c r="J599" s="1648"/>
      <c r="K599" s="1648">
        <f t="shared" si="102"/>
        <v>0</v>
      </c>
      <c r="L599" s="1648"/>
      <c r="M599" s="1648">
        <f t="shared" si="103"/>
        <v>0</v>
      </c>
      <c r="N599" s="1648">
        <f t="shared" si="104"/>
        <v>0</v>
      </c>
      <c r="O599" s="1648">
        <f t="shared" si="105"/>
        <v>0</v>
      </c>
      <c r="P599" s="1648">
        <f t="shared" si="106"/>
        <v>0</v>
      </c>
      <c r="Q599" s="1648">
        <f t="shared" si="107"/>
        <v>0</v>
      </c>
      <c r="R599" s="55">
        <f t="shared" si="108"/>
        <v>0</v>
      </c>
      <c r="S599" s="55">
        <f t="shared" si="109"/>
        <v>0</v>
      </c>
    </row>
    <row r="600" spans="1:19" ht="48.75" hidden="1" customHeight="1">
      <c r="A600" s="1732"/>
      <c r="B600" s="1648">
        <f t="shared" si="99"/>
        <v>0</v>
      </c>
      <c r="C600" s="1863" t="s">
        <v>5599</v>
      </c>
      <c r="D600" s="1649">
        <f>Data!$K$370</f>
        <v>7431.56</v>
      </c>
      <c r="E600" s="1687" t="s">
        <v>5</v>
      </c>
      <c r="F600" s="1649"/>
      <c r="G600" s="1648">
        <f t="shared" si="100"/>
        <v>0</v>
      </c>
      <c r="H600" s="1648"/>
      <c r="I600" s="1648">
        <f t="shared" si="101"/>
        <v>0</v>
      </c>
      <c r="J600" s="1648"/>
      <c r="K600" s="1648">
        <f t="shared" si="102"/>
        <v>0</v>
      </c>
      <c r="L600" s="1648"/>
      <c r="M600" s="1648">
        <f t="shared" si="103"/>
        <v>0</v>
      </c>
      <c r="N600" s="1648">
        <f t="shared" si="104"/>
        <v>0</v>
      </c>
      <c r="O600" s="1648">
        <f t="shared" si="105"/>
        <v>0</v>
      </c>
      <c r="P600" s="1648">
        <f t="shared" si="106"/>
        <v>0</v>
      </c>
      <c r="Q600" s="1648">
        <f t="shared" si="107"/>
        <v>0</v>
      </c>
      <c r="R600" s="55">
        <f t="shared" si="108"/>
        <v>0</v>
      </c>
      <c r="S600" s="55">
        <f t="shared" si="109"/>
        <v>0</v>
      </c>
    </row>
    <row r="601" spans="1:19" ht="48.75" hidden="1" customHeight="1">
      <c r="A601" s="1732"/>
      <c r="B601" s="1648">
        <f t="shared" si="99"/>
        <v>0</v>
      </c>
      <c r="C601" s="1863" t="s">
        <v>5600</v>
      </c>
      <c r="D601" s="1649">
        <f>Data!K371</f>
        <v>7597.55</v>
      </c>
      <c r="E601" s="1687" t="s">
        <v>5</v>
      </c>
      <c r="F601" s="1649"/>
      <c r="G601" s="1648">
        <f t="shared" si="100"/>
        <v>0</v>
      </c>
      <c r="H601" s="1648"/>
      <c r="I601" s="1648">
        <f t="shared" si="101"/>
        <v>0</v>
      </c>
      <c r="J601" s="1648"/>
      <c r="K601" s="1648">
        <f t="shared" si="102"/>
        <v>0</v>
      </c>
      <c r="L601" s="1648"/>
      <c r="M601" s="1648">
        <f t="shared" si="103"/>
        <v>0</v>
      </c>
      <c r="N601" s="1648">
        <f t="shared" si="104"/>
        <v>0</v>
      </c>
      <c r="O601" s="1648">
        <f t="shared" si="105"/>
        <v>0</v>
      </c>
      <c r="P601" s="1648">
        <f t="shared" si="106"/>
        <v>0</v>
      </c>
      <c r="Q601" s="1648">
        <f t="shared" si="107"/>
        <v>0</v>
      </c>
      <c r="R601" s="55">
        <f t="shared" si="108"/>
        <v>0</v>
      </c>
      <c r="S601" s="55">
        <f t="shared" si="109"/>
        <v>0</v>
      </c>
    </row>
    <row r="602" spans="1:19" ht="48.75" hidden="1" customHeight="1">
      <c r="A602" s="1688"/>
      <c r="B602" s="1648">
        <f t="shared" si="99"/>
        <v>0</v>
      </c>
      <c r="C602" s="1863" t="s">
        <v>5601</v>
      </c>
      <c r="D602" s="1649">
        <f>Data!X88</f>
        <v>168</v>
      </c>
      <c r="E602" s="1687" t="s">
        <v>5</v>
      </c>
      <c r="F602" s="1649"/>
      <c r="G602" s="1648">
        <f t="shared" si="100"/>
        <v>0</v>
      </c>
      <c r="H602" s="1648"/>
      <c r="I602" s="1648">
        <f t="shared" si="101"/>
        <v>0</v>
      </c>
      <c r="J602" s="1648"/>
      <c r="K602" s="1648">
        <f t="shared" si="102"/>
        <v>0</v>
      </c>
      <c r="L602" s="1648"/>
      <c r="M602" s="1648">
        <f t="shared" si="103"/>
        <v>0</v>
      </c>
      <c r="N602" s="1648">
        <f t="shared" si="104"/>
        <v>0</v>
      </c>
      <c r="O602" s="1648">
        <f t="shared" si="105"/>
        <v>0</v>
      </c>
      <c r="P602" s="1648">
        <f t="shared" si="106"/>
        <v>0</v>
      </c>
      <c r="Q602" s="1648">
        <f t="shared" si="107"/>
        <v>0</v>
      </c>
      <c r="R602" s="55">
        <f t="shared" si="108"/>
        <v>0</v>
      </c>
      <c r="S602" s="55">
        <f t="shared" si="109"/>
        <v>0</v>
      </c>
    </row>
    <row r="603" spans="1:19" ht="48.75" hidden="1" customHeight="1">
      <c r="A603" s="1688"/>
      <c r="B603" s="1648">
        <f t="shared" si="99"/>
        <v>0</v>
      </c>
      <c r="C603" s="1863" t="s">
        <v>5602</v>
      </c>
      <c r="D603" s="1649">
        <f>Data!X118</f>
        <v>78.05</v>
      </c>
      <c r="E603" s="1687" t="s">
        <v>5</v>
      </c>
      <c r="F603" s="1649"/>
      <c r="G603" s="1648">
        <f t="shared" si="100"/>
        <v>0</v>
      </c>
      <c r="H603" s="1648"/>
      <c r="I603" s="1648">
        <f t="shared" si="101"/>
        <v>0</v>
      </c>
      <c r="J603" s="1648"/>
      <c r="K603" s="1648">
        <f t="shared" si="102"/>
        <v>0</v>
      </c>
      <c r="L603" s="1648"/>
      <c r="M603" s="1648">
        <f t="shared" si="103"/>
        <v>0</v>
      </c>
      <c r="N603" s="1648">
        <f t="shared" si="104"/>
        <v>0</v>
      </c>
      <c r="O603" s="1648">
        <f t="shared" si="105"/>
        <v>0</v>
      </c>
      <c r="P603" s="1648">
        <f t="shared" si="106"/>
        <v>0</v>
      </c>
      <c r="Q603" s="1648">
        <f t="shared" si="107"/>
        <v>0</v>
      </c>
      <c r="R603" s="55">
        <f t="shared" si="108"/>
        <v>0</v>
      </c>
      <c r="S603" s="55">
        <f t="shared" si="109"/>
        <v>0</v>
      </c>
    </row>
    <row r="604" spans="1:19" ht="48.75" hidden="1" customHeight="1">
      <c r="A604" s="1688"/>
      <c r="B604" s="1648">
        <f t="shared" si="99"/>
        <v>0</v>
      </c>
      <c r="C604" s="1863" t="s">
        <v>5603</v>
      </c>
      <c r="D604" s="1649">
        <f>Data!X133</f>
        <v>117.08</v>
      </c>
      <c r="E604" s="1687" t="s">
        <v>5</v>
      </c>
      <c r="F604" s="1649"/>
      <c r="G604" s="1648">
        <f t="shared" si="100"/>
        <v>0</v>
      </c>
      <c r="H604" s="1648"/>
      <c r="I604" s="1648">
        <f t="shared" si="101"/>
        <v>0</v>
      </c>
      <c r="J604" s="1648"/>
      <c r="K604" s="1648">
        <f t="shared" si="102"/>
        <v>0</v>
      </c>
      <c r="L604" s="1648"/>
      <c r="M604" s="1648">
        <f t="shared" si="103"/>
        <v>0</v>
      </c>
      <c r="N604" s="1648">
        <f t="shared" si="104"/>
        <v>0</v>
      </c>
      <c r="O604" s="1648">
        <f t="shared" si="105"/>
        <v>0</v>
      </c>
      <c r="P604" s="1648">
        <f t="shared" si="106"/>
        <v>0</v>
      </c>
      <c r="Q604" s="1648">
        <f t="shared" si="107"/>
        <v>0</v>
      </c>
      <c r="R604" s="55">
        <f t="shared" si="108"/>
        <v>0</v>
      </c>
      <c r="S604" s="55">
        <f t="shared" si="109"/>
        <v>0</v>
      </c>
    </row>
    <row r="605" spans="1:19" ht="48.75" hidden="1" customHeight="1">
      <c r="A605" s="1854">
        <v>8.4</v>
      </c>
      <c r="B605" s="1648">
        <f t="shared" si="99"/>
        <v>0</v>
      </c>
      <c r="C605" s="1864" t="s">
        <v>5604</v>
      </c>
      <c r="D605" s="1649"/>
      <c r="E605" s="1687" t="s">
        <v>5</v>
      </c>
      <c r="F605" s="1649"/>
      <c r="G605" s="1648">
        <f t="shared" si="100"/>
        <v>0</v>
      </c>
      <c r="H605" s="1648"/>
      <c r="I605" s="1648">
        <f t="shared" si="101"/>
        <v>0</v>
      </c>
      <c r="J605" s="1648"/>
      <c r="K605" s="1648">
        <f t="shared" si="102"/>
        <v>0</v>
      </c>
      <c r="L605" s="1648"/>
      <c r="M605" s="1648">
        <f t="shared" si="103"/>
        <v>0</v>
      </c>
      <c r="N605" s="1648">
        <f t="shared" si="104"/>
        <v>0</v>
      </c>
      <c r="O605" s="1648">
        <f t="shared" si="105"/>
        <v>0</v>
      </c>
      <c r="P605" s="1648">
        <f t="shared" si="106"/>
        <v>0</v>
      </c>
      <c r="Q605" s="1648">
        <f t="shared" si="107"/>
        <v>0</v>
      </c>
      <c r="R605" s="55">
        <f t="shared" si="108"/>
        <v>0</v>
      </c>
      <c r="S605" s="55">
        <f t="shared" si="109"/>
        <v>0</v>
      </c>
    </row>
    <row r="606" spans="1:19" ht="48.75" hidden="1" customHeight="1">
      <c r="A606" s="1854"/>
      <c r="B606" s="1648">
        <f t="shared" si="99"/>
        <v>0</v>
      </c>
      <c r="C606" s="1863" t="s">
        <v>5571</v>
      </c>
      <c r="D606" s="1649">
        <f>ROUND(Data!K2911,2)</f>
        <v>7363.59</v>
      </c>
      <c r="E606" s="1687" t="s">
        <v>5</v>
      </c>
      <c r="F606" s="1649"/>
      <c r="G606" s="1648">
        <f t="shared" si="100"/>
        <v>0</v>
      </c>
      <c r="H606" s="1648"/>
      <c r="I606" s="1648">
        <f t="shared" si="101"/>
        <v>0</v>
      </c>
      <c r="J606" s="1648"/>
      <c r="K606" s="1648">
        <f t="shared" si="102"/>
        <v>0</v>
      </c>
      <c r="L606" s="1648"/>
      <c r="M606" s="1648">
        <f t="shared" si="103"/>
        <v>0</v>
      </c>
      <c r="N606" s="1648">
        <f t="shared" si="104"/>
        <v>0</v>
      </c>
      <c r="O606" s="1648">
        <f t="shared" si="105"/>
        <v>0</v>
      </c>
      <c r="P606" s="1648">
        <f t="shared" si="106"/>
        <v>0</v>
      </c>
      <c r="Q606" s="1648">
        <f t="shared" si="107"/>
        <v>0</v>
      </c>
      <c r="R606" s="55">
        <f t="shared" si="108"/>
        <v>0</v>
      </c>
      <c r="S606" s="55">
        <f t="shared" si="109"/>
        <v>0</v>
      </c>
    </row>
    <row r="607" spans="1:19" ht="48.75" hidden="1" customHeight="1">
      <c r="A607" s="1854"/>
      <c r="B607" s="1648">
        <f t="shared" si="99"/>
        <v>0</v>
      </c>
      <c r="C607" s="1863" t="s">
        <v>5605</v>
      </c>
      <c r="D607" s="1649">
        <f>ROUND(Data!K2913,2)</f>
        <v>7488.55</v>
      </c>
      <c r="E607" s="1687" t="s">
        <v>5</v>
      </c>
      <c r="F607" s="1649"/>
      <c r="G607" s="1648">
        <f t="shared" si="100"/>
        <v>0</v>
      </c>
      <c r="H607" s="1648"/>
      <c r="I607" s="1648">
        <f t="shared" si="101"/>
        <v>0</v>
      </c>
      <c r="J607" s="1648"/>
      <c r="K607" s="1648">
        <f t="shared" si="102"/>
        <v>0</v>
      </c>
      <c r="L607" s="1648"/>
      <c r="M607" s="1648">
        <f t="shared" si="103"/>
        <v>0</v>
      </c>
      <c r="N607" s="1648">
        <f t="shared" si="104"/>
        <v>0</v>
      </c>
      <c r="O607" s="1648">
        <f t="shared" si="105"/>
        <v>0</v>
      </c>
      <c r="P607" s="1648">
        <f t="shared" si="106"/>
        <v>0</v>
      </c>
      <c r="Q607" s="1648">
        <f t="shared" si="107"/>
        <v>0</v>
      </c>
      <c r="R607" s="55">
        <f t="shared" si="108"/>
        <v>0</v>
      </c>
      <c r="S607" s="55">
        <f t="shared" si="109"/>
        <v>0</v>
      </c>
    </row>
    <row r="608" spans="1:19" ht="48.75" hidden="1" customHeight="1">
      <c r="A608" s="1854"/>
      <c r="B608" s="1648">
        <f t="shared" si="99"/>
        <v>0</v>
      </c>
      <c r="C608" s="1863" t="s">
        <v>5606</v>
      </c>
      <c r="D608" s="1649">
        <f>ROUND(Data!K2914,2)</f>
        <v>7734.73</v>
      </c>
      <c r="E608" s="1687" t="s">
        <v>5</v>
      </c>
      <c r="F608" s="1649"/>
      <c r="G608" s="1648">
        <f t="shared" si="100"/>
        <v>0</v>
      </c>
      <c r="H608" s="1648"/>
      <c r="I608" s="1648">
        <f t="shared" si="101"/>
        <v>0</v>
      </c>
      <c r="J608" s="1648"/>
      <c r="K608" s="1648">
        <f t="shared" si="102"/>
        <v>0</v>
      </c>
      <c r="L608" s="1648"/>
      <c r="M608" s="1648">
        <f t="shared" si="103"/>
        <v>0</v>
      </c>
      <c r="N608" s="1648">
        <f t="shared" si="104"/>
        <v>0</v>
      </c>
      <c r="O608" s="1648">
        <f t="shared" si="105"/>
        <v>0</v>
      </c>
      <c r="P608" s="1648">
        <f t="shared" si="106"/>
        <v>0</v>
      </c>
      <c r="Q608" s="1648">
        <f t="shared" si="107"/>
        <v>0</v>
      </c>
      <c r="R608" s="55">
        <f t="shared" si="108"/>
        <v>0</v>
      </c>
      <c r="S608" s="55">
        <f t="shared" si="109"/>
        <v>0</v>
      </c>
    </row>
    <row r="609" spans="1:19" ht="48.75" hidden="1" customHeight="1">
      <c r="A609" s="1688"/>
      <c r="B609" s="1648">
        <f t="shared" si="99"/>
        <v>0</v>
      </c>
      <c r="C609" s="1863" t="s">
        <v>5607</v>
      </c>
      <c r="D609" s="1649">
        <f>ROUND(Data!K2915,2)</f>
        <v>7980.91</v>
      </c>
      <c r="E609" s="1687" t="s">
        <v>5</v>
      </c>
      <c r="F609" s="1649"/>
      <c r="G609" s="1648">
        <f t="shared" si="100"/>
        <v>0</v>
      </c>
      <c r="H609" s="1648"/>
      <c r="I609" s="1648">
        <f t="shared" si="101"/>
        <v>0</v>
      </c>
      <c r="J609" s="1648"/>
      <c r="K609" s="1648">
        <f t="shared" si="102"/>
        <v>0</v>
      </c>
      <c r="L609" s="1648"/>
      <c r="M609" s="1648">
        <f t="shared" si="103"/>
        <v>0</v>
      </c>
      <c r="N609" s="1648">
        <f t="shared" si="104"/>
        <v>0</v>
      </c>
      <c r="O609" s="1648">
        <f t="shared" si="105"/>
        <v>0</v>
      </c>
      <c r="P609" s="1648">
        <f t="shared" si="106"/>
        <v>0</v>
      </c>
      <c r="Q609" s="1648">
        <f t="shared" si="107"/>
        <v>0</v>
      </c>
      <c r="R609" s="55">
        <f t="shared" si="108"/>
        <v>0</v>
      </c>
      <c r="S609" s="55">
        <f t="shared" si="109"/>
        <v>0</v>
      </c>
    </row>
    <row r="610" spans="1:19" ht="48.75" hidden="1" customHeight="1">
      <c r="A610" s="1854">
        <v>8.5</v>
      </c>
      <c r="B610" s="1648">
        <f t="shared" si="99"/>
        <v>0</v>
      </c>
      <c r="C610" s="1864" t="s">
        <v>5608</v>
      </c>
      <c r="D610" s="1649"/>
      <c r="E610" s="1687" t="s">
        <v>5</v>
      </c>
      <c r="F610" s="1649"/>
      <c r="G610" s="1648">
        <f t="shared" si="100"/>
        <v>0</v>
      </c>
      <c r="H610" s="1648"/>
      <c r="I610" s="1648">
        <f t="shared" si="101"/>
        <v>0</v>
      </c>
      <c r="J610" s="1648"/>
      <c r="K610" s="1648">
        <f t="shared" si="102"/>
        <v>0</v>
      </c>
      <c r="L610" s="1648"/>
      <c r="M610" s="1648">
        <f t="shared" si="103"/>
        <v>0</v>
      </c>
      <c r="N610" s="1648">
        <f t="shared" si="104"/>
        <v>0</v>
      </c>
      <c r="O610" s="1648">
        <f t="shared" si="105"/>
        <v>0</v>
      </c>
      <c r="P610" s="1648">
        <f t="shared" si="106"/>
        <v>0</v>
      </c>
      <c r="Q610" s="1648">
        <f t="shared" si="107"/>
        <v>0</v>
      </c>
      <c r="R610" s="55">
        <f t="shared" si="108"/>
        <v>0</v>
      </c>
      <c r="S610" s="55">
        <f t="shared" si="109"/>
        <v>0</v>
      </c>
    </row>
    <row r="611" spans="1:19" ht="48.75" hidden="1" customHeight="1">
      <c r="A611" s="1854"/>
      <c r="B611" s="1648">
        <f t="shared" si="99"/>
        <v>0</v>
      </c>
      <c r="C611" s="1863" t="s">
        <v>5609</v>
      </c>
      <c r="D611" s="1649">
        <f>ROUND(Data!K2931,2)</f>
        <v>710.86</v>
      </c>
      <c r="E611" s="1687" t="s">
        <v>5</v>
      </c>
      <c r="F611" s="1649"/>
      <c r="G611" s="1648">
        <f t="shared" si="100"/>
        <v>0</v>
      </c>
      <c r="H611" s="1648"/>
      <c r="I611" s="1648">
        <f t="shared" si="101"/>
        <v>0</v>
      </c>
      <c r="J611" s="1648"/>
      <c r="K611" s="1648">
        <f t="shared" si="102"/>
        <v>0</v>
      </c>
      <c r="L611" s="1648"/>
      <c r="M611" s="1648">
        <f t="shared" si="103"/>
        <v>0</v>
      </c>
      <c r="N611" s="1648">
        <f t="shared" si="104"/>
        <v>0</v>
      </c>
      <c r="O611" s="1648">
        <f t="shared" si="105"/>
        <v>0</v>
      </c>
      <c r="P611" s="1648">
        <f t="shared" si="106"/>
        <v>0</v>
      </c>
      <c r="Q611" s="1648">
        <f t="shared" si="107"/>
        <v>0</v>
      </c>
      <c r="R611" s="55">
        <f t="shared" si="108"/>
        <v>0</v>
      </c>
      <c r="S611" s="55">
        <f t="shared" si="109"/>
        <v>0</v>
      </c>
    </row>
    <row r="612" spans="1:19" ht="48.75" hidden="1" customHeight="1">
      <c r="A612" s="1854"/>
      <c r="B612" s="1648">
        <f t="shared" si="99"/>
        <v>0</v>
      </c>
      <c r="C612" s="1863" t="s">
        <v>3404</v>
      </c>
      <c r="D612" s="1649">
        <f>ROUND(Data!K2940,2)</f>
        <v>715.08</v>
      </c>
      <c r="E612" s="1687" t="s">
        <v>5</v>
      </c>
      <c r="F612" s="1649"/>
      <c r="G612" s="1648">
        <f t="shared" si="100"/>
        <v>0</v>
      </c>
      <c r="H612" s="1648"/>
      <c r="I612" s="1648">
        <f t="shared" si="101"/>
        <v>0</v>
      </c>
      <c r="J612" s="1648"/>
      <c r="K612" s="1648">
        <f t="shared" si="102"/>
        <v>0</v>
      </c>
      <c r="L612" s="1648"/>
      <c r="M612" s="1648">
        <f t="shared" si="103"/>
        <v>0</v>
      </c>
      <c r="N612" s="1648">
        <f t="shared" si="104"/>
        <v>0</v>
      </c>
      <c r="O612" s="1648">
        <f t="shared" si="105"/>
        <v>0</v>
      </c>
      <c r="P612" s="1648">
        <f t="shared" si="106"/>
        <v>0</v>
      </c>
      <c r="Q612" s="1648">
        <f t="shared" si="107"/>
        <v>0</v>
      </c>
      <c r="R612" s="55">
        <f t="shared" si="108"/>
        <v>0</v>
      </c>
      <c r="S612" s="55">
        <f t="shared" si="109"/>
        <v>0</v>
      </c>
    </row>
    <row r="613" spans="1:19" ht="48.75" hidden="1" customHeight="1">
      <c r="A613" s="1854"/>
      <c r="B613" s="1648">
        <f t="shared" si="99"/>
        <v>0</v>
      </c>
      <c r="C613" s="1863" t="s">
        <v>5610</v>
      </c>
      <c r="D613" s="1649">
        <f>ROUND(Data!K2950,2)</f>
        <v>719.3</v>
      </c>
      <c r="E613" s="1687" t="s">
        <v>5</v>
      </c>
      <c r="F613" s="1649"/>
      <c r="G613" s="1648">
        <f t="shared" si="100"/>
        <v>0</v>
      </c>
      <c r="H613" s="1648"/>
      <c r="I613" s="1648">
        <f t="shared" si="101"/>
        <v>0</v>
      </c>
      <c r="J613" s="1648"/>
      <c r="K613" s="1648">
        <f t="shared" si="102"/>
        <v>0</v>
      </c>
      <c r="L613" s="1648"/>
      <c r="M613" s="1648">
        <f t="shared" si="103"/>
        <v>0</v>
      </c>
      <c r="N613" s="1648">
        <f t="shared" si="104"/>
        <v>0</v>
      </c>
      <c r="O613" s="1648">
        <f t="shared" si="105"/>
        <v>0</v>
      </c>
      <c r="P613" s="1648">
        <f t="shared" si="106"/>
        <v>0</v>
      </c>
      <c r="Q613" s="1648">
        <f t="shared" si="107"/>
        <v>0</v>
      </c>
      <c r="R613" s="55">
        <f t="shared" si="108"/>
        <v>0</v>
      </c>
      <c r="S613" s="55">
        <f t="shared" si="109"/>
        <v>0</v>
      </c>
    </row>
    <row r="614" spans="1:19" ht="48.75" hidden="1" customHeight="1">
      <c r="A614" s="1854"/>
      <c r="B614" s="1648">
        <f t="shared" si="99"/>
        <v>0</v>
      </c>
      <c r="C614" s="1866" t="s">
        <v>5611</v>
      </c>
      <c r="D614" s="1655">
        <f>Data!K2448</f>
        <v>785.66</v>
      </c>
      <c r="E614" s="1687" t="s">
        <v>5</v>
      </c>
      <c r="F614" s="1649"/>
      <c r="G614" s="1648">
        <f t="shared" si="100"/>
        <v>0</v>
      </c>
      <c r="H614" s="1648"/>
      <c r="I614" s="1648">
        <f t="shared" si="101"/>
        <v>0</v>
      </c>
      <c r="J614" s="1648"/>
      <c r="K614" s="1648">
        <f t="shared" si="102"/>
        <v>0</v>
      </c>
      <c r="L614" s="1648"/>
      <c r="M614" s="1648">
        <f t="shared" si="103"/>
        <v>0</v>
      </c>
      <c r="N614" s="1648">
        <f t="shared" si="104"/>
        <v>0</v>
      </c>
      <c r="O614" s="1648">
        <f t="shared" si="105"/>
        <v>0</v>
      </c>
      <c r="P614" s="1648">
        <f t="shared" si="106"/>
        <v>0</v>
      </c>
      <c r="Q614" s="1648">
        <f t="shared" si="107"/>
        <v>0</v>
      </c>
      <c r="R614" s="55">
        <f t="shared" si="108"/>
        <v>0</v>
      </c>
      <c r="S614" s="55">
        <f t="shared" si="109"/>
        <v>0</v>
      </c>
    </row>
    <row r="615" spans="1:19" ht="48.75" hidden="1" customHeight="1">
      <c r="A615" s="1690">
        <v>3.8</v>
      </c>
      <c r="B615" s="1648">
        <f t="shared" si="99"/>
        <v>0</v>
      </c>
      <c r="C615" s="1866" t="s">
        <v>5612</v>
      </c>
      <c r="D615" s="1656">
        <f>Data!R204</f>
        <v>5819.8</v>
      </c>
      <c r="E615" s="1687" t="s">
        <v>5</v>
      </c>
      <c r="F615" s="1649"/>
      <c r="G615" s="1648">
        <f t="shared" si="100"/>
        <v>0</v>
      </c>
      <c r="H615" s="1648"/>
      <c r="I615" s="1648">
        <f t="shared" si="101"/>
        <v>0</v>
      </c>
      <c r="J615" s="1648"/>
      <c r="K615" s="1648">
        <f t="shared" si="102"/>
        <v>0</v>
      </c>
      <c r="L615" s="1648"/>
      <c r="M615" s="1648">
        <f t="shared" si="103"/>
        <v>0</v>
      </c>
      <c r="N615" s="1648">
        <f t="shared" si="104"/>
        <v>0</v>
      </c>
      <c r="O615" s="1648">
        <f t="shared" si="105"/>
        <v>0</v>
      </c>
      <c r="P615" s="1648">
        <f t="shared" si="106"/>
        <v>0</v>
      </c>
      <c r="Q615" s="1648">
        <f t="shared" si="107"/>
        <v>0</v>
      </c>
      <c r="R615" s="55">
        <f t="shared" si="108"/>
        <v>0</v>
      </c>
      <c r="S615" s="55">
        <f t="shared" si="109"/>
        <v>0</v>
      </c>
    </row>
    <row r="616" spans="1:19" ht="48.75" hidden="1" customHeight="1">
      <c r="A616" s="1861">
        <v>3.3</v>
      </c>
      <c r="B616" s="1648">
        <f t="shared" si="99"/>
        <v>0</v>
      </c>
      <c r="C616" s="1866" t="s">
        <v>5613</v>
      </c>
      <c r="D616" s="1656">
        <f>Data!R240</f>
        <v>5121.9399999999996</v>
      </c>
      <c r="E616" s="1687" t="s">
        <v>5</v>
      </c>
      <c r="F616" s="1649"/>
      <c r="G616" s="1648">
        <f t="shared" si="100"/>
        <v>0</v>
      </c>
      <c r="H616" s="1648"/>
      <c r="I616" s="1648">
        <f t="shared" si="101"/>
        <v>0</v>
      </c>
      <c r="J616" s="1648"/>
      <c r="K616" s="1648">
        <f t="shared" si="102"/>
        <v>0</v>
      </c>
      <c r="L616" s="1648"/>
      <c r="M616" s="1648">
        <f t="shared" si="103"/>
        <v>0</v>
      </c>
      <c r="N616" s="1648">
        <f t="shared" si="104"/>
        <v>0</v>
      </c>
      <c r="O616" s="1648">
        <f t="shared" si="105"/>
        <v>0</v>
      </c>
      <c r="P616" s="1648">
        <f t="shared" si="106"/>
        <v>0</v>
      </c>
      <c r="Q616" s="1648">
        <f t="shared" si="107"/>
        <v>0</v>
      </c>
      <c r="R616" s="55">
        <f t="shared" si="108"/>
        <v>0</v>
      </c>
      <c r="S616" s="55">
        <f t="shared" si="109"/>
        <v>0</v>
      </c>
    </row>
    <row r="617" spans="1:19" ht="48.75" hidden="1" customHeight="1">
      <c r="A617" s="1861"/>
      <c r="B617" s="1648">
        <f t="shared" si="99"/>
        <v>0</v>
      </c>
      <c r="C617" s="1866" t="s">
        <v>5614</v>
      </c>
      <c r="D617" s="1656">
        <f>Data!X204</f>
        <v>5448.1</v>
      </c>
      <c r="E617" s="1687" t="s">
        <v>5</v>
      </c>
      <c r="F617" s="1649"/>
      <c r="G617" s="1648">
        <f t="shared" si="100"/>
        <v>0</v>
      </c>
      <c r="H617" s="1648"/>
      <c r="I617" s="1648">
        <f t="shared" si="101"/>
        <v>0</v>
      </c>
      <c r="J617" s="1648"/>
      <c r="K617" s="1648">
        <f t="shared" si="102"/>
        <v>0</v>
      </c>
      <c r="L617" s="1648"/>
      <c r="M617" s="1648">
        <f t="shared" si="103"/>
        <v>0</v>
      </c>
      <c r="N617" s="1648">
        <f t="shared" si="104"/>
        <v>0</v>
      </c>
      <c r="O617" s="1648">
        <f t="shared" si="105"/>
        <v>0</v>
      </c>
      <c r="P617" s="1648">
        <f t="shared" si="106"/>
        <v>0</v>
      </c>
      <c r="Q617" s="1648">
        <f t="shared" si="107"/>
        <v>0</v>
      </c>
      <c r="R617" s="55">
        <f t="shared" si="108"/>
        <v>0</v>
      </c>
      <c r="S617" s="55">
        <f t="shared" si="109"/>
        <v>0</v>
      </c>
    </row>
    <row r="618" spans="1:19" ht="54" customHeight="1">
      <c r="A618" s="1861"/>
      <c r="B618" s="1648">
        <f t="shared" si="99"/>
        <v>28</v>
      </c>
      <c r="C618" s="1866" t="s">
        <v>7560</v>
      </c>
      <c r="D618" s="1656">
        <f>Data!X695</f>
        <v>9964.41</v>
      </c>
      <c r="E618" s="1687" t="s">
        <v>5</v>
      </c>
      <c r="F618" s="1649">
        <f>'Detail '!I414</f>
        <v>28</v>
      </c>
      <c r="G618" s="1648">
        <f t="shared" si="100"/>
        <v>279003.48</v>
      </c>
      <c r="H618" s="1648"/>
      <c r="I618" s="1648">
        <f t="shared" si="101"/>
        <v>0</v>
      </c>
      <c r="J618" s="1648"/>
      <c r="K618" s="1648">
        <f t="shared" si="102"/>
        <v>0</v>
      </c>
      <c r="L618" s="1648"/>
      <c r="M618" s="1648">
        <f t="shared" si="103"/>
        <v>0</v>
      </c>
      <c r="N618" s="1648">
        <f t="shared" si="104"/>
        <v>0</v>
      </c>
      <c r="O618" s="1648">
        <f t="shared" si="105"/>
        <v>0</v>
      </c>
      <c r="P618" s="1648">
        <f t="shared" si="106"/>
        <v>28</v>
      </c>
      <c r="Q618" s="1648">
        <f t="shared" si="107"/>
        <v>279003.48</v>
      </c>
      <c r="R618" s="55">
        <f t="shared" si="108"/>
        <v>279003.48</v>
      </c>
      <c r="S618" s="55">
        <f t="shared" si="109"/>
        <v>0</v>
      </c>
    </row>
    <row r="619" spans="1:19" ht="54.75" customHeight="1">
      <c r="A619" s="1854">
        <v>18.100000000000001</v>
      </c>
      <c r="B619" s="1648">
        <f t="shared" si="99"/>
        <v>0</v>
      </c>
      <c r="C619" s="1864" t="s">
        <v>5615</v>
      </c>
      <c r="D619" s="1649"/>
      <c r="E619" s="1687"/>
      <c r="F619" s="1649"/>
      <c r="G619" s="1648">
        <f t="shared" si="100"/>
        <v>0</v>
      </c>
      <c r="H619" s="1648"/>
      <c r="I619" s="1648">
        <f t="shared" si="101"/>
        <v>0</v>
      </c>
      <c r="J619" s="1648"/>
      <c r="K619" s="1648">
        <f t="shared" si="102"/>
        <v>0</v>
      </c>
      <c r="L619" s="1648"/>
      <c r="M619" s="1648">
        <f t="shared" si="103"/>
        <v>0</v>
      </c>
      <c r="N619" s="1648">
        <f t="shared" si="104"/>
        <v>0</v>
      </c>
      <c r="O619" s="1648">
        <f t="shared" si="105"/>
        <v>0</v>
      </c>
      <c r="P619" s="1648">
        <f t="shared" si="106"/>
        <v>0</v>
      </c>
      <c r="Q619" s="1648">
        <f t="shared" si="107"/>
        <v>0</v>
      </c>
      <c r="R619" s="55">
        <f t="shared" si="108"/>
        <v>0</v>
      </c>
      <c r="S619" s="55">
        <f t="shared" si="109"/>
        <v>0</v>
      </c>
    </row>
    <row r="620" spans="1:19" ht="63" customHeight="1">
      <c r="A620" s="1854"/>
      <c r="B620" s="1648">
        <f t="shared" si="99"/>
        <v>640</v>
      </c>
      <c r="C620" s="1863" t="s">
        <v>5616</v>
      </c>
      <c r="D620" s="1649">
        <f>ROUND(Data!I2354,2)</f>
        <v>881.39</v>
      </c>
      <c r="E620" s="1687" t="s">
        <v>724</v>
      </c>
      <c r="F620" s="1649">
        <f>'Detail '!I1931</f>
        <v>640</v>
      </c>
      <c r="G620" s="1648">
        <f t="shared" si="100"/>
        <v>564089.59999999998</v>
      </c>
      <c r="H620" s="1648"/>
      <c r="I620" s="1648">
        <f t="shared" si="101"/>
        <v>0</v>
      </c>
      <c r="J620" s="1648"/>
      <c r="K620" s="1648">
        <f t="shared" si="102"/>
        <v>0</v>
      </c>
      <c r="L620" s="1648"/>
      <c r="M620" s="1648">
        <f t="shared" si="103"/>
        <v>0</v>
      </c>
      <c r="N620" s="1648">
        <f t="shared" si="104"/>
        <v>0</v>
      </c>
      <c r="O620" s="1648">
        <f t="shared" si="105"/>
        <v>0</v>
      </c>
      <c r="P620" s="1648">
        <f t="shared" si="106"/>
        <v>640</v>
      </c>
      <c r="Q620" s="1648">
        <f t="shared" si="107"/>
        <v>564089.59999999998</v>
      </c>
      <c r="R620" s="55">
        <f t="shared" si="108"/>
        <v>564089.59999999998</v>
      </c>
      <c r="S620" s="55">
        <f t="shared" si="109"/>
        <v>0</v>
      </c>
    </row>
    <row r="621" spans="1:19" ht="93.75" customHeight="1">
      <c r="A621" s="1854"/>
      <c r="B621" s="1648">
        <f t="shared" si="99"/>
        <v>3460</v>
      </c>
      <c r="C621" s="1863" t="s">
        <v>5617</v>
      </c>
      <c r="D621" s="1649">
        <f>ROUND(Data!I2356,2)</f>
        <v>982.08</v>
      </c>
      <c r="E621" s="1687" t="s">
        <v>724</v>
      </c>
      <c r="F621" s="1649">
        <f>'Detail '!I2180</f>
        <v>3460</v>
      </c>
      <c r="G621" s="1648">
        <f t="shared" si="100"/>
        <v>3397996.8</v>
      </c>
      <c r="H621" s="1648"/>
      <c r="I621" s="1648">
        <f t="shared" si="101"/>
        <v>0</v>
      </c>
      <c r="J621" s="1648"/>
      <c r="K621" s="1648">
        <f t="shared" si="102"/>
        <v>0</v>
      </c>
      <c r="L621" s="1648"/>
      <c r="M621" s="1648">
        <f t="shared" si="103"/>
        <v>0</v>
      </c>
      <c r="N621" s="1648">
        <f t="shared" si="104"/>
        <v>0</v>
      </c>
      <c r="O621" s="1648">
        <f t="shared" si="105"/>
        <v>0</v>
      </c>
      <c r="P621" s="1648">
        <f t="shared" si="106"/>
        <v>3460</v>
      </c>
      <c r="Q621" s="1648">
        <f t="shared" si="107"/>
        <v>3397996.8</v>
      </c>
      <c r="R621" s="55">
        <f t="shared" si="108"/>
        <v>3397996.8</v>
      </c>
      <c r="S621" s="55">
        <f t="shared" si="109"/>
        <v>0</v>
      </c>
    </row>
    <row r="622" spans="1:19" ht="80.25" customHeight="1">
      <c r="A622" s="1687"/>
      <c r="B622" s="1648">
        <f t="shared" si="99"/>
        <v>837</v>
      </c>
      <c r="C622" s="1863" t="s">
        <v>5618</v>
      </c>
      <c r="D622" s="1649">
        <f>ROUND(Data!I2358,2)</f>
        <v>1178.5</v>
      </c>
      <c r="E622" s="1687" t="s">
        <v>724</v>
      </c>
      <c r="F622" s="1649">
        <f>'Detail '!I2238</f>
        <v>837</v>
      </c>
      <c r="G622" s="1648">
        <f t="shared" si="100"/>
        <v>986404.5</v>
      </c>
      <c r="H622" s="1648"/>
      <c r="I622" s="1648">
        <f t="shared" si="101"/>
        <v>0</v>
      </c>
      <c r="J622" s="1648"/>
      <c r="K622" s="1648">
        <f t="shared" si="102"/>
        <v>0</v>
      </c>
      <c r="L622" s="1648"/>
      <c r="M622" s="1648">
        <f t="shared" si="103"/>
        <v>0</v>
      </c>
      <c r="N622" s="1648">
        <f t="shared" si="104"/>
        <v>0</v>
      </c>
      <c r="O622" s="1648">
        <f t="shared" si="105"/>
        <v>0</v>
      </c>
      <c r="P622" s="1648">
        <f t="shared" si="106"/>
        <v>837</v>
      </c>
      <c r="Q622" s="1648">
        <f t="shared" si="107"/>
        <v>986404.5</v>
      </c>
      <c r="R622" s="55">
        <f t="shared" si="108"/>
        <v>986404.5</v>
      </c>
      <c r="S622" s="55">
        <f t="shared" si="109"/>
        <v>0</v>
      </c>
    </row>
    <row r="623" spans="1:19" ht="48" customHeight="1">
      <c r="A623" s="1691"/>
      <c r="B623" s="1648">
        <f t="shared" si="99"/>
        <v>61.6</v>
      </c>
      <c r="C623" s="1863" t="s">
        <v>5619</v>
      </c>
      <c r="D623" s="1649">
        <f>Data!I2360</f>
        <v>1080.29</v>
      </c>
      <c r="E623" s="1687" t="s">
        <v>724</v>
      </c>
      <c r="F623" s="1654">
        <v>61.6</v>
      </c>
      <c r="G623" s="1648">
        <f t="shared" si="100"/>
        <v>66545.86</v>
      </c>
      <c r="H623" s="1648"/>
      <c r="I623" s="1648">
        <f t="shared" si="101"/>
        <v>0</v>
      </c>
      <c r="J623" s="1648"/>
      <c r="K623" s="1648">
        <f t="shared" si="102"/>
        <v>0</v>
      </c>
      <c r="L623" s="1648"/>
      <c r="M623" s="1648">
        <f t="shared" si="103"/>
        <v>0</v>
      </c>
      <c r="N623" s="1648">
        <f t="shared" si="104"/>
        <v>0</v>
      </c>
      <c r="O623" s="1648">
        <f t="shared" si="105"/>
        <v>0</v>
      </c>
      <c r="P623" s="1648">
        <f t="shared" si="106"/>
        <v>61.6</v>
      </c>
      <c r="Q623" s="1648">
        <f t="shared" si="107"/>
        <v>66545.86</v>
      </c>
      <c r="R623" s="55">
        <f t="shared" si="108"/>
        <v>66545.86</v>
      </c>
      <c r="S623" s="55">
        <f t="shared" si="109"/>
        <v>0</v>
      </c>
    </row>
    <row r="624" spans="1:19" ht="51" hidden="1" customHeight="1">
      <c r="A624" s="1688"/>
      <c r="B624" s="1648">
        <f t="shared" si="99"/>
        <v>0</v>
      </c>
      <c r="C624" s="1863" t="s">
        <v>5620</v>
      </c>
      <c r="D624" s="1649">
        <f>D622*2</f>
        <v>2357</v>
      </c>
      <c r="E624" s="1687" t="s">
        <v>724</v>
      </c>
      <c r="F624" s="1649"/>
      <c r="G624" s="1648">
        <f t="shared" si="100"/>
        <v>0</v>
      </c>
      <c r="H624" s="1648"/>
      <c r="I624" s="1648">
        <f t="shared" si="101"/>
        <v>0</v>
      </c>
      <c r="J624" s="1648"/>
      <c r="K624" s="1648">
        <f t="shared" si="102"/>
        <v>0</v>
      </c>
      <c r="L624" s="1648"/>
      <c r="M624" s="1648">
        <f t="shared" si="103"/>
        <v>0</v>
      </c>
      <c r="N624" s="1648">
        <f t="shared" si="104"/>
        <v>0</v>
      </c>
      <c r="O624" s="1648">
        <f t="shared" si="105"/>
        <v>0</v>
      </c>
      <c r="P624" s="1648">
        <f t="shared" si="106"/>
        <v>0</v>
      </c>
      <c r="Q624" s="1648">
        <f t="shared" si="107"/>
        <v>0</v>
      </c>
      <c r="R624" s="55">
        <f t="shared" si="108"/>
        <v>0</v>
      </c>
      <c r="S624" s="55">
        <f t="shared" si="109"/>
        <v>0</v>
      </c>
    </row>
    <row r="625" spans="1:19" ht="57.75" customHeight="1">
      <c r="A625" s="1688"/>
      <c r="B625" s="1648">
        <f t="shared" si="99"/>
        <v>63.4</v>
      </c>
      <c r="C625" s="1863" t="s">
        <v>5621</v>
      </c>
      <c r="D625" s="1649">
        <f>D621*1.5</f>
        <v>1473.12</v>
      </c>
      <c r="E625" s="1687" t="s">
        <v>724</v>
      </c>
      <c r="F625" s="1649"/>
      <c r="G625" s="1648">
        <f t="shared" si="100"/>
        <v>0</v>
      </c>
      <c r="H625" s="1648"/>
      <c r="I625" s="1648">
        <f t="shared" si="101"/>
        <v>0</v>
      </c>
      <c r="J625" s="1648">
        <f>Sump!I31</f>
        <v>63.4</v>
      </c>
      <c r="K625" s="1648">
        <f t="shared" si="102"/>
        <v>93395.81</v>
      </c>
      <c r="L625" s="1648"/>
      <c r="M625" s="1648">
        <f t="shared" si="103"/>
        <v>0</v>
      </c>
      <c r="N625" s="1648">
        <f t="shared" si="104"/>
        <v>63.4</v>
      </c>
      <c r="O625" s="1648">
        <f t="shared" si="105"/>
        <v>93395.81</v>
      </c>
      <c r="P625" s="1648">
        <f t="shared" si="106"/>
        <v>63.4</v>
      </c>
      <c r="Q625" s="1648">
        <f t="shared" si="107"/>
        <v>93395.81</v>
      </c>
      <c r="R625" s="55">
        <f t="shared" si="108"/>
        <v>93395.81</v>
      </c>
      <c r="S625" s="55">
        <f t="shared" si="109"/>
        <v>0</v>
      </c>
    </row>
    <row r="626" spans="1:19" ht="57" customHeight="1">
      <c r="A626" s="1688"/>
      <c r="B626" s="1648">
        <f t="shared" si="99"/>
        <v>164.8</v>
      </c>
      <c r="C626" s="1863" t="s">
        <v>3625</v>
      </c>
      <c r="D626" s="1649">
        <f>D621*2</f>
        <v>1964.16</v>
      </c>
      <c r="E626" s="1687" t="s">
        <v>724</v>
      </c>
      <c r="F626" s="1654">
        <v>164.8</v>
      </c>
      <c r="G626" s="1648">
        <f t="shared" si="100"/>
        <v>323693.57</v>
      </c>
      <c r="H626" s="1648"/>
      <c r="I626" s="1648">
        <f t="shared" si="101"/>
        <v>0</v>
      </c>
      <c r="J626" s="1648"/>
      <c r="K626" s="1648">
        <f t="shared" si="102"/>
        <v>0</v>
      </c>
      <c r="L626" s="1648"/>
      <c r="M626" s="1648">
        <f t="shared" si="103"/>
        <v>0</v>
      </c>
      <c r="N626" s="1648">
        <f t="shared" si="104"/>
        <v>0</v>
      </c>
      <c r="O626" s="1648">
        <f t="shared" si="105"/>
        <v>0</v>
      </c>
      <c r="P626" s="1648">
        <f t="shared" si="106"/>
        <v>164.8</v>
      </c>
      <c r="Q626" s="1648">
        <f t="shared" si="107"/>
        <v>323693.57</v>
      </c>
      <c r="R626" s="55">
        <f t="shared" si="108"/>
        <v>323693.57</v>
      </c>
      <c r="S626" s="55">
        <f t="shared" si="109"/>
        <v>0</v>
      </c>
    </row>
    <row r="627" spans="1:19" ht="82.5" customHeight="1">
      <c r="A627" s="1854">
        <v>21.6</v>
      </c>
      <c r="B627" s="1648">
        <f t="shared" si="99"/>
        <v>0</v>
      </c>
      <c r="C627" s="1864" t="s">
        <v>5622</v>
      </c>
      <c r="D627" s="1649"/>
      <c r="E627" s="1687"/>
      <c r="F627" s="1649"/>
      <c r="G627" s="1648">
        <f t="shared" si="100"/>
        <v>0</v>
      </c>
      <c r="H627" s="1648"/>
      <c r="I627" s="1648">
        <f t="shared" si="101"/>
        <v>0</v>
      </c>
      <c r="J627" s="1648"/>
      <c r="K627" s="1648">
        <f t="shared" si="102"/>
        <v>0</v>
      </c>
      <c r="L627" s="1648"/>
      <c r="M627" s="1648">
        <f t="shared" si="103"/>
        <v>0</v>
      </c>
      <c r="N627" s="1648">
        <f t="shared" si="104"/>
        <v>0</v>
      </c>
      <c r="O627" s="1648">
        <f t="shared" si="105"/>
        <v>0</v>
      </c>
      <c r="P627" s="1648">
        <f t="shared" si="106"/>
        <v>0</v>
      </c>
      <c r="Q627" s="1648">
        <f t="shared" si="107"/>
        <v>0</v>
      </c>
      <c r="R627" s="55">
        <f t="shared" si="108"/>
        <v>0</v>
      </c>
      <c r="S627" s="55">
        <f t="shared" si="109"/>
        <v>0</v>
      </c>
    </row>
    <row r="628" spans="1:19" ht="42.75" customHeight="1">
      <c r="A628" s="1693"/>
      <c r="B628" s="1648">
        <f t="shared" si="99"/>
        <v>4</v>
      </c>
      <c r="C628" s="1863" t="s">
        <v>5407</v>
      </c>
      <c r="D628" s="1649">
        <f>ROUND(Data!K889,2)</f>
        <v>2884.53</v>
      </c>
      <c r="E628" s="1691" t="s">
        <v>729</v>
      </c>
      <c r="F628" s="1649">
        <f>'Detail '!I2253</f>
        <v>4</v>
      </c>
      <c r="G628" s="1648">
        <f t="shared" si="100"/>
        <v>11538.12</v>
      </c>
      <c r="H628" s="1648"/>
      <c r="I628" s="1648">
        <f t="shared" si="101"/>
        <v>0</v>
      </c>
      <c r="J628" s="1648"/>
      <c r="K628" s="1648">
        <f t="shared" si="102"/>
        <v>0</v>
      </c>
      <c r="L628" s="1648"/>
      <c r="M628" s="1648">
        <f t="shared" si="103"/>
        <v>0</v>
      </c>
      <c r="N628" s="1648">
        <f t="shared" si="104"/>
        <v>0</v>
      </c>
      <c r="O628" s="1648">
        <f t="shared" si="105"/>
        <v>0</v>
      </c>
      <c r="P628" s="1648">
        <f t="shared" si="106"/>
        <v>4</v>
      </c>
      <c r="Q628" s="1648">
        <f t="shared" si="107"/>
        <v>11538.12</v>
      </c>
      <c r="R628" s="55">
        <f t="shared" si="108"/>
        <v>11538.12</v>
      </c>
      <c r="S628" s="55">
        <f t="shared" si="109"/>
        <v>0</v>
      </c>
    </row>
    <row r="629" spans="1:19" ht="42.75" hidden="1" customHeight="1">
      <c r="A629" s="1693"/>
      <c r="B629" s="1648">
        <f t="shared" si="99"/>
        <v>0</v>
      </c>
      <c r="C629" s="1863" t="s">
        <v>5623</v>
      </c>
      <c r="D629" s="1649">
        <f>Data!R864</f>
        <v>3447.43</v>
      </c>
      <c r="E629" s="1691" t="s">
        <v>729</v>
      </c>
      <c r="F629" s="1649"/>
      <c r="G629" s="1648">
        <f t="shared" si="100"/>
        <v>0</v>
      </c>
      <c r="H629" s="1648"/>
      <c r="I629" s="1648">
        <f t="shared" si="101"/>
        <v>0</v>
      </c>
      <c r="J629" s="1648"/>
      <c r="K629" s="1648">
        <f t="shared" si="102"/>
        <v>0</v>
      </c>
      <c r="L629" s="1648"/>
      <c r="M629" s="1648">
        <f t="shared" si="103"/>
        <v>0</v>
      </c>
      <c r="N629" s="1648">
        <f t="shared" si="104"/>
        <v>0</v>
      </c>
      <c r="O629" s="1648">
        <f t="shared" si="105"/>
        <v>0</v>
      </c>
      <c r="P629" s="1648">
        <f t="shared" si="106"/>
        <v>0</v>
      </c>
      <c r="Q629" s="1648">
        <f t="shared" si="107"/>
        <v>0</v>
      </c>
      <c r="R629" s="55">
        <f t="shared" si="108"/>
        <v>0</v>
      </c>
      <c r="S629" s="55">
        <f t="shared" si="109"/>
        <v>0</v>
      </c>
    </row>
    <row r="630" spans="1:19" ht="42.75" customHeight="1">
      <c r="A630" s="1693"/>
      <c r="B630" s="1648">
        <f t="shared" si="99"/>
        <v>31</v>
      </c>
      <c r="C630" s="1863" t="s">
        <v>5409</v>
      </c>
      <c r="D630" s="1649">
        <f>ROUND(Data!K871,2)</f>
        <v>2907.36</v>
      </c>
      <c r="E630" s="1691" t="s">
        <v>729</v>
      </c>
      <c r="F630" s="1654">
        <f>'Detail '!I2255</f>
        <v>31</v>
      </c>
      <c r="G630" s="1648">
        <f t="shared" si="100"/>
        <v>90128.16</v>
      </c>
      <c r="H630" s="1648"/>
      <c r="I630" s="1648">
        <f t="shared" si="101"/>
        <v>0</v>
      </c>
      <c r="J630" s="1648"/>
      <c r="K630" s="1648">
        <f t="shared" si="102"/>
        <v>0</v>
      </c>
      <c r="L630" s="1648"/>
      <c r="M630" s="1648">
        <f t="shared" si="103"/>
        <v>0</v>
      </c>
      <c r="N630" s="1648">
        <f t="shared" si="104"/>
        <v>0</v>
      </c>
      <c r="O630" s="1648">
        <f t="shared" si="105"/>
        <v>0</v>
      </c>
      <c r="P630" s="1648">
        <f t="shared" si="106"/>
        <v>31</v>
      </c>
      <c r="Q630" s="1648">
        <f t="shared" si="107"/>
        <v>90128.16</v>
      </c>
      <c r="R630" s="55">
        <f t="shared" si="108"/>
        <v>90128.16</v>
      </c>
      <c r="S630" s="55">
        <f t="shared" si="109"/>
        <v>0</v>
      </c>
    </row>
    <row r="631" spans="1:19" ht="42.75" hidden="1" customHeight="1">
      <c r="A631" s="1693"/>
      <c r="B631" s="1648">
        <f t="shared" si="99"/>
        <v>0</v>
      </c>
      <c r="C631" s="1863" t="s">
        <v>5624</v>
      </c>
      <c r="D631" s="1649">
        <f>Data!K905</f>
        <v>2845.92</v>
      </c>
      <c r="E631" s="1691" t="s">
        <v>729</v>
      </c>
      <c r="F631" s="1649"/>
      <c r="G631" s="1648">
        <f t="shared" si="100"/>
        <v>0</v>
      </c>
      <c r="H631" s="1648"/>
      <c r="I631" s="1648">
        <f t="shared" si="101"/>
        <v>0</v>
      </c>
      <c r="J631" s="1648"/>
      <c r="K631" s="1648">
        <f t="shared" si="102"/>
        <v>0</v>
      </c>
      <c r="L631" s="1648"/>
      <c r="M631" s="1648">
        <f t="shared" si="103"/>
        <v>0</v>
      </c>
      <c r="N631" s="1648">
        <f t="shared" si="104"/>
        <v>0</v>
      </c>
      <c r="O631" s="1648">
        <f t="shared" si="105"/>
        <v>0</v>
      </c>
      <c r="P631" s="1648">
        <f t="shared" si="106"/>
        <v>0</v>
      </c>
      <c r="Q631" s="1648">
        <f t="shared" si="107"/>
        <v>0</v>
      </c>
      <c r="R631" s="55">
        <f t="shared" si="108"/>
        <v>0</v>
      </c>
      <c r="S631" s="55">
        <f t="shared" si="109"/>
        <v>0</v>
      </c>
    </row>
    <row r="632" spans="1:19" ht="61.5" hidden="1" customHeight="1">
      <c r="A632" s="1688"/>
      <c r="B632" s="1648">
        <f t="shared" si="99"/>
        <v>0</v>
      </c>
      <c r="C632" s="1864" t="s">
        <v>5625</v>
      </c>
      <c r="D632" s="1649"/>
      <c r="E632" s="1687"/>
      <c r="F632" s="1649"/>
      <c r="G632" s="1648">
        <f t="shared" si="100"/>
        <v>0</v>
      </c>
      <c r="H632" s="1648"/>
      <c r="I632" s="1648">
        <f t="shared" si="101"/>
        <v>0</v>
      </c>
      <c r="J632" s="1648"/>
      <c r="K632" s="1648">
        <f t="shared" si="102"/>
        <v>0</v>
      </c>
      <c r="L632" s="1648"/>
      <c r="M632" s="1648">
        <f t="shared" si="103"/>
        <v>0</v>
      </c>
      <c r="N632" s="1648">
        <f t="shared" si="104"/>
        <v>0</v>
      </c>
      <c r="O632" s="1648">
        <f t="shared" si="105"/>
        <v>0</v>
      </c>
      <c r="P632" s="1648">
        <f t="shared" si="106"/>
        <v>0</v>
      </c>
      <c r="Q632" s="1648">
        <f t="shared" si="107"/>
        <v>0</v>
      </c>
      <c r="R632" s="55">
        <f t="shared" si="108"/>
        <v>0</v>
      </c>
      <c r="S632" s="55">
        <f t="shared" si="109"/>
        <v>0</v>
      </c>
    </row>
    <row r="633" spans="1:19" ht="60.75" hidden="1" customHeight="1">
      <c r="A633" s="1688"/>
      <c r="B633" s="1648">
        <f t="shared" si="99"/>
        <v>0</v>
      </c>
      <c r="C633" s="1863" t="s">
        <v>5416</v>
      </c>
      <c r="D633" s="1649">
        <f>Data!K1081</f>
        <v>3659.42</v>
      </c>
      <c r="E633" s="1687" t="s">
        <v>5324</v>
      </c>
      <c r="F633" s="1649"/>
      <c r="G633" s="1648">
        <f t="shared" si="100"/>
        <v>0</v>
      </c>
      <c r="H633" s="1648"/>
      <c r="I633" s="1648">
        <f t="shared" si="101"/>
        <v>0</v>
      </c>
      <c r="J633" s="1648"/>
      <c r="K633" s="1648">
        <f t="shared" si="102"/>
        <v>0</v>
      </c>
      <c r="L633" s="1648"/>
      <c r="M633" s="1648">
        <f t="shared" si="103"/>
        <v>0</v>
      </c>
      <c r="N633" s="1648">
        <f t="shared" si="104"/>
        <v>0</v>
      </c>
      <c r="O633" s="1648">
        <f t="shared" si="105"/>
        <v>0</v>
      </c>
      <c r="P633" s="1648">
        <f t="shared" si="106"/>
        <v>0</v>
      </c>
      <c r="Q633" s="1648">
        <f t="shared" si="107"/>
        <v>0</v>
      </c>
      <c r="R633" s="55">
        <f t="shared" si="108"/>
        <v>0</v>
      </c>
      <c r="S633" s="55">
        <f t="shared" si="109"/>
        <v>0</v>
      </c>
    </row>
    <row r="634" spans="1:19" ht="25.5" hidden="1" customHeight="1">
      <c r="A634" s="1688"/>
      <c r="B634" s="1648">
        <f t="shared" si="99"/>
        <v>0</v>
      </c>
      <c r="C634" s="1863" t="s">
        <v>5417</v>
      </c>
      <c r="D634" s="1649"/>
      <c r="E634" s="1687" t="s">
        <v>5324</v>
      </c>
      <c r="F634" s="1649"/>
      <c r="G634" s="1648">
        <f t="shared" si="100"/>
        <v>0</v>
      </c>
      <c r="H634" s="1648"/>
      <c r="I634" s="1648">
        <f t="shared" si="101"/>
        <v>0</v>
      </c>
      <c r="J634" s="1648"/>
      <c r="K634" s="1648">
        <f t="shared" si="102"/>
        <v>0</v>
      </c>
      <c r="L634" s="1648"/>
      <c r="M634" s="1648">
        <f t="shared" si="103"/>
        <v>0</v>
      </c>
      <c r="N634" s="1648">
        <f t="shared" si="104"/>
        <v>0</v>
      </c>
      <c r="O634" s="1648">
        <f t="shared" si="105"/>
        <v>0</v>
      </c>
      <c r="P634" s="1648">
        <f t="shared" si="106"/>
        <v>0</v>
      </c>
      <c r="Q634" s="1648">
        <f t="shared" si="107"/>
        <v>0</v>
      </c>
      <c r="R634" s="55">
        <f t="shared" si="108"/>
        <v>0</v>
      </c>
      <c r="S634" s="55">
        <f t="shared" si="109"/>
        <v>0</v>
      </c>
    </row>
    <row r="635" spans="1:19" ht="31.5" hidden="1" customHeight="1">
      <c r="A635" s="1688"/>
      <c r="B635" s="1648">
        <f t="shared" si="99"/>
        <v>0</v>
      </c>
      <c r="C635" s="1863" t="s">
        <v>5418</v>
      </c>
      <c r="D635" s="1649">
        <f>Data!K1097</f>
        <v>3858.29</v>
      </c>
      <c r="E635" s="1687" t="s">
        <v>5324</v>
      </c>
      <c r="F635" s="1649"/>
      <c r="G635" s="1648">
        <f t="shared" si="100"/>
        <v>0</v>
      </c>
      <c r="H635" s="1648"/>
      <c r="I635" s="1648">
        <f t="shared" si="101"/>
        <v>0</v>
      </c>
      <c r="J635" s="1648"/>
      <c r="K635" s="1648">
        <f t="shared" si="102"/>
        <v>0</v>
      </c>
      <c r="L635" s="1648"/>
      <c r="M635" s="1648">
        <f t="shared" si="103"/>
        <v>0</v>
      </c>
      <c r="N635" s="1648">
        <f t="shared" si="104"/>
        <v>0</v>
      </c>
      <c r="O635" s="1648">
        <f t="shared" si="105"/>
        <v>0</v>
      </c>
      <c r="P635" s="1648">
        <f t="shared" si="106"/>
        <v>0</v>
      </c>
      <c r="Q635" s="1648">
        <f t="shared" si="107"/>
        <v>0</v>
      </c>
      <c r="R635" s="55">
        <f t="shared" si="108"/>
        <v>0</v>
      </c>
      <c r="S635" s="55">
        <f t="shared" si="109"/>
        <v>0</v>
      </c>
    </row>
    <row r="636" spans="1:19" ht="42" hidden="1" customHeight="1">
      <c r="A636" s="1688"/>
      <c r="B636" s="1648">
        <f t="shared" si="99"/>
        <v>0</v>
      </c>
      <c r="C636" s="1863" t="s">
        <v>5419</v>
      </c>
      <c r="D636" s="1649">
        <f>Data!K1112</f>
        <v>2856.35</v>
      </c>
      <c r="E636" s="1687" t="s">
        <v>5324</v>
      </c>
      <c r="F636" s="1649"/>
      <c r="G636" s="1648">
        <f t="shared" si="100"/>
        <v>0</v>
      </c>
      <c r="H636" s="1648"/>
      <c r="I636" s="1648">
        <f t="shared" si="101"/>
        <v>0</v>
      </c>
      <c r="J636" s="1648"/>
      <c r="K636" s="1648">
        <f t="shared" si="102"/>
        <v>0</v>
      </c>
      <c r="L636" s="1648"/>
      <c r="M636" s="1648">
        <f t="shared" si="103"/>
        <v>0</v>
      </c>
      <c r="N636" s="1648">
        <f t="shared" si="104"/>
        <v>0</v>
      </c>
      <c r="O636" s="1648">
        <f t="shared" si="105"/>
        <v>0</v>
      </c>
      <c r="P636" s="1648">
        <f t="shared" si="106"/>
        <v>0</v>
      </c>
      <c r="Q636" s="1648">
        <f t="shared" si="107"/>
        <v>0</v>
      </c>
      <c r="R636" s="55">
        <f t="shared" si="108"/>
        <v>0</v>
      </c>
      <c r="S636" s="55">
        <f t="shared" si="109"/>
        <v>0</v>
      </c>
    </row>
    <row r="637" spans="1:19" ht="38.25" hidden="1" customHeight="1">
      <c r="A637" s="1688"/>
      <c r="B637" s="1648">
        <f t="shared" si="99"/>
        <v>0</v>
      </c>
      <c r="C637" s="1863" t="s">
        <v>5626</v>
      </c>
      <c r="D637" s="1649">
        <v>2203.2800000000002</v>
      </c>
      <c r="E637" s="1687" t="s">
        <v>5324</v>
      </c>
      <c r="F637" s="1649"/>
      <c r="G637" s="1648">
        <f t="shared" si="100"/>
        <v>0</v>
      </c>
      <c r="H637" s="1648"/>
      <c r="I637" s="1648">
        <f t="shared" si="101"/>
        <v>0</v>
      </c>
      <c r="J637" s="1648"/>
      <c r="K637" s="1648">
        <f t="shared" si="102"/>
        <v>0</v>
      </c>
      <c r="L637" s="1648"/>
      <c r="M637" s="1648">
        <f t="shared" si="103"/>
        <v>0</v>
      </c>
      <c r="N637" s="1648">
        <f t="shared" si="104"/>
        <v>0</v>
      </c>
      <c r="O637" s="1648">
        <f t="shared" si="105"/>
        <v>0</v>
      </c>
      <c r="P637" s="1648">
        <f t="shared" si="106"/>
        <v>0</v>
      </c>
      <c r="Q637" s="1648">
        <f t="shared" si="107"/>
        <v>0</v>
      </c>
      <c r="R637" s="55">
        <f t="shared" si="108"/>
        <v>0</v>
      </c>
      <c r="S637" s="55">
        <f t="shared" si="109"/>
        <v>0</v>
      </c>
    </row>
    <row r="638" spans="1:19" ht="62.25" hidden="1" customHeight="1">
      <c r="A638" s="1854" t="s">
        <v>5627</v>
      </c>
      <c r="B638" s="1648">
        <f t="shared" si="99"/>
        <v>0</v>
      </c>
      <c r="C638" s="1863" t="s">
        <v>5628</v>
      </c>
      <c r="D638" s="1649">
        <f>Data!K2877</f>
        <v>2208.35</v>
      </c>
      <c r="E638" s="1687" t="s">
        <v>724</v>
      </c>
      <c r="F638" s="1649"/>
      <c r="G638" s="1648">
        <f t="shared" si="100"/>
        <v>0</v>
      </c>
      <c r="H638" s="1648"/>
      <c r="I638" s="1648">
        <f t="shared" si="101"/>
        <v>0</v>
      </c>
      <c r="J638" s="1648"/>
      <c r="K638" s="1648">
        <f t="shared" si="102"/>
        <v>0</v>
      </c>
      <c r="L638" s="1648"/>
      <c r="M638" s="1648">
        <f t="shared" si="103"/>
        <v>0</v>
      </c>
      <c r="N638" s="1648">
        <f t="shared" si="104"/>
        <v>0</v>
      </c>
      <c r="O638" s="1648">
        <f t="shared" si="105"/>
        <v>0</v>
      </c>
      <c r="P638" s="1648">
        <f t="shared" si="106"/>
        <v>0</v>
      </c>
      <c r="Q638" s="1648">
        <f t="shared" si="107"/>
        <v>0</v>
      </c>
      <c r="R638" s="55">
        <f t="shared" si="108"/>
        <v>0</v>
      </c>
      <c r="S638" s="55">
        <f t="shared" si="109"/>
        <v>0</v>
      </c>
    </row>
    <row r="639" spans="1:19" ht="110.25" customHeight="1">
      <c r="A639" s="1854"/>
      <c r="B639" s="1648">
        <f t="shared" si="99"/>
        <v>138.6</v>
      </c>
      <c r="C639" s="1863" t="s">
        <v>5629</v>
      </c>
      <c r="D639" s="1649">
        <f>ROUND(Data!K3114,2)</f>
        <v>4319.62</v>
      </c>
      <c r="E639" s="1687" t="s">
        <v>724</v>
      </c>
      <c r="F639" s="1649">
        <f>'Detail '!I2288</f>
        <v>138.6</v>
      </c>
      <c r="G639" s="1648">
        <f t="shared" si="100"/>
        <v>598699.32999999996</v>
      </c>
      <c r="H639" s="1648"/>
      <c r="I639" s="1648">
        <f t="shared" si="101"/>
        <v>0</v>
      </c>
      <c r="J639" s="1648"/>
      <c r="K639" s="1648">
        <f t="shared" si="102"/>
        <v>0</v>
      </c>
      <c r="L639" s="1648"/>
      <c r="M639" s="1648">
        <f t="shared" si="103"/>
        <v>0</v>
      </c>
      <c r="N639" s="1648">
        <f t="shared" si="104"/>
        <v>0</v>
      </c>
      <c r="O639" s="1648">
        <f t="shared" si="105"/>
        <v>0</v>
      </c>
      <c r="P639" s="1648">
        <f t="shared" si="106"/>
        <v>138.6</v>
      </c>
      <c r="Q639" s="1648">
        <f t="shared" si="107"/>
        <v>598699.32999999996</v>
      </c>
      <c r="R639" s="55">
        <f t="shared" si="108"/>
        <v>598699.32999999996</v>
      </c>
      <c r="S639" s="55">
        <f t="shared" si="109"/>
        <v>0</v>
      </c>
    </row>
    <row r="640" spans="1:19" s="1645" customFormat="1" ht="93">
      <c r="A640" s="1854"/>
      <c r="B640" s="1648">
        <f t="shared" si="99"/>
        <v>50.4</v>
      </c>
      <c r="C640" s="1863" t="s">
        <v>5630</v>
      </c>
      <c r="D640" s="1654">
        <v>7344.1</v>
      </c>
      <c r="E640" s="1687" t="s">
        <v>724</v>
      </c>
      <c r="F640" s="1649">
        <f>'Detail '!I2290</f>
        <v>50.4</v>
      </c>
      <c r="G640" s="1648">
        <f t="shared" si="100"/>
        <v>370142.64</v>
      </c>
      <c r="H640" s="1648"/>
      <c r="I640" s="1648">
        <f t="shared" si="101"/>
        <v>0</v>
      </c>
      <c r="J640" s="1648"/>
      <c r="K640" s="1648">
        <f t="shared" si="102"/>
        <v>0</v>
      </c>
      <c r="L640" s="1648"/>
      <c r="M640" s="1648">
        <f t="shared" si="103"/>
        <v>0</v>
      </c>
      <c r="N640" s="1648">
        <f t="shared" si="104"/>
        <v>0</v>
      </c>
      <c r="O640" s="1648">
        <f t="shared" si="105"/>
        <v>0</v>
      </c>
      <c r="P640" s="1648">
        <f t="shared" si="106"/>
        <v>50.4</v>
      </c>
      <c r="Q640" s="1648">
        <f t="shared" si="107"/>
        <v>370142.64</v>
      </c>
      <c r="R640" s="55">
        <f t="shared" si="108"/>
        <v>370142.64</v>
      </c>
      <c r="S640" s="55">
        <f t="shared" si="109"/>
        <v>0</v>
      </c>
    </row>
    <row r="641" spans="1:19" ht="72" hidden="1" customHeight="1">
      <c r="A641" s="1854">
        <v>22.8</v>
      </c>
      <c r="B641" s="1648">
        <f t="shared" si="99"/>
        <v>0</v>
      </c>
      <c r="C641" s="1863" t="s">
        <v>5631</v>
      </c>
      <c r="D641" s="1649"/>
      <c r="E641" s="1687"/>
      <c r="F641" s="1649"/>
      <c r="G641" s="1648">
        <f t="shared" si="100"/>
        <v>0</v>
      </c>
      <c r="H641" s="1648"/>
      <c r="I641" s="1648">
        <f t="shared" si="101"/>
        <v>0</v>
      </c>
      <c r="J641" s="1648"/>
      <c r="K641" s="1648">
        <f t="shared" si="102"/>
        <v>0</v>
      </c>
      <c r="L641" s="1648"/>
      <c r="M641" s="1648">
        <f t="shared" si="103"/>
        <v>0</v>
      </c>
      <c r="N641" s="1648">
        <f t="shared" si="104"/>
        <v>0</v>
      </c>
      <c r="O641" s="1648">
        <f t="shared" si="105"/>
        <v>0</v>
      </c>
      <c r="P641" s="1648">
        <f t="shared" si="106"/>
        <v>0</v>
      </c>
      <c r="Q641" s="1648">
        <f t="shared" si="107"/>
        <v>0</v>
      </c>
      <c r="R641" s="55">
        <f t="shared" si="108"/>
        <v>0</v>
      </c>
      <c r="S641" s="55">
        <f t="shared" si="109"/>
        <v>0</v>
      </c>
    </row>
    <row r="642" spans="1:19" ht="35.1" hidden="1" customHeight="1">
      <c r="A642" s="1854"/>
      <c r="B642" s="1648">
        <f t="shared" si="99"/>
        <v>0</v>
      </c>
      <c r="C642" s="1863" t="s">
        <v>5632</v>
      </c>
      <c r="D642" s="1649">
        <f>ROUND(Data!K2845,2)</f>
        <v>2816.03</v>
      </c>
      <c r="E642" s="1687" t="s">
        <v>724</v>
      </c>
      <c r="F642" s="1649"/>
      <c r="G642" s="1648">
        <f t="shared" si="100"/>
        <v>0</v>
      </c>
      <c r="H642" s="1648"/>
      <c r="I642" s="1648">
        <f t="shared" si="101"/>
        <v>0</v>
      </c>
      <c r="J642" s="1648"/>
      <c r="K642" s="1648">
        <f t="shared" si="102"/>
        <v>0</v>
      </c>
      <c r="L642" s="1648"/>
      <c r="M642" s="1648">
        <f t="shared" si="103"/>
        <v>0</v>
      </c>
      <c r="N642" s="1648">
        <f t="shared" si="104"/>
        <v>0</v>
      </c>
      <c r="O642" s="1648">
        <f t="shared" si="105"/>
        <v>0</v>
      </c>
      <c r="P642" s="1648">
        <f t="shared" si="106"/>
        <v>0</v>
      </c>
      <c r="Q642" s="1648">
        <f t="shared" si="107"/>
        <v>0</v>
      </c>
      <c r="R642" s="55">
        <f t="shared" si="108"/>
        <v>0</v>
      </c>
      <c r="S642" s="55">
        <f t="shared" si="109"/>
        <v>0</v>
      </c>
    </row>
    <row r="643" spans="1:19" ht="35.1" hidden="1" customHeight="1">
      <c r="A643" s="1854"/>
      <c r="B643" s="1648">
        <f t="shared" si="99"/>
        <v>0</v>
      </c>
      <c r="C643" s="1863" t="s">
        <v>5633</v>
      </c>
      <c r="D643" s="1649">
        <f>ROUND(Data!K2981,2)</f>
        <v>2861.95</v>
      </c>
      <c r="E643" s="1687" t="s">
        <v>724</v>
      </c>
      <c r="F643" s="1649"/>
      <c r="G643" s="1648">
        <f t="shared" si="100"/>
        <v>0</v>
      </c>
      <c r="H643" s="1648"/>
      <c r="I643" s="1648">
        <f t="shared" si="101"/>
        <v>0</v>
      </c>
      <c r="J643" s="1648"/>
      <c r="K643" s="1648">
        <f t="shared" si="102"/>
        <v>0</v>
      </c>
      <c r="L643" s="1648"/>
      <c r="M643" s="1648">
        <f t="shared" si="103"/>
        <v>0</v>
      </c>
      <c r="N643" s="1648">
        <f t="shared" si="104"/>
        <v>0</v>
      </c>
      <c r="O643" s="1648">
        <f t="shared" si="105"/>
        <v>0</v>
      </c>
      <c r="P643" s="1648">
        <f t="shared" si="106"/>
        <v>0</v>
      </c>
      <c r="Q643" s="1648">
        <f t="shared" si="107"/>
        <v>0</v>
      </c>
      <c r="R643" s="55">
        <f t="shared" si="108"/>
        <v>0</v>
      </c>
      <c r="S643" s="55">
        <f t="shared" si="109"/>
        <v>0</v>
      </c>
    </row>
    <row r="644" spans="1:19" ht="28.5" hidden="1" customHeight="1">
      <c r="A644" s="1688"/>
      <c r="B644" s="1648">
        <f t="shared" si="99"/>
        <v>0</v>
      </c>
      <c r="C644" s="1863" t="s">
        <v>5634</v>
      </c>
      <c r="D644" s="1649"/>
      <c r="E644" s="1687" t="s">
        <v>724</v>
      </c>
      <c r="F644" s="1649"/>
      <c r="G644" s="1648">
        <f t="shared" si="100"/>
        <v>0</v>
      </c>
      <c r="H644" s="1648"/>
      <c r="I644" s="1648">
        <f t="shared" si="101"/>
        <v>0</v>
      </c>
      <c r="J644" s="1648"/>
      <c r="K644" s="1648">
        <f t="shared" si="102"/>
        <v>0</v>
      </c>
      <c r="L644" s="1648"/>
      <c r="M644" s="1648">
        <f t="shared" si="103"/>
        <v>0</v>
      </c>
      <c r="N644" s="1648">
        <f t="shared" si="104"/>
        <v>0</v>
      </c>
      <c r="O644" s="1648">
        <f t="shared" si="105"/>
        <v>0</v>
      </c>
      <c r="P644" s="1648">
        <f t="shared" si="106"/>
        <v>0</v>
      </c>
      <c r="Q644" s="1648">
        <f t="shared" si="107"/>
        <v>0</v>
      </c>
      <c r="R644" s="55">
        <f t="shared" si="108"/>
        <v>0</v>
      </c>
      <c r="S644" s="55">
        <f t="shared" si="109"/>
        <v>0</v>
      </c>
    </row>
    <row r="645" spans="1:19" ht="58.5" hidden="1" customHeight="1">
      <c r="A645" s="1691"/>
      <c r="B645" s="1648">
        <f t="shared" si="99"/>
        <v>0</v>
      </c>
      <c r="C645" s="1864" t="s">
        <v>5635</v>
      </c>
      <c r="D645" s="1649"/>
      <c r="E645" s="1687"/>
      <c r="F645" s="1649"/>
      <c r="G645" s="1648">
        <f t="shared" si="100"/>
        <v>0</v>
      </c>
      <c r="H645" s="1648"/>
      <c r="I645" s="1648">
        <f t="shared" si="101"/>
        <v>0</v>
      </c>
      <c r="J645" s="1648"/>
      <c r="K645" s="1648">
        <f t="shared" si="102"/>
        <v>0</v>
      </c>
      <c r="L645" s="1648"/>
      <c r="M645" s="1648">
        <f t="shared" si="103"/>
        <v>0</v>
      </c>
      <c r="N645" s="1648">
        <f t="shared" si="104"/>
        <v>0</v>
      </c>
      <c r="O645" s="1648">
        <f t="shared" si="105"/>
        <v>0</v>
      </c>
      <c r="P645" s="1648">
        <f t="shared" si="106"/>
        <v>0</v>
      </c>
      <c r="Q645" s="1648">
        <f t="shared" si="107"/>
        <v>0</v>
      </c>
      <c r="R645" s="55">
        <f t="shared" si="108"/>
        <v>0</v>
      </c>
      <c r="S645" s="55">
        <f t="shared" si="109"/>
        <v>0</v>
      </c>
    </row>
    <row r="646" spans="1:19" ht="49.5" hidden="1" customHeight="1">
      <c r="A646" s="1691"/>
      <c r="B646" s="1648">
        <f t="shared" ref="B646:B709" si="110">P646</f>
        <v>0</v>
      </c>
      <c r="C646" s="1863" t="s">
        <v>5636</v>
      </c>
      <c r="D646" s="1649">
        <f>ROUND(Data!K2827,2)</f>
        <v>6752.88</v>
      </c>
      <c r="E646" s="1687" t="s">
        <v>724</v>
      </c>
      <c r="F646" s="1649"/>
      <c r="G646" s="1648">
        <f t="shared" ref="G646:G709" si="111">F646*D646</f>
        <v>0</v>
      </c>
      <c r="H646" s="1648"/>
      <c r="I646" s="1648">
        <f t="shared" ref="I646:I709" si="112">H646*D646</f>
        <v>0</v>
      </c>
      <c r="J646" s="1648"/>
      <c r="K646" s="1648">
        <f t="shared" ref="K646:K709" si="113">J646*D646</f>
        <v>0</v>
      </c>
      <c r="L646" s="1648"/>
      <c r="M646" s="1648">
        <f t="shared" ref="M646:M709" si="114">L646*D646</f>
        <v>0</v>
      </c>
      <c r="N646" s="1648">
        <f t="shared" ref="N646:N709" si="115">H646+J646+L646</f>
        <v>0</v>
      </c>
      <c r="O646" s="1648">
        <f t="shared" ref="O646:O709" si="116">N646*D646</f>
        <v>0</v>
      </c>
      <c r="P646" s="1648">
        <f t="shared" ref="P646:P709" si="117">N646+F646</f>
        <v>0</v>
      </c>
      <c r="Q646" s="1648">
        <f t="shared" ref="Q646:Q709" si="118">P646*D646</f>
        <v>0</v>
      </c>
      <c r="R646" s="55">
        <f t="shared" ref="R646:R709" si="119">G646+I646+K646+M646</f>
        <v>0</v>
      </c>
      <c r="S646" s="55">
        <f t="shared" ref="S646:S709" si="120">Q646-R646</f>
        <v>0</v>
      </c>
    </row>
    <row r="647" spans="1:19" ht="38.25" hidden="1" customHeight="1">
      <c r="A647" s="1688"/>
      <c r="B647" s="1648">
        <f t="shared" si="110"/>
        <v>0</v>
      </c>
      <c r="C647" s="1863" t="s">
        <v>5637</v>
      </c>
      <c r="D647" s="1649"/>
      <c r="E647" s="1687"/>
      <c r="F647" s="1649"/>
      <c r="G647" s="1648">
        <f t="shared" si="111"/>
        <v>0</v>
      </c>
      <c r="H647" s="1648"/>
      <c r="I647" s="1648">
        <f t="shared" si="112"/>
        <v>0</v>
      </c>
      <c r="J647" s="1648"/>
      <c r="K647" s="1648">
        <f t="shared" si="113"/>
        <v>0</v>
      </c>
      <c r="L647" s="1648"/>
      <c r="M647" s="1648">
        <f t="shared" si="114"/>
        <v>0</v>
      </c>
      <c r="N647" s="1648">
        <f t="shared" si="115"/>
        <v>0</v>
      </c>
      <c r="O647" s="1648">
        <f t="shared" si="116"/>
        <v>0</v>
      </c>
      <c r="P647" s="1648">
        <f t="shared" si="117"/>
        <v>0</v>
      </c>
      <c r="Q647" s="1648">
        <f t="shared" si="118"/>
        <v>0</v>
      </c>
      <c r="R647" s="55">
        <f t="shared" si="119"/>
        <v>0</v>
      </c>
      <c r="S647" s="55">
        <f t="shared" si="120"/>
        <v>0</v>
      </c>
    </row>
    <row r="648" spans="1:19" ht="51" hidden="1" customHeight="1">
      <c r="A648" s="1688"/>
      <c r="B648" s="1648">
        <f t="shared" si="110"/>
        <v>0</v>
      </c>
      <c r="C648" s="1863" t="s">
        <v>5638</v>
      </c>
      <c r="D648" s="1649">
        <f>Data!R2867</f>
        <v>4965.8</v>
      </c>
      <c r="E648" s="1687" t="s">
        <v>724</v>
      </c>
      <c r="F648" s="1649"/>
      <c r="G648" s="1648">
        <f t="shared" si="111"/>
        <v>0</v>
      </c>
      <c r="H648" s="1648"/>
      <c r="I648" s="1648">
        <f t="shared" si="112"/>
        <v>0</v>
      </c>
      <c r="J648" s="1648"/>
      <c r="K648" s="1648">
        <f t="shared" si="113"/>
        <v>0</v>
      </c>
      <c r="L648" s="1648"/>
      <c r="M648" s="1648">
        <f t="shared" si="114"/>
        <v>0</v>
      </c>
      <c r="N648" s="1648">
        <f t="shared" si="115"/>
        <v>0</v>
      </c>
      <c r="O648" s="1648">
        <f t="shared" si="116"/>
        <v>0</v>
      </c>
      <c r="P648" s="1648">
        <f t="shared" si="117"/>
        <v>0</v>
      </c>
      <c r="Q648" s="1648">
        <f t="shared" si="118"/>
        <v>0</v>
      </c>
      <c r="R648" s="55">
        <f t="shared" si="119"/>
        <v>0</v>
      </c>
      <c r="S648" s="55">
        <f t="shared" si="120"/>
        <v>0</v>
      </c>
    </row>
    <row r="649" spans="1:19" ht="51" hidden="1" customHeight="1">
      <c r="A649" s="1688"/>
      <c r="B649" s="1648">
        <f t="shared" si="110"/>
        <v>0</v>
      </c>
      <c r="C649" s="1863" t="s">
        <v>5639</v>
      </c>
      <c r="D649" s="1649">
        <f>Data!R2834</f>
        <v>5257.76</v>
      </c>
      <c r="E649" s="1687" t="s">
        <v>724</v>
      </c>
      <c r="F649" s="1649"/>
      <c r="G649" s="1648">
        <f t="shared" si="111"/>
        <v>0</v>
      </c>
      <c r="H649" s="1648"/>
      <c r="I649" s="1648">
        <f t="shared" si="112"/>
        <v>0</v>
      </c>
      <c r="J649" s="1648"/>
      <c r="K649" s="1648">
        <f t="shared" si="113"/>
        <v>0</v>
      </c>
      <c r="L649" s="1648"/>
      <c r="M649" s="1648">
        <f t="shared" si="114"/>
        <v>0</v>
      </c>
      <c r="N649" s="1648">
        <f t="shared" si="115"/>
        <v>0</v>
      </c>
      <c r="O649" s="1648">
        <f t="shared" si="116"/>
        <v>0</v>
      </c>
      <c r="P649" s="1648">
        <f t="shared" si="117"/>
        <v>0</v>
      </c>
      <c r="Q649" s="1648">
        <f t="shared" si="118"/>
        <v>0</v>
      </c>
      <c r="R649" s="55">
        <f t="shared" si="119"/>
        <v>0</v>
      </c>
      <c r="S649" s="55">
        <f t="shared" si="120"/>
        <v>0</v>
      </c>
    </row>
    <row r="650" spans="1:19" ht="46.5" hidden="1" customHeight="1">
      <c r="A650" s="1688"/>
      <c r="B650" s="1648">
        <f t="shared" si="110"/>
        <v>0</v>
      </c>
      <c r="C650" s="1863" t="s">
        <v>5640</v>
      </c>
      <c r="D650" s="1649">
        <f>Data!K964</f>
        <v>5096.5600000000004</v>
      </c>
      <c r="E650" s="1687" t="s">
        <v>724</v>
      </c>
      <c r="F650" s="1649"/>
      <c r="G650" s="1648">
        <f t="shared" si="111"/>
        <v>0</v>
      </c>
      <c r="H650" s="1648"/>
      <c r="I650" s="1648">
        <f t="shared" si="112"/>
        <v>0</v>
      </c>
      <c r="J650" s="1648"/>
      <c r="K650" s="1648">
        <f t="shared" si="113"/>
        <v>0</v>
      </c>
      <c r="L650" s="1648"/>
      <c r="M650" s="1648">
        <f t="shared" si="114"/>
        <v>0</v>
      </c>
      <c r="N650" s="1648">
        <f t="shared" si="115"/>
        <v>0</v>
      </c>
      <c r="O650" s="1648">
        <f t="shared" si="116"/>
        <v>0</v>
      </c>
      <c r="P650" s="1648">
        <f t="shared" si="117"/>
        <v>0</v>
      </c>
      <c r="Q650" s="1648">
        <f t="shared" si="118"/>
        <v>0</v>
      </c>
      <c r="R650" s="55">
        <f t="shared" si="119"/>
        <v>0</v>
      </c>
      <c r="S650" s="55">
        <f t="shared" si="120"/>
        <v>0</v>
      </c>
    </row>
    <row r="651" spans="1:19" ht="46.5" hidden="1" customHeight="1">
      <c r="A651" s="1688"/>
      <c r="B651" s="1648">
        <f t="shared" si="110"/>
        <v>0</v>
      </c>
      <c r="C651" s="1863" t="s">
        <v>5641</v>
      </c>
      <c r="D651" s="1649">
        <f>Data!K1000</f>
        <v>5112.2700000000004</v>
      </c>
      <c r="E651" s="1687" t="s">
        <v>724</v>
      </c>
      <c r="F651" s="1649"/>
      <c r="G651" s="1648">
        <f t="shared" si="111"/>
        <v>0</v>
      </c>
      <c r="H651" s="1648"/>
      <c r="I651" s="1648">
        <f t="shared" si="112"/>
        <v>0</v>
      </c>
      <c r="J651" s="1648"/>
      <c r="K651" s="1648">
        <f t="shared" si="113"/>
        <v>0</v>
      </c>
      <c r="L651" s="1648"/>
      <c r="M651" s="1648">
        <f t="shared" si="114"/>
        <v>0</v>
      </c>
      <c r="N651" s="1648">
        <f t="shared" si="115"/>
        <v>0</v>
      </c>
      <c r="O651" s="1648">
        <f t="shared" si="116"/>
        <v>0</v>
      </c>
      <c r="P651" s="1648">
        <f t="shared" si="117"/>
        <v>0</v>
      </c>
      <c r="Q651" s="1648">
        <f t="shared" si="118"/>
        <v>0</v>
      </c>
      <c r="R651" s="55">
        <f t="shared" si="119"/>
        <v>0</v>
      </c>
      <c r="S651" s="55">
        <f t="shared" si="120"/>
        <v>0</v>
      </c>
    </row>
    <row r="652" spans="1:19" ht="46.5" hidden="1" customHeight="1">
      <c r="A652" s="1688"/>
      <c r="B652" s="1648">
        <f t="shared" si="110"/>
        <v>0</v>
      </c>
      <c r="C652" s="1864" t="s">
        <v>5642</v>
      </c>
      <c r="D652" s="1649"/>
      <c r="E652" s="1687"/>
      <c r="F652" s="1649"/>
      <c r="G652" s="1648">
        <f t="shared" si="111"/>
        <v>0</v>
      </c>
      <c r="H652" s="1648"/>
      <c r="I652" s="1648">
        <f t="shared" si="112"/>
        <v>0</v>
      </c>
      <c r="J652" s="1648"/>
      <c r="K652" s="1648">
        <f t="shared" si="113"/>
        <v>0</v>
      </c>
      <c r="L652" s="1648"/>
      <c r="M652" s="1648">
        <f t="shared" si="114"/>
        <v>0</v>
      </c>
      <c r="N652" s="1648">
        <f t="shared" si="115"/>
        <v>0</v>
      </c>
      <c r="O652" s="1648">
        <f t="shared" si="116"/>
        <v>0</v>
      </c>
      <c r="P652" s="1648">
        <f t="shared" si="117"/>
        <v>0</v>
      </c>
      <c r="Q652" s="1648">
        <f t="shared" si="118"/>
        <v>0</v>
      </c>
      <c r="R652" s="55">
        <f t="shared" si="119"/>
        <v>0</v>
      </c>
      <c r="S652" s="55">
        <f t="shared" si="120"/>
        <v>0</v>
      </c>
    </row>
    <row r="653" spans="1:19" ht="60.75" hidden="1" customHeight="1">
      <c r="A653" s="1688"/>
      <c r="B653" s="1648">
        <f t="shared" si="110"/>
        <v>0</v>
      </c>
      <c r="C653" s="1863" t="s">
        <v>5643</v>
      </c>
      <c r="D653" s="1649">
        <f>Data!K3434</f>
        <v>5331.63</v>
      </c>
      <c r="E653" s="1687" t="s">
        <v>724</v>
      </c>
      <c r="F653" s="1649"/>
      <c r="G653" s="1648">
        <f t="shared" si="111"/>
        <v>0</v>
      </c>
      <c r="H653" s="1648"/>
      <c r="I653" s="1648">
        <f t="shared" si="112"/>
        <v>0</v>
      </c>
      <c r="J653" s="1648"/>
      <c r="K653" s="1648">
        <f t="shared" si="113"/>
        <v>0</v>
      </c>
      <c r="L653" s="1648"/>
      <c r="M653" s="1648">
        <f t="shared" si="114"/>
        <v>0</v>
      </c>
      <c r="N653" s="1648">
        <f t="shared" si="115"/>
        <v>0</v>
      </c>
      <c r="O653" s="1648">
        <f t="shared" si="116"/>
        <v>0</v>
      </c>
      <c r="P653" s="1648">
        <f t="shared" si="117"/>
        <v>0</v>
      </c>
      <c r="Q653" s="1648">
        <f t="shared" si="118"/>
        <v>0</v>
      </c>
      <c r="R653" s="55">
        <f t="shared" si="119"/>
        <v>0</v>
      </c>
      <c r="S653" s="55">
        <f t="shared" si="120"/>
        <v>0</v>
      </c>
    </row>
    <row r="654" spans="1:19" ht="75.75" hidden="1" customHeight="1">
      <c r="A654" s="1688"/>
      <c r="B654" s="1648">
        <f t="shared" si="110"/>
        <v>0</v>
      </c>
      <c r="C654" s="1866" t="s">
        <v>5644</v>
      </c>
      <c r="D654" s="1649">
        <f>Data!AG2629</f>
        <v>5937.12</v>
      </c>
      <c r="E654" s="1687" t="s">
        <v>724</v>
      </c>
      <c r="F654" s="1649"/>
      <c r="G654" s="1648">
        <f t="shared" si="111"/>
        <v>0</v>
      </c>
      <c r="H654" s="1648"/>
      <c r="I654" s="1648">
        <f t="shared" si="112"/>
        <v>0</v>
      </c>
      <c r="J654" s="1648"/>
      <c r="K654" s="1648">
        <f t="shared" si="113"/>
        <v>0</v>
      </c>
      <c r="L654" s="1648"/>
      <c r="M654" s="1648">
        <f t="shared" si="114"/>
        <v>0</v>
      </c>
      <c r="N654" s="1648">
        <f t="shared" si="115"/>
        <v>0</v>
      </c>
      <c r="O654" s="1648">
        <f t="shared" si="116"/>
        <v>0</v>
      </c>
      <c r="P654" s="1648">
        <f t="shared" si="117"/>
        <v>0</v>
      </c>
      <c r="Q654" s="1648">
        <f t="shared" si="118"/>
        <v>0</v>
      </c>
      <c r="R654" s="55">
        <f t="shared" si="119"/>
        <v>0</v>
      </c>
      <c r="S654" s="55">
        <f t="shared" si="120"/>
        <v>0</v>
      </c>
    </row>
    <row r="655" spans="1:19" ht="66.75" hidden="1" customHeight="1">
      <c r="A655" s="1688"/>
      <c r="B655" s="1648">
        <f t="shared" si="110"/>
        <v>0</v>
      </c>
      <c r="C655" s="1863" t="s">
        <v>5645</v>
      </c>
      <c r="D655" s="1649">
        <v>8756.6299999999992</v>
      </c>
      <c r="E655" s="1691" t="s">
        <v>724</v>
      </c>
      <c r="F655" s="1649"/>
      <c r="G655" s="1648">
        <f t="shared" si="111"/>
        <v>0</v>
      </c>
      <c r="H655" s="1648"/>
      <c r="I655" s="1648">
        <f t="shared" si="112"/>
        <v>0</v>
      </c>
      <c r="J655" s="1648"/>
      <c r="K655" s="1648">
        <f t="shared" si="113"/>
        <v>0</v>
      </c>
      <c r="L655" s="1648"/>
      <c r="M655" s="1648">
        <f t="shared" si="114"/>
        <v>0</v>
      </c>
      <c r="N655" s="1648">
        <f t="shared" si="115"/>
        <v>0</v>
      </c>
      <c r="O655" s="1648">
        <f t="shared" si="116"/>
        <v>0</v>
      </c>
      <c r="P655" s="1648">
        <f t="shared" si="117"/>
        <v>0</v>
      </c>
      <c r="Q655" s="1648">
        <f t="shared" si="118"/>
        <v>0</v>
      </c>
      <c r="R655" s="55">
        <f t="shared" si="119"/>
        <v>0</v>
      </c>
      <c r="S655" s="55">
        <f t="shared" si="120"/>
        <v>0</v>
      </c>
    </row>
    <row r="656" spans="1:19" ht="59.25" hidden="1" customHeight="1">
      <c r="A656" s="1688"/>
      <c r="B656" s="1648">
        <f t="shared" si="110"/>
        <v>0</v>
      </c>
      <c r="C656" s="1863" t="s">
        <v>5646</v>
      </c>
      <c r="D656" s="1649">
        <f>Data!R3203</f>
        <v>6286.31</v>
      </c>
      <c r="E656" s="1687" t="s">
        <v>724</v>
      </c>
      <c r="F656" s="1649"/>
      <c r="G656" s="1648">
        <f t="shared" si="111"/>
        <v>0</v>
      </c>
      <c r="H656" s="1648"/>
      <c r="I656" s="1648">
        <f t="shared" si="112"/>
        <v>0</v>
      </c>
      <c r="J656" s="1648"/>
      <c r="K656" s="1648">
        <f t="shared" si="113"/>
        <v>0</v>
      </c>
      <c r="L656" s="1648"/>
      <c r="M656" s="1648">
        <f t="shared" si="114"/>
        <v>0</v>
      </c>
      <c r="N656" s="1648">
        <f t="shared" si="115"/>
        <v>0</v>
      </c>
      <c r="O656" s="1648">
        <f t="shared" si="116"/>
        <v>0</v>
      </c>
      <c r="P656" s="1648">
        <f t="shared" si="117"/>
        <v>0</v>
      </c>
      <c r="Q656" s="1648">
        <f t="shared" si="118"/>
        <v>0</v>
      </c>
      <c r="R656" s="55">
        <f t="shared" si="119"/>
        <v>0</v>
      </c>
      <c r="S656" s="55">
        <f t="shared" si="120"/>
        <v>0</v>
      </c>
    </row>
    <row r="657" spans="1:19" ht="59.25" hidden="1" customHeight="1">
      <c r="A657" s="1688"/>
      <c r="B657" s="1648">
        <f t="shared" si="110"/>
        <v>0</v>
      </c>
      <c r="C657" s="1863" t="s">
        <v>5647</v>
      </c>
      <c r="D657" s="1649">
        <f>Data!R3203</f>
        <v>6286.31</v>
      </c>
      <c r="E657" s="1687" t="s">
        <v>724</v>
      </c>
      <c r="F657" s="1649"/>
      <c r="G657" s="1648">
        <f t="shared" si="111"/>
        <v>0</v>
      </c>
      <c r="H657" s="1648"/>
      <c r="I657" s="1648">
        <f t="shared" si="112"/>
        <v>0</v>
      </c>
      <c r="J657" s="1648"/>
      <c r="K657" s="1648">
        <f t="shared" si="113"/>
        <v>0</v>
      </c>
      <c r="L657" s="1648"/>
      <c r="M657" s="1648">
        <f t="shared" si="114"/>
        <v>0</v>
      </c>
      <c r="N657" s="1648">
        <f t="shared" si="115"/>
        <v>0</v>
      </c>
      <c r="O657" s="1648">
        <f t="shared" si="116"/>
        <v>0</v>
      </c>
      <c r="P657" s="1648">
        <f t="shared" si="117"/>
        <v>0</v>
      </c>
      <c r="Q657" s="1648">
        <f t="shared" si="118"/>
        <v>0</v>
      </c>
      <c r="R657" s="55">
        <f t="shared" si="119"/>
        <v>0</v>
      </c>
      <c r="S657" s="55">
        <f t="shared" si="120"/>
        <v>0</v>
      </c>
    </row>
    <row r="658" spans="1:19" ht="64.5" hidden="1" customHeight="1">
      <c r="A658" s="1688"/>
      <c r="B658" s="1648">
        <f t="shared" si="110"/>
        <v>0</v>
      </c>
      <c r="C658" s="1866" t="s">
        <v>5648</v>
      </c>
      <c r="D658" s="1649">
        <f>Data!R2654</f>
        <v>7218.85</v>
      </c>
      <c r="E658" s="1687" t="s">
        <v>724</v>
      </c>
      <c r="F658" s="1649"/>
      <c r="G658" s="1648">
        <f t="shared" si="111"/>
        <v>0</v>
      </c>
      <c r="H658" s="1648"/>
      <c r="I658" s="1648">
        <f t="shared" si="112"/>
        <v>0</v>
      </c>
      <c r="J658" s="1648"/>
      <c r="K658" s="1648">
        <f t="shared" si="113"/>
        <v>0</v>
      </c>
      <c r="L658" s="1648"/>
      <c r="M658" s="1648">
        <f t="shared" si="114"/>
        <v>0</v>
      </c>
      <c r="N658" s="1648">
        <f t="shared" si="115"/>
        <v>0</v>
      </c>
      <c r="O658" s="1648">
        <f t="shared" si="116"/>
        <v>0</v>
      </c>
      <c r="P658" s="1648">
        <f t="shared" si="117"/>
        <v>0</v>
      </c>
      <c r="Q658" s="1648">
        <f t="shared" si="118"/>
        <v>0</v>
      </c>
      <c r="R658" s="55">
        <f t="shared" si="119"/>
        <v>0</v>
      </c>
      <c r="S658" s="55">
        <f t="shared" si="120"/>
        <v>0</v>
      </c>
    </row>
    <row r="659" spans="1:19" ht="104.25" hidden="1" customHeight="1">
      <c r="A659" s="1688"/>
      <c r="B659" s="1648">
        <f t="shared" si="110"/>
        <v>0</v>
      </c>
      <c r="C659" s="1866" t="s">
        <v>5649</v>
      </c>
      <c r="D659" s="1649">
        <f>'Sliding and french window'!G219</f>
        <v>27750</v>
      </c>
      <c r="E659" s="1687" t="s">
        <v>729</v>
      </c>
      <c r="F659" s="1649"/>
      <c r="G659" s="1648">
        <f t="shared" si="111"/>
        <v>0</v>
      </c>
      <c r="H659" s="1648"/>
      <c r="I659" s="1648">
        <f t="shared" si="112"/>
        <v>0</v>
      </c>
      <c r="J659" s="1648"/>
      <c r="K659" s="1648">
        <f t="shared" si="113"/>
        <v>0</v>
      </c>
      <c r="L659" s="1648"/>
      <c r="M659" s="1648">
        <f t="shared" si="114"/>
        <v>0</v>
      </c>
      <c r="N659" s="1648">
        <f t="shared" si="115"/>
        <v>0</v>
      </c>
      <c r="O659" s="1648">
        <f t="shared" si="116"/>
        <v>0</v>
      </c>
      <c r="P659" s="1648">
        <f t="shared" si="117"/>
        <v>0</v>
      </c>
      <c r="Q659" s="1648">
        <f t="shared" si="118"/>
        <v>0</v>
      </c>
      <c r="R659" s="55">
        <f t="shared" si="119"/>
        <v>0</v>
      </c>
      <c r="S659" s="55">
        <f t="shared" si="120"/>
        <v>0</v>
      </c>
    </row>
    <row r="660" spans="1:19" ht="140.25" hidden="1" customHeight="1">
      <c r="A660" s="1688"/>
      <c r="B660" s="1648">
        <f t="shared" si="110"/>
        <v>0</v>
      </c>
      <c r="C660" s="1864" t="s">
        <v>5650</v>
      </c>
      <c r="D660" s="1651"/>
      <c r="E660" s="1688"/>
      <c r="F660" s="1649"/>
      <c r="G660" s="1648">
        <f t="shared" si="111"/>
        <v>0</v>
      </c>
      <c r="H660" s="1648"/>
      <c r="I660" s="1648">
        <f t="shared" si="112"/>
        <v>0</v>
      </c>
      <c r="J660" s="1648"/>
      <c r="K660" s="1648">
        <f t="shared" si="113"/>
        <v>0</v>
      </c>
      <c r="L660" s="1648"/>
      <c r="M660" s="1648">
        <f t="shared" si="114"/>
        <v>0</v>
      </c>
      <c r="N660" s="1648">
        <f t="shared" si="115"/>
        <v>0</v>
      </c>
      <c r="O660" s="1648">
        <f t="shared" si="116"/>
        <v>0</v>
      </c>
      <c r="P660" s="1648">
        <f t="shared" si="117"/>
        <v>0</v>
      </c>
      <c r="Q660" s="1648">
        <f t="shared" si="118"/>
        <v>0</v>
      </c>
      <c r="R660" s="55">
        <f t="shared" si="119"/>
        <v>0</v>
      </c>
      <c r="S660" s="55">
        <f t="shared" si="120"/>
        <v>0</v>
      </c>
    </row>
    <row r="661" spans="1:19" ht="68.25" hidden="1" customHeight="1">
      <c r="A661" s="1688"/>
      <c r="B661" s="1648">
        <f t="shared" si="110"/>
        <v>0</v>
      </c>
      <c r="C661" s="1863" t="s">
        <v>5651</v>
      </c>
      <c r="D661" s="1649">
        <v>3346.03</v>
      </c>
      <c r="E661" s="1687" t="s">
        <v>468</v>
      </c>
      <c r="F661" s="1649"/>
      <c r="G661" s="1648">
        <f t="shared" si="111"/>
        <v>0</v>
      </c>
      <c r="H661" s="1648"/>
      <c r="I661" s="1648">
        <f t="shared" si="112"/>
        <v>0</v>
      </c>
      <c r="J661" s="1648"/>
      <c r="K661" s="1648">
        <f t="shared" si="113"/>
        <v>0</v>
      </c>
      <c r="L661" s="1648"/>
      <c r="M661" s="1648">
        <f t="shared" si="114"/>
        <v>0</v>
      </c>
      <c r="N661" s="1648">
        <f t="shared" si="115"/>
        <v>0</v>
      </c>
      <c r="O661" s="1648">
        <f t="shared" si="116"/>
        <v>0</v>
      </c>
      <c r="P661" s="1648">
        <f t="shared" si="117"/>
        <v>0</v>
      </c>
      <c r="Q661" s="1648">
        <f t="shared" si="118"/>
        <v>0</v>
      </c>
      <c r="R661" s="55">
        <f t="shared" si="119"/>
        <v>0</v>
      </c>
      <c r="S661" s="55">
        <f t="shared" si="120"/>
        <v>0</v>
      </c>
    </row>
    <row r="662" spans="1:19" ht="59.25" hidden="1" customHeight="1">
      <c r="A662" s="1688"/>
      <c r="B662" s="1648">
        <f t="shared" si="110"/>
        <v>0</v>
      </c>
      <c r="C662" s="1863" t="s">
        <v>5652</v>
      </c>
      <c r="D662" s="1649">
        <v>2819.29</v>
      </c>
      <c r="E662" s="1687" t="s">
        <v>468</v>
      </c>
      <c r="F662" s="1649"/>
      <c r="G662" s="1648">
        <f t="shared" si="111"/>
        <v>0</v>
      </c>
      <c r="H662" s="1648"/>
      <c r="I662" s="1648">
        <f t="shared" si="112"/>
        <v>0</v>
      </c>
      <c r="J662" s="1648"/>
      <c r="K662" s="1648">
        <f t="shared" si="113"/>
        <v>0</v>
      </c>
      <c r="L662" s="1648"/>
      <c r="M662" s="1648">
        <f t="shared" si="114"/>
        <v>0</v>
      </c>
      <c r="N662" s="1648">
        <f t="shared" si="115"/>
        <v>0</v>
      </c>
      <c r="O662" s="1648">
        <f t="shared" si="116"/>
        <v>0</v>
      </c>
      <c r="P662" s="1648">
        <f t="shared" si="117"/>
        <v>0</v>
      </c>
      <c r="Q662" s="1648">
        <f t="shared" si="118"/>
        <v>0</v>
      </c>
      <c r="R662" s="55">
        <f t="shared" si="119"/>
        <v>0</v>
      </c>
      <c r="S662" s="55">
        <f t="shared" si="120"/>
        <v>0</v>
      </c>
    </row>
    <row r="663" spans="1:19" ht="65.25" hidden="1" customHeight="1">
      <c r="A663" s="1691"/>
      <c r="B663" s="1648">
        <f t="shared" si="110"/>
        <v>0</v>
      </c>
      <c r="C663" s="1863" t="s">
        <v>5653</v>
      </c>
      <c r="D663" s="1649">
        <v>2596.6799999999998</v>
      </c>
      <c r="E663" s="1687" t="s">
        <v>724</v>
      </c>
      <c r="F663" s="1649"/>
      <c r="G663" s="1648">
        <f t="shared" si="111"/>
        <v>0</v>
      </c>
      <c r="H663" s="1648"/>
      <c r="I663" s="1648">
        <f t="shared" si="112"/>
        <v>0</v>
      </c>
      <c r="J663" s="1648"/>
      <c r="K663" s="1648">
        <f t="shared" si="113"/>
        <v>0</v>
      </c>
      <c r="L663" s="1648"/>
      <c r="M663" s="1648">
        <f t="shared" si="114"/>
        <v>0</v>
      </c>
      <c r="N663" s="1648">
        <f t="shared" si="115"/>
        <v>0</v>
      </c>
      <c r="O663" s="1648">
        <f t="shared" si="116"/>
        <v>0</v>
      </c>
      <c r="P663" s="1648">
        <f t="shared" si="117"/>
        <v>0</v>
      </c>
      <c r="Q663" s="1648">
        <f t="shared" si="118"/>
        <v>0</v>
      </c>
      <c r="R663" s="55">
        <f t="shared" si="119"/>
        <v>0</v>
      </c>
      <c r="S663" s="55">
        <f t="shared" si="120"/>
        <v>0</v>
      </c>
    </row>
    <row r="664" spans="1:19" ht="82.5" hidden="1" customHeight="1">
      <c r="A664" s="1688"/>
      <c r="B664" s="1648">
        <f t="shared" si="110"/>
        <v>0</v>
      </c>
      <c r="C664" s="1863" t="s">
        <v>5654</v>
      </c>
      <c r="D664" s="1649">
        <f>Data!R1000</f>
        <v>4124.04</v>
      </c>
      <c r="E664" s="1691" t="s">
        <v>724</v>
      </c>
      <c r="F664" s="1649"/>
      <c r="G664" s="1648">
        <f t="shared" si="111"/>
        <v>0</v>
      </c>
      <c r="H664" s="1648"/>
      <c r="I664" s="1648">
        <f t="shared" si="112"/>
        <v>0</v>
      </c>
      <c r="J664" s="1648"/>
      <c r="K664" s="1648">
        <f t="shared" si="113"/>
        <v>0</v>
      </c>
      <c r="L664" s="1648"/>
      <c r="M664" s="1648">
        <f t="shared" si="114"/>
        <v>0</v>
      </c>
      <c r="N664" s="1648">
        <f t="shared" si="115"/>
        <v>0</v>
      </c>
      <c r="O664" s="1648">
        <f t="shared" si="116"/>
        <v>0</v>
      </c>
      <c r="P664" s="1648">
        <f t="shared" si="117"/>
        <v>0</v>
      </c>
      <c r="Q664" s="1648">
        <f t="shared" si="118"/>
        <v>0</v>
      </c>
      <c r="R664" s="55">
        <f t="shared" si="119"/>
        <v>0</v>
      </c>
      <c r="S664" s="55">
        <f t="shared" si="120"/>
        <v>0</v>
      </c>
    </row>
    <row r="665" spans="1:19" ht="74.25" hidden="1" customHeight="1">
      <c r="A665" s="1688"/>
      <c r="B665" s="1648">
        <f t="shared" si="110"/>
        <v>0</v>
      </c>
      <c r="C665" s="1863" t="s">
        <v>5655</v>
      </c>
      <c r="D665" s="1649">
        <v>8847.7900000000009</v>
      </c>
      <c r="E665" s="1687" t="s">
        <v>724</v>
      </c>
      <c r="F665" s="1649"/>
      <c r="G665" s="1648">
        <f t="shared" si="111"/>
        <v>0</v>
      </c>
      <c r="H665" s="1648"/>
      <c r="I665" s="1648">
        <f t="shared" si="112"/>
        <v>0</v>
      </c>
      <c r="J665" s="1648"/>
      <c r="K665" s="1648">
        <f t="shared" si="113"/>
        <v>0</v>
      </c>
      <c r="L665" s="1648"/>
      <c r="M665" s="1648">
        <f t="shared" si="114"/>
        <v>0</v>
      </c>
      <c r="N665" s="1648">
        <f t="shared" si="115"/>
        <v>0</v>
      </c>
      <c r="O665" s="1648">
        <f t="shared" si="116"/>
        <v>0</v>
      </c>
      <c r="P665" s="1648">
        <f t="shared" si="117"/>
        <v>0</v>
      </c>
      <c r="Q665" s="1648">
        <f t="shared" si="118"/>
        <v>0</v>
      </c>
      <c r="R665" s="55">
        <f t="shared" si="119"/>
        <v>0</v>
      </c>
      <c r="S665" s="55">
        <f t="shared" si="120"/>
        <v>0</v>
      </c>
    </row>
    <row r="666" spans="1:19" ht="58.5" customHeight="1">
      <c r="A666" s="1854" t="s">
        <v>3634</v>
      </c>
      <c r="B666" s="1648">
        <f t="shared" si="110"/>
        <v>69.3</v>
      </c>
      <c r="C666" s="1863" t="s">
        <v>5656</v>
      </c>
      <c r="D666" s="1649">
        <f>Data!C704</f>
        <v>3325</v>
      </c>
      <c r="E666" s="1687" t="s">
        <v>724</v>
      </c>
      <c r="F666" s="1649">
        <f>'Detail '!I2293</f>
        <v>69.3</v>
      </c>
      <c r="G666" s="1648">
        <f t="shared" si="111"/>
        <v>230422.5</v>
      </c>
      <c r="H666" s="1648"/>
      <c r="I666" s="1648">
        <f t="shared" si="112"/>
        <v>0</v>
      </c>
      <c r="J666" s="1648"/>
      <c r="K666" s="1648">
        <f t="shared" si="113"/>
        <v>0</v>
      </c>
      <c r="L666" s="1648"/>
      <c r="M666" s="1648">
        <f t="shared" si="114"/>
        <v>0</v>
      </c>
      <c r="N666" s="1648">
        <f t="shared" si="115"/>
        <v>0</v>
      </c>
      <c r="O666" s="1648">
        <f t="shared" si="116"/>
        <v>0</v>
      </c>
      <c r="P666" s="1648">
        <f t="shared" si="117"/>
        <v>69.3</v>
      </c>
      <c r="Q666" s="1648">
        <f t="shared" si="118"/>
        <v>230422.5</v>
      </c>
      <c r="R666" s="55">
        <f t="shared" si="119"/>
        <v>230422.5</v>
      </c>
      <c r="S666" s="55">
        <f t="shared" si="120"/>
        <v>0</v>
      </c>
    </row>
    <row r="667" spans="1:19" s="1645" customFormat="1" ht="58.5" hidden="1" customHeight="1">
      <c r="A667" s="1854"/>
      <c r="B667" s="1648">
        <f t="shared" si="110"/>
        <v>0</v>
      </c>
      <c r="C667" s="1863" t="s">
        <v>3761</v>
      </c>
      <c r="D667" s="1649">
        <v>3562</v>
      </c>
      <c r="E667" s="1687" t="s">
        <v>724</v>
      </c>
      <c r="F667" s="1649"/>
      <c r="G667" s="1648">
        <f t="shared" si="111"/>
        <v>0</v>
      </c>
      <c r="H667" s="1648"/>
      <c r="I667" s="1648">
        <f t="shared" si="112"/>
        <v>0</v>
      </c>
      <c r="J667" s="1648"/>
      <c r="K667" s="1648">
        <f t="shared" si="113"/>
        <v>0</v>
      </c>
      <c r="L667" s="1648"/>
      <c r="M667" s="1648">
        <f t="shared" si="114"/>
        <v>0</v>
      </c>
      <c r="N667" s="1648">
        <f t="shared" si="115"/>
        <v>0</v>
      </c>
      <c r="O667" s="1648">
        <f t="shared" si="116"/>
        <v>0</v>
      </c>
      <c r="P667" s="1648">
        <f t="shared" si="117"/>
        <v>0</v>
      </c>
      <c r="Q667" s="1648">
        <f t="shared" si="118"/>
        <v>0</v>
      </c>
      <c r="R667" s="55">
        <f t="shared" si="119"/>
        <v>0</v>
      </c>
      <c r="S667" s="55">
        <f t="shared" si="120"/>
        <v>0</v>
      </c>
    </row>
    <row r="668" spans="1:19" ht="66.75" hidden="1" customHeight="1">
      <c r="A668" s="1693" t="s">
        <v>5657</v>
      </c>
      <c r="B668" s="1648">
        <f t="shared" si="110"/>
        <v>0</v>
      </c>
      <c r="C668" s="1863" t="s">
        <v>5658</v>
      </c>
      <c r="D668" s="1649">
        <f>ROUND(Data!K1185,2)</f>
        <v>747</v>
      </c>
      <c r="E668" s="1687" t="s">
        <v>724</v>
      </c>
      <c r="F668" s="1649"/>
      <c r="G668" s="1648">
        <f t="shared" si="111"/>
        <v>0</v>
      </c>
      <c r="H668" s="1648"/>
      <c r="I668" s="1648">
        <f t="shared" si="112"/>
        <v>0</v>
      </c>
      <c r="J668" s="1648"/>
      <c r="K668" s="1648">
        <f t="shared" si="113"/>
        <v>0</v>
      </c>
      <c r="L668" s="1648"/>
      <c r="M668" s="1648">
        <f t="shared" si="114"/>
        <v>0</v>
      </c>
      <c r="N668" s="1648">
        <f t="shared" si="115"/>
        <v>0</v>
      </c>
      <c r="O668" s="1648">
        <f t="shared" si="116"/>
        <v>0</v>
      </c>
      <c r="P668" s="1648">
        <f t="shared" si="117"/>
        <v>0</v>
      </c>
      <c r="Q668" s="1648">
        <f t="shared" si="118"/>
        <v>0</v>
      </c>
      <c r="R668" s="55">
        <f t="shared" si="119"/>
        <v>0</v>
      </c>
      <c r="S668" s="55">
        <f t="shared" si="120"/>
        <v>0</v>
      </c>
    </row>
    <row r="669" spans="1:19" ht="45.75" hidden="1" customHeight="1">
      <c r="A669" s="1687"/>
      <c r="B669" s="1648">
        <f t="shared" si="110"/>
        <v>0</v>
      </c>
      <c r="C669" s="1864" t="s">
        <v>5659</v>
      </c>
      <c r="D669" s="1649"/>
      <c r="E669" s="1687"/>
      <c r="F669" s="1649"/>
      <c r="G669" s="1648">
        <f t="shared" si="111"/>
        <v>0</v>
      </c>
      <c r="H669" s="1648"/>
      <c r="I669" s="1648">
        <f t="shared" si="112"/>
        <v>0</v>
      </c>
      <c r="J669" s="1648"/>
      <c r="K669" s="1648">
        <f t="shared" si="113"/>
        <v>0</v>
      </c>
      <c r="L669" s="1648"/>
      <c r="M669" s="1648">
        <f t="shared" si="114"/>
        <v>0</v>
      </c>
      <c r="N669" s="1648">
        <f t="shared" si="115"/>
        <v>0</v>
      </c>
      <c r="O669" s="1648">
        <f t="shared" si="116"/>
        <v>0</v>
      </c>
      <c r="P669" s="1648">
        <f t="shared" si="117"/>
        <v>0</v>
      </c>
      <c r="Q669" s="1648">
        <f t="shared" si="118"/>
        <v>0</v>
      </c>
      <c r="R669" s="55">
        <f t="shared" si="119"/>
        <v>0</v>
      </c>
      <c r="S669" s="55">
        <f t="shared" si="120"/>
        <v>0</v>
      </c>
    </row>
    <row r="670" spans="1:19" ht="39" hidden="1" customHeight="1">
      <c r="A670" s="1687"/>
      <c r="B670" s="1648">
        <f t="shared" si="110"/>
        <v>0</v>
      </c>
      <c r="C670" s="1863" t="s">
        <v>5341</v>
      </c>
      <c r="D670" s="1649">
        <f>ROUND(Data!K628,2)</f>
        <v>607.33000000000004</v>
      </c>
      <c r="E670" s="1687" t="s">
        <v>5324</v>
      </c>
      <c r="F670" s="1649"/>
      <c r="G670" s="1648">
        <f t="shared" si="111"/>
        <v>0</v>
      </c>
      <c r="H670" s="1648"/>
      <c r="I670" s="1648">
        <f t="shared" si="112"/>
        <v>0</v>
      </c>
      <c r="J670" s="1648"/>
      <c r="K670" s="1648">
        <f t="shared" si="113"/>
        <v>0</v>
      </c>
      <c r="L670" s="1648"/>
      <c r="M670" s="1648">
        <f t="shared" si="114"/>
        <v>0</v>
      </c>
      <c r="N670" s="1648">
        <f t="shared" si="115"/>
        <v>0</v>
      </c>
      <c r="O670" s="1648">
        <f t="shared" si="116"/>
        <v>0</v>
      </c>
      <c r="P670" s="1648">
        <f t="shared" si="117"/>
        <v>0</v>
      </c>
      <c r="Q670" s="1648">
        <f t="shared" si="118"/>
        <v>0</v>
      </c>
      <c r="R670" s="55">
        <f t="shared" si="119"/>
        <v>0</v>
      </c>
      <c r="S670" s="55">
        <f t="shared" si="120"/>
        <v>0</v>
      </c>
    </row>
    <row r="671" spans="1:19" ht="39" hidden="1" customHeight="1">
      <c r="A671" s="1687"/>
      <c r="B671" s="1648">
        <f t="shared" si="110"/>
        <v>0</v>
      </c>
      <c r="C671" s="1863" t="s">
        <v>5342</v>
      </c>
      <c r="D671" s="1649">
        <f>ROUND(Data!K629,2)</f>
        <v>612.25</v>
      </c>
      <c r="E671" s="1687" t="s">
        <v>5324</v>
      </c>
      <c r="F671" s="1649"/>
      <c r="G671" s="1648">
        <f t="shared" si="111"/>
        <v>0</v>
      </c>
      <c r="H671" s="1648"/>
      <c r="I671" s="1648">
        <f t="shared" si="112"/>
        <v>0</v>
      </c>
      <c r="J671" s="1648"/>
      <c r="K671" s="1648">
        <f t="shared" si="113"/>
        <v>0</v>
      </c>
      <c r="L671" s="1648"/>
      <c r="M671" s="1648">
        <f t="shared" si="114"/>
        <v>0</v>
      </c>
      <c r="N671" s="1648">
        <f t="shared" si="115"/>
        <v>0</v>
      </c>
      <c r="O671" s="1648">
        <f t="shared" si="116"/>
        <v>0</v>
      </c>
      <c r="P671" s="1648">
        <f t="shared" si="117"/>
        <v>0</v>
      </c>
      <c r="Q671" s="1648">
        <f t="shared" si="118"/>
        <v>0</v>
      </c>
      <c r="R671" s="55">
        <f t="shared" si="119"/>
        <v>0</v>
      </c>
      <c r="S671" s="55">
        <f t="shared" si="120"/>
        <v>0</v>
      </c>
    </row>
    <row r="672" spans="1:19" ht="39" hidden="1" customHeight="1">
      <c r="A672" s="1687"/>
      <c r="B672" s="1648">
        <f t="shared" si="110"/>
        <v>0</v>
      </c>
      <c r="C672" s="1863" t="s">
        <v>5343</v>
      </c>
      <c r="D672" s="1649">
        <f>ROUND(Data!K630,2)</f>
        <v>617.16999999999996</v>
      </c>
      <c r="E672" s="1687" t="s">
        <v>5324</v>
      </c>
      <c r="F672" s="1649"/>
      <c r="G672" s="1648">
        <f t="shared" si="111"/>
        <v>0</v>
      </c>
      <c r="H672" s="1648"/>
      <c r="I672" s="1648">
        <f t="shared" si="112"/>
        <v>0</v>
      </c>
      <c r="J672" s="1648"/>
      <c r="K672" s="1648">
        <f t="shared" si="113"/>
        <v>0</v>
      </c>
      <c r="L672" s="1648"/>
      <c r="M672" s="1648">
        <f t="shared" si="114"/>
        <v>0</v>
      </c>
      <c r="N672" s="1648">
        <f t="shared" si="115"/>
        <v>0</v>
      </c>
      <c r="O672" s="1648">
        <f t="shared" si="116"/>
        <v>0</v>
      </c>
      <c r="P672" s="1648">
        <f t="shared" si="117"/>
        <v>0</v>
      </c>
      <c r="Q672" s="1648">
        <f t="shared" si="118"/>
        <v>0</v>
      </c>
      <c r="R672" s="55">
        <f t="shared" si="119"/>
        <v>0</v>
      </c>
      <c r="S672" s="55">
        <f t="shared" si="120"/>
        <v>0</v>
      </c>
    </row>
    <row r="673" spans="1:19" ht="39" hidden="1" customHeight="1">
      <c r="A673" s="1687"/>
      <c r="B673" s="1648">
        <f t="shared" si="110"/>
        <v>0</v>
      </c>
      <c r="C673" s="1863" t="s">
        <v>5344</v>
      </c>
      <c r="D673" s="1649">
        <f>ROUND(Data!K631,2)</f>
        <v>622.09</v>
      </c>
      <c r="E673" s="1687" t="s">
        <v>5324</v>
      </c>
      <c r="F673" s="1649"/>
      <c r="G673" s="1648">
        <f t="shared" si="111"/>
        <v>0</v>
      </c>
      <c r="H673" s="1648"/>
      <c r="I673" s="1648">
        <f t="shared" si="112"/>
        <v>0</v>
      </c>
      <c r="J673" s="1648"/>
      <c r="K673" s="1648">
        <f t="shared" si="113"/>
        <v>0</v>
      </c>
      <c r="L673" s="1648"/>
      <c r="M673" s="1648">
        <f t="shared" si="114"/>
        <v>0</v>
      </c>
      <c r="N673" s="1648">
        <f t="shared" si="115"/>
        <v>0</v>
      </c>
      <c r="O673" s="1648">
        <f t="shared" si="116"/>
        <v>0</v>
      </c>
      <c r="P673" s="1648">
        <f t="shared" si="117"/>
        <v>0</v>
      </c>
      <c r="Q673" s="1648">
        <f t="shared" si="118"/>
        <v>0</v>
      </c>
      <c r="R673" s="55">
        <f t="shared" si="119"/>
        <v>0</v>
      </c>
      <c r="S673" s="55">
        <f t="shared" si="120"/>
        <v>0</v>
      </c>
    </row>
    <row r="674" spans="1:19" ht="36" hidden="1" customHeight="1">
      <c r="A674" s="1688"/>
      <c r="B674" s="1648">
        <f t="shared" si="110"/>
        <v>0</v>
      </c>
      <c r="C674" s="1863" t="s">
        <v>5345</v>
      </c>
      <c r="D674" s="1649">
        <f>ROUND(Data!K632,2)</f>
        <v>627.01</v>
      </c>
      <c r="E674" s="1687" t="s">
        <v>5324</v>
      </c>
      <c r="F674" s="1649"/>
      <c r="G674" s="1648">
        <f t="shared" si="111"/>
        <v>0</v>
      </c>
      <c r="H674" s="1648"/>
      <c r="I674" s="1648">
        <f t="shared" si="112"/>
        <v>0</v>
      </c>
      <c r="J674" s="1648"/>
      <c r="K674" s="1648">
        <f t="shared" si="113"/>
        <v>0</v>
      </c>
      <c r="L674" s="1648"/>
      <c r="M674" s="1648">
        <f t="shared" si="114"/>
        <v>0</v>
      </c>
      <c r="N674" s="1648">
        <f t="shared" si="115"/>
        <v>0</v>
      </c>
      <c r="O674" s="1648">
        <f t="shared" si="116"/>
        <v>0</v>
      </c>
      <c r="P674" s="1648">
        <f t="shared" si="117"/>
        <v>0</v>
      </c>
      <c r="Q674" s="1648">
        <f t="shared" si="118"/>
        <v>0</v>
      </c>
      <c r="R674" s="55">
        <f t="shared" si="119"/>
        <v>0</v>
      </c>
      <c r="S674" s="55">
        <f t="shared" si="120"/>
        <v>0</v>
      </c>
    </row>
    <row r="675" spans="1:19" ht="54.95" hidden="1" customHeight="1">
      <c r="A675" s="1688"/>
      <c r="B675" s="1648">
        <f t="shared" si="110"/>
        <v>0</v>
      </c>
      <c r="C675" s="1864" t="s">
        <v>5660</v>
      </c>
      <c r="D675" s="1649"/>
      <c r="E675" s="1687"/>
      <c r="F675" s="1649"/>
      <c r="G675" s="1648">
        <f t="shared" si="111"/>
        <v>0</v>
      </c>
      <c r="H675" s="1648"/>
      <c r="I675" s="1648">
        <f t="shared" si="112"/>
        <v>0</v>
      </c>
      <c r="J675" s="1648"/>
      <c r="K675" s="1648">
        <f t="shared" si="113"/>
        <v>0</v>
      </c>
      <c r="L675" s="1648"/>
      <c r="M675" s="1648">
        <f t="shared" si="114"/>
        <v>0</v>
      </c>
      <c r="N675" s="1648">
        <f t="shared" si="115"/>
        <v>0</v>
      </c>
      <c r="O675" s="1648">
        <f t="shared" si="116"/>
        <v>0</v>
      </c>
      <c r="P675" s="1648">
        <f t="shared" si="117"/>
        <v>0</v>
      </c>
      <c r="Q675" s="1648">
        <f t="shared" si="118"/>
        <v>0</v>
      </c>
      <c r="R675" s="55">
        <f t="shared" si="119"/>
        <v>0</v>
      </c>
      <c r="S675" s="55">
        <f t="shared" si="120"/>
        <v>0</v>
      </c>
    </row>
    <row r="676" spans="1:19" ht="54.95" hidden="1" customHeight="1">
      <c r="A676" s="1688"/>
      <c r="B676" s="1648">
        <f t="shared" si="110"/>
        <v>0</v>
      </c>
      <c r="C676" s="1863" t="s">
        <v>5661</v>
      </c>
      <c r="D676" s="1649">
        <f>Data!K590</f>
        <v>563.35</v>
      </c>
      <c r="E676" s="1687" t="s">
        <v>5324</v>
      </c>
      <c r="F676" s="1649"/>
      <c r="G676" s="1648">
        <f t="shared" si="111"/>
        <v>0</v>
      </c>
      <c r="H676" s="1648"/>
      <c r="I676" s="1648">
        <f t="shared" si="112"/>
        <v>0</v>
      </c>
      <c r="J676" s="1648"/>
      <c r="K676" s="1648">
        <f t="shared" si="113"/>
        <v>0</v>
      </c>
      <c r="L676" s="1648"/>
      <c r="M676" s="1648">
        <f t="shared" si="114"/>
        <v>0</v>
      </c>
      <c r="N676" s="1648">
        <f t="shared" si="115"/>
        <v>0</v>
      </c>
      <c r="O676" s="1648">
        <f t="shared" si="116"/>
        <v>0</v>
      </c>
      <c r="P676" s="1648">
        <f t="shared" si="117"/>
        <v>0</v>
      </c>
      <c r="Q676" s="1648">
        <f t="shared" si="118"/>
        <v>0</v>
      </c>
      <c r="R676" s="55">
        <f t="shared" si="119"/>
        <v>0</v>
      </c>
      <c r="S676" s="55">
        <f t="shared" si="120"/>
        <v>0</v>
      </c>
    </row>
    <row r="677" spans="1:19" ht="54.95" hidden="1" customHeight="1">
      <c r="A677" s="1688"/>
      <c r="B677" s="1648">
        <f t="shared" si="110"/>
        <v>0</v>
      </c>
      <c r="C677" s="1863" t="s">
        <v>5342</v>
      </c>
      <c r="D677" s="1649">
        <f>Data!K591</f>
        <v>568.27</v>
      </c>
      <c r="E677" s="1687" t="s">
        <v>5324</v>
      </c>
      <c r="F677" s="1649"/>
      <c r="G677" s="1648">
        <f t="shared" si="111"/>
        <v>0</v>
      </c>
      <c r="H677" s="1648"/>
      <c r="I677" s="1648">
        <f t="shared" si="112"/>
        <v>0</v>
      </c>
      <c r="J677" s="1648"/>
      <c r="K677" s="1648">
        <f t="shared" si="113"/>
        <v>0</v>
      </c>
      <c r="L677" s="1648"/>
      <c r="M677" s="1648">
        <f t="shared" si="114"/>
        <v>0</v>
      </c>
      <c r="N677" s="1648">
        <f t="shared" si="115"/>
        <v>0</v>
      </c>
      <c r="O677" s="1648">
        <f t="shared" si="116"/>
        <v>0</v>
      </c>
      <c r="P677" s="1648">
        <f t="shared" si="117"/>
        <v>0</v>
      </c>
      <c r="Q677" s="1648">
        <f t="shared" si="118"/>
        <v>0</v>
      </c>
      <c r="R677" s="55">
        <f t="shared" si="119"/>
        <v>0</v>
      </c>
      <c r="S677" s="55">
        <f t="shared" si="120"/>
        <v>0</v>
      </c>
    </row>
    <row r="678" spans="1:19" ht="45.75" hidden="1" customHeight="1">
      <c r="A678" s="1688"/>
      <c r="B678" s="1648">
        <f t="shared" si="110"/>
        <v>0</v>
      </c>
      <c r="C678" s="1863" t="s">
        <v>5343</v>
      </c>
      <c r="D678" s="1649">
        <f>Data!K592</f>
        <v>573.19000000000005</v>
      </c>
      <c r="E678" s="1687" t="s">
        <v>5324</v>
      </c>
      <c r="F678" s="1649"/>
      <c r="G678" s="1648">
        <f t="shared" si="111"/>
        <v>0</v>
      </c>
      <c r="H678" s="1648"/>
      <c r="I678" s="1648">
        <f t="shared" si="112"/>
        <v>0</v>
      </c>
      <c r="J678" s="1648"/>
      <c r="K678" s="1648">
        <f t="shared" si="113"/>
        <v>0</v>
      </c>
      <c r="L678" s="1648"/>
      <c r="M678" s="1648">
        <f t="shared" si="114"/>
        <v>0</v>
      </c>
      <c r="N678" s="1648">
        <f t="shared" si="115"/>
        <v>0</v>
      </c>
      <c r="O678" s="1648">
        <f t="shared" si="116"/>
        <v>0</v>
      </c>
      <c r="P678" s="1648">
        <f t="shared" si="117"/>
        <v>0</v>
      </c>
      <c r="Q678" s="1648">
        <f t="shared" si="118"/>
        <v>0</v>
      </c>
      <c r="R678" s="55">
        <f t="shared" si="119"/>
        <v>0</v>
      </c>
      <c r="S678" s="55">
        <f t="shared" si="120"/>
        <v>0</v>
      </c>
    </row>
    <row r="679" spans="1:19" ht="45.75" hidden="1" customHeight="1">
      <c r="A679" s="1688"/>
      <c r="B679" s="1648">
        <f t="shared" si="110"/>
        <v>0</v>
      </c>
      <c r="C679" s="1863" t="s">
        <v>5344</v>
      </c>
      <c r="D679" s="1649">
        <f>Data!K593</f>
        <v>578.11</v>
      </c>
      <c r="E679" s="1687" t="s">
        <v>5324</v>
      </c>
      <c r="F679" s="1649"/>
      <c r="G679" s="1648">
        <f t="shared" si="111"/>
        <v>0</v>
      </c>
      <c r="H679" s="1648"/>
      <c r="I679" s="1648">
        <f t="shared" si="112"/>
        <v>0</v>
      </c>
      <c r="J679" s="1648"/>
      <c r="K679" s="1648">
        <f t="shared" si="113"/>
        <v>0</v>
      </c>
      <c r="L679" s="1648"/>
      <c r="M679" s="1648">
        <f t="shared" si="114"/>
        <v>0</v>
      </c>
      <c r="N679" s="1648">
        <f t="shared" si="115"/>
        <v>0</v>
      </c>
      <c r="O679" s="1648">
        <f t="shared" si="116"/>
        <v>0</v>
      </c>
      <c r="P679" s="1648">
        <f t="shared" si="117"/>
        <v>0</v>
      </c>
      <c r="Q679" s="1648">
        <f t="shared" si="118"/>
        <v>0</v>
      </c>
      <c r="R679" s="55">
        <f t="shared" si="119"/>
        <v>0</v>
      </c>
      <c r="S679" s="55">
        <f t="shared" si="120"/>
        <v>0</v>
      </c>
    </row>
    <row r="680" spans="1:19" ht="36" hidden="1" customHeight="1">
      <c r="A680" s="1688"/>
      <c r="B680" s="1648">
        <f t="shared" si="110"/>
        <v>0</v>
      </c>
      <c r="C680" s="1863" t="s">
        <v>5345</v>
      </c>
      <c r="D680" s="1649">
        <f>Data!K594</f>
        <v>583.03</v>
      </c>
      <c r="E680" s="1687" t="s">
        <v>5324</v>
      </c>
      <c r="F680" s="1649"/>
      <c r="G680" s="1648">
        <f t="shared" si="111"/>
        <v>0</v>
      </c>
      <c r="H680" s="1648"/>
      <c r="I680" s="1648">
        <f t="shared" si="112"/>
        <v>0</v>
      </c>
      <c r="J680" s="1648"/>
      <c r="K680" s="1648">
        <f t="shared" si="113"/>
        <v>0</v>
      </c>
      <c r="L680" s="1648"/>
      <c r="M680" s="1648">
        <f t="shared" si="114"/>
        <v>0</v>
      </c>
      <c r="N680" s="1648">
        <f t="shared" si="115"/>
        <v>0</v>
      </c>
      <c r="O680" s="1648">
        <f t="shared" si="116"/>
        <v>0</v>
      </c>
      <c r="P680" s="1648">
        <f t="shared" si="117"/>
        <v>0</v>
      </c>
      <c r="Q680" s="1648">
        <f t="shared" si="118"/>
        <v>0</v>
      </c>
      <c r="R680" s="55">
        <f t="shared" si="119"/>
        <v>0</v>
      </c>
      <c r="S680" s="55">
        <f t="shared" si="120"/>
        <v>0</v>
      </c>
    </row>
    <row r="681" spans="1:19" ht="54.95" hidden="1" customHeight="1">
      <c r="A681" s="1688"/>
      <c r="B681" s="1648">
        <f t="shared" si="110"/>
        <v>0</v>
      </c>
      <c r="C681" s="1864" t="s">
        <v>5662</v>
      </c>
      <c r="D681" s="1649"/>
      <c r="E681" s="1687"/>
      <c r="F681" s="1649"/>
      <c r="G681" s="1648">
        <f t="shared" si="111"/>
        <v>0</v>
      </c>
      <c r="H681" s="1648"/>
      <c r="I681" s="1648">
        <f t="shared" si="112"/>
        <v>0</v>
      </c>
      <c r="J681" s="1648"/>
      <c r="K681" s="1648">
        <f t="shared" si="113"/>
        <v>0</v>
      </c>
      <c r="L681" s="1648"/>
      <c r="M681" s="1648">
        <f t="shared" si="114"/>
        <v>0</v>
      </c>
      <c r="N681" s="1648">
        <f t="shared" si="115"/>
        <v>0</v>
      </c>
      <c r="O681" s="1648">
        <f t="shared" si="116"/>
        <v>0</v>
      </c>
      <c r="P681" s="1648">
        <f t="shared" si="117"/>
        <v>0</v>
      </c>
      <c r="Q681" s="1648">
        <f t="shared" si="118"/>
        <v>0</v>
      </c>
      <c r="R681" s="55">
        <f t="shared" si="119"/>
        <v>0</v>
      </c>
      <c r="S681" s="55">
        <f t="shared" si="120"/>
        <v>0</v>
      </c>
    </row>
    <row r="682" spans="1:19" ht="54.95" hidden="1" customHeight="1">
      <c r="A682" s="1688"/>
      <c r="B682" s="1648">
        <f t="shared" si="110"/>
        <v>0</v>
      </c>
      <c r="C682" s="1863" t="s">
        <v>5341</v>
      </c>
      <c r="D682" s="1649">
        <f>Data!X590</f>
        <v>597.15</v>
      </c>
      <c r="E682" s="1687" t="s">
        <v>5324</v>
      </c>
      <c r="F682" s="1649"/>
      <c r="G682" s="1648">
        <f t="shared" si="111"/>
        <v>0</v>
      </c>
      <c r="H682" s="1648"/>
      <c r="I682" s="1648">
        <f t="shared" si="112"/>
        <v>0</v>
      </c>
      <c r="J682" s="1648"/>
      <c r="K682" s="1648">
        <f t="shared" si="113"/>
        <v>0</v>
      </c>
      <c r="L682" s="1648"/>
      <c r="M682" s="1648">
        <f t="shared" si="114"/>
        <v>0</v>
      </c>
      <c r="N682" s="1648">
        <f t="shared" si="115"/>
        <v>0</v>
      </c>
      <c r="O682" s="1648">
        <f t="shared" si="116"/>
        <v>0</v>
      </c>
      <c r="P682" s="1648">
        <f t="shared" si="117"/>
        <v>0</v>
      </c>
      <c r="Q682" s="1648">
        <f t="shared" si="118"/>
        <v>0</v>
      </c>
      <c r="R682" s="55">
        <f t="shared" si="119"/>
        <v>0</v>
      </c>
      <c r="S682" s="55">
        <f t="shared" si="120"/>
        <v>0</v>
      </c>
    </row>
    <row r="683" spans="1:19" ht="54.95" hidden="1" customHeight="1">
      <c r="A683" s="1688"/>
      <c r="B683" s="1648">
        <f t="shared" si="110"/>
        <v>0</v>
      </c>
      <c r="C683" s="1863" t="s">
        <v>5342</v>
      </c>
      <c r="D683" s="1649">
        <f>Data!X591</f>
        <v>607</v>
      </c>
      <c r="E683" s="1687" t="s">
        <v>5324</v>
      </c>
      <c r="F683" s="1649"/>
      <c r="G683" s="1648">
        <f t="shared" si="111"/>
        <v>0</v>
      </c>
      <c r="H683" s="1648"/>
      <c r="I683" s="1648">
        <f t="shared" si="112"/>
        <v>0</v>
      </c>
      <c r="J683" s="1648"/>
      <c r="K683" s="1648">
        <f t="shared" si="113"/>
        <v>0</v>
      </c>
      <c r="L683" s="1648"/>
      <c r="M683" s="1648">
        <f t="shared" si="114"/>
        <v>0</v>
      </c>
      <c r="N683" s="1648">
        <f t="shared" si="115"/>
        <v>0</v>
      </c>
      <c r="O683" s="1648">
        <f t="shared" si="116"/>
        <v>0</v>
      </c>
      <c r="P683" s="1648">
        <f t="shared" si="117"/>
        <v>0</v>
      </c>
      <c r="Q683" s="1648">
        <f t="shared" si="118"/>
        <v>0</v>
      </c>
      <c r="R683" s="55">
        <f t="shared" si="119"/>
        <v>0</v>
      </c>
      <c r="S683" s="55">
        <f t="shared" si="120"/>
        <v>0</v>
      </c>
    </row>
    <row r="684" spans="1:19" ht="36" hidden="1" customHeight="1">
      <c r="A684" s="1688"/>
      <c r="B684" s="1648">
        <f t="shared" si="110"/>
        <v>0</v>
      </c>
      <c r="C684" s="1863" t="s">
        <v>5343</v>
      </c>
      <c r="D684" s="1649">
        <f>Data!X591</f>
        <v>607</v>
      </c>
      <c r="E684" s="1687" t="s">
        <v>5324</v>
      </c>
      <c r="F684" s="1649"/>
      <c r="G684" s="1648">
        <f t="shared" si="111"/>
        <v>0</v>
      </c>
      <c r="H684" s="1648"/>
      <c r="I684" s="1648">
        <f t="shared" si="112"/>
        <v>0</v>
      </c>
      <c r="J684" s="1648"/>
      <c r="K684" s="1648">
        <f t="shared" si="113"/>
        <v>0</v>
      </c>
      <c r="L684" s="1648"/>
      <c r="M684" s="1648">
        <f t="shared" si="114"/>
        <v>0</v>
      </c>
      <c r="N684" s="1648">
        <f t="shared" si="115"/>
        <v>0</v>
      </c>
      <c r="O684" s="1648">
        <f t="shared" si="116"/>
        <v>0</v>
      </c>
      <c r="P684" s="1648">
        <f t="shared" si="117"/>
        <v>0</v>
      </c>
      <c r="Q684" s="1648">
        <f t="shared" si="118"/>
        <v>0</v>
      </c>
      <c r="R684" s="55">
        <f t="shared" si="119"/>
        <v>0</v>
      </c>
      <c r="S684" s="55">
        <f t="shared" si="120"/>
        <v>0</v>
      </c>
    </row>
    <row r="685" spans="1:19" ht="36" hidden="1" customHeight="1">
      <c r="A685" s="1688"/>
      <c r="B685" s="1648">
        <f t="shared" si="110"/>
        <v>0</v>
      </c>
      <c r="C685" s="1863" t="s">
        <v>5344</v>
      </c>
      <c r="D685" s="1649">
        <f>Data!X592</f>
        <v>616.85</v>
      </c>
      <c r="E685" s="1687" t="s">
        <v>5324</v>
      </c>
      <c r="F685" s="1649"/>
      <c r="G685" s="1648">
        <f t="shared" si="111"/>
        <v>0</v>
      </c>
      <c r="H685" s="1648"/>
      <c r="I685" s="1648">
        <f t="shared" si="112"/>
        <v>0</v>
      </c>
      <c r="J685" s="1648"/>
      <c r="K685" s="1648">
        <f t="shared" si="113"/>
        <v>0</v>
      </c>
      <c r="L685" s="1648"/>
      <c r="M685" s="1648">
        <f t="shared" si="114"/>
        <v>0</v>
      </c>
      <c r="N685" s="1648">
        <f t="shared" si="115"/>
        <v>0</v>
      </c>
      <c r="O685" s="1648">
        <f t="shared" si="116"/>
        <v>0</v>
      </c>
      <c r="P685" s="1648">
        <f t="shared" si="117"/>
        <v>0</v>
      </c>
      <c r="Q685" s="1648">
        <f t="shared" si="118"/>
        <v>0</v>
      </c>
      <c r="R685" s="55">
        <f t="shared" si="119"/>
        <v>0</v>
      </c>
      <c r="S685" s="55">
        <f t="shared" si="120"/>
        <v>0</v>
      </c>
    </row>
    <row r="686" spans="1:19" ht="36" hidden="1" customHeight="1">
      <c r="A686" s="1688"/>
      <c r="B686" s="1648">
        <f t="shared" si="110"/>
        <v>0</v>
      </c>
      <c r="C686" s="1863" t="s">
        <v>5345</v>
      </c>
      <c r="D686" s="1649">
        <f>Data!X593</f>
        <v>626.70000000000005</v>
      </c>
      <c r="E686" s="1687"/>
      <c r="F686" s="1649"/>
      <c r="G686" s="1648">
        <f t="shared" si="111"/>
        <v>0</v>
      </c>
      <c r="H686" s="1648"/>
      <c r="I686" s="1648">
        <f t="shared" si="112"/>
        <v>0</v>
      </c>
      <c r="J686" s="1648"/>
      <c r="K686" s="1648">
        <f t="shared" si="113"/>
        <v>0</v>
      </c>
      <c r="L686" s="1648"/>
      <c r="M686" s="1648">
        <f t="shared" si="114"/>
        <v>0</v>
      </c>
      <c r="N686" s="1648">
        <f t="shared" si="115"/>
        <v>0</v>
      </c>
      <c r="O686" s="1648">
        <f t="shared" si="116"/>
        <v>0</v>
      </c>
      <c r="P686" s="1648">
        <f t="shared" si="117"/>
        <v>0</v>
      </c>
      <c r="Q686" s="1648">
        <f t="shared" si="118"/>
        <v>0</v>
      </c>
      <c r="R686" s="55">
        <f t="shared" si="119"/>
        <v>0</v>
      </c>
      <c r="S686" s="55">
        <f t="shared" si="120"/>
        <v>0</v>
      </c>
    </row>
    <row r="687" spans="1:19" ht="45.75" hidden="1" customHeight="1">
      <c r="A687" s="1688"/>
      <c r="B687" s="1648">
        <f t="shared" si="110"/>
        <v>0</v>
      </c>
      <c r="C687" s="1864" t="s">
        <v>5663</v>
      </c>
      <c r="D687" s="1649"/>
      <c r="E687" s="1687"/>
      <c r="F687" s="1649"/>
      <c r="G687" s="1648">
        <f t="shared" si="111"/>
        <v>0</v>
      </c>
      <c r="H687" s="1648"/>
      <c r="I687" s="1648">
        <f t="shared" si="112"/>
        <v>0</v>
      </c>
      <c r="J687" s="1648"/>
      <c r="K687" s="1648">
        <f t="shared" si="113"/>
        <v>0</v>
      </c>
      <c r="L687" s="1648"/>
      <c r="M687" s="1648">
        <f t="shared" si="114"/>
        <v>0</v>
      </c>
      <c r="N687" s="1648">
        <f t="shared" si="115"/>
        <v>0</v>
      </c>
      <c r="O687" s="1648">
        <f t="shared" si="116"/>
        <v>0</v>
      </c>
      <c r="P687" s="1648">
        <f t="shared" si="117"/>
        <v>0</v>
      </c>
      <c r="Q687" s="1648">
        <f t="shared" si="118"/>
        <v>0</v>
      </c>
      <c r="R687" s="55">
        <f t="shared" si="119"/>
        <v>0</v>
      </c>
      <c r="S687" s="55">
        <f t="shared" si="120"/>
        <v>0</v>
      </c>
    </row>
    <row r="688" spans="1:19" ht="25.5" hidden="1" customHeight="1">
      <c r="A688" s="1688"/>
      <c r="B688" s="1648">
        <f t="shared" si="110"/>
        <v>0</v>
      </c>
      <c r="C688" s="1863" t="s">
        <v>5341</v>
      </c>
      <c r="D688" s="1649">
        <f>Data!K612</f>
        <v>2142.63</v>
      </c>
      <c r="E688" s="1687" t="s">
        <v>5324</v>
      </c>
      <c r="F688" s="1649"/>
      <c r="G688" s="1648">
        <f t="shared" si="111"/>
        <v>0</v>
      </c>
      <c r="H688" s="1648"/>
      <c r="I688" s="1648">
        <f t="shared" si="112"/>
        <v>0</v>
      </c>
      <c r="J688" s="1648"/>
      <c r="K688" s="1648">
        <f t="shared" si="113"/>
        <v>0</v>
      </c>
      <c r="L688" s="1648"/>
      <c r="M688" s="1648">
        <f t="shared" si="114"/>
        <v>0</v>
      </c>
      <c r="N688" s="1648">
        <f t="shared" si="115"/>
        <v>0</v>
      </c>
      <c r="O688" s="1648">
        <f t="shared" si="116"/>
        <v>0</v>
      </c>
      <c r="P688" s="1648">
        <f t="shared" si="117"/>
        <v>0</v>
      </c>
      <c r="Q688" s="1648">
        <f t="shared" si="118"/>
        <v>0</v>
      </c>
      <c r="R688" s="55">
        <f t="shared" si="119"/>
        <v>0</v>
      </c>
      <c r="S688" s="55">
        <f t="shared" si="120"/>
        <v>0</v>
      </c>
    </row>
    <row r="689" spans="1:19" ht="25.5" hidden="1" customHeight="1">
      <c r="A689" s="1688"/>
      <c r="B689" s="1648">
        <f t="shared" si="110"/>
        <v>0</v>
      </c>
      <c r="C689" s="1863" t="s">
        <v>5342</v>
      </c>
      <c r="D689" s="1649">
        <f>Data!K613</f>
        <v>2152.48</v>
      </c>
      <c r="E689" s="1687" t="s">
        <v>5324</v>
      </c>
      <c r="F689" s="1649"/>
      <c r="G689" s="1648">
        <f t="shared" si="111"/>
        <v>0</v>
      </c>
      <c r="H689" s="1648"/>
      <c r="I689" s="1648">
        <f t="shared" si="112"/>
        <v>0</v>
      </c>
      <c r="J689" s="1648"/>
      <c r="K689" s="1648">
        <f t="shared" si="113"/>
        <v>0</v>
      </c>
      <c r="L689" s="1648"/>
      <c r="M689" s="1648">
        <f t="shared" si="114"/>
        <v>0</v>
      </c>
      <c r="N689" s="1648">
        <f t="shared" si="115"/>
        <v>0</v>
      </c>
      <c r="O689" s="1648">
        <f t="shared" si="116"/>
        <v>0</v>
      </c>
      <c r="P689" s="1648">
        <f t="shared" si="117"/>
        <v>0</v>
      </c>
      <c r="Q689" s="1648">
        <f t="shared" si="118"/>
        <v>0</v>
      </c>
      <c r="R689" s="55">
        <f t="shared" si="119"/>
        <v>0</v>
      </c>
      <c r="S689" s="55">
        <f t="shared" si="120"/>
        <v>0</v>
      </c>
    </row>
    <row r="690" spans="1:19" ht="25.5" hidden="1" customHeight="1">
      <c r="A690" s="1688"/>
      <c r="B690" s="1648">
        <f t="shared" si="110"/>
        <v>0</v>
      </c>
      <c r="C690" s="1863" t="s">
        <v>5343</v>
      </c>
      <c r="D690" s="1649">
        <f>Data!K614</f>
        <v>2162.33</v>
      </c>
      <c r="E690" s="1687" t="s">
        <v>5324</v>
      </c>
      <c r="F690" s="1649"/>
      <c r="G690" s="1648">
        <f t="shared" si="111"/>
        <v>0</v>
      </c>
      <c r="H690" s="1648"/>
      <c r="I690" s="1648">
        <f t="shared" si="112"/>
        <v>0</v>
      </c>
      <c r="J690" s="1648"/>
      <c r="K690" s="1648">
        <f t="shared" si="113"/>
        <v>0</v>
      </c>
      <c r="L690" s="1648"/>
      <c r="M690" s="1648">
        <f t="shared" si="114"/>
        <v>0</v>
      </c>
      <c r="N690" s="1648">
        <f t="shared" si="115"/>
        <v>0</v>
      </c>
      <c r="O690" s="1648">
        <f t="shared" si="116"/>
        <v>0</v>
      </c>
      <c r="P690" s="1648">
        <f t="shared" si="117"/>
        <v>0</v>
      </c>
      <c r="Q690" s="1648">
        <f t="shared" si="118"/>
        <v>0</v>
      </c>
      <c r="R690" s="55">
        <f t="shared" si="119"/>
        <v>0</v>
      </c>
      <c r="S690" s="55">
        <f t="shared" si="120"/>
        <v>0</v>
      </c>
    </row>
    <row r="691" spans="1:19" ht="25.5" hidden="1" customHeight="1">
      <c r="A691" s="1688"/>
      <c r="B691" s="1648">
        <f t="shared" si="110"/>
        <v>0</v>
      </c>
      <c r="C691" s="1863" t="s">
        <v>5344</v>
      </c>
      <c r="D691" s="1649">
        <f>Data!K615</f>
        <v>2172.1799999999998</v>
      </c>
      <c r="E691" s="1687" t="s">
        <v>5324</v>
      </c>
      <c r="F691" s="1649"/>
      <c r="G691" s="1648">
        <f t="shared" si="111"/>
        <v>0</v>
      </c>
      <c r="H691" s="1648"/>
      <c r="I691" s="1648">
        <f t="shared" si="112"/>
        <v>0</v>
      </c>
      <c r="J691" s="1648"/>
      <c r="K691" s="1648">
        <f t="shared" si="113"/>
        <v>0</v>
      </c>
      <c r="L691" s="1648"/>
      <c r="M691" s="1648">
        <f t="shared" si="114"/>
        <v>0</v>
      </c>
      <c r="N691" s="1648">
        <f t="shared" si="115"/>
        <v>0</v>
      </c>
      <c r="O691" s="1648">
        <f t="shared" si="116"/>
        <v>0</v>
      </c>
      <c r="P691" s="1648">
        <f t="shared" si="117"/>
        <v>0</v>
      </c>
      <c r="Q691" s="1648">
        <f t="shared" si="118"/>
        <v>0</v>
      </c>
      <c r="R691" s="55">
        <f t="shared" si="119"/>
        <v>0</v>
      </c>
      <c r="S691" s="55">
        <f t="shared" si="120"/>
        <v>0</v>
      </c>
    </row>
    <row r="692" spans="1:19" ht="25.5" hidden="1" customHeight="1">
      <c r="A692" s="1688"/>
      <c r="B692" s="1648">
        <f t="shared" si="110"/>
        <v>0</v>
      </c>
      <c r="C692" s="1863" t="s">
        <v>5345</v>
      </c>
      <c r="D692" s="1649">
        <f>Data!K616</f>
        <v>2182.0300000000002</v>
      </c>
      <c r="E692" s="1687" t="s">
        <v>5324</v>
      </c>
      <c r="F692" s="1649"/>
      <c r="G692" s="1648">
        <f t="shared" si="111"/>
        <v>0</v>
      </c>
      <c r="H692" s="1648"/>
      <c r="I692" s="1648">
        <f t="shared" si="112"/>
        <v>0</v>
      </c>
      <c r="J692" s="1648"/>
      <c r="K692" s="1648">
        <f t="shared" si="113"/>
        <v>0</v>
      </c>
      <c r="L692" s="1648"/>
      <c r="M692" s="1648">
        <f t="shared" si="114"/>
        <v>0</v>
      </c>
      <c r="N692" s="1648">
        <f t="shared" si="115"/>
        <v>0</v>
      </c>
      <c r="O692" s="1648">
        <f t="shared" si="116"/>
        <v>0</v>
      </c>
      <c r="P692" s="1648">
        <f t="shared" si="117"/>
        <v>0</v>
      </c>
      <c r="Q692" s="1648">
        <f t="shared" si="118"/>
        <v>0</v>
      </c>
      <c r="R692" s="55">
        <f t="shared" si="119"/>
        <v>0</v>
      </c>
      <c r="S692" s="55">
        <f t="shared" si="120"/>
        <v>0</v>
      </c>
    </row>
    <row r="693" spans="1:19" ht="54.95" customHeight="1">
      <c r="A693" s="1854">
        <v>29.8</v>
      </c>
      <c r="B693" s="1648">
        <f t="shared" si="110"/>
        <v>516.79999999999995</v>
      </c>
      <c r="C693" s="1863" t="s">
        <v>5664</v>
      </c>
      <c r="D693" s="1649">
        <f>ROUND(Data!K1278,2)</f>
        <v>1414.02</v>
      </c>
      <c r="E693" s="1687" t="s">
        <v>724</v>
      </c>
      <c r="F693" s="1649">
        <f>'Detail '!I2384</f>
        <v>516.79999999999995</v>
      </c>
      <c r="G693" s="1648">
        <f t="shared" si="111"/>
        <v>730765.54</v>
      </c>
      <c r="H693" s="1648"/>
      <c r="I693" s="1648">
        <f t="shared" si="112"/>
        <v>0</v>
      </c>
      <c r="J693" s="1648"/>
      <c r="K693" s="1648">
        <f t="shared" si="113"/>
        <v>0</v>
      </c>
      <c r="L693" s="1648"/>
      <c r="M693" s="1648">
        <f t="shared" si="114"/>
        <v>0</v>
      </c>
      <c r="N693" s="1648">
        <f t="shared" si="115"/>
        <v>0</v>
      </c>
      <c r="O693" s="1648">
        <f t="shared" si="116"/>
        <v>0</v>
      </c>
      <c r="P693" s="1648">
        <f t="shared" si="117"/>
        <v>516.79999999999995</v>
      </c>
      <c r="Q693" s="1648">
        <f t="shared" si="118"/>
        <v>730765.54</v>
      </c>
      <c r="R693" s="55">
        <f t="shared" si="119"/>
        <v>730765.54</v>
      </c>
      <c r="S693" s="55">
        <f t="shared" si="120"/>
        <v>0</v>
      </c>
    </row>
    <row r="694" spans="1:19" ht="39.75" hidden="1" customHeight="1">
      <c r="A694" s="1854"/>
      <c r="B694" s="1648">
        <f t="shared" si="110"/>
        <v>0</v>
      </c>
      <c r="C694" s="1863" t="s">
        <v>5665</v>
      </c>
      <c r="D694" s="1649">
        <f>ROUND(Data!K1264,2)</f>
        <v>1239.8</v>
      </c>
      <c r="E694" s="1687" t="s">
        <v>724</v>
      </c>
      <c r="F694" s="1649"/>
      <c r="G694" s="1648">
        <f t="shared" si="111"/>
        <v>0</v>
      </c>
      <c r="H694" s="1648"/>
      <c r="I694" s="1648">
        <f t="shared" si="112"/>
        <v>0</v>
      </c>
      <c r="J694" s="1648"/>
      <c r="K694" s="1648">
        <f t="shared" si="113"/>
        <v>0</v>
      </c>
      <c r="L694" s="1648"/>
      <c r="M694" s="1648">
        <f t="shared" si="114"/>
        <v>0</v>
      </c>
      <c r="N694" s="1648">
        <f t="shared" si="115"/>
        <v>0</v>
      </c>
      <c r="O694" s="1648">
        <f t="shared" si="116"/>
        <v>0</v>
      </c>
      <c r="P694" s="1648">
        <f t="shared" si="117"/>
        <v>0</v>
      </c>
      <c r="Q694" s="1648">
        <f t="shared" si="118"/>
        <v>0</v>
      </c>
      <c r="R694" s="55">
        <f t="shared" si="119"/>
        <v>0</v>
      </c>
      <c r="S694" s="55">
        <f t="shared" si="120"/>
        <v>0</v>
      </c>
    </row>
    <row r="695" spans="1:19" ht="56.25" customHeight="1">
      <c r="A695" s="1854">
        <v>29.9</v>
      </c>
      <c r="B695" s="1648">
        <f t="shared" si="110"/>
        <v>217.5</v>
      </c>
      <c r="C695" s="1863" t="s">
        <v>5666</v>
      </c>
      <c r="D695" s="1654">
        <v>1239.8</v>
      </c>
      <c r="E695" s="1687" t="s">
        <v>724</v>
      </c>
      <c r="F695" s="1649">
        <f>'Detail '!I2428</f>
        <v>217.5</v>
      </c>
      <c r="G695" s="1648">
        <f t="shared" si="111"/>
        <v>269656.5</v>
      </c>
      <c r="H695" s="1648"/>
      <c r="I695" s="1648">
        <f t="shared" si="112"/>
        <v>0</v>
      </c>
      <c r="J695" s="1648"/>
      <c r="K695" s="1648">
        <f t="shared" si="113"/>
        <v>0</v>
      </c>
      <c r="L695" s="1648"/>
      <c r="M695" s="1648">
        <f t="shared" si="114"/>
        <v>0</v>
      </c>
      <c r="N695" s="1648">
        <f t="shared" si="115"/>
        <v>0</v>
      </c>
      <c r="O695" s="1648">
        <f t="shared" si="116"/>
        <v>0</v>
      </c>
      <c r="P695" s="1648">
        <f t="shared" si="117"/>
        <v>217.5</v>
      </c>
      <c r="Q695" s="1648">
        <f t="shared" si="118"/>
        <v>269656.5</v>
      </c>
      <c r="R695" s="55">
        <f t="shared" si="119"/>
        <v>269656.5</v>
      </c>
      <c r="S695" s="55">
        <f t="shared" si="120"/>
        <v>0</v>
      </c>
    </row>
    <row r="696" spans="1:19" ht="44.25" hidden="1" customHeight="1">
      <c r="A696" s="1854">
        <v>38.4</v>
      </c>
      <c r="B696" s="1648">
        <f t="shared" si="110"/>
        <v>0</v>
      </c>
      <c r="C696" s="1863" t="s">
        <v>5667</v>
      </c>
      <c r="D696" s="1649">
        <f>Data!K2725</f>
        <v>135.33000000000001</v>
      </c>
      <c r="E696" s="1687" t="s">
        <v>724</v>
      </c>
      <c r="F696" s="1649"/>
      <c r="G696" s="1648">
        <f t="shared" si="111"/>
        <v>0</v>
      </c>
      <c r="H696" s="1648"/>
      <c r="I696" s="1648">
        <f t="shared" si="112"/>
        <v>0</v>
      </c>
      <c r="J696" s="1648"/>
      <c r="K696" s="1648">
        <f t="shared" si="113"/>
        <v>0</v>
      </c>
      <c r="L696" s="1648"/>
      <c r="M696" s="1648">
        <f t="shared" si="114"/>
        <v>0</v>
      </c>
      <c r="N696" s="1648">
        <f t="shared" si="115"/>
        <v>0</v>
      </c>
      <c r="O696" s="1648">
        <f t="shared" si="116"/>
        <v>0</v>
      </c>
      <c r="P696" s="1648">
        <f t="shared" si="117"/>
        <v>0</v>
      </c>
      <c r="Q696" s="1648">
        <f t="shared" si="118"/>
        <v>0</v>
      </c>
      <c r="R696" s="55">
        <f t="shared" si="119"/>
        <v>0</v>
      </c>
      <c r="S696" s="55">
        <f t="shared" si="120"/>
        <v>0</v>
      </c>
    </row>
    <row r="697" spans="1:19" ht="57.75" hidden="1" customHeight="1">
      <c r="A697" s="1854">
        <v>38.5</v>
      </c>
      <c r="B697" s="1648">
        <f t="shared" si="110"/>
        <v>0</v>
      </c>
      <c r="C697" s="1863" t="s">
        <v>1648</v>
      </c>
      <c r="D697" s="1649">
        <f>ROUND(Data!K1526,2)</f>
        <v>169</v>
      </c>
      <c r="E697" s="1687" t="s">
        <v>724</v>
      </c>
      <c r="F697" s="1649"/>
      <c r="G697" s="1648">
        <f t="shared" si="111"/>
        <v>0</v>
      </c>
      <c r="H697" s="1648"/>
      <c r="I697" s="1648">
        <f t="shared" si="112"/>
        <v>0</v>
      </c>
      <c r="J697" s="1648"/>
      <c r="K697" s="1648">
        <f t="shared" si="113"/>
        <v>0</v>
      </c>
      <c r="L697" s="1648"/>
      <c r="M697" s="1648">
        <f t="shared" si="114"/>
        <v>0</v>
      </c>
      <c r="N697" s="1648">
        <f t="shared" si="115"/>
        <v>0</v>
      </c>
      <c r="O697" s="1648">
        <f t="shared" si="116"/>
        <v>0</v>
      </c>
      <c r="P697" s="1648">
        <f t="shared" si="117"/>
        <v>0</v>
      </c>
      <c r="Q697" s="1648">
        <f t="shared" si="118"/>
        <v>0</v>
      </c>
      <c r="R697" s="55">
        <f t="shared" si="119"/>
        <v>0</v>
      </c>
      <c r="S697" s="55">
        <f t="shared" si="120"/>
        <v>0</v>
      </c>
    </row>
    <row r="698" spans="1:19" ht="63" customHeight="1">
      <c r="A698" s="1854">
        <v>38.6</v>
      </c>
      <c r="B698" s="1648">
        <f t="shared" si="110"/>
        <v>4032</v>
      </c>
      <c r="C698" s="1863" t="s">
        <v>5668</v>
      </c>
      <c r="D698" s="1649">
        <f>ROUND(Data!K2716,2)</f>
        <v>64.16</v>
      </c>
      <c r="E698" s="1687" t="s">
        <v>724</v>
      </c>
      <c r="F698" s="1649">
        <f>'Detail '!I2430</f>
        <v>4032</v>
      </c>
      <c r="G698" s="1648">
        <f t="shared" si="111"/>
        <v>258693.12</v>
      </c>
      <c r="H698" s="1648"/>
      <c r="I698" s="1648">
        <f t="shared" si="112"/>
        <v>0</v>
      </c>
      <c r="J698" s="1648"/>
      <c r="K698" s="1648">
        <f t="shared" si="113"/>
        <v>0</v>
      </c>
      <c r="L698" s="1648"/>
      <c r="M698" s="1648">
        <f t="shared" si="114"/>
        <v>0</v>
      </c>
      <c r="N698" s="1648">
        <f t="shared" si="115"/>
        <v>0</v>
      </c>
      <c r="O698" s="1648">
        <f t="shared" si="116"/>
        <v>0</v>
      </c>
      <c r="P698" s="1648">
        <f t="shared" si="117"/>
        <v>4032</v>
      </c>
      <c r="Q698" s="1648">
        <f t="shared" si="118"/>
        <v>258693.12</v>
      </c>
      <c r="R698" s="55">
        <f t="shared" si="119"/>
        <v>258693.12</v>
      </c>
      <c r="S698" s="55">
        <f t="shared" si="120"/>
        <v>0</v>
      </c>
    </row>
    <row r="699" spans="1:19" ht="73.5" customHeight="1">
      <c r="A699" s="1854">
        <v>42</v>
      </c>
      <c r="B699" s="1648">
        <f t="shared" si="110"/>
        <v>0</v>
      </c>
      <c r="C699" s="1863" t="s">
        <v>5669</v>
      </c>
      <c r="D699" s="1649">
        <f>ROUND(Data!K1582,2)</f>
        <v>92263.5</v>
      </c>
      <c r="E699" s="1687" t="s">
        <v>11</v>
      </c>
      <c r="F699" s="1649"/>
      <c r="G699" s="1648">
        <f t="shared" si="111"/>
        <v>0</v>
      </c>
      <c r="H699" s="1648"/>
      <c r="I699" s="1648">
        <f t="shared" si="112"/>
        <v>0</v>
      </c>
      <c r="J699" s="1648"/>
      <c r="K699" s="1648">
        <f t="shared" si="113"/>
        <v>0</v>
      </c>
      <c r="L699" s="1648"/>
      <c r="M699" s="1648">
        <f t="shared" si="114"/>
        <v>0</v>
      </c>
      <c r="N699" s="1648">
        <f t="shared" si="115"/>
        <v>0</v>
      </c>
      <c r="O699" s="1648">
        <f t="shared" si="116"/>
        <v>0</v>
      </c>
      <c r="P699" s="1648">
        <f t="shared" si="117"/>
        <v>0</v>
      </c>
      <c r="Q699" s="1648">
        <f t="shared" si="118"/>
        <v>0</v>
      </c>
      <c r="R699" s="55">
        <f t="shared" si="119"/>
        <v>0</v>
      </c>
      <c r="S699" s="55">
        <f t="shared" si="120"/>
        <v>0</v>
      </c>
    </row>
    <row r="700" spans="1:19" ht="66" hidden="1" customHeight="1">
      <c r="A700" s="1854">
        <v>43</v>
      </c>
      <c r="B700" s="1648">
        <f t="shared" si="110"/>
        <v>0</v>
      </c>
      <c r="C700" s="1863" t="s">
        <v>5670</v>
      </c>
      <c r="D700" s="1649">
        <f>ROUND(Data!K1608,2)</f>
        <v>90172</v>
      </c>
      <c r="E700" s="1687" t="s">
        <v>11</v>
      </c>
      <c r="F700" s="1649"/>
      <c r="G700" s="1648">
        <f t="shared" si="111"/>
        <v>0</v>
      </c>
      <c r="H700" s="1648"/>
      <c r="I700" s="1648">
        <f t="shared" si="112"/>
        <v>0</v>
      </c>
      <c r="J700" s="1648"/>
      <c r="K700" s="1648">
        <f t="shared" si="113"/>
        <v>0</v>
      </c>
      <c r="L700" s="1648"/>
      <c r="M700" s="1648">
        <f t="shared" si="114"/>
        <v>0</v>
      </c>
      <c r="N700" s="1648">
        <f t="shared" si="115"/>
        <v>0</v>
      </c>
      <c r="O700" s="1648">
        <f t="shared" si="116"/>
        <v>0</v>
      </c>
      <c r="P700" s="1648">
        <f t="shared" si="117"/>
        <v>0</v>
      </c>
      <c r="Q700" s="1648">
        <f t="shared" si="118"/>
        <v>0</v>
      </c>
      <c r="R700" s="55">
        <f t="shared" si="119"/>
        <v>0</v>
      </c>
      <c r="S700" s="55">
        <f t="shared" si="120"/>
        <v>0</v>
      </c>
    </row>
    <row r="701" spans="1:19" ht="46.5" hidden="1">
      <c r="A701" s="1854">
        <v>44.6</v>
      </c>
      <c r="B701" s="1648">
        <f t="shared" si="110"/>
        <v>0</v>
      </c>
      <c r="C701" s="1863" t="s">
        <v>5671</v>
      </c>
      <c r="D701" s="1649">
        <f>ROUND(Data!K1638,2)</f>
        <v>349.29</v>
      </c>
      <c r="E701" s="1687" t="s">
        <v>13</v>
      </c>
      <c r="F701" s="1649"/>
      <c r="G701" s="1648">
        <f t="shared" si="111"/>
        <v>0</v>
      </c>
      <c r="H701" s="1648"/>
      <c r="I701" s="1648">
        <f t="shared" si="112"/>
        <v>0</v>
      </c>
      <c r="J701" s="1648"/>
      <c r="K701" s="1648">
        <f t="shared" si="113"/>
        <v>0</v>
      </c>
      <c r="L701" s="1648"/>
      <c r="M701" s="1648">
        <f t="shared" si="114"/>
        <v>0</v>
      </c>
      <c r="N701" s="1648">
        <f t="shared" si="115"/>
        <v>0</v>
      </c>
      <c r="O701" s="1648">
        <f t="shared" si="116"/>
        <v>0</v>
      </c>
      <c r="P701" s="1648">
        <f t="shared" si="117"/>
        <v>0</v>
      </c>
      <c r="Q701" s="1648">
        <f t="shared" si="118"/>
        <v>0</v>
      </c>
      <c r="R701" s="55">
        <f t="shared" si="119"/>
        <v>0</v>
      </c>
      <c r="S701" s="55">
        <f t="shared" si="120"/>
        <v>0</v>
      </c>
    </row>
    <row r="702" spans="1:19" ht="47.25" hidden="1" customHeight="1">
      <c r="A702" s="1854">
        <v>50.6</v>
      </c>
      <c r="B702" s="1648">
        <f t="shared" si="110"/>
        <v>0</v>
      </c>
      <c r="C702" s="1863" t="s">
        <v>5672</v>
      </c>
      <c r="D702" s="1649">
        <f>ROUND(Data!K2392,2)</f>
        <v>413.9</v>
      </c>
      <c r="E702" s="1687" t="s">
        <v>724</v>
      </c>
      <c r="F702" s="1649"/>
      <c r="G702" s="1648">
        <f t="shared" si="111"/>
        <v>0</v>
      </c>
      <c r="H702" s="1648"/>
      <c r="I702" s="1648">
        <f t="shared" si="112"/>
        <v>0</v>
      </c>
      <c r="J702" s="1648"/>
      <c r="K702" s="1648">
        <f t="shared" si="113"/>
        <v>0</v>
      </c>
      <c r="L702" s="1648"/>
      <c r="M702" s="1648">
        <f t="shared" si="114"/>
        <v>0</v>
      </c>
      <c r="N702" s="1648">
        <f t="shared" si="115"/>
        <v>0</v>
      </c>
      <c r="O702" s="1648">
        <f t="shared" si="116"/>
        <v>0</v>
      </c>
      <c r="P702" s="1648">
        <f t="shared" si="117"/>
        <v>0</v>
      </c>
      <c r="Q702" s="1648">
        <f t="shared" si="118"/>
        <v>0</v>
      </c>
      <c r="R702" s="55">
        <f t="shared" si="119"/>
        <v>0</v>
      </c>
      <c r="S702" s="55">
        <f t="shared" si="120"/>
        <v>0</v>
      </c>
    </row>
    <row r="703" spans="1:19" ht="63.75" customHeight="1">
      <c r="A703" s="1854">
        <v>52.4</v>
      </c>
      <c r="B703" s="1648">
        <f t="shared" si="110"/>
        <v>269.2</v>
      </c>
      <c r="C703" s="1863" t="s">
        <v>5673</v>
      </c>
      <c r="D703" s="1649">
        <v>240.64</v>
      </c>
      <c r="E703" s="1687" t="s">
        <v>13</v>
      </c>
      <c r="F703" s="1649">
        <f>'Detail '!I2470</f>
        <v>269.2</v>
      </c>
      <c r="G703" s="1648">
        <f t="shared" si="111"/>
        <v>64780.29</v>
      </c>
      <c r="H703" s="1648"/>
      <c r="I703" s="1648">
        <f t="shared" si="112"/>
        <v>0</v>
      </c>
      <c r="J703" s="1648"/>
      <c r="K703" s="1648">
        <f t="shared" si="113"/>
        <v>0</v>
      </c>
      <c r="L703" s="1648"/>
      <c r="M703" s="1648">
        <f t="shared" si="114"/>
        <v>0</v>
      </c>
      <c r="N703" s="1648">
        <f t="shared" si="115"/>
        <v>0</v>
      </c>
      <c r="O703" s="1648">
        <f t="shared" si="116"/>
        <v>0</v>
      </c>
      <c r="P703" s="1648">
        <f t="shared" si="117"/>
        <v>269.2</v>
      </c>
      <c r="Q703" s="1648">
        <f t="shared" si="118"/>
        <v>64780.29</v>
      </c>
      <c r="R703" s="55">
        <f t="shared" si="119"/>
        <v>64780.29</v>
      </c>
      <c r="S703" s="55">
        <f t="shared" si="120"/>
        <v>0</v>
      </c>
    </row>
    <row r="704" spans="1:19" ht="55.5" customHeight="1">
      <c r="A704" s="1854">
        <v>53.4</v>
      </c>
      <c r="B704" s="1648">
        <f t="shared" si="110"/>
        <v>8</v>
      </c>
      <c r="C704" s="1863" t="s">
        <v>5674</v>
      </c>
      <c r="D704" s="1649">
        <f>Data!K1951</f>
        <v>1864</v>
      </c>
      <c r="E704" s="1687" t="s">
        <v>729</v>
      </c>
      <c r="F704" s="1649">
        <f>'Detail '!I2475</f>
        <v>6</v>
      </c>
      <c r="G704" s="1648">
        <f t="shared" si="111"/>
        <v>11184</v>
      </c>
      <c r="H704" s="1648"/>
      <c r="I704" s="1648">
        <f t="shared" si="112"/>
        <v>0</v>
      </c>
      <c r="J704" s="1648">
        <f>Sump!I38</f>
        <v>2</v>
      </c>
      <c r="K704" s="1648">
        <f t="shared" si="113"/>
        <v>3728</v>
      </c>
      <c r="L704" s="1648"/>
      <c r="M704" s="1648">
        <f t="shared" si="114"/>
        <v>0</v>
      </c>
      <c r="N704" s="1648">
        <f t="shared" si="115"/>
        <v>2</v>
      </c>
      <c r="O704" s="1648">
        <f t="shared" si="116"/>
        <v>3728</v>
      </c>
      <c r="P704" s="1648">
        <f t="shared" si="117"/>
        <v>8</v>
      </c>
      <c r="Q704" s="1648">
        <f t="shared" si="118"/>
        <v>14912</v>
      </c>
      <c r="R704" s="55">
        <f t="shared" si="119"/>
        <v>14912</v>
      </c>
      <c r="S704" s="55">
        <f t="shared" si="120"/>
        <v>0</v>
      </c>
    </row>
    <row r="705" spans="1:19" ht="60.75" hidden="1" customHeight="1">
      <c r="A705" s="1854"/>
      <c r="B705" s="1648">
        <f t="shared" si="110"/>
        <v>0</v>
      </c>
      <c r="C705" s="1863" t="s">
        <v>5675</v>
      </c>
      <c r="D705" s="1649">
        <f>Data!R3572</f>
        <v>3406.02</v>
      </c>
      <c r="E705" s="1687" t="s">
        <v>729</v>
      </c>
      <c r="F705" s="1649"/>
      <c r="G705" s="1648">
        <f t="shared" si="111"/>
        <v>0</v>
      </c>
      <c r="H705" s="1648"/>
      <c r="I705" s="1648">
        <f t="shared" si="112"/>
        <v>0</v>
      </c>
      <c r="J705" s="1648"/>
      <c r="K705" s="1648">
        <f t="shared" si="113"/>
        <v>0</v>
      </c>
      <c r="L705" s="1648"/>
      <c r="M705" s="1648">
        <f t="shared" si="114"/>
        <v>0</v>
      </c>
      <c r="N705" s="1648">
        <f t="shared" si="115"/>
        <v>0</v>
      </c>
      <c r="O705" s="1648">
        <f t="shared" si="116"/>
        <v>0</v>
      </c>
      <c r="P705" s="1648">
        <f t="shared" si="117"/>
        <v>0</v>
      </c>
      <c r="Q705" s="1648">
        <f t="shared" si="118"/>
        <v>0</v>
      </c>
      <c r="R705" s="55">
        <f t="shared" si="119"/>
        <v>0</v>
      </c>
      <c r="S705" s="55">
        <f t="shared" si="120"/>
        <v>0</v>
      </c>
    </row>
    <row r="706" spans="1:19" ht="88.5" hidden="1" customHeight="1">
      <c r="A706" s="1854">
        <v>54.3</v>
      </c>
      <c r="B706" s="1648">
        <f t="shared" si="110"/>
        <v>0</v>
      </c>
      <c r="C706" s="1863" t="s">
        <v>5676</v>
      </c>
      <c r="D706" s="1649">
        <f>ROUND(Data!K1954,2)</f>
        <v>206</v>
      </c>
      <c r="E706" s="1687" t="s">
        <v>729</v>
      </c>
      <c r="F706" s="1649"/>
      <c r="G706" s="1648">
        <f t="shared" si="111"/>
        <v>0</v>
      </c>
      <c r="H706" s="1648"/>
      <c r="I706" s="1648">
        <f t="shared" si="112"/>
        <v>0</v>
      </c>
      <c r="J706" s="1648"/>
      <c r="K706" s="1648">
        <f t="shared" si="113"/>
        <v>0</v>
      </c>
      <c r="L706" s="1648"/>
      <c r="M706" s="1648">
        <f t="shared" si="114"/>
        <v>0</v>
      </c>
      <c r="N706" s="1648">
        <f t="shared" si="115"/>
        <v>0</v>
      </c>
      <c r="O706" s="1648">
        <f t="shared" si="116"/>
        <v>0</v>
      </c>
      <c r="P706" s="1648">
        <f t="shared" si="117"/>
        <v>0</v>
      </c>
      <c r="Q706" s="1648">
        <f t="shared" si="118"/>
        <v>0</v>
      </c>
      <c r="R706" s="55">
        <f t="shared" si="119"/>
        <v>0</v>
      </c>
      <c r="S706" s="55">
        <f t="shared" si="120"/>
        <v>0</v>
      </c>
    </row>
    <row r="707" spans="1:19" ht="72.75" hidden="1" customHeight="1">
      <c r="A707" s="1854">
        <v>56.3</v>
      </c>
      <c r="B707" s="1648">
        <f t="shared" si="110"/>
        <v>0</v>
      </c>
      <c r="C707" s="1863" t="s">
        <v>5677</v>
      </c>
      <c r="D707" s="1649">
        <f>ROUND(Data!K1977,2)</f>
        <v>3445.38</v>
      </c>
      <c r="E707" s="1687" t="s">
        <v>729</v>
      </c>
      <c r="F707" s="1649"/>
      <c r="G707" s="1648">
        <f t="shared" si="111"/>
        <v>0</v>
      </c>
      <c r="H707" s="1648"/>
      <c r="I707" s="1648">
        <f t="shared" si="112"/>
        <v>0</v>
      </c>
      <c r="J707" s="1648"/>
      <c r="K707" s="1648">
        <f t="shared" si="113"/>
        <v>0</v>
      </c>
      <c r="L707" s="1648"/>
      <c r="M707" s="1648">
        <f t="shared" si="114"/>
        <v>0</v>
      </c>
      <c r="N707" s="1648">
        <f t="shared" si="115"/>
        <v>0</v>
      </c>
      <c r="O707" s="1648">
        <f t="shared" si="116"/>
        <v>0</v>
      </c>
      <c r="P707" s="1648">
        <f t="shared" si="117"/>
        <v>0</v>
      </c>
      <c r="Q707" s="1648">
        <f t="shared" si="118"/>
        <v>0</v>
      </c>
      <c r="R707" s="55">
        <f t="shared" si="119"/>
        <v>0</v>
      </c>
      <c r="S707" s="55">
        <f t="shared" si="120"/>
        <v>0</v>
      </c>
    </row>
    <row r="708" spans="1:19" ht="86.25" hidden="1" customHeight="1">
      <c r="A708" s="1854">
        <v>56.4</v>
      </c>
      <c r="B708" s="1648">
        <f t="shared" si="110"/>
        <v>0</v>
      </c>
      <c r="C708" s="1863" t="s">
        <v>3661</v>
      </c>
      <c r="D708" s="1649">
        <f>ROUND(Data!K1998,2)</f>
        <v>5359.56</v>
      </c>
      <c r="E708" s="1687" t="s">
        <v>729</v>
      </c>
      <c r="F708" s="1649"/>
      <c r="G708" s="1648">
        <f t="shared" si="111"/>
        <v>0</v>
      </c>
      <c r="H708" s="1648"/>
      <c r="I708" s="1648">
        <f t="shared" si="112"/>
        <v>0</v>
      </c>
      <c r="J708" s="1648"/>
      <c r="K708" s="1648">
        <f t="shared" si="113"/>
        <v>0</v>
      </c>
      <c r="L708" s="1648"/>
      <c r="M708" s="1648">
        <f t="shared" si="114"/>
        <v>0</v>
      </c>
      <c r="N708" s="1648">
        <f t="shared" si="115"/>
        <v>0</v>
      </c>
      <c r="O708" s="1648">
        <f t="shared" si="116"/>
        <v>0</v>
      </c>
      <c r="P708" s="1648">
        <f t="shared" si="117"/>
        <v>0</v>
      </c>
      <c r="Q708" s="1648">
        <f t="shared" si="118"/>
        <v>0</v>
      </c>
      <c r="R708" s="55">
        <f t="shared" si="119"/>
        <v>0</v>
      </c>
      <c r="S708" s="55">
        <f t="shared" si="120"/>
        <v>0</v>
      </c>
    </row>
    <row r="709" spans="1:19" ht="48" hidden="1" customHeight="1">
      <c r="A709" s="1854">
        <v>58.3</v>
      </c>
      <c r="B709" s="1648">
        <f t="shared" si="110"/>
        <v>0</v>
      </c>
      <c r="C709" s="1864" t="s">
        <v>3664</v>
      </c>
      <c r="D709" s="1649"/>
      <c r="E709" s="1692"/>
      <c r="F709" s="1649"/>
      <c r="G709" s="1648">
        <f t="shared" si="111"/>
        <v>0</v>
      </c>
      <c r="H709" s="1648"/>
      <c r="I709" s="1648">
        <f t="shared" si="112"/>
        <v>0</v>
      </c>
      <c r="J709" s="1648"/>
      <c r="K709" s="1648">
        <f t="shared" si="113"/>
        <v>0</v>
      </c>
      <c r="L709" s="1648"/>
      <c r="M709" s="1648">
        <f t="shared" si="114"/>
        <v>0</v>
      </c>
      <c r="N709" s="1648">
        <f t="shared" si="115"/>
        <v>0</v>
      </c>
      <c r="O709" s="1648">
        <f t="shared" si="116"/>
        <v>0</v>
      </c>
      <c r="P709" s="1648">
        <f t="shared" si="117"/>
        <v>0</v>
      </c>
      <c r="Q709" s="1648">
        <f t="shared" si="118"/>
        <v>0</v>
      </c>
      <c r="R709" s="55">
        <f t="shared" si="119"/>
        <v>0</v>
      </c>
      <c r="S709" s="55">
        <f t="shared" si="120"/>
        <v>0</v>
      </c>
    </row>
    <row r="710" spans="1:19" ht="48" hidden="1" customHeight="1">
      <c r="A710" s="1854"/>
      <c r="B710" s="1648">
        <f t="shared" ref="B710:B773" si="121">P710</f>
        <v>0</v>
      </c>
      <c r="C710" s="1863" t="s">
        <v>5500</v>
      </c>
      <c r="D710" s="1649">
        <f>ROUND(Data!K2063,2)</f>
        <v>735.27</v>
      </c>
      <c r="E710" s="1687" t="s">
        <v>13</v>
      </c>
      <c r="F710" s="1649"/>
      <c r="G710" s="1648">
        <f t="shared" ref="G710:G773" si="122">F710*D710</f>
        <v>0</v>
      </c>
      <c r="H710" s="1648"/>
      <c r="I710" s="1648">
        <f t="shared" ref="I710:I773" si="123">H710*D710</f>
        <v>0</v>
      </c>
      <c r="J710" s="1648"/>
      <c r="K710" s="1648">
        <f t="shared" ref="K710:K773" si="124">J710*D710</f>
        <v>0</v>
      </c>
      <c r="L710" s="1648"/>
      <c r="M710" s="1648">
        <f t="shared" ref="M710:M773" si="125">L710*D710</f>
        <v>0</v>
      </c>
      <c r="N710" s="1648">
        <f t="shared" ref="N710:N773" si="126">H710+J710+L710</f>
        <v>0</v>
      </c>
      <c r="O710" s="1648">
        <f t="shared" ref="O710:O773" si="127">N710*D710</f>
        <v>0</v>
      </c>
      <c r="P710" s="1648">
        <f t="shared" ref="P710:P773" si="128">N710+F710</f>
        <v>0</v>
      </c>
      <c r="Q710" s="1648">
        <f t="shared" ref="Q710:Q773" si="129">P710*D710</f>
        <v>0</v>
      </c>
      <c r="R710" s="55">
        <f t="shared" ref="R710:R773" si="130">G710+I710+K710+M710</f>
        <v>0</v>
      </c>
      <c r="S710" s="55">
        <f t="shared" ref="S710:S773" si="131">Q710-R710</f>
        <v>0</v>
      </c>
    </row>
    <row r="711" spans="1:19" ht="48" hidden="1" customHeight="1">
      <c r="A711" s="1691"/>
      <c r="B711" s="1648">
        <f t="shared" si="121"/>
        <v>0</v>
      </c>
      <c r="C711" s="1863" t="s">
        <v>5501</v>
      </c>
      <c r="D711" s="1649">
        <f>ROUND(Data!K2087,2)</f>
        <v>617.97</v>
      </c>
      <c r="E711" s="1687" t="s">
        <v>13</v>
      </c>
      <c r="F711" s="1649"/>
      <c r="G711" s="1648">
        <f t="shared" si="122"/>
        <v>0</v>
      </c>
      <c r="H711" s="1648"/>
      <c r="I711" s="1648">
        <f t="shared" si="123"/>
        <v>0</v>
      </c>
      <c r="J711" s="1648"/>
      <c r="K711" s="1648">
        <f t="shared" si="124"/>
        <v>0</v>
      </c>
      <c r="L711" s="1648"/>
      <c r="M711" s="1648">
        <f t="shared" si="125"/>
        <v>0</v>
      </c>
      <c r="N711" s="1648">
        <f t="shared" si="126"/>
        <v>0</v>
      </c>
      <c r="O711" s="1648">
        <f t="shared" si="127"/>
        <v>0</v>
      </c>
      <c r="P711" s="1648">
        <f t="shared" si="128"/>
        <v>0</v>
      </c>
      <c r="Q711" s="1648">
        <f t="shared" si="129"/>
        <v>0</v>
      </c>
      <c r="R711" s="55">
        <f t="shared" si="130"/>
        <v>0</v>
      </c>
      <c r="S711" s="55">
        <f t="shared" si="131"/>
        <v>0</v>
      </c>
    </row>
    <row r="712" spans="1:19" ht="78.75" customHeight="1">
      <c r="A712" s="1854">
        <v>58.4</v>
      </c>
      <c r="B712" s="1648">
        <f t="shared" si="121"/>
        <v>132</v>
      </c>
      <c r="C712" s="1863" t="s">
        <v>5678</v>
      </c>
      <c r="D712" s="1649">
        <v>114.45</v>
      </c>
      <c r="E712" s="1692" t="s">
        <v>13</v>
      </c>
      <c r="F712" s="1649">
        <f>'Detail '!I2485</f>
        <v>132</v>
      </c>
      <c r="G712" s="1648">
        <f t="shared" si="122"/>
        <v>15107.4</v>
      </c>
      <c r="H712" s="1648"/>
      <c r="I712" s="1648">
        <f t="shared" si="123"/>
        <v>0</v>
      </c>
      <c r="J712" s="1648"/>
      <c r="K712" s="1648">
        <f t="shared" si="124"/>
        <v>0</v>
      </c>
      <c r="L712" s="1648"/>
      <c r="M712" s="1648">
        <f t="shared" si="125"/>
        <v>0</v>
      </c>
      <c r="N712" s="1648">
        <f t="shared" si="126"/>
        <v>0</v>
      </c>
      <c r="O712" s="1648">
        <f t="shared" si="127"/>
        <v>0</v>
      </c>
      <c r="P712" s="1648">
        <f t="shared" si="128"/>
        <v>132</v>
      </c>
      <c r="Q712" s="1648">
        <f t="shared" si="129"/>
        <v>15107.4</v>
      </c>
      <c r="R712" s="55">
        <f t="shared" si="130"/>
        <v>15107.4</v>
      </c>
      <c r="S712" s="55">
        <f t="shared" si="131"/>
        <v>0</v>
      </c>
    </row>
    <row r="713" spans="1:19" ht="67.5" hidden="1" customHeight="1">
      <c r="A713" s="1854">
        <v>58.5</v>
      </c>
      <c r="B713" s="1648">
        <f t="shared" si="121"/>
        <v>0</v>
      </c>
      <c r="C713" s="1863" t="s">
        <v>5679</v>
      </c>
      <c r="D713" s="1649">
        <f>ROUND(Data!K2098,2)</f>
        <v>454</v>
      </c>
      <c r="E713" s="1692" t="s">
        <v>729</v>
      </c>
      <c r="F713" s="1649"/>
      <c r="G713" s="1648">
        <f t="shared" si="122"/>
        <v>0</v>
      </c>
      <c r="H713" s="1648"/>
      <c r="I713" s="1648">
        <f t="shared" si="123"/>
        <v>0</v>
      </c>
      <c r="J713" s="1648"/>
      <c r="K713" s="1648">
        <f t="shared" si="124"/>
        <v>0</v>
      </c>
      <c r="L713" s="1648"/>
      <c r="M713" s="1648">
        <f t="shared" si="125"/>
        <v>0</v>
      </c>
      <c r="N713" s="1648">
        <f t="shared" si="126"/>
        <v>0</v>
      </c>
      <c r="O713" s="1648">
        <f t="shared" si="127"/>
        <v>0</v>
      </c>
      <c r="P713" s="1648">
        <f t="shared" si="128"/>
        <v>0</v>
      </c>
      <c r="Q713" s="1648">
        <f t="shared" si="129"/>
        <v>0</v>
      </c>
      <c r="R713" s="55">
        <f t="shared" si="130"/>
        <v>0</v>
      </c>
      <c r="S713" s="55">
        <f t="shared" si="131"/>
        <v>0</v>
      </c>
    </row>
    <row r="714" spans="1:19" ht="98.25" hidden="1" customHeight="1">
      <c r="A714" s="1854"/>
      <c r="B714" s="1648">
        <f t="shared" si="121"/>
        <v>0</v>
      </c>
      <c r="C714" s="1864" t="s">
        <v>5680</v>
      </c>
      <c r="D714" s="1649"/>
      <c r="E714" s="1692"/>
      <c r="F714" s="1649"/>
      <c r="G714" s="1648">
        <f t="shared" si="122"/>
        <v>0</v>
      </c>
      <c r="H714" s="1648"/>
      <c r="I714" s="1648">
        <f t="shared" si="123"/>
        <v>0</v>
      </c>
      <c r="J714" s="1648"/>
      <c r="K714" s="1648">
        <f t="shared" si="124"/>
        <v>0</v>
      </c>
      <c r="L714" s="1648"/>
      <c r="M714" s="1648">
        <f t="shared" si="125"/>
        <v>0</v>
      </c>
      <c r="N714" s="1648">
        <f t="shared" si="126"/>
        <v>0</v>
      </c>
      <c r="O714" s="1648">
        <f t="shared" si="127"/>
        <v>0</v>
      </c>
      <c r="P714" s="1648">
        <f t="shared" si="128"/>
        <v>0</v>
      </c>
      <c r="Q714" s="1648">
        <f t="shared" si="129"/>
        <v>0</v>
      </c>
      <c r="R714" s="55">
        <f t="shared" si="130"/>
        <v>0</v>
      </c>
      <c r="S714" s="55">
        <f t="shared" si="131"/>
        <v>0</v>
      </c>
    </row>
    <row r="715" spans="1:19" ht="47.25" hidden="1" customHeight="1">
      <c r="A715" s="1854"/>
      <c r="B715" s="1648">
        <f t="shared" si="121"/>
        <v>0</v>
      </c>
      <c r="C715" s="1863" t="s">
        <v>5520</v>
      </c>
      <c r="D715" s="1649">
        <f>Elec.Data!K29</f>
        <v>1630</v>
      </c>
      <c r="E715" s="1691" t="s">
        <v>729</v>
      </c>
      <c r="F715" s="1649"/>
      <c r="G715" s="1648">
        <f t="shared" si="122"/>
        <v>0</v>
      </c>
      <c r="H715" s="1648"/>
      <c r="I715" s="1648">
        <f t="shared" si="123"/>
        <v>0</v>
      </c>
      <c r="J715" s="1648"/>
      <c r="K715" s="1648">
        <f t="shared" si="124"/>
        <v>0</v>
      </c>
      <c r="L715" s="1648"/>
      <c r="M715" s="1648">
        <f t="shared" si="125"/>
        <v>0</v>
      </c>
      <c r="N715" s="1648">
        <f t="shared" si="126"/>
        <v>0</v>
      </c>
      <c r="O715" s="1648">
        <f t="shared" si="127"/>
        <v>0</v>
      </c>
      <c r="P715" s="1648">
        <f t="shared" si="128"/>
        <v>0</v>
      </c>
      <c r="Q715" s="1648">
        <f t="shared" si="129"/>
        <v>0</v>
      </c>
      <c r="R715" s="55">
        <f t="shared" si="130"/>
        <v>0</v>
      </c>
      <c r="S715" s="55">
        <f t="shared" si="131"/>
        <v>0</v>
      </c>
    </row>
    <row r="716" spans="1:19" ht="47.25" hidden="1" customHeight="1">
      <c r="A716" s="1854"/>
      <c r="B716" s="1648">
        <f t="shared" si="121"/>
        <v>0</v>
      </c>
      <c r="C716" s="1863" t="s">
        <v>3669</v>
      </c>
      <c r="D716" s="1649">
        <f>Elec.Data!K53</f>
        <v>1633</v>
      </c>
      <c r="E716" s="1691" t="s">
        <v>729</v>
      </c>
      <c r="F716" s="1649"/>
      <c r="G716" s="1648">
        <f t="shared" si="122"/>
        <v>0</v>
      </c>
      <c r="H716" s="1648"/>
      <c r="I716" s="1648">
        <f t="shared" si="123"/>
        <v>0</v>
      </c>
      <c r="J716" s="1648"/>
      <c r="K716" s="1648">
        <f t="shared" si="124"/>
        <v>0</v>
      </c>
      <c r="L716" s="1648"/>
      <c r="M716" s="1648">
        <f t="shared" si="125"/>
        <v>0</v>
      </c>
      <c r="N716" s="1648">
        <f t="shared" si="126"/>
        <v>0</v>
      </c>
      <c r="O716" s="1648">
        <f t="shared" si="127"/>
        <v>0</v>
      </c>
      <c r="P716" s="1648">
        <f t="shared" si="128"/>
        <v>0</v>
      </c>
      <c r="Q716" s="1648">
        <f t="shared" si="129"/>
        <v>0</v>
      </c>
      <c r="R716" s="55">
        <f t="shared" si="130"/>
        <v>0</v>
      </c>
      <c r="S716" s="55">
        <f t="shared" si="131"/>
        <v>0</v>
      </c>
    </row>
    <row r="717" spans="1:19" ht="47.25" hidden="1" customHeight="1">
      <c r="A717" s="1691"/>
      <c r="B717" s="1648">
        <f t="shared" si="121"/>
        <v>0</v>
      </c>
      <c r="C717" s="1863" t="s">
        <v>5521</v>
      </c>
      <c r="D717" s="1649">
        <f>Elec.Data!K68</f>
        <v>1670</v>
      </c>
      <c r="E717" s="1691" t="s">
        <v>729</v>
      </c>
      <c r="F717" s="1649"/>
      <c r="G717" s="1648">
        <f t="shared" si="122"/>
        <v>0</v>
      </c>
      <c r="H717" s="1648"/>
      <c r="I717" s="1648">
        <f t="shared" si="123"/>
        <v>0</v>
      </c>
      <c r="J717" s="1648"/>
      <c r="K717" s="1648">
        <f t="shared" si="124"/>
        <v>0</v>
      </c>
      <c r="L717" s="1648"/>
      <c r="M717" s="1648">
        <f t="shared" si="125"/>
        <v>0</v>
      </c>
      <c r="N717" s="1648">
        <f t="shared" si="126"/>
        <v>0</v>
      </c>
      <c r="O717" s="1648">
        <f t="shared" si="127"/>
        <v>0</v>
      </c>
      <c r="P717" s="1648">
        <f t="shared" si="128"/>
        <v>0</v>
      </c>
      <c r="Q717" s="1648">
        <f t="shared" si="129"/>
        <v>0</v>
      </c>
      <c r="R717" s="55">
        <f t="shared" si="130"/>
        <v>0</v>
      </c>
      <c r="S717" s="55">
        <f t="shared" si="131"/>
        <v>0</v>
      </c>
    </row>
    <row r="718" spans="1:19" ht="113.25" hidden="1" customHeight="1">
      <c r="A718" s="1854">
        <v>65.099999999999994</v>
      </c>
      <c r="B718" s="1648">
        <f t="shared" si="121"/>
        <v>0</v>
      </c>
      <c r="C718" s="1863" t="s">
        <v>5681</v>
      </c>
      <c r="D718" s="1649">
        <f>Elec.Data!K90</f>
        <v>1705</v>
      </c>
      <c r="E718" s="1691" t="s">
        <v>729</v>
      </c>
      <c r="F718" s="1649"/>
      <c r="G718" s="1648">
        <f t="shared" si="122"/>
        <v>0</v>
      </c>
      <c r="H718" s="1648"/>
      <c r="I718" s="1648">
        <f t="shared" si="123"/>
        <v>0</v>
      </c>
      <c r="J718" s="1648"/>
      <c r="K718" s="1648">
        <f t="shared" si="124"/>
        <v>0</v>
      </c>
      <c r="L718" s="1648"/>
      <c r="M718" s="1648">
        <f t="shared" si="125"/>
        <v>0</v>
      </c>
      <c r="N718" s="1648">
        <f t="shared" si="126"/>
        <v>0</v>
      </c>
      <c r="O718" s="1648">
        <f t="shared" si="127"/>
        <v>0</v>
      </c>
      <c r="P718" s="1648">
        <f t="shared" si="128"/>
        <v>0</v>
      </c>
      <c r="Q718" s="1648">
        <f t="shared" si="129"/>
        <v>0</v>
      </c>
      <c r="R718" s="55">
        <f t="shared" si="130"/>
        <v>0</v>
      </c>
      <c r="S718" s="55">
        <f t="shared" si="131"/>
        <v>0</v>
      </c>
    </row>
    <row r="719" spans="1:19" ht="108" hidden="1" customHeight="1">
      <c r="A719" s="1854">
        <v>66.099999999999994</v>
      </c>
      <c r="B719" s="1648">
        <f t="shared" si="121"/>
        <v>0</v>
      </c>
      <c r="C719" s="1863" t="s">
        <v>5682</v>
      </c>
      <c r="D719" s="1649">
        <f>Elec.Data!K114</f>
        <v>3052</v>
      </c>
      <c r="E719" s="1691" t="s">
        <v>729</v>
      </c>
      <c r="F719" s="1649"/>
      <c r="G719" s="1648">
        <f t="shared" si="122"/>
        <v>0</v>
      </c>
      <c r="H719" s="1648"/>
      <c r="I719" s="1648">
        <f t="shared" si="123"/>
        <v>0</v>
      </c>
      <c r="J719" s="1648"/>
      <c r="K719" s="1648">
        <f t="shared" si="124"/>
        <v>0</v>
      </c>
      <c r="L719" s="1648"/>
      <c r="M719" s="1648">
        <f t="shared" si="125"/>
        <v>0</v>
      </c>
      <c r="N719" s="1648">
        <f t="shared" si="126"/>
        <v>0</v>
      </c>
      <c r="O719" s="1648">
        <f t="shared" si="127"/>
        <v>0</v>
      </c>
      <c r="P719" s="1648">
        <f t="shared" si="128"/>
        <v>0</v>
      </c>
      <c r="Q719" s="1648">
        <f t="shared" si="129"/>
        <v>0</v>
      </c>
      <c r="R719" s="55">
        <f t="shared" si="130"/>
        <v>0</v>
      </c>
      <c r="S719" s="55">
        <f t="shared" si="131"/>
        <v>0</v>
      </c>
    </row>
    <row r="720" spans="1:19" ht="125.25" hidden="1" customHeight="1">
      <c r="A720" s="1854"/>
      <c r="B720" s="1648">
        <f t="shared" si="121"/>
        <v>0</v>
      </c>
      <c r="C720" s="1863" t="s">
        <v>5683</v>
      </c>
      <c r="D720" s="1649">
        <f>Elec.Data!K146</f>
        <v>835</v>
      </c>
      <c r="E720" s="1691" t="s">
        <v>729</v>
      </c>
      <c r="F720" s="1649"/>
      <c r="G720" s="1648">
        <f t="shared" si="122"/>
        <v>0</v>
      </c>
      <c r="H720" s="1648"/>
      <c r="I720" s="1648">
        <f t="shared" si="123"/>
        <v>0</v>
      </c>
      <c r="J720" s="1648"/>
      <c r="K720" s="1648">
        <f t="shared" si="124"/>
        <v>0</v>
      </c>
      <c r="L720" s="1648"/>
      <c r="M720" s="1648">
        <f t="shared" si="125"/>
        <v>0</v>
      </c>
      <c r="N720" s="1648">
        <f t="shared" si="126"/>
        <v>0</v>
      </c>
      <c r="O720" s="1648">
        <f t="shared" si="127"/>
        <v>0</v>
      </c>
      <c r="P720" s="1648">
        <f t="shared" si="128"/>
        <v>0</v>
      </c>
      <c r="Q720" s="1648">
        <f t="shared" si="129"/>
        <v>0</v>
      </c>
      <c r="R720" s="55">
        <f t="shared" si="130"/>
        <v>0</v>
      </c>
      <c r="S720" s="55">
        <f t="shared" si="131"/>
        <v>0</v>
      </c>
    </row>
    <row r="721" spans="1:19" ht="125.25" hidden="1" customHeight="1">
      <c r="A721" s="1854">
        <v>68.2</v>
      </c>
      <c r="B721" s="1648">
        <f t="shared" si="121"/>
        <v>0</v>
      </c>
      <c r="C721" s="1863" t="s">
        <v>5684</v>
      </c>
      <c r="D721" s="1649">
        <f>Elec.Data!K134</f>
        <v>1133</v>
      </c>
      <c r="E721" s="1691" t="s">
        <v>729</v>
      </c>
      <c r="F721" s="1649"/>
      <c r="G721" s="1648">
        <f t="shared" si="122"/>
        <v>0</v>
      </c>
      <c r="H721" s="1648"/>
      <c r="I721" s="1648">
        <f t="shared" si="123"/>
        <v>0</v>
      </c>
      <c r="J721" s="1648"/>
      <c r="K721" s="1648">
        <f t="shared" si="124"/>
        <v>0</v>
      </c>
      <c r="L721" s="1648"/>
      <c r="M721" s="1648">
        <f t="shared" si="125"/>
        <v>0</v>
      </c>
      <c r="N721" s="1648">
        <f t="shared" si="126"/>
        <v>0</v>
      </c>
      <c r="O721" s="1648">
        <f t="shared" si="127"/>
        <v>0</v>
      </c>
      <c r="P721" s="1648">
        <f t="shared" si="128"/>
        <v>0</v>
      </c>
      <c r="Q721" s="1648">
        <f t="shared" si="129"/>
        <v>0</v>
      </c>
      <c r="R721" s="55">
        <f t="shared" si="130"/>
        <v>0</v>
      </c>
      <c r="S721" s="55">
        <f t="shared" si="131"/>
        <v>0</v>
      </c>
    </row>
    <row r="722" spans="1:19" ht="60.75" hidden="1" customHeight="1">
      <c r="A722" s="1854">
        <v>70.5</v>
      </c>
      <c r="B722" s="1648">
        <f t="shared" si="121"/>
        <v>0</v>
      </c>
      <c r="C722" s="1863" t="s">
        <v>5685</v>
      </c>
      <c r="D722" s="1649">
        <f>Elec.Data!K157</f>
        <v>150</v>
      </c>
      <c r="E722" s="1691" t="s">
        <v>729</v>
      </c>
      <c r="F722" s="1649"/>
      <c r="G722" s="1648">
        <f t="shared" si="122"/>
        <v>0</v>
      </c>
      <c r="H722" s="1648"/>
      <c r="I722" s="1648">
        <f t="shared" si="123"/>
        <v>0</v>
      </c>
      <c r="J722" s="1648"/>
      <c r="K722" s="1648">
        <f t="shared" si="124"/>
        <v>0</v>
      </c>
      <c r="L722" s="1648"/>
      <c r="M722" s="1648">
        <f t="shared" si="125"/>
        <v>0</v>
      </c>
      <c r="N722" s="1648">
        <f t="shared" si="126"/>
        <v>0</v>
      </c>
      <c r="O722" s="1648">
        <f t="shared" si="127"/>
        <v>0</v>
      </c>
      <c r="P722" s="1648">
        <f t="shared" si="128"/>
        <v>0</v>
      </c>
      <c r="Q722" s="1648">
        <f t="shared" si="129"/>
        <v>0</v>
      </c>
      <c r="R722" s="55">
        <f t="shared" si="130"/>
        <v>0</v>
      </c>
      <c r="S722" s="55">
        <f t="shared" si="131"/>
        <v>0</v>
      </c>
    </row>
    <row r="723" spans="1:19" ht="63.75" customHeight="1">
      <c r="A723" s="1691"/>
      <c r="B723" s="1648">
        <f t="shared" si="121"/>
        <v>163</v>
      </c>
      <c r="C723" s="1863" t="s">
        <v>5686</v>
      </c>
      <c r="D723" s="1649">
        <f>ROUND(Data!K3038,2)</f>
        <v>1552.7</v>
      </c>
      <c r="E723" s="1691" t="s">
        <v>729</v>
      </c>
      <c r="F723" s="1654">
        <v>163</v>
      </c>
      <c r="G723" s="1648">
        <f t="shared" si="122"/>
        <v>253090.1</v>
      </c>
      <c r="H723" s="1648"/>
      <c r="I723" s="1648">
        <f t="shared" si="123"/>
        <v>0</v>
      </c>
      <c r="J723" s="1648"/>
      <c r="K723" s="1648">
        <f t="shared" si="124"/>
        <v>0</v>
      </c>
      <c r="L723" s="1648"/>
      <c r="M723" s="1648">
        <f t="shared" si="125"/>
        <v>0</v>
      </c>
      <c r="N723" s="1648">
        <f t="shared" si="126"/>
        <v>0</v>
      </c>
      <c r="O723" s="1648">
        <f t="shared" si="127"/>
        <v>0</v>
      </c>
      <c r="P723" s="1648">
        <f t="shared" si="128"/>
        <v>163</v>
      </c>
      <c r="Q723" s="1648">
        <f t="shared" si="129"/>
        <v>253090.1</v>
      </c>
      <c r="R723" s="55">
        <f t="shared" si="130"/>
        <v>253090.1</v>
      </c>
      <c r="S723" s="55">
        <f t="shared" si="131"/>
        <v>0</v>
      </c>
    </row>
    <row r="724" spans="1:19" ht="87" customHeight="1">
      <c r="A724" s="1691"/>
      <c r="B724" s="1648">
        <f t="shared" si="121"/>
        <v>324.60000000000002</v>
      </c>
      <c r="C724" s="1863" t="s">
        <v>5687</v>
      </c>
      <c r="D724" s="1649">
        <v>266</v>
      </c>
      <c r="E724" s="1692" t="s">
        <v>13</v>
      </c>
      <c r="F724" s="1649">
        <f>'Detail '!I2550</f>
        <v>324.60000000000002</v>
      </c>
      <c r="G724" s="1648">
        <f t="shared" si="122"/>
        <v>86343.6</v>
      </c>
      <c r="H724" s="1648"/>
      <c r="I724" s="1648">
        <f t="shared" si="123"/>
        <v>0</v>
      </c>
      <c r="J724" s="1648"/>
      <c r="K724" s="1648">
        <f t="shared" si="124"/>
        <v>0</v>
      </c>
      <c r="L724" s="1648"/>
      <c r="M724" s="1648">
        <f t="shared" si="125"/>
        <v>0</v>
      </c>
      <c r="N724" s="1648">
        <f t="shared" si="126"/>
        <v>0</v>
      </c>
      <c r="O724" s="1648">
        <f t="shared" si="127"/>
        <v>0</v>
      </c>
      <c r="P724" s="1648">
        <f t="shared" si="128"/>
        <v>324.60000000000002</v>
      </c>
      <c r="Q724" s="1648">
        <f t="shared" si="129"/>
        <v>86343.6</v>
      </c>
      <c r="R724" s="55">
        <f t="shared" si="130"/>
        <v>86343.6</v>
      </c>
      <c r="S724" s="55">
        <f t="shared" si="131"/>
        <v>0</v>
      </c>
    </row>
    <row r="725" spans="1:19" ht="84.75" hidden="1" customHeight="1">
      <c r="A725" s="1854">
        <v>77.5</v>
      </c>
      <c r="B725" s="1648">
        <f t="shared" si="121"/>
        <v>0</v>
      </c>
      <c r="C725" s="1863" t="s">
        <v>5688</v>
      </c>
      <c r="D725" s="1649">
        <v>208</v>
      </c>
      <c r="E725" s="1692" t="s">
        <v>13</v>
      </c>
      <c r="F725" s="1649"/>
      <c r="G725" s="1648">
        <f t="shared" si="122"/>
        <v>0</v>
      </c>
      <c r="H725" s="1648"/>
      <c r="I725" s="1648">
        <f t="shared" si="123"/>
        <v>0</v>
      </c>
      <c r="J725" s="1648"/>
      <c r="K725" s="1648">
        <f t="shared" si="124"/>
        <v>0</v>
      </c>
      <c r="L725" s="1648"/>
      <c r="M725" s="1648">
        <f t="shared" si="125"/>
        <v>0</v>
      </c>
      <c r="N725" s="1648">
        <f t="shared" si="126"/>
        <v>0</v>
      </c>
      <c r="O725" s="1648">
        <f t="shared" si="127"/>
        <v>0</v>
      </c>
      <c r="P725" s="1648">
        <f t="shared" si="128"/>
        <v>0</v>
      </c>
      <c r="Q725" s="1648">
        <f t="shared" si="129"/>
        <v>0</v>
      </c>
      <c r="R725" s="55">
        <f t="shared" si="130"/>
        <v>0</v>
      </c>
      <c r="S725" s="55">
        <f t="shared" si="131"/>
        <v>0</v>
      </c>
    </row>
    <row r="726" spans="1:19" ht="93">
      <c r="A726" s="1854"/>
      <c r="B726" s="1648">
        <f t="shared" si="121"/>
        <v>1383.5</v>
      </c>
      <c r="C726" s="1863" t="s">
        <v>5689</v>
      </c>
      <c r="D726" s="1649">
        <v>226</v>
      </c>
      <c r="E726" s="1693" t="s">
        <v>13</v>
      </c>
      <c r="F726" s="1649">
        <f>'Detail '!I1871</f>
        <v>1383.5</v>
      </c>
      <c r="G726" s="1648">
        <f t="shared" si="122"/>
        <v>312671</v>
      </c>
      <c r="H726" s="1648"/>
      <c r="I726" s="1648">
        <f t="shared" si="123"/>
        <v>0</v>
      </c>
      <c r="J726" s="1648"/>
      <c r="K726" s="1648">
        <f t="shared" si="124"/>
        <v>0</v>
      </c>
      <c r="L726" s="1648"/>
      <c r="M726" s="1648">
        <f t="shared" si="125"/>
        <v>0</v>
      </c>
      <c r="N726" s="1648">
        <f t="shared" si="126"/>
        <v>0</v>
      </c>
      <c r="O726" s="1648">
        <f t="shared" si="127"/>
        <v>0</v>
      </c>
      <c r="P726" s="1648">
        <f t="shared" si="128"/>
        <v>1383.5</v>
      </c>
      <c r="Q726" s="1648">
        <f t="shared" si="129"/>
        <v>312671</v>
      </c>
      <c r="R726" s="55">
        <f t="shared" si="130"/>
        <v>312671</v>
      </c>
      <c r="S726" s="55">
        <f t="shared" si="131"/>
        <v>0</v>
      </c>
    </row>
    <row r="727" spans="1:19" ht="71.25" hidden="1" customHeight="1">
      <c r="A727" s="1854"/>
      <c r="B727" s="1648">
        <f t="shared" si="121"/>
        <v>0</v>
      </c>
      <c r="C727" s="1863" t="s">
        <v>5690</v>
      </c>
      <c r="D727" s="1649">
        <f>Elec.Data!K708</f>
        <v>271.08</v>
      </c>
      <c r="E727" s="1692" t="s">
        <v>13</v>
      </c>
      <c r="F727" s="1649"/>
      <c r="G727" s="1648">
        <f t="shared" si="122"/>
        <v>0</v>
      </c>
      <c r="H727" s="1648"/>
      <c r="I727" s="1648">
        <f t="shared" si="123"/>
        <v>0</v>
      </c>
      <c r="J727" s="1648"/>
      <c r="K727" s="1648">
        <f t="shared" si="124"/>
        <v>0</v>
      </c>
      <c r="L727" s="1648"/>
      <c r="M727" s="1648">
        <f t="shared" si="125"/>
        <v>0</v>
      </c>
      <c r="N727" s="1648">
        <f t="shared" si="126"/>
        <v>0</v>
      </c>
      <c r="O727" s="1648">
        <f t="shared" si="127"/>
        <v>0</v>
      </c>
      <c r="P727" s="1648">
        <f t="shared" si="128"/>
        <v>0</v>
      </c>
      <c r="Q727" s="1648">
        <f t="shared" si="129"/>
        <v>0</v>
      </c>
      <c r="R727" s="55">
        <f t="shared" si="130"/>
        <v>0</v>
      </c>
      <c r="S727" s="55">
        <f t="shared" si="131"/>
        <v>0</v>
      </c>
    </row>
    <row r="728" spans="1:19" ht="59.25" customHeight="1">
      <c r="A728" s="1854"/>
      <c r="B728" s="1648">
        <f t="shared" si="121"/>
        <v>75</v>
      </c>
      <c r="C728" s="1868" t="s">
        <v>5691</v>
      </c>
      <c r="D728" s="1654">
        <v>492</v>
      </c>
      <c r="E728" s="1693" t="s">
        <v>13</v>
      </c>
      <c r="F728" s="1649">
        <f>'Detail '!I2553</f>
        <v>75</v>
      </c>
      <c r="G728" s="1648">
        <f t="shared" si="122"/>
        <v>36900</v>
      </c>
      <c r="H728" s="1648"/>
      <c r="I728" s="1648">
        <f t="shared" si="123"/>
        <v>0</v>
      </c>
      <c r="J728" s="1648"/>
      <c r="K728" s="1648">
        <f t="shared" si="124"/>
        <v>0</v>
      </c>
      <c r="L728" s="1648"/>
      <c r="M728" s="1648">
        <f t="shared" si="125"/>
        <v>0</v>
      </c>
      <c r="N728" s="1648">
        <f t="shared" si="126"/>
        <v>0</v>
      </c>
      <c r="O728" s="1648">
        <f t="shared" si="127"/>
        <v>0</v>
      </c>
      <c r="P728" s="1648">
        <f t="shared" si="128"/>
        <v>75</v>
      </c>
      <c r="Q728" s="1648">
        <f t="shared" si="129"/>
        <v>36900</v>
      </c>
      <c r="R728" s="55">
        <f t="shared" si="130"/>
        <v>36900</v>
      </c>
      <c r="S728" s="55">
        <f t="shared" si="131"/>
        <v>0</v>
      </c>
    </row>
    <row r="729" spans="1:19" ht="66.75" customHeight="1">
      <c r="A729" s="1854"/>
      <c r="B729" s="1648">
        <f t="shared" si="121"/>
        <v>120</v>
      </c>
      <c r="C729" s="1868" t="s">
        <v>5692</v>
      </c>
      <c r="D729" s="1654">
        <v>609</v>
      </c>
      <c r="E729" s="1693" t="s">
        <v>13</v>
      </c>
      <c r="F729" s="1649">
        <f>'Detail '!I2556</f>
        <v>120</v>
      </c>
      <c r="G729" s="1648">
        <f t="shared" si="122"/>
        <v>73080</v>
      </c>
      <c r="H729" s="1648"/>
      <c r="I729" s="1648">
        <f t="shared" si="123"/>
        <v>0</v>
      </c>
      <c r="J729" s="1648"/>
      <c r="K729" s="1648">
        <f t="shared" si="124"/>
        <v>0</v>
      </c>
      <c r="L729" s="1648"/>
      <c r="M729" s="1648">
        <f t="shared" si="125"/>
        <v>0</v>
      </c>
      <c r="N729" s="1648">
        <f t="shared" si="126"/>
        <v>0</v>
      </c>
      <c r="O729" s="1648">
        <f t="shared" si="127"/>
        <v>0</v>
      </c>
      <c r="P729" s="1648">
        <f t="shared" si="128"/>
        <v>120</v>
      </c>
      <c r="Q729" s="1648">
        <f t="shared" si="129"/>
        <v>73080</v>
      </c>
      <c r="R729" s="55">
        <f t="shared" si="130"/>
        <v>73080</v>
      </c>
      <c r="S729" s="55">
        <f t="shared" si="131"/>
        <v>0</v>
      </c>
    </row>
    <row r="730" spans="1:19" s="1645" customFormat="1" ht="66.75" hidden="1" customHeight="1">
      <c r="A730" s="1854"/>
      <c r="B730" s="1648">
        <f t="shared" si="121"/>
        <v>0</v>
      </c>
      <c r="C730" s="1868"/>
      <c r="D730" s="1649"/>
      <c r="E730" s="1693"/>
      <c r="F730" s="1649"/>
      <c r="G730" s="1648">
        <f t="shared" si="122"/>
        <v>0</v>
      </c>
      <c r="H730" s="1648"/>
      <c r="I730" s="1648">
        <f t="shared" si="123"/>
        <v>0</v>
      </c>
      <c r="J730" s="1648"/>
      <c r="K730" s="1648">
        <f t="shared" si="124"/>
        <v>0</v>
      </c>
      <c r="L730" s="1648"/>
      <c r="M730" s="1648">
        <f t="shared" si="125"/>
        <v>0</v>
      </c>
      <c r="N730" s="1648">
        <f t="shared" si="126"/>
        <v>0</v>
      </c>
      <c r="O730" s="1648">
        <f t="shared" si="127"/>
        <v>0</v>
      </c>
      <c r="P730" s="1648">
        <f t="shared" si="128"/>
        <v>0</v>
      </c>
      <c r="Q730" s="1648">
        <f t="shared" si="129"/>
        <v>0</v>
      </c>
      <c r="R730" s="55">
        <f t="shared" si="130"/>
        <v>0</v>
      </c>
      <c r="S730" s="55">
        <f t="shared" si="131"/>
        <v>0</v>
      </c>
    </row>
    <row r="731" spans="1:19" ht="52.5" hidden="1" customHeight="1">
      <c r="A731" s="1854">
        <v>112.1</v>
      </c>
      <c r="B731" s="1648">
        <f t="shared" si="121"/>
        <v>0</v>
      </c>
      <c r="C731" s="1863" t="s">
        <v>4492</v>
      </c>
      <c r="D731" s="1649">
        <f>Data!K3018</f>
        <v>2149.15</v>
      </c>
      <c r="E731" s="1691" t="s">
        <v>729</v>
      </c>
      <c r="F731" s="1649"/>
      <c r="G731" s="1648">
        <f t="shared" si="122"/>
        <v>0</v>
      </c>
      <c r="H731" s="1648"/>
      <c r="I731" s="1648">
        <f t="shared" si="123"/>
        <v>0</v>
      </c>
      <c r="J731" s="1648"/>
      <c r="K731" s="1648">
        <f t="shared" si="124"/>
        <v>0</v>
      </c>
      <c r="L731" s="1648"/>
      <c r="M731" s="1648">
        <f t="shared" si="125"/>
        <v>0</v>
      </c>
      <c r="N731" s="1648">
        <f t="shared" si="126"/>
        <v>0</v>
      </c>
      <c r="O731" s="1648">
        <f t="shared" si="127"/>
        <v>0</v>
      </c>
      <c r="P731" s="1648">
        <f t="shared" si="128"/>
        <v>0</v>
      </c>
      <c r="Q731" s="1648">
        <f t="shared" si="129"/>
        <v>0</v>
      </c>
      <c r="R731" s="55">
        <f t="shared" si="130"/>
        <v>0</v>
      </c>
      <c r="S731" s="55">
        <f t="shared" si="131"/>
        <v>0</v>
      </c>
    </row>
    <row r="732" spans="1:19" ht="46.5" hidden="1" customHeight="1">
      <c r="A732" s="1854"/>
      <c r="B732" s="1648">
        <f t="shared" si="121"/>
        <v>0</v>
      </c>
      <c r="C732" s="1864" t="s">
        <v>4835</v>
      </c>
      <c r="D732" s="1649"/>
      <c r="E732" s="1691"/>
      <c r="F732" s="1649"/>
      <c r="G732" s="1648">
        <f t="shared" si="122"/>
        <v>0</v>
      </c>
      <c r="H732" s="1648"/>
      <c r="I732" s="1648">
        <f t="shared" si="123"/>
        <v>0</v>
      </c>
      <c r="J732" s="1648"/>
      <c r="K732" s="1648">
        <f t="shared" si="124"/>
        <v>0</v>
      </c>
      <c r="L732" s="1648"/>
      <c r="M732" s="1648">
        <f t="shared" si="125"/>
        <v>0</v>
      </c>
      <c r="N732" s="1648">
        <f t="shared" si="126"/>
        <v>0</v>
      </c>
      <c r="O732" s="1648">
        <f t="shared" si="127"/>
        <v>0</v>
      </c>
      <c r="P732" s="1648">
        <f t="shared" si="128"/>
        <v>0</v>
      </c>
      <c r="Q732" s="1648">
        <f t="shared" si="129"/>
        <v>0</v>
      </c>
      <c r="R732" s="55">
        <f t="shared" si="130"/>
        <v>0</v>
      </c>
      <c r="S732" s="55">
        <f t="shared" si="131"/>
        <v>0</v>
      </c>
    </row>
    <row r="733" spans="1:19" ht="51.75" hidden="1" customHeight="1">
      <c r="A733" s="1854"/>
      <c r="B733" s="1648">
        <f t="shared" si="121"/>
        <v>0</v>
      </c>
      <c r="C733" s="1863" t="s">
        <v>5693</v>
      </c>
      <c r="D733" s="1649">
        <f>ROUND(Data!K3032,2)</f>
        <v>0</v>
      </c>
      <c r="E733" s="1691" t="s">
        <v>729</v>
      </c>
      <c r="F733" s="1649"/>
      <c r="G733" s="1648">
        <f t="shared" si="122"/>
        <v>0</v>
      </c>
      <c r="H733" s="1648"/>
      <c r="I733" s="1648">
        <f t="shared" si="123"/>
        <v>0</v>
      </c>
      <c r="J733" s="1648"/>
      <c r="K733" s="1648">
        <f t="shared" si="124"/>
        <v>0</v>
      </c>
      <c r="L733" s="1648"/>
      <c r="M733" s="1648">
        <f t="shared" si="125"/>
        <v>0</v>
      </c>
      <c r="N733" s="1648">
        <f t="shared" si="126"/>
        <v>0</v>
      </c>
      <c r="O733" s="1648">
        <f t="shared" si="127"/>
        <v>0</v>
      </c>
      <c r="P733" s="1648">
        <f t="shared" si="128"/>
        <v>0</v>
      </c>
      <c r="Q733" s="1648">
        <f t="shared" si="129"/>
        <v>0</v>
      </c>
      <c r="R733" s="55">
        <f t="shared" si="130"/>
        <v>0</v>
      </c>
      <c r="S733" s="55">
        <f t="shared" si="131"/>
        <v>0</v>
      </c>
    </row>
    <row r="734" spans="1:19" ht="51.75" hidden="1" customHeight="1">
      <c r="A734" s="1854"/>
      <c r="B734" s="1648">
        <f t="shared" si="121"/>
        <v>0</v>
      </c>
      <c r="C734" s="1863" t="s">
        <v>5694</v>
      </c>
      <c r="D734" s="1649">
        <f>Data!K3034</f>
        <v>0</v>
      </c>
      <c r="E734" s="1691" t="s">
        <v>729</v>
      </c>
      <c r="F734" s="1649"/>
      <c r="G734" s="1648">
        <f t="shared" si="122"/>
        <v>0</v>
      </c>
      <c r="H734" s="1648"/>
      <c r="I734" s="1648">
        <f t="shared" si="123"/>
        <v>0</v>
      </c>
      <c r="J734" s="1648"/>
      <c r="K734" s="1648">
        <f t="shared" si="124"/>
        <v>0</v>
      </c>
      <c r="L734" s="1648"/>
      <c r="M734" s="1648">
        <f t="shared" si="125"/>
        <v>0</v>
      </c>
      <c r="N734" s="1648">
        <f t="shared" si="126"/>
        <v>0</v>
      </c>
      <c r="O734" s="1648">
        <f t="shared" si="127"/>
        <v>0</v>
      </c>
      <c r="P734" s="1648">
        <f t="shared" si="128"/>
        <v>0</v>
      </c>
      <c r="Q734" s="1648">
        <f t="shared" si="129"/>
        <v>0</v>
      </c>
      <c r="R734" s="55">
        <f t="shared" si="130"/>
        <v>0</v>
      </c>
      <c r="S734" s="55">
        <f t="shared" si="131"/>
        <v>0</v>
      </c>
    </row>
    <row r="735" spans="1:19" ht="39" hidden="1" customHeight="1">
      <c r="A735" s="1854"/>
      <c r="B735" s="1648">
        <f t="shared" si="121"/>
        <v>0</v>
      </c>
      <c r="C735" s="1863" t="s">
        <v>5695</v>
      </c>
      <c r="D735" s="1649">
        <f>Data!K3037</f>
        <v>0</v>
      </c>
      <c r="E735" s="1691" t="s">
        <v>729</v>
      </c>
      <c r="F735" s="1649"/>
      <c r="G735" s="1648">
        <f t="shared" si="122"/>
        <v>0</v>
      </c>
      <c r="H735" s="1648"/>
      <c r="I735" s="1648">
        <f t="shared" si="123"/>
        <v>0</v>
      </c>
      <c r="J735" s="1648"/>
      <c r="K735" s="1648">
        <f t="shared" si="124"/>
        <v>0</v>
      </c>
      <c r="L735" s="1648"/>
      <c r="M735" s="1648">
        <f t="shared" si="125"/>
        <v>0</v>
      </c>
      <c r="N735" s="1648">
        <f t="shared" si="126"/>
        <v>0</v>
      </c>
      <c r="O735" s="1648">
        <f t="shared" si="127"/>
        <v>0</v>
      </c>
      <c r="P735" s="1648">
        <f t="shared" si="128"/>
        <v>0</v>
      </c>
      <c r="Q735" s="1648">
        <f t="shared" si="129"/>
        <v>0</v>
      </c>
      <c r="R735" s="55">
        <f t="shared" si="130"/>
        <v>0</v>
      </c>
      <c r="S735" s="55">
        <f t="shared" si="131"/>
        <v>0</v>
      </c>
    </row>
    <row r="736" spans="1:19" ht="67.5" customHeight="1">
      <c r="A736" s="1854">
        <v>44.2</v>
      </c>
      <c r="B736" s="1648">
        <f t="shared" si="121"/>
        <v>0</v>
      </c>
      <c r="C736" s="1864" t="s">
        <v>5696</v>
      </c>
      <c r="D736" s="1649"/>
      <c r="E736" s="1691"/>
      <c r="F736" s="1649"/>
      <c r="G736" s="1648">
        <f t="shared" si="122"/>
        <v>0</v>
      </c>
      <c r="H736" s="1648"/>
      <c r="I736" s="1648">
        <f t="shared" si="123"/>
        <v>0</v>
      </c>
      <c r="J736" s="1648"/>
      <c r="K736" s="1648">
        <f t="shared" si="124"/>
        <v>0</v>
      </c>
      <c r="L736" s="1648"/>
      <c r="M736" s="1648">
        <f t="shared" si="125"/>
        <v>0</v>
      </c>
      <c r="N736" s="1648">
        <f t="shared" si="126"/>
        <v>0</v>
      </c>
      <c r="O736" s="1648">
        <f t="shared" si="127"/>
        <v>0</v>
      </c>
      <c r="P736" s="1648">
        <f t="shared" si="128"/>
        <v>0</v>
      </c>
      <c r="Q736" s="1648">
        <f t="shared" si="129"/>
        <v>0</v>
      </c>
      <c r="R736" s="55">
        <f t="shared" si="130"/>
        <v>0</v>
      </c>
      <c r="S736" s="55">
        <f t="shared" si="131"/>
        <v>0</v>
      </c>
    </row>
    <row r="737" spans="1:19" ht="39.75" customHeight="1">
      <c r="A737" s="1854"/>
      <c r="B737" s="1648">
        <f t="shared" si="121"/>
        <v>10</v>
      </c>
      <c r="C737" s="1863" t="s">
        <v>5697</v>
      </c>
      <c r="D737" s="1649">
        <v>2171.7399999999998</v>
      </c>
      <c r="E737" s="1691" t="s">
        <v>729</v>
      </c>
      <c r="F737" s="1649">
        <f>'Detail '!I2559</f>
        <v>10</v>
      </c>
      <c r="G737" s="1648">
        <f t="shared" si="122"/>
        <v>21717.4</v>
      </c>
      <c r="H737" s="1648"/>
      <c r="I737" s="1648">
        <f t="shared" si="123"/>
        <v>0</v>
      </c>
      <c r="J737" s="1648"/>
      <c r="K737" s="1648">
        <f t="shared" si="124"/>
        <v>0</v>
      </c>
      <c r="L737" s="1648"/>
      <c r="M737" s="1648">
        <f t="shared" si="125"/>
        <v>0</v>
      </c>
      <c r="N737" s="1648">
        <f t="shared" si="126"/>
        <v>0</v>
      </c>
      <c r="O737" s="1648">
        <f t="shared" si="127"/>
        <v>0</v>
      </c>
      <c r="P737" s="1648">
        <f t="shared" si="128"/>
        <v>10</v>
      </c>
      <c r="Q737" s="1648">
        <f t="shared" si="129"/>
        <v>21717.4</v>
      </c>
      <c r="R737" s="55">
        <f t="shared" si="130"/>
        <v>21717.4</v>
      </c>
      <c r="S737" s="55">
        <f t="shared" si="131"/>
        <v>0</v>
      </c>
    </row>
    <row r="738" spans="1:19" ht="39.75" customHeight="1">
      <c r="A738" s="1854"/>
      <c r="B738" s="1648">
        <f t="shared" si="121"/>
        <v>30</v>
      </c>
      <c r="C738" s="1863" t="s">
        <v>5698</v>
      </c>
      <c r="D738" s="1649">
        <f>Data!R2357</f>
        <v>509.57</v>
      </c>
      <c r="E738" s="1691" t="s">
        <v>13</v>
      </c>
      <c r="F738" s="1649">
        <f>'Detail '!I2562</f>
        <v>30</v>
      </c>
      <c r="G738" s="1648">
        <f t="shared" si="122"/>
        <v>15287.1</v>
      </c>
      <c r="H738" s="1648"/>
      <c r="I738" s="1648">
        <f t="shared" si="123"/>
        <v>0</v>
      </c>
      <c r="J738" s="1648"/>
      <c r="K738" s="1648">
        <f t="shared" si="124"/>
        <v>0</v>
      </c>
      <c r="L738" s="1648"/>
      <c r="M738" s="1648">
        <f t="shared" si="125"/>
        <v>0</v>
      </c>
      <c r="N738" s="1648">
        <f t="shared" si="126"/>
        <v>0</v>
      </c>
      <c r="O738" s="1648">
        <f t="shared" si="127"/>
        <v>0</v>
      </c>
      <c r="P738" s="1648">
        <f t="shared" si="128"/>
        <v>30</v>
      </c>
      <c r="Q738" s="1648">
        <f t="shared" si="129"/>
        <v>15287.1</v>
      </c>
      <c r="R738" s="55">
        <f t="shared" si="130"/>
        <v>15287.1</v>
      </c>
      <c r="S738" s="55">
        <f t="shared" si="131"/>
        <v>0</v>
      </c>
    </row>
    <row r="739" spans="1:19" ht="45.75" hidden="1" customHeight="1">
      <c r="A739" s="1854">
        <v>257.10000000000002</v>
      </c>
      <c r="B739" s="1648">
        <f t="shared" si="121"/>
        <v>0</v>
      </c>
      <c r="C739" s="1863" t="s">
        <v>5699</v>
      </c>
      <c r="D739" s="1649">
        <f>ROUND(Data!K2703,2)</f>
        <v>278.39999999999998</v>
      </c>
      <c r="E739" s="1691" t="s">
        <v>13</v>
      </c>
      <c r="F739" s="1649"/>
      <c r="G739" s="1648">
        <f t="shared" si="122"/>
        <v>0</v>
      </c>
      <c r="H739" s="1648"/>
      <c r="I739" s="1648">
        <f t="shared" si="123"/>
        <v>0</v>
      </c>
      <c r="J739" s="1648"/>
      <c r="K739" s="1648">
        <f t="shared" si="124"/>
        <v>0</v>
      </c>
      <c r="L739" s="1648"/>
      <c r="M739" s="1648">
        <f t="shared" si="125"/>
        <v>0</v>
      </c>
      <c r="N739" s="1648">
        <f t="shared" si="126"/>
        <v>0</v>
      </c>
      <c r="O739" s="1648">
        <f t="shared" si="127"/>
        <v>0</v>
      </c>
      <c r="P739" s="1648">
        <f t="shared" si="128"/>
        <v>0</v>
      </c>
      <c r="Q739" s="1648">
        <f t="shared" si="129"/>
        <v>0</v>
      </c>
      <c r="R739" s="55">
        <f t="shared" si="130"/>
        <v>0</v>
      </c>
      <c r="S739" s="55">
        <f t="shared" si="131"/>
        <v>0</v>
      </c>
    </row>
    <row r="740" spans="1:19" ht="56.25" customHeight="1">
      <c r="A740" s="1854">
        <v>344.2</v>
      </c>
      <c r="B740" s="1648">
        <f t="shared" si="121"/>
        <v>29</v>
      </c>
      <c r="C740" s="1863" t="s">
        <v>5700</v>
      </c>
      <c r="D740" s="1649">
        <f>ROUND(Data!K3014,2)</f>
        <v>398.3</v>
      </c>
      <c r="E740" s="1691" t="s">
        <v>729</v>
      </c>
      <c r="F740" s="1649">
        <f>'Detail '!I2565</f>
        <v>29</v>
      </c>
      <c r="G740" s="1648">
        <f t="shared" si="122"/>
        <v>11550.7</v>
      </c>
      <c r="H740" s="1648"/>
      <c r="I740" s="1648">
        <f t="shared" si="123"/>
        <v>0</v>
      </c>
      <c r="J740" s="1648"/>
      <c r="K740" s="1648">
        <f t="shared" si="124"/>
        <v>0</v>
      </c>
      <c r="L740" s="1648"/>
      <c r="M740" s="1648">
        <f t="shared" si="125"/>
        <v>0</v>
      </c>
      <c r="N740" s="1648">
        <f t="shared" si="126"/>
        <v>0</v>
      </c>
      <c r="O740" s="1648">
        <f t="shared" si="127"/>
        <v>0</v>
      </c>
      <c r="P740" s="1648">
        <f t="shared" si="128"/>
        <v>29</v>
      </c>
      <c r="Q740" s="1648">
        <f t="shared" si="129"/>
        <v>11550.7</v>
      </c>
      <c r="R740" s="55">
        <f t="shared" si="130"/>
        <v>11550.7</v>
      </c>
      <c r="S740" s="55">
        <f t="shared" si="131"/>
        <v>0</v>
      </c>
    </row>
    <row r="741" spans="1:19" ht="48.75" hidden="1" customHeight="1">
      <c r="A741" s="1693">
        <v>383</v>
      </c>
      <c r="B741" s="1648">
        <f t="shared" si="121"/>
        <v>0</v>
      </c>
      <c r="C741" s="1863" t="s">
        <v>5701</v>
      </c>
      <c r="D741" s="1649">
        <f>Data!C764</f>
        <v>1020</v>
      </c>
      <c r="E741" s="1687" t="s">
        <v>729</v>
      </c>
      <c r="F741" s="1649"/>
      <c r="G741" s="1648">
        <f t="shared" si="122"/>
        <v>0</v>
      </c>
      <c r="H741" s="1648"/>
      <c r="I741" s="1648">
        <f t="shared" si="123"/>
        <v>0</v>
      </c>
      <c r="J741" s="1648"/>
      <c r="K741" s="1648">
        <f t="shared" si="124"/>
        <v>0</v>
      </c>
      <c r="L741" s="1648"/>
      <c r="M741" s="1648">
        <f t="shared" si="125"/>
        <v>0</v>
      </c>
      <c r="N741" s="1648">
        <f t="shared" si="126"/>
        <v>0</v>
      </c>
      <c r="O741" s="1648">
        <f t="shared" si="127"/>
        <v>0</v>
      </c>
      <c r="P741" s="1648">
        <f t="shared" si="128"/>
        <v>0</v>
      </c>
      <c r="Q741" s="1648">
        <f t="shared" si="129"/>
        <v>0</v>
      </c>
      <c r="R741" s="55">
        <f t="shared" si="130"/>
        <v>0</v>
      </c>
      <c r="S741" s="55">
        <f t="shared" si="131"/>
        <v>0</v>
      </c>
    </row>
    <row r="742" spans="1:19" ht="71.25" hidden="1" customHeight="1">
      <c r="A742" s="1854">
        <v>383.1</v>
      </c>
      <c r="B742" s="1648">
        <f t="shared" si="121"/>
        <v>0</v>
      </c>
      <c r="C742" s="1863" t="s">
        <v>5702</v>
      </c>
      <c r="D742" s="1649">
        <f>Data!W66</f>
        <v>195.7</v>
      </c>
      <c r="E742" s="1691" t="s">
        <v>13</v>
      </c>
      <c r="F742" s="1649"/>
      <c r="G742" s="1648">
        <f t="shared" si="122"/>
        <v>0</v>
      </c>
      <c r="H742" s="1648"/>
      <c r="I742" s="1648">
        <f t="shared" si="123"/>
        <v>0</v>
      </c>
      <c r="J742" s="1648"/>
      <c r="K742" s="1648">
        <f t="shared" si="124"/>
        <v>0</v>
      </c>
      <c r="L742" s="1648"/>
      <c r="M742" s="1648">
        <f t="shared" si="125"/>
        <v>0</v>
      </c>
      <c r="N742" s="1648">
        <f t="shared" si="126"/>
        <v>0</v>
      </c>
      <c r="O742" s="1648">
        <f t="shared" si="127"/>
        <v>0</v>
      </c>
      <c r="P742" s="1648">
        <f t="shared" si="128"/>
        <v>0</v>
      </c>
      <c r="Q742" s="1648">
        <f t="shared" si="129"/>
        <v>0</v>
      </c>
      <c r="R742" s="55">
        <f t="shared" si="130"/>
        <v>0</v>
      </c>
      <c r="S742" s="55">
        <f t="shared" si="131"/>
        <v>0</v>
      </c>
    </row>
    <row r="743" spans="1:19" ht="66.75" hidden="1" customHeight="1">
      <c r="A743" s="1854"/>
      <c r="B743" s="1648">
        <f t="shared" si="121"/>
        <v>0</v>
      </c>
      <c r="C743" s="1863" t="s">
        <v>5703</v>
      </c>
      <c r="D743" s="1649">
        <f>Data!W67</f>
        <v>370.25</v>
      </c>
      <c r="E743" s="1691" t="s">
        <v>13</v>
      </c>
      <c r="F743" s="1649"/>
      <c r="G743" s="1648">
        <f t="shared" si="122"/>
        <v>0</v>
      </c>
      <c r="H743" s="1648"/>
      <c r="I743" s="1648">
        <f t="shared" si="123"/>
        <v>0</v>
      </c>
      <c r="J743" s="1648"/>
      <c r="K743" s="1648">
        <f t="shared" si="124"/>
        <v>0</v>
      </c>
      <c r="L743" s="1648"/>
      <c r="M743" s="1648">
        <f t="shared" si="125"/>
        <v>0</v>
      </c>
      <c r="N743" s="1648">
        <f t="shared" si="126"/>
        <v>0</v>
      </c>
      <c r="O743" s="1648">
        <f t="shared" si="127"/>
        <v>0</v>
      </c>
      <c r="P743" s="1648">
        <f t="shared" si="128"/>
        <v>0</v>
      </c>
      <c r="Q743" s="1648">
        <f t="shared" si="129"/>
        <v>0</v>
      </c>
      <c r="R743" s="55">
        <f t="shared" si="130"/>
        <v>0</v>
      </c>
      <c r="S743" s="55">
        <f t="shared" si="131"/>
        <v>0</v>
      </c>
    </row>
    <row r="744" spans="1:19" ht="68.25" hidden="1" customHeight="1">
      <c r="A744" s="1854"/>
      <c r="B744" s="1648">
        <f t="shared" si="121"/>
        <v>0</v>
      </c>
      <c r="C744" s="1863" t="s">
        <v>5704</v>
      </c>
      <c r="D744" s="1649">
        <f>Data!R1912</f>
        <v>328.32</v>
      </c>
      <c r="E744" s="1691"/>
      <c r="F744" s="1649"/>
      <c r="G744" s="1648">
        <f t="shared" si="122"/>
        <v>0</v>
      </c>
      <c r="H744" s="1648"/>
      <c r="I744" s="1648">
        <f t="shared" si="123"/>
        <v>0</v>
      </c>
      <c r="J744" s="1648"/>
      <c r="K744" s="1648">
        <f t="shared" si="124"/>
        <v>0</v>
      </c>
      <c r="L744" s="1648"/>
      <c r="M744" s="1648">
        <f t="shared" si="125"/>
        <v>0</v>
      </c>
      <c r="N744" s="1648">
        <f t="shared" si="126"/>
        <v>0</v>
      </c>
      <c r="O744" s="1648">
        <f t="shared" si="127"/>
        <v>0</v>
      </c>
      <c r="P744" s="1648">
        <f t="shared" si="128"/>
        <v>0</v>
      </c>
      <c r="Q744" s="1648">
        <f t="shared" si="129"/>
        <v>0</v>
      </c>
      <c r="R744" s="55">
        <f t="shared" si="130"/>
        <v>0</v>
      </c>
      <c r="S744" s="55">
        <f t="shared" si="131"/>
        <v>0</v>
      </c>
    </row>
    <row r="745" spans="1:19" ht="48.75" hidden="1" customHeight="1">
      <c r="A745" s="1693">
        <v>384</v>
      </c>
      <c r="B745" s="1648">
        <f t="shared" si="121"/>
        <v>0</v>
      </c>
      <c r="C745" s="1863" t="s">
        <v>5705</v>
      </c>
      <c r="D745" s="1649">
        <f>Data!K3046</f>
        <v>1786.45</v>
      </c>
      <c r="E745" s="1693" t="s">
        <v>729</v>
      </c>
      <c r="F745" s="1649"/>
      <c r="G745" s="1648">
        <f t="shared" si="122"/>
        <v>0</v>
      </c>
      <c r="H745" s="1648"/>
      <c r="I745" s="1648">
        <f t="shared" si="123"/>
        <v>0</v>
      </c>
      <c r="J745" s="1648"/>
      <c r="K745" s="1648">
        <f t="shared" si="124"/>
        <v>0</v>
      </c>
      <c r="L745" s="1648"/>
      <c r="M745" s="1648">
        <f t="shared" si="125"/>
        <v>0</v>
      </c>
      <c r="N745" s="1648">
        <f t="shared" si="126"/>
        <v>0</v>
      </c>
      <c r="O745" s="1648">
        <f t="shared" si="127"/>
        <v>0</v>
      </c>
      <c r="P745" s="1648">
        <f t="shared" si="128"/>
        <v>0</v>
      </c>
      <c r="Q745" s="1648">
        <f t="shared" si="129"/>
        <v>0</v>
      </c>
      <c r="R745" s="55">
        <f t="shared" si="130"/>
        <v>0</v>
      </c>
      <c r="S745" s="55">
        <f t="shared" si="131"/>
        <v>0</v>
      </c>
    </row>
    <row r="746" spans="1:19" ht="57.75" hidden="1" customHeight="1">
      <c r="A746" s="1693">
        <v>385</v>
      </c>
      <c r="B746" s="1648">
        <f t="shared" si="121"/>
        <v>0</v>
      </c>
      <c r="C746" s="1863" t="s">
        <v>5706</v>
      </c>
      <c r="D746" s="1649">
        <f>ROUND(Data!K2690,2)</f>
        <v>847.52</v>
      </c>
      <c r="E746" s="1687" t="s">
        <v>729</v>
      </c>
      <c r="F746" s="1649"/>
      <c r="G746" s="1648">
        <f t="shared" si="122"/>
        <v>0</v>
      </c>
      <c r="H746" s="1648"/>
      <c r="I746" s="1648">
        <f t="shared" si="123"/>
        <v>0</v>
      </c>
      <c r="J746" s="1648"/>
      <c r="K746" s="1648">
        <f t="shared" si="124"/>
        <v>0</v>
      </c>
      <c r="L746" s="1648"/>
      <c r="M746" s="1648">
        <f t="shared" si="125"/>
        <v>0</v>
      </c>
      <c r="N746" s="1648">
        <f t="shared" si="126"/>
        <v>0</v>
      </c>
      <c r="O746" s="1648">
        <f t="shared" si="127"/>
        <v>0</v>
      </c>
      <c r="P746" s="1648">
        <f t="shared" si="128"/>
        <v>0</v>
      </c>
      <c r="Q746" s="1648">
        <f t="shared" si="129"/>
        <v>0</v>
      </c>
      <c r="R746" s="55">
        <f t="shared" si="130"/>
        <v>0</v>
      </c>
      <c r="S746" s="55">
        <f t="shared" si="131"/>
        <v>0</v>
      </c>
    </row>
    <row r="747" spans="1:19" ht="54" customHeight="1">
      <c r="A747" s="1854">
        <v>238.1</v>
      </c>
      <c r="B747" s="1653">
        <f t="shared" si="121"/>
        <v>5.851</v>
      </c>
      <c r="C747" s="1863" t="s">
        <v>5707</v>
      </c>
      <c r="D747" s="1649">
        <f>ROUND(Data!K2778,2)</f>
        <v>2954.25</v>
      </c>
      <c r="E747" s="1693" t="s">
        <v>11</v>
      </c>
      <c r="F747" s="1652">
        <f>'Detail '!I1245</f>
        <v>5.851</v>
      </c>
      <c r="G747" s="1648">
        <f t="shared" si="122"/>
        <v>17285.32</v>
      </c>
      <c r="H747" s="1648"/>
      <c r="I747" s="1648">
        <f t="shared" si="123"/>
        <v>0</v>
      </c>
      <c r="J747" s="1648"/>
      <c r="K747" s="1648">
        <f t="shared" si="124"/>
        <v>0</v>
      </c>
      <c r="L747" s="1648"/>
      <c r="M747" s="1648">
        <f t="shared" si="125"/>
        <v>0</v>
      </c>
      <c r="N747" s="1648">
        <f t="shared" si="126"/>
        <v>0</v>
      </c>
      <c r="O747" s="1648">
        <f t="shared" si="127"/>
        <v>0</v>
      </c>
      <c r="P747" s="1653">
        <f t="shared" si="128"/>
        <v>5.851</v>
      </c>
      <c r="Q747" s="1648">
        <f t="shared" si="129"/>
        <v>17285.32</v>
      </c>
      <c r="R747" s="55">
        <f t="shared" si="130"/>
        <v>17285.32</v>
      </c>
      <c r="S747" s="55">
        <f t="shared" si="131"/>
        <v>0</v>
      </c>
    </row>
    <row r="748" spans="1:19" ht="58.5" hidden="1" customHeight="1">
      <c r="A748" s="1854">
        <v>71.2</v>
      </c>
      <c r="B748" s="1648">
        <f t="shared" si="121"/>
        <v>0</v>
      </c>
      <c r="C748" s="1863" t="s">
        <v>5708</v>
      </c>
      <c r="D748" s="1649">
        <f>Elec.Data!K379</f>
        <v>2157.0300000000002</v>
      </c>
      <c r="E748" s="1693" t="s">
        <v>729</v>
      </c>
      <c r="F748" s="1649"/>
      <c r="G748" s="1648">
        <f t="shared" si="122"/>
        <v>0</v>
      </c>
      <c r="H748" s="1648"/>
      <c r="I748" s="1648">
        <f t="shared" si="123"/>
        <v>0</v>
      </c>
      <c r="J748" s="1648"/>
      <c r="K748" s="1648">
        <f t="shared" si="124"/>
        <v>0</v>
      </c>
      <c r="L748" s="1648"/>
      <c r="M748" s="1648">
        <f t="shared" si="125"/>
        <v>0</v>
      </c>
      <c r="N748" s="1648">
        <f t="shared" si="126"/>
        <v>0</v>
      </c>
      <c r="O748" s="1648">
        <f t="shared" si="127"/>
        <v>0</v>
      </c>
      <c r="P748" s="1648">
        <f t="shared" si="128"/>
        <v>0</v>
      </c>
      <c r="Q748" s="1648">
        <f t="shared" si="129"/>
        <v>0</v>
      </c>
      <c r="R748" s="55">
        <f t="shared" si="130"/>
        <v>0</v>
      </c>
      <c r="S748" s="55">
        <f t="shared" si="131"/>
        <v>0</v>
      </c>
    </row>
    <row r="749" spans="1:19" ht="47.25" hidden="1" customHeight="1">
      <c r="A749" s="1854">
        <v>80.099999999999994</v>
      </c>
      <c r="B749" s="1648">
        <f t="shared" si="121"/>
        <v>0</v>
      </c>
      <c r="C749" s="1863" t="s">
        <v>5709</v>
      </c>
      <c r="D749" s="1649">
        <f>D1497</f>
        <v>1308.97</v>
      </c>
      <c r="E749" s="1693" t="s">
        <v>729</v>
      </c>
      <c r="F749" s="1649"/>
      <c r="G749" s="1648">
        <f t="shared" si="122"/>
        <v>0</v>
      </c>
      <c r="H749" s="1648"/>
      <c r="I749" s="1648">
        <f t="shared" si="123"/>
        <v>0</v>
      </c>
      <c r="J749" s="1648"/>
      <c r="K749" s="1648">
        <f t="shared" si="124"/>
        <v>0</v>
      </c>
      <c r="L749" s="1648"/>
      <c r="M749" s="1648">
        <f t="shared" si="125"/>
        <v>0</v>
      </c>
      <c r="N749" s="1648">
        <f t="shared" si="126"/>
        <v>0</v>
      </c>
      <c r="O749" s="1648">
        <f t="shared" si="127"/>
        <v>0</v>
      </c>
      <c r="P749" s="1648">
        <f t="shared" si="128"/>
        <v>0</v>
      </c>
      <c r="Q749" s="1648">
        <f t="shared" si="129"/>
        <v>0</v>
      </c>
      <c r="R749" s="55">
        <f t="shared" si="130"/>
        <v>0</v>
      </c>
      <c r="S749" s="55">
        <f t="shared" si="131"/>
        <v>0</v>
      </c>
    </row>
    <row r="750" spans="1:19" ht="39.75" hidden="1" customHeight="1">
      <c r="A750" s="1854"/>
      <c r="B750" s="1648">
        <f t="shared" si="121"/>
        <v>0</v>
      </c>
      <c r="C750" s="1863" t="s">
        <v>5710</v>
      </c>
      <c r="D750" s="1649">
        <f>Elec.Data!K588</f>
        <v>825</v>
      </c>
      <c r="E750" s="1693" t="s">
        <v>729</v>
      </c>
      <c r="F750" s="1649"/>
      <c r="G750" s="1648">
        <f t="shared" si="122"/>
        <v>0</v>
      </c>
      <c r="H750" s="1648"/>
      <c r="I750" s="1648">
        <f t="shared" si="123"/>
        <v>0</v>
      </c>
      <c r="J750" s="1648"/>
      <c r="K750" s="1648">
        <f t="shared" si="124"/>
        <v>0</v>
      </c>
      <c r="L750" s="1648"/>
      <c r="M750" s="1648">
        <f t="shared" si="125"/>
        <v>0</v>
      </c>
      <c r="N750" s="1648">
        <f t="shared" si="126"/>
        <v>0</v>
      </c>
      <c r="O750" s="1648">
        <f t="shared" si="127"/>
        <v>0</v>
      </c>
      <c r="P750" s="1648">
        <f t="shared" si="128"/>
        <v>0</v>
      </c>
      <c r="Q750" s="1648">
        <f t="shared" si="129"/>
        <v>0</v>
      </c>
      <c r="R750" s="55">
        <f t="shared" si="130"/>
        <v>0</v>
      </c>
      <c r="S750" s="55">
        <f t="shared" si="131"/>
        <v>0</v>
      </c>
    </row>
    <row r="751" spans="1:19" ht="39.75" hidden="1" customHeight="1">
      <c r="A751" s="1854"/>
      <c r="B751" s="1648">
        <f t="shared" si="121"/>
        <v>0</v>
      </c>
      <c r="C751" s="1863" t="s">
        <v>5711</v>
      </c>
      <c r="D751" s="1649">
        <f>Elec.Data!K569</f>
        <v>550</v>
      </c>
      <c r="E751" s="1693" t="s">
        <v>729</v>
      </c>
      <c r="F751" s="1649"/>
      <c r="G751" s="1648">
        <f t="shared" si="122"/>
        <v>0</v>
      </c>
      <c r="H751" s="1648"/>
      <c r="I751" s="1648">
        <f t="shared" si="123"/>
        <v>0</v>
      </c>
      <c r="J751" s="1648"/>
      <c r="K751" s="1648">
        <f t="shared" si="124"/>
        <v>0</v>
      </c>
      <c r="L751" s="1648"/>
      <c r="M751" s="1648">
        <f t="shared" si="125"/>
        <v>0</v>
      </c>
      <c r="N751" s="1648">
        <f t="shared" si="126"/>
        <v>0</v>
      </c>
      <c r="O751" s="1648">
        <f t="shared" si="127"/>
        <v>0</v>
      </c>
      <c r="P751" s="1648">
        <f t="shared" si="128"/>
        <v>0</v>
      </c>
      <c r="Q751" s="1648">
        <f t="shared" si="129"/>
        <v>0</v>
      </c>
      <c r="R751" s="55">
        <f t="shared" si="130"/>
        <v>0</v>
      </c>
      <c r="S751" s="55">
        <f t="shared" si="131"/>
        <v>0</v>
      </c>
    </row>
    <row r="752" spans="1:19" ht="45.75" hidden="1" customHeight="1">
      <c r="A752" s="1854">
        <v>87.1</v>
      </c>
      <c r="B752" s="1648">
        <f t="shared" si="121"/>
        <v>0</v>
      </c>
      <c r="C752" s="1863" t="str">
        <f>C1531</f>
        <v>Supplying and delivery of Three phase ELCB/RCCB</v>
      </c>
      <c r="D752" s="1649">
        <f>Elec.Data!K637</f>
        <v>3068.5</v>
      </c>
      <c r="E752" s="1693" t="s">
        <v>729</v>
      </c>
      <c r="F752" s="1649"/>
      <c r="G752" s="1648">
        <f t="shared" si="122"/>
        <v>0</v>
      </c>
      <c r="H752" s="1648"/>
      <c r="I752" s="1648">
        <f t="shared" si="123"/>
        <v>0</v>
      </c>
      <c r="J752" s="1648"/>
      <c r="K752" s="1648">
        <f t="shared" si="124"/>
        <v>0</v>
      </c>
      <c r="L752" s="1648"/>
      <c r="M752" s="1648">
        <f t="shared" si="125"/>
        <v>0</v>
      </c>
      <c r="N752" s="1648">
        <f t="shared" si="126"/>
        <v>0</v>
      </c>
      <c r="O752" s="1648">
        <f t="shared" si="127"/>
        <v>0</v>
      </c>
      <c r="P752" s="1648">
        <f t="shared" si="128"/>
        <v>0</v>
      </c>
      <c r="Q752" s="1648">
        <f t="shared" si="129"/>
        <v>0</v>
      </c>
      <c r="R752" s="55">
        <f t="shared" si="130"/>
        <v>0</v>
      </c>
      <c r="S752" s="55">
        <f t="shared" si="131"/>
        <v>0</v>
      </c>
    </row>
    <row r="753" spans="1:19" ht="46.5" hidden="1" customHeight="1">
      <c r="A753" s="1854"/>
      <c r="B753" s="1648">
        <f t="shared" si="121"/>
        <v>0</v>
      </c>
      <c r="C753" s="1863" t="s">
        <v>5712</v>
      </c>
      <c r="D753" s="1649">
        <f>D1534</f>
        <v>165</v>
      </c>
      <c r="E753" s="1693" t="s">
        <v>13</v>
      </c>
      <c r="F753" s="1649"/>
      <c r="G753" s="1648">
        <f t="shared" si="122"/>
        <v>0</v>
      </c>
      <c r="H753" s="1648"/>
      <c r="I753" s="1648">
        <f t="shared" si="123"/>
        <v>0</v>
      </c>
      <c r="J753" s="1648"/>
      <c r="K753" s="1648">
        <f t="shared" si="124"/>
        <v>0</v>
      </c>
      <c r="L753" s="1648"/>
      <c r="M753" s="1648">
        <f t="shared" si="125"/>
        <v>0</v>
      </c>
      <c r="N753" s="1648">
        <f t="shared" si="126"/>
        <v>0</v>
      </c>
      <c r="O753" s="1648">
        <f t="shared" si="127"/>
        <v>0</v>
      </c>
      <c r="P753" s="1648">
        <f t="shared" si="128"/>
        <v>0</v>
      </c>
      <c r="Q753" s="1648">
        <f t="shared" si="129"/>
        <v>0</v>
      </c>
      <c r="R753" s="55">
        <f t="shared" si="130"/>
        <v>0</v>
      </c>
      <c r="S753" s="55">
        <f t="shared" si="131"/>
        <v>0</v>
      </c>
    </row>
    <row r="754" spans="1:19" ht="69" customHeight="1">
      <c r="A754" s="1854"/>
      <c r="B754" s="1648">
        <f t="shared" si="121"/>
        <v>1818.54</v>
      </c>
      <c r="C754" s="1863" t="s">
        <v>5713</v>
      </c>
      <c r="D754" s="1649">
        <f>Data!R1326</f>
        <v>239.05</v>
      </c>
      <c r="E754" s="1693" t="s">
        <v>724</v>
      </c>
      <c r="F754" s="1649">
        <f>'Detail '!I2573</f>
        <v>1818.54</v>
      </c>
      <c r="G754" s="1648">
        <f t="shared" si="122"/>
        <v>434721.99</v>
      </c>
      <c r="H754" s="1648"/>
      <c r="I754" s="1648">
        <f t="shared" si="123"/>
        <v>0</v>
      </c>
      <c r="J754" s="1648"/>
      <c r="K754" s="1648">
        <f t="shared" si="124"/>
        <v>0</v>
      </c>
      <c r="L754" s="1648"/>
      <c r="M754" s="1648">
        <f t="shared" si="125"/>
        <v>0</v>
      </c>
      <c r="N754" s="1648">
        <f t="shared" si="126"/>
        <v>0</v>
      </c>
      <c r="O754" s="1648">
        <f t="shared" si="127"/>
        <v>0</v>
      </c>
      <c r="P754" s="1648">
        <f t="shared" si="128"/>
        <v>1818.54</v>
      </c>
      <c r="Q754" s="1648">
        <f t="shared" si="129"/>
        <v>434721.99</v>
      </c>
      <c r="R754" s="55">
        <f t="shared" si="130"/>
        <v>434721.99</v>
      </c>
      <c r="S754" s="55">
        <f t="shared" si="131"/>
        <v>0</v>
      </c>
    </row>
    <row r="755" spans="1:19" ht="73.150000000000006" hidden="1" customHeight="1">
      <c r="A755" s="1854"/>
      <c r="B755" s="1648">
        <f t="shared" si="121"/>
        <v>0</v>
      </c>
      <c r="C755" s="1863" t="s">
        <v>5714</v>
      </c>
      <c r="D755" s="1649">
        <v>133.49</v>
      </c>
      <c r="E755" s="1693" t="s">
        <v>724</v>
      </c>
      <c r="F755" s="1649"/>
      <c r="G755" s="1648">
        <f t="shared" si="122"/>
        <v>0</v>
      </c>
      <c r="H755" s="1648"/>
      <c r="I755" s="1648">
        <f t="shared" si="123"/>
        <v>0</v>
      </c>
      <c r="J755" s="1648"/>
      <c r="K755" s="1648">
        <f t="shared" si="124"/>
        <v>0</v>
      </c>
      <c r="L755" s="1648"/>
      <c r="M755" s="1648">
        <f t="shared" si="125"/>
        <v>0</v>
      </c>
      <c r="N755" s="1648">
        <f t="shared" si="126"/>
        <v>0</v>
      </c>
      <c r="O755" s="1648">
        <f t="shared" si="127"/>
        <v>0</v>
      </c>
      <c r="P755" s="1648">
        <f t="shared" si="128"/>
        <v>0</v>
      </c>
      <c r="Q755" s="1648">
        <f t="shared" si="129"/>
        <v>0</v>
      </c>
      <c r="R755" s="55">
        <f t="shared" si="130"/>
        <v>0</v>
      </c>
      <c r="S755" s="55">
        <f t="shared" si="131"/>
        <v>0</v>
      </c>
    </row>
    <row r="756" spans="1:19" ht="56.25" customHeight="1">
      <c r="A756" s="1854" t="s">
        <v>5715</v>
      </c>
      <c r="B756" s="1648">
        <f t="shared" si="121"/>
        <v>4032</v>
      </c>
      <c r="C756" s="1863" t="s">
        <v>3643</v>
      </c>
      <c r="D756" s="1649">
        <f>Data!K3348</f>
        <v>130.34</v>
      </c>
      <c r="E756" s="1693" t="s">
        <v>724</v>
      </c>
      <c r="F756" s="1649">
        <f>'Detail '!I2432</f>
        <v>4032</v>
      </c>
      <c r="G756" s="1648">
        <f t="shared" si="122"/>
        <v>525530.88</v>
      </c>
      <c r="H756" s="1648"/>
      <c r="I756" s="1648">
        <f t="shared" si="123"/>
        <v>0</v>
      </c>
      <c r="J756" s="1648"/>
      <c r="K756" s="1648">
        <f t="shared" si="124"/>
        <v>0</v>
      </c>
      <c r="L756" s="1648"/>
      <c r="M756" s="1648">
        <f t="shared" si="125"/>
        <v>0</v>
      </c>
      <c r="N756" s="1648">
        <f t="shared" si="126"/>
        <v>0</v>
      </c>
      <c r="O756" s="1648">
        <f t="shared" si="127"/>
        <v>0</v>
      </c>
      <c r="P756" s="1648">
        <f t="shared" si="128"/>
        <v>4032</v>
      </c>
      <c r="Q756" s="1648">
        <f t="shared" si="129"/>
        <v>525530.88</v>
      </c>
      <c r="R756" s="55">
        <f t="shared" si="130"/>
        <v>525530.88</v>
      </c>
      <c r="S756" s="55">
        <f t="shared" si="131"/>
        <v>0</v>
      </c>
    </row>
    <row r="757" spans="1:19" ht="81" hidden="1" customHeight="1">
      <c r="A757" s="1854"/>
      <c r="B757" s="1648">
        <f t="shared" si="121"/>
        <v>0</v>
      </c>
      <c r="C757" s="1863" t="str">
        <f>C1532</f>
        <v>2 x 4 Sqmm Copper PVC insulated unsheathed single core 1 KV grade cable for EB service single phase.</v>
      </c>
      <c r="D757" s="1649">
        <f>Elec.Data!K670</f>
        <v>154.57</v>
      </c>
      <c r="E757" s="1693" t="s">
        <v>13</v>
      </c>
      <c r="F757" s="1649"/>
      <c r="G757" s="1648">
        <f t="shared" si="122"/>
        <v>0</v>
      </c>
      <c r="H757" s="1648"/>
      <c r="I757" s="1648">
        <f t="shared" si="123"/>
        <v>0</v>
      </c>
      <c r="J757" s="1648"/>
      <c r="K757" s="1648">
        <f t="shared" si="124"/>
        <v>0</v>
      </c>
      <c r="L757" s="1648"/>
      <c r="M757" s="1648">
        <f t="shared" si="125"/>
        <v>0</v>
      </c>
      <c r="N757" s="1648">
        <f t="shared" si="126"/>
        <v>0</v>
      </c>
      <c r="O757" s="1648">
        <f t="shared" si="127"/>
        <v>0</v>
      </c>
      <c r="P757" s="1648">
        <f t="shared" si="128"/>
        <v>0</v>
      </c>
      <c r="Q757" s="1648">
        <f t="shared" si="129"/>
        <v>0</v>
      </c>
      <c r="R757" s="55">
        <f t="shared" si="130"/>
        <v>0</v>
      </c>
      <c r="S757" s="55">
        <f t="shared" si="131"/>
        <v>0</v>
      </c>
    </row>
    <row r="758" spans="1:19" ht="51" hidden="1" customHeight="1">
      <c r="A758" s="1854"/>
      <c r="B758" s="1648">
        <f t="shared" si="121"/>
        <v>0</v>
      </c>
      <c r="C758" s="1863" t="str">
        <f>C1498</f>
        <v>40 mm dia GI pipe "B"class</v>
      </c>
      <c r="D758" s="1648">
        <f>D1498</f>
        <v>165</v>
      </c>
      <c r="E758" s="1693" t="s">
        <v>13</v>
      </c>
      <c r="F758" s="1649"/>
      <c r="G758" s="1648">
        <f t="shared" si="122"/>
        <v>0</v>
      </c>
      <c r="H758" s="1648"/>
      <c r="I758" s="1648">
        <f t="shared" si="123"/>
        <v>0</v>
      </c>
      <c r="J758" s="1648"/>
      <c r="K758" s="1648">
        <f t="shared" si="124"/>
        <v>0</v>
      </c>
      <c r="L758" s="1648"/>
      <c r="M758" s="1648">
        <f t="shared" si="125"/>
        <v>0</v>
      </c>
      <c r="N758" s="1648">
        <f t="shared" si="126"/>
        <v>0</v>
      </c>
      <c r="O758" s="1648">
        <f t="shared" si="127"/>
        <v>0</v>
      </c>
      <c r="P758" s="1648">
        <f t="shared" si="128"/>
        <v>0</v>
      </c>
      <c r="Q758" s="1648">
        <f t="shared" si="129"/>
        <v>0</v>
      </c>
      <c r="R758" s="55">
        <f t="shared" si="130"/>
        <v>0</v>
      </c>
      <c r="S758" s="55">
        <f t="shared" si="131"/>
        <v>0</v>
      </c>
    </row>
    <row r="759" spans="1:19" ht="72.75" hidden="1" customHeight="1">
      <c r="A759" s="1854"/>
      <c r="B759" s="1648">
        <f t="shared" si="121"/>
        <v>0</v>
      </c>
      <c r="C759" s="1863" t="s">
        <v>5716</v>
      </c>
      <c r="D759" s="1649">
        <f>Data!W69</f>
        <v>9180</v>
      </c>
      <c r="E759" s="1687" t="s">
        <v>729</v>
      </c>
      <c r="F759" s="1649"/>
      <c r="G759" s="1648">
        <f t="shared" si="122"/>
        <v>0</v>
      </c>
      <c r="H759" s="1648"/>
      <c r="I759" s="1648">
        <f t="shared" si="123"/>
        <v>0</v>
      </c>
      <c r="J759" s="1648"/>
      <c r="K759" s="1648">
        <f t="shared" si="124"/>
        <v>0</v>
      </c>
      <c r="L759" s="1648"/>
      <c r="M759" s="1648">
        <f t="shared" si="125"/>
        <v>0</v>
      </c>
      <c r="N759" s="1648">
        <f t="shared" si="126"/>
        <v>0</v>
      </c>
      <c r="O759" s="1648">
        <f t="shared" si="127"/>
        <v>0</v>
      </c>
      <c r="P759" s="1648">
        <f t="shared" si="128"/>
        <v>0</v>
      </c>
      <c r="Q759" s="1648">
        <f t="shared" si="129"/>
        <v>0</v>
      </c>
      <c r="R759" s="55">
        <f t="shared" si="130"/>
        <v>0</v>
      </c>
      <c r="S759" s="55">
        <f t="shared" si="131"/>
        <v>0</v>
      </c>
    </row>
    <row r="760" spans="1:19" ht="75" customHeight="1">
      <c r="A760" s="1854"/>
      <c r="B760" s="1648">
        <f t="shared" si="121"/>
        <v>50.8</v>
      </c>
      <c r="C760" s="1863" t="s">
        <v>5717</v>
      </c>
      <c r="D760" s="1648">
        <v>5536</v>
      </c>
      <c r="E760" s="1693" t="s">
        <v>724</v>
      </c>
      <c r="F760" s="1649">
        <f>'Detail '!I780</f>
        <v>50.8</v>
      </c>
      <c r="G760" s="1648">
        <f t="shared" si="122"/>
        <v>281228.79999999999</v>
      </c>
      <c r="H760" s="1648"/>
      <c r="I760" s="1648">
        <f t="shared" si="123"/>
        <v>0</v>
      </c>
      <c r="J760" s="1648"/>
      <c r="K760" s="1648">
        <f t="shared" si="124"/>
        <v>0</v>
      </c>
      <c r="L760" s="1648"/>
      <c r="M760" s="1648">
        <f t="shared" si="125"/>
        <v>0</v>
      </c>
      <c r="N760" s="1648">
        <f t="shared" si="126"/>
        <v>0</v>
      </c>
      <c r="O760" s="1648">
        <f t="shared" si="127"/>
        <v>0</v>
      </c>
      <c r="P760" s="1648">
        <f t="shared" si="128"/>
        <v>50.8</v>
      </c>
      <c r="Q760" s="1648">
        <f t="shared" si="129"/>
        <v>281228.79999999999</v>
      </c>
      <c r="R760" s="55">
        <f t="shared" si="130"/>
        <v>281228.79999999999</v>
      </c>
      <c r="S760" s="55">
        <f t="shared" si="131"/>
        <v>0</v>
      </c>
    </row>
    <row r="761" spans="1:19" ht="43.5" customHeight="1">
      <c r="A761" s="1854">
        <v>448.2</v>
      </c>
      <c r="B761" s="1648">
        <f t="shared" si="121"/>
        <v>0</v>
      </c>
      <c r="C761" s="1863" t="s">
        <v>5718</v>
      </c>
      <c r="D761" s="1649">
        <f>Data!R3123</f>
        <v>142.96</v>
      </c>
      <c r="E761" s="1693" t="s">
        <v>729</v>
      </c>
      <c r="F761" s="1649"/>
      <c r="G761" s="1648">
        <f t="shared" si="122"/>
        <v>0</v>
      </c>
      <c r="H761" s="1648"/>
      <c r="I761" s="1648">
        <f t="shared" si="123"/>
        <v>0</v>
      </c>
      <c r="J761" s="1648"/>
      <c r="K761" s="1648">
        <f t="shared" si="124"/>
        <v>0</v>
      </c>
      <c r="L761" s="1648"/>
      <c r="M761" s="1648">
        <f t="shared" si="125"/>
        <v>0</v>
      </c>
      <c r="N761" s="1648">
        <f t="shared" si="126"/>
        <v>0</v>
      </c>
      <c r="O761" s="1648">
        <f t="shared" si="127"/>
        <v>0</v>
      </c>
      <c r="P761" s="1648">
        <f t="shared" si="128"/>
        <v>0</v>
      </c>
      <c r="Q761" s="1648">
        <f t="shared" si="129"/>
        <v>0</v>
      </c>
      <c r="R761" s="55">
        <f t="shared" si="130"/>
        <v>0</v>
      </c>
      <c r="S761" s="55">
        <f t="shared" si="131"/>
        <v>0</v>
      </c>
    </row>
    <row r="762" spans="1:19" ht="43.5" customHeight="1">
      <c r="A762" s="1854"/>
      <c r="B762" s="1648">
        <f t="shared" si="121"/>
        <v>350.3</v>
      </c>
      <c r="C762" s="1863" t="s">
        <v>3716</v>
      </c>
      <c r="D762" s="1649">
        <f>Data!AD1257</f>
        <v>1654.94</v>
      </c>
      <c r="E762" s="1691" t="s">
        <v>724</v>
      </c>
      <c r="F762" s="1649">
        <f>'Detail '!I2743</f>
        <v>350.3</v>
      </c>
      <c r="G762" s="1648">
        <f t="shared" si="122"/>
        <v>579725.48</v>
      </c>
      <c r="H762" s="1648"/>
      <c r="I762" s="1648">
        <f t="shared" si="123"/>
        <v>0</v>
      </c>
      <c r="J762" s="1648"/>
      <c r="K762" s="1648">
        <f t="shared" si="124"/>
        <v>0</v>
      </c>
      <c r="L762" s="1648"/>
      <c r="M762" s="1648">
        <f t="shared" si="125"/>
        <v>0</v>
      </c>
      <c r="N762" s="1648">
        <f t="shared" si="126"/>
        <v>0</v>
      </c>
      <c r="O762" s="1648">
        <f t="shared" si="127"/>
        <v>0</v>
      </c>
      <c r="P762" s="1648">
        <f t="shared" si="128"/>
        <v>350.3</v>
      </c>
      <c r="Q762" s="1648">
        <f t="shared" si="129"/>
        <v>579725.48</v>
      </c>
      <c r="R762" s="55">
        <f t="shared" si="130"/>
        <v>579725.48</v>
      </c>
      <c r="S762" s="55">
        <f t="shared" si="131"/>
        <v>0</v>
      </c>
    </row>
    <row r="763" spans="1:19" ht="63.75" customHeight="1">
      <c r="A763" s="1854"/>
      <c r="B763" s="1648">
        <f t="shared" si="121"/>
        <v>263.7</v>
      </c>
      <c r="C763" s="1863" t="s">
        <v>5719</v>
      </c>
      <c r="D763" s="1649">
        <f>Data!AD1271</f>
        <v>1792.02</v>
      </c>
      <c r="E763" s="1691" t="s">
        <v>724</v>
      </c>
      <c r="F763" s="1649">
        <f>'Detail '!I3042</f>
        <v>263.7</v>
      </c>
      <c r="G763" s="1648">
        <f t="shared" si="122"/>
        <v>472555.67</v>
      </c>
      <c r="H763" s="1648"/>
      <c r="I763" s="1648">
        <f t="shared" si="123"/>
        <v>0</v>
      </c>
      <c r="J763" s="1648"/>
      <c r="K763" s="1648">
        <f t="shared" si="124"/>
        <v>0</v>
      </c>
      <c r="L763" s="1648"/>
      <c r="M763" s="1648">
        <f t="shared" si="125"/>
        <v>0</v>
      </c>
      <c r="N763" s="1648">
        <f t="shared" si="126"/>
        <v>0</v>
      </c>
      <c r="O763" s="1648">
        <f t="shared" si="127"/>
        <v>0</v>
      </c>
      <c r="P763" s="1648">
        <f t="shared" si="128"/>
        <v>263.7</v>
      </c>
      <c r="Q763" s="1648">
        <f t="shared" si="129"/>
        <v>472555.67</v>
      </c>
      <c r="R763" s="55">
        <f t="shared" si="130"/>
        <v>472555.67</v>
      </c>
      <c r="S763" s="55">
        <f t="shared" si="131"/>
        <v>0</v>
      </c>
    </row>
    <row r="764" spans="1:19" ht="63.75" customHeight="1">
      <c r="A764" s="1854"/>
      <c r="B764" s="1648">
        <f t="shared" si="121"/>
        <v>0</v>
      </c>
      <c r="C764" s="1863" t="s">
        <v>5720</v>
      </c>
      <c r="D764" s="1649">
        <f>Data!AD1271</f>
        <v>1792.02</v>
      </c>
      <c r="E764" s="1691" t="s">
        <v>724</v>
      </c>
      <c r="F764" s="1649"/>
      <c r="G764" s="1648">
        <f t="shared" si="122"/>
        <v>0</v>
      </c>
      <c r="H764" s="1648"/>
      <c r="I764" s="1648">
        <f t="shared" si="123"/>
        <v>0</v>
      </c>
      <c r="J764" s="1648"/>
      <c r="K764" s="1648">
        <f t="shared" si="124"/>
        <v>0</v>
      </c>
      <c r="L764" s="1648"/>
      <c r="M764" s="1648">
        <f t="shared" si="125"/>
        <v>0</v>
      </c>
      <c r="N764" s="1648">
        <f t="shared" si="126"/>
        <v>0</v>
      </c>
      <c r="O764" s="1648">
        <f t="shared" si="127"/>
        <v>0</v>
      </c>
      <c r="P764" s="1648">
        <f t="shared" si="128"/>
        <v>0</v>
      </c>
      <c r="Q764" s="1648">
        <f t="shared" si="129"/>
        <v>0</v>
      </c>
      <c r="R764" s="55">
        <f t="shared" si="130"/>
        <v>0</v>
      </c>
      <c r="S764" s="55">
        <f t="shared" si="131"/>
        <v>0</v>
      </c>
    </row>
    <row r="765" spans="1:19" ht="74.25" customHeight="1">
      <c r="A765" s="1854"/>
      <c r="B765" s="1648">
        <f t="shared" si="121"/>
        <v>39.700000000000003</v>
      </c>
      <c r="C765" s="1863" t="s">
        <v>5721</v>
      </c>
      <c r="D765" s="1649">
        <f>Data!R2416</f>
        <v>1483.02</v>
      </c>
      <c r="E765" s="1691" t="s">
        <v>724</v>
      </c>
      <c r="F765" s="1654">
        <v>39.700000000000003</v>
      </c>
      <c r="G765" s="1648">
        <f t="shared" si="122"/>
        <v>58875.89</v>
      </c>
      <c r="H765" s="1648"/>
      <c r="I765" s="1648">
        <f t="shared" si="123"/>
        <v>0</v>
      </c>
      <c r="J765" s="1648"/>
      <c r="K765" s="1648">
        <f t="shared" si="124"/>
        <v>0</v>
      </c>
      <c r="L765" s="1648"/>
      <c r="M765" s="1648">
        <f t="shared" si="125"/>
        <v>0</v>
      </c>
      <c r="N765" s="1648">
        <f t="shared" si="126"/>
        <v>0</v>
      </c>
      <c r="O765" s="1648">
        <f t="shared" si="127"/>
        <v>0</v>
      </c>
      <c r="P765" s="1648">
        <f t="shared" si="128"/>
        <v>39.700000000000003</v>
      </c>
      <c r="Q765" s="1648">
        <f t="shared" si="129"/>
        <v>58875.89</v>
      </c>
      <c r="R765" s="55">
        <f t="shared" si="130"/>
        <v>58875.89</v>
      </c>
      <c r="S765" s="55">
        <f t="shared" si="131"/>
        <v>0</v>
      </c>
    </row>
    <row r="766" spans="1:19" ht="94.5" hidden="1" customHeight="1">
      <c r="A766" s="1854"/>
      <c r="B766" s="1648">
        <f t="shared" si="121"/>
        <v>0</v>
      </c>
      <c r="C766" s="1863" t="s">
        <v>5722</v>
      </c>
      <c r="D766" s="1649">
        <f>Data!AD1271</f>
        <v>1792.02</v>
      </c>
      <c r="E766" s="1691" t="s">
        <v>724</v>
      </c>
      <c r="F766" s="1649"/>
      <c r="G766" s="1648">
        <f t="shared" si="122"/>
        <v>0</v>
      </c>
      <c r="H766" s="1648"/>
      <c r="I766" s="1648">
        <f t="shared" si="123"/>
        <v>0</v>
      </c>
      <c r="J766" s="1648"/>
      <c r="K766" s="1648">
        <f t="shared" si="124"/>
        <v>0</v>
      </c>
      <c r="L766" s="1648"/>
      <c r="M766" s="1648">
        <f t="shared" si="125"/>
        <v>0</v>
      </c>
      <c r="N766" s="1648">
        <f t="shared" si="126"/>
        <v>0</v>
      </c>
      <c r="O766" s="1648">
        <f t="shared" si="127"/>
        <v>0</v>
      </c>
      <c r="P766" s="1648">
        <f t="shared" si="128"/>
        <v>0</v>
      </c>
      <c r="Q766" s="1648">
        <f t="shared" si="129"/>
        <v>0</v>
      </c>
      <c r="R766" s="55">
        <f t="shared" si="130"/>
        <v>0</v>
      </c>
      <c r="S766" s="55">
        <f t="shared" si="131"/>
        <v>0</v>
      </c>
    </row>
    <row r="767" spans="1:19" ht="76.5" hidden="1" customHeight="1">
      <c r="A767" s="1854"/>
      <c r="B767" s="1648">
        <f t="shared" si="121"/>
        <v>0</v>
      </c>
      <c r="C767" s="1863" t="s">
        <v>5723</v>
      </c>
      <c r="D767" s="1649">
        <f>Data!K2435</f>
        <v>1520.79</v>
      </c>
      <c r="E767" s="1691" t="s">
        <v>468</v>
      </c>
      <c r="F767" s="1649"/>
      <c r="G767" s="1648">
        <f t="shared" si="122"/>
        <v>0</v>
      </c>
      <c r="H767" s="1648"/>
      <c r="I767" s="1648">
        <f t="shared" si="123"/>
        <v>0</v>
      </c>
      <c r="J767" s="1648"/>
      <c r="K767" s="1648">
        <f t="shared" si="124"/>
        <v>0</v>
      </c>
      <c r="L767" s="1648"/>
      <c r="M767" s="1648">
        <f t="shared" si="125"/>
        <v>0</v>
      </c>
      <c r="N767" s="1648">
        <f t="shared" si="126"/>
        <v>0</v>
      </c>
      <c r="O767" s="1648">
        <f t="shared" si="127"/>
        <v>0</v>
      </c>
      <c r="P767" s="1648">
        <f t="shared" si="128"/>
        <v>0</v>
      </c>
      <c r="Q767" s="1648">
        <f t="shared" si="129"/>
        <v>0</v>
      </c>
      <c r="R767" s="55">
        <f t="shared" si="130"/>
        <v>0</v>
      </c>
      <c r="S767" s="55">
        <f t="shared" si="131"/>
        <v>0</v>
      </c>
    </row>
    <row r="768" spans="1:19" ht="102" hidden="1" customHeight="1">
      <c r="A768" s="1854"/>
      <c r="B768" s="1648">
        <f t="shared" si="121"/>
        <v>0</v>
      </c>
      <c r="C768" s="1869" t="s">
        <v>5724</v>
      </c>
      <c r="D768" s="1658">
        <f>Data!R1249</f>
        <v>1519.94</v>
      </c>
      <c r="E768" s="1694" t="s">
        <v>724</v>
      </c>
      <c r="F768" s="1651"/>
      <c r="G768" s="1648">
        <f t="shared" si="122"/>
        <v>0</v>
      </c>
      <c r="H768" s="1648"/>
      <c r="I768" s="1648">
        <f t="shared" si="123"/>
        <v>0</v>
      </c>
      <c r="J768" s="1648"/>
      <c r="K768" s="1648">
        <f t="shared" si="124"/>
        <v>0</v>
      </c>
      <c r="L768" s="1648"/>
      <c r="M768" s="1648">
        <f t="shared" si="125"/>
        <v>0</v>
      </c>
      <c r="N768" s="1648">
        <f t="shared" si="126"/>
        <v>0</v>
      </c>
      <c r="O768" s="1648">
        <f t="shared" si="127"/>
        <v>0</v>
      </c>
      <c r="P768" s="1648">
        <f t="shared" si="128"/>
        <v>0</v>
      </c>
      <c r="Q768" s="1648">
        <f t="shared" si="129"/>
        <v>0</v>
      </c>
      <c r="R768" s="55">
        <f t="shared" si="130"/>
        <v>0</v>
      </c>
      <c r="S768" s="55">
        <f t="shared" si="131"/>
        <v>0</v>
      </c>
    </row>
    <row r="769" spans="1:19" ht="99.6" hidden="1" customHeight="1">
      <c r="A769" s="1854"/>
      <c r="B769" s="1648">
        <f t="shared" si="121"/>
        <v>0</v>
      </c>
      <c r="C769" s="1869" t="s">
        <v>5725</v>
      </c>
      <c r="D769" s="1658">
        <f>Data!R1272</f>
        <v>1283.24</v>
      </c>
      <c r="E769" s="1694" t="s">
        <v>724</v>
      </c>
      <c r="F769" s="1651"/>
      <c r="G769" s="1648">
        <f t="shared" si="122"/>
        <v>0</v>
      </c>
      <c r="H769" s="1648"/>
      <c r="I769" s="1648">
        <f t="shared" si="123"/>
        <v>0</v>
      </c>
      <c r="J769" s="1648"/>
      <c r="K769" s="1648">
        <f t="shared" si="124"/>
        <v>0</v>
      </c>
      <c r="L769" s="1648"/>
      <c r="M769" s="1648">
        <f t="shared" si="125"/>
        <v>0</v>
      </c>
      <c r="N769" s="1648">
        <f t="shared" si="126"/>
        <v>0</v>
      </c>
      <c r="O769" s="1648">
        <f t="shared" si="127"/>
        <v>0</v>
      </c>
      <c r="P769" s="1648">
        <f t="shared" si="128"/>
        <v>0</v>
      </c>
      <c r="Q769" s="1648">
        <f t="shared" si="129"/>
        <v>0</v>
      </c>
      <c r="R769" s="55">
        <f t="shared" si="130"/>
        <v>0</v>
      </c>
      <c r="S769" s="55">
        <f t="shared" si="131"/>
        <v>0</v>
      </c>
    </row>
    <row r="770" spans="1:19" ht="38.25" customHeight="1">
      <c r="A770" s="1688"/>
      <c r="B770" s="1648">
        <f t="shared" si="121"/>
        <v>1563.3</v>
      </c>
      <c r="C770" s="1863" t="s">
        <v>6349</v>
      </c>
      <c r="D770" s="1659">
        <v>1283.24</v>
      </c>
      <c r="E770" s="1688" t="s">
        <v>724</v>
      </c>
      <c r="F770" s="1660">
        <f>'Detail '!I2675</f>
        <v>1563.3</v>
      </c>
      <c r="G770" s="1648">
        <f t="shared" si="122"/>
        <v>2006089.09</v>
      </c>
      <c r="I770" s="1648">
        <f t="shared" si="123"/>
        <v>0</v>
      </c>
      <c r="K770" s="1648">
        <f t="shared" si="124"/>
        <v>0</v>
      </c>
      <c r="M770" s="1648">
        <f t="shared" si="125"/>
        <v>0</v>
      </c>
      <c r="N770" s="1648">
        <f t="shared" si="126"/>
        <v>0</v>
      </c>
      <c r="O770" s="1648">
        <f t="shared" si="127"/>
        <v>0</v>
      </c>
      <c r="P770" s="1648">
        <f t="shared" si="128"/>
        <v>1563.3</v>
      </c>
      <c r="Q770" s="1648">
        <f t="shared" si="129"/>
        <v>2006089.09</v>
      </c>
      <c r="R770" s="55">
        <f t="shared" si="130"/>
        <v>2006089.09</v>
      </c>
      <c r="S770" s="55">
        <f t="shared" si="131"/>
        <v>0</v>
      </c>
    </row>
    <row r="771" spans="1:19" ht="43.5" customHeight="1">
      <c r="A771" s="1854" t="s">
        <v>5726</v>
      </c>
      <c r="B771" s="1648">
        <f t="shared" si="121"/>
        <v>255.7</v>
      </c>
      <c r="C771" s="1863" t="s">
        <v>5727</v>
      </c>
      <c r="D771" s="1649">
        <f>Data!R1230</f>
        <v>1513.16</v>
      </c>
      <c r="E771" s="1691" t="s">
        <v>724</v>
      </c>
      <c r="F771" s="1649">
        <f>'Detail '!I2684</f>
        <v>255.7</v>
      </c>
      <c r="G771" s="1648">
        <f t="shared" si="122"/>
        <v>386915.01</v>
      </c>
      <c r="H771" s="1648"/>
      <c r="I771" s="1648">
        <f t="shared" si="123"/>
        <v>0</v>
      </c>
      <c r="J771" s="1648"/>
      <c r="K771" s="1648">
        <f t="shared" si="124"/>
        <v>0</v>
      </c>
      <c r="L771" s="1648"/>
      <c r="M771" s="1648">
        <f t="shared" si="125"/>
        <v>0</v>
      </c>
      <c r="N771" s="1648">
        <f t="shared" si="126"/>
        <v>0</v>
      </c>
      <c r="O771" s="1648">
        <f t="shared" si="127"/>
        <v>0</v>
      </c>
      <c r="P771" s="1648">
        <f t="shared" si="128"/>
        <v>255.7</v>
      </c>
      <c r="Q771" s="1648">
        <f t="shared" si="129"/>
        <v>386915.01</v>
      </c>
      <c r="R771" s="55">
        <f t="shared" si="130"/>
        <v>386915.01</v>
      </c>
      <c r="S771" s="55">
        <f t="shared" si="131"/>
        <v>0</v>
      </c>
    </row>
    <row r="772" spans="1:19" ht="71.25" hidden="1" customHeight="1">
      <c r="A772" s="1854"/>
      <c r="B772" s="1648">
        <f t="shared" si="121"/>
        <v>0</v>
      </c>
      <c r="C772" s="1863" t="s">
        <v>5728</v>
      </c>
      <c r="D772" s="1649">
        <f>Data!AD1257</f>
        <v>1654.94</v>
      </c>
      <c r="E772" s="1691" t="s">
        <v>724</v>
      </c>
      <c r="F772" s="1649"/>
      <c r="G772" s="1648">
        <f t="shared" si="122"/>
        <v>0</v>
      </c>
      <c r="H772" s="1648"/>
      <c r="I772" s="1648">
        <f t="shared" si="123"/>
        <v>0</v>
      </c>
      <c r="J772" s="1648"/>
      <c r="K772" s="1648">
        <f t="shared" si="124"/>
        <v>0</v>
      </c>
      <c r="L772" s="1648"/>
      <c r="M772" s="1648">
        <f t="shared" si="125"/>
        <v>0</v>
      </c>
      <c r="N772" s="1648">
        <f t="shared" si="126"/>
        <v>0</v>
      </c>
      <c r="O772" s="1648">
        <f t="shared" si="127"/>
        <v>0</v>
      </c>
      <c r="P772" s="1648">
        <f t="shared" si="128"/>
        <v>0</v>
      </c>
      <c r="Q772" s="1648">
        <f t="shared" si="129"/>
        <v>0</v>
      </c>
      <c r="R772" s="55">
        <f t="shared" si="130"/>
        <v>0</v>
      </c>
      <c r="S772" s="55">
        <f t="shared" si="131"/>
        <v>0</v>
      </c>
    </row>
    <row r="773" spans="1:19" ht="46.5" hidden="1" customHeight="1">
      <c r="A773" s="1854"/>
      <c r="B773" s="1648">
        <f t="shared" si="121"/>
        <v>0</v>
      </c>
      <c r="C773" s="1870" t="s">
        <v>5729</v>
      </c>
      <c r="D773" s="1649"/>
      <c r="E773" s="1691"/>
      <c r="F773" s="1649"/>
      <c r="G773" s="1648">
        <f t="shared" si="122"/>
        <v>0</v>
      </c>
      <c r="H773" s="1648"/>
      <c r="I773" s="1648">
        <f t="shared" si="123"/>
        <v>0</v>
      </c>
      <c r="J773" s="1648"/>
      <c r="K773" s="1648">
        <f t="shared" si="124"/>
        <v>0</v>
      </c>
      <c r="L773" s="1648"/>
      <c r="M773" s="1648">
        <f t="shared" si="125"/>
        <v>0</v>
      </c>
      <c r="N773" s="1648">
        <f t="shared" si="126"/>
        <v>0</v>
      </c>
      <c r="O773" s="1648">
        <f t="shared" si="127"/>
        <v>0</v>
      </c>
      <c r="P773" s="1648">
        <f t="shared" si="128"/>
        <v>0</v>
      </c>
      <c r="Q773" s="1648">
        <f t="shared" si="129"/>
        <v>0</v>
      </c>
      <c r="R773" s="55">
        <f t="shared" si="130"/>
        <v>0</v>
      </c>
      <c r="S773" s="55">
        <f t="shared" si="131"/>
        <v>0</v>
      </c>
    </row>
    <row r="774" spans="1:19" ht="31.5" hidden="1" customHeight="1">
      <c r="A774" s="1854"/>
      <c r="B774" s="1648">
        <f t="shared" ref="B774:B837" si="132">P774</f>
        <v>0</v>
      </c>
      <c r="C774" s="1866" t="s">
        <v>5730</v>
      </c>
      <c r="D774" s="1649">
        <f>'Sliding and french window'!G350</f>
        <v>3353.03</v>
      </c>
      <c r="E774" s="1691" t="s">
        <v>724</v>
      </c>
      <c r="F774" s="1649"/>
      <c r="G774" s="1648">
        <f t="shared" ref="G774:G837" si="133">F774*D774</f>
        <v>0</v>
      </c>
      <c r="H774" s="1648"/>
      <c r="I774" s="1648">
        <f t="shared" ref="I774:I837" si="134">H774*D774</f>
        <v>0</v>
      </c>
      <c r="J774" s="1648"/>
      <c r="K774" s="1648">
        <f t="shared" ref="K774:K837" si="135">J774*D774</f>
        <v>0</v>
      </c>
      <c r="L774" s="1648"/>
      <c r="M774" s="1648">
        <f t="shared" ref="M774:M837" si="136">L774*D774</f>
        <v>0</v>
      </c>
      <c r="N774" s="1648">
        <f t="shared" ref="N774:N837" si="137">H774+J774+L774</f>
        <v>0</v>
      </c>
      <c r="O774" s="1648">
        <f t="shared" ref="O774:O837" si="138">N774*D774</f>
        <v>0</v>
      </c>
      <c r="P774" s="1648">
        <f t="shared" ref="P774:P837" si="139">N774+F774</f>
        <v>0</v>
      </c>
      <c r="Q774" s="1648">
        <f t="shared" ref="Q774:Q837" si="140">P774*D774</f>
        <v>0</v>
      </c>
      <c r="R774" s="55">
        <f t="shared" ref="R774:R837" si="141">G774+I774+K774+M774</f>
        <v>0</v>
      </c>
      <c r="S774" s="55">
        <f t="shared" ref="S774:S837" si="142">Q774-R774</f>
        <v>0</v>
      </c>
    </row>
    <row r="775" spans="1:19" ht="31.5" hidden="1" customHeight="1">
      <c r="A775" s="1854"/>
      <c r="B775" s="1648">
        <f t="shared" si="132"/>
        <v>0</v>
      </c>
      <c r="C775" s="1866" t="s">
        <v>5731</v>
      </c>
      <c r="D775" s="1649">
        <f>'Sliding and french window'!G491</f>
        <v>3169.22</v>
      </c>
      <c r="E775" s="1691" t="s">
        <v>724</v>
      </c>
      <c r="F775" s="1649"/>
      <c r="G775" s="1648">
        <f t="shared" si="133"/>
        <v>0</v>
      </c>
      <c r="H775" s="1648"/>
      <c r="I775" s="1648">
        <f t="shared" si="134"/>
        <v>0</v>
      </c>
      <c r="J775" s="1648"/>
      <c r="K775" s="1648">
        <f t="shared" si="135"/>
        <v>0</v>
      </c>
      <c r="L775" s="1648"/>
      <c r="M775" s="1648">
        <f t="shared" si="136"/>
        <v>0</v>
      </c>
      <c r="N775" s="1648">
        <f t="shared" si="137"/>
        <v>0</v>
      </c>
      <c r="O775" s="1648">
        <f t="shared" si="138"/>
        <v>0</v>
      </c>
      <c r="P775" s="1648">
        <f t="shared" si="139"/>
        <v>0</v>
      </c>
      <c r="Q775" s="1648">
        <f t="shared" si="140"/>
        <v>0</v>
      </c>
      <c r="R775" s="55">
        <f t="shared" si="141"/>
        <v>0</v>
      </c>
      <c r="S775" s="55">
        <f t="shared" si="142"/>
        <v>0</v>
      </c>
    </row>
    <row r="776" spans="1:19" ht="31.5" hidden="1" customHeight="1">
      <c r="A776" s="1854"/>
      <c r="B776" s="1648">
        <f t="shared" si="132"/>
        <v>0</v>
      </c>
      <c r="C776" s="1866" t="s">
        <v>5732</v>
      </c>
      <c r="D776" s="1649">
        <f>'Sliding and french window'!G395</f>
        <v>4048</v>
      </c>
      <c r="E776" s="1691" t="s">
        <v>724</v>
      </c>
      <c r="F776" s="1649"/>
      <c r="G776" s="1648">
        <f t="shared" si="133"/>
        <v>0</v>
      </c>
      <c r="H776" s="1648"/>
      <c r="I776" s="1648">
        <f t="shared" si="134"/>
        <v>0</v>
      </c>
      <c r="J776" s="1648"/>
      <c r="K776" s="1648">
        <f t="shared" si="135"/>
        <v>0</v>
      </c>
      <c r="L776" s="1648"/>
      <c r="M776" s="1648">
        <f t="shared" si="136"/>
        <v>0</v>
      </c>
      <c r="N776" s="1648">
        <f t="shared" si="137"/>
        <v>0</v>
      </c>
      <c r="O776" s="1648">
        <f t="shared" si="138"/>
        <v>0</v>
      </c>
      <c r="P776" s="1648">
        <f t="shared" si="139"/>
        <v>0</v>
      </c>
      <c r="Q776" s="1648">
        <f t="shared" si="140"/>
        <v>0</v>
      </c>
      <c r="R776" s="55">
        <f t="shared" si="141"/>
        <v>0</v>
      </c>
      <c r="S776" s="55">
        <f t="shared" si="142"/>
        <v>0</v>
      </c>
    </row>
    <row r="777" spans="1:19" ht="31.5" hidden="1" customHeight="1">
      <c r="A777" s="1854"/>
      <c r="B777" s="1648">
        <f t="shared" si="132"/>
        <v>0</v>
      </c>
      <c r="C777" s="1866" t="s">
        <v>5733</v>
      </c>
      <c r="D777" s="1649">
        <f>'Sliding and french window'!G440</f>
        <v>3758.93</v>
      </c>
      <c r="E777" s="1691" t="s">
        <v>724</v>
      </c>
      <c r="F777" s="1649"/>
      <c r="G777" s="1648">
        <f t="shared" si="133"/>
        <v>0</v>
      </c>
      <c r="H777" s="1648"/>
      <c r="I777" s="1648">
        <f t="shared" si="134"/>
        <v>0</v>
      </c>
      <c r="J777" s="1648"/>
      <c r="K777" s="1648">
        <f t="shared" si="135"/>
        <v>0</v>
      </c>
      <c r="L777" s="1648"/>
      <c r="M777" s="1648">
        <f t="shared" si="136"/>
        <v>0</v>
      </c>
      <c r="N777" s="1648">
        <f t="shared" si="137"/>
        <v>0</v>
      </c>
      <c r="O777" s="1648">
        <f t="shared" si="138"/>
        <v>0</v>
      </c>
      <c r="P777" s="1648">
        <f t="shared" si="139"/>
        <v>0</v>
      </c>
      <c r="Q777" s="1648">
        <f t="shared" si="140"/>
        <v>0</v>
      </c>
      <c r="R777" s="55">
        <f t="shared" si="141"/>
        <v>0</v>
      </c>
      <c r="S777" s="55">
        <f t="shared" si="142"/>
        <v>0</v>
      </c>
    </row>
    <row r="778" spans="1:19" ht="60.75" hidden="1" customHeight="1">
      <c r="A778" s="1854"/>
      <c r="B778" s="1648">
        <f t="shared" si="132"/>
        <v>0</v>
      </c>
      <c r="C778" s="1866" t="s">
        <v>5734</v>
      </c>
      <c r="D778" s="1655">
        <f>Data!X1293</f>
        <v>1400.15</v>
      </c>
      <c r="E778" s="1690" t="s">
        <v>5324</v>
      </c>
      <c r="F778" s="1649"/>
      <c r="G778" s="1648">
        <f t="shared" si="133"/>
        <v>0</v>
      </c>
      <c r="H778" s="1648"/>
      <c r="I778" s="1648">
        <f t="shared" si="134"/>
        <v>0</v>
      </c>
      <c r="J778" s="1648"/>
      <c r="K778" s="1648">
        <f t="shared" si="135"/>
        <v>0</v>
      </c>
      <c r="L778" s="1648"/>
      <c r="M778" s="1648">
        <f t="shared" si="136"/>
        <v>0</v>
      </c>
      <c r="N778" s="1648">
        <f t="shared" si="137"/>
        <v>0</v>
      </c>
      <c r="O778" s="1648">
        <f t="shared" si="138"/>
        <v>0</v>
      </c>
      <c r="P778" s="1648">
        <f t="shared" si="139"/>
        <v>0</v>
      </c>
      <c r="Q778" s="1648">
        <f t="shared" si="140"/>
        <v>0</v>
      </c>
      <c r="R778" s="55">
        <f t="shared" si="141"/>
        <v>0</v>
      </c>
      <c r="S778" s="55">
        <f t="shared" si="142"/>
        <v>0</v>
      </c>
    </row>
    <row r="779" spans="1:19" ht="51" hidden="1" customHeight="1">
      <c r="A779" s="1854"/>
      <c r="B779" s="1648">
        <f t="shared" si="132"/>
        <v>0</v>
      </c>
      <c r="C779" s="1866" t="s">
        <v>5735</v>
      </c>
      <c r="D779" s="1655">
        <f>Data!K1292</f>
        <v>2989.58</v>
      </c>
      <c r="E779" s="1690" t="s">
        <v>5324</v>
      </c>
      <c r="F779" s="1649"/>
      <c r="G779" s="1648">
        <f t="shared" si="133"/>
        <v>0</v>
      </c>
      <c r="H779" s="1648"/>
      <c r="I779" s="1648">
        <f t="shared" si="134"/>
        <v>0</v>
      </c>
      <c r="J779" s="1648"/>
      <c r="K779" s="1648">
        <f t="shared" si="135"/>
        <v>0</v>
      </c>
      <c r="L779" s="1648"/>
      <c r="M779" s="1648">
        <f t="shared" si="136"/>
        <v>0</v>
      </c>
      <c r="N779" s="1648">
        <f t="shared" si="137"/>
        <v>0</v>
      </c>
      <c r="O779" s="1648">
        <f t="shared" si="138"/>
        <v>0</v>
      </c>
      <c r="P779" s="1648">
        <f t="shared" si="139"/>
        <v>0</v>
      </c>
      <c r="Q779" s="1648">
        <f t="shared" si="140"/>
        <v>0</v>
      </c>
      <c r="R779" s="55">
        <f t="shared" si="141"/>
        <v>0</v>
      </c>
      <c r="S779" s="55">
        <f t="shared" si="142"/>
        <v>0</v>
      </c>
    </row>
    <row r="780" spans="1:19" ht="60" hidden="1" customHeight="1">
      <c r="A780" s="1854" t="s">
        <v>5736</v>
      </c>
      <c r="B780" s="1648">
        <f t="shared" si="132"/>
        <v>0</v>
      </c>
      <c r="C780" s="1866" t="s">
        <v>5209</v>
      </c>
      <c r="D780" s="1655">
        <f>Data!R3720</f>
        <v>4625.71</v>
      </c>
      <c r="E780" s="1687" t="s">
        <v>724</v>
      </c>
      <c r="F780" s="1649"/>
      <c r="G780" s="1648">
        <f t="shared" si="133"/>
        <v>0</v>
      </c>
      <c r="H780" s="1648"/>
      <c r="I780" s="1648">
        <f t="shared" si="134"/>
        <v>0</v>
      </c>
      <c r="J780" s="1648"/>
      <c r="K780" s="1648">
        <f t="shared" si="135"/>
        <v>0</v>
      </c>
      <c r="L780" s="1648"/>
      <c r="M780" s="1648">
        <f t="shared" si="136"/>
        <v>0</v>
      </c>
      <c r="N780" s="1648">
        <f t="shared" si="137"/>
        <v>0</v>
      </c>
      <c r="O780" s="1648">
        <f t="shared" si="138"/>
        <v>0</v>
      </c>
      <c r="P780" s="1648">
        <f t="shared" si="139"/>
        <v>0</v>
      </c>
      <c r="Q780" s="1648">
        <f t="shared" si="140"/>
        <v>0</v>
      </c>
      <c r="R780" s="55">
        <f t="shared" si="141"/>
        <v>0</v>
      </c>
      <c r="S780" s="55">
        <f t="shared" si="142"/>
        <v>0</v>
      </c>
    </row>
    <row r="781" spans="1:19" ht="46.5" hidden="1" customHeight="1">
      <c r="A781" s="1854">
        <f>11.6-7.25</f>
        <v>4.4000000000000004</v>
      </c>
      <c r="B781" s="1648">
        <f t="shared" si="132"/>
        <v>0</v>
      </c>
      <c r="C781" s="1863" t="s">
        <v>5737</v>
      </c>
      <c r="D781" s="1655">
        <v>915.02</v>
      </c>
      <c r="E781" s="1687" t="s">
        <v>724</v>
      </c>
      <c r="F781" s="1649"/>
      <c r="G781" s="1648">
        <f t="shared" si="133"/>
        <v>0</v>
      </c>
      <c r="H781" s="1648"/>
      <c r="I781" s="1648">
        <f t="shared" si="134"/>
        <v>0</v>
      </c>
      <c r="J781" s="1648"/>
      <c r="K781" s="1648">
        <f t="shared" si="135"/>
        <v>0</v>
      </c>
      <c r="L781" s="1648"/>
      <c r="M781" s="1648">
        <f t="shared" si="136"/>
        <v>0</v>
      </c>
      <c r="N781" s="1648">
        <f t="shared" si="137"/>
        <v>0</v>
      </c>
      <c r="O781" s="1648">
        <f t="shared" si="138"/>
        <v>0</v>
      </c>
      <c r="P781" s="1648">
        <f t="shared" si="139"/>
        <v>0</v>
      </c>
      <c r="Q781" s="1648">
        <f t="shared" si="140"/>
        <v>0</v>
      </c>
      <c r="R781" s="55">
        <f t="shared" si="141"/>
        <v>0</v>
      </c>
      <c r="S781" s="55">
        <f t="shared" si="142"/>
        <v>0</v>
      </c>
    </row>
    <row r="782" spans="1:19" ht="69.75" hidden="1" customHeight="1">
      <c r="A782" s="1854"/>
      <c r="B782" s="1648">
        <f t="shared" si="132"/>
        <v>0</v>
      </c>
      <c r="C782" s="1863" t="s">
        <v>5738</v>
      </c>
      <c r="D782" s="1655">
        <v>990</v>
      </c>
      <c r="E782" s="1687" t="s">
        <v>724</v>
      </c>
      <c r="F782" s="1649"/>
      <c r="G782" s="1648">
        <f t="shared" si="133"/>
        <v>0</v>
      </c>
      <c r="H782" s="1648"/>
      <c r="I782" s="1648">
        <f t="shared" si="134"/>
        <v>0</v>
      </c>
      <c r="J782" s="1648"/>
      <c r="K782" s="1648">
        <f t="shared" si="135"/>
        <v>0</v>
      </c>
      <c r="L782" s="1648"/>
      <c r="M782" s="1648">
        <f t="shared" si="136"/>
        <v>0</v>
      </c>
      <c r="N782" s="1648">
        <f t="shared" si="137"/>
        <v>0</v>
      </c>
      <c r="O782" s="1648">
        <f t="shared" si="138"/>
        <v>0</v>
      </c>
      <c r="P782" s="1648">
        <f t="shared" si="139"/>
        <v>0</v>
      </c>
      <c r="Q782" s="1648">
        <f t="shared" si="140"/>
        <v>0</v>
      </c>
      <c r="R782" s="55">
        <f t="shared" si="141"/>
        <v>0</v>
      </c>
      <c r="S782" s="55">
        <f t="shared" si="142"/>
        <v>0</v>
      </c>
    </row>
    <row r="783" spans="1:19" ht="25.5" hidden="1" customHeight="1">
      <c r="A783" s="1854"/>
      <c r="B783" s="1648">
        <f t="shared" si="132"/>
        <v>0</v>
      </c>
      <c r="C783" s="1863" t="s">
        <v>5739</v>
      </c>
      <c r="D783" s="1655">
        <v>905</v>
      </c>
      <c r="E783" s="1687" t="s">
        <v>13</v>
      </c>
      <c r="F783" s="1649"/>
      <c r="G783" s="1648">
        <f t="shared" si="133"/>
        <v>0</v>
      </c>
      <c r="H783" s="1648"/>
      <c r="I783" s="1648">
        <f t="shared" si="134"/>
        <v>0</v>
      </c>
      <c r="J783" s="1648"/>
      <c r="K783" s="1648">
        <f t="shared" si="135"/>
        <v>0</v>
      </c>
      <c r="L783" s="1648"/>
      <c r="M783" s="1648">
        <f t="shared" si="136"/>
        <v>0</v>
      </c>
      <c r="N783" s="1648">
        <f t="shared" si="137"/>
        <v>0</v>
      </c>
      <c r="O783" s="1648">
        <f t="shared" si="138"/>
        <v>0</v>
      </c>
      <c r="P783" s="1648">
        <f t="shared" si="139"/>
        <v>0</v>
      </c>
      <c r="Q783" s="1648">
        <f t="shared" si="140"/>
        <v>0</v>
      </c>
      <c r="R783" s="55">
        <f t="shared" si="141"/>
        <v>0</v>
      </c>
      <c r="S783" s="55">
        <f t="shared" si="142"/>
        <v>0</v>
      </c>
    </row>
    <row r="784" spans="1:19" ht="25.5" hidden="1" customHeight="1">
      <c r="A784" s="1854"/>
      <c r="B784" s="1648">
        <f t="shared" si="132"/>
        <v>0</v>
      </c>
      <c r="C784" s="1863" t="s">
        <v>5740</v>
      </c>
      <c r="D784" s="1655">
        <v>8467.2999999999993</v>
      </c>
      <c r="E784" s="1687" t="s">
        <v>729</v>
      </c>
      <c r="F784" s="1649"/>
      <c r="G784" s="1648">
        <f t="shared" si="133"/>
        <v>0</v>
      </c>
      <c r="H784" s="1648"/>
      <c r="I784" s="1648">
        <f t="shared" si="134"/>
        <v>0</v>
      </c>
      <c r="J784" s="1648"/>
      <c r="K784" s="1648">
        <f t="shared" si="135"/>
        <v>0</v>
      </c>
      <c r="L784" s="1648"/>
      <c r="M784" s="1648">
        <f t="shared" si="136"/>
        <v>0</v>
      </c>
      <c r="N784" s="1648">
        <f t="shared" si="137"/>
        <v>0</v>
      </c>
      <c r="O784" s="1648">
        <f t="shared" si="138"/>
        <v>0</v>
      </c>
      <c r="P784" s="1648">
        <f t="shared" si="139"/>
        <v>0</v>
      </c>
      <c r="Q784" s="1648">
        <f t="shared" si="140"/>
        <v>0</v>
      </c>
      <c r="R784" s="55">
        <f t="shared" si="141"/>
        <v>0</v>
      </c>
      <c r="S784" s="55">
        <f t="shared" si="142"/>
        <v>0</v>
      </c>
    </row>
    <row r="785" spans="1:19" ht="93" hidden="1" customHeight="1">
      <c r="A785" s="1854"/>
      <c r="B785" s="1648">
        <f t="shared" si="132"/>
        <v>0</v>
      </c>
      <c r="C785" s="1863" t="s">
        <v>5741</v>
      </c>
      <c r="D785" s="1655">
        <v>4146</v>
      </c>
      <c r="E785" s="1687" t="s">
        <v>729</v>
      </c>
      <c r="F785" s="1649"/>
      <c r="G785" s="1648">
        <f t="shared" si="133"/>
        <v>0</v>
      </c>
      <c r="H785" s="1648"/>
      <c r="I785" s="1648">
        <f t="shared" si="134"/>
        <v>0</v>
      </c>
      <c r="J785" s="1648"/>
      <c r="K785" s="1648">
        <f t="shared" si="135"/>
        <v>0</v>
      </c>
      <c r="L785" s="1648"/>
      <c r="M785" s="1648">
        <f t="shared" si="136"/>
        <v>0</v>
      </c>
      <c r="N785" s="1648">
        <f t="shared" si="137"/>
        <v>0</v>
      </c>
      <c r="O785" s="1648">
        <f t="shared" si="138"/>
        <v>0</v>
      </c>
      <c r="P785" s="1648">
        <f t="shared" si="139"/>
        <v>0</v>
      </c>
      <c r="Q785" s="1648">
        <f t="shared" si="140"/>
        <v>0</v>
      </c>
      <c r="R785" s="55">
        <f t="shared" si="141"/>
        <v>0</v>
      </c>
      <c r="S785" s="55">
        <f t="shared" si="142"/>
        <v>0</v>
      </c>
    </row>
    <row r="786" spans="1:19" ht="93" hidden="1" customHeight="1">
      <c r="A786" s="1854"/>
      <c r="B786" s="1648">
        <f t="shared" si="132"/>
        <v>0</v>
      </c>
      <c r="C786" s="1863" t="s">
        <v>5742</v>
      </c>
      <c r="D786" s="1655">
        <v>469.42</v>
      </c>
      <c r="E786" s="1687" t="s">
        <v>729</v>
      </c>
      <c r="F786" s="1649"/>
      <c r="G786" s="1648">
        <f t="shared" si="133"/>
        <v>0</v>
      </c>
      <c r="H786" s="1648"/>
      <c r="I786" s="1648">
        <f t="shared" si="134"/>
        <v>0</v>
      </c>
      <c r="J786" s="1648"/>
      <c r="K786" s="1648">
        <f t="shared" si="135"/>
        <v>0</v>
      </c>
      <c r="L786" s="1648"/>
      <c r="M786" s="1648">
        <f t="shared" si="136"/>
        <v>0</v>
      </c>
      <c r="N786" s="1648">
        <f t="shared" si="137"/>
        <v>0</v>
      </c>
      <c r="O786" s="1648">
        <f t="shared" si="138"/>
        <v>0</v>
      </c>
      <c r="P786" s="1648">
        <f t="shared" si="139"/>
        <v>0</v>
      </c>
      <c r="Q786" s="1648">
        <f t="shared" si="140"/>
        <v>0</v>
      </c>
      <c r="R786" s="55">
        <f t="shared" si="141"/>
        <v>0</v>
      </c>
      <c r="S786" s="55">
        <f t="shared" si="142"/>
        <v>0</v>
      </c>
    </row>
    <row r="787" spans="1:19" ht="25.5" hidden="1" customHeight="1">
      <c r="A787" s="1854"/>
      <c r="B787" s="1648">
        <f t="shared" si="132"/>
        <v>0</v>
      </c>
      <c r="C787" s="1863" t="s">
        <v>5743</v>
      </c>
      <c r="D787" s="1655"/>
      <c r="E787" s="1687"/>
      <c r="F787" s="1649"/>
      <c r="G787" s="1648">
        <f t="shared" si="133"/>
        <v>0</v>
      </c>
      <c r="H787" s="1648"/>
      <c r="I787" s="1648">
        <f t="shared" si="134"/>
        <v>0</v>
      </c>
      <c r="J787" s="1648"/>
      <c r="K787" s="1648">
        <f t="shared" si="135"/>
        <v>0</v>
      </c>
      <c r="L787" s="1648"/>
      <c r="M787" s="1648">
        <f t="shared" si="136"/>
        <v>0</v>
      </c>
      <c r="N787" s="1648">
        <f t="shared" si="137"/>
        <v>0</v>
      </c>
      <c r="O787" s="1648">
        <f t="shared" si="138"/>
        <v>0</v>
      </c>
      <c r="P787" s="1648">
        <f t="shared" si="139"/>
        <v>0</v>
      </c>
      <c r="Q787" s="1648">
        <f t="shared" si="140"/>
        <v>0</v>
      </c>
      <c r="R787" s="55">
        <f t="shared" si="141"/>
        <v>0</v>
      </c>
      <c r="S787" s="55">
        <f t="shared" si="142"/>
        <v>0</v>
      </c>
    </row>
    <row r="788" spans="1:19" ht="26.25" hidden="1" customHeight="1">
      <c r="A788" s="1854"/>
      <c r="B788" s="1648">
        <f t="shared" si="132"/>
        <v>0</v>
      </c>
      <c r="C788" s="1863" t="s">
        <v>5744</v>
      </c>
      <c r="D788" s="1655">
        <v>5640</v>
      </c>
      <c r="E788" s="1687" t="s">
        <v>729</v>
      </c>
      <c r="F788" s="1649"/>
      <c r="G788" s="1648">
        <f t="shared" si="133"/>
        <v>0</v>
      </c>
      <c r="H788" s="1648"/>
      <c r="I788" s="1648">
        <f t="shared" si="134"/>
        <v>0</v>
      </c>
      <c r="J788" s="1648"/>
      <c r="K788" s="1648">
        <f t="shared" si="135"/>
        <v>0</v>
      </c>
      <c r="L788" s="1648"/>
      <c r="M788" s="1648">
        <f t="shared" si="136"/>
        <v>0</v>
      </c>
      <c r="N788" s="1648">
        <f t="shared" si="137"/>
        <v>0</v>
      </c>
      <c r="O788" s="1648">
        <f t="shared" si="138"/>
        <v>0</v>
      </c>
      <c r="P788" s="1648">
        <f t="shared" si="139"/>
        <v>0</v>
      </c>
      <c r="Q788" s="1648">
        <f t="shared" si="140"/>
        <v>0</v>
      </c>
      <c r="R788" s="55">
        <f t="shared" si="141"/>
        <v>0</v>
      </c>
      <c r="S788" s="55">
        <f t="shared" si="142"/>
        <v>0</v>
      </c>
    </row>
    <row r="789" spans="1:19" ht="25.5" hidden="1" customHeight="1">
      <c r="A789" s="1854"/>
      <c r="B789" s="1648">
        <f t="shared" si="132"/>
        <v>0</v>
      </c>
      <c r="C789" s="1863" t="s">
        <v>5745</v>
      </c>
      <c r="D789" s="1655">
        <v>1340</v>
      </c>
      <c r="E789" s="1687" t="s">
        <v>729</v>
      </c>
      <c r="F789" s="1649"/>
      <c r="G789" s="1648">
        <f t="shared" si="133"/>
        <v>0</v>
      </c>
      <c r="H789" s="1648"/>
      <c r="I789" s="1648">
        <f t="shared" si="134"/>
        <v>0</v>
      </c>
      <c r="J789" s="1648"/>
      <c r="K789" s="1648">
        <f t="shared" si="135"/>
        <v>0</v>
      </c>
      <c r="L789" s="1648"/>
      <c r="M789" s="1648">
        <f t="shared" si="136"/>
        <v>0</v>
      </c>
      <c r="N789" s="1648">
        <f t="shared" si="137"/>
        <v>0</v>
      </c>
      <c r="O789" s="1648">
        <f t="shared" si="138"/>
        <v>0</v>
      </c>
      <c r="P789" s="1648">
        <f t="shared" si="139"/>
        <v>0</v>
      </c>
      <c r="Q789" s="1648">
        <f t="shared" si="140"/>
        <v>0</v>
      </c>
      <c r="R789" s="55">
        <f t="shared" si="141"/>
        <v>0</v>
      </c>
      <c r="S789" s="55">
        <f t="shared" si="142"/>
        <v>0</v>
      </c>
    </row>
    <row r="790" spans="1:19" ht="25.5" hidden="1" customHeight="1">
      <c r="A790" s="1854"/>
      <c r="B790" s="1648">
        <f t="shared" si="132"/>
        <v>0</v>
      </c>
      <c r="C790" s="1863" t="s">
        <v>5746</v>
      </c>
      <c r="D790" s="1655">
        <v>604</v>
      </c>
      <c r="E790" s="1687" t="s">
        <v>729</v>
      </c>
      <c r="F790" s="1649"/>
      <c r="G790" s="1648">
        <f t="shared" si="133"/>
        <v>0</v>
      </c>
      <c r="H790" s="1648"/>
      <c r="I790" s="1648">
        <f t="shared" si="134"/>
        <v>0</v>
      </c>
      <c r="J790" s="1648"/>
      <c r="K790" s="1648">
        <f t="shared" si="135"/>
        <v>0</v>
      </c>
      <c r="L790" s="1648"/>
      <c r="M790" s="1648">
        <f t="shared" si="136"/>
        <v>0</v>
      </c>
      <c r="N790" s="1648">
        <f t="shared" si="137"/>
        <v>0</v>
      </c>
      <c r="O790" s="1648">
        <f t="shared" si="138"/>
        <v>0</v>
      </c>
      <c r="P790" s="1648">
        <f t="shared" si="139"/>
        <v>0</v>
      </c>
      <c r="Q790" s="1648">
        <f t="shared" si="140"/>
        <v>0</v>
      </c>
      <c r="R790" s="55">
        <f t="shared" si="141"/>
        <v>0</v>
      </c>
      <c r="S790" s="55">
        <f t="shared" si="142"/>
        <v>0</v>
      </c>
    </row>
    <row r="791" spans="1:19" ht="86.25" hidden="1" customHeight="1">
      <c r="A791" s="1854"/>
      <c r="B791" s="1648">
        <f t="shared" si="132"/>
        <v>0</v>
      </c>
      <c r="C791" s="1863" t="s">
        <v>5747</v>
      </c>
      <c r="D791" s="1655"/>
      <c r="E791" s="1687"/>
      <c r="F791" s="1649"/>
      <c r="G791" s="1648">
        <f t="shared" si="133"/>
        <v>0</v>
      </c>
      <c r="H791" s="1648"/>
      <c r="I791" s="1648">
        <f t="shared" si="134"/>
        <v>0</v>
      </c>
      <c r="J791" s="1648"/>
      <c r="K791" s="1648">
        <f t="shared" si="135"/>
        <v>0</v>
      </c>
      <c r="L791" s="1648"/>
      <c r="M791" s="1648">
        <f t="shared" si="136"/>
        <v>0</v>
      </c>
      <c r="N791" s="1648">
        <f t="shared" si="137"/>
        <v>0</v>
      </c>
      <c r="O791" s="1648">
        <f t="shared" si="138"/>
        <v>0</v>
      </c>
      <c r="P791" s="1648">
        <f t="shared" si="139"/>
        <v>0</v>
      </c>
      <c r="Q791" s="1648">
        <f t="shared" si="140"/>
        <v>0</v>
      </c>
      <c r="R791" s="55">
        <f t="shared" si="141"/>
        <v>0</v>
      </c>
      <c r="S791" s="55">
        <f t="shared" si="142"/>
        <v>0</v>
      </c>
    </row>
    <row r="792" spans="1:19" ht="25.5" hidden="1" customHeight="1">
      <c r="A792" s="1854"/>
      <c r="B792" s="1648">
        <f t="shared" si="132"/>
        <v>0</v>
      </c>
      <c r="C792" s="1863" t="s">
        <v>5520</v>
      </c>
      <c r="D792" s="1655">
        <v>1000.51</v>
      </c>
      <c r="E792" s="1687" t="s">
        <v>729</v>
      </c>
      <c r="F792" s="1649"/>
      <c r="G792" s="1648">
        <f t="shared" si="133"/>
        <v>0</v>
      </c>
      <c r="H792" s="1648"/>
      <c r="I792" s="1648">
        <f t="shared" si="134"/>
        <v>0</v>
      </c>
      <c r="J792" s="1648"/>
      <c r="K792" s="1648">
        <f t="shared" si="135"/>
        <v>0</v>
      </c>
      <c r="L792" s="1648"/>
      <c r="M792" s="1648">
        <f t="shared" si="136"/>
        <v>0</v>
      </c>
      <c r="N792" s="1648">
        <f t="shared" si="137"/>
        <v>0</v>
      </c>
      <c r="O792" s="1648">
        <f t="shared" si="138"/>
        <v>0</v>
      </c>
      <c r="P792" s="1648">
        <f t="shared" si="139"/>
        <v>0</v>
      </c>
      <c r="Q792" s="1648">
        <f t="shared" si="140"/>
        <v>0</v>
      </c>
      <c r="R792" s="55">
        <f t="shared" si="141"/>
        <v>0</v>
      </c>
      <c r="S792" s="55">
        <f t="shared" si="142"/>
        <v>0</v>
      </c>
    </row>
    <row r="793" spans="1:19" ht="25.5" hidden="1" customHeight="1">
      <c r="A793" s="1854"/>
      <c r="B793" s="1648">
        <f t="shared" si="132"/>
        <v>0</v>
      </c>
      <c r="C793" s="1863" t="s">
        <v>3669</v>
      </c>
      <c r="D793" s="1655">
        <v>1003.51</v>
      </c>
      <c r="E793" s="1687" t="s">
        <v>729</v>
      </c>
      <c r="F793" s="1649"/>
      <c r="G793" s="1648">
        <f t="shared" si="133"/>
        <v>0</v>
      </c>
      <c r="H793" s="1648"/>
      <c r="I793" s="1648">
        <f t="shared" si="134"/>
        <v>0</v>
      </c>
      <c r="J793" s="1648"/>
      <c r="K793" s="1648">
        <f t="shared" si="135"/>
        <v>0</v>
      </c>
      <c r="L793" s="1648"/>
      <c r="M793" s="1648">
        <f t="shared" si="136"/>
        <v>0</v>
      </c>
      <c r="N793" s="1648">
        <f t="shared" si="137"/>
        <v>0</v>
      </c>
      <c r="O793" s="1648">
        <f t="shared" si="138"/>
        <v>0</v>
      </c>
      <c r="P793" s="1648">
        <f t="shared" si="139"/>
        <v>0</v>
      </c>
      <c r="Q793" s="1648">
        <f t="shared" si="140"/>
        <v>0</v>
      </c>
      <c r="R793" s="55">
        <f t="shared" si="141"/>
        <v>0</v>
      </c>
      <c r="S793" s="55">
        <f t="shared" si="142"/>
        <v>0</v>
      </c>
    </row>
    <row r="794" spans="1:19" ht="116.25" hidden="1" customHeight="1">
      <c r="A794" s="1854"/>
      <c r="B794" s="1648">
        <f t="shared" si="132"/>
        <v>0</v>
      </c>
      <c r="C794" s="1863" t="s">
        <v>5748</v>
      </c>
      <c r="D794" s="1655">
        <v>769.3</v>
      </c>
      <c r="E794" s="1687" t="s">
        <v>729</v>
      </c>
      <c r="F794" s="1649"/>
      <c r="G794" s="1648">
        <f t="shared" si="133"/>
        <v>0</v>
      </c>
      <c r="H794" s="1648"/>
      <c r="I794" s="1648">
        <f t="shared" si="134"/>
        <v>0</v>
      </c>
      <c r="J794" s="1648"/>
      <c r="K794" s="1648">
        <f t="shared" si="135"/>
        <v>0</v>
      </c>
      <c r="L794" s="1648"/>
      <c r="M794" s="1648">
        <f t="shared" si="136"/>
        <v>0</v>
      </c>
      <c r="N794" s="1648">
        <f t="shared" si="137"/>
        <v>0</v>
      </c>
      <c r="O794" s="1648">
        <f t="shared" si="138"/>
        <v>0</v>
      </c>
      <c r="P794" s="1648">
        <f t="shared" si="139"/>
        <v>0</v>
      </c>
      <c r="Q794" s="1648">
        <f t="shared" si="140"/>
        <v>0</v>
      </c>
      <c r="R794" s="55">
        <f t="shared" si="141"/>
        <v>0</v>
      </c>
      <c r="S794" s="55">
        <f t="shared" si="142"/>
        <v>0</v>
      </c>
    </row>
    <row r="795" spans="1:19" ht="116.25" hidden="1" customHeight="1">
      <c r="A795" s="1854"/>
      <c r="B795" s="1648">
        <f t="shared" si="132"/>
        <v>0</v>
      </c>
      <c r="C795" s="1863" t="s">
        <v>5749</v>
      </c>
      <c r="D795" s="1655">
        <v>536.54999999999995</v>
      </c>
      <c r="E795" s="1687" t="s">
        <v>729</v>
      </c>
      <c r="F795" s="1649"/>
      <c r="G795" s="1648">
        <f t="shared" si="133"/>
        <v>0</v>
      </c>
      <c r="H795" s="1648"/>
      <c r="I795" s="1648">
        <f t="shared" si="134"/>
        <v>0</v>
      </c>
      <c r="J795" s="1648"/>
      <c r="K795" s="1648">
        <f t="shared" si="135"/>
        <v>0</v>
      </c>
      <c r="L795" s="1648"/>
      <c r="M795" s="1648">
        <f t="shared" si="136"/>
        <v>0</v>
      </c>
      <c r="N795" s="1648">
        <f t="shared" si="137"/>
        <v>0</v>
      </c>
      <c r="O795" s="1648">
        <f t="shared" si="138"/>
        <v>0</v>
      </c>
      <c r="P795" s="1648">
        <f t="shared" si="139"/>
        <v>0</v>
      </c>
      <c r="Q795" s="1648">
        <f t="shared" si="140"/>
        <v>0</v>
      </c>
      <c r="R795" s="55">
        <f t="shared" si="141"/>
        <v>0</v>
      </c>
      <c r="S795" s="55">
        <f t="shared" si="142"/>
        <v>0</v>
      </c>
    </row>
    <row r="796" spans="1:19" ht="59.25" hidden="1" customHeight="1">
      <c r="A796" s="1854"/>
      <c r="B796" s="1648">
        <f t="shared" si="132"/>
        <v>0</v>
      </c>
      <c r="C796" s="1863" t="s">
        <v>5750</v>
      </c>
      <c r="D796" s="1655">
        <v>1044</v>
      </c>
      <c r="E796" s="1695" t="s">
        <v>282</v>
      </c>
      <c r="F796" s="1649"/>
      <c r="G796" s="1648">
        <f t="shared" si="133"/>
        <v>0</v>
      </c>
      <c r="H796" s="1648"/>
      <c r="I796" s="1648">
        <f t="shared" si="134"/>
        <v>0</v>
      </c>
      <c r="J796" s="1648"/>
      <c r="K796" s="1648">
        <f t="shared" si="135"/>
        <v>0</v>
      </c>
      <c r="L796" s="1648"/>
      <c r="M796" s="1648">
        <f t="shared" si="136"/>
        <v>0</v>
      </c>
      <c r="N796" s="1648">
        <f t="shared" si="137"/>
        <v>0</v>
      </c>
      <c r="O796" s="1648">
        <f t="shared" si="138"/>
        <v>0</v>
      </c>
      <c r="P796" s="1648">
        <f t="shared" si="139"/>
        <v>0</v>
      </c>
      <c r="Q796" s="1648">
        <f t="shared" si="140"/>
        <v>0</v>
      </c>
      <c r="R796" s="55">
        <f t="shared" si="141"/>
        <v>0</v>
      </c>
      <c r="S796" s="55">
        <f t="shared" si="142"/>
        <v>0</v>
      </c>
    </row>
    <row r="797" spans="1:19" ht="37.5" hidden="1" customHeight="1">
      <c r="A797" s="1854"/>
      <c r="B797" s="1648">
        <f t="shared" si="132"/>
        <v>0</v>
      </c>
      <c r="C797" s="1863" t="s">
        <v>5751</v>
      </c>
      <c r="D797" s="1655">
        <v>595</v>
      </c>
      <c r="E797" s="1695" t="s">
        <v>282</v>
      </c>
      <c r="F797" s="1649"/>
      <c r="G797" s="1648">
        <f t="shared" si="133"/>
        <v>0</v>
      </c>
      <c r="H797" s="1648"/>
      <c r="I797" s="1648">
        <f t="shared" si="134"/>
        <v>0</v>
      </c>
      <c r="J797" s="1648"/>
      <c r="K797" s="1648">
        <f t="shared" si="135"/>
        <v>0</v>
      </c>
      <c r="L797" s="1648"/>
      <c r="M797" s="1648">
        <f t="shared" si="136"/>
        <v>0</v>
      </c>
      <c r="N797" s="1648">
        <f t="shared" si="137"/>
        <v>0</v>
      </c>
      <c r="O797" s="1648">
        <f t="shared" si="138"/>
        <v>0</v>
      </c>
      <c r="P797" s="1648">
        <f t="shared" si="139"/>
        <v>0</v>
      </c>
      <c r="Q797" s="1648">
        <f t="shared" si="140"/>
        <v>0</v>
      </c>
      <c r="R797" s="55">
        <f t="shared" si="141"/>
        <v>0</v>
      </c>
      <c r="S797" s="55">
        <f t="shared" si="142"/>
        <v>0</v>
      </c>
    </row>
    <row r="798" spans="1:19" ht="37.5" customHeight="1">
      <c r="A798" s="1854"/>
      <c r="B798" s="1648">
        <f t="shared" si="132"/>
        <v>20</v>
      </c>
      <c r="C798" s="1863" t="s">
        <v>5752</v>
      </c>
      <c r="D798" s="1661">
        <v>646</v>
      </c>
      <c r="E798" s="1695" t="s">
        <v>282</v>
      </c>
      <c r="F798" s="1649">
        <f>'Detail '!I2688</f>
        <v>20</v>
      </c>
      <c r="G798" s="1648">
        <f t="shared" si="133"/>
        <v>12920</v>
      </c>
      <c r="H798" s="1648"/>
      <c r="I798" s="1648">
        <f t="shared" si="134"/>
        <v>0</v>
      </c>
      <c r="J798" s="1648"/>
      <c r="K798" s="1648">
        <f t="shared" si="135"/>
        <v>0</v>
      </c>
      <c r="L798" s="1648"/>
      <c r="M798" s="1648">
        <f t="shared" si="136"/>
        <v>0</v>
      </c>
      <c r="N798" s="1648">
        <f t="shared" si="137"/>
        <v>0</v>
      </c>
      <c r="O798" s="1648">
        <f t="shared" si="138"/>
        <v>0</v>
      </c>
      <c r="P798" s="1648">
        <f t="shared" si="139"/>
        <v>20</v>
      </c>
      <c r="Q798" s="1648">
        <f t="shared" si="140"/>
        <v>12920</v>
      </c>
      <c r="R798" s="55">
        <f t="shared" si="141"/>
        <v>12920</v>
      </c>
      <c r="S798" s="55">
        <f t="shared" si="142"/>
        <v>0</v>
      </c>
    </row>
    <row r="799" spans="1:19" ht="37.5" customHeight="1">
      <c r="A799" s="1854"/>
      <c r="B799" s="1648">
        <f t="shared" si="132"/>
        <v>80</v>
      </c>
      <c r="C799" s="1863" t="s">
        <v>5753</v>
      </c>
      <c r="D799" s="1655">
        <v>791</v>
      </c>
      <c r="E799" s="1695" t="s">
        <v>282</v>
      </c>
      <c r="F799" s="1649">
        <f>'Detail '!I2686</f>
        <v>80</v>
      </c>
      <c r="G799" s="1648">
        <f t="shared" si="133"/>
        <v>63280</v>
      </c>
      <c r="H799" s="1648"/>
      <c r="I799" s="1648">
        <f t="shared" si="134"/>
        <v>0</v>
      </c>
      <c r="J799" s="1648"/>
      <c r="K799" s="1648">
        <f t="shared" si="135"/>
        <v>0</v>
      </c>
      <c r="L799" s="1648"/>
      <c r="M799" s="1648">
        <f t="shared" si="136"/>
        <v>0</v>
      </c>
      <c r="N799" s="1648">
        <f t="shared" si="137"/>
        <v>0</v>
      </c>
      <c r="O799" s="1648">
        <f t="shared" si="138"/>
        <v>0</v>
      </c>
      <c r="P799" s="1648">
        <f t="shared" si="139"/>
        <v>80</v>
      </c>
      <c r="Q799" s="1648">
        <f t="shared" si="140"/>
        <v>63280</v>
      </c>
      <c r="R799" s="55">
        <f t="shared" si="141"/>
        <v>63280</v>
      </c>
      <c r="S799" s="55">
        <f t="shared" si="142"/>
        <v>0</v>
      </c>
    </row>
    <row r="800" spans="1:19" ht="25.5" hidden="1" customHeight="1">
      <c r="A800" s="1854"/>
      <c r="B800" s="1648">
        <f t="shared" si="132"/>
        <v>0</v>
      </c>
      <c r="C800" s="1863" t="s">
        <v>5754</v>
      </c>
      <c r="D800" s="1655">
        <v>176.84</v>
      </c>
      <c r="E800" s="1695" t="s">
        <v>13</v>
      </c>
      <c r="F800" s="1649"/>
      <c r="G800" s="1648">
        <f t="shared" si="133"/>
        <v>0</v>
      </c>
      <c r="H800" s="1648"/>
      <c r="I800" s="1648">
        <f t="shared" si="134"/>
        <v>0</v>
      </c>
      <c r="J800" s="1648"/>
      <c r="K800" s="1648">
        <f t="shared" si="135"/>
        <v>0</v>
      </c>
      <c r="L800" s="1648"/>
      <c r="M800" s="1648">
        <f t="shared" si="136"/>
        <v>0</v>
      </c>
      <c r="N800" s="1648">
        <f t="shared" si="137"/>
        <v>0</v>
      </c>
      <c r="O800" s="1648">
        <f t="shared" si="138"/>
        <v>0</v>
      </c>
      <c r="P800" s="1648">
        <f t="shared" si="139"/>
        <v>0</v>
      </c>
      <c r="Q800" s="1648">
        <f t="shared" si="140"/>
        <v>0</v>
      </c>
      <c r="R800" s="55">
        <f t="shared" si="141"/>
        <v>0</v>
      </c>
      <c r="S800" s="55">
        <f t="shared" si="142"/>
        <v>0</v>
      </c>
    </row>
    <row r="801" spans="1:19" ht="69.75" customHeight="1">
      <c r="A801" s="1854"/>
      <c r="B801" s="1648">
        <f t="shared" si="132"/>
        <v>4</v>
      </c>
      <c r="C801" s="1863" t="s">
        <v>5755</v>
      </c>
      <c r="D801" s="1655">
        <v>553</v>
      </c>
      <c r="E801" s="1695" t="s">
        <v>729</v>
      </c>
      <c r="F801" s="1649">
        <f>'Detail '!I2690</f>
        <v>4</v>
      </c>
      <c r="G801" s="1648">
        <f t="shared" si="133"/>
        <v>2212</v>
      </c>
      <c r="H801" s="1648"/>
      <c r="I801" s="1648">
        <f t="shared" si="134"/>
        <v>0</v>
      </c>
      <c r="J801" s="1648"/>
      <c r="K801" s="1648">
        <f t="shared" si="135"/>
        <v>0</v>
      </c>
      <c r="L801" s="1648"/>
      <c r="M801" s="1648">
        <f t="shared" si="136"/>
        <v>0</v>
      </c>
      <c r="N801" s="1648">
        <f t="shared" si="137"/>
        <v>0</v>
      </c>
      <c r="O801" s="1648">
        <f t="shared" si="138"/>
        <v>0</v>
      </c>
      <c r="P801" s="1648">
        <f t="shared" si="139"/>
        <v>4</v>
      </c>
      <c r="Q801" s="1648">
        <f t="shared" si="140"/>
        <v>2212</v>
      </c>
      <c r="R801" s="55">
        <f t="shared" si="141"/>
        <v>2212</v>
      </c>
      <c r="S801" s="55">
        <f t="shared" si="142"/>
        <v>0</v>
      </c>
    </row>
    <row r="802" spans="1:19" ht="69.75">
      <c r="A802" s="1854"/>
      <c r="B802" s="1648">
        <f t="shared" si="132"/>
        <v>4</v>
      </c>
      <c r="C802" s="1863" t="s">
        <v>5756</v>
      </c>
      <c r="D802" s="1655">
        <v>337</v>
      </c>
      <c r="E802" s="1696" t="s">
        <v>729</v>
      </c>
      <c r="F802" s="1649">
        <f>'Detail '!I2692</f>
        <v>4</v>
      </c>
      <c r="G802" s="1648">
        <f t="shared" si="133"/>
        <v>1348</v>
      </c>
      <c r="H802" s="1648"/>
      <c r="I802" s="1648">
        <f t="shared" si="134"/>
        <v>0</v>
      </c>
      <c r="J802" s="1648"/>
      <c r="K802" s="1648">
        <f t="shared" si="135"/>
        <v>0</v>
      </c>
      <c r="L802" s="1648"/>
      <c r="M802" s="1648">
        <f t="shared" si="136"/>
        <v>0</v>
      </c>
      <c r="N802" s="1648">
        <f t="shared" si="137"/>
        <v>0</v>
      </c>
      <c r="O802" s="1648">
        <f t="shared" si="138"/>
        <v>0</v>
      </c>
      <c r="P802" s="1648">
        <f t="shared" si="139"/>
        <v>4</v>
      </c>
      <c r="Q802" s="1648">
        <f t="shared" si="140"/>
        <v>1348</v>
      </c>
      <c r="R802" s="55">
        <f t="shared" si="141"/>
        <v>1348</v>
      </c>
      <c r="S802" s="55">
        <f t="shared" si="142"/>
        <v>0</v>
      </c>
    </row>
    <row r="803" spans="1:19" ht="27.75" hidden="1" customHeight="1">
      <c r="A803" s="1854"/>
      <c r="B803" s="1648">
        <f t="shared" si="132"/>
        <v>0</v>
      </c>
      <c r="C803" s="1870" t="s">
        <v>5757</v>
      </c>
      <c r="D803" s="1662">
        <f>Data!R1455</f>
        <v>6324.28</v>
      </c>
      <c r="E803" s="1697" t="s">
        <v>724</v>
      </c>
      <c r="F803" s="1649"/>
      <c r="G803" s="1648">
        <f t="shared" si="133"/>
        <v>0</v>
      </c>
      <c r="H803" s="1648"/>
      <c r="I803" s="1648">
        <f t="shared" si="134"/>
        <v>0</v>
      </c>
      <c r="J803" s="1648"/>
      <c r="K803" s="1648">
        <f t="shared" si="135"/>
        <v>0</v>
      </c>
      <c r="L803" s="1648"/>
      <c r="M803" s="1648">
        <f t="shared" si="136"/>
        <v>0</v>
      </c>
      <c r="N803" s="1648">
        <f t="shared" si="137"/>
        <v>0</v>
      </c>
      <c r="O803" s="1648">
        <f t="shared" si="138"/>
        <v>0</v>
      </c>
      <c r="P803" s="1648">
        <f t="shared" si="139"/>
        <v>0</v>
      </c>
      <c r="Q803" s="1648">
        <f t="shared" si="140"/>
        <v>0</v>
      </c>
      <c r="R803" s="55">
        <f t="shared" si="141"/>
        <v>0</v>
      </c>
      <c r="S803" s="55">
        <f t="shared" si="142"/>
        <v>0</v>
      </c>
    </row>
    <row r="804" spans="1:19" ht="27.75" hidden="1" customHeight="1">
      <c r="A804" s="1854"/>
      <c r="B804" s="1648">
        <f t="shared" si="132"/>
        <v>0</v>
      </c>
      <c r="C804" s="1870" t="s">
        <v>5758</v>
      </c>
      <c r="D804" s="1664">
        <f>Data!K4000</f>
        <v>0</v>
      </c>
      <c r="E804" s="1698" t="s">
        <v>724</v>
      </c>
      <c r="F804" s="1649"/>
      <c r="G804" s="1648">
        <f t="shared" si="133"/>
        <v>0</v>
      </c>
      <c r="H804" s="1648"/>
      <c r="I804" s="1648">
        <f t="shared" si="134"/>
        <v>0</v>
      </c>
      <c r="J804" s="1648"/>
      <c r="K804" s="1648">
        <f t="shared" si="135"/>
        <v>0</v>
      </c>
      <c r="L804" s="1648"/>
      <c r="M804" s="1648">
        <f t="shared" si="136"/>
        <v>0</v>
      </c>
      <c r="N804" s="1648">
        <f t="shared" si="137"/>
        <v>0</v>
      </c>
      <c r="O804" s="1648">
        <f t="shared" si="138"/>
        <v>0</v>
      </c>
      <c r="P804" s="1648">
        <f t="shared" si="139"/>
        <v>0</v>
      </c>
      <c r="Q804" s="1648">
        <f t="shared" si="140"/>
        <v>0</v>
      </c>
      <c r="R804" s="55">
        <f t="shared" si="141"/>
        <v>0</v>
      </c>
      <c r="S804" s="55">
        <f t="shared" si="142"/>
        <v>0</v>
      </c>
    </row>
    <row r="805" spans="1:19" ht="27.75" hidden="1" customHeight="1">
      <c r="A805" s="1854"/>
      <c r="B805" s="1648">
        <f t="shared" si="132"/>
        <v>0</v>
      </c>
      <c r="C805" s="1870" t="s">
        <v>5759</v>
      </c>
      <c r="D805" s="1664">
        <f>'Sliding and french window'!F310</f>
        <v>5668.5</v>
      </c>
      <c r="E805" s="1698" t="s">
        <v>724</v>
      </c>
      <c r="F805" s="1649"/>
      <c r="G805" s="1648">
        <f t="shared" si="133"/>
        <v>0</v>
      </c>
      <c r="H805" s="1648"/>
      <c r="I805" s="1648">
        <f t="shared" si="134"/>
        <v>0</v>
      </c>
      <c r="J805" s="1648"/>
      <c r="K805" s="1648">
        <f t="shared" si="135"/>
        <v>0</v>
      </c>
      <c r="L805" s="1648"/>
      <c r="M805" s="1648">
        <f t="shared" si="136"/>
        <v>0</v>
      </c>
      <c r="N805" s="1648">
        <f t="shared" si="137"/>
        <v>0</v>
      </c>
      <c r="O805" s="1648">
        <f t="shared" si="138"/>
        <v>0</v>
      </c>
      <c r="P805" s="1648">
        <f t="shared" si="139"/>
        <v>0</v>
      </c>
      <c r="Q805" s="1648">
        <f t="shared" si="140"/>
        <v>0</v>
      </c>
      <c r="R805" s="55">
        <f t="shared" si="141"/>
        <v>0</v>
      </c>
      <c r="S805" s="55">
        <f t="shared" si="142"/>
        <v>0</v>
      </c>
    </row>
    <row r="806" spans="1:19" ht="27.75" hidden="1" customHeight="1">
      <c r="A806" s="1854"/>
      <c r="B806" s="1648">
        <f t="shared" si="132"/>
        <v>0</v>
      </c>
      <c r="C806" s="1870" t="s">
        <v>5760</v>
      </c>
      <c r="D806" s="1664">
        <f>'Sliding and french window'!F145</f>
        <v>5660.6</v>
      </c>
      <c r="E806" s="1698" t="s">
        <v>724</v>
      </c>
      <c r="F806" s="1649"/>
      <c r="G806" s="1648">
        <f t="shared" si="133"/>
        <v>0</v>
      </c>
      <c r="H806" s="1648"/>
      <c r="I806" s="1648">
        <f t="shared" si="134"/>
        <v>0</v>
      </c>
      <c r="J806" s="1648"/>
      <c r="K806" s="1648">
        <f t="shared" si="135"/>
        <v>0</v>
      </c>
      <c r="L806" s="1648"/>
      <c r="M806" s="1648">
        <f t="shared" si="136"/>
        <v>0</v>
      </c>
      <c r="N806" s="1648">
        <f t="shared" si="137"/>
        <v>0</v>
      </c>
      <c r="O806" s="1648">
        <f t="shared" si="138"/>
        <v>0</v>
      </c>
      <c r="P806" s="1648">
        <f t="shared" si="139"/>
        <v>0</v>
      </c>
      <c r="Q806" s="1648">
        <f t="shared" si="140"/>
        <v>0</v>
      </c>
      <c r="R806" s="55">
        <f t="shared" si="141"/>
        <v>0</v>
      </c>
      <c r="S806" s="55">
        <f t="shared" si="142"/>
        <v>0</v>
      </c>
    </row>
    <row r="807" spans="1:19" ht="27.75" hidden="1" customHeight="1">
      <c r="A807" s="1854"/>
      <c r="B807" s="1648">
        <f t="shared" si="132"/>
        <v>0</v>
      </c>
      <c r="C807" s="1870" t="s">
        <v>5761</v>
      </c>
      <c r="D807" s="1664">
        <f>'Sliding and french window'!F167</f>
        <v>4963.51</v>
      </c>
      <c r="E807" s="1698" t="s">
        <v>724</v>
      </c>
      <c r="F807" s="1649"/>
      <c r="G807" s="1648">
        <f t="shared" si="133"/>
        <v>0</v>
      </c>
      <c r="H807" s="1648"/>
      <c r="I807" s="1648">
        <f t="shared" si="134"/>
        <v>0</v>
      </c>
      <c r="J807" s="1648"/>
      <c r="K807" s="1648">
        <f t="shared" si="135"/>
        <v>0</v>
      </c>
      <c r="L807" s="1648"/>
      <c r="M807" s="1648">
        <f t="shared" si="136"/>
        <v>0</v>
      </c>
      <c r="N807" s="1648">
        <f t="shared" si="137"/>
        <v>0</v>
      </c>
      <c r="O807" s="1648">
        <f t="shared" si="138"/>
        <v>0</v>
      </c>
      <c r="P807" s="1648">
        <f t="shared" si="139"/>
        <v>0</v>
      </c>
      <c r="Q807" s="1648">
        <f t="shared" si="140"/>
        <v>0</v>
      </c>
      <c r="R807" s="55">
        <f t="shared" si="141"/>
        <v>0</v>
      </c>
      <c r="S807" s="55">
        <f t="shared" si="142"/>
        <v>0</v>
      </c>
    </row>
    <row r="808" spans="1:19" ht="53.25" hidden="1" customHeight="1">
      <c r="A808" s="1854"/>
      <c r="B808" s="1648">
        <f t="shared" si="132"/>
        <v>0</v>
      </c>
      <c r="C808" s="1870" t="s">
        <v>5762</v>
      </c>
      <c r="D808" s="1664">
        <f>Data!K4016</f>
        <v>0</v>
      </c>
      <c r="E808" s="1698" t="s">
        <v>724</v>
      </c>
      <c r="F808" s="1649"/>
      <c r="G808" s="1648">
        <f t="shared" si="133"/>
        <v>0</v>
      </c>
      <c r="H808" s="1648"/>
      <c r="I808" s="1648">
        <f t="shared" si="134"/>
        <v>0</v>
      </c>
      <c r="J808" s="1648"/>
      <c r="K808" s="1648">
        <f t="shared" si="135"/>
        <v>0</v>
      </c>
      <c r="L808" s="1648"/>
      <c r="M808" s="1648">
        <f t="shared" si="136"/>
        <v>0</v>
      </c>
      <c r="N808" s="1648">
        <f t="shared" si="137"/>
        <v>0</v>
      </c>
      <c r="O808" s="1648">
        <f t="shared" si="138"/>
        <v>0</v>
      </c>
      <c r="P808" s="1648">
        <f t="shared" si="139"/>
        <v>0</v>
      </c>
      <c r="Q808" s="1648">
        <f t="shared" si="140"/>
        <v>0</v>
      </c>
      <c r="R808" s="55">
        <f t="shared" si="141"/>
        <v>0</v>
      </c>
      <c r="S808" s="55">
        <f t="shared" si="142"/>
        <v>0</v>
      </c>
    </row>
    <row r="809" spans="1:19" ht="47.25" hidden="1" customHeight="1">
      <c r="A809" s="1854"/>
      <c r="B809" s="1648">
        <f t="shared" si="132"/>
        <v>0</v>
      </c>
      <c r="C809" s="1870" t="s">
        <v>5763</v>
      </c>
      <c r="D809" s="1664">
        <f>Data!K4031</f>
        <v>0</v>
      </c>
      <c r="E809" s="1698" t="s">
        <v>724</v>
      </c>
      <c r="F809" s="1649"/>
      <c r="G809" s="1648">
        <f t="shared" si="133"/>
        <v>0</v>
      </c>
      <c r="H809" s="1648"/>
      <c r="I809" s="1648">
        <f t="shared" si="134"/>
        <v>0</v>
      </c>
      <c r="J809" s="1648"/>
      <c r="K809" s="1648">
        <f t="shared" si="135"/>
        <v>0</v>
      </c>
      <c r="L809" s="1648"/>
      <c r="M809" s="1648">
        <f t="shared" si="136"/>
        <v>0</v>
      </c>
      <c r="N809" s="1648">
        <f t="shared" si="137"/>
        <v>0</v>
      </c>
      <c r="O809" s="1648">
        <f t="shared" si="138"/>
        <v>0</v>
      </c>
      <c r="P809" s="1648">
        <f t="shared" si="139"/>
        <v>0</v>
      </c>
      <c r="Q809" s="1648">
        <f t="shared" si="140"/>
        <v>0</v>
      </c>
      <c r="R809" s="55">
        <f t="shared" si="141"/>
        <v>0</v>
      </c>
      <c r="S809" s="55">
        <f t="shared" si="142"/>
        <v>0</v>
      </c>
    </row>
    <row r="810" spans="1:19" ht="51" hidden="1" customHeight="1">
      <c r="A810" s="1854"/>
      <c r="B810" s="1648">
        <f t="shared" si="132"/>
        <v>0</v>
      </c>
      <c r="C810" s="1870" t="s">
        <v>5764</v>
      </c>
      <c r="D810" s="1664">
        <f>Data!K4043</f>
        <v>0</v>
      </c>
      <c r="E810" s="1698" t="s">
        <v>724</v>
      </c>
      <c r="F810" s="1649"/>
      <c r="G810" s="1648">
        <f t="shared" si="133"/>
        <v>0</v>
      </c>
      <c r="H810" s="1648"/>
      <c r="I810" s="1648">
        <f t="shared" si="134"/>
        <v>0</v>
      </c>
      <c r="J810" s="1648"/>
      <c r="K810" s="1648">
        <f t="shared" si="135"/>
        <v>0</v>
      </c>
      <c r="L810" s="1648"/>
      <c r="M810" s="1648">
        <f t="shared" si="136"/>
        <v>0</v>
      </c>
      <c r="N810" s="1648">
        <f t="shared" si="137"/>
        <v>0</v>
      </c>
      <c r="O810" s="1648">
        <f t="shared" si="138"/>
        <v>0</v>
      </c>
      <c r="P810" s="1648">
        <f t="shared" si="139"/>
        <v>0</v>
      </c>
      <c r="Q810" s="1648">
        <f t="shared" si="140"/>
        <v>0</v>
      </c>
      <c r="R810" s="55">
        <f t="shared" si="141"/>
        <v>0</v>
      </c>
      <c r="S810" s="55">
        <f t="shared" si="142"/>
        <v>0</v>
      </c>
    </row>
    <row r="811" spans="1:19" ht="90" hidden="1" customHeight="1">
      <c r="A811" s="1854"/>
      <c r="B811" s="1648">
        <f t="shared" si="132"/>
        <v>0</v>
      </c>
      <c r="C811" s="1870" t="s">
        <v>5765</v>
      </c>
      <c r="D811" s="1664">
        <f>Data!R1545</f>
        <v>5078.75</v>
      </c>
      <c r="E811" s="1698" t="s">
        <v>724</v>
      </c>
      <c r="F811" s="1649"/>
      <c r="G811" s="1648">
        <f t="shared" si="133"/>
        <v>0</v>
      </c>
      <c r="H811" s="1648"/>
      <c r="I811" s="1648">
        <f t="shared" si="134"/>
        <v>0</v>
      </c>
      <c r="J811" s="1648"/>
      <c r="K811" s="1648">
        <f t="shared" si="135"/>
        <v>0</v>
      </c>
      <c r="L811" s="1648"/>
      <c r="M811" s="1648">
        <f t="shared" si="136"/>
        <v>0</v>
      </c>
      <c r="N811" s="1648">
        <f t="shared" si="137"/>
        <v>0</v>
      </c>
      <c r="O811" s="1648">
        <f t="shared" si="138"/>
        <v>0</v>
      </c>
      <c r="P811" s="1648">
        <f t="shared" si="139"/>
        <v>0</v>
      </c>
      <c r="Q811" s="1648">
        <f t="shared" si="140"/>
        <v>0</v>
      </c>
      <c r="R811" s="55">
        <f t="shared" si="141"/>
        <v>0</v>
      </c>
      <c r="S811" s="55">
        <f t="shared" si="142"/>
        <v>0</v>
      </c>
    </row>
    <row r="812" spans="1:19" ht="93" hidden="1" customHeight="1">
      <c r="A812" s="1854"/>
      <c r="B812" s="1648">
        <f t="shared" si="132"/>
        <v>0</v>
      </c>
      <c r="C812" s="1863" t="s">
        <v>5766</v>
      </c>
      <c r="D812" s="1655">
        <v>6950</v>
      </c>
      <c r="E812" s="1695" t="s">
        <v>729</v>
      </c>
      <c r="F812" s="1649"/>
      <c r="G812" s="1648">
        <f t="shared" si="133"/>
        <v>0</v>
      </c>
      <c r="H812" s="1648"/>
      <c r="I812" s="1648">
        <f t="shared" si="134"/>
        <v>0</v>
      </c>
      <c r="J812" s="1648"/>
      <c r="K812" s="1648">
        <f t="shared" si="135"/>
        <v>0</v>
      </c>
      <c r="L812" s="1648"/>
      <c r="M812" s="1648">
        <f t="shared" si="136"/>
        <v>0</v>
      </c>
      <c r="N812" s="1648">
        <f t="shared" si="137"/>
        <v>0</v>
      </c>
      <c r="O812" s="1648">
        <f t="shared" si="138"/>
        <v>0</v>
      </c>
      <c r="P812" s="1648">
        <f t="shared" si="139"/>
        <v>0</v>
      </c>
      <c r="Q812" s="1648">
        <f t="shared" si="140"/>
        <v>0</v>
      </c>
      <c r="R812" s="55">
        <f t="shared" si="141"/>
        <v>0</v>
      </c>
      <c r="S812" s="55">
        <f t="shared" si="142"/>
        <v>0</v>
      </c>
    </row>
    <row r="813" spans="1:19" ht="46.5" hidden="1" customHeight="1">
      <c r="A813" s="1854"/>
      <c r="B813" s="1648">
        <f t="shared" si="132"/>
        <v>0</v>
      </c>
      <c r="C813" s="1863" t="s">
        <v>5767</v>
      </c>
      <c r="D813" s="1655">
        <v>634</v>
      </c>
      <c r="E813" s="1695" t="s">
        <v>729</v>
      </c>
      <c r="F813" s="1649"/>
      <c r="G813" s="1648">
        <f t="shared" si="133"/>
        <v>0</v>
      </c>
      <c r="H813" s="1648"/>
      <c r="I813" s="1648">
        <f t="shared" si="134"/>
        <v>0</v>
      </c>
      <c r="J813" s="1648"/>
      <c r="K813" s="1648">
        <f t="shared" si="135"/>
        <v>0</v>
      </c>
      <c r="L813" s="1648"/>
      <c r="M813" s="1648">
        <f t="shared" si="136"/>
        <v>0</v>
      </c>
      <c r="N813" s="1648">
        <f t="shared" si="137"/>
        <v>0</v>
      </c>
      <c r="O813" s="1648">
        <f t="shared" si="138"/>
        <v>0</v>
      </c>
      <c r="P813" s="1648">
        <f t="shared" si="139"/>
        <v>0</v>
      </c>
      <c r="Q813" s="1648">
        <f t="shared" si="140"/>
        <v>0</v>
      </c>
      <c r="R813" s="55">
        <f t="shared" si="141"/>
        <v>0</v>
      </c>
      <c r="S813" s="55">
        <f t="shared" si="142"/>
        <v>0</v>
      </c>
    </row>
    <row r="814" spans="1:19" ht="69.75" hidden="1" customHeight="1">
      <c r="A814" s="1854"/>
      <c r="B814" s="1648">
        <f t="shared" si="132"/>
        <v>0</v>
      </c>
      <c r="C814" s="1863" t="s">
        <v>5768</v>
      </c>
      <c r="D814" s="1655">
        <v>9470</v>
      </c>
      <c r="E814" s="1695" t="s">
        <v>729</v>
      </c>
      <c r="F814" s="1649"/>
      <c r="G814" s="1648">
        <f t="shared" si="133"/>
        <v>0</v>
      </c>
      <c r="H814" s="1648"/>
      <c r="I814" s="1648">
        <f t="shared" si="134"/>
        <v>0</v>
      </c>
      <c r="J814" s="1648"/>
      <c r="K814" s="1648">
        <f t="shared" si="135"/>
        <v>0</v>
      </c>
      <c r="L814" s="1648"/>
      <c r="M814" s="1648">
        <f t="shared" si="136"/>
        <v>0</v>
      </c>
      <c r="N814" s="1648">
        <f t="shared" si="137"/>
        <v>0</v>
      </c>
      <c r="O814" s="1648">
        <f t="shared" si="138"/>
        <v>0</v>
      </c>
      <c r="P814" s="1648">
        <f t="shared" si="139"/>
        <v>0</v>
      </c>
      <c r="Q814" s="1648">
        <f t="shared" si="140"/>
        <v>0</v>
      </c>
      <c r="R814" s="55">
        <f t="shared" si="141"/>
        <v>0</v>
      </c>
      <c r="S814" s="55">
        <f t="shared" si="142"/>
        <v>0</v>
      </c>
    </row>
    <row r="815" spans="1:19" ht="63" hidden="1" customHeight="1">
      <c r="A815" s="1854"/>
      <c r="B815" s="1648">
        <f t="shared" si="132"/>
        <v>0</v>
      </c>
      <c r="C815" s="1863" t="s">
        <v>5769</v>
      </c>
      <c r="D815" s="1655">
        <v>293</v>
      </c>
      <c r="E815" s="1695" t="s">
        <v>729</v>
      </c>
      <c r="F815" s="1649"/>
      <c r="G815" s="1648">
        <f t="shared" si="133"/>
        <v>0</v>
      </c>
      <c r="H815" s="1648"/>
      <c r="I815" s="1648">
        <f t="shared" si="134"/>
        <v>0</v>
      </c>
      <c r="J815" s="1648"/>
      <c r="K815" s="1648">
        <f t="shared" si="135"/>
        <v>0</v>
      </c>
      <c r="L815" s="1648"/>
      <c r="M815" s="1648">
        <f t="shared" si="136"/>
        <v>0</v>
      </c>
      <c r="N815" s="1648">
        <f t="shared" si="137"/>
        <v>0</v>
      </c>
      <c r="O815" s="1648">
        <f t="shared" si="138"/>
        <v>0</v>
      </c>
      <c r="P815" s="1648">
        <f t="shared" si="139"/>
        <v>0</v>
      </c>
      <c r="Q815" s="1648">
        <f t="shared" si="140"/>
        <v>0</v>
      </c>
      <c r="R815" s="55">
        <f t="shared" si="141"/>
        <v>0</v>
      </c>
      <c r="S815" s="55">
        <f t="shared" si="142"/>
        <v>0</v>
      </c>
    </row>
    <row r="816" spans="1:19" ht="69.75" hidden="1" customHeight="1">
      <c r="A816" s="1854"/>
      <c r="B816" s="1648">
        <f t="shared" si="132"/>
        <v>0</v>
      </c>
      <c r="C816" s="1863" t="s">
        <v>5770</v>
      </c>
      <c r="D816" s="1655">
        <v>704.75</v>
      </c>
      <c r="E816" s="1687" t="s">
        <v>729</v>
      </c>
      <c r="F816" s="1649"/>
      <c r="G816" s="1648">
        <f t="shared" si="133"/>
        <v>0</v>
      </c>
      <c r="H816" s="1648"/>
      <c r="I816" s="1648">
        <f t="shared" si="134"/>
        <v>0</v>
      </c>
      <c r="J816" s="1648"/>
      <c r="K816" s="1648">
        <f t="shared" si="135"/>
        <v>0</v>
      </c>
      <c r="L816" s="1648"/>
      <c r="M816" s="1648">
        <f t="shared" si="136"/>
        <v>0</v>
      </c>
      <c r="N816" s="1648">
        <f t="shared" si="137"/>
        <v>0</v>
      </c>
      <c r="O816" s="1648">
        <f t="shared" si="138"/>
        <v>0</v>
      </c>
      <c r="P816" s="1648">
        <f t="shared" si="139"/>
        <v>0</v>
      </c>
      <c r="Q816" s="1648">
        <f t="shared" si="140"/>
        <v>0</v>
      </c>
      <c r="R816" s="55">
        <f t="shared" si="141"/>
        <v>0</v>
      </c>
      <c r="S816" s="55">
        <f t="shared" si="142"/>
        <v>0</v>
      </c>
    </row>
    <row r="817" spans="1:19" ht="69.75" customHeight="1">
      <c r="A817" s="1854"/>
      <c r="B817" s="1648">
        <f t="shared" si="132"/>
        <v>44</v>
      </c>
      <c r="C817" s="1863" t="s">
        <v>5771</v>
      </c>
      <c r="D817" s="1661">
        <v>151.30000000000001</v>
      </c>
      <c r="E817" s="1687" t="s">
        <v>729</v>
      </c>
      <c r="F817" s="1649">
        <f>'Detail '!I2954</f>
        <v>44</v>
      </c>
      <c r="G817" s="1648">
        <f t="shared" si="133"/>
        <v>6657.2</v>
      </c>
      <c r="H817" s="1648"/>
      <c r="I817" s="1648">
        <f t="shared" si="134"/>
        <v>0</v>
      </c>
      <c r="J817" s="1648"/>
      <c r="K817" s="1648">
        <f t="shared" si="135"/>
        <v>0</v>
      </c>
      <c r="L817" s="1648"/>
      <c r="M817" s="1648">
        <f t="shared" si="136"/>
        <v>0</v>
      </c>
      <c r="N817" s="1648">
        <f t="shared" si="137"/>
        <v>0</v>
      </c>
      <c r="O817" s="1648">
        <f t="shared" si="138"/>
        <v>0</v>
      </c>
      <c r="P817" s="1648">
        <f t="shared" si="139"/>
        <v>44</v>
      </c>
      <c r="Q817" s="1648">
        <f t="shared" si="140"/>
        <v>6657.2</v>
      </c>
      <c r="R817" s="55">
        <f t="shared" si="141"/>
        <v>6657.2</v>
      </c>
      <c r="S817" s="55">
        <f t="shared" si="142"/>
        <v>0</v>
      </c>
    </row>
    <row r="818" spans="1:19" ht="25.5" hidden="1" customHeight="1">
      <c r="A818" s="1854"/>
      <c r="B818" s="1648">
        <f t="shared" si="132"/>
        <v>0</v>
      </c>
      <c r="C818" s="1871" t="s">
        <v>5772</v>
      </c>
      <c r="D818" s="1655">
        <v>473.5</v>
      </c>
      <c r="E818" s="1695" t="s">
        <v>13</v>
      </c>
      <c r="F818" s="1649"/>
      <c r="G818" s="1648">
        <f t="shared" si="133"/>
        <v>0</v>
      </c>
      <c r="H818" s="1648"/>
      <c r="I818" s="1648">
        <f t="shared" si="134"/>
        <v>0</v>
      </c>
      <c r="J818" s="1648"/>
      <c r="K818" s="1648">
        <f t="shared" si="135"/>
        <v>0</v>
      </c>
      <c r="L818" s="1648"/>
      <c r="M818" s="1648">
        <f t="shared" si="136"/>
        <v>0</v>
      </c>
      <c r="N818" s="1648">
        <f t="shared" si="137"/>
        <v>0</v>
      </c>
      <c r="O818" s="1648">
        <f t="shared" si="138"/>
        <v>0</v>
      </c>
      <c r="P818" s="1648">
        <f t="shared" si="139"/>
        <v>0</v>
      </c>
      <c r="Q818" s="1648">
        <f t="shared" si="140"/>
        <v>0</v>
      </c>
      <c r="R818" s="55">
        <f t="shared" si="141"/>
        <v>0</v>
      </c>
      <c r="S818" s="55">
        <f t="shared" si="142"/>
        <v>0</v>
      </c>
    </row>
    <row r="819" spans="1:19" ht="46.5" customHeight="1">
      <c r="A819" s="1854"/>
      <c r="B819" s="1648">
        <f t="shared" si="132"/>
        <v>22</v>
      </c>
      <c r="C819" s="1871" t="s">
        <v>5773</v>
      </c>
      <c r="D819" s="1661">
        <v>1013</v>
      </c>
      <c r="E819" s="1695" t="s">
        <v>729</v>
      </c>
      <c r="F819" s="1649">
        <f>'Detail '!I2956</f>
        <v>22</v>
      </c>
      <c r="G819" s="1648">
        <f t="shared" si="133"/>
        <v>22286</v>
      </c>
      <c r="H819" s="1648"/>
      <c r="I819" s="1648">
        <f t="shared" si="134"/>
        <v>0</v>
      </c>
      <c r="J819" s="1648"/>
      <c r="K819" s="1648">
        <f t="shared" si="135"/>
        <v>0</v>
      </c>
      <c r="L819" s="1648"/>
      <c r="M819" s="1648">
        <f t="shared" si="136"/>
        <v>0</v>
      </c>
      <c r="N819" s="1648">
        <f t="shared" si="137"/>
        <v>0</v>
      </c>
      <c r="O819" s="1648">
        <f t="shared" si="138"/>
        <v>0</v>
      </c>
      <c r="P819" s="1648">
        <f t="shared" si="139"/>
        <v>22</v>
      </c>
      <c r="Q819" s="1648">
        <f t="shared" si="140"/>
        <v>22286</v>
      </c>
      <c r="R819" s="55">
        <f t="shared" si="141"/>
        <v>22286</v>
      </c>
      <c r="S819" s="55">
        <f t="shared" si="142"/>
        <v>0</v>
      </c>
    </row>
    <row r="820" spans="1:19" ht="25.5" hidden="1" customHeight="1">
      <c r="A820" s="1854"/>
      <c r="B820" s="1648">
        <f t="shared" si="132"/>
        <v>0</v>
      </c>
      <c r="C820" s="1871" t="s">
        <v>5774</v>
      </c>
      <c r="D820" s="1655">
        <v>11481.8</v>
      </c>
      <c r="E820" s="1695" t="s">
        <v>729</v>
      </c>
      <c r="F820" s="1649"/>
      <c r="G820" s="1648">
        <f t="shared" si="133"/>
        <v>0</v>
      </c>
      <c r="H820" s="1648"/>
      <c r="I820" s="1648">
        <f t="shared" si="134"/>
        <v>0</v>
      </c>
      <c r="J820" s="1648"/>
      <c r="K820" s="1648">
        <f t="shared" si="135"/>
        <v>0</v>
      </c>
      <c r="L820" s="1648"/>
      <c r="M820" s="1648">
        <f t="shared" si="136"/>
        <v>0</v>
      </c>
      <c r="N820" s="1648">
        <f t="shared" si="137"/>
        <v>0</v>
      </c>
      <c r="O820" s="1648">
        <f t="shared" si="138"/>
        <v>0</v>
      </c>
      <c r="P820" s="1648">
        <f t="shared" si="139"/>
        <v>0</v>
      </c>
      <c r="Q820" s="1648">
        <f t="shared" si="140"/>
        <v>0</v>
      </c>
      <c r="R820" s="55">
        <f t="shared" si="141"/>
        <v>0</v>
      </c>
      <c r="S820" s="55">
        <f t="shared" si="142"/>
        <v>0</v>
      </c>
    </row>
    <row r="821" spans="1:19" ht="46.5" hidden="1" customHeight="1">
      <c r="A821" s="1854"/>
      <c r="B821" s="1648">
        <f t="shared" si="132"/>
        <v>0</v>
      </c>
      <c r="C821" s="1871" t="s">
        <v>5775</v>
      </c>
      <c r="D821" s="1655">
        <v>5325.6</v>
      </c>
      <c r="E821" s="1695" t="s">
        <v>729</v>
      </c>
      <c r="F821" s="1649"/>
      <c r="G821" s="1648">
        <f t="shared" si="133"/>
        <v>0</v>
      </c>
      <c r="H821" s="1648"/>
      <c r="I821" s="1648">
        <f t="shared" si="134"/>
        <v>0</v>
      </c>
      <c r="J821" s="1648"/>
      <c r="K821" s="1648">
        <f t="shared" si="135"/>
        <v>0</v>
      </c>
      <c r="L821" s="1648"/>
      <c r="M821" s="1648">
        <f t="shared" si="136"/>
        <v>0</v>
      </c>
      <c r="N821" s="1648">
        <f t="shared" si="137"/>
        <v>0</v>
      </c>
      <c r="O821" s="1648">
        <f t="shared" si="138"/>
        <v>0</v>
      </c>
      <c r="P821" s="1648">
        <f t="shared" si="139"/>
        <v>0</v>
      </c>
      <c r="Q821" s="1648">
        <f t="shared" si="140"/>
        <v>0</v>
      </c>
      <c r="R821" s="55">
        <f t="shared" si="141"/>
        <v>0</v>
      </c>
      <c r="S821" s="55">
        <f t="shared" si="142"/>
        <v>0</v>
      </c>
    </row>
    <row r="822" spans="1:19" ht="46.5" customHeight="1">
      <c r="A822" s="1854"/>
      <c r="B822" s="1648">
        <f t="shared" si="132"/>
        <v>10</v>
      </c>
      <c r="C822" s="1871" t="s">
        <v>5776</v>
      </c>
      <c r="D822" s="1665">
        <v>8254.6</v>
      </c>
      <c r="E822" s="1695" t="s">
        <v>729</v>
      </c>
      <c r="F822" s="1649">
        <f>'Detail '!I2939</f>
        <v>10</v>
      </c>
      <c r="G822" s="1648">
        <f t="shared" si="133"/>
        <v>82546</v>
      </c>
      <c r="H822" s="1648"/>
      <c r="I822" s="1648">
        <f t="shared" si="134"/>
        <v>0</v>
      </c>
      <c r="J822" s="1648"/>
      <c r="K822" s="1648">
        <f t="shared" si="135"/>
        <v>0</v>
      </c>
      <c r="L822" s="1648"/>
      <c r="M822" s="1648">
        <f t="shared" si="136"/>
        <v>0</v>
      </c>
      <c r="N822" s="1648">
        <f t="shared" si="137"/>
        <v>0</v>
      </c>
      <c r="O822" s="1648">
        <f t="shared" si="138"/>
        <v>0</v>
      </c>
      <c r="P822" s="1648">
        <f t="shared" si="139"/>
        <v>10</v>
      </c>
      <c r="Q822" s="1648">
        <f t="shared" si="140"/>
        <v>82546</v>
      </c>
      <c r="R822" s="55">
        <f t="shared" si="141"/>
        <v>82546</v>
      </c>
      <c r="S822" s="55">
        <f t="shared" si="142"/>
        <v>0</v>
      </c>
    </row>
    <row r="823" spans="1:19" ht="46.5" customHeight="1">
      <c r="A823" s="1854"/>
      <c r="B823" s="1648">
        <f t="shared" si="132"/>
        <v>10</v>
      </c>
      <c r="C823" s="1871" t="s">
        <v>5777</v>
      </c>
      <c r="D823" s="1665">
        <v>6588</v>
      </c>
      <c r="E823" s="1695" t="s">
        <v>729</v>
      </c>
      <c r="F823" s="1649">
        <f>'Detail '!I2942</f>
        <v>10</v>
      </c>
      <c r="G823" s="1648">
        <f t="shared" si="133"/>
        <v>65880</v>
      </c>
      <c r="H823" s="1648"/>
      <c r="I823" s="1648">
        <f t="shared" si="134"/>
        <v>0</v>
      </c>
      <c r="J823" s="1648"/>
      <c r="K823" s="1648">
        <f t="shared" si="135"/>
        <v>0</v>
      </c>
      <c r="L823" s="1648"/>
      <c r="M823" s="1648">
        <f t="shared" si="136"/>
        <v>0</v>
      </c>
      <c r="N823" s="1648">
        <f t="shared" si="137"/>
        <v>0</v>
      </c>
      <c r="O823" s="1648">
        <f t="shared" si="138"/>
        <v>0</v>
      </c>
      <c r="P823" s="1648">
        <f t="shared" si="139"/>
        <v>10</v>
      </c>
      <c r="Q823" s="1648">
        <f t="shared" si="140"/>
        <v>65880</v>
      </c>
      <c r="R823" s="55">
        <f t="shared" si="141"/>
        <v>65880</v>
      </c>
      <c r="S823" s="55">
        <f t="shared" si="142"/>
        <v>0</v>
      </c>
    </row>
    <row r="824" spans="1:19" ht="46.5" hidden="1" customHeight="1">
      <c r="A824" s="1854"/>
      <c r="B824" s="1648">
        <f t="shared" si="132"/>
        <v>0</v>
      </c>
      <c r="C824" s="1871" t="s">
        <v>5778</v>
      </c>
      <c r="D824" s="1655">
        <v>593</v>
      </c>
      <c r="E824" s="1699" t="s">
        <v>729</v>
      </c>
      <c r="F824" s="1649"/>
      <c r="G824" s="1648">
        <f t="shared" si="133"/>
        <v>0</v>
      </c>
      <c r="H824" s="1648"/>
      <c r="I824" s="1648">
        <f t="shared" si="134"/>
        <v>0</v>
      </c>
      <c r="J824" s="1648"/>
      <c r="K824" s="1648">
        <f t="shared" si="135"/>
        <v>0</v>
      </c>
      <c r="L824" s="1648"/>
      <c r="M824" s="1648">
        <f t="shared" si="136"/>
        <v>0</v>
      </c>
      <c r="N824" s="1648">
        <f t="shared" si="137"/>
        <v>0</v>
      </c>
      <c r="O824" s="1648">
        <f t="shared" si="138"/>
        <v>0</v>
      </c>
      <c r="P824" s="1648">
        <f t="shared" si="139"/>
        <v>0</v>
      </c>
      <c r="Q824" s="1648">
        <f t="shared" si="140"/>
        <v>0</v>
      </c>
      <c r="R824" s="55">
        <f t="shared" si="141"/>
        <v>0</v>
      </c>
      <c r="S824" s="55">
        <f t="shared" si="142"/>
        <v>0</v>
      </c>
    </row>
    <row r="825" spans="1:19" s="1646" customFormat="1" ht="25.5" hidden="1" customHeight="1">
      <c r="A825" s="1862"/>
      <c r="B825" s="1648">
        <f t="shared" si="132"/>
        <v>0</v>
      </c>
      <c r="C825" s="1870" t="s">
        <v>5779</v>
      </c>
      <c r="D825" s="1666"/>
      <c r="E825" s="1698"/>
      <c r="F825" s="1649"/>
      <c r="G825" s="1648">
        <f t="shared" si="133"/>
        <v>0</v>
      </c>
      <c r="H825" s="1648"/>
      <c r="I825" s="1648">
        <f t="shared" si="134"/>
        <v>0</v>
      </c>
      <c r="J825" s="1648"/>
      <c r="K825" s="1648">
        <f t="shared" si="135"/>
        <v>0</v>
      </c>
      <c r="L825" s="1648"/>
      <c r="M825" s="1648">
        <f t="shared" si="136"/>
        <v>0</v>
      </c>
      <c r="N825" s="1648">
        <f t="shared" si="137"/>
        <v>0</v>
      </c>
      <c r="O825" s="1648">
        <f t="shared" si="138"/>
        <v>0</v>
      </c>
      <c r="P825" s="1648">
        <f t="shared" si="139"/>
        <v>0</v>
      </c>
      <c r="Q825" s="1648">
        <f t="shared" si="140"/>
        <v>0</v>
      </c>
      <c r="R825" s="55">
        <f t="shared" si="141"/>
        <v>0</v>
      </c>
      <c r="S825" s="55">
        <f t="shared" si="142"/>
        <v>0</v>
      </c>
    </row>
    <row r="826" spans="1:19" ht="25.5" hidden="1" customHeight="1">
      <c r="A826" s="1854"/>
      <c r="B826" s="1648">
        <f t="shared" si="132"/>
        <v>0</v>
      </c>
      <c r="C826" s="1866" t="s">
        <v>5780</v>
      </c>
      <c r="D826" s="1655">
        <v>6300</v>
      </c>
      <c r="E826" s="1690" t="s">
        <v>724</v>
      </c>
      <c r="F826" s="1649"/>
      <c r="G826" s="1648">
        <f t="shared" si="133"/>
        <v>0</v>
      </c>
      <c r="H826" s="1648"/>
      <c r="I826" s="1648">
        <f t="shared" si="134"/>
        <v>0</v>
      </c>
      <c r="J826" s="1648"/>
      <c r="K826" s="1648">
        <f t="shared" si="135"/>
        <v>0</v>
      </c>
      <c r="L826" s="1648"/>
      <c r="M826" s="1648">
        <f t="shared" si="136"/>
        <v>0</v>
      </c>
      <c r="N826" s="1648">
        <f t="shared" si="137"/>
        <v>0</v>
      </c>
      <c r="O826" s="1648">
        <f t="shared" si="138"/>
        <v>0</v>
      </c>
      <c r="P826" s="1648">
        <f t="shared" si="139"/>
        <v>0</v>
      </c>
      <c r="Q826" s="1648">
        <f t="shared" si="140"/>
        <v>0</v>
      </c>
      <c r="R826" s="55">
        <f t="shared" si="141"/>
        <v>0</v>
      </c>
      <c r="S826" s="55">
        <f t="shared" si="142"/>
        <v>0</v>
      </c>
    </row>
    <row r="827" spans="1:19" ht="25.5" hidden="1" customHeight="1">
      <c r="A827" s="1854"/>
      <c r="B827" s="1648">
        <f t="shared" si="132"/>
        <v>0</v>
      </c>
      <c r="C827" s="1866" t="s">
        <v>5781</v>
      </c>
      <c r="D827" s="1655">
        <v>6300</v>
      </c>
      <c r="E827" s="1690" t="s">
        <v>724</v>
      </c>
      <c r="F827" s="1649"/>
      <c r="G827" s="1648">
        <f t="shared" si="133"/>
        <v>0</v>
      </c>
      <c r="H827" s="1648"/>
      <c r="I827" s="1648">
        <f t="shared" si="134"/>
        <v>0</v>
      </c>
      <c r="J827" s="1648"/>
      <c r="K827" s="1648">
        <f t="shared" si="135"/>
        <v>0</v>
      </c>
      <c r="L827" s="1648"/>
      <c r="M827" s="1648">
        <f t="shared" si="136"/>
        <v>0</v>
      </c>
      <c r="N827" s="1648">
        <f t="shared" si="137"/>
        <v>0</v>
      </c>
      <c r="O827" s="1648">
        <f t="shared" si="138"/>
        <v>0</v>
      </c>
      <c r="P827" s="1648">
        <f t="shared" si="139"/>
        <v>0</v>
      </c>
      <c r="Q827" s="1648">
        <f t="shared" si="140"/>
        <v>0</v>
      </c>
      <c r="R827" s="55">
        <f t="shared" si="141"/>
        <v>0</v>
      </c>
      <c r="S827" s="55">
        <f t="shared" si="142"/>
        <v>0</v>
      </c>
    </row>
    <row r="828" spans="1:19" ht="25.5" hidden="1" customHeight="1">
      <c r="A828" s="1854"/>
      <c r="B828" s="1648">
        <f t="shared" si="132"/>
        <v>0</v>
      </c>
      <c r="C828" s="1866" t="s">
        <v>5782</v>
      </c>
      <c r="D828" s="1655">
        <v>6300</v>
      </c>
      <c r="E828" s="1690" t="s">
        <v>724</v>
      </c>
      <c r="F828" s="1649"/>
      <c r="G828" s="1648">
        <f t="shared" si="133"/>
        <v>0</v>
      </c>
      <c r="H828" s="1648"/>
      <c r="I828" s="1648">
        <f t="shared" si="134"/>
        <v>0</v>
      </c>
      <c r="J828" s="1648"/>
      <c r="K828" s="1648">
        <f t="shared" si="135"/>
        <v>0</v>
      </c>
      <c r="L828" s="1648"/>
      <c r="M828" s="1648">
        <f t="shared" si="136"/>
        <v>0</v>
      </c>
      <c r="N828" s="1648">
        <f t="shared" si="137"/>
        <v>0</v>
      </c>
      <c r="O828" s="1648">
        <f t="shared" si="138"/>
        <v>0</v>
      </c>
      <c r="P828" s="1648">
        <f t="shared" si="139"/>
        <v>0</v>
      </c>
      <c r="Q828" s="1648">
        <f t="shared" si="140"/>
        <v>0</v>
      </c>
      <c r="R828" s="55">
        <f t="shared" si="141"/>
        <v>0</v>
      </c>
      <c r="S828" s="55">
        <f t="shared" si="142"/>
        <v>0</v>
      </c>
    </row>
    <row r="829" spans="1:19" ht="25.5" hidden="1" customHeight="1">
      <c r="A829" s="1854"/>
      <c r="B829" s="1648">
        <f t="shared" si="132"/>
        <v>0</v>
      </c>
      <c r="C829" s="1866" t="s">
        <v>5783</v>
      </c>
      <c r="D829" s="1655">
        <v>6300</v>
      </c>
      <c r="E829" s="1690" t="s">
        <v>724</v>
      </c>
      <c r="F829" s="1649"/>
      <c r="G829" s="1648">
        <f t="shared" si="133"/>
        <v>0</v>
      </c>
      <c r="H829" s="1648"/>
      <c r="I829" s="1648">
        <f t="shared" si="134"/>
        <v>0</v>
      </c>
      <c r="J829" s="1648"/>
      <c r="K829" s="1648">
        <f t="shared" si="135"/>
        <v>0</v>
      </c>
      <c r="L829" s="1648"/>
      <c r="M829" s="1648">
        <f t="shared" si="136"/>
        <v>0</v>
      </c>
      <c r="N829" s="1648">
        <f t="shared" si="137"/>
        <v>0</v>
      </c>
      <c r="O829" s="1648">
        <f t="shared" si="138"/>
        <v>0</v>
      </c>
      <c r="P829" s="1648">
        <f t="shared" si="139"/>
        <v>0</v>
      </c>
      <c r="Q829" s="1648">
        <f t="shared" si="140"/>
        <v>0</v>
      </c>
      <c r="R829" s="55">
        <f t="shared" si="141"/>
        <v>0</v>
      </c>
      <c r="S829" s="55">
        <f t="shared" si="142"/>
        <v>0</v>
      </c>
    </row>
    <row r="830" spans="1:19" ht="25.5" hidden="1" customHeight="1">
      <c r="A830" s="1854"/>
      <c r="B830" s="1648">
        <f t="shared" si="132"/>
        <v>0</v>
      </c>
      <c r="C830" s="1866" t="s">
        <v>5784</v>
      </c>
      <c r="D830" s="1655">
        <v>6300</v>
      </c>
      <c r="E830" s="1690" t="s">
        <v>724</v>
      </c>
      <c r="F830" s="1649"/>
      <c r="G830" s="1648">
        <f t="shared" si="133"/>
        <v>0</v>
      </c>
      <c r="H830" s="1648"/>
      <c r="I830" s="1648">
        <f t="shared" si="134"/>
        <v>0</v>
      </c>
      <c r="J830" s="1648"/>
      <c r="K830" s="1648">
        <f t="shared" si="135"/>
        <v>0</v>
      </c>
      <c r="L830" s="1648"/>
      <c r="M830" s="1648">
        <f t="shared" si="136"/>
        <v>0</v>
      </c>
      <c r="N830" s="1648">
        <f t="shared" si="137"/>
        <v>0</v>
      </c>
      <c r="O830" s="1648">
        <f t="shared" si="138"/>
        <v>0</v>
      </c>
      <c r="P830" s="1648">
        <f t="shared" si="139"/>
        <v>0</v>
      </c>
      <c r="Q830" s="1648">
        <f t="shared" si="140"/>
        <v>0</v>
      </c>
      <c r="R830" s="55">
        <f t="shared" si="141"/>
        <v>0</v>
      </c>
      <c r="S830" s="55">
        <f t="shared" si="142"/>
        <v>0</v>
      </c>
    </row>
    <row r="831" spans="1:19" ht="25.5" hidden="1" customHeight="1">
      <c r="A831" s="1854"/>
      <c r="B831" s="1648">
        <f t="shared" si="132"/>
        <v>0</v>
      </c>
      <c r="C831" s="1866">
        <v>0</v>
      </c>
      <c r="D831" s="1655">
        <v>6300</v>
      </c>
      <c r="E831" s="1690" t="s">
        <v>724</v>
      </c>
      <c r="F831" s="1649"/>
      <c r="G831" s="1648">
        <f t="shared" si="133"/>
        <v>0</v>
      </c>
      <c r="H831" s="1648"/>
      <c r="I831" s="1648">
        <f t="shared" si="134"/>
        <v>0</v>
      </c>
      <c r="J831" s="1648"/>
      <c r="K831" s="1648">
        <f t="shared" si="135"/>
        <v>0</v>
      </c>
      <c r="L831" s="1648"/>
      <c r="M831" s="1648">
        <f t="shared" si="136"/>
        <v>0</v>
      </c>
      <c r="N831" s="1648">
        <f t="shared" si="137"/>
        <v>0</v>
      </c>
      <c r="O831" s="1648">
        <f t="shared" si="138"/>
        <v>0</v>
      </c>
      <c r="P831" s="1648">
        <f t="shared" si="139"/>
        <v>0</v>
      </c>
      <c r="Q831" s="1648">
        <f t="shared" si="140"/>
        <v>0</v>
      </c>
      <c r="R831" s="55">
        <f t="shared" si="141"/>
        <v>0</v>
      </c>
      <c r="S831" s="55">
        <f t="shared" si="142"/>
        <v>0</v>
      </c>
    </row>
    <row r="832" spans="1:19" ht="25.5" hidden="1" customHeight="1">
      <c r="A832" s="1854"/>
      <c r="B832" s="1648">
        <f t="shared" si="132"/>
        <v>0</v>
      </c>
      <c r="C832" s="1866" t="s">
        <v>5785</v>
      </c>
      <c r="D832" s="1655">
        <v>6300</v>
      </c>
      <c r="E832" s="1690" t="s">
        <v>724</v>
      </c>
      <c r="F832" s="1649"/>
      <c r="G832" s="1648">
        <f t="shared" si="133"/>
        <v>0</v>
      </c>
      <c r="H832" s="1648"/>
      <c r="I832" s="1648">
        <f t="shared" si="134"/>
        <v>0</v>
      </c>
      <c r="J832" s="1648"/>
      <c r="K832" s="1648">
        <f t="shared" si="135"/>
        <v>0</v>
      </c>
      <c r="L832" s="1648"/>
      <c r="M832" s="1648">
        <f t="shared" si="136"/>
        <v>0</v>
      </c>
      <c r="N832" s="1648">
        <f t="shared" si="137"/>
        <v>0</v>
      </c>
      <c r="O832" s="1648">
        <f t="shared" si="138"/>
        <v>0</v>
      </c>
      <c r="P832" s="1648">
        <f t="shared" si="139"/>
        <v>0</v>
      </c>
      <c r="Q832" s="1648">
        <f t="shared" si="140"/>
        <v>0</v>
      </c>
      <c r="R832" s="55">
        <f t="shared" si="141"/>
        <v>0</v>
      </c>
      <c r="S832" s="55">
        <f t="shared" si="142"/>
        <v>0</v>
      </c>
    </row>
    <row r="833" spans="1:19" ht="25.5" hidden="1" customHeight="1">
      <c r="A833" s="1854"/>
      <c r="B833" s="1648">
        <f t="shared" si="132"/>
        <v>0</v>
      </c>
      <c r="C833" s="1866" t="s">
        <v>5786</v>
      </c>
      <c r="D833" s="1655">
        <v>6300</v>
      </c>
      <c r="E833" s="1690" t="s">
        <v>724</v>
      </c>
      <c r="F833" s="1649"/>
      <c r="G833" s="1648">
        <f t="shared" si="133"/>
        <v>0</v>
      </c>
      <c r="H833" s="1648"/>
      <c r="I833" s="1648">
        <f t="shared" si="134"/>
        <v>0</v>
      </c>
      <c r="J833" s="1648"/>
      <c r="K833" s="1648">
        <f t="shared" si="135"/>
        <v>0</v>
      </c>
      <c r="L833" s="1648"/>
      <c r="M833" s="1648">
        <f t="shared" si="136"/>
        <v>0</v>
      </c>
      <c r="N833" s="1648">
        <f t="shared" si="137"/>
        <v>0</v>
      </c>
      <c r="O833" s="1648">
        <f t="shared" si="138"/>
        <v>0</v>
      </c>
      <c r="P833" s="1648">
        <f t="shared" si="139"/>
        <v>0</v>
      </c>
      <c r="Q833" s="1648">
        <f t="shared" si="140"/>
        <v>0</v>
      </c>
      <c r="R833" s="55">
        <f t="shared" si="141"/>
        <v>0</v>
      </c>
      <c r="S833" s="55">
        <f t="shared" si="142"/>
        <v>0</v>
      </c>
    </row>
    <row r="834" spans="1:19" ht="40.5" hidden="1" customHeight="1">
      <c r="A834" s="1854"/>
      <c r="B834" s="1648">
        <f t="shared" si="132"/>
        <v>0</v>
      </c>
      <c r="C834" s="1866" t="s">
        <v>5787</v>
      </c>
      <c r="D834" s="1649">
        <v>5654</v>
      </c>
      <c r="E834" s="1691" t="s">
        <v>3193</v>
      </c>
      <c r="F834" s="1649"/>
      <c r="G834" s="1648">
        <f t="shared" si="133"/>
        <v>0</v>
      </c>
      <c r="H834" s="1648"/>
      <c r="I834" s="1648">
        <f t="shared" si="134"/>
        <v>0</v>
      </c>
      <c r="J834" s="1648"/>
      <c r="K834" s="1648">
        <f t="shared" si="135"/>
        <v>0</v>
      </c>
      <c r="L834" s="1648"/>
      <c r="M834" s="1648">
        <f t="shared" si="136"/>
        <v>0</v>
      </c>
      <c r="N834" s="1648">
        <f t="shared" si="137"/>
        <v>0</v>
      </c>
      <c r="O834" s="1648">
        <f t="shared" si="138"/>
        <v>0</v>
      </c>
      <c r="P834" s="1648">
        <f t="shared" si="139"/>
        <v>0</v>
      </c>
      <c r="Q834" s="1648">
        <f t="shared" si="140"/>
        <v>0</v>
      </c>
      <c r="R834" s="55">
        <f t="shared" si="141"/>
        <v>0</v>
      </c>
      <c r="S834" s="55">
        <f t="shared" si="142"/>
        <v>0</v>
      </c>
    </row>
    <row r="835" spans="1:19" ht="81.75" customHeight="1">
      <c r="A835" s="1854"/>
      <c r="B835" s="1648">
        <f t="shared" si="132"/>
        <v>24.3</v>
      </c>
      <c r="C835" s="1870" t="s">
        <v>5788</v>
      </c>
      <c r="D835" s="1649">
        <f>Data!W71</f>
        <v>8106</v>
      </c>
      <c r="E835" s="1695" t="s">
        <v>724</v>
      </c>
      <c r="F835" s="1649">
        <f>'Detail '!I2703</f>
        <v>24.3</v>
      </c>
      <c r="G835" s="1648">
        <f t="shared" si="133"/>
        <v>196975.8</v>
      </c>
      <c r="H835" s="1648"/>
      <c r="I835" s="1648">
        <f t="shared" si="134"/>
        <v>0</v>
      </c>
      <c r="J835" s="1648"/>
      <c r="K835" s="1648">
        <f t="shared" si="135"/>
        <v>0</v>
      </c>
      <c r="L835" s="1648"/>
      <c r="M835" s="1648">
        <f t="shared" si="136"/>
        <v>0</v>
      </c>
      <c r="N835" s="1648">
        <f t="shared" si="137"/>
        <v>0</v>
      </c>
      <c r="O835" s="1648">
        <f t="shared" si="138"/>
        <v>0</v>
      </c>
      <c r="P835" s="1648">
        <f t="shared" si="139"/>
        <v>24.3</v>
      </c>
      <c r="Q835" s="1648">
        <f t="shared" si="140"/>
        <v>196975.8</v>
      </c>
      <c r="R835" s="55">
        <f t="shared" si="141"/>
        <v>196975.8</v>
      </c>
      <c r="S835" s="55">
        <f t="shared" si="142"/>
        <v>0</v>
      </c>
    </row>
    <row r="836" spans="1:19" ht="69.75">
      <c r="A836" s="1854"/>
      <c r="B836" s="1648">
        <f t="shared" si="132"/>
        <v>174.2</v>
      </c>
      <c r="C836" s="1870" t="s">
        <v>5789</v>
      </c>
      <c r="D836" s="1649">
        <f>Data!W72</f>
        <v>7482</v>
      </c>
      <c r="E836" s="1695" t="s">
        <v>724</v>
      </c>
      <c r="F836" s="1649">
        <f>'Detail '!I2712</f>
        <v>174.2</v>
      </c>
      <c r="G836" s="1648">
        <f t="shared" si="133"/>
        <v>1303364.3999999999</v>
      </c>
      <c r="H836" s="1648"/>
      <c r="I836" s="1648">
        <f t="shared" si="134"/>
        <v>0</v>
      </c>
      <c r="J836" s="1648"/>
      <c r="K836" s="1648">
        <f t="shared" si="135"/>
        <v>0</v>
      </c>
      <c r="L836" s="1648"/>
      <c r="M836" s="1648">
        <f t="shared" si="136"/>
        <v>0</v>
      </c>
      <c r="N836" s="1648">
        <f t="shared" si="137"/>
        <v>0</v>
      </c>
      <c r="O836" s="1648">
        <f t="shared" si="138"/>
        <v>0</v>
      </c>
      <c r="P836" s="1648">
        <f t="shared" si="139"/>
        <v>174.2</v>
      </c>
      <c r="Q836" s="1648">
        <f t="shared" si="140"/>
        <v>1303364.3999999999</v>
      </c>
      <c r="R836" s="55">
        <f t="shared" si="141"/>
        <v>1303364.3999999999</v>
      </c>
      <c r="S836" s="55">
        <f t="shared" si="142"/>
        <v>0</v>
      </c>
    </row>
    <row r="837" spans="1:19" ht="46.5" hidden="1" customHeight="1">
      <c r="A837" s="1854"/>
      <c r="B837" s="1648">
        <f t="shared" si="132"/>
        <v>0</v>
      </c>
      <c r="C837" s="1866" t="s">
        <v>5790</v>
      </c>
      <c r="D837" s="1655">
        <v>25000</v>
      </c>
      <c r="E837" s="1690" t="s">
        <v>1715</v>
      </c>
      <c r="F837" s="1649"/>
      <c r="G837" s="1648">
        <f t="shared" si="133"/>
        <v>0</v>
      </c>
      <c r="H837" s="1648"/>
      <c r="I837" s="1648">
        <f t="shared" si="134"/>
        <v>0</v>
      </c>
      <c r="J837" s="1648"/>
      <c r="K837" s="1648">
        <f t="shared" si="135"/>
        <v>0</v>
      </c>
      <c r="L837" s="1648"/>
      <c r="M837" s="1648">
        <f t="shared" si="136"/>
        <v>0</v>
      </c>
      <c r="N837" s="1648">
        <f t="shared" si="137"/>
        <v>0</v>
      </c>
      <c r="O837" s="1648">
        <f t="shared" si="138"/>
        <v>0</v>
      </c>
      <c r="P837" s="1648">
        <f t="shared" si="139"/>
        <v>0</v>
      </c>
      <c r="Q837" s="1648">
        <f t="shared" si="140"/>
        <v>0</v>
      </c>
      <c r="R837" s="55">
        <f t="shared" si="141"/>
        <v>0</v>
      </c>
      <c r="S837" s="55">
        <f t="shared" si="142"/>
        <v>0</v>
      </c>
    </row>
    <row r="838" spans="1:19" ht="69.75" hidden="1" customHeight="1">
      <c r="A838" s="1854"/>
      <c r="B838" s="1648">
        <f t="shared" ref="B838:B901" si="143">P838</f>
        <v>0</v>
      </c>
      <c r="C838" s="1866" t="s">
        <v>3984</v>
      </c>
      <c r="D838" s="1651">
        <f>Data!W74</f>
        <v>2419</v>
      </c>
      <c r="E838" s="1688" t="s">
        <v>724</v>
      </c>
      <c r="F838" s="1649"/>
      <c r="G838" s="1648">
        <f t="shared" ref="G838:G901" si="144">F838*D838</f>
        <v>0</v>
      </c>
      <c r="H838" s="1648"/>
      <c r="I838" s="1648">
        <f t="shared" ref="I838:I901" si="145">H838*D838</f>
        <v>0</v>
      </c>
      <c r="J838" s="1648"/>
      <c r="K838" s="1648">
        <f t="shared" ref="K838:K901" si="146">J838*D838</f>
        <v>0</v>
      </c>
      <c r="L838" s="1648"/>
      <c r="M838" s="1648">
        <f t="shared" ref="M838:M901" si="147">L838*D838</f>
        <v>0</v>
      </c>
      <c r="N838" s="1648">
        <f t="shared" ref="N838:N901" si="148">H838+J838+L838</f>
        <v>0</v>
      </c>
      <c r="O838" s="1648">
        <f t="shared" ref="O838:O901" si="149">N838*D838</f>
        <v>0</v>
      </c>
      <c r="P838" s="1648">
        <f t="shared" ref="P838:P901" si="150">N838+F838</f>
        <v>0</v>
      </c>
      <c r="Q838" s="1648">
        <f t="shared" ref="Q838:Q901" si="151">P838*D838</f>
        <v>0</v>
      </c>
      <c r="R838" s="55">
        <f t="shared" ref="R838:R901" si="152">G838+I838+K838+M838</f>
        <v>0</v>
      </c>
      <c r="S838" s="55">
        <f t="shared" ref="S838:S901" si="153">Q838-R838</f>
        <v>0</v>
      </c>
    </row>
    <row r="839" spans="1:19" ht="141.75" hidden="1" customHeight="1">
      <c r="A839" s="1854"/>
      <c r="B839" s="1648">
        <f t="shared" si="143"/>
        <v>0</v>
      </c>
      <c r="C839" s="1872" t="s">
        <v>5791</v>
      </c>
      <c r="D839" s="1658"/>
      <c r="E839" s="1700" t="s">
        <v>724</v>
      </c>
      <c r="F839" s="1667"/>
      <c r="G839" s="1648">
        <f t="shared" si="144"/>
        <v>0</v>
      </c>
      <c r="H839" s="1648"/>
      <c r="I839" s="1648">
        <f t="shared" si="145"/>
        <v>0</v>
      </c>
      <c r="J839" s="1648"/>
      <c r="K839" s="1648">
        <f t="shared" si="146"/>
        <v>0</v>
      </c>
      <c r="L839" s="1648"/>
      <c r="M839" s="1648">
        <f t="shared" si="147"/>
        <v>0</v>
      </c>
      <c r="N839" s="1648">
        <f t="shared" si="148"/>
        <v>0</v>
      </c>
      <c r="O839" s="1648">
        <f t="shared" si="149"/>
        <v>0</v>
      </c>
      <c r="P839" s="1648">
        <f t="shared" si="150"/>
        <v>0</v>
      </c>
      <c r="Q839" s="1648">
        <f t="shared" si="151"/>
        <v>0</v>
      </c>
      <c r="R839" s="55">
        <f t="shared" si="152"/>
        <v>0</v>
      </c>
      <c r="S839" s="55">
        <f t="shared" si="153"/>
        <v>0</v>
      </c>
    </row>
    <row r="840" spans="1:19" ht="46.5">
      <c r="A840" s="1854"/>
      <c r="B840" s="1648">
        <f t="shared" si="143"/>
        <v>0</v>
      </c>
      <c r="C840" s="1870" t="s">
        <v>5792</v>
      </c>
      <c r="D840" s="1655"/>
      <c r="E840" s="1690"/>
      <c r="F840" s="1649"/>
      <c r="G840" s="1648">
        <f t="shared" si="144"/>
        <v>0</v>
      </c>
      <c r="H840" s="1648"/>
      <c r="I840" s="1648">
        <f t="shared" si="145"/>
        <v>0</v>
      </c>
      <c r="J840" s="1648"/>
      <c r="K840" s="1648">
        <f t="shared" si="146"/>
        <v>0</v>
      </c>
      <c r="L840" s="1648"/>
      <c r="M840" s="1648">
        <f t="shared" si="147"/>
        <v>0</v>
      </c>
      <c r="N840" s="1648">
        <f t="shared" si="148"/>
        <v>0</v>
      </c>
      <c r="O840" s="1648">
        <f t="shared" si="149"/>
        <v>0</v>
      </c>
      <c r="P840" s="1648">
        <f t="shared" si="150"/>
        <v>0</v>
      </c>
      <c r="Q840" s="1648">
        <f t="shared" si="151"/>
        <v>0</v>
      </c>
      <c r="R840" s="55">
        <f t="shared" si="152"/>
        <v>0</v>
      </c>
      <c r="S840" s="55">
        <f t="shared" si="153"/>
        <v>0</v>
      </c>
    </row>
    <row r="841" spans="1:19" ht="23.25" hidden="1" customHeight="1">
      <c r="A841" s="1854"/>
      <c r="B841" s="1648">
        <f t="shared" si="143"/>
        <v>0</v>
      </c>
      <c r="C841" s="1863" t="s">
        <v>5793</v>
      </c>
      <c r="D841" s="1655">
        <f>Data!X3596</f>
        <v>3059.37</v>
      </c>
      <c r="E841" s="1690" t="s">
        <v>724</v>
      </c>
      <c r="F841" s="1649"/>
      <c r="G841" s="1648">
        <f t="shared" si="144"/>
        <v>0</v>
      </c>
      <c r="H841" s="1648"/>
      <c r="I841" s="1648">
        <f t="shared" si="145"/>
        <v>0</v>
      </c>
      <c r="J841" s="1648"/>
      <c r="K841" s="1648">
        <f t="shared" si="146"/>
        <v>0</v>
      </c>
      <c r="L841" s="1648"/>
      <c r="M841" s="1648">
        <f t="shared" si="147"/>
        <v>0</v>
      </c>
      <c r="N841" s="1648">
        <f t="shared" si="148"/>
        <v>0</v>
      </c>
      <c r="O841" s="1648">
        <f t="shared" si="149"/>
        <v>0</v>
      </c>
      <c r="P841" s="1648">
        <f t="shared" si="150"/>
        <v>0</v>
      </c>
      <c r="Q841" s="1648">
        <f t="shared" si="151"/>
        <v>0</v>
      </c>
      <c r="R841" s="55">
        <f t="shared" si="152"/>
        <v>0</v>
      </c>
      <c r="S841" s="55">
        <f t="shared" si="153"/>
        <v>0</v>
      </c>
    </row>
    <row r="842" spans="1:19" ht="23.25" hidden="1" customHeight="1">
      <c r="A842" s="1854"/>
      <c r="B842" s="1648">
        <f t="shared" si="143"/>
        <v>0</v>
      </c>
      <c r="C842" s="1863" t="s">
        <v>5794</v>
      </c>
      <c r="D842" s="1655">
        <f>Data!X3613</f>
        <v>3075.49</v>
      </c>
      <c r="E842" s="1690" t="s">
        <v>724</v>
      </c>
      <c r="F842" s="1649"/>
      <c r="G842" s="1648">
        <f t="shared" si="144"/>
        <v>0</v>
      </c>
      <c r="H842" s="1648"/>
      <c r="I842" s="1648">
        <f t="shared" si="145"/>
        <v>0</v>
      </c>
      <c r="J842" s="1648"/>
      <c r="K842" s="1648">
        <f t="shared" si="146"/>
        <v>0</v>
      </c>
      <c r="L842" s="1648"/>
      <c r="M842" s="1648">
        <f t="shared" si="147"/>
        <v>0</v>
      </c>
      <c r="N842" s="1648">
        <f t="shared" si="148"/>
        <v>0</v>
      </c>
      <c r="O842" s="1648">
        <f t="shared" si="149"/>
        <v>0</v>
      </c>
      <c r="P842" s="1648">
        <f t="shared" si="150"/>
        <v>0</v>
      </c>
      <c r="Q842" s="1648">
        <f t="shared" si="151"/>
        <v>0</v>
      </c>
      <c r="R842" s="55">
        <f t="shared" si="152"/>
        <v>0</v>
      </c>
      <c r="S842" s="55">
        <f t="shared" si="153"/>
        <v>0</v>
      </c>
    </row>
    <row r="843" spans="1:19" ht="23.25" hidden="1" customHeight="1">
      <c r="A843" s="1854"/>
      <c r="B843" s="1648">
        <f t="shared" si="143"/>
        <v>0</v>
      </c>
      <c r="C843" s="1863" t="s">
        <v>5795</v>
      </c>
      <c r="D843" s="1655">
        <f>Data!X3581</f>
        <v>3101.78</v>
      </c>
      <c r="E843" s="1690" t="s">
        <v>724</v>
      </c>
      <c r="F843" s="1649"/>
      <c r="G843" s="1648">
        <f t="shared" si="144"/>
        <v>0</v>
      </c>
      <c r="H843" s="1648"/>
      <c r="I843" s="1648">
        <f t="shared" si="145"/>
        <v>0</v>
      </c>
      <c r="J843" s="1648"/>
      <c r="K843" s="1648">
        <f t="shared" si="146"/>
        <v>0</v>
      </c>
      <c r="L843" s="1648"/>
      <c r="M843" s="1648">
        <f t="shared" si="147"/>
        <v>0</v>
      </c>
      <c r="N843" s="1648">
        <f t="shared" si="148"/>
        <v>0</v>
      </c>
      <c r="O843" s="1648">
        <f t="shared" si="149"/>
        <v>0</v>
      </c>
      <c r="P843" s="1648">
        <f t="shared" si="150"/>
        <v>0</v>
      </c>
      <c r="Q843" s="1648">
        <f t="shared" si="151"/>
        <v>0</v>
      </c>
      <c r="R843" s="55">
        <f t="shared" si="152"/>
        <v>0</v>
      </c>
      <c r="S843" s="55">
        <f t="shared" si="153"/>
        <v>0</v>
      </c>
    </row>
    <row r="844" spans="1:19" ht="23.25" hidden="1" customHeight="1">
      <c r="A844" s="1854"/>
      <c r="B844" s="1648">
        <f t="shared" si="143"/>
        <v>0</v>
      </c>
      <c r="C844" s="1863" t="s">
        <v>5796</v>
      </c>
      <c r="D844" s="1655">
        <f>Data!X3565</f>
        <v>3176.09</v>
      </c>
      <c r="E844" s="1690" t="s">
        <v>724</v>
      </c>
      <c r="F844" s="1649"/>
      <c r="G844" s="1648">
        <f t="shared" si="144"/>
        <v>0</v>
      </c>
      <c r="H844" s="1648"/>
      <c r="I844" s="1648">
        <f t="shared" si="145"/>
        <v>0</v>
      </c>
      <c r="J844" s="1648"/>
      <c r="K844" s="1648">
        <f t="shared" si="146"/>
        <v>0</v>
      </c>
      <c r="L844" s="1648"/>
      <c r="M844" s="1648">
        <f t="shared" si="147"/>
        <v>0</v>
      </c>
      <c r="N844" s="1648">
        <f t="shared" si="148"/>
        <v>0</v>
      </c>
      <c r="O844" s="1648">
        <f t="shared" si="149"/>
        <v>0</v>
      </c>
      <c r="P844" s="1648">
        <f t="shared" si="150"/>
        <v>0</v>
      </c>
      <c r="Q844" s="1648">
        <f t="shared" si="151"/>
        <v>0</v>
      </c>
      <c r="R844" s="55">
        <f t="shared" si="152"/>
        <v>0</v>
      </c>
      <c r="S844" s="55">
        <f t="shared" si="153"/>
        <v>0</v>
      </c>
    </row>
    <row r="845" spans="1:19" ht="23.25" hidden="1" customHeight="1">
      <c r="A845" s="1854"/>
      <c r="B845" s="1648">
        <f t="shared" si="143"/>
        <v>0</v>
      </c>
      <c r="C845" s="1863" t="s">
        <v>5797</v>
      </c>
      <c r="D845" s="1655">
        <f>Data!K3533</f>
        <v>3309.18</v>
      </c>
      <c r="E845" s="1690" t="s">
        <v>724</v>
      </c>
      <c r="F845" s="1649"/>
      <c r="G845" s="1648">
        <f t="shared" si="144"/>
        <v>0</v>
      </c>
      <c r="H845" s="1648"/>
      <c r="I845" s="1648">
        <f t="shared" si="145"/>
        <v>0</v>
      </c>
      <c r="J845" s="1648"/>
      <c r="K845" s="1648">
        <f t="shared" si="146"/>
        <v>0</v>
      </c>
      <c r="L845" s="1648"/>
      <c r="M845" s="1648">
        <f t="shared" si="147"/>
        <v>0</v>
      </c>
      <c r="N845" s="1648">
        <f t="shared" si="148"/>
        <v>0</v>
      </c>
      <c r="O845" s="1648">
        <f t="shared" si="149"/>
        <v>0</v>
      </c>
      <c r="P845" s="1648">
        <f t="shared" si="150"/>
        <v>0</v>
      </c>
      <c r="Q845" s="1648">
        <f t="shared" si="151"/>
        <v>0</v>
      </c>
      <c r="R845" s="55">
        <f t="shared" si="152"/>
        <v>0</v>
      </c>
      <c r="S845" s="55">
        <f t="shared" si="153"/>
        <v>0</v>
      </c>
    </row>
    <row r="846" spans="1:19" hidden="1">
      <c r="A846" s="1854"/>
      <c r="B846" s="1648">
        <f t="shared" si="143"/>
        <v>0</v>
      </c>
      <c r="C846" s="1863" t="s">
        <v>5798</v>
      </c>
      <c r="D846" s="1655">
        <f>Data!X3628</f>
        <v>3333.87</v>
      </c>
      <c r="E846" s="1690" t="s">
        <v>724</v>
      </c>
      <c r="F846" s="1649"/>
      <c r="G846" s="1648">
        <f t="shared" si="144"/>
        <v>0</v>
      </c>
      <c r="H846" s="1648"/>
      <c r="I846" s="1648">
        <f t="shared" si="145"/>
        <v>0</v>
      </c>
      <c r="J846" s="1648"/>
      <c r="K846" s="1648">
        <f t="shared" si="146"/>
        <v>0</v>
      </c>
      <c r="L846" s="1648"/>
      <c r="M846" s="1648">
        <f t="shared" si="147"/>
        <v>0</v>
      </c>
      <c r="N846" s="1648">
        <f t="shared" si="148"/>
        <v>0</v>
      </c>
      <c r="O846" s="1648">
        <f t="shared" si="149"/>
        <v>0</v>
      </c>
      <c r="P846" s="1648">
        <f t="shared" si="150"/>
        <v>0</v>
      </c>
      <c r="Q846" s="1648">
        <f t="shared" si="151"/>
        <v>0</v>
      </c>
      <c r="R846" s="55">
        <f t="shared" si="152"/>
        <v>0</v>
      </c>
      <c r="S846" s="55">
        <f t="shared" si="153"/>
        <v>0</v>
      </c>
    </row>
    <row r="847" spans="1:19">
      <c r="A847" s="1854"/>
      <c r="B847" s="1648">
        <f t="shared" si="143"/>
        <v>65.099999999999994</v>
      </c>
      <c r="C847" s="1863" t="s">
        <v>5799</v>
      </c>
      <c r="D847" s="1655">
        <f>Data!K3549</f>
        <v>3021.75</v>
      </c>
      <c r="E847" s="1690" t="s">
        <v>724</v>
      </c>
      <c r="F847" s="1654">
        <v>65.099999999999994</v>
      </c>
      <c r="G847" s="1648">
        <f t="shared" si="144"/>
        <v>196715.93</v>
      </c>
      <c r="H847" s="1648"/>
      <c r="I847" s="1648">
        <f t="shared" si="145"/>
        <v>0</v>
      </c>
      <c r="J847" s="1648"/>
      <c r="K847" s="1648">
        <f t="shared" si="146"/>
        <v>0</v>
      </c>
      <c r="L847" s="1648"/>
      <c r="M847" s="1648">
        <f t="shared" si="147"/>
        <v>0</v>
      </c>
      <c r="N847" s="1648">
        <f t="shared" si="148"/>
        <v>0</v>
      </c>
      <c r="O847" s="1648">
        <f t="shared" si="149"/>
        <v>0</v>
      </c>
      <c r="P847" s="1648">
        <f t="shared" si="150"/>
        <v>65.099999999999994</v>
      </c>
      <c r="Q847" s="1648">
        <f t="shared" si="151"/>
        <v>196715.93</v>
      </c>
      <c r="R847" s="55">
        <f t="shared" si="152"/>
        <v>196715.93</v>
      </c>
      <c r="S847" s="55">
        <f t="shared" si="153"/>
        <v>0</v>
      </c>
    </row>
    <row r="848" spans="1:19" ht="44.25" hidden="1" customHeight="1">
      <c r="A848" s="1854"/>
      <c r="B848" s="1648">
        <f t="shared" si="143"/>
        <v>0</v>
      </c>
      <c r="C848" s="1863" t="s">
        <v>5800</v>
      </c>
      <c r="D848" s="1655">
        <f>Data!X3549</f>
        <v>2994.41</v>
      </c>
      <c r="E848" s="1690" t="s">
        <v>724</v>
      </c>
      <c r="F848" s="1654"/>
      <c r="G848" s="1648">
        <f t="shared" si="144"/>
        <v>0</v>
      </c>
      <c r="H848" s="1648"/>
      <c r="I848" s="1648">
        <f t="shared" si="145"/>
        <v>0</v>
      </c>
      <c r="J848" s="1648"/>
      <c r="K848" s="1648">
        <f t="shared" si="146"/>
        <v>0</v>
      </c>
      <c r="L848" s="1648"/>
      <c r="M848" s="1648">
        <f t="shared" si="147"/>
        <v>0</v>
      </c>
      <c r="N848" s="1648">
        <f t="shared" si="148"/>
        <v>0</v>
      </c>
      <c r="O848" s="1648">
        <f t="shared" si="149"/>
        <v>0</v>
      </c>
      <c r="P848" s="1648">
        <f t="shared" si="150"/>
        <v>0</v>
      </c>
      <c r="Q848" s="1648">
        <f t="shared" si="151"/>
        <v>0</v>
      </c>
      <c r="R848" s="55">
        <f t="shared" si="152"/>
        <v>0</v>
      </c>
      <c r="S848" s="55">
        <f t="shared" si="153"/>
        <v>0</v>
      </c>
    </row>
    <row r="849" spans="1:19" ht="44.25" customHeight="1">
      <c r="A849" s="1854"/>
      <c r="B849" s="1648">
        <f t="shared" si="143"/>
        <v>7.56</v>
      </c>
      <c r="C849" s="1863" t="s">
        <v>5801</v>
      </c>
      <c r="D849" s="1655">
        <f>Data!AG3549</f>
        <v>3088.84</v>
      </c>
      <c r="E849" s="1690" t="s">
        <v>724</v>
      </c>
      <c r="F849" s="1654">
        <v>7.56</v>
      </c>
      <c r="G849" s="1648">
        <f t="shared" si="144"/>
        <v>23351.63</v>
      </c>
      <c r="H849" s="1648"/>
      <c r="I849" s="1648">
        <f t="shared" si="145"/>
        <v>0</v>
      </c>
      <c r="J849" s="1648"/>
      <c r="K849" s="1648">
        <f t="shared" si="146"/>
        <v>0</v>
      </c>
      <c r="L849" s="1648"/>
      <c r="M849" s="1648">
        <f t="shared" si="147"/>
        <v>0</v>
      </c>
      <c r="N849" s="1648">
        <f t="shared" si="148"/>
        <v>0</v>
      </c>
      <c r="O849" s="1648">
        <f t="shared" si="149"/>
        <v>0</v>
      </c>
      <c r="P849" s="1648">
        <f t="shared" si="150"/>
        <v>7.56</v>
      </c>
      <c r="Q849" s="1648">
        <f t="shared" si="151"/>
        <v>23351.63</v>
      </c>
      <c r="R849" s="55">
        <f t="shared" si="152"/>
        <v>23351.63</v>
      </c>
      <c r="S849" s="55">
        <f t="shared" si="153"/>
        <v>0</v>
      </c>
    </row>
    <row r="850" spans="1:19" ht="44.25" hidden="1" customHeight="1">
      <c r="A850" s="1854"/>
      <c r="B850" s="1648">
        <f t="shared" si="143"/>
        <v>0</v>
      </c>
      <c r="C850" s="1863" t="s">
        <v>5802</v>
      </c>
      <c r="D850" s="1655">
        <f>Data!AD3629</f>
        <v>0</v>
      </c>
      <c r="E850" s="1690" t="s">
        <v>724</v>
      </c>
      <c r="F850" s="1649"/>
      <c r="G850" s="1648">
        <f t="shared" si="144"/>
        <v>0</v>
      </c>
      <c r="H850" s="1648"/>
      <c r="I850" s="1648">
        <f t="shared" si="145"/>
        <v>0</v>
      </c>
      <c r="J850" s="1648"/>
      <c r="K850" s="1648">
        <f t="shared" si="146"/>
        <v>0</v>
      </c>
      <c r="L850" s="1648"/>
      <c r="M850" s="1648">
        <f t="shared" si="147"/>
        <v>0</v>
      </c>
      <c r="N850" s="1648">
        <f t="shared" si="148"/>
        <v>0</v>
      </c>
      <c r="O850" s="1648">
        <f t="shared" si="149"/>
        <v>0</v>
      </c>
      <c r="P850" s="1648">
        <f t="shared" si="150"/>
        <v>0</v>
      </c>
      <c r="Q850" s="1648">
        <f t="shared" si="151"/>
        <v>0</v>
      </c>
      <c r="R850" s="55">
        <f t="shared" si="152"/>
        <v>0</v>
      </c>
      <c r="S850" s="55">
        <f t="shared" si="153"/>
        <v>0</v>
      </c>
    </row>
    <row r="851" spans="1:19" ht="46.5" hidden="1" customHeight="1">
      <c r="A851" s="1854"/>
      <c r="B851" s="1648">
        <f t="shared" si="143"/>
        <v>0</v>
      </c>
      <c r="C851" s="1863" t="s">
        <v>5803</v>
      </c>
      <c r="D851" s="1649">
        <f>Data!K2353</f>
        <v>33.56</v>
      </c>
      <c r="E851" s="1691" t="s">
        <v>724</v>
      </c>
      <c r="F851" s="1649"/>
      <c r="G851" s="1648">
        <f t="shared" si="144"/>
        <v>0</v>
      </c>
      <c r="H851" s="1648"/>
      <c r="I851" s="1648">
        <f t="shared" si="145"/>
        <v>0</v>
      </c>
      <c r="J851" s="1648"/>
      <c r="K851" s="1648">
        <f t="shared" si="146"/>
        <v>0</v>
      </c>
      <c r="L851" s="1648"/>
      <c r="M851" s="1648">
        <f t="shared" si="147"/>
        <v>0</v>
      </c>
      <c r="N851" s="1648">
        <f t="shared" si="148"/>
        <v>0</v>
      </c>
      <c r="O851" s="1648">
        <f t="shared" si="149"/>
        <v>0</v>
      </c>
      <c r="P851" s="1648">
        <f t="shared" si="150"/>
        <v>0</v>
      </c>
      <c r="Q851" s="1648">
        <f t="shared" si="151"/>
        <v>0</v>
      </c>
      <c r="R851" s="55">
        <f t="shared" si="152"/>
        <v>0</v>
      </c>
      <c r="S851" s="55">
        <f t="shared" si="153"/>
        <v>0</v>
      </c>
    </row>
    <row r="852" spans="1:19" ht="104.25" hidden="1" customHeight="1">
      <c r="A852" s="1854"/>
      <c r="B852" s="1648">
        <f t="shared" si="143"/>
        <v>0</v>
      </c>
      <c r="C852" s="1870" t="s">
        <v>5804</v>
      </c>
      <c r="D852" s="1649"/>
      <c r="E852" s="1691"/>
      <c r="F852" s="1649"/>
      <c r="G852" s="1648">
        <f t="shared" si="144"/>
        <v>0</v>
      </c>
      <c r="H852" s="1648"/>
      <c r="I852" s="1648">
        <f t="shared" si="145"/>
        <v>0</v>
      </c>
      <c r="J852" s="1648"/>
      <c r="K852" s="1648">
        <f t="shared" si="146"/>
        <v>0</v>
      </c>
      <c r="L852" s="1648"/>
      <c r="M852" s="1648">
        <f t="shared" si="147"/>
        <v>0</v>
      </c>
      <c r="N852" s="1648">
        <f t="shared" si="148"/>
        <v>0</v>
      </c>
      <c r="O852" s="1648">
        <f t="shared" si="149"/>
        <v>0</v>
      </c>
      <c r="P852" s="1648">
        <f t="shared" si="150"/>
        <v>0</v>
      </c>
      <c r="Q852" s="1648">
        <f t="shared" si="151"/>
        <v>0</v>
      </c>
      <c r="R852" s="55">
        <f t="shared" si="152"/>
        <v>0</v>
      </c>
      <c r="S852" s="55">
        <f t="shared" si="153"/>
        <v>0</v>
      </c>
    </row>
    <row r="853" spans="1:19" ht="55.5" hidden="1" customHeight="1">
      <c r="A853" s="1854"/>
      <c r="B853" s="1648">
        <f t="shared" si="143"/>
        <v>0</v>
      </c>
      <c r="C853" s="1863" t="s">
        <v>5341</v>
      </c>
      <c r="D853" s="1649">
        <f>Data!AD1197</f>
        <v>1967.63</v>
      </c>
      <c r="E853" s="1691" t="s">
        <v>724</v>
      </c>
      <c r="F853" s="1649"/>
      <c r="G853" s="1648">
        <f t="shared" si="144"/>
        <v>0</v>
      </c>
      <c r="H853" s="1648"/>
      <c r="I853" s="1648">
        <f t="shared" si="145"/>
        <v>0</v>
      </c>
      <c r="J853" s="1648"/>
      <c r="K853" s="1648">
        <f t="shared" si="146"/>
        <v>0</v>
      </c>
      <c r="L853" s="1648"/>
      <c r="M853" s="1648">
        <f t="shared" si="147"/>
        <v>0</v>
      </c>
      <c r="N853" s="1648">
        <f t="shared" si="148"/>
        <v>0</v>
      </c>
      <c r="O853" s="1648">
        <f t="shared" si="149"/>
        <v>0</v>
      </c>
      <c r="P853" s="1648">
        <f t="shared" si="150"/>
        <v>0</v>
      </c>
      <c r="Q853" s="1648">
        <f t="shared" si="151"/>
        <v>0</v>
      </c>
      <c r="R853" s="55">
        <f t="shared" si="152"/>
        <v>0</v>
      </c>
      <c r="S853" s="55">
        <f t="shared" si="153"/>
        <v>0</v>
      </c>
    </row>
    <row r="854" spans="1:19" ht="46.5" hidden="1" customHeight="1">
      <c r="A854" s="1854"/>
      <c r="B854" s="1648">
        <f t="shared" si="143"/>
        <v>0</v>
      </c>
      <c r="C854" s="1863" t="s">
        <v>5342</v>
      </c>
      <c r="D854" s="1649">
        <f>Data!AD1198</f>
        <v>1972.55</v>
      </c>
      <c r="E854" s="1691" t="s">
        <v>724</v>
      </c>
      <c r="F854" s="1649"/>
      <c r="G854" s="1648">
        <f t="shared" si="144"/>
        <v>0</v>
      </c>
      <c r="H854" s="1648"/>
      <c r="I854" s="1648">
        <f t="shared" si="145"/>
        <v>0</v>
      </c>
      <c r="J854" s="1648"/>
      <c r="K854" s="1648">
        <f t="shared" si="146"/>
        <v>0</v>
      </c>
      <c r="L854" s="1648"/>
      <c r="M854" s="1648">
        <f t="shared" si="147"/>
        <v>0</v>
      </c>
      <c r="N854" s="1648">
        <f t="shared" si="148"/>
        <v>0</v>
      </c>
      <c r="O854" s="1648">
        <f t="shared" si="149"/>
        <v>0</v>
      </c>
      <c r="P854" s="1648">
        <f t="shared" si="150"/>
        <v>0</v>
      </c>
      <c r="Q854" s="1648">
        <f t="shared" si="151"/>
        <v>0</v>
      </c>
      <c r="R854" s="55">
        <f t="shared" si="152"/>
        <v>0</v>
      </c>
      <c r="S854" s="55">
        <f t="shared" si="153"/>
        <v>0</v>
      </c>
    </row>
    <row r="855" spans="1:19" ht="46.5" hidden="1" customHeight="1">
      <c r="A855" s="1854"/>
      <c r="B855" s="1648">
        <f t="shared" si="143"/>
        <v>0</v>
      </c>
      <c r="C855" s="1863" t="s">
        <v>5343</v>
      </c>
      <c r="D855" s="1649">
        <f>Data!AD1199</f>
        <v>1977.47</v>
      </c>
      <c r="E855" s="1691" t="s">
        <v>724</v>
      </c>
      <c r="F855" s="1649"/>
      <c r="G855" s="1648">
        <f t="shared" si="144"/>
        <v>0</v>
      </c>
      <c r="H855" s="1648"/>
      <c r="I855" s="1648">
        <f t="shared" si="145"/>
        <v>0</v>
      </c>
      <c r="J855" s="1648"/>
      <c r="K855" s="1648">
        <f t="shared" si="146"/>
        <v>0</v>
      </c>
      <c r="L855" s="1648"/>
      <c r="M855" s="1648">
        <f t="shared" si="147"/>
        <v>0</v>
      </c>
      <c r="N855" s="1648">
        <f t="shared" si="148"/>
        <v>0</v>
      </c>
      <c r="O855" s="1648">
        <f t="shared" si="149"/>
        <v>0</v>
      </c>
      <c r="P855" s="1648">
        <f t="shared" si="150"/>
        <v>0</v>
      </c>
      <c r="Q855" s="1648">
        <f t="shared" si="151"/>
        <v>0</v>
      </c>
      <c r="R855" s="55">
        <f t="shared" si="152"/>
        <v>0</v>
      </c>
      <c r="S855" s="55">
        <f t="shared" si="153"/>
        <v>0</v>
      </c>
    </row>
    <row r="856" spans="1:19" ht="42" hidden="1" customHeight="1">
      <c r="A856" s="1854"/>
      <c r="B856" s="1648">
        <f t="shared" si="143"/>
        <v>0</v>
      </c>
      <c r="C856" s="1863" t="s">
        <v>5344</v>
      </c>
      <c r="D856" s="1649">
        <f>Data!AD1200</f>
        <v>1982.39</v>
      </c>
      <c r="E856" s="1691" t="s">
        <v>724</v>
      </c>
      <c r="F856" s="1649"/>
      <c r="G856" s="1648">
        <f t="shared" si="144"/>
        <v>0</v>
      </c>
      <c r="H856" s="1648"/>
      <c r="I856" s="1648">
        <f t="shared" si="145"/>
        <v>0</v>
      </c>
      <c r="J856" s="1648"/>
      <c r="K856" s="1648">
        <f t="shared" si="146"/>
        <v>0</v>
      </c>
      <c r="L856" s="1648"/>
      <c r="M856" s="1648">
        <f t="shared" si="147"/>
        <v>0</v>
      </c>
      <c r="N856" s="1648">
        <f t="shared" si="148"/>
        <v>0</v>
      </c>
      <c r="O856" s="1648">
        <f t="shared" si="149"/>
        <v>0</v>
      </c>
      <c r="P856" s="1648">
        <f t="shared" si="150"/>
        <v>0</v>
      </c>
      <c r="Q856" s="1648">
        <f t="shared" si="151"/>
        <v>0</v>
      </c>
      <c r="R856" s="55">
        <f t="shared" si="152"/>
        <v>0</v>
      </c>
      <c r="S856" s="55">
        <f t="shared" si="153"/>
        <v>0</v>
      </c>
    </row>
    <row r="857" spans="1:19" ht="57.75" hidden="1" customHeight="1">
      <c r="A857" s="1854"/>
      <c r="B857" s="1648">
        <f t="shared" si="143"/>
        <v>0</v>
      </c>
      <c r="C857" s="1870" t="s">
        <v>5805</v>
      </c>
      <c r="D857" s="1649"/>
      <c r="E857" s="1691"/>
      <c r="F857" s="1649"/>
      <c r="G857" s="1648">
        <f t="shared" si="144"/>
        <v>0</v>
      </c>
      <c r="H857" s="1648"/>
      <c r="I857" s="1648">
        <f t="shared" si="145"/>
        <v>0</v>
      </c>
      <c r="J857" s="1648"/>
      <c r="K857" s="1648">
        <f t="shared" si="146"/>
        <v>0</v>
      </c>
      <c r="L857" s="1648"/>
      <c r="M857" s="1648">
        <f t="shared" si="147"/>
        <v>0</v>
      </c>
      <c r="N857" s="1648">
        <f t="shared" si="148"/>
        <v>0</v>
      </c>
      <c r="O857" s="1648">
        <f t="shared" si="149"/>
        <v>0</v>
      </c>
      <c r="P857" s="1648">
        <f t="shared" si="150"/>
        <v>0</v>
      </c>
      <c r="Q857" s="1648">
        <f t="shared" si="151"/>
        <v>0</v>
      </c>
      <c r="R857" s="55">
        <f t="shared" si="152"/>
        <v>0</v>
      </c>
      <c r="S857" s="55">
        <f t="shared" si="153"/>
        <v>0</v>
      </c>
    </row>
    <row r="858" spans="1:19" ht="48.75" hidden="1" customHeight="1">
      <c r="A858" s="1854"/>
      <c r="B858" s="1648">
        <f t="shared" si="143"/>
        <v>0</v>
      </c>
      <c r="C858" s="1863" t="s">
        <v>5341</v>
      </c>
      <c r="D858" s="1649">
        <f>Data!AK1197</f>
        <v>1115.3800000000001</v>
      </c>
      <c r="E858" s="1691" t="s">
        <v>724</v>
      </c>
      <c r="F858" s="1649"/>
      <c r="G858" s="1648">
        <f t="shared" si="144"/>
        <v>0</v>
      </c>
      <c r="H858" s="1648"/>
      <c r="I858" s="1648">
        <f t="shared" si="145"/>
        <v>0</v>
      </c>
      <c r="J858" s="1648"/>
      <c r="K858" s="1648">
        <f t="shared" si="146"/>
        <v>0</v>
      </c>
      <c r="L858" s="1648"/>
      <c r="M858" s="1648">
        <f t="shared" si="147"/>
        <v>0</v>
      </c>
      <c r="N858" s="1648">
        <f t="shared" si="148"/>
        <v>0</v>
      </c>
      <c r="O858" s="1648">
        <f t="shared" si="149"/>
        <v>0</v>
      </c>
      <c r="P858" s="1648">
        <f t="shared" si="150"/>
        <v>0</v>
      </c>
      <c r="Q858" s="1648">
        <f t="shared" si="151"/>
        <v>0</v>
      </c>
      <c r="R858" s="55">
        <f t="shared" si="152"/>
        <v>0</v>
      </c>
      <c r="S858" s="55">
        <f t="shared" si="153"/>
        <v>0</v>
      </c>
    </row>
    <row r="859" spans="1:19" ht="48.75" hidden="1" customHeight="1">
      <c r="A859" s="1854"/>
      <c r="B859" s="1648">
        <f t="shared" si="143"/>
        <v>0</v>
      </c>
      <c r="C859" s="1863" t="s">
        <v>5342</v>
      </c>
      <c r="D859" s="1649">
        <f>Data!AK1198</f>
        <v>1117.8399999999999</v>
      </c>
      <c r="E859" s="1691" t="s">
        <v>724</v>
      </c>
      <c r="F859" s="1649"/>
      <c r="G859" s="1648">
        <f t="shared" si="144"/>
        <v>0</v>
      </c>
      <c r="H859" s="1648"/>
      <c r="I859" s="1648">
        <f t="shared" si="145"/>
        <v>0</v>
      </c>
      <c r="J859" s="1648"/>
      <c r="K859" s="1648">
        <f t="shared" si="146"/>
        <v>0</v>
      </c>
      <c r="L859" s="1648"/>
      <c r="M859" s="1648">
        <f t="shared" si="147"/>
        <v>0</v>
      </c>
      <c r="N859" s="1648">
        <f t="shared" si="148"/>
        <v>0</v>
      </c>
      <c r="O859" s="1648">
        <f t="shared" si="149"/>
        <v>0</v>
      </c>
      <c r="P859" s="1648">
        <f t="shared" si="150"/>
        <v>0</v>
      </c>
      <c r="Q859" s="1648">
        <f t="shared" si="151"/>
        <v>0</v>
      </c>
      <c r="R859" s="55">
        <f t="shared" si="152"/>
        <v>0</v>
      </c>
      <c r="S859" s="55">
        <f t="shared" si="153"/>
        <v>0</v>
      </c>
    </row>
    <row r="860" spans="1:19" ht="48.75" hidden="1" customHeight="1">
      <c r="A860" s="1854"/>
      <c r="B860" s="1648">
        <f t="shared" si="143"/>
        <v>0</v>
      </c>
      <c r="C860" s="1863" t="s">
        <v>5343</v>
      </c>
      <c r="D860" s="1649">
        <f>Data!AK1199</f>
        <v>1120.3</v>
      </c>
      <c r="E860" s="1691" t="s">
        <v>724</v>
      </c>
      <c r="F860" s="1649"/>
      <c r="G860" s="1648">
        <f t="shared" si="144"/>
        <v>0</v>
      </c>
      <c r="H860" s="1648"/>
      <c r="I860" s="1648">
        <f t="shared" si="145"/>
        <v>0</v>
      </c>
      <c r="J860" s="1648"/>
      <c r="K860" s="1648">
        <f t="shared" si="146"/>
        <v>0</v>
      </c>
      <c r="L860" s="1648"/>
      <c r="M860" s="1648">
        <f t="shared" si="147"/>
        <v>0</v>
      </c>
      <c r="N860" s="1648">
        <f t="shared" si="148"/>
        <v>0</v>
      </c>
      <c r="O860" s="1648">
        <f t="shared" si="149"/>
        <v>0</v>
      </c>
      <c r="P860" s="1648">
        <f t="shared" si="150"/>
        <v>0</v>
      </c>
      <c r="Q860" s="1648">
        <f t="shared" si="151"/>
        <v>0</v>
      </c>
      <c r="R860" s="55">
        <f t="shared" si="152"/>
        <v>0</v>
      </c>
      <c r="S860" s="55">
        <f t="shared" si="153"/>
        <v>0</v>
      </c>
    </row>
    <row r="861" spans="1:19" ht="48.75" hidden="1" customHeight="1">
      <c r="A861" s="1854"/>
      <c r="B861" s="1648">
        <f t="shared" si="143"/>
        <v>0</v>
      </c>
      <c r="C861" s="1863" t="s">
        <v>5806</v>
      </c>
      <c r="D861" s="1649">
        <f>Data!AK1200</f>
        <v>1122.25</v>
      </c>
      <c r="E861" s="1691" t="s">
        <v>724</v>
      </c>
      <c r="F861" s="1649"/>
      <c r="G861" s="1648">
        <f t="shared" si="144"/>
        <v>0</v>
      </c>
      <c r="H861" s="1648"/>
      <c r="I861" s="1648">
        <f t="shared" si="145"/>
        <v>0</v>
      </c>
      <c r="J861" s="1648"/>
      <c r="K861" s="1648">
        <f t="shared" si="146"/>
        <v>0</v>
      </c>
      <c r="L861" s="1648"/>
      <c r="M861" s="1648">
        <f t="shared" si="147"/>
        <v>0</v>
      </c>
      <c r="N861" s="1648">
        <f t="shared" si="148"/>
        <v>0</v>
      </c>
      <c r="O861" s="1648">
        <f t="shared" si="149"/>
        <v>0</v>
      </c>
      <c r="P861" s="1648">
        <f t="shared" si="150"/>
        <v>0</v>
      </c>
      <c r="Q861" s="1648">
        <f t="shared" si="151"/>
        <v>0</v>
      </c>
      <c r="R861" s="55">
        <f t="shared" si="152"/>
        <v>0</v>
      </c>
      <c r="S861" s="55">
        <f t="shared" si="153"/>
        <v>0</v>
      </c>
    </row>
    <row r="862" spans="1:19" ht="42" hidden="1" customHeight="1">
      <c r="A862" s="1854"/>
      <c r="B862" s="1648">
        <f t="shared" si="143"/>
        <v>0</v>
      </c>
      <c r="C862" s="1870" t="s">
        <v>5807</v>
      </c>
      <c r="D862" s="1655"/>
      <c r="E862" s="1690"/>
      <c r="F862" s="1649"/>
      <c r="G862" s="1648">
        <f t="shared" si="144"/>
        <v>0</v>
      </c>
      <c r="H862" s="1648"/>
      <c r="I862" s="1648">
        <f t="shared" si="145"/>
        <v>0</v>
      </c>
      <c r="J862" s="1648"/>
      <c r="K862" s="1648">
        <f t="shared" si="146"/>
        <v>0</v>
      </c>
      <c r="L862" s="1648"/>
      <c r="M862" s="1648">
        <f t="shared" si="147"/>
        <v>0</v>
      </c>
      <c r="N862" s="1648">
        <f t="shared" si="148"/>
        <v>0</v>
      </c>
      <c r="O862" s="1648">
        <f t="shared" si="149"/>
        <v>0</v>
      </c>
      <c r="P862" s="1648">
        <f t="shared" si="150"/>
        <v>0</v>
      </c>
      <c r="Q862" s="1648">
        <f t="shared" si="151"/>
        <v>0</v>
      </c>
      <c r="R862" s="55">
        <f t="shared" si="152"/>
        <v>0</v>
      </c>
      <c r="S862" s="55">
        <f t="shared" si="153"/>
        <v>0</v>
      </c>
    </row>
    <row r="863" spans="1:19" ht="42" hidden="1" customHeight="1">
      <c r="A863" s="1854"/>
      <c r="B863" s="1648">
        <f t="shared" si="143"/>
        <v>0</v>
      </c>
      <c r="C863" s="1866" t="s">
        <v>5808</v>
      </c>
      <c r="D863" s="1655">
        <f>Data!R1486</f>
        <v>5206</v>
      </c>
      <c r="E863" s="1690" t="s">
        <v>724</v>
      </c>
      <c r="F863" s="1649"/>
      <c r="G863" s="1648">
        <f t="shared" si="144"/>
        <v>0</v>
      </c>
      <c r="H863" s="1648"/>
      <c r="I863" s="1648">
        <f t="shared" si="145"/>
        <v>0</v>
      </c>
      <c r="J863" s="1648"/>
      <c r="K863" s="1648">
        <f t="shared" si="146"/>
        <v>0</v>
      </c>
      <c r="L863" s="1648"/>
      <c r="M863" s="1648">
        <f t="shared" si="147"/>
        <v>0</v>
      </c>
      <c r="N863" s="1648">
        <f t="shared" si="148"/>
        <v>0</v>
      </c>
      <c r="O863" s="1648">
        <f t="shared" si="149"/>
        <v>0</v>
      </c>
      <c r="P863" s="1648">
        <f t="shared" si="150"/>
        <v>0</v>
      </c>
      <c r="Q863" s="1648">
        <f t="shared" si="151"/>
        <v>0</v>
      </c>
      <c r="R863" s="55">
        <f t="shared" si="152"/>
        <v>0</v>
      </c>
      <c r="S863" s="55">
        <f t="shared" si="153"/>
        <v>0</v>
      </c>
    </row>
    <row r="864" spans="1:19" ht="42" hidden="1" customHeight="1">
      <c r="A864" s="1854"/>
      <c r="B864" s="1648">
        <f t="shared" si="143"/>
        <v>0</v>
      </c>
      <c r="C864" s="1866" t="s">
        <v>5809</v>
      </c>
      <c r="D864" s="1655">
        <f>Data!R1479</f>
        <v>5203.1499999999996</v>
      </c>
      <c r="E864" s="1690" t="s">
        <v>724</v>
      </c>
      <c r="F864" s="1649"/>
      <c r="G864" s="1648">
        <f t="shared" si="144"/>
        <v>0</v>
      </c>
      <c r="H864" s="1648"/>
      <c r="I864" s="1648">
        <f t="shared" si="145"/>
        <v>0</v>
      </c>
      <c r="J864" s="1648"/>
      <c r="K864" s="1648">
        <f t="shared" si="146"/>
        <v>0</v>
      </c>
      <c r="L864" s="1648"/>
      <c r="M864" s="1648">
        <f t="shared" si="147"/>
        <v>0</v>
      </c>
      <c r="N864" s="1648">
        <f t="shared" si="148"/>
        <v>0</v>
      </c>
      <c r="O864" s="1648">
        <f t="shared" si="149"/>
        <v>0</v>
      </c>
      <c r="P864" s="1648">
        <f t="shared" si="150"/>
        <v>0</v>
      </c>
      <c r="Q864" s="1648">
        <f t="shared" si="151"/>
        <v>0</v>
      </c>
      <c r="R864" s="55">
        <f t="shared" si="152"/>
        <v>0</v>
      </c>
      <c r="S864" s="55">
        <f t="shared" si="153"/>
        <v>0</v>
      </c>
    </row>
    <row r="865" spans="1:19" ht="42" hidden="1" customHeight="1">
      <c r="A865" s="1854"/>
      <c r="B865" s="1648">
        <f t="shared" si="143"/>
        <v>0</v>
      </c>
      <c r="C865" s="1866" t="s">
        <v>5810</v>
      </c>
      <c r="D865" s="1655">
        <f>Data!R1479</f>
        <v>5203.1499999999996</v>
      </c>
      <c r="E865" s="1690" t="s">
        <v>724</v>
      </c>
      <c r="F865" s="1649"/>
      <c r="G865" s="1648">
        <f t="shared" si="144"/>
        <v>0</v>
      </c>
      <c r="H865" s="1648"/>
      <c r="I865" s="1648">
        <f t="shared" si="145"/>
        <v>0</v>
      </c>
      <c r="J865" s="1648"/>
      <c r="K865" s="1648">
        <f t="shared" si="146"/>
        <v>0</v>
      </c>
      <c r="L865" s="1648"/>
      <c r="M865" s="1648">
        <f t="shared" si="147"/>
        <v>0</v>
      </c>
      <c r="N865" s="1648">
        <f t="shared" si="148"/>
        <v>0</v>
      </c>
      <c r="O865" s="1648">
        <f t="shared" si="149"/>
        <v>0</v>
      </c>
      <c r="P865" s="1648">
        <f t="shared" si="150"/>
        <v>0</v>
      </c>
      <c r="Q865" s="1648">
        <f t="shared" si="151"/>
        <v>0</v>
      </c>
      <c r="R865" s="55">
        <f t="shared" si="152"/>
        <v>0</v>
      </c>
      <c r="S865" s="55">
        <f t="shared" si="153"/>
        <v>0</v>
      </c>
    </row>
    <row r="866" spans="1:19" ht="37.5" hidden="1" customHeight="1">
      <c r="A866" s="1854"/>
      <c r="B866" s="1648">
        <f t="shared" si="143"/>
        <v>0</v>
      </c>
      <c r="C866" s="1866" t="s">
        <v>5811</v>
      </c>
      <c r="D866" s="1655">
        <f>Data!X1447</f>
        <v>5433.07</v>
      </c>
      <c r="E866" s="1690" t="s">
        <v>724</v>
      </c>
      <c r="F866" s="1649"/>
      <c r="G866" s="1648">
        <f t="shared" si="144"/>
        <v>0</v>
      </c>
      <c r="H866" s="1648"/>
      <c r="I866" s="1648">
        <f t="shared" si="145"/>
        <v>0</v>
      </c>
      <c r="J866" s="1648"/>
      <c r="K866" s="1648">
        <f t="shared" si="146"/>
        <v>0</v>
      </c>
      <c r="L866" s="1648"/>
      <c r="M866" s="1648">
        <f t="shared" si="147"/>
        <v>0</v>
      </c>
      <c r="N866" s="1648">
        <f t="shared" si="148"/>
        <v>0</v>
      </c>
      <c r="O866" s="1648">
        <f t="shared" si="149"/>
        <v>0</v>
      </c>
      <c r="P866" s="1648">
        <f t="shared" si="150"/>
        <v>0</v>
      </c>
      <c r="Q866" s="1648">
        <f t="shared" si="151"/>
        <v>0</v>
      </c>
      <c r="R866" s="55">
        <f t="shared" si="152"/>
        <v>0</v>
      </c>
      <c r="S866" s="55">
        <f t="shared" si="153"/>
        <v>0</v>
      </c>
    </row>
    <row r="867" spans="1:19" ht="40.5" hidden="1" customHeight="1">
      <c r="A867" s="1854"/>
      <c r="B867" s="1648">
        <f t="shared" si="143"/>
        <v>0</v>
      </c>
      <c r="C867" s="1866" t="s">
        <v>5812</v>
      </c>
      <c r="D867" s="1655">
        <f>Data!X1440</f>
        <v>5768</v>
      </c>
      <c r="E867" s="1690" t="s">
        <v>724</v>
      </c>
      <c r="F867" s="1649"/>
      <c r="G867" s="1648">
        <f t="shared" si="144"/>
        <v>0</v>
      </c>
      <c r="H867" s="1648"/>
      <c r="I867" s="1648">
        <f t="shared" si="145"/>
        <v>0</v>
      </c>
      <c r="J867" s="1648"/>
      <c r="K867" s="1648">
        <f t="shared" si="146"/>
        <v>0</v>
      </c>
      <c r="L867" s="1648"/>
      <c r="M867" s="1648">
        <f t="shared" si="147"/>
        <v>0</v>
      </c>
      <c r="N867" s="1648">
        <f t="shared" si="148"/>
        <v>0</v>
      </c>
      <c r="O867" s="1648">
        <f t="shared" si="149"/>
        <v>0</v>
      </c>
      <c r="P867" s="1648">
        <f t="shared" si="150"/>
        <v>0</v>
      </c>
      <c r="Q867" s="1648">
        <f t="shared" si="151"/>
        <v>0</v>
      </c>
      <c r="R867" s="55">
        <f t="shared" si="152"/>
        <v>0</v>
      </c>
      <c r="S867" s="55">
        <f t="shared" si="153"/>
        <v>0</v>
      </c>
    </row>
    <row r="868" spans="1:19" ht="43.5" hidden="1" customHeight="1">
      <c r="A868" s="1854"/>
      <c r="B868" s="1648">
        <f t="shared" si="143"/>
        <v>0</v>
      </c>
      <c r="C868" s="1870" t="str">
        <f>'[3]Bldg+Dev'!$B$566</f>
        <v>Supply &amp; Fixing of MS door  (for lockup door )</v>
      </c>
      <c r="D868" s="1649"/>
      <c r="E868" s="1691"/>
      <c r="F868" s="1649"/>
      <c r="G868" s="1648">
        <f t="shared" si="144"/>
        <v>0</v>
      </c>
      <c r="H868" s="1648"/>
      <c r="I868" s="1648">
        <f t="shared" si="145"/>
        <v>0</v>
      </c>
      <c r="J868" s="1648"/>
      <c r="K868" s="1648">
        <f t="shared" si="146"/>
        <v>0</v>
      </c>
      <c r="L868" s="1648"/>
      <c r="M868" s="1648">
        <f t="shared" si="147"/>
        <v>0</v>
      </c>
      <c r="N868" s="1648">
        <f t="shared" si="148"/>
        <v>0</v>
      </c>
      <c r="O868" s="1648">
        <f t="shared" si="149"/>
        <v>0</v>
      </c>
      <c r="P868" s="1648">
        <f t="shared" si="150"/>
        <v>0</v>
      </c>
      <c r="Q868" s="1648">
        <f t="shared" si="151"/>
        <v>0</v>
      </c>
      <c r="R868" s="55">
        <f t="shared" si="152"/>
        <v>0</v>
      </c>
      <c r="S868" s="55">
        <f t="shared" si="153"/>
        <v>0</v>
      </c>
    </row>
    <row r="869" spans="1:19" ht="40.5" hidden="1" customHeight="1">
      <c r="A869" s="1854"/>
      <c r="B869" s="1648">
        <f t="shared" si="143"/>
        <v>0</v>
      </c>
      <c r="C869" s="1863" t="s">
        <v>5813</v>
      </c>
      <c r="D869" s="1649">
        <f>Data!K2545</f>
        <v>9385.85</v>
      </c>
      <c r="E869" s="1691" t="s">
        <v>2847</v>
      </c>
      <c r="F869" s="1649"/>
      <c r="G869" s="1648">
        <f t="shared" si="144"/>
        <v>0</v>
      </c>
      <c r="H869" s="1648"/>
      <c r="I869" s="1648">
        <f t="shared" si="145"/>
        <v>0</v>
      </c>
      <c r="J869" s="1648"/>
      <c r="K869" s="1648">
        <f t="shared" si="146"/>
        <v>0</v>
      </c>
      <c r="L869" s="1648"/>
      <c r="M869" s="1648">
        <f t="shared" si="147"/>
        <v>0</v>
      </c>
      <c r="N869" s="1648">
        <f t="shared" si="148"/>
        <v>0</v>
      </c>
      <c r="O869" s="1648">
        <f t="shared" si="149"/>
        <v>0</v>
      </c>
      <c r="P869" s="1648">
        <f t="shared" si="150"/>
        <v>0</v>
      </c>
      <c r="Q869" s="1648">
        <f t="shared" si="151"/>
        <v>0</v>
      </c>
      <c r="R869" s="55">
        <f t="shared" si="152"/>
        <v>0</v>
      </c>
      <c r="S869" s="55">
        <f t="shared" si="153"/>
        <v>0</v>
      </c>
    </row>
    <row r="870" spans="1:19" ht="40.5" hidden="1" customHeight="1">
      <c r="A870" s="1854"/>
      <c r="B870" s="1648">
        <f t="shared" si="143"/>
        <v>0</v>
      </c>
      <c r="C870" s="1863" t="s">
        <v>5814</v>
      </c>
      <c r="D870" s="1649">
        <f>Data!K2580</f>
        <v>6112.29</v>
      </c>
      <c r="E870" s="1691" t="s">
        <v>729</v>
      </c>
      <c r="F870" s="1649"/>
      <c r="G870" s="1648">
        <f t="shared" si="144"/>
        <v>0</v>
      </c>
      <c r="H870" s="1648"/>
      <c r="I870" s="1648">
        <f t="shared" si="145"/>
        <v>0</v>
      </c>
      <c r="J870" s="1648"/>
      <c r="K870" s="1648">
        <f t="shared" si="146"/>
        <v>0</v>
      </c>
      <c r="L870" s="1648"/>
      <c r="M870" s="1648">
        <f t="shared" si="147"/>
        <v>0</v>
      </c>
      <c r="N870" s="1648">
        <f t="shared" si="148"/>
        <v>0</v>
      </c>
      <c r="O870" s="1648">
        <f t="shared" si="149"/>
        <v>0</v>
      </c>
      <c r="P870" s="1648">
        <f t="shared" si="150"/>
        <v>0</v>
      </c>
      <c r="Q870" s="1648">
        <f t="shared" si="151"/>
        <v>0</v>
      </c>
      <c r="R870" s="55">
        <f t="shared" si="152"/>
        <v>0</v>
      </c>
      <c r="S870" s="55">
        <f t="shared" si="153"/>
        <v>0</v>
      </c>
    </row>
    <row r="871" spans="1:19" ht="69.75" hidden="1" customHeight="1">
      <c r="A871" s="1854"/>
      <c r="B871" s="1648">
        <f t="shared" si="143"/>
        <v>0</v>
      </c>
      <c r="C871" s="1864" t="s">
        <v>5815</v>
      </c>
      <c r="D871" s="1649"/>
      <c r="E871" s="1691"/>
      <c r="F871" s="1649"/>
      <c r="G871" s="1648">
        <f t="shared" si="144"/>
        <v>0</v>
      </c>
      <c r="H871" s="1648"/>
      <c r="I871" s="1648">
        <f t="shared" si="145"/>
        <v>0</v>
      </c>
      <c r="J871" s="1648"/>
      <c r="K871" s="1648">
        <f t="shared" si="146"/>
        <v>0</v>
      </c>
      <c r="L871" s="1648"/>
      <c r="M871" s="1648">
        <f t="shared" si="147"/>
        <v>0</v>
      </c>
      <c r="N871" s="1648">
        <f t="shared" si="148"/>
        <v>0</v>
      </c>
      <c r="O871" s="1648">
        <f t="shared" si="149"/>
        <v>0</v>
      </c>
      <c r="P871" s="1648">
        <f t="shared" si="150"/>
        <v>0</v>
      </c>
      <c r="Q871" s="1648">
        <f t="shared" si="151"/>
        <v>0</v>
      </c>
      <c r="R871" s="55">
        <f t="shared" si="152"/>
        <v>0</v>
      </c>
      <c r="S871" s="55">
        <f t="shared" si="153"/>
        <v>0</v>
      </c>
    </row>
    <row r="872" spans="1:19" ht="51" hidden="1" customHeight="1">
      <c r="A872" s="1854"/>
      <c r="B872" s="1648">
        <f t="shared" si="143"/>
        <v>0</v>
      </c>
      <c r="C872" s="1863" t="s">
        <v>5816</v>
      </c>
      <c r="D872" s="1649">
        <f>Data!K2473</f>
        <v>4297.0600000000004</v>
      </c>
      <c r="E872" s="1691" t="s">
        <v>724</v>
      </c>
      <c r="F872" s="1649"/>
      <c r="G872" s="1648">
        <f t="shared" si="144"/>
        <v>0</v>
      </c>
      <c r="H872" s="1648"/>
      <c r="I872" s="1648">
        <f t="shared" si="145"/>
        <v>0</v>
      </c>
      <c r="J872" s="1648"/>
      <c r="K872" s="1648">
        <f t="shared" si="146"/>
        <v>0</v>
      </c>
      <c r="L872" s="1648"/>
      <c r="M872" s="1648">
        <f t="shared" si="147"/>
        <v>0</v>
      </c>
      <c r="N872" s="1648">
        <f t="shared" si="148"/>
        <v>0</v>
      </c>
      <c r="O872" s="1648">
        <f t="shared" si="149"/>
        <v>0</v>
      </c>
      <c r="P872" s="1648">
        <f t="shared" si="150"/>
        <v>0</v>
      </c>
      <c r="Q872" s="1648">
        <f t="shared" si="151"/>
        <v>0</v>
      </c>
      <c r="R872" s="55">
        <f t="shared" si="152"/>
        <v>0</v>
      </c>
      <c r="S872" s="55">
        <f t="shared" si="153"/>
        <v>0</v>
      </c>
    </row>
    <row r="873" spans="1:19" ht="51" hidden="1" customHeight="1">
      <c r="A873" s="1854"/>
      <c r="B873" s="1648">
        <f t="shared" si="143"/>
        <v>0</v>
      </c>
      <c r="C873" s="1863" t="s">
        <v>5817</v>
      </c>
      <c r="D873" s="1655">
        <f>Data!J3860</f>
        <v>0</v>
      </c>
      <c r="E873" s="1690" t="s">
        <v>724</v>
      </c>
      <c r="F873" s="1649"/>
      <c r="G873" s="1648">
        <f t="shared" si="144"/>
        <v>0</v>
      </c>
      <c r="H873" s="1648"/>
      <c r="I873" s="1648">
        <f t="shared" si="145"/>
        <v>0</v>
      </c>
      <c r="J873" s="1648"/>
      <c r="K873" s="1648">
        <f t="shared" si="146"/>
        <v>0</v>
      </c>
      <c r="L873" s="1648"/>
      <c r="M873" s="1648">
        <f t="shared" si="147"/>
        <v>0</v>
      </c>
      <c r="N873" s="1648">
        <f t="shared" si="148"/>
        <v>0</v>
      </c>
      <c r="O873" s="1648">
        <f t="shared" si="149"/>
        <v>0</v>
      </c>
      <c r="P873" s="1648">
        <f t="shared" si="150"/>
        <v>0</v>
      </c>
      <c r="Q873" s="1648">
        <f t="shared" si="151"/>
        <v>0</v>
      </c>
      <c r="R873" s="55">
        <f t="shared" si="152"/>
        <v>0</v>
      </c>
      <c r="S873" s="55">
        <f t="shared" si="153"/>
        <v>0</v>
      </c>
    </row>
    <row r="874" spans="1:19" ht="51" hidden="1" customHeight="1">
      <c r="A874" s="1854"/>
      <c r="B874" s="1648">
        <f t="shared" si="143"/>
        <v>0</v>
      </c>
      <c r="C874" s="1863" t="s">
        <v>5818</v>
      </c>
      <c r="D874" s="1655">
        <f>Data!R2521</f>
        <v>4348.82</v>
      </c>
      <c r="E874" s="1690" t="s">
        <v>724</v>
      </c>
      <c r="F874" s="1649"/>
      <c r="G874" s="1648">
        <f t="shared" si="144"/>
        <v>0</v>
      </c>
      <c r="H874" s="1648"/>
      <c r="I874" s="1648">
        <f t="shared" si="145"/>
        <v>0</v>
      </c>
      <c r="J874" s="1648"/>
      <c r="K874" s="1648">
        <f t="shared" si="146"/>
        <v>0</v>
      </c>
      <c r="L874" s="1648"/>
      <c r="M874" s="1648">
        <f t="shared" si="147"/>
        <v>0</v>
      </c>
      <c r="N874" s="1648">
        <f t="shared" si="148"/>
        <v>0</v>
      </c>
      <c r="O874" s="1648">
        <f t="shared" si="149"/>
        <v>0</v>
      </c>
      <c r="P874" s="1648">
        <f t="shared" si="150"/>
        <v>0</v>
      </c>
      <c r="Q874" s="1648">
        <f t="shared" si="151"/>
        <v>0</v>
      </c>
      <c r="R874" s="55">
        <f t="shared" si="152"/>
        <v>0</v>
      </c>
      <c r="S874" s="55">
        <f t="shared" si="153"/>
        <v>0</v>
      </c>
    </row>
    <row r="875" spans="1:19" ht="51" hidden="1" customHeight="1">
      <c r="A875" s="1854"/>
      <c r="B875" s="1648">
        <f t="shared" si="143"/>
        <v>0</v>
      </c>
      <c r="C875" s="1863" t="s">
        <v>5819</v>
      </c>
      <c r="D875" s="1655">
        <f>Data!J3881</f>
        <v>0</v>
      </c>
      <c r="E875" s="1690" t="s">
        <v>724</v>
      </c>
      <c r="F875" s="1649"/>
      <c r="G875" s="1648">
        <f t="shared" si="144"/>
        <v>0</v>
      </c>
      <c r="H875" s="1648"/>
      <c r="I875" s="1648">
        <f t="shared" si="145"/>
        <v>0</v>
      </c>
      <c r="J875" s="1648"/>
      <c r="K875" s="1648">
        <f t="shared" si="146"/>
        <v>0</v>
      </c>
      <c r="L875" s="1648"/>
      <c r="M875" s="1648">
        <f t="shared" si="147"/>
        <v>0</v>
      </c>
      <c r="N875" s="1648">
        <f t="shared" si="148"/>
        <v>0</v>
      </c>
      <c r="O875" s="1648">
        <f t="shared" si="149"/>
        <v>0</v>
      </c>
      <c r="P875" s="1648">
        <f t="shared" si="150"/>
        <v>0</v>
      </c>
      <c r="Q875" s="1648">
        <f t="shared" si="151"/>
        <v>0</v>
      </c>
      <c r="R875" s="55">
        <f t="shared" si="152"/>
        <v>0</v>
      </c>
      <c r="S875" s="55">
        <f t="shared" si="153"/>
        <v>0</v>
      </c>
    </row>
    <row r="876" spans="1:19" ht="51" hidden="1" customHeight="1">
      <c r="A876" s="1854"/>
      <c r="B876" s="1648">
        <f t="shared" si="143"/>
        <v>0</v>
      </c>
      <c r="C876" s="1863" t="s">
        <v>5820</v>
      </c>
      <c r="D876" s="1649">
        <f>D1470</f>
        <v>4881.1899999999996</v>
      </c>
      <c r="E876" s="1691" t="s">
        <v>724</v>
      </c>
      <c r="F876" s="1649"/>
      <c r="G876" s="1648">
        <f t="shared" si="144"/>
        <v>0</v>
      </c>
      <c r="H876" s="1648"/>
      <c r="I876" s="1648">
        <f t="shared" si="145"/>
        <v>0</v>
      </c>
      <c r="J876" s="1648"/>
      <c r="K876" s="1648">
        <f t="shared" si="146"/>
        <v>0</v>
      </c>
      <c r="L876" s="1648"/>
      <c r="M876" s="1648">
        <f t="shared" si="147"/>
        <v>0</v>
      </c>
      <c r="N876" s="1648">
        <f t="shared" si="148"/>
        <v>0</v>
      </c>
      <c r="O876" s="1648">
        <f t="shared" si="149"/>
        <v>0</v>
      </c>
      <c r="P876" s="1648">
        <f t="shared" si="150"/>
        <v>0</v>
      </c>
      <c r="Q876" s="1648">
        <f t="shared" si="151"/>
        <v>0</v>
      </c>
      <c r="R876" s="55">
        <f t="shared" si="152"/>
        <v>0</v>
      </c>
      <c r="S876" s="55">
        <f t="shared" si="153"/>
        <v>0</v>
      </c>
    </row>
    <row r="877" spans="1:19" ht="51" hidden="1" customHeight="1">
      <c r="A877" s="1854"/>
      <c r="B877" s="1648">
        <f t="shared" si="143"/>
        <v>0</v>
      </c>
      <c r="C877" s="1863" t="s">
        <v>5821</v>
      </c>
      <c r="D877" s="1649">
        <f>'A3'!D1471</f>
        <v>5175.3599999999997</v>
      </c>
      <c r="E877" s="1691" t="s">
        <v>724</v>
      </c>
      <c r="F877" s="1649"/>
      <c r="G877" s="1648">
        <f t="shared" si="144"/>
        <v>0</v>
      </c>
      <c r="H877" s="1648"/>
      <c r="I877" s="1648">
        <f t="shared" si="145"/>
        <v>0</v>
      </c>
      <c r="J877" s="1648"/>
      <c r="K877" s="1648">
        <f t="shared" si="146"/>
        <v>0</v>
      </c>
      <c r="L877" s="1648"/>
      <c r="M877" s="1648">
        <f t="shared" si="147"/>
        <v>0</v>
      </c>
      <c r="N877" s="1648">
        <f t="shared" si="148"/>
        <v>0</v>
      </c>
      <c r="O877" s="1648">
        <f t="shared" si="149"/>
        <v>0</v>
      </c>
      <c r="P877" s="1648">
        <f t="shared" si="150"/>
        <v>0</v>
      </c>
      <c r="Q877" s="1648">
        <f t="shared" si="151"/>
        <v>0</v>
      </c>
      <c r="R877" s="55">
        <f t="shared" si="152"/>
        <v>0</v>
      </c>
      <c r="S877" s="55">
        <f t="shared" si="153"/>
        <v>0</v>
      </c>
    </row>
    <row r="878" spans="1:19" ht="42" hidden="1" customHeight="1">
      <c r="A878" s="1854"/>
      <c r="B878" s="1648">
        <f t="shared" si="143"/>
        <v>0</v>
      </c>
      <c r="C878" s="1863" t="s">
        <v>5822</v>
      </c>
      <c r="D878" s="1649">
        <f>D1472</f>
        <v>4457.7700000000004</v>
      </c>
      <c r="E878" s="1691" t="s">
        <v>724</v>
      </c>
      <c r="F878" s="1649"/>
      <c r="G878" s="1648">
        <f t="shared" si="144"/>
        <v>0</v>
      </c>
      <c r="H878" s="1648"/>
      <c r="I878" s="1648">
        <f t="shared" si="145"/>
        <v>0</v>
      </c>
      <c r="J878" s="1648"/>
      <c r="K878" s="1648">
        <f t="shared" si="146"/>
        <v>0</v>
      </c>
      <c r="L878" s="1648"/>
      <c r="M878" s="1648">
        <f t="shared" si="147"/>
        <v>0</v>
      </c>
      <c r="N878" s="1648">
        <f t="shared" si="148"/>
        <v>0</v>
      </c>
      <c r="O878" s="1648">
        <f t="shared" si="149"/>
        <v>0</v>
      </c>
      <c r="P878" s="1648">
        <f t="shared" si="150"/>
        <v>0</v>
      </c>
      <c r="Q878" s="1648">
        <f t="shared" si="151"/>
        <v>0</v>
      </c>
      <c r="R878" s="55">
        <f t="shared" si="152"/>
        <v>0</v>
      </c>
      <c r="S878" s="55">
        <f t="shared" si="153"/>
        <v>0</v>
      </c>
    </row>
    <row r="879" spans="1:19" ht="52.5" hidden="1" customHeight="1">
      <c r="A879" s="1854"/>
      <c r="B879" s="1648">
        <f t="shared" si="143"/>
        <v>0</v>
      </c>
      <c r="C879" s="1863" t="s">
        <v>5823</v>
      </c>
      <c r="D879" s="1655">
        <v>61.8</v>
      </c>
      <c r="E879" s="1691" t="s">
        <v>729</v>
      </c>
      <c r="F879" s="1649"/>
      <c r="G879" s="1648">
        <f t="shared" si="144"/>
        <v>0</v>
      </c>
      <c r="H879" s="1648"/>
      <c r="I879" s="1648">
        <f t="shared" si="145"/>
        <v>0</v>
      </c>
      <c r="J879" s="1648"/>
      <c r="K879" s="1648">
        <f t="shared" si="146"/>
        <v>0</v>
      </c>
      <c r="L879" s="1648"/>
      <c r="M879" s="1648">
        <f t="shared" si="147"/>
        <v>0</v>
      </c>
      <c r="N879" s="1648">
        <f t="shared" si="148"/>
        <v>0</v>
      </c>
      <c r="O879" s="1648">
        <f t="shared" si="149"/>
        <v>0</v>
      </c>
      <c r="P879" s="1648">
        <f t="shared" si="150"/>
        <v>0</v>
      </c>
      <c r="Q879" s="1648">
        <f t="shared" si="151"/>
        <v>0</v>
      </c>
      <c r="R879" s="55">
        <f t="shared" si="152"/>
        <v>0</v>
      </c>
      <c r="S879" s="55">
        <f t="shared" si="153"/>
        <v>0</v>
      </c>
    </row>
    <row r="880" spans="1:19" ht="59.25" hidden="1" customHeight="1">
      <c r="A880" s="1854"/>
      <c r="B880" s="1648">
        <f t="shared" si="143"/>
        <v>0</v>
      </c>
      <c r="C880" s="1863" t="s">
        <v>5824</v>
      </c>
      <c r="D880" s="1655">
        <v>405</v>
      </c>
      <c r="E880" s="1687" t="s">
        <v>13</v>
      </c>
      <c r="F880" s="1649"/>
      <c r="G880" s="1648">
        <f t="shared" si="144"/>
        <v>0</v>
      </c>
      <c r="H880" s="1648"/>
      <c r="I880" s="1648">
        <f t="shared" si="145"/>
        <v>0</v>
      </c>
      <c r="J880" s="1648"/>
      <c r="K880" s="1648">
        <f t="shared" si="146"/>
        <v>0</v>
      </c>
      <c r="L880" s="1648"/>
      <c r="M880" s="1648">
        <f t="shared" si="147"/>
        <v>0</v>
      </c>
      <c r="N880" s="1648">
        <f t="shared" si="148"/>
        <v>0</v>
      </c>
      <c r="O880" s="1648">
        <f t="shared" si="149"/>
        <v>0</v>
      </c>
      <c r="P880" s="1648">
        <f t="shared" si="150"/>
        <v>0</v>
      </c>
      <c r="Q880" s="1648">
        <f t="shared" si="151"/>
        <v>0</v>
      </c>
      <c r="R880" s="55">
        <f t="shared" si="152"/>
        <v>0</v>
      </c>
      <c r="S880" s="55">
        <f t="shared" si="153"/>
        <v>0</v>
      </c>
    </row>
    <row r="881" spans="1:19" ht="45.75" hidden="1" customHeight="1">
      <c r="A881" s="1854"/>
      <c r="B881" s="1648">
        <f t="shared" si="143"/>
        <v>0</v>
      </c>
      <c r="C881" s="1863" t="s">
        <v>5825</v>
      </c>
      <c r="D881" s="1651">
        <v>325</v>
      </c>
      <c r="E881" s="1688" t="s">
        <v>724</v>
      </c>
      <c r="F881" s="1649"/>
      <c r="G881" s="1648">
        <f t="shared" si="144"/>
        <v>0</v>
      </c>
      <c r="H881" s="1648"/>
      <c r="I881" s="1648">
        <f t="shared" si="145"/>
        <v>0</v>
      </c>
      <c r="J881" s="1648"/>
      <c r="K881" s="1648">
        <f t="shared" si="146"/>
        <v>0</v>
      </c>
      <c r="L881" s="1648"/>
      <c r="M881" s="1648">
        <f t="shared" si="147"/>
        <v>0</v>
      </c>
      <c r="N881" s="1648">
        <f t="shared" si="148"/>
        <v>0</v>
      </c>
      <c r="O881" s="1648">
        <f t="shared" si="149"/>
        <v>0</v>
      </c>
      <c r="P881" s="1648">
        <f t="shared" si="150"/>
        <v>0</v>
      </c>
      <c r="Q881" s="1648">
        <f t="shared" si="151"/>
        <v>0</v>
      </c>
      <c r="R881" s="55">
        <f t="shared" si="152"/>
        <v>0</v>
      </c>
      <c r="S881" s="55">
        <f t="shared" si="153"/>
        <v>0</v>
      </c>
    </row>
    <row r="882" spans="1:19" ht="37.5" hidden="1" customHeight="1">
      <c r="A882" s="1854"/>
      <c r="B882" s="1648">
        <f t="shared" si="143"/>
        <v>0</v>
      </c>
      <c r="C882" s="1863" t="s">
        <v>5826</v>
      </c>
      <c r="D882" s="1651">
        <v>35</v>
      </c>
      <c r="E882" s="1688" t="s">
        <v>724</v>
      </c>
      <c r="F882" s="1649"/>
      <c r="G882" s="1648">
        <f t="shared" si="144"/>
        <v>0</v>
      </c>
      <c r="H882" s="1648"/>
      <c r="I882" s="1648">
        <f t="shared" si="145"/>
        <v>0</v>
      </c>
      <c r="J882" s="1648"/>
      <c r="K882" s="1648">
        <f t="shared" si="146"/>
        <v>0</v>
      </c>
      <c r="L882" s="1648"/>
      <c r="M882" s="1648">
        <f t="shared" si="147"/>
        <v>0</v>
      </c>
      <c r="N882" s="1648">
        <f t="shared" si="148"/>
        <v>0</v>
      </c>
      <c r="O882" s="1648">
        <f t="shared" si="149"/>
        <v>0</v>
      </c>
      <c r="P882" s="1648">
        <f t="shared" si="150"/>
        <v>0</v>
      </c>
      <c r="Q882" s="1648">
        <f t="shared" si="151"/>
        <v>0</v>
      </c>
      <c r="R882" s="55">
        <f t="shared" si="152"/>
        <v>0</v>
      </c>
      <c r="S882" s="55">
        <f t="shared" si="153"/>
        <v>0</v>
      </c>
    </row>
    <row r="883" spans="1:19" ht="75" customHeight="1">
      <c r="A883" s="1854"/>
      <c r="B883" s="1648">
        <f t="shared" si="143"/>
        <v>49</v>
      </c>
      <c r="C883" s="1866" t="s">
        <v>5827</v>
      </c>
      <c r="D883" s="1656">
        <f>Data!AQ3116</f>
        <v>259</v>
      </c>
      <c r="E883" s="1690" t="s">
        <v>729</v>
      </c>
      <c r="F883" s="1649">
        <f>'Detail '!I1309</f>
        <v>49</v>
      </c>
      <c r="G883" s="1648">
        <f t="shared" si="144"/>
        <v>12691</v>
      </c>
      <c r="H883" s="1648"/>
      <c r="I883" s="1648">
        <f t="shared" si="145"/>
        <v>0</v>
      </c>
      <c r="J883" s="1648"/>
      <c r="K883" s="1648">
        <f t="shared" si="146"/>
        <v>0</v>
      </c>
      <c r="L883" s="1648"/>
      <c r="M883" s="1648">
        <f t="shared" si="147"/>
        <v>0</v>
      </c>
      <c r="N883" s="1648">
        <f t="shared" si="148"/>
        <v>0</v>
      </c>
      <c r="O883" s="1648">
        <f t="shared" si="149"/>
        <v>0</v>
      </c>
      <c r="P883" s="1648">
        <f t="shared" si="150"/>
        <v>49</v>
      </c>
      <c r="Q883" s="1648">
        <f t="shared" si="151"/>
        <v>12691</v>
      </c>
      <c r="R883" s="55">
        <f t="shared" si="152"/>
        <v>12691</v>
      </c>
      <c r="S883" s="55">
        <f t="shared" si="153"/>
        <v>0</v>
      </c>
    </row>
    <row r="884" spans="1:19" ht="75" customHeight="1">
      <c r="A884" s="1854"/>
      <c r="B884" s="1648">
        <f t="shared" si="143"/>
        <v>45</v>
      </c>
      <c r="C884" s="1866" t="s">
        <v>5828</v>
      </c>
      <c r="D884" s="1656">
        <f>Data!AR3116</f>
        <v>248</v>
      </c>
      <c r="E884" s="1690" t="s">
        <v>729</v>
      </c>
      <c r="F884" s="1649">
        <f>'Detail '!I1317</f>
        <v>45</v>
      </c>
      <c r="G884" s="1648">
        <f t="shared" si="144"/>
        <v>11160</v>
      </c>
      <c r="H884" s="1648"/>
      <c r="I884" s="1648">
        <f t="shared" si="145"/>
        <v>0</v>
      </c>
      <c r="J884" s="1648"/>
      <c r="K884" s="1648">
        <f t="shared" si="146"/>
        <v>0</v>
      </c>
      <c r="L884" s="1648"/>
      <c r="M884" s="1648">
        <f t="shared" si="147"/>
        <v>0</v>
      </c>
      <c r="N884" s="1648">
        <f t="shared" si="148"/>
        <v>0</v>
      </c>
      <c r="O884" s="1648">
        <f t="shared" si="149"/>
        <v>0</v>
      </c>
      <c r="P884" s="1648">
        <f t="shared" si="150"/>
        <v>45</v>
      </c>
      <c r="Q884" s="1648">
        <f t="shared" si="151"/>
        <v>11160</v>
      </c>
      <c r="R884" s="55">
        <f t="shared" si="152"/>
        <v>11160</v>
      </c>
      <c r="S884" s="55">
        <f t="shared" si="153"/>
        <v>0</v>
      </c>
    </row>
    <row r="885" spans="1:19" ht="63" hidden="1" customHeight="1">
      <c r="A885" s="1854"/>
      <c r="B885" s="1648">
        <f t="shared" si="143"/>
        <v>0</v>
      </c>
      <c r="C885" s="1866" t="s">
        <v>5829</v>
      </c>
      <c r="D885" s="1656">
        <f>Elec.Data!R807</f>
        <v>3367</v>
      </c>
      <c r="E885" s="1687" t="s">
        <v>729</v>
      </c>
      <c r="F885" s="1649"/>
      <c r="G885" s="1648">
        <f t="shared" si="144"/>
        <v>0</v>
      </c>
      <c r="H885" s="1648"/>
      <c r="I885" s="1648">
        <f t="shared" si="145"/>
        <v>0</v>
      </c>
      <c r="J885" s="1648"/>
      <c r="K885" s="1648">
        <f t="shared" si="146"/>
        <v>0</v>
      </c>
      <c r="L885" s="1648"/>
      <c r="M885" s="1648">
        <f t="shared" si="147"/>
        <v>0</v>
      </c>
      <c r="N885" s="1648">
        <f t="shared" si="148"/>
        <v>0</v>
      </c>
      <c r="O885" s="1648">
        <f t="shared" si="149"/>
        <v>0</v>
      </c>
      <c r="P885" s="1648">
        <f t="shared" si="150"/>
        <v>0</v>
      </c>
      <c r="Q885" s="1648">
        <f t="shared" si="151"/>
        <v>0</v>
      </c>
      <c r="R885" s="55">
        <f t="shared" si="152"/>
        <v>0</v>
      </c>
      <c r="S885" s="55">
        <f t="shared" si="153"/>
        <v>0</v>
      </c>
    </row>
    <row r="886" spans="1:19" ht="45.75" hidden="1" customHeight="1">
      <c r="A886" s="1854"/>
      <c r="B886" s="1648">
        <f t="shared" si="143"/>
        <v>0</v>
      </c>
      <c r="C886" s="1863" t="s">
        <v>5830</v>
      </c>
      <c r="D886" s="1648">
        <f>Data!K2343</f>
        <v>1020.25</v>
      </c>
      <c r="E886" s="1687" t="s">
        <v>13</v>
      </c>
      <c r="F886" s="1649"/>
      <c r="G886" s="1648">
        <f t="shared" si="144"/>
        <v>0</v>
      </c>
      <c r="H886" s="1648"/>
      <c r="I886" s="1648">
        <f t="shared" si="145"/>
        <v>0</v>
      </c>
      <c r="J886" s="1648"/>
      <c r="K886" s="1648">
        <f t="shared" si="146"/>
        <v>0</v>
      </c>
      <c r="L886" s="1648"/>
      <c r="M886" s="1648">
        <f t="shared" si="147"/>
        <v>0</v>
      </c>
      <c r="N886" s="1648">
        <f t="shared" si="148"/>
        <v>0</v>
      </c>
      <c r="O886" s="1648">
        <f t="shared" si="149"/>
        <v>0</v>
      </c>
      <c r="P886" s="1648">
        <f t="shared" si="150"/>
        <v>0</v>
      </c>
      <c r="Q886" s="1648">
        <f t="shared" si="151"/>
        <v>0</v>
      </c>
      <c r="R886" s="55">
        <f t="shared" si="152"/>
        <v>0</v>
      </c>
      <c r="S886" s="55">
        <f t="shared" si="153"/>
        <v>0</v>
      </c>
    </row>
    <row r="887" spans="1:19" ht="45.75" hidden="1" customHeight="1">
      <c r="A887" s="1854"/>
      <c r="B887" s="1648">
        <f t="shared" si="143"/>
        <v>0</v>
      </c>
      <c r="C887" s="1863" t="s">
        <v>5831</v>
      </c>
      <c r="D887" s="1648">
        <f>Data!R2448</f>
        <v>981.61</v>
      </c>
      <c r="E887" s="1687"/>
      <c r="F887" s="1649"/>
      <c r="G887" s="1648">
        <f t="shared" si="144"/>
        <v>0</v>
      </c>
      <c r="H887" s="1648"/>
      <c r="I887" s="1648">
        <f t="shared" si="145"/>
        <v>0</v>
      </c>
      <c r="J887" s="1648"/>
      <c r="K887" s="1648">
        <f t="shared" si="146"/>
        <v>0</v>
      </c>
      <c r="L887" s="1648"/>
      <c r="M887" s="1648">
        <f t="shared" si="147"/>
        <v>0</v>
      </c>
      <c r="N887" s="1648">
        <f t="shared" si="148"/>
        <v>0</v>
      </c>
      <c r="O887" s="1648">
        <f t="shared" si="149"/>
        <v>0</v>
      </c>
      <c r="P887" s="1648">
        <f t="shared" si="150"/>
        <v>0</v>
      </c>
      <c r="Q887" s="1648">
        <f t="shared" si="151"/>
        <v>0</v>
      </c>
      <c r="R887" s="55">
        <f t="shared" si="152"/>
        <v>0</v>
      </c>
      <c r="S887" s="55">
        <f t="shared" si="153"/>
        <v>0</v>
      </c>
    </row>
    <row r="888" spans="1:19" ht="75" hidden="1" customHeight="1">
      <c r="A888" s="1854"/>
      <c r="B888" s="1648">
        <f t="shared" si="143"/>
        <v>0</v>
      </c>
      <c r="C888" s="1863" t="s">
        <v>5832</v>
      </c>
      <c r="D888" s="1655">
        <f>Data!X1347</f>
        <v>1490.8</v>
      </c>
      <c r="E888" s="1687" t="s">
        <v>5324</v>
      </c>
      <c r="F888" s="1649"/>
      <c r="G888" s="1648">
        <f t="shared" si="144"/>
        <v>0</v>
      </c>
      <c r="H888" s="1648"/>
      <c r="I888" s="1648">
        <f t="shared" si="145"/>
        <v>0</v>
      </c>
      <c r="J888" s="1648"/>
      <c r="K888" s="1648">
        <f t="shared" si="146"/>
        <v>0</v>
      </c>
      <c r="L888" s="1648"/>
      <c r="M888" s="1648">
        <f t="shared" si="147"/>
        <v>0</v>
      </c>
      <c r="N888" s="1648">
        <f t="shared" si="148"/>
        <v>0</v>
      </c>
      <c r="O888" s="1648">
        <f t="shared" si="149"/>
        <v>0</v>
      </c>
      <c r="P888" s="1648">
        <f t="shared" si="150"/>
        <v>0</v>
      </c>
      <c r="Q888" s="1648">
        <f t="shared" si="151"/>
        <v>0</v>
      </c>
      <c r="R888" s="55">
        <f t="shared" si="152"/>
        <v>0</v>
      </c>
      <c r="S888" s="55">
        <f t="shared" si="153"/>
        <v>0</v>
      </c>
    </row>
    <row r="889" spans="1:19" ht="75" customHeight="1">
      <c r="A889" s="1854"/>
      <c r="B889" s="1648">
        <f t="shared" si="143"/>
        <v>550.1</v>
      </c>
      <c r="C889" s="1863" t="s">
        <v>5833</v>
      </c>
      <c r="D889" s="1655">
        <f>D888-(Data!X1341/10)</f>
        <v>1490.8</v>
      </c>
      <c r="E889" s="1687" t="s">
        <v>5324</v>
      </c>
      <c r="F889" s="1649">
        <f>'Detail '!I2755</f>
        <v>550.1</v>
      </c>
      <c r="G889" s="1648">
        <f t="shared" si="144"/>
        <v>820089.08</v>
      </c>
      <c r="H889" s="1648"/>
      <c r="I889" s="1648">
        <f t="shared" si="145"/>
        <v>0</v>
      </c>
      <c r="J889" s="1648"/>
      <c r="K889" s="1648">
        <f t="shared" si="146"/>
        <v>0</v>
      </c>
      <c r="L889" s="1648"/>
      <c r="M889" s="1648">
        <f t="shared" si="147"/>
        <v>0</v>
      </c>
      <c r="N889" s="1648">
        <f t="shared" si="148"/>
        <v>0</v>
      </c>
      <c r="O889" s="1648">
        <f t="shared" si="149"/>
        <v>0</v>
      </c>
      <c r="P889" s="1648">
        <f t="shared" si="150"/>
        <v>550.1</v>
      </c>
      <c r="Q889" s="1648">
        <f t="shared" si="151"/>
        <v>820089.08</v>
      </c>
      <c r="R889" s="55">
        <f t="shared" si="152"/>
        <v>820089.08</v>
      </c>
      <c r="S889" s="55">
        <f t="shared" si="153"/>
        <v>0</v>
      </c>
    </row>
    <row r="890" spans="1:19" ht="72" hidden="1" customHeight="1">
      <c r="A890" s="1854"/>
      <c r="B890" s="1648">
        <f t="shared" si="143"/>
        <v>0</v>
      </c>
      <c r="C890" s="1863" t="s">
        <v>5834</v>
      </c>
      <c r="D890" s="1655">
        <f>D1481</f>
        <v>1695.09</v>
      </c>
      <c r="E890" s="1687" t="s">
        <v>5324</v>
      </c>
      <c r="F890" s="1649"/>
      <c r="G890" s="1648">
        <f t="shared" si="144"/>
        <v>0</v>
      </c>
      <c r="H890" s="1648"/>
      <c r="I890" s="1648">
        <f t="shared" si="145"/>
        <v>0</v>
      </c>
      <c r="J890" s="1648"/>
      <c r="K890" s="1648">
        <f t="shared" si="146"/>
        <v>0</v>
      </c>
      <c r="L890" s="1648"/>
      <c r="M890" s="1648">
        <f t="shared" si="147"/>
        <v>0</v>
      </c>
      <c r="N890" s="1648">
        <f t="shared" si="148"/>
        <v>0</v>
      </c>
      <c r="O890" s="1648">
        <f t="shared" si="149"/>
        <v>0</v>
      </c>
      <c r="P890" s="1648">
        <f t="shared" si="150"/>
        <v>0</v>
      </c>
      <c r="Q890" s="1648">
        <f t="shared" si="151"/>
        <v>0</v>
      </c>
      <c r="R890" s="55">
        <f t="shared" si="152"/>
        <v>0</v>
      </c>
      <c r="S890" s="55">
        <f t="shared" si="153"/>
        <v>0</v>
      </c>
    </row>
    <row r="891" spans="1:19" ht="44.25" hidden="1" customHeight="1">
      <c r="A891" s="1854" t="s">
        <v>5835</v>
      </c>
      <c r="B891" s="1648">
        <f t="shared" si="143"/>
        <v>0</v>
      </c>
      <c r="C891" s="1863" t="s">
        <v>5836</v>
      </c>
      <c r="D891" s="1649">
        <f>Data!K1797</f>
        <v>2010</v>
      </c>
      <c r="E891" s="1687" t="s">
        <v>729</v>
      </c>
      <c r="F891" s="1649"/>
      <c r="G891" s="1648">
        <f t="shared" si="144"/>
        <v>0</v>
      </c>
      <c r="H891" s="1648"/>
      <c r="I891" s="1648">
        <f t="shared" si="145"/>
        <v>0</v>
      </c>
      <c r="J891" s="1648"/>
      <c r="K891" s="1648">
        <f t="shared" si="146"/>
        <v>0</v>
      </c>
      <c r="L891" s="1648"/>
      <c r="M891" s="1648">
        <f t="shared" si="147"/>
        <v>0</v>
      </c>
      <c r="N891" s="1648">
        <f t="shared" si="148"/>
        <v>0</v>
      </c>
      <c r="O891" s="1648">
        <f t="shared" si="149"/>
        <v>0</v>
      </c>
      <c r="P891" s="1648">
        <f t="shared" si="150"/>
        <v>0</v>
      </c>
      <c r="Q891" s="1648">
        <f t="shared" si="151"/>
        <v>0</v>
      </c>
      <c r="R891" s="55">
        <f t="shared" si="152"/>
        <v>0</v>
      </c>
      <c r="S891" s="55">
        <f t="shared" si="153"/>
        <v>0</v>
      </c>
    </row>
    <row r="892" spans="1:19" ht="60.75" customHeight="1">
      <c r="A892" s="1854"/>
      <c r="B892" s="1648">
        <f t="shared" si="143"/>
        <v>0</v>
      </c>
      <c r="C892" s="1864" t="s">
        <v>5837</v>
      </c>
      <c r="D892" s="1649"/>
      <c r="E892" s="1687"/>
      <c r="F892" s="1649"/>
      <c r="G892" s="1648">
        <f t="shared" si="144"/>
        <v>0</v>
      </c>
      <c r="H892" s="1648"/>
      <c r="I892" s="1648">
        <f t="shared" si="145"/>
        <v>0</v>
      </c>
      <c r="J892" s="1648"/>
      <c r="K892" s="1648">
        <f t="shared" si="146"/>
        <v>0</v>
      </c>
      <c r="L892" s="1648"/>
      <c r="M892" s="1648">
        <f t="shared" si="147"/>
        <v>0</v>
      </c>
      <c r="N892" s="1648">
        <f t="shared" si="148"/>
        <v>0</v>
      </c>
      <c r="O892" s="1648">
        <f t="shared" si="149"/>
        <v>0</v>
      </c>
      <c r="P892" s="1648">
        <f t="shared" si="150"/>
        <v>0</v>
      </c>
      <c r="Q892" s="1648">
        <f t="shared" si="151"/>
        <v>0</v>
      </c>
      <c r="R892" s="55">
        <f t="shared" si="152"/>
        <v>0</v>
      </c>
      <c r="S892" s="55">
        <f t="shared" si="153"/>
        <v>0</v>
      </c>
    </row>
    <row r="893" spans="1:19" ht="50.25" customHeight="1">
      <c r="A893" s="1854"/>
      <c r="B893" s="1648">
        <f t="shared" si="143"/>
        <v>100</v>
      </c>
      <c r="C893" s="1863" t="s">
        <v>5838</v>
      </c>
      <c r="D893" s="1661">
        <v>490.73</v>
      </c>
      <c r="E893" s="1687" t="s">
        <v>13</v>
      </c>
      <c r="F893" s="1649">
        <f>'Detail '!I2758</f>
        <v>100</v>
      </c>
      <c r="G893" s="1648">
        <f t="shared" si="144"/>
        <v>49073</v>
      </c>
      <c r="H893" s="1648"/>
      <c r="I893" s="1648">
        <f t="shared" si="145"/>
        <v>0</v>
      </c>
      <c r="J893" s="1648"/>
      <c r="K893" s="1648">
        <f t="shared" si="146"/>
        <v>0</v>
      </c>
      <c r="L893" s="1648"/>
      <c r="M893" s="1648">
        <f t="shared" si="147"/>
        <v>0</v>
      </c>
      <c r="N893" s="1648">
        <f t="shared" si="148"/>
        <v>0</v>
      </c>
      <c r="O893" s="1648">
        <f t="shared" si="149"/>
        <v>0</v>
      </c>
      <c r="P893" s="1648">
        <f t="shared" si="150"/>
        <v>100</v>
      </c>
      <c r="Q893" s="1648">
        <f t="shared" si="151"/>
        <v>49073</v>
      </c>
      <c r="R893" s="55">
        <f t="shared" si="152"/>
        <v>49073</v>
      </c>
      <c r="S893" s="55">
        <f t="shared" si="153"/>
        <v>0</v>
      </c>
    </row>
    <row r="894" spans="1:19" ht="50.25" customHeight="1">
      <c r="A894" s="1854"/>
      <c r="B894" s="1648">
        <f t="shared" si="143"/>
        <v>10</v>
      </c>
      <c r="C894" s="1863" t="s">
        <v>5839</v>
      </c>
      <c r="D894" s="1661">
        <v>815.71</v>
      </c>
      <c r="E894" s="1687" t="s">
        <v>13</v>
      </c>
      <c r="F894" s="1649">
        <f>'Detail '!I2761</f>
        <v>10</v>
      </c>
      <c r="G894" s="1648">
        <f t="shared" si="144"/>
        <v>8157.1</v>
      </c>
      <c r="H894" s="1648"/>
      <c r="I894" s="1648">
        <f t="shared" si="145"/>
        <v>0</v>
      </c>
      <c r="J894" s="1648"/>
      <c r="K894" s="1648">
        <f t="shared" si="146"/>
        <v>0</v>
      </c>
      <c r="L894" s="1648"/>
      <c r="M894" s="1648">
        <f t="shared" si="147"/>
        <v>0</v>
      </c>
      <c r="N894" s="1648">
        <f t="shared" si="148"/>
        <v>0</v>
      </c>
      <c r="O894" s="1648">
        <f t="shared" si="149"/>
        <v>0</v>
      </c>
      <c r="P894" s="1648">
        <f t="shared" si="150"/>
        <v>10</v>
      </c>
      <c r="Q894" s="1648">
        <f t="shared" si="151"/>
        <v>8157.1</v>
      </c>
      <c r="R894" s="55">
        <f t="shared" si="152"/>
        <v>8157.1</v>
      </c>
      <c r="S894" s="55">
        <f t="shared" si="153"/>
        <v>0</v>
      </c>
    </row>
    <row r="895" spans="1:19" ht="50.25" customHeight="1">
      <c r="A895" s="1854"/>
      <c r="B895" s="1648">
        <f t="shared" si="143"/>
        <v>0</v>
      </c>
      <c r="C895" s="1864" t="s">
        <v>3724</v>
      </c>
      <c r="D895" s="1655"/>
      <c r="E895" s="1687"/>
      <c r="F895" s="1649"/>
      <c r="G895" s="1648">
        <f t="shared" si="144"/>
        <v>0</v>
      </c>
      <c r="H895" s="1648"/>
      <c r="I895" s="1648">
        <f t="shared" si="145"/>
        <v>0</v>
      </c>
      <c r="J895" s="1648"/>
      <c r="K895" s="1648">
        <f t="shared" si="146"/>
        <v>0</v>
      </c>
      <c r="L895" s="1648"/>
      <c r="M895" s="1648">
        <f t="shared" si="147"/>
        <v>0</v>
      </c>
      <c r="N895" s="1648">
        <f t="shared" si="148"/>
        <v>0</v>
      </c>
      <c r="O895" s="1648">
        <f t="shared" si="149"/>
        <v>0</v>
      </c>
      <c r="P895" s="1648">
        <f t="shared" si="150"/>
        <v>0</v>
      </c>
      <c r="Q895" s="1648">
        <f t="shared" si="151"/>
        <v>0</v>
      </c>
      <c r="R895" s="55">
        <f t="shared" si="152"/>
        <v>0</v>
      </c>
      <c r="S895" s="55">
        <f t="shared" si="153"/>
        <v>0</v>
      </c>
    </row>
    <row r="896" spans="1:19" ht="55.5" customHeight="1">
      <c r="A896" s="1854"/>
      <c r="B896" s="1648">
        <f t="shared" si="143"/>
        <v>2</v>
      </c>
      <c r="C896" s="1863" t="s">
        <v>5840</v>
      </c>
      <c r="D896" s="1661">
        <v>175.2</v>
      </c>
      <c r="E896" s="1687" t="s">
        <v>729</v>
      </c>
      <c r="F896" s="1649">
        <f>'Detail '!I2763</f>
        <v>2</v>
      </c>
      <c r="G896" s="1648">
        <f t="shared" si="144"/>
        <v>350.4</v>
      </c>
      <c r="H896" s="1648"/>
      <c r="I896" s="1648">
        <f t="shared" si="145"/>
        <v>0</v>
      </c>
      <c r="J896" s="1648"/>
      <c r="K896" s="1648">
        <f t="shared" si="146"/>
        <v>0</v>
      </c>
      <c r="L896" s="1648"/>
      <c r="M896" s="1648">
        <f t="shared" si="147"/>
        <v>0</v>
      </c>
      <c r="N896" s="1648">
        <f t="shared" si="148"/>
        <v>0</v>
      </c>
      <c r="O896" s="1648">
        <f t="shared" si="149"/>
        <v>0</v>
      </c>
      <c r="P896" s="1648">
        <f t="shared" si="150"/>
        <v>2</v>
      </c>
      <c r="Q896" s="1648">
        <f t="shared" si="151"/>
        <v>350.4</v>
      </c>
      <c r="R896" s="55">
        <f t="shared" si="152"/>
        <v>350.4</v>
      </c>
      <c r="S896" s="55">
        <f t="shared" si="153"/>
        <v>0</v>
      </c>
    </row>
    <row r="897" spans="1:19" ht="63.75" customHeight="1">
      <c r="A897" s="1854"/>
      <c r="B897" s="1648">
        <f t="shared" si="143"/>
        <v>2</v>
      </c>
      <c r="C897" s="1863" t="s">
        <v>5841</v>
      </c>
      <c r="D897" s="1661">
        <v>560.20000000000005</v>
      </c>
      <c r="E897" s="1687" t="s">
        <v>729</v>
      </c>
      <c r="F897" s="1649">
        <f>'Detail '!I2764</f>
        <v>2</v>
      </c>
      <c r="G897" s="1648">
        <f t="shared" si="144"/>
        <v>1120.4000000000001</v>
      </c>
      <c r="H897" s="1648"/>
      <c r="I897" s="1648">
        <f t="shared" si="145"/>
        <v>0</v>
      </c>
      <c r="J897" s="1648"/>
      <c r="K897" s="1648">
        <f t="shared" si="146"/>
        <v>0</v>
      </c>
      <c r="L897" s="1648"/>
      <c r="M897" s="1648">
        <f t="shared" si="147"/>
        <v>0</v>
      </c>
      <c r="N897" s="1648">
        <f t="shared" si="148"/>
        <v>0</v>
      </c>
      <c r="O897" s="1648">
        <f t="shared" si="149"/>
        <v>0</v>
      </c>
      <c r="P897" s="1648">
        <f t="shared" si="150"/>
        <v>2</v>
      </c>
      <c r="Q897" s="1648">
        <f t="shared" si="151"/>
        <v>1120.4000000000001</v>
      </c>
      <c r="R897" s="55">
        <f t="shared" si="152"/>
        <v>1120.4000000000001</v>
      </c>
      <c r="S897" s="55">
        <f t="shared" si="153"/>
        <v>0</v>
      </c>
    </row>
    <row r="898" spans="1:19" ht="55.5" customHeight="1">
      <c r="A898" s="1854"/>
      <c r="B898" s="1648">
        <f t="shared" si="143"/>
        <v>0</v>
      </c>
      <c r="C898" s="1864" t="s">
        <v>3727</v>
      </c>
      <c r="D898" s="1655"/>
      <c r="E898" s="1687"/>
      <c r="F898" s="1649"/>
      <c r="G898" s="1648">
        <f t="shared" si="144"/>
        <v>0</v>
      </c>
      <c r="H898" s="1648"/>
      <c r="I898" s="1648">
        <f t="shared" si="145"/>
        <v>0</v>
      </c>
      <c r="J898" s="1648"/>
      <c r="K898" s="1648">
        <f t="shared" si="146"/>
        <v>0</v>
      </c>
      <c r="L898" s="1648"/>
      <c r="M898" s="1648">
        <f t="shared" si="147"/>
        <v>0</v>
      </c>
      <c r="N898" s="1648">
        <f t="shared" si="148"/>
        <v>0</v>
      </c>
      <c r="O898" s="1648">
        <f t="shared" si="149"/>
        <v>0</v>
      </c>
      <c r="P898" s="1648">
        <f t="shared" si="150"/>
        <v>0</v>
      </c>
      <c r="Q898" s="1648">
        <f t="shared" si="151"/>
        <v>0</v>
      </c>
      <c r="R898" s="55">
        <f t="shared" si="152"/>
        <v>0</v>
      </c>
      <c r="S898" s="55">
        <f t="shared" si="153"/>
        <v>0</v>
      </c>
    </row>
    <row r="899" spans="1:19" ht="55.5" customHeight="1">
      <c r="A899" s="1854"/>
      <c r="B899" s="1648">
        <f t="shared" si="143"/>
        <v>2</v>
      </c>
      <c r="C899" s="1863" t="s">
        <v>5842</v>
      </c>
      <c r="D899" s="1661">
        <v>197.5</v>
      </c>
      <c r="E899" s="1687" t="s">
        <v>729</v>
      </c>
      <c r="F899" s="1649">
        <f>'Detail '!I2766</f>
        <v>2</v>
      </c>
      <c r="G899" s="1648">
        <f t="shared" si="144"/>
        <v>395</v>
      </c>
      <c r="H899" s="1648"/>
      <c r="I899" s="1648">
        <f t="shared" si="145"/>
        <v>0</v>
      </c>
      <c r="J899" s="1648"/>
      <c r="K899" s="1648">
        <f t="shared" si="146"/>
        <v>0</v>
      </c>
      <c r="L899" s="1648"/>
      <c r="M899" s="1648">
        <f t="shared" si="147"/>
        <v>0</v>
      </c>
      <c r="N899" s="1648">
        <f t="shared" si="148"/>
        <v>0</v>
      </c>
      <c r="O899" s="1648">
        <f t="shared" si="149"/>
        <v>0</v>
      </c>
      <c r="P899" s="1648">
        <f t="shared" si="150"/>
        <v>2</v>
      </c>
      <c r="Q899" s="1648">
        <f t="shared" si="151"/>
        <v>395</v>
      </c>
      <c r="R899" s="55">
        <f t="shared" si="152"/>
        <v>395</v>
      </c>
      <c r="S899" s="55">
        <f t="shared" si="153"/>
        <v>0</v>
      </c>
    </row>
    <row r="900" spans="1:19" ht="65.25" customHeight="1">
      <c r="A900" s="1854"/>
      <c r="B900" s="1648">
        <f t="shared" si="143"/>
        <v>2</v>
      </c>
      <c r="C900" s="1863" t="s">
        <v>5843</v>
      </c>
      <c r="D900" s="1661">
        <v>371.8</v>
      </c>
      <c r="E900" s="1687" t="s">
        <v>729</v>
      </c>
      <c r="F900" s="1649">
        <f>'Detail '!I2767</f>
        <v>2</v>
      </c>
      <c r="G900" s="1648">
        <f t="shared" si="144"/>
        <v>743.6</v>
      </c>
      <c r="H900" s="1648"/>
      <c r="I900" s="1648">
        <f t="shared" si="145"/>
        <v>0</v>
      </c>
      <c r="J900" s="1648"/>
      <c r="K900" s="1648">
        <f t="shared" si="146"/>
        <v>0</v>
      </c>
      <c r="L900" s="1648"/>
      <c r="M900" s="1648">
        <f t="shared" si="147"/>
        <v>0</v>
      </c>
      <c r="N900" s="1648">
        <f t="shared" si="148"/>
        <v>0</v>
      </c>
      <c r="O900" s="1648">
        <f t="shared" si="149"/>
        <v>0</v>
      </c>
      <c r="P900" s="1648">
        <f t="shared" si="150"/>
        <v>2</v>
      </c>
      <c r="Q900" s="1648">
        <f t="shared" si="151"/>
        <v>743.6</v>
      </c>
      <c r="R900" s="55">
        <f t="shared" si="152"/>
        <v>743.6</v>
      </c>
      <c r="S900" s="55">
        <f t="shared" si="153"/>
        <v>0</v>
      </c>
    </row>
    <row r="901" spans="1:19" ht="81" customHeight="1">
      <c r="A901" s="1854"/>
      <c r="B901" s="1648">
        <f t="shared" si="143"/>
        <v>8</v>
      </c>
      <c r="C901" s="1863" t="s">
        <v>5844</v>
      </c>
      <c r="D901" s="1655">
        <f>Data!R1978</f>
        <v>3414.62</v>
      </c>
      <c r="E901" s="1687" t="s">
        <v>729</v>
      </c>
      <c r="F901" s="1649">
        <f>'Detail '!I2483</f>
        <v>8</v>
      </c>
      <c r="G901" s="1648">
        <f t="shared" si="144"/>
        <v>27316.959999999999</v>
      </c>
      <c r="H901" s="1648"/>
      <c r="I901" s="1648">
        <f t="shared" si="145"/>
        <v>0</v>
      </c>
      <c r="J901" s="1648"/>
      <c r="K901" s="1648">
        <f t="shared" si="146"/>
        <v>0</v>
      </c>
      <c r="L901" s="1648"/>
      <c r="M901" s="1648">
        <f t="shared" si="147"/>
        <v>0</v>
      </c>
      <c r="N901" s="1648">
        <f t="shared" si="148"/>
        <v>0</v>
      </c>
      <c r="O901" s="1648">
        <f t="shared" si="149"/>
        <v>0</v>
      </c>
      <c r="P901" s="1648">
        <f t="shared" si="150"/>
        <v>8</v>
      </c>
      <c r="Q901" s="1648">
        <f t="shared" si="151"/>
        <v>27316.959999999999</v>
      </c>
      <c r="R901" s="55">
        <f t="shared" si="152"/>
        <v>27316.959999999999</v>
      </c>
      <c r="S901" s="55">
        <f t="shared" si="153"/>
        <v>0</v>
      </c>
    </row>
    <row r="902" spans="1:19" ht="84.75" customHeight="1">
      <c r="A902" s="1854"/>
      <c r="B902" s="1648">
        <f t="shared" ref="B902:B965" si="154">P902</f>
        <v>8</v>
      </c>
      <c r="C902" s="1863" t="s">
        <v>5845</v>
      </c>
      <c r="D902" s="1661">
        <v>5329.1</v>
      </c>
      <c r="E902" s="1687" t="s">
        <v>729</v>
      </c>
      <c r="F902" s="1649">
        <f>Joineries!K18-1</f>
        <v>8</v>
      </c>
      <c r="G902" s="1648">
        <f t="shared" ref="G902:G965" si="155">F902*D902</f>
        <v>42632.800000000003</v>
      </c>
      <c r="H902" s="1648"/>
      <c r="I902" s="1648">
        <f t="shared" ref="I902:I965" si="156">H902*D902</f>
        <v>0</v>
      </c>
      <c r="J902" s="1648"/>
      <c r="K902" s="1648">
        <f t="shared" ref="K902:K965" si="157">J902*D902</f>
        <v>0</v>
      </c>
      <c r="L902" s="1648"/>
      <c r="M902" s="1648">
        <f t="shared" ref="M902:M965" si="158">L902*D902</f>
        <v>0</v>
      </c>
      <c r="N902" s="1648">
        <f t="shared" ref="N902:N965" si="159">H902+J902+L902</f>
        <v>0</v>
      </c>
      <c r="O902" s="1648">
        <f t="shared" ref="O902:O965" si="160">N902*D902</f>
        <v>0</v>
      </c>
      <c r="P902" s="1648">
        <f t="shared" ref="P902:P965" si="161">N902+F902</f>
        <v>8</v>
      </c>
      <c r="Q902" s="1648">
        <f t="shared" ref="Q902:Q965" si="162">P902*D902</f>
        <v>42632.800000000003</v>
      </c>
      <c r="R902" s="55">
        <f t="shared" ref="R902:R965" si="163">G902+I902+K902+M902</f>
        <v>42632.800000000003</v>
      </c>
      <c r="S902" s="55">
        <f t="shared" ref="S902:S965" si="164">Q902-R902</f>
        <v>0</v>
      </c>
    </row>
    <row r="903" spans="1:19" ht="71.25" customHeight="1">
      <c r="A903" s="1854"/>
      <c r="B903" s="1648">
        <f t="shared" si="154"/>
        <v>22</v>
      </c>
      <c r="C903" s="1863" t="s">
        <v>5846</v>
      </c>
      <c r="D903" s="1655">
        <f>Data!R2018</f>
        <v>7257.85</v>
      </c>
      <c r="E903" s="1687" t="s">
        <v>729</v>
      </c>
      <c r="F903" s="1649">
        <f>'Detail '!I1323</f>
        <v>22</v>
      </c>
      <c r="G903" s="1648">
        <f t="shared" si="155"/>
        <v>159672.70000000001</v>
      </c>
      <c r="H903" s="1648"/>
      <c r="I903" s="1648">
        <f t="shared" si="156"/>
        <v>0</v>
      </c>
      <c r="J903" s="1648"/>
      <c r="K903" s="1648">
        <f t="shared" si="157"/>
        <v>0</v>
      </c>
      <c r="L903" s="1648"/>
      <c r="M903" s="1648">
        <f t="shared" si="158"/>
        <v>0</v>
      </c>
      <c r="N903" s="1648">
        <f t="shared" si="159"/>
        <v>0</v>
      </c>
      <c r="O903" s="1648">
        <f t="shared" si="160"/>
        <v>0</v>
      </c>
      <c r="P903" s="1648">
        <f t="shared" si="161"/>
        <v>22</v>
      </c>
      <c r="Q903" s="1648">
        <f t="shared" si="162"/>
        <v>159672.70000000001</v>
      </c>
      <c r="R903" s="55">
        <f t="shared" si="163"/>
        <v>159672.70000000001</v>
      </c>
      <c r="S903" s="55">
        <f t="shared" si="164"/>
        <v>0</v>
      </c>
    </row>
    <row r="904" spans="1:19" ht="71.25" hidden="1" customHeight="1">
      <c r="A904" s="1854"/>
      <c r="B904" s="1648">
        <f t="shared" si="154"/>
        <v>0</v>
      </c>
      <c r="C904" s="1863" t="s">
        <v>5847</v>
      </c>
      <c r="D904" s="1655">
        <f>Data!R2037</f>
        <v>7651.85</v>
      </c>
      <c r="E904" s="1687" t="s">
        <v>729</v>
      </c>
      <c r="F904" s="1649"/>
      <c r="G904" s="1648">
        <f t="shared" si="155"/>
        <v>0</v>
      </c>
      <c r="H904" s="1648"/>
      <c r="I904" s="1648">
        <f t="shared" si="156"/>
        <v>0</v>
      </c>
      <c r="J904" s="1648"/>
      <c r="K904" s="1648">
        <f t="shared" si="157"/>
        <v>0</v>
      </c>
      <c r="L904" s="1648"/>
      <c r="M904" s="1648">
        <f t="shared" si="158"/>
        <v>0</v>
      </c>
      <c r="N904" s="1648">
        <f t="shared" si="159"/>
        <v>0</v>
      </c>
      <c r="O904" s="1648">
        <f t="shared" si="160"/>
        <v>0</v>
      </c>
      <c r="P904" s="1648">
        <f t="shared" si="161"/>
        <v>0</v>
      </c>
      <c r="Q904" s="1648">
        <f t="shared" si="162"/>
        <v>0</v>
      </c>
      <c r="R904" s="55">
        <f t="shared" si="163"/>
        <v>0</v>
      </c>
      <c r="S904" s="55">
        <f t="shared" si="164"/>
        <v>0</v>
      </c>
    </row>
    <row r="905" spans="1:19" ht="38.25" hidden="1" customHeight="1">
      <c r="A905" s="1854"/>
      <c r="B905" s="1648">
        <f t="shared" si="154"/>
        <v>0</v>
      </c>
      <c r="C905" s="1864" t="s">
        <v>5848</v>
      </c>
      <c r="D905" s="1655"/>
      <c r="E905" s="1687"/>
      <c r="F905" s="1649"/>
      <c r="G905" s="1648">
        <f t="shared" si="155"/>
        <v>0</v>
      </c>
      <c r="H905" s="1648"/>
      <c r="I905" s="1648">
        <f t="shared" si="156"/>
        <v>0</v>
      </c>
      <c r="J905" s="1648"/>
      <c r="K905" s="1648">
        <f t="shared" si="157"/>
        <v>0</v>
      </c>
      <c r="L905" s="1648"/>
      <c r="M905" s="1648">
        <f t="shared" si="158"/>
        <v>0</v>
      </c>
      <c r="N905" s="1648">
        <f t="shared" si="159"/>
        <v>0</v>
      </c>
      <c r="O905" s="1648">
        <f t="shared" si="160"/>
        <v>0</v>
      </c>
      <c r="P905" s="1648">
        <f t="shared" si="161"/>
        <v>0</v>
      </c>
      <c r="Q905" s="1648">
        <f t="shared" si="162"/>
        <v>0</v>
      </c>
      <c r="R905" s="55">
        <f t="shared" si="163"/>
        <v>0</v>
      </c>
      <c r="S905" s="55">
        <f t="shared" si="164"/>
        <v>0</v>
      </c>
    </row>
    <row r="906" spans="1:19" ht="45.75" hidden="1" customHeight="1">
      <c r="A906" s="1854"/>
      <c r="B906" s="1648">
        <f t="shared" si="154"/>
        <v>0</v>
      </c>
      <c r="C906" s="1863" t="s">
        <v>5849</v>
      </c>
      <c r="D906" s="1666">
        <f>'Sliding and french window'!F595</f>
        <v>2118.38</v>
      </c>
      <c r="E906" s="1688" t="s">
        <v>724</v>
      </c>
      <c r="F906" s="1649"/>
      <c r="G906" s="1648">
        <f t="shared" si="155"/>
        <v>0</v>
      </c>
      <c r="H906" s="1648"/>
      <c r="I906" s="1648">
        <f t="shared" si="156"/>
        <v>0</v>
      </c>
      <c r="J906" s="1648"/>
      <c r="K906" s="1648">
        <f t="shared" si="157"/>
        <v>0</v>
      </c>
      <c r="L906" s="1648"/>
      <c r="M906" s="1648">
        <f t="shared" si="158"/>
        <v>0</v>
      </c>
      <c r="N906" s="1648">
        <f t="shared" si="159"/>
        <v>0</v>
      </c>
      <c r="O906" s="1648">
        <f t="shared" si="160"/>
        <v>0</v>
      </c>
      <c r="P906" s="1648">
        <f t="shared" si="161"/>
        <v>0</v>
      </c>
      <c r="Q906" s="1648">
        <f t="shared" si="162"/>
        <v>0</v>
      </c>
      <c r="R906" s="55">
        <f t="shared" si="163"/>
        <v>0</v>
      </c>
      <c r="S906" s="55">
        <f t="shared" si="164"/>
        <v>0</v>
      </c>
    </row>
    <row r="907" spans="1:19" ht="45.75" hidden="1" customHeight="1">
      <c r="A907" s="1854"/>
      <c r="B907" s="1648">
        <f t="shared" si="154"/>
        <v>0</v>
      </c>
      <c r="C907" s="1863" t="s">
        <v>5850</v>
      </c>
      <c r="D907" s="1655">
        <f>'Sliding and french window'!F558</f>
        <v>2413.36</v>
      </c>
      <c r="E907" s="1688" t="s">
        <v>724</v>
      </c>
      <c r="F907" s="1649"/>
      <c r="G907" s="1648">
        <f t="shared" si="155"/>
        <v>0</v>
      </c>
      <c r="H907" s="1648"/>
      <c r="I907" s="1648">
        <f t="shared" si="156"/>
        <v>0</v>
      </c>
      <c r="J907" s="1648"/>
      <c r="K907" s="1648">
        <f t="shared" si="157"/>
        <v>0</v>
      </c>
      <c r="L907" s="1648"/>
      <c r="M907" s="1648">
        <f t="shared" si="158"/>
        <v>0</v>
      </c>
      <c r="N907" s="1648">
        <f t="shared" si="159"/>
        <v>0</v>
      </c>
      <c r="O907" s="1648">
        <f t="shared" si="160"/>
        <v>0</v>
      </c>
      <c r="P907" s="1648">
        <f t="shared" si="161"/>
        <v>0</v>
      </c>
      <c r="Q907" s="1648">
        <f t="shared" si="162"/>
        <v>0</v>
      </c>
      <c r="R907" s="55">
        <f t="shared" si="163"/>
        <v>0</v>
      </c>
      <c r="S907" s="55">
        <f t="shared" si="164"/>
        <v>0</v>
      </c>
    </row>
    <row r="908" spans="1:19" ht="45.75" hidden="1" customHeight="1">
      <c r="A908" s="1854"/>
      <c r="B908" s="1648">
        <f t="shared" si="154"/>
        <v>0</v>
      </c>
      <c r="C908" s="1863" t="s">
        <v>5851</v>
      </c>
      <c r="D908" s="1655">
        <f>'Sliding and french window'!F630</f>
        <v>2413.37</v>
      </c>
      <c r="E908" s="1688" t="s">
        <v>724</v>
      </c>
      <c r="F908" s="1649"/>
      <c r="G908" s="1648">
        <f t="shared" si="155"/>
        <v>0</v>
      </c>
      <c r="H908" s="1648"/>
      <c r="I908" s="1648">
        <f t="shared" si="156"/>
        <v>0</v>
      </c>
      <c r="J908" s="1648"/>
      <c r="K908" s="1648">
        <f t="shared" si="157"/>
        <v>0</v>
      </c>
      <c r="L908" s="1648"/>
      <c r="M908" s="1648">
        <f t="shared" si="158"/>
        <v>0</v>
      </c>
      <c r="N908" s="1648">
        <f t="shared" si="159"/>
        <v>0</v>
      </c>
      <c r="O908" s="1648">
        <f t="shared" si="160"/>
        <v>0</v>
      </c>
      <c r="P908" s="1648">
        <f t="shared" si="161"/>
        <v>0</v>
      </c>
      <c r="Q908" s="1648">
        <f t="shared" si="162"/>
        <v>0</v>
      </c>
      <c r="R908" s="55">
        <f t="shared" si="163"/>
        <v>0</v>
      </c>
      <c r="S908" s="55">
        <f t="shared" si="164"/>
        <v>0</v>
      </c>
    </row>
    <row r="909" spans="1:19" ht="45.75" hidden="1" customHeight="1">
      <c r="A909" s="1854"/>
      <c r="B909" s="1648">
        <f t="shared" si="154"/>
        <v>0</v>
      </c>
      <c r="C909" s="1863" t="s">
        <v>5852</v>
      </c>
      <c r="D909" s="1655">
        <f>'Sliding and french window'!F666</f>
        <v>2870.15</v>
      </c>
      <c r="E909" s="1688" t="s">
        <v>724</v>
      </c>
      <c r="F909" s="1649"/>
      <c r="G909" s="1648">
        <f t="shared" si="155"/>
        <v>0</v>
      </c>
      <c r="H909" s="1648"/>
      <c r="I909" s="1648">
        <f t="shared" si="156"/>
        <v>0</v>
      </c>
      <c r="J909" s="1648"/>
      <c r="K909" s="1648">
        <f t="shared" si="157"/>
        <v>0</v>
      </c>
      <c r="L909" s="1648"/>
      <c r="M909" s="1648">
        <f t="shared" si="158"/>
        <v>0</v>
      </c>
      <c r="N909" s="1648">
        <f t="shared" si="159"/>
        <v>0</v>
      </c>
      <c r="O909" s="1648">
        <f t="shared" si="160"/>
        <v>0</v>
      </c>
      <c r="P909" s="1648">
        <f t="shared" si="161"/>
        <v>0</v>
      </c>
      <c r="Q909" s="1648">
        <f t="shared" si="162"/>
        <v>0</v>
      </c>
      <c r="R909" s="55">
        <f t="shared" si="163"/>
        <v>0</v>
      </c>
      <c r="S909" s="55">
        <f t="shared" si="164"/>
        <v>0</v>
      </c>
    </row>
    <row r="910" spans="1:19" ht="45.75" hidden="1" customHeight="1">
      <c r="A910" s="1854"/>
      <c r="B910" s="1648">
        <f t="shared" si="154"/>
        <v>0</v>
      </c>
      <c r="C910" s="1863" t="s">
        <v>5853</v>
      </c>
      <c r="D910" s="1655">
        <f>'Sliding and french window'!F702</f>
        <v>3714.01</v>
      </c>
      <c r="E910" s="1688" t="s">
        <v>724</v>
      </c>
      <c r="F910" s="1649"/>
      <c r="G910" s="1648">
        <f t="shared" si="155"/>
        <v>0</v>
      </c>
      <c r="H910" s="1648"/>
      <c r="I910" s="1648">
        <f t="shared" si="156"/>
        <v>0</v>
      </c>
      <c r="J910" s="1648"/>
      <c r="K910" s="1648">
        <f t="shared" si="157"/>
        <v>0</v>
      </c>
      <c r="L910" s="1648"/>
      <c r="M910" s="1648">
        <f t="shared" si="158"/>
        <v>0</v>
      </c>
      <c r="N910" s="1648">
        <f t="shared" si="159"/>
        <v>0</v>
      </c>
      <c r="O910" s="1648">
        <f t="shared" si="160"/>
        <v>0</v>
      </c>
      <c r="P910" s="1648">
        <f t="shared" si="161"/>
        <v>0</v>
      </c>
      <c r="Q910" s="1648">
        <f t="shared" si="162"/>
        <v>0</v>
      </c>
      <c r="R910" s="55">
        <f t="shared" si="163"/>
        <v>0</v>
      </c>
      <c r="S910" s="55">
        <f t="shared" si="164"/>
        <v>0</v>
      </c>
    </row>
    <row r="911" spans="1:19" ht="45.75" hidden="1" customHeight="1">
      <c r="A911" s="1854"/>
      <c r="B911" s="1648">
        <f t="shared" si="154"/>
        <v>0</v>
      </c>
      <c r="C911" s="1870" t="s">
        <v>5854</v>
      </c>
      <c r="D911" s="1651"/>
      <c r="E911" s="1690" t="s">
        <v>724</v>
      </c>
      <c r="F911" s="1649"/>
      <c r="G911" s="1648">
        <f t="shared" si="155"/>
        <v>0</v>
      </c>
      <c r="H911" s="1648"/>
      <c r="I911" s="1648">
        <f t="shared" si="156"/>
        <v>0</v>
      </c>
      <c r="J911" s="1648"/>
      <c r="K911" s="1648">
        <f t="shared" si="157"/>
        <v>0</v>
      </c>
      <c r="L911" s="1648"/>
      <c r="M911" s="1648">
        <f t="shared" si="158"/>
        <v>0</v>
      </c>
      <c r="N911" s="1648">
        <f t="shared" si="159"/>
        <v>0</v>
      </c>
      <c r="O911" s="1648">
        <f t="shared" si="160"/>
        <v>0</v>
      </c>
      <c r="P911" s="1648">
        <f t="shared" si="161"/>
        <v>0</v>
      </c>
      <c r="Q911" s="1648">
        <f t="shared" si="162"/>
        <v>0</v>
      </c>
      <c r="R911" s="55">
        <f t="shared" si="163"/>
        <v>0</v>
      </c>
      <c r="S911" s="55">
        <f t="shared" si="164"/>
        <v>0</v>
      </c>
    </row>
    <row r="912" spans="1:19" ht="129.75" customHeight="1">
      <c r="A912" s="1854"/>
      <c r="B912" s="1648">
        <f t="shared" si="154"/>
        <v>0</v>
      </c>
      <c r="C912" s="1864" t="s">
        <v>3667</v>
      </c>
      <c r="D912" s="1655"/>
      <c r="E912" s="1692"/>
      <c r="F912" s="1649"/>
      <c r="G912" s="1648">
        <f t="shared" si="155"/>
        <v>0</v>
      </c>
      <c r="H912" s="1648"/>
      <c r="I912" s="1648">
        <f t="shared" si="156"/>
        <v>0</v>
      </c>
      <c r="J912" s="1648"/>
      <c r="K912" s="1648">
        <f t="shared" si="157"/>
        <v>0</v>
      </c>
      <c r="L912" s="1648"/>
      <c r="M912" s="1648">
        <f t="shared" si="158"/>
        <v>0</v>
      </c>
      <c r="N912" s="1648">
        <f t="shared" si="159"/>
        <v>0</v>
      </c>
      <c r="O912" s="1648">
        <f t="shared" si="160"/>
        <v>0</v>
      </c>
      <c r="P912" s="1648">
        <f t="shared" si="161"/>
        <v>0</v>
      </c>
      <c r="Q912" s="1648">
        <f t="shared" si="162"/>
        <v>0</v>
      </c>
      <c r="R912" s="55">
        <f t="shared" si="163"/>
        <v>0</v>
      </c>
      <c r="S912" s="55">
        <f t="shared" si="164"/>
        <v>0</v>
      </c>
    </row>
    <row r="913" spans="1:19" ht="41.25" customHeight="1">
      <c r="A913" s="1854"/>
      <c r="B913" s="1648">
        <f t="shared" si="154"/>
        <v>165</v>
      </c>
      <c r="C913" s="1863" t="s">
        <v>5520</v>
      </c>
      <c r="D913" s="1655">
        <f>'  Coastal  Elec.Data '!K2860</f>
        <v>1617</v>
      </c>
      <c r="E913" s="1691" t="s">
        <v>729</v>
      </c>
      <c r="F913" s="1649">
        <f>'Detail '!I1397</f>
        <v>165</v>
      </c>
      <c r="G913" s="1648">
        <f t="shared" si="155"/>
        <v>266805</v>
      </c>
      <c r="H913" s="1648"/>
      <c r="I913" s="1648">
        <f t="shared" si="156"/>
        <v>0</v>
      </c>
      <c r="J913" s="1648"/>
      <c r="K913" s="1648">
        <f t="shared" si="157"/>
        <v>0</v>
      </c>
      <c r="L913" s="1648"/>
      <c r="M913" s="1648">
        <f t="shared" si="158"/>
        <v>0</v>
      </c>
      <c r="N913" s="1648">
        <f t="shared" si="159"/>
        <v>0</v>
      </c>
      <c r="O913" s="1648">
        <f t="shared" si="160"/>
        <v>0</v>
      </c>
      <c r="P913" s="1648">
        <f t="shared" si="161"/>
        <v>165</v>
      </c>
      <c r="Q913" s="1648">
        <f t="shared" si="162"/>
        <v>266805</v>
      </c>
      <c r="R913" s="55">
        <f t="shared" si="163"/>
        <v>266805</v>
      </c>
      <c r="S913" s="55">
        <f t="shared" si="164"/>
        <v>0</v>
      </c>
    </row>
    <row r="914" spans="1:19" ht="36" customHeight="1">
      <c r="A914" s="1854"/>
      <c r="B914" s="1648">
        <f t="shared" si="154"/>
        <v>173</v>
      </c>
      <c r="C914" s="1863" t="s">
        <v>3669</v>
      </c>
      <c r="D914" s="1655">
        <f>'  Coastal  Elec.Data '!K2884</f>
        <v>1620</v>
      </c>
      <c r="E914" s="1691" t="s">
        <v>729</v>
      </c>
      <c r="F914" s="1649">
        <f>'Detail '!I1459</f>
        <v>173</v>
      </c>
      <c r="G914" s="1648">
        <f t="shared" si="155"/>
        <v>280260</v>
      </c>
      <c r="H914" s="1648"/>
      <c r="I914" s="1648">
        <f t="shared" si="156"/>
        <v>0</v>
      </c>
      <c r="J914" s="1648"/>
      <c r="K914" s="1648">
        <f t="shared" si="157"/>
        <v>0</v>
      </c>
      <c r="L914" s="1648"/>
      <c r="M914" s="1648">
        <f t="shared" si="158"/>
        <v>0</v>
      </c>
      <c r="N914" s="1648">
        <f t="shared" si="159"/>
        <v>0</v>
      </c>
      <c r="O914" s="1648">
        <f t="shared" si="160"/>
        <v>0</v>
      </c>
      <c r="P914" s="1648">
        <f t="shared" si="161"/>
        <v>173</v>
      </c>
      <c r="Q914" s="1648">
        <f t="shared" si="162"/>
        <v>280260</v>
      </c>
      <c r="R914" s="55">
        <f t="shared" si="163"/>
        <v>280260</v>
      </c>
      <c r="S914" s="55">
        <f t="shared" si="164"/>
        <v>0</v>
      </c>
    </row>
    <row r="915" spans="1:19" ht="36" customHeight="1">
      <c r="A915" s="1688"/>
      <c r="B915" s="1648">
        <f t="shared" si="154"/>
        <v>10</v>
      </c>
      <c r="C915" s="1863" t="s">
        <v>5521</v>
      </c>
      <c r="D915" s="1655">
        <f>'  Coastal  Elec.Data '!K2899</f>
        <v>1649</v>
      </c>
      <c r="E915" s="1691" t="s">
        <v>729</v>
      </c>
      <c r="F915" s="1649">
        <f>'Detail '!I1462</f>
        <v>10</v>
      </c>
      <c r="G915" s="1648">
        <f t="shared" si="155"/>
        <v>16490</v>
      </c>
      <c r="H915" s="1648"/>
      <c r="I915" s="1648">
        <f t="shared" si="156"/>
        <v>0</v>
      </c>
      <c r="J915" s="1648"/>
      <c r="K915" s="1648">
        <f t="shared" si="157"/>
        <v>0</v>
      </c>
      <c r="L915" s="1648"/>
      <c r="M915" s="1648">
        <f t="shared" si="158"/>
        <v>0</v>
      </c>
      <c r="N915" s="1648">
        <f t="shared" si="159"/>
        <v>0</v>
      </c>
      <c r="O915" s="1648">
        <f t="shared" si="160"/>
        <v>0</v>
      </c>
      <c r="P915" s="1648">
        <f t="shared" si="161"/>
        <v>10</v>
      </c>
      <c r="Q915" s="1648">
        <f t="shared" si="162"/>
        <v>16490</v>
      </c>
      <c r="R915" s="55">
        <f t="shared" si="163"/>
        <v>16490</v>
      </c>
      <c r="S915" s="55">
        <f t="shared" si="164"/>
        <v>0</v>
      </c>
    </row>
    <row r="916" spans="1:19" ht="118.5" customHeight="1">
      <c r="A916" s="1854"/>
      <c r="B916" s="1648">
        <f t="shared" si="154"/>
        <v>175</v>
      </c>
      <c r="C916" s="1863" t="s">
        <v>5855</v>
      </c>
      <c r="D916" s="1655">
        <f>'  Coastal  Elec.Data '!K2921</f>
        <v>1672</v>
      </c>
      <c r="E916" s="1691" t="s">
        <v>729</v>
      </c>
      <c r="F916" s="1649">
        <f>'Detail '!I1524</f>
        <v>175</v>
      </c>
      <c r="G916" s="1648">
        <f t="shared" si="155"/>
        <v>292600</v>
      </c>
      <c r="H916" s="1648"/>
      <c r="I916" s="1648">
        <f t="shared" si="156"/>
        <v>0</v>
      </c>
      <c r="J916" s="1648"/>
      <c r="K916" s="1648">
        <f t="shared" si="157"/>
        <v>0</v>
      </c>
      <c r="L916" s="1648"/>
      <c r="M916" s="1648">
        <f t="shared" si="158"/>
        <v>0</v>
      </c>
      <c r="N916" s="1648">
        <f t="shared" si="159"/>
        <v>0</v>
      </c>
      <c r="O916" s="1648">
        <f t="shared" si="160"/>
        <v>0</v>
      </c>
      <c r="P916" s="1648">
        <f t="shared" si="161"/>
        <v>175</v>
      </c>
      <c r="Q916" s="1648">
        <f t="shared" si="162"/>
        <v>292600</v>
      </c>
      <c r="R916" s="55">
        <f t="shared" si="163"/>
        <v>292600</v>
      </c>
      <c r="S916" s="55">
        <f t="shared" si="164"/>
        <v>0</v>
      </c>
    </row>
    <row r="917" spans="1:19" ht="97.5" customHeight="1">
      <c r="A917" s="1854"/>
      <c r="B917" s="1648">
        <f t="shared" si="154"/>
        <v>14</v>
      </c>
      <c r="C917" s="1863" t="s">
        <v>5856</v>
      </c>
      <c r="D917" s="1655">
        <f>'  Coastal  Elec.Data '!K2945</f>
        <v>3035</v>
      </c>
      <c r="E917" s="1691" t="s">
        <v>729</v>
      </c>
      <c r="F917" s="1649">
        <f>'Detail '!I1526</f>
        <v>14</v>
      </c>
      <c r="G917" s="1648">
        <f t="shared" si="155"/>
        <v>42490</v>
      </c>
      <c r="H917" s="1648"/>
      <c r="I917" s="1648">
        <f t="shared" si="156"/>
        <v>0</v>
      </c>
      <c r="J917" s="1648"/>
      <c r="K917" s="1648">
        <f t="shared" si="157"/>
        <v>0</v>
      </c>
      <c r="L917" s="1648"/>
      <c r="M917" s="1648">
        <f t="shared" si="158"/>
        <v>0</v>
      </c>
      <c r="N917" s="1648">
        <f t="shared" si="159"/>
        <v>0</v>
      </c>
      <c r="O917" s="1648">
        <f t="shared" si="160"/>
        <v>0</v>
      </c>
      <c r="P917" s="1648">
        <f t="shared" si="161"/>
        <v>14</v>
      </c>
      <c r="Q917" s="1648">
        <f t="shared" si="162"/>
        <v>42490</v>
      </c>
      <c r="R917" s="55">
        <f t="shared" si="163"/>
        <v>42490</v>
      </c>
      <c r="S917" s="55">
        <f t="shared" si="164"/>
        <v>0</v>
      </c>
    </row>
    <row r="918" spans="1:19" ht="122.25" customHeight="1">
      <c r="A918" s="1854">
        <v>67.099999999999994</v>
      </c>
      <c r="B918" s="1648">
        <f t="shared" si="154"/>
        <v>144</v>
      </c>
      <c r="C918" s="1863" t="s">
        <v>5857</v>
      </c>
      <c r="D918" s="1655">
        <f>'  Coastal  Elec.Data '!K2977</f>
        <v>830</v>
      </c>
      <c r="E918" s="1691" t="s">
        <v>729</v>
      </c>
      <c r="F918" s="1649">
        <f>'Detail '!I1588</f>
        <v>144</v>
      </c>
      <c r="G918" s="1648">
        <f t="shared" si="155"/>
        <v>119520</v>
      </c>
      <c r="H918" s="1648"/>
      <c r="I918" s="1648">
        <f t="shared" si="156"/>
        <v>0</v>
      </c>
      <c r="J918" s="1648"/>
      <c r="K918" s="1648">
        <f t="shared" si="157"/>
        <v>0</v>
      </c>
      <c r="L918" s="1648"/>
      <c r="M918" s="1648">
        <f t="shared" si="158"/>
        <v>0</v>
      </c>
      <c r="N918" s="1648">
        <f t="shared" si="159"/>
        <v>0</v>
      </c>
      <c r="O918" s="1648">
        <f t="shared" si="160"/>
        <v>0</v>
      </c>
      <c r="P918" s="1648">
        <f t="shared" si="161"/>
        <v>144</v>
      </c>
      <c r="Q918" s="1648">
        <f t="shared" si="162"/>
        <v>119520</v>
      </c>
      <c r="R918" s="55">
        <f t="shared" si="163"/>
        <v>119520</v>
      </c>
      <c r="S918" s="55">
        <f t="shared" si="164"/>
        <v>0</v>
      </c>
    </row>
    <row r="919" spans="1:19" ht="126" customHeight="1">
      <c r="A919" s="1854"/>
      <c r="B919" s="1648">
        <f t="shared" si="154"/>
        <v>117</v>
      </c>
      <c r="C919" s="1863" t="s">
        <v>5858</v>
      </c>
      <c r="D919" s="1655">
        <f>'  Coastal  Elec.Data '!K2965</f>
        <v>1120</v>
      </c>
      <c r="E919" s="1691" t="s">
        <v>729</v>
      </c>
      <c r="F919" s="1649">
        <f>'Detail '!I1650</f>
        <v>117</v>
      </c>
      <c r="G919" s="1648">
        <f t="shared" si="155"/>
        <v>131040</v>
      </c>
      <c r="H919" s="1648"/>
      <c r="I919" s="1648">
        <f t="shared" si="156"/>
        <v>0</v>
      </c>
      <c r="J919" s="1648"/>
      <c r="K919" s="1648">
        <f t="shared" si="157"/>
        <v>0</v>
      </c>
      <c r="L919" s="1648"/>
      <c r="M919" s="1648">
        <f t="shared" si="158"/>
        <v>0</v>
      </c>
      <c r="N919" s="1648">
        <f t="shared" si="159"/>
        <v>0</v>
      </c>
      <c r="O919" s="1648">
        <f t="shared" si="160"/>
        <v>0</v>
      </c>
      <c r="P919" s="1648">
        <f t="shared" si="161"/>
        <v>117</v>
      </c>
      <c r="Q919" s="1648">
        <f t="shared" si="162"/>
        <v>131040</v>
      </c>
      <c r="R919" s="55">
        <f t="shared" si="163"/>
        <v>131040</v>
      </c>
      <c r="S919" s="55">
        <f t="shared" si="164"/>
        <v>0</v>
      </c>
    </row>
    <row r="920" spans="1:19" ht="59.25" customHeight="1">
      <c r="A920" s="1854"/>
      <c r="B920" s="1648">
        <f t="shared" si="154"/>
        <v>89</v>
      </c>
      <c r="C920" s="1863" t="s">
        <v>5859</v>
      </c>
      <c r="D920" s="1655">
        <f>'  Coastal  Elec.Data '!K2988</f>
        <v>134</v>
      </c>
      <c r="E920" s="1691" t="s">
        <v>729</v>
      </c>
      <c r="F920" s="1649">
        <f>'Detail '!I1707</f>
        <v>89</v>
      </c>
      <c r="G920" s="1648">
        <f t="shared" si="155"/>
        <v>11926</v>
      </c>
      <c r="H920" s="1648"/>
      <c r="I920" s="1648">
        <f t="shared" si="156"/>
        <v>0</v>
      </c>
      <c r="J920" s="1648"/>
      <c r="K920" s="1648">
        <f t="shared" si="157"/>
        <v>0</v>
      </c>
      <c r="L920" s="1648"/>
      <c r="M920" s="1648">
        <f t="shared" si="158"/>
        <v>0</v>
      </c>
      <c r="N920" s="1648">
        <f t="shared" si="159"/>
        <v>0</v>
      </c>
      <c r="O920" s="1648">
        <f t="shared" si="160"/>
        <v>0</v>
      </c>
      <c r="P920" s="1648">
        <f t="shared" si="161"/>
        <v>89</v>
      </c>
      <c r="Q920" s="1648">
        <f t="shared" si="162"/>
        <v>11926</v>
      </c>
      <c r="R920" s="55">
        <f t="shared" si="163"/>
        <v>11926</v>
      </c>
      <c r="S920" s="55">
        <f t="shared" si="164"/>
        <v>0</v>
      </c>
    </row>
    <row r="921" spans="1:19" ht="85.5" customHeight="1">
      <c r="A921" s="1854"/>
      <c r="B921" s="1648">
        <f t="shared" si="154"/>
        <v>112.63</v>
      </c>
      <c r="C921" s="1863" t="s">
        <v>5860</v>
      </c>
      <c r="D921" s="1655">
        <f>Data!R1609</f>
        <v>90322.8</v>
      </c>
      <c r="E921" s="1687" t="s">
        <v>11</v>
      </c>
      <c r="F921" s="1652">
        <f>'Detail '!I2778</f>
        <v>111.554</v>
      </c>
      <c r="G921" s="1648">
        <f t="shared" si="155"/>
        <v>10075869.630000001</v>
      </c>
      <c r="H921" s="1648"/>
      <c r="I921" s="1648">
        <f t="shared" si="156"/>
        <v>0</v>
      </c>
      <c r="J921" s="1648">
        <f>Sump!I44</f>
        <v>1.08</v>
      </c>
      <c r="K921" s="1648">
        <f t="shared" si="157"/>
        <v>97548.62</v>
      </c>
      <c r="L921" s="1648"/>
      <c r="M921" s="1648">
        <f t="shared" si="158"/>
        <v>0</v>
      </c>
      <c r="N921" s="1653">
        <f t="shared" si="159"/>
        <v>1.08</v>
      </c>
      <c r="O921" s="1648">
        <f t="shared" si="160"/>
        <v>97548.62</v>
      </c>
      <c r="P921" s="1653">
        <f t="shared" si="161"/>
        <v>112.634</v>
      </c>
      <c r="Q921" s="1648">
        <f t="shared" si="162"/>
        <v>10173418.26</v>
      </c>
      <c r="R921" s="55">
        <f t="shared" si="163"/>
        <v>10173418.25</v>
      </c>
      <c r="S921" s="55">
        <f t="shared" si="164"/>
        <v>0.01</v>
      </c>
    </row>
    <row r="922" spans="1:19" ht="96.75" customHeight="1">
      <c r="A922" s="1854"/>
      <c r="B922" s="1648">
        <f t="shared" si="154"/>
        <v>240.4</v>
      </c>
      <c r="C922" s="1863" t="s">
        <v>5861</v>
      </c>
      <c r="D922" s="1655">
        <f>Data!R1640</f>
        <v>353.71</v>
      </c>
      <c r="E922" s="1687" t="s">
        <v>13</v>
      </c>
      <c r="F922" s="1649">
        <f>'Detail '!I2784</f>
        <v>240.4</v>
      </c>
      <c r="G922" s="1648">
        <f t="shared" si="155"/>
        <v>85031.88</v>
      </c>
      <c r="H922" s="1648"/>
      <c r="I922" s="1648">
        <f t="shared" si="156"/>
        <v>0</v>
      </c>
      <c r="J922" s="1648"/>
      <c r="K922" s="1648">
        <f t="shared" si="157"/>
        <v>0</v>
      </c>
      <c r="L922" s="1648"/>
      <c r="M922" s="1648">
        <f t="shared" si="158"/>
        <v>0</v>
      </c>
      <c r="N922" s="1648">
        <f t="shared" si="159"/>
        <v>0</v>
      </c>
      <c r="O922" s="1648">
        <f t="shared" si="160"/>
        <v>0</v>
      </c>
      <c r="P922" s="1648">
        <f t="shared" si="161"/>
        <v>240.4</v>
      </c>
      <c r="Q922" s="1648">
        <f t="shared" si="162"/>
        <v>85031.88</v>
      </c>
      <c r="R922" s="55">
        <f t="shared" si="163"/>
        <v>85031.88</v>
      </c>
      <c r="S922" s="55">
        <f t="shared" si="164"/>
        <v>0</v>
      </c>
    </row>
    <row r="923" spans="1:19" ht="65.25" hidden="1" customHeight="1">
      <c r="A923" s="1854"/>
      <c r="B923" s="1648">
        <f t="shared" si="154"/>
        <v>0</v>
      </c>
      <c r="C923" s="1864" t="s">
        <v>5862</v>
      </c>
      <c r="D923" s="1655">
        <f>Data!K2331</f>
        <v>37.659999999999997</v>
      </c>
      <c r="E923" s="1687"/>
      <c r="F923" s="1649"/>
      <c r="G923" s="1648">
        <f t="shared" si="155"/>
        <v>0</v>
      </c>
      <c r="H923" s="1648"/>
      <c r="I923" s="1648">
        <f t="shared" si="156"/>
        <v>0</v>
      </c>
      <c r="J923" s="1648"/>
      <c r="K923" s="1648">
        <f t="shared" si="157"/>
        <v>0</v>
      </c>
      <c r="L923" s="1648"/>
      <c r="M923" s="1648">
        <f t="shared" si="158"/>
        <v>0</v>
      </c>
      <c r="N923" s="1648">
        <f t="shared" si="159"/>
        <v>0</v>
      </c>
      <c r="O923" s="1648">
        <f t="shared" si="160"/>
        <v>0</v>
      </c>
      <c r="P923" s="1648">
        <f t="shared" si="161"/>
        <v>0</v>
      </c>
      <c r="Q923" s="1648">
        <f t="shared" si="162"/>
        <v>0</v>
      </c>
      <c r="R923" s="55">
        <f t="shared" si="163"/>
        <v>0</v>
      </c>
      <c r="S923" s="55">
        <f t="shared" si="164"/>
        <v>0</v>
      </c>
    </row>
    <row r="924" spans="1:19" ht="60" hidden="1" customHeight="1">
      <c r="A924" s="1854"/>
      <c r="B924" s="1648">
        <f t="shared" si="154"/>
        <v>0</v>
      </c>
      <c r="C924" s="1870" t="s">
        <v>5863</v>
      </c>
      <c r="D924" s="1655"/>
      <c r="E924" s="1687"/>
      <c r="F924" s="1649"/>
      <c r="G924" s="1648">
        <f t="shared" si="155"/>
        <v>0</v>
      </c>
      <c r="H924" s="1648"/>
      <c r="I924" s="1648">
        <f t="shared" si="156"/>
        <v>0</v>
      </c>
      <c r="J924" s="1648"/>
      <c r="K924" s="1648">
        <f t="shared" si="157"/>
        <v>0</v>
      </c>
      <c r="L924" s="1648"/>
      <c r="M924" s="1648">
        <f t="shared" si="158"/>
        <v>0</v>
      </c>
      <c r="N924" s="1648">
        <f t="shared" si="159"/>
        <v>0</v>
      </c>
      <c r="O924" s="1648">
        <f t="shared" si="160"/>
        <v>0</v>
      </c>
      <c r="P924" s="1648">
        <f t="shared" si="161"/>
        <v>0</v>
      </c>
      <c r="Q924" s="1648">
        <f t="shared" si="162"/>
        <v>0</v>
      </c>
      <c r="R924" s="55">
        <f t="shared" si="163"/>
        <v>0</v>
      </c>
      <c r="S924" s="55">
        <f t="shared" si="164"/>
        <v>0</v>
      </c>
    </row>
    <row r="925" spans="1:19" ht="45" hidden="1" customHeight="1">
      <c r="A925" s="1854"/>
      <c r="B925" s="1648">
        <f t="shared" si="154"/>
        <v>0</v>
      </c>
      <c r="C925" s="1863" t="s">
        <v>5485</v>
      </c>
      <c r="D925" s="1655">
        <f>Data!K1890</f>
        <v>258.45</v>
      </c>
      <c r="E925" s="1687" t="s">
        <v>13</v>
      </c>
      <c r="F925" s="1649"/>
      <c r="G925" s="1648">
        <f t="shared" si="155"/>
        <v>0</v>
      </c>
      <c r="H925" s="1648"/>
      <c r="I925" s="1648">
        <f t="shared" si="156"/>
        <v>0</v>
      </c>
      <c r="J925" s="1648"/>
      <c r="K925" s="1648">
        <f t="shared" si="157"/>
        <v>0</v>
      </c>
      <c r="L925" s="1648"/>
      <c r="M925" s="1648">
        <f t="shared" si="158"/>
        <v>0</v>
      </c>
      <c r="N925" s="1648">
        <f t="shared" si="159"/>
        <v>0</v>
      </c>
      <c r="O925" s="1648">
        <f t="shared" si="160"/>
        <v>0</v>
      </c>
      <c r="P925" s="1648">
        <f t="shared" si="161"/>
        <v>0</v>
      </c>
      <c r="Q925" s="1648">
        <f t="shared" si="162"/>
        <v>0</v>
      </c>
      <c r="R925" s="55">
        <f t="shared" si="163"/>
        <v>0</v>
      </c>
      <c r="S925" s="55">
        <f t="shared" si="164"/>
        <v>0</v>
      </c>
    </row>
    <row r="926" spans="1:19" ht="45" hidden="1" customHeight="1">
      <c r="A926" s="1854"/>
      <c r="B926" s="1648">
        <f t="shared" si="154"/>
        <v>0</v>
      </c>
      <c r="C926" s="1863" t="s">
        <v>5486</v>
      </c>
      <c r="D926" s="1655">
        <f>Data!K1882</f>
        <v>241.21</v>
      </c>
      <c r="E926" s="1687" t="s">
        <v>13</v>
      </c>
      <c r="F926" s="1649"/>
      <c r="G926" s="1648">
        <f t="shared" si="155"/>
        <v>0</v>
      </c>
      <c r="H926" s="1648"/>
      <c r="I926" s="1648">
        <f t="shared" si="156"/>
        <v>0</v>
      </c>
      <c r="J926" s="1648"/>
      <c r="K926" s="1648">
        <f t="shared" si="157"/>
        <v>0</v>
      </c>
      <c r="L926" s="1648"/>
      <c r="M926" s="1648">
        <f t="shared" si="158"/>
        <v>0</v>
      </c>
      <c r="N926" s="1648">
        <f t="shared" si="159"/>
        <v>0</v>
      </c>
      <c r="O926" s="1648">
        <f t="shared" si="160"/>
        <v>0</v>
      </c>
      <c r="P926" s="1648">
        <f t="shared" si="161"/>
        <v>0</v>
      </c>
      <c r="Q926" s="1648">
        <f t="shared" si="162"/>
        <v>0</v>
      </c>
      <c r="R926" s="55">
        <f t="shared" si="163"/>
        <v>0</v>
      </c>
      <c r="S926" s="55">
        <f t="shared" si="164"/>
        <v>0</v>
      </c>
    </row>
    <row r="927" spans="1:19" ht="53.25" hidden="1" customHeight="1">
      <c r="A927" s="1854"/>
      <c r="B927" s="1648">
        <f t="shared" si="154"/>
        <v>0</v>
      </c>
      <c r="C927" s="1863" t="s">
        <v>5864</v>
      </c>
      <c r="D927" s="1655">
        <f>Data!K2767</f>
        <v>238.42</v>
      </c>
      <c r="E927" s="1687" t="s">
        <v>13</v>
      </c>
      <c r="F927" s="1649"/>
      <c r="G927" s="1648">
        <f t="shared" si="155"/>
        <v>0</v>
      </c>
      <c r="H927" s="1648"/>
      <c r="I927" s="1648">
        <f t="shared" si="156"/>
        <v>0</v>
      </c>
      <c r="J927" s="1648"/>
      <c r="K927" s="1648">
        <f t="shared" si="157"/>
        <v>0</v>
      </c>
      <c r="L927" s="1648"/>
      <c r="M927" s="1648">
        <f t="shared" si="158"/>
        <v>0</v>
      </c>
      <c r="N927" s="1648">
        <f t="shared" si="159"/>
        <v>0</v>
      </c>
      <c r="O927" s="1648">
        <f t="shared" si="160"/>
        <v>0</v>
      </c>
      <c r="P927" s="1648">
        <f t="shared" si="161"/>
        <v>0</v>
      </c>
      <c r="Q927" s="1648">
        <f t="shared" si="162"/>
        <v>0</v>
      </c>
      <c r="R927" s="55">
        <f t="shared" si="163"/>
        <v>0</v>
      </c>
      <c r="S927" s="55">
        <f t="shared" si="164"/>
        <v>0</v>
      </c>
    </row>
    <row r="928" spans="1:19" ht="148.5" hidden="1" customHeight="1">
      <c r="A928" s="1854"/>
      <c r="B928" s="1648">
        <f t="shared" si="154"/>
        <v>0</v>
      </c>
      <c r="C928" s="1870" t="s">
        <v>5865</v>
      </c>
      <c r="D928" s="1655">
        <f>Data!K3648</f>
        <v>380.95</v>
      </c>
      <c r="E928" s="1691" t="s">
        <v>724</v>
      </c>
      <c r="F928" s="1649"/>
      <c r="G928" s="1648">
        <f t="shared" si="155"/>
        <v>0</v>
      </c>
      <c r="H928" s="1648"/>
      <c r="I928" s="1648">
        <f t="shared" si="156"/>
        <v>0</v>
      </c>
      <c r="J928" s="1648"/>
      <c r="K928" s="1648">
        <f t="shared" si="157"/>
        <v>0</v>
      </c>
      <c r="L928" s="1648"/>
      <c r="M928" s="1648">
        <f t="shared" si="158"/>
        <v>0</v>
      </c>
      <c r="N928" s="1648">
        <f t="shared" si="159"/>
        <v>0</v>
      </c>
      <c r="O928" s="1648">
        <f t="shared" si="160"/>
        <v>0</v>
      </c>
      <c r="P928" s="1648">
        <f t="shared" si="161"/>
        <v>0</v>
      </c>
      <c r="Q928" s="1648">
        <f t="shared" si="162"/>
        <v>0</v>
      </c>
      <c r="R928" s="55">
        <f t="shared" si="163"/>
        <v>0</v>
      </c>
      <c r="S928" s="55">
        <f t="shared" si="164"/>
        <v>0</v>
      </c>
    </row>
    <row r="929" spans="1:19" ht="48.75" hidden="1" customHeight="1">
      <c r="A929" s="1854"/>
      <c r="B929" s="1648">
        <f t="shared" si="154"/>
        <v>0</v>
      </c>
      <c r="C929" s="1866" t="s">
        <v>5866</v>
      </c>
      <c r="D929" s="1655">
        <f>Data!AF3115</f>
        <v>494</v>
      </c>
      <c r="E929" s="1691" t="s">
        <v>729</v>
      </c>
      <c r="F929" s="1649"/>
      <c r="G929" s="1648">
        <f t="shared" si="155"/>
        <v>0</v>
      </c>
      <c r="H929" s="1648"/>
      <c r="I929" s="1648">
        <f t="shared" si="156"/>
        <v>0</v>
      </c>
      <c r="J929" s="1648"/>
      <c r="K929" s="1648">
        <f t="shared" si="157"/>
        <v>0</v>
      </c>
      <c r="L929" s="1648"/>
      <c r="M929" s="1648">
        <f t="shared" si="158"/>
        <v>0</v>
      </c>
      <c r="N929" s="1648">
        <f t="shared" si="159"/>
        <v>0</v>
      </c>
      <c r="O929" s="1648">
        <f t="shared" si="160"/>
        <v>0</v>
      </c>
      <c r="P929" s="1648">
        <f t="shared" si="161"/>
        <v>0</v>
      </c>
      <c r="Q929" s="1648">
        <f t="shared" si="162"/>
        <v>0</v>
      </c>
      <c r="R929" s="55">
        <f t="shared" si="163"/>
        <v>0</v>
      </c>
      <c r="S929" s="55">
        <f t="shared" si="164"/>
        <v>0</v>
      </c>
    </row>
    <row r="930" spans="1:19" ht="48.75" hidden="1" customHeight="1">
      <c r="A930" s="1854"/>
      <c r="B930" s="1648">
        <f t="shared" si="154"/>
        <v>0</v>
      </c>
      <c r="C930" s="1866" t="s">
        <v>5867</v>
      </c>
      <c r="D930" s="1655">
        <f>Data!AH3115</f>
        <v>446</v>
      </c>
      <c r="E930" s="1691" t="s">
        <v>729</v>
      </c>
      <c r="F930" s="1649"/>
      <c r="G930" s="1648">
        <f t="shared" si="155"/>
        <v>0</v>
      </c>
      <c r="H930" s="1648"/>
      <c r="I930" s="1648">
        <f t="shared" si="156"/>
        <v>0</v>
      </c>
      <c r="J930" s="1648"/>
      <c r="K930" s="1648">
        <f t="shared" si="157"/>
        <v>0</v>
      </c>
      <c r="L930" s="1648"/>
      <c r="M930" s="1648">
        <f t="shared" si="158"/>
        <v>0</v>
      </c>
      <c r="N930" s="1648">
        <f t="shared" si="159"/>
        <v>0</v>
      </c>
      <c r="O930" s="1648">
        <f t="shared" si="160"/>
        <v>0</v>
      </c>
      <c r="P930" s="1648">
        <f t="shared" si="161"/>
        <v>0</v>
      </c>
      <c r="Q930" s="1648">
        <f t="shared" si="162"/>
        <v>0</v>
      </c>
      <c r="R930" s="55">
        <f t="shared" si="163"/>
        <v>0</v>
      </c>
      <c r="S930" s="55">
        <f t="shared" si="164"/>
        <v>0</v>
      </c>
    </row>
    <row r="931" spans="1:19" ht="52.5" hidden="1" customHeight="1">
      <c r="A931" s="1854"/>
      <c r="B931" s="1648">
        <f t="shared" si="154"/>
        <v>0</v>
      </c>
      <c r="C931" s="1863" t="s">
        <v>5868</v>
      </c>
      <c r="D931" s="1655">
        <v>51.4</v>
      </c>
      <c r="E931" s="1688" t="s">
        <v>39</v>
      </c>
      <c r="F931" s="1649"/>
      <c r="G931" s="1648">
        <f t="shared" si="155"/>
        <v>0</v>
      </c>
      <c r="H931" s="1648"/>
      <c r="I931" s="1648">
        <f t="shared" si="156"/>
        <v>0</v>
      </c>
      <c r="J931" s="1648"/>
      <c r="K931" s="1648">
        <f t="shared" si="157"/>
        <v>0</v>
      </c>
      <c r="L931" s="1648"/>
      <c r="M931" s="1648">
        <f t="shared" si="158"/>
        <v>0</v>
      </c>
      <c r="N931" s="1648">
        <f t="shared" si="159"/>
        <v>0</v>
      </c>
      <c r="O931" s="1648">
        <f t="shared" si="160"/>
        <v>0</v>
      </c>
      <c r="P931" s="1648">
        <f t="shared" si="161"/>
        <v>0</v>
      </c>
      <c r="Q931" s="1648">
        <f t="shared" si="162"/>
        <v>0</v>
      </c>
      <c r="R931" s="55">
        <f t="shared" si="163"/>
        <v>0</v>
      </c>
      <c r="S931" s="55">
        <f t="shared" si="164"/>
        <v>0</v>
      </c>
    </row>
    <row r="932" spans="1:19" ht="84" hidden="1" customHeight="1">
      <c r="A932" s="1854"/>
      <c r="B932" s="1648">
        <f t="shared" si="154"/>
        <v>0</v>
      </c>
      <c r="C932" s="1863" t="s">
        <v>5869</v>
      </c>
      <c r="D932" s="1655">
        <f>Data!AD1229</f>
        <v>2323.94</v>
      </c>
      <c r="E932" s="1691" t="s">
        <v>724</v>
      </c>
      <c r="F932" s="1649"/>
      <c r="G932" s="1648">
        <f t="shared" si="155"/>
        <v>0</v>
      </c>
      <c r="H932" s="1648"/>
      <c r="I932" s="1648">
        <f t="shared" si="156"/>
        <v>0</v>
      </c>
      <c r="J932" s="1648"/>
      <c r="K932" s="1648">
        <f t="shared" si="157"/>
        <v>0</v>
      </c>
      <c r="L932" s="1648"/>
      <c r="M932" s="1648">
        <f t="shared" si="158"/>
        <v>0</v>
      </c>
      <c r="N932" s="1648">
        <f t="shared" si="159"/>
        <v>0</v>
      </c>
      <c r="O932" s="1648">
        <f t="shared" si="160"/>
        <v>0</v>
      </c>
      <c r="P932" s="1648">
        <f t="shared" si="161"/>
        <v>0</v>
      </c>
      <c r="Q932" s="1648">
        <f t="shared" si="162"/>
        <v>0</v>
      </c>
      <c r="R932" s="55">
        <f t="shared" si="163"/>
        <v>0</v>
      </c>
      <c r="S932" s="55">
        <f t="shared" si="164"/>
        <v>0</v>
      </c>
    </row>
    <row r="933" spans="1:19" ht="104.25" hidden="1" customHeight="1">
      <c r="A933" s="1854" t="s">
        <v>5870</v>
      </c>
      <c r="B933" s="1648">
        <f t="shared" si="154"/>
        <v>0</v>
      </c>
      <c r="C933" s="1864" t="s">
        <v>5871</v>
      </c>
      <c r="D933" s="1651"/>
      <c r="E933" s="1688"/>
      <c r="F933" s="1649"/>
      <c r="G933" s="1648">
        <f t="shared" si="155"/>
        <v>0</v>
      </c>
      <c r="H933" s="1648"/>
      <c r="I933" s="1648">
        <f t="shared" si="156"/>
        <v>0</v>
      </c>
      <c r="J933" s="1648"/>
      <c r="K933" s="1648">
        <f t="shared" si="157"/>
        <v>0</v>
      </c>
      <c r="L933" s="1648"/>
      <c r="M933" s="1648">
        <f t="shared" si="158"/>
        <v>0</v>
      </c>
      <c r="N933" s="1648">
        <f t="shared" si="159"/>
        <v>0</v>
      </c>
      <c r="O933" s="1648">
        <f t="shared" si="160"/>
        <v>0</v>
      </c>
      <c r="P933" s="1648">
        <f t="shared" si="161"/>
        <v>0</v>
      </c>
      <c r="Q933" s="1648">
        <f t="shared" si="162"/>
        <v>0</v>
      </c>
      <c r="R933" s="55">
        <f t="shared" si="163"/>
        <v>0</v>
      </c>
      <c r="S933" s="55">
        <f t="shared" si="164"/>
        <v>0</v>
      </c>
    </row>
    <row r="934" spans="1:19" ht="25.5" hidden="1" customHeight="1">
      <c r="A934" s="1854"/>
      <c r="B934" s="1648">
        <f t="shared" si="154"/>
        <v>0</v>
      </c>
      <c r="C934" s="1864" t="s">
        <v>5558</v>
      </c>
      <c r="D934" s="1648"/>
      <c r="E934" s="1687" t="s">
        <v>13</v>
      </c>
      <c r="F934" s="1649"/>
      <c r="G934" s="1648">
        <f t="shared" si="155"/>
        <v>0</v>
      </c>
      <c r="H934" s="1648"/>
      <c r="I934" s="1648">
        <f t="shared" si="156"/>
        <v>0</v>
      </c>
      <c r="J934" s="1648"/>
      <c r="K934" s="1648">
        <f t="shared" si="157"/>
        <v>0</v>
      </c>
      <c r="L934" s="1648"/>
      <c r="M934" s="1648">
        <f t="shared" si="158"/>
        <v>0</v>
      </c>
      <c r="N934" s="1648">
        <f t="shared" si="159"/>
        <v>0</v>
      </c>
      <c r="O934" s="1648">
        <f t="shared" si="160"/>
        <v>0</v>
      </c>
      <c r="P934" s="1648">
        <f t="shared" si="161"/>
        <v>0</v>
      </c>
      <c r="Q934" s="1648">
        <f t="shared" si="162"/>
        <v>0</v>
      </c>
      <c r="R934" s="55">
        <f t="shared" si="163"/>
        <v>0</v>
      </c>
      <c r="S934" s="55">
        <f t="shared" si="164"/>
        <v>0</v>
      </c>
    </row>
    <row r="935" spans="1:19" ht="25.5" hidden="1" customHeight="1">
      <c r="A935" s="1854"/>
      <c r="B935" s="1648">
        <f t="shared" si="154"/>
        <v>0</v>
      </c>
      <c r="C935" s="1864" t="s">
        <v>5559</v>
      </c>
      <c r="D935" s="1648"/>
      <c r="E935" s="1687" t="s">
        <v>13</v>
      </c>
      <c r="F935" s="1649"/>
      <c r="G935" s="1648">
        <f t="shared" si="155"/>
        <v>0</v>
      </c>
      <c r="H935" s="1648"/>
      <c r="I935" s="1648">
        <f t="shared" si="156"/>
        <v>0</v>
      </c>
      <c r="J935" s="1648"/>
      <c r="K935" s="1648">
        <f t="shared" si="157"/>
        <v>0</v>
      </c>
      <c r="L935" s="1648"/>
      <c r="M935" s="1648">
        <f t="shared" si="158"/>
        <v>0</v>
      </c>
      <c r="N935" s="1648">
        <f t="shared" si="159"/>
        <v>0</v>
      </c>
      <c r="O935" s="1648">
        <f t="shared" si="160"/>
        <v>0</v>
      </c>
      <c r="P935" s="1648">
        <f t="shared" si="161"/>
        <v>0</v>
      </c>
      <c r="Q935" s="1648">
        <f t="shared" si="162"/>
        <v>0</v>
      </c>
      <c r="R935" s="55">
        <f t="shared" si="163"/>
        <v>0</v>
      </c>
      <c r="S935" s="55">
        <f t="shared" si="164"/>
        <v>0</v>
      </c>
    </row>
    <row r="936" spans="1:19" ht="25.5" hidden="1" customHeight="1">
      <c r="A936" s="1854"/>
      <c r="B936" s="1648">
        <f t="shared" si="154"/>
        <v>0</v>
      </c>
      <c r="C936" s="1864" t="s">
        <v>5560</v>
      </c>
      <c r="D936" s="1648"/>
      <c r="E936" s="1687" t="s">
        <v>13</v>
      </c>
      <c r="F936" s="1649"/>
      <c r="G936" s="1648">
        <f t="shared" si="155"/>
        <v>0</v>
      </c>
      <c r="H936" s="1648"/>
      <c r="I936" s="1648">
        <f t="shared" si="156"/>
        <v>0</v>
      </c>
      <c r="J936" s="1648"/>
      <c r="K936" s="1648">
        <f t="shared" si="157"/>
        <v>0</v>
      </c>
      <c r="L936" s="1648"/>
      <c r="M936" s="1648">
        <f t="shared" si="158"/>
        <v>0</v>
      </c>
      <c r="N936" s="1648">
        <f t="shared" si="159"/>
        <v>0</v>
      </c>
      <c r="O936" s="1648">
        <f t="shared" si="160"/>
        <v>0</v>
      </c>
      <c r="P936" s="1648">
        <f t="shared" si="161"/>
        <v>0</v>
      </c>
      <c r="Q936" s="1648">
        <f t="shared" si="162"/>
        <v>0</v>
      </c>
      <c r="R936" s="55">
        <f t="shared" si="163"/>
        <v>0</v>
      </c>
      <c r="S936" s="55">
        <f t="shared" si="164"/>
        <v>0</v>
      </c>
    </row>
    <row r="937" spans="1:19" ht="69.75" hidden="1" customHeight="1">
      <c r="A937" s="1854"/>
      <c r="B937" s="1648">
        <f t="shared" si="154"/>
        <v>0</v>
      </c>
      <c r="C937" s="1864" t="s">
        <v>5872</v>
      </c>
      <c r="D937" s="1648"/>
      <c r="E937" s="1687"/>
      <c r="F937" s="1649"/>
      <c r="G937" s="1648">
        <f t="shared" si="155"/>
        <v>0</v>
      </c>
      <c r="H937" s="1648"/>
      <c r="I937" s="1648">
        <f t="shared" si="156"/>
        <v>0</v>
      </c>
      <c r="J937" s="1648"/>
      <c r="K937" s="1648">
        <f t="shared" si="157"/>
        <v>0</v>
      </c>
      <c r="L937" s="1648"/>
      <c r="M937" s="1648">
        <f t="shared" si="158"/>
        <v>0</v>
      </c>
      <c r="N937" s="1648">
        <f t="shared" si="159"/>
        <v>0</v>
      </c>
      <c r="O937" s="1648">
        <f t="shared" si="160"/>
        <v>0</v>
      </c>
      <c r="P937" s="1648">
        <f t="shared" si="161"/>
        <v>0</v>
      </c>
      <c r="Q937" s="1648">
        <f t="shared" si="162"/>
        <v>0</v>
      </c>
      <c r="R937" s="55">
        <f t="shared" si="163"/>
        <v>0</v>
      </c>
      <c r="S937" s="55">
        <f t="shared" si="164"/>
        <v>0</v>
      </c>
    </row>
    <row r="938" spans="1:19" ht="93" hidden="1" customHeight="1">
      <c r="A938" s="1854"/>
      <c r="B938" s="1648">
        <f t="shared" si="154"/>
        <v>0</v>
      </c>
      <c r="C938" s="1864" t="s">
        <v>5873</v>
      </c>
      <c r="D938" s="1651"/>
      <c r="E938" s="1688"/>
      <c r="F938" s="1649"/>
      <c r="G938" s="1648">
        <f t="shared" si="155"/>
        <v>0</v>
      </c>
      <c r="H938" s="1648"/>
      <c r="I938" s="1648">
        <f t="shared" si="156"/>
        <v>0</v>
      </c>
      <c r="J938" s="1648"/>
      <c r="K938" s="1648">
        <f t="shared" si="157"/>
        <v>0</v>
      </c>
      <c r="L938" s="1648"/>
      <c r="M938" s="1648">
        <f t="shared" si="158"/>
        <v>0</v>
      </c>
      <c r="N938" s="1648">
        <f t="shared" si="159"/>
        <v>0</v>
      </c>
      <c r="O938" s="1648">
        <f t="shared" si="160"/>
        <v>0</v>
      </c>
      <c r="P938" s="1648">
        <f t="shared" si="161"/>
        <v>0</v>
      </c>
      <c r="Q938" s="1648">
        <f t="shared" si="162"/>
        <v>0</v>
      </c>
      <c r="R938" s="55">
        <f t="shared" si="163"/>
        <v>0</v>
      </c>
      <c r="S938" s="55">
        <f t="shared" si="164"/>
        <v>0</v>
      </c>
    </row>
    <row r="939" spans="1:19" ht="25.5" hidden="1" customHeight="1">
      <c r="A939" s="1854"/>
      <c r="B939" s="1648">
        <f t="shared" si="154"/>
        <v>0</v>
      </c>
      <c r="C939" s="1864" t="s">
        <v>5558</v>
      </c>
      <c r="D939" s="1648"/>
      <c r="E939" s="1687" t="s">
        <v>13</v>
      </c>
      <c r="F939" s="1649"/>
      <c r="G939" s="1648">
        <f t="shared" si="155"/>
        <v>0</v>
      </c>
      <c r="H939" s="1648"/>
      <c r="I939" s="1648">
        <f t="shared" si="156"/>
        <v>0</v>
      </c>
      <c r="J939" s="1648"/>
      <c r="K939" s="1648">
        <f t="shared" si="157"/>
        <v>0</v>
      </c>
      <c r="L939" s="1648"/>
      <c r="M939" s="1648">
        <f t="shared" si="158"/>
        <v>0</v>
      </c>
      <c r="N939" s="1648">
        <f t="shared" si="159"/>
        <v>0</v>
      </c>
      <c r="O939" s="1648">
        <f t="shared" si="160"/>
        <v>0</v>
      </c>
      <c r="P939" s="1648">
        <f t="shared" si="161"/>
        <v>0</v>
      </c>
      <c r="Q939" s="1648">
        <f t="shared" si="162"/>
        <v>0</v>
      </c>
      <c r="R939" s="55">
        <f t="shared" si="163"/>
        <v>0</v>
      </c>
      <c r="S939" s="55">
        <f t="shared" si="164"/>
        <v>0</v>
      </c>
    </row>
    <row r="940" spans="1:19" ht="25.5" hidden="1" customHeight="1">
      <c r="A940" s="1854"/>
      <c r="B940" s="1648">
        <f t="shared" si="154"/>
        <v>0</v>
      </c>
      <c r="C940" s="1864" t="s">
        <v>5559</v>
      </c>
      <c r="D940" s="1648"/>
      <c r="E940" s="1687" t="s">
        <v>13</v>
      </c>
      <c r="F940" s="1649"/>
      <c r="G940" s="1648">
        <f t="shared" si="155"/>
        <v>0</v>
      </c>
      <c r="H940" s="1648"/>
      <c r="I940" s="1648">
        <f t="shared" si="156"/>
        <v>0</v>
      </c>
      <c r="J940" s="1648"/>
      <c r="K940" s="1648">
        <f t="shared" si="157"/>
        <v>0</v>
      </c>
      <c r="L940" s="1648"/>
      <c r="M940" s="1648">
        <f t="shared" si="158"/>
        <v>0</v>
      </c>
      <c r="N940" s="1648">
        <f t="shared" si="159"/>
        <v>0</v>
      </c>
      <c r="O940" s="1648">
        <f t="shared" si="160"/>
        <v>0</v>
      </c>
      <c r="P940" s="1648">
        <f t="shared" si="161"/>
        <v>0</v>
      </c>
      <c r="Q940" s="1648">
        <f t="shared" si="162"/>
        <v>0</v>
      </c>
      <c r="R940" s="55">
        <f t="shared" si="163"/>
        <v>0</v>
      </c>
      <c r="S940" s="55">
        <f t="shared" si="164"/>
        <v>0</v>
      </c>
    </row>
    <row r="941" spans="1:19" ht="25.5" hidden="1" customHeight="1">
      <c r="A941" s="1854"/>
      <c r="B941" s="1648">
        <f t="shared" si="154"/>
        <v>0</v>
      </c>
      <c r="C941" s="1864" t="s">
        <v>5560</v>
      </c>
      <c r="D941" s="1648"/>
      <c r="E941" s="1687" t="s">
        <v>13</v>
      </c>
      <c r="F941" s="1649"/>
      <c r="G941" s="1648">
        <f t="shared" si="155"/>
        <v>0</v>
      </c>
      <c r="H941" s="1648"/>
      <c r="I941" s="1648">
        <f t="shared" si="156"/>
        <v>0</v>
      </c>
      <c r="J941" s="1648"/>
      <c r="K941" s="1648">
        <f t="shared" si="157"/>
        <v>0</v>
      </c>
      <c r="L941" s="1648"/>
      <c r="M941" s="1648">
        <f t="shared" si="158"/>
        <v>0</v>
      </c>
      <c r="N941" s="1648">
        <f t="shared" si="159"/>
        <v>0</v>
      </c>
      <c r="O941" s="1648">
        <f t="shared" si="160"/>
        <v>0</v>
      </c>
      <c r="P941" s="1648">
        <f t="shared" si="161"/>
        <v>0</v>
      </c>
      <c r="Q941" s="1648">
        <f t="shared" si="162"/>
        <v>0</v>
      </c>
      <c r="R941" s="55">
        <f t="shared" si="163"/>
        <v>0</v>
      </c>
      <c r="S941" s="55">
        <f t="shared" si="164"/>
        <v>0</v>
      </c>
    </row>
    <row r="942" spans="1:19" ht="93" hidden="1" customHeight="1">
      <c r="A942" s="1854"/>
      <c r="B942" s="1648">
        <f t="shared" si="154"/>
        <v>0</v>
      </c>
      <c r="C942" s="1864" t="s">
        <v>5874</v>
      </c>
      <c r="D942" s="1648">
        <v>40000</v>
      </c>
      <c r="E942" s="1687" t="s">
        <v>1034</v>
      </c>
      <c r="F942" s="1649"/>
      <c r="G942" s="1648">
        <f t="shared" si="155"/>
        <v>0</v>
      </c>
      <c r="H942" s="1648"/>
      <c r="I942" s="1648">
        <f t="shared" si="156"/>
        <v>0</v>
      </c>
      <c r="J942" s="1648"/>
      <c r="K942" s="1648">
        <f t="shared" si="157"/>
        <v>0</v>
      </c>
      <c r="L942" s="1648"/>
      <c r="M942" s="1648">
        <f t="shared" si="158"/>
        <v>0</v>
      </c>
      <c r="N942" s="1648">
        <f t="shared" si="159"/>
        <v>0</v>
      </c>
      <c r="O942" s="1648">
        <f t="shared" si="160"/>
        <v>0</v>
      </c>
      <c r="P942" s="1648">
        <f t="shared" si="161"/>
        <v>0</v>
      </c>
      <c r="Q942" s="1648">
        <f t="shared" si="162"/>
        <v>0</v>
      </c>
      <c r="R942" s="55">
        <f t="shared" si="163"/>
        <v>0</v>
      </c>
      <c r="S942" s="55">
        <f t="shared" si="164"/>
        <v>0</v>
      </c>
    </row>
    <row r="943" spans="1:19" ht="162.75" hidden="1" customHeight="1">
      <c r="A943" s="1854"/>
      <c r="B943" s="1648">
        <f t="shared" si="154"/>
        <v>0</v>
      </c>
      <c r="C943" s="1864" t="s">
        <v>5875</v>
      </c>
      <c r="D943" s="1648">
        <v>70000</v>
      </c>
      <c r="E943" s="1687" t="s">
        <v>1034</v>
      </c>
      <c r="F943" s="1649"/>
      <c r="G943" s="1648">
        <f t="shared" si="155"/>
        <v>0</v>
      </c>
      <c r="H943" s="1648"/>
      <c r="I943" s="1648">
        <f t="shared" si="156"/>
        <v>0</v>
      </c>
      <c r="J943" s="1648"/>
      <c r="K943" s="1648">
        <f t="shared" si="157"/>
        <v>0</v>
      </c>
      <c r="L943" s="1648"/>
      <c r="M943" s="1648">
        <f t="shared" si="158"/>
        <v>0</v>
      </c>
      <c r="N943" s="1648">
        <f t="shared" si="159"/>
        <v>0</v>
      </c>
      <c r="O943" s="1648">
        <f t="shared" si="160"/>
        <v>0</v>
      </c>
      <c r="P943" s="1648">
        <f t="shared" si="161"/>
        <v>0</v>
      </c>
      <c r="Q943" s="1648">
        <f t="shared" si="162"/>
        <v>0</v>
      </c>
      <c r="R943" s="55">
        <f t="shared" si="163"/>
        <v>0</v>
      </c>
      <c r="S943" s="55">
        <f t="shared" si="164"/>
        <v>0</v>
      </c>
    </row>
    <row r="944" spans="1:19" ht="39.75" hidden="1" customHeight="1">
      <c r="A944" s="1854"/>
      <c r="B944" s="1648">
        <f t="shared" si="154"/>
        <v>0</v>
      </c>
      <c r="C944" s="1863" t="s">
        <v>5876</v>
      </c>
      <c r="D944" s="1655">
        <v>713.54</v>
      </c>
      <c r="E944" s="1687" t="s">
        <v>724</v>
      </c>
      <c r="F944" s="1649"/>
      <c r="G944" s="1648">
        <f t="shared" si="155"/>
        <v>0</v>
      </c>
      <c r="H944" s="1648"/>
      <c r="I944" s="1648">
        <f t="shared" si="156"/>
        <v>0</v>
      </c>
      <c r="J944" s="1648"/>
      <c r="K944" s="1648">
        <f t="shared" si="157"/>
        <v>0</v>
      </c>
      <c r="L944" s="1648"/>
      <c r="M944" s="1648">
        <f t="shared" si="158"/>
        <v>0</v>
      </c>
      <c r="N944" s="1648">
        <f t="shared" si="159"/>
        <v>0</v>
      </c>
      <c r="O944" s="1648">
        <f t="shared" si="160"/>
        <v>0</v>
      </c>
      <c r="P944" s="1648">
        <f t="shared" si="161"/>
        <v>0</v>
      </c>
      <c r="Q944" s="1648">
        <f t="shared" si="162"/>
        <v>0</v>
      </c>
      <c r="R944" s="55">
        <f t="shared" si="163"/>
        <v>0</v>
      </c>
      <c r="S944" s="55">
        <f t="shared" si="164"/>
        <v>0</v>
      </c>
    </row>
    <row r="945" spans="1:19" ht="93" hidden="1" customHeight="1">
      <c r="A945" s="1854"/>
      <c r="B945" s="1648">
        <f t="shared" si="154"/>
        <v>0</v>
      </c>
      <c r="C945" s="1864" t="s">
        <v>5877</v>
      </c>
      <c r="D945" s="1655"/>
      <c r="E945" s="1687"/>
      <c r="F945" s="1649"/>
      <c r="G945" s="1648">
        <f t="shared" si="155"/>
        <v>0</v>
      </c>
      <c r="H945" s="1648"/>
      <c r="I945" s="1648">
        <f t="shared" si="156"/>
        <v>0</v>
      </c>
      <c r="J945" s="1648"/>
      <c r="K945" s="1648">
        <f t="shared" si="157"/>
        <v>0</v>
      </c>
      <c r="L945" s="1648"/>
      <c r="M945" s="1648">
        <f t="shared" si="158"/>
        <v>0</v>
      </c>
      <c r="N945" s="1648">
        <f t="shared" si="159"/>
        <v>0</v>
      </c>
      <c r="O945" s="1648">
        <f t="shared" si="160"/>
        <v>0</v>
      </c>
      <c r="P945" s="1648">
        <f t="shared" si="161"/>
        <v>0</v>
      </c>
      <c r="Q945" s="1648">
        <f t="shared" si="162"/>
        <v>0</v>
      </c>
      <c r="R945" s="55">
        <f t="shared" si="163"/>
        <v>0</v>
      </c>
      <c r="S945" s="55">
        <f t="shared" si="164"/>
        <v>0</v>
      </c>
    </row>
    <row r="946" spans="1:19" ht="37.5" hidden="1" customHeight="1">
      <c r="A946" s="1854"/>
      <c r="B946" s="1648">
        <f t="shared" si="154"/>
        <v>0</v>
      </c>
      <c r="C946" s="1863" t="s">
        <v>5520</v>
      </c>
      <c r="D946" s="1655">
        <f>Elec.Data!K993</f>
        <v>895</v>
      </c>
      <c r="E946" s="1687" t="s">
        <v>729</v>
      </c>
      <c r="F946" s="1649"/>
      <c r="G946" s="1648">
        <f t="shared" si="155"/>
        <v>0</v>
      </c>
      <c r="H946" s="1648"/>
      <c r="I946" s="1648">
        <f t="shared" si="156"/>
        <v>0</v>
      </c>
      <c r="J946" s="1648"/>
      <c r="K946" s="1648">
        <f t="shared" si="157"/>
        <v>0</v>
      </c>
      <c r="L946" s="1648"/>
      <c r="M946" s="1648">
        <f t="shared" si="158"/>
        <v>0</v>
      </c>
      <c r="N946" s="1648">
        <f t="shared" si="159"/>
        <v>0</v>
      </c>
      <c r="O946" s="1648">
        <f t="shared" si="160"/>
        <v>0</v>
      </c>
      <c r="P946" s="1648">
        <f t="shared" si="161"/>
        <v>0</v>
      </c>
      <c r="Q946" s="1648">
        <f t="shared" si="162"/>
        <v>0</v>
      </c>
      <c r="R946" s="55">
        <f t="shared" si="163"/>
        <v>0</v>
      </c>
      <c r="S946" s="55">
        <f t="shared" si="164"/>
        <v>0</v>
      </c>
    </row>
    <row r="947" spans="1:19" ht="25.5" hidden="1" customHeight="1">
      <c r="A947" s="1854"/>
      <c r="B947" s="1648">
        <f t="shared" si="154"/>
        <v>0</v>
      </c>
      <c r="C947" s="1863" t="s">
        <v>3669</v>
      </c>
      <c r="D947" s="1655">
        <f>Elec.Data!K1019</f>
        <v>897</v>
      </c>
      <c r="E947" s="1687" t="s">
        <v>729</v>
      </c>
      <c r="F947" s="1649"/>
      <c r="G947" s="1648">
        <f t="shared" si="155"/>
        <v>0</v>
      </c>
      <c r="H947" s="1648"/>
      <c r="I947" s="1648">
        <f t="shared" si="156"/>
        <v>0</v>
      </c>
      <c r="J947" s="1648"/>
      <c r="K947" s="1648">
        <f t="shared" si="157"/>
        <v>0</v>
      </c>
      <c r="L947" s="1648"/>
      <c r="M947" s="1648">
        <f t="shared" si="158"/>
        <v>0</v>
      </c>
      <c r="N947" s="1648">
        <f t="shared" si="159"/>
        <v>0</v>
      </c>
      <c r="O947" s="1648">
        <f t="shared" si="160"/>
        <v>0</v>
      </c>
      <c r="P947" s="1648">
        <f t="shared" si="161"/>
        <v>0</v>
      </c>
      <c r="Q947" s="1648">
        <f t="shared" si="162"/>
        <v>0</v>
      </c>
      <c r="R947" s="55">
        <f t="shared" si="163"/>
        <v>0</v>
      </c>
      <c r="S947" s="55">
        <f t="shared" si="164"/>
        <v>0</v>
      </c>
    </row>
    <row r="948" spans="1:19" ht="25.5" hidden="1" customHeight="1">
      <c r="A948" s="1854"/>
      <c r="B948" s="1648">
        <f t="shared" si="154"/>
        <v>0</v>
      </c>
      <c r="C948" s="1863" t="s">
        <v>5878</v>
      </c>
      <c r="D948" s="1655">
        <f>Elec.Data!K1035</f>
        <v>934.35</v>
      </c>
      <c r="E948" s="1687"/>
      <c r="F948" s="1649"/>
      <c r="G948" s="1648">
        <f t="shared" si="155"/>
        <v>0</v>
      </c>
      <c r="H948" s="1648"/>
      <c r="I948" s="1648">
        <f t="shared" si="156"/>
        <v>0</v>
      </c>
      <c r="J948" s="1648"/>
      <c r="K948" s="1648">
        <f t="shared" si="157"/>
        <v>0</v>
      </c>
      <c r="L948" s="1648"/>
      <c r="M948" s="1648">
        <f t="shared" si="158"/>
        <v>0</v>
      </c>
      <c r="N948" s="1648">
        <f t="shared" si="159"/>
        <v>0</v>
      </c>
      <c r="O948" s="1648">
        <f t="shared" si="160"/>
        <v>0</v>
      </c>
      <c r="P948" s="1648">
        <f t="shared" si="161"/>
        <v>0</v>
      </c>
      <c r="Q948" s="1648">
        <f t="shared" si="162"/>
        <v>0</v>
      </c>
      <c r="R948" s="55">
        <f t="shared" si="163"/>
        <v>0</v>
      </c>
      <c r="S948" s="55">
        <f t="shared" si="164"/>
        <v>0</v>
      </c>
    </row>
    <row r="949" spans="1:19" ht="87" hidden="1" customHeight="1">
      <c r="A949" s="1854"/>
      <c r="B949" s="1648">
        <f t="shared" si="154"/>
        <v>0</v>
      </c>
      <c r="C949" s="1863" t="s">
        <v>5879</v>
      </c>
      <c r="D949" s="1655">
        <f>Elec.Data!K1096</f>
        <v>689.21</v>
      </c>
      <c r="E949" s="1687" t="s">
        <v>729</v>
      </c>
      <c r="F949" s="1649"/>
      <c r="G949" s="1648">
        <f t="shared" si="155"/>
        <v>0</v>
      </c>
      <c r="H949" s="1648"/>
      <c r="I949" s="1648">
        <f t="shared" si="156"/>
        <v>0</v>
      </c>
      <c r="J949" s="1648"/>
      <c r="K949" s="1648">
        <f t="shared" si="157"/>
        <v>0</v>
      </c>
      <c r="L949" s="1648"/>
      <c r="M949" s="1648">
        <f t="shared" si="158"/>
        <v>0</v>
      </c>
      <c r="N949" s="1648">
        <f t="shared" si="159"/>
        <v>0</v>
      </c>
      <c r="O949" s="1648">
        <f t="shared" si="160"/>
        <v>0</v>
      </c>
      <c r="P949" s="1648">
        <f t="shared" si="161"/>
        <v>0</v>
      </c>
      <c r="Q949" s="1648">
        <f t="shared" si="162"/>
        <v>0</v>
      </c>
      <c r="R949" s="55">
        <f t="shared" si="163"/>
        <v>0</v>
      </c>
      <c r="S949" s="55">
        <f t="shared" si="164"/>
        <v>0</v>
      </c>
    </row>
    <row r="950" spans="1:19" ht="87" hidden="1" customHeight="1">
      <c r="A950" s="1854"/>
      <c r="B950" s="1648">
        <f t="shared" si="154"/>
        <v>0</v>
      </c>
      <c r="C950" s="1863" t="s">
        <v>5880</v>
      </c>
      <c r="D950" s="1655">
        <f>Elec.Data!K146</f>
        <v>835</v>
      </c>
      <c r="E950" s="1687" t="s">
        <v>729</v>
      </c>
      <c r="F950" s="1649"/>
      <c r="G950" s="1648">
        <f t="shared" si="155"/>
        <v>0</v>
      </c>
      <c r="H950" s="1648"/>
      <c r="I950" s="1648">
        <f t="shared" si="156"/>
        <v>0</v>
      </c>
      <c r="J950" s="1648"/>
      <c r="K950" s="1648">
        <f t="shared" si="157"/>
        <v>0</v>
      </c>
      <c r="L950" s="1648"/>
      <c r="M950" s="1648">
        <f t="shared" si="158"/>
        <v>0</v>
      </c>
      <c r="N950" s="1648">
        <f t="shared" si="159"/>
        <v>0</v>
      </c>
      <c r="O950" s="1648">
        <f t="shared" si="160"/>
        <v>0</v>
      </c>
      <c r="P950" s="1648">
        <f t="shared" si="161"/>
        <v>0</v>
      </c>
      <c r="Q950" s="1648">
        <f t="shared" si="162"/>
        <v>0</v>
      </c>
      <c r="R950" s="55">
        <f t="shared" si="163"/>
        <v>0</v>
      </c>
      <c r="S950" s="55">
        <f t="shared" si="164"/>
        <v>0</v>
      </c>
    </row>
    <row r="951" spans="1:19" ht="77.25" hidden="1" customHeight="1">
      <c r="A951" s="1854"/>
      <c r="B951" s="1648">
        <f t="shared" si="154"/>
        <v>0</v>
      </c>
      <c r="C951" s="1863" t="s">
        <v>5881</v>
      </c>
      <c r="D951" s="1655">
        <f>Elec.Data!K1057</f>
        <v>980.1</v>
      </c>
      <c r="E951" s="1695" t="s">
        <v>282</v>
      </c>
      <c r="F951" s="1649"/>
      <c r="G951" s="1648">
        <f t="shared" si="155"/>
        <v>0</v>
      </c>
      <c r="H951" s="1648"/>
      <c r="I951" s="1648">
        <f t="shared" si="156"/>
        <v>0</v>
      </c>
      <c r="J951" s="1648"/>
      <c r="K951" s="1648">
        <f t="shared" si="157"/>
        <v>0</v>
      </c>
      <c r="L951" s="1648"/>
      <c r="M951" s="1648">
        <f t="shared" si="158"/>
        <v>0</v>
      </c>
      <c r="N951" s="1648">
        <f t="shared" si="159"/>
        <v>0</v>
      </c>
      <c r="O951" s="1648">
        <f t="shared" si="160"/>
        <v>0</v>
      </c>
      <c r="P951" s="1648">
        <f t="shared" si="161"/>
        <v>0</v>
      </c>
      <c r="Q951" s="1648">
        <f t="shared" si="162"/>
        <v>0</v>
      </c>
      <c r="R951" s="55">
        <f t="shared" si="163"/>
        <v>0</v>
      </c>
      <c r="S951" s="55">
        <f t="shared" si="164"/>
        <v>0</v>
      </c>
    </row>
    <row r="952" spans="1:19" ht="54" hidden="1" customHeight="1">
      <c r="A952" s="1854"/>
      <c r="B952" s="1648">
        <f t="shared" si="154"/>
        <v>0</v>
      </c>
      <c r="C952" s="1864" t="s">
        <v>5882</v>
      </c>
      <c r="D952" s="1655">
        <f>Data!K3792</f>
        <v>3879.13</v>
      </c>
      <c r="E952" s="1687" t="s">
        <v>724</v>
      </c>
      <c r="F952" s="1649"/>
      <c r="G952" s="1648">
        <f t="shared" si="155"/>
        <v>0</v>
      </c>
      <c r="H952" s="1648"/>
      <c r="I952" s="1648">
        <f t="shared" si="156"/>
        <v>0</v>
      </c>
      <c r="J952" s="1648"/>
      <c r="K952" s="1648">
        <f t="shared" si="157"/>
        <v>0</v>
      </c>
      <c r="L952" s="1648"/>
      <c r="M952" s="1648">
        <f t="shared" si="158"/>
        <v>0</v>
      </c>
      <c r="N952" s="1648">
        <f t="shared" si="159"/>
        <v>0</v>
      </c>
      <c r="O952" s="1648">
        <f t="shared" si="160"/>
        <v>0</v>
      </c>
      <c r="P952" s="1648">
        <f t="shared" si="161"/>
        <v>0</v>
      </c>
      <c r="Q952" s="1648">
        <f t="shared" si="162"/>
        <v>0</v>
      </c>
      <c r="R952" s="55">
        <f t="shared" si="163"/>
        <v>0</v>
      </c>
      <c r="S952" s="55">
        <f t="shared" si="164"/>
        <v>0</v>
      </c>
    </row>
    <row r="953" spans="1:19" ht="72" hidden="1" customHeight="1">
      <c r="A953" s="1854"/>
      <c r="B953" s="1648">
        <f t="shared" si="154"/>
        <v>0</v>
      </c>
      <c r="C953" s="1864" t="s">
        <v>5883</v>
      </c>
      <c r="D953" s="1655">
        <f>Data!X3668</f>
        <v>6187.12</v>
      </c>
      <c r="E953" s="1687" t="s">
        <v>724</v>
      </c>
      <c r="F953" s="1649"/>
      <c r="G953" s="1648">
        <f t="shared" si="155"/>
        <v>0</v>
      </c>
      <c r="H953" s="1648"/>
      <c r="I953" s="1648">
        <f t="shared" si="156"/>
        <v>0</v>
      </c>
      <c r="J953" s="1648"/>
      <c r="K953" s="1648">
        <f t="shared" si="157"/>
        <v>0</v>
      </c>
      <c r="L953" s="1648"/>
      <c r="M953" s="1648">
        <f t="shared" si="158"/>
        <v>0</v>
      </c>
      <c r="N953" s="1648">
        <f t="shared" si="159"/>
        <v>0</v>
      </c>
      <c r="O953" s="1648">
        <f t="shared" si="160"/>
        <v>0</v>
      </c>
      <c r="P953" s="1648">
        <f t="shared" si="161"/>
        <v>0</v>
      </c>
      <c r="Q953" s="1648">
        <f t="shared" si="162"/>
        <v>0</v>
      </c>
      <c r="R953" s="55">
        <f t="shared" si="163"/>
        <v>0</v>
      </c>
      <c r="S953" s="55">
        <f t="shared" si="164"/>
        <v>0</v>
      </c>
    </row>
    <row r="954" spans="1:19" ht="69" hidden="1" customHeight="1">
      <c r="A954" s="1854"/>
      <c r="B954" s="1648">
        <f t="shared" si="154"/>
        <v>0</v>
      </c>
      <c r="C954" s="1864" t="s">
        <v>5884</v>
      </c>
      <c r="D954" s="1655">
        <f>Data!X3696</f>
        <v>7959.7</v>
      </c>
      <c r="E954" s="1687" t="s">
        <v>724</v>
      </c>
      <c r="F954" s="1649"/>
      <c r="G954" s="1648">
        <f t="shared" si="155"/>
        <v>0</v>
      </c>
      <c r="H954" s="1648"/>
      <c r="I954" s="1648">
        <f t="shared" si="156"/>
        <v>0</v>
      </c>
      <c r="J954" s="1648"/>
      <c r="K954" s="1648">
        <f t="shared" si="157"/>
        <v>0</v>
      </c>
      <c r="L954" s="1648"/>
      <c r="M954" s="1648">
        <f t="shared" si="158"/>
        <v>0</v>
      </c>
      <c r="N954" s="1648">
        <f t="shared" si="159"/>
        <v>0</v>
      </c>
      <c r="O954" s="1648">
        <f t="shared" si="160"/>
        <v>0</v>
      </c>
      <c r="P954" s="1648">
        <f t="shared" si="161"/>
        <v>0</v>
      </c>
      <c r="Q954" s="1648">
        <f t="shared" si="162"/>
        <v>0</v>
      </c>
      <c r="R954" s="55">
        <f t="shared" si="163"/>
        <v>0</v>
      </c>
      <c r="S954" s="55">
        <f t="shared" si="164"/>
        <v>0</v>
      </c>
    </row>
    <row r="955" spans="1:19" ht="66" hidden="1" customHeight="1">
      <c r="A955" s="1854"/>
      <c r="B955" s="1648">
        <f t="shared" si="154"/>
        <v>0</v>
      </c>
      <c r="C955" s="1864" t="s">
        <v>5885</v>
      </c>
      <c r="D955" s="1655">
        <f>Data!K3837</f>
        <v>1400.15</v>
      </c>
      <c r="E955" s="1695" t="s">
        <v>724</v>
      </c>
      <c r="F955" s="1649"/>
      <c r="G955" s="1648">
        <f t="shared" si="155"/>
        <v>0</v>
      </c>
      <c r="H955" s="1648"/>
      <c r="I955" s="1648">
        <f t="shared" si="156"/>
        <v>0</v>
      </c>
      <c r="J955" s="1648"/>
      <c r="K955" s="1648">
        <f t="shared" si="157"/>
        <v>0</v>
      </c>
      <c r="L955" s="1648"/>
      <c r="M955" s="1648">
        <f t="shared" si="158"/>
        <v>0</v>
      </c>
      <c r="N955" s="1648">
        <f t="shared" si="159"/>
        <v>0</v>
      </c>
      <c r="O955" s="1648">
        <f t="shared" si="160"/>
        <v>0</v>
      </c>
      <c r="P955" s="1648">
        <f t="shared" si="161"/>
        <v>0</v>
      </c>
      <c r="Q955" s="1648">
        <f t="shared" si="162"/>
        <v>0</v>
      </c>
      <c r="R955" s="55">
        <f t="shared" si="163"/>
        <v>0</v>
      </c>
      <c r="S955" s="55">
        <f t="shared" si="164"/>
        <v>0</v>
      </c>
    </row>
    <row r="956" spans="1:19" ht="76.5" hidden="1" customHeight="1">
      <c r="A956" s="1854"/>
      <c r="B956" s="1648">
        <f t="shared" si="154"/>
        <v>0</v>
      </c>
      <c r="C956" s="1866" t="s">
        <v>5886</v>
      </c>
      <c r="D956" s="1655">
        <f>Data!K3814</f>
        <v>1698.42</v>
      </c>
      <c r="E956" s="1695" t="s">
        <v>724</v>
      </c>
      <c r="F956" s="1649"/>
      <c r="G956" s="1648">
        <f t="shared" si="155"/>
        <v>0</v>
      </c>
      <c r="H956" s="1648"/>
      <c r="I956" s="1648">
        <f t="shared" si="156"/>
        <v>0</v>
      </c>
      <c r="J956" s="1648"/>
      <c r="K956" s="1648">
        <f t="shared" si="157"/>
        <v>0</v>
      </c>
      <c r="L956" s="1648"/>
      <c r="M956" s="1648">
        <f t="shared" si="158"/>
        <v>0</v>
      </c>
      <c r="N956" s="1648">
        <f t="shared" si="159"/>
        <v>0</v>
      </c>
      <c r="O956" s="1648">
        <f t="shared" si="160"/>
        <v>0</v>
      </c>
      <c r="P956" s="1648">
        <f t="shared" si="161"/>
        <v>0</v>
      </c>
      <c r="Q956" s="1648">
        <f t="shared" si="162"/>
        <v>0</v>
      </c>
      <c r="R956" s="55">
        <f t="shared" si="163"/>
        <v>0</v>
      </c>
      <c r="S956" s="55">
        <f t="shared" si="164"/>
        <v>0</v>
      </c>
    </row>
    <row r="957" spans="1:19" s="1643" customFormat="1" ht="142.5" hidden="1" customHeight="1">
      <c r="A957" s="1854"/>
      <c r="B957" s="1648">
        <f t="shared" si="154"/>
        <v>0</v>
      </c>
      <c r="C957" s="1863" t="s">
        <v>5887</v>
      </c>
      <c r="D957" s="1655">
        <v>1839</v>
      </c>
      <c r="E957" s="1690" t="s">
        <v>729</v>
      </c>
      <c r="F957" s="1649"/>
      <c r="G957" s="1648">
        <f t="shared" si="155"/>
        <v>0</v>
      </c>
      <c r="H957" s="1648"/>
      <c r="I957" s="1648">
        <f t="shared" si="156"/>
        <v>0</v>
      </c>
      <c r="J957" s="1648"/>
      <c r="K957" s="1648">
        <f t="shared" si="157"/>
        <v>0</v>
      </c>
      <c r="L957" s="1648"/>
      <c r="M957" s="1648">
        <f t="shared" si="158"/>
        <v>0</v>
      </c>
      <c r="N957" s="1648">
        <f t="shared" si="159"/>
        <v>0</v>
      </c>
      <c r="O957" s="1648">
        <f t="shared" si="160"/>
        <v>0</v>
      </c>
      <c r="P957" s="1648">
        <f t="shared" si="161"/>
        <v>0</v>
      </c>
      <c r="Q957" s="1648">
        <f t="shared" si="162"/>
        <v>0</v>
      </c>
      <c r="R957" s="55">
        <f t="shared" si="163"/>
        <v>0</v>
      </c>
      <c r="S957" s="55">
        <f t="shared" si="164"/>
        <v>0</v>
      </c>
    </row>
    <row r="958" spans="1:19" ht="123" hidden="1" customHeight="1">
      <c r="A958" s="1854"/>
      <c r="B958" s="1648">
        <f t="shared" si="154"/>
        <v>0</v>
      </c>
      <c r="C958" s="1863" t="s">
        <v>5888</v>
      </c>
      <c r="D958" s="1668">
        <f>Elec.Data!K1266</f>
        <v>0</v>
      </c>
      <c r="E958" s="1701" t="s">
        <v>729</v>
      </c>
      <c r="F958" s="1649"/>
      <c r="G958" s="1648">
        <f t="shared" si="155"/>
        <v>0</v>
      </c>
      <c r="H958" s="1648"/>
      <c r="I958" s="1648">
        <f t="shared" si="156"/>
        <v>0</v>
      </c>
      <c r="J958" s="1648"/>
      <c r="K958" s="1648">
        <f t="shared" si="157"/>
        <v>0</v>
      </c>
      <c r="L958" s="1648"/>
      <c r="M958" s="1648">
        <f t="shared" si="158"/>
        <v>0</v>
      </c>
      <c r="N958" s="1648">
        <f t="shared" si="159"/>
        <v>0</v>
      </c>
      <c r="O958" s="1648">
        <f t="shared" si="160"/>
        <v>0</v>
      </c>
      <c r="P958" s="1648">
        <f t="shared" si="161"/>
        <v>0</v>
      </c>
      <c r="Q958" s="1648">
        <f t="shared" si="162"/>
        <v>0</v>
      </c>
      <c r="R958" s="55">
        <f t="shared" si="163"/>
        <v>0</v>
      </c>
      <c r="S958" s="55">
        <f t="shared" si="164"/>
        <v>0</v>
      </c>
    </row>
    <row r="959" spans="1:19" ht="89.25" hidden="1" customHeight="1">
      <c r="A959" s="1854"/>
      <c r="B959" s="1648">
        <f t="shared" si="154"/>
        <v>0</v>
      </c>
      <c r="C959" s="1863" t="s">
        <v>5889</v>
      </c>
      <c r="D959" s="1668">
        <v>8100</v>
      </c>
      <c r="E959" s="1701" t="s">
        <v>729</v>
      </c>
      <c r="F959" s="1649"/>
      <c r="G959" s="1648">
        <f t="shared" si="155"/>
        <v>0</v>
      </c>
      <c r="H959" s="1648"/>
      <c r="I959" s="1648">
        <f t="shared" si="156"/>
        <v>0</v>
      </c>
      <c r="J959" s="1648"/>
      <c r="K959" s="1648">
        <f t="shared" si="157"/>
        <v>0</v>
      </c>
      <c r="L959" s="1648"/>
      <c r="M959" s="1648">
        <f t="shared" si="158"/>
        <v>0</v>
      </c>
      <c r="N959" s="1648">
        <f t="shared" si="159"/>
        <v>0</v>
      </c>
      <c r="O959" s="1648">
        <f t="shared" si="160"/>
        <v>0</v>
      </c>
      <c r="P959" s="1648">
        <f t="shared" si="161"/>
        <v>0</v>
      </c>
      <c r="Q959" s="1648">
        <f t="shared" si="162"/>
        <v>0</v>
      </c>
      <c r="R959" s="55">
        <f t="shared" si="163"/>
        <v>0</v>
      </c>
      <c r="S959" s="55">
        <f t="shared" si="164"/>
        <v>0</v>
      </c>
    </row>
    <row r="960" spans="1:19" ht="87.75" customHeight="1">
      <c r="A960" s="1854"/>
      <c r="B960" s="1648">
        <f t="shared" si="154"/>
        <v>34</v>
      </c>
      <c r="C960" s="1863" t="s">
        <v>5890</v>
      </c>
      <c r="D960" s="1670">
        <v>814.46</v>
      </c>
      <c r="E960" s="1691" t="s">
        <v>729</v>
      </c>
      <c r="F960" s="1649">
        <f>'Detail '!I2698</f>
        <v>34</v>
      </c>
      <c r="G960" s="1648">
        <f t="shared" si="155"/>
        <v>27691.64</v>
      </c>
      <c r="H960" s="1648"/>
      <c r="I960" s="1648">
        <f t="shared" si="156"/>
        <v>0</v>
      </c>
      <c r="J960" s="1648"/>
      <c r="K960" s="1648">
        <f t="shared" si="157"/>
        <v>0</v>
      </c>
      <c r="L960" s="1648"/>
      <c r="M960" s="1648">
        <f t="shared" si="158"/>
        <v>0</v>
      </c>
      <c r="N960" s="1648">
        <f t="shared" si="159"/>
        <v>0</v>
      </c>
      <c r="O960" s="1648">
        <f t="shared" si="160"/>
        <v>0</v>
      </c>
      <c r="P960" s="1648">
        <f t="shared" si="161"/>
        <v>34</v>
      </c>
      <c r="Q960" s="1648">
        <f t="shared" si="162"/>
        <v>27691.64</v>
      </c>
      <c r="R960" s="55">
        <f t="shared" si="163"/>
        <v>27691.64</v>
      </c>
      <c r="S960" s="55">
        <f t="shared" si="164"/>
        <v>0</v>
      </c>
    </row>
    <row r="961" spans="1:19" ht="69.75" customHeight="1">
      <c r="A961" s="1854"/>
      <c r="B961" s="1648">
        <f t="shared" si="154"/>
        <v>1</v>
      </c>
      <c r="C961" s="1873" t="s">
        <v>5891</v>
      </c>
      <c r="D961" s="1669">
        <f>Elec.Data!R815</f>
        <v>8777</v>
      </c>
      <c r="E961" s="1701" t="s">
        <v>729</v>
      </c>
      <c r="F961" s="1649">
        <f>'Detail '!I2946</f>
        <v>1</v>
      </c>
      <c r="G961" s="1648">
        <f t="shared" si="155"/>
        <v>8777</v>
      </c>
      <c r="H961" s="1648"/>
      <c r="I961" s="1648">
        <f t="shared" si="156"/>
        <v>0</v>
      </c>
      <c r="J961" s="1648"/>
      <c r="K961" s="1648">
        <f t="shared" si="157"/>
        <v>0</v>
      </c>
      <c r="L961" s="1648"/>
      <c r="M961" s="1648">
        <f t="shared" si="158"/>
        <v>0</v>
      </c>
      <c r="N961" s="1648">
        <f t="shared" si="159"/>
        <v>0</v>
      </c>
      <c r="O961" s="1648">
        <f t="shared" si="160"/>
        <v>0</v>
      </c>
      <c r="P961" s="1648">
        <f t="shared" si="161"/>
        <v>1</v>
      </c>
      <c r="Q961" s="1648">
        <f t="shared" si="162"/>
        <v>8777</v>
      </c>
      <c r="R961" s="55">
        <f t="shared" si="163"/>
        <v>8777</v>
      </c>
      <c r="S961" s="55">
        <f t="shared" si="164"/>
        <v>0</v>
      </c>
    </row>
    <row r="962" spans="1:19" ht="111" hidden="1" customHeight="1">
      <c r="A962" s="1854">
        <v>21.6</v>
      </c>
      <c r="B962" s="1648">
        <f t="shared" si="154"/>
        <v>0</v>
      </c>
      <c r="C962" s="1864" t="s">
        <v>5892</v>
      </c>
      <c r="D962" s="1649"/>
      <c r="E962" s="1687"/>
      <c r="F962" s="1649"/>
      <c r="G962" s="1648">
        <f t="shared" si="155"/>
        <v>0</v>
      </c>
      <c r="H962" s="1648"/>
      <c r="I962" s="1648">
        <f t="shared" si="156"/>
        <v>0</v>
      </c>
      <c r="J962" s="1648"/>
      <c r="K962" s="1648">
        <f t="shared" si="157"/>
        <v>0</v>
      </c>
      <c r="L962" s="1648"/>
      <c r="M962" s="1648">
        <f t="shared" si="158"/>
        <v>0</v>
      </c>
      <c r="N962" s="1648">
        <f t="shared" si="159"/>
        <v>0</v>
      </c>
      <c r="O962" s="1648">
        <f t="shared" si="160"/>
        <v>0</v>
      </c>
      <c r="P962" s="1648">
        <f t="shared" si="161"/>
        <v>0</v>
      </c>
      <c r="Q962" s="1648">
        <f t="shared" si="162"/>
        <v>0</v>
      </c>
      <c r="R962" s="55">
        <f t="shared" si="163"/>
        <v>0</v>
      </c>
      <c r="S962" s="55">
        <f t="shared" si="164"/>
        <v>0</v>
      </c>
    </row>
    <row r="963" spans="1:19" ht="45" hidden="1" customHeight="1">
      <c r="A963" s="1693"/>
      <c r="B963" s="1648">
        <f t="shared" si="154"/>
        <v>0</v>
      </c>
      <c r="C963" s="1863" t="s">
        <v>5407</v>
      </c>
      <c r="D963" s="1649">
        <f>Data!K3950</f>
        <v>2893.25</v>
      </c>
      <c r="E963" s="1687" t="s">
        <v>729</v>
      </c>
      <c r="F963" s="1649"/>
      <c r="G963" s="1648">
        <f t="shared" si="155"/>
        <v>0</v>
      </c>
      <c r="H963" s="1648"/>
      <c r="I963" s="1648">
        <f t="shared" si="156"/>
        <v>0</v>
      </c>
      <c r="J963" s="1648"/>
      <c r="K963" s="1648">
        <f t="shared" si="157"/>
        <v>0</v>
      </c>
      <c r="L963" s="1648"/>
      <c r="M963" s="1648">
        <f t="shared" si="158"/>
        <v>0</v>
      </c>
      <c r="N963" s="1648">
        <f t="shared" si="159"/>
        <v>0</v>
      </c>
      <c r="O963" s="1648">
        <f t="shared" si="160"/>
        <v>0</v>
      </c>
      <c r="P963" s="1648">
        <f t="shared" si="161"/>
        <v>0</v>
      </c>
      <c r="Q963" s="1648">
        <f t="shared" si="162"/>
        <v>0</v>
      </c>
      <c r="R963" s="55">
        <f t="shared" si="163"/>
        <v>0</v>
      </c>
      <c r="S963" s="55">
        <f t="shared" si="164"/>
        <v>0</v>
      </c>
    </row>
    <row r="964" spans="1:19" ht="45" hidden="1" customHeight="1">
      <c r="A964" s="1693"/>
      <c r="B964" s="1648">
        <f t="shared" si="154"/>
        <v>0</v>
      </c>
      <c r="C964" s="1863" t="s">
        <v>5623</v>
      </c>
      <c r="D964" s="1649">
        <f>Data!K3983</f>
        <v>3462.83</v>
      </c>
      <c r="E964" s="1687" t="s">
        <v>729</v>
      </c>
      <c r="F964" s="1649"/>
      <c r="G964" s="1648">
        <f t="shared" si="155"/>
        <v>0</v>
      </c>
      <c r="H964" s="1648"/>
      <c r="I964" s="1648">
        <f t="shared" si="156"/>
        <v>0</v>
      </c>
      <c r="J964" s="1648"/>
      <c r="K964" s="1648">
        <f t="shared" si="157"/>
        <v>0</v>
      </c>
      <c r="L964" s="1648"/>
      <c r="M964" s="1648">
        <f t="shared" si="158"/>
        <v>0</v>
      </c>
      <c r="N964" s="1648">
        <f t="shared" si="159"/>
        <v>0</v>
      </c>
      <c r="O964" s="1648">
        <f t="shared" si="160"/>
        <v>0</v>
      </c>
      <c r="P964" s="1648">
        <f t="shared" si="161"/>
        <v>0</v>
      </c>
      <c r="Q964" s="1648">
        <f t="shared" si="162"/>
        <v>0</v>
      </c>
      <c r="R964" s="55">
        <f t="shared" si="163"/>
        <v>0</v>
      </c>
      <c r="S964" s="55">
        <f t="shared" si="164"/>
        <v>0</v>
      </c>
    </row>
    <row r="965" spans="1:19" ht="45" hidden="1" customHeight="1">
      <c r="A965" s="1693"/>
      <c r="B965" s="1648">
        <f t="shared" si="154"/>
        <v>0</v>
      </c>
      <c r="C965" s="1863" t="s">
        <v>5624</v>
      </c>
      <c r="D965" s="1649">
        <f>Data!K3966</f>
        <v>2854.29</v>
      </c>
      <c r="E965" s="1687"/>
      <c r="F965" s="1649"/>
      <c r="G965" s="1648">
        <f t="shared" si="155"/>
        <v>0</v>
      </c>
      <c r="H965" s="1648"/>
      <c r="I965" s="1648">
        <f t="shared" si="156"/>
        <v>0</v>
      </c>
      <c r="J965" s="1648"/>
      <c r="K965" s="1648">
        <f t="shared" si="157"/>
        <v>0</v>
      </c>
      <c r="L965" s="1648"/>
      <c r="M965" s="1648">
        <f t="shared" si="158"/>
        <v>0</v>
      </c>
      <c r="N965" s="1648">
        <f t="shared" si="159"/>
        <v>0</v>
      </c>
      <c r="O965" s="1648">
        <f t="shared" si="160"/>
        <v>0</v>
      </c>
      <c r="P965" s="1648">
        <f t="shared" si="161"/>
        <v>0</v>
      </c>
      <c r="Q965" s="1648">
        <f t="shared" si="162"/>
        <v>0</v>
      </c>
      <c r="R965" s="55">
        <f t="shared" si="163"/>
        <v>0</v>
      </c>
      <c r="S965" s="55">
        <f t="shared" si="164"/>
        <v>0</v>
      </c>
    </row>
    <row r="966" spans="1:19" ht="54.75" hidden="1" customHeight="1">
      <c r="A966" s="1693"/>
      <c r="B966" s="1648">
        <f t="shared" ref="B966:B1029" si="165">P966</f>
        <v>0</v>
      </c>
      <c r="C966" s="1863" t="s">
        <v>5409</v>
      </c>
      <c r="D966" s="1649">
        <f>Data!K3932</f>
        <v>2916.39</v>
      </c>
      <c r="E966" s="1687" t="s">
        <v>729</v>
      </c>
      <c r="F966" s="1649"/>
      <c r="G966" s="1648">
        <f t="shared" ref="G966:G1029" si="166">F966*D966</f>
        <v>0</v>
      </c>
      <c r="H966" s="1648"/>
      <c r="I966" s="1648">
        <f t="shared" ref="I966:I1029" si="167">H966*D966</f>
        <v>0</v>
      </c>
      <c r="J966" s="1648"/>
      <c r="K966" s="1648">
        <f t="shared" ref="K966:K1030" si="168">J966*D966</f>
        <v>0</v>
      </c>
      <c r="L966" s="1648"/>
      <c r="M966" s="1648">
        <f t="shared" ref="M966:M1030" si="169">L966*D966</f>
        <v>0</v>
      </c>
      <c r="N966" s="1648">
        <f t="shared" ref="N966:N1030" si="170">H966+J966+L966</f>
        <v>0</v>
      </c>
      <c r="O966" s="1648">
        <f t="shared" ref="O966:O1030" si="171">N966*D966</f>
        <v>0</v>
      </c>
      <c r="P966" s="1648">
        <f t="shared" ref="P966:P1029" si="172">N966+F966</f>
        <v>0</v>
      </c>
      <c r="Q966" s="1648">
        <f t="shared" ref="Q966:Q1029" si="173">P966*D966</f>
        <v>0</v>
      </c>
      <c r="R966" s="55">
        <f t="shared" ref="R966:R1029" si="174">G966+I966+K966+M966</f>
        <v>0</v>
      </c>
      <c r="S966" s="55">
        <f t="shared" ref="S966:S1029" si="175">Q966-R966</f>
        <v>0</v>
      </c>
    </row>
    <row r="967" spans="1:19" ht="54.95" customHeight="1">
      <c r="A967" s="1693"/>
      <c r="B967" s="1648">
        <f t="shared" si="165"/>
        <v>179</v>
      </c>
      <c r="C967" s="1863" t="s">
        <v>5893</v>
      </c>
      <c r="D967" s="1648">
        <v>135</v>
      </c>
      <c r="E967" s="1687" t="s">
        <v>729</v>
      </c>
      <c r="F967" s="1649">
        <f>'Detail '!I2852</f>
        <v>179</v>
      </c>
      <c r="G967" s="1648">
        <f t="shared" si="166"/>
        <v>24165</v>
      </c>
      <c r="H967" s="1648"/>
      <c r="I967" s="1648">
        <f t="shared" si="167"/>
        <v>0</v>
      </c>
      <c r="J967" s="1648"/>
      <c r="K967" s="1648">
        <f t="shared" si="168"/>
        <v>0</v>
      </c>
      <c r="L967" s="1648"/>
      <c r="M967" s="1648">
        <f t="shared" si="169"/>
        <v>0</v>
      </c>
      <c r="N967" s="1648">
        <f t="shared" si="170"/>
        <v>0</v>
      </c>
      <c r="O967" s="1648">
        <f t="shared" si="171"/>
        <v>0</v>
      </c>
      <c r="P967" s="1648">
        <f t="shared" si="172"/>
        <v>179</v>
      </c>
      <c r="Q967" s="1648">
        <f t="shared" si="173"/>
        <v>24165</v>
      </c>
      <c r="R967" s="55">
        <f t="shared" si="174"/>
        <v>24165</v>
      </c>
      <c r="S967" s="55">
        <f t="shared" si="175"/>
        <v>0</v>
      </c>
    </row>
    <row r="968" spans="1:19" ht="54.95" customHeight="1">
      <c r="A968" s="1693"/>
      <c r="B968" s="1648">
        <f t="shared" si="165"/>
        <v>176</v>
      </c>
      <c r="C968" s="1863" t="s">
        <v>5894</v>
      </c>
      <c r="D968" s="1670">
        <v>690</v>
      </c>
      <c r="E968" s="1687" t="s">
        <v>729</v>
      </c>
      <c r="F968" s="1649">
        <f>'Detail '!I2914</f>
        <v>176</v>
      </c>
      <c r="G968" s="1648">
        <f t="shared" si="166"/>
        <v>121440</v>
      </c>
      <c r="H968" s="1648"/>
      <c r="I968" s="1648">
        <f t="shared" si="167"/>
        <v>0</v>
      </c>
      <c r="J968" s="1648"/>
      <c r="K968" s="1648">
        <f t="shared" si="168"/>
        <v>0</v>
      </c>
      <c r="L968" s="1648"/>
      <c r="M968" s="1648">
        <f t="shared" si="169"/>
        <v>0</v>
      </c>
      <c r="N968" s="1648">
        <f t="shared" si="170"/>
        <v>0</v>
      </c>
      <c r="O968" s="1648">
        <f t="shared" si="171"/>
        <v>0</v>
      </c>
      <c r="P968" s="1648">
        <f t="shared" si="172"/>
        <v>176</v>
      </c>
      <c r="Q968" s="1648">
        <f t="shared" si="173"/>
        <v>121440</v>
      </c>
      <c r="R968" s="55">
        <f t="shared" si="174"/>
        <v>121440</v>
      </c>
      <c r="S968" s="55">
        <f t="shared" si="175"/>
        <v>0</v>
      </c>
    </row>
    <row r="969" spans="1:19" ht="65.099999999999994" customHeight="1">
      <c r="A969" s="1693"/>
      <c r="B969" s="1648">
        <f t="shared" si="165"/>
        <v>9</v>
      </c>
      <c r="C969" s="1863" t="s">
        <v>5895</v>
      </c>
      <c r="D969" s="1670">
        <v>517</v>
      </c>
      <c r="E969" s="1687" t="s">
        <v>729</v>
      </c>
      <c r="F969" s="1649">
        <f>'Detail '!I2918</f>
        <v>9</v>
      </c>
      <c r="G969" s="1648">
        <f t="shared" si="166"/>
        <v>4653</v>
      </c>
      <c r="H969" s="1648"/>
      <c r="I969" s="1648">
        <f t="shared" si="167"/>
        <v>0</v>
      </c>
      <c r="J969" s="1648"/>
      <c r="K969" s="1648">
        <f t="shared" si="168"/>
        <v>0</v>
      </c>
      <c r="L969" s="1648"/>
      <c r="M969" s="1648">
        <f t="shared" si="169"/>
        <v>0</v>
      </c>
      <c r="N969" s="1648">
        <f t="shared" si="170"/>
        <v>0</v>
      </c>
      <c r="O969" s="1648">
        <f t="shared" si="171"/>
        <v>0</v>
      </c>
      <c r="P969" s="1648">
        <f t="shared" si="172"/>
        <v>9</v>
      </c>
      <c r="Q969" s="1648">
        <f t="shared" si="173"/>
        <v>4653</v>
      </c>
      <c r="R969" s="55">
        <f t="shared" si="174"/>
        <v>4653</v>
      </c>
      <c r="S969" s="55">
        <f t="shared" si="175"/>
        <v>0</v>
      </c>
    </row>
    <row r="970" spans="1:19" ht="54.95" hidden="1" customHeight="1">
      <c r="A970" s="1693"/>
      <c r="B970" s="1648">
        <f t="shared" si="165"/>
        <v>0</v>
      </c>
      <c r="C970" s="1863" t="s">
        <v>5896</v>
      </c>
      <c r="D970" s="1648">
        <f>Elec.Data!Y807</f>
        <v>4030</v>
      </c>
      <c r="E970" s="1687" t="s">
        <v>729</v>
      </c>
      <c r="F970" s="1649"/>
      <c r="G970" s="1648">
        <f t="shared" si="166"/>
        <v>0</v>
      </c>
      <c r="H970" s="1648"/>
      <c r="I970" s="1648">
        <f t="shared" si="167"/>
        <v>0</v>
      </c>
      <c r="J970" s="1648"/>
      <c r="K970" s="1648">
        <f t="shared" si="168"/>
        <v>0</v>
      </c>
      <c r="L970" s="1648"/>
      <c r="M970" s="1648">
        <f t="shared" si="169"/>
        <v>0</v>
      </c>
      <c r="N970" s="1648">
        <f t="shared" si="170"/>
        <v>0</v>
      </c>
      <c r="O970" s="1648">
        <f t="shared" si="171"/>
        <v>0</v>
      </c>
      <c r="P970" s="1648">
        <f t="shared" si="172"/>
        <v>0</v>
      </c>
      <c r="Q970" s="1648">
        <f t="shared" si="173"/>
        <v>0</v>
      </c>
      <c r="R970" s="55">
        <f t="shared" si="174"/>
        <v>0</v>
      </c>
      <c r="S970" s="55">
        <f t="shared" si="175"/>
        <v>0</v>
      </c>
    </row>
    <row r="971" spans="1:19" ht="54.95" customHeight="1">
      <c r="A971" s="1693"/>
      <c r="B971" s="1648">
        <f t="shared" si="165"/>
        <v>9</v>
      </c>
      <c r="C971" s="1863" t="s">
        <v>5897</v>
      </c>
      <c r="D971" s="1648">
        <v>170</v>
      </c>
      <c r="E971" s="1687" t="str">
        <f>E970</f>
        <v>Each</v>
      </c>
      <c r="F971" s="1654">
        <v>9</v>
      </c>
      <c r="G971" s="1648">
        <f t="shared" si="166"/>
        <v>1530</v>
      </c>
      <c r="H971" s="1648"/>
      <c r="I971" s="1648">
        <f t="shared" si="167"/>
        <v>0</v>
      </c>
      <c r="J971" s="1648"/>
      <c r="K971" s="1648">
        <f t="shared" si="168"/>
        <v>0</v>
      </c>
      <c r="L971" s="1648"/>
      <c r="M971" s="1648">
        <f t="shared" si="169"/>
        <v>0</v>
      </c>
      <c r="N971" s="1648">
        <f t="shared" si="170"/>
        <v>0</v>
      </c>
      <c r="O971" s="1648">
        <f t="shared" si="171"/>
        <v>0</v>
      </c>
      <c r="P971" s="1648">
        <f t="shared" si="172"/>
        <v>9</v>
      </c>
      <c r="Q971" s="1648">
        <f t="shared" si="173"/>
        <v>1530</v>
      </c>
      <c r="R971" s="55">
        <f t="shared" si="174"/>
        <v>1530</v>
      </c>
      <c r="S971" s="55">
        <f t="shared" si="175"/>
        <v>0</v>
      </c>
    </row>
    <row r="972" spans="1:19" ht="44.25" customHeight="1">
      <c r="A972" s="1708"/>
      <c r="B972" s="1648">
        <f t="shared" si="165"/>
        <v>8</v>
      </c>
      <c r="C972" s="1874" t="s">
        <v>2608</v>
      </c>
      <c r="D972" s="1678">
        <f>Elec.Data!K637</f>
        <v>3068.5</v>
      </c>
      <c r="E972" s="1708" t="s">
        <v>729</v>
      </c>
      <c r="F972" s="1682">
        <v>8</v>
      </c>
      <c r="G972" s="1648">
        <f t="shared" si="166"/>
        <v>24548</v>
      </c>
      <c r="H972" s="1680"/>
      <c r="I972" s="1648">
        <f t="shared" si="167"/>
        <v>0</v>
      </c>
      <c r="J972" s="1680"/>
      <c r="K972" s="1680"/>
      <c r="L972" s="1680"/>
      <c r="M972" s="1680"/>
      <c r="N972" s="1680"/>
      <c r="O972" s="1680"/>
      <c r="P972" s="1648">
        <f t="shared" si="172"/>
        <v>8</v>
      </c>
      <c r="Q972" s="1648">
        <f t="shared" si="173"/>
        <v>24548</v>
      </c>
      <c r="R972" s="55">
        <f t="shared" si="174"/>
        <v>24548</v>
      </c>
      <c r="S972" s="55">
        <f t="shared" si="175"/>
        <v>0</v>
      </c>
    </row>
    <row r="973" spans="1:19" ht="77.25" hidden="1" customHeight="1">
      <c r="A973" s="1693"/>
      <c r="B973" s="1648">
        <f t="shared" si="165"/>
        <v>0</v>
      </c>
      <c r="C973" s="1864" t="s">
        <v>5898</v>
      </c>
      <c r="D973" s="1648">
        <v>5508</v>
      </c>
      <c r="E973" s="1687" t="s">
        <v>724</v>
      </c>
      <c r="F973" s="1649"/>
      <c r="G973" s="1648">
        <f t="shared" si="166"/>
        <v>0</v>
      </c>
      <c r="H973" s="1648"/>
      <c r="I973" s="1648">
        <f t="shared" si="167"/>
        <v>0</v>
      </c>
      <c r="J973" s="1648"/>
      <c r="K973" s="1648">
        <f t="shared" si="168"/>
        <v>0</v>
      </c>
      <c r="L973" s="1648"/>
      <c r="M973" s="1648">
        <f t="shared" si="169"/>
        <v>0</v>
      </c>
      <c r="N973" s="1648">
        <f t="shared" si="170"/>
        <v>0</v>
      </c>
      <c r="O973" s="1648">
        <f t="shared" si="171"/>
        <v>0</v>
      </c>
      <c r="P973" s="1648">
        <f t="shared" si="172"/>
        <v>0</v>
      </c>
      <c r="Q973" s="1648">
        <f t="shared" si="173"/>
        <v>0</v>
      </c>
      <c r="R973" s="55">
        <f t="shared" si="174"/>
        <v>0</v>
      </c>
      <c r="S973" s="55">
        <f t="shared" si="175"/>
        <v>0</v>
      </c>
    </row>
    <row r="974" spans="1:19" ht="60.75" hidden="1" customHeight="1">
      <c r="A974" s="1693"/>
      <c r="B974" s="1648">
        <f t="shared" si="165"/>
        <v>0</v>
      </c>
      <c r="C974" s="1863" t="s">
        <v>5899</v>
      </c>
      <c r="D974" s="1648">
        <f>Data!K3738</f>
        <v>98.65</v>
      </c>
      <c r="E974" s="1687" t="s">
        <v>724</v>
      </c>
      <c r="F974" s="1649"/>
      <c r="G974" s="1648">
        <f t="shared" si="166"/>
        <v>0</v>
      </c>
      <c r="H974" s="1648"/>
      <c r="I974" s="1648">
        <f t="shared" si="167"/>
        <v>0</v>
      </c>
      <c r="J974" s="1648"/>
      <c r="K974" s="1648">
        <f t="shared" si="168"/>
        <v>0</v>
      </c>
      <c r="L974" s="1648"/>
      <c r="M974" s="1648">
        <f t="shared" si="169"/>
        <v>0</v>
      </c>
      <c r="N974" s="1648">
        <f t="shared" si="170"/>
        <v>0</v>
      </c>
      <c r="O974" s="1648">
        <f t="shared" si="171"/>
        <v>0</v>
      </c>
      <c r="P974" s="1648">
        <f t="shared" si="172"/>
        <v>0</v>
      </c>
      <c r="Q974" s="1648">
        <f t="shared" si="173"/>
        <v>0</v>
      </c>
      <c r="R974" s="55">
        <f t="shared" si="174"/>
        <v>0</v>
      </c>
      <c r="S974" s="55">
        <f t="shared" si="175"/>
        <v>0</v>
      </c>
    </row>
    <row r="975" spans="1:19" ht="62.25" customHeight="1">
      <c r="A975" s="1693"/>
      <c r="B975" s="1648">
        <f t="shared" si="165"/>
        <v>1</v>
      </c>
      <c r="C975" s="1863" t="s">
        <v>5900</v>
      </c>
      <c r="D975" s="1670">
        <v>80555</v>
      </c>
      <c r="E975" s="1687" t="s">
        <v>729</v>
      </c>
      <c r="F975" s="1649">
        <f>'Detail '!I2928</f>
        <v>1</v>
      </c>
      <c r="G975" s="1648">
        <f t="shared" si="166"/>
        <v>80555</v>
      </c>
      <c r="H975" s="1648"/>
      <c r="I975" s="1648">
        <f t="shared" si="167"/>
        <v>0</v>
      </c>
      <c r="J975" s="1648"/>
      <c r="K975" s="1648">
        <f t="shared" si="168"/>
        <v>0</v>
      </c>
      <c r="L975" s="1648"/>
      <c r="M975" s="1648">
        <f t="shared" si="169"/>
        <v>0</v>
      </c>
      <c r="N975" s="1648">
        <f t="shared" si="170"/>
        <v>0</v>
      </c>
      <c r="O975" s="1648">
        <f t="shared" si="171"/>
        <v>0</v>
      </c>
      <c r="P975" s="1648">
        <f t="shared" si="172"/>
        <v>1</v>
      </c>
      <c r="Q975" s="1648">
        <f t="shared" si="173"/>
        <v>80555</v>
      </c>
      <c r="R975" s="55">
        <f t="shared" si="174"/>
        <v>80555</v>
      </c>
      <c r="S975" s="55">
        <f t="shared" si="175"/>
        <v>0</v>
      </c>
    </row>
    <row r="976" spans="1:19" ht="69.75" customHeight="1">
      <c r="A976" s="1693"/>
      <c r="B976" s="1648">
        <f t="shared" si="165"/>
        <v>0</v>
      </c>
      <c r="C976" s="1863" t="s">
        <v>5901</v>
      </c>
      <c r="D976" s="1648"/>
      <c r="E976" s="1687"/>
      <c r="F976" s="1649"/>
      <c r="G976" s="1648">
        <f t="shared" si="166"/>
        <v>0</v>
      </c>
      <c r="H976" s="1648"/>
      <c r="I976" s="1648">
        <f t="shared" si="167"/>
        <v>0</v>
      </c>
      <c r="J976" s="1648"/>
      <c r="K976" s="1648">
        <f t="shared" si="168"/>
        <v>0</v>
      </c>
      <c r="L976" s="1648"/>
      <c r="M976" s="1648">
        <f t="shared" si="169"/>
        <v>0</v>
      </c>
      <c r="N976" s="1648">
        <f t="shared" si="170"/>
        <v>0</v>
      </c>
      <c r="O976" s="1648">
        <f t="shared" si="171"/>
        <v>0</v>
      </c>
      <c r="P976" s="1648">
        <f t="shared" si="172"/>
        <v>0</v>
      </c>
      <c r="Q976" s="1648">
        <f t="shared" si="173"/>
        <v>0</v>
      </c>
      <c r="R976" s="55">
        <f t="shared" si="174"/>
        <v>0</v>
      </c>
      <c r="S976" s="55">
        <f t="shared" si="175"/>
        <v>0</v>
      </c>
    </row>
    <row r="977" spans="1:19" ht="62.25" customHeight="1">
      <c r="A977" s="1693"/>
      <c r="B977" s="1648">
        <f t="shared" si="165"/>
        <v>1</v>
      </c>
      <c r="C977" s="1863" t="s">
        <v>5902</v>
      </c>
      <c r="D977" s="1648">
        <v>33170</v>
      </c>
      <c r="E977" s="1687" t="s">
        <v>729</v>
      </c>
      <c r="F977" s="1649">
        <f>'Detail '!I2441</f>
        <v>1</v>
      </c>
      <c r="G977" s="1648">
        <f t="shared" si="166"/>
        <v>33170</v>
      </c>
      <c r="H977" s="1648"/>
      <c r="I977" s="1648">
        <f t="shared" si="167"/>
        <v>0</v>
      </c>
      <c r="J977" s="1648"/>
      <c r="K977" s="1648">
        <f t="shared" si="168"/>
        <v>0</v>
      </c>
      <c r="L977" s="1648"/>
      <c r="M977" s="1648">
        <f t="shared" si="169"/>
        <v>0</v>
      </c>
      <c r="N977" s="1648">
        <f t="shared" si="170"/>
        <v>0</v>
      </c>
      <c r="O977" s="1648">
        <f t="shared" si="171"/>
        <v>0</v>
      </c>
      <c r="P977" s="1648">
        <f t="shared" si="172"/>
        <v>1</v>
      </c>
      <c r="Q977" s="1648">
        <f t="shared" si="173"/>
        <v>33170</v>
      </c>
      <c r="R977" s="55">
        <f t="shared" si="174"/>
        <v>33170</v>
      </c>
      <c r="S977" s="55">
        <f t="shared" si="175"/>
        <v>0</v>
      </c>
    </row>
    <row r="978" spans="1:19" ht="84.75" customHeight="1">
      <c r="A978" s="1693"/>
      <c r="B978" s="1648">
        <f t="shared" si="165"/>
        <v>1</v>
      </c>
      <c r="C978" s="1863" t="s">
        <v>5903</v>
      </c>
      <c r="D978" s="1648">
        <v>4441</v>
      </c>
      <c r="E978" s="1687" t="s">
        <v>729</v>
      </c>
      <c r="F978" s="1649">
        <f>'Detail '!I2443</f>
        <v>1</v>
      </c>
      <c r="G978" s="1648">
        <f t="shared" si="166"/>
        <v>4441</v>
      </c>
      <c r="H978" s="1648"/>
      <c r="I978" s="1648">
        <f t="shared" si="167"/>
        <v>0</v>
      </c>
      <c r="J978" s="1648"/>
      <c r="K978" s="1648">
        <f t="shared" si="168"/>
        <v>0</v>
      </c>
      <c r="L978" s="1648"/>
      <c r="M978" s="1648">
        <f t="shared" si="169"/>
        <v>0</v>
      </c>
      <c r="N978" s="1648">
        <f t="shared" si="170"/>
        <v>0</v>
      </c>
      <c r="O978" s="1648">
        <f t="shared" si="171"/>
        <v>0</v>
      </c>
      <c r="P978" s="1648">
        <f t="shared" si="172"/>
        <v>1</v>
      </c>
      <c r="Q978" s="1648">
        <f t="shared" si="173"/>
        <v>4441</v>
      </c>
      <c r="R978" s="55">
        <f t="shared" si="174"/>
        <v>4441</v>
      </c>
      <c r="S978" s="55">
        <f t="shared" si="175"/>
        <v>0</v>
      </c>
    </row>
    <row r="979" spans="1:19" ht="62.25" customHeight="1">
      <c r="A979" s="1693"/>
      <c r="B979" s="1648">
        <f t="shared" si="165"/>
        <v>10</v>
      </c>
      <c r="C979" s="1863" t="s">
        <v>5904</v>
      </c>
      <c r="D979" s="1648">
        <v>940</v>
      </c>
      <c r="E979" s="1687" t="s">
        <v>13</v>
      </c>
      <c r="F979" s="1649">
        <v>10</v>
      </c>
      <c r="G979" s="1648">
        <f t="shared" si="166"/>
        <v>9400</v>
      </c>
      <c r="H979" s="1648"/>
      <c r="I979" s="1648">
        <f t="shared" si="167"/>
        <v>0</v>
      </c>
      <c r="J979" s="1648"/>
      <c r="K979" s="1648">
        <f t="shared" si="168"/>
        <v>0</v>
      </c>
      <c r="L979" s="1648"/>
      <c r="M979" s="1648">
        <f t="shared" si="169"/>
        <v>0</v>
      </c>
      <c r="N979" s="1648">
        <f t="shared" si="170"/>
        <v>0</v>
      </c>
      <c r="O979" s="1648">
        <f t="shared" si="171"/>
        <v>0</v>
      </c>
      <c r="P979" s="1648">
        <f t="shared" si="172"/>
        <v>10</v>
      </c>
      <c r="Q979" s="1648">
        <f t="shared" si="173"/>
        <v>9400</v>
      </c>
      <c r="R979" s="55">
        <f t="shared" si="174"/>
        <v>9400</v>
      </c>
      <c r="S979" s="55">
        <f t="shared" si="175"/>
        <v>0</v>
      </c>
    </row>
    <row r="980" spans="1:19" ht="48.75" customHeight="1">
      <c r="A980" s="1693"/>
      <c r="B980" s="1648">
        <f t="shared" si="165"/>
        <v>10</v>
      </c>
      <c r="C980" s="1863" t="s">
        <v>5905</v>
      </c>
      <c r="D980" s="1648">
        <v>64.099999999999994</v>
      </c>
      <c r="E980" s="1687" t="s">
        <v>13</v>
      </c>
      <c r="F980" s="1649">
        <v>10</v>
      </c>
      <c r="G980" s="1648">
        <f t="shared" si="166"/>
        <v>641</v>
      </c>
      <c r="H980" s="1648"/>
      <c r="I980" s="1648">
        <f t="shared" si="167"/>
        <v>0</v>
      </c>
      <c r="J980" s="1648"/>
      <c r="K980" s="1648">
        <f t="shared" si="168"/>
        <v>0</v>
      </c>
      <c r="L980" s="1648"/>
      <c r="M980" s="1648">
        <f t="shared" si="169"/>
        <v>0</v>
      </c>
      <c r="N980" s="1648">
        <f t="shared" si="170"/>
        <v>0</v>
      </c>
      <c r="O980" s="1648">
        <f t="shared" si="171"/>
        <v>0</v>
      </c>
      <c r="P980" s="1648">
        <f t="shared" si="172"/>
        <v>10</v>
      </c>
      <c r="Q980" s="1648">
        <f t="shared" si="173"/>
        <v>641</v>
      </c>
      <c r="R980" s="55">
        <f t="shared" si="174"/>
        <v>641</v>
      </c>
      <c r="S980" s="55">
        <f t="shared" si="175"/>
        <v>0</v>
      </c>
    </row>
    <row r="981" spans="1:19" ht="63.95" customHeight="1">
      <c r="A981" s="1693"/>
      <c r="B981" s="1648">
        <f t="shared" si="165"/>
        <v>0</v>
      </c>
      <c r="C981" s="1864" t="s">
        <v>5906</v>
      </c>
      <c r="D981" s="1648"/>
      <c r="E981" s="1687"/>
      <c r="F981" s="1649"/>
      <c r="G981" s="1648">
        <f t="shared" si="166"/>
        <v>0</v>
      </c>
      <c r="H981" s="1648"/>
      <c r="I981" s="1648">
        <f t="shared" si="167"/>
        <v>0</v>
      </c>
      <c r="J981" s="1648"/>
      <c r="K981" s="1648">
        <f t="shared" si="168"/>
        <v>0</v>
      </c>
      <c r="L981" s="1648"/>
      <c r="M981" s="1648">
        <f t="shared" si="169"/>
        <v>0</v>
      </c>
      <c r="N981" s="1648">
        <f t="shared" si="170"/>
        <v>0</v>
      </c>
      <c r="O981" s="1648">
        <f t="shared" si="171"/>
        <v>0</v>
      </c>
      <c r="P981" s="1648">
        <f t="shared" si="172"/>
        <v>0</v>
      </c>
      <c r="Q981" s="1648">
        <f t="shared" si="173"/>
        <v>0</v>
      </c>
      <c r="R981" s="55">
        <f t="shared" si="174"/>
        <v>0</v>
      </c>
      <c r="S981" s="55">
        <f t="shared" si="175"/>
        <v>0</v>
      </c>
    </row>
    <row r="982" spans="1:19" ht="62.25" customHeight="1">
      <c r="A982" s="1693"/>
      <c r="B982" s="1648">
        <f t="shared" si="165"/>
        <v>1</v>
      </c>
      <c r="C982" s="1863" t="s">
        <v>5907</v>
      </c>
      <c r="D982" s="1648">
        <v>4200</v>
      </c>
      <c r="E982" s="1687" t="s">
        <v>41</v>
      </c>
      <c r="F982" s="1649">
        <f>'Detail '!I2965</f>
        <v>1</v>
      </c>
      <c r="G982" s="1648">
        <f t="shared" si="166"/>
        <v>4200</v>
      </c>
      <c r="H982" s="1648"/>
      <c r="I982" s="1648">
        <f t="shared" si="167"/>
        <v>0</v>
      </c>
      <c r="J982" s="1648"/>
      <c r="K982" s="1648">
        <f t="shared" si="168"/>
        <v>0</v>
      </c>
      <c r="L982" s="1648"/>
      <c r="M982" s="1648">
        <f t="shared" si="169"/>
        <v>0</v>
      </c>
      <c r="N982" s="1648">
        <f t="shared" si="170"/>
        <v>0</v>
      </c>
      <c r="O982" s="1648">
        <f t="shared" si="171"/>
        <v>0</v>
      </c>
      <c r="P982" s="1648">
        <f t="shared" si="172"/>
        <v>1</v>
      </c>
      <c r="Q982" s="1648">
        <f t="shared" si="173"/>
        <v>4200</v>
      </c>
      <c r="R982" s="55">
        <f t="shared" si="174"/>
        <v>4200</v>
      </c>
      <c r="S982" s="55">
        <f t="shared" si="175"/>
        <v>0</v>
      </c>
    </row>
    <row r="983" spans="1:19" ht="62.25" customHeight="1">
      <c r="A983" s="1693"/>
      <c r="B983" s="1648">
        <f t="shared" si="165"/>
        <v>20</v>
      </c>
      <c r="C983" s="1863" t="s">
        <v>5908</v>
      </c>
      <c r="D983" s="1648">
        <v>840</v>
      </c>
      <c r="E983" s="1687" t="s">
        <v>41</v>
      </c>
      <c r="F983" s="1649">
        <f>'Detail '!I2969</f>
        <v>20</v>
      </c>
      <c r="G983" s="1648">
        <f t="shared" si="166"/>
        <v>16800</v>
      </c>
      <c r="H983" s="1648"/>
      <c r="I983" s="1648">
        <f t="shared" si="167"/>
        <v>0</v>
      </c>
      <c r="J983" s="1648"/>
      <c r="K983" s="1648">
        <f t="shared" si="168"/>
        <v>0</v>
      </c>
      <c r="L983" s="1648"/>
      <c r="M983" s="1648">
        <f t="shared" si="169"/>
        <v>0</v>
      </c>
      <c r="N983" s="1648">
        <f t="shared" si="170"/>
        <v>0</v>
      </c>
      <c r="O983" s="1648">
        <f t="shared" si="171"/>
        <v>0</v>
      </c>
      <c r="P983" s="1648">
        <f t="shared" si="172"/>
        <v>20</v>
      </c>
      <c r="Q983" s="1648">
        <f t="shared" si="173"/>
        <v>16800</v>
      </c>
      <c r="R983" s="55">
        <f t="shared" si="174"/>
        <v>16800</v>
      </c>
      <c r="S983" s="55">
        <f t="shared" si="175"/>
        <v>0</v>
      </c>
    </row>
    <row r="984" spans="1:19" ht="54.95" customHeight="1">
      <c r="A984" s="1693"/>
      <c r="B984" s="1648">
        <f t="shared" si="165"/>
        <v>12</v>
      </c>
      <c r="C984" s="1863" t="s">
        <v>5909</v>
      </c>
      <c r="D984" s="1648">
        <v>720</v>
      </c>
      <c r="E984" s="1687" t="s">
        <v>41</v>
      </c>
      <c r="F984" s="1649">
        <f>'Detail '!I2972</f>
        <v>12</v>
      </c>
      <c r="G984" s="1648">
        <f t="shared" si="166"/>
        <v>8640</v>
      </c>
      <c r="H984" s="1648"/>
      <c r="I984" s="1648">
        <f t="shared" si="167"/>
        <v>0</v>
      </c>
      <c r="J984" s="1648"/>
      <c r="K984" s="1648">
        <f t="shared" si="168"/>
        <v>0</v>
      </c>
      <c r="L984" s="1648"/>
      <c r="M984" s="1648">
        <f t="shared" si="169"/>
        <v>0</v>
      </c>
      <c r="N984" s="1648">
        <f t="shared" si="170"/>
        <v>0</v>
      </c>
      <c r="O984" s="1648">
        <f t="shared" si="171"/>
        <v>0</v>
      </c>
      <c r="P984" s="1648">
        <f t="shared" si="172"/>
        <v>12</v>
      </c>
      <c r="Q984" s="1648">
        <f t="shared" si="173"/>
        <v>8640</v>
      </c>
      <c r="R984" s="55">
        <f t="shared" si="174"/>
        <v>8640</v>
      </c>
      <c r="S984" s="55">
        <f t="shared" si="175"/>
        <v>0</v>
      </c>
    </row>
    <row r="985" spans="1:19" ht="62.25" customHeight="1">
      <c r="A985" s="1693"/>
      <c r="B985" s="1648">
        <f t="shared" si="165"/>
        <v>71</v>
      </c>
      <c r="C985" s="1863" t="s">
        <v>5910</v>
      </c>
      <c r="D985" s="1648">
        <v>320</v>
      </c>
      <c r="E985" s="1687" t="s">
        <v>41</v>
      </c>
      <c r="F985" s="1649">
        <f>'Detail '!I3021</f>
        <v>71</v>
      </c>
      <c r="G985" s="1648">
        <f t="shared" si="166"/>
        <v>22720</v>
      </c>
      <c r="H985" s="1648"/>
      <c r="I985" s="1648">
        <f t="shared" si="167"/>
        <v>0</v>
      </c>
      <c r="J985" s="1648"/>
      <c r="K985" s="1648">
        <f t="shared" si="168"/>
        <v>0</v>
      </c>
      <c r="L985" s="1648"/>
      <c r="M985" s="1648">
        <f t="shared" si="169"/>
        <v>0</v>
      </c>
      <c r="N985" s="1648">
        <f t="shared" si="170"/>
        <v>0</v>
      </c>
      <c r="O985" s="1648">
        <f t="shared" si="171"/>
        <v>0</v>
      </c>
      <c r="P985" s="1648">
        <f t="shared" si="172"/>
        <v>71</v>
      </c>
      <c r="Q985" s="1648">
        <f t="shared" si="173"/>
        <v>22720</v>
      </c>
      <c r="R985" s="55">
        <f t="shared" si="174"/>
        <v>22720</v>
      </c>
      <c r="S985" s="55">
        <f t="shared" si="175"/>
        <v>0</v>
      </c>
    </row>
    <row r="986" spans="1:19" ht="62.25" customHeight="1">
      <c r="A986" s="1693"/>
      <c r="B986" s="1648">
        <f t="shared" si="165"/>
        <v>1</v>
      </c>
      <c r="C986" s="1863" t="s">
        <v>5911</v>
      </c>
      <c r="D986" s="1648">
        <v>450</v>
      </c>
      <c r="E986" s="1687" t="s">
        <v>41</v>
      </c>
      <c r="F986" s="1649">
        <f>'Detail '!I3023</f>
        <v>1</v>
      </c>
      <c r="G986" s="1648">
        <f t="shared" si="166"/>
        <v>450</v>
      </c>
      <c r="H986" s="1648"/>
      <c r="I986" s="1648">
        <f t="shared" si="167"/>
        <v>0</v>
      </c>
      <c r="J986" s="1648"/>
      <c r="K986" s="1648">
        <f t="shared" si="168"/>
        <v>0</v>
      </c>
      <c r="L986" s="1648"/>
      <c r="M986" s="1648">
        <f t="shared" si="169"/>
        <v>0</v>
      </c>
      <c r="N986" s="1648">
        <f t="shared" si="170"/>
        <v>0</v>
      </c>
      <c r="O986" s="1648">
        <f t="shared" si="171"/>
        <v>0</v>
      </c>
      <c r="P986" s="1648">
        <f t="shared" si="172"/>
        <v>1</v>
      </c>
      <c r="Q986" s="1648">
        <f t="shared" si="173"/>
        <v>450</v>
      </c>
      <c r="R986" s="55">
        <f t="shared" si="174"/>
        <v>450</v>
      </c>
      <c r="S986" s="55">
        <f t="shared" si="175"/>
        <v>0</v>
      </c>
    </row>
    <row r="987" spans="1:19" ht="105.75" hidden="1" customHeight="1">
      <c r="A987" s="1693"/>
      <c r="B987" s="1648">
        <f t="shared" si="165"/>
        <v>0</v>
      </c>
      <c r="C987" s="1863" t="s">
        <v>2967</v>
      </c>
      <c r="D987" s="1648">
        <f>Elec.Data!R842</f>
        <v>0</v>
      </c>
      <c r="E987" s="1687" t="s">
        <v>729</v>
      </c>
      <c r="F987" s="1648"/>
      <c r="G987" s="1648">
        <f t="shared" si="166"/>
        <v>0</v>
      </c>
      <c r="H987" s="1648"/>
      <c r="I987" s="1648">
        <f t="shared" si="167"/>
        <v>0</v>
      </c>
      <c r="J987" s="1648"/>
      <c r="K987" s="1648">
        <f t="shared" si="168"/>
        <v>0</v>
      </c>
      <c r="L987" s="1648"/>
      <c r="M987" s="1648">
        <f t="shared" si="169"/>
        <v>0</v>
      </c>
      <c r="N987" s="1648">
        <f t="shared" si="170"/>
        <v>0</v>
      </c>
      <c r="O987" s="1648">
        <f t="shared" si="171"/>
        <v>0</v>
      </c>
      <c r="P987" s="1648">
        <f t="shared" si="172"/>
        <v>0</v>
      </c>
      <c r="Q987" s="1648">
        <f t="shared" si="173"/>
        <v>0</v>
      </c>
      <c r="R987" s="55">
        <f t="shared" si="174"/>
        <v>0</v>
      </c>
      <c r="S987" s="55">
        <f t="shared" si="175"/>
        <v>0</v>
      </c>
    </row>
    <row r="988" spans="1:19" ht="43.5" hidden="1" customHeight="1">
      <c r="A988" s="1693"/>
      <c r="B988" s="1648">
        <f t="shared" si="165"/>
        <v>0</v>
      </c>
      <c r="C988" s="1870" t="s">
        <v>5912</v>
      </c>
      <c r="D988" s="1656"/>
      <c r="E988" s="1687"/>
      <c r="F988" s="1648"/>
      <c r="G988" s="1648">
        <f t="shared" si="166"/>
        <v>0</v>
      </c>
      <c r="H988" s="1648"/>
      <c r="I988" s="1648">
        <f t="shared" si="167"/>
        <v>0</v>
      </c>
      <c r="J988" s="1648"/>
      <c r="K988" s="1648">
        <f t="shared" si="168"/>
        <v>0</v>
      </c>
      <c r="L988" s="1648"/>
      <c r="M988" s="1648">
        <f t="shared" si="169"/>
        <v>0</v>
      </c>
      <c r="N988" s="1648">
        <f t="shared" si="170"/>
        <v>0</v>
      </c>
      <c r="O988" s="1648">
        <f t="shared" si="171"/>
        <v>0</v>
      </c>
      <c r="P988" s="1648">
        <f t="shared" si="172"/>
        <v>0</v>
      </c>
      <c r="Q988" s="1648">
        <f t="shared" si="173"/>
        <v>0</v>
      </c>
      <c r="R988" s="55">
        <f t="shared" si="174"/>
        <v>0</v>
      </c>
      <c r="S988" s="55">
        <f t="shared" si="175"/>
        <v>0</v>
      </c>
    </row>
    <row r="989" spans="1:19" ht="47.25" hidden="1" customHeight="1">
      <c r="A989" s="1693"/>
      <c r="B989" s="1648">
        <f t="shared" si="165"/>
        <v>0</v>
      </c>
      <c r="C989" s="1866" t="s">
        <v>5913</v>
      </c>
      <c r="D989" s="1656">
        <v>60.6</v>
      </c>
      <c r="E989" s="1687" t="s">
        <v>13</v>
      </c>
      <c r="F989" s="1648"/>
      <c r="G989" s="1648">
        <f t="shared" si="166"/>
        <v>0</v>
      </c>
      <c r="H989" s="1648"/>
      <c r="I989" s="1648">
        <f t="shared" si="167"/>
        <v>0</v>
      </c>
      <c r="J989" s="1648"/>
      <c r="K989" s="1648">
        <f t="shared" si="168"/>
        <v>0</v>
      </c>
      <c r="L989" s="1648"/>
      <c r="M989" s="1648">
        <f t="shared" si="169"/>
        <v>0</v>
      </c>
      <c r="N989" s="1648">
        <f t="shared" si="170"/>
        <v>0</v>
      </c>
      <c r="O989" s="1648">
        <f t="shared" si="171"/>
        <v>0</v>
      </c>
      <c r="P989" s="1648">
        <f t="shared" si="172"/>
        <v>0</v>
      </c>
      <c r="Q989" s="1648">
        <f t="shared" si="173"/>
        <v>0</v>
      </c>
      <c r="R989" s="55">
        <f t="shared" si="174"/>
        <v>0</v>
      </c>
      <c r="S989" s="55">
        <f t="shared" si="175"/>
        <v>0</v>
      </c>
    </row>
    <row r="990" spans="1:19" ht="62.25" hidden="1" customHeight="1">
      <c r="A990" s="1693"/>
      <c r="B990" s="1648">
        <f t="shared" si="165"/>
        <v>0</v>
      </c>
      <c r="C990" s="1866" t="s">
        <v>5914</v>
      </c>
      <c r="D990" s="1656">
        <v>73.900000000000006</v>
      </c>
      <c r="E990" s="1690" t="s">
        <v>3791</v>
      </c>
      <c r="F990" s="1656"/>
      <c r="G990" s="1648">
        <f t="shared" si="166"/>
        <v>0</v>
      </c>
      <c r="H990" s="1648"/>
      <c r="I990" s="1648">
        <f t="shared" si="167"/>
        <v>0</v>
      </c>
      <c r="J990" s="1648"/>
      <c r="K990" s="1648">
        <f t="shared" si="168"/>
        <v>0</v>
      </c>
      <c r="L990" s="1648"/>
      <c r="M990" s="1648">
        <f t="shared" si="169"/>
        <v>0</v>
      </c>
      <c r="N990" s="1648">
        <f t="shared" si="170"/>
        <v>0</v>
      </c>
      <c r="O990" s="1648">
        <f t="shared" si="171"/>
        <v>0</v>
      </c>
      <c r="P990" s="1648">
        <f t="shared" si="172"/>
        <v>0</v>
      </c>
      <c r="Q990" s="1648">
        <f t="shared" si="173"/>
        <v>0</v>
      </c>
      <c r="R990" s="55">
        <f t="shared" si="174"/>
        <v>0</v>
      </c>
      <c r="S990" s="55">
        <f t="shared" si="175"/>
        <v>0</v>
      </c>
    </row>
    <row r="991" spans="1:19" ht="75.75" hidden="1" customHeight="1">
      <c r="A991" s="1693"/>
      <c r="B991" s="1648">
        <f t="shared" si="165"/>
        <v>0</v>
      </c>
      <c r="C991" s="1866" t="s">
        <v>5915</v>
      </c>
      <c r="D991" s="1656">
        <v>8559.9500000000007</v>
      </c>
      <c r="E991" s="1690" t="s">
        <v>41</v>
      </c>
      <c r="F991" s="1656"/>
      <c r="G991" s="1648">
        <f t="shared" si="166"/>
        <v>0</v>
      </c>
      <c r="H991" s="1648"/>
      <c r="I991" s="1648">
        <f t="shared" si="167"/>
        <v>0</v>
      </c>
      <c r="J991" s="1648"/>
      <c r="K991" s="1648">
        <f t="shared" si="168"/>
        <v>0</v>
      </c>
      <c r="L991" s="1648"/>
      <c r="M991" s="1648">
        <f t="shared" si="169"/>
        <v>0</v>
      </c>
      <c r="N991" s="1648">
        <f t="shared" si="170"/>
        <v>0</v>
      </c>
      <c r="O991" s="1648">
        <f t="shared" si="171"/>
        <v>0</v>
      </c>
      <c r="P991" s="1648">
        <f t="shared" si="172"/>
        <v>0</v>
      </c>
      <c r="Q991" s="1648">
        <f t="shared" si="173"/>
        <v>0</v>
      </c>
      <c r="R991" s="55">
        <f t="shared" si="174"/>
        <v>0</v>
      </c>
      <c r="S991" s="55">
        <f t="shared" si="175"/>
        <v>0</v>
      </c>
    </row>
    <row r="992" spans="1:19" ht="101.25" customHeight="1">
      <c r="A992" s="1693"/>
      <c r="B992" s="1648">
        <f t="shared" si="165"/>
        <v>1</v>
      </c>
      <c r="C992" s="1863" t="s">
        <v>7013</v>
      </c>
      <c r="D992" s="1648">
        <v>23323</v>
      </c>
      <c r="E992" s="1687" t="s">
        <v>1034</v>
      </c>
      <c r="F992" s="1648"/>
      <c r="G992" s="1648">
        <f t="shared" si="166"/>
        <v>0</v>
      </c>
      <c r="H992" s="1648">
        <f>bore!I40</f>
        <v>1</v>
      </c>
      <c r="I992" s="1648">
        <f t="shared" si="167"/>
        <v>23323</v>
      </c>
      <c r="J992" s="1648"/>
      <c r="K992" s="1648">
        <f t="shared" si="168"/>
        <v>0</v>
      </c>
      <c r="L992" s="1648"/>
      <c r="M992" s="1648">
        <f t="shared" si="169"/>
        <v>0</v>
      </c>
      <c r="N992" s="1648">
        <f t="shared" si="170"/>
        <v>1</v>
      </c>
      <c r="O992" s="1648">
        <f t="shared" si="171"/>
        <v>23323</v>
      </c>
      <c r="P992" s="1648">
        <f t="shared" si="172"/>
        <v>1</v>
      </c>
      <c r="Q992" s="1648">
        <f t="shared" si="173"/>
        <v>23323</v>
      </c>
      <c r="R992" s="55">
        <f t="shared" si="174"/>
        <v>23323</v>
      </c>
      <c r="S992" s="55">
        <f t="shared" si="175"/>
        <v>0</v>
      </c>
    </row>
    <row r="993" spans="1:19" ht="62.25" customHeight="1">
      <c r="A993" s="1693"/>
      <c r="B993" s="1648">
        <f t="shared" si="165"/>
        <v>1</v>
      </c>
      <c r="C993" s="1863" t="s">
        <v>7014</v>
      </c>
      <c r="D993" s="1648">
        <v>39433</v>
      </c>
      <c r="E993" s="1687" t="s">
        <v>1034</v>
      </c>
      <c r="F993" s="1648"/>
      <c r="G993" s="1648">
        <f t="shared" si="166"/>
        <v>0</v>
      </c>
      <c r="H993" s="1648">
        <f>bore!I79</f>
        <v>1</v>
      </c>
      <c r="I993" s="1648">
        <f t="shared" si="167"/>
        <v>39433</v>
      </c>
      <c r="J993" s="1648"/>
      <c r="K993" s="1648">
        <f t="shared" si="168"/>
        <v>0</v>
      </c>
      <c r="L993" s="1648"/>
      <c r="M993" s="1648">
        <f t="shared" si="169"/>
        <v>0</v>
      </c>
      <c r="N993" s="1648">
        <f t="shared" si="170"/>
        <v>1</v>
      </c>
      <c r="O993" s="1648">
        <f t="shared" si="171"/>
        <v>39433</v>
      </c>
      <c r="P993" s="1648">
        <f t="shared" si="172"/>
        <v>1</v>
      </c>
      <c r="Q993" s="1648">
        <f t="shared" si="173"/>
        <v>39433</v>
      </c>
      <c r="R993" s="55">
        <f t="shared" si="174"/>
        <v>39433</v>
      </c>
      <c r="S993" s="55">
        <f t="shared" si="175"/>
        <v>0</v>
      </c>
    </row>
    <row r="994" spans="1:19" ht="82.5" hidden="1" customHeight="1">
      <c r="A994" s="1693"/>
      <c r="B994" s="1648">
        <f t="shared" si="165"/>
        <v>0</v>
      </c>
      <c r="C994" s="1863" t="s">
        <v>5916</v>
      </c>
      <c r="D994" s="1648">
        <v>4711</v>
      </c>
      <c r="E994" s="1687" t="s">
        <v>1034</v>
      </c>
      <c r="F994" s="1648"/>
      <c r="G994" s="1648">
        <f t="shared" si="166"/>
        <v>0</v>
      </c>
      <c r="H994" s="1648"/>
      <c r="I994" s="1648">
        <f t="shared" si="167"/>
        <v>0</v>
      </c>
      <c r="J994" s="1648"/>
      <c r="K994" s="1648">
        <f t="shared" si="168"/>
        <v>0</v>
      </c>
      <c r="L994" s="1648"/>
      <c r="M994" s="1648">
        <f t="shared" si="169"/>
        <v>0</v>
      </c>
      <c r="N994" s="1648">
        <f t="shared" si="170"/>
        <v>0</v>
      </c>
      <c r="O994" s="1648">
        <f t="shared" si="171"/>
        <v>0</v>
      </c>
      <c r="P994" s="1648">
        <f t="shared" si="172"/>
        <v>0</v>
      </c>
      <c r="Q994" s="1648">
        <f t="shared" si="173"/>
        <v>0</v>
      </c>
      <c r="R994" s="55">
        <f t="shared" si="174"/>
        <v>0</v>
      </c>
      <c r="S994" s="55">
        <f t="shared" si="175"/>
        <v>0</v>
      </c>
    </row>
    <row r="995" spans="1:19" ht="90" customHeight="1">
      <c r="A995" s="1693"/>
      <c r="B995" s="1648">
        <f t="shared" si="165"/>
        <v>1</v>
      </c>
      <c r="C995" s="1863" t="s">
        <v>5917</v>
      </c>
      <c r="D995" s="1670">
        <v>15573</v>
      </c>
      <c r="E995" s="1687" t="s">
        <v>1034</v>
      </c>
      <c r="F995" s="1648"/>
      <c r="G995" s="1648">
        <f t="shared" si="166"/>
        <v>0</v>
      </c>
      <c r="H995" s="1648">
        <f>bore!I89</f>
        <v>1</v>
      </c>
      <c r="I995" s="1648">
        <f t="shared" si="167"/>
        <v>15573</v>
      </c>
      <c r="J995" s="1648"/>
      <c r="K995" s="1648">
        <f t="shared" si="168"/>
        <v>0</v>
      </c>
      <c r="L995" s="1648"/>
      <c r="M995" s="1648">
        <f t="shared" si="169"/>
        <v>0</v>
      </c>
      <c r="N995" s="1648">
        <f t="shared" si="170"/>
        <v>1</v>
      </c>
      <c r="O995" s="1648">
        <f t="shared" si="171"/>
        <v>15573</v>
      </c>
      <c r="P995" s="1648">
        <f t="shared" si="172"/>
        <v>1</v>
      </c>
      <c r="Q995" s="1648">
        <f t="shared" si="173"/>
        <v>15573</v>
      </c>
      <c r="R995" s="55">
        <f t="shared" si="174"/>
        <v>15573</v>
      </c>
      <c r="S995" s="55">
        <f t="shared" si="175"/>
        <v>0</v>
      </c>
    </row>
    <row r="996" spans="1:19" ht="62.25" hidden="1" customHeight="1">
      <c r="A996" s="1693"/>
      <c r="B996" s="1648">
        <f t="shared" si="165"/>
        <v>0</v>
      </c>
      <c r="C996" s="1863" t="s">
        <v>5918</v>
      </c>
      <c r="D996" s="1648">
        <v>161</v>
      </c>
      <c r="E996" s="1687" t="s">
        <v>13</v>
      </c>
      <c r="F996" s="1648"/>
      <c r="G996" s="1648">
        <f t="shared" si="166"/>
        <v>0</v>
      </c>
      <c r="H996" s="1648"/>
      <c r="I996" s="1648">
        <f t="shared" si="167"/>
        <v>0</v>
      </c>
      <c r="J996" s="1648"/>
      <c r="K996" s="1648">
        <f t="shared" si="168"/>
        <v>0</v>
      </c>
      <c r="L996" s="1648"/>
      <c r="M996" s="1648">
        <f t="shared" si="169"/>
        <v>0</v>
      </c>
      <c r="N996" s="1648">
        <f t="shared" si="170"/>
        <v>0</v>
      </c>
      <c r="O996" s="1648">
        <f t="shared" si="171"/>
        <v>0</v>
      </c>
      <c r="P996" s="1648">
        <f t="shared" si="172"/>
        <v>0</v>
      </c>
      <c r="Q996" s="1648">
        <f t="shared" si="173"/>
        <v>0</v>
      </c>
      <c r="R996" s="55">
        <f t="shared" si="174"/>
        <v>0</v>
      </c>
      <c r="S996" s="55">
        <f t="shared" si="175"/>
        <v>0</v>
      </c>
    </row>
    <row r="997" spans="1:19" ht="62.25" hidden="1" customHeight="1">
      <c r="A997" s="1693"/>
      <c r="B997" s="1648">
        <f t="shared" si="165"/>
        <v>0</v>
      </c>
      <c r="C997" s="1863" t="s">
        <v>5919</v>
      </c>
      <c r="D997" s="1648">
        <v>4200</v>
      </c>
      <c r="E997" s="1687" t="s">
        <v>41</v>
      </c>
      <c r="F997" s="1648"/>
      <c r="G997" s="1648">
        <f t="shared" si="166"/>
        <v>0</v>
      </c>
      <c r="H997" s="1648"/>
      <c r="I997" s="1648">
        <f t="shared" si="167"/>
        <v>0</v>
      </c>
      <c r="J997" s="1648"/>
      <c r="K997" s="1648">
        <f t="shared" si="168"/>
        <v>0</v>
      </c>
      <c r="L997" s="1648"/>
      <c r="M997" s="1648">
        <f t="shared" si="169"/>
        <v>0</v>
      </c>
      <c r="N997" s="1648">
        <f t="shared" si="170"/>
        <v>0</v>
      </c>
      <c r="O997" s="1648">
        <f t="shared" si="171"/>
        <v>0</v>
      </c>
      <c r="P997" s="1648">
        <f t="shared" si="172"/>
        <v>0</v>
      </c>
      <c r="Q997" s="1648">
        <f t="shared" si="173"/>
        <v>0</v>
      </c>
      <c r="R997" s="55">
        <f t="shared" si="174"/>
        <v>0</v>
      </c>
      <c r="S997" s="55">
        <f t="shared" si="175"/>
        <v>0</v>
      </c>
    </row>
    <row r="998" spans="1:19" ht="63" hidden="1" customHeight="1">
      <c r="A998" s="1693"/>
      <c r="B998" s="1648">
        <f t="shared" si="165"/>
        <v>0</v>
      </c>
      <c r="C998" s="1863" t="s">
        <v>5920</v>
      </c>
      <c r="D998" s="1648">
        <v>840</v>
      </c>
      <c r="E998" s="1687" t="s">
        <v>41</v>
      </c>
      <c r="F998" s="1648"/>
      <c r="G998" s="1648">
        <f t="shared" si="166"/>
        <v>0</v>
      </c>
      <c r="H998" s="1648"/>
      <c r="I998" s="1648">
        <f t="shared" si="167"/>
        <v>0</v>
      </c>
      <c r="J998" s="1648"/>
      <c r="K998" s="1648">
        <f t="shared" si="168"/>
        <v>0</v>
      </c>
      <c r="L998" s="1648"/>
      <c r="M998" s="1648">
        <f t="shared" si="169"/>
        <v>0</v>
      </c>
      <c r="N998" s="1648">
        <f t="shared" si="170"/>
        <v>0</v>
      </c>
      <c r="O998" s="1648">
        <f t="shared" si="171"/>
        <v>0</v>
      </c>
      <c r="P998" s="1648">
        <f t="shared" si="172"/>
        <v>0</v>
      </c>
      <c r="Q998" s="1648">
        <f t="shared" si="173"/>
        <v>0</v>
      </c>
      <c r="R998" s="55">
        <f t="shared" si="174"/>
        <v>0</v>
      </c>
      <c r="S998" s="55">
        <f t="shared" si="175"/>
        <v>0</v>
      </c>
    </row>
    <row r="999" spans="1:19" ht="63" hidden="1" customHeight="1">
      <c r="A999" s="1693"/>
      <c r="B999" s="1648">
        <f t="shared" si="165"/>
        <v>0</v>
      </c>
      <c r="C999" s="1863" t="s">
        <v>5921</v>
      </c>
      <c r="D999" s="1648">
        <v>720</v>
      </c>
      <c r="E999" s="1687" t="s">
        <v>41</v>
      </c>
      <c r="F999" s="1648"/>
      <c r="G999" s="1648">
        <f t="shared" si="166"/>
        <v>0</v>
      </c>
      <c r="H999" s="1648"/>
      <c r="I999" s="1648">
        <f t="shared" si="167"/>
        <v>0</v>
      </c>
      <c r="J999" s="1648"/>
      <c r="K999" s="1648">
        <f t="shared" si="168"/>
        <v>0</v>
      </c>
      <c r="L999" s="1648"/>
      <c r="M999" s="1648">
        <f t="shared" si="169"/>
        <v>0</v>
      </c>
      <c r="N999" s="1648">
        <f t="shared" si="170"/>
        <v>0</v>
      </c>
      <c r="O999" s="1648">
        <f t="shared" si="171"/>
        <v>0</v>
      </c>
      <c r="P999" s="1648">
        <f t="shared" si="172"/>
        <v>0</v>
      </c>
      <c r="Q999" s="1648">
        <f t="shared" si="173"/>
        <v>0</v>
      </c>
      <c r="R999" s="55">
        <f t="shared" si="174"/>
        <v>0</v>
      </c>
      <c r="S999" s="55">
        <f t="shared" si="175"/>
        <v>0</v>
      </c>
    </row>
    <row r="1000" spans="1:19" ht="62.25" hidden="1" customHeight="1">
      <c r="A1000" s="1693"/>
      <c r="B1000" s="1648">
        <f t="shared" si="165"/>
        <v>0</v>
      </c>
      <c r="C1000" s="1863" t="s">
        <v>5922</v>
      </c>
      <c r="D1000" s="1648">
        <v>320</v>
      </c>
      <c r="E1000" s="1687" t="s">
        <v>41</v>
      </c>
      <c r="F1000" s="1648"/>
      <c r="G1000" s="1648">
        <f t="shared" si="166"/>
        <v>0</v>
      </c>
      <c r="H1000" s="1648"/>
      <c r="I1000" s="1648">
        <f t="shared" si="167"/>
        <v>0</v>
      </c>
      <c r="J1000" s="1648"/>
      <c r="K1000" s="1648">
        <f t="shared" si="168"/>
        <v>0</v>
      </c>
      <c r="L1000" s="1648"/>
      <c r="M1000" s="1648">
        <f t="shared" si="169"/>
        <v>0</v>
      </c>
      <c r="N1000" s="1648">
        <f t="shared" si="170"/>
        <v>0</v>
      </c>
      <c r="O1000" s="1648">
        <f t="shared" si="171"/>
        <v>0</v>
      </c>
      <c r="P1000" s="1648">
        <f t="shared" si="172"/>
        <v>0</v>
      </c>
      <c r="Q1000" s="1648">
        <f t="shared" si="173"/>
        <v>0</v>
      </c>
      <c r="R1000" s="55">
        <f t="shared" si="174"/>
        <v>0</v>
      </c>
      <c r="S1000" s="55">
        <f t="shared" si="175"/>
        <v>0</v>
      </c>
    </row>
    <row r="1001" spans="1:19" ht="82.5" hidden="1" customHeight="1">
      <c r="A1001" s="1693"/>
      <c r="B1001" s="1648">
        <f t="shared" si="165"/>
        <v>0</v>
      </c>
      <c r="C1001" s="1863" t="s">
        <v>5923</v>
      </c>
      <c r="D1001" s="1648">
        <v>450</v>
      </c>
      <c r="E1001" s="1687" t="s">
        <v>41</v>
      </c>
      <c r="F1001" s="1648"/>
      <c r="G1001" s="1648">
        <f t="shared" si="166"/>
        <v>0</v>
      </c>
      <c r="H1001" s="1648"/>
      <c r="I1001" s="1648">
        <f t="shared" si="167"/>
        <v>0</v>
      </c>
      <c r="J1001" s="1648"/>
      <c r="K1001" s="1648">
        <f t="shared" si="168"/>
        <v>0</v>
      </c>
      <c r="L1001" s="1648"/>
      <c r="M1001" s="1648">
        <f t="shared" si="169"/>
        <v>0</v>
      </c>
      <c r="N1001" s="1648">
        <f t="shared" si="170"/>
        <v>0</v>
      </c>
      <c r="O1001" s="1648">
        <f t="shared" si="171"/>
        <v>0</v>
      </c>
      <c r="P1001" s="1648">
        <f t="shared" si="172"/>
        <v>0</v>
      </c>
      <c r="Q1001" s="1648">
        <f t="shared" si="173"/>
        <v>0</v>
      </c>
      <c r="R1001" s="55">
        <f t="shared" si="174"/>
        <v>0</v>
      </c>
      <c r="S1001" s="55">
        <f t="shared" si="175"/>
        <v>0</v>
      </c>
    </row>
    <row r="1002" spans="1:19" ht="62.25" hidden="1" customHeight="1">
      <c r="A1002" s="1693"/>
      <c r="B1002" s="1648">
        <f t="shared" si="165"/>
        <v>0</v>
      </c>
      <c r="C1002" s="1864" t="s">
        <v>5924</v>
      </c>
      <c r="D1002" s="1648"/>
      <c r="E1002" s="1687"/>
      <c r="F1002" s="1648"/>
      <c r="G1002" s="1648">
        <f t="shared" si="166"/>
        <v>0</v>
      </c>
      <c r="H1002" s="1648"/>
      <c r="I1002" s="1648">
        <f t="shared" si="167"/>
        <v>0</v>
      </c>
      <c r="J1002" s="1648"/>
      <c r="K1002" s="1648">
        <f t="shared" si="168"/>
        <v>0</v>
      </c>
      <c r="L1002" s="1648"/>
      <c r="M1002" s="1648">
        <f t="shared" si="169"/>
        <v>0</v>
      </c>
      <c r="N1002" s="1648">
        <f t="shared" si="170"/>
        <v>0</v>
      </c>
      <c r="O1002" s="1648">
        <f t="shared" si="171"/>
        <v>0</v>
      </c>
      <c r="P1002" s="1648">
        <f t="shared" si="172"/>
        <v>0</v>
      </c>
      <c r="Q1002" s="1648">
        <f t="shared" si="173"/>
        <v>0</v>
      </c>
      <c r="R1002" s="55">
        <f t="shared" si="174"/>
        <v>0</v>
      </c>
      <c r="S1002" s="55">
        <f t="shared" si="175"/>
        <v>0</v>
      </c>
    </row>
    <row r="1003" spans="1:19" ht="42" hidden="1" customHeight="1">
      <c r="A1003" s="1693"/>
      <c r="B1003" s="1648">
        <f t="shared" si="165"/>
        <v>0</v>
      </c>
      <c r="C1003" s="1863" t="s">
        <v>5925</v>
      </c>
      <c r="D1003" s="1648">
        <v>213.71</v>
      </c>
      <c r="E1003" s="1687" t="s">
        <v>13</v>
      </c>
      <c r="F1003" s="1648"/>
      <c r="G1003" s="1648">
        <f t="shared" si="166"/>
        <v>0</v>
      </c>
      <c r="H1003" s="1648"/>
      <c r="I1003" s="1648">
        <f t="shared" si="167"/>
        <v>0</v>
      </c>
      <c r="J1003" s="1648"/>
      <c r="K1003" s="1648">
        <f t="shared" si="168"/>
        <v>0</v>
      </c>
      <c r="L1003" s="1648"/>
      <c r="M1003" s="1648">
        <f t="shared" si="169"/>
        <v>0</v>
      </c>
      <c r="N1003" s="1648">
        <f t="shared" si="170"/>
        <v>0</v>
      </c>
      <c r="O1003" s="1648">
        <f t="shared" si="171"/>
        <v>0</v>
      </c>
      <c r="P1003" s="1648">
        <f t="shared" si="172"/>
        <v>0</v>
      </c>
      <c r="Q1003" s="1648">
        <f t="shared" si="173"/>
        <v>0</v>
      </c>
      <c r="R1003" s="55">
        <f t="shared" si="174"/>
        <v>0</v>
      </c>
      <c r="S1003" s="55">
        <f t="shared" si="175"/>
        <v>0</v>
      </c>
    </row>
    <row r="1004" spans="1:19" ht="39.75" hidden="1" customHeight="1">
      <c r="A1004" s="1693"/>
      <c r="B1004" s="1648">
        <f t="shared" si="165"/>
        <v>0</v>
      </c>
      <c r="C1004" s="1863" t="s">
        <v>5926</v>
      </c>
      <c r="D1004" s="1648">
        <v>297.85000000000002</v>
      </c>
      <c r="E1004" s="1687" t="s">
        <v>13</v>
      </c>
      <c r="F1004" s="1648"/>
      <c r="G1004" s="1648">
        <f t="shared" si="166"/>
        <v>0</v>
      </c>
      <c r="H1004" s="1648"/>
      <c r="I1004" s="1648">
        <f t="shared" si="167"/>
        <v>0</v>
      </c>
      <c r="J1004" s="1648"/>
      <c r="K1004" s="1648">
        <f t="shared" si="168"/>
        <v>0</v>
      </c>
      <c r="L1004" s="1648"/>
      <c r="M1004" s="1648">
        <f t="shared" si="169"/>
        <v>0</v>
      </c>
      <c r="N1004" s="1648">
        <f t="shared" si="170"/>
        <v>0</v>
      </c>
      <c r="O1004" s="1648">
        <f t="shared" si="171"/>
        <v>0</v>
      </c>
      <c r="P1004" s="1648">
        <f t="shared" si="172"/>
        <v>0</v>
      </c>
      <c r="Q1004" s="1648">
        <f t="shared" si="173"/>
        <v>0</v>
      </c>
      <c r="R1004" s="55">
        <f t="shared" si="174"/>
        <v>0</v>
      </c>
      <c r="S1004" s="55">
        <f t="shared" si="175"/>
        <v>0</v>
      </c>
    </row>
    <row r="1005" spans="1:19" ht="103.5" hidden="1" customHeight="1">
      <c r="A1005" s="1693"/>
      <c r="B1005" s="1648">
        <f t="shared" si="165"/>
        <v>0</v>
      </c>
      <c r="C1005" s="1863" t="s">
        <v>5927</v>
      </c>
      <c r="D1005" s="1648">
        <v>27844</v>
      </c>
      <c r="E1005" s="1687" t="s">
        <v>41</v>
      </c>
      <c r="F1005" s="1648"/>
      <c r="G1005" s="1648">
        <f t="shared" si="166"/>
        <v>0</v>
      </c>
      <c r="H1005" s="1648"/>
      <c r="I1005" s="1648">
        <f t="shared" si="167"/>
        <v>0</v>
      </c>
      <c r="J1005" s="1648"/>
      <c r="K1005" s="1648">
        <f t="shared" si="168"/>
        <v>0</v>
      </c>
      <c r="L1005" s="1648"/>
      <c r="M1005" s="1648">
        <f t="shared" si="169"/>
        <v>0</v>
      </c>
      <c r="N1005" s="1648">
        <f t="shared" si="170"/>
        <v>0</v>
      </c>
      <c r="O1005" s="1648">
        <f t="shared" si="171"/>
        <v>0</v>
      </c>
      <c r="P1005" s="1648">
        <f t="shared" si="172"/>
        <v>0</v>
      </c>
      <c r="Q1005" s="1648">
        <f t="shared" si="173"/>
        <v>0</v>
      </c>
      <c r="R1005" s="55">
        <f t="shared" si="174"/>
        <v>0</v>
      </c>
      <c r="S1005" s="55">
        <f t="shared" si="175"/>
        <v>0</v>
      </c>
    </row>
    <row r="1006" spans="1:19" ht="93.75" hidden="1" customHeight="1">
      <c r="A1006" s="1693"/>
      <c r="B1006" s="1648">
        <f t="shared" si="165"/>
        <v>0</v>
      </c>
      <c r="C1006" s="1863" t="s">
        <v>5928</v>
      </c>
      <c r="D1006" s="1648">
        <v>22198</v>
      </c>
      <c r="E1006" s="1687" t="s">
        <v>41</v>
      </c>
      <c r="F1006" s="1648"/>
      <c r="G1006" s="1648">
        <f t="shared" si="166"/>
        <v>0</v>
      </c>
      <c r="H1006" s="1648"/>
      <c r="I1006" s="1648">
        <f t="shared" si="167"/>
        <v>0</v>
      </c>
      <c r="J1006" s="1648"/>
      <c r="K1006" s="1648">
        <f t="shared" si="168"/>
        <v>0</v>
      </c>
      <c r="L1006" s="1648"/>
      <c r="M1006" s="1648">
        <f t="shared" si="169"/>
        <v>0</v>
      </c>
      <c r="N1006" s="1648">
        <f t="shared" si="170"/>
        <v>0</v>
      </c>
      <c r="O1006" s="1648">
        <f t="shared" si="171"/>
        <v>0</v>
      </c>
      <c r="P1006" s="1648">
        <f t="shared" si="172"/>
        <v>0</v>
      </c>
      <c r="Q1006" s="1648">
        <f t="shared" si="173"/>
        <v>0</v>
      </c>
      <c r="R1006" s="55">
        <f t="shared" si="174"/>
        <v>0</v>
      </c>
      <c r="S1006" s="55">
        <f t="shared" si="175"/>
        <v>0</v>
      </c>
    </row>
    <row r="1007" spans="1:19" ht="84.75" customHeight="1">
      <c r="A1007" s="1693"/>
      <c r="B1007" s="1648">
        <f t="shared" si="165"/>
        <v>1</v>
      </c>
      <c r="C1007" s="1863" t="s">
        <v>7015</v>
      </c>
      <c r="D1007" s="1648">
        <v>7635</v>
      </c>
      <c r="E1007" s="1687" t="s">
        <v>729</v>
      </c>
      <c r="F1007" s="1648"/>
      <c r="G1007" s="1648">
        <f t="shared" si="166"/>
        <v>0</v>
      </c>
      <c r="H1007" s="1648">
        <f>bore!I64</f>
        <v>1</v>
      </c>
      <c r="I1007" s="1648">
        <f t="shared" si="167"/>
        <v>7635</v>
      </c>
      <c r="J1007" s="1648"/>
      <c r="K1007" s="1648">
        <f t="shared" si="168"/>
        <v>0</v>
      </c>
      <c r="L1007" s="1648"/>
      <c r="M1007" s="1648">
        <f t="shared" si="169"/>
        <v>0</v>
      </c>
      <c r="N1007" s="1648">
        <f t="shared" si="170"/>
        <v>1</v>
      </c>
      <c r="O1007" s="1648">
        <f t="shared" si="171"/>
        <v>7635</v>
      </c>
      <c r="P1007" s="1648">
        <f t="shared" si="172"/>
        <v>1</v>
      </c>
      <c r="Q1007" s="1648">
        <f t="shared" si="173"/>
        <v>7635</v>
      </c>
      <c r="R1007" s="55">
        <f t="shared" si="174"/>
        <v>7635</v>
      </c>
      <c r="S1007" s="55">
        <f t="shared" si="175"/>
        <v>0</v>
      </c>
    </row>
    <row r="1008" spans="1:19" ht="62.25" hidden="1" customHeight="1">
      <c r="A1008" s="1693"/>
      <c r="B1008" s="1648">
        <f t="shared" si="165"/>
        <v>0</v>
      </c>
      <c r="C1008" s="1863" t="s">
        <v>5929</v>
      </c>
      <c r="D1008" s="1648">
        <v>12650</v>
      </c>
      <c r="E1008" s="1687" t="s">
        <v>729</v>
      </c>
      <c r="F1008" s="1648"/>
      <c r="G1008" s="1648">
        <f t="shared" si="166"/>
        <v>0</v>
      </c>
      <c r="H1008" s="1648"/>
      <c r="I1008" s="1648">
        <f t="shared" si="167"/>
        <v>0</v>
      </c>
      <c r="J1008" s="1648"/>
      <c r="K1008" s="1648">
        <f t="shared" si="168"/>
        <v>0</v>
      </c>
      <c r="L1008" s="1648"/>
      <c r="M1008" s="1648">
        <f t="shared" si="169"/>
        <v>0</v>
      </c>
      <c r="N1008" s="1648">
        <f t="shared" si="170"/>
        <v>0</v>
      </c>
      <c r="O1008" s="1648">
        <f t="shared" si="171"/>
        <v>0</v>
      </c>
      <c r="P1008" s="1648">
        <f t="shared" si="172"/>
        <v>0</v>
      </c>
      <c r="Q1008" s="1648">
        <f t="shared" si="173"/>
        <v>0</v>
      </c>
      <c r="R1008" s="55">
        <f t="shared" si="174"/>
        <v>0</v>
      </c>
      <c r="S1008" s="55">
        <f t="shared" si="175"/>
        <v>0</v>
      </c>
    </row>
    <row r="1009" spans="1:19" ht="53.25" customHeight="1">
      <c r="A1009" s="1693"/>
      <c r="B1009" s="1648">
        <f t="shared" si="165"/>
        <v>40</v>
      </c>
      <c r="C1009" s="1863" t="s">
        <v>5930</v>
      </c>
      <c r="D1009" s="1648">
        <v>194</v>
      </c>
      <c r="E1009" s="1687" t="s">
        <v>13</v>
      </c>
      <c r="F1009" s="1648"/>
      <c r="G1009" s="1648">
        <f t="shared" si="166"/>
        <v>0</v>
      </c>
      <c r="H1009" s="1648">
        <f>bore!I60</f>
        <v>40</v>
      </c>
      <c r="I1009" s="1648">
        <f t="shared" si="167"/>
        <v>7760</v>
      </c>
      <c r="J1009" s="1648"/>
      <c r="K1009" s="1648">
        <f t="shared" si="168"/>
        <v>0</v>
      </c>
      <c r="L1009" s="1648"/>
      <c r="M1009" s="1648">
        <f t="shared" si="169"/>
        <v>0</v>
      </c>
      <c r="N1009" s="1648">
        <f t="shared" si="170"/>
        <v>40</v>
      </c>
      <c r="O1009" s="1648">
        <f t="shared" si="171"/>
        <v>7760</v>
      </c>
      <c r="P1009" s="1648">
        <f t="shared" si="172"/>
        <v>40</v>
      </c>
      <c r="Q1009" s="1648">
        <f t="shared" si="173"/>
        <v>7760</v>
      </c>
      <c r="R1009" s="55">
        <f t="shared" si="174"/>
        <v>7760</v>
      </c>
      <c r="S1009" s="55">
        <f t="shared" si="175"/>
        <v>0</v>
      </c>
    </row>
    <row r="1010" spans="1:19" ht="42" customHeight="1">
      <c r="A1010" s="1693"/>
      <c r="B1010" s="1648">
        <f t="shared" si="165"/>
        <v>0</v>
      </c>
      <c r="C1010" s="1864" t="s">
        <v>5931</v>
      </c>
      <c r="D1010" s="1648"/>
      <c r="E1010" s="1687"/>
      <c r="F1010" s="1648"/>
      <c r="G1010" s="1648">
        <f t="shared" si="166"/>
        <v>0</v>
      </c>
      <c r="H1010" s="1648"/>
      <c r="I1010" s="1648">
        <f t="shared" si="167"/>
        <v>0</v>
      </c>
      <c r="J1010" s="1648"/>
      <c r="K1010" s="1648">
        <f t="shared" si="168"/>
        <v>0</v>
      </c>
      <c r="L1010" s="1648"/>
      <c r="M1010" s="1648">
        <f t="shared" si="169"/>
        <v>0</v>
      </c>
      <c r="N1010" s="1648">
        <f t="shared" si="170"/>
        <v>0</v>
      </c>
      <c r="O1010" s="1648">
        <f t="shared" si="171"/>
        <v>0</v>
      </c>
      <c r="P1010" s="1648">
        <f t="shared" si="172"/>
        <v>0</v>
      </c>
      <c r="Q1010" s="1648">
        <f t="shared" si="173"/>
        <v>0</v>
      </c>
      <c r="R1010" s="55">
        <f t="shared" si="174"/>
        <v>0</v>
      </c>
      <c r="S1010" s="55">
        <f t="shared" si="175"/>
        <v>0</v>
      </c>
    </row>
    <row r="1011" spans="1:19" ht="51" customHeight="1">
      <c r="A1011" s="1693"/>
      <c r="B1011" s="1648">
        <f t="shared" si="165"/>
        <v>1</v>
      </c>
      <c r="C1011" s="1863" t="s">
        <v>5932</v>
      </c>
      <c r="D1011" s="1648">
        <v>2498</v>
      </c>
      <c r="E1011" s="1687" t="s">
        <v>41</v>
      </c>
      <c r="F1011" s="1648"/>
      <c r="G1011" s="1648">
        <f t="shared" si="166"/>
        <v>0</v>
      </c>
      <c r="H1011" s="1648">
        <f>bore!I53</f>
        <v>1</v>
      </c>
      <c r="I1011" s="1648">
        <f t="shared" si="167"/>
        <v>2498</v>
      </c>
      <c r="J1011" s="1648"/>
      <c r="K1011" s="1648">
        <f t="shared" si="168"/>
        <v>0</v>
      </c>
      <c r="L1011" s="1648"/>
      <c r="M1011" s="1648">
        <f t="shared" si="169"/>
        <v>0</v>
      </c>
      <c r="N1011" s="1648">
        <f t="shared" si="170"/>
        <v>1</v>
      </c>
      <c r="O1011" s="1648">
        <f t="shared" si="171"/>
        <v>2498</v>
      </c>
      <c r="P1011" s="1648">
        <f t="shared" si="172"/>
        <v>1</v>
      </c>
      <c r="Q1011" s="1648">
        <f t="shared" si="173"/>
        <v>2498</v>
      </c>
      <c r="R1011" s="55">
        <f t="shared" si="174"/>
        <v>2498</v>
      </c>
      <c r="S1011" s="55">
        <f t="shared" si="175"/>
        <v>0</v>
      </c>
    </row>
    <row r="1012" spans="1:19" ht="51" hidden="1" customHeight="1">
      <c r="A1012" s="1693"/>
      <c r="B1012" s="1648">
        <f t="shared" si="165"/>
        <v>0</v>
      </c>
      <c r="C1012" s="1863" t="s">
        <v>5933</v>
      </c>
      <c r="D1012" s="1648">
        <v>1217</v>
      </c>
      <c r="E1012" s="1687" t="s">
        <v>41</v>
      </c>
      <c r="F1012" s="1648"/>
      <c r="G1012" s="1648">
        <f t="shared" si="166"/>
        <v>0</v>
      </c>
      <c r="H1012" s="1648"/>
      <c r="I1012" s="1648">
        <f t="shared" si="167"/>
        <v>0</v>
      </c>
      <c r="J1012" s="1648"/>
      <c r="K1012" s="1648">
        <f t="shared" si="168"/>
        <v>0</v>
      </c>
      <c r="L1012" s="1648"/>
      <c r="M1012" s="1648">
        <f t="shared" si="169"/>
        <v>0</v>
      </c>
      <c r="N1012" s="1648">
        <f t="shared" si="170"/>
        <v>0</v>
      </c>
      <c r="O1012" s="1648">
        <f t="shared" si="171"/>
        <v>0</v>
      </c>
      <c r="P1012" s="1648">
        <f t="shared" si="172"/>
        <v>0</v>
      </c>
      <c r="Q1012" s="1648">
        <f t="shared" si="173"/>
        <v>0</v>
      </c>
      <c r="R1012" s="55">
        <f t="shared" si="174"/>
        <v>0</v>
      </c>
      <c r="S1012" s="55">
        <f t="shared" si="175"/>
        <v>0</v>
      </c>
    </row>
    <row r="1013" spans="1:19" ht="51" hidden="1" customHeight="1">
      <c r="A1013" s="1693"/>
      <c r="B1013" s="1648">
        <f t="shared" si="165"/>
        <v>0</v>
      </c>
      <c r="C1013" s="1863" t="s">
        <v>5934</v>
      </c>
      <c r="D1013" s="1648">
        <v>266.3</v>
      </c>
      <c r="E1013" s="1687" t="s">
        <v>41</v>
      </c>
      <c r="F1013" s="1648"/>
      <c r="G1013" s="1648">
        <f t="shared" si="166"/>
        <v>0</v>
      </c>
      <c r="H1013" s="1648"/>
      <c r="I1013" s="1648">
        <f t="shared" si="167"/>
        <v>0</v>
      </c>
      <c r="J1013" s="1648"/>
      <c r="K1013" s="1648">
        <f t="shared" si="168"/>
        <v>0</v>
      </c>
      <c r="L1013" s="1648"/>
      <c r="M1013" s="1648">
        <f t="shared" si="169"/>
        <v>0</v>
      </c>
      <c r="N1013" s="1648">
        <f t="shared" si="170"/>
        <v>0</v>
      </c>
      <c r="O1013" s="1648">
        <f t="shared" si="171"/>
        <v>0</v>
      </c>
      <c r="P1013" s="1648">
        <f t="shared" si="172"/>
        <v>0</v>
      </c>
      <c r="Q1013" s="1648">
        <f t="shared" si="173"/>
        <v>0</v>
      </c>
      <c r="R1013" s="55">
        <f t="shared" si="174"/>
        <v>0</v>
      </c>
      <c r="S1013" s="55">
        <f t="shared" si="175"/>
        <v>0</v>
      </c>
    </row>
    <row r="1014" spans="1:19" ht="49.5" hidden="1" customHeight="1">
      <c r="A1014" s="1693"/>
      <c r="B1014" s="1648">
        <f t="shared" si="165"/>
        <v>0</v>
      </c>
      <c r="C1014" s="1863" t="s">
        <v>5935</v>
      </c>
      <c r="D1014" s="1648">
        <v>209</v>
      </c>
      <c r="E1014" s="1687" t="s">
        <v>41</v>
      </c>
      <c r="F1014" s="1648"/>
      <c r="G1014" s="1648">
        <f t="shared" si="166"/>
        <v>0</v>
      </c>
      <c r="H1014" s="1648"/>
      <c r="I1014" s="1648">
        <f t="shared" si="167"/>
        <v>0</v>
      </c>
      <c r="J1014" s="1648"/>
      <c r="K1014" s="1648">
        <f t="shared" si="168"/>
        <v>0</v>
      </c>
      <c r="L1014" s="1648"/>
      <c r="M1014" s="1648">
        <f t="shared" si="169"/>
        <v>0</v>
      </c>
      <c r="N1014" s="1648">
        <f t="shared" si="170"/>
        <v>0</v>
      </c>
      <c r="O1014" s="1648">
        <f t="shared" si="171"/>
        <v>0</v>
      </c>
      <c r="P1014" s="1648">
        <f t="shared" si="172"/>
        <v>0</v>
      </c>
      <c r="Q1014" s="1648">
        <f t="shared" si="173"/>
        <v>0</v>
      </c>
      <c r="R1014" s="55">
        <f t="shared" si="174"/>
        <v>0</v>
      </c>
      <c r="S1014" s="55">
        <f t="shared" si="175"/>
        <v>0</v>
      </c>
    </row>
    <row r="1015" spans="1:19" ht="49.5" hidden="1" customHeight="1">
      <c r="A1015" s="1693"/>
      <c r="B1015" s="1648">
        <f t="shared" si="165"/>
        <v>0</v>
      </c>
      <c r="C1015" s="1863" t="s">
        <v>5936</v>
      </c>
      <c r="D1015" s="1648">
        <v>116.3</v>
      </c>
      <c r="E1015" s="1687" t="s">
        <v>41</v>
      </c>
      <c r="F1015" s="1648"/>
      <c r="G1015" s="1648">
        <f t="shared" si="166"/>
        <v>0</v>
      </c>
      <c r="H1015" s="1648"/>
      <c r="I1015" s="1648">
        <f t="shared" si="167"/>
        <v>0</v>
      </c>
      <c r="J1015" s="1648"/>
      <c r="K1015" s="1648">
        <f t="shared" si="168"/>
        <v>0</v>
      </c>
      <c r="L1015" s="1648"/>
      <c r="M1015" s="1648">
        <f t="shared" si="169"/>
        <v>0</v>
      </c>
      <c r="N1015" s="1648">
        <f t="shared" si="170"/>
        <v>0</v>
      </c>
      <c r="O1015" s="1648">
        <f t="shared" si="171"/>
        <v>0</v>
      </c>
      <c r="P1015" s="1648">
        <f t="shared" si="172"/>
        <v>0</v>
      </c>
      <c r="Q1015" s="1648">
        <f t="shared" si="173"/>
        <v>0</v>
      </c>
      <c r="R1015" s="55">
        <f t="shared" si="174"/>
        <v>0</v>
      </c>
      <c r="S1015" s="55">
        <f t="shared" si="175"/>
        <v>0</v>
      </c>
    </row>
    <row r="1016" spans="1:19" ht="49.5" hidden="1" customHeight="1">
      <c r="A1016" s="1693"/>
      <c r="B1016" s="1648">
        <f t="shared" si="165"/>
        <v>0</v>
      </c>
      <c r="C1016" s="1863" t="s">
        <v>5937</v>
      </c>
      <c r="D1016" s="1648">
        <v>69.8</v>
      </c>
      <c r="E1016" s="1687" t="s">
        <v>41</v>
      </c>
      <c r="F1016" s="1648"/>
      <c r="G1016" s="1648">
        <f t="shared" si="166"/>
        <v>0</v>
      </c>
      <c r="H1016" s="1648"/>
      <c r="I1016" s="1648">
        <f t="shared" si="167"/>
        <v>0</v>
      </c>
      <c r="J1016" s="1648"/>
      <c r="K1016" s="1648">
        <f t="shared" si="168"/>
        <v>0</v>
      </c>
      <c r="L1016" s="1648"/>
      <c r="M1016" s="1648">
        <f t="shared" si="169"/>
        <v>0</v>
      </c>
      <c r="N1016" s="1648">
        <f t="shared" si="170"/>
        <v>0</v>
      </c>
      <c r="O1016" s="1648">
        <f t="shared" si="171"/>
        <v>0</v>
      </c>
      <c r="P1016" s="1648">
        <f t="shared" si="172"/>
        <v>0</v>
      </c>
      <c r="Q1016" s="1648">
        <f t="shared" si="173"/>
        <v>0</v>
      </c>
      <c r="R1016" s="55">
        <f t="shared" si="174"/>
        <v>0</v>
      </c>
      <c r="S1016" s="55">
        <f t="shared" si="175"/>
        <v>0</v>
      </c>
    </row>
    <row r="1017" spans="1:19" ht="49.5" hidden="1" customHeight="1">
      <c r="A1017" s="1693"/>
      <c r="B1017" s="1648">
        <f t="shared" si="165"/>
        <v>0</v>
      </c>
      <c r="C1017" s="1863"/>
      <c r="D1017" s="1648"/>
      <c r="E1017" s="1687"/>
      <c r="F1017" s="1648"/>
      <c r="G1017" s="1648">
        <f t="shared" si="166"/>
        <v>0</v>
      </c>
      <c r="H1017" s="1648"/>
      <c r="I1017" s="1648">
        <f t="shared" si="167"/>
        <v>0</v>
      </c>
      <c r="J1017" s="1648"/>
      <c r="K1017" s="1648">
        <f t="shared" si="168"/>
        <v>0</v>
      </c>
      <c r="L1017" s="1648"/>
      <c r="M1017" s="1648">
        <f t="shared" si="169"/>
        <v>0</v>
      </c>
      <c r="N1017" s="1648">
        <f t="shared" si="170"/>
        <v>0</v>
      </c>
      <c r="O1017" s="1648">
        <f t="shared" si="171"/>
        <v>0</v>
      </c>
      <c r="P1017" s="1648">
        <f t="shared" si="172"/>
        <v>0</v>
      </c>
      <c r="Q1017" s="1648">
        <f t="shared" si="173"/>
        <v>0</v>
      </c>
      <c r="R1017" s="55">
        <f t="shared" si="174"/>
        <v>0</v>
      </c>
      <c r="S1017" s="55">
        <f t="shared" si="175"/>
        <v>0</v>
      </c>
    </row>
    <row r="1018" spans="1:19" ht="231" hidden="1" customHeight="1">
      <c r="A1018" s="1693"/>
      <c r="B1018" s="1648">
        <f t="shared" si="165"/>
        <v>0</v>
      </c>
      <c r="C1018" s="1869" t="s">
        <v>5938</v>
      </c>
      <c r="D1018" s="1651">
        <v>7945</v>
      </c>
      <c r="E1018" s="1702" t="s">
        <v>724</v>
      </c>
      <c r="F1018" s="1651"/>
      <c r="G1018" s="1648">
        <f t="shared" si="166"/>
        <v>0</v>
      </c>
      <c r="H1018" s="1648"/>
      <c r="I1018" s="1648">
        <f t="shared" si="167"/>
        <v>0</v>
      </c>
      <c r="J1018" s="1648"/>
      <c r="K1018" s="1648">
        <f t="shared" si="168"/>
        <v>0</v>
      </c>
      <c r="L1018" s="1648"/>
      <c r="M1018" s="1648">
        <f t="shared" si="169"/>
        <v>0</v>
      </c>
      <c r="N1018" s="1648">
        <f t="shared" si="170"/>
        <v>0</v>
      </c>
      <c r="O1018" s="1648">
        <f t="shared" si="171"/>
        <v>0</v>
      </c>
      <c r="P1018" s="1648">
        <f t="shared" si="172"/>
        <v>0</v>
      </c>
      <c r="Q1018" s="1648">
        <f t="shared" si="173"/>
        <v>0</v>
      </c>
      <c r="R1018" s="55">
        <f t="shared" si="174"/>
        <v>0</v>
      </c>
      <c r="S1018" s="55">
        <f t="shared" si="175"/>
        <v>0</v>
      </c>
    </row>
    <row r="1019" spans="1:19" ht="49.5" hidden="1" customHeight="1">
      <c r="A1019" s="1693"/>
      <c r="B1019" s="1648">
        <f t="shared" si="165"/>
        <v>0</v>
      </c>
      <c r="C1019" s="1865" t="s">
        <v>5939</v>
      </c>
      <c r="D1019" s="1651"/>
      <c r="E1019" s="1702"/>
      <c r="F1019" s="1651"/>
      <c r="G1019" s="1648">
        <f t="shared" si="166"/>
        <v>0</v>
      </c>
      <c r="H1019" s="1648"/>
      <c r="I1019" s="1648">
        <f t="shared" si="167"/>
        <v>0</v>
      </c>
      <c r="J1019" s="1648"/>
      <c r="K1019" s="1648">
        <f t="shared" si="168"/>
        <v>0</v>
      </c>
      <c r="L1019" s="1648"/>
      <c r="M1019" s="1648">
        <f t="shared" si="169"/>
        <v>0</v>
      </c>
      <c r="N1019" s="1648">
        <f t="shared" si="170"/>
        <v>0</v>
      </c>
      <c r="O1019" s="1648">
        <f t="shared" si="171"/>
        <v>0</v>
      </c>
      <c r="P1019" s="1648">
        <f t="shared" si="172"/>
        <v>0</v>
      </c>
      <c r="Q1019" s="1648">
        <f t="shared" si="173"/>
        <v>0</v>
      </c>
      <c r="R1019" s="55">
        <f t="shared" si="174"/>
        <v>0</v>
      </c>
      <c r="S1019" s="55">
        <f t="shared" si="175"/>
        <v>0</v>
      </c>
    </row>
    <row r="1020" spans="1:19" ht="131.25" hidden="1" customHeight="1">
      <c r="A1020" s="1693"/>
      <c r="B1020" s="1648">
        <f t="shared" si="165"/>
        <v>0</v>
      </c>
      <c r="C1020" s="1875" t="s">
        <v>5940</v>
      </c>
      <c r="D1020" s="1651">
        <v>1857100</v>
      </c>
      <c r="E1020" s="1702" t="s">
        <v>41</v>
      </c>
      <c r="F1020" s="1651"/>
      <c r="G1020" s="1648">
        <f t="shared" si="166"/>
        <v>0</v>
      </c>
      <c r="H1020" s="1648"/>
      <c r="I1020" s="1648">
        <f t="shared" si="167"/>
        <v>0</v>
      </c>
      <c r="J1020" s="1648"/>
      <c r="K1020" s="1648">
        <f t="shared" si="168"/>
        <v>0</v>
      </c>
      <c r="L1020" s="1648"/>
      <c r="M1020" s="1648">
        <f t="shared" si="169"/>
        <v>0</v>
      </c>
      <c r="N1020" s="1648">
        <f t="shared" si="170"/>
        <v>0</v>
      </c>
      <c r="O1020" s="1648">
        <f t="shared" si="171"/>
        <v>0</v>
      </c>
      <c r="P1020" s="1648">
        <f t="shared" si="172"/>
        <v>0</v>
      </c>
      <c r="Q1020" s="1648">
        <f t="shared" si="173"/>
        <v>0</v>
      </c>
      <c r="R1020" s="55">
        <f t="shared" si="174"/>
        <v>0</v>
      </c>
      <c r="S1020" s="55">
        <f t="shared" si="175"/>
        <v>0</v>
      </c>
    </row>
    <row r="1021" spans="1:19" ht="93" hidden="1" customHeight="1">
      <c r="A1021" s="1693"/>
      <c r="B1021" s="1648">
        <f t="shared" si="165"/>
        <v>0</v>
      </c>
      <c r="C1021" s="1875" t="s">
        <v>5941</v>
      </c>
      <c r="D1021" s="1651">
        <v>1739000</v>
      </c>
      <c r="E1021" s="1702" t="s">
        <v>41</v>
      </c>
      <c r="F1021" s="1651"/>
      <c r="G1021" s="1648">
        <f t="shared" si="166"/>
        <v>0</v>
      </c>
      <c r="H1021" s="1648"/>
      <c r="I1021" s="1648">
        <f t="shared" si="167"/>
        <v>0</v>
      </c>
      <c r="J1021" s="1648"/>
      <c r="K1021" s="1648">
        <f t="shared" si="168"/>
        <v>0</v>
      </c>
      <c r="L1021" s="1648"/>
      <c r="M1021" s="1648">
        <f t="shared" si="169"/>
        <v>0</v>
      </c>
      <c r="N1021" s="1648">
        <f t="shared" si="170"/>
        <v>0</v>
      </c>
      <c r="O1021" s="1648">
        <f t="shared" si="171"/>
        <v>0</v>
      </c>
      <c r="P1021" s="1648">
        <f t="shared" si="172"/>
        <v>0</v>
      </c>
      <c r="Q1021" s="1648">
        <f t="shared" si="173"/>
        <v>0</v>
      </c>
      <c r="R1021" s="55">
        <f t="shared" si="174"/>
        <v>0</v>
      </c>
      <c r="S1021" s="55">
        <f t="shared" si="175"/>
        <v>0</v>
      </c>
    </row>
    <row r="1022" spans="1:19" ht="23.25" hidden="1" customHeight="1">
      <c r="A1022" s="1693"/>
      <c r="B1022" s="1648">
        <f t="shared" si="165"/>
        <v>0</v>
      </c>
      <c r="C1022" s="1865" t="s">
        <v>5942</v>
      </c>
      <c r="D1022" s="1651"/>
      <c r="E1022" s="1702"/>
      <c r="F1022" s="1651"/>
      <c r="G1022" s="1648">
        <f t="shared" si="166"/>
        <v>0</v>
      </c>
      <c r="H1022" s="1648"/>
      <c r="I1022" s="1648">
        <f t="shared" si="167"/>
        <v>0</v>
      </c>
      <c r="J1022" s="1648"/>
      <c r="K1022" s="1648">
        <f t="shared" si="168"/>
        <v>0</v>
      </c>
      <c r="L1022" s="1648"/>
      <c r="M1022" s="1648">
        <f t="shared" si="169"/>
        <v>0</v>
      </c>
      <c r="N1022" s="1648">
        <f t="shared" si="170"/>
        <v>0</v>
      </c>
      <c r="O1022" s="1648">
        <f t="shared" si="171"/>
        <v>0</v>
      </c>
      <c r="P1022" s="1648">
        <f t="shared" si="172"/>
        <v>0</v>
      </c>
      <c r="Q1022" s="1648">
        <f t="shared" si="173"/>
        <v>0</v>
      </c>
      <c r="R1022" s="55">
        <f t="shared" si="174"/>
        <v>0</v>
      </c>
      <c r="S1022" s="55">
        <f t="shared" si="175"/>
        <v>0</v>
      </c>
    </row>
    <row r="1023" spans="1:19" ht="116.25" hidden="1" customHeight="1">
      <c r="A1023" s="1693"/>
      <c r="B1023" s="1648">
        <f t="shared" si="165"/>
        <v>0</v>
      </c>
      <c r="C1023" s="1867" t="s">
        <v>5943</v>
      </c>
      <c r="D1023" s="1672">
        <v>216000</v>
      </c>
      <c r="E1023" s="1702" t="s">
        <v>41</v>
      </c>
      <c r="F1023" s="1651"/>
      <c r="G1023" s="1648">
        <f t="shared" si="166"/>
        <v>0</v>
      </c>
      <c r="H1023" s="1648"/>
      <c r="I1023" s="1648">
        <f t="shared" si="167"/>
        <v>0</v>
      </c>
      <c r="J1023" s="1648"/>
      <c r="K1023" s="1648">
        <f t="shared" si="168"/>
        <v>0</v>
      </c>
      <c r="L1023" s="1648"/>
      <c r="M1023" s="1648">
        <f t="shared" si="169"/>
        <v>0</v>
      </c>
      <c r="N1023" s="1648">
        <f t="shared" si="170"/>
        <v>0</v>
      </c>
      <c r="O1023" s="1648">
        <f t="shared" si="171"/>
        <v>0</v>
      </c>
      <c r="P1023" s="1648">
        <f t="shared" si="172"/>
        <v>0</v>
      </c>
      <c r="Q1023" s="1648">
        <f t="shared" si="173"/>
        <v>0</v>
      </c>
      <c r="R1023" s="55">
        <f t="shared" si="174"/>
        <v>0</v>
      </c>
      <c r="S1023" s="55">
        <f t="shared" si="175"/>
        <v>0</v>
      </c>
    </row>
    <row r="1024" spans="1:19" ht="46.5" hidden="1" customHeight="1">
      <c r="A1024" s="1693"/>
      <c r="B1024" s="1648">
        <f t="shared" si="165"/>
        <v>0</v>
      </c>
      <c r="C1024" s="1867" t="s">
        <v>5944</v>
      </c>
      <c r="D1024" s="1672">
        <v>27000</v>
      </c>
      <c r="E1024" s="1702" t="s">
        <v>41</v>
      </c>
      <c r="F1024" s="1651"/>
      <c r="G1024" s="1648">
        <f t="shared" si="166"/>
        <v>0</v>
      </c>
      <c r="H1024" s="1648"/>
      <c r="I1024" s="1648">
        <f t="shared" si="167"/>
        <v>0</v>
      </c>
      <c r="J1024" s="1648"/>
      <c r="K1024" s="1648">
        <f t="shared" si="168"/>
        <v>0</v>
      </c>
      <c r="L1024" s="1648"/>
      <c r="M1024" s="1648">
        <f t="shared" si="169"/>
        <v>0</v>
      </c>
      <c r="N1024" s="1648">
        <f t="shared" si="170"/>
        <v>0</v>
      </c>
      <c r="O1024" s="1648">
        <f t="shared" si="171"/>
        <v>0</v>
      </c>
      <c r="P1024" s="1648">
        <f t="shared" si="172"/>
        <v>0</v>
      </c>
      <c r="Q1024" s="1648">
        <f t="shared" si="173"/>
        <v>0</v>
      </c>
      <c r="R1024" s="55">
        <f t="shared" si="174"/>
        <v>0</v>
      </c>
      <c r="S1024" s="55">
        <f t="shared" si="175"/>
        <v>0</v>
      </c>
    </row>
    <row r="1025" spans="1:19" ht="116.25" hidden="1" customHeight="1">
      <c r="A1025" s="1693"/>
      <c r="B1025" s="1648">
        <f t="shared" si="165"/>
        <v>0</v>
      </c>
      <c r="C1025" s="1865" t="s">
        <v>5945</v>
      </c>
      <c r="D1025" s="1672"/>
      <c r="E1025" s="1702"/>
      <c r="F1025" s="1651"/>
      <c r="G1025" s="1648">
        <f t="shared" si="166"/>
        <v>0</v>
      </c>
      <c r="H1025" s="1648"/>
      <c r="I1025" s="1648">
        <f t="shared" si="167"/>
        <v>0</v>
      </c>
      <c r="J1025" s="1648"/>
      <c r="K1025" s="1648">
        <f t="shared" si="168"/>
        <v>0</v>
      </c>
      <c r="L1025" s="1648"/>
      <c r="M1025" s="1648">
        <f t="shared" si="169"/>
        <v>0</v>
      </c>
      <c r="N1025" s="1648">
        <f t="shared" si="170"/>
        <v>0</v>
      </c>
      <c r="O1025" s="1648">
        <f t="shared" si="171"/>
        <v>0</v>
      </c>
      <c r="P1025" s="1648">
        <f t="shared" si="172"/>
        <v>0</v>
      </c>
      <c r="Q1025" s="1648">
        <f t="shared" si="173"/>
        <v>0</v>
      </c>
      <c r="R1025" s="55">
        <f t="shared" si="174"/>
        <v>0</v>
      </c>
      <c r="S1025" s="55">
        <f t="shared" si="175"/>
        <v>0</v>
      </c>
    </row>
    <row r="1026" spans="1:19" ht="46.5" hidden="1" customHeight="1">
      <c r="A1026" s="1693"/>
      <c r="B1026" s="1648">
        <f t="shared" si="165"/>
        <v>0</v>
      </c>
      <c r="C1026" s="1867" t="s">
        <v>5946</v>
      </c>
      <c r="D1026" s="1672">
        <v>232</v>
      </c>
      <c r="E1026" s="1702" t="s">
        <v>13</v>
      </c>
      <c r="F1026" s="1651"/>
      <c r="G1026" s="1648">
        <f t="shared" si="166"/>
        <v>0</v>
      </c>
      <c r="H1026" s="1648"/>
      <c r="I1026" s="1648">
        <f t="shared" si="167"/>
        <v>0</v>
      </c>
      <c r="J1026" s="1648"/>
      <c r="K1026" s="1648">
        <f t="shared" si="168"/>
        <v>0</v>
      </c>
      <c r="L1026" s="1648"/>
      <c r="M1026" s="1648">
        <f t="shared" si="169"/>
        <v>0</v>
      </c>
      <c r="N1026" s="1648">
        <f t="shared" si="170"/>
        <v>0</v>
      </c>
      <c r="O1026" s="1648">
        <f t="shared" si="171"/>
        <v>0</v>
      </c>
      <c r="P1026" s="1648">
        <f t="shared" si="172"/>
        <v>0</v>
      </c>
      <c r="Q1026" s="1648">
        <f t="shared" si="173"/>
        <v>0</v>
      </c>
      <c r="R1026" s="55">
        <f t="shared" si="174"/>
        <v>0</v>
      </c>
      <c r="S1026" s="55">
        <f t="shared" si="175"/>
        <v>0</v>
      </c>
    </row>
    <row r="1027" spans="1:19" ht="46.5" hidden="1" customHeight="1">
      <c r="A1027" s="1693"/>
      <c r="B1027" s="1648">
        <f t="shared" si="165"/>
        <v>0</v>
      </c>
      <c r="C1027" s="1867" t="s">
        <v>5947</v>
      </c>
      <c r="D1027" s="1672">
        <v>160</v>
      </c>
      <c r="E1027" s="1702" t="s">
        <v>13</v>
      </c>
      <c r="F1027" s="1651"/>
      <c r="G1027" s="1648">
        <f t="shared" si="166"/>
        <v>0</v>
      </c>
      <c r="H1027" s="1648"/>
      <c r="I1027" s="1648">
        <f t="shared" si="167"/>
        <v>0</v>
      </c>
      <c r="J1027" s="1648"/>
      <c r="K1027" s="1648">
        <f t="shared" si="168"/>
        <v>0</v>
      </c>
      <c r="L1027" s="1648"/>
      <c r="M1027" s="1648">
        <f t="shared" si="169"/>
        <v>0</v>
      </c>
      <c r="N1027" s="1648">
        <f t="shared" si="170"/>
        <v>0</v>
      </c>
      <c r="O1027" s="1648">
        <f t="shared" si="171"/>
        <v>0</v>
      </c>
      <c r="P1027" s="1648">
        <f t="shared" si="172"/>
        <v>0</v>
      </c>
      <c r="Q1027" s="1648">
        <f t="shared" si="173"/>
        <v>0</v>
      </c>
      <c r="R1027" s="55">
        <f t="shared" si="174"/>
        <v>0</v>
      </c>
      <c r="S1027" s="55">
        <f t="shared" si="175"/>
        <v>0</v>
      </c>
    </row>
    <row r="1028" spans="1:19" ht="46.5" hidden="1" customHeight="1">
      <c r="A1028" s="1693"/>
      <c r="B1028" s="1648">
        <f t="shared" si="165"/>
        <v>0</v>
      </c>
      <c r="C1028" s="1867" t="s">
        <v>5948</v>
      </c>
      <c r="D1028" s="1672">
        <v>220</v>
      </c>
      <c r="E1028" s="1702" t="s">
        <v>13</v>
      </c>
      <c r="F1028" s="1651"/>
      <c r="G1028" s="1648">
        <f t="shared" si="166"/>
        <v>0</v>
      </c>
      <c r="H1028" s="1648"/>
      <c r="I1028" s="1648">
        <f t="shared" si="167"/>
        <v>0</v>
      </c>
      <c r="J1028" s="1648"/>
      <c r="K1028" s="1648">
        <f t="shared" si="168"/>
        <v>0</v>
      </c>
      <c r="L1028" s="1648"/>
      <c r="M1028" s="1648">
        <f t="shared" si="169"/>
        <v>0</v>
      </c>
      <c r="N1028" s="1648">
        <f t="shared" si="170"/>
        <v>0</v>
      </c>
      <c r="O1028" s="1648">
        <f t="shared" si="171"/>
        <v>0</v>
      </c>
      <c r="P1028" s="1648">
        <f t="shared" si="172"/>
        <v>0</v>
      </c>
      <c r="Q1028" s="1648">
        <f t="shared" si="173"/>
        <v>0</v>
      </c>
      <c r="R1028" s="55">
        <f t="shared" si="174"/>
        <v>0</v>
      </c>
      <c r="S1028" s="55">
        <f t="shared" si="175"/>
        <v>0</v>
      </c>
    </row>
    <row r="1029" spans="1:19" ht="40.5" hidden="1" customHeight="1">
      <c r="A1029" s="1693"/>
      <c r="B1029" s="1648">
        <f t="shared" si="165"/>
        <v>0</v>
      </c>
      <c r="C1029" s="1876" t="s">
        <v>5949</v>
      </c>
      <c r="D1029" s="1672"/>
      <c r="E1029" s="1688"/>
      <c r="F1029" s="1651"/>
      <c r="G1029" s="1648">
        <f t="shared" si="166"/>
        <v>0</v>
      </c>
      <c r="H1029" s="1648"/>
      <c r="I1029" s="1648">
        <f t="shared" si="167"/>
        <v>0</v>
      </c>
      <c r="J1029" s="1648"/>
      <c r="K1029" s="1648">
        <f t="shared" si="168"/>
        <v>0</v>
      </c>
      <c r="L1029" s="1648"/>
      <c r="M1029" s="1648">
        <f t="shared" si="169"/>
        <v>0</v>
      </c>
      <c r="N1029" s="1648">
        <f t="shared" si="170"/>
        <v>0</v>
      </c>
      <c r="O1029" s="1648">
        <f t="shared" si="171"/>
        <v>0</v>
      </c>
      <c r="P1029" s="1648">
        <f t="shared" si="172"/>
        <v>0</v>
      </c>
      <c r="Q1029" s="1648">
        <f t="shared" si="173"/>
        <v>0</v>
      </c>
      <c r="R1029" s="55">
        <f t="shared" si="174"/>
        <v>0</v>
      </c>
      <c r="S1029" s="55">
        <f t="shared" si="175"/>
        <v>0</v>
      </c>
    </row>
    <row r="1030" spans="1:19" ht="23.25" hidden="1" customHeight="1">
      <c r="A1030" s="1693"/>
      <c r="B1030" s="1648">
        <f t="shared" ref="B1030:B1093" si="176">P1030</f>
        <v>0</v>
      </c>
      <c r="C1030" s="1869" t="s">
        <v>5950</v>
      </c>
      <c r="D1030" s="1672">
        <v>4400</v>
      </c>
      <c r="E1030" s="1691" t="s">
        <v>41</v>
      </c>
      <c r="F1030" s="1651"/>
      <c r="G1030" s="1648">
        <f t="shared" ref="G1030:G1093" si="177">F1030*D1030</f>
        <v>0</v>
      </c>
      <c r="H1030" s="1648"/>
      <c r="I1030" s="1648">
        <f t="shared" ref="I1030:I1093" si="178">H1030*D1030</f>
        <v>0</v>
      </c>
      <c r="J1030" s="1648"/>
      <c r="K1030" s="1648">
        <f t="shared" si="168"/>
        <v>0</v>
      </c>
      <c r="L1030" s="1648"/>
      <c r="M1030" s="1648">
        <f t="shared" si="169"/>
        <v>0</v>
      </c>
      <c r="N1030" s="1648">
        <f t="shared" si="170"/>
        <v>0</v>
      </c>
      <c r="O1030" s="1648">
        <f t="shared" si="171"/>
        <v>0</v>
      </c>
      <c r="P1030" s="1648">
        <f t="shared" ref="P1030:P1093" si="179">N1030+F1030</f>
        <v>0</v>
      </c>
      <c r="Q1030" s="1648">
        <f t="shared" ref="Q1030:Q1093" si="180">P1030*D1030</f>
        <v>0</v>
      </c>
      <c r="R1030" s="55">
        <f t="shared" ref="R1030:R1093" si="181">G1030+I1030+K1030+M1030</f>
        <v>0</v>
      </c>
      <c r="S1030" s="55">
        <f t="shared" ref="S1030:S1093" si="182">Q1030-R1030</f>
        <v>0</v>
      </c>
    </row>
    <row r="1031" spans="1:19" ht="40.5" hidden="1" customHeight="1">
      <c r="A1031" s="1693"/>
      <c r="B1031" s="1648">
        <f t="shared" si="176"/>
        <v>0</v>
      </c>
      <c r="C1031" s="1876" t="s">
        <v>5951</v>
      </c>
      <c r="D1031" s="1672"/>
      <c r="E1031" s="1691"/>
      <c r="F1031" s="1651"/>
      <c r="G1031" s="1648">
        <f t="shared" si="177"/>
        <v>0</v>
      </c>
      <c r="H1031" s="1648"/>
      <c r="I1031" s="1648">
        <f t="shared" si="178"/>
        <v>0</v>
      </c>
      <c r="J1031" s="1648"/>
      <c r="K1031" s="1648">
        <f t="shared" ref="K1031:K1094" si="183">J1031*D1031</f>
        <v>0</v>
      </c>
      <c r="L1031" s="1648"/>
      <c r="M1031" s="1648">
        <f t="shared" ref="M1031:M1094" si="184">L1031*D1031</f>
        <v>0</v>
      </c>
      <c r="N1031" s="1648">
        <f t="shared" ref="N1031:N1094" si="185">H1031+J1031+L1031</f>
        <v>0</v>
      </c>
      <c r="O1031" s="1648">
        <f t="shared" ref="O1031:O1094" si="186">N1031*D1031</f>
        <v>0</v>
      </c>
      <c r="P1031" s="1648">
        <f t="shared" si="179"/>
        <v>0</v>
      </c>
      <c r="Q1031" s="1648">
        <f t="shared" si="180"/>
        <v>0</v>
      </c>
      <c r="R1031" s="55">
        <f t="shared" si="181"/>
        <v>0</v>
      </c>
      <c r="S1031" s="55">
        <f t="shared" si="182"/>
        <v>0</v>
      </c>
    </row>
    <row r="1032" spans="1:19" ht="23.25" hidden="1" customHeight="1">
      <c r="A1032" s="1693"/>
      <c r="B1032" s="1648">
        <f t="shared" si="176"/>
        <v>0</v>
      </c>
      <c r="C1032" s="1867" t="s">
        <v>5952</v>
      </c>
      <c r="D1032" s="1672">
        <v>16000</v>
      </c>
      <c r="E1032" s="1691" t="s">
        <v>41</v>
      </c>
      <c r="F1032" s="1651"/>
      <c r="G1032" s="1648">
        <f t="shared" si="177"/>
        <v>0</v>
      </c>
      <c r="H1032" s="1648"/>
      <c r="I1032" s="1648">
        <f t="shared" si="178"/>
        <v>0</v>
      </c>
      <c r="J1032" s="1648"/>
      <c r="K1032" s="1648">
        <f t="shared" si="183"/>
        <v>0</v>
      </c>
      <c r="L1032" s="1648"/>
      <c r="M1032" s="1648">
        <f t="shared" si="184"/>
        <v>0</v>
      </c>
      <c r="N1032" s="1648">
        <f t="shared" si="185"/>
        <v>0</v>
      </c>
      <c r="O1032" s="1648">
        <f t="shared" si="186"/>
        <v>0</v>
      </c>
      <c r="P1032" s="1648">
        <f t="shared" si="179"/>
        <v>0</v>
      </c>
      <c r="Q1032" s="1648">
        <f t="shared" si="180"/>
        <v>0</v>
      </c>
      <c r="R1032" s="55">
        <f t="shared" si="181"/>
        <v>0</v>
      </c>
      <c r="S1032" s="55">
        <f t="shared" si="182"/>
        <v>0</v>
      </c>
    </row>
    <row r="1033" spans="1:19" ht="93" hidden="1" customHeight="1">
      <c r="A1033" s="1693"/>
      <c r="B1033" s="1648">
        <f t="shared" si="176"/>
        <v>0</v>
      </c>
      <c r="C1033" s="1865" t="s">
        <v>5953</v>
      </c>
      <c r="D1033" s="1672"/>
      <c r="E1033" s="1691"/>
      <c r="F1033" s="1651"/>
      <c r="G1033" s="1648">
        <f t="shared" si="177"/>
        <v>0</v>
      </c>
      <c r="H1033" s="1648"/>
      <c r="I1033" s="1648">
        <f t="shared" si="178"/>
        <v>0</v>
      </c>
      <c r="J1033" s="1648"/>
      <c r="K1033" s="1648">
        <f t="shared" si="183"/>
        <v>0</v>
      </c>
      <c r="L1033" s="1648"/>
      <c r="M1033" s="1648">
        <f t="shared" si="184"/>
        <v>0</v>
      </c>
      <c r="N1033" s="1648">
        <f t="shared" si="185"/>
        <v>0</v>
      </c>
      <c r="O1033" s="1648">
        <f t="shared" si="186"/>
        <v>0</v>
      </c>
      <c r="P1033" s="1648">
        <f t="shared" si="179"/>
        <v>0</v>
      </c>
      <c r="Q1033" s="1648">
        <f t="shared" si="180"/>
        <v>0</v>
      </c>
      <c r="R1033" s="55">
        <f t="shared" si="181"/>
        <v>0</v>
      </c>
      <c r="S1033" s="55">
        <f t="shared" si="182"/>
        <v>0</v>
      </c>
    </row>
    <row r="1034" spans="1:19" ht="23.25" hidden="1" customHeight="1">
      <c r="A1034" s="1693"/>
      <c r="B1034" s="1648">
        <f t="shared" si="176"/>
        <v>0</v>
      </c>
      <c r="C1034" s="1867" t="s">
        <v>5954</v>
      </c>
      <c r="D1034" s="1672">
        <v>2400</v>
      </c>
      <c r="E1034" s="1691" t="s">
        <v>41</v>
      </c>
      <c r="F1034" s="1658"/>
      <c r="G1034" s="1648">
        <f t="shared" si="177"/>
        <v>0</v>
      </c>
      <c r="H1034" s="1648"/>
      <c r="I1034" s="1648">
        <f t="shared" si="178"/>
        <v>0</v>
      </c>
      <c r="J1034" s="1648"/>
      <c r="K1034" s="1648">
        <f t="shared" si="183"/>
        <v>0</v>
      </c>
      <c r="L1034" s="1648"/>
      <c r="M1034" s="1648">
        <f t="shared" si="184"/>
        <v>0</v>
      </c>
      <c r="N1034" s="1648">
        <f t="shared" si="185"/>
        <v>0</v>
      </c>
      <c r="O1034" s="1648">
        <f t="shared" si="186"/>
        <v>0</v>
      </c>
      <c r="P1034" s="1648">
        <f t="shared" si="179"/>
        <v>0</v>
      </c>
      <c r="Q1034" s="1648">
        <f t="shared" si="180"/>
        <v>0</v>
      </c>
      <c r="R1034" s="55">
        <f t="shared" si="181"/>
        <v>0</v>
      </c>
      <c r="S1034" s="55">
        <f t="shared" si="182"/>
        <v>0</v>
      </c>
    </row>
    <row r="1035" spans="1:19" ht="23.25" hidden="1" customHeight="1">
      <c r="A1035" s="1693"/>
      <c r="B1035" s="1648">
        <f t="shared" si="176"/>
        <v>0</v>
      </c>
      <c r="C1035" s="1867" t="s">
        <v>5955</v>
      </c>
      <c r="D1035" s="1672">
        <v>4200</v>
      </c>
      <c r="E1035" s="1691" t="s">
        <v>41</v>
      </c>
      <c r="F1035" s="1658"/>
      <c r="G1035" s="1648">
        <f t="shared" si="177"/>
        <v>0</v>
      </c>
      <c r="H1035" s="1648"/>
      <c r="I1035" s="1648">
        <f t="shared" si="178"/>
        <v>0</v>
      </c>
      <c r="J1035" s="1648"/>
      <c r="K1035" s="1648">
        <f t="shared" si="183"/>
        <v>0</v>
      </c>
      <c r="L1035" s="1648"/>
      <c r="M1035" s="1648">
        <f t="shared" si="184"/>
        <v>0</v>
      </c>
      <c r="N1035" s="1648">
        <f t="shared" si="185"/>
        <v>0</v>
      </c>
      <c r="O1035" s="1648">
        <f t="shared" si="186"/>
        <v>0</v>
      </c>
      <c r="P1035" s="1648">
        <f t="shared" si="179"/>
        <v>0</v>
      </c>
      <c r="Q1035" s="1648">
        <f t="shared" si="180"/>
        <v>0</v>
      </c>
      <c r="R1035" s="55">
        <f t="shared" si="181"/>
        <v>0</v>
      </c>
      <c r="S1035" s="55">
        <f t="shared" si="182"/>
        <v>0</v>
      </c>
    </row>
    <row r="1036" spans="1:19" ht="93" hidden="1" customHeight="1">
      <c r="A1036" s="1693"/>
      <c r="B1036" s="1648">
        <f t="shared" si="176"/>
        <v>0</v>
      </c>
      <c r="C1036" s="1867" t="s">
        <v>5956</v>
      </c>
      <c r="D1036" s="1672">
        <v>5500</v>
      </c>
      <c r="E1036" s="1691" t="s">
        <v>1715</v>
      </c>
      <c r="F1036" s="1658"/>
      <c r="G1036" s="1648">
        <f t="shared" si="177"/>
        <v>0</v>
      </c>
      <c r="H1036" s="1648"/>
      <c r="I1036" s="1648">
        <f t="shared" si="178"/>
        <v>0</v>
      </c>
      <c r="J1036" s="1648"/>
      <c r="K1036" s="1648">
        <f t="shared" si="183"/>
        <v>0</v>
      </c>
      <c r="L1036" s="1648"/>
      <c r="M1036" s="1648">
        <f t="shared" si="184"/>
        <v>0</v>
      </c>
      <c r="N1036" s="1648">
        <f t="shared" si="185"/>
        <v>0</v>
      </c>
      <c r="O1036" s="1648">
        <f t="shared" si="186"/>
        <v>0</v>
      </c>
      <c r="P1036" s="1648">
        <f t="shared" si="179"/>
        <v>0</v>
      </c>
      <c r="Q1036" s="1648">
        <f t="shared" si="180"/>
        <v>0</v>
      </c>
      <c r="R1036" s="55">
        <f t="shared" si="181"/>
        <v>0</v>
      </c>
      <c r="S1036" s="55">
        <f t="shared" si="182"/>
        <v>0</v>
      </c>
    </row>
    <row r="1037" spans="1:19" ht="162.75" hidden="1" customHeight="1">
      <c r="A1037" s="1693"/>
      <c r="B1037" s="1648">
        <f t="shared" si="176"/>
        <v>0</v>
      </c>
      <c r="C1037" s="1867" t="s">
        <v>5957</v>
      </c>
      <c r="D1037" s="1672">
        <v>3000</v>
      </c>
      <c r="E1037" s="1691" t="s">
        <v>1715</v>
      </c>
      <c r="F1037" s="1658"/>
      <c r="G1037" s="1648">
        <f t="shared" si="177"/>
        <v>0</v>
      </c>
      <c r="H1037" s="1648"/>
      <c r="I1037" s="1648">
        <f t="shared" si="178"/>
        <v>0</v>
      </c>
      <c r="J1037" s="1648"/>
      <c r="K1037" s="1648">
        <f t="shared" si="183"/>
        <v>0</v>
      </c>
      <c r="L1037" s="1648"/>
      <c r="M1037" s="1648">
        <f t="shared" si="184"/>
        <v>0</v>
      </c>
      <c r="N1037" s="1648">
        <f t="shared" si="185"/>
        <v>0</v>
      </c>
      <c r="O1037" s="1648">
        <f t="shared" si="186"/>
        <v>0</v>
      </c>
      <c r="P1037" s="1648">
        <f t="shared" si="179"/>
        <v>0</v>
      </c>
      <c r="Q1037" s="1648">
        <f t="shared" si="180"/>
        <v>0</v>
      </c>
      <c r="R1037" s="55">
        <f t="shared" si="181"/>
        <v>0</v>
      </c>
      <c r="S1037" s="55">
        <f t="shared" si="182"/>
        <v>0</v>
      </c>
    </row>
    <row r="1038" spans="1:19" ht="23.25" hidden="1" customHeight="1">
      <c r="A1038" s="1693"/>
      <c r="B1038" s="1648">
        <f t="shared" si="176"/>
        <v>0</v>
      </c>
      <c r="C1038" s="1877" t="s">
        <v>5958</v>
      </c>
      <c r="D1038" s="1672"/>
      <c r="E1038" s="1691"/>
      <c r="F1038" s="1651"/>
      <c r="G1038" s="1648">
        <f t="shared" si="177"/>
        <v>0</v>
      </c>
      <c r="H1038" s="1648"/>
      <c r="I1038" s="1648">
        <f t="shared" si="178"/>
        <v>0</v>
      </c>
      <c r="J1038" s="1648"/>
      <c r="K1038" s="1648">
        <f t="shared" si="183"/>
        <v>0</v>
      </c>
      <c r="L1038" s="1648"/>
      <c r="M1038" s="1648">
        <f t="shared" si="184"/>
        <v>0</v>
      </c>
      <c r="N1038" s="1648">
        <f t="shared" si="185"/>
        <v>0</v>
      </c>
      <c r="O1038" s="1648">
        <f t="shared" si="186"/>
        <v>0</v>
      </c>
      <c r="P1038" s="1648">
        <f t="shared" si="179"/>
        <v>0</v>
      </c>
      <c r="Q1038" s="1648">
        <f t="shared" si="180"/>
        <v>0</v>
      </c>
      <c r="R1038" s="55">
        <f t="shared" si="181"/>
        <v>0</v>
      </c>
      <c r="S1038" s="55">
        <f t="shared" si="182"/>
        <v>0</v>
      </c>
    </row>
    <row r="1039" spans="1:19" ht="162.75" hidden="1" customHeight="1">
      <c r="A1039" s="1693"/>
      <c r="B1039" s="1648">
        <f t="shared" si="176"/>
        <v>0</v>
      </c>
      <c r="C1039" s="1865" t="s">
        <v>5959</v>
      </c>
      <c r="D1039" s="1672"/>
      <c r="E1039" s="1691"/>
      <c r="F1039" s="1651"/>
      <c r="G1039" s="1648">
        <f t="shared" si="177"/>
        <v>0</v>
      </c>
      <c r="H1039" s="1648"/>
      <c r="I1039" s="1648">
        <f t="shared" si="178"/>
        <v>0</v>
      </c>
      <c r="J1039" s="1648"/>
      <c r="K1039" s="1648">
        <f t="shared" si="183"/>
        <v>0</v>
      </c>
      <c r="L1039" s="1648"/>
      <c r="M1039" s="1648">
        <f t="shared" si="184"/>
        <v>0</v>
      </c>
      <c r="N1039" s="1648">
        <f t="shared" si="185"/>
        <v>0</v>
      </c>
      <c r="O1039" s="1648">
        <f t="shared" si="186"/>
        <v>0</v>
      </c>
      <c r="P1039" s="1648">
        <f t="shared" si="179"/>
        <v>0</v>
      </c>
      <c r="Q1039" s="1648">
        <f t="shared" si="180"/>
        <v>0</v>
      </c>
      <c r="R1039" s="55">
        <f t="shared" si="181"/>
        <v>0</v>
      </c>
      <c r="S1039" s="55">
        <f t="shared" si="182"/>
        <v>0</v>
      </c>
    </row>
    <row r="1040" spans="1:19" ht="23.25" hidden="1" customHeight="1">
      <c r="A1040" s="1693"/>
      <c r="B1040" s="1648">
        <f t="shared" si="176"/>
        <v>0</v>
      </c>
      <c r="C1040" s="1867" t="s">
        <v>5952</v>
      </c>
      <c r="D1040" s="1672">
        <v>1850</v>
      </c>
      <c r="E1040" s="1691" t="s">
        <v>13</v>
      </c>
      <c r="F1040" s="1651"/>
      <c r="G1040" s="1648">
        <f t="shared" si="177"/>
        <v>0</v>
      </c>
      <c r="H1040" s="1648"/>
      <c r="I1040" s="1648">
        <f t="shared" si="178"/>
        <v>0</v>
      </c>
      <c r="J1040" s="1648"/>
      <c r="K1040" s="1648">
        <f t="shared" si="183"/>
        <v>0</v>
      </c>
      <c r="L1040" s="1648"/>
      <c r="M1040" s="1648">
        <f t="shared" si="184"/>
        <v>0</v>
      </c>
      <c r="N1040" s="1648">
        <f t="shared" si="185"/>
        <v>0</v>
      </c>
      <c r="O1040" s="1648">
        <f t="shared" si="186"/>
        <v>0</v>
      </c>
      <c r="P1040" s="1648">
        <f t="shared" si="179"/>
        <v>0</v>
      </c>
      <c r="Q1040" s="1648">
        <f t="shared" si="180"/>
        <v>0</v>
      </c>
      <c r="R1040" s="55">
        <f t="shared" si="181"/>
        <v>0</v>
      </c>
      <c r="S1040" s="55">
        <f t="shared" si="182"/>
        <v>0</v>
      </c>
    </row>
    <row r="1041" spans="1:19" ht="23.25" hidden="1" customHeight="1">
      <c r="A1041" s="1693"/>
      <c r="B1041" s="1648">
        <f t="shared" si="176"/>
        <v>0</v>
      </c>
      <c r="C1041" s="1867" t="s">
        <v>5960</v>
      </c>
      <c r="D1041" s="1672">
        <v>900</v>
      </c>
      <c r="E1041" s="1691" t="s">
        <v>13</v>
      </c>
      <c r="F1041" s="1651"/>
      <c r="G1041" s="1648">
        <f t="shared" si="177"/>
        <v>0</v>
      </c>
      <c r="H1041" s="1648"/>
      <c r="I1041" s="1648">
        <f t="shared" si="178"/>
        <v>0</v>
      </c>
      <c r="J1041" s="1648"/>
      <c r="K1041" s="1648">
        <f t="shared" si="183"/>
        <v>0</v>
      </c>
      <c r="L1041" s="1648"/>
      <c r="M1041" s="1648">
        <f t="shared" si="184"/>
        <v>0</v>
      </c>
      <c r="N1041" s="1648">
        <f t="shared" si="185"/>
        <v>0</v>
      </c>
      <c r="O1041" s="1648">
        <f t="shared" si="186"/>
        <v>0</v>
      </c>
      <c r="P1041" s="1648">
        <f t="shared" si="179"/>
        <v>0</v>
      </c>
      <c r="Q1041" s="1648">
        <f t="shared" si="180"/>
        <v>0</v>
      </c>
      <c r="R1041" s="55">
        <f t="shared" si="181"/>
        <v>0</v>
      </c>
      <c r="S1041" s="55">
        <f t="shared" si="182"/>
        <v>0</v>
      </c>
    </row>
    <row r="1042" spans="1:19" ht="162.75" hidden="1" customHeight="1">
      <c r="A1042" s="1693"/>
      <c r="B1042" s="1648">
        <f t="shared" si="176"/>
        <v>0</v>
      </c>
      <c r="C1042" s="1867" t="s">
        <v>7023</v>
      </c>
      <c r="D1042" s="1672">
        <v>13500</v>
      </c>
      <c r="E1042" s="1691" t="s">
        <v>41</v>
      </c>
      <c r="F1042" s="1651"/>
      <c r="G1042" s="1648">
        <f t="shared" si="177"/>
        <v>0</v>
      </c>
      <c r="H1042" s="1648"/>
      <c r="I1042" s="1648">
        <f t="shared" si="178"/>
        <v>0</v>
      </c>
      <c r="J1042" s="1648"/>
      <c r="K1042" s="1648">
        <f t="shared" si="183"/>
        <v>0</v>
      </c>
      <c r="L1042" s="1648"/>
      <c r="M1042" s="1648">
        <f t="shared" si="184"/>
        <v>0</v>
      </c>
      <c r="N1042" s="1648">
        <f t="shared" si="185"/>
        <v>0</v>
      </c>
      <c r="O1042" s="1648">
        <f t="shared" si="186"/>
        <v>0</v>
      </c>
      <c r="P1042" s="1648">
        <f t="shared" si="179"/>
        <v>0</v>
      </c>
      <c r="Q1042" s="1648">
        <f t="shared" si="180"/>
        <v>0</v>
      </c>
      <c r="R1042" s="55">
        <f t="shared" si="181"/>
        <v>0</v>
      </c>
      <c r="S1042" s="55">
        <f t="shared" si="182"/>
        <v>0</v>
      </c>
    </row>
    <row r="1043" spans="1:19" ht="23.25" hidden="1" customHeight="1">
      <c r="A1043" s="1693"/>
      <c r="B1043" s="1648">
        <f t="shared" si="176"/>
        <v>0</v>
      </c>
      <c r="C1043" s="1867" t="s">
        <v>5961</v>
      </c>
      <c r="D1043" s="1672">
        <v>7000</v>
      </c>
      <c r="E1043" s="1691" t="s">
        <v>41</v>
      </c>
      <c r="F1043" s="1651"/>
      <c r="G1043" s="1648">
        <f t="shared" si="177"/>
        <v>0</v>
      </c>
      <c r="H1043" s="1648"/>
      <c r="I1043" s="1648">
        <f t="shared" si="178"/>
        <v>0</v>
      </c>
      <c r="J1043" s="1648"/>
      <c r="K1043" s="1648">
        <f t="shared" si="183"/>
        <v>0</v>
      </c>
      <c r="L1043" s="1648"/>
      <c r="M1043" s="1648">
        <f t="shared" si="184"/>
        <v>0</v>
      </c>
      <c r="N1043" s="1648">
        <f t="shared" si="185"/>
        <v>0</v>
      </c>
      <c r="O1043" s="1648">
        <f t="shared" si="186"/>
        <v>0</v>
      </c>
      <c r="P1043" s="1648">
        <f t="shared" si="179"/>
        <v>0</v>
      </c>
      <c r="Q1043" s="1648">
        <f t="shared" si="180"/>
        <v>0</v>
      </c>
      <c r="R1043" s="55">
        <f t="shared" si="181"/>
        <v>0</v>
      </c>
      <c r="S1043" s="55">
        <f t="shared" si="182"/>
        <v>0</v>
      </c>
    </row>
    <row r="1044" spans="1:19" ht="116.25" hidden="1" customHeight="1">
      <c r="A1044" s="1693"/>
      <c r="B1044" s="1648">
        <f t="shared" si="176"/>
        <v>0</v>
      </c>
      <c r="C1044" s="1867" t="s">
        <v>5962</v>
      </c>
      <c r="D1044" s="1672">
        <v>18000</v>
      </c>
      <c r="E1044" s="1691" t="s">
        <v>41</v>
      </c>
      <c r="F1044" s="1651"/>
      <c r="G1044" s="1648">
        <f t="shared" si="177"/>
        <v>0</v>
      </c>
      <c r="H1044" s="1648"/>
      <c r="I1044" s="1648">
        <f t="shared" si="178"/>
        <v>0</v>
      </c>
      <c r="J1044" s="1648"/>
      <c r="K1044" s="1648">
        <f t="shared" si="183"/>
        <v>0</v>
      </c>
      <c r="L1044" s="1648"/>
      <c r="M1044" s="1648">
        <f t="shared" si="184"/>
        <v>0</v>
      </c>
      <c r="N1044" s="1648">
        <f t="shared" si="185"/>
        <v>0</v>
      </c>
      <c r="O1044" s="1648">
        <f t="shared" si="186"/>
        <v>0</v>
      </c>
      <c r="P1044" s="1648">
        <f t="shared" si="179"/>
        <v>0</v>
      </c>
      <c r="Q1044" s="1648">
        <f t="shared" si="180"/>
        <v>0</v>
      </c>
      <c r="R1044" s="55">
        <f t="shared" si="181"/>
        <v>0</v>
      </c>
      <c r="S1044" s="55">
        <f t="shared" si="182"/>
        <v>0</v>
      </c>
    </row>
    <row r="1045" spans="1:19" ht="23.25" hidden="1" customHeight="1">
      <c r="A1045" s="1693"/>
      <c r="B1045" s="1648">
        <f t="shared" si="176"/>
        <v>0</v>
      </c>
      <c r="C1045" s="1867" t="s">
        <v>7024</v>
      </c>
      <c r="D1045" s="1672">
        <v>5200</v>
      </c>
      <c r="E1045" s="1691" t="s">
        <v>41</v>
      </c>
      <c r="F1045" s="1651"/>
      <c r="G1045" s="1648">
        <f t="shared" si="177"/>
        <v>0</v>
      </c>
      <c r="H1045" s="1648"/>
      <c r="I1045" s="1648">
        <f t="shared" si="178"/>
        <v>0</v>
      </c>
      <c r="J1045" s="1648"/>
      <c r="K1045" s="1648">
        <f t="shared" si="183"/>
        <v>0</v>
      </c>
      <c r="L1045" s="1648"/>
      <c r="M1045" s="1648">
        <f t="shared" si="184"/>
        <v>0</v>
      </c>
      <c r="N1045" s="1648">
        <f t="shared" si="185"/>
        <v>0</v>
      </c>
      <c r="O1045" s="1648">
        <f t="shared" si="186"/>
        <v>0</v>
      </c>
      <c r="P1045" s="1648">
        <f t="shared" si="179"/>
        <v>0</v>
      </c>
      <c r="Q1045" s="1648">
        <f t="shared" si="180"/>
        <v>0</v>
      </c>
      <c r="R1045" s="55">
        <f t="shared" si="181"/>
        <v>0</v>
      </c>
      <c r="S1045" s="55">
        <f t="shared" si="182"/>
        <v>0</v>
      </c>
    </row>
    <row r="1046" spans="1:19" ht="69.75" hidden="1" customHeight="1">
      <c r="A1046" s="1693"/>
      <c r="B1046" s="1648">
        <f t="shared" si="176"/>
        <v>0</v>
      </c>
      <c r="C1046" s="1867" t="s">
        <v>5963</v>
      </c>
      <c r="D1046" s="1672">
        <v>13000</v>
      </c>
      <c r="E1046" s="1691" t="s">
        <v>41</v>
      </c>
      <c r="F1046" s="1651"/>
      <c r="G1046" s="1648">
        <f t="shared" si="177"/>
        <v>0</v>
      </c>
      <c r="H1046" s="1648"/>
      <c r="I1046" s="1648">
        <f t="shared" si="178"/>
        <v>0</v>
      </c>
      <c r="J1046" s="1648"/>
      <c r="K1046" s="1648">
        <f t="shared" si="183"/>
        <v>0</v>
      </c>
      <c r="L1046" s="1648"/>
      <c r="M1046" s="1648">
        <f t="shared" si="184"/>
        <v>0</v>
      </c>
      <c r="N1046" s="1648">
        <f t="shared" si="185"/>
        <v>0</v>
      </c>
      <c r="O1046" s="1648">
        <f t="shared" si="186"/>
        <v>0</v>
      </c>
      <c r="P1046" s="1648">
        <f t="shared" si="179"/>
        <v>0</v>
      </c>
      <c r="Q1046" s="1648">
        <f t="shared" si="180"/>
        <v>0</v>
      </c>
      <c r="R1046" s="55">
        <f t="shared" si="181"/>
        <v>0</v>
      </c>
      <c r="S1046" s="55">
        <f t="shared" si="182"/>
        <v>0</v>
      </c>
    </row>
    <row r="1047" spans="1:19" ht="93" hidden="1" customHeight="1">
      <c r="A1047" s="1693"/>
      <c r="B1047" s="1648">
        <f t="shared" si="176"/>
        <v>0</v>
      </c>
      <c r="C1047" s="1867" t="s">
        <v>5964</v>
      </c>
      <c r="D1047" s="1672">
        <v>4500</v>
      </c>
      <c r="E1047" s="1691" t="s">
        <v>41</v>
      </c>
      <c r="F1047" s="1651"/>
      <c r="G1047" s="1648">
        <f t="shared" si="177"/>
        <v>0</v>
      </c>
      <c r="H1047" s="1648"/>
      <c r="I1047" s="1648">
        <f t="shared" si="178"/>
        <v>0</v>
      </c>
      <c r="J1047" s="1648"/>
      <c r="K1047" s="1648">
        <f t="shared" si="183"/>
        <v>0</v>
      </c>
      <c r="L1047" s="1648"/>
      <c r="M1047" s="1648">
        <f t="shared" si="184"/>
        <v>0</v>
      </c>
      <c r="N1047" s="1648">
        <f t="shared" si="185"/>
        <v>0</v>
      </c>
      <c r="O1047" s="1648">
        <f t="shared" si="186"/>
        <v>0</v>
      </c>
      <c r="P1047" s="1648">
        <f t="shared" si="179"/>
        <v>0</v>
      </c>
      <c r="Q1047" s="1648">
        <f t="shared" si="180"/>
        <v>0</v>
      </c>
      <c r="R1047" s="55">
        <f t="shared" si="181"/>
        <v>0</v>
      </c>
      <c r="S1047" s="55">
        <f t="shared" si="182"/>
        <v>0</v>
      </c>
    </row>
    <row r="1048" spans="1:19" ht="23.25" hidden="1" customHeight="1">
      <c r="A1048" s="1693"/>
      <c r="B1048" s="1648">
        <f t="shared" si="176"/>
        <v>0</v>
      </c>
      <c r="C1048" s="1867" t="s">
        <v>5965</v>
      </c>
      <c r="D1048" s="1672">
        <v>180</v>
      </c>
      <c r="E1048" s="1691" t="s">
        <v>476</v>
      </c>
      <c r="F1048" s="1651"/>
      <c r="G1048" s="1648">
        <f t="shared" si="177"/>
        <v>0</v>
      </c>
      <c r="H1048" s="1648"/>
      <c r="I1048" s="1648">
        <f t="shared" si="178"/>
        <v>0</v>
      </c>
      <c r="J1048" s="1648"/>
      <c r="K1048" s="1648">
        <f t="shared" si="183"/>
        <v>0</v>
      </c>
      <c r="L1048" s="1648"/>
      <c r="M1048" s="1648">
        <f t="shared" si="184"/>
        <v>0</v>
      </c>
      <c r="N1048" s="1648">
        <f t="shared" si="185"/>
        <v>0</v>
      </c>
      <c r="O1048" s="1648">
        <f t="shared" si="186"/>
        <v>0</v>
      </c>
      <c r="P1048" s="1648">
        <f t="shared" si="179"/>
        <v>0</v>
      </c>
      <c r="Q1048" s="1648">
        <f t="shared" si="180"/>
        <v>0</v>
      </c>
      <c r="R1048" s="55">
        <f t="shared" si="181"/>
        <v>0</v>
      </c>
      <c r="S1048" s="55">
        <f t="shared" si="182"/>
        <v>0</v>
      </c>
    </row>
    <row r="1049" spans="1:19">
      <c r="A1049" s="1693"/>
      <c r="B1049" s="1648">
        <f t="shared" si="176"/>
        <v>0</v>
      </c>
      <c r="C1049" s="1877" t="s">
        <v>5966</v>
      </c>
      <c r="D1049" s="1672"/>
      <c r="E1049" s="1688"/>
      <c r="F1049" s="1651"/>
      <c r="G1049" s="1648">
        <f t="shared" si="177"/>
        <v>0</v>
      </c>
      <c r="H1049" s="1648"/>
      <c r="I1049" s="1648">
        <f t="shared" si="178"/>
        <v>0</v>
      </c>
      <c r="J1049" s="1648"/>
      <c r="K1049" s="1648">
        <f t="shared" si="183"/>
        <v>0</v>
      </c>
      <c r="L1049" s="1648"/>
      <c r="M1049" s="1648">
        <f t="shared" si="184"/>
        <v>0</v>
      </c>
      <c r="N1049" s="1648">
        <f t="shared" si="185"/>
        <v>0</v>
      </c>
      <c r="O1049" s="1648">
        <f t="shared" si="186"/>
        <v>0</v>
      </c>
      <c r="P1049" s="1648">
        <f t="shared" si="179"/>
        <v>0</v>
      </c>
      <c r="Q1049" s="1648">
        <f t="shared" si="180"/>
        <v>0</v>
      </c>
      <c r="R1049" s="55">
        <f t="shared" si="181"/>
        <v>0</v>
      </c>
      <c r="S1049" s="55">
        <f t="shared" si="182"/>
        <v>0</v>
      </c>
    </row>
    <row r="1050" spans="1:19" ht="98.25" customHeight="1">
      <c r="A1050" s="1693"/>
      <c r="B1050" s="1648">
        <f t="shared" si="176"/>
        <v>1</v>
      </c>
      <c r="C1050" s="1867" t="s">
        <v>5967</v>
      </c>
      <c r="D1050" s="1672">
        <v>7500</v>
      </c>
      <c r="E1050" s="1688" t="s">
        <v>41</v>
      </c>
      <c r="F1050" s="1651"/>
      <c r="G1050" s="1648">
        <f t="shared" si="177"/>
        <v>0</v>
      </c>
      <c r="H1050" s="1648"/>
      <c r="I1050" s="1648">
        <f t="shared" si="178"/>
        <v>0</v>
      </c>
      <c r="J1050" s="1648"/>
      <c r="K1050" s="1648">
        <f t="shared" si="183"/>
        <v>0</v>
      </c>
      <c r="L1050" s="1648">
        <f>genset!G83</f>
        <v>1</v>
      </c>
      <c r="M1050" s="1648">
        <f t="shared" si="184"/>
        <v>7500</v>
      </c>
      <c r="N1050" s="1648">
        <f t="shared" si="185"/>
        <v>1</v>
      </c>
      <c r="O1050" s="1648">
        <f t="shared" si="186"/>
        <v>7500</v>
      </c>
      <c r="P1050" s="1648">
        <f t="shared" si="179"/>
        <v>1</v>
      </c>
      <c r="Q1050" s="1648">
        <f t="shared" si="180"/>
        <v>7500</v>
      </c>
      <c r="R1050" s="55">
        <f t="shared" si="181"/>
        <v>7500</v>
      </c>
      <c r="S1050" s="55">
        <f t="shared" si="182"/>
        <v>0</v>
      </c>
    </row>
    <row r="1051" spans="1:19" ht="93">
      <c r="A1051" s="1693"/>
      <c r="B1051" s="1648">
        <f t="shared" si="176"/>
        <v>1</v>
      </c>
      <c r="C1051" s="1867" t="s">
        <v>5968</v>
      </c>
      <c r="D1051" s="1672">
        <v>4500</v>
      </c>
      <c r="E1051" s="1688" t="s">
        <v>41</v>
      </c>
      <c r="F1051" s="1651"/>
      <c r="G1051" s="1648">
        <f t="shared" si="177"/>
        <v>0</v>
      </c>
      <c r="H1051" s="1648"/>
      <c r="I1051" s="1648">
        <f t="shared" si="178"/>
        <v>0</v>
      </c>
      <c r="J1051" s="1648"/>
      <c r="K1051" s="1648">
        <f t="shared" si="183"/>
        <v>0</v>
      </c>
      <c r="L1051" s="1648">
        <f>genset!G84</f>
        <v>1</v>
      </c>
      <c r="M1051" s="1648">
        <f t="shared" si="184"/>
        <v>4500</v>
      </c>
      <c r="N1051" s="1648">
        <f t="shared" si="185"/>
        <v>1</v>
      </c>
      <c r="O1051" s="1648">
        <f t="shared" si="186"/>
        <v>4500</v>
      </c>
      <c r="P1051" s="1648">
        <f t="shared" si="179"/>
        <v>1</v>
      </c>
      <c r="Q1051" s="1648">
        <f t="shared" si="180"/>
        <v>4500</v>
      </c>
      <c r="R1051" s="55">
        <f t="shared" si="181"/>
        <v>4500</v>
      </c>
      <c r="S1051" s="55">
        <f t="shared" si="182"/>
        <v>0</v>
      </c>
    </row>
    <row r="1052" spans="1:19" ht="46.5" hidden="1">
      <c r="A1052" s="1693"/>
      <c r="B1052" s="1648">
        <f t="shared" si="176"/>
        <v>0</v>
      </c>
      <c r="C1052" s="1865" t="s">
        <v>5969</v>
      </c>
      <c r="D1052" s="1672"/>
      <c r="E1052" s="1688"/>
      <c r="F1052" s="1651"/>
      <c r="G1052" s="1648">
        <f t="shared" si="177"/>
        <v>0</v>
      </c>
      <c r="H1052" s="1648"/>
      <c r="I1052" s="1648">
        <f t="shared" si="178"/>
        <v>0</v>
      </c>
      <c r="J1052" s="1648"/>
      <c r="K1052" s="1648">
        <f t="shared" si="183"/>
        <v>0</v>
      </c>
      <c r="L1052" s="1648"/>
      <c r="M1052" s="1648">
        <f t="shared" si="184"/>
        <v>0</v>
      </c>
      <c r="N1052" s="1648">
        <f t="shared" si="185"/>
        <v>0</v>
      </c>
      <c r="O1052" s="1648">
        <f t="shared" si="186"/>
        <v>0</v>
      </c>
      <c r="P1052" s="1648">
        <f t="shared" si="179"/>
        <v>0</v>
      </c>
      <c r="Q1052" s="1648">
        <f t="shared" si="180"/>
        <v>0</v>
      </c>
      <c r="R1052" s="55">
        <f t="shared" si="181"/>
        <v>0</v>
      </c>
      <c r="S1052" s="55">
        <f t="shared" si="182"/>
        <v>0</v>
      </c>
    </row>
    <row r="1053" spans="1:19" ht="69.75" hidden="1" customHeight="1">
      <c r="A1053" s="1693"/>
      <c r="B1053" s="1648">
        <f t="shared" si="176"/>
        <v>0</v>
      </c>
      <c r="C1053" s="1867" t="s">
        <v>7025</v>
      </c>
      <c r="D1053" s="1672">
        <v>34000</v>
      </c>
      <c r="E1053" s="1688" t="s">
        <v>1034</v>
      </c>
      <c r="F1053" s="1651"/>
      <c r="G1053" s="1648">
        <f t="shared" si="177"/>
        <v>0</v>
      </c>
      <c r="H1053" s="1648"/>
      <c r="I1053" s="1648">
        <f t="shared" si="178"/>
        <v>0</v>
      </c>
      <c r="J1053" s="1648"/>
      <c r="K1053" s="1648">
        <f t="shared" si="183"/>
        <v>0</v>
      </c>
      <c r="L1053" s="1648"/>
      <c r="M1053" s="1648">
        <f t="shared" si="184"/>
        <v>0</v>
      </c>
      <c r="N1053" s="1648">
        <f t="shared" si="185"/>
        <v>0</v>
      </c>
      <c r="O1053" s="1648">
        <f t="shared" si="186"/>
        <v>0</v>
      </c>
      <c r="P1053" s="1648">
        <f t="shared" si="179"/>
        <v>0</v>
      </c>
      <c r="Q1053" s="1648">
        <f t="shared" si="180"/>
        <v>0</v>
      </c>
      <c r="R1053" s="55">
        <f t="shared" si="181"/>
        <v>0</v>
      </c>
      <c r="S1053" s="55">
        <f t="shared" si="182"/>
        <v>0</v>
      </c>
    </row>
    <row r="1054" spans="1:19" ht="23.25" hidden="1" customHeight="1">
      <c r="A1054" s="1693"/>
      <c r="B1054" s="1648">
        <f t="shared" si="176"/>
        <v>0</v>
      </c>
      <c r="C1054" s="1867" t="s">
        <v>5970</v>
      </c>
      <c r="D1054" s="1672">
        <v>2600</v>
      </c>
      <c r="E1054" s="1688" t="s">
        <v>1034</v>
      </c>
      <c r="F1054" s="1651"/>
      <c r="G1054" s="1648">
        <f t="shared" si="177"/>
        <v>0</v>
      </c>
      <c r="H1054" s="1648"/>
      <c r="I1054" s="1648">
        <f t="shared" si="178"/>
        <v>0</v>
      </c>
      <c r="J1054" s="1648"/>
      <c r="K1054" s="1648">
        <f t="shared" si="183"/>
        <v>0</v>
      </c>
      <c r="L1054" s="1648"/>
      <c r="M1054" s="1648">
        <f t="shared" si="184"/>
        <v>0</v>
      </c>
      <c r="N1054" s="1648">
        <f t="shared" si="185"/>
        <v>0</v>
      </c>
      <c r="O1054" s="1648">
        <f t="shared" si="186"/>
        <v>0</v>
      </c>
      <c r="P1054" s="1648">
        <f t="shared" si="179"/>
        <v>0</v>
      </c>
      <c r="Q1054" s="1648">
        <f t="shared" si="180"/>
        <v>0</v>
      </c>
      <c r="R1054" s="55">
        <f t="shared" si="181"/>
        <v>0</v>
      </c>
      <c r="S1054" s="55">
        <f t="shared" si="182"/>
        <v>0</v>
      </c>
    </row>
    <row r="1055" spans="1:19" ht="23.25" hidden="1" customHeight="1">
      <c r="A1055" s="1693"/>
      <c r="B1055" s="1648">
        <f t="shared" si="176"/>
        <v>0</v>
      </c>
      <c r="C1055" s="1867" t="s">
        <v>5971</v>
      </c>
      <c r="D1055" s="1672">
        <v>2200</v>
      </c>
      <c r="E1055" s="1688" t="s">
        <v>1034</v>
      </c>
      <c r="F1055" s="1651"/>
      <c r="G1055" s="1648">
        <f t="shared" si="177"/>
        <v>0</v>
      </c>
      <c r="H1055" s="1648"/>
      <c r="I1055" s="1648">
        <f t="shared" si="178"/>
        <v>0</v>
      </c>
      <c r="J1055" s="1648"/>
      <c r="K1055" s="1648">
        <f t="shared" si="183"/>
        <v>0</v>
      </c>
      <c r="L1055" s="1648"/>
      <c r="M1055" s="1648">
        <f t="shared" si="184"/>
        <v>0</v>
      </c>
      <c r="N1055" s="1648">
        <f t="shared" si="185"/>
        <v>0</v>
      </c>
      <c r="O1055" s="1648">
        <f t="shared" si="186"/>
        <v>0</v>
      </c>
      <c r="P1055" s="1648">
        <f t="shared" si="179"/>
        <v>0</v>
      </c>
      <c r="Q1055" s="1648">
        <f t="shared" si="180"/>
        <v>0</v>
      </c>
      <c r="R1055" s="55">
        <f t="shared" si="181"/>
        <v>0</v>
      </c>
      <c r="S1055" s="55">
        <f t="shared" si="182"/>
        <v>0</v>
      </c>
    </row>
    <row r="1056" spans="1:19" ht="23.25" hidden="1" customHeight="1">
      <c r="A1056" s="1693"/>
      <c r="B1056" s="1648">
        <f t="shared" si="176"/>
        <v>0</v>
      </c>
      <c r="C1056" s="1867" t="s">
        <v>5972</v>
      </c>
      <c r="D1056" s="1672">
        <v>2100</v>
      </c>
      <c r="E1056" s="1688" t="s">
        <v>1034</v>
      </c>
      <c r="F1056" s="1651"/>
      <c r="G1056" s="1648">
        <f t="shared" si="177"/>
        <v>0</v>
      </c>
      <c r="H1056" s="1648"/>
      <c r="I1056" s="1648">
        <f t="shared" si="178"/>
        <v>0</v>
      </c>
      <c r="J1056" s="1648"/>
      <c r="K1056" s="1648">
        <f t="shared" si="183"/>
        <v>0</v>
      </c>
      <c r="L1056" s="1648"/>
      <c r="M1056" s="1648">
        <f t="shared" si="184"/>
        <v>0</v>
      </c>
      <c r="N1056" s="1648">
        <f t="shared" si="185"/>
        <v>0</v>
      </c>
      <c r="O1056" s="1648">
        <f t="shared" si="186"/>
        <v>0</v>
      </c>
      <c r="P1056" s="1648">
        <f t="shared" si="179"/>
        <v>0</v>
      </c>
      <c r="Q1056" s="1648">
        <f t="shared" si="180"/>
        <v>0</v>
      </c>
      <c r="R1056" s="55">
        <f t="shared" si="181"/>
        <v>0</v>
      </c>
      <c r="S1056" s="55">
        <f t="shared" si="182"/>
        <v>0</v>
      </c>
    </row>
    <row r="1057" spans="1:19" ht="23.25" hidden="1" customHeight="1">
      <c r="A1057" s="1693"/>
      <c r="B1057" s="1648">
        <f t="shared" si="176"/>
        <v>0</v>
      </c>
      <c r="C1057" s="1867" t="s">
        <v>5973</v>
      </c>
      <c r="D1057" s="1672">
        <v>160</v>
      </c>
      <c r="E1057" s="1688" t="s">
        <v>13</v>
      </c>
      <c r="F1057" s="1651"/>
      <c r="G1057" s="1648">
        <f t="shared" si="177"/>
        <v>0</v>
      </c>
      <c r="H1057" s="1648"/>
      <c r="I1057" s="1648">
        <f t="shared" si="178"/>
        <v>0</v>
      </c>
      <c r="J1057" s="1648"/>
      <c r="K1057" s="1648">
        <f t="shared" si="183"/>
        <v>0</v>
      </c>
      <c r="L1057" s="1648"/>
      <c r="M1057" s="1648">
        <f t="shared" si="184"/>
        <v>0</v>
      </c>
      <c r="N1057" s="1648">
        <f t="shared" si="185"/>
        <v>0</v>
      </c>
      <c r="O1057" s="1648">
        <f t="shared" si="186"/>
        <v>0</v>
      </c>
      <c r="P1057" s="1648">
        <f t="shared" si="179"/>
        <v>0</v>
      </c>
      <c r="Q1057" s="1648">
        <f t="shared" si="180"/>
        <v>0</v>
      </c>
      <c r="R1057" s="55">
        <f t="shared" si="181"/>
        <v>0</v>
      </c>
      <c r="S1057" s="55">
        <f t="shared" si="182"/>
        <v>0</v>
      </c>
    </row>
    <row r="1058" spans="1:19" ht="46.5" hidden="1" customHeight="1">
      <c r="A1058" s="1693"/>
      <c r="B1058" s="1648">
        <f t="shared" si="176"/>
        <v>0</v>
      </c>
      <c r="C1058" s="1877" t="s">
        <v>5974</v>
      </c>
      <c r="D1058" s="1672">
        <v>263207</v>
      </c>
      <c r="E1058" s="1688" t="s">
        <v>1715</v>
      </c>
      <c r="F1058" s="1651"/>
      <c r="G1058" s="1648">
        <f t="shared" si="177"/>
        <v>0</v>
      </c>
      <c r="H1058" s="1648"/>
      <c r="I1058" s="1648">
        <f t="shared" si="178"/>
        <v>0</v>
      </c>
      <c r="J1058" s="1648"/>
      <c r="K1058" s="1648">
        <f t="shared" si="183"/>
        <v>0</v>
      </c>
      <c r="L1058" s="1648"/>
      <c r="M1058" s="1648">
        <f t="shared" si="184"/>
        <v>0</v>
      </c>
      <c r="N1058" s="1648">
        <f t="shared" si="185"/>
        <v>0</v>
      </c>
      <c r="O1058" s="1648">
        <f t="shared" si="186"/>
        <v>0</v>
      </c>
      <c r="P1058" s="1648">
        <f t="shared" si="179"/>
        <v>0</v>
      </c>
      <c r="Q1058" s="1648">
        <f t="shared" si="180"/>
        <v>0</v>
      </c>
      <c r="R1058" s="55">
        <f t="shared" si="181"/>
        <v>0</v>
      </c>
      <c r="S1058" s="55">
        <f t="shared" si="182"/>
        <v>0</v>
      </c>
    </row>
    <row r="1059" spans="1:19" ht="46.5" hidden="1" customHeight="1">
      <c r="A1059" s="1693"/>
      <c r="B1059" s="1648">
        <f t="shared" si="176"/>
        <v>0</v>
      </c>
      <c r="C1059" s="1865" t="s">
        <v>5975</v>
      </c>
      <c r="D1059" s="1672"/>
      <c r="E1059" s="1688"/>
      <c r="F1059" s="1651"/>
      <c r="G1059" s="1648">
        <f t="shared" si="177"/>
        <v>0</v>
      </c>
      <c r="H1059" s="1648"/>
      <c r="I1059" s="1648">
        <f t="shared" si="178"/>
        <v>0</v>
      </c>
      <c r="J1059" s="1648"/>
      <c r="K1059" s="1648">
        <f t="shared" si="183"/>
        <v>0</v>
      </c>
      <c r="L1059" s="1648"/>
      <c r="M1059" s="1648">
        <f t="shared" si="184"/>
        <v>0</v>
      </c>
      <c r="N1059" s="1648">
        <f t="shared" si="185"/>
        <v>0</v>
      </c>
      <c r="O1059" s="1648">
        <f t="shared" si="186"/>
        <v>0</v>
      </c>
      <c r="P1059" s="1648">
        <f t="shared" si="179"/>
        <v>0</v>
      </c>
      <c r="Q1059" s="1648">
        <f t="shared" si="180"/>
        <v>0</v>
      </c>
      <c r="R1059" s="55">
        <f t="shared" si="181"/>
        <v>0</v>
      </c>
      <c r="S1059" s="55">
        <f t="shared" si="182"/>
        <v>0</v>
      </c>
    </row>
    <row r="1060" spans="1:19" ht="23.25" hidden="1" customHeight="1">
      <c r="A1060" s="1693"/>
      <c r="B1060" s="1648">
        <f t="shared" si="176"/>
        <v>0</v>
      </c>
      <c r="C1060" s="1867" t="s">
        <v>5976</v>
      </c>
      <c r="D1060" s="1672">
        <v>28000</v>
      </c>
      <c r="E1060" s="1688" t="s">
        <v>1034</v>
      </c>
      <c r="F1060" s="1651"/>
      <c r="G1060" s="1648">
        <f t="shared" si="177"/>
        <v>0</v>
      </c>
      <c r="H1060" s="1648"/>
      <c r="I1060" s="1648">
        <f t="shared" si="178"/>
        <v>0</v>
      </c>
      <c r="J1060" s="1648"/>
      <c r="K1060" s="1648">
        <f t="shared" si="183"/>
        <v>0</v>
      </c>
      <c r="L1060" s="1648"/>
      <c r="M1060" s="1648">
        <f t="shared" si="184"/>
        <v>0</v>
      </c>
      <c r="N1060" s="1648">
        <f t="shared" si="185"/>
        <v>0</v>
      </c>
      <c r="O1060" s="1648">
        <f t="shared" si="186"/>
        <v>0</v>
      </c>
      <c r="P1060" s="1648">
        <f t="shared" si="179"/>
        <v>0</v>
      </c>
      <c r="Q1060" s="1648">
        <f t="shared" si="180"/>
        <v>0</v>
      </c>
      <c r="R1060" s="55">
        <f t="shared" si="181"/>
        <v>0</v>
      </c>
      <c r="S1060" s="55">
        <f t="shared" si="182"/>
        <v>0</v>
      </c>
    </row>
    <row r="1061" spans="1:19" ht="23.25" hidden="1" customHeight="1">
      <c r="A1061" s="1693"/>
      <c r="B1061" s="1648">
        <f t="shared" si="176"/>
        <v>0</v>
      </c>
      <c r="C1061" s="1867" t="s">
        <v>5977</v>
      </c>
      <c r="D1061" s="1672">
        <v>2200</v>
      </c>
      <c r="E1061" s="1688" t="s">
        <v>1034</v>
      </c>
      <c r="F1061" s="1651"/>
      <c r="G1061" s="1648">
        <f t="shared" si="177"/>
        <v>0</v>
      </c>
      <c r="H1061" s="1648"/>
      <c r="I1061" s="1648">
        <f t="shared" si="178"/>
        <v>0</v>
      </c>
      <c r="J1061" s="1648"/>
      <c r="K1061" s="1648">
        <f t="shared" si="183"/>
        <v>0</v>
      </c>
      <c r="L1061" s="1648"/>
      <c r="M1061" s="1648">
        <f t="shared" si="184"/>
        <v>0</v>
      </c>
      <c r="N1061" s="1648">
        <f t="shared" si="185"/>
        <v>0</v>
      </c>
      <c r="O1061" s="1648">
        <f t="shared" si="186"/>
        <v>0</v>
      </c>
      <c r="P1061" s="1648">
        <f t="shared" si="179"/>
        <v>0</v>
      </c>
      <c r="Q1061" s="1648">
        <f t="shared" si="180"/>
        <v>0</v>
      </c>
      <c r="R1061" s="55">
        <f t="shared" si="181"/>
        <v>0</v>
      </c>
      <c r="S1061" s="55">
        <f t="shared" si="182"/>
        <v>0</v>
      </c>
    </row>
    <row r="1062" spans="1:19" ht="23.25" hidden="1" customHeight="1">
      <c r="A1062" s="1693"/>
      <c r="B1062" s="1648">
        <f t="shared" si="176"/>
        <v>0</v>
      </c>
      <c r="C1062" s="1867" t="s">
        <v>5973</v>
      </c>
      <c r="D1062" s="1672">
        <v>160</v>
      </c>
      <c r="E1062" s="1688" t="s">
        <v>5978</v>
      </c>
      <c r="F1062" s="1651"/>
      <c r="G1062" s="1648">
        <f t="shared" si="177"/>
        <v>0</v>
      </c>
      <c r="H1062" s="1648"/>
      <c r="I1062" s="1648">
        <f t="shared" si="178"/>
        <v>0</v>
      </c>
      <c r="J1062" s="1648"/>
      <c r="K1062" s="1648">
        <f t="shared" si="183"/>
        <v>0</v>
      </c>
      <c r="L1062" s="1648"/>
      <c r="M1062" s="1648">
        <f t="shared" si="184"/>
        <v>0</v>
      </c>
      <c r="N1062" s="1648">
        <f t="shared" si="185"/>
        <v>0</v>
      </c>
      <c r="O1062" s="1648">
        <f t="shared" si="186"/>
        <v>0</v>
      </c>
      <c r="P1062" s="1648">
        <f t="shared" si="179"/>
        <v>0</v>
      </c>
      <c r="Q1062" s="1648">
        <f t="shared" si="180"/>
        <v>0</v>
      </c>
      <c r="R1062" s="55">
        <f t="shared" si="181"/>
        <v>0</v>
      </c>
      <c r="S1062" s="55">
        <f t="shared" si="182"/>
        <v>0</v>
      </c>
    </row>
    <row r="1063" spans="1:19" ht="23.25" hidden="1" customHeight="1">
      <c r="A1063" s="1693"/>
      <c r="B1063" s="1648">
        <f t="shared" si="176"/>
        <v>0</v>
      </c>
      <c r="C1063" s="1867" t="s">
        <v>5979</v>
      </c>
      <c r="D1063" s="1672">
        <v>14000</v>
      </c>
      <c r="E1063" s="1688" t="s">
        <v>1034</v>
      </c>
      <c r="F1063" s="1651"/>
      <c r="G1063" s="1648">
        <f t="shared" si="177"/>
        <v>0</v>
      </c>
      <c r="H1063" s="1648"/>
      <c r="I1063" s="1648">
        <f t="shared" si="178"/>
        <v>0</v>
      </c>
      <c r="J1063" s="1648"/>
      <c r="K1063" s="1648">
        <f t="shared" si="183"/>
        <v>0</v>
      </c>
      <c r="L1063" s="1648"/>
      <c r="M1063" s="1648">
        <f t="shared" si="184"/>
        <v>0</v>
      </c>
      <c r="N1063" s="1648">
        <f t="shared" si="185"/>
        <v>0</v>
      </c>
      <c r="O1063" s="1648">
        <f t="shared" si="186"/>
        <v>0</v>
      </c>
      <c r="P1063" s="1648">
        <f t="shared" si="179"/>
        <v>0</v>
      </c>
      <c r="Q1063" s="1648">
        <f t="shared" si="180"/>
        <v>0</v>
      </c>
      <c r="R1063" s="55">
        <f t="shared" si="181"/>
        <v>0</v>
      </c>
      <c r="S1063" s="55">
        <f t="shared" si="182"/>
        <v>0</v>
      </c>
    </row>
    <row r="1064" spans="1:19" ht="23.25" hidden="1" customHeight="1">
      <c r="A1064" s="1693"/>
      <c r="B1064" s="1648">
        <f t="shared" si="176"/>
        <v>0</v>
      </c>
      <c r="C1064" s="1867" t="s">
        <v>5980</v>
      </c>
      <c r="D1064" s="1672">
        <v>16000</v>
      </c>
      <c r="E1064" s="1688" t="s">
        <v>1034</v>
      </c>
      <c r="F1064" s="1651"/>
      <c r="G1064" s="1648">
        <f t="shared" si="177"/>
        <v>0</v>
      </c>
      <c r="H1064" s="1648"/>
      <c r="I1064" s="1648">
        <f t="shared" si="178"/>
        <v>0</v>
      </c>
      <c r="J1064" s="1648"/>
      <c r="K1064" s="1648">
        <f t="shared" si="183"/>
        <v>0</v>
      </c>
      <c r="L1064" s="1648"/>
      <c r="M1064" s="1648">
        <f t="shared" si="184"/>
        <v>0</v>
      </c>
      <c r="N1064" s="1648">
        <f t="shared" si="185"/>
        <v>0</v>
      </c>
      <c r="O1064" s="1648">
        <f t="shared" si="186"/>
        <v>0</v>
      </c>
      <c r="P1064" s="1648">
        <f t="shared" si="179"/>
        <v>0</v>
      </c>
      <c r="Q1064" s="1648">
        <f t="shared" si="180"/>
        <v>0</v>
      </c>
      <c r="R1064" s="55">
        <f t="shared" si="181"/>
        <v>0</v>
      </c>
      <c r="S1064" s="55">
        <f t="shared" si="182"/>
        <v>0</v>
      </c>
    </row>
    <row r="1065" spans="1:19" ht="23.25" hidden="1" customHeight="1">
      <c r="A1065" s="1693"/>
      <c r="B1065" s="1648">
        <f t="shared" si="176"/>
        <v>0</v>
      </c>
      <c r="C1065" s="1877" t="s">
        <v>5981</v>
      </c>
      <c r="D1065" s="1672"/>
      <c r="E1065" s="1688"/>
      <c r="F1065" s="1651"/>
      <c r="G1065" s="1648">
        <f t="shared" si="177"/>
        <v>0</v>
      </c>
      <c r="H1065" s="1648"/>
      <c r="I1065" s="1648">
        <f t="shared" si="178"/>
        <v>0</v>
      </c>
      <c r="J1065" s="1648"/>
      <c r="K1065" s="1648">
        <f t="shared" si="183"/>
        <v>0</v>
      </c>
      <c r="L1065" s="1648"/>
      <c r="M1065" s="1648">
        <f t="shared" si="184"/>
        <v>0</v>
      </c>
      <c r="N1065" s="1648">
        <f t="shared" si="185"/>
        <v>0</v>
      </c>
      <c r="O1065" s="1648">
        <f t="shared" si="186"/>
        <v>0</v>
      </c>
      <c r="P1065" s="1648">
        <f t="shared" si="179"/>
        <v>0</v>
      </c>
      <c r="Q1065" s="1648">
        <f t="shared" si="180"/>
        <v>0</v>
      </c>
      <c r="R1065" s="55">
        <f t="shared" si="181"/>
        <v>0</v>
      </c>
      <c r="S1065" s="55">
        <f t="shared" si="182"/>
        <v>0</v>
      </c>
    </row>
    <row r="1066" spans="1:19" ht="23.25" hidden="1" customHeight="1">
      <c r="A1066" s="1693"/>
      <c r="B1066" s="1648">
        <f t="shared" si="176"/>
        <v>0</v>
      </c>
      <c r="C1066" s="1865" t="s">
        <v>5982</v>
      </c>
      <c r="D1066" s="1672"/>
      <c r="E1066" s="1688"/>
      <c r="F1066" s="1651"/>
      <c r="G1066" s="1648">
        <f t="shared" si="177"/>
        <v>0</v>
      </c>
      <c r="H1066" s="1648"/>
      <c r="I1066" s="1648">
        <f t="shared" si="178"/>
        <v>0</v>
      </c>
      <c r="J1066" s="1648"/>
      <c r="K1066" s="1648">
        <f t="shared" si="183"/>
        <v>0</v>
      </c>
      <c r="L1066" s="1648"/>
      <c r="M1066" s="1648">
        <f t="shared" si="184"/>
        <v>0</v>
      </c>
      <c r="N1066" s="1648">
        <f t="shared" si="185"/>
        <v>0</v>
      </c>
      <c r="O1066" s="1648">
        <f t="shared" si="186"/>
        <v>0</v>
      </c>
      <c r="P1066" s="1648">
        <f t="shared" si="179"/>
        <v>0</v>
      </c>
      <c r="Q1066" s="1648">
        <f t="shared" si="180"/>
        <v>0</v>
      </c>
      <c r="R1066" s="55">
        <f t="shared" si="181"/>
        <v>0</v>
      </c>
      <c r="S1066" s="55">
        <f t="shared" si="182"/>
        <v>0</v>
      </c>
    </row>
    <row r="1067" spans="1:19" ht="46.5" hidden="1" customHeight="1">
      <c r="A1067" s="1693"/>
      <c r="B1067" s="1648">
        <f t="shared" si="176"/>
        <v>0</v>
      </c>
      <c r="C1067" s="1865" t="s">
        <v>5983</v>
      </c>
      <c r="D1067" s="1672">
        <v>640</v>
      </c>
      <c r="E1067" s="1688" t="s">
        <v>1034</v>
      </c>
      <c r="F1067" s="1651"/>
      <c r="G1067" s="1648">
        <f t="shared" si="177"/>
        <v>0</v>
      </c>
      <c r="H1067" s="1648"/>
      <c r="I1067" s="1648">
        <f t="shared" si="178"/>
        <v>0</v>
      </c>
      <c r="J1067" s="1648"/>
      <c r="K1067" s="1648">
        <f t="shared" si="183"/>
        <v>0</v>
      </c>
      <c r="L1067" s="1648"/>
      <c r="M1067" s="1648">
        <f t="shared" si="184"/>
        <v>0</v>
      </c>
      <c r="N1067" s="1648">
        <f t="shared" si="185"/>
        <v>0</v>
      </c>
      <c r="O1067" s="1648">
        <f t="shared" si="186"/>
        <v>0</v>
      </c>
      <c r="P1067" s="1648">
        <f t="shared" si="179"/>
        <v>0</v>
      </c>
      <c r="Q1067" s="1648">
        <f t="shared" si="180"/>
        <v>0</v>
      </c>
      <c r="R1067" s="55">
        <f t="shared" si="181"/>
        <v>0</v>
      </c>
      <c r="S1067" s="55">
        <f t="shared" si="182"/>
        <v>0</v>
      </c>
    </row>
    <row r="1068" spans="1:19" ht="69.75" hidden="1" customHeight="1">
      <c r="A1068" s="1693"/>
      <c r="B1068" s="1648">
        <f t="shared" si="176"/>
        <v>0</v>
      </c>
      <c r="C1068" s="1867" t="s">
        <v>5984</v>
      </c>
      <c r="D1068" s="1672">
        <v>10500</v>
      </c>
      <c r="E1068" s="1702" t="s">
        <v>41</v>
      </c>
      <c r="F1068" s="1651"/>
      <c r="G1068" s="1648">
        <f t="shared" si="177"/>
        <v>0</v>
      </c>
      <c r="H1068" s="1648"/>
      <c r="I1068" s="1648">
        <f t="shared" si="178"/>
        <v>0</v>
      </c>
      <c r="J1068" s="1648"/>
      <c r="K1068" s="1648">
        <f t="shared" si="183"/>
        <v>0</v>
      </c>
      <c r="L1068" s="1648"/>
      <c r="M1068" s="1648">
        <f t="shared" si="184"/>
        <v>0</v>
      </c>
      <c r="N1068" s="1648">
        <f t="shared" si="185"/>
        <v>0</v>
      </c>
      <c r="O1068" s="1648">
        <f t="shared" si="186"/>
        <v>0</v>
      </c>
      <c r="P1068" s="1648">
        <f t="shared" si="179"/>
        <v>0</v>
      </c>
      <c r="Q1068" s="1648">
        <f t="shared" si="180"/>
        <v>0</v>
      </c>
      <c r="R1068" s="55">
        <f t="shared" si="181"/>
        <v>0</v>
      </c>
      <c r="S1068" s="55">
        <f t="shared" si="182"/>
        <v>0</v>
      </c>
    </row>
    <row r="1069" spans="1:19" ht="46.5" hidden="1" customHeight="1">
      <c r="A1069" s="1693"/>
      <c r="B1069" s="1648">
        <f t="shared" si="176"/>
        <v>0</v>
      </c>
      <c r="C1069" s="1867" t="s">
        <v>5985</v>
      </c>
      <c r="D1069" s="1649">
        <v>4500</v>
      </c>
      <c r="E1069" s="1703" t="s">
        <v>1772</v>
      </c>
      <c r="F1069" s="1671"/>
      <c r="G1069" s="1648">
        <f t="shared" si="177"/>
        <v>0</v>
      </c>
      <c r="H1069" s="1648"/>
      <c r="I1069" s="1648">
        <f t="shared" si="178"/>
        <v>0</v>
      </c>
      <c r="J1069" s="1648"/>
      <c r="K1069" s="1648">
        <f t="shared" si="183"/>
        <v>0</v>
      </c>
      <c r="L1069" s="1648"/>
      <c r="M1069" s="1648">
        <f t="shared" si="184"/>
        <v>0</v>
      </c>
      <c r="N1069" s="1648">
        <f t="shared" si="185"/>
        <v>0</v>
      </c>
      <c r="O1069" s="1648">
        <f t="shared" si="186"/>
        <v>0</v>
      </c>
      <c r="P1069" s="1648">
        <f t="shared" si="179"/>
        <v>0</v>
      </c>
      <c r="Q1069" s="1648">
        <f t="shared" si="180"/>
        <v>0</v>
      </c>
      <c r="R1069" s="55">
        <f t="shared" si="181"/>
        <v>0</v>
      </c>
      <c r="S1069" s="55">
        <f t="shared" si="182"/>
        <v>0</v>
      </c>
    </row>
    <row r="1070" spans="1:19" ht="69.75" hidden="1" customHeight="1">
      <c r="A1070" s="1693"/>
      <c r="B1070" s="1648">
        <f t="shared" si="176"/>
        <v>0</v>
      </c>
      <c r="C1070" s="1867" t="s">
        <v>5986</v>
      </c>
      <c r="D1070" s="1672">
        <v>6500</v>
      </c>
      <c r="E1070" s="1702" t="s">
        <v>41</v>
      </c>
      <c r="F1070" s="1651"/>
      <c r="G1070" s="1648">
        <f t="shared" si="177"/>
        <v>0</v>
      </c>
      <c r="H1070" s="1648"/>
      <c r="I1070" s="1648">
        <f t="shared" si="178"/>
        <v>0</v>
      </c>
      <c r="J1070" s="1648"/>
      <c r="K1070" s="1648">
        <f t="shared" si="183"/>
        <v>0</v>
      </c>
      <c r="L1070" s="1648"/>
      <c r="M1070" s="1648">
        <f t="shared" si="184"/>
        <v>0</v>
      </c>
      <c r="N1070" s="1648">
        <f t="shared" si="185"/>
        <v>0</v>
      </c>
      <c r="O1070" s="1648">
        <f t="shared" si="186"/>
        <v>0</v>
      </c>
      <c r="P1070" s="1648">
        <f t="shared" si="179"/>
        <v>0</v>
      </c>
      <c r="Q1070" s="1648">
        <f t="shared" si="180"/>
        <v>0</v>
      </c>
      <c r="R1070" s="55">
        <f t="shared" si="181"/>
        <v>0</v>
      </c>
      <c r="S1070" s="55">
        <f t="shared" si="182"/>
        <v>0</v>
      </c>
    </row>
    <row r="1071" spans="1:19" ht="93" hidden="1" customHeight="1">
      <c r="A1071" s="1693"/>
      <c r="B1071" s="1648">
        <f t="shared" si="176"/>
        <v>0</v>
      </c>
      <c r="C1071" s="1867" t="s">
        <v>5987</v>
      </c>
      <c r="D1071" s="1672">
        <v>27000</v>
      </c>
      <c r="E1071" s="1702" t="s">
        <v>41</v>
      </c>
      <c r="F1071" s="1651"/>
      <c r="G1071" s="1648">
        <f t="shared" si="177"/>
        <v>0</v>
      </c>
      <c r="H1071" s="1648"/>
      <c r="I1071" s="1648">
        <f t="shared" si="178"/>
        <v>0</v>
      </c>
      <c r="J1071" s="1648"/>
      <c r="K1071" s="1648">
        <f t="shared" si="183"/>
        <v>0</v>
      </c>
      <c r="L1071" s="1648"/>
      <c r="M1071" s="1648">
        <f t="shared" si="184"/>
        <v>0</v>
      </c>
      <c r="N1071" s="1648">
        <f t="shared" si="185"/>
        <v>0</v>
      </c>
      <c r="O1071" s="1648">
        <f t="shared" si="186"/>
        <v>0</v>
      </c>
      <c r="P1071" s="1648">
        <f t="shared" si="179"/>
        <v>0</v>
      </c>
      <c r="Q1071" s="1648">
        <f t="shared" si="180"/>
        <v>0</v>
      </c>
      <c r="R1071" s="55">
        <f t="shared" si="181"/>
        <v>0</v>
      </c>
      <c r="S1071" s="55">
        <f t="shared" si="182"/>
        <v>0</v>
      </c>
    </row>
    <row r="1072" spans="1:19" ht="46.5" hidden="1" customHeight="1">
      <c r="A1072" s="1693"/>
      <c r="B1072" s="1648">
        <f t="shared" si="176"/>
        <v>0</v>
      </c>
      <c r="C1072" s="1867" t="s">
        <v>5988</v>
      </c>
      <c r="D1072" s="1672">
        <v>22000</v>
      </c>
      <c r="E1072" s="1702" t="s">
        <v>41</v>
      </c>
      <c r="F1072" s="1651"/>
      <c r="G1072" s="1648">
        <f t="shared" si="177"/>
        <v>0</v>
      </c>
      <c r="H1072" s="1648"/>
      <c r="I1072" s="1648">
        <f t="shared" si="178"/>
        <v>0</v>
      </c>
      <c r="J1072" s="1648"/>
      <c r="K1072" s="1648">
        <f t="shared" si="183"/>
        <v>0</v>
      </c>
      <c r="L1072" s="1648"/>
      <c r="M1072" s="1648">
        <f t="shared" si="184"/>
        <v>0</v>
      </c>
      <c r="N1072" s="1648">
        <f t="shared" si="185"/>
        <v>0</v>
      </c>
      <c r="O1072" s="1648">
        <f t="shared" si="186"/>
        <v>0</v>
      </c>
      <c r="P1072" s="1648">
        <f t="shared" si="179"/>
        <v>0</v>
      </c>
      <c r="Q1072" s="1648">
        <f t="shared" si="180"/>
        <v>0</v>
      </c>
      <c r="R1072" s="55">
        <f t="shared" si="181"/>
        <v>0</v>
      </c>
      <c r="S1072" s="55">
        <f t="shared" si="182"/>
        <v>0</v>
      </c>
    </row>
    <row r="1073" spans="1:19" ht="46.5" hidden="1" customHeight="1">
      <c r="A1073" s="1693"/>
      <c r="B1073" s="1648">
        <f t="shared" si="176"/>
        <v>0</v>
      </c>
      <c r="C1073" s="1867" t="s">
        <v>5989</v>
      </c>
      <c r="D1073" s="1672">
        <v>4300</v>
      </c>
      <c r="E1073" s="1702" t="s">
        <v>41</v>
      </c>
      <c r="F1073" s="1651"/>
      <c r="G1073" s="1648">
        <f t="shared" si="177"/>
        <v>0</v>
      </c>
      <c r="H1073" s="1648"/>
      <c r="I1073" s="1648">
        <f t="shared" si="178"/>
        <v>0</v>
      </c>
      <c r="J1073" s="1648"/>
      <c r="K1073" s="1648">
        <f t="shared" si="183"/>
        <v>0</v>
      </c>
      <c r="L1073" s="1648"/>
      <c r="M1073" s="1648">
        <f t="shared" si="184"/>
        <v>0</v>
      </c>
      <c r="N1073" s="1648">
        <f t="shared" si="185"/>
        <v>0</v>
      </c>
      <c r="O1073" s="1648">
        <f t="shared" si="186"/>
        <v>0</v>
      </c>
      <c r="P1073" s="1648">
        <f t="shared" si="179"/>
        <v>0</v>
      </c>
      <c r="Q1073" s="1648">
        <f t="shared" si="180"/>
        <v>0</v>
      </c>
      <c r="R1073" s="55">
        <f t="shared" si="181"/>
        <v>0</v>
      </c>
      <c r="S1073" s="55">
        <f t="shared" si="182"/>
        <v>0</v>
      </c>
    </row>
    <row r="1074" spans="1:19" ht="46.5" hidden="1" customHeight="1">
      <c r="A1074" s="1693"/>
      <c r="B1074" s="1648">
        <f t="shared" si="176"/>
        <v>0</v>
      </c>
      <c r="C1074" s="1867" t="s">
        <v>5990</v>
      </c>
      <c r="D1074" s="1672">
        <v>5500</v>
      </c>
      <c r="E1074" s="1702" t="s">
        <v>41</v>
      </c>
      <c r="F1074" s="1651"/>
      <c r="G1074" s="1648">
        <f t="shared" si="177"/>
        <v>0</v>
      </c>
      <c r="H1074" s="1648"/>
      <c r="I1074" s="1648">
        <f t="shared" si="178"/>
        <v>0</v>
      </c>
      <c r="J1074" s="1648"/>
      <c r="K1074" s="1648">
        <f t="shared" si="183"/>
        <v>0</v>
      </c>
      <c r="L1074" s="1648"/>
      <c r="M1074" s="1648">
        <f t="shared" si="184"/>
        <v>0</v>
      </c>
      <c r="N1074" s="1648">
        <f t="shared" si="185"/>
        <v>0</v>
      </c>
      <c r="O1074" s="1648">
        <f t="shared" si="186"/>
        <v>0</v>
      </c>
      <c r="P1074" s="1648">
        <f t="shared" si="179"/>
        <v>0</v>
      </c>
      <c r="Q1074" s="1648">
        <f t="shared" si="180"/>
        <v>0</v>
      </c>
      <c r="R1074" s="55">
        <f t="shared" si="181"/>
        <v>0</v>
      </c>
      <c r="S1074" s="55">
        <f t="shared" si="182"/>
        <v>0</v>
      </c>
    </row>
    <row r="1075" spans="1:19" ht="46.5" hidden="1" customHeight="1">
      <c r="A1075" s="1693"/>
      <c r="B1075" s="1648">
        <f t="shared" si="176"/>
        <v>0</v>
      </c>
      <c r="C1075" s="1867" t="s">
        <v>5991</v>
      </c>
      <c r="D1075" s="1651">
        <v>10000</v>
      </c>
      <c r="E1075" s="1702" t="s">
        <v>3092</v>
      </c>
      <c r="F1075" s="1651"/>
      <c r="G1075" s="1648">
        <f t="shared" si="177"/>
        <v>0</v>
      </c>
      <c r="H1075" s="1648"/>
      <c r="I1075" s="1648">
        <f t="shared" si="178"/>
        <v>0</v>
      </c>
      <c r="J1075" s="1648"/>
      <c r="K1075" s="1648">
        <f t="shared" si="183"/>
        <v>0</v>
      </c>
      <c r="L1075" s="1648"/>
      <c r="M1075" s="1648">
        <f t="shared" si="184"/>
        <v>0</v>
      </c>
      <c r="N1075" s="1648">
        <f t="shared" si="185"/>
        <v>0</v>
      </c>
      <c r="O1075" s="1648">
        <f t="shared" si="186"/>
        <v>0</v>
      </c>
      <c r="P1075" s="1648">
        <f t="shared" si="179"/>
        <v>0</v>
      </c>
      <c r="Q1075" s="1648">
        <f t="shared" si="180"/>
        <v>0</v>
      </c>
      <c r="R1075" s="55">
        <f t="shared" si="181"/>
        <v>0</v>
      </c>
      <c r="S1075" s="55">
        <f t="shared" si="182"/>
        <v>0</v>
      </c>
    </row>
    <row r="1076" spans="1:19" ht="93" hidden="1" customHeight="1">
      <c r="A1076" s="1693"/>
      <c r="B1076" s="1648">
        <f t="shared" si="176"/>
        <v>0</v>
      </c>
      <c r="C1076" s="1867" t="s">
        <v>5992</v>
      </c>
      <c r="D1076" s="1672">
        <v>1280</v>
      </c>
      <c r="E1076" s="1702" t="s">
        <v>468</v>
      </c>
      <c r="F1076" s="1651"/>
      <c r="G1076" s="1648">
        <f t="shared" si="177"/>
        <v>0</v>
      </c>
      <c r="H1076" s="1648"/>
      <c r="I1076" s="1648">
        <f t="shared" si="178"/>
        <v>0</v>
      </c>
      <c r="J1076" s="1648"/>
      <c r="K1076" s="1648">
        <f t="shared" si="183"/>
        <v>0</v>
      </c>
      <c r="L1076" s="1648"/>
      <c r="M1076" s="1648">
        <f t="shared" si="184"/>
        <v>0</v>
      </c>
      <c r="N1076" s="1648">
        <f t="shared" si="185"/>
        <v>0</v>
      </c>
      <c r="O1076" s="1648">
        <f t="shared" si="186"/>
        <v>0</v>
      </c>
      <c r="P1076" s="1648">
        <f t="shared" si="179"/>
        <v>0</v>
      </c>
      <c r="Q1076" s="1648">
        <f t="shared" si="180"/>
        <v>0</v>
      </c>
      <c r="R1076" s="55">
        <f t="shared" si="181"/>
        <v>0</v>
      </c>
      <c r="S1076" s="55">
        <f t="shared" si="182"/>
        <v>0</v>
      </c>
    </row>
    <row r="1077" spans="1:19" ht="69.75" hidden="1" customHeight="1">
      <c r="A1077" s="1693"/>
      <c r="B1077" s="1648">
        <f t="shared" si="176"/>
        <v>0</v>
      </c>
      <c r="C1077" s="1867" t="s">
        <v>5993</v>
      </c>
      <c r="D1077" s="1672">
        <v>1614.6</v>
      </c>
      <c r="E1077" s="1702" t="s">
        <v>468</v>
      </c>
      <c r="F1077" s="1651"/>
      <c r="G1077" s="1648">
        <f t="shared" si="177"/>
        <v>0</v>
      </c>
      <c r="H1077" s="1648"/>
      <c r="I1077" s="1648">
        <f t="shared" si="178"/>
        <v>0</v>
      </c>
      <c r="J1077" s="1648"/>
      <c r="K1077" s="1648">
        <f t="shared" si="183"/>
        <v>0</v>
      </c>
      <c r="L1077" s="1648"/>
      <c r="M1077" s="1648">
        <f t="shared" si="184"/>
        <v>0</v>
      </c>
      <c r="N1077" s="1648">
        <f t="shared" si="185"/>
        <v>0</v>
      </c>
      <c r="O1077" s="1648">
        <f t="shared" si="186"/>
        <v>0</v>
      </c>
      <c r="P1077" s="1648">
        <f t="shared" si="179"/>
        <v>0</v>
      </c>
      <c r="Q1077" s="1648">
        <f t="shared" si="180"/>
        <v>0</v>
      </c>
      <c r="R1077" s="55">
        <f t="shared" si="181"/>
        <v>0</v>
      </c>
      <c r="S1077" s="55">
        <f t="shared" si="182"/>
        <v>0</v>
      </c>
    </row>
    <row r="1078" spans="1:19" ht="162.75" hidden="1" customHeight="1">
      <c r="A1078" s="1693"/>
      <c r="B1078" s="1648">
        <f t="shared" si="176"/>
        <v>0</v>
      </c>
      <c r="C1078" s="1867" t="s">
        <v>5994</v>
      </c>
      <c r="D1078" s="1672">
        <v>10050</v>
      </c>
      <c r="E1078" s="1702" t="s">
        <v>41</v>
      </c>
      <c r="F1078" s="1651"/>
      <c r="G1078" s="1648">
        <f t="shared" si="177"/>
        <v>0</v>
      </c>
      <c r="H1078" s="1648"/>
      <c r="I1078" s="1648">
        <f t="shared" si="178"/>
        <v>0</v>
      </c>
      <c r="J1078" s="1648"/>
      <c r="K1078" s="1648">
        <f t="shared" si="183"/>
        <v>0</v>
      </c>
      <c r="L1078" s="1648"/>
      <c r="M1078" s="1648">
        <f t="shared" si="184"/>
        <v>0</v>
      </c>
      <c r="N1078" s="1648">
        <f t="shared" si="185"/>
        <v>0</v>
      </c>
      <c r="O1078" s="1648">
        <f t="shared" si="186"/>
        <v>0</v>
      </c>
      <c r="P1078" s="1648">
        <f t="shared" si="179"/>
        <v>0</v>
      </c>
      <c r="Q1078" s="1648">
        <f t="shared" si="180"/>
        <v>0</v>
      </c>
      <c r="R1078" s="55">
        <f t="shared" si="181"/>
        <v>0</v>
      </c>
      <c r="S1078" s="55">
        <f t="shared" si="182"/>
        <v>0</v>
      </c>
    </row>
    <row r="1079" spans="1:19" ht="93" hidden="1" customHeight="1">
      <c r="A1079" s="1693"/>
      <c r="B1079" s="1648">
        <f t="shared" si="176"/>
        <v>0</v>
      </c>
      <c r="C1079" s="1867" t="s">
        <v>5995</v>
      </c>
      <c r="D1079" s="1672">
        <v>228000</v>
      </c>
      <c r="E1079" s="1702" t="s">
        <v>41</v>
      </c>
      <c r="F1079" s="1651"/>
      <c r="G1079" s="1648">
        <f t="shared" si="177"/>
        <v>0</v>
      </c>
      <c r="H1079" s="1648"/>
      <c r="I1079" s="1648">
        <f t="shared" si="178"/>
        <v>0</v>
      </c>
      <c r="J1079" s="1648"/>
      <c r="K1079" s="1648">
        <f t="shared" si="183"/>
        <v>0</v>
      </c>
      <c r="L1079" s="1648"/>
      <c r="M1079" s="1648">
        <f t="shared" si="184"/>
        <v>0</v>
      </c>
      <c r="N1079" s="1648">
        <f t="shared" si="185"/>
        <v>0</v>
      </c>
      <c r="O1079" s="1648">
        <f t="shared" si="186"/>
        <v>0</v>
      </c>
      <c r="P1079" s="1648">
        <f t="shared" si="179"/>
        <v>0</v>
      </c>
      <c r="Q1079" s="1648">
        <f t="shared" si="180"/>
        <v>0</v>
      </c>
      <c r="R1079" s="55">
        <f t="shared" si="181"/>
        <v>0</v>
      </c>
      <c r="S1079" s="55">
        <f t="shared" si="182"/>
        <v>0</v>
      </c>
    </row>
    <row r="1080" spans="1:19" ht="255.75" hidden="1" customHeight="1">
      <c r="A1080" s="1693"/>
      <c r="B1080" s="1648">
        <f t="shared" si="176"/>
        <v>0</v>
      </c>
      <c r="C1080" s="1867" t="s">
        <v>5996</v>
      </c>
      <c r="D1080" s="1672">
        <v>10450</v>
      </c>
      <c r="E1080" s="1702" t="s">
        <v>41</v>
      </c>
      <c r="F1080" s="1651"/>
      <c r="G1080" s="1648">
        <f t="shared" si="177"/>
        <v>0</v>
      </c>
      <c r="H1080" s="1648"/>
      <c r="I1080" s="1648">
        <f t="shared" si="178"/>
        <v>0</v>
      </c>
      <c r="J1080" s="1648"/>
      <c r="K1080" s="1648">
        <f t="shared" si="183"/>
        <v>0</v>
      </c>
      <c r="L1080" s="1648"/>
      <c r="M1080" s="1648">
        <f t="shared" si="184"/>
        <v>0</v>
      </c>
      <c r="N1080" s="1648">
        <f t="shared" si="185"/>
        <v>0</v>
      </c>
      <c r="O1080" s="1648">
        <f t="shared" si="186"/>
        <v>0</v>
      </c>
      <c r="P1080" s="1648">
        <f t="shared" si="179"/>
        <v>0</v>
      </c>
      <c r="Q1080" s="1648">
        <f t="shared" si="180"/>
        <v>0</v>
      </c>
      <c r="R1080" s="55">
        <f t="shared" si="181"/>
        <v>0</v>
      </c>
      <c r="S1080" s="55">
        <f t="shared" si="182"/>
        <v>0</v>
      </c>
    </row>
    <row r="1081" spans="1:19" ht="116.25" hidden="1" customHeight="1">
      <c r="A1081" s="1693"/>
      <c r="B1081" s="1648">
        <f t="shared" si="176"/>
        <v>0</v>
      </c>
      <c r="C1081" s="1867" t="s">
        <v>5997</v>
      </c>
      <c r="D1081" s="1672">
        <v>35000</v>
      </c>
      <c r="E1081" s="1702" t="s">
        <v>41</v>
      </c>
      <c r="F1081" s="1651"/>
      <c r="G1081" s="1648">
        <f t="shared" si="177"/>
        <v>0</v>
      </c>
      <c r="H1081" s="1648"/>
      <c r="I1081" s="1648">
        <f t="shared" si="178"/>
        <v>0</v>
      </c>
      <c r="J1081" s="1648"/>
      <c r="K1081" s="1648">
        <f t="shared" si="183"/>
        <v>0</v>
      </c>
      <c r="L1081" s="1648"/>
      <c r="M1081" s="1648">
        <f t="shared" si="184"/>
        <v>0</v>
      </c>
      <c r="N1081" s="1648">
        <f t="shared" si="185"/>
        <v>0</v>
      </c>
      <c r="O1081" s="1648">
        <f t="shared" si="186"/>
        <v>0</v>
      </c>
      <c r="P1081" s="1648">
        <f t="shared" si="179"/>
        <v>0</v>
      </c>
      <c r="Q1081" s="1648">
        <f t="shared" si="180"/>
        <v>0</v>
      </c>
      <c r="R1081" s="55">
        <f t="shared" si="181"/>
        <v>0</v>
      </c>
      <c r="S1081" s="55">
        <f t="shared" si="182"/>
        <v>0</v>
      </c>
    </row>
    <row r="1082" spans="1:19" ht="23.25" hidden="1" customHeight="1">
      <c r="A1082" s="1693"/>
      <c r="B1082" s="1648">
        <f t="shared" si="176"/>
        <v>0</v>
      </c>
      <c r="C1082" s="1867" t="s">
        <v>5998</v>
      </c>
      <c r="D1082" s="1672">
        <v>97000</v>
      </c>
      <c r="E1082" s="1702" t="s">
        <v>41</v>
      </c>
      <c r="F1082" s="1651"/>
      <c r="G1082" s="1648">
        <f t="shared" si="177"/>
        <v>0</v>
      </c>
      <c r="H1082" s="1648"/>
      <c r="I1082" s="1648">
        <f t="shared" si="178"/>
        <v>0</v>
      </c>
      <c r="J1082" s="1648"/>
      <c r="K1082" s="1648">
        <f t="shared" si="183"/>
        <v>0</v>
      </c>
      <c r="L1082" s="1648"/>
      <c r="M1082" s="1648">
        <f t="shared" si="184"/>
        <v>0</v>
      </c>
      <c r="N1082" s="1648">
        <f t="shared" si="185"/>
        <v>0</v>
      </c>
      <c r="O1082" s="1648">
        <f t="shared" si="186"/>
        <v>0</v>
      </c>
      <c r="P1082" s="1648">
        <f t="shared" si="179"/>
        <v>0</v>
      </c>
      <c r="Q1082" s="1648">
        <f t="shared" si="180"/>
        <v>0</v>
      </c>
      <c r="R1082" s="55">
        <f t="shared" si="181"/>
        <v>0</v>
      </c>
      <c r="S1082" s="55">
        <f t="shared" si="182"/>
        <v>0</v>
      </c>
    </row>
    <row r="1083" spans="1:19" ht="46.5" hidden="1" customHeight="1">
      <c r="A1083" s="1693"/>
      <c r="B1083" s="1648">
        <f t="shared" si="176"/>
        <v>0</v>
      </c>
      <c r="C1083" s="1867" t="s">
        <v>5999</v>
      </c>
      <c r="D1083" s="1672">
        <v>284</v>
      </c>
      <c r="E1083" s="1702" t="s">
        <v>13</v>
      </c>
      <c r="F1083" s="1651"/>
      <c r="G1083" s="1648">
        <f t="shared" si="177"/>
        <v>0</v>
      </c>
      <c r="H1083" s="1648"/>
      <c r="I1083" s="1648">
        <f t="shared" si="178"/>
        <v>0</v>
      </c>
      <c r="J1083" s="1648"/>
      <c r="K1083" s="1648">
        <f t="shared" si="183"/>
        <v>0</v>
      </c>
      <c r="L1083" s="1648"/>
      <c r="M1083" s="1648">
        <f t="shared" si="184"/>
        <v>0</v>
      </c>
      <c r="N1083" s="1648">
        <f t="shared" si="185"/>
        <v>0</v>
      </c>
      <c r="O1083" s="1648">
        <f t="shared" si="186"/>
        <v>0</v>
      </c>
      <c r="P1083" s="1648">
        <f t="shared" si="179"/>
        <v>0</v>
      </c>
      <c r="Q1083" s="1648">
        <f t="shared" si="180"/>
        <v>0</v>
      </c>
      <c r="R1083" s="55">
        <f t="shared" si="181"/>
        <v>0</v>
      </c>
      <c r="S1083" s="55">
        <f t="shared" si="182"/>
        <v>0</v>
      </c>
    </row>
    <row r="1084" spans="1:19" ht="46.5" hidden="1" customHeight="1">
      <c r="A1084" s="1693"/>
      <c r="B1084" s="1648">
        <f t="shared" si="176"/>
        <v>0</v>
      </c>
      <c r="C1084" s="1867" t="s">
        <v>6000</v>
      </c>
      <c r="D1084" s="1672">
        <v>560</v>
      </c>
      <c r="E1084" s="1702" t="s">
        <v>13</v>
      </c>
      <c r="F1084" s="1651"/>
      <c r="G1084" s="1648">
        <f t="shared" si="177"/>
        <v>0</v>
      </c>
      <c r="H1084" s="1648"/>
      <c r="I1084" s="1648">
        <f t="shared" si="178"/>
        <v>0</v>
      </c>
      <c r="J1084" s="1648"/>
      <c r="K1084" s="1648">
        <f t="shared" si="183"/>
        <v>0</v>
      </c>
      <c r="L1084" s="1648"/>
      <c r="M1084" s="1648">
        <f t="shared" si="184"/>
        <v>0</v>
      </c>
      <c r="N1084" s="1648">
        <f t="shared" si="185"/>
        <v>0</v>
      </c>
      <c r="O1084" s="1648">
        <f t="shared" si="186"/>
        <v>0</v>
      </c>
      <c r="P1084" s="1648">
        <f t="shared" si="179"/>
        <v>0</v>
      </c>
      <c r="Q1084" s="1648">
        <f t="shared" si="180"/>
        <v>0</v>
      </c>
      <c r="R1084" s="55">
        <f t="shared" si="181"/>
        <v>0</v>
      </c>
      <c r="S1084" s="55">
        <f t="shared" si="182"/>
        <v>0</v>
      </c>
    </row>
    <row r="1085" spans="1:19" ht="69.75" hidden="1" customHeight="1">
      <c r="A1085" s="1693"/>
      <c r="B1085" s="1648">
        <f t="shared" si="176"/>
        <v>0</v>
      </c>
      <c r="C1085" s="1867" t="s">
        <v>6001</v>
      </c>
      <c r="D1085" s="1672">
        <v>44000</v>
      </c>
      <c r="E1085" s="1702" t="s">
        <v>41</v>
      </c>
      <c r="F1085" s="1651"/>
      <c r="G1085" s="1648">
        <f t="shared" si="177"/>
        <v>0</v>
      </c>
      <c r="H1085" s="1648"/>
      <c r="I1085" s="1648">
        <f t="shared" si="178"/>
        <v>0</v>
      </c>
      <c r="J1085" s="1648"/>
      <c r="K1085" s="1648">
        <f t="shared" si="183"/>
        <v>0</v>
      </c>
      <c r="L1085" s="1648"/>
      <c r="M1085" s="1648">
        <f t="shared" si="184"/>
        <v>0</v>
      </c>
      <c r="N1085" s="1648">
        <f t="shared" si="185"/>
        <v>0</v>
      </c>
      <c r="O1085" s="1648">
        <f t="shared" si="186"/>
        <v>0</v>
      </c>
      <c r="P1085" s="1648">
        <f t="shared" si="179"/>
        <v>0</v>
      </c>
      <c r="Q1085" s="1648">
        <f t="shared" si="180"/>
        <v>0</v>
      </c>
      <c r="R1085" s="55">
        <f t="shared" si="181"/>
        <v>0</v>
      </c>
      <c r="S1085" s="55">
        <f t="shared" si="182"/>
        <v>0</v>
      </c>
    </row>
    <row r="1086" spans="1:19" ht="93" hidden="1" customHeight="1">
      <c r="A1086" s="1693"/>
      <c r="B1086" s="1648">
        <f t="shared" si="176"/>
        <v>0</v>
      </c>
      <c r="C1086" s="1867" t="s">
        <v>6002</v>
      </c>
      <c r="D1086" s="1672">
        <v>285000</v>
      </c>
      <c r="E1086" s="1702" t="s">
        <v>6003</v>
      </c>
      <c r="F1086" s="1651"/>
      <c r="G1086" s="1648">
        <f t="shared" si="177"/>
        <v>0</v>
      </c>
      <c r="H1086" s="1648"/>
      <c r="I1086" s="1648">
        <f t="shared" si="178"/>
        <v>0</v>
      </c>
      <c r="J1086" s="1648"/>
      <c r="K1086" s="1648">
        <f t="shared" si="183"/>
        <v>0</v>
      </c>
      <c r="L1086" s="1648"/>
      <c r="M1086" s="1648">
        <f t="shared" si="184"/>
        <v>0</v>
      </c>
      <c r="N1086" s="1648">
        <f t="shared" si="185"/>
        <v>0</v>
      </c>
      <c r="O1086" s="1648">
        <f t="shared" si="186"/>
        <v>0</v>
      </c>
      <c r="P1086" s="1648">
        <f t="shared" si="179"/>
        <v>0</v>
      </c>
      <c r="Q1086" s="1648">
        <f t="shared" si="180"/>
        <v>0</v>
      </c>
      <c r="R1086" s="55">
        <f t="shared" si="181"/>
        <v>0</v>
      </c>
      <c r="S1086" s="55">
        <f t="shared" si="182"/>
        <v>0</v>
      </c>
    </row>
    <row r="1087" spans="1:19" ht="255.75" hidden="1" customHeight="1">
      <c r="A1087" s="1693"/>
      <c r="B1087" s="1648">
        <f t="shared" si="176"/>
        <v>0</v>
      </c>
      <c r="C1087" s="1867" t="s">
        <v>6004</v>
      </c>
      <c r="D1087" s="1672">
        <f>Elec.Data!J1921</f>
        <v>0</v>
      </c>
      <c r="E1087" s="1688" t="s">
        <v>13</v>
      </c>
      <c r="F1087" s="1651"/>
      <c r="G1087" s="1648">
        <f t="shared" si="177"/>
        <v>0</v>
      </c>
      <c r="H1087" s="1648"/>
      <c r="I1087" s="1648">
        <f t="shared" si="178"/>
        <v>0</v>
      </c>
      <c r="J1087" s="1648"/>
      <c r="K1087" s="1648">
        <f t="shared" si="183"/>
        <v>0</v>
      </c>
      <c r="L1087" s="1648"/>
      <c r="M1087" s="1648">
        <f t="shared" si="184"/>
        <v>0</v>
      </c>
      <c r="N1087" s="1648">
        <f t="shared" si="185"/>
        <v>0</v>
      </c>
      <c r="O1087" s="1648">
        <f t="shared" si="186"/>
        <v>0</v>
      </c>
      <c r="P1087" s="1648">
        <f t="shared" si="179"/>
        <v>0</v>
      </c>
      <c r="Q1087" s="1648">
        <f t="shared" si="180"/>
        <v>0</v>
      </c>
      <c r="R1087" s="55">
        <f t="shared" si="181"/>
        <v>0</v>
      </c>
      <c r="S1087" s="55">
        <f t="shared" si="182"/>
        <v>0</v>
      </c>
    </row>
    <row r="1088" spans="1:19" ht="139.5" hidden="1" customHeight="1">
      <c r="A1088" s="1693"/>
      <c r="B1088" s="1648">
        <f t="shared" si="176"/>
        <v>0</v>
      </c>
      <c r="C1088" s="1867" t="s">
        <v>6005</v>
      </c>
      <c r="D1088" s="1672">
        <v>600</v>
      </c>
      <c r="E1088" s="1688" t="s">
        <v>41</v>
      </c>
      <c r="F1088" s="1651"/>
      <c r="G1088" s="1648">
        <f t="shared" si="177"/>
        <v>0</v>
      </c>
      <c r="H1088" s="1648"/>
      <c r="I1088" s="1648">
        <f t="shared" si="178"/>
        <v>0</v>
      </c>
      <c r="J1088" s="1648"/>
      <c r="K1088" s="1648">
        <f t="shared" si="183"/>
        <v>0</v>
      </c>
      <c r="L1088" s="1648"/>
      <c r="M1088" s="1648">
        <f t="shared" si="184"/>
        <v>0</v>
      </c>
      <c r="N1088" s="1648">
        <f t="shared" si="185"/>
        <v>0</v>
      </c>
      <c r="O1088" s="1648">
        <f t="shared" si="186"/>
        <v>0</v>
      </c>
      <c r="P1088" s="1648">
        <f t="shared" si="179"/>
        <v>0</v>
      </c>
      <c r="Q1088" s="1648">
        <f t="shared" si="180"/>
        <v>0</v>
      </c>
      <c r="R1088" s="55">
        <f t="shared" si="181"/>
        <v>0</v>
      </c>
      <c r="S1088" s="55">
        <f t="shared" si="182"/>
        <v>0</v>
      </c>
    </row>
    <row r="1089" spans="1:19" ht="139.5" hidden="1" customHeight="1">
      <c r="A1089" s="1693"/>
      <c r="B1089" s="1648">
        <f t="shared" si="176"/>
        <v>0</v>
      </c>
      <c r="C1089" s="1867" t="s">
        <v>6006</v>
      </c>
      <c r="D1089" s="1672"/>
      <c r="E1089" s="1688"/>
      <c r="F1089" s="1651"/>
      <c r="G1089" s="1648">
        <f t="shared" si="177"/>
        <v>0</v>
      </c>
      <c r="H1089" s="1648"/>
      <c r="I1089" s="1648">
        <f t="shared" si="178"/>
        <v>0</v>
      </c>
      <c r="J1089" s="1648"/>
      <c r="K1089" s="1648">
        <f t="shared" si="183"/>
        <v>0</v>
      </c>
      <c r="L1089" s="1648"/>
      <c r="M1089" s="1648">
        <f t="shared" si="184"/>
        <v>0</v>
      </c>
      <c r="N1089" s="1648">
        <f t="shared" si="185"/>
        <v>0</v>
      </c>
      <c r="O1089" s="1648">
        <f t="shared" si="186"/>
        <v>0</v>
      </c>
      <c r="P1089" s="1648">
        <f t="shared" si="179"/>
        <v>0</v>
      </c>
      <c r="Q1089" s="1648">
        <f t="shared" si="180"/>
        <v>0</v>
      </c>
      <c r="R1089" s="55">
        <f t="shared" si="181"/>
        <v>0</v>
      </c>
      <c r="S1089" s="55">
        <f t="shared" si="182"/>
        <v>0</v>
      </c>
    </row>
    <row r="1090" spans="1:19" ht="23.25" hidden="1" customHeight="1">
      <c r="A1090" s="1693"/>
      <c r="B1090" s="1648">
        <f t="shared" si="176"/>
        <v>0</v>
      </c>
      <c r="C1090" s="1867" t="s">
        <v>6007</v>
      </c>
      <c r="D1090" s="1672">
        <v>640</v>
      </c>
      <c r="E1090" s="1688" t="s">
        <v>724</v>
      </c>
      <c r="F1090" s="1651"/>
      <c r="G1090" s="1648">
        <f t="shared" si="177"/>
        <v>0</v>
      </c>
      <c r="H1090" s="1648"/>
      <c r="I1090" s="1648">
        <f t="shared" si="178"/>
        <v>0</v>
      </c>
      <c r="J1090" s="1648"/>
      <c r="K1090" s="1648">
        <f t="shared" si="183"/>
        <v>0</v>
      </c>
      <c r="L1090" s="1648"/>
      <c r="M1090" s="1648">
        <f t="shared" si="184"/>
        <v>0</v>
      </c>
      <c r="N1090" s="1648">
        <f t="shared" si="185"/>
        <v>0</v>
      </c>
      <c r="O1090" s="1648">
        <f t="shared" si="186"/>
        <v>0</v>
      </c>
      <c r="P1090" s="1648">
        <f t="shared" si="179"/>
        <v>0</v>
      </c>
      <c r="Q1090" s="1648">
        <f t="shared" si="180"/>
        <v>0</v>
      </c>
      <c r="R1090" s="55">
        <f t="shared" si="181"/>
        <v>0</v>
      </c>
      <c r="S1090" s="55">
        <f t="shared" si="182"/>
        <v>0</v>
      </c>
    </row>
    <row r="1091" spans="1:19" ht="23.25" hidden="1" customHeight="1">
      <c r="A1091" s="1693"/>
      <c r="B1091" s="1648">
        <f t="shared" si="176"/>
        <v>0</v>
      </c>
      <c r="C1091" s="1867" t="s">
        <v>6008</v>
      </c>
      <c r="D1091" s="1672">
        <v>650</v>
      </c>
      <c r="E1091" s="1688" t="s">
        <v>724</v>
      </c>
      <c r="F1091" s="1651"/>
      <c r="G1091" s="1648">
        <f t="shared" si="177"/>
        <v>0</v>
      </c>
      <c r="H1091" s="1648"/>
      <c r="I1091" s="1648">
        <f t="shared" si="178"/>
        <v>0</v>
      </c>
      <c r="J1091" s="1648"/>
      <c r="K1091" s="1648">
        <f t="shared" si="183"/>
        <v>0</v>
      </c>
      <c r="L1091" s="1648"/>
      <c r="M1091" s="1648">
        <f t="shared" si="184"/>
        <v>0</v>
      </c>
      <c r="N1091" s="1648">
        <f t="shared" si="185"/>
        <v>0</v>
      </c>
      <c r="O1091" s="1648">
        <f t="shared" si="186"/>
        <v>0</v>
      </c>
      <c r="P1091" s="1648">
        <f t="shared" si="179"/>
        <v>0</v>
      </c>
      <c r="Q1091" s="1648">
        <f t="shared" si="180"/>
        <v>0</v>
      </c>
      <c r="R1091" s="55">
        <f t="shared" si="181"/>
        <v>0</v>
      </c>
      <c r="S1091" s="55">
        <f t="shared" si="182"/>
        <v>0</v>
      </c>
    </row>
    <row r="1092" spans="1:19" ht="325.5" hidden="1" customHeight="1">
      <c r="A1092" s="1693"/>
      <c r="B1092" s="1648">
        <f t="shared" si="176"/>
        <v>0</v>
      </c>
      <c r="C1092" s="1867" t="s">
        <v>6009</v>
      </c>
      <c r="D1092" s="1672"/>
      <c r="E1092" s="1688"/>
      <c r="F1092" s="1651"/>
      <c r="G1092" s="1648">
        <f t="shared" si="177"/>
        <v>0</v>
      </c>
      <c r="H1092" s="1648"/>
      <c r="I1092" s="1648">
        <f t="shared" si="178"/>
        <v>0</v>
      </c>
      <c r="J1092" s="1648"/>
      <c r="K1092" s="1648">
        <f t="shared" si="183"/>
        <v>0</v>
      </c>
      <c r="L1092" s="1648"/>
      <c r="M1092" s="1648">
        <f t="shared" si="184"/>
        <v>0</v>
      </c>
      <c r="N1092" s="1648">
        <f t="shared" si="185"/>
        <v>0</v>
      </c>
      <c r="O1092" s="1648">
        <f t="shared" si="186"/>
        <v>0</v>
      </c>
      <c r="P1092" s="1648">
        <f t="shared" si="179"/>
        <v>0</v>
      </c>
      <c r="Q1092" s="1648">
        <f t="shared" si="180"/>
        <v>0</v>
      </c>
      <c r="R1092" s="55">
        <f t="shared" si="181"/>
        <v>0</v>
      </c>
      <c r="S1092" s="55">
        <f t="shared" si="182"/>
        <v>0</v>
      </c>
    </row>
    <row r="1093" spans="1:19" ht="23.25" hidden="1" customHeight="1">
      <c r="A1093" s="1693"/>
      <c r="B1093" s="1648">
        <f t="shared" si="176"/>
        <v>0</v>
      </c>
      <c r="C1093" s="1867" t="s">
        <v>6010</v>
      </c>
      <c r="D1093" s="1672">
        <f>[4]Elec.Data!Q3696</f>
        <v>0</v>
      </c>
      <c r="E1093" s="1688" t="s">
        <v>13</v>
      </c>
      <c r="F1093" s="1651"/>
      <c r="G1093" s="1648">
        <f t="shared" si="177"/>
        <v>0</v>
      </c>
      <c r="H1093" s="1648"/>
      <c r="I1093" s="1648">
        <f t="shared" si="178"/>
        <v>0</v>
      </c>
      <c r="J1093" s="1648"/>
      <c r="K1093" s="1648">
        <f t="shared" si="183"/>
        <v>0</v>
      </c>
      <c r="L1093" s="1648"/>
      <c r="M1093" s="1648">
        <f t="shared" si="184"/>
        <v>0</v>
      </c>
      <c r="N1093" s="1648">
        <f t="shared" si="185"/>
        <v>0</v>
      </c>
      <c r="O1093" s="1648">
        <f t="shared" si="186"/>
        <v>0</v>
      </c>
      <c r="P1093" s="1648">
        <f t="shared" si="179"/>
        <v>0</v>
      </c>
      <c r="Q1093" s="1648">
        <f t="shared" si="180"/>
        <v>0</v>
      </c>
      <c r="R1093" s="55">
        <f t="shared" si="181"/>
        <v>0</v>
      </c>
      <c r="S1093" s="55">
        <f t="shared" si="182"/>
        <v>0</v>
      </c>
    </row>
    <row r="1094" spans="1:19" ht="46.5">
      <c r="A1094" s="1693"/>
      <c r="B1094" s="1648">
        <f t="shared" ref="B1094:B1157" si="187">P1094</f>
        <v>0</v>
      </c>
      <c r="C1094" s="1877" t="s">
        <v>6011</v>
      </c>
      <c r="D1094" s="1672"/>
      <c r="E1094" s="1688"/>
      <c r="F1094" s="1651"/>
      <c r="G1094" s="1648">
        <f t="shared" ref="G1094:G1157" si="188">F1094*D1094</f>
        <v>0</v>
      </c>
      <c r="H1094" s="1648"/>
      <c r="I1094" s="1648">
        <f t="shared" ref="I1094:I1157" si="189">H1094*D1094</f>
        <v>0</v>
      </c>
      <c r="J1094" s="1648"/>
      <c r="K1094" s="1648">
        <f t="shared" si="183"/>
        <v>0</v>
      </c>
      <c r="L1094" s="1648"/>
      <c r="M1094" s="1648">
        <f t="shared" si="184"/>
        <v>0</v>
      </c>
      <c r="N1094" s="1648">
        <f t="shared" si="185"/>
        <v>0</v>
      </c>
      <c r="O1094" s="1648">
        <f t="shared" si="186"/>
        <v>0</v>
      </c>
      <c r="P1094" s="1648">
        <f t="shared" ref="P1094:P1157" si="190">N1094+F1094</f>
        <v>0</v>
      </c>
      <c r="Q1094" s="1648">
        <f t="shared" ref="Q1094:Q1157" si="191">P1094*D1094</f>
        <v>0</v>
      </c>
      <c r="R1094" s="55">
        <f t="shared" ref="R1094:R1157" si="192">G1094+I1094+K1094+M1094</f>
        <v>0</v>
      </c>
      <c r="S1094" s="55">
        <f t="shared" ref="S1094:S1157" si="193">Q1094-R1094</f>
        <v>0</v>
      </c>
    </row>
    <row r="1095" spans="1:19" ht="255.75">
      <c r="A1095" s="1693"/>
      <c r="B1095" s="1648">
        <f t="shared" si="187"/>
        <v>0</v>
      </c>
      <c r="C1095" s="1867" t="s">
        <v>6012</v>
      </c>
      <c r="D1095" s="1672"/>
      <c r="E1095" s="1702"/>
      <c r="F1095" s="1651"/>
      <c r="G1095" s="1648">
        <f t="shared" si="188"/>
        <v>0</v>
      </c>
      <c r="H1095" s="1648"/>
      <c r="I1095" s="1648">
        <f t="shared" si="189"/>
        <v>0</v>
      </c>
      <c r="J1095" s="1648"/>
      <c r="K1095" s="1648">
        <f t="shared" ref="K1095:K1158" si="194">J1095*D1095</f>
        <v>0</v>
      </c>
      <c r="L1095" s="1648"/>
      <c r="M1095" s="1648">
        <f t="shared" ref="M1095:M1158" si="195">L1095*D1095</f>
        <v>0</v>
      </c>
      <c r="N1095" s="1648">
        <f t="shared" ref="N1095:N1158" si="196">H1095+J1095+L1095</f>
        <v>0</v>
      </c>
      <c r="O1095" s="1648">
        <f t="shared" ref="O1095:O1158" si="197">N1095*D1095</f>
        <v>0</v>
      </c>
      <c r="P1095" s="1648">
        <f t="shared" si="190"/>
        <v>0</v>
      </c>
      <c r="Q1095" s="1648">
        <f t="shared" si="191"/>
        <v>0</v>
      </c>
      <c r="R1095" s="55">
        <f t="shared" si="192"/>
        <v>0</v>
      </c>
      <c r="S1095" s="55">
        <f t="shared" si="193"/>
        <v>0</v>
      </c>
    </row>
    <row r="1096" spans="1:19" ht="46.5">
      <c r="A1096" s="1693"/>
      <c r="B1096" s="1648">
        <f t="shared" si="187"/>
        <v>24</v>
      </c>
      <c r="C1096" s="1867" t="s">
        <v>6013</v>
      </c>
      <c r="D1096" s="1672">
        <v>551.04</v>
      </c>
      <c r="E1096" s="1688" t="s">
        <v>2092</v>
      </c>
      <c r="F1096" s="1651"/>
      <c r="G1096" s="1648">
        <f t="shared" si="188"/>
        <v>0</v>
      </c>
      <c r="H1096" s="1648">
        <f>bore!I7</f>
        <v>24</v>
      </c>
      <c r="I1096" s="1648">
        <f t="shared" si="189"/>
        <v>13224.96</v>
      </c>
      <c r="J1096" s="1648"/>
      <c r="K1096" s="1648">
        <f t="shared" si="194"/>
        <v>0</v>
      </c>
      <c r="L1096" s="1648"/>
      <c r="M1096" s="1648">
        <f t="shared" si="195"/>
        <v>0</v>
      </c>
      <c r="N1096" s="1648">
        <f t="shared" si="196"/>
        <v>24</v>
      </c>
      <c r="O1096" s="1648">
        <f t="shared" si="197"/>
        <v>13224.96</v>
      </c>
      <c r="P1096" s="1648">
        <f t="shared" si="190"/>
        <v>24</v>
      </c>
      <c r="Q1096" s="1648">
        <f t="shared" si="191"/>
        <v>13224.96</v>
      </c>
      <c r="R1096" s="55">
        <f t="shared" si="192"/>
        <v>13224.96</v>
      </c>
      <c r="S1096" s="55">
        <f t="shared" si="193"/>
        <v>0</v>
      </c>
    </row>
    <row r="1097" spans="1:19" ht="279" hidden="1" customHeight="1">
      <c r="A1097" s="1693"/>
      <c r="B1097" s="1648">
        <f t="shared" si="187"/>
        <v>0</v>
      </c>
      <c r="C1097" s="1867" t="s">
        <v>6014</v>
      </c>
      <c r="D1097" s="1672"/>
      <c r="E1097" s="1702"/>
      <c r="F1097" s="1651"/>
      <c r="G1097" s="1648">
        <f t="shared" si="188"/>
        <v>0</v>
      </c>
      <c r="H1097" s="1648"/>
      <c r="I1097" s="1648">
        <f t="shared" si="189"/>
        <v>0</v>
      </c>
      <c r="J1097" s="1648"/>
      <c r="K1097" s="1648">
        <f t="shared" si="194"/>
        <v>0</v>
      </c>
      <c r="L1097" s="1648"/>
      <c r="M1097" s="1648">
        <f t="shared" si="195"/>
        <v>0</v>
      </c>
      <c r="N1097" s="1648">
        <f t="shared" si="196"/>
        <v>0</v>
      </c>
      <c r="O1097" s="1648">
        <f t="shared" si="197"/>
        <v>0</v>
      </c>
      <c r="P1097" s="1648">
        <f t="shared" si="190"/>
        <v>0</v>
      </c>
      <c r="Q1097" s="1648">
        <f t="shared" si="191"/>
        <v>0</v>
      </c>
      <c r="R1097" s="55">
        <f t="shared" si="192"/>
        <v>0</v>
      </c>
      <c r="S1097" s="55">
        <f t="shared" si="193"/>
        <v>0</v>
      </c>
    </row>
    <row r="1098" spans="1:19" ht="49.5" hidden="1" customHeight="1">
      <c r="A1098" s="1693"/>
      <c r="B1098" s="1648">
        <f t="shared" si="187"/>
        <v>0</v>
      </c>
      <c r="C1098" s="1867" t="s">
        <v>6015</v>
      </c>
      <c r="D1098" s="1672">
        <v>295</v>
      </c>
      <c r="E1098" s="1688" t="s">
        <v>2092</v>
      </c>
      <c r="F1098" s="1651"/>
      <c r="G1098" s="1648">
        <f t="shared" si="188"/>
        <v>0</v>
      </c>
      <c r="H1098" s="1648"/>
      <c r="I1098" s="1648">
        <f t="shared" si="189"/>
        <v>0</v>
      </c>
      <c r="J1098" s="1648"/>
      <c r="K1098" s="1648">
        <f t="shared" si="194"/>
        <v>0</v>
      </c>
      <c r="L1098" s="1648"/>
      <c r="M1098" s="1648">
        <f t="shared" si="195"/>
        <v>0</v>
      </c>
      <c r="N1098" s="1648">
        <f t="shared" si="196"/>
        <v>0</v>
      </c>
      <c r="O1098" s="1648">
        <f t="shared" si="197"/>
        <v>0</v>
      </c>
      <c r="P1098" s="1648">
        <f t="shared" si="190"/>
        <v>0</v>
      </c>
      <c r="Q1098" s="1648">
        <f t="shared" si="191"/>
        <v>0</v>
      </c>
      <c r="R1098" s="55">
        <f t="shared" si="192"/>
        <v>0</v>
      </c>
      <c r="S1098" s="55">
        <f t="shared" si="193"/>
        <v>0</v>
      </c>
    </row>
    <row r="1099" spans="1:19" ht="23.25" hidden="1" customHeight="1">
      <c r="A1099" s="1693"/>
      <c r="B1099" s="1648">
        <f t="shared" si="187"/>
        <v>0</v>
      </c>
      <c r="C1099" s="1867"/>
      <c r="D1099" s="1672"/>
      <c r="E1099" s="1702"/>
      <c r="F1099" s="1651"/>
      <c r="G1099" s="1648">
        <f t="shared" si="188"/>
        <v>0</v>
      </c>
      <c r="H1099" s="1648"/>
      <c r="I1099" s="1648">
        <f t="shared" si="189"/>
        <v>0</v>
      </c>
      <c r="J1099" s="1648"/>
      <c r="K1099" s="1648">
        <f t="shared" si="194"/>
        <v>0</v>
      </c>
      <c r="L1099" s="1648"/>
      <c r="M1099" s="1648">
        <f t="shared" si="195"/>
        <v>0</v>
      </c>
      <c r="N1099" s="1648">
        <f t="shared" si="196"/>
        <v>0</v>
      </c>
      <c r="O1099" s="1648">
        <f t="shared" si="197"/>
        <v>0</v>
      </c>
      <c r="P1099" s="1648">
        <f t="shared" si="190"/>
        <v>0</v>
      </c>
      <c r="Q1099" s="1648">
        <f t="shared" si="191"/>
        <v>0</v>
      </c>
      <c r="R1099" s="55">
        <f t="shared" si="192"/>
        <v>0</v>
      </c>
      <c r="S1099" s="55">
        <f t="shared" si="193"/>
        <v>0</v>
      </c>
    </row>
    <row r="1100" spans="1:19" ht="49.5" hidden="1" customHeight="1">
      <c r="A1100" s="1693"/>
      <c r="B1100" s="1648">
        <f t="shared" si="187"/>
        <v>0</v>
      </c>
      <c r="C1100" s="1867" t="s">
        <v>6016</v>
      </c>
      <c r="D1100" s="1672">
        <v>374.5</v>
      </c>
      <c r="E1100" s="1688" t="s">
        <v>2092</v>
      </c>
      <c r="F1100" s="1651"/>
      <c r="G1100" s="1648">
        <f t="shared" si="188"/>
        <v>0</v>
      </c>
      <c r="H1100" s="1648">
        <f>bore!I11</f>
        <v>0</v>
      </c>
      <c r="I1100" s="1648">
        <f t="shared" si="189"/>
        <v>0</v>
      </c>
      <c r="J1100" s="1648"/>
      <c r="K1100" s="1648">
        <f t="shared" si="194"/>
        <v>0</v>
      </c>
      <c r="L1100" s="1648"/>
      <c r="M1100" s="1648">
        <f t="shared" si="195"/>
        <v>0</v>
      </c>
      <c r="N1100" s="1648">
        <f t="shared" si="196"/>
        <v>0</v>
      </c>
      <c r="O1100" s="1648">
        <f t="shared" si="197"/>
        <v>0</v>
      </c>
      <c r="P1100" s="1648">
        <f t="shared" si="190"/>
        <v>0</v>
      </c>
      <c r="Q1100" s="1648">
        <f t="shared" si="191"/>
        <v>0</v>
      </c>
      <c r="R1100" s="55">
        <f t="shared" si="192"/>
        <v>0</v>
      </c>
      <c r="S1100" s="55">
        <f t="shared" si="193"/>
        <v>0</v>
      </c>
    </row>
    <row r="1101" spans="1:19" ht="109.5" customHeight="1">
      <c r="A1101" s="1693"/>
      <c r="B1101" s="1648">
        <f t="shared" si="187"/>
        <v>24</v>
      </c>
      <c r="C1101" s="1867" t="s">
        <v>6017</v>
      </c>
      <c r="D1101" s="1672">
        <v>424.6</v>
      </c>
      <c r="E1101" s="1688" t="s">
        <v>13</v>
      </c>
      <c r="F1101" s="1651"/>
      <c r="G1101" s="1648">
        <f t="shared" si="188"/>
        <v>0</v>
      </c>
      <c r="H1101" s="1648">
        <f>bore!I14</f>
        <v>24</v>
      </c>
      <c r="I1101" s="1648">
        <f t="shared" si="189"/>
        <v>10190.4</v>
      </c>
      <c r="J1101" s="1648"/>
      <c r="K1101" s="1648">
        <f t="shared" si="194"/>
        <v>0</v>
      </c>
      <c r="L1101" s="1648"/>
      <c r="M1101" s="1648">
        <f t="shared" si="195"/>
        <v>0</v>
      </c>
      <c r="N1101" s="1648">
        <f t="shared" si="196"/>
        <v>24</v>
      </c>
      <c r="O1101" s="1648">
        <f t="shared" si="197"/>
        <v>10190.4</v>
      </c>
      <c r="P1101" s="1648">
        <f t="shared" si="190"/>
        <v>24</v>
      </c>
      <c r="Q1101" s="1648">
        <f t="shared" si="191"/>
        <v>10190.4</v>
      </c>
      <c r="R1101" s="55">
        <f t="shared" si="192"/>
        <v>10190.4</v>
      </c>
      <c r="S1101" s="55">
        <f t="shared" si="193"/>
        <v>0</v>
      </c>
    </row>
    <row r="1102" spans="1:19" ht="195" hidden="1" customHeight="1">
      <c r="A1102" s="1693"/>
      <c r="B1102" s="1648">
        <f t="shared" si="187"/>
        <v>0</v>
      </c>
      <c r="C1102" s="1867" t="s">
        <v>7026</v>
      </c>
      <c r="D1102" s="1672">
        <v>825</v>
      </c>
      <c r="E1102" s="1688" t="s">
        <v>2092</v>
      </c>
      <c r="F1102" s="1651"/>
      <c r="G1102" s="1648">
        <f t="shared" si="188"/>
        <v>0</v>
      </c>
      <c r="H1102" s="1648"/>
      <c r="I1102" s="1648">
        <f t="shared" si="189"/>
        <v>0</v>
      </c>
      <c r="J1102" s="1648"/>
      <c r="K1102" s="1648">
        <f t="shared" si="194"/>
        <v>0</v>
      </c>
      <c r="L1102" s="1648"/>
      <c r="M1102" s="1648">
        <f t="shared" si="195"/>
        <v>0</v>
      </c>
      <c r="N1102" s="1648">
        <f t="shared" si="196"/>
        <v>0</v>
      </c>
      <c r="O1102" s="1648">
        <f t="shared" si="197"/>
        <v>0</v>
      </c>
      <c r="P1102" s="1648">
        <f t="shared" si="190"/>
        <v>0</v>
      </c>
      <c r="Q1102" s="1648">
        <f t="shared" si="191"/>
        <v>0</v>
      </c>
      <c r="R1102" s="55">
        <f t="shared" si="192"/>
        <v>0</v>
      </c>
      <c r="S1102" s="55">
        <f t="shared" si="193"/>
        <v>0</v>
      </c>
    </row>
    <row r="1103" spans="1:19" ht="204.75" customHeight="1">
      <c r="A1103" s="1693"/>
      <c r="B1103" s="1648">
        <f t="shared" si="187"/>
        <v>12</v>
      </c>
      <c r="C1103" s="1867" t="s">
        <v>7027</v>
      </c>
      <c r="D1103" s="1672">
        <v>644.5</v>
      </c>
      <c r="E1103" s="1688" t="s">
        <v>2092</v>
      </c>
      <c r="F1103" s="1651"/>
      <c r="G1103" s="1648">
        <f t="shared" si="188"/>
        <v>0</v>
      </c>
      <c r="H1103" s="1648">
        <f>bore!I20</f>
        <v>12</v>
      </c>
      <c r="I1103" s="1648">
        <f t="shared" si="189"/>
        <v>7734</v>
      </c>
      <c r="J1103" s="1648"/>
      <c r="K1103" s="1648">
        <f t="shared" si="194"/>
        <v>0</v>
      </c>
      <c r="L1103" s="1648"/>
      <c r="M1103" s="1648">
        <f t="shared" si="195"/>
        <v>0</v>
      </c>
      <c r="N1103" s="1648">
        <f t="shared" si="196"/>
        <v>12</v>
      </c>
      <c r="O1103" s="1648">
        <f t="shared" si="197"/>
        <v>7734</v>
      </c>
      <c r="P1103" s="1648">
        <f t="shared" si="190"/>
        <v>12</v>
      </c>
      <c r="Q1103" s="1648">
        <f t="shared" si="191"/>
        <v>7734</v>
      </c>
      <c r="R1103" s="55">
        <f t="shared" si="192"/>
        <v>7734</v>
      </c>
      <c r="S1103" s="55">
        <f t="shared" si="193"/>
        <v>0</v>
      </c>
    </row>
    <row r="1104" spans="1:19" ht="244.5" customHeight="1">
      <c r="A1104" s="1693"/>
      <c r="B1104" s="1648">
        <f t="shared" si="187"/>
        <v>12</v>
      </c>
      <c r="C1104" s="1867" t="s">
        <v>6018</v>
      </c>
      <c r="D1104" s="1672">
        <v>1004.5</v>
      </c>
      <c r="E1104" s="1702" t="s">
        <v>2092</v>
      </c>
      <c r="F1104" s="1651"/>
      <c r="G1104" s="1648">
        <f t="shared" si="188"/>
        <v>0</v>
      </c>
      <c r="H1104" s="1648">
        <f>bore!I24</f>
        <v>12</v>
      </c>
      <c r="I1104" s="1648">
        <f t="shared" si="189"/>
        <v>12054</v>
      </c>
      <c r="J1104" s="1648"/>
      <c r="K1104" s="1648">
        <f t="shared" si="194"/>
        <v>0</v>
      </c>
      <c r="L1104" s="1648"/>
      <c r="M1104" s="1648">
        <f t="shared" si="195"/>
        <v>0</v>
      </c>
      <c r="N1104" s="1648">
        <f t="shared" si="196"/>
        <v>12</v>
      </c>
      <c r="O1104" s="1648">
        <f t="shared" si="197"/>
        <v>12054</v>
      </c>
      <c r="P1104" s="1648">
        <f t="shared" si="190"/>
        <v>12</v>
      </c>
      <c r="Q1104" s="1648">
        <f t="shared" si="191"/>
        <v>12054</v>
      </c>
      <c r="R1104" s="55">
        <f t="shared" si="192"/>
        <v>12054</v>
      </c>
      <c r="S1104" s="55">
        <f t="shared" si="193"/>
        <v>0</v>
      </c>
    </row>
    <row r="1105" spans="1:19" ht="174.95" customHeight="1">
      <c r="A1105" s="1693"/>
      <c r="B1105" s="1648">
        <f t="shared" si="187"/>
        <v>0</v>
      </c>
      <c r="C1105" s="1865" t="s">
        <v>6019</v>
      </c>
      <c r="D1105" s="1672"/>
      <c r="E1105" s="1702"/>
      <c r="F1105" s="1651"/>
      <c r="G1105" s="1648">
        <f t="shared" si="188"/>
        <v>0</v>
      </c>
      <c r="H1105" s="1648"/>
      <c r="I1105" s="1648">
        <f t="shared" si="189"/>
        <v>0</v>
      </c>
      <c r="J1105" s="1648"/>
      <c r="K1105" s="1648">
        <f t="shared" si="194"/>
        <v>0</v>
      </c>
      <c r="L1105" s="1648"/>
      <c r="M1105" s="1648">
        <f t="shared" si="195"/>
        <v>0</v>
      </c>
      <c r="N1105" s="1648">
        <f t="shared" si="196"/>
        <v>0</v>
      </c>
      <c r="O1105" s="1648">
        <f t="shared" si="197"/>
        <v>0</v>
      </c>
      <c r="P1105" s="1648">
        <f t="shared" si="190"/>
        <v>0</v>
      </c>
      <c r="Q1105" s="1648">
        <f t="shared" si="191"/>
        <v>0</v>
      </c>
      <c r="R1105" s="55">
        <f t="shared" si="192"/>
        <v>0</v>
      </c>
      <c r="S1105" s="55">
        <f t="shared" si="193"/>
        <v>0</v>
      </c>
    </row>
    <row r="1106" spans="1:19" ht="49.5" customHeight="1">
      <c r="A1106" s="1693"/>
      <c r="B1106" s="1648">
        <f t="shared" si="187"/>
        <v>24</v>
      </c>
      <c r="C1106" s="1867" t="s">
        <v>6020</v>
      </c>
      <c r="D1106" s="1672">
        <v>369.6</v>
      </c>
      <c r="E1106" s="1702" t="s">
        <v>2092</v>
      </c>
      <c r="F1106" s="1651"/>
      <c r="G1106" s="1648">
        <f t="shared" si="188"/>
        <v>0</v>
      </c>
      <c r="H1106" s="1648">
        <f>bore!I32</f>
        <v>24</v>
      </c>
      <c r="I1106" s="1648">
        <f t="shared" si="189"/>
        <v>8870.4</v>
      </c>
      <c r="J1106" s="1648"/>
      <c r="K1106" s="1648">
        <f t="shared" si="194"/>
        <v>0</v>
      </c>
      <c r="L1106" s="1648"/>
      <c r="M1106" s="1648">
        <f t="shared" si="195"/>
        <v>0</v>
      </c>
      <c r="N1106" s="1648">
        <f t="shared" si="196"/>
        <v>24</v>
      </c>
      <c r="O1106" s="1648">
        <f t="shared" si="197"/>
        <v>8870.4</v>
      </c>
      <c r="P1106" s="1648">
        <f t="shared" si="190"/>
        <v>24</v>
      </c>
      <c r="Q1106" s="1648">
        <f t="shared" si="191"/>
        <v>8870.4</v>
      </c>
      <c r="R1106" s="55">
        <f t="shared" si="192"/>
        <v>8870.4</v>
      </c>
      <c r="S1106" s="55">
        <f t="shared" si="193"/>
        <v>0</v>
      </c>
    </row>
    <row r="1107" spans="1:19" ht="49.5" hidden="1" customHeight="1">
      <c r="A1107" s="1693"/>
      <c r="B1107" s="1648">
        <f t="shared" si="187"/>
        <v>0</v>
      </c>
      <c r="C1107" s="1867" t="s">
        <v>6021</v>
      </c>
      <c r="D1107" s="1672">
        <v>336.25</v>
      </c>
      <c r="E1107" s="1702" t="s">
        <v>2092</v>
      </c>
      <c r="F1107" s="1651"/>
      <c r="G1107" s="1648">
        <f t="shared" si="188"/>
        <v>0</v>
      </c>
      <c r="H1107" s="1648"/>
      <c r="I1107" s="1648">
        <f t="shared" si="189"/>
        <v>0</v>
      </c>
      <c r="J1107" s="1648"/>
      <c r="K1107" s="1648">
        <f t="shared" si="194"/>
        <v>0</v>
      </c>
      <c r="L1107" s="1648"/>
      <c r="M1107" s="1648">
        <f t="shared" si="195"/>
        <v>0</v>
      </c>
      <c r="N1107" s="1648">
        <f t="shared" si="196"/>
        <v>0</v>
      </c>
      <c r="O1107" s="1648">
        <f t="shared" si="197"/>
        <v>0</v>
      </c>
      <c r="P1107" s="1648">
        <f t="shared" si="190"/>
        <v>0</v>
      </c>
      <c r="Q1107" s="1648">
        <f t="shared" si="191"/>
        <v>0</v>
      </c>
      <c r="R1107" s="55">
        <f t="shared" si="192"/>
        <v>0</v>
      </c>
      <c r="S1107" s="55">
        <f t="shared" si="193"/>
        <v>0</v>
      </c>
    </row>
    <row r="1108" spans="1:19" ht="150.6" customHeight="1">
      <c r="A1108" s="1693"/>
      <c r="B1108" s="1648">
        <f t="shared" si="187"/>
        <v>1</v>
      </c>
      <c r="C1108" s="1867" t="s">
        <v>6022</v>
      </c>
      <c r="D1108" s="1672">
        <v>104.5</v>
      </c>
      <c r="E1108" s="1702" t="s">
        <v>41</v>
      </c>
      <c r="F1108" s="1651"/>
      <c r="G1108" s="1648">
        <f t="shared" si="188"/>
        <v>0</v>
      </c>
      <c r="H1108" s="1648">
        <f>bore!I28</f>
        <v>1</v>
      </c>
      <c r="I1108" s="1648">
        <f t="shared" si="189"/>
        <v>104.5</v>
      </c>
      <c r="J1108" s="1648"/>
      <c r="K1108" s="1648">
        <f t="shared" si="194"/>
        <v>0</v>
      </c>
      <c r="L1108" s="1648"/>
      <c r="M1108" s="1648">
        <f t="shared" si="195"/>
        <v>0</v>
      </c>
      <c r="N1108" s="1648">
        <f t="shared" si="196"/>
        <v>1</v>
      </c>
      <c r="O1108" s="1648">
        <f t="shared" si="197"/>
        <v>104.5</v>
      </c>
      <c r="P1108" s="1648">
        <f t="shared" si="190"/>
        <v>1</v>
      </c>
      <c r="Q1108" s="1648">
        <f t="shared" si="191"/>
        <v>104.5</v>
      </c>
      <c r="R1108" s="55">
        <f t="shared" si="192"/>
        <v>104.5</v>
      </c>
      <c r="S1108" s="55">
        <f t="shared" si="193"/>
        <v>0</v>
      </c>
    </row>
    <row r="1109" spans="1:19" ht="204" customHeight="1">
      <c r="A1109" s="1693"/>
      <c r="B1109" s="1648">
        <f t="shared" si="187"/>
        <v>8</v>
      </c>
      <c r="C1109" s="1867" t="s">
        <v>7589</v>
      </c>
      <c r="D1109" s="1672">
        <v>1937.1</v>
      </c>
      <c r="E1109" s="1702" t="s">
        <v>6024</v>
      </c>
      <c r="F1109" s="1651"/>
      <c r="G1109" s="1648">
        <f t="shared" si="188"/>
        <v>0</v>
      </c>
      <c r="H1109" s="1648">
        <f>bore!I36</f>
        <v>8</v>
      </c>
      <c r="I1109" s="1648">
        <f t="shared" si="189"/>
        <v>15496.8</v>
      </c>
      <c r="J1109" s="1648"/>
      <c r="K1109" s="1648">
        <f t="shared" si="194"/>
        <v>0</v>
      </c>
      <c r="L1109" s="1648"/>
      <c r="M1109" s="1648">
        <f t="shared" si="195"/>
        <v>0</v>
      </c>
      <c r="N1109" s="1648">
        <f t="shared" si="196"/>
        <v>8</v>
      </c>
      <c r="O1109" s="1648">
        <f t="shared" si="197"/>
        <v>15496.8</v>
      </c>
      <c r="P1109" s="1648">
        <f t="shared" si="190"/>
        <v>8</v>
      </c>
      <c r="Q1109" s="1648">
        <f t="shared" si="191"/>
        <v>15496.8</v>
      </c>
      <c r="R1109" s="55">
        <f t="shared" si="192"/>
        <v>15496.8</v>
      </c>
      <c r="S1109" s="55">
        <f t="shared" si="193"/>
        <v>0</v>
      </c>
    </row>
    <row r="1110" spans="1:19" ht="401.25" customHeight="1">
      <c r="A1110" s="1693"/>
      <c r="B1110" s="1648">
        <f t="shared" si="187"/>
        <v>0</v>
      </c>
      <c r="C1110" s="1865" t="s">
        <v>6025</v>
      </c>
      <c r="D1110" s="1672"/>
      <c r="E1110" s="1702"/>
      <c r="F1110" s="1651"/>
      <c r="G1110" s="1648">
        <f t="shared" si="188"/>
        <v>0</v>
      </c>
      <c r="H1110" s="1648"/>
      <c r="I1110" s="1648">
        <f t="shared" si="189"/>
        <v>0</v>
      </c>
      <c r="J1110" s="1648"/>
      <c r="K1110" s="1648">
        <f t="shared" si="194"/>
        <v>0</v>
      </c>
      <c r="L1110" s="1648"/>
      <c r="M1110" s="1648">
        <f t="shared" si="195"/>
        <v>0</v>
      </c>
      <c r="N1110" s="1648">
        <f t="shared" si="196"/>
        <v>0</v>
      </c>
      <c r="O1110" s="1648">
        <f t="shared" si="197"/>
        <v>0</v>
      </c>
      <c r="P1110" s="1648">
        <f t="shared" si="190"/>
        <v>0</v>
      </c>
      <c r="Q1110" s="1648">
        <f t="shared" si="191"/>
        <v>0</v>
      </c>
      <c r="R1110" s="55">
        <f t="shared" si="192"/>
        <v>0</v>
      </c>
      <c r="S1110" s="55">
        <f t="shared" si="193"/>
        <v>0</v>
      </c>
    </row>
    <row r="1111" spans="1:19" ht="48" hidden="1" customHeight="1">
      <c r="A1111" s="1693"/>
      <c r="B1111" s="1648">
        <f t="shared" si="187"/>
        <v>0</v>
      </c>
      <c r="C1111" s="1867" t="s">
        <v>6026</v>
      </c>
      <c r="D1111" s="1672">
        <v>274.68</v>
      </c>
      <c r="E1111" s="1702" t="s">
        <v>4880</v>
      </c>
      <c r="F1111" s="1651"/>
      <c r="G1111" s="1648">
        <f t="shared" si="188"/>
        <v>0</v>
      </c>
      <c r="H1111" s="1648"/>
      <c r="I1111" s="1648">
        <f t="shared" si="189"/>
        <v>0</v>
      </c>
      <c r="J1111" s="1648"/>
      <c r="K1111" s="1648">
        <f t="shared" si="194"/>
        <v>0</v>
      </c>
      <c r="L1111" s="1648"/>
      <c r="M1111" s="1648">
        <f t="shared" si="195"/>
        <v>0</v>
      </c>
      <c r="N1111" s="1648">
        <f t="shared" si="196"/>
        <v>0</v>
      </c>
      <c r="O1111" s="1648">
        <f t="shared" si="197"/>
        <v>0</v>
      </c>
      <c r="P1111" s="1648">
        <f t="shared" si="190"/>
        <v>0</v>
      </c>
      <c r="Q1111" s="1648">
        <f t="shared" si="191"/>
        <v>0</v>
      </c>
      <c r="R1111" s="55">
        <f t="shared" si="192"/>
        <v>0</v>
      </c>
      <c r="S1111" s="55">
        <f t="shared" si="193"/>
        <v>0</v>
      </c>
    </row>
    <row r="1112" spans="1:19" ht="45" customHeight="1">
      <c r="A1112" s="1693"/>
      <c r="B1112" s="1648">
        <f t="shared" si="187"/>
        <v>25</v>
      </c>
      <c r="C1112" s="1867" t="s">
        <v>6027</v>
      </c>
      <c r="D1112" s="1672">
        <v>270.26</v>
      </c>
      <c r="E1112" s="1702" t="s">
        <v>4880</v>
      </c>
      <c r="F1112" s="1651"/>
      <c r="G1112" s="1648">
        <f t="shared" si="188"/>
        <v>0</v>
      </c>
      <c r="H1112" s="1648">
        <f>bore!I84</f>
        <v>25</v>
      </c>
      <c r="I1112" s="1648">
        <f t="shared" si="189"/>
        <v>6756.5</v>
      </c>
      <c r="J1112" s="1648"/>
      <c r="K1112" s="1648">
        <f t="shared" si="194"/>
        <v>0</v>
      </c>
      <c r="L1112" s="1648"/>
      <c r="M1112" s="1648">
        <f t="shared" si="195"/>
        <v>0</v>
      </c>
      <c r="N1112" s="1648">
        <f t="shared" si="196"/>
        <v>25</v>
      </c>
      <c r="O1112" s="1648">
        <f t="shared" si="197"/>
        <v>6756.5</v>
      </c>
      <c r="P1112" s="1648">
        <f t="shared" si="190"/>
        <v>25</v>
      </c>
      <c r="Q1112" s="1648">
        <f t="shared" si="191"/>
        <v>6756.5</v>
      </c>
      <c r="R1112" s="55">
        <f t="shared" si="192"/>
        <v>6756.5</v>
      </c>
      <c r="S1112" s="55">
        <f t="shared" si="193"/>
        <v>0</v>
      </c>
    </row>
    <row r="1113" spans="1:19" ht="46.5" hidden="1" customHeight="1">
      <c r="A1113" s="1693"/>
      <c r="B1113" s="1648">
        <f t="shared" si="187"/>
        <v>0</v>
      </c>
      <c r="C1113" s="1867" t="s">
        <v>6028</v>
      </c>
      <c r="D1113" s="1672">
        <v>199.01</v>
      </c>
      <c r="E1113" s="1702" t="s">
        <v>4880</v>
      </c>
      <c r="F1113" s="1651"/>
      <c r="G1113" s="1648">
        <f t="shared" si="188"/>
        <v>0</v>
      </c>
      <c r="H1113" s="1648"/>
      <c r="I1113" s="1648">
        <f t="shared" si="189"/>
        <v>0</v>
      </c>
      <c r="J1113" s="1648"/>
      <c r="K1113" s="1648">
        <f t="shared" si="194"/>
        <v>0</v>
      </c>
      <c r="L1113" s="1648"/>
      <c r="M1113" s="1648">
        <f t="shared" si="195"/>
        <v>0</v>
      </c>
      <c r="N1113" s="1648">
        <f t="shared" si="196"/>
        <v>0</v>
      </c>
      <c r="O1113" s="1648">
        <f t="shared" si="197"/>
        <v>0</v>
      </c>
      <c r="P1113" s="1648">
        <f t="shared" si="190"/>
        <v>0</v>
      </c>
      <c r="Q1113" s="1648">
        <f t="shared" si="191"/>
        <v>0</v>
      </c>
      <c r="R1113" s="55">
        <f t="shared" si="192"/>
        <v>0</v>
      </c>
      <c r="S1113" s="55">
        <f t="shared" si="193"/>
        <v>0</v>
      </c>
    </row>
    <row r="1114" spans="1:19" ht="409.5" customHeight="1">
      <c r="A1114" s="1693"/>
      <c r="B1114" s="1648">
        <f t="shared" si="187"/>
        <v>0</v>
      </c>
      <c r="C1114" s="1865" t="s">
        <v>6029</v>
      </c>
      <c r="D1114" s="1672"/>
      <c r="E1114" s="1702"/>
      <c r="F1114" s="1651"/>
      <c r="G1114" s="1648">
        <f t="shared" si="188"/>
        <v>0</v>
      </c>
      <c r="H1114" s="1648"/>
      <c r="I1114" s="1648">
        <f t="shared" si="189"/>
        <v>0</v>
      </c>
      <c r="J1114" s="1648"/>
      <c r="K1114" s="1648">
        <f t="shared" si="194"/>
        <v>0</v>
      </c>
      <c r="L1114" s="1648"/>
      <c r="M1114" s="1648">
        <f t="shared" si="195"/>
        <v>0</v>
      </c>
      <c r="N1114" s="1648">
        <f t="shared" si="196"/>
        <v>0</v>
      </c>
      <c r="O1114" s="1648">
        <f t="shared" si="197"/>
        <v>0</v>
      </c>
      <c r="P1114" s="1648">
        <f t="shared" si="190"/>
        <v>0</v>
      </c>
      <c r="Q1114" s="1648">
        <f t="shared" si="191"/>
        <v>0</v>
      </c>
      <c r="R1114" s="55">
        <f t="shared" si="192"/>
        <v>0</v>
      </c>
      <c r="S1114" s="55">
        <f t="shared" si="193"/>
        <v>0</v>
      </c>
    </row>
    <row r="1115" spans="1:19" ht="46.5" customHeight="1">
      <c r="A1115" s="1693"/>
      <c r="B1115" s="1648">
        <f t="shared" si="187"/>
        <v>30</v>
      </c>
      <c r="C1115" s="1867" t="s">
        <v>6030</v>
      </c>
      <c r="D1115" s="1673">
        <v>362.87</v>
      </c>
      <c r="E1115" s="1702" t="s">
        <v>4880</v>
      </c>
      <c r="F1115" s="1651"/>
      <c r="G1115" s="1648">
        <f t="shared" si="188"/>
        <v>0</v>
      </c>
      <c r="H1115" s="1648">
        <f>bore!I87</f>
        <v>30</v>
      </c>
      <c r="I1115" s="1648">
        <f t="shared" si="189"/>
        <v>10886.1</v>
      </c>
      <c r="J1115" s="1648"/>
      <c r="K1115" s="1648">
        <f t="shared" si="194"/>
        <v>0</v>
      </c>
      <c r="L1115" s="1648"/>
      <c r="M1115" s="1648">
        <f t="shared" si="195"/>
        <v>0</v>
      </c>
      <c r="N1115" s="1648">
        <f t="shared" si="196"/>
        <v>30</v>
      </c>
      <c r="O1115" s="1648">
        <f t="shared" si="197"/>
        <v>10886.1</v>
      </c>
      <c r="P1115" s="1648">
        <f t="shared" si="190"/>
        <v>30</v>
      </c>
      <c r="Q1115" s="1648">
        <f t="shared" si="191"/>
        <v>10886.1</v>
      </c>
      <c r="R1115" s="55">
        <f t="shared" si="192"/>
        <v>10886.1</v>
      </c>
      <c r="S1115" s="55">
        <f t="shared" si="193"/>
        <v>0</v>
      </c>
    </row>
    <row r="1116" spans="1:19" ht="105.95" customHeight="1">
      <c r="A1116" s="1693"/>
      <c r="B1116" s="1648">
        <f t="shared" si="187"/>
        <v>0</v>
      </c>
      <c r="C1116" s="1865" t="s">
        <v>3804</v>
      </c>
      <c r="D1116" s="1672"/>
      <c r="E1116" s="1702"/>
      <c r="F1116" s="1651"/>
      <c r="G1116" s="1648">
        <f t="shared" si="188"/>
        <v>0</v>
      </c>
      <c r="H1116" s="1648"/>
      <c r="I1116" s="1648">
        <f t="shared" si="189"/>
        <v>0</v>
      </c>
      <c r="J1116" s="1648"/>
      <c r="K1116" s="1648">
        <f t="shared" si="194"/>
        <v>0</v>
      </c>
      <c r="L1116" s="1648"/>
      <c r="M1116" s="1648">
        <f t="shared" si="195"/>
        <v>0</v>
      </c>
      <c r="N1116" s="1648">
        <f t="shared" si="196"/>
        <v>0</v>
      </c>
      <c r="O1116" s="1648">
        <f t="shared" si="197"/>
        <v>0</v>
      </c>
      <c r="P1116" s="1648">
        <f t="shared" si="190"/>
        <v>0</v>
      </c>
      <c r="Q1116" s="1648">
        <f t="shared" si="191"/>
        <v>0</v>
      </c>
      <c r="R1116" s="55">
        <f t="shared" si="192"/>
        <v>0</v>
      </c>
      <c r="S1116" s="55">
        <f t="shared" si="193"/>
        <v>0</v>
      </c>
    </row>
    <row r="1117" spans="1:19" ht="46.5" customHeight="1">
      <c r="A1117" s="1693"/>
      <c r="B1117" s="1648">
        <f t="shared" si="187"/>
        <v>1</v>
      </c>
      <c r="C1117" s="1867" t="s">
        <v>6031</v>
      </c>
      <c r="D1117" s="1672">
        <v>237</v>
      </c>
      <c r="E1117" s="1702" t="s">
        <v>41</v>
      </c>
      <c r="F1117" s="1651"/>
      <c r="G1117" s="1648">
        <f t="shared" si="188"/>
        <v>0</v>
      </c>
      <c r="H1117" s="1648">
        <f>bore!I46</f>
        <v>1</v>
      </c>
      <c r="I1117" s="1648">
        <f t="shared" si="189"/>
        <v>237</v>
      </c>
      <c r="J1117" s="1648"/>
      <c r="K1117" s="1648">
        <f t="shared" si="194"/>
        <v>0</v>
      </c>
      <c r="L1117" s="1648"/>
      <c r="M1117" s="1648">
        <f t="shared" si="195"/>
        <v>0</v>
      </c>
      <c r="N1117" s="1648">
        <f t="shared" si="196"/>
        <v>1</v>
      </c>
      <c r="O1117" s="1648">
        <f t="shared" si="197"/>
        <v>237</v>
      </c>
      <c r="P1117" s="1648">
        <f t="shared" si="190"/>
        <v>1</v>
      </c>
      <c r="Q1117" s="1648">
        <f t="shared" si="191"/>
        <v>237</v>
      </c>
      <c r="R1117" s="55">
        <f t="shared" si="192"/>
        <v>237</v>
      </c>
      <c r="S1117" s="55">
        <f t="shared" si="193"/>
        <v>0</v>
      </c>
    </row>
    <row r="1118" spans="1:19" ht="46.5" customHeight="1">
      <c r="A1118" s="1693"/>
      <c r="B1118" s="1648">
        <f t="shared" si="187"/>
        <v>40</v>
      </c>
      <c r="C1118" s="1867" t="s">
        <v>6032</v>
      </c>
      <c r="D1118" s="1672">
        <v>61.8</v>
      </c>
      <c r="E1118" s="1702" t="s">
        <v>4880</v>
      </c>
      <c r="F1118" s="1651"/>
      <c r="G1118" s="1648">
        <f t="shared" si="188"/>
        <v>0</v>
      </c>
      <c r="H1118" s="1648">
        <f>bore!I49</f>
        <v>40</v>
      </c>
      <c r="I1118" s="1648">
        <f t="shared" si="189"/>
        <v>2472</v>
      </c>
      <c r="J1118" s="1648"/>
      <c r="K1118" s="1648">
        <f t="shared" si="194"/>
        <v>0</v>
      </c>
      <c r="L1118" s="1648"/>
      <c r="M1118" s="1648">
        <f t="shared" si="195"/>
        <v>0</v>
      </c>
      <c r="N1118" s="1648">
        <f t="shared" si="196"/>
        <v>40</v>
      </c>
      <c r="O1118" s="1648">
        <f t="shared" si="197"/>
        <v>2472</v>
      </c>
      <c r="P1118" s="1648">
        <f t="shared" si="190"/>
        <v>40</v>
      </c>
      <c r="Q1118" s="1648">
        <f t="shared" si="191"/>
        <v>2472</v>
      </c>
      <c r="R1118" s="55">
        <f t="shared" si="192"/>
        <v>2472</v>
      </c>
      <c r="S1118" s="55">
        <f t="shared" si="193"/>
        <v>0</v>
      </c>
    </row>
    <row r="1119" spans="1:19" ht="213" customHeight="1">
      <c r="A1119" s="1693"/>
      <c r="B1119" s="1648">
        <f t="shared" si="187"/>
        <v>0</v>
      </c>
      <c r="C1119" s="1867" t="s">
        <v>6033</v>
      </c>
      <c r="D1119" s="1672">
        <v>34800</v>
      </c>
      <c r="E1119" s="1702" t="s">
        <v>2847</v>
      </c>
      <c r="F1119" s="1651"/>
      <c r="G1119" s="1648">
        <f t="shared" si="188"/>
        <v>0</v>
      </c>
      <c r="H1119" s="1648"/>
      <c r="I1119" s="1648">
        <f t="shared" si="189"/>
        <v>0</v>
      </c>
      <c r="J1119" s="1648"/>
      <c r="K1119" s="1648">
        <f t="shared" si="194"/>
        <v>0</v>
      </c>
      <c r="L1119" s="1648"/>
      <c r="M1119" s="1648">
        <f t="shared" si="195"/>
        <v>0</v>
      </c>
      <c r="N1119" s="1648">
        <f t="shared" si="196"/>
        <v>0</v>
      </c>
      <c r="O1119" s="1648">
        <f t="shared" si="197"/>
        <v>0</v>
      </c>
      <c r="P1119" s="1648">
        <f t="shared" si="190"/>
        <v>0</v>
      </c>
      <c r="Q1119" s="1648">
        <f t="shared" si="191"/>
        <v>0</v>
      </c>
      <c r="R1119" s="55">
        <f t="shared" si="192"/>
        <v>0</v>
      </c>
      <c r="S1119" s="55">
        <f t="shared" si="193"/>
        <v>0</v>
      </c>
    </row>
    <row r="1120" spans="1:19" ht="231" hidden="1" customHeight="1">
      <c r="A1120" s="1693"/>
      <c r="B1120" s="1648">
        <f t="shared" si="187"/>
        <v>0</v>
      </c>
      <c r="C1120" s="1867" t="s">
        <v>6034</v>
      </c>
      <c r="D1120" s="1672">
        <v>30478</v>
      </c>
      <c r="E1120" s="1702" t="s">
        <v>2847</v>
      </c>
      <c r="F1120" s="1651"/>
      <c r="G1120" s="1648">
        <f t="shared" si="188"/>
        <v>0</v>
      </c>
      <c r="H1120" s="1648"/>
      <c r="I1120" s="1648">
        <f t="shared" si="189"/>
        <v>0</v>
      </c>
      <c r="J1120" s="1648"/>
      <c r="K1120" s="1648">
        <f t="shared" si="194"/>
        <v>0</v>
      </c>
      <c r="L1120" s="1648"/>
      <c r="M1120" s="1648">
        <f t="shared" si="195"/>
        <v>0</v>
      </c>
      <c r="N1120" s="1648">
        <f t="shared" si="196"/>
        <v>0</v>
      </c>
      <c r="O1120" s="1648">
        <f t="shared" si="197"/>
        <v>0</v>
      </c>
      <c r="P1120" s="1648">
        <f t="shared" si="190"/>
        <v>0</v>
      </c>
      <c r="Q1120" s="1648">
        <f t="shared" si="191"/>
        <v>0</v>
      </c>
      <c r="R1120" s="55">
        <f t="shared" si="192"/>
        <v>0</v>
      </c>
      <c r="S1120" s="55">
        <f t="shared" si="193"/>
        <v>0</v>
      </c>
    </row>
    <row r="1121" spans="1:19" ht="343.5" hidden="1" customHeight="1">
      <c r="A1121" s="1693"/>
      <c r="B1121" s="1648">
        <f t="shared" si="187"/>
        <v>0</v>
      </c>
      <c r="C1121" s="1867" t="s">
        <v>6035</v>
      </c>
      <c r="D1121" s="1672">
        <v>9758.34</v>
      </c>
      <c r="E1121" s="1702" t="s">
        <v>2847</v>
      </c>
      <c r="F1121" s="1651"/>
      <c r="G1121" s="1648">
        <f t="shared" si="188"/>
        <v>0</v>
      </c>
      <c r="H1121" s="1648"/>
      <c r="I1121" s="1648">
        <f t="shared" si="189"/>
        <v>0</v>
      </c>
      <c r="J1121" s="1648"/>
      <c r="K1121" s="1648">
        <f t="shared" si="194"/>
        <v>0</v>
      </c>
      <c r="L1121" s="1648"/>
      <c r="M1121" s="1648">
        <f t="shared" si="195"/>
        <v>0</v>
      </c>
      <c r="N1121" s="1648">
        <f t="shared" si="196"/>
        <v>0</v>
      </c>
      <c r="O1121" s="1648">
        <f t="shared" si="197"/>
        <v>0</v>
      </c>
      <c r="P1121" s="1648">
        <f t="shared" si="190"/>
        <v>0</v>
      </c>
      <c r="Q1121" s="1648">
        <f t="shared" si="191"/>
        <v>0</v>
      </c>
      <c r="R1121" s="55">
        <f t="shared" si="192"/>
        <v>0</v>
      </c>
      <c r="S1121" s="55">
        <f t="shared" si="193"/>
        <v>0</v>
      </c>
    </row>
    <row r="1122" spans="1:19" ht="91.5" hidden="1" customHeight="1">
      <c r="A1122" s="1693"/>
      <c r="B1122" s="1648">
        <f t="shared" si="187"/>
        <v>0</v>
      </c>
      <c r="C1122" s="1867" t="s">
        <v>6036</v>
      </c>
      <c r="D1122" s="1672">
        <v>166</v>
      </c>
      <c r="E1122" s="1702" t="s">
        <v>4880</v>
      </c>
      <c r="F1122" s="1651"/>
      <c r="G1122" s="1648">
        <f t="shared" si="188"/>
        <v>0</v>
      </c>
      <c r="H1122" s="1648"/>
      <c r="I1122" s="1648">
        <f t="shared" si="189"/>
        <v>0</v>
      </c>
      <c r="J1122" s="1648"/>
      <c r="K1122" s="1648">
        <f t="shared" si="194"/>
        <v>0</v>
      </c>
      <c r="L1122" s="1648"/>
      <c r="M1122" s="1648">
        <f t="shared" si="195"/>
        <v>0</v>
      </c>
      <c r="N1122" s="1648">
        <f t="shared" si="196"/>
        <v>0</v>
      </c>
      <c r="O1122" s="1648">
        <f t="shared" si="197"/>
        <v>0</v>
      </c>
      <c r="P1122" s="1648">
        <f t="shared" si="190"/>
        <v>0</v>
      </c>
      <c r="Q1122" s="1648">
        <f t="shared" si="191"/>
        <v>0</v>
      </c>
      <c r="R1122" s="55">
        <f t="shared" si="192"/>
        <v>0</v>
      </c>
      <c r="S1122" s="55">
        <f t="shared" si="193"/>
        <v>0</v>
      </c>
    </row>
    <row r="1123" spans="1:19" ht="46.5" hidden="1" customHeight="1">
      <c r="A1123" s="1693"/>
      <c r="B1123" s="1648">
        <f t="shared" si="187"/>
        <v>0</v>
      </c>
      <c r="C1123" s="1867" t="s">
        <v>6037</v>
      </c>
      <c r="D1123" s="1672"/>
      <c r="E1123" s="1702"/>
      <c r="F1123" s="1651"/>
      <c r="G1123" s="1648">
        <f t="shared" si="188"/>
        <v>0</v>
      </c>
      <c r="H1123" s="1648"/>
      <c r="I1123" s="1648">
        <f t="shared" si="189"/>
        <v>0</v>
      </c>
      <c r="J1123" s="1648"/>
      <c r="K1123" s="1648">
        <f t="shared" si="194"/>
        <v>0</v>
      </c>
      <c r="L1123" s="1648"/>
      <c r="M1123" s="1648">
        <f t="shared" si="195"/>
        <v>0</v>
      </c>
      <c r="N1123" s="1648">
        <f t="shared" si="196"/>
        <v>0</v>
      </c>
      <c r="O1123" s="1648">
        <f t="shared" si="197"/>
        <v>0</v>
      </c>
      <c r="P1123" s="1648">
        <f t="shared" si="190"/>
        <v>0</v>
      </c>
      <c r="Q1123" s="1648">
        <f t="shared" si="191"/>
        <v>0</v>
      </c>
      <c r="R1123" s="55">
        <f t="shared" si="192"/>
        <v>0</v>
      </c>
      <c r="S1123" s="55">
        <f t="shared" si="193"/>
        <v>0</v>
      </c>
    </row>
    <row r="1124" spans="1:19" ht="46.5" hidden="1" customHeight="1">
      <c r="A1124" s="1693"/>
      <c r="B1124" s="1648">
        <f t="shared" si="187"/>
        <v>0</v>
      </c>
      <c r="C1124" s="1867" t="s">
        <v>6038</v>
      </c>
      <c r="D1124" s="1672">
        <v>2001.17</v>
      </c>
      <c r="E1124" s="1702" t="s">
        <v>41</v>
      </c>
      <c r="F1124" s="1651"/>
      <c r="G1124" s="1648">
        <f t="shared" si="188"/>
        <v>0</v>
      </c>
      <c r="H1124" s="1648"/>
      <c r="I1124" s="1648">
        <f t="shared" si="189"/>
        <v>0</v>
      </c>
      <c r="J1124" s="1648"/>
      <c r="K1124" s="1648">
        <f t="shared" si="194"/>
        <v>0</v>
      </c>
      <c r="L1124" s="1648"/>
      <c r="M1124" s="1648">
        <f t="shared" si="195"/>
        <v>0</v>
      </c>
      <c r="N1124" s="1648">
        <f t="shared" si="196"/>
        <v>0</v>
      </c>
      <c r="O1124" s="1648">
        <f t="shared" si="197"/>
        <v>0</v>
      </c>
      <c r="P1124" s="1648">
        <f t="shared" si="190"/>
        <v>0</v>
      </c>
      <c r="Q1124" s="1648">
        <f t="shared" si="191"/>
        <v>0</v>
      </c>
      <c r="R1124" s="55">
        <f t="shared" si="192"/>
        <v>0</v>
      </c>
      <c r="S1124" s="55">
        <f t="shared" si="193"/>
        <v>0</v>
      </c>
    </row>
    <row r="1125" spans="1:19" ht="46.5" hidden="1" customHeight="1">
      <c r="A1125" s="1693"/>
      <c r="B1125" s="1648">
        <f t="shared" si="187"/>
        <v>0</v>
      </c>
      <c r="C1125" s="1867" t="s">
        <v>6039</v>
      </c>
      <c r="D1125" s="1672">
        <v>1982.37</v>
      </c>
      <c r="E1125" s="1702" t="s">
        <v>41</v>
      </c>
      <c r="F1125" s="1651"/>
      <c r="G1125" s="1648">
        <f t="shared" si="188"/>
        <v>0</v>
      </c>
      <c r="H1125" s="1648"/>
      <c r="I1125" s="1648">
        <f t="shared" si="189"/>
        <v>0</v>
      </c>
      <c r="J1125" s="1648"/>
      <c r="K1125" s="1648">
        <f t="shared" si="194"/>
        <v>0</v>
      </c>
      <c r="L1125" s="1648"/>
      <c r="M1125" s="1648">
        <f t="shared" si="195"/>
        <v>0</v>
      </c>
      <c r="N1125" s="1648">
        <f t="shared" si="196"/>
        <v>0</v>
      </c>
      <c r="O1125" s="1648">
        <f t="shared" si="197"/>
        <v>0</v>
      </c>
      <c r="P1125" s="1648">
        <f t="shared" si="190"/>
        <v>0</v>
      </c>
      <c r="Q1125" s="1648">
        <f t="shared" si="191"/>
        <v>0</v>
      </c>
      <c r="R1125" s="55">
        <f t="shared" si="192"/>
        <v>0</v>
      </c>
      <c r="S1125" s="55">
        <f t="shared" si="193"/>
        <v>0</v>
      </c>
    </row>
    <row r="1126" spans="1:19" ht="129.75" hidden="1" customHeight="1">
      <c r="A1126" s="1693"/>
      <c r="B1126" s="1648">
        <f t="shared" si="187"/>
        <v>0</v>
      </c>
      <c r="C1126" s="1867" t="s">
        <v>6040</v>
      </c>
      <c r="D1126" s="1672">
        <v>4947</v>
      </c>
      <c r="E1126" s="1702" t="s">
        <v>2847</v>
      </c>
      <c r="F1126" s="1651"/>
      <c r="G1126" s="1648">
        <f t="shared" si="188"/>
        <v>0</v>
      </c>
      <c r="H1126" s="1648"/>
      <c r="I1126" s="1648">
        <f t="shared" si="189"/>
        <v>0</v>
      </c>
      <c r="J1126" s="1648"/>
      <c r="K1126" s="1648">
        <f t="shared" si="194"/>
        <v>0</v>
      </c>
      <c r="L1126" s="1648"/>
      <c r="M1126" s="1648">
        <f t="shared" si="195"/>
        <v>0</v>
      </c>
      <c r="N1126" s="1648">
        <f t="shared" si="196"/>
        <v>0</v>
      </c>
      <c r="O1126" s="1648">
        <f t="shared" si="197"/>
        <v>0</v>
      </c>
      <c r="P1126" s="1648">
        <f t="shared" si="190"/>
        <v>0</v>
      </c>
      <c r="Q1126" s="1648">
        <f t="shared" si="191"/>
        <v>0</v>
      </c>
      <c r="R1126" s="55">
        <f t="shared" si="192"/>
        <v>0</v>
      </c>
      <c r="S1126" s="55">
        <f t="shared" si="193"/>
        <v>0</v>
      </c>
    </row>
    <row r="1127" spans="1:19" ht="46.5" hidden="1" customHeight="1">
      <c r="A1127" s="1693"/>
      <c r="B1127" s="1648">
        <f t="shared" si="187"/>
        <v>0</v>
      </c>
      <c r="C1127" s="1867"/>
      <c r="D1127" s="1672"/>
      <c r="E1127" s="1702"/>
      <c r="F1127" s="1651"/>
      <c r="G1127" s="1648">
        <f t="shared" si="188"/>
        <v>0</v>
      </c>
      <c r="H1127" s="1648"/>
      <c r="I1127" s="1648">
        <f t="shared" si="189"/>
        <v>0</v>
      </c>
      <c r="J1127" s="1648"/>
      <c r="K1127" s="1648">
        <f t="shared" si="194"/>
        <v>0</v>
      </c>
      <c r="L1127" s="1648"/>
      <c r="M1127" s="1648">
        <f t="shared" si="195"/>
        <v>0</v>
      </c>
      <c r="N1127" s="1648">
        <f t="shared" si="196"/>
        <v>0</v>
      </c>
      <c r="O1127" s="1648">
        <f t="shared" si="197"/>
        <v>0</v>
      </c>
      <c r="P1127" s="1648">
        <f t="shared" si="190"/>
        <v>0</v>
      </c>
      <c r="Q1127" s="1648">
        <f t="shared" si="191"/>
        <v>0</v>
      </c>
      <c r="R1127" s="55">
        <f t="shared" si="192"/>
        <v>0</v>
      </c>
      <c r="S1127" s="55">
        <f t="shared" si="193"/>
        <v>0</v>
      </c>
    </row>
    <row r="1128" spans="1:19" ht="46.5" hidden="1" customHeight="1">
      <c r="A1128" s="1693"/>
      <c r="B1128" s="1648">
        <f t="shared" si="187"/>
        <v>0</v>
      </c>
      <c r="C1128" s="1867"/>
      <c r="D1128" s="1672"/>
      <c r="E1128" s="1702"/>
      <c r="F1128" s="1651"/>
      <c r="G1128" s="1648">
        <f t="shared" si="188"/>
        <v>0</v>
      </c>
      <c r="H1128" s="1648"/>
      <c r="I1128" s="1648">
        <f t="shared" si="189"/>
        <v>0</v>
      </c>
      <c r="J1128" s="1648"/>
      <c r="K1128" s="1648">
        <f t="shared" si="194"/>
        <v>0</v>
      </c>
      <c r="L1128" s="1648"/>
      <c r="M1128" s="1648">
        <f t="shared" si="195"/>
        <v>0</v>
      </c>
      <c r="N1128" s="1648">
        <f t="shared" si="196"/>
        <v>0</v>
      </c>
      <c r="O1128" s="1648">
        <f t="shared" si="197"/>
        <v>0</v>
      </c>
      <c r="P1128" s="1648">
        <f t="shared" si="190"/>
        <v>0</v>
      </c>
      <c r="Q1128" s="1648">
        <f t="shared" si="191"/>
        <v>0</v>
      </c>
      <c r="R1128" s="55">
        <f t="shared" si="192"/>
        <v>0</v>
      </c>
      <c r="S1128" s="55">
        <f t="shared" si="193"/>
        <v>0</v>
      </c>
    </row>
    <row r="1129" spans="1:19" ht="49.5" hidden="1" customHeight="1">
      <c r="A1129" s="1693"/>
      <c r="B1129" s="1648">
        <f t="shared" si="187"/>
        <v>0</v>
      </c>
      <c r="C1129" s="1865" t="s">
        <v>6041</v>
      </c>
      <c r="D1129" s="1672"/>
      <c r="E1129" s="1702"/>
      <c r="F1129" s="1651"/>
      <c r="G1129" s="1648">
        <f t="shared" si="188"/>
        <v>0</v>
      </c>
      <c r="H1129" s="1648"/>
      <c r="I1129" s="1648">
        <f t="shared" si="189"/>
        <v>0</v>
      </c>
      <c r="J1129" s="1648"/>
      <c r="K1129" s="1648">
        <f t="shared" si="194"/>
        <v>0</v>
      </c>
      <c r="L1129" s="1648"/>
      <c r="M1129" s="1648">
        <f t="shared" si="195"/>
        <v>0</v>
      </c>
      <c r="N1129" s="1648">
        <f t="shared" si="196"/>
        <v>0</v>
      </c>
      <c r="O1129" s="1648">
        <f t="shared" si="197"/>
        <v>0</v>
      </c>
      <c r="P1129" s="1648">
        <f t="shared" si="190"/>
        <v>0</v>
      </c>
      <c r="Q1129" s="1648">
        <f t="shared" si="191"/>
        <v>0</v>
      </c>
      <c r="R1129" s="55">
        <f t="shared" si="192"/>
        <v>0</v>
      </c>
      <c r="S1129" s="55">
        <f t="shared" si="193"/>
        <v>0</v>
      </c>
    </row>
    <row r="1130" spans="1:19" ht="147.75" hidden="1" customHeight="1">
      <c r="A1130" s="1693"/>
      <c r="B1130" s="1648">
        <f t="shared" si="187"/>
        <v>0</v>
      </c>
      <c r="C1130" s="1867" t="s">
        <v>6042</v>
      </c>
      <c r="D1130" s="1674">
        <v>29800</v>
      </c>
      <c r="E1130" s="1702" t="s">
        <v>1034</v>
      </c>
      <c r="F1130" s="1651"/>
      <c r="G1130" s="1648">
        <f t="shared" si="188"/>
        <v>0</v>
      </c>
      <c r="H1130" s="1648"/>
      <c r="I1130" s="1648">
        <f t="shared" si="189"/>
        <v>0</v>
      </c>
      <c r="J1130" s="1648"/>
      <c r="K1130" s="1648">
        <f t="shared" si="194"/>
        <v>0</v>
      </c>
      <c r="L1130" s="1648"/>
      <c r="M1130" s="1648">
        <f t="shared" si="195"/>
        <v>0</v>
      </c>
      <c r="N1130" s="1648">
        <f t="shared" si="196"/>
        <v>0</v>
      </c>
      <c r="O1130" s="1648">
        <f t="shared" si="197"/>
        <v>0</v>
      </c>
      <c r="P1130" s="1648">
        <f t="shared" si="190"/>
        <v>0</v>
      </c>
      <c r="Q1130" s="1648">
        <f t="shared" si="191"/>
        <v>0</v>
      </c>
      <c r="R1130" s="55">
        <f t="shared" si="192"/>
        <v>0</v>
      </c>
      <c r="S1130" s="55">
        <f t="shared" si="193"/>
        <v>0</v>
      </c>
    </row>
    <row r="1131" spans="1:19" ht="75.75" hidden="1" customHeight="1">
      <c r="A1131" s="1693"/>
      <c r="B1131" s="1648">
        <f t="shared" si="187"/>
        <v>0</v>
      </c>
      <c r="C1131" s="1867" t="s">
        <v>7028</v>
      </c>
      <c r="D1131" s="1674">
        <v>9758.34</v>
      </c>
      <c r="E1131" s="1702" t="s">
        <v>1034</v>
      </c>
      <c r="F1131" s="1651"/>
      <c r="G1131" s="1648">
        <f t="shared" si="188"/>
        <v>0</v>
      </c>
      <c r="H1131" s="1648"/>
      <c r="I1131" s="1648">
        <f t="shared" si="189"/>
        <v>0</v>
      </c>
      <c r="J1131" s="1648"/>
      <c r="K1131" s="1648">
        <f t="shared" si="194"/>
        <v>0</v>
      </c>
      <c r="L1131" s="1648"/>
      <c r="M1131" s="1648">
        <f t="shared" si="195"/>
        <v>0</v>
      </c>
      <c r="N1131" s="1648">
        <f t="shared" si="196"/>
        <v>0</v>
      </c>
      <c r="O1131" s="1648">
        <f t="shared" si="197"/>
        <v>0</v>
      </c>
      <c r="P1131" s="1648">
        <f t="shared" si="190"/>
        <v>0</v>
      </c>
      <c r="Q1131" s="1648">
        <f t="shared" si="191"/>
        <v>0</v>
      </c>
      <c r="R1131" s="55">
        <f t="shared" si="192"/>
        <v>0</v>
      </c>
      <c r="S1131" s="55">
        <f t="shared" si="193"/>
        <v>0</v>
      </c>
    </row>
    <row r="1132" spans="1:19" ht="91.15" hidden="1" customHeight="1">
      <c r="A1132" s="1693"/>
      <c r="B1132" s="1648">
        <f t="shared" si="187"/>
        <v>0</v>
      </c>
      <c r="C1132" s="1867" t="s">
        <v>6043</v>
      </c>
      <c r="D1132" s="1672">
        <v>13283</v>
      </c>
      <c r="E1132" s="1702" t="s">
        <v>1034</v>
      </c>
      <c r="F1132" s="1651"/>
      <c r="G1132" s="1648">
        <f t="shared" si="188"/>
        <v>0</v>
      </c>
      <c r="H1132" s="1648"/>
      <c r="I1132" s="1648">
        <f t="shared" si="189"/>
        <v>0</v>
      </c>
      <c r="J1132" s="1648"/>
      <c r="K1132" s="1648">
        <f t="shared" si="194"/>
        <v>0</v>
      </c>
      <c r="L1132" s="1648"/>
      <c r="M1132" s="1648">
        <f t="shared" si="195"/>
        <v>0</v>
      </c>
      <c r="N1132" s="1648">
        <f t="shared" si="196"/>
        <v>0</v>
      </c>
      <c r="O1132" s="1648">
        <f t="shared" si="197"/>
        <v>0</v>
      </c>
      <c r="P1132" s="1648">
        <f t="shared" si="190"/>
        <v>0</v>
      </c>
      <c r="Q1132" s="1648">
        <f t="shared" si="191"/>
        <v>0</v>
      </c>
      <c r="R1132" s="55">
        <f t="shared" si="192"/>
        <v>0</v>
      </c>
      <c r="S1132" s="55">
        <f t="shared" si="193"/>
        <v>0</v>
      </c>
    </row>
    <row r="1133" spans="1:19" ht="93" customHeight="1">
      <c r="A1133" s="1693"/>
      <c r="B1133" s="1648">
        <f t="shared" si="187"/>
        <v>0</v>
      </c>
      <c r="C1133" s="1865" t="s">
        <v>6044</v>
      </c>
      <c r="D1133" s="1672"/>
      <c r="E1133" s="1702"/>
      <c r="F1133" s="1651"/>
      <c r="G1133" s="1648">
        <f t="shared" si="188"/>
        <v>0</v>
      </c>
      <c r="H1133" s="1648"/>
      <c r="I1133" s="1648">
        <f t="shared" si="189"/>
        <v>0</v>
      </c>
      <c r="J1133" s="1648"/>
      <c r="K1133" s="1648">
        <f t="shared" si="194"/>
        <v>0</v>
      </c>
      <c r="L1133" s="1648"/>
      <c r="M1133" s="1648">
        <f t="shared" si="195"/>
        <v>0</v>
      </c>
      <c r="N1133" s="1648">
        <f t="shared" si="196"/>
        <v>0</v>
      </c>
      <c r="O1133" s="1648">
        <f t="shared" si="197"/>
        <v>0</v>
      </c>
      <c r="P1133" s="1648">
        <f t="shared" si="190"/>
        <v>0</v>
      </c>
      <c r="Q1133" s="1648">
        <f t="shared" si="191"/>
        <v>0</v>
      </c>
      <c r="R1133" s="55">
        <f t="shared" si="192"/>
        <v>0</v>
      </c>
      <c r="S1133" s="55">
        <f t="shared" si="193"/>
        <v>0</v>
      </c>
    </row>
    <row r="1134" spans="1:19" ht="49.5" customHeight="1">
      <c r="A1134" s="1693"/>
      <c r="B1134" s="1648">
        <f t="shared" si="187"/>
        <v>24</v>
      </c>
      <c r="C1134" s="1867" t="s">
        <v>6045</v>
      </c>
      <c r="D1134" s="1672">
        <v>122.8</v>
      </c>
      <c r="E1134" s="1702" t="s">
        <v>13</v>
      </c>
      <c r="F1134" s="1651"/>
      <c r="G1134" s="1648">
        <f t="shared" si="188"/>
        <v>0</v>
      </c>
      <c r="H1134" s="1648">
        <f>bore!I56</f>
        <v>24</v>
      </c>
      <c r="I1134" s="1648">
        <f t="shared" si="189"/>
        <v>2947.2</v>
      </c>
      <c r="J1134" s="1648"/>
      <c r="K1134" s="1648">
        <f t="shared" si="194"/>
        <v>0</v>
      </c>
      <c r="L1134" s="1648"/>
      <c r="M1134" s="1648">
        <f t="shared" si="195"/>
        <v>0</v>
      </c>
      <c r="N1134" s="1648">
        <f t="shared" si="196"/>
        <v>24</v>
      </c>
      <c r="O1134" s="1648">
        <f t="shared" si="197"/>
        <v>2947.2</v>
      </c>
      <c r="P1134" s="1648">
        <f t="shared" si="190"/>
        <v>24</v>
      </c>
      <c r="Q1134" s="1648">
        <f t="shared" si="191"/>
        <v>2947.2</v>
      </c>
      <c r="R1134" s="55">
        <f t="shared" si="192"/>
        <v>2947.2</v>
      </c>
      <c r="S1134" s="55">
        <f t="shared" si="193"/>
        <v>0</v>
      </c>
    </row>
    <row r="1135" spans="1:19" ht="88.5" hidden="1" customHeight="1">
      <c r="A1135" s="1693"/>
      <c r="B1135" s="1648">
        <f t="shared" si="187"/>
        <v>0</v>
      </c>
      <c r="C1135" s="1867" t="s">
        <v>6046</v>
      </c>
      <c r="D1135" s="1672">
        <v>60.6</v>
      </c>
      <c r="E1135" s="1702" t="s">
        <v>13</v>
      </c>
      <c r="F1135" s="1651"/>
      <c r="G1135" s="1648">
        <f t="shared" si="188"/>
        <v>0</v>
      </c>
      <c r="H1135" s="1648"/>
      <c r="I1135" s="1648">
        <f t="shared" si="189"/>
        <v>0</v>
      </c>
      <c r="J1135" s="1648"/>
      <c r="K1135" s="1648">
        <f t="shared" si="194"/>
        <v>0</v>
      </c>
      <c r="L1135" s="1648"/>
      <c r="M1135" s="1648">
        <f t="shared" si="195"/>
        <v>0</v>
      </c>
      <c r="N1135" s="1648">
        <f t="shared" si="196"/>
        <v>0</v>
      </c>
      <c r="O1135" s="1648">
        <f t="shared" si="197"/>
        <v>0</v>
      </c>
      <c r="P1135" s="1648">
        <f t="shared" si="190"/>
        <v>0</v>
      </c>
      <c r="Q1135" s="1648">
        <f t="shared" si="191"/>
        <v>0</v>
      </c>
      <c r="R1135" s="55">
        <f t="shared" si="192"/>
        <v>0</v>
      </c>
      <c r="S1135" s="55">
        <f t="shared" si="193"/>
        <v>0</v>
      </c>
    </row>
    <row r="1136" spans="1:19" ht="96.75" hidden="1" customHeight="1">
      <c r="A1136" s="1693"/>
      <c r="B1136" s="1648">
        <f t="shared" si="187"/>
        <v>0</v>
      </c>
      <c r="C1136" s="1865" t="s">
        <v>6047</v>
      </c>
      <c r="D1136" s="1672"/>
      <c r="E1136" s="1702" t="s">
        <v>13</v>
      </c>
      <c r="F1136" s="1651"/>
      <c r="G1136" s="1648">
        <f t="shared" si="188"/>
        <v>0</v>
      </c>
      <c r="H1136" s="1648"/>
      <c r="I1136" s="1648">
        <f t="shared" si="189"/>
        <v>0</v>
      </c>
      <c r="J1136" s="1648"/>
      <c r="K1136" s="1648">
        <f t="shared" si="194"/>
        <v>0</v>
      </c>
      <c r="L1136" s="1648"/>
      <c r="M1136" s="1648">
        <f t="shared" si="195"/>
        <v>0</v>
      </c>
      <c r="N1136" s="1648">
        <f t="shared" si="196"/>
        <v>0</v>
      </c>
      <c r="O1136" s="1648">
        <f t="shared" si="197"/>
        <v>0</v>
      </c>
      <c r="P1136" s="1648">
        <f t="shared" si="190"/>
        <v>0</v>
      </c>
      <c r="Q1136" s="1648">
        <f t="shared" si="191"/>
        <v>0</v>
      </c>
      <c r="R1136" s="55">
        <f t="shared" si="192"/>
        <v>0</v>
      </c>
      <c r="S1136" s="55">
        <f t="shared" si="193"/>
        <v>0</v>
      </c>
    </row>
    <row r="1137" spans="1:19" ht="49.5" hidden="1" customHeight="1">
      <c r="A1137" s="1693"/>
      <c r="B1137" s="1648">
        <f t="shared" si="187"/>
        <v>0</v>
      </c>
      <c r="C1137" s="1867" t="s">
        <v>6048</v>
      </c>
      <c r="D1137" s="1674">
        <v>270</v>
      </c>
      <c r="E1137" s="1702" t="s">
        <v>13</v>
      </c>
      <c r="F1137" s="1651"/>
      <c r="G1137" s="1648">
        <f t="shared" si="188"/>
        <v>0</v>
      </c>
      <c r="H1137" s="1648"/>
      <c r="I1137" s="1648">
        <f t="shared" si="189"/>
        <v>0</v>
      </c>
      <c r="J1137" s="1648"/>
      <c r="K1137" s="1648">
        <f t="shared" si="194"/>
        <v>0</v>
      </c>
      <c r="L1137" s="1648"/>
      <c r="M1137" s="1648">
        <f t="shared" si="195"/>
        <v>0</v>
      </c>
      <c r="N1137" s="1648">
        <f t="shared" si="196"/>
        <v>0</v>
      </c>
      <c r="O1137" s="1648">
        <f t="shared" si="197"/>
        <v>0</v>
      </c>
      <c r="P1137" s="1648">
        <f t="shared" si="190"/>
        <v>0</v>
      </c>
      <c r="Q1137" s="1648">
        <f t="shared" si="191"/>
        <v>0</v>
      </c>
      <c r="R1137" s="55">
        <f t="shared" si="192"/>
        <v>0</v>
      </c>
      <c r="S1137" s="55">
        <f t="shared" si="193"/>
        <v>0</v>
      </c>
    </row>
    <row r="1138" spans="1:19" ht="49.5" hidden="1" customHeight="1">
      <c r="A1138" s="1693"/>
      <c r="B1138" s="1648">
        <f t="shared" si="187"/>
        <v>0</v>
      </c>
      <c r="C1138" s="1867" t="s">
        <v>6049</v>
      </c>
      <c r="D1138" s="1674">
        <v>230</v>
      </c>
      <c r="E1138" s="1702" t="s">
        <v>13</v>
      </c>
      <c r="F1138" s="1651"/>
      <c r="G1138" s="1648">
        <f t="shared" si="188"/>
        <v>0</v>
      </c>
      <c r="H1138" s="1648"/>
      <c r="I1138" s="1648">
        <f t="shared" si="189"/>
        <v>0</v>
      </c>
      <c r="J1138" s="1648"/>
      <c r="K1138" s="1648">
        <f t="shared" si="194"/>
        <v>0</v>
      </c>
      <c r="L1138" s="1648"/>
      <c r="M1138" s="1648">
        <f t="shared" si="195"/>
        <v>0</v>
      </c>
      <c r="N1138" s="1648">
        <f t="shared" si="196"/>
        <v>0</v>
      </c>
      <c r="O1138" s="1648">
        <f t="shared" si="197"/>
        <v>0</v>
      </c>
      <c r="P1138" s="1648">
        <f t="shared" si="190"/>
        <v>0</v>
      </c>
      <c r="Q1138" s="1648">
        <f t="shared" si="191"/>
        <v>0</v>
      </c>
      <c r="R1138" s="55">
        <f t="shared" si="192"/>
        <v>0</v>
      </c>
      <c r="S1138" s="55">
        <f t="shared" si="193"/>
        <v>0</v>
      </c>
    </row>
    <row r="1139" spans="1:19" ht="77.25" hidden="1" customHeight="1">
      <c r="A1139" s="1693"/>
      <c r="B1139" s="1648">
        <f t="shared" si="187"/>
        <v>0</v>
      </c>
      <c r="C1139" s="1865" t="s">
        <v>6050</v>
      </c>
      <c r="D1139" s="1672"/>
      <c r="E1139" s="1702" t="s">
        <v>13</v>
      </c>
      <c r="F1139" s="1651"/>
      <c r="G1139" s="1648">
        <f t="shared" si="188"/>
        <v>0</v>
      </c>
      <c r="H1139" s="1648"/>
      <c r="I1139" s="1648">
        <f t="shared" si="189"/>
        <v>0</v>
      </c>
      <c r="J1139" s="1648"/>
      <c r="K1139" s="1648">
        <f t="shared" si="194"/>
        <v>0</v>
      </c>
      <c r="L1139" s="1648"/>
      <c r="M1139" s="1648">
        <f t="shared" si="195"/>
        <v>0</v>
      </c>
      <c r="N1139" s="1648">
        <f t="shared" si="196"/>
        <v>0</v>
      </c>
      <c r="O1139" s="1648">
        <f t="shared" si="197"/>
        <v>0</v>
      </c>
      <c r="P1139" s="1648">
        <f t="shared" si="190"/>
        <v>0</v>
      </c>
      <c r="Q1139" s="1648">
        <f t="shared" si="191"/>
        <v>0</v>
      </c>
      <c r="R1139" s="55">
        <f t="shared" si="192"/>
        <v>0</v>
      </c>
      <c r="S1139" s="55">
        <f t="shared" si="193"/>
        <v>0</v>
      </c>
    </row>
    <row r="1140" spans="1:19" ht="49.5" hidden="1" customHeight="1">
      <c r="A1140" s="1693"/>
      <c r="B1140" s="1648">
        <f t="shared" si="187"/>
        <v>0</v>
      </c>
      <c r="C1140" s="1867" t="s">
        <v>6051</v>
      </c>
      <c r="D1140" s="1674">
        <v>959</v>
      </c>
      <c r="E1140" s="1702" t="s">
        <v>13</v>
      </c>
      <c r="F1140" s="1651"/>
      <c r="G1140" s="1648">
        <f t="shared" si="188"/>
        <v>0</v>
      </c>
      <c r="H1140" s="1648"/>
      <c r="I1140" s="1648">
        <f t="shared" si="189"/>
        <v>0</v>
      </c>
      <c r="J1140" s="1648"/>
      <c r="K1140" s="1648">
        <f t="shared" si="194"/>
        <v>0</v>
      </c>
      <c r="L1140" s="1648"/>
      <c r="M1140" s="1648">
        <f t="shared" si="195"/>
        <v>0</v>
      </c>
      <c r="N1140" s="1648">
        <f t="shared" si="196"/>
        <v>0</v>
      </c>
      <c r="O1140" s="1648">
        <f t="shared" si="197"/>
        <v>0</v>
      </c>
      <c r="P1140" s="1648">
        <f t="shared" si="190"/>
        <v>0</v>
      </c>
      <c r="Q1140" s="1648">
        <f t="shared" si="191"/>
        <v>0</v>
      </c>
      <c r="R1140" s="55">
        <f t="shared" si="192"/>
        <v>0</v>
      </c>
      <c r="S1140" s="55">
        <f t="shared" si="193"/>
        <v>0</v>
      </c>
    </row>
    <row r="1141" spans="1:19" ht="49.5" hidden="1" customHeight="1">
      <c r="A1141" s="1693"/>
      <c r="B1141" s="1648">
        <f t="shared" si="187"/>
        <v>0</v>
      </c>
      <c r="C1141" s="1867" t="s">
        <v>6052</v>
      </c>
      <c r="D1141" s="1674">
        <v>582</v>
      </c>
      <c r="E1141" s="1702" t="s">
        <v>13</v>
      </c>
      <c r="F1141" s="1651"/>
      <c r="G1141" s="1648">
        <f t="shared" si="188"/>
        <v>0</v>
      </c>
      <c r="H1141" s="1648"/>
      <c r="I1141" s="1648">
        <f t="shared" si="189"/>
        <v>0</v>
      </c>
      <c r="J1141" s="1648"/>
      <c r="K1141" s="1648">
        <f t="shared" si="194"/>
        <v>0</v>
      </c>
      <c r="L1141" s="1648"/>
      <c r="M1141" s="1648">
        <f t="shared" si="195"/>
        <v>0</v>
      </c>
      <c r="N1141" s="1648">
        <f t="shared" si="196"/>
        <v>0</v>
      </c>
      <c r="O1141" s="1648">
        <f t="shared" si="197"/>
        <v>0</v>
      </c>
      <c r="P1141" s="1648">
        <f t="shared" si="190"/>
        <v>0</v>
      </c>
      <c r="Q1141" s="1648">
        <f t="shared" si="191"/>
        <v>0</v>
      </c>
      <c r="R1141" s="55">
        <f t="shared" si="192"/>
        <v>0</v>
      </c>
      <c r="S1141" s="55">
        <f t="shared" si="193"/>
        <v>0</v>
      </c>
    </row>
    <row r="1142" spans="1:19" ht="154.5" hidden="1" customHeight="1">
      <c r="A1142" s="1693"/>
      <c r="B1142" s="1648">
        <f t="shared" si="187"/>
        <v>0</v>
      </c>
      <c r="C1142" s="1867" t="s">
        <v>6053</v>
      </c>
      <c r="D1142" s="1674">
        <v>41</v>
      </c>
      <c r="E1142" s="1702" t="s">
        <v>13</v>
      </c>
      <c r="F1142" s="1651"/>
      <c r="G1142" s="1648">
        <f t="shared" si="188"/>
        <v>0</v>
      </c>
      <c r="H1142" s="1648"/>
      <c r="I1142" s="1648">
        <f t="shared" si="189"/>
        <v>0</v>
      </c>
      <c r="J1142" s="1648"/>
      <c r="K1142" s="1648">
        <f t="shared" si="194"/>
        <v>0</v>
      </c>
      <c r="L1142" s="1648"/>
      <c r="M1142" s="1648">
        <f t="shared" si="195"/>
        <v>0</v>
      </c>
      <c r="N1142" s="1648">
        <f t="shared" si="196"/>
        <v>0</v>
      </c>
      <c r="O1142" s="1648">
        <f t="shared" si="197"/>
        <v>0</v>
      </c>
      <c r="P1142" s="1648">
        <f t="shared" si="190"/>
        <v>0</v>
      </c>
      <c r="Q1142" s="1648">
        <f t="shared" si="191"/>
        <v>0</v>
      </c>
      <c r="R1142" s="55">
        <f t="shared" si="192"/>
        <v>0</v>
      </c>
      <c r="S1142" s="55">
        <f t="shared" si="193"/>
        <v>0</v>
      </c>
    </row>
    <row r="1143" spans="1:19" ht="42.75" customHeight="1">
      <c r="A1143" s="1693"/>
      <c r="B1143" s="1648">
        <f t="shared" si="187"/>
        <v>114</v>
      </c>
      <c r="C1143" s="1867" t="s">
        <v>7567</v>
      </c>
      <c r="D1143" s="1674">
        <v>95.4</v>
      </c>
      <c r="E1143" s="1702" t="s">
        <v>13</v>
      </c>
      <c r="F1143" s="1651">
        <f>'Detail '!I2963</f>
        <v>114</v>
      </c>
      <c r="G1143" s="1648">
        <f t="shared" si="188"/>
        <v>10875.6</v>
      </c>
      <c r="H1143" s="1648"/>
      <c r="I1143" s="1648">
        <f t="shared" si="189"/>
        <v>0</v>
      </c>
      <c r="J1143" s="1648"/>
      <c r="K1143" s="1648">
        <f t="shared" si="194"/>
        <v>0</v>
      </c>
      <c r="L1143" s="1648"/>
      <c r="M1143" s="1648">
        <f t="shared" si="195"/>
        <v>0</v>
      </c>
      <c r="N1143" s="1648">
        <f t="shared" si="196"/>
        <v>0</v>
      </c>
      <c r="O1143" s="1648">
        <f t="shared" si="197"/>
        <v>0</v>
      </c>
      <c r="P1143" s="1648">
        <f t="shared" si="190"/>
        <v>114</v>
      </c>
      <c r="Q1143" s="1648">
        <f t="shared" si="191"/>
        <v>10875.6</v>
      </c>
      <c r="R1143" s="55">
        <f t="shared" si="192"/>
        <v>10875.6</v>
      </c>
      <c r="S1143" s="55">
        <f t="shared" si="193"/>
        <v>0</v>
      </c>
    </row>
    <row r="1144" spans="1:19" ht="83.25" customHeight="1">
      <c r="A1144" s="1693"/>
      <c r="B1144" s="1648">
        <f t="shared" si="187"/>
        <v>0</v>
      </c>
      <c r="C1144" s="1865" t="s">
        <v>6054</v>
      </c>
      <c r="D1144" s="1672"/>
      <c r="E1144" s="1702"/>
      <c r="F1144" s="1651"/>
      <c r="G1144" s="1648">
        <f t="shared" si="188"/>
        <v>0</v>
      </c>
      <c r="H1144" s="1648"/>
      <c r="I1144" s="1648">
        <f t="shared" si="189"/>
        <v>0</v>
      </c>
      <c r="J1144" s="1648"/>
      <c r="K1144" s="1648">
        <f t="shared" si="194"/>
        <v>0</v>
      </c>
      <c r="L1144" s="1648"/>
      <c r="M1144" s="1648">
        <f t="shared" si="195"/>
        <v>0</v>
      </c>
      <c r="N1144" s="1648">
        <f t="shared" si="196"/>
        <v>0</v>
      </c>
      <c r="O1144" s="1648">
        <f t="shared" si="197"/>
        <v>0</v>
      </c>
      <c r="P1144" s="1648">
        <f t="shared" si="190"/>
        <v>0</v>
      </c>
      <c r="Q1144" s="1648">
        <f t="shared" si="191"/>
        <v>0</v>
      </c>
      <c r="R1144" s="55">
        <f t="shared" si="192"/>
        <v>0</v>
      </c>
      <c r="S1144" s="55">
        <f t="shared" si="193"/>
        <v>0</v>
      </c>
    </row>
    <row r="1145" spans="1:19" ht="49.5" customHeight="1">
      <c r="A1145" s="1693"/>
      <c r="B1145" s="1648">
        <f t="shared" si="187"/>
        <v>16</v>
      </c>
      <c r="C1145" s="1867" t="s">
        <v>6055</v>
      </c>
      <c r="D1145" s="1674">
        <v>2701</v>
      </c>
      <c r="E1145" s="1702" t="s">
        <v>41</v>
      </c>
      <c r="F1145" s="1651">
        <f>'Detail '!I2958</f>
        <v>16</v>
      </c>
      <c r="G1145" s="1648">
        <f t="shared" si="188"/>
        <v>43216</v>
      </c>
      <c r="H1145" s="1648"/>
      <c r="I1145" s="1648">
        <f t="shared" si="189"/>
        <v>0</v>
      </c>
      <c r="J1145" s="1648"/>
      <c r="K1145" s="1648">
        <f t="shared" si="194"/>
        <v>0</v>
      </c>
      <c r="L1145" s="1648"/>
      <c r="M1145" s="1648">
        <f t="shared" si="195"/>
        <v>0</v>
      </c>
      <c r="N1145" s="1648">
        <f t="shared" si="196"/>
        <v>0</v>
      </c>
      <c r="O1145" s="1648">
        <f t="shared" si="197"/>
        <v>0</v>
      </c>
      <c r="P1145" s="1648">
        <f t="shared" si="190"/>
        <v>16</v>
      </c>
      <c r="Q1145" s="1648">
        <f t="shared" si="191"/>
        <v>43216</v>
      </c>
      <c r="R1145" s="55">
        <f t="shared" si="192"/>
        <v>43216</v>
      </c>
      <c r="S1145" s="55">
        <f t="shared" si="193"/>
        <v>0</v>
      </c>
    </row>
    <row r="1146" spans="1:19" ht="49.5" hidden="1" customHeight="1">
      <c r="A1146" s="1693"/>
      <c r="B1146" s="1648">
        <f t="shared" si="187"/>
        <v>0</v>
      </c>
      <c r="C1146" s="1867"/>
      <c r="D1146" s="1672"/>
      <c r="E1146" s="1702"/>
      <c r="F1146" s="1651"/>
      <c r="G1146" s="1648">
        <f t="shared" si="188"/>
        <v>0</v>
      </c>
      <c r="H1146" s="1648"/>
      <c r="I1146" s="1648">
        <f t="shared" si="189"/>
        <v>0</v>
      </c>
      <c r="J1146" s="1648"/>
      <c r="K1146" s="1648">
        <f t="shared" si="194"/>
        <v>0</v>
      </c>
      <c r="L1146" s="1648"/>
      <c r="M1146" s="1648">
        <f t="shared" si="195"/>
        <v>0</v>
      </c>
      <c r="N1146" s="1648">
        <f t="shared" si="196"/>
        <v>0</v>
      </c>
      <c r="O1146" s="1648">
        <f t="shared" si="197"/>
        <v>0</v>
      </c>
      <c r="P1146" s="1648">
        <f t="shared" si="190"/>
        <v>0</v>
      </c>
      <c r="Q1146" s="1648">
        <f t="shared" si="191"/>
        <v>0</v>
      </c>
      <c r="R1146" s="55">
        <f t="shared" si="192"/>
        <v>0</v>
      </c>
      <c r="S1146" s="55">
        <f t="shared" si="193"/>
        <v>0</v>
      </c>
    </row>
    <row r="1147" spans="1:19" ht="49.5" hidden="1" customHeight="1">
      <c r="A1147" s="1693"/>
      <c r="B1147" s="1648">
        <f t="shared" si="187"/>
        <v>0</v>
      </c>
      <c r="C1147" s="1867" t="s">
        <v>6056</v>
      </c>
      <c r="D1147" s="1674">
        <v>990</v>
      </c>
      <c r="E1147" s="1702" t="s">
        <v>41</v>
      </c>
      <c r="F1147" s="1651"/>
      <c r="G1147" s="1648">
        <f t="shared" si="188"/>
        <v>0</v>
      </c>
      <c r="H1147" s="1648"/>
      <c r="I1147" s="1648">
        <f t="shared" si="189"/>
        <v>0</v>
      </c>
      <c r="J1147" s="1648"/>
      <c r="K1147" s="1648">
        <f t="shared" si="194"/>
        <v>0</v>
      </c>
      <c r="L1147" s="1648"/>
      <c r="M1147" s="1648">
        <f t="shared" si="195"/>
        <v>0</v>
      </c>
      <c r="N1147" s="1648">
        <f t="shared" si="196"/>
        <v>0</v>
      </c>
      <c r="O1147" s="1648">
        <f t="shared" si="197"/>
        <v>0</v>
      </c>
      <c r="P1147" s="1648">
        <f t="shared" si="190"/>
        <v>0</v>
      </c>
      <c r="Q1147" s="1648">
        <f t="shared" si="191"/>
        <v>0</v>
      </c>
      <c r="R1147" s="55">
        <f t="shared" si="192"/>
        <v>0</v>
      </c>
      <c r="S1147" s="55">
        <f t="shared" si="193"/>
        <v>0</v>
      </c>
    </row>
    <row r="1148" spans="1:19" ht="66" hidden="1" customHeight="1">
      <c r="A1148" s="1693"/>
      <c r="B1148" s="1648">
        <f t="shared" si="187"/>
        <v>0</v>
      </c>
      <c r="C1148" s="1867" t="s">
        <v>6057</v>
      </c>
      <c r="D1148" s="1674">
        <v>360</v>
      </c>
      <c r="E1148" s="1702" t="s">
        <v>41</v>
      </c>
      <c r="F1148" s="1651"/>
      <c r="G1148" s="1648">
        <f t="shared" si="188"/>
        <v>0</v>
      </c>
      <c r="H1148" s="1648"/>
      <c r="I1148" s="1648">
        <f t="shared" si="189"/>
        <v>0</v>
      </c>
      <c r="J1148" s="1648"/>
      <c r="K1148" s="1648">
        <f t="shared" si="194"/>
        <v>0</v>
      </c>
      <c r="L1148" s="1648"/>
      <c r="M1148" s="1648">
        <f t="shared" si="195"/>
        <v>0</v>
      </c>
      <c r="N1148" s="1648">
        <f t="shared" si="196"/>
        <v>0</v>
      </c>
      <c r="O1148" s="1648">
        <f t="shared" si="197"/>
        <v>0</v>
      </c>
      <c r="P1148" s="1648">
        <f t="shared" si="190"/>
        <v>0</v>
      </c>
      <c r="Q1148" s="1648">
        <f t="shared" si="191"/>
        <v>0</v>
      </c>
      <c r="R1148" s="55">
        <f t="shared" si="192"/>
        <v>0</v>
      </c>
      <c r="S1148" s="55">
        <f t="shared" si="193"/>
        <v>0</v>
      </c>
    </row>
    <row r="1149" spans="1:19" ht="72" hidden="1" customHeight="1">
      <c r="A1149" s="1693"/>
      <c r="B1149" s="1648">
        <f t="shared" si="187"/>
        <v>0</v>
      </c>
      <c r="C1149" s="1867" t="s">
        <v>6058</v>
      </c>
      <c r="D1149" s="1674">
        <v>197</v>
      </c>
      <c r="E1149" s="1702" t="s">
        <v>41</v>
      </c>
      <c r="F1149" s="1651"/>
      <c r="G1149" s="1648">
        <f t="shared" si="188"/>
        <v>0</v>
      </c>
      <c r="H1149" s="1648"/>
      <c r="I1149" s="1648">
        <f t="shared" si="189"/>
        <v>0</v>
      </c>
      <c r="J1149" s="1648"/>
      <c r="K1149" s="1648">
        <f t="shared" si="194"/>
        <v>0</v>
      </c>
      <c r="L1149" s="1648"/>
      <c r="M1149" s="1648">
        <f t="shared" si="195"/>
        <v>0</v>
      </c>
      <c r="N1149" s="1648">
        <f t="shared" si="196"/>
        <v>0</v>
      </c>
      <c r="O1149" s="1648">
        <f t="shared" si="197"/>
        <v>0</v>
      </c>
      <c r="P1149" s="1648">
        <f t="shared" si="190"/>
        <v>0</v>
      </c>
      <c r="Q1149" s="1648">
        <f t="shared" si="191"/>
        <v>0</v>
      </c>
      <c r="R1149" s="55">
        <f t="shared" si="192"/>
        <v>0</v>
      </c>
      <c r="S1149" s="55">
        <f t="shared" si="193"/>
        <v>0</v>
      </c>
    </row>
    <row r="1150" spans="1:19" ht="69.75" hidden="1" customHeight="1">
      <c r="A1150" s="1693"/>
      <c r="B1150" s="1648">
        <f t="shared" si="187"/>
        <v>0</v>
      </c>
      <c r="C1150" s="1867" t="s">
        <v>6059</v>
      </c>
      <c r="D1150" s="1674">
        <v>29590</v>
      </c>
      <c r="E1150" s="1702" t="s">
        <v>41</v>
      </c>
      <c r="F1150" s="1651"/>
      <c r="G1150" s="1648">
        <f t="shared" si="188"/>
        <v>0</v>
      </c>
      <c r="H1150" s="1648"/>
      <c r="I1150" s="1648">
        <f t="shared" si="189"/>
        <v>0</v>
      </c>
      <c r="J1150" s="1648"/>
      <c r="K1150" s="1648">
        <f t="shared" si="194"/>
        <v>0</v>
      </c>
      <c r="L1150" s="1648"/>
      <c r="M1150" s="1648">
        <f t="shared" si="195"/>
        <v>0</v>
      </c>
      <c r="N1150" s="1648">
        <f t="shared" si="196"/>
        <v>0</v>
      </c>
      <c r="O1150" s="1648">
        <f t="shared" si="197"/>
        <v>0</v>
      </c>
      <c r="P1150" s="1648">
        <f t="shared" si="190"/>
        <v>0</v>
      </c>
      <c r="Q1150" s="1648">
        <f t="shared" si="191"/>
        <v>0</v>
      </c>
      <c r="R1150" s="55">
        <f t="shared" si="192"/>
        <v>0</v>
      </c>
      <c r="S1150" s="55">
        <f t="shared" si="193"/>
        <v>0</v>
      </c>
    </row>
    <row r="1151" spans="1:19" ht="376.5" customHeight="1">
      <c r="A1151" s="1693"/>
      <c r="B1151" s="1648">
        <f t="shared" si="187"/>
        <v>2</v>
      </c>
      <c r="C1151" s="1867" t="s">
        <v>6060</v>
      </c>
      <c r="D1151" s="1674">
        <v>11056.1</v>
      </c>
      <c r="E1151" s="1702" t="s">
        <v>41</v>
      </c>
      <c r="F1151" s="1651"/>
      <c r="G1151" s="1648">
        <f t="shared" si="188"/>
        <v>0</v>
      </c>
      <c r="H1151" s="1648">
        <f>bore!I76</f>
        <v>2</v>
      </c>
      <c r="I1151" s="1648">
        <f t="shared" si="189"/>
        <v>22112.2</v>
      </c>
      <c r="J1151" s="1648"/>
      <c r="K1151" s="1648">
        <f t="shared" si="194"/>
        <v>0</v>
      </c>
      <c r="L1151" s="1648"/>
      <c r="M1151" s="1648">
        <f t="shared" si="195"/>
        <v>0</v>
      </c>
      <c r="N1151" s="1648">
        <f t="shared" si="196"/>
        <v>2</v>
      </c>
      <c r="O1151" s="1648">
        <f t="shared" si="197"/>
        <v>22112.2</v>
      </c>
      <c r="P1151" s="1648">
        <f t="shared" si="190"/>
        <v>2</v>
      </c>
      <c r="Q1151" s="1648">
        <f t="shared" si="191"/>
        <v>22112.2</v>
      </c>
      <c r="R1151" s="55">
        <f t="shared" si="192"/>
        <v>22112.2</v>
      </c>
      <c r="S1151" s="55">
        <f t="shared" si="193"/>
        <v>0</v>
      </c>
    </row>
    <row r="1152" spans="1:19" ht="96" hidden="1" customHeight="1">
      <c r="A1152" s="1693"/>
      <c r="B1152" s="1648">
        <f t="shared" si="187"/>
        <v>0</v>
      </c>
      <c r="C1152" s="1867" t="s">
        <v>6061</v>
      </c>
      <c r="D1152" s="1674">
        <v>13283</v>
      </c>
      <c r="E1152" s="1702" t="s">
        <v>41</v>
      </c>
      <c r="F1152" s="1651"/>
      <c r="G1152" s="1648">
        <f t="shared" si="188"/>
        <v>0</v>
      </c>
      <c r="H1152" s="1648"/>
      <c r="I1152" s="1648">
        <f t="shared" si="189"/>
        <v>0</v>
      </c>
      <c r="J1152" s="1648"/>
      <c r="K1152" s="1648">
        <f t="shared" si="194"/>
        <v>0</v>
      </c>
      <c r="L1152" s="1648"/>
      <c r="M1152" s="1648">
        <f t="shared" si="195"/>
        <v>0</v>
      </c>
      <c r="N1152" s="1648">
        <f t="shared" si="196"/>
        <v>0</v>
      </c>
      <c r="O1152" s="1648">
        <f t="shared" si="197"/>
        <v>0</v>
      </c>
      <c r="P1152" s="1648">
        <f t="shared" si="190"/>
        <v>0</v>
      </c>
      <c r="Q1152" s="1648">
        <f t="shared" si="191"/>
        <v>0</v>
      </c>
      <c r="R1152" s="55">
        <f t="shared" si="192"/>
        <v>0</v>
      </c>
      <c r="S1152" s="55">
        <f t="shared" si="193"/>
        <v>0</v>
      </c>
    </row>
    <row r="1153" spans="1:19" ht="73.5" hidden="1" customHeight="1">
      <c r="A1153" s="1693"/>
      <c r="B1153" s="1648">
        <f t="shared" si="187"/>
        <v>0</v>
      </c>
      <c r="C1153" s="1867" t="s">
        <v>6062</v>
      </c>
      <c r="D1153" s="1674">
        <v>166</v>
      </c>
      <c r="E1153" s="1702" t="s">
        <v>13</v>
      </c>
      <c r="F1153" s="1651"/>
      <c r="G1153" s="1648">
        <f t="shared" si="188"/>
        <v>0</v>
      </c>
      <c r="H1153" s="1648"/>
      <c r="I1153" s="1648">
        <f t="shared" si="189"/>
        <v>0</v>
      </c>
      <c r="J1153" s="1648"/>
      <c r="K1153" s="1648">
        <f t="shared" si="194"/>
        <v>0</v>
      </c>
      <c r="L1153" s="1648"/>
      <c r="M1153" s="1648">
        <f t="shared" si="195"/>
        <v>0</v>
      </c>
      <c r="N1153" s="1648">
        <f t="shared" si="196"/>
        <v>0</v>
      </c>
      <c r="O1153" s="1648">
        <f t="shared" si="197"/>
        <v>0</v>
      </c>
      <c r="P1153" s="1648">
        <f t="shared" si="190"/>
        <v>0</v>
      </c>
      <c r="Q1153" s="1648">
        <f t="shared" si="191"/>
        <v>0</v>
      </c>
      <c r="R1153" s="55">
        <f t="shared" si="192"/>
        <v>0</v>
      </c>
      <c r="S1153" s="55">
        <f t="shared" si="193"/>
        <v>0</v>
      </c>
    </row>
    <row r="1154" spans="1:19" ht="253.9" hidden="1" customHeight="1">
      <c r="A1154" s="1693"/>
      <c r="B1154" s="1648">
        <f t="shared" si="187"/>
        <v>0</v>
      </c>
      <c r="C1154" s="1878" t="s">
        <v>6063</v>
      </c>
      <c r="D1154" s="1672"/>
      <c r="E1154" s="1702"/>
      <c r="F1154" s="1651"/>
      <c r="G1154" s="1648">
        <f t="shared" si="188"/>
        <v>0</v>
      </c>
      <c r="H1154" s="1648"/>
      <c r="I1154" s="1648">
        <f t="shared" si="189"/>
        <v>0</v>
      </c>
      <c r="J1154" s="1648"/>
      <c r="K1154" s="1648">
        <f t="shared" si="194"/>
        <v>0</v>
      </c>
      <c r="L1154" s="1648"/>
      <c r="M1154" s="1648">
        <f t="shared" si="195"/>
        <v>0</v>
      </c>
      <c r="N1154" s="1648">
        <f t="shared" si="196"/>
        <v>0</v>
      </c>
      <c r="O1154" s="1648">
        <f t="shared" si="197"/>
        <v>0</v>
      </c>
      <c r="P1154" s="1648">
        <f t="shared" si="190"/>
        <v>0</v>
      </c>
      <c r="Q1154" s="1648">
        <f t="shared" si="191"/>
        <v>0</v>
      </c>
      <c r="R1154" s="55">
        <f t="shared" si="192"/>
        <v>0</v>
      </c>
      <c r="S1154" s="55">
        <f t="shared" si="193"/>
        <v>0</v>
      </c>
    </row>
    <row r="1155" spans="1:19" ht="49.5" hidden="1" customHeight="1">
      <c r="A1155" s="1693"/>
      <c r="B1155" s="1648">
        <f t="shared" si="187"/>
        <v>0</v>
      </c>
      <c r="C1155" s="1867" t="s">
        <v>6064</v>
      </c>
      <c r="D1155" s="1674">
        <v>155.41999999999999</v>
      </c>
      <c r="E1155" s="1702" t="s">
        <v>13</v>
      </c>
      <c r="F1155" s="1651"/>
      <c r="G1155" s="1648">
        <f t="shared" si="188"/>
        <v>0</v>
      </c>
      <c r="H1155" s="1648"/>
      <c r="I1155" s="1648">
        <f t="shared" si="189"/>
        <v>0</v>
      </c>
      <c r="J1155" s="1648"/>
      <c r="K1155" s="1648">
        <f t="shared" si="194"/>
        <v>0</v>
      </c>
      <c r="L1155" s="1648"/>
      <c r="M1155" s="1648">
        <f t="shared" si="195"/>
        <v>0</v>
      </c>
      <c r="N1155" s="1648">
        <f t="shared" si="196"/>
        <v>0</v>
      </c>
      <c r="O1155" s="1648">
        <f t="shared" si="197"/>
        <v>0</v>
      </c>
      <c r="P1155" s="1648">
        <f t="shared" si="190"/>
        <v>0</v>
      </c>
      <c r="Q1155" s="1648">
        <f t="shared" si="191"/>
        <v>0</v>
      </c>
      <c r="R1155" s="55">
        <f t="shared" si="192"/>
        <v>0</v>
      </c>
      <c r="S1155" s="55">
        <f t="shared" si="193"/>
        <v>0</v>
      </c>
    </row>
    <row r="1156" spans="1:19" ht="49.5" hidden="1" customHeight="1">
      <c r="A1156" s="1693"/>
      <c r="B1156" s="1648">
        <f t="shared" si="187"/>
        <v>0</v>
      </c>
      <c r="C1156" s="1867" t="s">
        <v>6065</v>
      </c>
      <c r="D1156" s="1674">
        <v>239.92</v>
      </c>
      <c r="E1156" s="1702" t="s">
        <v>13</v>
      </c>
      <c r="F1156" s="1651"/>
      <c r="G1156" s="1648">
        <f t="shared" si="188"/>
        <v>0</v>
      </c>
      <c r="H1156" s="1648"/>
      <c r="I1156" s="1648">
        <f t="shared" si="189"/>
        <v>0</v>
      </c>
      <c r="J1156" s="1648"/>
      <c r="K1156" s="1648">
        <f t="shared" si="194"/>
        <v>0</v>
      </c>
      <c r="L1156" s="1648"/>
      <c r="M1156" s="1648">
        <f t="shared" si="195"/>
        <v>0</v>
      </c>
      <c r="N1156" s="1648">
        <f t="shared" si="196"/>
        <v>0</v>
      </c>
      <c r="O1156" s="1648">
        <f t="shared" si="197"/>
        <v>0</v>
      </c>
      <c r="P1156" s="1648">
        <f t="shared" si="190"/>
        <v>0</v>
      </c>
      <c r="Q1156" s="1648">
        <f t="shared" si="191"/>
        <v>0</v>
      </c>
      <c r="R1156" s="55">
        <f t="shared" si="192"/>
        <v>0</v>
      </c>
      <c r="S1156" s="55">
        <f t="shared" si="193"/>
        <v>0</v>
      </c>
    </row>
    <row r="1157" spans="1:19" ht="75" hidden="1" customHeight="1">
      <c r="A1157" s="1693"/>
      <c r="B1157" s="1648">
        <f t="shared" si="187"/>
        <v>0</v>
      </c>
      <c r="C1157" s="1867" t="s">
        <v>6066</v>
      </c>
      <c r="D1157" s="1672">
        <v>2189.4</v>
      </c>
      <c r="E1157" s="1702" t="s">
        <v>41</v>
      </c>
      <c r="F1157" s="1651"/>
      <c r="G1157" s="1648">
        <f t="shared" si="188"/>
        <v>0</v>
      </c>
      <c r="H1157" s="1648"/>
      <c r="I1157" s="1648">
        <f t="shared" si="189"/>
        <v>0</v>
      </c>
      <c r="J1157" s="1648"/>
      <c r="K1157" s="1648">
        <f t="shared" si="194"/>
        <v>0</v>
      </c>
      <c r="L1157" s="1648"/>
      <c r="M1157" s="1648">
        <f t="shared" si="195"/>
        <v>0</v>
      </c>
      <c r="N1157" s="1648">
        <f t="shared" si="196"/>
        <v>0</v>
      </c>
      <c r="O1157" s="1648">
        <f t="shared" si="197"/>
        <v>0</v>
      </c>
      <c r="P1157" s="1648">
        <f t="shared" si="190"/>
        <v>0</v>
      </c>
      <c r="Q1157" s="1648">
        <f t="shared" si="191"/>
        <v>0</v>
      </c>
      <c r="R1157" s="55">
        <f t="shared" si="192"/>
        <v>0</v>
      </c>
      <c r="S1157" s="55">
        <f t="shared" si="193"/>
        <v>0</v>
      </c>
    </row>
    <row r="1158" spans="1:19" ht="49.5" customHeight="1">
      <c r="A1158" s="1693"/>
      <c r="B1158" s="1648">
        <f t="shared" ref="B1158:B1221" si="198">P1158</f>
        <v>25</v>
      </c>
      <c r="C1158" s="1867" t="s">
        <v>6067</v>
      </c>
      <c r="D1158" s="1672">
        <v>1181</v>
      </c>
      <c r="E1158" s="1702" t="s">
        <v>41</v>
      </c>
      <c r="F1158" s="1651">
        <f>'Detail '!I2949</f>
        <v>25</v>
      </c>
      <c r="G1158" s="1648">
        <f t="shared" ref="G1158:G1221" si="199">F1158*D1158</f>
        <v>29525</v>
      </c>
      <c r="H1158" s="1648"/>
      <c r="I1158" s="1648">
        <f t="shared" ref="I1158:I1221" si="200">H1158*D1158</f>
        <v>0</v>
      </c>
      <c r="J1158" s="1648"/>
      <c r="K1158" s="1648">
        <f t="shared" si="194"/>
        <v>0</v>
      </c>
      <c r="L1158" s="1648"/>
      <c r="M1158" s="1648">
        <f t="shared" si="195"/>
        <v>0</v>
      </c>
      <c r="N1158" s="1648">
        <f t="shared" si="196"/>
        <v>0</v>
      </c>
      <c r="O1158" s="1648">
        <f t="shared" si="197"/>
        <v>0</v>
      </c>
      <c r="P1158" s="1648">
        <f t="shared" ref="P1158:P1221" si="201">N1158+F1158</f>
        <v>25</v>
      </c>
      <c r="Q1158" s="1648">
        <f t="shared" ref="Q1158:Q1221" si="202">P1158*D1158</f>
        <v>29525</v>
      </c>
      <c r="R1158" s="55">
        <f t="shared" ref="R1158:R1221" si="203">G1158+I1158+K1158+M1158</f>
        <v>29525</v>
      </c>
      <c r="S1158" s="55">
        <f t="shared" ref="S1158:S1221" si="204">Q1158-R1158</f>
        <v>0</v>
      </c>
    </row>
    <row r="1159" spans="1:19" ht="49.5" customHeight="1">
      <c r="A1159" s="1693"/>
      <c r="B1159" s="1648">
        <f t="shared" si="198"/>
        <v>58</v>
      </c>
      <c r="C1159" s="1867" t="s">
        <v>6068</v>
      </c>
      <c r="D1159" s="1672">
        <v>776</v>
      </c>
      <c r="E1159" s="1702" t="s">
        <v>41</v>
      </c>
      <c r="F1159" s="1651">
        <f>'Detail '!I2952</f>
        <v>58</v>
      </c>
      <c r="G1159" s="1648">
        <f t="shared" si="199"/>
        <v>45008</v>
      </c>
      <c r="H1159" s="1648"/>
      <c r="I1159" s="1648">
        <f t="shared" si="200"/>
        <v>0</v>
      </c>
      <c r="J1159" s="1648"/>
      <c r="K1159" s="1648">
        <f t="shared" ref="K1159:K1222" si="205">J1159*D1159</f>
        <v>0</v>
      </c>
      <c r="L1159" s="1648"/>
      <c r="M1159" s="1648">
        <f t="shared" ref="M1159:M1222" si="206">L1159*D1159</f>
        <v>0</v>
      </c>
      <c r="N1159" s="1648">
        <f t="shared" ref="N1159:N1222" si="207">H1159+J1159+L1159</f>
        <v>0</v>
      </c>
      <c r="O1159" s="1648">
        <f t="shared" ref="O1159:O1222" si="208">N1159*D1159</f>
        <v>0</v>
      </c>
      <c r="P1159" s="1648">
        <f t="shared" si="201"/>
        <v>58</v>
      </c>
      <c r="Q1159" s="1648">
        <f t="shared" si="202"/>
        <v>45008</v>
      </c>
      <c r="R1159" s="55">
        <f t="shared" si="203"/>
        <v>45008</v>
      </c>
      <c r="S1159" s="55">
        <f t="shared" si="204"/>
        <v>0</v>
      </c>
    </row>
    <row r="1160" spans="1:19" ht="79.150000000000006" hidden="1" customHeight="1">
      <c r="A1160" s="1693"/>
      <c r="B1160" s="1648">
        <f t="shared" si="198"/>
        <v>0</v>
      </c>
      <c r="C1160" s="1867" t="s">
        <v>6069</v>
      </c>
      <c r="D1160" s="1672">
        <v>161.9</v>
      </c>
      <c r="E1160" s="1702" t="s">
        <v>41</v>
      </c>
      <c r="F1160" s="1651"/>
      <c r="G1160" s="1648">
        <f t="shared" si="199"/>
        <v>0</v>
      </c>
      <c r="H1160" s="1648"/>
      <c r="I1160" s="1648">
        <f t="shared" si="200"/>
        <v>0</v>
      </c>
      <c r="J1160" s="1648"/>
      <c r="K1160" s="1648">
        <f t="shared" si="205"/>
        <v>0</v>
      </c>
      <c r="L1160" s="1648"/>
      <c r="M1160" s="1648">
        <f t="shared" si="206"/>
        <v>0</v>
      </c>
      <c r="N1160" s="1648">
        <f t="shared" si="207"/>
        <v>0</v>
      </c>
      <c r="O1160" s="1648">
        <f t="shared" si="208"/>
        <v>0</v>
      </c>
      <c r="P1160" s="1648">
        <f t="shared" si="201"/>
        <v>0</v>
      </c>
      <c r="Q1160" s="1648">
        <f t="shared" si="202"/>
        <v>0</v>
      </c>
      <c r="R1160" s="55">
        <f t="shared" si="203"/>
        <v>0</v>
      </c>
      <c r="S1160" s="55">
        <f t="shared" si="204"/>
        <v>0</v>
      </c>
    </row>
    <row r="1161" spans="1:19" ht="30" hidden="1" customHeight="1">
      <c r="A1161" s="1693"/>
      <c r="B1161" s="1648">
        <f t="shared" si="198"/>
        <v>0</v>
      </c>
      <c r="C1161" s="1867" t="s">
        <v>6070</v>
      </c>
      <c r="D1161" s="1672"/>
      <c r="E1161" s="1702"/>
      <c r="F1161" s="1651"/>
      <c r="G1161" s="1648">
        <f t="shared" si="199"/>
        <v>0</v>
      </c>
      <c r="H1161" s="1648"/>
      <c r="I1161" s="1648">
        <f t="shared" si="200"/>
        <v>0</v>
      </c>
      <c r="J1161" s="1648"/>
      <c r="K1161" s="1648">
        <f t="shared" si="205"/>
        <v>0</v>
      </c>
      <c r="L1161" s="1648"/>
      <c r="M1161" s="1648">
        <f t="shared" si="206"/>
        <v>0</v>
      </c>
      <c r="N1161" s="1648">
        <f t="shared" si="207"/>
        <v>0</v>
      </c>
      <c r="O1161" s="1648">
        <f t="shared" si="208"/>
        <v>0</v>
      </c>
      <c r="P1161" s="1648">
        <f t="shared" si="201"/>
        <v>0</v>
      </c>
      <c r="Q1161" s="1648">
        <f t="shared" si="202"/>
        <v>0</v>
      </c>
      <c r="R1161" s="55">
        <f t="shared" si="203"/>
        <v>0</v>
      </c>
      <c r="S1161" s="55">
        <f t="shared" si="204"/>
        <v>0</v>
      </c>
    </row>
    <row r="1162" spans="1:19" ht="320.25" hidden="1" customHeight="1">
      <c r="A1162" s="1693"/>
      <c r="B1162" s="1648">
        <f t="shared" si="198"/>
        <v>0</v>
      </c>
      <c r="C1162" s="1876" t="s">
        <v>6071</v>
      </c>
      <c r="D1162" s="1672"/>
      <c r="E1162" s="1702"/>
      <c r="F1162" s="1651"/>
      <c r="G1162" s="1648">
        <f t="shared" si="199"/>
        <v>0</v>
      </c>
      <c r="H1162" s="1648"/>
      <c r="I1162" s="1648">
        <f t="shared" si="200"/>
        <v>0</v>
      </c>
      <c r="J1162" s="1648"/>
      <c r="K1162" s="1648">
        <f t="shared" si="205"/>
        <v>0</v>
      </c>
      <c r="L1162" s="1648"/>
      <c r="M1162" s="1648">
        <f t="shared" si="206"/>
        <v>0</v>
      </c>
      <c r="N1162" s="1648">
        <f t="shared" si="207"/>
        <v>0</v>
      </c>
      <c r="O1162" s="1648">
        <f t="shared" si="208"/>
        <v>0</v>
      </c>
      <c r="P1162" s="1648">
        <f t="shared" si="201"/>
        <v>0</v>
      </c>
      <c r="Q1162" s="1648">
        <f t="shared" si="202"/>
        <v>0</v>
      </c>
      <c r="R1162" s="55">
        <f t="shared" si="203"/>
        <v>0</v>
      </c>
      <c r="S1162" s="55">
        <f t="shared" si="204"/>
        <v>0</v>
      </c>
    </row>
    <row r="1163" spans="1:19" ht="49.5" hidden="1" customHeight="1">
      <c r="A1163" s="1693"/>
      <c r="B1163" s="1648">
        <f t="shared" si="198"/>
        <v>0</v>
      </c>
      <c r="C1163" s="1867" t="s">
        <v>6072</v>
      </c>
      <c r="D1163" s="1672">
        <v>312.45</v>
      </c>
      <c r="E1163" s="1702" t="s">
        <v>13</v>
      </c>
      <c r="F1163" s="1651"/>
      <c r="G1163" s="1648">
        <f t="shared" si="199"/>
        <v>0</v>
      </c>
      <c r="H1163" s="1648"/>
      <c r="I1163" s="1648">
        <f t="shared" si="200"/>
        <v>0</v>
      </c>
      <c r="J1163" s="1648"/>
      <c r="K1163" s="1648">
        <f t="shared" si="205"/>
        <v>0</v>
      </c>
      <c r="L1163" s="1648"/>
      <c r="M1163" s="1648">
        <f t="shared" si="206"/>
        <v>0</v>
      </c>
      <c r="N1163" s="1648">
        <f t="shared" si="207"/>
        <v>0</v>
      </c>
      <c r="O1163" s="1648">
        <f t="shared" si="208"/>
        <v>0</v>
      </c>
      <c r="P1163" s="1648">
        <f t="shared" si="201"/>
        <v>0</v>
      </c>
      <c r="Q1163" s="1648">
        <f t="shared" si="202"/>
        <v>0</v>
      </c>
      <c r="R1163" s="55">
        <f t="shared" si="203"/>
        <v>0</v>
      </c>
      <c r="S1163" s="55">
        <f t="shared" si="204"/>
        <v>0</v>
      </c>
    </row>
    <row r="1164" spans="1:19" ht="49.5" hidden="1" customHeight="1">
      <c r="A1164" s="1693"/>
      <c r="B1164" s="1648">
        <f t="shared" si="198"/>
        <v>0</v>
      </c>
      <c r="C1164" s="1867" t="s">
        <v>6073</v>
      </c>
      <c r="D1164" s="1672">
        <v>343.1</v>
      </c>
      <c r="E1164" s="1702" t="s">
        <v>13</v>
      </c>
      <c r="F1164" s="1651"/>
      <c r="G1164" s="1648">
        <f t="shared" si="199"/>
        <v>0</v>
      </c>
      <c r="H1164" s="1648"/>
      <c r="I1164" s="1648">
        <f t="shared" si="200"/>
        <v>0</v>
      </c>
      <c r="J1164" s="1648"/>
      <c r="K1164" s="1648">
        <f t="shared" si="205"/>
        <v>0</v>
      </c>
      <c r="L1164" s="1648"/>
      <c r="M1164" s="1648">
        <f t="shared" si="206"/>
        <v>0</v>
      </c>
      <c r="N1164" s="1648">
        <f t="shared" si="207"/>
        <v>0</v>
      </c>
      <c r="O1164" s="1648">
        <f t="shared" si="208"/>
        <v>0</v>
      </c>
      <c r="P1164" s="1648">
        <f t="shared" si="201"/>
        <v>0</v>
      </c>
      <c r="Q1164" s="1648">
        <f t="shared" si="202"/>
        <v>0</v>
      </c>
      <c r="R1164" s="55">
        <f t="shared" si="203"/>
        <v>0</v>
      </c>
      <c r="S1164" s="55">
        <f t="shared" si="204"/>
        <v>0</v>
      </c>
    </row>
    <row r="1165" spans="1:19" ht="49.5" hidden="1" customHeight="1">
      <c r="A1165" s="1693"/>
      <c r="B1165" s="1648">
        <f t="shared" si="198"/>
        <v>0</v>
      </c>
      <c r="C1165" s="1867" t="s">
        <v>6074</v>
      </c>
      <c r="D1165" s="1672">
        <v>345.77</v>
      </c>
      <c r="E1165" s="1702" t="s">
        <v>13</v>
      </c>
      <c r="F1165" s="1651"/>
      <c r="G1165" s="1648">
        <f t="shared" si="199"/>
        <v>0</v>
      </c>
      <c r="H1165" s="1648"/>
      <c r="I1165" s="1648">
        <f t="shared" si="200"/>
        <v>0</v>
      </c>
      <c r="J1165" s="1648"/>
      <c r="K1165" s="1648">
        <f t="shared" si="205"/>
        <v>0</v>
      </c>
      <c r="L1165" s="1648"/>
      <c r="M1165" s="1648">
        <f t="shared" si="206"/>
        <v>0</v>
      </c>
      <c r="N1165" s="1648">
        <f t="shared" si="207"/>
        <v>0</v>
      </c>
      <c r="O1165" s="1648">
        <f t="shared" si="208"/>
        <v>0</v>
      </c>
      <c r="P1165" s="1648">
        <f t="shared" si="201"/>
        <v>0</v>
      </c>
      <c r="Q1165" s="1648">
        <f t="shared" si="202"/>
        <v>0</v>
      </c>
      <c r="R1165" s="55">
        <f t="shared" si="203"/>
        <v>0</v>
      </c>
      <c r="S1165" s="55">
        <f t="shared" si="204"/>
        <v>0</v>
      </c>
    </row>
    <row r="1166" spans="1:19" ht="190.5" hidden="1" customHeight="1">
      <c r="A1166" s="1693"/>
      <c r="B1166" s="1648">
        <f t="shared" si="198"/>
        <v>0</v>
      </c>
      <c r="C1166" s="1867" t="s">
        <v>6075</v>
      </c>
      <c r="D1166" s="1672">
        <v>750</v>
      </c>
      <c r="E1166" s="1702" t="s">
        <v>6076</v>
      </c>
      <c r="F1166" s="1651"/>
      <c r="G1166" s="1648">
        <f t="shared" si="199"/>
        <v>0</v>
      </c>
      <c r="H1166" s="1648"/>
      <c r="I1166" s="1648">
        <f t="shared" si="200"/>
        <v>0</v>
      </c>
      <c r="J1166" s="1648"/>
      <c r="K1166" s="1648">
        <f t="shared" si="205"/>
        <v>0</v>
      </c>
      <c r="L1166" s="1648"/>
      <c r="M1166" s="1648">
        <f t="shared" si="206"/>
        <v>0</v>
      </c>
      <c r="N1166" s="1648">
        <f t="shared" si="207"/>
        <v>0</v>
      </c>
      <c r="O1166" s="1648">
        <f t="shared" si="208"/>
        <v>0</v>
      </c>
      <c r="P1166" s="1648">
        <f t="shared" si="201"/>
        <v>0</v>
      </c>
      <c r="Q1166" s="1648">
        <f t="shared" si="202"/>
        <v>0</v>
      </c>
      <c r="R1166" s="55">
        <f t="shared" si="203"/>
        <v>0</v>
      </c>
      <c r="S1166" s="55">
        <f t="shared" si="204"/>
        <v>0</v>
      </c>
    </row>
    <row r="1167" spans="1:19" ht="87" hidden="1" customHeight="1">
      <c r="A1167" s="1693"/>
      <c r="B1167" s="1648">
        <f t="shared" si="198"/>
        <v>0</v>
      </c>
      <c r="C1167" s="1867" t="s">
        <v>6077</v>
      </c>
      <c r="D1167" s="1672">
        <v>322.92</v>
      </c>
      <c r="E1167" s="1702" t="s">
        <v>724</v>
      </c>
      <c r="F1167" s="1651"/>
      <c r="G1167" s="1648">
        <f t="shared" si="199"/>
        <v>0</v>
      </c>
      <c r="H1167" s="1648"/>
      <c r="I1167" s="1648">
        <f t="shared" si="200"/>
        <v>0</v>
      </c>
      <c r="J1167" s="1648"/>
      <c r="K1167" s="1648">
        <f t="shared" si="205"/>
        <v>0</v>
      </c>
      <c r="L1167" s="1648"/>
      <c r="M1167" s="1648">
        <f t="shared" si="206"/>
        <v>0</v>
      </c>
      <c r="N1167" s="1648">
        <f t="shared" si="207"/>
        <v>0</v>
      </c>
      <c r="O1167" s="1648">
        <f t="shared" si="208"/>
        <v>0</v>
      </c>
      <c r="P1167" s="1648">
        <f t="shared" si="201"/>
        <v>0</v>
      </c>
      <c r="Q1167" s="1648">
        <f t="shared" si="202"/>
        <v>0</v>
      </c>
      <c r="R1167" s="55">
        <f t="shared" si="203"/>
        <v>0</v>
      </c>
      <c r="S1167" s="55">
        <f t="shared" si="204"/>
        <v>0</v>
      </c>
    </row>
    <row r="1168" spans="1:19" ht="103.5" hidden="1" customHeight="1">
      <c r="A1168" s="1693"/>
      <c r="B1168" s="1648">
        <f t="shared" si="198"/>
        <v>0</v>
      </c>
      <c r="C1168" s="1867" t="s">
        <v>6078</v>
      </c>
      <c r="D1168" s="1672"/>
      <c r="E1168" s="1702" t="s">
        <v>724</v>
      </c>
      <c r="F1168" s="1651"/>
      <c r="G1168" s="1648">
        <f t="shared" si="199"/>
        <v>0</v>
      </c>
      <c r="H1168" s="1648"/>
      <c r="I1168" s="1648">
        <f t="shared" si="200"/>
        <v>0</v>
      </c>
      <c r="J1168" s="1648"/>
      <c r="K1168" s="1648">
        <f t="shared" si="205"/>
        <v>0</v>
      </c>
      <c r="L1168" s="1648"/>
      <c r="M1168" s="1648">
        <f t="shared" si="206"/>
        <v>0</v>
      </c>
      <c r="N1168" s="1648">
        <f t="shared" si="207"/>
        <v>0</v>
      </c>
      <c r="O1168" s="1648">
        <f t="shared" si="208"/>
        <v>0</v>
      </c>
      <c r="P1168" s="1648">
        <f t="shared" si="201"/>
        <v>0</v>
      </c>
      <c r="Q1168" s="1648">
        <f t="shared" si="202"/>
        <v>0</v>
      </c>
      <c r="R1168" s="55">
        <f t="shared" si="203"/>
        <v>0</v>
      </c>
      <c r="S1168" s="55">
        <f t="shared" si="204"/>
        <v>0</v>
      </c>
    </row>
    <row r="1169" spans="1:19" ht="144" hidden="1" customHeight="1">
      <c r="A1169" s="1693"/>
      <c r="B1169" s="1648">
        <f t="shared" si="198"/>
        <v>0</v>
      </c>
      <c r="C1169" s="1865" t="s">
        <v>6079</v>
      </c>
      <c r="D1169" s="1672"/>
      <c r="E1169" s="1702"/>
      <c r="F1169" s="1651"/>
      <c r="G1169" s="1648">
        <f t="shared" si="199"/>
        <v>0</v>
      </c>
      <c r="H1169" s="1648"/>
      <c r="I1169" s="1648">
        <f t="shared" si="200"/>
        <v>0</v>
      </c>
      <c r="J1169" s="1648"/>
      <c r="K1169" s="1648">
        <f t="shared" si="205"/>
        <v>0</v>
      </c>
      <c r="L1169" s="1648"/>
      <c r="M1169" s="1648">
        <f t="shared" si="206"/>
        <v>0</v>
      </c>
      <c r="N1169" s="1648">
        <f t="shared" si="207"/>
        <v>0</v>
      </c>
      <c r="O1169" s="1648">
        <f t="shared" si="208"/>
        <v>0</v>
      </c>
      <c r="P1169" s="1648">
        <f t="shared" si="201"/>
        <v>0</v>
      </c>
      <c r="Q1169" s="1648">
        <f t="shared" si="202"/>
        <v>0</v>
      </c>
      <c r="R1169" s="55">
        <f t="shared" si="203"/>
        <v>0</v>
      </c>
      <c r="S1169" s="55">
        <f t="shared" si="204"/>
        <v>0</v>
      </c>
    </row>
    <row r="1170" spans="1:19" ht="49.5" hidden="1" customHeight="1">
      <c r="A1170" s="1693"/>
      <c r="B1170" s="1648">
        <f t="shared" si="198"/>
        <v>0</v>
      </c>
      <c r="C1170" s="1867" t="s">
        <v>6080</v>
      </c>
      <c r="D1170" s="1672">
        <f>609.5*6</f>
        <v>3657</v>
      </c>
      <c r="E1170" s="1702" t="s">
        <v>5</v>
      </c>
      <c r="F1170" s="1651"/>
      <c r="G1170" s="1648">
        <f t="shared" si="199"/>
        <v>0</v>
      </c>
      <c r="H1170" s="1648"/>
      <c r="I1170" s="1648">
        <f t="shared" si="200"/>
        <v>0</v>
      </c>
      <c r="J1170" s="1648"/>
      <c r="K1170" s="1648">
        <f t="shared" si="205"/>
        <v>0</v>
      </c>
      <c r="L1170" s="1648"/>
      <c r="M1170" s="1648">
        <f t="shared" si="206"/>
        <v>0</v>
      </c>
      <c r="N1170" s="1648">
        <f t="shared" si="207"/>
        <v>0</v>
      </c>
      <c r="O1170" s="1648">
        <f t="shared" si="208"/>
        <v>0</v>
      </c>
      <c r="P1170" s="1648">
        <f t="shared" si="201"/>
        <v>0</v>
      </c>
      <c r="Q1170" s="1648">
        <f t="shared" si="202"/>
        <v>0</v>
      </c>
      <c r="R1170" s="55">
        <f t="shared" si="203"/>
        <v>0</v>
      </c>
      <c r="S1170" s="55">
        <f t="shared" si="204"/>
        <v>0</v>
      </c>
    </row>
    <row r="1171" spans="1:19" ht="49.5" hidden="1" customHeight="1">
      <c r="A1171" s="1693"/>
      <c r="B1171" s="1648">
        <f t="shared" si="198"/>
        <v>0</v>
      </c>
      <c r="C1171" s="1867" t="s">
        <v>6081</v>
      </c>
      <c r="D1171" s="1672">
        <f>609.5*7</f>
        <v>4266.5</v>
      </c>
      <c r="E1171" s="1702" t="s">
        <v>5</v>
      </c>
      <c r="F1171" s="1651"/>
      <c r="G1171" s="1648">
        <f t="shared" si="199"/>
        <v>0</v>
      </c>
      <c r="H1171" s="1648"/>
      <c r="I1171" s="1648">
        <f t="shared" si="200"/>
        <v>0</v>
      </c>
      <c r="J1171" s="1648"/>
      <c r="K1171" s="1648">
        <f t="shared" si="205"/>
        <v>0</v>
      </c>
      <c r="L1171" s="1648"/>
      <c r="M1171" s="1648">
        <f t="shared" si="206"/>
        <v>0</v>
      </c>
      <c r="N1171" s="1648">
        <f t="shared" si="207"/>
        <v>0</v>
      </c>
      <c r="O1171" s="1648">
        <f t="shared" si="208"/>
        <v>0</v>
      </c>
      <c r="P1171" s="1648">
        <f t="shared" si="201"/>
        <v>0</v>
      </c>
      <c r="Q1171" s="1648">
        <f t="shared" si="202"/>
        <v>0</v>
      </c>
      <c r="R1171" s="55">
        <f t="shared" si="203"/>
        <v>0</v>
      </c>
      <c r="S1171" s="55">
        <f t="shared" si="204"/>
        <v>0</v>
      </c>
    </row>
    <row r="1172" spans="1:19" ht="49.5" hidden="1" customHeight="1">
      <c r="A1172" s="1693"/>
      <c r="B1172" s="1648">
        <f t="shared" si="198"/>
        <v>0</v>
      </c>
      <c r="C1172" s="1867" t="s">
        <v>6082</v>
      </c>
      <c r="D1172" s="1672">
        <v>1828.5</v>
      </c>
      <c r="E1172" s="1702" t="s">
        <v>5</v>
      </c>
      <c r="F1172" s="1651"/>
      <c r="G1172" s="1648">
        <f t="shared" si="199"/>
        <v>0</v>
      </c>
      <c r="H1172" s="1648"/>
      <c r="I1172" s="1648">
        <f t="shared" si="200"/>
        <v>0</v>
      </c>
      <c r="J1172" s="1648"/>
      <c r="K1172" s="1648">
        <f t="shared" si="205"/>
        <v>0</v>
      </c>
      <c r="L1172" s="1648"/>
      <c r="M1172" s="1648">
        <f t="shared" si="206"/>
        <v>0</v>
      </c>
      <c r="N1172" s="1648">
        <f t="shared" si="207"/>
        <v>0</v>
      </c>
      <c r="O1172" s="1648">
        <f t="shared" si="208"/>
        <v>0</v>
      </c>
      <c r="P1172" s="1648">
        <f t="shared" si="201"/>
        <v>0</v>
      </c>
      <c r="Q1172" s="1648">
        <f t="shared" si="202"/>
        <v>0</v>
      </c>
      <c r="R1172" s="55">
        <f t="shared" si="203"/>
        <v>0</v>
      </c>
      <c r="S1172" s="55">
        <f t="shared" si="204"/>
        <v>0</v>
      </c>
    </row>
    <row r="1173" spans="1:19" ht="49.5" hidden="1" customHeight="1">
      <c r="A1173" s="1693"/>
      <c r="B1173" s="1648">
        <f t="shared" si="198"/>
        <v>0</v>
      </c>
      <c r="C1173" s="1867" t="s">
        <v>6083</v>
      </c>
      <c r="D1173" s="1672">
        <v>2438</v>
      </c>
      <c r="E1173" s="1702" t="s">
        <v>5</v>
      </c>
      <c r="F1173" s="1651"/>
      <c r="G1173" s="1648">
        <f t="shared" si="199"/>
        <v>0</v>
      </c>
      <c r="H1173" s="1648"/>
      <c r="I1173" s="1648">
        <f t="shared" si="200"/>
        <v>0</v>
      </c>
      <c r="J1173" s="1648"/>
      <c r="K1173" s="1648">
        <f t="shared" si="205"/>
        <v>0</v>
      </c>
      <c r="L1173" s="1648"/>
      <c r="M1173" s="1648">
        <f t="shared" si="206"/>
        <v>0</v>
      </c>
      <c r="N1173" s="1648">
        <f t="shared" si="207"/>
        <v>0</v>
      </c>
      <c r="O1173" s="1648">
        <f t="shared" si="208"/>
        <v>0</v>
      </c>
      <c r="P1173" s="1648">
        <f t="shared" si="201"/>
        <v>0</v>
      </c>
      <c r="Q1173" s="1648">
        <f t="shared" si="202"/>
        <v>0</v>
      </c>
      <c r="R1173" s="55">
        <f t="shared" si="203"/>
        <v>0</v>
      </c>
      <c r="S1173" s="55">
        <f t="shared" si="204"/>
        <v>0</v>
      </c>
    </row>
    <row r="1174" spans="1:19" ht="150" hidden="1" customHeight="1">
      <c r="A1174" s="1693"/>
      <c r="B1174" s="1648">
        <f t="shared" si="198"/>
        <v>0</v>
      </c>
      <c r="C1174" s="1865" t="s">
        <v>6084</v>
      </c>
      <c r="D1174" s="1672"/>
      <c r="E1174" s="1702"/>
      <c r="F1174" s="1651"/>
      <c r="G1174" s="1648">
        <f t="shared" si="199"/>
        <v>0</v>
      </c>
      <c r="H1174" s="1648"/>
      <c r="I1174" s="1648">
        <f t="shared" si="200"/>
        <v>0</v>
      </c>
      <c r="J1174" s="1648"/>
      <c r="K1174" s="1648">
        <f t="shared" si="205"/>
        <v>0</v>
      </c>
      <c r="L1174" s="1648"/>
      <c r="M1174" s="1648">
        <f t="shared" si="206"/>
        <v>0</v>
      </c>
      <c r="N1174" s="1648">
        <f t="shared" si="207"/>
        <v>0</v>
      </c>
      <c r="O1174" s="1648">
        <f t="shared" si="208"/>
        <v>0</v>
      </c>
      <c r="P1174" s="1648">
        <f t="shared" si="201"/>
        <v>0</v>
      </c>
      <c r="Q1174" s="1648">
        <f t="shared" si="202"/>
        <v>0</v>
      </c>
      <c r="R1174" s="55">
        <f t="shared" si="203"/>
        <v>0</v>
      </c>
      <c r="S1174" s="55">
        <f t="shared" si="204"/>
        <v>0</v>
      </c>
    </row>
    <row r="1175" spans="1:19" ht="49.5" hidden="1" customHeight="1">
      <c r="A1175" s="1693"/>
      <c r="B1175" s="1648">
        <f t="shared" si="198"/>
        <v>0</v>
      </c>
      <c r="C1175" s="1867" t="s">
        <v>6085</v>
      </c>
      <c r="D1175" s="1672">
        <f>87*5</f>
        <v>435</v>
      </c>
      <c r="E1175" s="1702" t="s">
        <v>5</v>
      </c>
      <c r="F1175" s="1651"/>
      <c r="G1175" s="1648">
        <f t="shared" si="199"/>
        <v>0</v>
      </c>
      <c r="H1175" s="1648"/>
      <c r="I1175" s="1648">
        <f t="shared" si="200"/>
        <v>0</v>
      </c>
      <c r="J1175" s="1648"/>
      <c r="K1175" s="1648">
        <f t="shared" si="205"/>
        <v>0</v>
      </c>
      <c r="L1175" s="1648"/>
      <c r="M1175" s="1648">
        <f t="shared" si="206"/>
        <v>0</v>
      </c>
      <c r="N1175" s="1648">
        <f t="shared" si="207"/>
        <v>0</v>
      </c>
      <c r="O1175" s="1648">
        <f t="shared" si="208"/>
        <v>0</v>
      </c>
      <c r="P1175" s="1648">
        <f t="shared" si="201"/>
        <v>0</v>
      </c>
      <c r="Q1175" s="1648">
        <f t="shared" si="202"/>
        <v>0</v>
      </c>
      <c r="R1175" s="55">
        <f t="shared" si="203"/>
        <v>0</v>
      </c>
      <c r="S1175" s="55">
        <f t="shared" si="204"/>
        <v>0</v>
      </c>
    </row>
    <row r="1176" spans="1:19" ht="49.5" hidden="1" customHeight="1">
      <c r="A1176" s="1693"/>
      <c r="B1176" s="1648">
        <f t="shared" si="198"/>
        <v>0</v>
      </c>
      <c r="C1176" s="1867" t="s">
        <v>6086</v>
      </c>
      <c r="D1176" s="1672">
        <v>174</v>
      </c>
      <c r="E1176" s="1702" t="s">
        <v>5</v>
      </c>
      <c r="F1176" s="1651"/>
      <c r="G1176" s="1648">
        <f t="shared" si="199"/>
        <v>0</v>
      </c>
      <c r="H1176" s="1648"/>
      <c r="I1176" s="1648">
        <f t="shared" si="200"/>
        <v>0</v>
      </c>
      <c r="J1176" s="1648"/>
      <c r="K1176" s="1648">
        <f t="shared" si="205"/>
        <v>0</v>
      </c>
      <c r="L1176" s="1648"/>
      <c r="M1176" s="1648">
        <f t="shared" si="206"/>
        <v>0</v>
      </c>
      <c r="N1176" s="1648">
        <f t="shared" si="207"/>
        <v>0</v>
      </c>
      <c r="O1176" s="1648">
        <f t="shared" si="208"/>
        <v>0</v>
      </c>
      <c r="P1176" s="1648">
        <f t="shared" si="201"/>
        <v>0</v>
      </c>
      <c r="Q1176" s="1648">
        <f t="shared" si="202"/>
        <v>0</v>
      </c>
      <c r="R1176" s="55">
        <f t="shared" si="203"/>
        <v>0</v>
      </c>
      <c r="S1176" s="55">
        <f t="shared" si="204"/>
        <v>0</v>
      </c>
    </row>
    <row r="1177" spans="1:19" ht="49.5" hidden="1" customHeight="1">
      <c r="A1177" s="1693"/>
      <c r="B1177" s="1648">
        <f t="shared" si="198"/>
        <v>0</v>
      </c>
      <c r="C1177" s="1867" t="s">
        <v>6082</v>
      </c>
      <c r="D1177" s="1672">
        <v>261</v>
      </c>
      <c r="E1177" s="1702" t="s">
        <v>5</v>
      </c>
      <c r="F1177" s="1651"/>
      <c r="G1177" s="1648">
        <f t="shared" si="199"/>
        <v>0</v>
      </c>
      <c r="H1177" s="1648"/>
      <c r="I1177" s="1648">
        <f t="shared" si="200"/>
        <v>0</v>
      </c>
      <c r="J1177" s="1648"/>
      <c r="K1177" s="1648">
        <f t="shared" si="205"/>
        <v>0</v>
      </c>
      <c r="L1177" s="1648"/>
      <c r="M1177" s="1648">
        <f t="shared" si="206"/>
        <v>0</v>
      </c>
      <c r="N1177" s="1648">
        <f t="shared" si="207"/>
        <v>0</v>
      </c>
      <c r="O1177" s="1648">
        <f t="shared" si="208"/>
        <v>0</v>
      </c>
      <c r="P1177" s="1648">
        <f t="shared" si="201"/>
        <v>0</v>
      </c>
      <c r="Q1177" s="1648">
        <f t="shared" si="202"/>
        <v>0</v>
      </c>
      <c r="R1177" s="55">
        <f t="shared" si="203"/>
        <v>0</v>
      </c>
      <c r="S1177" s="55">
        <f t="shared" si="204"/>
        <v>0</v>
      </c>
    </row>
    <row r="1178" spans="1:19" ht="49.5" hidden="1" customHeight="1">
      <c r="A1178" s="1693"/>
      <c r="B1178" s="1648">
        <f t="shared" si="198"/>
        <v>0</v>
      </c>
      <c r="C1178" s="1867" t="s">
        <v>6083</v>
      </c>
      <c r="D1178" s="1672">
        <v>348</v>
      </c>
      <c r="E1178" s="1702" t="s">
        <v>5</v>
      </c>
      <c r="F1178" s="1651"/>
      <c r="G1178" s="1648">
        <f t="shared" si="199"/>
        <v>0</v>
      </c>
      <c r="H1178" s="1648"/>
      <c r="I1178" s="1648">
        <f t="shared" si="200"/>
        <v>0</v>
      </c>
      <c r="J1178" s="1648"/>
      <c r="K1178" s="1648">
        <f t="shared" si="205"/>
        <v>0</v>
      </c>
      <c r="L1178" s="1648"/>
      <c r="M1178" s="1648">
        <f t="shared" si="206"/>
        <v>0</v>
      </c>
      <c r="N1178" s="1648">
        <f t="shared" si="207"/>
        <v>0</v>
      </c>
      <c r="O1178" s="1648">
        <f t="shared" si="208"/>
        <v>0</v>
      </c>
      <c r="P1178" s="1648">
        <f t="shared" si="201"/>
        <v>0</v>
      </c>
      <c r="Q1178" s="1648">
        <f t="shared" si="202"/>
        <v>0</v>
      </c>
      <c r="R1178" s="55">
        <f t="shared" si="203"/>
        <v>0</v>
      </c>
      <c r="S1178" s="55">
        <f t="shared" si="204"/>
        <v>0</v>
      </c>
    </row>
    <row r="1179" spans="1:19" ht="64.5" hidden="1" customHeight="1">
      <c r="A1179" s="1693"/>
      <c r="B1179" s="1648">
        <f t="shared" si="198"/>
        <v>0</v>
      </c>
      <c r="C1179" s="1867" t="s">
        <v>6087</v>
      </c>
      <c r="D1179" s="1672">
        <v>1878</v>
      </c>
      <c r="E1179" s="1702" t="s">
        <v>729</v>
      </c>
      <c r="F1179" s="1651"/>
      <c r="G1179" s="1648">
        <f t="shared" si="199"/>
        <v>0</v>
      </c>
      <c r="H1179" s="1648"/>
      <c r="I1179" s="1648">
        <f t="shared" si="200"/>
        <v>0</v>
      </c>
      <c r="J1179" s="1648"/>
      <c r="K1179" s="1648">
        <f t="shared" si="205"/>
        <v>0</v>
      </c>
      <c r="L1179" s="1648"/>
      <c r="M1179" s="1648">
        <f t="shared" si="206"/>
        <v>0</v>
      </c>
      <c r="N1179" s="1648">
        <f t="shared" si="207"/>
        <v>0</v>
      </c>
      <c r="O1179" s="1648">
        <f t="shared" si="208"/>
        <v>0</v>
      </c>
      <c r="P1179" s="1648">
        <f t="shared" si="201"/>
        <v>0</v>
      </c>
      <c r="Q1179" s="1648">
        <f t="shared" si="202"/>
        <v>0</v>
      </c>
      <c r="R1179" s="55">
        <f t="shared" si="203"/>
        <v>0</v>
      </c>
      <c r="S1179" s="55">
        <f t="shared" si="204"/>
        <v>0</v>
      </c>
    </row>
    <row r="1180" spans="1:19" ht="49.5" hidden="1" customHeight="1">
      <c r="A1180" s="1693"/>
      <c r="B1180" s="1648">
        <f t="shared" si="198"/>
        <v>0</v>
      </c>
      <c r="C1180" s="1867" t="s">
        <v>5698</v>
      </c>
      <c r="D1180" s="1672"/>
      <c r="E1180" s="1702" t="s">
        <v>13</v>
      </c>
      <c r="F1180" s="1651"/>
      <c r="G1180" s="1648">
        <f t="shared" si="199"/>
        <v>0</v>
      </c>
      <c r="H1180" s="1648"/>
      <c r="I1180" s="1648">
        <f t="shared" si="200"/>
        <v>0</v>
      </c>
      <c r="J1180" s="1648"/>
      <c r="K1180" s="1648">
        <f t="shared" si="205"/>
        <v>0</v>
      </c>
      <c r="L1180" s="1648"/>
      <c r="M1180" s="1648">
        <f t="shared" si="206"/>
        <v>0</v>
      </c>
      <c r="N1180" s="1648">
        <f t="shared" si="207"/>
        <v>0</v>
      </c>
      <c r="O1180" s="1648">
        <f t="shared" si="208"/>
        <v>0</v>
      </c>
      <c r="P1180" s="1648">
        <f t="shared" si="201"/>
        <v>0</v>
      </c>
      <c r="Q1180" s="1648">
        <f t="shared" si="202"/>
        <v>0</v>
      </c>
      <c r="R1180" s="55">
        <f t="shared" si="203"/>
        <v>0</v>
      </c>
      <c r="S1180" s="55">
        <f t="shared" si="204"/>
        <v>0</v>
      </c>
    </row>
    <row r="1181" spans="1:19" ht="84" hidden="1" customHeight="1">
      <c r="A1181" s="1693"/>
      <c r="B1181" s="1648">
        <f t="shared" si="198"/>
        <v>0</v>
      </c>
      <c r="C1181" s="1867" t="s">
        <v>6088</v>
      </c>
      <c r="D1181" s="1672">
        <v>30000</v>
      </c>
      <c r="E1181" s="1702" t="s">
        <v>1715</v>
      </c>
      <c r="F1181" s="1651"/>
      <c r="G1181" s="1648">
        <f t="shared" si="199"/>
        <v>0</v>
      </c>
      <c r="H1181" s="1648"/>
      <c r="I1181" s="1648">
        <f t="shared" si="200"/>
        <v>0</v>
      </c>
      <c r="J1181" s="1648"/>
      <c r="K1181" s="1648">
        <f t="shared" si="205"/>
        <v>0</v>
      </c>
      <c r="L1181" s="1648"/>
      <c r="M1181" s="1648">
        <f t="shared" si="206"/>
        <v>0</v>
      </c>
      <c r="N1181" s="1648">
        <f t="shared" si="207"/>
        <v>0</v>
      </c>
      <c r="O1181" s="1648">
        <f t="shared" si="208"/>
        <v>0</v>
      </c>
      <c r="P1181" s="1648">
        <f t="shared" si="201"/>
        <v>0</v>
      </c>
      <c r="Q1181" s="1648">
        <f t="shared" si="202"/>
        <v>0</v>
      </c>
      <c r="R1181" s="55">
        <f t="shared" si="203"/>
        <v>0</v>
      </c>
      <c r="S1181" s="55">
        <f t="shared" si="204"/>
        <v>0</v>
      </c>
    </row>
    <row r="1182" spans="1:19" ht="117" hidden="1" customHeight="1">
      <c r="A1182" s="1693"/>
      <c r="B1182" s="1648">
        <f t="shared" si="198"/>
        <v>0</v>
      </c>
      <c r="C1182" s="1867" t="s">
        <v>6089</v>
      </c>
      <c r="D1182" s="1672">
        <v>5500</v>
      </c>
      <c r="E1182" s="1702" t="s">
        <v>1715</v>
      </c>
      <c r="F1182" s="1651"/>
      <c r="G1182" s="1648">
        <f t="shared" si="199"/>
        <v>0</v>
      </c>
      <c r="H1182" s="1648"/>
      <c r="I1182" s="1648">
        <f t="shared" si="200"/>
        <v>0</v>
      </c>
      <c r="J1182" s="1648"/>
      <c r="K1182" s="1648">
        <f t="shared" si="205"/>
        <v>0</v>
      </c>
      <c r="L1182" s="1648"/>
      <c r="M1182" s="1648">
        <f t="shared" si="206"/>
        <v>0</v>
      </c>
      <c r="N1182" s="1648">
        <f t="shared" si="207"/>
        <v>0</v>
      </c>
      <c r="O1182" s="1648">
        <f t="shared" si="208"/>
        <v>0</v>
      </c>
      <c r="P1182" s="1648">
        <f t="shared" si="201"/>
        <v>0</v>
      </c>
      <c r="Q1182" s="1648">
        <f t="shared" si="202"/>
        <v>0</v>
      </c>
      <c r="R1182" s="55">
        <f t="shared" si="203"/>
        <v>0</v>
      </c>
      <c r="S1182" s="55">
        <f t="shared" si="204"/>
        <v>0</v>
      </c>
    </row>
    <row r="1183" spans="1:19" ht="93" hidden="1" customHeight="1">
      <c r="A1183" s="1693"/>
      <c r="B1183" s="1648">
        <f t="shared" si="198"/>
        <v>0</v>
      </c>
      <c r="C1183" s="1867" t="s">
        <v>6090</v>
      </c>
      <c r="D1183" s="1672">
        <v>6000</v>
      </c>
      <c r="E1183" s="1702" t="s">
        <v>1715</v>
      </c>
      <c r="F1183" s="1651"/>
      <c r="G1183" s="1648">
        <f t="shared" si="199"/>
        <v>0</v>
      </c>
      <c r="H1183" s="1648"/>
      <c r="I1183" s="1648">
        <f t="shared" si="200"/>
        <v>0</v>
      </c>
      <c r="J1183" s="1648"/>
      <c r="K1183" s="1648">
        <f t="shared" si="205"/>
        <v>0</v>
      </c>
      <c r="L1183" s="1648"/>
      <c r="M1183" s="1648">
        <f t="shared" si="206"/>
        <v>0</v>
      </c>
      <c r="N1183" s="1648">
        <f t="shared" si="207"/>
        <v>0</v>
      </c>
      <c r="O1183" s="1648">
        <f t="shared" si="208"/>
        <v>0</v>
      </c>
      <c r="P1183" s="1648">
        <f t="shared" si="201"/>
        <v>0</v>
      </c>
      <c r="Q1183" s="1648">
        <f t="shared" si="202"/>
        <v>0</v>
      </c>
      <c r="R1183" s="55">
        <f t="shared" si="203"/>
        <v>0</v>
      </c>
      <c r="S1183" s="55">
        <f t="shared" si="204"/>
        <v>0</v>
      </c>
    </row>
    <row r="1184" spans="1:19" ht="136.9" hidden="1" customHeight="1">
      <c r="A1184" s="1693"/>
      <c r="B1184" s="1648">
        <f t="shared" si="198"/>
        <v>0</v>
      </c>
      <c r="C1184" s="1867" t="s">
        <v>6091</v>
      </c>
      <c r="D1184" s="1672">
        <v>84000</v>
      </c>
      <c r="E1184" s="1702" t="s">
        <v>1715</v>
      </c>
      <c r="F1184" s="1651"/>
      <c r="G1184" s="1648">
        <f t="shared" si="199"/>
        <v>0</v>
      </c>
      <c r="H1184" s="1648"/>
      <c r="I1184" s="1648">
        <f t="shared" si="200"/>
        <v>0</v>
      </c>
      <c r="J1184" s="1648"/>
      <c r="K1184" s="1648">
        <f t="shared" si="205"/>
        <v>0</v>
      </c>
      <c r="L1184" s="1648"/>
      <c r="M1184" s="1648">
        <f t="shared" si="206"/>
        <v>0</v>
      </c>
      <c r="N1184" s="1648">
        <f t="shared" si="207"/>
        <v>0</v>
      </c>
      <c r="O1184" s="1648">
        <f t="shared" si="208"/>
        <v>0</v>
      </c>
      <c r="P1184" s="1648">
        <f t="shared" si="201"/>
        <v>0</v>
      </c>
      <c r="Q1184" s="1648">
        <f t="shared" si="202"/>
        <v>0</v>
      </c>
      <c r="R1184" s="55">
        <f t="shared" si="203"/>
        <v>0</v>
      </c>
      <c r="S1184" s="55">
        <f t="shared" si="204"/>
        <v>0</v>
      </c>
    </row>
    <row r="1185" spans="1:19" ht="231" hidden="1" customHeight="1">
      <c r="A1185" s="1693"/>
      <c r="B1185" s="1648">
        <f t="shared" si="198"/>
        <v>0</v>
      </c>
      <c r="C1185" s="1867" t="s">
        <v>6092</v>
      </c>
      <c r="D1185" s="1672">
        <v>185000</v>
      </c>
      <c r="E1185" s="1702" t="s">
        <v>1715</v>
      </c>
      <c r="F1185" s="1651"/>
      <c r="G1185" s="1648">
        <f t="shared" si="199"/>
        <v>0</v>
      </c>
      <c r="H1185" s="1648"/>
      <c r="I1185" s="1648">
        <f t="shared" si="200"/>
        <v>0</v>
      </c>
      <c r="J1185" s="1648"/>
      <c r="K1185" s="1648">
        <f t="shared" si="205"/>
        <v>0</v>
      </c>
      <c r="L1185" s="1648"/>
      <c r="M1185" s="1648">
        <f t="shared" si="206"/>
        <v>0</v>
      </c>
      <c r="N1185" s="1648">
        <f t="shared" si="207"/>
        <v>0</v>
      </c>
      <c r="O1185" s="1648">
        <f t="shared" si="208"/>
        <v>0</v>
      </c>
      <c r="P1185" s="1648">
        <f t="shared" si="201"/>
        <v>0</v>
      </c>
      <c r="Q1185" s="1648">
        <f t="shared" si="202"/>
        <v>0</v>
      </c>
      <c r="R1185" s="55">
        <f t="shared" si="203"/>
        <v>0</v>
      </c>
      <c r="S1185" s="55">
        <f t="shared" si="204"/>
        <v>0</v>
      </c>
    </row>
    <row r="1186" spans="1:19" ht="69.75" hidden="1" customHeight="1">
      <c r="A1186" s="1693"/>
      <c r="B1186" s="1648">
        <f t="shared" si="198"/>
        <v>0</v>
      </c>
      <c r="C1186" s="1867" t="s">
        <v>6093</v>
      </c>
      <c r="D1186" s="1672">
        <v>32000</v>
      </c>
      <c r="E1186" s="1702" t="s">
        <v>3092</v>
      </c>
      <c r="F1186" s="1651"/>
      <c r="G1186" s="1648">
        <f t="shared" si="199"/>
        <v>0</v>
      </c>
      <c r="H1186" s="1648"/>
      <c r="I1186" s="1648">
        <f t="shared" si="200"/>
        <v>0</v>
      </c>
      <c r="J1186" s="1648"/>
      <c r="K1186" s="1648">
        <f t="shared" si="205"/>
        <v>0</v>
      </c>
      <c r="L1186" s="1648"/>
      <c r="M1186" s="1648">
        <f t="shared" si="206"/>
        <v>0</v>
      </c>
      <c r="N1186" s="1648">
        <f t="shared" si="207"/>
        <v>0</v>
      </c>
      <c r="O1186" s="1648">
        <f t="shared" si="208"/>
        <v>0</v>
      </c>
      <c r="P1186" s="1648">
        <f t="shared" si="201"/>
        <v>0</v>
      </c>
      <c r="Q1186" s="1648">
        <f t="shared" si="202"/>
        <v>0</v>
      </c>
      <c r="R1186" s="55">
        <f t="shared" si="203"/>
        <v>0</v>
      </c>
      <c r="S1186" s="55">
        <f t="shared" si="204"/>
        <v>0</v>
      </c>
    </row>
    <row r="1187" spans="1:19" ht="116.25" hidden="1" customHeight="1">
      <c r="A1187" s="1693"/>
      <c r="B1187" s="1648">
        <f t="shared" si="198"/>
        <v>0</v>
      </c>
      <c r="C1187" s="1867" t="s">
        <v>6094</v>
      </c>
      <c r="D1187" s="1672">
        <v>400000</v>
      </c>
      <c r="E1187" s="1702" t="s">
        <v>1715</v>
      </c>
      <c r="F1187" s="1651"/>
      <c r="G1187" s="1648">
        <f t="shared" si="199"/>
        <v>0</v>
      </c>
      <c r="H1187" s="1648"/>
      <c r="I1187" s="1648">
        <f t="shared" si="200"/>
        <v>0</v>
      </c>
      <c r="J1187" s="1648"/>
      <c r="K1187" s="1648">
        <f t="shared" si="205"/>
        <v>0</v>
      </c>
      <c r="L1187" s="1648"/>
      <c r="M1187" s="1648">
        <f t="shared" si="206"/>
        <v>0</v>
      </c>
      <c r="N1187" s="1648">
        <f t="shared" si="207"/>
        <v>0</v>
      </c>
      <c r="O1187" s="1648">
        <f t="shared" si="208"/>
        <v>0</v>
      </c>
      <c r="P1187" s="1648">
        <f t="shared" si="201"/>
        <v>0</v>
      </c>
      <c r="Q1187" s="1648">
        <f t="shared" si="202"/>
        <v>0</v>
      </c>
      <c r="R1187" s="55">
        <f t="shared" si="203"/>
        <v>0</v>
      </c>
      <c r="S1187" s="55">
        <f t="shared" si="204"/>
        <v>0</v>
      </c>
    </row>
    <row r="1188" spans="1:19" ht="209.25" hidden="1" customHeight="1">
      <c r="A1188" s="1693"/>
      <c r="B1188" s="1648">
        <f t="shared" si="198"/>
        <v>0</v>
      </c>
      <c r="C1188" s="1867" t="s">
        <v>6095</v>
      </c>
      <c r="D1188" s="1672">
        <v>275000</v>
      </c>
      <c r="E1188" s="1702" t="s">
        <v>3092</v>
      </c>
      <c r="F1188" s="1651"/>
      <c r="G1188" s="1648">
        <f t="shared" si="199"/>
        <v>0</v>
      </c>
      <c r="H1188" s="1648"/>
      <c r="I1188" s="1648">
        <f t="shared" si="200"/>
        <v>0</v>
      </c>
      <c r="J1188" s="1648"/>
      <c r="K1188" s="1648">
        <f t="shared" si="205"/>
        <v>0</v>
      </c>
      <c r="L1188" s="1648"/>
      <c r="M1188" s="1648">
        <f t="shared" si="206"/>
        <v>0</v>
      </c>
      <c r="N1188" s="1648">
        <f t="shared" si="207"/>
        <v>0</v>
      </c>
      <c r="O1188" s="1648">
        <f t="shared" si="208"/>
        <v>0</v>
      </c>
      <c r="P1188" s="1648">
        <f t="shared" si="201"/>
        <v>0</v>
      </c>
      <c r="Q1188" s="1648">
        <f t="shared" si="202"/>
        <v>0</v>
      </c>
      <c r="R1188" s="55">
        <f t="shared" si="203"/>
        <v>0</v>
      </c>
      <c r="S1188" s="55">
        <f t="shared" si="204"/>
        <v>0</v>
      </c>
    </row>
    <row r="1189" spans="1:19" ht="232.5" hidden="1" customHeight="1">
      <c r="A1189" s="1693"/>
      <c r="B1189" s="1648">
        <f t="shared" si="198"/>
        <v>0</v>
      </c>
      <c r="C1189" s="1867" t="s">
        <v>6096</v>
      </c>
      <c r="D1189" s="1672">
        <v>350000</v>
      </c>
      <c r="E1189" s="1702" t="s">
        <v>3092</v>
      </c>
      <c r="F1189" s="1651"/>
      <c r="G1189" s="1648">
        <f t="shared" si="199"/>
        <v>0</v>
      </c>
      <c r="H1189" s="1648"/>
      <c r="I1189" s="1648">
        <f t="shared" si="200"/>
        <v>0</v>
      </c>
      <c r="J1189" s="1648"/>
      <c r="K1189" s="1648">
        <f t="shared" si="205"/>
        <v>0</v>
      </c>
      <c r="L1189" s="1648"/>
      <c r="M1189" s="1648">
        <f t="shared" si="206"/>
        <v>0</v>
      </c>
      <c r="N1189" s="1648">
        <f t="shared" si="207"/>
        <v>0</v>
      </c>
      <c r="O1189" s="1648">
        <f t="shared" si="208"/>
        <v>0</v>
      </c>
      <c r="P1189" s="1648">
        <f t="shared" si="201"/>
        <v>0</v>
      </c>
      <c r="Q1189" s="1648">
        <f t="shared" si="202"/>
        <v>0</v>
      </c>
      <c r="R1189" s="55">
        <f t="shared" si="203"/>
        <v>0</v>
      </c>
      <c r="S1189" s="55">
        <f t="shared" si="204"/>
        <v>0</v>
      </c>
    </row>
    <row r="1190" spans="1:19" ht="116.25" hidden="1" customHeight="1">
      <c r="A1190" s="1693"/>
      <c r="B1190" s="1648">
        <f t="shared" si="198"/>
        <v>0</v>
      </c>
      <c r="C1190" s="1867" t="s">
        <v>6097</v>
      </c>
      <c r="D1190" s="1672">
        <v>15000</v>
      </c>
      <c r="E1190" s="1702" t="s">
        <v>3092</v>
      </c>
      <c r="F1190" s="1651"/>
      <c r="G1190" s="1648">
        <f t="shared" si="199"/>
        <v>0</v>
      </c>
      <c r="H1190" s="1648"/>
      <c r="I1190" s="1648">
        <f t="shared" si="200"/>
        <v>0</v>
      </c>
      <c r="J1190" s="1648"/>
      <c r="K1190" s="1648">
        <f t="shared" si="205"/>
        <v>0</v>
      </c>
      <c r="L1190" s="1648"/>
      <c r="M1190" s="1648">
        <f t="shared" si="206"/>
        <v>0</v>
      </c>
      <c r="N1190" s="1648">
        <f t="shared" si="207"/>
        <v>0</v>
      </c>
      <c r="O1190" s="1648">
        <f t="shared" si="208"/>
        <v>0</v>
      </c>
      <c r="P1190" s="1648">
        <f t="shared" si="201"/>
        <v>0</v>
      </c>
      <c r="Q1190" s="1648">
        <f t="shared" si="202"/>
        <v>0</v>
      </c>
      <c r="R1190" s="55">
        <f t="shared" si="203"/>
        <v>0</v>
      </c>
      <c r="S1190" s="55">
        <f t="shared" si="204"/>
        <v>0</v>
      </c>
    </row>
    <row r="1191" spans="1:19" ht="162.75" hidden="1" customHeight="1">
      <c r="A1191" s="1693"/>
      <c r="B1191" s="1648">
        <f t="shared" si="198"/>
        <v>0</v>
      </c>
      <c r="C1191" s="1867" t="s">
        <v>6098</v>
      </c>
      <c r="D1191" s="1672">
        <v>28500</v>
      </c>
      <c r="E1191" s="1702" t="s">
        <v>1715</v>
      </c>
      <c r="F1191" s="1651"/>
      <c r="G1191" s="1648">
        <f t="shared" si="199"/>
        <v>0</v>
      </c>
      <c r="H1191" s="1648"/>
      <c r="I1191" s="1648">
        <f t="shared" si="200"/>
        <v>0</v>
      </c>
      <c r="J1191" s="1648"/>
      <c r="K1191" s="1648">
        <f t="shared" si="205"/>
        <v>0</v>
      </c>
      <c r="L1191" s="1648"/>
      <c r="M1191" s="1648">
        <f t="shared" si="206"/>
        <v>0</v>
      </c>
      <c r="N1191" s="1648">
        <f t="shared" si="207"/>
        <v>0</v>
      </c>
      <c r="O1191" s="1648">
        <f t="shared" si="208"/>
        <v>0</v>
      </c>
      <c r="P1191" s="1648">
        <f t="shared" si="201"/>
        <v>0</v>
      </c>
      <c r="Q1191" s="1648">
        <f t="shared" si="202"/>
        <v>0</v>
      </c>
      <c r="R1191" s="55">
        <f t="shared" si="203"/>
        <v>0</v>
      </c>
      <c r="S1191" s="55">
        <f t="shared" si="204"/>
        <v>0</v>
      </c>
    </row>
    <row r="1192" spans="1:19" ht="162.75" hidden="1" customHeight="1">
      <c r="A1192" s="1693"/>
      <c r="B1192" s="1648">
        <f t="shared" si="198"/>
        <v>0</v>
      </c>
      <c r="C1192" s="1867" t="s">
        <v>6099</v>
      </c>
      <c r="D1192" s="1672">
        <v>25000</v>
      </c>
      <c r="E1192" s="1702" t="s">
        <v>1715</v>
      </c>
      <c r="F1192" s="1651"/>
      <c r="G1192" s="1648">
        <f t="shared" si="199"/>
        <v>0</v>
      </c>
      <c r="H1192" s="1648"/>
      <c r="I1192" s="1648">
        <f t="shared" si="200"/>
        <v>0</v>
      </c>
      <c r="J1192" s="1648"/>
      <c r="K1192" s="1648">
        <f t="shared" si="205"/>
        <v>0</v>
      </c>
      <c r="L1192" s="1648"/>
      <c r="M1192" s="1648">
        <f t="shared" si="206"/>
        <v>0</v>
      </c>
      <c r="N1192" s="1648">
        <f t="shared" si="207"/>
        <v>0</v>
      </c>
      <c r="O1192" s="1648">
        <f t="shared" si="208"/>
        <v>0</v>
      </c>
      <c r="P1192" s="1648">
        <f t="shared" si="201"/>
        <v>0</v>
      </c>
      <c r="Q1192" s="1648">
        <f t="shared" si="202"/>
        <v>0</v>
      </c>
      <c r="R1192" s="55">
        <f t="shared" si="203"/>
        <v>0</v>
      </c>
      <c r="S1192" s="55">
        <f t="shared" si="204"/>
        <v>0</v>
      </c>
    </row>
    <row r="1193" spans="1:19" ht="93" hidden="1" customHeight="1">
      <c r="A1193" s="1693"/>
      <c r="B1193" s="1648">
        <f t="shared" si="198"/>
        <v>0</v>
      </c>
      <c r="C1193" s="1867" t="s">
        <v>6100</v>
      </c>
      <c r="D1193" s="1672">
        <v>250000</v>
      </c>
      <c r="E1193" s="1702" t="s">
        <v>1715</v>
      </c>
      <c r="F1193" s="1651"/>
      <c r="G1193" s="1648">
        <f t="shared" si="199"/>
        <v>0</v>
      </c>
      <c r="H1193" s="1648"/>
      <c r="I1193" s="1648">
        <f t="shared" si="200"/>
        <v>0</v>
      </c>
      <c r="J1193" s="1648"/>
      <c r="K1193" s="1648">
        <f t="shared" si="205"/>
        <v>0</v>
      </c>
      <c r="L1193" s="1648"/>
      <c r="M1193" s="1648">
        <f t="shared" si="206"/>
        <v>0</v>
      </c>
      <c r="N1193" s="1648">
        <f t="shared" si="207"/>
        <v>0</v>
      </c>
      <c r="O1193" s="1648">
        <f t="shared" si="208"/>
        <v>0</v>
      </c>
      <c r="P1193" s="1648">
        <f t="shared" si="201"/>
        <v>0</v>
      </c>
      <c r="Q1193" s="1648">
        <f t="shared" si="202"/>
        <v>0</v>
      </c>
      <c r="R1193" s="55">
        <f t="shared" si="203"/>
        <v>0</v>
      </c>
      <c r="S1193" s="55">
        <f t="shared" si="204"/>
        <v>0</v>
      </c>
    </row>
    <row r="1194" spans="1:19" ht="73.900000000000006" hidden="1" customHeight="1">
      <c r="A1194" s="1693"/>
      <c r="B1194" s="1648">
        <f t="shared" si="198"/>
        <v>0</v>
      </c>
      <c r="C1194" s="1867" t="s">
        <v>6101</v>
      </c>
      <c r="D1194" s="1672">
        <v>100000</v>
      </c>
      <c r="E1194" s="1702" t="s">
        <v>1715</v>
      </c>
      <c r="F1194" s="1651"/>
      <c r="G1194" s="1648">
        <f t="shared" si="199"/>
        <v>0</v>
      </c>
      <c r="H1194" s="1648"/>
      <c r="I1194" s="1648">
        <f t="shared" si="200"/>
        <v>0</v>
      </c>
      <c r="J1194" s="1648"/>
      <c r="K1194" s="1648">
        <f t="shared" si="205"/>
        <v>0</v>
      </c>
      <c r="L1194" s="1648"/>
      <c r="M1194" s="1648">
        <f t="shared" si="206"/>
        <v>0</v>
      </c>
      <c r="N1194" s="1648">
        <f t="shared" si="207"/>
        <v>0</v>
      </c>
      <c r="O1194" s="1648">
        <f t="shared" si="208"/>
        <v>0</v>
      </c>
      <c r="P1194" s="1648">
        <f t="shared" si="201"/>
        <v>0</v>
      </c>
      <c r="Q1194" s="1648">
        <f t="shared" si="202"/>
        <v>0</v>
      </c>
      <c r="R1194" s="55">
        <f t="shared" si="203"/>
        <v>0</v>
      </c>
      <c r="S1194" s="55">
        <f t="shared" si="204"/>
        <v>0</v>
      </c>
    </row>
    <row r="1195" spans="1:19" ht="57.75" hidden="1" customHeight="1">
      <c r="A1195" s="1693"/>
      <c r="B1195" s="1648">
        <f t="shared" si="198"/>
        <v>0</v>
      </c>
      <c r="C1195" s="1867" t="s">
        <v>6102</v>
      </c>
      <c r="D1195" s="1672">
        <v>15000</v>
      </c>
      <c r="E1195" s="1702" t="s">
        <v>6103</v>
      </c>
      <c r="F1195" s="1651"/>
      <c r="G1195" s="1648">
        <f t="shared" si="199"/>
        <v>0</v>
      </c>
      <c r="H1195" s="1648"/>
      <c r="I1195" s="1648">
        <f t="shared" si="200"/>
        <v>0</v>
      </c>
      <c r="J1195" s="1648"/>
      <c r="K1195" s="1648">
        <f t="shared" si="205"/>
        <v>0</v>
      </c>
      <c r="L1195" s="1648"/>
      <c r="M1195" s="1648">
        <f t="shared" si="206"/>
        <v>0</v>
      </c>
      <c r="N1195" s="1648">
        <f t="shared" si="207"/>
        <v>0</v>
      </c>
      <c r="O1195" s="1648">
        <f t="shared" si="208"/>
        <v>0</v>
      </c>
      <c r="P1195" s="1648">
        <f t="shared" si="201"/>
        <v>0</v>
      </c>
      <c r="Q1195" s="1648">
        <f t="shared" si="202"/>
        <v>0</v>
      </c>
      <c r="R1195" s="55">
        <f t="shared" si="203"/>
        <v>0</v>
      </c>
      <c r="S1195" s="55">
        <f t="shared" si="204"/>
        <v>0</v>
      </c>
    </row>
    <row r="1196" spans="1:19" ht="62.45" hidden="1" customHeight="1">
      <c r="A1196" s="1693"/>
      <c r="B1196" s="1648">
        <f t="shared" si="198"/>
        <v>0</v>
      </c>
      <c r="C1196" s="1867" t="s">
        <v>6104</v>
      </c>
      <c r="D1196" s="1672">
        <v>200000</v>
      </c>
      <c r="E1196" s="1702" t="s">
        <v>1715</v>
      </c>
      <c r="F1196" s="1651"/>
      <c r="G1196" s="1648">
        <f t="shared" si="199"/>
        <v>0</v>
      </c>
      <c r="H1196" s="1648"/>
      <c r="I1196" s="1648">
        <f t="shared" si="200"/>
        <v>0</v>
      </c>
      <c r="J1196" s="1648"/>
      <c r="K1196" s="1648">
        <f t="shared" si="205"/>
        <v>0</v>
      </c>
      <c r="L1196" s="1648"/>
      <c r="M1196" s="1648">
        <f t="shared" si="206"/>
        <v>0</v>
      </c>
      <c r="N1196" s="1648">
        <f t="shared" si="207"/>
        <v>0</v>
      </c>
      <c r="O1196" s="1648">
        <f t="shared" si="208"/>
        <v>0</v>
      </c>
      <c r="P1196" s="1648">
        <f t="shared" si="201"/>
        <v>0</v>
      </c>
      <c r="Q1196" s="1648">
        <f t="shared" si="202"/>
        <v>0</v>
      </c>
      <c r="R1196" s="55">
        <f t="shared" si="203"/>
        <v>0</v>
      </c>
      <c r="S1196" s="55">
        <f t="shared" si="204"/>
        <v>0</v>
      </c>
    </row>
    <row r="1197" spans="1:19" ht="62.45" hidden="1" customHeight="1">
      <c r="A1197" s="1693"/>
      <c r="B1197" s="1648">
        <f t="shared" si="198"/>
        <v>0</v>
      </c>
      <c r="C1197" s="1867" t="s">
        <v>6105</v>
      </c>
      <c r="D1197" s="1672">
        <v>150000</v>
      </c>
      <c r="E1197" s="1702" t="s">
        <v>1715</v>
      </c>
      <c r="F1197" s="1651"/>
      <c r="G1197" s="1648">
        <f t="shared" si="199"/>
        <v>0</v>
      </c>
      <c r="H1197" s="1648"/>
      <c r="I1197" s="1648">
        <f t="shared" si="200"/>
        <v>0</v>
      </c>
      <c r="J1197" s="1648"/>
      <c r="K1197" s="1648">
        <f t="shared" si="205"/>
        <v>0</v>
      </c>
      <c r="L1197" s="1648"/>
      <c r="M1197" s="1648">
        <f t="shared" si="206"/>
        <v>0</v>
      </c>
      <c r="N1197" s="1648">
        <f t="shared" si="207"/>
        <v>0</v>
      </c>
      <c r="O1197" s="1648">
        <f t="shared" si="208"/>
        <v>0</v>
      </c>
      <c r="P1197" s="1648">
        <f t="shared" si="201"/>
        <v>0</v>
      </c>
      <c r="Q1197" s="1648">
        <f t="shared" si="202"/>
        <v>0</v>
      </c>
      <c r="R1197" s="55">
        <f t="shared" si="203"/>
        <v>0</v>
      </c>
      <c r="S1197" s="55">
        <f t="shared" si="204"/>
        <v>0</v>
      </c>
    </row>
    <row r="1198" spans="1:19" ht="91.15" hidden="1" customHeight="1">
      <c r="A1198" s="1693"/>
      <c r="B1198" s="1648">
        <f t="shared" si="198"/>
        <v>0</v>
      </c>
      <c r="C1198" s="1867" t="s">
        <v>6106</v>
      </c>
      <c r="D1198" s="1672">
        <v>150000</v>
      </c>
      <c r="E1198" s="1702" t="s">
        <v>1715</v>
      </c>
      <c r="F1198" s="1651"/>
      <c r="G1198" s="1648">
        <f t="shared" si="199"/>
        <v>0</v>
      </c>
      <c r="H1198" s="1648"/>
      <c r="I1198" s="1648">
        <f t="shared" si="200"/>
        <v>0</v>
      </c>
      <c r="J1198" s="1648"/>
      <c r="K1198" s="1648">
        <f t="shared" si="205"/>
        <v>0</v>
      </c>
      <c r="L1198" s="1648"/>
      <c r="M1198" s="1648">
        <f t="shared" si="206"/>
        <v>0</v>
      </c>
      <c r="N1198" s="1648">
        <f t="shared" si="207"/>
        <v>0</v>
      </c>
      <c r="O1198" s="1648">
        <f t="shared" si="208"/>
        <v>0</v>
      </c>
      <c r="P1198" s="1648">
        <f t="shared" si="201"/>
        <v>0</v>
      </c>
      <c r="Q1198" s="1648">
        <f t="shared" si="202"/>
        <v>0</v>
      </c>
      <c r="R1198" s="55">
        <f t="shared" si="203"/>
        <v>0</v>
      </c>
      <c r="S1198" s="55">
        <f t="shared" si="204"/>
        <v>0</v>
      </c>
    </row>
    <row r="1199" spans="1:19" ht="49.5" hidden="1" customHeight="1">
      <c r="A1199" s="1693"/>
      <c r="B1199" s="1648">
        <f t="shared" si="198"/>
        <v>0</v>
      </c>
      <c r="C1199" s="1867" t="s">
        <v>6107</v>
      </c>
      <c r="D1199" s="1672">
        <v>20.399999999999999</v>
      </c>
      <c r="E1199" s="1702" t="s">
        <v>5</v>
      </c>
      <c r="F1199" s="1651"/>
      <c r="G1199" s="1648">
        <f t="shared" si="199"/>
        <v>0</v>
      </c>
      <c r="H1199" s="1648"/>
      <c r="I1199" s="1648">
        <f t="shared" si="200"/>
        <v>0</v>
      </c>
      <c r="J1199" s="1648"/>
      <c r="K1199" s="1648">
        <f t="shared" si="205"/>
        <v>0</v>
      </c>
      <c r="L1199" s="1648"/>
      <c r="M1199" s="1648">
        <f t="shared" si="206"/>
        <v>0</v>
      </c>
      <c r="N1199" s="1648">
        <f t="shared" si="207"/>
        <v>0</v>
      </c>
      <c r="O1199" s="1648">
        <f t="shared" si="208"/>
        <v>0</v>
      </c>
      <c r="P1199" s="1648">
        <f t="shared" si="201"/>
        <v>0</v>
      </c>
      <c r="Q1199" s="1648">
        <f t="shared" si="202"/>
        <v>0</v>
      </c>
      <c r="R1199" s="55">
        <f t="shared" si="203"/>
        <v>0</v>
      </c>
      <c r="S1199" s="55">
        <f t="shared" si="204"/>
        <v>0</v>
      </c>
    </row>
    <row r="1200" spans="1:19" ht="49.5" hidden="1" customHeight="1">
      <c r="A1200" s="1693"/>
      <c r="B1200" s="1648">
        <f t="shared" si="198"/>
        <v>0</v>
      </c>
      <c r="C1200" s="1865" t="s">
        <v>6108</v>
      </c>
      <c r="D1200" s="1672"/>
      <c r="E1200" s="1702"/>
      <c r="F1200" s="1651"/>
      <c r="G1200" s="1648">
        <f t="shared" si="199"/>
        <v>0</v>
      </c>
      <c r="H1200" s="1648"/>
      <c r="I1200" s="1648">
        <f t="shared" si="200"/>
        <v>0</v>
      </c>
      <c r="J1200" s="1648"/>
      <c r="K1200" s="1648">
        <f t="shared" si="205"/>
        <v>0</v>
      </c>
      <c r="L1200" s="1648"/>
      <c r="M1200" s="1648">
        <f t="shared" si="206"/>
        <v>0</v>
      </c>
      <c r="N1200" s="1648">
        <f t="shared" si="207"/>
        <v>0</v>
      </c>
      <c r="O1200" s="1648">
        <f t="shared" si="208"/>
        <v>0</v>
      </c>
      <c r="P1200" s="1648">
        <f t="shared" si="201"/>
        <v>0</v>
      </c>
      <c r="Q1200" s="1648">
        <f t="shared" si="202"/>
        <v>0</v>
      </c>
      <c r="R1200" s="55">
        <f t="shared" si="203"/>
        <v>0</v>
      </c>
      <c r="S1200" s="55">
        <f t="shared" si="204"/>
        <v>0</v>
      </c>
    </row>
    <row r="1201" spans="1:19" ht="58.5" hidden="1" customHeight="1">
      <c r="A1201" s="1693"/>
      <c r="B1201" s="1648">
        <f t="shared" si="198"/>
        <v>0</v>
      </c>
      <c r="C1201" s="1867" t="s">
        <v>6109</v>
      </c>
      <c r="D1201" s="1672">
        <v>7000</v>
      </c>
      <c r="E1201" s="1702" t="s">
        <v>41</v>
      </c>
      <c r="F1201" s="1651"/>
      <c r="G1201" s="1648">
        <f t="shared" si="199"/>
        <v>0</v>
      </c>
      <c r="H1201" s="1648"/>
      <c r="I1201" s="1648">
        <f t="shared" si="200"/>
        <v>0</v>
      </c>
      <c r="J1201" s="1648"/>
      <c r="K1201" s="1648">
        <f t="shared" si="205"/>
        <v>0</v>
      </c>
      <c r="L1201" s="1648"/>
      <c r="M1201" s="1648">
        <f t="shared" si="206"/>
        <v>0</v>
      </c>
      <c r="N1201" s="1648">
        <f t="shared" si="207"/>
        <v>0</v>
      </c>
      <c r="O1201" s="1648">
        <f t="shared" si="208"/>
        <v>0</v>
      </c>
      <c r="P1201" s="1648">
        <f t="shared" si="201"/>
        <v>0</v>
      </c>
      <c r="Q1201" s="1648">
        <f t="shared" si="202"/>
        <v>0</v>
      </c>
      <c r="R1201" s="55">
        <f t="shared" si="203"/>
        <v>0</v>
      </c>
      <c r="S1201" s="55">
        <f t="shared" si="204"/>
        <v>0</v>
      </c>
    </row>
    <row r="1202" spans="1:19" ht="70.5" hidden="1" customHeight="1">
      <c r="A1202" s="1693"/>
      <c r="B1202" s="1648">
        <f t="shared" si="198"/>
        <v>0</v>
      </c>
      <c r="C1202" s="1867" t="s">
        <v>6110</v>
      </c>
      <c r="D1202" s="1672">
        <v>840</v>
      </c>
      <c r="E1202" s="1702" t="s">
        <v>41</v>
      </c>
      <c r="F1202" s="1651"/>
      <c r="G1202" s="1648">
        <f t="shared" si="199"/>
        <v>0</v>
      </c>
      <c r="H1202" s="1648"/>
      <c r="I1202" s="1648">
        <f t="shared" si="200"/>
        <v>0</v>
      </c>
      <c r="J1202" s="1648"/>
      <c r="K1202" s="1648">
        <f t="shared" si="205"/>
        <v>0</v>
      </c>
      <c r="L1202" s="1648"/>
      <c r="M1202" s="1648">
        <f t="shared" si="206"/>
        <v>0</v>
      </c>
      <c r="N1202" s="1648">
        <f t="shared" si="207"/>
        <v>0</v>
      </c>
      <c r="O1202" s="1648">
        <f t="shared" si="208"/>
        <v>0</v>
      </c>
      <c r="P1202" s="1648">
        <f t="shared" si="201"/>
        <v>0</v>
      </c>
      <c r="Q1202" s="1648">
        <f t="shared" si="202"/>
        <v>0</v>
      </c>
      <c r="R1202" s="55">
        <f t="shared" si="203"/>
        <v>0</v>
      </c>
      <c r="S1202" s="55">
        <f t="shared" si="204"/>
        <v>0</v>
      </c>
    </row>
    <row r="1203" spans="1:19" ht="66.75" hidden="1" customHeight="1">
      <c r="A1203" s="1693"/>
      <c r="B1203" s="1648">
        <f t="shared" si="198"/>
        <v>0</v>
      </c>
      <c r="C1203" s="1867" t="s">
        <v>6111</v>
      </c>
      <c r="D1203" s="1672">
        <v>660</v>
      </c>
      <c r="E1203" s="1702" t="s">
        <v>41</v>
      </c>
      <c r="F1203" s="1651"/>
      <c r="G1203" s="1648">
        <f t="shared" si="199"/>
        <v>0</v>
      </c>
      <c r="H1203" s="1648"/>
      <c r="I1203" s="1648">
        <f t="shared" si="200"/>
        <v>0</v>
      </c>
      <c r="J1203" s="1648"/>
      <c r="K1203" s="1648">
        <f t="shared" si="205"/>
        <v>0</v>
      </c>
      <c r="L1203" s="1648"/>
      <c r="M1203" s="1648">
        <f t="shared" si="206"/>
        <v>0</v>
      </c>
      <c r="N1203" s="1648">
        <f t="shared" si="207"/>
        <v>0</v>
      </c>
      <c r="O1203" s="1648">
        <f t="shared" si="208"/>
        <v>0</v>
      </c>
      <c r="P1203" s="1648">
        <f t="shared" si="201"/>
        <v>0</v>
      </c>
      <c r="Q1203" s="1648">
        <f t="shared" si="202"/>
        <v>0</v>
      </c>
      <c r="R1203" s="55">
        <f t="shared" si="203"/>
        <v>0</v>
      </c>
      <c r="S1203" s="55">
        <f t="shared" si="204"/>
        <v>0</v>
      </c>
    </row>
    <row r="1204" spans="1:19" ht="120.75" hidden="1" customHeight="1">
      <c r="A1204" s="1693"/>
      <c r="B1204" s="1648">
        <f t="shared" si="198"/>
        <v>0</v>
      </c>
      <c r="C1204" s="1867" t="s">
        <v>6112</v>
      </c>
      <c r="D1204" s="1672">
        <v>450</v>
      </c>
      <c r="E1204" s="1702" t="s">
        <v>41</v>
      </c>
      <c r="F1204" s="1651"/>
      <c r="G1204" s="1648">
        <f t="shared" si="199"/>
        <v>0</v>
      </c>
      <c r="H1204" s="1648"/>
      <c r="I1204" s="1648">
        <f t="shared" si="200"/>
        <v>0</v>
      </c>
      <c r="J1204" s="1648"/>
      <c r="K1204" s="1648">
        <f t="shared" si="205"/>
        <v>0</v>
      </c>
      <c r="L1204" s="1648"/>
      <c r="M1204" s="1648">
        <f t="shared" si="206"/>
        <v>0</v>
      </c>
      <c r="N1204" s="1648">
        <f t="shared" si="207"/>
        <v>0</v>
      </c>
      <c r="O1204" s="1648">
        <f t="shared" si="208"/>
        <v>0</v>
      </c>
      <c r="P1204" s="1648">
        <f t="shared" si="201"/>
        <v>0</v>
      </c>
      <c r="Q1204" s="1648">
        <f t="shared" si="202"/>
        <v>0</v>
      </c>
      <c r="R1204" s="55">
        <f t="shared" si="203"/>
        <v>0</v>
      </c>
      <c r="S1204" s="55">
        <f t="shared" si="204"/>
        <v>0</v>
      </c>
    </row>
    <row r="1205" spans="1:19" ht="79.5" hidden="1" customHeight="1">
      <c r="A1205" s="1693"/>
      <c r="B1205" s="1648">
        <f t="shared" si="198"/>
        <v>0</v>
      </c>
      <c r="C1205" s="1867" t="s">
        <v>6113</v>
      </c>
      <c r="D1205" s="1672">
        <v>320</v>
      </c>
      <c r="E1205" s="1702" t="s">
        <v>41</v>
      </c>
      <c r="F1205" s="1651"/>
      <c r="G1205" s="1648">
        <f t="shared" si="199"/>
        <v>0</v>
      </c>
      <c r="H1205" s="1648"/>
      <c r="I1205" s="1648">
        <f t="shared" si="200"/>
        <v>0</v>
      </c>
      <c r="J1205" s="1648"/>
      <c r="K1205" s="1648">
        <f t="shared" si="205"/>
        <v>0</v>
      </c>
      <c r="L1205" s="1648"/>
      <c r="M1205" s="1648">
        <f t="shared" si="206"/>
        <v>0</v>
      </c>
      <c r="N1205" s="1648">
        <f t="shared" si="207"/>
        <v>0</v>
      </c>
      <c r="O1205" s="1648">
        <f t="shared" si="208"/>
        <v>0</v>
      </c>
      <c r="P1205" s="1648">
        <f t="shared" si="201"/>
        <v>0</v>
      </c>
      <c r="Q1205" s="1648">
        <f t="shared" si="202"/>
        <v>0</v>
      </c>
      <c r="R1205" s="55">
        <f t="shared" si="203"/>
        <v>0</v>
      </c>
      <c r="S1205" s="55">
        <f t="shared" si="204"/>
        <v>0</v>
      </c>
    </row>
    <row r="1206" spans="1:19" ht="49.15" hidden="1" customHeight="1">
      <c r="A1206" s="1693"/>
      <c r="B1206" s="1648">
        <f t="shared" si="198"/>
        <v>0</v>
      </c>
      <c r="C1206" s="1865" t="s">
        <v>6114</v>
      </c>
      <c r="D1206" s="1672"/>
      <c r="E1206" s="1702"/>
      <c r="F1206" s="1651"/>
      <c r="G1206" s="1648">
        <f t="shared" si="199"/>
        <v>0</v>
      </c>
      <c r="H1206" s="1648"/>
      <c r="I1206" s="1648">
        <f t="shared" si="200"/>
        <v>0</v>
      </c>
      <c r="J1206" s="1648"/>
      <c r="K1206" s="1648">
        <f t="shared" si="205"/>
        <v>0</v>
      </c>
      <c r="L1206" s="1648"/>
      <c r="M1206" s="1648">
        <f t="shared" si="206"/>
        <v>0</v>
      </c>
      <c r="N1206" s="1648">
        <f t="shared" si="207"/>
        <v>0</v>
      </c>
      <c r="O1206" s="1648">
        <f t="shared" si="208"/>
        <v>0</v>
      </c>
      <c r="P1206" s="1648">
        <f t="shared" si="201"/>
        <v>0</v>
      </c>
      <c r="Q1206" s="1648">
        <f t="shared" si="202"/>
        <v>0</v>
      </c>
      <c r="R1206" s="55">
        <f t="shared" si="203"/>
        <v>0</v>
      </c>
      <c r="S1206" s="55">
        <f t="shared" si="204"/>
        <v>0</v>
      </c>
    </row>
    <row r="1207" spans="1:19" ht="210" hidden="1" customHeight="1">
      <c r="A1207" s="1693"/>
      <c r="B1207" s="1648">
        <f t="shared" si="198"/>
        <v>0</v>
      </c>
      <c r="C1207" s="1876" t="s">
        <v>6115</v>
      </c>
      <c r="D1207" s="1672"/>
      <c r="E1207" s="1702"/>
      <c r="F1207" s="1651"/>
      <c r="G1207" s="1648">
        <f t="shared" si="199"/>
        <v>0</v>
      </c>
      <c r="H1207" s="1648"/>
      <c r="I1207" s="1648">
        <f t="shared" si="200"/>
        <v>0</v>
      </c>
      <c r="J1207" s="1648"/>
      <c r="K1207" s="1648">
        <f t="shared" si="205"/>
        <v>0</v>
      </c>
      <c r="L1207" s="1648"/>
      <c r="M1207" s="1648">
        <f t="shared" si="206"/>
        <v>0</v>
      </c>
      <c r="N1207" s="1648">
        <f t="shared" si="207"/>
        <v>0</v>
      </c>
      <c r="O1207" s="1648">
        <f t="shared" si="208"/>
        <v>0</v>
      </c>
      <c r="P1207" s="1648">
        <f t="shared" si="201"/>
        <v>0</v>
      </c>
      <c r="Q1207" s="1648">
        <f t="shared" si="202"/>
        <v>0</v>
      </c>
      <c r="R1207" s="55">
        <f t="shared" si="203"/>
        <v>0</v>
      </c>
      <c r="S1207" s="55">
        <f t="shared" si="204"/>
        <v>0</v>
      </c>
    </row>
    <row r="1208" spans="1:19" ht="222" hidden="1" customHeight="1">
      <c r="A1208" s="1693"/>
      <c r="B1208" s="1648">
        <f t="shared" si="198"/>
        <v>0</v>
      </c>
      <c r="C1208" s="1867" t="s">
        <v>6116</v>
      </c>
      <c r="D1208" s="1672">
        <v>1372</v>
      </c>
      <c r="E1208" s="1702" t="s">
        <v>41</v>
      </c>
      <c r="F1208" s="1651"/>
      <c r="G1208" s="1648">
        <f t="shared" si="199"/>
        <v>0</v>
      </c>
      <c r="H1208" s="1648"/>
      <c r="I1208" s="1648">
        <f t="shared" si="200"/>
        <v>0</v>
      </c>
      <c r="J1208" s="1648"/>
      <c r="K1208" s="1648">
        <f t="shared" si="205"/>
        <v>0</v>
      </c>
      <c r="L1208" s="1648"/>
      <c r="M1208" s="1648">
        <f t="shared" si="206"/>
        <v>0</v>
      </c>
      <c r="N1208" s="1648">
        <f t="shared" si="207"/>
        <v>0</v>
      </c>
      <c r="O1208" s="1648">
        <f t="shared" si="208"/>
        <v>0</v>
      </c>
      <c r="P1208" s="1648">
        <f t="shared" si="201"/>
        <v>0</v>
      </c>
      <c r="Q1208" s="1648">
        <f t="shared" si="202"/>
        <v>0</v>
      </c>
      <c r="R1208" s="55">
        <f t="shared" si="203"/>
        <v>0</v>
      </c>
      <c r="S1208" s="55">
        <f t="shared" si="204"/>
        <v>0</v>
      </c>
    </row>
    <row r="1209" spans="1:19" ht="49.5" hidden="1" customHeight="1">
      <c r="A1209" s="1693"/>
      <c r="B1209" s="1648">
        <f t="shared" si="198"/>
        <v>0</v>
      </c>
      <c r="C1209" s="1865" t="s">
        <v>6117</v>
      </c>
      <c r="D1209" s="1672"/>
      <c r="E1209" s="1702"/>
      <c r="F1209" s="1651"/>
      <c r="G1209" s="1648">
        <f t="shared" si="199"/>
        <v>0</v>
      </c>
      <c r="H1209" s="1648"/>
      <c r="I1209" s="1648">
        <f t="shared" si="200"/>
        <v>0</v>
      </c>
      <c r="J1209" s="1648"/>
      <c r="K1209" s="1648">
        <f t="shared" si="205"/>
        <v>0</v>
      </c>
      <c r="L1209" s="1648"/>
      <c r="M1209" s="1648">
        <f t="shared" si="206"/>
        <v>0</v>
      </c>
      <c r="N1209" s="1648">
        <f t="shared" si="207"/>
        <v>0</v>
      </c>
      <c r="O1209" s="1648">
        <f t="shared" si="208"/>
        <v>0</v>
      </c>
      <c r="P1209" s="1648">
        <f t="shared" si="201"/>
        <v>0</v>
      </c>
      <c r="Q1209" s="1648">
        <f t="shared" si="202"/>
        <v>0</v>
      </c>
      <c r="R1209" s="55">
        <f t="shared" si="203"/>
        <v>0</v>
      </c>
      <c r="S1209" s="55">
        <f t="shared" si="204"/>
        <v>0</v>
      </c>
    </row>
    <row r="1210" spans="1:19" ht="348" hidden="1" customHeight="1">
      <c r="A1210" s="1693"/>
      <c r="B1210" s="1648">
        <f t="shared" si="198"/>
        <v>0</v>
      </c>
      <c r="C1210" s="1867" t="s">
        <v>7029</v>
      </c>
      <c r="D1210" s="1672">
        <v>2506</v>
      </c>
      <c r="E1210" s="1702" t="s">
        <v>41</v>
      </c>
      <c r="F1210" s="1651"/>
      <c r="G1210" s="1648">
        <f t="shared" si="199"/>
        <v>0</v>
      </c>
      <c r="H1210" s="1648"/>
      <c r="I1210" s="1648">
        <f t="shared" si="200"/>
        <v>0</v>
      </c>
      <c r="J1210" s="1648"/>
      <c r="K1210" s="1648">
        <f t="shared" si="205"/>
        <v>0</v>
      </c>
      <c r="L1210" s="1648"/>
      <c r="M1210" s="1648">
        <f t="shared" si="206"/>
        <v>0</v>
      </c>
      <c r="N1210" s="1648">
        <f t="shared" si="207"/>
        <v>0</v>
      </c>
      <c r="O1210" s="1648">
        <f t="shared" si="208"/>
        <v>0</v>
      </c>
      <c r="P1210" s="1648">
        <f t="shared" si="201"/>
        <v>0</v>
      </c>
      <c r="Q1210" s="1648">
        <f t="shared" si="202"/>
        <v>0</v>
      </c>
      <c r="R1210" s="55">
        <f t="shared" si="203"/>
        <v>0</v>
      </c>
      <c r="S1210" s="55">
        <f t="shared" si="204"/>
        <v>0</v>
      </c>
    </row>
    <row r="1211" spans="1:19" ht="49.5" hidden="1" customHeight="1">
      <c r="A1211" s="1693"/>
      <c r="B1211" s="1648">
        <f t="shared" si="198"/>
        <v>0</v>
      </c>
      <c r="C1211" s="1879" t="s">
        <v>6118</v>
      </c>
      <c r="D1211" s="1672"/>
      <c r="E1211" s="1702"/>
      <c r="F1211" s="1651"/>
      <c r="G1211" s="1648">
        <f t="shared" si="199"/>
        <v>0</v>
      </c>
      <c r="H1211" s="1648"/>
      <c r="I1211" s="1648">
        <f t="shared" si="200"/>
        <v>0</v>
      </c>
      <c r="J1211" s="1648"/>
      <c r="K1211" s="1648">
        <f t="shared" si="205"/>
        <v>0</v>
      </c>
      <c r="L1211" s="1648"/>
      <c r="M1211" s="1648">
        <f t="shared" si="206"/>
        <v>0</v>
      </c>
      <c r="N1211" s="1648">
        <f t="shared" si="207"/>
        <v>0</v>
      </c>
      <c r="O1211" s="1648">
        <f t="shared" si="208"/>
        <v>0</v>
      </c>
      <c r="P1211" s="1648">
        <f t="shared" si="201"/>
        <v>0</v>
      </c>
      <c r="Q1211" s="1648">
        <f t="shared" si="202"/>
        <v>0</v>
      </c>
      <c r="R1211" s="55">
        <f t="shared" si="203"/>
        <v>0</v>
      </c>
      <c r="S1211" s="55">
        <f t="shared" si="204"/>
        <v>0</v>
      </c>
    </row>
    <row r="1212" spans="1:19" ht="281.25" hidden="1" customHeight="1">
      <c r="A1212" s="1693"/>
      <c r="B1212" s="1648">
        <f t="shared" si="198"/>
        <v>0</v>
      </c>
      <c r="C1212" s="1880" t="s">
        <v>6119</v>
      </c>
      <c r="D1212" s="1675">
        <v>1236</v>
      </c>
      <c r="E1212" s="1704" t="s">
        <v>41</v>
      </c>
      <c r="F1212" s="1651"/>
      <c r="G1212" s="1648">
        <f t="shared" si="199"/>
        <v>0</v>
      </c>
      <c r="H1212" s="1648"/>
      <c r="I1212" s="1648">
        <f t="shared" si="200"/>
        <v>0</v>
      </c>
      <c r="J1212" s="1648"/>
      <c r="K1212" s="1648">
        <f t="shared" si="205"/>
        <v>0</v>
      </c>
      <c r="L1212" s="1648"/>
      <c r="M1212" s="1648">
        <f t="shared" si="206"/>
        <v>0</v>
      </c>
      <c r="N1212" s="1648">
        <f t="shared" si="207"/>
        <v>0</v>
      </c>
      <c r="O1212" s="1648">
        <f t="shared" si="208"/>
        <v>0</v>
      </c>
      <c r="P1212" s="1648">
        <f t="shared" si="201"/>
        <v>0</v>
      </c>
      <c r="Q1212" s="1648">
        <f t="shared" si="202"/>
        <v>0</v>
      </c>
      <c r="R1212" s="55">
        <f t="shared" si="203"/>
        <v>0</v>
      </c>
      <c r="S1212" s="55">
        <f t="shared" si="204"/>
        <v>0</v>
      </c>
    </row>
    <row r="1213" spans="1:19" ht="49.5" hidden="1" customHeight="1">
      <c r="A1213" s="1693"/>
      <c r="B1213" s="1648">
        <f t="shared" si="198"/>
        <v>0</v>
      </c>
      <c r="C1213" s="1868"/>
      <c r="D1213" s="1657"/>
      <c r="E1213" s="1689"/>
      <c r="F1213" s="1651"/>
      <c r="G1213" s="1648">
        <f t="shared" si="199"/>
        <v>0</v>
      </c>
      <c r="H1213" s="1648"/>
      <c r="I1213" s="1648">
        <f t="shared" si="200"/>
        <v>0</v>
      </c>
      <c r="J1213" s="1648"/>
      <c r="K1213" s="1648">
        <f t="shared" si="205"/>
        <v>0</v>
      </c>
      <c r="L1213" s="1648"/>
      <c r="M1213" s="1648">
        <f t="shared" si="206"/>
        <v>0</v>
      </c>
      <c r="N1213" s="1648">
        <f t="shared" si="207"/>
        <v>0</v>
      </c>
      <c r="O1213" s="1648">
        <f t="shared" si="208"/>
        <v>0</v>
      </c>
      <c r="P1213" s="1648">
        <f t="shared" si="201"/>
        <v>0</v>
      </c>
      <c r="Q1213" s="1648">
        <f t="shared" si="202"/>
        <v>0</v>
      </c>
      <c r="R1213" s="55">
        <f t="shared" si="203"/>
        <v>0</v>
      </c>
      <c r="S1213" s="55">
        <f t="shared" si="204"/>
        <v>0</v>
      </c>
    </row>
    <row r="1214" spans="1:19" ht="151.5" hidden="1" customHeight="1">
      <c r="A1214" s="1693"/>
      <c r="B1214" s="1648">
        <f t="shared" si="198"/>
        <v>0</v>
      </c>
      <c r="C1214" s="1868" t="s">
        <v>6120</v>
      </c>
      <c r="D1214" s="1657">
        <v>425</v>
      </c>
      <c r="E1214" s="1704" t="s">
        <v>729</v>
      </c>
      <c r="F1214" s="1651"/>
      <c r="G1214" s="1648">
        <f t="shared" si="199"/>
        <v>0</v>
      </c>
      <c r="H1214" s="1648"/>
      <c r="I1214" s="1648">
        <f t="shared" si="200"/>
        <v>0</v>
      </c>
      <c r="J1214" s="1648"/>
      <c r="K1214" s="1648">
        <f t="shared" si="205"/>
        <v>0</v>
      </c>
      <c r="L1214" s="1648"/>
      <c r="M1214" s="1648">
        <f t="shared" si="206"/>
        <v>0</v>
      </c>
      <c r="N1214" s="1648">
        <f t="shared" si="207"/>
        <v>0</v>
      </c>
      <c r="O1214" s="1648">
        <f t="shared" si="208"/>
        <v>0</v>
      </c>
      <c r="P1214" s="1648">
        <f t="shared" si="201"/>
        <v>0</v>
      </c>
      <c r="Q1214" s="1648">
        <f t="shared" si="202"/>
        <v>0</v>
      </c>
      <c r="R1214" s="55">
        <f t="shared" si="203"/>
        <v>0</v>
      </c>
      <c r="S1214" s="55">
        <f t="shared" si="204"/>
        <v>0</v>
      </c>
    </row>
    <row r="1215" spans="1:19" ht="49.5" hidden="1" customHeight="1">
      <c r="A1215" s="1693"/>
      <c r="B1215" s="1648">
        <f t="shared" si="198"/>
        <v>0</v>
      </c>
      <c r="C1215" s="1879" t="s">
        <v>5519</v>
      </c>
      <c r="D1215" s="1675"/>
      <c r="E1215" s="1704"/>
      <c r="F1215" s="1651"/>
      <c r="G1215" s="1648">
        <f t="shared" si="199"/>
        <v>0</v>
      </c>
      <c r="H1215" s="1648"/>
      <c r="I1215" s="1648">
        <f t="shared" si="200"/>
        <v>0</v>
      </c>
      <c r="J1215" s="1648"/>
      <c r="K1215" s="1648">
        <f t="shared" si="205"/>
        <v>0</v>
      </c>
      <c r="L1215" s="1648"/>
      <c r="M1215" s="1648">
        <f t="shared" si="206"/>
        <v>0</v>
      </c>
      <c r="N1215" s="1648">
        <f t="shared" si="207"/>
        <v>0</v>
      </c>
      <c r="O1215" s="1648">
        <f t="shared" si="208"/>
        <v>0</v>
      </c>
      <c r="P1215" s="1648">
        <f t="shared" si="201"/>
        <v>0</v>
      </c>
      <c r="Q1215" s="1648">
        <f t="shared" si="202"/>
        <v>0</v>
      </c>
      <c r="R1215" s="55">
        <f t="shared" si="203"/>
        <v>0</v>
      </c>
      <c r="S1215" s="55">
        <f t="shared" si="204"/>
        <v>0</v>
      </c>
    </row>
    <row r="1216" spans="1:19" ht="121.9" hidden="1" customHeight="1">
      <c r="A1216" s="1693"/>
      <c r="B1216" s="1648">
        <f t="shared" si="198"/>
        <v>0</v>
      </c>
      <c r="C1216" s="1880" t="s">
        <v>6121</v>
      </c>
      <c r="D1216" s="1675">
        <v>641</v>
      </c>
      <c r="E1216" s="1704" t="s">
        <v>729</v>
      </c>
      <c r="F1216" s="1651"/>
      <c r="G1216" s="1648">
        <f t="shared" si="199"/>
        <v>0</v>
      </c>
      <c r="H1216" s="1648"/>
      <c r="I1216" s="1648">
        <f t="shared" si="200"/>
        <v>0</v>
      </c>
      <c r="J1216" s="1648"/>
      <c r="K1216" s="1648">
        <f t="shared" si="205"/>
        <v>0</v>
      </c>
      <c r="L1216" s="1648"/>
      <c r="M1216" s="1648">
        <f t="shared" si="206"/>
        <v>0</v>
      </c>
      <c r="N1216" s="1648">
        <f t="shared" si="207"/>
        <v>0</v>
      </c>
      <c r="O1216" s="1648">
        <f t="shared" si="208"/>
        <v>0</v>
      </c>
      <c r="P1216" s="1648">
        <f t="shared" si="201"/>
        <v>0</v>
      </c>
      <c r="Q1216" s="1648">
        <f t="shared" si="202"/>
        <v>0</v>
      </c>
      <c r="R1216" s="55">
        <f t="shared" si="203"/>
        <v>0</v>
      </c>
      <c r="S1216" s="55">
        <f t="shared" si="204"/>
        <v>0</v>
      </c>
    </row>
    <row r="1217" spans="1:19" ht="84.6" hidden="1" customHeight="1">
      <c r="A1217" s="1693"/>
      <c r="B1217" s="1648">
        <f t="shared" si="198"/>
        <v>0</v>
      </c>
      <c r="C1217" s="1880" t="s">
        <v>6122</v>
      </c>
      <c r="D1217" s="1675">
        <v>173</v>
      </c>
      <c r="E1217" s="1689" t="s">
        <v>729</v>
      </c>
      <c r="F1217" s="1651"/>
      <c r="G1217" s="1648">
        <f t="shared" si="199"/>
        <v>0</v>
      </c>
      <c r="H1217" s="1648"/>
      <c r="I1217" s="1648">
        <f t="shared" si="200"/>
        <v>0</v>
      </c>
      <c r="J1217" s="1648"/>
      <c r="K1217" s="1648">
        <f t="shared" si="205"/>
        <v>0</v>
      </c>
      <c r="L1217" s="1648"/>
      <c r="M1217" s="1648">
        <f t="shared" si="206"/>
        <v>0</v>
      </c>
      <c r="N1217" s="1648">
        <f t="shared" si="207"/>
        <v>0</v>
      </c>
      <c r="O1217" s="1648">
        <f t="shared" si="208"/>
        <v>0</v>
      </c>
      <c r="P1217" s="1648">
        <f t="shared" si="201"/>
        <v>0</v>
      </c>
      <c r="Q1217" s="1648">
        <f t="shared" si="202"/>
        <v>0</v>
      </c>
      <c r="R1217" s="55">
        <f t="shared" si="203"/>
        <v>0</v>
      </c>
      <c r="S1217" s="55">
        <f t="shared" si="204"/>
        <v>0</v>
      </c>
    </row>
    <row r="1218" spans="1:19" ht="49.5" hidden="1" customHeight="1">
      <c r="A1218" s="1693"/>
      <c r="B1218" s="1648">
        <f t="shared" si="198"/>
        <v>0</v>
      </c>
      <c r="C1218" s="1879" t="s">
        <v>6123</v>
      </c>
      <c r="D1218" s="1675"/>
      <c r="E1218" s="1704"/>
      <c r="F1218" s="1651"/>
      <c r="G1218" s="1648">
        <f t="shared" si="199"/>
        <v>0</v>
      </c>
      <c r="H1218" s="1648"/>
      <c r="I1218" s="1648">
        <f t="shared" si="200"/>
        <v>0</v>
      </c>
      <c r="J1218" s="1648"/>
      <c r="K1218" s="1648">
        <f t="shared" si="205"/>
        <v>0</v>
      </c>
      <c r="L1218" s="1648"/>
      <c r="M1218" s="1648">
        <f t="shared" si="206"/>
        <v>0</v>
      </c>
      <c r="N1218" s="1648">
        <f t="shared" si="207"/>
        <v>0</v>
      </c>
      <c r="O1218" s="1648">
        <f t="shared" si="208"/>
        <v>0</v>
      </c>
      <c r="P1218" s="1648">
        <f t="shared" si="201"/>
        <v>0</v>
      </c>
      <c r="Q1218" s="1648">
        <f t="shared" si="202"/>
        <v>0</v>
      </c>
      <c r="R1218" s="55">
        <f t="shared" si="203"/>
        <v>0</v>
      </c>
      <c r="S1218" s="55">
        <f t="shared" si="204"/>
        <v>0</v>
      </c>
    </row>
    <row r="1219" spans="1:19" ht="117" hidden="1" customHeight="1">
      <c r="A1219" s="1693"/>
      <c r="B1219" s="1648">
        <f t="shared" si="198"/>
        <v>0</v>
      </c>
      <c r="C1219" s="1868" t="s">
        <v>6124</v>
      </c>
      <c r="D1219" s="1657">
        <v>174</v>
      </c>
      <c r="E1219" s="1689" t="s">
        <v>6125</v>
      </c>
      <c r="F1219" s="1651"/>
      <c r="G1219" s="1648">
        <f t="shared" si="199"/>
        <v>0</v>
      </c>
      <c r="H1219" s="1648"/>
      <c r="I1219" s="1648">
        <f t="shared" si="200"/>
        <v>0</v>
      </c>
      <c r="J1219" s="1648"/>
      <c r="K1219" s="1648">
        <f t="shared" si="205"/>
        <v>0</v>
      </c>
      <c r="L1219" s="1648"/>
      <c r="M1219" s="1648">
        <f t="shared" si="206"/>
        <v>0</v>
      </c>
      <c r="N1219" s="1648">
        <f t="shared" si="207"/>
        <v>0</v>
      </c>
      <c r="O1219" s="1648">
        <f t="shared" si="208"/>
        <v>0</v>
      </c>
      <c r="P1219" s="1648">
        <f t="shared" si="201"/>
        <v>0</v>
      </c>
      <c r="Q1219" s="1648">
        <f t="shared" si="202"/>
        <v>0</v>
      </c>
      <c r="R1219" s="55">
        <f t="shared" si="203"/>
        <v>0</v>
      </c>
      <c r="S1219" s="55">
        <f t="shared" si="204"/>
        <v>0</v>
      </c>
    </row>
    <row r="1220" spans="1:19" ht="117" hidden="1" customHeight="1">
      <c r="A1220" s="1693"/>
      <c r="B1220" s="1648">
        <f t="shared" si="198"/>
        <v>0</v>
      </c>
      <c r="C1220" s="1868" t="s">
        <v>6126</v>
      </c>
      <c r="D1220" s="1657">
        <v>341</v>
      </c>
      <c r="E1220" s="1689" t="s">
        <v>6125</v>
      </c>
      <c r="F1220" s="1651"/>
      <c r="G1220" s="1648">
        <f t="shared" si="199"/>
        <v>0</v>
      </c>
      <c r="H1220" s="1648"/>
      <c r="I1220" s="1648">
        <f t="shared" si="200"/>
        <v>0</v>
      </c>
      <c r="J1220" s="1648"/>
      <c r="K1220" s="1648">
        <f t="shared" si="205"/>
        <v>0</v>
      </c>
      <c r="L1220" s="1648"/>
      <c r="M1220" s="1648">
        <f t="shared" si="206"/>
        <v>0</v>
      </c>
      <c r="N1220" s="1648">
        <f t="shared" si="207"/>
        <v>0</v>
      </c>
      <c r="O1220" s="1648">
        <f t="shared" si="208"/>
        <v>0</v>
      </c>
      <c r="P1220" s="1648">
        <f t="shared" si="201"/>
        <v>0</v>
      </c>
      <c r="Q1220" s="1648">
        <f t="shared" si="202"/>
        <v>0</v>
      </c>
      <c r="R1220" s="55">
        <f t="shared" si="203"/>
        <v>0</v>
      </c>
      <c r="S1220" s="55">
        <f t="shared" si="204"/>
        <v>0</v>
      </c>
    </row>
    <row r="1221" spans="1:19" ht="202.5" hidden="1" customHeight="1">
      <c r="A1221" s="1693"/>
      <c r="B1221" s="1648">
        <f t="shared" si="198"/>
        <v>0</v>
      </c>
      <c r="C1221" s="1868" t="s">
        <v>6127</v>
      </c>
      <c r="D1221" s="1657">
        <v>462</v>
      </c>
      <c r="E1221" s="1689" t="s">
        <v>6125</v>
      </c>
      <c r="F1221" s="1651"/>
      <c r="G1221" s="1648">
        <f t="shared" si="199"/>
        <v>0</v>
      </c>
      <c r="H1221" s="1648"/>
      <c r="I1221" s="1648">
        <f t="shared" si="200"/>
        <v>0</v>
      </c>
      <c r="J1221" s="1648"/>
      <c r="K1221" s="1648">
        <f t="shared" si="205"/>
        <v>0</v>
      </c>
      <c r="L1221" s="1648"/>
      <c r="M1221" s="1648">
        <f t="shared" si="206"/>
        <v>0</v>
      </c>
      <c r="N1221" s="1648">
        <f t="shared" si="207"/>
        <v>0</v>
      </c>
      <c r="O1221" s="1648">
        <f t="shared" si="208"/>
        <v>0</v>
      </c>
      <c r="P1221" s="1648">
        <f t="shared" si="201"/>
        <v>0</v>
      </c>
      <c r="Q1221" s="1648">
        <f t="shared" si="202"/>
        <v>0</v>
      </c>
      <c r="R1221" s="55">
        <f t="shared" si="203"/>
        <v>0</v>
      </c>
      <c r="S1221" s="55">
        <f t="shared" si="204"/>
        <v>0</v>
      </c>
    </row>
    <row r="1222" spans="1:19" ht="49.5" customHeight="1">
      <c r="A1222" s="1693"/>
      <c r="B1222" s="1648">
        <f t="shared" ref="B1222:B1285" si="209">P1222</f>
        <v>0</v>
      </c>
      <c r="C1222" s="1879" t="s">
        <v>6128</v>
      </c>
      <c r="D1222" s="1675"/>
      <c r="E1222" s="1704"/>
      <c r="F1222" s="1651"/>
      <c r="G1222" s="1648">
        <f t="shared" ref="G1222:G1285" si="210">F1222*D1222</f>
        <v>0</v>
      </c>
      <c r="H1222" s="1648"/>
      <c r="I1222" s="1648">
        <f t="shared" ref="I1222:I1285" si="211">H1222*D1222</f>
        <v>0</v>
      </c>
      <c r="J1222" s="1648"/>
      <c r="K1222" s="1648">
        <f t="shared" si="205"/>
        <v>0</v>
      </c>
      <c r="L1222" s="1648"/>
      <c r="M1222" s="1648">
        <f t="shared" si="206"/>
        <v>0</v>
      </c>
      <c r="N1222" s="1648">
        <f t="shared" si="207"/>
        <v>0</v>
      </c>
      <c r="O1222" s="1648">
        <f t="shared" si="208"/>
        <v>0</v>
      </c>
      <c r="P1222" s="1648">
        <f t="shared" ref="P1222:P1285" si="212">N1222+F1222</f>
        <v>0</v>
      </c>
      <c r="Q1222" s="1648">
        <f t="shared" ref="Q1222:Q1285" si="213">P1222*D1222</f>
        <v>0</v>
      </c>
      <c r="R1222" s="55">
        <f t="shared" ref="R1222:R1285" si="214">G1222+I1222+K1222+M1222</f>
        <v>0</v>
      </c>
      <c r="S1222" s="55">
        <f t="shared" ref="S1222:S1285" si="215">Q1222-R1222</f>
        <v>0</v>
      </c>
    </row>
    <row r="1223" spans="1:19" ht="186" customHeight="1">
      <c r="A1223" s="1693"/>
      <c r="B1223" s="1648">
        <f t="shared" si="209"/>
        <v>3</v>
      </c>
      <c r="C1223" s="1868" t="s">
        <v>6129</v>
      </c>
      <c r="D1223" s="1676">
        <v>2703</v>
      </c>
      <c r="E1223" s="1705" t="s">
        <v>2847</v>
      </c>
      <c r="F1223" s="1651"/>
      <c r="G1223" s="1648">
        <f t="shared" si="210"/>
        <v>0</v>
      </c>
      <c r="H1223" s="1648"/>
      <c r="I1223" s="1648">
        <f t="shared" si="211"/>
        <v>0</v>
      </c>
      <c r="J1223" s="1648"/>
      <c r="K1223" s="1648">
        <f t="shared" ref="K1223:K1286" si="216">J1223*D1223</f>
        <v>0</v>
      </c>
      <c r="L1223" s="1648">
        <f>genset!G62</f>
        <v>3</v>
      </c>
      <c r="M1223" s="1648">
        <f t="shared" ref="M1223:M1286" si="217">L1223*D1223</f>
        <v>8109</v>
      </c>
      <c r="N1223" s="1648">
        <f t="shared" ref="N1223:N1286" si="218">H1223+J1223+L1223</f>
        <v>3</v>
      </c>
      <c r="O1223" s="1648">
        <f t="shared" ref="O1223:O1286" si="219">N1223*D1223</f>
        <v>8109</v>
      </c>
      <c r="P1223" s="1648">
        <f t="shared" si="212"/>
        <v>3</v>
      </c>
      <c r="Q1223" s="1648">
        <f t="shared" si="213"/>
        <v>8109</v>
      </c>
      <c r="R1223" s="55">
        <f t="shared" si="214"/>
        <v>8109</v>
      </c>
      <c r="S1223" s="55">
        <f t="shared" si="215"/>
        <v>0</v>
      </c>
    </row>
    <row r="1224" spans="1:19" ht="232.5" customHeight="1">
      <c r="A1224" s="1693"/>
      <c r="B1224" s="1648">
        <f t="shared" si="209"/>
        <v>2</v>
      </c>
      <c r="C1224" s="1868" t="s">
        <v>6130</v>
      </c>
      <c r="D1224" s="1676">
        <v>7846</v>
      </c>
      <c r="E1224" s="1705" t="s">
        <v>2847</v>
      </c>
      <c r="F1224" s="1651"/>
      <c r="G1224" s="1648">
        <f t="shared" si="210"/>
        <v>0</v>
      </c>
      <c r="H1224" s="1648"/>
      <c r="I1224" s="1648">
        <f t="shared" si="211"/>
        <v>0</v>
      </c>
      <c r="J1224" s="1648"/>
      <c r="K1224" s="1648">
        <f t="shared" si="216"/>
        <v>0</v>
      </c>
      <c r="L1224" s="1648">
        <f>genset!G64</f>
        <v>2</v>
      </c>
      <c r="M1224" s="1648">
        <f t="shared" si="217"/>
        <v>15692</v>
      </c>
      <c r="N1224" s="1648">
        <f t="shared" si="218"/>
        <v>2</v>
      </c>
      <c r="O1224" s="1648">
        <f t="shared" si="219"/>
        <v>15692</v>
      </c>
      <c r="P1224" s="1648">
        <f t="shared" si="212"/>
        <v>2</v>
      </c>
      <c r="Q1224" s="1648">
        <f t="shared" si="213"/>
        <v>15692</v>
      </c>
      <c r="R1224" s="55">
        <f t="shared" si="214"/>
        <v>15692</v>
      </c>
      <c r="S1224" s="55">
        <f t="shared" si="215"/>
        <v>0</v>
      </c>
    </row>
    <row r="1225" spans="1:19" ht="72" customHeight="1">
      <c r="A1225" s="1693"/>
      <c r="B1225" s="1648">
        <f t="shared" si="209"/>
        <v>100</v>
      </c>
      <c r="C1225" s="1868" t="s">
        <v>6131</v>
      </c>
      <c r="D1225" s="1657">
        <v>128.5</v>
      </c>
      <c r="E1225" s="1689" t="s">
        <v>6125</v>
      </c>
      <c r="F1225" s="1651"/>
      <c r="G1225" s="1648">
        <f t="shared" si="210"/>
        <v>0</v>
      </c>
      <c r="H1225" s="1648"/>
      <c r="I1225" s="1648">
        <f t="shared" si="211"/>
        <v>0</v>
      </c>
      <c r="J1225" s="1648"/>
      <c r="K1225" s="1648">
        <f t="shared" si="216"/>
        <v>0</v>
      </c>
      <c r="L1225" s="1648">
        <f>genset!G66</f>
        <v>100</v>
      </c>
      <c r="M1225" s="1648">
        <f t="shared" si="217"/>
        <v>12850</v>
      </c>
      <c r="N1225" s="1648">
        <f t="shared" si="218"/>
        <v>100</v>
      </c>
      <c r="O1225" s="1648">
        <f t="shared" si="219"/>
        <v>12850</v>
      </c>
      <c r="P1225" s="1648">
        <f t="shared" si="212"/>
        <v>100</v>
      </c>
      <c r="Q1225" s="1648">
        <f t="shared" si="213"/>
        <v>12850</v>
      </c>
      <c r="R1225" s="55">
        <f t="shared" si="214"/>
        <v>12850</v>
      </c>
      <c r="S1225" s="55">
        <f t="shared" si="215"/>
        <v>0</v>
      </c>
    </row>
    <row r="1226" spans="1:19" ht="81" customHeight="1">
      <c r="A1226" s="1693"/>
      <c r="B1226" s="1648">
        <f t="shared" si="209"/>
        <v>40</v>
      </c>
      <c r="C1226" s="1868" t="s">
        <v>6132</v>
      </c>
      <c r="D1226" s="1676">
        <v>467</v>
      </c>
      <c r="E1226" s="1705" t="s">
        <v>2847</v>
      </c>
      <c r="F1226" s="1651"/>
      <c r="G1226" s="1648">
        <f t="shared" si="210"/>
        <v>0</v>
      </c>
      <c r="H1226" s="1648"/>
      <c r="I1226" s="1648">
        <f t="shared" si="211"/>
        <v>0</v>
      </c>
      <c r="J1226" s="1648"/>
      <c r="K1226" s="1648">
        <f t="shared" si="216"/>
        <v>0</v>
      </c>
      <c r="L1226" s="1648">
        <f>genset!G68</f>
        <v>40</v>
      </c>
      <c r="M1226" s="1648">
        <f t="shared" si="217"/>
        <v>18680</v>
      </c>
      <c r="N1226" s="1648">
        <f t="shared" si="218"/>
        <v>40</v>
      </c>
      <c r="O1226" s="1648">
        <f t="shared" si="219"/>
        <v>18680</v>
      </c>
      <c r="P1226" s="1648">
        <f t="shared" si="212"/>
        <v>40</v>
      </c>
      <c r="Q1226" s="1648">
        <f t="shared" si="213"/>
        <v>18680</v>
      </c>
      <c r="R1226" s="55">
        <f t="shared" si="214"/>
        <v>18680</v>
      </c>
      <c r="S1226" s="55">
        <f t="shared" si="215"/>
        <v>0</v>
      </c>
    </row>
    <row r="1227" spans="1:19" ht="88.15" customHeight="1">
      <c r="A1227" s="1693"/>
      <c r="B1227" s="1648">
        <f t="shared" si="209"/>
        <v>30</v>
      </c>
      <c r="C1227" s="1868" t="s">
        <v>6133</v>
      </c>
      <c r="D1227" s="1676">
        <v>880</v>
      </c>
      <c r="E1227" s="1705" t="s">
        <v>2092</v>
      </c>
      <c r="F1227" s="1651"/>
      <c r="G1227" s="1648">
        <f t="shared" si="210"/>
        <v>0</v>
      </c>
      <c r="H1227" s="1648"/>
      <c r="I1227" s="1648">
        <f t="shared" si="211"/>
        <v>0</v>
      </c>
      <c r="J1227" s="1648"/>
      <c r="K1227" s="1648">
        <f t="shared" si="216"/>
        <v>0</v>
      </c>
      <c r="L1227" s="1648">
        <f>genset!G70</f>
        <v>30</v>
      </c>
      <c r="M1227" s="1648">
        <f t="shared" si="217"/>
        <v>26400</v>
      </c>
      <c r="N1227" s="1648">
        <f t="shared" si="218"/>
        <v>30</v>
      </c>
      <c r="O1227" s="1648">
        <f t="shared" si="219"/>
        <v>26400</v>
      </c>
      <c r="P1227" s="1648">
        <f t="shared" si="212"/>
        <v>30</v>
      </c>
      <c r="Q1227" s="1648">
        <f t="shared" si="213"/>
        <v>26400</v>
      </c>
      <c r="R1227" s="55">
        <f t="shared" si="214"/>
        <v>26400</v>
      </c>
      <c r="S1227" s="55">
        <f t="shared" si="215"/>
        <v>0</v>
      </c>
    </row>
    <row r="1228" spans="1:19" ht="49.5" hidden="1" customHeight="1">
      <c r="A1228" s="1693"/>
      <c r="B1228" s="1648">
        <f t="shared" si="209"/>
        <v>0</v>
      </c>
      <c r="C1228" s="1879" t="s">
        <v>6134</v>
      </c>
      <c r="D1228" s="1676"/>
      <c r="E1228" s="1705"/>
      <c r="F1228" s="1651"/>
      <c r="G1228" s="1648">
        <f t="shared" si="210"/>
        <v>0</v>
      </c>
      <c r="H1228" s="1648"/>
      <c r="I1228" s="1648">
        <f t="shared" si="211"/>
        <v>0</v>
      </c>
      <c r="J1228" s="1648"/>
      <c r="K1228" s="1648">
        <f t="shared" si="216"/>
        <v>0</v>
      </c>
      <c r="L1228" s="1648"/>
      <c r="M1228" s="1648">
        <f t="shared" si="217"/>
        <v>0</v>
      </c>
      <c r="N1228" s="1648">
        <f t="shared" si="218"/>
        <v>0</v>
      </c>
      <c r="O1228" s="1648">
        <f t="shared" si="219"/>
        <v>0</v>
      </c>
      <c r="P1228" s="1648">
        <f t="shared" si="212"/>
        <v>0</v>
      </c>
      <c r="Q1228" s="1648">
        <f t="shared" si="213"/>
        <v>0</v>
      </c>
      <c r="R1228" s="55">
        <f t="shared" si="214"/>
        <v>0</v>
      </c>
      <c r="S1228" s="55">
        <f t="shared" si="215"/>
        <v>0</v>
      </c>
    </row>
    <row r="1229" spans="1:19" ht="49.5" hidden="1" customHeight="1">
      <c r="A1229" s="1693"/>
      <c r="B1229" s="1648">
        <f t="shared" si="209"/>
        <v>0</v>
      </c>
      <c r="C1229" s="1881" t="s">
        <v>7030</v>
      </c>
      <c r="D1229" s="1677">
        <v>6860</v>
      </c>
      <c r="E1229" s="1706" t="s">
        <v>729</v>
      </c>
      <c r="F1229" s="1651"/>
      <c r="G1229" s="1648">
        <f t="shared" si="210"/>
        <v>0</v>
      </c>
      <c r="H1229" s="1648"/>
      <c r="I1229" s="1648">
        <f t="shared" si="211"/>
        <v>0</v>
      </c>
      <c r="J1229" s="1648"/>
      <c r="K1229" s="1648">
        <f t="shared" si="216"/>
        <v>0</v>
      </c>
      <c r="L1229" s="1648"/>
      <c r="M1229" s="1648">
        <f t="shared" si="217"/>
        <v>0</v>
      </c>
      <c r="N1229" s="1648">
        <f t="shared" si="218"/>
        <v>0</v>
      </c>
      <c r="O1229" s="1648">
        <f t="shared" si="219"/>
        <v>0</v>
      </c>
      <c r="P1229" s="1648">
        <f t="shared" si="212"/>
        <v>0</v>
      </c>
      <c r="Q1229" s="1648">
        <f t="shared" si="213"/>
        <v>0</v>
      </c>
      <c r="R1229" s="55">
        <f t="shared" si="214"/>
        <v>0</v>
      </c>
      <c r="S1229" s="55">
        <f t="shared" si="215"/>
        <v>0</v>
      </c>
    </row>
    <row r="1230" spans="1:19" ht="123" hidden="1" customHeight="1">
      <c r="A1230" s="1693"/>
      <c r="B1230" s="1648">
        <f t="shared" si="209"/>
        <v>0</v>
      </c>
      <c r="C1230" s="1868" t="s">
        <v>6135</v>
      </c>
      <c r="D1230" s="1676">
        <v>1853</v>
      </c>
      <c r="E1230" s="1705" t="s">
        <v>2847</v>
      </c>
      <c r="F1230" s="1651"/>
      <c r="G1230" s="1648">
        <f t="shared" si="210"/>
        <v>0</v>
      </c>
      <c r="H1230" s="1648"/>
      <c r="I1230" s="1648">
        <f t="shared" si="211"/>
        <v>0</v>
      </c>
      <c r="J1230" s="1648"/>
      <c r="K1230" s="1648">
        <f t="shared" si="216"/>
        <v>0</v>
      </c>
      <c r="L1230" s="1648"/>
      <c r="M1230" s="1648">
        <f t="shared" si="217"/>
        <v>0</v>
      </c>
      <c r="N1230" s="1648">
        <f t="shared" si="218"/>
        <v>0</v>
      </c>
      <c r="O1230" s="1648">
        <f t="shared" si="219"/>
        <v>0</v>
      </c>
      <c r="P1230" s="1648">
        <f t="shared" si="212"/>
        <v>0</v>
      </c>
      <c r="Q1230" s="1648">
        <f t="shared" si="213"/>
        <v>0</v>
      </c>
      <c r="R1230" s="55">
        <f t="shared" si="214"/>
        <v>0</v>
      </c>
      <c r="S1230" s="55">
        <f t="shared" si="215"/>
        <v>0</v>
      </c>
    </row>
    <row r="1231" spans="1:19" ht="123" hidden="1" customHeight="1">
      <c r="A1231" s="1693"/>
      <c r="B1231" s="1648">
        <f t="shared" si="209"/>
        <v>0</v>
      </c>
      <c r="C1231" s="1867" t="s">
        <v>6136</v>
      </c>
      <c r="D1231" s="1672">
        <v>635</v>
      </c>
      <c r="E1231" s="1688" t="s">
        <v>729</v>
      </c>
      <c r="F1231" s="1651"/>
      <c r="G1231" s="1648">
        <f t="shared" si="210"/>
        <v>0</v>
      </c>
      <c r="H1231" s="1648"/>
      <c r="I1231" s="1648">
        <f t="shared" si="211"/>
        <v>0</v>
      </c>
      <c r="J1231" s="1648"/>
      <c r="K1231" s="1648">
        <f t="shared" si="216"/>
        <v>0</v>
      </c>
      <c r="L1231" s="1648"/>
      <c r="M1231" s="1648">
        <f t="shared" si="217"/>
        <v>0</v>
      </c>
      <c r="N1231" s="1648">
        <f t="shared" si="218"/>
        <v>0</v>
      </c>
      <c r="O1231" s="1648">
        <f t="shared" si="219"/>
        <v>0</v>
      </c>
      <c r="P1231" s="1648">
        <f t="shared" si="212"/>
        <v>0</v>
      </c>
      <c r="Q1231" s="1648">
        <f t="shared" si="213"/>
        <v>0</v>
      </c>
      <c r="R1231" s="55">
        <f t="shared" si="214"/>
        <v>0</v>
      </c>
      <c r="S1231" s="55">
        <f t="shared" si="215"/>
        <v>0</v>
      </c>
    </row>
    <row r="1232" spans="1:19" ht="123" hidden="1" customHeight="1">
      <c r="A1232" s="1693"/>
      <c r="B1232" s="1648">
        <f t="shared" si="209"/>
        <v>0</v>
      </c>
      <c r="C1232" s="1867" t="s">
        <v>6137</v>
      </c>
      <c r="D1232" s="1672">
        <v>525</v>
      </c>
      <c r="E1232" s="1688" t="s">
        <v>729</v>
      </c>
      <c r="F1232" s="1651"/>
      <c r="G1232" s="1648">
        <f t="shared" si="210"/>
        <v>0</v>
      </c>
      <c r="H1232" s="1648"/>
      <c r="I1232" s="1648">
        <f t="shared" si="211"/>
        <v>0</v>
      </c>
      <c r="J1232" s="1648"/>
      <c r="K1232" s="1648">
        <f t="shared" si="216"/>
        <v>0</v>
      </c>
      <c r="L1232" s="1648"/>
      <c r="M1232" s="1648">
        <f t="shared" si="217"/>
        <v>0</v>
      </c>
      <c r="N1232" s="1648">
        <f t="shared" si="218"/>
        <v>0</v>
      </c>
      <c r="O1232" s="1648">
        <f t="shared" si="219"/>
        <v>0</v>
      </c>
      <c r="P1232" s="1648">
        <f t="shared" si="212"/>
        <v>0</v>
      </c>
      <c r="Q1232" s="1648">
        <f t="shared" si="213"/>
        <v>0</v>
      </c>
      <c r="R1232" s="55">
        <f t="shared" si="214"/>
        <v>0</v>
      </c>
      <c r="S1232" s="55">
        <f t="shared" si="215"/>
        <v>0</v>
      </c>
    </row>
    <row r="1233" spans="1:19" ht="111.75" hidden="1" customHeight="1">
      <c r="A1233" s="1693"/>
      <c r="B1233" s="1648">
        <f t="shared" si="209"/>
        <v>0</v>
      </c>
      <c r="C1233" s="1867" t="s">
        <v>6138</v>
      </c>
      <c r="D1233" s="1672">
        <v>1124</v>
      </c>
      <c r="E1233" s="1688" t="s">
        <v>729</v>
      </c>
      <c r="F1233" s="1651"/>
      <c r="G1233" s="1648">
        <f t="shared" si="210"/>
        <v>0</v>
      </c>
      <c r="H1233" s="1648"/>
      <c r="I1233" s="1648">
        <f t="shared" si="211"/>
        <v>0</v>
      </c>
      <c r="J1233" s="1648"/>
      <c r="K1233" s="1648">
        <f t="shared" si="216"/>
        <v>0</v>
      </c>
      <c r="L1233" s="1648"/>
      <c r="M1233" s="1648">
        <f t="shared" si="217"/>
        <v>0</v>
      </c>
      <c r="N1233" s="1648">
        <f t="shared" si="218"/>
        <v>0</v>
      </c>
      <c r="O1233" s="1648">
        <f t="shared" si="219"/>
        <v>0</v>
      </c>
      <c r="P1233" s="1648">
        <f t="shared" si="212"/>
        <v>0</v>
      </c>
      <c r="Q1233" s="1648">
        <f t="shared" si="213"/>
        <v>0</v>
      </c>
      <c r="R1233" s="55">
        <f t="shared" si="214"/>
        <v>0</v>
      </c>
      <c r="S1233" s="55">
        <f t="shared" si="215"/>
        <v>0</v>
      </c>
    </row>
    <row r="1234" spans="1:19" ht="94.5" hidden="1" customHeight="1">
      <c r="A1234" s="1693"/>
      <c r="B1234" s="1648">
        <f t="shared" si="209"/>
        <v>0</v>
      </c>
      <c r="C1234" s="1867" t="s">
        <v>6139</v>
      </c>
      <c r="D1234" s="1672">
        <v>2708</v>
      </c>
      <c r="E1234" s="1688" t="s">
        <v>729</v>
      </c>
      <c r="F1234" s="1651"/>
      <c r="G1234" s="1648">
        <f t="shared" si="210"/>
        <v>0</v>
      </c>
      <c r="H1234" s="1648"/>
      <c r="I1234" s="1648">
        <f t="shared" si="211"/>
        <v>0</v>
      </c>
      <c r="J1234" s="1648"/>
      <c r="K1234" s="1648">
        <f t="shared" si="216"/>
        <v>0</v>
      </c>
      <c r="L1234" s="1648"/>
      <c r="M1234" s="1648">
        <f t="shared" si="217"/>
        <v>0</v>
      </c>
      <c r="N1234" s="1648">
        <f t="shared" si="218"/>
        <v>0</v>
      </c>
      <c r="O1234" s="1648">
        <f t="shared" si="219"/>
        <v>0</v>
      </c>
      <c r="P1234" s="1648">
        <f t="shared" si="212"/>
        <v>0</v>
      </c>
      <c r="Q1234" s="1648">
        <f t="shared" si="213"/>
        <v>0</v>
      </c>
      <c r="R1234" s="55">
        <f t="shared" si="214"/>
        <v>0</v>
      </c>
      <c r="S1234" s="55">
        <f t="shared" si="215"/>
        <v>0</v>
      </c>
    </row>
    <row r="1235" spans="1:19" ht="130.15" hidden="1" customHeight="1">
      <c r="A1235" s="1693"/>
      <c r="B1235" s="1648">
        <f t="shared" si="209"/>
        <v>0</v>
      </c>
      <c r="C1235" s="1867" t="s">
        <v>6140</v>
      </c>
      <c r="D1235" s="1672">
        <v>354</v>
      </c>
      <c r="E1235" s="1688" t="s">
        <v>729</v>
      </c>
      <c r="F1235" s="1651"/>
      <c r="G1235" s="1648">
        <f t="shared" si="210"/>
        <v>0</v>
      </c>
      <c r="H1235" s="1648"/>
      <c r="I1235" s="1648">
        <f t="shared" si="211"/>
        <v>0</v>
      </c>
      <c r="J1235" s="1648"/>
      <c r="K1235" s="1648">
        <f t="shared" si="216"/>
        <v>0</v>
      </c>
      <c r="L1235" s="1648"/>
      <c r="M1235" s="1648">
        <f t="shared" si="217"/>
        <v>0</v>
      </c>
      <c r="N1235" s="1648">
        <f t="shared" si="218"/>
        <v>0</v>
      </c>
      <c r="O1235" s="1648">
        <f t="shared" si="219"/>
        <v>0</v>
      </c>
      <c r="P1235" s="1648">
        <f t="shared" si="212"/>
        <v>0</v>
      </c>
      <c r="Q1235" s="1648">
        <f t="shared" si="213"/>
        <v>0</v>
      </c>
      <c r="R1235" s="55">
        <f t="shared" si="214"/>
        <v>0</v>
      </c>
      <c r="S1235" s="55">
        <f t="shared" si="215"/>
        <v>0</v>
      </c>
    </row>
    <row r="1236" spans="1:19" ht="49.5" hidden="1" customHeight="1">
      <c r="A1236" s="1693"/>
      <c r="B1236" s="1648">
        <f t="shared" si="209"/>
        <v>0</v>
      </c>
      <c r="C1236" s="1865" t="s">
        <v>6141</v>
      </c>
      <c r="D1236" s="1672"/>
      <c r="E1236" s="1688"/>
      <c r="F1236" s="1651"/>
      <c r="G1236" s="1648">
        <f t="shared" si="210"/>
        <v>0</v>
      </c>
      <c r="H1236" s="1648"/>
      <c r="I1236" s="1648">
        <f t="shared" si="211"/>
        <v>0</v>
      </c>
      <c r="J1236" s="1648"/>
      <c r="K1236" s="1648">
        <f t="shared" si="216"/>
        <v>0</v>
      </c>
      <c r="L1236" s="1648"/>
      <c r="M1236" s="1648">
        <f t="shared" si="217"/>
        <v>0</v>
      </c>
      <c r="N1236" s="1648">
        <f t="shared" si="218"/>
        <v>0</v>
      </c>
      <c r="O1236" s="1648">
        <f t="shared" si="219"/>
        <v>0</v>
      </c>
      <c r="P1236" s="1648">
        <f t="shared" si="212"/>
        <v>0</v>
      </c>
      <c r="Q1236" s="1648">
        <f t="shared" si="213"/>
        <v>0</v>
      </c>
      <c r="R1236" s="55">
        <f t="shared" si="214"/>
        <v>0</v>
      </c>
      <c r="S1236" s="55">
        <f t="shared" si="215"/>
        <v>0</v>
      </c>
    </row>
    <row r="1237" spans="1:19" ht="102.75" hidden="1" customHeight="1">
      <c r="A1237" s="1693"/>
      <c r="B1237" s="1648">
        <f t="shared" si="209"/>
        <v>0</v>
      </c>
      <c r="C1237" s="1867" t="s">
        <v>6142</v>
      </c>
      <c r="D1237" s="1672">
        <v>1919</v>
      </c>
      <c r="E1237" s="1688" t="s">
        <v>729</v>
      </c>
      <c r="F1237" s="1651"/>
      <c r="G1237" s="1648">
        <f t="shared" si="210"/>
        <v>0</v>
      </c>
      <c r="H1237" s="1648"/>
      <c r="I1237" s="1648">
        <f t="shared" si="211"/>
        <v>0</v>
      </c>
      <c r="J1237" s="1648"/>
      <c r="K1237" s="1648">
        <f t="shared" si="216"/>
        <v>0</v>
      </c>
      <c r="L1237" s="1648"/>
      <c r="M1237" s="1648">
        <f t="shared" si="217"/>
        <v>0</v>
      </c>
      <c r="N1237" s="1648">
        <f t="shared" si="218"/>
        <v>0</v>
      </c>
      <c r="O1237" s="1648">
        <f t="shared" si="219"/>
        <v>0</v>
      </c>
      <c r="P1237" s="1648">
        <f t="shared" si="212"/>
        <v>0</v>
      </c>
      <c r="Q1237" s="1648">
        <f t="shared" si="213"/>
        <v>0</v>
      </c>
      <c r="R1237" s="55">
        <f t="shared" si="214"/>
        <v>0</v>
      </c>
      <c r="S1237" s="55">
        <f t="shared" si="215"/>
        <v>0</v>
      </c>
    </row>
    <row r="1238" spans="1:19" ht="94.9" hidden="1" customHeight="1">
      <c r="A1238" s="1693"/>
      <c r="B1238" s="1648">
        <f t="shared" si="209"/>
        <v>0</v>
      </c>
      <c r="C1238" s="1867" t="s">
        <v>6143</v>
      </c>
      <c r="D1238" s="1672">
        <v>1956</v>
      </c>
      <c r="E1238" s="1688" t="s">
        <v>729</v>
      </c>
      <c r="F1238" s="1651"/>
      <c r="G1238" s="1648">
        <f t="shared" si="210"/>
        <v>0</v>
      </c>
      <c r="H1238" s="1648"/>
      <c r="I1238" s="1648">
        <f t="shared" si="211"/>
        <v>0</v>
      </c>
      <c r="J1238" s="1648"/>
      <c r="K1238" s="1648">
        <f t="shared" si="216"/>
        <v>0</v>
      </c>
      <c r="L1238" s="1648"/>
      <c r="M1238" s="1648">
        <f t="shared" si="217"/>
        <v>0</v>
      </c>
      <c r="N1238" s="1648">
        <f t="shared" si="218"/>
        <v>0</v>
      </c>
      <c r="O1238" s="1648">
        <f t="shared" si="219"/>
        <v>0</v>
      </c>
      <c r="P1238" s="1648">
        <f t="shared" si="212"/>
        <v>0</v>
      </c>
      <c r="Q1238" s="1648">
        <f t="shared" si="213"/>
        <v>0</v>
      </c>
      <c r="R1238" s="55">
        <f t="shared" si="214"/>
        <v>0</v>
      </c>
      <c r="S1238" s="55">
        <f t="shared" si="215"/>
        <v>0</v>
      </c>
    </row>
    <row r="1239" spans="1:19" ht="49.5" hidden="1" customHeight="1">
      <c r="A1239" s="1693"/>
      <c r="B1239" s="1648">
        <f t="shared" si="209"/>
        <v>0</v>
      </c>
      <c r="C1239" s="1865" t="s">
        <v>6144</v>
      </c>
      <c r="D1239" s="1672"/>
      <c r="E1239" s="1688"/>
      <c r="F1239" s="1651"/>
      <c r="G1239" s="1648">
        <f t="shared" si="210"/>
        <v>0</v>
      </c>
      <c r="H1239" s="1648"/>
      <c r="I1239" s="1648">
        <f t="shared" si="211"/>
        <v>0</v>
      </c>
      <c r="J1239" s="1648"/>
      <c r="K1239" s="1648">
        <f t="shared" si="216"/>
        <v>0</v>
      </c>
      <c r="L1239" s="1648"/>
      <c r="M1239" s="1648">
        <f t="shared" si="217"/>
        <v>0</v>
      </c>
      <c r="N1239" s="1648">
        <f t="shared" si="218"/>
        <v>0</v>
      </c>
      <c r="O1239" s="1648">
        <f t="shared" si="219"/>
        <v>0</v>
      </c>
      <c r="P1239" s="1648">
        <f t="shared" si="212"/>
        <v>0</v>
      </c>
      <c r="Q1239" s="1648">
        <f t="shared" si="213"/>
        <v>0</v>
      </c>
      <c r="R1239" s="55">
        <f t="shared" si="214"/>
        <v>0</v>
      </c>
      <c r="S1239" s="55">
        <f t="shared" si="215"/>
        <v>0</v>
      </c>
    </row>
    <row r="1240" spans="1:19" ht="148.15" hidden="1" customHeight="1">
      <c r="A1240" s="1693"/>
      <c r="B1240" s="1648">
        <f t="shared" si="209"/>
        <v>0</v>
      </c>
      <c r="C1240" s="1869" t="s">
        <v>6145</v>
      </c>
      <c r="D1240" s="1672"/>
      <c r="E1240" s="1688"/>
      <c r="F1240" s="1651"/>
      <c r="G1240" s="1648">
        <f t="shared" si="210"/>
        <v>0</v>
      </c>
      <c r="H1240" s="1648"/>
      <c r="I1240" s="1648">
        <f t="shared" si="211"/>
        <v>0</v>
      </c>
      <c r="J1240" s="1648"/>
      <c r="K1240" s="1648">
        <f t="shared" si="216"/>
        <v>0</v>
      </c>
      <c r="L1240" s="1648"/>
      <c r="M1240" s="1648">
        <f t="shared" si="217"/>
        <v>0</v>
      </c>
      <c r="N1240" s="1648">
        <f t="shared" si="218"/>
        <v>0</v>
      </c>
      <c r="O1240" s="1648">
        <f t="shared" si="219"/>
        <v>0</v>
      </c>
      <c r="P1240" s="1648">
        <f t="shared" si="212"/>
        <v>0</v>
      </c>
      <c r="Q1240" s="1648">
        <f t="shared" si="213"/>
        <v>0</v>
      </c>
      <c r="R1240" s="55">
        <f t="shared" si="214"/>
        <v>0</v>
      </c>
      <c r="S1240" s="55">
        <f t="shared" si="215"/>
        <v>0</v>
      </c>
    </row>
    <row r="1241" spans="1:19" ht="49.5" hidden="1" customHeight="1">
      <c r="A1241" s="1693"/>
      <c r="B1241" s="1648">
        <f t="shared" si="209"/>
        <v>0</v>
      </c>
      <c r="C1241" s="1867" t="s">
        <v>6146</v>
      </c>
      <c r="D1241" s="1672">
        <v>459</v>
      </c>
      <c r="E1241" s="1688" t="s">
        <v>3101</v>
      </c>
      <c r="F1241" s="1651"/>
      <c r="G1241" s="1648">
        <f t="shared" si="210"/>
        <v>0</v>
      </c>
      <c r="H1241" s="1648"/>
      <c r="I1241" s="1648">
        <f t="shared" si="211"/>
        <v>0</v>
      </c>
      <c r="J1241" s="1648"/>
      <c r="K1241" s="1648">
        <f t="shared" si="216"/>
        <v>0</v>
      </c>
      <c r="L1241" s="1648"/>
      <c r="M1241" s="1648">
        <f t="shared" si="217"/>
        <v>0</v>
      </c>
      <c r="N1241" s="1648">
        <f t="shared" si="218"/>
        <v>0</v>
      </c>
      <c r="O1241" s="1648">
        <f t="shared" si="219"/>
        <v>0</v>
      </c>
      <c r="P1241" s="1648">
        <f t="shared" si="212"/>
        <v>0</v>
      </c>
      <c r="Q1241" s="1648">
        <f t="shared" si="213"/>
        <v>0</v>
      </c>
      <c r="R1241" s="55">
        <f t="shared" si="214"/>
        <v>0</v>
      </c>
      <c r="S1241" s="55">
        <f t="shared" si="215"/>
        <v>0</v>
      </c>
    </row>
    <row r="1242" spans="1:19" ht="49.5" hidden="1" customHeight="1">
      <c r="A1242" s="1693"/>
      <c r="B1242" s="1648">
        <f t="shared" si="209"/>
        <v>0</v>
      </c>
      <c r="C1242" s="1867" t="s">
        <v>6147</v>
      </c>
      <c r="D1242" s="1672">
        <v>532</v>
      </c>
      <c r="E1242" s="1688" t="s">
        <v>3101</v>
      </c>
      <c r="F1242" s="1651"/>
      <c r="G1242" s="1648">
        <f t="shared" si="210"/>
        <v>0</v>
      </c>
      <c r="H1242" s="1648"/>
      <c r="I1242" s="1648">
        <f t="shared" si="211"/>
        <v>0</v>
      </c>
      <c r="J1242" s="1648"/>
      <c r="K1242" s="1648">
        <f t="shared" si="216"/>
        <v>0</v>
      </c>
      <c r="L1242" s="1648"/>
      <c r="M1242" s="1648">
        <f t="shared" si="217"/>
        <v>0</v>
      </c>
      <c r="N1242" s="1648">
        <f t="shared" si="218"/>
        <v>0</v>
      </c>
      <c r="O1242" s="1648">
        <f t="shared" si="219"/>
        <v>0</v>
      </c>
      <c r="P1242" s="1648">
        <f t="shared" si="212"/>
        <v>0</v>
      </c>
      <c r="Q1242" s="1648">
        <f t="shared" si="213"/>
        <v>0</v>
      </c>
      <c r="R1242" s="55">
        <f t="shared" si="214"/>
        <v>0</v>
      </c>
      <c r="S1242" s="55">
        <f t="shared" si="215"/>
        <v>0</v>
      </c>
    </row>
    <row r="1243" spans="1:19" ht="49.5" hidden="1" customHeight="1">
      <c r="A1243" s="1693"/>
      <c r="B1243" s="1648">
        <f t="shared" si="209"/>
        <v>0</v>
      </c>
      <c r="C1243" s="1865" t="s">
        <v>6148</v>
      </c>
      <c r="D1243" s="1672"/>
      <c r="E1243" s="1688"/>
      <c r="F1243" s="1651"/>
      <c r="G1243" s="1648">
        <f t="shared" si="210"/>
        <v>0</v>
      </c>
      <c r="H1243" s="1648"/>
      <c r="I1243" s="1648">
        <f t="shared" si="211"/>
        <v>0</v>
      </c>
      <c r="J1243" s="1648"/>
      <c r="K1243" s="1648">
        <f t="shared" si="216"/>
        <v>0</v>
      </c>
      <c r="L1243" s="1648"/>
      <c r="M1243" s="1648">
        <f t="shared" si="217"/>
        <v>0</v>
      </c>
      <c r="N1243" s="1648">
        <f t="shared" si="218"/>
        <v>0</v>
      </c>
      <c r="O1243" s="1648">
        <f t="shared" si="219"/>
        <v>0</v>
      </c>
      <c r="P1243" s="1648">
        <f t="shared" si="212"/>
        <v>0</v>
      </c>
      <c r="Q1243" s="1648">
        <f t="shared" si="213"/>
        <v>0</v>
      </c>
      <c r="R1243" s="55">
        <f t="shared" si="214"/>
        <v>0</v>
      </c>
      <c r="S1243" s="55">
        <f t="shared" si="215"/>
        <v>0</v>
      </c>
    </row>
    <row r="1244" spans="1:19" ht="184.5" hidden="1" customHeight="1">
      <c r="A1244" s="1693"/>
      <c r="B1244" s="1648">
        <f t="shared" si="209"/>
        <v>0</v>
      </c>
      <c r="C1244" s="1865" t="s">
        <v>6149</v>
      </c>
      <c r="D1244" s="1672">
        <v>898</v>
      </c>
      <c r="E1244" s="1688" t="s">
        <v>13</v>
      </c>
      <c r="F1244" s="1651"/>
      <c r="G1244" s="1648">
        <f t="shared" si="210"/>
        <v>0</v>
      </c>
      <c r="H1244" s="1648"/>
      <c r="I1244" s="1648">
        <f t="shared" si="211"/>
        <v>0</v>
      </c>
      <c r="J1244" s="1648"/>
      <c r="K1244" s="1648">
        <f t="shared" si="216"/>
        <v>0</v>
      </c>
      <c r="L1244" s="1648"/>
      <c r="M1244" s="1648">
        <f t="shared" si="217"/>
        <v>0</v>
      </c>
      <c r="N1244" s="1648">
        <f t="shared" si="218"/>
        <v>0</v>
      </c>
      <c r="O1244" s="1648">
        <f t="shared" si="219"/>
        <v>0</v>
      </c>
      <c r="P1244" s="1648">
        <f t="shared" si="212"/>
        <v>0</v>
      </c>
      <c r="Q1244" s="1648">
        <f t="shared" si="213"/>
        <v>0</v>
      </c>
      <c r="R1244" s="55">
        <f t="shared" si="214"/>
        <v>0</v>
      </c>
      <c r="S1244" s="55">
        <f t="shared" si="215"/>
        <v>0</v>
      </c>
    </row>
    <row r="1245" spans="1:19" ht="137.25" hidden="1" customHeight="1">
      <c r="A1245" s="1693"/>
      <c r="B1245" s="1648">
        <f t="shared" si="209"/>
        <v>0</v>
      </c>
      <c r="C1245" s="1867" t="s">
        <v>6150</v>
      </c>
      <c r="D1245" s="1672"/>
      <c r="E1245" s="1688"/>
      <c r="F1245" s="1651"/>
      <c r="G1245" s="1648">
        <f t="shared" si="210"/>
        <v>0</v>
      </c>
      <c r="H1245" s="1648"/>
      <c r="I1245" s="1648">
        <f t="shared" si="211"/>
        <v>0</v>
      </c>
      <c r="J1245" s="1648"/>
      <c r="K1245" s="1648">
        <f t="shared" si="216"/>
        <v>0</v>
      </c>
      <c r="L1245" s="1648"/>
      <c r="M1245" s="1648">
        <f t="shared" si="217"/>
        <v>0</v>
      </c>
      <c r="N1245" s="1648">
        <f t="shared" si="218"/>
        <v>0</v>
      </c>
      <c r="O1245" s="1648">
        <f t="shared" si="219"/>
        <v>0</v>
      </c>
      <c r="P1245" s="1648">
        <f t="shared" si="212"/>
        <v>0</v>
      </c>
      <c r="Q1245" s="1648">
        <f t="shared" si="213"/>
        <v>0</v>
      </c>
      <c r="R1245" s="55">
        <f t="shared" si="214"/>
        <v>0</v>
      </c>
      <c r="S1245" s="55">
        <f t="shared" si="215"/>
        <v>0</v>
      </c>
    </row>
    <row r="1246" spans="1:19" ht="143.25" hidden="1" customHeight="1">
      <c r="A1246" s="1693"/>
      <c r="B1246" s="1648">
        <f t="shared" si="209"/>
        <v>0</v>
      </c>
      <c r="C1246" s="1867" t="s">
        <v>6151</v>
      </c>
      <c r="D1246" s="1672"/>
      <c r="E1246" s="1688"/>
      <c r="F1246" s="1651"/>
      <c r="G1246" s="1648">
        <f t="shared" si="210"/>
        <v>0</v>
      </c>
      <c r="H1246" s="1648"/>
      <c r="I1246" s="1648">
        <f t="shared" si="211"/>
        <v>0</v>
      </c>
      <c r="J1246" s="1648"/>
      <c r="K1246" s="1648">
        <f t="shared" si="216"/>
        <v>0</v>
      </c>
      <c r="L1246" s="1648"/>
      <c r="M1246" s="1648">
        <f t="shared" si="217"/>
        <v>0</v>
      </c>
      <c r="N1246" s="1648">
        <f t="shared" si="218"/>
        <v>0</v>
      </c>
      <c r="O1246" s="1648">
        <f t="shared" si="219"/>
        <v>0</v>
      </c>
      <c r="P1246" s="1648">
        <f t="shared" si="212"/>
        <v>0</v>
      </c>
      <c r="Q1246" s="1648">
        <f t="shared" si="213"/>
        <v>0</v>
      </c>
      <c r="R1246" s="55">
        <f t="shared" si="214"/>
        <v>0</v>
      </c>
      <c r="S1246" s="55">
        <f t="shared" si="215"/>
        <v>0</v>
      </c>
    </row>
    <row r="1247" spans="1:19" ht="84" hidden="1" customHeight="1">
      <c r="A1247" s="1693"/>
      <c r="B1247" s="1648">
        <f t="shared" si="209"/>
        <v>0</v>
      </c>
      <c r="C1247" s="1867" t="s">
        <v>6152</v>
      </c>
      <c r="D1247" s="1672">
        <v>557</v>
      </c>
      <c r="E1247" s="1688" t="s">
        <v>13</v>
      </c>
      <c r="F1247" s="1651"/>
      <c r="G1247" s="1648">
        <f t="shared" si="210"/>
        <v>0</v>
      </c>
      <c r="H1247" s="1648"/>
      <c r="I1247" s="1648">
        <f t="shared" si="211"/>
        <v>0</v>
      </c>
      <c r="J1247" s="1648"/>
      <c r="K1247" s="1648">
        <f t="shared" si="216"/>
        <v>0</v>
      </c>
      <c r="L1247" s="1648"/>
      <c r="M1247" s="1648">
        <f t="shared" si="217"/>
        <v>0</v>
      </c>
      <c r="N1247" s="1648">
        <f t="shared" si="218"/>
        <v>0</v>
      </c>
      <c r="O1247" s="1648">
        <f t="shared" si="219"/>
        <v>0</v>
      </c>
      <c r="P1247" s="1648">
        <f t="shared" si="212"/>
        <v>0</v>
      </c>
      <c r="Q1247" s="1648">
        <f t="shared" si="213"/>
        <v>0</v>
      </c>
      <c r="R1247" s="55">
        <f t="shared" si="214"/>
        <v>0</v>
      </c>
      <c r="S1247" s="55">
        <f t="shared" si="215"/>
        <v>0</v>
      </c>
    </row>
    <row r="1248" spans="1:19" ht="92.25" hidden="1" customHeight="1">
      <c r="A1248" s="1693"/>
      <c r="B1248" s="1648">
        <f t="shared" si="209"/>
        <v>0</v>
      </c>
      <c r="C1248" s="1867" t="s">
        <v>6153</v>
      </c>
      <c r="D1248" s="1672">
        <v>367</v>
      </c>
      <c r="E1248" s="1688" t="s">
        <v>13</v>
      </c>
      <c r="F1248" s="1651"/>
      <c r="G1248" s="1648">
        <f t="shared" si="210"/>
        <v>0</v>
      </c>
      <c r="H1248" s="1648"/>
      <c r="I1248" s="1648">
        <f t="shared" si="211"/>
        <v>0</v>
      </c>
      <c r="J1248" s="1648"/>
      <c r="K1248" s="1648">
        <f t="shared" si="216"/>
        <v>0</v>
      </c>
      <c r="L1248" s="1648"/>
      <c r="M1248" s="1648">
        <f t="shared" si="217"/>
        <v>0</v>
      </c>
      <c r="N1248" s="1648">
        <f t="shared" si="218"/>
        <v>0</v>
      </c>
      <c r="O1248" s="1648">
        <f t="shared" si="219"/>
        <v>0</v>
      </c>
      <c r="P1248" s="1648">
        <f t="shared" si="212"/>
        <v>0</v>
      </c>
      <c r="Q1248" s="1648">
        <f t="shared" si="213"/>
        <v>0</v>
      </c>
      <c r="R1248" s="55">
        <f t="shared" si="214"/>
        <v>0</v>
      </c>
      <c r="S1248" s="55">
        <f t="shared" si="215"/>
        <v>0</v>
      </c>
    </row>
    <row r="1249" spans="1:19" ht="59.25" hidden="1" customHeight="1">
      <c r="A1249" s="1693"/>
      <c r="B1249" s="1648">
        <f t="shared" si="209"/>
        <v>0</v>
      </c>
      <c r="C1249" s="1867" t="s">
        <v>6154</v>
      </c>
      <c r="D1249" s="1672">
        <v>301</v>
      </c>
      <c r="E1249" s="1688" t="s">
        <v>13</v>
      </c>
      <c r="F1249" s="1651"/>
      <c r="G1249" s="1648">
        <f t="shared" si="210"/>
        <v>0</v>
      </c>
      <c r="H1249" s="1648"/>
      <c r="I1249" s="1648">
        <f t="shared" si="211"/>
        <v>0</v>
      </c>
      <c r="J1249" s="1648"/>
      <c r="K1249" s="1648">
        <f t="shared" si="216"/>
        <v>0</v>
      </c>
      <c r="L1249" s="1648"/>
      <c r="M1249" s="1648">
        <f t="shared" si="217"/>
        <v>0</v>
      </c>
      <c r="N1249" s="1648">
        <f t="shared" si="218"/>
        <v>0</v>
      </c>
      <c r="O1249" s="1648">
        <f t="shared" si="219"/>
        <v>0</v>
      </c>
      <c r="P1249" s="1648">
        <f t="shared" si="212"/>
        <v>0</v>
      </c>
      <c r="Q1249" s="1648">
        <f t="shared" si="213"/>
        <v>0</v>
      </c>
      <c r="R1249" s="55">
        <f t="shared" si="214"/>
        <v>0</v>
      </c>
      <c r="S1249" s="55">
        <f t="shared" si="215"/>
        <v>0</v>
      </c>
    </row>
    <row r="1250" spans="1:19" ht="59.25" hidden="1" customHeight="1">
      <c r="A1250" s="1693"/>
      <c r="B1250" s="1648">
        <f t="shared" si="209"/>
        <v>0</v>
      </c>
      <c r="C1250" s="1867" t="s">
        <v>6155</v>
      </c>
      <c r="D1250" s="1672">
        <v>261</v>
      </c>
      <c r="E1250" s="1688" t="s">
        <v>13</v>
      </c>
      <c r="F1250" s="1651"/>
      <c r="G1250" s="1648">
        <f t="shared" si="210"/>
        <v>0</v>
      </c>
      <c r="H1250" s="1648"/>
      <c r="I1250" s="1648">
        <f t="shared" si="211"/>
        <v>0</v>
      </c>
      <c r="J1250" s="1648"/>
      <c r="K1250" s="1648">
        <f t="shared" si="216"/>
        <v>0</v>
      </c>
      <c r="L1250" s="1648"/>
      <c r="M1250" s="1648">
        <f t="shared" si="217"/>
        <v>0</v>
      </c>
      <c r="N1250" s="1648">
        <f t="shared" si="218"/>
        <v>0</v>
      </c>
      <c r="O1250" s="1648">
        <f t="shared" si="219"/>
        <v>0</v>
      </c>
      <c r="P1250" s="1648">
        <f t="shared" si="212"/>
        <v>0</v>
      </c>
      <c r="Q1250" s="1648">
        <f t="shared" si="213"/>
        <v>0</v>
      </c>
      <c r="R1250" s="55">
        <f t="shared" si="214"/>
        <v>0</v>
      </c>
      <c r="S1250" s="55">
        <f t="shared" si="215"/>
        <v>0</v>
      </c>
    </row>
    <row r="1251" spans="1:19" ht="92.25" hidden="1" customHeight="1">
      <c r="A1251" s="1693"/>
      <c r="B1251" s="1648">
        <f t="shared" si="209"/>
        <v>0</v>
      </c>
      <c r="C1251" s="1865" t="s">
        <v>6156</v>
      </c>
      <c r="D1251" s="1672"/>
      <c r="E1251" s="1688"/>
      <c r="F1251" s="1651"/>
      <c r="G1251" s="1648">
        <f t="shared" si="210"/>
        <v>0</v>
      </c>
      <c r="H1251" s="1648"/>
      <c r="I1251" s="1648">
        <f t="shared" si="211"/>
        <v>0</v>
      </c>
      <c r="J1251" s="1648"/>
      <c r="K1251" s="1648">
        <f t="shared" si="216"/>
        <v>0</v>
      </c>
      <c r="L1251" s="1648"/>
      <c r="M1251" s="1648">
        <f t="shared" si="217"/>
        <v>0</v>
      </c>
      <c r="N1251" s="1648">
        <f t="shared" si="218"/>
        <v>0</v>
      </c>
      <c r="O1251" s="1648">
        <f t="shared" si="219"/>
        <v>0</v>
      </c>
      <c r="P1251" s="1648">
        <f t="shared" si="212"/>
        <v>0</v>
      </c>
      <c r="Q1251" s="1648">
        <f t="shared" si="213"/>
        <v>0</v>
      </c>
      <c r="R1251" s="55">
        <f t="shared" si="214"/>
        <v>0</v>
      </c>
      <c r="S1251" s="55">
        <f t="shared" si="215"/>
        <v>0</v>
      </c>
    </row>
    <row r="1252" spans="1:19" ht="65.45" hidden="1" customHeight="1">
      <c r="A1252" s="1693"/>
      <c r="B1252" s="1648">
        <f t="shared" si="209"/>
        <v>0</v>
      </c>
      <c r="C1252" s="1867" t="s">
        <v>6157</v>
      </c>
      <c r="D1252" s="1672">
        <v>504</v>
      </c>
      <c r="E1252" s="1688" t="s">
        <v>2847</v>
      </c>
      <c r="F1252" s="1651"/>
      <c r="G1252" s="1648">
        <f t="shared" si="210"/>
        <v>0</v>
      </c>
      <c r="H1252" s="1648"/>
      <c r="I1252" s="1648">
        <f t="shared" si="211"/>
        <v>0</v>
      </c>
      <c r="J1252" s="1648"/>
      <c r="K1252" s="1648">
        <f t="shared" si="216"/>
        <v>0</v>
      </c>
      <c r="L1252" s="1648"/>
      <c r="M1252" s="1648">
        <f t="shared" si="217"/>
        <v>0</v>
      </c>
      <c r="N1252" s="1648">
        <f t="shared" si="218"/>
        <v>0</v>
      </c>
      <c r="O1252" s="1648">
        <f t="shared" si="219"/>
        <v>0</v>
      </c>
      <c r="P1252" s="1648">
        <f t="shared" si="212"/>
        <v>0</v>
      </c>
      <c r="Q1252" s="1648">
        <f t="shared" si="213"/>
        <v>0</v>
      </c>
      <c r="R1252" s="55">
        <f t="shared" si="214"/>
        <v>0</v>
      </c>
      <c r="S1252" s="55">
        <f t="shared" si="215"/>
        <v>0</v>
      </c>
    </row>
    <row r="1253" spans="1:19" ht="65.45" hidden="1" customHeight="1">
      <c r="A1253" s="1693"/>
      <c r="B1253" s="1648">
        <f t="shared" si="209"/>
        <v>0</v>
      </c>
      <c r="C1253" s="1867" t="s">
        <v>6158</v>
      </c>
      <c r="D1253" s="1672">
        <v>463</v>
      </c>
      <c r="E1253" s="1688" t="s">
        <v>2847</v>
      </c>
      <c r="F1253" s="1651"/>
      <c r="G1253" s="1648">
        <f t="shared" si="210"/>
        <v>0</v>
      </c>
      <c r="H1253" s="1648"/>
      <c r="I1253" s="1648">
        <f t="shared" si="211"/>
        <v>0</v>
      </c>
      <c r="J1253" s="1648"/>
      <c r="K1253" s="1648">
        <f t="shared" si="216"/>
        <v>0</v>
      </c>
      <c r="L1253" s="1648"/>
      <c r="M1253" s="1648">
        <f t="shared" si="217"/>
        <v>0</v>
      </c>
      <c r="N1253" s="1648">
        <f t="shared" si="218"/>
        <v>0</v>
      </c>
      <c r="O1253" s="1648">
        <f t="shared" si="219"/>
        <v>0</v>
      </c>
      <c r="P1253" s="1648">
        <f t="shared" si="212"/>
        <v>0</v>
      </c>
      <c r="Q1253" s="1648">
        <f t="shared" si="213"/>
        <v>0</v>
      </c>
      <c r="R1253" s="55">
        <f t="shared" si="214"/>
        <v>0</v>
      </c>
      <c r="S1253" s="55">
        <f t="shared" si="215"/>
        <v>0</v>
      </c>
    </row>
    <row r="1254" spans="1:19" ht="66" hidden="1" customHeight="1">
      <c r="A1254" s="1693"/>
      <c r="B1254" s="1648">
        <f t="shared" si="209"/>
        <v>0</v>
      </c>
      <c r="C1254" s="1867" t="s">
        <v>6159</v>
      </c>
      <c r="D1254" s="1672">
        <v>340</v>
      </c>
      <c r="E1254" s="1688" t="s">
        <v>2847</v>
      </c>
      <c r="F1254" s="1651"/>
      <c r="G1254" s="1648">
        <f t="shared" si="210"/>
        <v>0</v>
      </c>
      <c r="H1254" s="1648"/>
      <c r="I1254" s="1648">
        <f t="shared" si="211"/>
        <v>0</v>
      </c>
      <c r="J1254" s="1648"/>
      <c r="K1254" s="1648">
        <f t="shared" si="216"/>
        <v>0</v>
      </c>
      <c r="L1254" s="1648"/>
      <c r="M1254" s="1648">
        <f t="shared" si="217"/>
        <v>0</v>
      </c>
      <c r="N1254" s="1648">
        <f t="shared" si="218"/>
        <v>0</v>
      </c>
      <c r="O1254" s="1648">
        <f t="shared" si="219"/>
        <v>0</v>
      </c>
      <c r="P1254" s="1648">
        <f t="shared" si="212"/>
        <v>0</v>
      </c>
      <c r="Q1254" s="1648">
        <f t="shared" si="213"/>
        <v>0</v>
      </c>
      <c r="R1254" s="55">
        <f t="shared" si="214"/>
        <v>0</v>
      </c>
      <c r="S1254" s="55">
        <f t="shared" si="215"/>
        <v>0</v>
      </c>
    </row>
    <row r="1255" spans="1:19" ht="49.5" hidden="1" customHeight="1">
      <c r="A1255" s="1693"/>
      <c r="B1255" s="1648">
        <f t="shared" si="209"/>
        <v>0</v>
      </c>
      <c r="C1255" s="1867" t="s">
        <v>6160</v>
      </c>
      <c r="D1255" s="1672">
        <v>327</v>
      </c>
      <c r="E1255" s="1688" t="s">
        <v>2847</v>
      </c>
      <c r="F1255" s="1651"/>
      <c r="G1255" s="1648">
        <f t="shared" si="210"/>
        <v>0</v>
      </c>
      <c r="H1255" s="1648"/>
      <c r="I1255" s="1648">
        <f t="shared" si="211"/>
        <v>0</v>
      </c>
      <c r="J1255" s="1648"/>
      <c r="K1255" s="1648">
        <f t="shared" si="216"/>
        <v>0</v>
      </c>
      <c r="L1255" s="1648"/>
      <c r="M1255" s="1648">
        <f t="shared" si="217"/>
        <v>0</v>
      </c>
      <c r="N1255" s="1648">
        <f t="shared" si="218"/>
        <v>0</v>
      </c>
      <c r="O1255" s="1648">
        <f t="shared" si="219"/>
        <v>0</v>
      </c>
      <c r="P1255" s="1648">
        <f t="shared" si="212"/>
        <v>0</v>
      </c>
      <c r="Q1255" s="1648">
        <f t="shared" si="213"/>
        <v>0</v>
      </c>
      <c r="R1255" s="55">
        <f t="shared" si="214"/>
        <v>0</v>
      </c>
      <c r="S1255" s="55">
        <f t="shared" si="215"/>
        <v>0</v>
      </c>
    </row>
    <row r="1256" spans="1:19" ht="65.45" hidden="1" customHeight="1">
      <c r="A1256" s="1693"/>
      <c r="B1256" s="1648">
        <f t="shared" si="209"/>
        <v>0</v>
      </c>
      <c r="C1256" s="1867" t="s">
        <v>6161</v>
      </c>
      <c r="D1256" s="1672">
        <v>319</v>
      </c>
      <c r="E1256" s="1688" t="s">
        <v>2847</v>
      </c>
      <c r="F1256" s="1651"/>
      <c r="G1256" s="1648">
        <f t="shared" si="210"/>
        <v>0</v>
      </c>
      <c r="H1256" s="1648"/>
      <c r="I1256" s="1648">
        <f t="shared" si="211"/>
        <v>0</v>
      </c>
      <c r="J1256" s="1648"/>
      <c r="K1256" s="1648">
        <f t="shared" si="216"/>
        <v>0</v>
      </c>
      <c r="L1256" s="1648"/>
      <c r="M1256" s="1648">
        <f t="shared" si="217"/>
        <v>0</v>
      </c>
      <c r="N1256" s="1648">
        <f t="shared" si="218"/>
        <v>0</v>
      </c>
      <c r="O1256" s="1648">
        <f t="shared" si="219"/>
        <v>0</v>
      </c>
      <c r="P1256" s="1648">
        <f t="shared" si="212"/>
        <v>0</v>
      </c>
      <c r="Q1256" s="1648">
        <f t="shared" si="213"/>
        <v>0</v>
      </c>
      <c r="R1256" s="55">
        <f t="shared" si="214"/>
        <v>0</v>
      </c>
      <c r="S1256" s="55">
        <f t="shared" si="215"/>
        <v>0</v>
      </c>
    </row>
    <row r="1257" spans="1:19" ht="138" hidden="1" customHeight="1">
      <c r="A1257" s="1693"/>
      <c r="B1257" s="1648">
        <f t="shared" si="209"/>
        <v>0</v>
      </c>
      <c r="C1257" s="1865" t="s">
        <v>6162</v>
      </c>
      <c r="D1257" s="1672"/>
      <c r="E1257" s="1688"/>
      <c r="F1257" s="1651"/>
      <c r="G1257" s="1648">
        <f t="shared" si="210"/>
        <v>0</v>
      </c>
      <c r="H1257" s="1648"/>
      <c r="I1257" s="1648">
        <f t="shared" si="211"/>
        <v>0</v>
      </c>
      <c r="J1257" s="1648"/>
      <c r="K1257" s="1648">
        <f t="shared" si="216"/>
        <v>0</v>
      </c>
      <c r="L1257" s="1648"/>
      <c r="M1257" s="1648">
        <f t="shared" si="217"/>
        <v>0</v>
      </c>
      <c r="N1257" s="1648">
        <f t="shared" si="218"/>
        <v>0</v>
      </c>
      <c r="O1257" s="1648">
        <f t="shared" si="219"/>
        <v>0</v>
      </c>
      <c r="P1257" s="1648">
        <f t="shared" si="212"/>
        <v>0</v>
      </c>
      <c r="Q1257" s="1648">
        <f t="shared" si="213"/>
        <v>0</v>
      </c>
      <c r="R1257" s="55">
        <f t="shared" si="214"/>
        <v>0</v>
      </c>
      <c r="S1257" s="55">
        <f t="shared" si="215"/>
        <v>0</v>
      </c>
    </row>
    <row r="1258" spans="1:19" ht="65.45" hidden="1" customHeight="1">
      <c r="A1258" s="1693"/>
      <c r="B1258" s="1648">
        <f t="shared" si="209"/>
        <v>0</v>
      </c>
      <c r="C1258" s="1867" t="s">
        <v>6163</v>
      </c>
      <c r="D1258" s="1672">
        <v>442</v>
      </c>
      <c r="E1258" s="1688" t="s">
        <v>2847</v>
      </c>
      <c r="F1258" s="1651"/>
      <c r="G1258" s="1648">
        <f t="shared" si="210"/>
        <v>0</v>
      </c>
      <c r="H1258" s="1648"/>
      <c r="I1258" s="1648">
        <f t="shared" si="211"/>
        <v>0</v>
      </c>
      <c r="J1258" s="1648"/>
      <c r="K1258" s="1648">
        <f t="shared" si="216"/>
        <v>0</v>
      </c>
      <c r="L1258" s="1648"/>
      <c r="M1258" s="1648">
        <f t="shared" si="217"/>
        <v>0</v>
      </c>
      <c r="N1258" s="1648">
        <f t="shared" si="218"/>
        <v>0</v>
      </c>
      <c r="O1258" s="1648">
        <f t="shared" si="219"/>
        <v>0</v>
      </c>
      <c r="P1258" s="1648">
        <f t="shared" si="212"/>
        <v>0</v>
      </c>
      <c r="Q1258" s="1648">
        <f t="shared" si="213"/>
        <v>0</v>
      </c>
      <c r="R1258" s="55">
        <f t="shared" si="214"/>
        <v>0</v>
      </c>
      <c r="S1258" s="55">
        <f t="shared" si="215"/>
        <v>0</v>
      </c>
    </row>
    <row r="1259" spans="1:19" ht="65.45" hidden="1" customHeight="1">
      <c r="A1259" s="1693"/>
      <c r="B1259" s="1648">
        <f t="shared" si="209"/>
        <v>0</v>
      </c>
      <c r="C1259" s="1867" t="s">
        <v>6164</v>
      </c>
      <c r="D1259" s="1672">
        <v>293</v>
      </c>
      <c r="E1259" s="1688" t="s">
        <v>2847</v>
      </c>
      <c r="F1259" s="1651"/>
      <c r="G1259" s="1648">
        <f t="shared" si="210"/>
        <v>0</v>
      </c>
      <c r="H1259" s="1648"/>
      <c r="I1259" s="1648">
        <f t="shared" si="211"/>
        <v>0</v>
      </c>
      <c r="J1259" s="1648"/>
      <c r="K1259" s="1648">
        <f t="shared" si="216"/>
        <v>0</v>
      </c>
      <c r="L1259" s="1648"/>
      <c r="M1259" s="1648">
        <f t="shared" si="217"/>
        <v>0</v>
      </c>
      <c r="N1259" s="1648">
        <f t="shared" si="218"/>
        <v>0</v>
      </c>
      <c r="O1259" s="1648">
        <f t="shared" si="219"/>
        <v>0</v>
      </c>
      <c r="P1259" s="1648">
        <f t="shared" si="212"/>
        <v>0</v>
      </c>
      <c r="Q1259" s="1648">
        <f t="shared" si="213"/>
        <v>0</v>
      </c>
      <c r="R1259" s="55">
        <f t="shared" si="214"/>
        <v>0</v>
      </c>
      <c r="S1259" s="55">
        <f t="shared" si="215"/>
        <v>0</v>
      </c>
    </row>
    <row r="1260" spans="1:19" ht="65.45" hidden="1" customHeight="1">
      <c r="A1260" s="1693"/>
      <c r="B1260" s="1648">
        <f t="shared" si="209"/>
        <v>0</v>
      </c>
      <c r="C1260" s="1867" t="s">
        <v>6165</v>
      </c>
      <c r="D1260" s="1672">
        <v>277</v>
      </c>
      <c r="E1260" s="1688" t="s">
        <v>2847</v>
      </c>
      <c r="F1260" s="1651"/>
      <c r="G1260" s="1648">
        <f t="shared" si="210"/>
        <v>0</v>
      </c>
      <c r="H1260" s="1648"/>
      <c r="I1260" s="1648">
        <f t="shared" si="211"/>
        <v>0</v>
      </c>
      <c r="J1260" s="1648"/>
      <c r="K1260" s="1648">
        <f t="shared" si="216"/>
        <v>0</v>
      </c>
      <c r="L1260" s="1648"/>
      <c r="M1260" s="1648">
        <f t="shared" si="217"/>
        <v>0</v>
      </c>
      <c r="N1260" s="1648">
        <f t="shared" si="218"/>
        <v>0</v>
      </c>
      <c r="O1260" s="1648">
        <f t="shared" si="219"/>
        <v>0</v>
      </c>
      <c r="P1260" s="1648">
        <f t="shared" si="212"/>
        <v>0</v>
      </c>
      <c r="Q1260" s="1648">
        <f t="shared" si="213"/>
        <v>0</v>
      </c>
      <c r="R1260" s="55">
        <f t="shared" si="214"/>
        <v>0</v>
      </c>
      <c r="S1260" s="55">
        <f t="shared" si="215"/>
        <v>0</v>
      </c>
    </row>
    <row r="1261" spans="1:19" ht="65.45" hidden="1" customHeight="1">
      <c r="A1261" s="1693"/>
      <c r="B1261" s="1648">
        <f t="shared" si="209"/>
        <v>0</v>
      </c>
      <c r="C1261" s="1867" t="s">
        <v>6166</v>
      </c>
      <c r="D1261" s="1672">
        <v>274</v>
      </c>
      <c r="E1261" s="1688" t="s">
        <v>2847</v>
      </c>
      <c r="F1261" s="1651"/>
      <c r="G1261" s="1648">
        <f t="shared" si="210"/>
        <v>0</v>
      </c>
      <c r="H1261" s="1648"/>
      <c r="I1261" s="1648">
        <f t="shared" si="211"/>
        <v>0</v>
      </c>
      <c r="J1261" s="1648"/>
      <c r="K1261" s="1648">
        <f t="shared" si="216"/>
        <v>0</v>
      </c>
      <c r="L1261" s="1648"/>
      <c r="M1261" s="1648">
        <f t="shared" si="217"/>
        <v>0</v>
      </c>
      <c r="N1261" s="1648">
        <f t="shared" si="218"/>
        <v>0</v>
      </c>
      <c r="O1261" s="1648">
        <f t="shared" si="219"/>
        <v>0</v>
      </c>
      <c r="P1261" s="1648">
        <f t="shared" si="212"/>
        <v>0</v>
      </c>
      <c r="Q1261" s="1648">
        <f t="shared" si="213"/>
        <v>0</v>
      </c>
      <c r="R1261" s="55">
        <f t="shared" si="214"/>
        <v>0</v>
      </c>
      <c r="S1261" s="55">
        <f t="shared" si="215"/>
        <v>0</v>
      </c>
    </row>
    <row r="1262" spans="1:19" ht="65.45" hidden="1" customHeight="1">
      <c r="A1262" s="1693"/>
      <c r="B1262" s="1648">
        <f t="shared" si="209"/>
        <v>0</v>
      </c>
      <c r="C1262" s="1867" t="s">
        <v>6167</v>
      </c>
      <c r="D1262" s="1672">
        <v>274</v>
      </c>
      <c r="E1262" s="1688" t="s">
        <v>2847</v>
      </c>
      <c r="F1262" s="1651"/>
      <c r="G1262" s="1648">
        <f t="shared" si="210"/>
        <v>0</v>
      </c>
      <c r="H1262" s="1648"/>
      <c r="I1262" s="1648">
        <f t="shared" si="211"/>
        <v>0</v>
      </c>
      <c r="J1262" s="1648"/>
      <c r="K1262" s="1648">
        <f t="shared" si="216"/>
        <v>0</v>
      </c>
      <c r="L1262" s="1648"/>
      <c r="M1262" s="1648">
        <f t="shared" si="217"/>
        <v>0</v>
      </c>
      <c r="N1262" s="1648">
        <f t="shared" si="218"/>
        <v>0</v>
      </c>
      <c r="O1262" s="1648">
        <f t="shared" si="219"/>
        <v>0</v>
      </c>
      <c r="P1262" s="1648">
        <f t="shared" si="212"/>
        <v>0</v>
      </c>
      <c r="Q1262" s="1648">
        <f t="shared" si="213"/>
        <v>0</v>
      </c>
      <c r="R1262" s="55">
        <f t="shared" si="214"/>
        <v>0</v>
      </c>
      <c r="S1262" s="55">
        <f t="shared" si="215"/>
        <v>0</v>
      </c>
    </row>
    <row r="1263" spans="1:19" ht="49.5" customHeight="1">
      <c r="A1263" s="1693"/>
      <c r="B1263" s="1648">
        <f t="shared" si="209"/>
        <v>0</v>
      </c>
      <c r="C1263" s="1865" t="s">
        <v>6168</v>
      </c>
      <c r="D1263" s="1672"/>
      <c r="E1263" s="1688"/>
      <c r="F1263" s="1651"/>
      <c r="G1263" s="1648">
        <f t="shared" si="210"/>
        <v>0</v>
      </c>
      <c r="H1263" s="1648"/>
      <c r="I1263" s="1648">
        <f t="shared" si="211"/>
        <v>0</v>
      </c>
      <c r="J1263" s="1648"/>
      <c r="K1263" s="1648">
        <f t="shared" si="216"/>
        <v>0</v>
      </c>
      <c r="L1263" s="1648"/>
      <c r="M1263" s="1648">
        <f t="shared" si="217"/>
        <v>0</v>
      </c>
      <c r="N1263" s="1648">
        <f t="shared" si="218"/>
        <v>0</v>
      </c>
      <c r="O1263" s="1648">
        <f t="shared" si="219"/>
        <v>0</v>
      </c>
      <c r="P1263" s="1648">
        <f t="shared" si="212"/>
        <v>0</v>
      </c>
      <c r="Q1263" s="1648">
        <f t="shared" si="213"/>
        <v>0</v>
      </c>
      <c r="R1263" s="55">
        <f t="shared" si="214"/>
        <v>0</v>
      </c>
      <c r="S1263" s="55">
        <f t="shared" si="215"/>
        <v>0</v>
      </c>
    </row>
    <row r="1264" spans="1:19" ht="305.25" customHeight="1">
      <c r="A1264" s="1693"/>
      <c r="B1264" s="1648">
        <f t="shared" si="209"/>
        <v>10</v>
      </c>
      <c r="C1264" s="1867" t="s">
        <v>6169</v>
      </c>
      <c r="D1264" s="1673">
        <v>17095</v>
      </c>
      <c r="E1264" s="1688" t="s">
        <v>2847</v>
      </c>
      <c r="F1264" s="1651">
        <f>'Detail '!I2936</f>
        <v>10</v>
      </c>
      <c r="G1264" s="1648">
        <f t="shared" si="210"/>
        <v>170950</v>
      </c>
      <c r="H1264" s="1648"/>
      <c r="I1264" s="1648">
        <f t="shared" si="211"/>
        <v>0</v>
      </c>
      <c r="J1264" s="1648"/>
      <c r="K1264" s="1648">
        <f t="shared" si="216"/>
        <v>0</v>
      </c>
      <c r="L1264" s="1648"/>
      <c r="M1264" s="1648">
        <f t="shared" si="217"/>
        <v>0</v>
      </c>
      <c r="N1264" s="1648">
        <f t="shared" si="218"/>
        <v>0</v>
      </c>
      <c r="O1264" s="1648">
        <f t="shared" si="219"/>
        <v>0</v>
      </c>
      <c r="P1264" s="1648">
        <f t="shared" si="212"/>
        <v>10</v>
      </c>
      <c r="Q1264" s="1648">
        <f t="shared" si="213"/>
        <v>170950</v>
      </c>
      <c r="R1264" s="55">
        <f t="shared" si="214"/>
        <v>170950</v>
      </c>
      <c r="S1264" s="55">
        <f t="shared" si="215"/>
        <v>0</v>
      </c>
    </row>
    <row r="1265" spans="1:19" ht="324" hidden="1" customHeight="1">
      <c r="A1265" s="1693"/>
      <c r="B1265" s="1648">
        <f t="shared" si="209"/>
        <v>0</v>
      </c>
      <c r="C1265" s="1867" t="s">
        <v>6170</v>
      </c>
      <c r="D1265" s="1672">
        <v>17231</v>
      </c>
      <c r="E1265" s="1688" t="s">
        <v>2847</v>
      </c>
      <c r="F1265" s="1651">
        <f>'Detail '!I2933</f>
        <v>0</v>
      </c>
      <c r="G1265" s="1648">
        <f t="shared" si="210"/>
        <v>0</v>
      </c>
      <c r="H1265" s="1648"/>
      <c r="I1265" s="1648">
        <f t="shared" si="211"/>
        <v>0</v>
      </c>
      <c r="J1265" s="1648"/>
      <c r="K1265" s="1648">
        <f t="shared" si="216"/>
        <v>0</v>
      </c>
      <c r="L1265" s="1648"/>
      <c r="M1265" s="1648">
        <f t="shared" si="217"/>
        <v>0</v>
      </c>
      <c r="N1265" s="1648">
        <f t="shared" si="218"/>
        <v>0</v>
      </c>
      <c r="O1265" s="1648">
        <f t="shared" si="219"/>
        <v>0</v>
      </c>
      <c r="P1265" s="1648">
        <f t="shared" si="212"/>
        <v>0</v>
      </c>
      <c r="Q1265" s="1648">
        <f t="shared" si="213"/>
        <v>0</v>
      </c>
      <c r="R1265" s="55">
        <f t="shared" si="214"/>
        <v>0</v>
      </c>
      <c r="S1265" s="55">
        <f t="shared" si="215"/>
        <v>0</v>
      </c>
    </row>
    <row r="1266" spans="1:19" ht="49.5" hidden="1" customHeight="1">
      <c r="A1266" s="1693"/>
      <c r="B1266" s="1648">
        <f t="shared" si="209"/>
        <v>0</v>
      </c>
      <c r="C1266" s="1865" t="s">
        <v>6171</v>
      </c>
      <c r="D1266" s="1672"/>
      <c r="E1266" s="1688"/>
      <c r="F1266" s="1651"/>
      <c r="G1266" s="1648">
        <f t="shared" si="210"/>
        <v>0</v>
      </c>
      <c r="H1266" s="1648"/>
      <c r="I1266" s="1648">
        <f t="shared" si="211"/>
        <v>0</v>
      </c>
      <c r="J1266" s="1648"/>
      <c r="K1266" s="1648">
        <f t="shared" si="216"/>
        <v>0</v>
      </c>
      <c r="L1266" s="1648"/>
      <c r="M1266" s="1648">
        <f t="shared" si="217"/>
        <v>0</v>
      </c>
      <c r="N1266" s="1648">
        <f t="shared" si="218"/>
        <v>0</v>
      </c>
      <c r="O1266" s="1648">
        <f t="shared" si="219"/>
        <v>0</v>
      </c>
      <c r="P1266" s="1648">
        <f t="shared" si="212"/>
        <v>0</v>
      </c>
      <c r="Q1266" s="1648">
        <f t="shared" si="213"/>
        <v>0</v>
      </c>
      <c r="R1266" s="55">
        <f t="shared" si="214"/>
        <v>0</v>
      </c>
      <c r="S1266" s="55">
        <f t="shared" si="215"/>
        <v>0</v>
      </c>
    </row>
    <row r="1267" spans="1:19" ht="243" hidden="1" customHeight="1">
      <c r="A1267" s="1693"/>
      <c r="B1267" s="1648">
        <f t="shared" si="209"/>
        <v>0</v>
      </c>
      <c r="C1267" s="1867" t="s">
        <v>6172</v>
      </c>
      <c r="D1267" s="1672">
        <v>1340</v>
      </c>
      <c r="E1267" s="1688" t="s">
        <v>2847</v>
      </c>
      <c r="F1267" s="1651"/>
      <c r="G1267" s="1648">
        <f t="shared" si="210"/>
        <v>0</v>
      </c>
      <c r="H1267" s="1648"/>
      <c r="I1267" s="1648">
        <f t="shared" si="211"/>
        <v>0</v>
      </c>
      <c r="J1267" s="1648"/>
      <c r="K1267" s="1648">
        <f t="shared" si="216"/>
        <v>0</v>
      </c>
      <c r="L1267" s="1648"/>
      <c r="M1267" s="1648">
        <f t="shared" si="217"/>
        <v>0</v>
      </c>
      <c r="N1267" s="1648">
        <f t="shared" si="218"/>
        <v>0</v>
      </c>
      <c r="O1267" s="1648">
        <f t="shared" si="219"/>
        <v>0</v>
      </c>
      <c r="P1267" s="1648">
        <f t="shared" si="212"/>
        <v>0</v>
      </c>
      <c r="Q1267" s="1648">
        <f t="shared" si="213"/>
        <v>0</v>
      </c>
      <c r="R1267" s="55">
        <f t="shared" si="214"/>
        <v>0</v>
      </c>
      <c r="S1267" s="55">
        <f t="shared" si="215"/>
        <v>0</v>
      </c>
    </row>
    <row r="1268" spans="1:19" ht="95.45" hidden="1" customHeight="1">
      <c r="A1268" s="1693"/>
      <c r="B1268" s="1648">
        <f t="shared" si="209"/>
        <v>0</v>
      </c>
      <c r="C1268" s="1867" t="s">
        <v>6173</v>
      </c>
      <c r="D1268" s="1672">
        <v>549</v>
      </c>
      <c r="E1268" s="1688" t="s">
        <v>2847</v>
      </c>
      <c r="F1268" s="1651"/>
      <c r="G1268" s="1648">
        <f t="shared" si="210"/>
        <v>0</v>
      </c>
      <c r="H1268" s="1648"/>
      <c r="I1268" s="1648">
        <f t="shared" si="211"/>
        <v>0</v>
      </c>
      <c r="J1268" s="1648"/>
      <c r="K1268" s="1648">
        <f t="shared" si="216"/>
        <v>0</v>
      </c>
      <c r="L1268" s="1648"/>
      <c r="M1268" s="1648">
        <f t="shared" si="217"/>
        <v>0</v>
      </c>
      <c r="N1268" s="1648">
        <f t="shared" si="218"/>
        <v>0</v>
      </c>
      <c r="O1268" s="1648">
        <f t="shared" si="219"/>
        <v>0</v>
      </c>
      <c r="P1268" s="1648">
        <f t="shared" si="212"/>
        <v>0</v>
      </c>
      <c r="Q1268" s="1648">
        <f t="shared" si="213"/>
        <v>0</v>
      </c>
      <c r="R1268" s="55">
        <f t="shared" si="214"/>
        <v>0</v>
      </c>
      <c r="S1268" s="55">
        <f t="shared" si="215"/>
        <v>0</v>
      </c>
    </row>
    <row r="1269" spans="1:19" ht="109.15" hidden="1" customHeight="1">
      <c r="A1269" s="1693"/>
      <c r="B1269" s="1648">
        <f t="shared" si="209"/>
        <v>0</v>
      </c>
      <c r="C1269" s="1867" t="s">
        <v>6174</v>
      </c>
      <c r="D1269" s="1672">
        <v>380</v>
      </c>
      <c r="E1269" s="1688" t="s">
        <v>2092</v>
      </c>
      <c r="F1269" s="1651"/>
      <c r="G1269" s="1648">
        <f t="shared" si="210"/>
        <v>0</v>
      </c>
      <c r="H1269" s="1648"/>
      <c r="I1269" s="1648">
        <f t="shared" si="211"/>
        <v>0</v>
      </c>
      <c r="J1269" s="1648"/>
      <c r="K1269" s="1648">
        <f t="shared" si="216"/>
        <v>0</v>
      </c>
      <c r="L1269" s="1648"/>
      <c r="M1269" s="1648">
        <f t="shared" si="217"/>
        <v>0</v>
      </c>
      <c r="N1269" s="1648">
        <f t="shared" si="218"/>
        <v>0</v>
      </c>
      <c r="O1269" s="1648">
        <f t="shared" si="219"/>
        <v>0</v>
      </c>
      <c r="P1269" s="1648">
        <f t="shared" si="212"/>
        <v>0</v>
      </c>
      <c r="Q1269" s="1648">
        <f t="shared" si="213"/>
        <v>0</v>
      </c>
      <c r="R1269" s="55">
        <f t="shared" si="214"/>
        <v>0</v>
      </c>
      <c r="S1269" s="55">
        <f t="shared" si="215"/>
        <v>0</v>
      </c>
    </row>
    <row r="1270" spans="1:19" ht="49.5" hidden="1" customHeight="1">
      <c r="A1270" s="1693"/>
      <c r="B1270" s="1648">
        <f t="shared" si="209"/>
        <v>0</v>
      </c>
      <c r="C1270" s="1865" t="s">
        <v>6175</v>
      </c>
      <c r="D1270" s="1672"/>
      <c r="E1270" s="1688"/>
      <c r="F1270" s="1651"/>
      <c r="G1270" s="1648">
        <f t="shared" si="210"/>
        <v>0</v>
      </c>
      <c r="H1270" s="1648"/>
      <c r="I1270" s="1648">
        <f t="shared" si="211"/>
        <v>0</v>
      </c>
      <c r="J1270" s="1648"/>
      <c r="K1270" s="1648">
        <f t="shared" si="216"/>
        <v>0</v>
      </c>
      <c r="L1270" s="1648"/>
      <c r="M1270" s="1648">
        <f t="shared" si="217"/>
        <v>0</v>
      </c>
      <c r="N1270" s="1648">
        <f t="shared" si="218"/>
        <v>0</v>
      </c>
      <c r="O1270" s="1648">
        <f t="shared" si="219"/>
        <v>0</v>
      </c>
      <c r="P1270" s="1648">
        <f t="shared" si="212"/>
        <v>0</v>
      </c>
      <c r="Q1270" s="1648">
        <f t="shared" si="213"/>
        <v>0</v>
      </c>
      <c r="R1270" s="55">
        <f t="shared" si="214"/>
        <v>0</v>
      </c>
      <c r="S1270" s="55">
        <f t="shared" si="215"/>
        <v>0</v>
      </c>
    </row>
    <row r="1271" spans="1:19" ht="150" hidden="1" customHeight="1">
      <c r="A1271" s="1693"/>
      <c r="B1271" s="1648">
        <f t="shared" si="209"/>
        <v>0</v>
      </c>
      <c r="C1271" s="1867" t="s">
        <v>6176</v>
      </c>
      <c r="D1271" s="1672"/>
      <c r="E1271" s="1688"/>
      <c r="F1271" s="1651"/>
      <c r="G1271" s="1648">
        <f t="shared" si="210"/>
        <v>0</v>
      </c>
      <c r="H1271" s="1648"/>
      <c r="I1271" s="1648">
        <f t="shared" si="211"/>
        <v>0</v>
      </c>
      <c r="J1271" s="1648"/>
      <c r="K1271" s="1648">
        <f t="shared" si="216"/>
        <v>0</v>
      </c>
      <c r="L1271" s="1648"/>
      <c r="M1271" s="1648">
        <f t="shared" si="217"/>
        <v>0</v>
      </c>
      <c r="N1271" s="1648">
        <f t="shared" si="218"/>
        <v>0</v>
      </c>
      <c r="O1271" s="1648">
        <f t="shared" si="219"/>
        <v>0</v>
      </c>
      <c r="P1271" s="1648">
        <f t="shared" si="212"/>
        <v>0</v>
      </c>
      <c r="Q1271" s="1648">
        <f t="shared" si="213"/>
        <v>0</v>
      </c>
      <c r="R1271" s="55">
        <f t="shared" si="214"/>
        <v>0</v>
      </c>
      <c r="S1271" s="55">
        <f t="shared" si="215"/>
        <v>0</v>
      </c>
    </row>
    <row r="1272" spans="1:19" ht="49.5" hidden="1" customHeight="1">
      <c r="A1272" s="1693"/>
      <c r="B1272" s="1648">
        <f t="shared" si="209"/>
        <v>0</v>
      </c>
      <c r="C1272" s="1867" t="s">
        <v>6177</v>
      </c>
      <c r="D1272" s="1672">
        <v>1328</v>
      </c>
      <c r="E1272" s="1688" t="s">
        <v>729</v>
      </c>
      <c r="F1272" s="1651"/>
      <c r="G1272" s="1648">
        <f t="shared" si="210"/>
        <v>0</v>
      </c>
      <c r="H1272" s="1648"/>
      <c r="I1272" s="1648">
        <f t="shared" si="211"/>
        <v>0</v>
      </c>
      <c r="J1272" s="1648"/>
      <c r="K1272" s="1648">
        <f t="shared" si="216"/>
        <v>0</v>
      </c>
      <c r="L1272" s="1648"/>
      <c r="M1272" s="1648">
        <f t="shared" si="217"/>
        <v>0</v>
      </c>
      <c r="N1272" s="1648">
        <f t="shared" si="218"/>
        <v>0</v>
      </c>
      <c r="O1272" s="1648">
        <f t="shared" si="219"/>
        <v>0</v>
      </c>
      <c r="P1272" s="1648">
        <f t="shared" si="212"/>
        <v>0</v>
      </c>
      <c r="Q1272" s="1648">
        <f t="shared" si="213"/>
        <v>0</v>
      </c>
      <c r="R1272" s="55">
        <f t="shared" si="214"/>
        <v>0</v>
      </c>
      <c r="S1272" s="55">
        <f t="shared" si="215"/>
        <v>0</v>
      </c>
    </row>
    <row r="1273" spans="1:19" ht="49.5" hidden="1" customHeight="1">
      <c r="A1273" s="1693"/>
      <c r="B1273" s="1648">
        <f t="shared" si="209"/>
        <v>0</v>
      </c>
      <c r="C1273" s="1867" t="s">
        <v>6178</v>
      </c>
      <c r="D1273" s="1672">
        <v>950</v>
      </c>
      <c r="E1273" s="1688" t="s">
        <v>729</v>
      </c>
      <c r="F1273" s="1651"/>
      <c r="G1273" s="1648">
        <f t="shared" si="210"/>
        <v>0</v>
      </c>
      <c r="H1273" s="1648"/>
      <c r="I1273" s="1648">
        <f t="shared" si="211"/>
        <v>0</v>
      </c>
      <c r="J1273" s="1648"/>
      <c r="K1273" s="1648">
        <f t="shared" si="216"/>
        <v>0</v>
      </c>
      <c r="L1273" s="1648"/>
      <c r="M1273" s="1648">
        <f t="shared" si="217"/>
        <v>0</v>
      </c>
      <c r="N1273" s="1648">
        <f t="shared" si="218"/>
        <v>0</v>
      </c>
      <c r="O1273" s="1648">
        <f t="shared" si="219"/>
        <v>0</v>
      </c>
      <c r="P1273" s="1648">
        <f t="shared" si="212"/>
        <v>0</v>
      </c>
      <c r="Q1273" s="1648">
        <f t="shared" si="213"/>
        <v>0</v>
      </c>
      <c r="R1273" s="55">
        <f t="shared" si="214"/>
        <v>0</v>
      </c>
      <c r="S1273" s="55">
        <f t="shared" si="215"/>
        <v>0</v>
      </c>
    </row>
    <row r="1274" spans="1:19" ht="49.5" hidden="1" customHeight="1">
      <c r="A1274" s="1693"/>
      <c r="B1274" s="1648">
        <f t="shared" si="209"/>
        <v>0</v>
      </c>
      <c r="C1274" s="1867" t="s">
        <v>6179</v>
      </c>
      <c r="D1274" s="1672">
        <v>1805</v>
      </c>
      <c r="E1274" s="1688" t="s">
        <v>729</v>
      </c>
      <c r="F1274" s="1651"/>
      <c r="G1274" s="1648">
        <f t="shared" si="210"/>
        <v>0</v>
      </c>
      <c r="H1274" s="1648"/>
      <c r="I1274" s="1648">
        <f t="shared" si="211"/>
        <v>0</v>
      </c>
      <c r="J1274" s="1648"/>
      <c r="K1274" s="1648">
        <f t="shared" si="216"/>
        <v>0</v>
      </c>
      <c r="L1274" s="1648"/>
      <c r="M1274" s="1648">
        <f t="shared" si="217"/>
        <v>0</v>
      </c>
      <c r="N1274" s="1648">
        <f t="shared" si="218"/>
        <v>0</v>
      </c>
      <c r="O1274" s="1648">
        <f t="shared" si="219"/>
        <v>0</v>
      </c>
      <c r="P1274" s="1648">
        <f t="shared" si="212"/>
        <v>0</v>
      </c>
      <c r="Q1274" s="1648">
        <f t="shared" si="213"/>
        <v>0</v>
      </c>
      <c r="R1274" s="55">
        <f t="shared" si="214"/>
        <v>0</v>
      </c>
      <c r="S1274" s="55">
        <f t="shared" si="215"/>
        <v>0</v>
      </c>
    </row>
    <row r="1275" spans="1:19" ht="49.5" hidden="1" customHeight="1">
      <c r="A1275" s="1693"/>
      <c r="B1275" s="1648">
        <f t="shared" si="209"/>
        <v>0</v>
      </c>
      <c r="C1275" s="1865" t="s">
        <v>6180</v>
      </c>
      <c r="D1275" s="1672"/>
      <c r="E1275" s="1688"/>
      <c r="F1275" s="1651"/>
      <c r="G1275" s="1648">
        <f t="shared" si="210"/>
        <v>0</v>
      </c>
      <c r="H1275" s="1648"/>
      <c r="I1275" s="1648">
        <f t="shared" si="211"/>
        <v>0</v>
      </c>
      <c r="J1275" s="1648"/>
      <c r="K1275" s="1648">
        <f t="shared" si="216"/>
        <v>0</v>
      </c>
      <c r="L1275" s="1648"/>
      <c r="M1275" s="1648">
        <f t="shared" si="217"/>
        <v>0</v>
      </c>
      <c r="N1275" s="1648">
        <f t="shared" si="218"/>
        <v>0</v>
      </c>
      <c r="O1275" s="1648">
        <f t="shared" si="219"/>
        <v>0</v>
      </c>
      <c r="P1275" s="1648">
        <f t="shared" si="212"/>
        <v>0</v>
      </c>
      <c r="Q1275" s="1648">
        <f t="shared" si="213"/>
        <v>0</v>
      </c>
      <c r="R1275" s="55">
        <f t="shared" si="214"/>
        <v>0</v>
      </c>
      <c r="S1275" s="55">
        <f t="shared" si="215"/>
        <v>0</v>
      </c>
    </row>
    <row r="1276" spans="1:19" ht="135" hidden="1" customHeight="1">
      <c r="A1276" s="1693"/>
      <c r="B1276" s="1648">
        <f t="shared" si="209"/>
        <v>0</v>
      </c>
      <c r="C1276" s="1867" t="s">
        <v>6181</v>
      </c>
      <c r="D1276" s="1672">
        <v>30250</v>
      </c>
      <c r="E1276" s="1688" t="s">
        <v>729</v>
      </c>
      <c r="F1276" s="1651"/>
      <c r="G1276" s="1648">
        <f t="shared" si="210"/>
        <v>0</v>
      </c>
      <c r="H1276" s="1648"/>
      <c r="I1276" s="1648">
        <f t="shared" si="211"/>
        <v>0</v>
      </c>
      <c r="J1276" s="1648"/>
      <c r="K1276" s="1648">
        <f t="shared" si="216"/>
        <v>0</v>
      </c>
      <c r="L1276" s="1648"/>
      <c r="M1276" s="1648">
        <f t="shared" si="217"/>
        <v>0</v>
      </c>
      <c r="N1276" s="1648">
        <f t="shared" si="218"/>
        <v>0</v>
      </c>
      <c r="O1276" s="1648">
        <f t="shared" si="219"/>
        <v>0</v>
      </c>
      <c r="P1276" s="1648">
        <f t="shared" si="212"/>
        <v>0</v>
      </c>
      <c r="Q1276" s="1648">
        <f t="shared" si="213"/>
        <v>0</v>
      </c>
      <c r="R1276" s="55">
        <f t="shared" si="214"/>
        <v>0</v>
      </c>
      <c r="S1276" s="55">
        <f t="shared" si="215"/>
        <v>0</v>
      </c>
    </row>
    <row r="1277" spans="1:19" ht="189" hidden="1" customHeight="1">
      <c r="A1277" s="1693"/>
      <c r="B1277" s="1648">
        <f t="shared" si="209"/>
        <v>0</v>
      </c>
      <c r="C1277" s="1867" t="s">
        <v>6182</v>
      </c>
      <c r="D1277" s="1672">
        <v>141</v>
      </c>
      <c r="E1277" s="1688" t="s">
        <v>3103</v>
      </c>
      <c r="F1277" s="1651"/>
      <c r="G1277" s="1648">
        <f t="shared" si="210"/>
        <v>0</v>
      </c>
      <c r="H1277" s="1648"/>
      <c r="I1277" s="1648">
        <f t="shared" si="211"/>
        <v>0</v>
      </c>
      <c r="J1277" s="1648"/>
      <c r="K1277" s="1648">
        <f t="shared" si="216"/>
        <v>0</v>
      </c>
      <c r="L1277" s="1648"/>
      <c r="M1277" s="1648">
        <f t="shared" si="217"/>
        <v>0</v>
      </c>
      <c r="N1277" s="1648">
        <f t="shared" si="218"/>
        <v>0</v>
      </c>
      <c r="O1277" s="1648">
        <f t="shared" si="219"/>
        <v>0</v>
      </c>
      <c r="P1277" s="1648">
        <f t="shared" si="212"/>
        <v>0</v>
      </c>
      <c r="Q1277" s="1648">
        <f t="shared" si="213"/>
        <v>0</v>
      </c>
      <c r="R1277" s="55">
        <f t="shared" si="214"/>
        <v>0</v>
      </c>
      <c r="S1277" s="55">
        <f t="shared" si="215"/>
        <v>0</v>
      </c>
    </row>
    <row r="1278" spans="1:19" ht="49.5" hidden="1" customHeight="1">
      <c r="A1278" s="1693"/>
      <c r="B1278" s="1648">
        <f t="shared" si="209"/>
        <v>0</v>
      </c>
      <c r="C1278" s="1865" t="s">
        <v>6183</v>
      </c>
      <c r="D1278" s="1672"/>
      <c r="E1278" s="1688"/>
      <c r="F1278" s="1651"/>
      <c r="G1278" s="1648">
        <f t="shared" si="210"/>
        <v>0</v>
      </c>
      <c r="H1278" s="1648"/>
      <c r="I1278" s="1648">
        <f t="shared" si="211"/>
        <v>0</v>
      </c>
      <c r="J1278" s="1648"/>
      <c r="K1278" s="1648">
        <f t="shared" si="216"/>
        <v>0</v>
      </c>
      <c r="L1278" s="1648"/>
      <c r="M1278" s="1648">
        <f t="shared" si="217"/>
        <v>0</v>
      </c>
      <c r="N1278" s="1648">
        <f t="shared" si="218"/>
        <v>0</v>
      </c>
      <c r="O1278" s="1648">
        <f t="shared" si="219"/>
        <v>0</v>
      </c>
      <c r="P1278" s="1648">
        <f t="shared" si="212"/>
        <v>0</v>
      </c>
      <c r="Q1278" s="1648">
        <f t="shared" si="213"/>
        <v>0</v>
      </c>
      <c r="R1278" s="55">
        <f t="shared" si="214"/>
        <v>0</v>
      </c>
      <c r="S1278" s="55">
        <f t="shared" si="215"/>
        <v>0</v>
      </c>
    </row>
    <row r="1279" spans="1:19" ht="111.95" hidden="1" customHeight="1">
      <c r="A1279" s="1693"/>
      <c r="B1279" s="1648">
        <f t="shared" si="209"/>
        <v>0</v>
      </c>
      <c r="C1279" s="1867" t="s">
        <v>6184</v>
      </c>
      <c r="D1279" s="1672">
        <v>6161</v>
      </c>
      <c r="E1279" s="1688" t="s">
        <v>2847</v>
      </c>
      <c r="F1279" s="1651"/>
      <c r="G1279" s="1648">
        <f t="shared" si="210"/>
        <v>0</v>
      </c>
      <c r="H1279" s="1648"/>
      <c r="I1279" s="1648">
        <f t="shared" si="211"/>
        <v>0</v>
      </c>
      <c r="J1279" s="1648"/>
      <c r="K1279" s="1648">
        <f t="shared" si="216"/>
        <v>0</v>
      </c>
      <c r="L1279" s="1648"/>
      <c r="M1279" s="1648">
        <f t="shared" si="217"/>
        <v>0</v>
      </c>
      <c r="N1279" s="1648">
        <f t="shared" si="218"/>
        <v>0</v>
      </c>
      <c r="O1279" s="1648">
        <f t="shared" si="219"/>
        <v>0</v>
      </c>
      <c r="P1279" s="1648">
        <f t="shared" si="212"/>
        <v>0</v>
      </c>
      <c r="Q1279" s="1648">
        <f t="shared" si="213"/>
        <v>0</v>
      </c>
      <c r="R1279" s="55">
        <f t="shared" si="214"/>
        <v>0</v>
      </c>
      <c r="S1279" s="55">
        <f t="shared" si="215"/>
        <v>0</v>
      </c>
    </row>
    <row r="1280" spans="1:19" ht="66.75" hidden="1" customHeight="1">
      <c r="A1280" s="1693"/>
      <c r="B1280" s="1648">
        <f t="shared" si="209"/>
        <v>0</v>
      </c>
      <c r="C1280" s="1865" t="s">
        <v>6185</v>
      </c>
      <c r="D1280" s="1672"/>
      <c r="E1280" s="1688"/>
      <c r="F1280" s="1651"/>
      <c r="G1280" s="1648">
        <f t="shared" si="210"/>
        <v>0</v>
      </c>
      <c r="H1280" s="1648"/>
      <c r="I1280" s="1648">
        <f t="shared" si="211"/>
        <v>0</v>
      </c>
      <c r="J1280" s="1648"/>
      <c r="K1280" s="1648">
        <f t="shared" si="216"/>
        <v>0</v>
      </c>
      <c r="L1280" s="1648"/>
      <c r="M1280" s="1648">
        <f t="shared" si="217"/>
        <v>0</v>
      </c>
      <c r="N1280" s="1648">
        <f t="shared" si="218"/>
        <v>0</v>
      </c>
      <c r="O1280" s="1648">
        <f t="shared" si="219"/>
        <v>0</v>
      </c>
      <c r="P1280" s="1648">
        <f t="shared" si="212"/>
        <v>0</v>
      </c>
      <c r="Q1280" s="1648">
        <f t="shared" si="213"/>
        <v>0</v>
      </c>
      <c r="R1280" s="55">
        <f t="shared" si="214"/>
        <v>0</v>
      </c>
      <c r="S1280" s="55">
        <f t="shared" si="215"/>
        <v>0</v>
      </c>
    </row>
    <row r="1281" spans="1:19" ht="409.5" hidden="1" customHeight="1">
      <c r="A1281" s="1693"/>
      <c r="B1281" s="1648">
        <f t="shared" si="209"/>
        <v>0</v>
      </c>
      <c r="C1281" s="1867" t="s">
        <v>6186</v>
      </c>
      <c r="D1281" s="1672"/>
      <c r="E1281" s="1688"/>
      <c r="F1281" s="1651"/>
      <c r="G1281" s="1648">
        <f t="shared" si="210"/>
        <v>0</v>
      </c>
      <c r="H1281" s="1648"/>
      <c r="I1281" s="1648">
        <f t="shared" si="211"/>
        <v>0</v>
      </c>
      <c r="J1281" s="1648"/>
      <c r="K1281" s="1648">
        <f t="shared" si="216"/>
        <v>0</v>
      </c>
      <c r="L1281" s="1648"/>
      <c r="M1281" s="1648">
        <f t="shared" si="217"/>
        <v>0</v>
      </c>
      <c r="N1281" s="1648">
        <f t="shared" si="218"/>
        <v>0</v>
      </c>
      <c r="O1281" s="1648">
        <f t="shared" si="219"/>
        <v>0</v>
      </c>
      <c r="P1281" s="1648">
        <f t="shared" si="212"/>
        <v>0</v>
      </c>
      <c r="Q1281" s="1648">
        <f t="shared" si="213"/>
        <v>0</v>
      </c>
      <c r="R1281" s="55">
        <f t="shared" si="214"/>
        <v>0</v>
      </c>
      <c r="S1281" s="55">
        <f t="shared" si="215"/>
        <v>0</v>
      </c>
    </row>
    <row r="1282" spans="1:19" ht="158.25" hidden="1" customHeight="1">
      <c r="A1282" s="1693"/>
      <c r="B1282" s="1648">
        <f t="shared" si="209"/>
        <v>0</v>
      </c>
      <c r="C1282" s="1867" t="s">
        <v>6187</v>
      </c>
      <c r="D1282" s="1672"/>
      <c r="E1282" s="1688"/>
      <c r="F1282" s="1651"/>
      <c r="G1282" s="1648">
        <f t="shared" si="210"/>
        <v>0</v>
      </c>
      <c r="H1282" s="1648"/>
      <c r="I1282" s="1648">
        <f t="shared" si="211"/>
        <v>0</v>
      </c>
      <c r="J1282" s="1648"/>
      <c r="K1282" s="1648">
        <f t="shared" si="216"/>
        <v>0</v>
      </c>
      <c r="L1282" s="1648"/>
      <c r="M1282" s="1648">
        <f t="shared" si="217"/>
        <v>0</v>
      </c>
      <c r="N1282" s="1648">
        <f t="shared" si="218"/>
        <v>0</v>
      </c>
      <c r="O1282" s="1648">
        <f t="shared" si="219"/>
        <v>0</v>
      </c>
      <c r="P1282" s="1648">
        <f t="shared" si="212"/>
        <v>0</v>
      </c>
      <c r="Q1282" s="1648">
        <f t="shared" si="213"/>
        <v>0</v>
      </c>
      <c r="R1282" s="55">
        <f t="shared" si="214"/>
        <v>0</v>
      </c>
      <c r="S1282" s="55">
        <f t="shared" si="215"/>
        <v>0</v>
      </c>
    </row>
    <row r="1283" spans="1:19" ht="235.5" hidden="1" customHeight="1">
      <c r="A1283" s="1693"/>
      <c r="B1283" s="1648">
        <f t="shared" si="209"/>
        <v>0</v>
      </c>
      <c r="C1283" s="1869" t="s">
        <v>6188</v>
      </c>
      <c r="D1283" s="1672">
        <v>55127</v>
      </c>
      <c r="E1283" s="1688"/>
      <c r="F1283" s="1651"/>
      <c r="G1283" s="1648">
        <f t="shared" si="210"/>
        <v>0</v>
      </c>
      <c r="H1283" s="1648"/>
      <c r="I1283" s="1648">
        <f t="shared" si="211"/>
        <v>0</v>
      </c>
      <c r="J1283" s="1648"/>
      <c r="K1283" s="1648">
        <f t="shared" si="216"/>
        <v>0</v>
      </c>
      <c r="L1283" s="1648"/>
      <c r="M1283" s="1648">
        <f t="shared" si="217"/>
        <v>0</v>
      </c>
      <c r="N1283" s="1648">
        <f t="shared" si="218"/>
        <v>0</v>
      </c>
      <c r="O1283" s="1648">
        <f t="shared" si="219"/>
        <v>0</v>
      </c>
      <c r="P1283" s="1648">
        <f t="shared" si="212"/>
        <v>0</v>
      </c>
      <c r="Q1283" s="1648">
        <f t="shared" si="213"/>
        <v>0</v>
      </c>
      <c r="R1283" s="55">
        <f t="shared" si="214"/>
        <v>0</v>
      </c>
      <c r="S1283" s="55">
        <f t="shared" si="215"/>
        <v>0</v>
      </c>
    </row>
    <row r="1284" spans="1:19" ht="408" hidden="1" customHeight="1">
      <c r="A1284" s="1693"/>
      <c r="B1284" s="1648">
        <f t="shared" si="209"/>
        <v>0</v>
      </c>
      <c r="C1284" s="1867" t="s">
        <v>6189</v>
      </c>
      <c r="D1284" s="1672"/>
      <c r="E1284" s="1688"/>
      <c r="F1284" s="1651"/>
      <c r="G1284" s="1648">
        <f t="shared" si="210"/>
        <v>0</v>
      </c>
      <c r="H1284" s="1648"/>
      <c r="I1284" s="1648">
        <f t="shared" si="211"/>
        <v>0</v>
      </c>
      <c r="J1284" s="1648"/>
      <c r="K1284" s="1648">
        <f t="shared" si="216"/>
        <v>0</v>
      </c>
      <c r="L1284" s="1648"/>
      <c r="M1284" s="1648">
        <f t="shared" si="217"/>
        <v>0</v>
      </c>
      <c r="N1284" s="1648">
        <f t="shared" si="218"/>
        <v>0</v>
      </c>
      <c r="O1284" s="1648">
        <f t="shared" si="219"/>
        <v>0</v>
      </c>
      <c r="P1284" s="1648">
        <f t="shared" si="212"/>
        <v>0</v>
      </c>
      <c r="Q1284" s="1648">
        <f t="shared" si="213"/>
        <v>0</v>
      </c>
      <c r="R1284" s="55">
        <f t="shared" si="214"/>
        <v>0</v>
      </c>
      <c r="S1284" s="55">
        <f t="shared" si="215"/>
        <v>0</v>
      </c>
    </row>
    <row r="1285" spans="1:19" ht="219" hidden="1" customHeight="1">
      <c r="A1285" s="1693"/>
      <c r="B1285" s="1648">
        <f t="shared" si="209"/>
        <v>0</v>
      </c>
      <c r="C1285" s="1867" t="s">
        <v>6190</v>
      </c>
      <c r="D1285" s="1672"/>
      <c r="E1285" s="1688"/>
      <c r="F1285" s="1651"/>
      <c r="G1285" s="1648">
        <f t="shared" si="210"/>
        <v>0</v>
      </c>
      <c r="H1285" s="1648"/>
      <c r="I1285" s="1648">
        <f t="shared" si="211"/>
        <v>0</v>
      </c>
      <c r="J1285" s="1648"/>
      <c r="K1285" s="1648">
        <f t="shared" si="216"/>
        <v>0</v>
      </c>
      <c r="L1285" s="1648"/>
      <c r="M1285" s="1648">
        <f t="shared" si="217"/>
        <v>0</v>
      </c>
      <c r="N1285" s="1648">
        <f t="shared" si="218"/>
        <v>0</v>
      </c>
      <c r="O1285" s="1648">
        <f t="shared" si="219"/>
        <v>0</v>
      </c>
      <c r="P1285" s="1648">
        <f t="shared" si="212"/>
        <v>0</v>
      </c>
      <c r="Q1285" s="1648">
        <f t="shared" si="213"/>
        <v>0</v>
      </c>
      <c r="R1285" s="55">
        <f t="shared" si="214"/>
        <v>0</v>
      </c>
      <c r="S1285" s="55">
        <f t="shared" si="215"/>
        <v>0</v>
      </c>
    </row>
    <row r="1286" spans="1:19" ht="260.10000000000002" hidden="1" customHeight="1">
      <c r="A1286" s="1693"/>
      <c r="B1286" s="1648">
        <f t="shared" ref="B1286:B1349" si="220">P1286</f>
        <v>0</v>
      </c>
      <c r="C1286" s="1869" t="s">
        <v>6191</v>
      </c>
      <c r="D1286" s="1672">
        <v>65700</v>
      </c>
      <c r="E1286" s="1688" t="s">
        <v>729</v>
      </c>
      <c r="F1286" s="1651"/>
      <c r="G1286" s="1648">
        <f t="shared" ref="G1286:G1326" si="221">F1286*D1286</f>
        <v>0</v>
      </c>
      <c r="H1286" s="1648"/>
      <c r="I1286" s="1648">
        <f t="shared" ref="I1286:I1326" si="222">H1286*D1286</f>
        <v>0</v>
      </c>
      <c r="J1286" s="1648"/>
      <c r="K1286" s="1648">
        <f t="shared" si="216"/>
        <v>0</v>
      </c>
      <c r="L1286" s="1648"/>
      <c r="M1286" s="1648">
        <f t="shared" si="217"/>
        <v>0</v>
      </c>
      <c r="N1286" s="1648">
        <f t="shared" si="218"/>
        <v>0</v>
      </c>
      <c r="O1286" s="1648">
        <f t="shared" si="219"/>
        <v>0</v>
      </c>
      <c r="P1286" s="1648">
        <f t="shared" ref="P1286:P1326" si="223">N1286+F1286</f>
        <v>0</v>
      </c>
      <c r="Q1286" s="1648">
        <f t="shared" ref="Q1286:Q1349" si="224">P1286*D1286</f>
        <v>0</v>
      </c>
      <c r="R1286" s="55">
        <f t="shared" ref="R1286:R1349" si="225">G1286+I1286+K1286+M1286</f>
        <v>0</v>
      </c>
      <c r="S1286" s="55">
        <f t="shared" ref="S1286:S1349" si="226">Q1286-R1286</f>
        <v>0</v>
      </c>
    </row>
    <row r="1287" spans="1:19" ht="90" hidden="1" customHeight="1">
      <c r="A1287" s="1693"/>
      <c r="B1287" s="1648">
        <f t="shared" si="220"/>
        <v>0</v>
      </c>
      <c r="C1287" s="1867" t="s">
        <v>6192</v>
      </c>
      <c r="D1287" s="1672"/>
      <c r="E1287" s="1688"/>
      <c r="F1287" s="1651"/>
      <c r="G1287" s="1648">
        <f t="shared" si="221"/>
        <v>0</v>
      </c>
      <c r="H1287" s="1648"/>
      <c r="I1287" s="1648">
        <f t="shared" si="222"/>
        <v>0</v>
      </c>
      <c r="J1287" s="1648"/>
      <c r="K1287" s="1648">
        <f t="shared" ref="K1287:K1326" si="227">J1287*D1287</f>
        <v>0</v>
      </c>
      <c r="L1287" s="1648"/>
      <c r="M1287" s="1648">
        <f t="shared" ref="M1287:M1350" si="228">L1287*D1287</f>
        <v>0</v>
      </c>
      <c r="N1287" s="1648">
        <f t="shared" ref="N1287:N1326" si="229">H1287+J1287+L1287</f>
        <v>0</v>
      </c>
      <c r="O1287" s="1648">
        <f t="shared" ref="O1287:O1350" si="230">N1287*D1287</f>
        <v>0</v>
      </c>
      <c r="P1287" s="1648">
        <f t="shared" si="223"/>
        <v>0</v>
      </c>
      <c r="Q1287" s="1648">
        <f t="shared" si="224"/>
        <v>0</v>
      </c>
      <c r="R1287" s="55">
        <f t="shared" si="225"/>
        <v>0</v>
      </c>
      <c r="S1287" s="55">
        <f t="shared" si="226"/>
        <v>0</v>
      </c>
    </row>
    <row r="1288" spans="1:19" ht="132" hidden="1" customHeight="1">
      <c r="A1288" s="1693"/>
      <c r="B1288" s="1648">
        <f t="shared" si="220"/>
        <v>0</v>
      </c>
      <c r="C1288" s="1867" t="s">
        <v>6193</v>
      </c>
      <c r="D1288" s="1672"/>
      <c r="E1288" s="1688"/>
      <c r="F1288" s="1651"/>
      <c r="G1288" s="1648">
        <f t="shared" si="221"/>
        <v>0</v>
      </c>
      <c r="H1288" s="1648"/>
      <c r="I1288" s="1648">
        <f t="shared" si="222"/>
        <v>0</v>
      </c>
      <c r="J1288" s="1648"/>
      <c r="K1288" s="1648">
        <f t="shared" si="227"/>
        <v>0</v>
      </c>
      <c r="L1288" s="1648"/>
      <c r="M1288" s="1648">
        <f t="shared" si="228"/>
        <v>0</v>
      </c>
      <c r="N1288" s="1648">
        <f t="shared" si="229"/>
        <v>0</v>
      </c>
      <c r="O1288" s="1648">
        <f t="shared" si="230"/>
        <v>0</v>
      </c>
      <c r="P1288" s="1648">
        <f t="shared" si="223"/>
        <v>0</v>
      </c>
      <c r="Q1288" s="1648">
        <f t="shared" si="224"/>
        <v>0</v>
      </c>
      <c r="R1288" s="55">
        <f t="shared" si="225"/>
        <v>0</v>
      </c>
      <c r="S1288" s="55">
        <f t="shared" si="226"/>
        <v>0</v>
      </c>
    </row>
    <row r="1289" spans="1:19" ht="342" hidden="1" customHeight="1">
      <c r="A1289" s="1693"/>
      <c r="B1289" s="1648">
        <f t="shared" si="220"/>
        <v>0</v>
      </c>
      <c r="C1289" s="1869" t="s">
        <v>6194</v>
      </c>
      <c r="D1289" s="1672">
        <v>241785</v>
      </c>
      <c r="E1289" s="1688" t="s">
        <v>41</v>
      </c>
      <c r="F1289" s="1651"/>
      <c r="G1289" s="1648">
        <f t="shared" si="221"/>
        <v>0</v>
      </c>
      <c r="H1289" s="1648"/>
      <c r="I1289" s="1648">
        <f t="shared" si="222"/>
        <v>0</v>
      </c>
      <c r="J1289" s="1648"/>
      <c r="K1289" s="1648">
        <f t="shared" si="227"/>
        <v>0</v>
      </c>
      <c r="L1289" s="1648"/>
      <c r="M1289" s="1648">
        <f t="shared" si="228"/>
        <v>0</v>
      </c>
      <c r="N1289" s="1648">
        <f t="shared" si="229"/>
        <v>0</v>
      </c>
      <c r="O1289" s="1648">
        <f t="shared" si="230"/>
        <v>0</v>
      </c>
      <c r="P1289" s="1648">
        <f t="shared" si="223"/>
        <v>0</v>
      </c>
      <c r="Q1289" s="1648">
        <f t="shared" si="224"/>
        <v>0</v>
      </c>
      <c r="R1289" s="55">
        <f t="shared" si="225"/>
        <v>0</v>
      </c>
      <c r="S1289" s="55">
        <f t="shared" si="226"/>
        <v>0</v>
      </c>
    </row>
    <row r="1290" spans="1:19" ht="81" hidden="1" customHeight="1">
      <c r="A1290" s="1693"/>
      <c r="B1290" s="1648">
        <f t="shared" si="220"/>
        <v>0</v>
      </c>
      <c r="C1290" s="1869" t="s">
        <v>6195</v>
      </c>
      <c r="D1290" s="1672">
        <v>348</v>
      </c>
      <c r="E1290" s="1688" t="s">
        <v>41</v>
      </c>
      <c r="F1290" s="1651"/>
      <c r="G1290" s="1648">
        <f t="shared" si="221"/>
        <v>0</v>
      </c>
      <c r="H1290" s="1648"/>
      <c r="I1290" s="1648">
        <f t="shared" si="222"/>
        <v>0</v>
      </c>
      <c r="J1290" s="1648"/>
      <c r="K1290" s="1648">
        <f t="shared" si="227"/>
        <v>0</v>
      </c>
      <c r="L1290" s="1648"/>
      <c r="M1290" s="1648">
        <f t="shared" si="228"/>
        <v>0</v>
      </c>
      <c r="N1290" s="1648">
        <f t="shared" si="229"/>
        <v>0</v>
      </c>
      <c r="O1290" s="1648">
        <f t="shared" si="230"/>
        <v>0</v>
      </c>
      <c r="P1290" s="1648">
        <f t="shared" si="223"/>
        <v>0</v>
      </c>
      <c r="Q1290" s="1648">
        <f t="shared" si="224"/>
        <v>0</v>
      </c>
      <c r="R1290" s="55">
        <f t="shared" si="225"/>
        <v>0</v>
      </c>
      <c r="S1290" s="55">
        <f t="shared" si="226"/>
        <v>0</v>
      </c>
    </row>
    <row r="1291" spans="1:19" ht="97.9" hidden="1" customHeight="1">
      <c r="A1291" s="1693"/>
      <c r="B1291" s="1648">
        <f t="shared" si="220"/>
        <v>0</v>
      </c>
      <c r="C1291" s="1869" t="s">
        <v>6196</v>
      </c>
      <c r="D1291" s="1672">
        <v>38</v>
      </c>
      <c r="E1291" s="1688" t="s">
        <v>13</v>
      </c>
      <c r="F1291" s="1651"/>
      <c r="G1291" s="1648">
        <f t="shared" si="221"/>
        <v>0</v>
      </c>
      <c r="H1291" s="1648"/>
      <c r="I1291" s="1648">
        <f t="shared" si="222"/>
        <v>0</v>
      </c>
      <c r="J1291" s="1648"/>
      <c r="K1291" s="1648">
        <f t="shared" si="227"/>
        <v>0</v>
      </c>
      <c r="L1291" s="1648"/>
      <c r="M1291" s="1648">
        <f t="shared" si="228"/>
        <v>0</v>
      </c>
      <c r="N1291" s="1648">
        <f t="shared" si="229"/>
        <v>0</v>
      </c>
      <c r="O1291" s="1648">
        <f t="shared" si="230"/>
        <v>0</v>
      </c>
      <c r="P1291" s="1648">
        <f t="shared" si="223"/>
        <v>0</v>
      </c>
      <c r="Q1291" s="1648">
        <f t="shared" si="224"/>
        <v>0</v>
      </c>
      <c r="R1291" s="55">
        <f t="shared" si="225"/>
        <v>0</v>
      </c>
      <c r="S1291" s="55">
        <f t="shared" si="226"/>
        <v>0</v>
      </c>
    </row>
    <row r="1292" spans="1:19" ht="95.25" hidden="1" customHeight="1">
      <c r="A1292" s="1693"/>
      <c r="B1292" s="1648">
        <f t="shared" si="220"/>
        <v>0</v>
      </c>
      <c r="C1292" s="1867" t="s">
        <v>6197</v>
      </c>
      <c r="D1292" s="1672">
        <v>30000</v>
      </c>
      <c r="E1292" s="1688" t="s">
        <v>2847</v>
      </c>
      <c r="F1292" s="1651"/>
      <c r="G1292" s="1648">
        <f t="shared" si="221"/>
        <v>0</v>
      </c>
      <c r="H1292" s="1648"/>
      <c r="I1292" s="1648">
        <f t="shared" si="222"/>
        <v>0</v>
      </c>
      <c r="J1292" s="1648"/>
      <c r="K1292" s="1648">
        <f t="shared" si="227"/>
        <v>0</v>
      </c>
      <c r="L1292" s="1648"/>
      <c r="M1292" s="1648">
        <f t="shared" si="228"/>
        <v>0</v>
      </c>
      <c r="N1292" s="1648">
        <f t="shared" si="229"/>
        <v>0</v>
      </c>
      <c r="O1292" s="1648">
        <f t="shared" si="230"/>
        <v>0</v>
      </c>
      <c r="P1292" s="1648">
        <f t="shared" si="223"/>
        <v>0</v>
      </c>
      <c r="Q1292" s="1648">
        <f t="shared" si="224"/>
        <v>0</v>
      </c>
      <c r="R1292" s="55">
        <f t="shared" si="225"/>
        <v>0</v>
      </c>
      <c r="S1292" s="55">
        <f t="shared" si="226"/>
        <v>0</v>
      </c>
    </row>
    <row r="1293" spans="1:19" ht="58.15" hidden="1" customHeight="1">
      <c r="A1293" s="1693"/>
      <c r="B1293" s="1648">
        <f t="shared" si="220"/>
        <v>0</v>
      </c>
      <c r="C1293" s="1867" t="s">
        <v>6198</v>
      </c>
      <c r="D1293" s="1672">
        <v>500000</v>
      </c>
      <c r="E1293" s="1688" t="s">
        <v>145</v>
      </c>
      <c r="F1293" s="1651"/>
      <c r="G1293" s="1648">
        <f t="shared" si="221"/>
        <v>0</v>
      </c>
      <c r="H1293" s="1648"/>
      <c r="I1293" s="1648">
        <f t="shared" si="222"/>
        <v>0</v>
      </c>
      <c r="J1293" s="1648"/>
      <c r="K1293" s="1648">
        <f t="shared" si="227"/>
        <v>0</v>
      </c>
      <c r="L1293" s="1648"/>
      <c r="M1293" s="1648">
        <f t="shared" si="228"/>
        <v>0</v>
      </c>
      <c r="N1293" s="1648">
        <f t="shared" si="229"/>
        <v>0</v>
      </c>
      <c r="O1293" s="1648">
        <f t="shared" si="230"/>
        <v>0</v>
      </c>
      <c r="P1293" s="1648">
        <f t="shared" si="223"/>
        <v>0</v>
      </c>
      <c r="Q1293" s="1648">
        <f t="shared" si="224"/>
        <v>0</v>
      </c>
      <c r="R1293" s="55">
        <f t="shared" si="225"/>
        <v>0</v>
      </c>
      <c r="S1293" s="55">
        <f t="shared" si="226"/>
        <v>0</v>
      </c>
    </row>
    <row r="1294" spans="1:19" ht="49.5" customHeight="1">
      <c r="A1294" s="1693"/>
      <c r="B1294" s="1648">
        <f t="shared" si="220"/>
        <v>0</v>
      </c>
      <c r="C1294" s="1865" t="s">
        <v>6199</v>
      </c>
      <c r="D1294" s="1672"/>
      <c r="E1294" s="1688"/>
      <c r="F1294" s="1651"/>
      <c r="G1294" s="1648">
        <f t="shared" si="221"/>
        <v>0</v>
      </c>
      <c r="H1294" s="1648"/>
      <c r="I1294" s="1648">
        <f t="shared" si="222"/>
        <v>0</v>
      </c>
      <c r="J1294" s="1648"/>
      <c r="K1294" s="1648">
        <f t="shared" si="227"/>
        <v>0</v>
      </c>
      <c r="L1294" s="1648"/>
      <c r="M1294" s="1648">
        <f t="shared" si="228"/>
        <v>0</v>
      </c>
      <c r="N1294" s="1648">
        <f t="shared" si="229"/>
        <v>0</v>
      </c>
      <c r="O1294" s="1648">
        <f t="shared" si="230"/>
        <v>0</v>
      </c>
      <c r="P1294" s="1648">
        <f t="shared" si="223"/>
        <v>0</v>
      </c>
      <c r="Q1294" s="1648">
        <f t="shared" si="224"/>
        <v>0</v>
      </c>
      <c r="R1294" s="55">
        <f t="shared" si="225"/>
        <v>0</v>
      </c>
      <c r="S1294" s="55">
        <f t="shared" si="226"/>
        <v>0</v>
      </c>
    </row>
    <row r="1295" spans="1:19" ht="260.25" customHeight="1">
      <c r="A1295" s="1693"/>
      <c r="B1295" s="1648">
        <f t="shared" si="220"/>
        <v>0</v>
      </c>
      <c r="C1295" s="1876" t="s">
        <v>6200</v>
      </c>
      <c r="D1295" s="1672"/>
      <c r="E1295" s="1688"/>
      <c r="F1295" s="1651"/>
      <c r="G1295" s="1648">
        <f t="shared" si="221"/>
        <v>0</v>
      </c>
      <c r="H1295" s="1648"/>
      <c r="I1295" s="1648">
        <f t="shared" si="222"/>
        <v>0</v>
      </c>
      <c r="J1295" s="1648"/>
      <c r="K1295" s="1648">
        <f t="shared" si="227"/>
        <v>0</v>
      </c>
      <c r="L1295" s="1648"/>
      <c r="M1295" s="1648">
        <f t="shared" si="228"/>
        <v>0</v>
      </c>
      <c r="N1295" s="1648">
        <f t="shared" si="229"/>
        <v>0</v>
      </c>
      <c r="O1295" s="1648">
        <f t="shared" si="230"/>
        <v>0</v>
      </c>
      <c r="P1295" s="1648">
        <f t="shared" si="223"/>
        <v>0</v>
      </c>
      <c r="Q1295" s="1648">
        <f t="shared" si="224"/>
        <v>0</v>
      </c>
      <c r="R1295" s="55">
        <f t="shared" si="225"/>
        <v>0</v>
      </c>
      <c r="S1295" s="55">
        <f t="shared" si="226"/>
        <v>0</v>
      </c>
    </row>
    <row r="1296" spans="1:19" ht="67.5" customHeight="1">
      <c r="A1296" s="1693"/>
      <c r="B1296" s="1648">
        <f t="shared" si="220"/>
        <v>1</v>
      </c>
      <c r="C1296" s="1869" t="s">
        <v>6201</v>
      </c>
      <c r="D1296" s="1667">
        <v>558600</v>
      </c>
      <c r="E1296" s="1707" t="s">
        <v>729</v>
      </c>
      <c r="F1296" s="1651"/>
      <c r="G1296" s="1648">
        <f t="shared" si="221"/>
        <v>0</v>
      </c>
      <c r="H1296" s="1648"/>
      <c r="I1296" s="1648">
        <f t="shared" si="222"/>
        <v>0</v>
      </c>
      <c r="J1296" s="1648"/>
      <c r="K1296" s="1648">
        <f t="shared" si="227"/>
        <v>0</v>
      </c>
      <c r="L1296" s="1648">
        <f>genset!G31</f>
        <v>1</v>
      </c>
      <c r="M1296" s="1648">
        <f t="shared" si="228"/>
        <v>558600</v>
      </c>
      <c r="N1296" s="1648">
        <f t="shared" si="229"/>
        <v>1</v>
      </c>
      <c r="O1296" s="1648">
        <f t="shared" si="230"/>
        <v>558600</v>
      </c>
      <c r="P1296" s="1648">
        <f t="shared" si="223"/>
        <v>1</v>
      </c>
      <c r="Q1296" s="1648">
        <f t="shared" si="224"/>
        <v>558600</v>
      </c>
      <c r="R1296" s="55">
        <f t="shared" si="225"/>
        <v>558600</v>
      </c>
      <c r="S1296" s="55">
        <f t="shared" si="226"/>
        <v>0</v>
      </c>
    </row>
    <row r="1297" spans="1:19" ht="70.5" customHeight="1">
      <c r="A1297" s="1693"/>
      <c r="B1297" s="1648">
        <f t="shared" si="220"/>
        <v>1</v>
      </c>
      <c r="C1297" s="1869" t="s">
        <v>6202</v>
      </c>
      <c r="D1297" s="1667">
        <v>60000</v>
      </c>
      <c r="E1297" s="1707" t="s">
        <v>6203</v>
      </c>
      <c r="F1297" s="1651"/>
      <c r="G1297" s="1648">
        <f t="shared" si="221"/>
        <v>0</v>
      </c>
      <c r="H1297" s="1648"/>
      <c r="I1297" s="1648">
        <f t="shared" si="222"/>
        <v>0</v>
      </c>
      <c r="J1297" s="1648"/>
      <c r="K1297" s="1648">
        <f t="shared" si="227"/>
        <v>0</v>
      </c>
      <c r="L1297" s="1648">
        <f>genset!G34</f>
        <v>1</v>
      </c>
      <c r="M1297" s="1648">
        <f t="shared" si="228"/>
        <v>60000</v>
      </c>
      <c r="N1297" s="1648">
        <f t="shared" si="229"/>
        <v>1</v>
      </c>
      <c r="O1297" s="1648">
        <f t="shared" si="230"/>
        <v>60000</v>
      </c>
      <c r="P1297" s="1648">
        <f t="shared" si="223"/>
        <v>1</v>
      </c>
      <c r="Q1297" s="1648">
        <f t="shared" si="224"/>
        <v>60000</v>
      </c>
      <c r="R1297" s="55">
        <f t="shared" si="225"/>
        <v>60000</v>
      </c>
      <c r="S1297" s="55">
        <f t="shared" si="226"/>
        <v>0</v>
      </c>
    </row>
    <row r="1298" spans="1:19" ht="81" customHeight="1">
      <c r="A1298" s="1693"/>
      <c r="B1298" s="1648">
        <f t="shared" si="220"/>
        <v>0</v>
      </c>
      <c r="C1298" s="1876" t="s">
        <v>6204</v>
      </c>
      <c r="D1298" s="1667"/>
      <c r="E1298" s="1707"/>
      <c r="F1298" s="1651"/>
      <c r="G1298" s="1648">
        <f t="shared" si="221"/>
        <v>0</v>
      </c>
      <c r="H1298" s="1648"/>
      <c r="I1298" s="1648">
        <f t="shared" si="222"/>
        <v>0</v>
      </c>
      <c r="J1298" s="1648"/>
      <c r="K1298" s="1648">
        <f t="shared" si="227"/>
        <v>0</v>
      </c>
      <c r="L1298" s="1648"/>
      <c r="M1298" s="1648">
        <f t="shared" si="228"/>
        <v>0</v>
      </c>
      <c r="N1298" s="1648">
        <f t="shared" si="229"/>
        <v>0</v>
      </c>
      <c r="O1298" s="1648">
        <f t="shared" si="230"/>
        <v>0</v>
      </c>
      <c r="P1298" s="1648">
        <f t="shared" si="223"/>
        <v>0</v>
      </c>
      <c r="Q1298" s="1648">
        <f t="shared" si="224"/>
        <v>0</v>
      </c>
      <c r="R1298" s="55">
        <f t="shared" si="225"/>
        <v>0</v>
      </c>
      <c r="S1298" s="55">
        <f t="shared" si="226"/>
        <v>0</v>
      </c>
    </row>
    <row r="1299" spans="1:19" ht="111" customHeight="1">
      <c r="A1299" s="1693"/>
      <c r="B1299" s="1648">
        <f t="shared" si="220"/>
        <v>1</v>
      </c>
      <c r="C1299" s="1867" t="s">
        <v>6205</v>
      </c>
      <c r="D1299" s="1672">
        <v>7000</v>
      </c>
      <c r="E1299" s="1688" t="s">
        <v>729</v>
      </c>
      <c r="F1299" s="1651"/>
      <c r="G1299" s="1648">
        <f t="shared" si="221"/>
        <v>0</v>
      </c>
      <c r="H1299" s="1648"/>
      <c r="I1299" s="1648">
        <f t="shared" si="222"/>
        <v>0</v>
      </c>
      <c r="J1299" s="1648"/>
      <c r="K1299" s="1648">
        <f t="shared" si="227"/>
        <v>0</v>
      </c>
      <c r="L1299" s="1648">
        <f>genset!G36</f>
        <v>1</v>
      </c>
      <c r="M1299" s="1648">
        <f t="shared" si="228"/>
        <v>7000</v>
      </c>
      <c r="N1299" s="1648">
        <f t="shared" si="229"/>
        <v>1</v>
      </c>
      <c r="O1299" s="1648">
        <f t="shared" si="230"/>
        <v>7000</v>
      </c>
      <c r="P1299" s="1648">
        <f t="shared" si="223"/>
        <v>1</v>
      </c>
      <c r="Q1299" s="1648">
        <f t="shared" si="224"/>
        <v>7000</v>
      </c>
      <c r="R1299" s="55">
        <f t="shared" si="225"/>
        <v>7000</v>
      </c>
      <c r="S1299" s="55">
        <f t="shared" si="226"/>
        <v>0</v>
      </c>
    </row>
    <row r="1300" spans="1:19" ht="264" customHeight="1">
      <c r="A1300" s="1693"/>
      <c r="B1300" s="1648">
        <f t="shared" si="220"/>
        <v>1</v>
      </c>
      <c r="C1300" s="1867" t="s">
        <v>6206</v>
      </c>
      <c r="D1300" s="1672">
        <v>27646</v>
      </c>
      <c r="E1300" s="1688" t="s">
        <v>1034</v>
      </c>
      <c r="F1300" s="1651"/>
      <c r="G1300" s="1648">
        <f t="shared" si="221"/>
        <v>0</v>
      </c>
      <c r="H1300" s="1648"/>
      <c r="I1300" s="1648">
        <f t="shared" si="222"/>
        <v>0</v>
      </c>
      <c r="J1300" s="1648"/>
      <c r="K1300" s="1648">
        <f t="shared" si="227"/>
        <v>0</v>
      </c>
      <c r="L1300" s="1648">
        <f>genset!G38</f>
        <v>1</v>
      </c>
      <c r="M1300" s="1648">
        <f t="shared" si="228"/>
        <v>27646</v>
      </c>
      <c r="N1300" s="1648">
        <f t="shared" si="229"/>
        <v>1</v>
      </c>
      <c r="O1300" s="1648">
        <f t="shared" si="230"/>
        <v>27646</v>
      </c>
      <c r="P1300" s="1648">
        <f t="shared" si="223"/>
        <v>1</v>
      </c>
      <c r="Q1300" s="1648">
        <f t="shared" si="224"/>
        <v>27646</v>
      </c>
      <c r="R1300" s="55">
        <f t="shared" si="225"/>
        <v>27646</v>
      </c>
      <c r="S1300" s="55">
        <f t="shared" si="226"/>
        <v>0</v>
      </c>
    </row>
    <row r="1301" spans="1:19" ht="49.5" hidden="1" customHeight="1">
      <c r="A1301" s="1693"/>
      <c r="B1301" s="1648">
        <f t="shared" si="220"/>
        <v>0</v>
      </c>
      <c r="C1301" s="1867" t="s">
        <v>6207</v>
      </c>
      <c r="D1301" s="1672"/>
      <c r="E1301" s="1688"/>
      <c r="F1301" s="1651"/>
      <c r="G1301" s="1648">
        <f t="shared" si="221"/>
        <v>0</v>
      </c>
      <c r="H1301" s="1648"/>
      <c r="I1301" s="1648">
        <f t="shared" si="222"/>
        <v>0</v>
      </c>
      <c r="J1301" s="1648"/>
      <c r="K1301" s="1648">
        <f t="shared" si="227"/>
        <v>0</v>
      </c>
      <c r="L1301" s="1648"/>
      <c r="M1301" s="1648">
        <f t="shared" si="228"/>
        <v>0</v>
      </c>
      <c r="N1301" s="1648">
        <f t="shared" si="229"/>
        <v>0</v>
      </c>
      <c r="O1301" s="1648">
        <f t="shared" si="230"/>
        <v>0</v>
      </c>
      <c r="P1301" s="1648">
        <f t="shared" si="223"/>
        <v>0</v>
      </c>
      <c r="Q1301" s="1648">
        <f t="shared" si="224"/>
        <v>0</v>
      </c>
      <c r="R1301" s="55">
        <f t="shared" si="225"/>
        <v>0</v>
      </c>
      <c r="S1301" s="55">
        <f t="shared" si="226"/>
        <v>0</v>
      </c>
    </row>
    <row r="1302" spans="1:19" ht="49.5" customHeight="1">
      <c r="A1302" s="1693"/>
      <c r="B1302" s="1648">
        <f t="shared" si="220"/>
        <v>0</v>
      </c>
      <c r="C1302" s="1865" t="s">
        <v>6208</v>
      </c>
      <c r="D1302" s="1672"/>
      <c r="E1302" s="1688"/>
      <c r="F1302" s="1651"/>
      <c r="G1302" s="1648">
        <f t="shared" si="221"/>
        <v>0</v>
      </c>
      <c r="H1302" s="1648"/>
      <c r="I1302" s="1648">
        <f t="shared" si="222"/>
        <v>0</v>
      </c>
      <c r="J1302" s="1648"/>
      <c r="K1302" s="1648">
        <f t="shared" si="227"/>
        <v>0</v>
      </c>
      <c r="L1302" s="1648"/>
      <c r="M1302" s="1648">
        <f t="shared" si="228"/>
        <v>0</v>
      </c>
      <c r="N1302" s="1648">
        <f t="shared" si="229"/>
        <v>0</v>
      </c>
      <c r="O1302" s="1648">
        <f t="shared" si="230"/>
        <v>0</v>
      </c>
      <c r="P1302" s="1648">
        <f t="shared" si="223"/>
        <v>0</v>
      </c>
      <c r="Q1302" s="1648">
        <f t="shared" si="224"/>
        <v>0</v>
      </c>
      <c r="R1302" s="55">
        <f t="shared" si="225"/>
        <v>0</v>
      </c>
      <c r="S1302" s="55">
        <f t="shared" si="226"/>
        <v>0</v>
      </c>
    </row>
    <row r="1303" spans="1:19" ht="174.75" customHeight="1">
      <c r="A1303" s="1693"/>
      <c r="B1303" s="1648">
        <f t="shared" si="220"/>
        <v>5</v>
      </c>
      <c r="C1303" s="1865" t="s">
        <v>6209</v>
      </c>
      <c r="D1303" s="1672">
        <v>339.3</v>
      </c>
      <c r="E1303" s="1688" t="s">
        <v>2092</v>
      </c>
      <c r="F1303" s="1651"/>
      <c r="G1303" s="1648">
        <f t="shared" si="221"/>
        <v>0</v>
      </c>
      <c r="H1303" s="1648"/>
      <c r="I1303" s="1648">
        <f t="shared" si="222"/>
        <v>0</v>
      </c>
      <c r="J1303" s="1648"/>
      <c r="K1303" s="1648">
        <f t="shared" si="227"/>
        <v>0</v>
      </c>
      <c r="L1303" s="1648">
        <f>genset!G41</f>
        <v>5</v>
      </c>
      <c r="M1303" s="1648">
        <f t="shared" si="228"/>
        <v>1696.5</v>
      </c>
      <c r="N1303" s="1648">
        <f t="shared" si="229"/>
        <v>5</v>
      </c>
      <c r="O1303" s="1648">
        <f t="shared" si="230"/>
        <v>1696.5</v>
      </c>
      <c r="P1303" s="1648">
        <f t="shared" si="223"/>
        <v>5</v>
      </c>
      <c r="Q1303" s="1648">
        <f t="shared" si="224"/>
        <v>1696.5</v>
      </c>
      <c r="R1303" s="55">
        <f t="shared" si="225"/>
        <v>1696.5</v>
      </c>
      <c r="S1303" s="55">
        <f t="shared" si="226"/>
        <v>0</v>
      </c>
    </row>
    <row r="1304" spans="1:19" ht="49.5" hidden="1" customHeight="1">
      <c r="A1304" s="1693"/>
      <c r="B1304" s="1648">
        <f t="shared" si="220"/>
        <v>0</v>
      </c>
      <c r="C1304" s="1867" t="s">
        <v>6207</v>
      </c>
      <c r="D1304" s="1672">
        <v>339.3</v>
      </c>
      <c r="E1304" s="1688" t="s">
        <v>2092</v>
      </c>
      <c r="F1304" s="1651"/>
      <c r="G1304" s="1648">
        <f t="shared" si="221"/>
        <v>0</v>
      </c>
      <c r="H1304" s="1648"/>
      <c r="I1304" s="1648">
        <f t="shared" si="222"/>
        <v>0</v>
      </c>
      <c r="J1304" s="1648"/>
      <c r="K1304" s="1648">
        <f t="shared" si="227"/>
        <v>0</v>
      </c>
      <c r="L1304" s="1648"/>
      <c r="M1304" s="1648">
        <f t="shared" si="228"/>
        <v>0</v>
      </c>
      <c r="N1304" s="1648">
        <f t="shared" si="229"/>
        <v>0</v>
      </c>
      <c r="O1304" s="1648">
        <f t="shared" si="230"/>
        <v>0</v>
      </c>
      <c r="P1304" s="1648">
        <f t="shared" si="223"/>
        <v>0</v>
      </c>
      <c r="Q1304" s="1648">
        <f t="shared" si="224"/>
        <v>0</v>
      </c>
      <c r="R1304" s="55">
        <f t="shared" si="225"/>
        <v>0</v>
      </c>
      <c r="S1304" s="55">
        <f t="shared" si="226"/>
        <v>0</v>
      </c>
    </row>
    <row r="1305" spans="1:19" ht="116.25" customHeight="1">
      <c r="A1305" s="1693"/>
      <c r="B1305" s="1648">
        <f t="shared" si="220"/>
        <v>5</v>
      </c>
      <c r="C1305" s="1865" t="s">
        <v>6210</v>
      </c>
      <c r="D1305" s="1672">
        <v>2756</v>
      </c>
      <c r="E1305" s="1688" t="s">
        <v>2092</v>
      </c>
      <c r="F1305" s="1651"/>
      <c r="G1305" s="1648">
        <f t="shared" si="221"/>
        <v>0</v>
      </c>
      <c r="H1305" s="1648"/>
      <c r="I1305" s="1648">
        <f t="shared" si="222"/>
        <v>0</v>
      </c>
      <c r="J1305" s="1648"/>
      <c r="K1305" s="1648">
        <f t="shared" si="227"/>
        <v>0</v>
      </c>
      <c r="L1305" s="1648">
        <f>genset!G43</f>
        <v>5</v>
      </c>
      <c r="M1305" s="1648">
        <f t="shared" si="228"/>
        <v>13780</v>
      </c>
      <c r="N1305" s="1648">
        <f t="shared" si="229"/>
        <v>5</v>
      </c>
      <c r="O1305" s="1648">
        <f t="shared" si="230"/>
        <v>13780</v>
      </c>
      <c r="P1305" s="1648">
        <f t="shared" si="223"/>
        <v>5</v>
      </c>
      <c r="Q1305" s="1648">
        <f t="shared" si="224"/>
        <v>13780</v>
      </c>
      <c r="R1305" s="55">
        <f t="shared" si="225"/>
        <v>13780</v>
      </c>
      <c r="S1305" s="55">
        <f t="shared" si="226"/>
        <v>0</v>
      </c>
    </row>
    <row r="1306" spans="1:19" ht="49.5" hidden="1" customHeight="1">
      <c r="A1306" s="1693"/>
      <c r="B1306" s="1648">
        <f t="shared" si="220"/>
        <v>0</v>
      </c>
      <c r="C1306" s="1867" t="s">
        <v>6207</v>
      </c>
      <c r="D1306" s="1672">
        <v>2756</v>
      </c>
      <c r="E1306" s="1688" t="s">
        <v>2092</v>
      </c>
      <c r="F1306" s="1651"/>
      <c r="G1306" s="1648">
        <f t="shared" si="221"/>
        <v>0</v>
      </c>
      <c r="H1306" s="1648"/>
      <c r="I1306" s="1648">
        <f t="shared" si="222"/>
        <v>0</v>
      </c>
      <c r="J1306" s="1648"/>
      <c r="K1306" s="1648">
        <f t="shared" si="227"/>
        <v>0</v>
      </c>
      <c r="L1306" s="1648"/>
      <c r="M1306" s="1648">
        <f t="shared" si="228"/>
        <v>0</v>
      </c>
      <c r="N1306" s="1648">
        <f t="shared" si="229"/>
        <v>0</v>
      </c>
      <c r="O1306" s="1648">
        <f t="shared" si="230"/>
        <v>0</v>
      </c>
      <c r="P1306" s="1648">
        <f t="shared" si="223"/>
        <v>0</v>
      </c>
      <c r="Q1306" s="1648">
        <f t="shared" si="224"/>
        <v>0</v>
      </c>
      <c r="R1306" s="55">
        <f t="shared" si="225"/>
        <v>0</v>
      </c>
      <c r="S1306" s="55">
        <f t="shared" si="226"/>
        <v>0</v>
      </c>
    </row>
    <row r="1307" spans="1:19" ht="141" customHeight="1">
      <c r="A1307" s="1693"/>
      <c r="B1307" s="1648">
        <f t="shared" si="220"/>
        <v>8</v>
      </c>
      <c r="C1307" s="1865" t="s">
        <v>6211</v>
      </c>
      <c r="D1307" s="1672">
        <v>197</v>
      </c>
      <c r="E1307" s="1688" t="s">
        <v>2092</v>
      </c>
      <c r="F1307" s="1651"/>
      <c r="G1307" s="1648">
        <f t="shared" si="221"/>
        <v>0</v>
      </c>
      <c r="H1307" s="1648"/>
      <c r="I1307" s="1648">
        <f t="shared" si="222"/>
        <v>0</v>
      </c>
      <c r="J1307" s="1648"/>
      <c r="K1307" s="1648">
        <f t="shared" si="227"/>
        <v>0</v>
      </c>
      <c r="L1307" s="1648">
        <f>genset!G45</f>
        <v>8</v>
      </c>
      <c r="M1307" s="1648">
        <f t="shared" si="228"/>
        <v>1576</v>
      </c>
      <c r="N1307" s="1648">
        <f t="shared" si="229"/>
        <v>8</v>
      </c>
      <c r="O1307" s="1648">
        <f t="shared" si="230"/>
        <v>1576</v>
      </c>
      <c r="P1307" s="1648">
        <f t="shared" si="223"/>
        <v>8</v>
      </c>
      <c r="Q1307" s="1648">
        <f t="shared" si="224"/>
        <v>1576</v>
      </c>
      <c r="R1307" s="55">
        <f t="shared" si="225"/>
        <v>1576</v>
      </c>
      <c r="S1307" s="55">
        <f t="shared" si="226"/>
        <v>0</v>
      </c>
    </row>
    <row r="1308" spans="1:19" ht="49.5" hidden="1" customHeight="1">
      <c r="A1308" s="1693"/>
      <c r="B1308" s="1648">
        <f t="shared" si="220"/>
        <v>0</v>
      </c>
      <c r="C1308" s="1867" t="s">
        <v>6207</v>
      </c>
      <c r="D1308" s="1672">
        <v>197</v>
      </c>
      <c r="E1308" s="1688" t="s">
        <v>2092</v>
      </c>
      <c r="F1308" s="1651"/>
      <c r="G1308" s="1648">
        <f t="shared" si="221"/>
        <v>0</v>
      </c>
      <c r="H1308" s="1648"/>
      <c r="I1308" s="1648">
        <f t="shared" si="222"/>
        <v>0</v>
      </c>
      <c r="J1308" s="1648"/>
      <c r="K1308" s="1648">
        <f t="shared" si="227"/>
        <v>0</v>
      </c>
      <c r="L1308" s="1648"/>
      <c r="M1308" s="1648">
        <f t="shared" si="228"/>
        <v>0</v>
      </c>
      <c r="N1308" s="1648">
        <f t="shared" si="229"/>
        <v>0</v>
      </c>
      <c r="O1308" s="1648">
        <f t="shared" si="230"/>
        <v>0</v>
      </c>
      <c r="P1308" s="1648">
        <f t="shared" si="223"/>
        <v>0</v>
      </c>
      <c r="Q1308" s="1648">
        <f t="shared" si="224"/>
        <v>0</v>
      </c>
      <c r="R1308" s="55">
        <f t="shared" si="225"/>
        <v>0</v>
      </c>
      <c r="S1308" s="55">
        <f t="shared" si="226"/>
        <v>0</v>
      </c>
    </row>
    <row r="1309" spans="1:19" ht="126" customHeight="1">
      <c r="A1309" s="1693"/>
      <c r="B1309" s="1648">
        <f t="shared" si="220"/>
        <v>1</v>
      </c>
      <c r="C1309" s="1865" t="s">
        <v>6212</v>
      </c>
      <c r="D1309" s="1672">
        <v>4245</v>
      </c>
      <c r="E1309" s="1688" t="s">
        <v>1715</v>
      </c>
      <c r="F1309" s="1651"/>
      <c r="G1309" s="1648">
        <f t="shared" si="221"/>
        <v>0</v>
      </c>
      <c r="H1309" s="1648"/>
      <c r="I1309" s="1648">
        <f t="shared" si="222"/>
        <v>0</v>
      </c>
      <c r="J1309" s="1648"/>
      <c r="K1309" s="1648">
        <f t="shared" si="227"/>
        <v>0</v>
      </c>
      <c r="L1309" s="1648">
        <f>genset!G47</f>
        <v>1</v>
      </c>
      <c r="M1309" s="1648">
        <f t="shared" si="228"/>
        <v>4245</v>
      </c>
      <c r="N1309" s="1648">
        <f t="shared" si="229"/>
        <v>1</v>
      </c>
      <c r="O1309" s="1648">
        <f t="shared" si="230"/>
        <v>4245</v>
      </c>
      <c r="P1309" s="1648">
        <f t="shared" si="223"/>
        <v>1</v>
      </c>
      <c r="Q1309" s="1648">
        <f t="shared" si="224"/>
        <v>4245</v>
      </c>
      <c r="R1309" s="55">
        <f t="shared" si="225"/>
        <v>4245</v>
      </c>
      <c r="S1309" s="55">
        <f t="shared" si="226"/>
        <v>0</v>
      </c>
    </row>
    <row r="1310" spans="1:19" ht="49.5" hidden="1" customHeight="1">
      <c r="A1310" s="1693"/>
      <c r="B1310" s="1648">
        <f t="shared" si="220"/>
        <v>0</v>
      </c>
      <c r="C1310" s="1867" t="s">
        <v>6207</v>
      </c>
      <c r="D1310" s="1672">
        <v>4245</v>
      </c>
      <c r="E1310" s="1688" t="s">
        <v>1715</v>
      </c>
      <c r="F1310" s="1651"/>
      <c r="G1310" s="1648">
        <f t="shared" si="221"/>
        <v>0</v>
      </c>
      <c r="H1310" s="1648"/>
      <c r="I1310" s="1648">
        <f t="shared" si="222"/>
        <v>0</v>
      </c>
      <c r="J1310" s="1648"/>
      <c r="K1310" s="1648">
        <f t="shared" si="227"/>
        <v>0</v>
      </c>
      <c r="L1310" s="1648"/>
      <c r="M1310" s="1648">
        <f t="shared" si="228"/>
        <v>0</v>
      </c>
      <c r="N1310" s="1648">
        <f t="shared" si="229"/>
        <v>0</v>
      </c>
      <c r="O1310" s="1648">
        <f t="shared" si="230"/>
        <v>0</v>
      </c>
      <c r="P1310" s="1648">
        <f t="shared" si="223"/>
        <v>0</v>
      </c>
      <c r="Q1310" s="1648">
        <f t="shared" si="224"/>
        <v>0</v>
      </c>
      <c r="R1310" s="55">
        <f t="shared" si="225"/>
        <v>0</v>
      </c>
      <c r="S1310" s="55">
        <f t="shared" si="226"/>
        <v>0</v>
      </c>
    </row>
    <row r="1311" spans="1:19" ht="49.5" customHeight="1">
      <c r="A1311" s="1693"/>
      <c r="B1311" s="1648">
        <f t="shared" si="220"/>
        <v>0</v>
      </c>
      <c r="C1311" s="1865" t="s">
        <v>6213</v>
      </c>
      <c r="D1311" s="1672"/>
      <c r="E1311" s="1688"/>
      <c r="F1311" s="1651"/>
      <c r="G1311" s="1648">
        <f t="shared" si="221"/>
        <v>0</v>
      </c>
      <c r="H1311" s="1648"/>
      <c r="I1311" s="1648">
        <f t="shared" si="222"/>
        <v>0</v>
      </c>
      <c r="J1311" s="1648"/>
      <c r="K1311" s="1648">
        <f t="shared" si="227"/>
        <v>0</v>
      </c>
      <c r="L1311" s="1648"/>
      <c r="M1311" s="1648">
        <f t="shared" si="228"/>
        <v>0</v>
      </c>
      <c r="N1311" s="1648">
        <f t="shared" si="229"/>
        <v>0</v>
      </c>
      <c r="O1311" s="1648">
        <f t="shared" si="230"/>
        <v>0</v>
      </c>
      <c r="P1311" s="1648">
        <f t="shared" si="223"/>
        <v>0</v>
      </c>
      <c r="Q1311" s="1648">
        <f t="shared" si="224"/>
        <v>0</v>
      </c>
      <c r="R1311" s="55">
        <f t="shared" si="225"/>
        <v>0</v>
      </c>
      <c r="S1311" s="55">
        <f t="shared" si="226"/>
        <v>0</v>
      </c>
    </row>
    <row r="1312" spans="1:19" ht="184.5" customHeight="1">
      <c r="A1312" s="1693"/>
      <c r="B1312" s="1648">
        <f t="shared" si="220"/>
        <v>1</v>
      </c>
      <c r="C1312" s="1865" t="s">
        <v>6214</v>
      </c>
      <c r="D1312" s="1672">
        <v>30000</v>
      </c>
      <c r="E1312" s="1688" t="s">
        <v>6215</v>
      </c>
      <c r="F1312" s="1651"/>
      <c r="G1312" s="1648">
        <f t="shared" si="221"/>
        <v>0</v>
      </c>
      <c r="H1312" s="1648"/>
      <c r="I1312" s="1648">
        <f t="shared" si="222"/>
        <v>0</v>
      </c>
      <c r="J1312" s="1648"/>
      <c r="K1312" s="1648">
        <f t="shared" si="227"/>
        <v>0</v>
      </c>
      <c r="L1312" s="1648">
        <f>genset!G49</f>
        <v>1</v>
      </c>
      <c r="M1312" s="1648">
        <f t="shared" si="228"/>
        <v>30000</v>
      </c>
      <c r="N1312" s="1648">
        <f t="shared" si="229"/>
        <v>1</v>
      </c>
      <c r="O1312" s="1648">
        <f t="shared" si="230"/>
        <v>30000</v>
      </c>
      <c r="P1312" s="1648">
        <f t="shared" si="223"/>
        <v>1</v>
      </c>
      <c r="Q1312" s="1648">
        <f t="shared" si="224"/>
        <v>30000</v>
      </c>
      <c r="R1312" s="55">
        <f t="shared" si="225"/>
        <v>30000</v>
      </c>
      <c r="S1312" s="55">
        <f t="shared" si="226"/>
        <v>0</v>
      </c>
    </row>
    <row r="1313" spans="1:19" ht="49.5" hidden="1" customHeight="1">
      <c r="A1313" s="1693"/>
      <c r="B1313" s="1648">
        <f t="shared" si="220"/>
        <v>0</v>
      </c>
      <c r="C1313" s="1867" t="s">
        <v>6207</v>
      </c>
      <c r="D1313" s="1672">
        <v>30000</v>
      </c>
      <c r="E1313" s="1688" t="s">
        <v>6215</v>
      </c>
      <c r="F1313" s="1651"/>
      <c r="G1313" s="1648">
        <f t="shared" si="221"/>
        <v>0</v>
      </c>
      <c r="H1313" s="1648"/>
      <c r="I1313" s="1648">
        <f t="shared" si="222"/>
        <v>0</v>
      </c>
      <c r="J1313" s="1648"/>
      <c r="K1313" s="1648">
        <f t="shared" si="227"/>
        <v>0</v>
      </c>
      <c r="L1313" s="1648"/>
      <c r="M1313" s="1648">
        <f t="shared" si="228"/>
        <v>0</v>
      </c>
      <c r="N1313" s="1648">
        <f t="shared" si="229"/>
        <v>0</v>
      </c>
      <c r="O1313" s="1648">
        <f t="shared" si="230"/>
        <v>0</v>
      </c>
      <c r="P1313" s="1648">
        <f t="shared" si="223"/>
        <v>0</v>
      </c>
      <c r="Q1313" s="1648">
        <f t="shared" si="224"/>
        <v>0</v>
      </c>
      <c r="R1313" s="55">
        <f t="shared" si="225"/>
        <v>0</v>
      </c>
      <c r="S1313" s="55">
        <f t="shared" si="226"/>
        <v>0</v>
      </c>
    </row>
    <row r="1314" spans="1:19" ht="105" hidden="1" customHeight="1">
      <c r="A1314" s="1693"/>
      <c r="B1314" s="1648">
        <f t="shared" si="220"/>
        <v>0</v>
      </c>
      <c r="C1314" s="1865" t="s">
        <v>6216</v>
      </c>
      <c r="D1314" s="1672">
        <v>16750</v>
      </c>
      <c r="E1314" s="1688" t="s">
        <v>1715</v>
      </c>
      <c r="F1314" s="1651"/>
      <c r="G1314" s="1648">
        <f t="shared" si="221"/>
        <v>0</v>
      </c>
      <c r="H1314" s="1648"/>
      <c r="I1314" s="1648">
        <f t="shared" si="222"/>
        <v>0</v>
      </c>
      <c r="J1314" s="1648"/>
      <c r="K1314" s="1648">
        <f t="shared" si="227"/>
        <v>0</v>
      </c>
      <c r="L1314" s="1648"/>
      <c r="M1314" s="1648">
        <f t="shared" si="228"/>
        <v>0</v>
      </c>
      <c r="N1314" s="1648">
        <f t="shared" si="229"/>
        <v>0</v>
      </c>
      <c r="O1314" s="1648">
        <f t="shared" si="230"/>
        <v>0</v>
      </c>
      <c r="P1314" s="1648">
        <f t="shared" si="223"/>
        <v>0</v>
      </c>
      <c r="Q1314" s="1648">
        <f t="shared" si="224"/>
        <v>0</v>
      </c>
      <c r="R1314" s="55">
        <f t="shared" si="225"/>
        <v>0</v>
      </c>
      <c r="S1314" s="55">
        <f t="shared" si="226"/>
        <v>0</v>
      </c>
    </row>
    <row r="1315" spans="1:19" ht="49.5" hidden="1" customHeight="1">
      <c r="A1315" s="1693"/>
      <c r="B1315" s="1648">
        <f t="shared" si="220"/>
        <v>0</v>
      </c>
      <c r="C1315" s="1867" t="s">
        <v>6207</v>
      </c>
      <c r="D1315" s="1672">
        <v>16750</v>
      </c>
      <c r="E1315" s="1688" t="s">
        <v>1715</v>
      </c>
      <c r="F1315" s="1651"/>
      <c r="G1315" s="1648">
        <f t="shared" si="221"/>
        <v>0</v>
      </c>
      <c r="H1315" s="1648"/>
      <c r="I1315" s="1648">
        <f t="shared" si="222"/>
        <v>0</v>
      </c>
      <c r="J1315" s="1648"/>
      <c r="K1315" s="1648">
        <f t="shared" si="227"/>
        <v>0</v>
      </c>
      <c r="L1315" s="1648"/>
      <c r="M1315" s="1648">
        <f t="shared" si="228"/>
        <v>0</v>
      </c>
      <c r="N1315" s="1648">
        <f t="shared" si="229"/>
        <v>0</v>
      </c>
      <c r="O1315" s="1648">
        <f t="shared" si="230"/>
        <v>0</v>
      </c>
      <c r="P1315" s="1648">
        <f t="shared" si="223"/>
        <v>0</v>
      </c>
      <c r="Q1315" s="1648">
        <f t="shared" si="224"/>
        <v>0</v>
      </c>
      <c r="R1315" s="55">
        <f t="shared" si="225"/>
        <v>0</v>
      </c>
      <c r="S1315" s="55">
        <f t="shared" si="226"/>
        <v>0</v>
      </c>
    </row>
    <row r="1316" spans="1:19" ht="49.5" customHeight="1">
      <c r="A1316" s="1693"/>
      <c r="B1316" s="1648">
        <f t="shared" si="220"/>
        <v>0</v>
      </c>
      <c r="C1316" s="1865" t="s">
        <v>6217</v>
      </c>
      <c r="D1316" s="1672"/>
      <c r="E1316" s="1688"/>
      <c r="F1316" s="1651"/>
      <c r="G1316" s="1648">
        <f t="shared" si="221"/>
        <v>0</v>
      </c>
      <c r="H1316" s="1648"/>
      <c r="I1316" s="1648">
        <f t="shared" si="222"/>
        <v>0</v>
      </c>
      <c r="J1316" s="1648"/>
      <c r="K1316" s="1648">
        <f t="shared" si="227"/>
        <v>0</v>
      </c>
      <c r="L1316" s="1648"/>
      <c r="M1316" s="1648">
        <f t="shared" si="228"/>
        <v>0</v>
      </c>
      <c r="N1316" s="1648">
        <f t="shared" si="229"/>
        <v>0</v>
      </c>
      <c r="O1316" s="1648">
        <f t="shared" si="230"/>
        <v>0</v>
      </c>
      <c r="P1316" s="1648">
        <f t="shared" si="223"/>
        <v>0</v>
      </c>
      <c r="Q1316" s="1648">
        <f t="shared" si="224"/>
        <v>0</v>
      </c>
      <c r="R1316" s="55">
        <f t="shared" si="225"/>
        <v>0</v>
      </c>
      <c r="S1316" s="55">
        <f t="shared" si="226"/>
        <v>0</v>
      </c>
    </row>
    <row r="1317" spans="1:19" ht="152.25" customHeight="1">
      <c r="A1317" s="1693"/>
      <c r="B1317" s="1648">
        <f t="shared" si="220"/>
        <v>0</v>
      </c>
      <c r="C1317" s="1865" t="s">
        <v>6218</v>
      </c>
      <c r="D1317" s="1672"/>
      <c r="E1317" s="1688"/>
      <c r="F1317" s="1651"/>
      <c r="G1317" s="1648">
        <f t="shared" si="221"/>
        <v>0</v>
      </c>
      <c r="H1317" s="1648"/>
      <c r="I1317" s="1648">
        <f t="shared" si="222"/>
        <v>0</v>
      </c>
      <c r="J1317" s="1648"/>
      <c r="K1317" s="1648">
        <f t="shared" si="227"/>
        <v>0</v>
      </c>
      <c r="L1317" s="1648"/>
      <c r="M1317" s="1648">
        <f t="shared" si="228"/>
        <v>0</v>
      </c>
      <c r="N1317" s="1648">
        <f t="shared" si="229"/>
        <v>0</v>
      </c>
      <c r="O1317" s="1648">
        <f t="shared" si="230"/>
        <v>0</v>
      </c>
      <c r="P1317" s="1648">
        <f t="shared" si="223"/>
        <v>0</v>
      </c>
      <c r="Q1317" s="1648">
        <f t="shared" si="224"/>
        <v>0</v>
      </c>
      <c r="R1317" s="55">
        <f t="shared" si="225"/>
        <v>0</v>
      </c>
      <c r="S1317" s="55">
        <f t="shared" si="226"/>
        <v>0</v>
      </c>
    </row>
    <row r="1318" spans="1:19" ht="145.9" customHeight="1">
      <c r="A1318" s="1693"/>
      <c r="B1318" s="1648">
        <f t="shared" si="220"/>
        <v>0</v>
      </c>
      <c r="C1318" s="1867" t="s">
        <v>6151</v>
      </c>
      <c r="D1318" s="1672"/>
      <c r="E1318" s="1688"/>
      <c r="F1318" s="1651"/>
      <c r="G1318" s="1648">
        <f t="shared" si="221"/>
        <v>0</v>
      </c>
      <c r="H1318" s="1648"/>
      <c r="I1318" s="1648">
        <f t="shared" si="222"/>
        <v>0</v>
      </c>
      <c r="J1318" s="1648"/>
      <c r="K1318" s="1648">
        <f t="shared" si="227"/>
        <v>0</v>
      </c>
      <c r="L1318" s="1648"/>
      <c r="M1318" s="1648">
        <f t="shared" si="228"/>
        <v>0</v>
      </c>
      <c r="N1318" s="1648">
        <f t="shared" si="229"/>
        <v>0</v>
      </c>
      <c r="O1318" s="1648">
        <f t="shared" si="230"/>
        <v>0</v>
      </c>
      <c r="P1318" s="1648">
        <f t="shared" si="223"/>
        <v>0</v>
      </c>
      <c r="Q1318" s="1648">
        <f t="shared" si="224"/>
        <v>0</v>
      </c>
      <c r="R1318" s="55">
        <f t="shared" si="225"/>
        <v>0</v>
      </c>
      <c r="S1318" s="55">
        <f t="shared" si="226"/>
        <v>0</v>
      </c>
    </row>
    <row r="1319" spans="1:19" ht="90" customHeight="1">
      <c r="A1319" s="1693"/>
      <c r="B1319" s="1648">
        <f t="shared" si="220"/>
        <v>75</v>
      </c>
      <c r="C1319" s="1867" t="s">
        <v>7579</v>
      </c>
      <c r="D1319" s="1672">
        <v>1044</v>
      </c>
      <c r="E1319" s="1688" t="s">
        <v>2092</v>
      </c>
      <c r="F1319" s="1651"/>
      <c r="G1319" s="1648">
        <f t="shared" si="221"/>
        <v>0</v>
      </c>
      <c r="H1319" s="1648"/>
      <c r="I1319" s="1648">
        <f t="shared" si="222"/>
        <v>0</v>
      </c>
      <c r="J1319" s="1648"/>
      <c r="K1319" s="1648">
        <f t="shared" si="227"/>
        <v>0</v>
      </c>
      <c r="L1319" s="1648">
        <f>genset!G54</f>
        <v>75</v>
      </c>
      <c r="M1319" s="1648">
        <f t="shared" si="228"/>
        <v>78300</v>
      </c>
      <c r="N1319" s="1648">
        <f t="shared" si="229"/>
        <v>75</v>
      </c>
      <c r="O1319" s="1648">
        <f t="shared" si="230"/>
        <v>78300</v>
      </c>
      <c r="P1319" s="1648">
        <f t="shared" si="223"/>
        <v>75</v>
      </c>
      <c r="Q1319" s="1648">
        <f t="shared" si="224"/>
        <v>78300</v>
      </c>
      <c r="R1319" s="55">
        <f t="shared" si="225"/>
        <v>78300</v>
      </c>
      <c r="S1319" s="55">
        <f t="shared" si="226"/>
        <v>0</v>
      </c>
    </row>
    <row r="1320" spans="1:19" ht="47.25" hidden="1" customHeight="1">
      <c r="A1320" s="1693"/>
      <c r="B1320" s="1648">
        <f t="shared" si="220"/>
        <v>0</v>
      </c>
      <c r="C1320" s="1867" t="s">
        <v>6207</v>
      </c>
      <c r="D1320" s="1672"/>
      <c r="E1320" s="1688"/>
      <c r="F1320" s="1651"/>
      <c r="G1320" s="1648">
        <f t="shared" si="221"/>
        <v>0</v>
      </c>
      <c r="H1320" s="1648"/>
      <c r="I1320" s="1648">
        <f t="shared" si="222"/>
        <v>0</v>
      </c>
      <c r="J1320" s="1648"/>
      <c r="K1320" s="1648">
        <f t="shared" si="227"/>
        <v>0</v>
      </c>
      <c r="L1320" s="1648"/>
      <c r="M1320" s="1648">
        <f t="shared" si="228"/>
        <v>0</v>
      </c>
      <c r="N1320" s="1648">
        <f t="shared" si="229"/>
        <v>0</v>
      </c>
      <c r="O1320" s="1648">
        <f t="shared" si="230"/>
        <v>0</v>
      </c>
      <c r="P1320" s="1648">
        <f t="shared" si="223"/>
        <v>0</v>
      </c>
      <c r="Q1320" s="1648">
        <f t="shared" si="224"/>
        <v>0</v>
      </c>
      <c r="R1320" s="55">
        <f t="shared" si="225"/>
        <v>0</v>
      </c>
      <c r="S1320" s="55">
        <f t="shared" si="226"/>
        <v>0</v>
      </c>
    </row>
    <row r="1321" spans="1:19" ht="114" customHeight="1">
      <c r="A1321" s="1693"/>
      <c r="B1321" s="1648">
        <f t="shared" si="220"/>
        <v>0</v>
      </c>
      <c r="C1321" s="1865" t="s">
        <v>6156</v>
      </c>
      <c r="D1321" s="1672"/>
      <c r="E1321" s="1688"/>
      <c r="F1321" s="1651"/>
      <c r="G1321" s="1648">
        <f t="shared" si="221"/>
        <v>0</v>
      </c>
      <c r="H1321" s="1648"/>
      <c r="I1321" s="1648">
        <f t="shared" si="222"/>
        <v>0</v>
      </c>
      <c r="J1321" s="1648"/>
      <c r="K1321" s="1648">
        <f t="shared" si="227"/>
        <v>0</v>
      </c>
      <c r="L1321" s="1648"/>
      <c r="M1321" s="1648">
        <f t="shared" si="228"/>
        <v>0</v>
      </c>
      <c r="N1321" s="1648">
        <f t="shared" si="229"/>
        <v>0</v>
      </c>
      <c r="O1321" s="1648">
        <f t="shared" si="230"/>
        <v>0</v>
      </c>
      <c r="P1321" s="1648">
        <f t="shared" si="223"/>
        <v>0</v>
      </c>
      <c r="Q1321" s="1648">
        <f t="shared" si="224"/>
        <v>0</v>
      </c>
      <c r="R1321" s="55">
        <f t="shared" si="225"/>
        <v>0</v>
      </c>
      <c r="S1321" s="55">
        <f t="shared" si="226"/>
        <v>0</v>
      </c>
    </row>
    <row r="1322" spans="1:19" ht="66" customHeight="1">
      <c r="A1322" s="1693"/>
      <c r="B1322" s="1648">
        <f t="shared" si="220"/>
        <v>4</v>
      </c>
      <c r="C1322" s="1867" t="s">
        <v>7580</v>
      </c>
      <c r="D1322" s="1672">
        <v>595</v>
      </c>
      <c r="E1322" s="1688" t="s">
        <v>41</v>
      </c>
      <c r="F1322" s="1651"/>
      <c r="G1322" s="1648">
        <f t="shared" si="221"/>
        <v>0</v>
      </c>
      <c r="H1322" s="1648"/>
      <c r="I1322" s="1648">
        <f t="shared" si="222"/>
        <v>0</v>
      </c>
      <c r="J1322" s="1648"/>
      <c r="K1322" s="1648">
        <f t="shared" si="227"/>
        <v>0</v>
      </c>
      <c r="L1322" s="1648">
        <f>genset!G56</f>
        <v>4</v>
      </c>
      <c r="M1322" s="1648">
        <f t="shared" si="228"/>
        <v>2380</v>
      </c>
      <c r="N1322" s="1648">
        <f t="shared" si="229"/>
        <v>4</v>
      </c>
      <c r="O1322" s="1648">
        <f t="shared" si="230"/>
        <v>2380</v>
      </c>
      <c r="P1322" s="1648">
        <f t="shared" si="223"/>
        <v>4</v>
      </c>
      <c r="Q1322" s="1648">
        <f t="shared" si="224"/>
        <v>2380</v>
      </c>
      <c r="R1322" s="55">
        <f t="shared" si="225"/>
        <v>2380</v>
      </c>
      <c r="S1322" s="55">
        <f t="shared" si="226"/>
        <v>0</v>
      </c>
    </row>
    <row r="1323" spans="1:19" ht="139.5">
      <c r="A1323" s="1693"/>
      <c r="B1323" s="1648">
        <f t="shared" si="220"/>
        <v>0</v>
      </c>
      <c r="C1323" s="1865" t="s">
        <v>6162</v>
      </c>
      <c r="D1323" s="1672"/>
      <c r="E1323" s="1688"/>
      <c r="F1323" s="1651"/>
      <c r="G1323" s="1648">
        <f t="shared" si="221"/>
        <v>0</v>
      </c>
      <c r="H1323" s="1648"/>
      <c r="I1323" s="1648">
        <f t="shared" si="222"/>
        <v>0</v>
      </c>
      <c r="J1323" s="1648"/>
      <c r="K1323" s="1648">
        <f t="shared" si="227"/>
        <v>0</v>
      </c>
      <c r="L1323" s="1648"/>
      <c r="M1323" s="1648">
        <f t="shared" si="228"/>
        <v>0</v>
      </c>
      <c r="N1323" s="1648">
        <f t="shared" si="229"/>
        <v>0</v>
      </c>
      <c r="O1323" s="1648">
        <f t="shared" si="230"/>
        <v>0</v>
      </c>
      <c r="P1323" s="1648">
        <f t="shared" si="223"/>
        <v>0</v>
      </c>
      <c r="Q1323" s="1648">
        <f t="shared" si="224"/>
        <v>0</v>
      </c>
      <c r="R1323" s="55">
        <f t="shared" si="225"/>
        <v>0</v>
      </c>
      <c r="S1323" s="55">
        <f t="shared" si="226"/>
        <v>0</v>
      </c>
    </row>
    <row r="1324" spans="1:19" ht="46.5">
      <c r="A1324" s="1693"/>
      <c r="B1324" s="1648">
        <f t="shared" si="220"/>
        <v>4</v>
      </c>
      <c r="C1324" s="1867" t="s">
        <v>7581</v>
      </c>
      <c r="D1324" s="1672">
        <v>509</v>
      </c>
      <c r="E1324" s="1688" t="s">
        <v>41</v>
      </c>
      <c r="F1324" s="1651"/>
      <c r="G1324" s="1648">
        <f t="shared" si="221"/>
        <v>0</v>
      </c>
      <c r="H1324" s="1648"/>
      <c r="I1324" s="1648">
        <f t="shared" si="222"/>
        <v>0</v>
      </c>
      <c r="J1324" s="1648"/>
      <c r="K1324" s="1648">
        <f t="shared" si="227"/>
        <v>0</v>
      </c>
      <c r="L1324" s="1648">
        <f>genset!G59</f>
        <v>4</v>
      </c>
      <c r="M1324" s="1648">
        <f t="shared" si="228"/>
        <v>2036</v>
      </c>
      <c r="N1324" s="1648">
        <f t="shared" si="229"/>
        <v>4</v>
      </c>
      <c r="O1324" s="1648">
        <f t="shared" si="230"/>
        <v>2036</v>
      </c>
      <c r="P1324" s="1648">
        <f t="shared" si="223"/>
        <v>4</v>
      </c>
      <c r="Q1324" s="1648">
        <f t="shared" si="224"/>
        <v>2036</v>
      </c>
      <c r="R1324" s="55">
        <f t="shared" si="225"/>
        <v>2036</v>
      </c>
      <c r="S1324" s="55">
        <f t="shared" si="226"/>
        <v>0</v>
      </c>
    </row>
    <row r="1325" spans="1:19" ht="36" customHeight="1">
      <c r="A1325" s="1693"/>
      <c r="B1325" s="1648">
        <f t="shared" si="220"/>
        <v>0</v>
      </c>
      <c r="C1325" s="1876" t="s">
        <v>6221</v>
      </c>
      <c r="D1325" s="1672"/>
      <c r="E1325" s="1688"/>
      <c r="F1325" s="1651"/>
      <c r="G1325" s="1648">
        <f t="shared" si="221"/>
        <v>0</v>
      </c>
      <c r="H1325" s="1648"/>
      <c r="I1325" s="1648">
        <f t="shared" si="222"/>
        <v>0</v>
      </c>
      <c r="J1325" s="1648"/>
      <c r="K1325" s="1648">
        <f t="shared" si="227"/>
        <v>0</v>
      </c>
      <c r="L1325" s="1648"/>
      <c r="M1325" s="1648">
        <f t="shared" si="228"/>
        <v>0</v>
      </c>
      <c r="N1325" s="1648">
        <f t="shared" si="229"/>
        <v>0</v>
      </c>
      <c r="O1325" s="1648">
        <f t="shared" si="230"/>
        <v>0</v>
      </c>
      <c r="P1325" s="1648">
        <f t="shared" si="223"/>
        <v>0</v>
      </c>
      <c r="Q1325" s="1648">
        <f t="shared" si="224"/>
        <v>0</v>
      </c>
      <c r="R1325" s="55">
        <f t="shared" si="225"/>
        <v>0</v>
      </c>
      <c r="S1325" s="55">
        <f t="shared" si="226"/>
        <v>0</v>
      </c>
    </row>
    <row r="1326" spans="1:19" ht="112.15" customHeight="1">
      <c r="A1326" s="1693"/>
      <c r="B1326" s="1648">
        <f t="shared" si="220"/>
        <v>50</v>
      </c>
      <c r="C1326" s="1869" t="s">
        <v>6222</v>
      </c>
      <c r="D1326" s="1672">
        <v>300</v>
      </c>
      <c r="E1326" s="1688" t="s">
        <v>2092</v>
      </c>
      <c r="F1326" s="1651"/>
      <c r="G1326" s="1648">
        <f t="shared" si="221"/>
        <v>0</v>
      </c>
      <c r="H1326" s="1648"/>
      <c r="I1326" s="1648">
        <f t="shared" si="222"/>
        <v>0</v>
      </c>
      <c r="J1326" s="1648"/>
      <c r="K1326" s="1648">
        <f t="shared" si="227"/>
        <v>0</v>
      </c>
      <c r="L1326" s="1648">
        <f>genset!G73</f>
        <v>50</v>
      </c>
      <c r="M1326" s="1648">
        <f t="shared" si="228"/>
        <v>15000</v>
      </c>
      <c r="N1326" s="1648">
        <f t="shared" si="229"/>
        <v>50</v>
      </c>
      <c r="O1326" s="1648">
        <f t="shared" si="230"/>
        <v>15000</v>
      </c>
      <c r="P1326" s="1648">
        <f t="shared" si="223"/>
        <v>50</v>
      </c>
      <c r="Q1326" s="1648">
        <f t="shared" si="224"/>
        <v>15000</v>
      </c>
      <c r="R1326" s="55">
        <f t="shared" si="225"/>
        <v>15000</v>
      </c>
      <c r="S1326" s="55">
        <f t="shared" si="226"/>
        <v>0</v>
      </c>
    </row>
    <row r="1327" spans="1:19" ht="49.15" hidden="1" customHeight="1">
      <c r="A1327" s="1693"/>
      <c r="B1327" s="1648">
        <f t="shared" si="220"/>
        <v>0</v>
      </c>
      <c r="C1327" s="1876" t="s">
        <v>6223</v>
      </c>
      <c r="D1327" s="1672"/>
      <c r="E1327" s="1688"/>
      <c r="F1327" s="1651"/>
      <c r="G1327" s="1648">
        <f t="shared" ref="G1327:G1350" si="231">F1327*D1327</f>
        <v>0</v>
      </c>
      <c r="H1327" s="1648"/>
      <c r="I1327" s="1648">
        <f t="shared" ref="I1327:I1350" si="232">H1327*D1327</f>
        <v>0</v>
      </c>
      <c r="J1327" s="1648"/>
      <c r="K1327" s="1648">
        <f t="shared" ref="K1327:K1350" si="233">J1327*D1327</f>
        <v>0</v>
      </c>
      <c r="L1327" s="1648"/>
      <c r="M1327" s="1648">
        <f t="shared" si="228"/>
        <v>0</v>
      </c>
      <c r="N1327" s="1648">
        <f t="shared" ref="N1327:N1359" si="234">H1327+J1327+L1327</f>
        <v>0</v>
      </c>
      <c r="O1327" s="1648">
        <f t="shared" si="230"/>
        <v>0</v>
      </c>
      <c r="P1327" s="1648">
        <f t="shared" ref="P1327:P1349" si="235">N1327+F1327</f>
        <v>0</v>
      </c>
      <c r="Q1327" s="1648">
        <f t="shared" si="224"/>
        <v>0</v>
      </c>
      <c r="R1327" s="55">
        <f t="shared" si="225"/>
        <v>0</v>
      </c>
      <c r="S1327" s="55">
        <f t="shared" si="226"/>
        <v>0</v>
      </c>
    </row>
    <row r="1328" spans="1:19" ht="184.15" hidden="1" customHeight="1">
      <c r="A1328" s="1693"/>
      <c r="B1328" s="1648">
        <f t="shared" si="220"/>
        <v>0</v>
      </c>
      <c r="C1328" s="1869" t="s">
        <v>6224</v>
      </c>
      <c r="D1328" s="1672">
        <v>300000</v>
      </c>
      <c r="E1328" s="1688" t="s">
        <v>2092</v>
      </c>
      <c r="F1328" s="1651"/>
      <c r="G1328" s="1648">
        <f t="shared" si="231"/>
        <v>0</v>
      </c>
      <c r="H1328" s="1648"/>
      <c r="I1328" s="1648">
        <f t="shared" si="232"/>
        <v>0</v>
      </c>
      <c r="J1328" s="1648"/>
      <c r="K1328" s="1648">
        <f t="shared" si="233"/>
        <v>0</v>
      </c>
      <c r="L1328" s="1648"/>
      <c r="M1328" s="1648">
        <f t="shared" si="228"/>
        <v>0</v>
      </c>
      <c r="N1328" s="1648">
        <f t="shared" si="234"/>
        <v>0</v>
      </c>
      <c r="O1328" s="1648">
        <f t="shared" si="230"/>
        <v>0</v>
      </c>
      <c r="P1328" s="1648">
        <f t="shared" si="235"/>
        <v>0</v>
      </c>
      <c r="Q1328" s="1648">
        <f t="shared" si="224"/>
        <v>0</v>
      </c>
      <c r="R1328" s="55">
        <f t="shared" si="225"/>
        <v>0</v>
      </c>
      <c r="S1328" s="55">
        <f t="shared" si="226"/>
        <v>0</v>
      </c>
    </row>
    <row r="1329" spans="1:19" ht="23.25" hidden="1" customHeight="1">
      <c r="A1329" s="1693"/>
      <c r="B1329" s="1648">
        <f t="shared" si="220"/>
        <v>0</v>
      </c>
      <c r="C1329" s="1867" t="s">
        <v>6207</v>
      </c>
      <c r="D1329" s="1672"/>
      <c r="E1329" s="1688" t="s">
        <v>41</v>
      </c>
      <c r="F1329" s="1651"/>
      <c r="G1329" s="1648">
        <f t="shared" si="231"/>
        <v>0</v>
      </c>
      <c r="H1329" s="1648"/>
      <c r="I1329" s="1648">
        <f t="shared" si="232"/>
        <v>0</v>
      </c>
      <c r="J1329" s="1648"/>
      <c r="K1329" s="1648">
        <f t="shared" si="233"/>
        <v>0</v>
      </c>
      <c r="L1329" s="1648"/>
      <c r="M1329" s="1648">
        <f t="shared" si="228"/>
        <v>0</v>
      </c>
      <c r="N1329" s="1648">
        <f t="shared" si="234"/>
        <v>0</v>
      </c>
      <c r="O1329" s="1648">
        <f t="shared" si="230"/>
        <v>0</v>
      </c>
      <c r="P1329" s="1648">
        <f t="shared" si="235"/>
        <v>0</v>
      </c>
      <c r="Q1329" s="1648">
        <f t="shared" si="224"/>
        <v>0</v>
      </c>
      <c r="R1329" s="55">
        <f t="shared" si="225"/>
        <v>0</v>
      </c>
      <c r="S1329" s="55">
        <f t="shared" si="226"/>
        <v>0</v>
      </c>
    </row>
    <row r="1330" spans="1:19" ht="40.9" hidden="1" customHeight="1">
      <c r="A1330" s="1693"/>
      <c r="B1330" s="1648">
        <f t="shared" si="220"/>
        <v>0</v>
      </c>
      <c r="C1330" s="1865" t="s">
        <v>6225</v>
      </c>
      <c r="D1330" s="1672"/>
      <c r="E1330" s="1688"/>
      <c r="F1330" s="1651"/>
      <c r="G1330" s="1648">
        <f t="shared" si="231"/>
        <v>0</v>
      </c>
      <c r="H1330" s="1648"/>
      <c r="I1330" s="1648">
        <f t="shared" si="232"/>
        <v>0</v>
      </c>
      <c r="J1330" s="1648"/>
      <c r="K1330" s="1648">
        <f t="shared" si="233"/>
        <v>0</v>
      </c>
      <c r="L1330" s="1648"/>
      <c r="M1330" s="1648">
        <f t="shared" si="228"/>
        <v>0</v>
      </c>
      <c r="N1330" s="1648">
        <f t="shared" si="234"/>
        <v>0</v>
      </c>
      <c r="O1330" s="1648">
        <f t="shared" si="230"/>
        <v>0</v>
      </c>
      <c r="P1330" s="1648">
        <f t="shared" si="235"/>
        <v>0</v>
      </c>
      <c r="Q1330" s="1648">
        <f t="shared" si="224"/>
        <v>0</v>
      </c>
      <c r="R1330" s="55">
        <f t="shared" si="225"/>
        <v>0</v>
      </c>
      <c r="S1330" s="55">
        <f t="shared" si="226"/>
        <v>0</v>
      </c>
    </row>
    <row r="1331" spans="1:19" ht="134.44999999999999" hidden="1" customHeight="1">
      <c r="A1331" s="1693"/>
      <c r="B1331" s="1648">
        <f t="shared" si="220"/>
        <v>0</v>
      </c>
      <c r="C1331" s="1867" t="s">
        <v>6226</v>
      </c>
      <c r="D1331" s="1672">
        <v>51890</v>
      </c>
      <c r="E1331" s="1688" t="s">
        <v>41</v>
      </c>
      <c r="F1331" s="1651"/>
      <c r="G1331" s="1648">
        <f t="shared" si="231"/>
        <v>0</v>
      </c>
      <c r="H1331" s="1648"/>
      <c r="I1331" s="1648">
        <f t="shared" si="232"/>
        <v>0</v>
      </c>
      <c r="J1331" s="1648"/>
      <c r="K1331" s="1648">
        <f t="shared" si="233"/>
        <v>0</v>
      </c>
      <c r="L1331" s="1648"/>
      <c r="M1331" s="1648">
        <f t="shared" si="228"/>
        <v>0</v>
      </c>
      <c r="N1331" s="1648">
        <f t="shared" si="234"/>
        <v>0</v>
      </c>
      <c r="O1331" s="1648">
        <f t="shared" si="230"/>
        <v>0</v>
      </c>
      <c r="P1331" s="1648">
        <f t="shared" si="235"/>
        <v>0</v>
      </c>
      <c r="Q1331" s="1648">
        <f t="shared" si="224"/>
        <v>0</v>
      </c>
      <c r="R1331" s="55">
        <f t="shared" si="225"/>
        <v>0</v>
      </c>
      <c r="S1331" s="55">
        <f t="shared" si="226"/>
        <v>0</v>
      </c>
    </row>
    <row r="1332" spans="1:19" ht="42.6" hidden="1" customHeight="1">
      <c r="A1332" s="1693"/>
      <c r="B1332" s="1648">
        <f t="shared" si="220"/>
        <v>0</v>
      </c>
      <c r="C1332" s="1867" t="s">
        <v>6227</v>
      </c>
      <c r="D1332" s="1672">
        <v>5000</v>
      </c>
      <c r="E1332" s="1688" t="s">
        <v>145</v>
      </c>
      <c r="F1332" s="1651"/>
      <c r="G1332" s="1648">
        <f t="shared" si="231"/>
        <v>0</v>
      </c>
      <c r="H1332" s="1648"/>
      <c r="I1332" s="1648">
        <f t="shared" si="232"/>
        <v>0</v>
      </c>
      <c r="J1332" s="1648"/>
      <c r="K1332" s="1648">
        <f t="shared" si="233"/>
        <v>0</v>
      </c>
      <c r="L1332" s="1648"/>
      <c r="M1332" s="1648">
        <f t="shared" si="228"/>
        <v>0</v>
      </c>
      <c r="N1332" s="1648">
        <f t="shared" si="234"/>
        <v>0</v>
      </c>
      <c r="O1332" s="1648">
        <f t="shared" si="230"/>
        <v>0</v>
      </c>
      <c r="P1332" s="1648">
        <f t="shared" si="235"/>
        <v>0</v>
      </c>
      <c r="Q1332" s="1648">
        <f t="shared" si="224"/>
        <v>0</v>
      </c>
      <c r="R1332" s="55">
        <f t="shared" si="225"/>
        <v>0</v>
      </c>
      <c r="S1332" s="55">
        <f t="shared" si="226"/>
        <v>0</v>
      </c>
    </row>
    <row r="1333" spans="1:19" ht="42.6" hidden="1" customHeight="1">
      <c r="A1333" s="1693"/>
      <c r="B1333" s="1648">
        <f t="shared" si="220"/>
        <v>0</v>
      </c>
      <c r="C1333" s="1867" t="s">
        <v>6228</v>
      </c>
      <c r="D1333" s="1672">
        <v>850</v>
      </c>
      <c r="E1333" s="1688" t="s">
        <v>41</v>
      </c>
      <c r="F1333" s="1651"/>
      <c r="G1333" s="1648">
        <f t="shared" si="231"/>
        <v>0</v>
      </c>
      <c r="H1333" s="1648"/>
      <c r="I1333" s="1648">
        <f t="shared" si="232"/>
        <v>0</v>
      </c>
      <c r="J1333" s="1648"/>
      <c r="K1333" s="1648">
        <f t="shared" si="233"/>
        <v>0</v>
      </c>
      <c r="L1333" s="1648"/>
      <c r="M1333" s="1648">
        <f t="shared" si="228"/>
        <v>0</v>
      </c>
      <c r="N1333" s="1648">
        <f t="shared" si="234"/>
        <v>0</v>
      </c>
      <c r="O1333" s="1648">
        <f t="shared" si="230"/>
        <v>0</v>
      </c>
      <c r="P1333" s="1648">
        <f t="shared" si="235"/>
        <v>0</v>
      </c>
      <c r="Q1333" s="1648">
        <f t="shared" si="224"/>
        <v>0</v>
      </c>
      <c r="R1333" s="55">
        <f t="shared" si="225"/>
        <v>0</v>
      </c>
      <c r="S1333" s="55">
        <f t="shared" si="226"/>
        <v>0</v>
      </c>
    </row>
    <row r="1334" spans="1:19" ht="62.45" hidden="1" customHeight="1">
      <c r="A1334" s="1693"/>
      <c r="B1334" s="1648">
        <f t="shared" si="220"/>
        <v>0</v>
      </c>
      <c r="C1334" s="1867" t="s">
        <v>6229</v>
      </c>
      <c r="D1334" s="1672">
        <v>48</v>
      </c>
      <c r="E1334" s="1688" t="s">
        <v>6230</v>
      </c>
      <c r="F1334" s="1651"/>
      <c r="G1334" s="1648">
        <f t="shared" si="231"/>
        <v>0</v>
      </c>
      <c r="H1334" s="1648"/>
      <c r="I1334" s="1648">
        <f t="shared" si="232"/>
        <v>0</v>
      </c>
      <c r="J1334" s="1648"/>
      <c r="K1334" s="1648">
        <f t="shared" si="233"/>
        <v>0</v>
      </c>
      <c r="L1334" s="1648"/>
      <c r="M1334" s="1648">
        <f t="shared" si="228"/>
        <v>0</v>
      </c>
      <c r="N1334" s="1648">
        <f t="shared" si="234"/>
        <v>0</v>
      </c>
      <c r="O1334" s="1648">
        <f t="shared" si="230"/>
        <v>0</v>
      </c>
      <c r="P1334" s="1648">
        <f t="shared" si="235"/>
        <v>0</v>
      </c>
      <c r="Q1334" s="1648">
        <f t="shared" si="224"/>
        <v>0</v>
      </c>
      <c r="R1334" s="55">
        <f t="shared" si="225"/>
        <v>0</v>
      </c>
      <c r="S1334" s="55">
        <f t="shared" si="226"/>
        <v>0</v>
      </c>
    </row>
    <row r="1335" spans="1:19" ht="46.5" hidden="1" customHeight="1">
      <c r="A1335" s="1693"/>
      <c r="B1335" s="1648">
        <f t="shared" si="220"/>
        <v>0</v>
      </c>
      <c r="C1335" s="1867" t="s">
        <v>6231</v>
      </c>
      <c r="D1335" s="1672">
        <v>4000</v>
      </c>
      <c r="E1335" s="1688" t="s">
        <v>41</v>
      </c>
      <c r="F1335" s="1651"/>
      <c r="G1335" s="1648">
        <f t="shared" si="231"/>
        <v>0</v>
      </c>
      <c r="H1335" s="1648"/>
      <c r="I1335" s="1648">
        <f t="shared" si="232"/>
        <v>0</v>
      </c>
      <c r="J1335" s="1648"/>
      <c r="K1335" s="1648">
        <f t="shared" si="233"/>
        <v>0</v>
      </c>
      <c r="L1335" s="1648"/>
      <c r="M1335" s="1648">
        <f t="shared" si="228"/>
        <v>0</v>
      </c>
      <c r="N1335" s="1648">
        <f t="shared" si="234"/>
        <v>0</v>
      </c>
      <c r="O1335" s="1648">
        <f t="shared" si="230"/>
        <v>0</v>
      </c>
      <c r="P1335" s="1648">
        <f t="shared" si="235"/>
        <v>0</v>
      </c>
      <c r="Q1335" s="1648">
        <f t="shared" si="224"/>
        <v>0</v>
      </c>
      <c r="R1335" s="55">
        <f t="shared" si="225"/>
        <v>0</v>
      </c>
      <c r="S1335" s="55">
        <f t="shared" si="226"/>
        <v>0</v>
      </c>
    </row>
    <row r="1336" spans="1:19" ht="48.6" hidden="1" customHeight="1">
      <c r="A1336" s="1693"/>
      <c r="B1336" s="1648">
        <f t="shared" si="220"/>
        <v>0</v>
      </c>
      <c r="C1336" s="1865" t="s">
        <v>6232</v>
      </c>
      <c r="D1336" s="1672"/>
      <c r="E1336" s="1688"/>
      <c r="F1336" s="1651"/>
      <c r="G1336" s="1648">
        <f t="shared" si="231"/>
        <v>0</v>
      </c>
      <c r="H1336" s="1648"/>
      <c r="I1336" s="1648">
        <f t="shared" si="232"/>
        <v>0</v>
      </c>
      <c r="J1336" s="1648"/>
      <c r="K1336" s="1648">
        <f t="shared" si="233"/>
        <v>0</v>
      </c>
      <c r="L1336" s="1648"/>
      <c r="M1336" s="1648">
        <f t="shared" si="228"/>
        <v>0</v>
      </c>
      <c r="N1336" s="1648">
        <f t="shared" si="234"/>
        <v>0</v>
      </c>
      <c r="O1336" s="1648">
        <f t="shared" si="230"/>
        <v>0</v>
      </c>
      <c r="P1336" s="1648">
        <f t="shared" si="235"/>
        <v>0</v>
      </c>
      <c r="Q1336" s="1648">
        <f t="shared" si="224"/>
        <v>0</v>
      </c>
      <c r="R1336" s="55">
        <f t="shared" si="225"/>
        <v>0</v>
      </c>
      <c r="S1336" s="55">
        <f t="shared" si="226"/>
        <v>0</v>
      </c>
    </row>
    <row r="1337" spans="1:19" ht="78" hidden="1" customHeight="1">
      <c r="A1337" s="1693"/>
      <c r="B1337" s="1648">
        <f t="shared" si="220"/>
        <v>0</v>
      </c>
      <c r="C1337" s="1867" t="s">
        <v>6233</v>
      </c>
      <c r="D1337" s="1672">
        <v>9250</v>
      </c>
      <c r="E1337" s="1688" t="s">
        <v>41</v>
      </c>
      <c r="F1337" s="1651"/>
      <c r="G1337" s="1648">
        <f t="shared" si="231"/>
        <v>0</v>
      </c>
      <c r="H1337" s="1648"/>
      <c r="I1337" s="1648">
        <f t="shared" si="232"/>
        <v>0</v>
      </c>
      <c r="J1337" s="1648"/>
      <c r="K1337" s="1648">
        <f t="shared" si="233"/>
        <v>0</v>
      </c>
      <c r="L1337" s="1648"/>
      <c r="M1337" s="1648">
        <f t="shared" si="228"/>
        <v>0</v>
      </c>
      <c r="N1337" s="1648">
        <f t="shared" si="234"/>
        <v>0</v>
      </c>
      <c r="O1337" s="1648">
        <f t="shared" si="230"/>
        <v>0</v>
      </c>
      <c r="P1337" s="1648">
        <f t="shared" si="235"/>
        <v>0</v>
      </c>
      <c r="Q1337" s="1648">
        <f t="shared" si="224"/>
        <v>0</v>
      </c>
      <c r="R1337" s="55">
        <f t="shared" si="225"/>
        <v>0</v>
      </c>
      <c r="S1337" s="55">
        <f t="shared" si="226"/>
        <v>0</v>
      </c>
    </row>
    <row r="1338" spans="1:19" ht="70.900000000000006" hidden="1" customHeight="1">
      <c r="A1338" s="1693"/>
      <c r="B1338" s="1648">
        <f t="shared" si="220"/>
        <v>0</v>
      </c>
      <c r="C1338" s="1867" t="s">
        <v>6234</v>
      </c>
      <c r="D1338" s="1672">
        <v>6500</v>
      </c>
      <c r="E1338" s="1688" t="s">
        <v>41</v>
      </c>
      <c r="F1338" s="1651"/>
      <c r="G1338" s="1648">
        <f t="shared" si="231"/>
        <v>0</v>
      </c>
      <c r="H1338" s="1648"/>
      <c r="I1338" s="1648">
        <f t="shared" si="232"/>
        <v>0</v>
      </c>
      <c r="J1338" s="1648"/>
      <c r="K1338" s="1648">
        <f t="shared" si="233"/>
        <v>0</v>
      </c>
      <c r="L1338" s="1648"/>
      <c r="M1338" s="1648">
        <f t="shared" si="228"/>
        <v>0</v>
      </c>
      <c r="N1338" s="1648">
        <f t="shared" si="234"/>
        <v>0</v>
      </c>
      <c r="O1338" s="1648">
        <f t="shared" si="230"/>
        <v>0</v>
      </c>
      <c r="P1338" s="1648">
        <f t="shared" si="235"/>
        <v>0</v>
      </c>
      <c r="Q1338" s="1648">
        <f t="shared" si="224"/>
        <v>0</v>
      </c>
      <c r="R1338" s="55">
        <f t="shared" si="225"/>
        <v>0</v>
      </c>
      <c r="S1338" s="55">
        <f t="shared" si="226"/>
        <v>0</v>
      </c>
    </row>
    <row r="1339" spans="1:19" ht="49.5" hidden="1" customHeight="1">
      <c r="A1339" s="1693"/>
      <c r="B1339" s="1648">
        <f t="shared" si="220"/>
        <v>0</v>
      </c>
      <c r="C1339" s="1867" t="s">
        <v>6235</v>
      </c>
      <c r="D1339" s="1672">
        <v>700</v>
      </c>
      <c r="E1339" s="1688" t="s">
        <v>41</v>
      </c>
      <c r="F1339" s="1651"/>
      <c r="G1339" s="1648">
        <f t="shared" si="231"/>
        <v>0</v>
      </c>
      <c r="H1339" s="1648"/>
      <c r="I1339" s="1648">
        <f t="shared" si="232"/>
        <v>0</v>
      </c>
      <c r="J1339" s="1648"/>
      <c r="K1339" s="1648">
        <f t="shared" si="233"/>
        <v>0</v>
      </c>
      <c r="L1339" s="1648"/>
      <c r="M1339" s="1648">
        <f t="shared" si="228"/>
        <v>0</v>
      </c>
      <c r="N1339" s="1648">
        <f t="shared" si="234"/>
        <v>0</v>
      </c>
      <c r="O1339" s="1648">
        <f t="shared" si="230"/>
        <v>0</v>
      </c>
      <c r="P1339" s="1648">
        <f t="shared" si="235"/>
        <v>0</v>
      </c>
      <c r="Q1339" s="1648">
        <f t="shared" si="224"/>
        <v>0</v>
      </c>
      <c r="R1339" s="55">
        <f t="shared" si="225"/>
        <v>0</v>
      </c>
      <c r="S1339" s="55">
        <f t="shared" si="226"/>
        <v>0</v>
      </c>
    </row>
    <row r="1340" spans="1:19" ht="49.5" hidden="1" customHeight="1">
      <c r="A1340" s="1693"/>
      <c r="B1340" s="1648">
        <f t="shared" si="220"/>
        <v>0</v>
      </c>
      <c r="C1340" s="1867" t="s">
        <v>6236</v>
      </c>
      <c r="D1340" s="1672">
        <v>900</v>
      </c>
      <c r="E1340" s="1688" t="s">
        <v>41</v>
      </c>
      <c r="F1340" s="1651"/>
      <c r="G1340" s="1648">
        <f t="shared" si="231"/>
        <v>0</v>
      </c>
      <c r="H1340" s="1648"/>
      <c r="I1340" s="1648">
        <f t="shared" si="232"/>
        <v>0</v>
      </c>
      <c r="J1340" s="1648"/>
      <c r="K1340" s="1648">
        <f t="shared" si="233"/>
        <v>0</v>
      </c>
      <c r="L1340" s="1648"/>
      <c r="M1340" s="1648">
        <f t="shared" si="228"/>
        <v>0</v>
      </c>
      <c r="N1340" s="1648">
        <f t="shared" si="234"/>
        <v>0</v>
      </c>
      <c r="O1340" s="1648">
        <f t="shared" si="230"/>
        <v>0</v>
      </c>
      <c r="P1340" s="1648">
        <f t="shared" si="235"/>
        <v>0</v>
      </c>
      <c r="Q1340" s="1648">
        <f t="shared" si="224"/>
        <v>0</v>
      </c>
      <c r="R1340" s="55">
        <f t="shared" si="225"/>
        <v>0</v>
      </c>
      <c r="S1340" s="55">
        <f t="shared" si="226"/>
        <v>0</v>
      </c>
    </row>
    <row r="1341" spans="1:19" ht="61.15" hidden="1" customHeight="1">
      <c r="A1341" s="1693"/>
      <c r="B1341" s="1648">
        <f t="shared" si="220"/>
        <v>0</v>
      </c>
      <c r="C1341" s="1867" t="s">
        <v>6237</v>
      </c>
      <c r="D1341" s="1672">
        <v>37400</v>
      </c>
      <c r="E1341" s="1688" t="s">
        <v>41</v>
      </c>
      <c r="F1341" s="1651"/>
      <c r="G1341" s="1648">
        <f t="shared" si="231"/>
        <v>0</v>
      </c>
      <c r="H1341" s="1648"/>
      <c r="I1341" s="1648">
        <f t="shared" si="232"/>
        <v>0</v>
      </c>
      <c r="J1341" s="1648"/>
      <c r="K1341" s="1648">
        <f t="shared" si="233"/>
        <v>0</v>
      </c>
      <c r="L1341" s="1648"/>
      <c r="M1341" s="1648">
        <f t="shared" si="228"/>
        <v>0</v>
      </c>
      <c r="N1341" s="1648">
        <f t="shared" si="234"/>
        <v>0</v>
      </c>
      <c r="O1341" s="1648">
        <f t="shared" si="230"/>
        <v>0</v>
      </c>
      <c r="P1341" s="1648">
        <f t="shared" si="235"/>
        <v>0</v>
      </c>
      <c r="Q1341" s="1648">
        <f t="shared" si="224"/>
        <v>0</v>
      </c>
      <c r="R1341" s="55">
        <f t="shared" si="225"/>
        <v>0</v>
      </c>
      <c r="S1341" s="55">
        <f t="shared" si="226"/>
        <v>0</v>
      </c>
    </row>
    <row r="1342" spans="1:19" ht="61.15" hidden="1" customHeight="1">
      <c r="A1342" s="1693"/>
      <c r="B1342" s="1648">
        <f t="shared" si="220"/>
        <v>0</v>
      </c>
      <c r="C1342" s="1867" t="s">
        <v>6238</v>
      </c>
      <c r="D1342" s="1672">
        <v>190</v>
      </c>
      <c r="E1342" s="1688" t="s">
        <v>41</v>
      </c>
      <c r="F1342" s="1651"/>
      <c r="G1342" s="1648">
        <f t="shared" si="231"/>
        <v>0</v>
      </c>
      <c r="H1342" s="1648"/>
      <c r="I1342" s="1648">
        <f t="shared" si="232"/>
        <v>0</v>
      </c>
      <c r="J1342" s="1648"/>
      <c r="K1342" s="1648">
        <f t="shared" si="233"/>
        <v>0</v>
      </c>
      <c r="L1342" s="1648"/>
      <c r="M1342" s="1648">
        <f t="shared" si="228"/>
        <v>0</v>
      </c>
      <c r="N1342" s="1648">
        <f t="shared" si="234"/>
        <v>0</v>
      </c>
      <c r="O1342" s="1648">
        <f t="shared" si="230"/>
        <v>0</v>
      </c>
      <c r="P1342" s="1648">
        <f t="shared" si="235"/>
        <v>0</v>
      </c>
      <c r="Q1342" s="1648">
        <f t="shared" si="224"/>
        <v>0</v>
      </c>
      <c r="R1342" s="55">
        <f t="shared" si="225"/>
        <v>0</v>
      </c>
      <c r="S1342" s="55">
        <f t="shared" si="226"/>
        <v>0</v>
      </c>
    </row>
    <row r="1343" spans="1:19" ht="61.15" hidden="1" customHeight="1">
      <c r="A1343" s="1693"/>
      <c r="B1343" s="1648">
        <f t="shared" si="220"/>
        <v>0</v>
      </c>
      <c r="C1343" s="1867" t="s">
        <v>6239</v>
      </c>
      <c r="D1343" s="1672">
        <v>230</v>
      </c>
      <c r="E1343" s="1688" t="s">
        <v>41</v>
      </c>
      <c r="F1343" s="1651"/>
      <c r="G1343" s="1648">
        <f t="shared" si="231"/>
        <v>0</v>
      </c>
      <c r="H1343" s="1648"/>
      <c r="I1343" s="1648">
        <f t="shared" si="232"/>
        <v>0</v>
      </c>
      <c r="J1343" s="1648"/>
      <c r="K1343" s="1648">
        <f t="shared" si="233"/>
        <v>0</v>
      </c>
      <c r="L1343" s="1648"/>
      <c r="M1343" s="1648">
        <f t="shared" si="228"/>
        <v>0</v>
      </c>
      <c r="N1343" s="1648">
        <f t="shared" si="234"/>
        <v>0</v>
      </c>
      <c r="O1343" s="1648">
        <f t="shared" si="230"/>
        <v>0</v>
      </c>
      <c r="P1343" s="1648">
        <f t="shared" si="235"/>
        <v>0</v>
      </c>
      <c r="Q1343" s="1648">
        <f t="shared" si="224"/>
        <v>0</v>
      </c>
      <c r="R1343" s="55">
        <f t="shared" si="225"/>
        <v>0</v>
      </c>
      <c r="S1343" s="55">
        <f t="shared" si="226"/>
        <v>0</v>
      </c>
    </row>
    <row r="1344" spans="1:19" ht="49.5" hidden="1" customHeight="1">
      <c r="A1344" s="1693"/>
      <c r="B1344" s="1648">
        <f t="shared" si="220"/>
        <v>0</v>
      </c>
      <c r="C1344" s="1867" t="s">
        <v>6240</v>
      </c>
      <c r="D1344" s="1672">
        <v>275</v>
      </c>
      <c r="E1344" s="1688" t="s">
        <v>41</v>
      </c>
      <c r="F1344" s="1651"/>
      <c r="G1344" s="1648">
        <f t="shared" si="231"/>
        <v>0</v>
      </c>
      <c r="H1344" s="1648"/>
      <c r="I1344" s="1648">
        <f t="shared" si="232"/>
        <v>0</v>
      </c>
      <c r="J1344" s="1648"/>
      <c r="K1344" s="1648">
        <f t="shared" si="233"/>
        <v>0</v>
      </c>
      <c r="L1344" s="1648"/>
      <c r="M1344" s="1648">
        <f t="shared" si="228"/>
        <v>0</v>
      </c>
      <c r="N1344" s="1648">
        <f t="shared" si="234"/>
        <v>0</v>
      </c>
      <c r="O1344" s="1648">
        <f t="shared" si="230"/>
        <v>0</v>
      </c>
      <c r="P1344" s="1648">
        <f t="shared" si="235"/>
        <v>0</v>
      </c>
      <c r="Q1344" s="1648">
        <f t="shared" si="224"/>
        <v>0</v>
      </c>
      <c r="R1344" s="55">
        <f t="shared" si="225"/>
        <v>0</v>
      </c>
      <c r="S1344" s="55">
        <f t="shared" si="226"/>
        <v>0</v>
      </c>
    </row>
    <row r="1345" spans="1:19" ht="49.5" hidden="1" customHeight="1">
      <c r="A1345" s="1693"/>
      <c r="B1345" s="1648">
        <f t="shared" si="220"/>
        <v>0</v>
      </c>
      <c r="C1345" s="1867" t="s">
        <v>6241</v>
      </c>
      <c r="D1345" s="1672">
        <v>310</v>
      </c>
      <c r="E1345" s="1688" t="s">
        <v>41</v>
      </c>
      <c r="F1345" s="1651"/>
      <c r="G1345" s="1648">
        <f t="shared" si="231"/>
        <v>0</v>
      </c>
      <c r="H1345" s="1648"/>
      <c r="I1345" s="1648">
        <f t="shared" si="232"/>
        <v>0</v>
      </c>
      <c r="J1345" s="1648"/>
      <c r="K1345" s="1648">
        <f t="shared" si="233"/>
        <v>0</v>
      </c>
      <c r="L1345" s="1648"/>
      <c r="M1345" s="1648">
        <f t="shared" si="228"/>
        <v>0</v>
      </c>
      <c r="N1345" s="1648">
        <f t="shared" si="234"/>
        <v>0</v>
      </c>
      <c r="O1345" s="1648">
        <f t="shared" si="230"/>
        <v>0</v>
      </c>
      <c r="P1345" s="1648">
        <f t="shared" si="235"/>
        <v>0</v>
      </c>
      <c r="Q1345" s="1648">
        <f t="shared" si="224"/>
        <v>0</v>
      </c>
      <c r="R1345" s="55">
        <f t="shared" si="225"/>
        <v>0</v>
      </c>
      <c r="S1345" s="55">
        <f t="shared" si="226"/>
        <v>0</v>
      </c>
    </row>
    <row r="1346" spans="1:19" ht="90" hidden="1" customHeight="1">
      <c r="A1346" s="1693"/>
      <c r="B1346" s="1648">
        <f t="shared" si="220"/>
        <v>0</v>
      </c>
      <c r="C1346" s="1867" t="s">
        <v>6242</v>
      </c>
      <c r="D1346" s="1672">
        <v>74</v>
      </c>
      <c r="E1346" s="1688" t="s">
        <v>6230</v>
      </c>
      <c r="F1346" s="1651"/>
      <c r="G1346" s="1648">
        <f t="shared" si="231"/>
        <v>0</v>
      </c>
      <c r="H1346" s="1648"/>
      <c r="I1346" s="1648">
        <f t="shared" si="232"/>
        <v>0</v>
      </c>
      <c r="J1346" s="1648"/>
      <c r="K1346" s="1648">
        <f t="shared" si="233"/>
        <v>0</v>
      </c>
      <c r="L1346" s="1648"/>
      <c r="M1346" s="1648">
        <f t="shared" si="228"/>
        <v>0</v>
      </c>
      <c r="N1346" s="1648">
        <f t="shared" si="234"/>
        <v>0</v>
      </c>
      <c r="O1346" s="1648">
        <f t="shared" si="230"/>
        <v>0</v>
      </c>
      <c r="P1346" s="1648">
        <f t="shared" si="235"/>
        <v>0</v>
      </c>
      <c r="Q1346" s="1648">
        <f t="shared" si="224"/>
        <v>0</v>
      </c>
      <c r="R1346" s="55">
        <f t="shared" si="225"/>
        <v>0</v>
      </c>
      <c r="S1346" s="55">
        <f t="shared" si="226"/>
        <v>0</v>
      </c>
    </row>
    <row r="1347" spans="1:19" ht="49.5" hidden="1" customHeight="1">
      <c r="A1347" s="1693"/>
      <c r="B1347" s="1648">
        <f t="shared" si="220"/>
        <v>0</v>
      </c>
      <c r="C1347" s="1867" t="s">
        <v>6243</v>
      </c>
      <c r="D1347" s="1672">
        <v>12000</v>
      </c>
      <c r="E1347" s="1688" t="s">
        <v>41</v>
      </c>
      <c r="F1347" s="1651"/>
      <c r="G1347" s="1648">
        <f t="shared" si="231"/>
        <v>0</v>
      </c>
      <c r="H1347" s="1648"/>
      <c r="I1347" s="1648">
        <f t="shared" si="232"/>
        <v>0</v>
      </c>
      <c r="J1347" s="1648"/>
      <c r="K1347" s="1648">
        <f t="shared" si="233"/>
        <v>0</v>
      </c>
      <c r="L1347" s="1648"/>
      <c r="M1347" s="1648">
        <f t="shared" si="228"/>
        <v>0</v>
      </c>
      <c r="N1347" s="1648">
        <f t="shared" si="234"/>
        <v>0</v>
      </c>
      <c r="O1347" s="1648">
        <f t="shared" si="230"/>
        <v>0</v>
      </c>
      <c r="P1347" s="1648">
        <f t="shared" si="235"/>
        <v>0</v>
      </c>
      <c r="Q1347" s="1648">
        <f t="shared" si="224"/>
        <v>0</v>
      </c>
      <c r="R1347" s="55">
        <f t="shared" si="225"/>
        <v>0</v>
      </c>
      <c r="S1347" s="55">
        <f t="shared" si="226"/>
        <v>0</v>
      </c>
    </row>
    <row r="1348" spans="1:19" ht="49.5" hidden="1" customHeight="1">
      <c r="A1348" s="1693"/>
      <c r="B1348" s="1648">
        <f t="shared" si="220"/>
        <v>0</v>
      </c>
      <c r="C1348" s="1867" t="s">
        <v>6244</v>
      </c>
      <c r="D1348" s="1672">
        <v>15000</v>
      </c>
      <c r="E1348" s="1688" t="s">
        <v>49</v>
      </c>
      <c r="F1348" s="1651"/>
      <c r="G1348" s="1648">
        <f t="shared" si="231"/>
        <v>0</v>
      </c>
      <c r="H1348" s="1648"/>
      <c r="I1348" s="1648">
        <f t="shared" si="232"/>
        <v>0</v>
      </c>
      <c r="J1348" s="1648"/>
      <c r="K1348" s="1648">
        <f t="shared" si="233"/>
        <v>0</v>
      </c>
      <c r="L1348" s="1648"/>
      <c r="M1348" s="1648">
        <f t="shared" si="228"/>
        <v>0</v>
      </c>
      <c r="N1348" s="1648">
        <f t="shared" si="234"/>
        <v>0</v>
      </c>
      <c r="O1348" s="1648">
        <f t="shared" si="230"/>
        <v>0</v>
      </c>
      <c r="P1348" s="1648">
        <f t="shared" si="235"/>
        <v>0</v>
      </c>
      <c r="Q1348" s="1648">
        <f t="shared" si="224"/>
        <v>0</v>
      </c>
      <c r="R1348" s="55">
        <f t="shared" si="225"/>
        <v>0</v>
      </c>
      <c r="S1348" s="55">
        <f t="shared" si="226"/>
        <v>0</v>
      </c>
    </row>
    <row r="1349" spans="1:19" ht="49.5" hidden="1" customHeight="1">
      <c r="A1349" s="1693"/>
      <c r="B1349" s="1648">
        <f t="shared" si="220"/>
        <v>0</v>
      </c>
      <c r="C1349" s="1865" t="s">
        <v>6245</v>
      </c>
      <c r="D1349" s="1672"/>
      <c r="E1349" s="1688"/>
      <c r="F1349" s="1651"/>
      <c r="G1349" s="1648">
        <f t="shared" si="231"/>
        <v>0</v>
      </c>
      <c r="H1349" s="1648"/>
      <c r="I1349" s="1648">
        <f t="shared" si="232"/>
        <v>0</v>
      </c>
      <c r="J1349" s="1648"/>
      <c r="K1349" s="1648">
        <f t="shared" si="233"/>
        <v>0</v>
      </c>
      <c r="L1349" s="1648"/>
      <c r="M1349" s="1648">
        <f t="shared" si="228"/>
        <v>0</v>
      </c>
      <c r="N1349" s="1648">
        <f t="shared" si="234"/>
        <v>0</v>
      </c>
      <c r="O1349" s="1648">
        <f t="shared" si="230"/>
        <v>0</v>
      </c>
      <c r="P1349" s="1648">
        <f t="shared" si="235"/>
        <v>0</v>
      </c>
      <c r="Q1349" s="1648">
        <f t="shared" si="224"/>
        <v>0</v>
      </c>
      <c r="R1349" s="55">
        <f t="shared" si="225"/>
        <v>0</v>
      </c>
      <c r="S1349" s="55">
        <f t="shared" si="226"/>
        <v>0</v>
      </c>
    </row>
    <row r="1350" spans="1:19" ht="227.45" hidden="1" customHeight="1">
      <c r="A1350" s="1693"/>
      <c r="B1350" s="1648">
        <f t="shared" ref="B1350:B1413" si="236">P1350</f>
        <v>0</v>
      </c>
      <c r="C1350" s="1869" t="s">
        <v>6246</v>
      </c>
      <c r="D1350" s="1672">
        <v>7664</v>
      </c>
      <c r="E1350" s="1688" t="s">
        <v>41</v>
      </c>
      <c r="F1350" s="1651"/>
      <c r="G1350" s="1648">
        <f t="shared" si="231"/>
        <v>0</v>
      </c>
      <c r="H1350" s="1648"/>
      <c r="I1350" s="1648">
        <f t="shared" si="232"/>
        <v>0</v>
      </c>
      <c r="J1350" s="1648"/>
      <c r="K1350" s="1648">
        <f t="shared" si="233"/>
        <v>0</v>
      </c>
      <c r="L1350" s="1648"/>
      <c r="M1350" s="1648">
        <f t="shared" si="228"/>
        <v>0</v>
      </c>
      <c r="N1350" s="1648">
        <f t="shared" si="234"/>
        <v>0</v>
      </c>
      <c r="O1350" s="1648">
        <f t="shared" si="230"/>
        <v>0</v>
      </c>
      <c r="P1350" s="1648">
        <f t="shared" ref="P1350:P1413" si="237">N1350+F1350</f>
        <v>0</v>
      </c>
      <c r="Q1350" s="1648">
        <f t="shared" ref="Q1350:Q1413" si="238">P1350*D1350</f>
        <v>0</v>
      </c>
      <c r="R1350" s="55">
        <f t="shared" ref="R1350:R1413" si="239">G1350+I1350+K1350+M1350</f>
        <v>0</v>
      </c>
      <c r="S1350" s="55">
        <f t="shared" ref="S1350:S1413" si="240">Q1350-R1350</f>
        <v>0</v>
      </c>
    </row>
    <row r="1351" spans="1:19" ht="267.60000000000002" hidden="1" customHeight="1">
      <c r="A1351" s="1693"/>
      <c r="B1351" s="1648">
        <f t="shared" si="236"/>
        <v>0</v>
      </c>
      <c r="C1351" s="1869" t="s">
        <v>6247</v>
      </c>
      <c r="D1351" s="1672">
        <v>18850</v>
      </c>
      <c r="E1351" s="1688" t="s">
        <v>41</v>
      </c>
      <c r="F1351" s="1651"/>
      <c r="G1351" s="1648">
        <f t="shared" ref="G1351:G1414" si="241">F1351*D1351</f>
        <v>0</v>
      </c>
      <c r="H1351" s="1648"/>
      <c r="I1351" s="1648">
        <f t="shared" ref="I1351:I1414" si="242">H1351*D1351</f>
        <v>0</v>
      </c>
      <c r="J1351" s="1648"/>
      <c r="K1351" s="1648">
        <f t="shared" ref="K1351:K1414" si="243">J1351*D1351</f>
        <v>0</v>
      </c>
      <c r="L1351" s="1648"/>
      <c r="M1351" s="1648">
        <f t="shared" ref="M1351:M1414" si="244">L1351*D1351</f>
        <v>0</v>
      </c>
      <c r="N1351" s="1648">
        <f t="shared" si="234"/>
        <v>0</v>
      </c>
      <c r="O1351" s="1648">
        <f t="shared" ref="O1351:O1414" si="245">N1351*D1351</f>
        <v>0</v>
      </c>
      <c r="P1351" s="1648">
        <f t="shared" si="237"/>
        <v>0</v>
      </c>
      <c r="Q1351" s="1648">
        <f t="shared" si="238"/>
        <v>0</v>
      </c>
      <c r="R1351" s="55">
        <f t="shared" si="239"/>
        <v>0</v>
      </c>
      <c r="S1351" s="55">
        <f t="shared" si="240"/>
        <v>0</v>
      </c>
    </row>
    <row r="1352" spans="1:19" ht="211.9" hidden="1" customHeight="1">
      <c r="A1352" s="1693"/>
      <c r="B1352" s="1648">
        <f t="shared" si="236"/>
        <v>0</v>
      </c>
      <c r="C1352" s="1869" t="s">
        <v>6248</v>
      </c>
      <c r="D1352" s="1672">
        <v>29300</v>
      </c>
      <c r="E1352" s="1688" t="s">
        <v>41</v>
      </c>
      <c r="F1352" s="1651"/>
      <c r="G1352" s="1648">
        <f t="shared" si="241"/>
        <v>0</v>
      </c>
      <c r="H1352" s="1648"/>
      <c r="I1352" s="1648">
        <f t="shared" si="242"/>
        <v>0</v>
      </c>
      <c r="J1352" s="1648"/>
      <c r="K1352" s="1648">
        <f t="shared" si="243"/>
        <v>0</v>
      </c>
      <c r="L1352" s="1648"/>
      <c r="M1352" s="1648">
        <f t="shared" si="244"/>
        <v>0</v>
      </c>
      <c r="N1352" s="1648">
        <f t="shared" si="234"/>
        <v>0</v>
      </c>
      <c r="O1352" s="1648">
        <f t="shared" si="245"/>
        <v>0</v>
      </c>
      <c r="P1352" s="1648">
        <f t="shared" si="237"/>
        <v>0</v>
      </c>
      <c r="Q1352" s="1648">
        <f t="shared" si="238"/>
        <v>0</v>
      </c>
      <c r="R1352" s="55">
        <f t="shared" si="239"/>
        <v>0</v>
      </c>
      <c r="S1352" s="55">
        <f t="shared" si="240"/>
        <v>0</v>
      </c>
    </row>
    <row r="1353" spans="1:19" ht="240" hidden="1" customHeight="1">
      <c r="A1353" s="1693"/>
      <c r="B1353" s="1648">
        <f t="shared" si="236"/>
        <v>0</v>
      </c>
      <c r="C1353" s="1869" t="s">
        <v>6249</v>
      </c>
      <c r="D1353" s="1672">
        <v>13250</v>
      </c>
      <c r="E1353" s="1688" t="s">
        <v>41</v>
      </c>
      <c r="F1353" s="1651"/>
      <c r="G1353" s="1648">
        <f t="shared" si="241"/>
        <v>0</v>
      </c>
      <c r="H1353" s="1648"/>
      <c r="I1353" s="1648">
        <f t="shared" si="242"/>
        <v>0</v>
      </c>
      <c r="J1353" s="1648"/>
      <c r="K1353" s="1648">
        <f t="shared" si="243"/>
        <v>0</v>
      </c>
      <c r="L1353" s="1648"/>
      <c r="M1353" s="1648">
        <f t="shared" si="244"/>
        <v>0</v>
      </c>
      <c r="N1353" s="1648">
        <f t="shared" si="234"/>
        <v>0</v>
      </c>
      <c r="O1353" s="1648">
        <f t="shared" si="245"/>
        <v>0</v>
      </c>
      <c r="P1353" s="1648">
        <f t="shared" si="237"/>
        <v>0</v>
      </c>
      <c r="Q1353" s="1648">
        <f t="shared" si="238"/>
        <v>0</v>
      </c>
      <c r="R1353" s="55">
        <f t="shared" si="239"/>
        <v>0</v>
      </c>
      <c r="S1353" s="55">
        <f t="shared" si="240"/>
        <v>0</v>
      </c>
    </row>
    <row r="1354" spans="1:19" ht="78" hidden="1" customHeight="1">
      <c r="A1354" s="1693"/>
      <c r="B1354" s="1648">
        <f t="shared" si="236"/>
        <v>0</v>
      </c>
      <c r="C1354" s="1869" t="s">
        <v>6250</v>
      </c>
      <c r="D1354" s="1672">
        <v>63000</v>
      </c>
      <c r="E1354" s="1688" t="s">
        <v>41</v>
      </c>
      <c r="F1354" s="1651"/>
      <c r="G1354" s="1648">
        <f t="shared" si="241"/>
        <v>0</v>
      </c>
      <c r="H1354" s="1648"/>
      <c r="I1354" s="1648">
        <f t="shared" si="242"/>
        <v>0</v>
      </c>
      <c r="J1354" s="1648"/>
      <c r="K1354" s="1648">
        <f t="shared" si="243"/>
        <v>0</v>
      </c>
      <c r="L1354" s="1648"/>
      <c r="M1354" s="1648">
        <f t="shared" si="244"/>
        <v>0</v>
      </c>
      <c r="N1354" s="1648">
        <f t="shared" si="234"/>
        <v>0</v>
      </c>
      <c r="O1354" s="1648">
        <f t="shared" si="245"/>
        <v>0</v>
      </c>
      <c r="P1354" s="1648">
        <f t="shared" si="237"/>
        <v>0</v>
      </c>
      <c r="Q1354" s="1648">
        <f t="shared" si="238"/>
        <v>0</v>
      </c>
      <c r="R1354" s="55">
        <f t="shared" si="239"/>
        <v>0</v>
      </c>
      <c r="S1354" s="55">
        <f t="shared" si="240"/>
        <v>0</v>
      </c>
    </row>
    <row r="1355" spans="1:19" ht="49.5" hidden="1" customHeight="1">
      <c r="A1355" s="1693"/>
      <c r="B1355" s="1648">
        <f t="shared" si="236"/>
        <v>0</v>
      </c>
      <c r="C1355" s="1867" t="s">
        <v>6251</v>
      </c>
      <c r="D1355" s="1672">
        <v>10500</v>
      </c>
      <c r="E1355" s="1688" t="s">
        <v>41</v>
      </c>
      <c r="F1355" s="1651"/>
      <c r="G1355" s="1648">
        <f t="shared" si="241"/>
        <v>0</v>
      </c>
      <c r="H1355" s="1648"/>
      <c r="I1355" s="1648">
        <f t="shared" si="242"/>
        <v>0</v>
      </c>
      <c r="J1355" s="1648"/>
      <c r="K1355" s="1648">
        <f t="shared" si="243"/>
        <v>0</v>
      </c>
      <c r="L1355" s="1648"/>
      <c r="M1355" s="1648">
        <f t="shared" si="244"/>
        <v>0</v>
      </c>
      <c r="N1355" s="1648">
        <f t="shared" si="234"/>
        <v>0</v>
      </c>
      <c r="O1355" s="1648">
        <f t="shared" si="245"/>
        <v>0</v>
      </c>
      <c r="P1355" s="1648">
        <f t="shared" si="237"/>
        <v>0</v>
      </c>
      <c r="Q1355" s="1648">
        <f t="shared" si="238"/>
        <v>0</v>
      </c>
      <c r="R1355" s="55">
        <f t="shared" si="239"/>
        <v>0</v>
      </c>
      <c r="S1355" s="55">
        <f t="shared" si="240"/>
        <v>0</v>
      </c>
    </row>
    <row r="1356" spans="1:19" ht="49.5" hidden="1" customHeight="1">
      <c r="A1356" s="1693"/>
      <c r="B1356" s="1648">
        <f t="shared" si="236"/>
        <v>0</v>
      </c>
      <c r="C1356" s="1867" t="s">
        <v>6252</v>
      </c>
      <c r="D1356" s="1672">
        <v>2350</v>
      </c>
      <c r="E1356" s="1688" t="s">
        <v>41</v>
      </c>
      <c r="F1356" s="1651"/>
      <c r="G1356" s="1648">
        <f t="shared" si="241"/>
        <v>0</v>
      </c>
      <c r="H1356" s="1648"/>
      <c r="I1356" s="1648">
        <f t="shared" si="242"/>
        <v>0</v>
      </c>
      <c r="J1356" s="1648"/>
      <c r="K1356" s="1648">
        <f t="shared" si="243"/>
        <v>0</v>
      </c>
      <c r="L1356" s="1648"/>
      <c r="M1356" s="1648">
        <f t="shared" si="244"/>
        <v>0</v>
      </c>
      <c r="N1356" s="1648">
        <f t="shared" si="234"/>
        <v>0</v>
      </c>
      <c r="O1356" s="1648">
        <f t="shared" si="245"/>
        <v>0</v>
      </c>
      <c r="P1356" s="1648">
        <f t="shared" si="237"/>
        <v>0</v>
      </c>
      <c r="Q1356" s="1648">
        <f t="shared" si="238"/>
        <v>0</v>
      </c>
      <c r="R1356" s="55">
        <f t="shared" si="239"/>
        <v>0</v>
      </c>
      <c r="S1356" s="55">
        <f t="shared" si="240"/>
        <v>0</v>
      </c>
    </row>
    <row r="1357" spans="1:19" ht="49.5" hidden="1" customHeight="1">
      <c r="A1357" s="1693"/>
      <c r="B1357" s="1648">
        <f t="shared" si="236"/>
        <v>0</v>
      </c>
      <c r="C1357" s="1867" t="s">
        <v>6253</v>
      </c>
      <c r="D1357" s="1672">
        <v>74</v>
      </c>
      <c r="E1357" s="1688" t="s">
        <v>6254</v>
      </c>
      <c r="F1357" s="1651"/>
      <c r="G1357" s="1648">
        <f t="shared" si="241"/>
        <v>0</v>
      </c>
      <c r="H1357" s="1648"/>
      <c r="I1357" s="1648">
        <f t="shared" si="242"/>
        <v>0</v>
      </c>
      <c r="J1357" s="1648"/>
      <c r="K1357" s="1648">
        <f t="shared" si="243"/>
        <v>0</v>
      </c>
      <c r="L1357" s="1648"/>
      <c r="M1357" s="1648">
        <f t="shared" si="244"/>
        <v>0</v>
      </c>
      <c r="N1357" s="1648">
        <f t="shared" si="234"/>
        <v>0</v>
      </c>
      <c r="O1357" s="1648">
        <f t="shared" si="245"/>
        <v>0</v>
      </c>
      <c r="P1357" s="1648">
        <f t="shared" si="237"/>
        <v>0</v>
      </c>
      <c r="Q1357" s="1648">
        <f t="shared" si="238"/>
        <v>0</v>
      </c>
      <c r="R1357" s="55">
        <f t="shared" si="239"/>
        <v>0</v>
      </c>
      <c r="S1357" s="55">
        <f t="shared" si="240"/>
        <v>0</v>
      </c>
    </row>
    <row r="1358" spans="1:19" ht="49.5" hidden="1" customHeight="1">
      <c r="A1358" s="1693"/>
      <c r="B1358" s="1648">
        <f t="shared" si="236"/>
        <v>0</v>
      </c>
      <c r="C1358" s="1867" t="s">
        <v>6255</v>
      </c>
      <c r="D1358" s="1672">
        <v>4000</v>
      </c>
      <c r="E1358" s="1688" t="s">
        <v>41</v>
      </c>
      <c r="F1358" s="1651"/>
      <c r="G1358" s="1648">
        <f t="shared" si="241"/>
        <v>0</v>
      </c>
      <c r="H1358" s="1648"/>
      <c r="I1358" s="1648">
        <f t="shared" si="242"/>
        <v>0</v>
      </c>
      <c r="J1358" s="1648"/>
      <c r="K1358" s="1648">
        <f t="shared" si="243"/>
        <v>0</v>
      </c>
      <c r="L1358" s="1648"/>
      <c r="M1358" s="1648">
        <f t="shared" si="244"/>
        <v>0</v>
      </c>
      <c r="N1358" s="1648">
        <f t="shared" si="234"/>
        <v>0</v>
      </c>
      <c r="O1358" s="1648">
        <f t="shared" si="245"/>
        <v>0</v>
      </c>
      <c r="P1358" s="1648">
        <f t="shared" si="237"/>
        <v>0</v>
      </c>
      <c r="Q1358" s="1648">
        <f t="shared" si="238"/>
        <v>0</v>
      </c>
      <c r="R1358" s="55">
        <f t="shared" si="239"/>
        <v>0</v>
      </c>
      <c r="S1358" s="55">
        <f t="shared" si="240"/>
        <v>0</v>
      </c>
    </row>
    <row r="1359" spans="1:19" ht="49.5" hidden="1" customHeight="1">
      <c r="A1359" s="1693"/>
      <c r="B1359" s="1648">
        <f t="shared" si="236"/>
        <v>0</v>
      </c>
      <c r="C1359" s="1867" t="s">
        <v>6256</v>
      </c>
      <c r="D1359" s="1672">
        <v>45</v>
      </c>
      <c r="E1359" s="1688" t="s">
        <v>6254</v>
      </c>
      <c r="F1359" s="1651"/>
      <c r="G1359" s="1648">
        <f t="shared" si="241"/>
        <v>0</v>
      </c>
      <c r="H1359" s="1648"/>
      <c r="I1359" s="1648">
        <f t="shared" si="242"/>
        <v>0</v>
      </c>
      <c r="J1359" s="1648"/>
      <c r="K1359" s="1648">
        <f t="shared" si="243"/>
        <v>0</v>
      </c>
      <c r="L1359" s="1648"/>
      <c r="M1359" s="1648">
        <f t="shared" si="244"/>
        <v>0</v>
      </c>
      <c r="N1359" s="1648">
        <f t="shared" si="234"/>
        <v>0</v>
      </c>
      <c r="O1359" s="1648">
        <f t="shared" si="245"/>
        <v>0</v>
      </c>
      <c r="P1359" s="1648">
        <f t="shared" si="237"/>
        <v>0</v>
      </c>
      <c r="Q1359" s="1648">
        <f t="shared" si="238"/>
        <v>0</v>
      </c>
      <c r="R1359" s="55">
        <f t="shared" si="239"/>
        <v>0</v>
      </c>
      <c r="S1359" s="55">
        <f t="shared" si="240"/>
        <v>0</v>
      </c>
    </row>
    <row r="1360" spans="1:19" ht="81" hidden="1" customHeight="1">
      <c r="A1360" s="1693"/>
      <c r="B1360" s="1648">
        <f t="shared" si="236"/>
        <v>0</v>
      </c>
      <c r="C1360" s="1867" t="s">
        <v>6244</v>
      </c>
      <c r="D1360" s="1672">
        <v>15000</v>
      </c>
      <c r="E1360" s="1688" t="s">
        <v>49</v>
      </c>
      <c r="F1360" s="1651"/>
      <c r="G1360" s="1648">
        <f t="shared" si="241"/>
        <v>0</v>
      </c>
      <c r="H1360" s="1648"/>
      <c r="I1360" s="1648">
        <f t="shared" si="242"/>
        <v>0</v>
      </c>
      <c r="J1360" s="1648"/>
      <c r="K1360" s="1648">
        <f t="shared" si="243"/>
        <v>0</v>
      </c>
      <c r="L1360" s="1648"/>
      <c r="M1360" s="1648">
        <f t="shared" si="244"/>
        <v>0</v>
      </c>
      <c r="N1360" s="1648">
        <f t="shared" ref="N1360:N1423" si="246">H1360+J1360+L1360</f>
        <v>0</v>
      </c>
      <c r="O1360" s="1648">
        <f t="shared" si="245"/>
        <v>0</v>
      </c>
      <c r="P1360" s="1648">
        <f t="shared" si="237"/>
        <v>0</v>
      </c>
      <c r="Q1360" s="1648">
        <f t="shared" si="238"/>
        <v>0</v>
      </c>
      <c r="R1360" s="55">
        <f t="shared" si="239"/>
        <v>0</v>
      </c>
      <c r="S1360" s="55">
        <f t="shared" si="240"/>
        <v>0</v>
      </c>
    </row>
    <row r="1361" spans="1:19" ht="49.5" hidden="1" customHeight="1">
      <c r="A1361" s="1693"/>
      <c r="B1361" s="1648">
        <f t="shared" si="236"/>
        <v>0</v>
      </c>
      <c r="C1361" s="1867" t="s">
        <v>6257</v>
      </c>
      <c r="D1361" s="1672">
        <v>175085</v>
      </c>
      <c r="E1361" s="1688" t="s">
        <v>1715</v>
      </c>
      <c r="F1361" s="1651"/>
      <c r="G1361" s="1648">
        <f t="shared" si="241"/>
        <v>0</v>
      </c>
      <c r="H1361" s="1648"/>
      <c r="I1361" s="1648">
        <f t="shared" si="242"/>
        <v>0</v>
      </c>
      <c r="J1361" s="1648"/>
      <c r="K1361" s="1648">
        <f t="shared" si="243"/>
        <v>0</v>
      </c>
      <c r="L1361" s="1648"/>
      <c r="M1361" s="1648">
        <f t="shared" si="244"/>
        <v>0</v>
      </c>
      <c r="N1361" s="1648">
        <f t="shared" si="246"/>
        <v>0</v>
      </c>
      <c r="O1361" s="1648">
        <f t="shared" si="245"/>
        <v>0</v>
      </c>
      <c r="P1361" s="1648">
        <f t="shared" si="237"/>
        <v>0</v>
      </c>
      <c r="Q1361" s="1648">
        <f t="shared" si="238"/>
        <v>0</v>
      </c>
      <c r="R1361" s="55">
        <f t="shared" si="239"/>
        <v>0</v>
      </c>
      <c r="S1361" s="55">
        <f t="shared" si="240"/>
        <v>0</v>
      </c>
    </row>
    <row r="1362" spans="1:19" ht="124.5" hidden="1" customHeight="1">
      <c r="A1362" s="1693"/>
      <c r="B1362" s="1648">
        <f t="shared" si="236"/>
        <v>0</v>
      </c>
      <c r="C1362" s="1867" t="s">
        <v>6258</v>
      </c>
      <c r="D1362" s="1672">
        <v>412.96</v>
      </c>
      <c r="E1362" s="1688" t="s">
        <v>6254</v>
      </c>
      <c r="F1362" s="1651"/>
      <c r="G1362" s="1648">
        <f t="shared" si="241"/>
        <v>0</v>
      </c>
      <c r="H1362" s="1648"/>
      <c r="I1362" s="1648">
        <f t="shared" si="242"/>
        <v>0</v>
      </c>
      <c r="J1362" s="1648"/>
      <c r="K1362" s="1648">
        <f t="shared" si="243"/>
        <v>0</v>
      </c>
      <c r="L1362" s="1648"/>
      <c r="M1362" s="1648">
        <f t="shared" si="244"/>
        <v>0</v>
      </c>
      <c r="N1362" s="1648">
        <f t="shared" si="246"/>
        <v>0</v>
      </c>
      <c r="O1362" s="1648">
        <f t="shared" si="245"/>
        <v>0</v>
      </c>
      <c r="P1362" s="1648">
        <f t="shared" si="237"/>
        <v>0</v>
      </c>
      <c r="Q1362" s="1648">
        <f t="shared" si="238"/>
        <v>0</v>
      </c>
      <c r="R1362" s="55">
        <f t="shared" si="239"/>
        <v>0</v>
      </c>
      <c r="S1362" s="55">
        <f t="shared" si="240"/>
        <v>0</v>
      </c>
    </row>
    <row r="1363" spans="1:19" ht="49.5" hidden="1" customHeight="1">
      <c r="A1363" s="1693"/>
      <c r="B1363" s="1648">
        <f t="shared" si="236"/>
        <v>0</v>
      </c>
      <c r="C1363" s="1867" t="s">
        <v>6259</v>
      </c>
      <c r="D1363" s="1672">
        <v>511110</v>
      </c>
      <c r="E1363" s="1688" t="s">
        <v>1715</v>
      </c>
      <c r="F1363" s="1651"/>
      <c r="G1363" s="1648">
        <f t="shared" si="241"/>
        <v>0</v>
      </c>
      <c r="H1363" s="1648"/>
      <c r="I1363" s="1648">
        <f t="shared" si="242"/>
        <v>0</v>
      </c>
      <c r="J1363" s="1648"/>
      <c r="K1363" s="1648">
        <f t="shared" si="243"/>
        <v>0</v>
      </c>
      <c r="L1363" s="1648"/>
      <c r="M1363" s="1648">
        <f t="shared" si="244"/>
        <v>0</v>
      </c>
      <c r="N1363" s="1648">
        <f t="shared" si="246"/>
        <v>0</v>
      </c>
      <c r="O1363" s="1648">
        <f t="shared" si="245"/>
        <v>0</v>
      </c>
      <c r="P1363" s="1648">
        <f t="shared" si="237"/>
        <v>0</v>
      </c>
      <c r="Q1363" s="1648">
        <f t="shared" si="238"/>
        <v>0</v>
      </c>
      <c r="R1363" s="55">
        <f t="shared" si="239"/>
        <v>0</v>
      </c>
      <c r="S1363" s="55">
        <f t="shared" si="240"/>
        <v>0</v>
      </c>
    </row>
    <row r="1364" spans="1:19" ht="139.5" hidden="1" customHeight="1">
      <c r="A1364" s="1693"/>
      <c r="B1364" s="1648">
        <f t="shared" si="236"/>
        <v>0</v>
      </c>
      <c r="C1364" s="1867" t="s">
        <v>6260</v>
      </c>
      <c r="D1364" s="1672">
        <v>204.52</v>
      </c>
      <c r="E1364" s="1688" t="s">
        <v>724</v>
      </c>
      <c r="F1364" s="1651"/>
      <c r="G1364" s="1648">
        <f t="shared" si="241"/>
        <v>0</v>
      </c>
      <c r="H1364" s="1648"/>
      <c r="I1364" s="1648">
        <f t="shared" si="242"/>
        <v>0</v>
      </c>
      <c r="J1364" s="1648"/>
      <c r="K1364" s="1648">
        <f t="shared" si="243"/>
        <v>0</v>
      </c>
      <c r="L1364" s="1648"/>
      <c r="M1364" s="1648">
        <f t="shared" si="244"/>
        <v>0</v>
      </c>
      <c r="N1364" s="1648">
        <f t="shared" si="246"/>
        <v>0</v>
      </c>
      <c r="O1364" s="1648">
        <f t="shared" si="245"/>
        <v>0</v>
      </c>
      <c r="P1364" s="1648">
        <f t="shared" si="237"/>
        <v>0</v>
      </c>
      <c r="Q1364" s="1648">
        <f t="shared" si="238"/>
        <v>0</v>
      </c>
      <c r="R1364" s="55">
        <f t="shared" si="239"/>
        <v>0</v>
      </c>
      <c r="S1364" s="55">
        <f t="shared" si="240"/>
        <v>0</v>
      </c>
    </row>
    <row r="1365" spans="1:19" ht="94.5" hidden="1" customHeight="1">
      <c r="A1365" s="1693"/>
      <c r="B1365" s="1648">
        <f t="shared" si="236"/>
        <v>0</v>
      </c>
      <c r="C1365" s="1867" t="s">
        <v>6261</v>
      </c>
      <c r="D1365" s="1672">
        <v>275000</v>
      </c>
      <c r="E1365" s="1688" t="s">
        <v>1715</v>
      </c>
      <c r="F1365" s="1651"/>
      <c r="G1365" s="1648">
        <f t="shared" si="241"/>
        <v>0</v>
      </c>
      <c r="H1365" s="1648"/>
      <c r="I1365" s="1648">
        <f t="shared" si="242"/>
        <v>0</v>
      </c>
      <c r="J1365" s="1648"/>
      <c r="K1365" s="1648">
        <f t="shared" si="243"/>
        <v>0</v>
      </c>
      <c r="L1365" s="1648"/>
      <c r="M1365" s="1648">
        <f t="shared" si="244"/>
        <v>0</v>
      </c>
      <c r="N1365" s="1648">
        <f t="shared" si="246"/>
        <v>0</v>
      </c>
      <c r="O1365" s="1648">
        <f t="shared" si="245"/>
        <v>0</v>
      </c>
      <c r="P1365" s="1648">
        <f t="shared" si="237"/>
        <v>0</v>
      </c>
      <c r="Q1365" s="1648">
        <f t="shared" si="238"/>
        <v>0</v>
      </c>
      <c r="R1365" s="55">
        <f t="shared" si="239"/>
        <v>0</v>
      </c>
      <c r="S1365" s="55">
        <f t="shared" si="240"/>
        <v>0</v>
      </c>
    </row>
    <row r="1366" spans="1:19" ht="152.25" hidden="1" customHeight="1">
      <c r="A1366" s="1693"/>
      <c r="B1366" s="1648">
        <f t="shared" si="236"/>
        <v>0</v>
      </c>
      <c r="C1366" s="1867" t="s">
        <v>6262</v>
      </c>
      <c r="D1366" s="1672">
        <v>636.53</v>
      </c>
      <c r="E1366" s="1688" t="s">
        <v>41</v>
      </c>
      <c r="F1366" s="1651"/>
      <c r="G1366" s="1648">
        <f t="shared" si="241"/>
        <v>0</v>
      </c>
      <c r="H1366" s="1648"/>
      <c r="I1366" s="1648">
        <f t="shared" si="242"/>
        <v>0</v>
      </c>
      <c r="J1366" s="1648"/>
      <c r="K1366" s="1648">
        <f t="shared" si="243"/>
        <v>0</v>
      </c>
      <c r="L1366" s="1648"/>
      <c r="M1366" s="1648">
        <f t="shared" si="244"/>
        <v>0</v>
      </c>
      <c r="N1366" s="1648">
        <f t="shared" si="246"/>
        <v>0</v>
      </c>
      <c r="O1366" s="1648">
        <f t="shared" si="245"/>
        <v>0</v>
      </c>
      <c r="P1366" s="1648">
        <f t="shared" si="237"/>
        <v>0</v>
      </c>
      <c r="Q1366" s="1648">
        <f t="shared" si="238"/>
        <v>0</v>
      </c>
      <c r="R1366" s="55">
        <f t="shared" si="239"/>
        <v>0</v>
      </c>
      <c r="S1366" s="55">
        <f t="shared" si="240"/>
        <v>0</v>
      </c>
    </row>
    <row r="1367" spans="1:19" ht="96.75" hidden="1" customHeight="1">
      <c r="A1367" s="1693"/>
      <c r="B1367" s="1648">
        <f t="shared" si="236"/>
        <v>0</v>
      </c>
      <c r="C1367" s="1865" t="s">
        <v>6263</v>
      </c>
      <c r="D1367" s="1672"/>
      <c r="E1367" s="1688"/>
      <c r="F1367" s="1651"/>
      <c r="G1367" s="1648">
        <f t="shared" si="241"/>
        <v>0</v>
      </c>
      <c r="H1367" s="1648"/>
      <c r="I1367" s="1648">
        <f t="shared" si="242"/>
        <v>0</v>
      </c>
      <c r="J1367" s="1648"/>
      <c r="K1367" s="1648">
        <f t="shared" si="243"/>
        <v>0</v>
      </c>
      <c r="L1367" s="1648"/>
      <c r="M1367" s="1648">
        <f t="shared" si="244"/>
        <v>0</v>
      </c>
      <c r="N1367" s="1648">
        <f t="shared" si="246"/>
        <v>0</v>
      </c>
      <c r="O1367" s="1648">
        <f t="shared" si="245"/>
        <v>0</v>
      </c>
      <c r="P1367" s="1648">
        <f t="shared" si="237"/>
        <v>0</v>
      </c>
      <c r="Q1367" s="1648">
        <f t="shared" si="238"/>
        <v>0</v>
      </c>
      <c r="R1367" s="55">
        <f t="shared" si="239"/>
        <v>0</v>
      </c>
      <c r="S1367" s="55">
        <f t="shared" si="240"/>
        <v>0</v>
      </c>
    </row>
    <row r="1368" spans="1:19" ht="408" hidden="1" customHeight="1">
      <c r="A1368" s="1693"/>
      <c r="B1368" s="1648">
        <f t="shared" si="236"/>
        <v>0</v>
      </c>
      <c r="C1368" s="1867" t="s">
        <v>6264</v>
      </c>
      <c r="D1368" s="1672">
        <v>10050</v>
      </c>
      <c r="E1368" s="1688" t="s">
        <v>729</v>
      </c>
      <c r="F1368" s="1651"/>
      <c r="G1368" s="1648">
        <f t="shared" si="241"/>
        <v>0</v>
      </c>
      <c r="H1368" s="1648"/>
      <c r="I1368" s="1648">
        <f t="shared" si="242"/>
        <v>0</v>
      </c>
      <c r="J1368" s="1648"/>
      <c r="K1368" s="1648">
        <f t="shared" si="243"/>
        <v>0</v>
      </c>
      <c r="L1368" s="1648"/>
      <c r="M1368" s="1648">
        <f t="shared" si="244"/>
        <v>0</v>
      </c>
      <c r="N1368" s="1648">
        <f t="shared" si="246"/>
        <v>0</v>
      </c>
      <c r="O1368" s="1648">
        <f t="shared" si="245"/>
        <v>0</v>
      </c>
      <c r="P1368" s="1648">
        <f t="shared" si="237"/>
        <v>0</v>
      </c>
      <c r="Q1368" s="1648">
        <f t="shared" si="238"/>
        <v>0</v>
      </c>
      <c r="R1368" s="55">
        <f t="shared" si="239"/>
        <v>0</v>
      </c>
      <c r="S1368" s="55">
        <f t="shared" si="240"/>
        <v>0</v>
      </c>
    </row>
    <row r="1369" spans="1:19" ht="122.25" hidden="1" customHeight="1">
      <c r="A1369" s="1693"/>
      <c r="B1369" s="1648">
        <f t="shared" si="236"/>
        <v>0</v>
      </c>
      <c r="C1369" s="1867" t="s">
        <v>6265</v>
      </c>
      <c r="D1369" s="1672">
        <v>98600</v>
      </c>
      <c r="E1369" s="1688" t="s">
        <v>729</v>
      </c>
      <c r="F1369" s="1651"/>
      <c r="G1369" s="1648">
        <f t="shared" si="241"/>
        <v>0</v>
      </c>
      <c r="H1369" s="1648"/>
      <c r="I1369" s="1648">
        <f t="shared" si="242"/>
        <v>0</v>
      </c>
      <c r="J1369" s="1648"/>
      <c r="K1369" s="1648">
        <f t="shared" si="243"/>
        <v>0</v>
      </c>
      <c r="L1369" s="1648"/>
      <c r="M1369" s="1648">
        <f t="shared" si="244"/>
        <v>0</v>
      </c>
      <c r="N1369" s="1648">
        <f t="shared" si="246"/>
        <v>0</v>
      </c>
      <c r="O1369" s="1648">
        <f t="shared" si="245"/>
        <v>0</v>
      </c>
      <c r="P1369" s="1648">
        <f t="shared" si="237"/>
        <v>0</v>
      </c>
      <c r="Q1369" s="1648">
        <f t="shared" si="238"/>
        <v>0</v>
      </c>
      <c r="R1369" s="55">
        <f t="shared" si="239"/>
        <v>0</v>
      </c>
      <c r="S1369" s="55">
        <f t="shared" si="240"/>
        <v>0</v>
      </c>
    </row>
    <row r="1370" spans="1:19" ht="244.5" hidden="1" customHeight="1">
      <c r="A1370" s="1693"/>
      <c r="B1370" s="1648">
        <f t="shared" si="236"/>
        <v>0</v>
      </c>
      <c r="C1370" s="1867" t="s">
        <v>5996</v>
      </c>
      <c r="D1370" s="1672">
        <v>10450</v>
      </c>
      <c r="E1370" s="1688" t="s">
        <v>729</v>
      </c>
      <c r="F1370" s="1651"/>
      <c r="G1370" s="1648">
        <f t="shared" si="241"/>
        <v>0</v>
      </c>
      <c r="H1370" s="1648"/>
      <c r="I1370" s="1648">
        <f t="shared" si="242"/>
        <v>0</v>
      </c>
      <c r="J1370" s="1648"/>
      <c r="K1370" s="1648">
        <f t="shared" si="243"/>
        <v>0</v>
      </c>
      <c r="L1370" s="1648"/>
      <c r="M1370" s="1648">
        <f t="shared" si="244"/>
        <v>0</v>
      </c>
      <c r="N1370" s="1648">
        <f t="shared" si="246"/>
        <v>0</v>
      </c>
      <c r="O1370" s="1648">
        <f t="shared" si="245"/>
        <v>0</v>
      </c>
      <c r="P1370" s="1648">
        <f t="shared" si="237"/>
        <v>0</v>
      </c>
      <c r="Q1370" s="1648">
        <f t="shared" si="238"/>
        <v>0</v>
      </c>
      <c r="R1370" s="55">
        <f t="shared" si="239"/>
        <v>0</v>
      </c>
      <c r="S1370" s="55">
        <f t="shared" si="240"/>
        <v>0</v>
      </c>
    </row>
    <row r="1371" spans="1:19" ht="81.75" hidden="1" customHeight="1">
      <c r="A1371" s="1693"/>
      <c r="B1371" s="1648">
        <f t="shared" si="236"/>
        <v>0</v>
      </c>
      <c r="C1371" s="1867" t="s">
        <v>6266</v>
      </c>
      <c r="D1371" s="1672">
        <v>35000</v>
      </c>
      <c r="E1371" s="1688" t="s">
        <v>729</v>
      </c>
      <c r="F1371" s="1651"/>
      <c r="G1371" s="1648">
        <f t="shared" si="241"/>
        <v>0</v>
      </c>
      <c r="H1371" s="1648"/>
      <c r="I1371" s="1648">
        <f t="shared" si="242"/>
        <v>0</v>
      </c>
      <c r="J1371" s="1648"/>
      <c r="K1371" s="1648">
        <f t="shared" si="243"/>
        <v>0</v>
      </c>
      <c r="L1371" s="1648"/>
      <c r="M1371" s="1648">
        <f t="shared" si="244"/>
        <v>0</v>
      </c>
      <c r="N1371" s="1648">
        <f t="shared" si="246"/>
        <v>0</v>
      </c>
      <c r="O1371" s="1648">
        <f t="shared" si="245"/>
        <v>0</v>
      </c>
      <c r="P1371" s="1648">
        <f t="shared" si="237"/>
        <v>0</v>
      </c>
      <c r="Q1371" s="1648">
        <f t="shared" si="238"/>
        <v>0</v>
      </c>
      <c r="R1371" s="55">
        <f t="shared" si="239"/>
        <v>0</v>
      </c>
      <c r="S1371" s="55">
        <f t="shared" si="240"/>
        <v>0</v>
      </c>
    </row>
    <row r="1372" spans="1:19" ht="64.5" hidden="1" customHeight="1">
      <c r="A1372" s="1693"/>
      <c r="B1372" s="1648">
        <f t="shared" si="236"/>
        <v>0</v>
      </c>
      <c r="C1372" s="1867" t="s">
        <v>6267</v>
      </c>
      <c r="D1372" s="1672">
        <v>284</v>
      </c>
      <c r="E1372" s="1688" t="s">
        <v>13</v>
      </c>
      <c r="F1372" s="1651"/>
      <c r="G1372" s="1648">
        <f t="shared" si="241"/>
        <v>0</v>
      </c>
      <c r="H1372" s="1648"/>
      <c r="I1372" s="1648">
        <f t="shared" si="242"/>
        <v>0</v>
      </c>
      <c r="J1372" s="1648"/>
      <c r="K1372" s="1648">
        <f t="shared" si="243"/>
        <v>0</v>
      </c>
      <c r="L1372" s="1648"/>
      <c r="M1372" s="1648">
        <f t="shared" si="244"/>
        <v>0</v>
      </c>
      <c r="N1372" s="1648">
        <f t="shared" si="246"/>
        <v>0</v>
      </c>
      <c r="O1372" s="1648">
        <f t="shared" si="245"/>
        <v>0</v>
      </c>
      <c r="P1372" s="1648">
        <f t="shared" si="237"/>
        <v>0</v>
      </c>
      <c r="Q1372" s="1648">
        <f t="shared" si="238"/>
        <v>0</v>
      </c>
      <c r="R1372" s="55">
        <f t="shared" si="239"/>
        <v>0</v>
      </c>
      <c r="S1372" s="55">
        <f t="shared" si="240"/>
        <v>0</v>
      </c>
    </row>
    <row r="1373" spans="1:19" ht="408.75" hidden="1" customHeight="1">
      <c r="A1373" s="1693"/>
      <c r="B1373" s="1648">
        <f t="shared" si="236"/>
        <v>0</v>
      </c>
      <c r="C1373" s="1867" t="s">
        <v>6268</v>
      </c>
      <c r="D1373" s="1672">
        <v>152000</v>
      </c>
      <c r="E1373" s="1688" t="s">
        <v>729</v>
      </c>
      <c r="F1373" s="1651"/>
      <c r="G1373" s="1648">
        <f t="shared" si="241"/>
        <v>0</v>
      </c>
      <c r="H1373" s="1648"/>
      <c r="I1373" s="1648">
        <f t="shared" si="242"/>
        <v>0</v>
      </c>
      <c r="J1373" s="1648"/>
      <c r="K1373" s="1648">
        <f t="shared" si="243"/>
        <v>0</v>
      </c>
      <c r="L1373" s="1648"/>
      <c r="M1373" s="1648">
        <f t="shared" si="244"/>
        <v>0</v>
      </c>
      <c r="N1373" s="1648">
        <f t="shared" si="246"/>
        <v>0</v>
      </c>
      <c r="O1373" s="1648">
        <f t="shared" si="245"/>
        <v>0</v>
      </c>
      <c r="P1373" s="1648">
        <f t="shared" si="237"/>
        <v>0</v>
      </c>
      <c r="Q1373" s="1648">
        <f t="shared" si="238"/>
        <v>0</v>
      </c>
      <c r="R1373" s="55">
        <f t="shared" si="239"/>
        <v>0</v>
      </c>
      <c r="S1373" s="55">
        <f t="shared" si="240"/>
        <v>0</v>
      </c>
    </row>
    <row r="1374" spans="1:19" ht="119.25" hidden="1" customHeight="1">
      <c r="A1374" s="1693"/>
      <c r="B1374" s="1648">
        <f t="shared" si="236"/>
        <v>0</v>
      </c>
      <c r="C1374" s="1867" t="s">
        <v>6269</v>
      </c>
      <c r="D1374" s="1672">
        <v>26000</v>
      </c>
      <c r="E1374" s="1688" t="s">
        <v>729</v>
      </c>
      <c r="F1374" s="1651"/>
      <c r="G1374" s="1648">
        <f t="shared" si="241"/>
        <v>0</v>
      </c>
      <c r="H1374" s="1648"/>
      <c r="I1374" s="1648">
        <f t="shared" si="242"/>
        <v>0</v>
      </c>
      <c r="J1374" s="1648"/>
      <c r="K1374" s="1648">
        <f t="shared" si="243"/>
        <v>0</v>
      </c>
      <c r="L1374" s="1648"/>
      <c r="M1374" s="1648">
        <f t="shared" si="244"/>
        <v>0</v>
      </c>
      <c r="N1374" s="1648">
        <f t="shared" si="246"/>
        <v>0</v>
      </c>
      <c r="O1374" s="1648">
        <f t="shared" si="245"/>
        <v>0</v>
      </c>
      <c r="P1374" s="1648">
        <f t="shared" si="237"/>
        <v>0</v>
      </c>
      <c r="Q1374" s="1648">
        <f t="shared" si="238"/>
        <v>0</v>
      </c>
      <c r="R1374" s="55">
        <f t="shared" si="239"/>
        <v>0</v>
      </c>
      <c r="S1374" s="55">
        <f t="shared" si="240"/>
        <v>0</v>
      </c>
    </row>
    <row r="1375" spans="1:19" ht="117.75" hidden="1" customHeight="1">
      <c r="A1375" s="1693"/>
      <c r="B1375" s="1648">
        <f t="shared" si="236"/>
        <v>0</v>
      </c>
      <c r="C1375" s="1867" t="s">
        <v>6258</v>
      </c>
      <c r="D1375" s="1649">
        <v>412.96</v>
      </c>
      <c r="E1375" s="1691" t="s">
        <v>13</v>
      </c>
      <c r="F1375" s="1651"/>
      <c r="G1375" s="1648">
        <f t="shared" si="241"/>
        <v>0</v>
      </c>
      <c r="H1375" s="1648"/>
      <c r="I1375" s="1648">
        <f t="shared" si="242"/>
        <v>0</v>
      </c>
      <c r="J1375" s="1648"/>
      <c r="K1375" s="1648">
        <f t="shared" si="243"/>
        <v>0</v>
      </c>
      <c r="L1375" s="1648"/>
      <c r="M1375" s="1648">
        <f t="shared" si="244"/>
        <v>0</v>
      </c>
      <c r="N1375" s="1648">
        <f t="shared" si="246"/>
        <v>0</v>
      </c>
      <c r="O1375" s="1648">
        <f t="shared" si="245"/>
        <v>0</v>
      </c>
      <c r="P1375" s="1648">
        <f t="shared" si="237"/>
        <v>0</v>
      </c>
      <c r="Q1375" s="1648">
        <f t="shared" si="238"/>
        <v>0</v>
      </c>
      <c r="R1375" s="55">
        <f t="shared" si="239"/>
        <v>0</v>
      </c>
      <c r="S1375" s="55">
        <f t="shared" si="240"/>
        <v>0</v>
      </c>
    </row>
    <row r="1376" spans="1:19" ht="52.15" hidden="1" customHeight="1">
      <c r="A1376" s="1693"/>
      <c r="B1376" s="1648">
        <f t="shared" si="236"/>
        <v>0</v>
      </c>
      <c r="C1376" s="1865"/>
      <c r="D1376" s="1672"/>
      <c r="E1376" s="1688"/>
      <c r="F1376" s="1651"/>
      <c r="G1376" s="1648">
        <f t="shared" si="241"/>
        <v>0</v>
      </c>
      <c r="H1376" s="1648"/>
      <c r="I1376" s="1648">
        <f t="shared" si="242"/>
        <v>0</v>
      </c>
      <c r="J1376" s="1648"/>
      <c r="K1376" s="1648">
        <f t="shared" si="243"/>
        <v>0</v>
      </c>
      <c r="L1376" s="1648"/>
      <c r="M1376" s="1648">
        <f t="shared" si="244"/>
        <v>0</v>
      </c>
      <c r="N1376" s="1648">
        <f t="shared" si="246"/>
        <v>0</v>
      </c>
      <c r="O1376" s="1648">
        <f t="shared" si="245"/>
        <v>0</v>
      </c>
      <c r="P1376" s="1648">
        <f t="shared" si="237"/>
        <v>0</v>
      </c>
      <c r="Q1376" s="1648">
        <f t="shared" si="238"/>
        <v>0</v>
      </c>
      <c r="R1376" s="55">
        <f t="shared" si="239"/>
        <v>0</v>
      </c>
      <c r="S1376" s="55">
        <f t="shared" si="240"/>
        <v>0</v>
      </c>
    </row>
    <row r="1377" spans="1:19" ht="44.25" hidden="1" customHeight="1">
      <c r="A1377" s="1693"/>
      <c r="B1377" s="1648">
        <f t="shared" si="236"/>
        <v>0</v>
      </c>
      <c r="C1377" s="1865" t="s">
        <v>6270</v>
      </c>
      <c r="D1377" s="1672"/>
      <c r="E1377" s="1688"/>
      <c r="F1377" s="1651"/>
      <c r="G1377" s="1648">
        <f t="shared" si="241"/>
        <v>0</v>
      </c>
      <c r="H1377" s="1648"/>
      <c r="I1377" s="1648">
        <f t="shared" si="242"/>
        <v>0</v>
      </c>
      <c r="J1377" s="1648"/>
      <c r="K1377" s="1648">
        <f t="shared" si="243"/>
        <v>0</v>
      </c>
      <c r="L1377" s="1648"/>
      <c r="M1377" s="1648">
        <f t="shared" si="244"/>
        <v>0</v>
      </c>
      <c r="N1377" s="1648">
        <f t="shared" si="246"/>
        <v>0</v>
      </c>
      <c r="O1377" s="1648">
        <f t="shared" si="245"/>
        <v>0</v>
      </c>
      <c r="P1377" s="1648">
        <f t="shared" si="237"/>
        <v>0</v>
      </c>
      <c r="Q1377" s="1648">
        <f t="shared" si="238"/>
        <v>0</v>
      </c>
      <c r="R1377" s="55">
        <f t="shared" si="239"/>
        <v>0</v>
      </c>
      <c r="S1377" s="55">
        <f t="shared" si="240"/>
        <v>0</v>
      </c>
    </row>
    <row r="1378" spans="1:19" ht="348.75" hidden="1" customHeight="1">
      <c r="A1378" s="1693"/>
      <c r="B1378" s="1648">
        <f t="shared" si="236"/>
        <v>0</v>
      </c>
      <c r="C1378" s="1867" t="s">
        <v>6264</v>
      </c>
      <c r="D1378" s="1672">
        <v>10050</v>
      </c>
      <c r="E1378" s="1688" t="s">
        <v>729</v>
      </c>
      <c r="F1378" s="1651"/>
      <c r="G1378" s="1648">
        <f t="shared" si="241"/>
        <v>0</v>
      </c>
      <c r="H1378" s="1648"/>
      <c r="I1378" s="1648">
        <f t="shared" si="242"/>
        <v>0</v>
      </c>
      <c r="J1378" s="1648"/>
      <c r="K1378" s="1648">
        <f t="shared" si="243"/>
        <v>0</v>
      </c>
      <c r="L1378" s="1648"/>
      <c r="M1378" s="1648">
        <f t="shared" si="244"/>
        <v>0</v>
      </c>
      <c r="N1378" s="1648">
        <f t="shared" si="246"/>
        <v>0</v>
      </c>
      <c r="O1378" s="1648">
        <f t="shared" si="245"/>
        <v>0</v>
      </c>
      <c r="P1378" s="1648">
        <f t="shared" si="237"/>
        <v>0</v>
      </c>
      <c r="Q1378" s="1648">
        <f t="shared" si="238"/>
        <v>0</v>
      </c>
      <c r="R1378" s="55">
        <f t="shared" si="239"/>
        <v>0</v>
      </c>
      <c r="S1378" s="55">
        <f t="shared" si="240"/>
        <v>0</v>
      </c>
    </row>
    <row r="1379" spans="1:19" ht="114.75" hidden="1" customHeight="1">
      <c r="A1379" s="1693"/>
      <c r="B1379" s="1648">
        <f t="shared" si="236"/>
        <v>0</v>
      </c>
      <c r="C1379" s="1867" t="s">
        <v>6265</v>
      </c>
      <c r="D1379" s="1672">
        <v>98600</v>
      </c>
      <c r="E1379" s="1688" t="s">
        <v>729</v>
      </c>
      <c r="F1379" s="1651"/>
      <c r="G1379" s="1648">
        <f t="shared" si="241"/>
        <v>0</v>
      </c>
      <c r="H1379" s="1648"/>
      <c r="I1379" s="1648">
        <f t="shared" si="242"/>
        <v>0</v>
      </c>
      <c r="J1379" s="1648"/>
      <c r="K1379" s="1648">
        <f t="shared" si="243"/>
        <v>0</v>
      </c>
      <c r="L1379" s="1648"/>
      <c r="M1379" s="1648">
        <f t="shared" si="244"/>
        <v>0</v>
      </c>
      <c r="N1379" s="1648">
        <f t="shared" si="246"/>
        <v>0</v>
      </c>
      <c r="O1379" s="1648">
        <f t="shared" si="245"/>
        <v>0</v>
      </c>
      <c r="P1379" s="1648">
        <f t="shared" si="237"/>
        <v>0</v>
      </c>
      <c r="Q1379" s="1648">
        <f t="shared" si="238"/>
        <v>0</v>
      </c>
      <c r="R1379" s="55">
        <f t="shared" si="239"/>
        <v>0</v>
      </c>
      <c r="S1379" s="55">
        <f t="shared" si="240"/>
        <v>0</v>
      </c>
    </row>
    <row r="1380" spans="1:19" ht="261" hidden="1" customHeight="1">
      <c r="A1380" s="1693"/>
      <c r="B1380" s="1648">
        <f t="shared" si="236"/>
        <v>0</v>
      </c>
      <c r="C1380" s="1867" t="s">
        <v>5996</v>
      </c>
      <c r="D1380" s="1672">
        <v>10450</v>
      </c>
      <c r="E1380" s="1688" t="s">
        <v>729</v>
      </c>
      <c r="F1380" s="1651"/>
      <c r="G1380" s="1648">
        <f t="shared" si="241"/>
        <v>0</v>
      </c>
      <c r="H1380" s="1648"/>
      <c r="I1380" s="1648">
        <f t="shared" si="242"/>
        <v>0</v>
      </c>
      <c r="J1380" s="1648"/>
      <c r="K1380" s="1648">
        <f t="shared" si="243"/>
        <v>0</v>
      </c>
      <c r="L1380" s="1648"/>
      <c r="M1380" s="1648">
        <f t="shared" si="244"/>
        <v>0</v>
      </c>
      <c r="N1380" s="1648">
        <f t="shared" si="246"/>
        <v>0</v>
      </c>
      <c r="O1380" s="1648">
        <f t="shared" si="245"/>
        <v>0</v>
      </c>
      <c r="P1380" s="1648">
        <f t="shared" si="237"/>
        <v>0</v>
      </c>
      <c r="Q1380" s="1648">
        <f t="shared" si="238"/>
        <v>0</v>
      </c>
      <c r="R1380" s="55">
        <f t="shared" si="239"/>
        <v>0</v>
      </c>
      <c r="S1380" s="55">
        <f t="shared" si="240"/>
        <v>0</v>
      </c>
    </row>
    <row r="1381" spans="1:19" ht="93" hidden="1" customHeight="1">
      <c r="A1381" s="1693"/>
      <c r="B1381" s="1648">
        <f t="shared" si="236"/>
        <v>0</v>
      </c>
      <c r="C1381" s="1867" t="s">
        <v>6266</v>
      </c>
      <c r="D1381" s="1672">
        <v>35000</v>
      </c>
      <c r="E1381" s="1688" t="s">
        <v>729</v>
      </c>
      <c r="F1381" s="1651"/>
      <c r="G1381" s="1648">
        <f t="shared" si="241"/>
        <v>0</v>
      </c>
      <c r="H1381" s="1648"/>
      <c r="I1381" s="1648">
        <f t="shared" si="242"/>
        <v>0</v>
      </c>
      <c r="J1381" s="1648"/>
      <c r="K1381" s="1648">
        <f t="shared" si="243"/>
        <v>0</v>
      </c>
      <c r="L1381" s="1648"/>
      <c r="M1381" s="1648">
        <f t="shared" si="244"/>
        <v>0</v>
      </c>
      <c r="N1381" s="1648">
        <f t="shared" si="246"/>
        <v>0</v>
      </c>
      <c r="O1381" s="1648">
        <f t="shared" si="245"/>
        <v>0</v>
      </c>
      <c r="P1381" s="1648">
        <f t="shared" si="237"/>
        <v>0</v>
      </c>
      <c r="Q1381" s="1648">
        <f t="shared" si="238"/>
        <v>0</v>
      </c>
      <c r="R1381" s="55">
        <f t="shared" si="239"/>
        <v>0</v>
      </c>
      <c r="S1381" s="55">
        <f t="shared" si="240"/>
        <v>0</v>
      </c>
    </row>
    <row r="1382" spans="1:19" ht="90.75" hidden="1" customHeight="1">
      <c r="A1382" s="1693"/>
      <c r="B1382" s="1648">
        <f t="shared" si="236"/>
        <v>0</v>
      </c>
      <c r="C1382" s="1867" t="s">
        <v>6267</v>
      </c>
      <c r="D1382" s="1672">
        <v>284</v>
      </c>
      <c r="E1382" s="1688" t="s">
        <v>13</v>
      </c>
      <c r="F1382" s="1651"/>
      <c r="G1382" s="1648">
        <f t="shared" si="241"/>
        <v>0</v>
      </c>
      <c r="H1382" s="1648"/>
      <c r="I1382" s="1648">
        <f t="shared" si="242"/>
        <v>0</v>
      </c>
      <c r="J1382" s="1648"/>
      <c r="K1382" s="1648">
        <f t="shared" si="243"/>
        <v>0</v>
      </c>
      <c r="L1382" s="1648"/>
      <c r="M1382" s="1648">
        <f t="shared" si="244"/>
        <v>0</v>
      </c>
      <c r="N1382" s="1648">
        <f t="shared" si="246"/>
        <v>0</v>
      </c>
      <c r="O1382" s="1648">
        <f t="shared" si="245"/>
        <v>0</v>
      </c>
      <c r="P1382" s="1648">
        <f t="shared" si="237"/>
        <v>0</v>
      </c>
      <c r="Q1382" s="1648">
        <f t="shared" si="238"/>
        <v>0</v>
      </c>
      <c r="R1382" s="55">
        <f t="shared" si="239"/>
        <v>0</v>
      </c>
      <c r="S1382" s="55">
        <f t="shared" si="240"/>
        <v>0</v>
      </c>
    </row>
    <row r="1383" spans="1:19" ht="54.6" hidden="1" customHeight="1">
      <c r="A1383" s="1693"/>
      <c r="B1383" s="1648">
        <f t="shared" si="236"/>
        <v>0</v>
      </c>
      <c r="C1383" s="1867" t="s">
        <v>6271</v>
      </c>
      <c r="D1383" s="1672">
        <v>3000</v>
      </c>
      <c r="E1383" s="1688" t="s">
        <v>41</v>
      </c>
      <c r="F1383" s="1651"/>
      <c r="G1383" s="1648">
        <f t="shared" si="241"/>
        <v>0</v>
      </c>
      <c r="H1383" s="1648"/>
      <c r="I1383" s="1648">
        <f t="shared" si="242"/>
        <v>0</v>
      </c>
      <c r="J1383" s="1648"/>
      <c r="K1383" s="1648">
        <f t="shared" si="243"/>
        <v>0</v>
      </c>
      <c r="L1383" s="1648"/>
      <c r="M1383" s="1648">
        <f t="shared" si="244"/>
        <v>0</v>
      </c>
      <c r="N1383" s="1648">
        <f t="shared" si="246"/>
        <v>0</v>
      </c>
      <c r="O1383" s="1648">
        <f t="shared" si="245"/>
        <v>0</v>
      </c>
      <c r="P1383" s="1648">
        <f t="shared" si="237"/>
        <v>0</v>
      </c>
      <c r="Q1383" s="1648">
        <f t="shared" si="238"/>
        <v>0</v>
      </c>
      <c r="R1383" s="55">
        <f t="shared" si="239"/>
        <v>0</v>
      </c>
      <c r="S1383" s="55">
        <f t="shared" si="240"/>
        <v>0</v>
      </c>
    </row>
    <row r="1384" spans="1:19" ht="111.6" hidden="1" customHeight="1">
      <c r="A1384" s="1693"/>
      <c r="B1384" s="1648">
        <f t="shared" si="236"/>
        <v>0</v>
      </c>
      <c r="C1384" s="1867" t="s">
        <v>6272</v>
      </c>
      <c r="D1384" s="1672">
        <v>28000</v>
      </c>
      <c r="E1384" s="1688" t="s">
        <v>1715</v>
      </c>
      <c r="F1384" s="1651"/>
      <c r="G1384" s="1648">
        <f t="shared" si="241"/>
        <v>0</v>
      </c>
      <c r="H1384" s="1648"/>
      <c r="I1384" s="1648">
        <f t="shared" si="242"/>
        <v>0</v>
      </c>
      <c r="J1384" s="1648"/>
      <c r="K1384" s="1648">
        <f t="shared" si="243"/>
        <v>0</v>
      </c>
      <c r="L1384" s="1648"/>
      <c r="M1384" s="1648">
        <f t="shared" si="244"/>
        <v>0</v>
      </c>
      <c r="N1384" s="1648">
        <f t="shared" si="246"/>
        <v>0</v>
      </c>
      <c r="O1384" s="1648">
        <f t="shared" si="245"/>
        <v>0</v>
      </c>
      <c r="P1384" s="1648">
        <f t="shared" si="237"/>
        <v>0</v>
      </c>
      <c r="Q1384" s="1648">
        <f t="shared" si="238"/>
        <v>0</v>
      </c>
      <c r="R1384" s="55">
        <f t="shared" si="239"/>
        <v>0</v>
      </c>
      <c r="S1384" s="55">
        <f t="shared" si="240"/>
        <v>0</v>
      </c>
    </row>
    <row r="1385" spans="1:19" ht="130.9" hidden="1" customHeight="1">
      <c r="A1385" s="1693"/>
      <c r="B1385" s="1648">
        <f t="shared" si="236"/>
        <v>0</v>
      </c>
      <c r="C1385" s="1867" t="s">
        <v>6273</v>
      </c>
      <c r="D1385" s="1672">
        <v>24000</v>
      </c>
      <c r="E1385" s="1688" t="s">
        <v>1715</v>
      </c>
      <c r="F1385" s="1651"/>
      <c r="G1385" s="1648">
        <f t="shared" si="241"/>
        <v>0</v>
      </c>
      <c r="H1385" s="1648"/>
      <c r="I1385" s="1648">
        <f t="shared" si="242"/>
        <v>0</v>
      </c>
      <c r="J1385" s="1648"/>
      <c r="K1385" s="1648">
        <f t="shared" si="243"/>
        <v>0</v>
      </c>
      <c r="L1385" s="1648"/>
      <c r="M1385" s="1648">
        <f t="shared" si="244"/>
        <v>0</v>
      </c>
      <c r="N1385" s="1648">
        <f t="shared" si="246"/>
        <v>0</v>
      </c>
      <c r="O1385" s="1648">
        <f t="shared" si="245"/>
        <v>0</v>
      </c>
      <c r="P1385" s="1648">
        <f t="shared" si="237"/>
        <v>0</v>
      </c>
      <c r="Q1385" s="1648">
        <f t="shared" si="238"/>
        <v>0</v>
      </c>
      <c r="R1385" s="55">
        <f t="shared" si="239"/>
        <v>0</v>
      </c>
      <c r="S1385" s="55">
        <f t="shared" si="240"/>
        <v>0</v>
      </c>
    </row>
    <row r="1386" spans="1:19" ht="60.6" hidden="1" customHeight="1">
      <c r="A1386" s="1693"/>
      <c r="B1386" s="1648">
        <f t="shared" si="236"/>
        <v>0</v>
      </c>
      <c r="C1386" s="1867" t="s">
        <v>6274</v>
      </c>
      <c r="D1386" s="1672">
        <v>23500</v>
      </c>
      <c r="E1386" s="1688" t="s">
        <v>1715</v>
      </c>
      <c r="F1386" s="1651"/>
      <c r="G1386" s="1648">
        <f t="shared" si="241"/>
        <v>0</v>
      </c>
      <c r="H1386" s="1648"/>
      <c r="I1386" s="1648">
        <f t="shared" si="242"/>
        <v>0</v>
      </c>
      <c r="J1386" s="1648"/>
      <c r="K1386" s="1648">
        <f t="shared" si="243"/>
        <v>0</v>
      </c>
      <c r="L1386" s="1648"/>
      <c r="M1386" s="1648">
        <f t="shared" si="244"/>
        <v>0</v>
      </c>
      <c r="N1386" s="1648">
        <f t="shared" si="246"/>
        <v>0</v>
      </c>
      <c r="O1386" s="1648">
        <f t="shared" si="245"/>
        <v>0</v>
      </c>
      <c r="P1386" s="1648">
        <f t="shared" si="237"/>
        <v>0</v>
      </c>
      <c r="Q1386" s="1648">
        <f t="shared" si="238"/>
        <v>0</v>
      </c>
      <c r="R1386" s="55">
        <f t="shared" si="239"/>
        <v>0</v>
      </c>
      <c r="S1386" s="55">
        <f t="shared" si="240"/>
        <v>0</v>
      </c>
    </row>
    <row r="1387" spans="1:19" ht="62.45" hidden="1" customHeight="1">
      <c r="A1387" s="1693"/>
      <c r="B1387" s="1648">
        <f t="shared" si="236"/>
        <v>0</v>
      </c>
      <c r="C1387" s="1867" t="s">
        <v>6275</v>
      </c>
      <c r="D1387" s="1672">
        <v>22500</v>
      </c>
      <c r="E1387" s="1688" t="s">
        <v>1715</v>
      </c>
      <c r="F1387" s="1651"/>
      <c r="G1387" s="1648">
        <f t="shared" si="241"/>
        <v>0</v>
      </c>
      <c r="H1387" s="1648"/>
      <c r="I1387" s="1648">
        <f t="shared" si="242"/>
        <v>0</v>
      </c>
      <c r="J1387" s="1648"/>
      <c r="K1387" s="1648">
        <f t="shared" si="243"/>
        <v>0</v>
      </c>
      <c r="L1387" s="1648"/>
      <c r="M1387" s="1648">
        <f t="shared" si="244"/>
        <v>0</v>
      </c>
      <c r="N1387" s="1648">
        <f t="shared" si="246"/>
        <v>0</v>
      </c>
      <c r="O1387" s="1648">
        <f t="shared" si="245"/>
        <v>0</v>
      </c>
      <c r="P1387" s="1648">
        <f t="shared" si="237"/>
        <v>0</v>
      </c>
      <c r="Q1387" s="1648">
        <f t="shared" si="238"/>
        <v>0</v>
      </c>
      <c r="R1387" s="55">
        <f t="shared" si="239"/>
        <v>0</v>
      </c>
      <c r="S1387" s="55">
        <f t="shared" si="240"/>
        <v>0</v>
      </c>
    </row>
    <row r="1388" spans="1:19" ht="92.45" hidden="1" customHeight="1">
      <c r="A1388" s="1693"/>
      <c r="B1388" s="1648">
        <f t="shared" si="236"/>
        <v>0</v>
      </c>
      <c r="C1388" s="1867" t="s">
        <v>6276</v>
      </c>
      <c r="D1388" s="1672">
        <v>9700</v>
      </c>
      <c r="E1388" s="1688" t="s">
        <v>41</v>
      </c>
      <c r="F1388" s="1651"/>
      <c r="G1388" s="1648">
        <f t="shared" si="241"/>
        <v>0</v>
      </c>
      <c r="H1388" s="1648"/>
      <c r="I1388" s="1648">
        <f t="shared" si="242"/>
        <v>0</v>
      </c>
      <c r="J1388" s="1648"/>
      <c r="K1388" s="1648">
        <f t="shared" si="243"/>
        <v>0</v>
      </c>
      <c r="L1388" s="1648"/>
      <c r="M1388" s="1648">
        <f t="shared" si="244"/>
        <v>0</v>
      </c>
      <c r="N1388" s="1648">
        <f t="shared" si="246"/>
        <v>0</v>
      </c>
      <c r="O1388" s="1648">
        <f t="shared" si="245"/>
        <v>0</v>
      </c>
      <c r="P1388" s="1648">
        <f t="shared" si="237"/>
        <v>0</v>
      </c>
      <c r="Q1388" s="1648">
        <f t="shared" si="238"/>
        <v>0</v>
      </c>
      <c r="R1388" s="55">
        <f t="shared" si="239"/>
        <v>0</v>
      </c>
      <c r="S1388" s="55">
        <f t="shared" si="240"/>
        <v>0</v>
      </c>
    </row>
    <row r="1389" spans="1:19" ht="92.45" hidden="1" customHeight="1">
      <c r="A1389" s="1693"/>
      <c r="B1389" s="1648">
        <f t="shared" si="236"/>
        <v>0</v>
      </c>
      <c r="C1389" s="1867" t="s">
        <v>6277</v>
      </c>
      <c r="D1389" s="1672">
        <v>15700</v>
      </c>
      <c r="E1389" s="1688" t="s">
        <v>41</v>
      </c>
      <c r="F1389" s="1651"/>
      <c r="G1389" s="1648">
        <f t="shared" si="241"/>
        <v>0</v>
      </c>
      <c r="H1389" s="1648"/>
      <c r="I1389" s="1648">
        <f t="shared" si="242"/>
        <v>0</v>
      </c>
      <c r="J1389" s="1648"/>
      <c r="K1389" s="1648">
        <f t="shared" si="243"/>
        <v>0</v>
      </c>
      <c r="L1389" s="1648"/>
      <c r="M1389" s="1648">
        <f t="shared" si="244"/>
        <v>0</v>
      </c>
      <c r="N1389" s="1648">
        <f t="shared" si="246"/>
        <v>0</v>
      </c>
      <c r="O1389" s="1648">
        <f t="shared" si="245"/>
        <v>0</v>
      </c>
      <c r="P1389" s="1648">
        <f t="shared" si="237"/>
        <v>0</v>
      </c>
      <c r="Q1389" s="1648">
        <f t="shared" si="238"/>
        <v>0</v>
      </c>
      <c r="R1389" s="55">
        <f t="shared" si="239"/>
        <v>0</v>
      </c>
      <c r="S1389" s="55">
        <f t="shared" si="240"/>
        <v>0</v>
      </c>
    </row>
    <row r="1390" spans="1:19" ht="49.15" hidden="1" customHeight="1">
      <c r="A1390" s="1693"/>
      <c r="B1390" s="1648">
        <f t="shared" si="236"/>
        <v>0</v>
      </c>
      <c r="C1390" s="1867" t="s">
        <v>6278</v>
      </c>
      <c r="D1390" s="1672">
        <v>2400</v>
      </c>
      <c r="E1390" s="1688" t="s">
        <v>41</v>
      </c>
      <c r="F1390" s="1651"/>
      <c r="G1390" s="1648">
        <f t="shared" si="241"/>
        <v>0</v>
      </c>
      <c r="H1390" s="1648"/>
      <c r="I1390" s="1648">
        <f t="shared" si="242"/>
        <v>0</v>
      </c>
      <c r="J1390" s="1648"/>
      <c r="K1390" s="1648">
        <f t="shared" si="243"/>
        <v>0</v>
      </c>
      <c r="L1390" s="1648"/>
      <c r="M1390" s="1648">
        <f t="shared" si="244"/>
        <v>0</v>
      </c>
      <c r="N1390" s="1648">
        <f t="shared" si="246"/>
        <v>0</v>
      </c>
      <c r="O1390" s="1648">
        <f t="shared" si="245"/>
        <v>0</v>
      </c>
      <c r="P1390" s="1648">
        <f t="shared" si="237"/>
        <v>0</v>
      </c>
      <c r="Q1390" s="1648">
        <f t="shared" si="238"/>
        <v>0</v>
      </c>
      <c r="R1390" s="55">
        <f t="shared" si="239"/>
        <v>0</v>
      </c>
      <c r="S1390" s="55">
        <f t="shared" si="240"/>
        <v>0</v>
      </c>
    </row>
    <row r="1391" spans="1:19" ht="73.150000000000006" hidden="1" customHeight="1">
      <c r="A1391" s="1693"/>
      <c r="B1391" s="1648">
        <f t="shared" si="236"/>
        <v>0</v>
      </c>
      <c r="C1391" s="1867" t="s">
        <v>6279</v>
      </c>
      <c r="D1391" s="1672">
        <v>80000</v>
      </c>
      <c r="E1391" s="1688" t="s">
        <v>41</v>
      </c>
      <c r="F1391" s="1651"/>
      <c r="G1391" s="1648">
        <f t="shared" si="241"/>
        <v>0</v>
      </c>
      <c r="H1391" s="1648"/>
      <c r="I1391" s="1648">
        <f t="shared" si="242"/>
        <v>0</v>
      </c>
      <c r="J1391" s="1648"/>
      <c r="K1391" s="1648">
        <f t="shared" si="243"/>
        <v>0</v>
      </c>
      <c r="L1391" s="1648"/>
      <c r="M1391" s="1648">
        <f t="shared" si="244"/>
        <v>0</v>
      </c>
      <c r="N1391" s="1648">
        <f t="shared" si="246"/>
        <v>0</v>
      </c>
      <c r="O1391" s="1648">
        <f t="shared" si="245"/>
        <v>0</v>
      </c>
      <c r="P1391" s="1648">
        <f t="shared" si="237"/>
        <v>0</v>
      </c>
      <c r="Q1391" s="1648">
        <f t="shared" si="238"/>
        <v>0</v>
      </c>
      <c r="R1391" s="55">
        <f t="shared" si="239"/>
        <v>0</v>
      </c>
      <c r="S1391" s="55">
        <f t="shared" si="240"/>
        <v>0</v>
      </c>
    </row>
    <row r="1392" spans="1:19" ht="63.6" hidden="1" customHeight="1">
      <c r="A1392" s="1693"/>
      <c r="B1392" s="1648">
        <f t="shared" si="236"/>
        <v>0</v>
      </c>
      <c r="C1392" s="1867" t="s">
        <v>6280</v>
      </c>
      <c r="D1392" s="1672">
        <v>42000</v>
      </c>
      <c r="E1392" s="1688" t="s">
        <v>41</v>
      </c>
      <c r="F1392" s="1651"/>
      <c r="G1392" s="1648">
        <f t="shared" si="241"/>
        <v>0</v>
      </c>
      <c r="H1392" s="1648"/>
      <c r="I1392" s="1648">
        <f t="shared" si="242"/>
        <v>0</v>
      </c>
      <c r="J1392" s="1648"/>
      <c r="K1392" s="1648">
        <f t="shared" si="243"/>
        <v>0</v>
      </c>
      <c r="L1392" s="1648"/>
      <c r="M1392" s="1648">
        <f t="shared" si="244"/>
        <v>0</v>
      </c>
      <c r="N1392" s="1648">
        <f t="shared" si="246"/>
        <v>0</v>
      </c>
      <c r="O1392" s="1648">
        <f t="shared" si="245"/>
        <v>0</v>
      </c>
      <c r="P1392" s="1648">
        <f t="shared" si="237"/>
        <v>0</v>
      </c>
      <c r="Q1392" s="1648">
        <f t="shared" si="238"/>
        <v>0</v>
      </c>
      <c r="R1392" s="55">
        <f t="shared" si="239"/>
        <v>0</v>
      </c>
      <c r="S1392" s="55">
        <f t="shared" si="240"/>
        <v>0</v>
      </c>
    </row>
    <row r="1393" spans="1:19" ht="63.6" hidden="1" customHeight="1">
      <c r="A1393" s="1693"/>
      <c r="B1393" s="1648">
        <f t="shared" si="236"/>
        <v>0</v>
      </c>
      <c r="C1393" s="1867" t="s">
        <v>6281</v>
      </c>
      <c r="D1393" s="1672">
        <v>39500</v>
      </c>
      <c r="E1393" s="1688" t="s">
        <v>41</v>
      </c>
      <c r="F1393" s="1651"/>
      <c r="G1393" s="1648">
        <f t="shared" si="241"/>
        <v>0</v>
      </c>
      <c r="H1393" s="1648"/>
      <c r="I1393" s="1648">
        <f t="shared" si="242"/>
        <v>0</v>
      </c>
      <c r="J1393" s="1648"/>
      <c r="K1393" s="1648">
        <f t="shared" si="243"/>
        <v>0</v>
      </c>
      <c r="L1393" s="1648"/>
      <c r="M1393" s="1648">
        <f t="shared" si="244"/>
        <v>0</v>
      </c>
      <c r="N1393" s="1648">
        <f t="shared" si="246"/>
        <v>0</v>
      </c>
      <c r="O1393" s="1648">
        <f t="shared" si="245"/>
        <v>0</v>
      </c>
      <c r="P1393" s="1648">
        <f t="shared" si="237"/>
        <v>0</v>
      </c>
      <c r="Q1393" s="1648">
        <f t="shared" si="238"/>
        <v>0</v>
      </c>
      <c r="R1393" s="55">
        <f t="shared" si="239"/>
        <v>0</v>
      </c>
      <c r="S1393" s="55">
        <f t="shared" si="240"/>
        <v>0</v>
      </c>
    </row>
    <row r="1394" spans="1:19" ht="47.45" hidden="1" customHeight="1">
      <c r="A1394" s="1693"/>
      <c r="B1394" s="1648">
        <f t="shared" si="236"/>
        <v>0</v>
      </c>
      <c r="C1394" s="1867" t="s">
        <v>6282</v>
      </c>
      <c r="D1394" s="1672">
        <v>18500</v>
      </c>
      <c r="E1394" s="1688" t="s">
        <v>41</v>
      </c>
      <c r="F1394" s="1651"/>
      <c r="G1394" s="1648">
        <f t="shared" si="241"/>
        <v>0</v>
      </c>
      <c r="H1394" s="1648"/>
      <c r="I1394" s="1648">
        <f t="shared" si="242"/>
        <v>0</v>
      </c>
      <c r="J1394" s="1648"/>
      <c r="K1394" s="1648">
        <f t="shared" si="243"/>
        <v>0</v>
      </c>
      <c r="L1394" s="1648"/>
      <c r="M1394" s="1648">
        <f t="shared" si="244"/>
        <v>0</v>
      </c>
      <c r="N1394" s="1648">
        <f t="shared" si="246"/>
        <v>0</v>
      </c>
      <c r="O1394" s="1648">
        <f t="shared" si="245"/>
        <v>0</v>
      </c>
      <c r="P1394" s="1648">
        <f t="shared" si="237"/>
        <v>0</v>
      </c>
      <c r="Q1394" s="1648">
        <f t="shared" si="238"/>
        <v>0</v>
      </c>
      <c r="R1394" s="55">
        <f t="shared" si="239"/>
        <v>0</v>
      </c>
      <c r="S1394" s="55">
        <f t="shared" si="240"/>
        <v>0</v>
      </c>
    </row>
    <row r="1395" spans="1:19" ht="92.45" hidden="1" customHeight="1">
      <c r="A1395" s="1693"/>
      <c r="B1395" s="1648">
        <f t="shared" si="236"/>
        <v>0</v>
      </c>
      <c r="C1395" s="1867" t="s">
        <v>6283</v>
      </c>
      <c r="D1395" s="1672">
        <v>200000</v>
      </c>
      <c r="E1395" s="1688" t="s">
        <v>49</v>
      </c>
      <c r="F1395" s="1651"/>
      <c r="G1395" s="1648">
        <f t="shared" si="241"/>
        <v>0</v>
      </c>
      <c r="H1395" s="1648"/>
      <c r="I1395" s="1648">
        <f t="shared" si="242"/>
        <v>0</v>
      </c>
      <c r="J1395" s="1648"/>
      <c r="K1395" s="1648">
        <f t="shared" si="243"/>
        <v>0</v>
      </c>
      <c r="L1395" s="1648"/>
      <c r="M1395" s="1648">
        <f t="shared" si="244"/>
        <v>0</v>
      </c>
      <c r="N1395" s="1648">
        <f t="shared" si="246"/>
        <v>0</v>
      </c>
      <c r="O1395" s="1648">
        <f t="shared" si="245"/>
        <v>0</v>
      </c>
      <c r="P1395" s="1648">
        <f t="shared" si="237"/>
        <v>0</v>
      </c>
      <c r="Q1395" s="1648">
        <f t="shared" si="238"/>
        <v>0</v>
      </c>
      <c r="R1395" s="55">
        <f t="shared" si="239"/>
        <v>0</v>
      </c>
      <c r="S1395" s="55">
        <f t="shared" si="240"/>
        <v>0</v>
      </c>
    </row>
    <row r="1396" spans="1:19" ht="97.5" hidden="1" customHeight="1">
      <c r="A1396" s="1693"/>
      <c r="B1396" s="1648">
        <f t="shared" si="236"/>
        <v>0</v>
      </c>
      <c r="C1396" s="1867" t="s">
        <v>6284</v>
      </c>
      <c r="D1396" s="1672">
        <v>775000</v>
      </c>
      <c r="E1396" s="1688" t="s">
        <v>1715</v>
      </c>
      <c r="F1396" s="1651"/>
      <c r="G1396" s="1648">
        <f t="shared" si="241"/>
        <v>0</v>
      </c>
      <c r="H1396" s="1648"/>
      <c r="I1396" s="1648">
        <f t="shared" si="242"/>
        <v>0</v>
      </c>
      <c r="J1396" s="1648"/>
      <c r="K1396" s="1648">
        <f t="shared" si="243"/>
        <v>0</v>
      </c>
      <c r="L1396" s="1648"/>
      <c r="M1396" s="1648">
        <f t="shared" si="244"/>
        <v>0</v>
      </c>
      <c r="N1396" s="1648">
        <f t="shared" si="246"/>
        <v>0</v>
      </c>
      <c r="O1396" s="1648">
        <f t="shared" si="245"/>
        <v>0</v>
      </c>
      <c r="P1396" s="1648">
        <f t="shared" si="237"/>
        <v>0</v>
      </c>
      <c r="Q1396" s="1648">
        <f t="shared" si="238"/>
        <v>0</v>
      </c>
      <c r="R1396" s="55">
        <f t="shared" si="239"/>
        <v>0</v>
      </c>
      <c r="S1396" s="55">
        <f t="shared" si="240"/>
        <v>0</v>
      </c>
    </row>
    <row r="1397" spans="1:19" ht="99.75" hidden="1" customHeight="1">
      <c r="A1397" s="1693"/>
      <c r="B1397" s="1648">
        <f t="shared" si="236"/>
        <v>0</v>
      </c>
      <c r="C1397" s="1865" t="s">
        <v>6285</v>
      </c>
      <c r="D1397" s="1672"/>
      <c r="E1397" s="1688"/>
      <c r="F1397" s="1651"/>
      <c r="G1397" s="1648">
        <f t="shared" si="241"/>
        <v>0</v>
      </c>
      <c r="H1397" s="1648"/>
      <c r="I1397" s="1648">
        <f t="shared" si="242"/>
        <v>0</v>
      </c>
      <c r="J1397" s="1648"/>
      <c r="K1397" s="1648">
        <f t="shared" si="243"/>
        <v>0</v>
      </c>
      <c r="L1397" s="1648"/>
      <c r="M1397" s="1648">
        <f t="shared" si="244"/>
        <v>0</v>
      </c>
      <c r="N1397" s="1648">
        <f t="shared" si="246"/>
        <v>0</v>
      </c>
      <c r="O1397" s="1648">
        <f t="shared" si="245"/>
        <v>0</v>
      </c>
      <c r="P1397" s="1648">
        <f t="shared" si="237"/>
        <v>0</v>
      </c>
      <c r="Q1397" s="1648">
        <f t="shared" si="238"/>
        <v>0</v>
      </c>
      <c r="R1397" s="55">
        <f t="shared" si="239"/>
        <v>0</v>
      </c>
      <c r="S1397" s="55">
        <f t="shared" si="240"/>
        <v>0</v>
      </c>
    </row>
    <row r="1398" spans="1:19" ht="205.5" hidden="1" customHeight="1">
      <c r="A1398" s="1693"/>
      <c r="B1398" s="1648">
        <f t="shared" si="236"/>
        <v>0</v>
      </c>
      <c r="C1398" s="1867" t="s">
        <v>6286</v>
      </c>
      <c r="D1398" s="1672">
        <v>7500</v>
      </c>
      <c r="E1398" s="1688" t="s">
        <v>727</v>
      </c>
      <c r="F1398" s="1651"/>
      <c r="G1398" s="1648">
        <f t="shared" si="241"/>
        <v>0</v>
      </c>
      <c r="H1398" s="1648"/>
      <c r="I1398" s="1648">
        <f t="shared" si="242"/>
        <v>0</v>
      </c>
      <c r="J1398" s="1648"/>
      <c r="K1398" s="1648">
        <f t="shared" si="243"/>
        <v>0</v>
      </c>
      <c r="L1398" s="1648"/>
      <c r="M1398" s="1648">
        <f t="shared" si="244"/>
        <v>0</v>
      </c>
      <c r="N1398" s="1648">
        <f t="shared" si="246"/>
        <v>0</v>
      </c>
      <c r="O1398" s="1648">
        <f t="shared" si="245"/>
        <v>0</v>
      </c>
      <c r="P1398" s="1648">
        <f t="shared" si="237"/>
        <v>0</v>
      </c>
      <c r="Q1398" s="1648">
        <f t="shared" si="238"/>
        <v>0</v>
      </c>
      <c r="R1398" s="55">
        <f t="shared" si="239"/>
        <v>0</v>
      </c>
      <c r="S1398" s="55">
        <f t="shared" si="240"/>
        <v>0</v>
      </c>
    </row>
    <row r="1399" spans="1:19" ht="97.5" hidden="1" customHeight="1">
      <c r="A1399" s="1693"/>
      <c r="B1399" s="1648">
        <f t="shared" si="236"/>
        <v>0</v>
      </c>
      <c r="C1399" s="1867" t="s">
        <v>6287</v>
      </c>
      <c r="D1399" s="1672">
        <v>2800</v>
      </c>
      <c r="E1399" s="1688" t="s">
        <v>727</v>
      </c>
      <c r="F1399" s="1651"/>
      <c r="G1399" s="1648">
        <f t="shared" si="241"/>
        <v>0</v>
      </c>
      <c r="H1399" s="1648"/>
      <c r="I1399" s="1648">
        <f t="shared" si="242"/>
        <v>0</v>
      </c>
      <c r="J1399" s="1648"/>
      <c r="K1399" s="1648">
        <f t="shared" si="243"/>
        <v>0</v>
      </c>
      <c r="L1399" s="1648"/>
      <c r="M1399" s="1648">
        <f t="shared" si="244"/>
        <v>0</v>
      </c>
      <c r="N1399" s="1648">
        <f t="shared" si="246"/>
        <v>0</v>
      </c>
      <c r="O1399" s="1648">
        <f t="shared" si="245"/>
        <v>0</v>
      </c>
      <c r="P1399" s="1648">
        <f t="shared" si="237"/>
        <v>0</v>
      </c>
      <c r="Q1399" s="1648">
        <f t="shared" si="238"/>
        <v>0</v>
      </c>
      <c r="R1399" s="55">
        <f t="shared" si="239"/>
        <v>0</v>
      </c>
      <c r="S1399" s="55">
        <f t="shared" si="240"/>
        <v>0</v>
      </c>
    </row>
    <row r="1400" spans="1:19" ht="142.5" hidden="1" customHeight="1">
      <c r="A1400" s="1693"/>
      <c r="B1400" s="1648">
        <f t="shared" si="236"/>
        <v>0</v>
      </c>
      <c r="C1400" s="1867" t="s">
        <v>6288</v>
      </c>
      <c r="D1400" s="1672">
        <v>27572</v>
      </c>
      <c r="E1400" s="1688" t="s">
        <v>727</v>
      </c>
      <c r="F1400" s="1651"/>
      <c r="G1400" s="1648">
        <f t="shared" si="241"/>
        <v>0</v>
      </c>
      <c r="H1400" s="1648"/>
      <c r="I1400" s="1648">
        <f t="shared" si="242"/>
        <v>0</v>
      </c>
      <c r="J1400" s="1648"/>
      <c r="K1400" s="1648">
        <f t="shared" si="243"/>
        <v>0</v>
      </c>
      <c r="L1400" s="1648"/>
      <c r="M1400" s="1648">
        <f t="shared" si="244"/>
        <v>0</v>
      </c>
      <c r="N1400" s="1648">
        <f t="shared" si="246"/>
        <v>0</v>
      </c>
      <c r="O1400" s="1648">
        <f t="shared" si="245"/>
        <v>0</v>
      </c>
      <c r="P1400" s="1648">
        <f t="shared" si="237"/>
        <v>0</v>
      </c>
      <c r="Q1400" s="1648">
        <f t="shared" si="238"/>
        <v>0</v>
      </c>
      <c r="R1400" s="55">
        <f t="shared" si="239"/>
        <v>0</v>
      </c>
      <c r="S1400" s="55">
        <f t="shared" si="240"/>
        <v>0</v>
      </c>
    </row>
    <row r="1401" spans="1:19" ht="126" hidden="1" customHeight="1">
      <c r="A1401" s="1693"/>
      <c r="B1401" s="1648">
        <f t="shared" si="236"/>
        <v>0</v>
      </c>
      <c r="C1401" s="1867" t="s">
        <v>6289</v>
      </c>
      <c r="D1401" s="1672">
        <v>37195</v>
      </c>
      <c r="E1401" s="1688" t="s">
        <v>727</v>
      </c>
      <c r="F1401" s="1651"/>
      <c r="G1401" s="1648">
        <f t="shared" si="241"/>
        <v>0</v>
      </c>
      <c r="H1401" s="1648"/>
      <c r="I1401" s="1648">
        <f t="shared" si="242"/>
        <v>0</v>
      </c>
      <c r="J1401" s="1648"/>
      <c r="K1401" s="1648">
        <f t="shared" si="243"/>
        <v>0</v>
      </c>
      <c r="L1401" s="1648"/>
      <c r="M1401" s="1648">
        <f t="shared" si="244"/>
        <v>0</v>
      </c>
      <c r="N1401" s="1648">
        <f t="shared" si="246"/>
        <v>0</v>
      </c>
      <c r="O1401" s="1648">
        <f t="shared" si="245"/>
        <v>0</v>
      </c>
      <c r="P1401" s="1648">
        <f t="shared" si="237"/>
        <v>0</v>
      </c>
      <c r="Q1401" s="1648">
        <f t="shared" si="238"/>
        <v>0</v>
      </c>
      <c r="R1401" s="55">
        <f t="shared" si="239"/>
        <v>0</v>
      </c>
      <c r="S1401" s="55">
        <f t="shared" si="240"/>
        <v>0</v>
      </c>
    </row>
    <row r="1402" spans="1:19" ht="97.5" hidden="1" customHeight="1">
      <c r="A1402" s="1693"/>
      <c r="B1402" s="1648">
        <f t="shared" si="236"/>
        <v>0</v>
      </c>
      <c r="C1402" s="1867" t="s">
        <v>6290</v>
      </c>
      <c r="D1402" s="1672">
        <v>136</v>
      </c>
      <c r="E1402" s="1688" t="s">
        <v>1774</v>
      </c>
      <c r="F1402" s="1651"/>
      <c r="G1402" s="1648">
        <f t="shared" si="241"/>
        <v>0</v>
      </c>
      <c r="H1402" s="1648"/>
      <c r="I1402" s="1648">
        <f t="shared" si="242"/>
        <v>0</v>
      </c>
      <c r="J1402" s="1648"/>
      <c r="K1402" s="1648">
        <f t="shared" si="243"/>
        <v>0</v>
      </c>
      <c r="L1402" s="1648"/>
      <c r="M1402" s="1648">
        <f t="shared" si="244"/>
        <v>0</v>
      </c>
      <c r="N1402" s="1648">
        <f t="shared" si="246"/>
        <v>0</v>
      </c>
      <c r="O1402" s="1648">
        <f t="shared" si="245"/>
        <v>0</v>
      </c>
      <c r="P1402" s="1648">
        <f t="shared" si="237"/>
        <v>0</v>
      </c>
      <c r="Q1402" s="1648">
        <f t="shared" si="238"/>
        <v>0</v>
      </c>
      <c r="R1402" s="55">
        <f t="shared" si="239"/>
        <v>0</v>
      </c>
      <c r="S1402" s="55">
        <f t="shared" si="240"/>
        <v>0</v>
      </c>
    </row>
    <row r="1403" spans="1:19" ht="97.5" hidden="1" customHeight="1">
      <c r="A1403" s="1693"/>
      <c r="B1403" s="1648">
        <f t="shared" si="236"/>
        <v>0</v>
      </c>
      <c r="C1403" s="1867" t="s">
        <v>6291</v>
      </c>
      <c r="D1403" s="1672">
        <v>4105</v>
      </c>
      <c r="E1403" s="1688" t="s">
        <v>6292</v>
      </c>
      <c r="F1403" s="1651"/>
      <c r="G1403" s="1648">
        <f t="shared" si="241"/>
        <v>0</v>
      </c>
      <c r="H1403" s="1648"/>
      <c r="I1403" s="1648">
        <f t="shared" si="242"/>
        <v>0</v>
      </c>
      <c r="J1403" s="1648"/>
      <c r="K1403" s="1648">
        <f t="shared" si="243"/>
        <v>0</v>
      </c>
      <c r="L1403" s="1648"/>
      <c r="M1403" s="1648">
        <f t="shared" si="244"/>
        <v>0</v>
      </c>
      <c r="N1403" s="1648">
        <f t="shared" si="246"/>
        <v>0</v>
      </c>
      <c r="O1403" s="1648">
        <f t="shared" si="245"/>
        <v>0</v>
      </c>
      <c r="P1403" s="1648">
        <f t="shared" si="237"/>
        <v>0</v>
      </c>
      <c r="Q1403" s="1648">
        <f t="shared" si="238"/>
        <v>0</v>
      </c>
      <c r="R1403" s="55">
        <f t="shared" si="239"/>
        <v>0</v>
      </c>
      <c r="S1403" s="55">
        <f t="shared" si="240"/>
        <v>0</v>
      </c>
    </row>
    <row r="1404" spans="1:19" ht="97.5" hidden="1" customHeight="1">
      <c r="A1404" s="1693"/>
      <c r="B1404" s="1648">
        <f t="shared" si="236"/>
        <v>0</v>
      </c>
      <c r="C1404" s="1867" t="s">
        <v>6293</v>
      </c>
      <c r="D1404" s="1672">
        <v>2820</v>
      </c>
      <c r="E1404" s="1688" t="s">
        <v>727</v>
      </c>
      <c r="F1404" s="1651"/>
      <c r="G1404" s="1648">
        <f t="shared" si="241"/>
        <v>0</v>
      </c>
      <c r="H1404" s="1648"/>
      <c r="I1404" s="1648">
        <f t="shared" si="242"/>
        <v>0</v>
      </c>
      <c r="J1404" s="1648"/>
      <c r="K1404" s="1648">
        <f t="shared" si="243"/>
        <v>0</v>
      </c>
      <c r="L1404" s="1648"/>
      <c r="M1404" s="1648">
        <f t="shared" si="244"/>
        <v>0</v>
      </c>
      <c r="N1404" s="1648">
        <f t="shared" si="246"/>
        <v>0</v>
      </c>
      <c r="O1404" s="1648">
        <f t="shared" si="245"/>
        <v>0</v>
      </c>
      <c r="P1404" s="1648">
        <f t="shared" si="237"/>
        <v>0</v>
      </c>
      <c r="Q1404" s="1648">
        <f t="shared" si="238"/>
        <v>0</v>
      </c>
      <c r="R1404" s="55">
        <f t="shared" si="239"/>
        <v>0</v>
      </c>
      <c r="S1404" s="55">
        <f t="shared" si="240"/>
        <v>0</v>
      </c>
    </row>
    <row r="1405" spans="1:19" ht="72" hidden="1" customHeight="1">
      <c r="A1405" s="1693"/>
      <c r="B1405" s="1648">
        <f t="shared" si="236"/>
        <v>0</v>
      </c>
      <c r="C1405" s="1865" t="s">
        <v>6294</v>
      </c>
      <c r="D1405" s="1672"/>
      <c r="E1405" s="1688"/>
      <c r="F1405" s="1651"/>
      <c r="G1405" s="1648">
        <f t="shared" si="241"/>
        <v>0</v>
      </c>
      <c r="H1405" s="1648"/>
      <c r="I1405" s="1648">
        <f t="shared" si="242"/>
        <v>0</v>
      </c>
      <c r="J1405" s="1648"/>
      <c r="K1405" s="1648">
        <f t="shared" si="243"/>
        <v>0</v>
      </c>
      <c r="L1405" s="1648"/>
      <c r="M1405" s="1648">
        <f t="shared" si="244"/>
        <v>0</v>
      </c>
      <c r="N1405" s="1648">
        <f t="shared" si="246"/>
        <v>0</v>
      </c>
      <c r="O1405" s="1648">
        <f t="shared" si="245"/>
        <v>0</v>
      </c>
      <c r="P1405" s="1648">
        <f t="shared" si="237"/>
        <v>0</v>
      </c>
      <c r="Q1405" s="1648">
        <f t="shared" si="238"/>
        <v>0</v>
      </c>
      <c r="R1405" s="55">
        <f t="shared" si="239"/>
        <v>0</v>
      </c>
      <c r="S1405" s="55">
        <f t="shared" si="240"/>
        <v>0</v>
      </c>
    </row>
    <row r="1406" spans="1:19" ht="159.75" hidden="1" customHeight="1">
      <c r="A1406" s="1693"/>
      <c r="B1406" s="1648">
        <f t="shared" si="236"/>
        <v>0</v>
      </c>
      <c r="C1406" s="1865" t="s">
        <v>6295</v>
      </c>
      <c r="D1406" s="1672"/>
      <c r="E1406" s="1688"/>
      <c r="F1406" s="1651"/>
      <c r="G1406" s="1648">
        <f t="shared" si="241"/>
        <v>0</v>
      </c>
      <c r="H1406" s="1648"/>
      <c r="I1406" s="1648">
        <f t="shared" si="242"/>
        <v>0</v>
      </c>
      <c r="J1406" s="1648"/>
      <c r="K1406" s="1648">
        <f t="shared" si="243"/>
        <v>0</v>
      </c>
      <c r="L1406" s="1648"/>
      <c r="M1406" s="1648">
        <f t="shared" si="244"/>
        <v>0</v>
      </c>
      <c r="N1406" s="1648">
        <f t="shared" si="246"/>
        <v>0</v>
      </c>
      <c r="O1406" s="1648">
        <f t="shared" si="245"/>
        <v>0</v>
      </c>
      <c r="P1406" s="1648">
        <f t="shared" si="237"/>
        <v>0</v>
      </c>
      <c r="Q1406" s="1648">
        <f t="shared" si="238"/>
        <v>0</v>
      </c>
      <c r="R1406" s="55">
        <f t="shared" si="239"/>
        <v>0</v>
      </c>
      <c r="S1406" s="55">
        <f t="shared" si="240"/>
        <v>0</v>
      </c>
    </row>
    <row r="1407" spans="1:19" ht="126" hidden="1" customHeight="1">
      <c r="A1407" s="1693"/>
      <c r="B1407" s="1648">
        <f t="shared" si="236"/>
        <v>0</v>
      </c>
      <c r="C1407" s="1867" t="s">
        <v>6296</v>
      </c>
      <c r="D1407" s="1672">
        <v>46132</v>
      </c>
      <c r="E1407" s="1703" t="s">
        <v>6297</v>
      </c>
      <c r="F1407" s="1651"/>
      <c r="G1407" s="1648">
        <f t="shared" si="241"/>
        <v>0</v>
      </c>
      <c r="H1407" s="1648"/>
      <c r="I1407" s="1648">
        <f t="shared" si="242"/>
        <v>0</v>
      </c>
      <c r="J1407" s="1648"/>
      <c r="K1407" s="1648">
        <f t="shared" si="243"/>
        <v>0</v>
      </c>
      <c r="L1407" s="1648"/>
      <c r="M1407" s="1648">
        <f t="shared" si="244"/>
        <v>0</v>
      </c>
      <c r="N1407" s="1648">
        <f t="shared" si="246"/>
        <v>0</v>
      </c>
      <c r="O1407" s="1648">
        <f t="shared" si="245"/>
        <v>0</v>
      </c>
      <c r="P1407" s="1648">
        <f t="shared" si="237"/>
        <v>0</v>
      </c>
      <c r="Q1407" s="1648">
        <f t="shared" si="238"/>
        <v>0</v>
      </c>
      <c r="R1407" s="55">
        <f t="shared" si="239"/>
        <v>0</v>
      </c>
      <c r="S1407" s="55">
        <f t="shared" si="240"/>
        <v>0</v>
      </c>
    </row>
    <row r="1408" spans="1:19" ht="180" hidden="1" customHeight="1">
      <c r="A1408" s="1693"/>
      <c r="B1408" s="1648">
        <f t="shared" si="236"/>
        <v>0</v>
      </c>
      <c r="C1408" s="1867" t="s">
        <v>6298</v>
      </c>
      <c r="D1408" s="1672">
        <v>34959</v>
      </c>
      <c r="E1408" s="1703" t="s">
        <v>6299</v>
      </c>
      <c r="F1408" s="1651"/>
      <c r="G1408" s="1648">
        <f t="shared" si="241"/>
        <v>0</v>
      </c>
      <c r="H1408" s="1648"/>
      <c r="I1408" s="1648">
        <f t="shared" si="242"/>
        <v>0</v>
      </c>
      <c r="J1408" s="1648"/>
      <c r="K1408" s="1648">
        <f t="shared" si="243"/>
        <v>0</v>
      </c>
      <c r="L1408" s="1648"/>
      <c r="M1408" s="1648">
        <f t="shared" si="244"/>
        <v>0</v>
      </c>
      <c r="N1408" s="1648">
        <f t="shared" si="246"/>
        <v>0</v>
      </c>
      <c r="O1408" s="1648">
        <f t="shared" si="245"/>
        <v>0</v>
      </c>
      <c r="P1408" s="1648">
        <f t="shared" si="237"/>
        <v>0</v>
      </c>
      <c r="Q1408" s="1648">
        <f t="shared" si="238"/>
        <v>0</v>
      </c>
      <c r="R1408" s="55">
        <f t="shared" si="239"/>
        <v>0</v>
      </c>
      <c r="S1408" s="55">
        <f t="shared" si="240"/>
        <v>0</v>
      </c>
    </row>
    <row r="1409" spans="1:19" ht="137.25" hidden="1" customHeight="1">
      <c r="A1409" s="1693"/>
      <c r="B1409" s="1648">
        <f t="shared" si="236"/>
        <v>0</v>
      </c>
      <c r="C1409" s="1867" t="s">
        <v>6300</v>
      </c>
      <c r="D1409" s="1672">
        <v>1900</v>
      </c>
      <c r="E1409" s="1703" t="s">
        <v>727</v>
      </c>
      <c r="F1409" s="1651"/>
      <c r="G1409" s="1648">
        <f t="shared" si="241"/>
        <v>0</v>
      </c>
      <c r="H1409" s="1648"/>
      <c r="I1409" s="1648">
        <f t="shared" si="242"/>
        <v>0</v>
      </c>
      <c r="J1409" s="1648"/>
      <c r="K1409" s="1648">
        <f t="shared" si="243"/>
        <v>0</v>
      </c>
      <c r="L1409" s="1648"/>
      <c r="M1409" s="1648">
        <f t="shared" si="244"/>
        <v>0</v>
      </c>
      <c r="N1409" s="1648">
        <f t="shared" si="246"/>
        <v>0</v>
      </c>
      <c r="O1409" s="1648">
        <f t="shared" si="245"/>
        <v>0</v>
      </c>
      <c r="P1409" s="1648">
        <f t="shared" si="237"/>
        <v>0</v>
      </c>
      <c r="Q1409" s="1648">
        <f t="shared" si="238"/>
        <v>0</v>
      </c>
      <c r="R1409" s="55">
        <f t="shared" si="239"/>
        <v>0</v>
      </c>
      <c r="S1409" s="55">
        <f t="shared" si="240"/>
        <v>0</v>
      </c>
    </row>
    <row r="1410" spans="1:19" ht="138.75" hidden="1" customHeight="1">
      <c r="A1410" s="1693"/>
      <c r="B1410" s="1648">
        <f t="shared" si="236"/>
        <v>0</v>
      </c>
      <c r="C1410" s="1867" t="s">
        <v>6301</v>
      </c>
      <c r="D1410" s="1672">
        <v>8939</v>
      </c>
      <c r="E1410" s="1703" t="s">
        <v>727</v>
      </c>
      <c r="F1410" s="1651"/>
      <c r="G1410" s="1648">
        <f t="shared" si="241"/>
        <v>0</v>
      </c>
      <c r="H1410" s="1648"/>
      <c r="I1410" s="1648">
        <f t="shared" si="242"/>
        <v>0</v>
      </c>
      <c r="J1410" s="1648"/>
      <c r="K1410" s="1648">
        <f t="shared" si="243"/>
        <v>0</v>
      </c>
      <c r="L1410" s="1648"/>
      <c r="M1410" s="1648">
        <f t="shared" si="244"/>
        <v>0</v>
      </c>
      <c r="N1410" s="1648">
        <f t="shared" si="246"/>
        <v>0</v>
      </c>
      <c r="O1410" s="1648">
        <f t="shared" si="245"/>
        <v>0</v>
      </c>
      <c r="P1410" s="1648">
        <f t="shared" si="237"/>
        <v>0</v>
      </c>
      <c r="Q1410" s="1648">
        <f t="shared" si="238"/>
        <v>0</v>
      </c>
      <c r="R1410" s="55">
        <f t="shared" si="239"/>
        <v>0</v>
      </c>
      <c r="S1410" s="55">
        <f t="shared" si="240"/>
        <v>0</v>
      </c>
    </row>
    <row r="1411" spans="1:19" ht="183" hidden="1" customHeight="1">
      <c r="A1411" s="1693"/>
      <c r="B1411" s="1648">
        <f t="shared" si="236"/>
        <v>0</v>
      </c>
      <c r="C1411" s="1867" t="s">
        <v>6302</v>
      </c>
      <c r="D1411" s="1672">
        <v>26856</v>
      </c>
      <c r="E1411" s="1703" t="s">
        <v>1715</v>
      </c>
      <c r="F1411" s="1651"/>
      <c r="G1411" s="1648">
        <f t="shared" si="241"/>
        <v>0</v>
      </c>
      <c r="H1411" s="1648"/>
      <c r="I1411" s="1648">
        <f t="shared" si="242"/>
        <v>0</v>
      </c>
      <c r="J1411" s="1648"/>
      <c r="K1411" s="1648">
        <f t="shared" si="243"/>
        <v>0</v>
      </c>
      <c r="L1411" s="1648"/>
      <c r="M1411" s="1648">
        <f t="shared" si="244"/>
        <v>0</v>
      </c>
      <c r="N1411" s="1648">
        <f t="shared" si="246"/>
        <v>0</v>
      </c>
      <c r="O1411" s="1648">
        <f t="shared" si="245"/>
        <v>0</v>
      </c>
      <c r="P1411" s="1648">
        <f t="shared" si="237"/>
        <v>0</v>
      </c>
      <c r="Q1411" s="1648">
        <f t="shared" si="238"/>
        <v>0</v>
      </c>
      <c r="R1411" s="55">
        <f t="shared" si="239"/>
        <v>0</v>
      </c>
      <c r="S1411" s="55">
        <f t="shared" si="240"/>
        <v>0</v>
      </c>
    </row>
    <row r="1412" spans="1:19" ht="66" hidden="1" customHeight="1">
      <c r="A1412" s="1693"/>
      <c r="B1412" s="1648">
        <f t="shared" si="236"/>
        <v>0</v>
      </c>
      <c r="C1412" s="1865" t="s">
        <v>6303</v>
      </c>
      <c r="D1412" s="1672"/>
      <c r="E1412" s="1703"/>
      <c r="F1412" s="1651"/>
      <c r="G1412" s="1648">
        <f t="shared" si="241"/>
        <v>0</v>
      </c>
      <c r="H1412" s="1648"/>
      <c r="I1412" s="1648">
        <f t="shared" si="242"/>
        <v>0</v>
      </c>
      <c r="J1412" s="1648"/>
      <c r="K1412" s="1648">
        <f t="shared" si="243"/>
        <v>0</v>
      </c>
      <c r="L1412" s="1648"/>
      <c r="M1412" s="1648">
        <f t="shared" si="244"/>
        <v>0</v>
      </c>
      <c r="N1412" s="1648">
        <f t="shared" si="246"/>
        <v>0</v>
      </c>
      <c r="O1412" s="1648">
        <f t="shared" si="245"/>
        <v>0</v>
      </c>
      <c r="P1412" s="1648">
        <f t="shared" si="237"/>
        <v>0</v>
      </c>
      <c r="Q1412" s="1648">
        <f t="shared" si="238"/>
        <v>0</v>
      </c>
      <c r="R1412" s="55">
        <f t="shared" si="239"/>
        <v>0</v>
      </c>
      <c r="S1412" s="55">
        <f t="shared" si="240"/>
        <v>0</v>
      </c>
    </row>
    <row r="1413" spans="1:19" ht="181.5" hidden="1" customHeight="1">
      <c r="A1413" s="1693"/>
      <c r="B1413" s="1648">
        <f t="shared" si="236"/>
        <v>0</v>
      </c>
      <c r="C1413" s="1867" t="s">
        <v>6304</v>
      </c>
      <c r="D1413" s="1672">
        <v>101</v>
      </c>
      <c r="E1413" s="1703" t="s">
        <v>1774</v>
      </c>
      <c r="F1413" s="1651"/>
      <c r="G1413" s="1648">
        <f t="shared" si="241"/>
        <v>0</v>
      </c>
      <c r="H1413" s="1648"/>
      <c r="I1413" s="1648">
        <f t="shared" si="242"/>
        <v>0</v>
      </c>
      <c r="J1413" s="1648"/>
      <c r="K1413" s="1648">
        <f t="shared" si="243"/>
        <v>0</v>
      </c>
      <c r="L1413" s="1648"/>
      <c r="M1413" s="1648">
        <f t="shared" si="244"/>
        <v>0</v>
      </c>
      <c r="N1413" s="1648">
        <f t="shared" si="246"/>
        <v>0</v>
      </c>
      <c r="O1413" s="1648">
        <f t="shared" si="245"/>
        <v>0</v>
      </c>
      <c r="P1413" s="1648">
        <f t="shared" si="237"/>
        <v>0</v>
      </c>
      <c r="Q1413" s="1648">
        <f t="shared" si="238"/>
        <v>0</v>
      </c>
      <c r="R1413" s="55">
        <f t="shared" si="239"/>
        <v>0</v>
      </c>
      <c r="S1413" s="55">
        <f t="shared" si="240"/>
        <v>0</v>
      </c>
    </row>
    <row r="1414" spans="1:19" ht="68.25" hidden="1" customHeight="1">
      <c r="A1414" s="1693"/>
      <c r="B1414" s="1648">
        <f t="shared" ref="B1414:B1465" si="247">P1414</f>
        <v>0</v>
      </c>
      <c r="C1414" s="1865" t="s">
        <v>6305</v>
      </c>
      <c r="D1414" s="1672"/>
      <c r="E1414" s="1703"/>
      <c r="F1414" s="1651"/>
      <c r="G1414" s="1648">
        <f t="shared" si="241"/>
        <v>0</v>
      </c>
      <c r="H1414" s="1648"/>
      <c r="I1414" s="1648">
        <f t="shared" si="242"/>
        <v>0</v>
      </c>
      <c r="J1414" s="1648"/>
      <c r="K1414" s="1648">
        <f t="shared" si="243"/>
        <v>0</v>
      </c>
      <c r="L1414" s="1648"/>
      <c r="M1414" s="1648">
        <f t="shared" si="244"/>
        <v>0</v>
      </c>
      <c r="N1414" s="1648">
        <f t="shared" si="246"/>
        <v>0</v>
      </c>
      <c r="O1414" s="1648">
        <f t="shared" si="245"/>
        <v>0</v>
      </c>
      <c r="P1414" s="1648">
        <f t="shared" ref="P1414:P1465" si="248">N1414+F1414</f>
        <v>0</v>
      </c>
      <c r="Q1414" s="1648">
        <f t="shared" ref="Q1414:Q1465" si="249">P1414*D1414</f>
        <v>0</v>
      </c>
      <c r="R1414" s="55">
        <f t="shared" ref="R1414:R1466" si="250">G1414+I1414+K1414+M1414</f>
        <v>0</v>
      </c>
      <c r="S1414" s="55">
        <f t="shared" ref="S1414:S1466" si="251">Q1414-R1414</f>
        <v>0</v>
      </c>
    </row>
    <row r="1415" spans="1:19" ht="150.75" hidden="1" customHeight="1">
      <c r="A1415" s="1693"/>
      <c r="B1415" s="1648">
        <f t="shared" si="247"/>
        <v>0</v>
      </c>
      <c r="C1415" s="1867" t="s">
        <v>6306</v>
      </c>
      <c r="D1415" s="1672">
        <v>85000</v>
      </c>
      <c r="E1415" s="1703" t="s">
        <v>729</v>
      </c>
      <c r="F1415" s="1651"/>
      <c r="G1415" s="1648">
        <f t="shared" ref="G1415:G1465" si="252">F1415*D1415</f>
        <v>0</v>
      </c>
      <c r="H1415" s="1648"/>
      <c r="I1415" s="1648">
        <f t="shared" ref="I1415:I1465" si="253">H1415*D1415</f>
        <v>0</v>
      </c>
      <c r="J1415" s="1648"/>
      <c r="K1415" s="1648">
        <f t="shared" ref="K1415:K1465" si="254">J1415*D1415</f>
        <v>0</v>
      </c>
      <c r="L1415" s="1648"/>
      <c r="M1415" s="1648">
        <f t="shared" ref="M1415:M1465" si="255">L1415*D1415</f>
        <v>0</v>
      </c>
      <c r="N1415" s="1648">
        <f t="shared" si="246"/>
        <v>0</v>
      </c>
      <c r="O1415" s="1648">
        <f t="shared" ref="O1415:O1465" si="256">N1415*D1415</f>
        <v>0</v>
      </c>
      <c r="P1415" s="1648">
        <f t="shared" si="248"/>
        <v>0</v>
      </c>
      <c r="Q1415" s="1648">
        <f t="shared" si="249"/>
        <v>0</v>
      </c>
      <c r="R1415" s="55">
        <f t="shared" si="250"/>
        <v>0</v>
      </c>
      <c r="S1415" s="55">
        <f t="shared" si="251"/>
        <v>0</v>
      </c>
    </row>
    <row r="1416" spans="1:19" ht="110.25" hidden="1" customHeight="1">
      <c r="A1416" s="1693"/>
      <c r="B1416" s="1648">
        <f t="shared" si="247"/>
        <v>0</v>
      </c>
      <c r="C1416" s="1867" t="s">
        <v>6307</v>
      </c>
      <c r="D1416" s="1672">
        <v>15000</v>
      </c>
      <c r="E1416" s="1703" t="s">
        <v>729</v>
      </c>
      <c r="F1416" s="1651"/>
      <c r="G1416" s="1648">
        <f t="shared" si="252"/>
        <v>0</v>
      </c>
      <c r="H1416" s="1648"/>
      <c r="I1416" s="1648">
        <f t="shared" si="253"/>
        <v>0</v>
      </c>
      <c r="J1416" s="1648"/>
      <c r="K1416" s="1648">
        <f t="shared" si="254"/>
        <v>0</v>
      </c>
      <c r="L1416" s="1648"/>
      <c r="M1416" s="1648">
        <f t="shared" si="255"/>
        <v>0</v>
      </c>
      <c r="N1416" s="1648">
        <f t="shared" si="246"/>
        <v>0</v>
      </c>
      <c r="O1416" s="1648">
        <f t="shared" si="256"/>
        <v>0</v>
      </c>
      <c r="P1416" s="1648">
        <f t="shared" si="248"/>
        <v>0</v>
      </c>
      <c r="Q1416" s="1648">
        <f t="shared" si="249"/>
        <v>0</v>
      </c>
      <c r="R1416" s="55">
        <f t="shared" si="250"/>
        <v>0</v>
      </c>
      <c r="S1416" s="55">
        <f t="shared" si="251"/>
        <v>0</v>
      </c>
    </row>
    <row r="1417" spans="1:19" ht="93" hidden="1" customHeight="1">
      <c r="A1417" s="1693"/>
      <c r="B1417" s="1648">
        <f t="shared" si="247"/>
        <v>0</v>
      </c>
      <c r="C1417" s="1867" t="s">
        <v>6308</v>
      </c>
      <c r="D1417" s="1672">
        <v>555</v>
      </c>
      <c r="E1417" s="1703" t="s">
        <v>13</v>
      </c>
      <c r="F1417" s="1651"/>
      <c r="G1417" s="1648">
        <f t="shared" si="252"/>
        <v>0</v>
      </c>
      <c r="H1417" s="1648"/>
      <c r="I1417" s="1648">
        <f t="shared" si="253"/>
        <v>0</v>
      </c>
      <c r="J1417" s="1648"/>
      <c r="K1417" s="1648">
        <f t="shared" si="254"/>
        <v>0</v>
      </c>
      <c r="L1417" s="1648"/>
      <c r="M1417" s="1648">
        <f t="shared" si="255"/>
        <v>0</v>
      </c>
      <c r="N1417" s="1648">
        <f t="shared" si="246"/>
        <v>0</v>
      </c>
      <c r="O1417" s="1648">
        <f t="shared" si="256"/>
        <v>0</v>
      </c>
      <c r="P1417" s="1648">
        <f t="shared" si="248"/>
        <v>0</v>
      </c>
      <c r="Q1417" s="1648">
        <f t="shared" si="249"/>
        <v>0</v>
      </c>
      <c r="R1417" s="55">
        <f t="shared" si="250"/>
        <v>0</v>
      </c>
      <c r="S1417" s="55">
        <f t="shared" si="251"/>
        <v>0</v>
      </c>
    </row>
    <row r="1418" spans="1:19" ht="105.75" hidden="1" customHeight="1">
      <c r="A1418" s="1693"/>
      <c r="B1418" s="1648">
        <f t="shared" si="247"/>
        <v>0</v>
      </c>
      <c r="C1418" s="1867" t="s">
        <v>6309</v>
      </c>
      <c r="D1418" s="1672">
        <v>5500</v>
      </c>
      <c r="E1418" s="1703" t="s">
        <v>41</v>
      </c>
      <c r="F1418" s="1651"/>
      <c r="G1418" s="1648">
        <f t="shared" si="252"/>
        <v>0</v>
      </c>
      <c r="H1418" s="1648"/>
      <c r="I1418" s="1648">
        <f t="shared" si="253"/>
        <v>0</v>
      </c>
      <c r="J1418" s="1648"/>
      <c r="K1418" s="1648">
        <f t="shared" si="254"/>
        <v>0</v>
      </c>
      <c r="L1418" s="1648"/>
      <c r="M1418" s="1648">
        <f t="shared" si="255"/>
        <v>0</v>
      </c>
      <c r="N1418" s="1648">
        <f t="shared" si="246"/>
        <v>0</v>
      </c>
      <c r="O1418" s="1648">
        <f t="shared" si="256"/>
        <v>0</v>
      </c>
      <c r="P1418" s="1648">
        <f t="shared" si="248"/>
        <v>0</v>
      </c>
      <c r="Q1418" s="1648">
        <f t="shared" si="249"/>
        <v>0</v>
      </c>
      <c r="R1418" s="55">
        <f t="shared" si="250"/>
        <v>0</v>
      </c>
      <c r="S1418" s="55">
        <f t="shared" si="251"/>
        <v>0</v>
      </c>
    </row>
    <row r="1419" spans="1:19" ht="75.75" hidden="1" customHeight="1">
      <c r="A1419" s="1693"/>
      <c r="B1419" s="1648">
        <f t="shared" si="247"/>
        <v>0</v>
      </c>
      <c r="C1419" s="1867" t="s">
        <v>6310</v>
      </c>
      <c r="D1419" s="1672">
        <v>5000</v>
      </c>
      <c r="E1419" s="1703" t="s">
        <v>729</v>
      </c>
      <c r="F1419" s="1651"/>
      <c r="G1419" s="1648">
        <f t="shared" si="252"/>
        <v>0</v>
      </c>
      <c r="H1419" s="1648"/>
      <c r="I1419" s="1648">
        <f t="shared" si="253"/>
        <v>0</v>
      </c>
      <c r="J1419" s="1648"/>
      <c r="K1419" s="1648">
        <f t="shared" si="254"/>
        <v>0</v>
      </c>
      <c r="L1419" s="1648"/>
      <c r="M1419" s="1648">
        <f t="shared" si="255"/>
        <v>0</v>
      </c>
      <c r="N1419" s="1648">
        <f t="shared" si="246"/>
        <v>0</v>
      </c>
      <c r="O1419" s="1648">
        <f t="shared" si="256"/>
        <v>0</v>
      </c>
      <c r="P1419" s="1648">
        <f t="shared" si="248"/>
        <v>0</v>
      </c>
      <c r="Q1419" s="1648">
        <f t="shared" si="249"/>
        <v>0</v>
      </c>
      <c r="R1419" s="55">
        <f t="shared" si="250"/>
        <v>0</v>
      </c>
      <c r="S1419" s="55">
        <f t="shared" si="251"/>
        <v>0</v>
      </c>
    </row>
    <row r="1420" spans="1:19" ht="75.75" hidden="1" customHeight="1">
      <c r="A1420" s="1693"/>
      <c r="B1420" s="1648">
        <f t="shared" si="247"/>
        <v>0</v>
      </c>
      <c r="C1420" s="1867" t="s">
        <v>6311</v>
      </c>
      <c r="D1420" s="1672">
        <v>1200</v>
      </c>
      <c r="E1420" s="1703" t="s">
        <v>13</v>
      </c>
      <c r="F1420" s="1651"/>
      <c r="G1420" s="1648">
        <f t="shared" si="252"/>
        <v>0</v>
      </c>
      <c r="H1420" s="1648"/>
      <c r="I1420" s="1648">
        <f t="shared" si="253"/>
        <v>0</v>
      </c>
      <c r="J1420" s="1648"/>
      <c r="K1420" s="1648">
        <f t="shared" si="254"/>
        <v>0</v>
      </c>
      <c r="L1420" s="1648"/>
      <c r="M1420" s="1648">
        <f t="shared" si="255"/>
        <v>0</v>
      </c>
      <c r="N1420" s="1648">
        <f t="shared" si="246"/>
        <v>0</v>
      </c>
      <c r="O1420" s="1648">
        <f t="shared" si="256"/>
        <v>0</v>
      </c>
      <c r="P1420" s="1648">
        <f t="shared" si="248"/>
        <v>0</v>
      </c>
      <c r="Q1420" s="1648">
        <f t="shared" si="249"/>
        <v>0</v>
      </c>
      <c r="R1420" s="55">
        <f t="shared" si="250"/>
        <v>0</v>
      </c>
      <c r="S1420" s="55">
        <f t="shared" si="251"/>
        <v>0</v>
      </c>
    </row>
    <row r="1421" spans="1:19" ht="75.75" hidden="1" customHeight="1">
      <c r="A1421" s="1693"/>
      <c r="B1421" s="1648">
        <f t="shared" si="247"/>
        <v>0</v>
      </c>
      <c r="C1421" s="1867" t="s">
        <v>6312</v>
      </c>
      <c r="D1421" s="1672">
        <v>12800</v>
      </c>
      <c r="E1421" s="1703" t="s">
        <v>729</v>
      </c>
      <c r="F1421" s="1651"/>
      <c r="G1421" s="1648">
        <f t="shared" si="252"/>
        <v>0</v>
      </c>
      <c r="H1421" s="1648"/>
      <c r="I1421" s="1648">
        <f t="shared" si="253"/>
        <v>0</v>
      </c>
      <c r="J1421" s="1648"/>
      <c r="K1421" s="1648">
        <f t="shared" si="254"/>
        <v>0</v>
      </c>
      <c r="L1421" s="1648"/>
      <c r="M1421" s="1648">
        <f t="shared" si="255"/>
        <v>0</v>
      </c>
      <c r="N1421" s="1648">
        <f t="shared" si="246"/>
        <v>0</v>
      </c>
      <c r="O1421" s="1648">
        <f t="shared" si="256"/>
        <v>0</v>
      </c>
      <c r="P1421" s="1648">
        <f t="shared" si="248"/>
        <v>0</v>
      </c>
      <c r="Q1421" s="1648">
        <f t="shared" si="249"/>
        <v>0</v>
      </c>
      <c r="R1421" s="55">
        <f t="shared" si="250"/>
        <v>0</v>
      </c>
      <c r="S1421" s="55">
        <f t="shared" si="251"/>
        <v>0</v>
      </c>
    </row>
    <row r="1422" spans="1:19" ht="75.75" hidden="1" customHeight="1">
      <c r="A1422" s="1693"/>
      <c r="B1422" s="1648">
        <f t="shared" si="247"/>
        <v>0</v>
      </c>
      <c r="C1422" s="1867" t="s">
        <v>6313</v>
      </c>
      <c r="D1422" s="1672">
        <v>12000</v>
      </c>
      <c r="E1422" s="1703" t="s">
        <v>1715</v>
      </c>
      <c r="F1422" s="1651"/>
      <c r="G1422" s="1648">
        <f t="shared" si="252"/>
        <v>0</v>
      </c>
      <c r="H1422" s="1648"/>
      <c r="I1422" s="1648">
        <f t="shared" si="253"/>
        <v>0</v>
      </c>
      <c r="J1422" s="1648"/>
      <c r="K1422" s="1648">
        <f t="shared" si="254"/>
        <v>0</v>
      </c>
      <c r="L1422" s="1648"/>
      <c r="M1422" s="1648">
        <f t="shared" si="255"/>
        <v>0</v>
      </c>
      <c r="N1422" s="1648">
        <f t="shared" si="246"/>
        <v>0</v>
      </c>
      <c r="O1422" s="1648">
        <f t="shared" si="256"/>
        <v>0</v>
      </c>
      <c r="P1422" s="1648">
        <f t="shared" si="248"/>
        <v>0</v>
      </c>
      <c r="Q1422" s="1648">
        <f t="shared" si="249"/>
        <v>0</v>
      </c>
      <c r="R1422" s="55">
        <f t="shared" si="250"/>
        <v>0</v>
      </c>
      <c r="S1422" s="55">
        <f t="shared" si="251"/>
        <v>0</v>
      </c>
    </row>
    <row r="1423" spans="1:19" ht="75.75" hidden="1" customHeight="1">
      <c r="A1423" s="1693"/>
      <c r="B1423" s="1648">
        <f t="shared" si="247"/>
        <v>0</v>
      </c>
      <c r="C1423" s="1867" t="s">
        <v>6314</v>
      </c>
      <c r="D1423" s="1672">
        <v>7000</v>
      </c>
      <c r="E1423" s="1703" t="s">
        <v>1715</v>
      </c>
      <c r="F1423" s="1651"/>
      <c r="G1423" s="1648">
        <f t="shared" si="252"/>
        <v>0</v>
      </c>
      <c r="H1423" s="1648"/>
      <c r="I1423" s="1648">
        <f t="shared" si="253"/>
        <v>0</v>
      </c>
      <c r="J1423" s="1648"/>
      <c r="K1423" s="1648">
        <f t="shared" si="254"/>
        <v>0</v>
      </c>
      <c r="L1423" s="1648"/>
      <c r="M1423" s="1648">
        <f t="shared" si="255"/>
        <v>0</v>
      </c>
      <c r="N1423" s="1648">
        <f t="shared" si="246"/>
        <v>0</v>
      </c>
      <c r="O1423" s="1648">
        <f t="shared" si="256"/>
        <v>0</v>
      </c>
      <c r="P1423" s="1648">
        <f t="shared" si="248"/>
        <v>0</v>
      </c>
      <c r="Q1423" s="1648">
        <f t="shared" si="249"/>
        <v>0</v>
      </c>
      <c r="R1423" s="55">
        <f t="shared" si="250"/>
        <v>0</v>
      </c>
      <c r="S1423" s="55">
        <f t="shared" si="251"/>
        <v>0</v>
      </c>
    </row>
    <row r="1424" spans="1:19" ht="75.75" hidden="1" customHeight="1">
      <c r="A1424" s="1693"/>
      <c r="B1424" s="1648">
        <f t="shared" si="247"/>
        <v>0</v>
      </c>
      <c r="C1424" s="1867" t="s">
        <v>6315</v>
      </c>
      <c r="D1424" s="1672">
        <v>1200</v>
      </c>
      <c r="E1424" s="1703" t="s">
        <v>729</v>
      </c>
      <c r="F1424" s="1651"/>
      <c r="G1424" s="1648">
        <f t="shared" si="252"/>
        <v>0</v>
      </c>
      <c r="H1424" s="1648"/>
      <c r="I1424" s="1648">
        <f t="shared" si="253"/>
        <v>0</v>
      </c>
      <c r="J1424" s="1648"/>
      <c r="K1424" s="1648">
        <f t="shared" si="254"/>
        <v>0</v>
      </c>
      <c r="L1424" s="1648"/>
      <c r="M1424" s="1648">
        <f t="shared" si="255"/>
        <v>0</v>
      </c>
      <c r="N1424" s="1648">
        <f t="shared" ref="N1424:N1465" si="257">H1424+J1424+L1424</f>
        <v>0</v>
      </c>
      <c r="O1424" s="1648">
        <f t="shared" si="256"/>
        <v>0</v>
      </c>
      <c r="P1424" s="1648">
        <f t="shared" si="248"/>
        <v>0</v>
      </c>
      <c r="Q1424" s="1648">
        <f t="shared" si="249"/>
        <v>0</v>
      </c>
      <c r="R1424" s="55">
        <f t="shared" si="250"/>
        <v>0</v>
      </c>
      <c r="S1424" s="55">
        <f t="shared" si="251"/>
        <v>0</v>
      </c>
    </row>
    <row r="1425" spans="1:19" ht="132" hidden="1" customHeight="1">
      <c r="A1425" s="1693"/>
      <c r="B1425" s="1648">
        <f t="shared" si="247"/>
        <v>0</v>
      </c>
      <c r="C1425" s="1867" t="s">
        <v>6316</v>
      </c>
      <c r="D1425" s="1672">
        <v>4500</v>
      </c>
      <c r="E1425" s="1703" t="s">
        <v>729</v>
      </c>
      <c r="F1425" s="1651"/>
      <c r="G1425" s="1648">
        <f t="shared" si="252"/>
        <v>0</v>
      </c>
      <c r="H1425" s="1648"/>
      <c r="I1425" s="1648">
        <f t="shared" si="253"/>
        <v>0</v>
      </c>
      <c r="J1425" s="1648"/>
      <c r="K1425" s="1648">
        <f t="shared" si="254"/>
        <v>0</v>
      </c>
      <c r="L1425" s="1648"/>
      <c r="M1425" s="1648">
        <f t="shared" si="255"/>
        <v>0</v>
      </c>
      <c r="N1425" s="1648">
        <f t="shared" si="257"/>
        <v>0</v>
      </c>
      <c r="O1425" s="1648">
        <f t="shared" si="256"/>
        <v>0</v>
      </c>
      <c r="P1425" s="1648">
        <f t="shared" si="248"/>
        <v>0</v>
      </c>
      <c r="Q1425" s="1648">
        <f t="shared" si="249"/>
        <v>0</v>
      </c>
      <c r="R1425" s="55">
        <f t="shared" si="250"/>
        <v>0</v>
      </c>
      <c r="S1425" s="55">
        <f t="shared" si="251"/>
        <v>0</v>
      </c>
    </row>
    <row r="1426" spans="1:19" ht="156.75" hidden="1" customHeight="1">
      <c r="A1426" s="1693"/>
      <c r="B1426" s="1648">
        <f t="shared" si="247"/>
        <v>0</v>
      </c>
      <c r="C1426" s="1867" t="s">
        <v>6317</v>
      </c>
      <c r="D1426" s="1672">
        <v>77000</v>
      </c>
      <c r="E1426" s="1703" t="s">
        <v>41</v>
      </c>
      <c r="F1426" s="1651"/>
      <c r="G1426" s="1648">
        <f t="shared" si="252"/>
        <v>0</v>
      </c>
      <c r="H1426" s="1648"/>
      <c r="I1426" s="1648">
        <f t="shared" si="253"/>
        <v>0</v>
      </c>
      <c r="J1426" s="1648"/>
      <c r="K1426" s="1648">
        <f t="shared" si="254"/>
        <v>0</v>
      </c>
      <c r="L1426" s="1648"/>
      <c r="M1426" s="1648">
        <f t="shared" si="255"/>
        <v>0</v>
      </c>
      <c r="N1426" s="1648">
        <f t="shared" si="257"/>
        <v>0</v>
      </c>
      <c r="O1426" s="1648">
        <f t="shared" si="256"/>
        <v>0</v>
      </c>
      <c r="P1426" s="1648">
        <f t="shared" si="248"/>
        <v>0</v>
      </c>
      <c r="Q1426" s="1648">
        <f t="shared" si="249"/>
        <v>0</v>
      </c>
      <c r="R1426" s="55">
        <f t="shared" si="250"/>
        <v>0</v>
      </c>
      <c r="S1426" s="55">
        <f t="shared" si="251"/>
        <v>0</v>
      </c>
    </row>
    <row r="1427" spans="1:19" ht="75.75" hidden="1" customHeight="1">
      <c r="A1427" s="1693"/>
      <c r="B1427" s="1648">
        <f t="shared" si="247"/>
        <v>0</v>
      </c>
      <c r="C1427" s="1867" t="s">
        <v>6318</v>
      </c>
      <c r="D1427" s="1672">
        <v>1700</v>
      </c>
      <c r="E1427" s="1703" t="s">
        <v>41</v>
      </c>
      <c r="F1427" s="1651"/>
      <c r="G1427" s="1648">
        <f t="shared" si="252"/>
        <v>0</v>
      </c>
      <c r="H1427" s="1648"/>
      <c r="I1427" s="1648">
        <f t="shared" si="253"/>
        <v>0</v>
      </c>
      <c r="J1427" s="1648"/>
      <c r="K1427" s="1648">
        <f t="shared" si="254"/>
        <v>0</v>
      </c>
      <c r="L1427" s="1648"/>
      <c r="M1427" s="1648">
        <f t="shared" si="255"/>
        <v>0</v>
      </c>
      <c r="N1427" s="1648">
        <f t="shared" si="257"/>
        <v>0</v>
      </c>
      <c r="O1427" s="1648">
        <f t="shared" si="256"/>
        <v>0</v>
      </c>
      <c r="P1427" s="1648">
        <f t="shared" si="248"/>
        <v>0</v>
      </c>
      <c r="Q1427" s="1648">
        <f t="shared" si="249"/>
        <v>0</v>
      </c>
      <c r="R1427" s="55">
        <f t="shared" si="250"/>
        <v>0</v>
      </c>
      <c r="S1427" s="55">
        <f t="shared" si="251"/>
        <v>0</v>
      </c>
    </row>
    <row r="1428" spans="1:19" ht="75.75" hidden="1" customHeight="1">
      <c r="A1428" s="1693"/>
      <c r="B1428" s="1648">
        <f t="shared" si="247"/>
        <v>0</v>
      </c>
      <c r="C1428" s="1867" t="s">
        <v>6319</v>
      </c>
      <c r="D1428" s="1672">
        <v>1800</v>
      </c>
      <c r="E1428" s="1703" t="s">
        <v>41</v>
      </c>
      <c r="F1428" s="1651"/>
      <c r="G1428" s="1648">
        <f t="shared" si="252"/>
        <v>0</v>
      </c>
      <c r="H1428" s="1648"/>
      <c r="I1428" s="1648">
        <f t="shared" si="253"/>
        <v>0</v>
      </c>
      <c r="J1428" s="1648"/>
      <c r="K1428" s="1648">
        <f t="shared" si="254"/>
        <v>0</v>
      </c>
      <c r="L1428" s="1648"/>
      <c r="M1428" s="1648">
        <f t="shared" si="255"/>
        <v>0</v>
      </c>
      <c r="N1428" s="1648">
        <f t="shared" si="257"/>
        <v>0</v>
      </c>
      <c r="O1428" s="1648">
        <f t="shared" si="256"/>
        <v>0</v>
      </c>
      <c r="P1428" s="1648">
        <f t="shared" si="248"/>
        <v>0</v>
      </c>
      <c r="Q1428" s="1648">
        <f t="shared" si="249"/>
        <v>0</v>
      </c>
      <c r="R1428" s="55">
        <f t="shared" si="250"/>
        <v>0</v>
      </c>
      <c r="S1428" s="55">
        <f t="shared" si="251"/>
        <v>0</v>
      </c>
    </row>
    <row r="1429" spans="1:19" ht="75.75" hidden="1" customHeight="1">
      <c r="A1429" s="1693"/>
      <c r="B1429" s="1648">
        <f t="shared" si="247"/>
        <v>0</v>
      </c>
      <c r="C1429" s="1867" t="s">
        <v>6320</v>
      </c>
      <c r="D1429" s="1672">
        <v>160</v>
      </c>
      <c r="E1429" s="1703" t="s">
        <v>13</v>
      </c>
      <c r="F1429" s="1651"/>
      <c r="G1429" s="1648">
        <f t="shared" si="252"/>
        <v>0</v>
      </c>
      <c r="H1429" s="1648"/>
      <c r="I1429" s="1648">
        <f t="shared" si="253"/>
        <v>0</v>
      </c>
      <c r="J1429" s="1648"/>
      <c r="K1429" s="1648">
        <f t="shared" si="254"/>
        <v>0</v>
      </c>
      <c r="L1429" s="1648"/>
      <c r="M1429" s="1648">
        <f t="shared" si="255"/>
        <v>0</v>
      </c>
      <c r="N1429" s="1648">
        <f t="shared" si="257"/>
        <v>0</v>
      </c>
      <c r="O1429" s="1648">
        <f t="shared" si="256"/>
        <v>0</v>
      </c>
      <c r="P1429" s="1648">
        <f t="shared" si="248"/>
        <v>0</v>
      </c>
      <c r="Q1429" s="1648">
        <f t="shared" si="249"/>
        <v>0</v>
      </c>
      <c r="R1429" s="55">
        <f t="shared" si="250"/>
        <v>0</v>
      </c>
      <c r="S1429" s="55">
        <f t="shared" si="251"/>
        <v>0</v>
      </c>
    </row>
    <row r="1430" spans="1:19" ht="75.75" hidden="1" customHeight="1">
      <c r="A1430" s="1693"/>
      <c r="B1430" s="1648">
        <f t="shared" si="247"/>
        <v>0</v>
      </c>
      <c r="C1430" s="1867" t="s">
        <v>6321</v>
      </c>
      <c r="D1430" s="1672">
        <v>2100</v>
      </c>
      <c r="E1430" s="1703" t="s">
        <v>41</v>
      </c>
      <c r="F1430" s="1651"/>
      <c r="G1430" s="1648">
        <f t="shared" si="252"/>
        <v>0</v>
      </c>
      <c r="H1430" s="1648"/>
      <c r="I1430" s="1648">
        <f t="shared" si="253"/>
        <v>0</v>
      </c>
      <c r="J1430" s="1648"/>
      <c r="K1430" s="1648">
        <f t="shared" si="254"/>
        <v>0</v>
      </c>
      <c r="L1430" s="1648"/>
      <c r="M1430" s="1648">
        <f t="shared" si="255"/>
        <v>0</v>
      </c>
      <c r="N1430" s="1648">
        <f t="shared" si="257"/>
        <v>0</v>
      </c>
      <c r="O1430" s="1648">
        <f t="shared" si="256"/>
        <v>0</v>
      </c>
      <c r="P1430" s="1648">
        <f t="shared" si="248"/>
        <v>0</v>
      </c>
      <c r="Q1430" s="1648">
        <f t="shared" si="249"/>
        <v>0</v>
      </c>
      <c r="R1430" s="55">
        <f t="shared" si="250"/>
        <v>0</v>
      </c>
      <c r="S1430" s="55">
        <f t="shared" si="251"/>
        <v>0</v>
      </c>
    </row>
    <row r="1431" spans="1:19" ht="75.75" hidden="1" customHeight="1">
      <c r="A1431" s="1693"/>
      <c r="B1431" s="1648">
        <f t="shared" si="247"/>
        <v>0</v>
      </c>
      <c r="C1431" s="1867" t="s">
        <v>6322</v>
      </c>
      <c r="D1431" s="1672">
        <v>5000</v>
      </c>
      <c r="E1431" s="1703" t="s">
        <v>41</v>
      </c>
      <c r="F1431" s="1651"/>
      <c r="G1431" s="1648">
        <f t="shared" si="252"/>
        <v>0</v>
      </c>
      <c r="H1431" s="1648"/>
      <c r="I1431" s="1648">
        <f t="shared" si="253"/>
        <v>0</v>
      </c>
      <c r="J1431" s="1648"/>
      <c r="K1431" s="1648">
        <f t="shared" si="254"/>
        <v>0</v>
      </c>
      <c r="L1431" s="1648"/>
      <c r="M1431" s="1648">
        <f t="shared" si="255"/>
        <v>0</v>
      </c>
      <c r="N1431" s="1648">
        <f t="shared" si="257"/>
        <v>0</v>
      </c>
      <c r="O1431" s="1648">
        <f t="shared" si="256"/>
        <v>0</v>
      </c>
      <c r="P1431" s="1648">
        <f t="shared" si="248"/>
        <v>0</v>
      </c>
      <c r="Q1431" s="1648">
        <f t="shared" si="249"/>
        <v>0</v>
      </c>
      <c r="R1431" s="55">
        <f t="shared" si="250"/>
        <v>0</v>
      </c>
      <c r="S1431" s="55">
        <f t="shared" si="251"/>
        <v>0</v>
      </c>
    </row>
    <row r="1432" spans="1:19" ht="75.75" hidden="1" customHeight="1">
      <c r="A1432" s="1693"/>
      <c r="B1432" s="1648">
        <f t="shared" si="247"/>
        <v>0</v>
      </c>
      <c r="C1432" s="1865" t="s">
        <v>6323</v>
      </c>
      <c r="D1432" s="1672"/>
      <c r="E1432" s="1703"/>
      <c r="F1432" s="1651"/>
      <c r="G1432" s="1648">
        <f t="shared" si="252"/>
        <v>0</v>
      </c>
      <c r="H1432" s="1648"/>
      <c r="I1432" s="1648">
        <f t="shared" si="253"/>
        <v>0</v>
      </c>
      <c r="J1432" s="1648"/>
      <c r="K1432" s="1648">
        <f t="shared" si="254"/>
        <v>0</v>
      </c>
      <c r="L1432" s="1648"/>
      <c r="M1432" s="1648">
        <f t="shared" si="255"/>
        <v>0</v>
      </c>
      <c r="N1432" s="1648">
        <f t="shared" si="257"/>
        <v>0</v>
      </c>
      <c r="O1432" s="1648">
        <f t="shared" si="256"/>
        <v>0</v>
      </c>
      <c r="P1432" s="1648">
        <f t="shared" si="248"/>
        <v>0</v>
      </c>
      <c r="Q1432" s="1648">
        <f t="shared" si="249"/>
        <v>0</v>
      </c>
      <c r="R1432" s="55">
        <f t="shared" si="250"/>
        <v>0</v>
      </c>
      <c r="S1432" s="55">
        <f t="shared" si="251"/>
        <v>0</v>
      </c>
    </row>
    <row r="1433" spans="1:19" ht="125.25" hidden="1" customHeight="1">
      <c r="A1433" s="1693"/>
      <c r="B1433" s="1648">
        <f t="shared" si="247"/>
        <v>0</v>
      </c>
      <c r="C1433" s="1867" t="s">
        <v>6324</v>
      </c>
      <c r="D1433" s="1672">
        <v>73120</v>
      </c>
      <c r="E1433" s="1703" t="s">
        <v>41</v>
      </c>
      <c r="F1433" s="1651"/>
      <c r="G1433" s="1648">
        <f t="shared" si="252"/>
        <v>0</v>
      </c>
      <c r="H1433" s="1648"/>
      <c r="I1433" s="1648">
        <f t="shared" si="253"/>
        <v>0</v>
      </c>
      <c r="J1433" s="1648"/>
      <c r="K1433" s="1648">
        <f t="shared" si="254"/>
        <v>0</v>
      </c>
      <c r="L1433" s="1648"/>
      <c r="M1433" s="1648">
        <f t="shared" si="255"/>
        <v>0</v>
      </c>
      <c r="N1433" s="1648">
        <f t="shared" si="257"/>
        <v>0</v>
      </c>
      <c r="O1433" s="1648">
        <f t="shared" si="256"/>
        <v>0</v>
      </c>
      <c r="P1433" s="1648">
        <f t="shared" si="248"/>
        <v>0</v>
      </c>
      <c r="Q1433" s="1648">
        <f t="shared" si="249"/>
        <v>0</v>
      </c>
      <c r="R1433" s="55">
        <f t="shared" si="250"/>
        <v>0</v>
      </c>
      <c r="S1433" s="55">
        <f t="shared" si="251"/>
        <v>0</v>
      </c>
    </row>
    <row r="1434" spans="1:19" ht="128.25" hidden="1" customHeight="1">
      <c r="A1434" s="1693"/>
      <c r="B1434" s="1648">
        <f t="shared" si="247"/>
        <v>0</v>
      </c>
      <c r="C1434" s="1867" t="s">
        <v>6325</v>
      </c>
      <c r="D1434" s="1672">
        <v>20000</v>
      </c>
      <c r="E1434" s="1703" t="s">
        <v>41</v>
      </c>
      <c r="F1434" s="1651"/>
      <c r="G1434" s="1648">
        <f t="shared" si="252"/>
        <v>0</v>
      </c>
      <c r="H1434" s="1648"/>
      <c r="I1434" s="1648">
        <f t="shared" si="253"/>
        <v>0</v>
      </c>
      <c r="J1434" s="1648"/>
      <c r="K1434" s="1648">
        <f t="shared" si="254"/>
        <v>0</v>
      </c>
      <c r="L1434" s="1648"/>
      <c r="M1434" s="1648">
        <f t="shared" si="255"/>
        <v>0</v>
      </c>
      <c r="N1434" s="1648">
        <f t="shared" si="257"/>
        <v>0</v>
      </c>
      <c r="O1434" s="1648">
        <f t="shared" si="256"/>
        <v>0</v>
      </c>
      <c r="P1434" s="1648">
        <f t="shared" si="248"/>
        <v>0</v>
      </c>
      <c r="Q1434" s="1648">
        <f t="shared" si="249"/>
        <v>0</v>
      </c>
      <c r="R1434" s="55">
        <f t="shared" si="250"/>
        <v>0</v>
      </c>
      <c r="S1434" s="55">
        <f t="shared" si="251"/>
        <v>0</v>
      </c>
    </row>
    <row r="1435" spans="1:19" ht="120.75" hidden="1" customHeight="1">
      <c r="A1435" s="1693"/>
      <c r="B1435" s="1648">
        <f t="shared" si="247"/>
        <v>0</v>
      </c>
      <c r="C1435" s="1867" t="s">
        <v>6326</v>
      </c>
      <c r="D1435" s="1672">
        <v>24000</v>
      </c>
      <c r="E1435" s="1703" t="s">
        <v>41</v>
      </c>
      <c r="F1435" s="1651"/>
      <c r="G1435" s="1648">
        <f t="shared" si="252"/>
        <v>0</v>
      </c>
      <c r="H1435" s="1648"/>
      <c r="I1435" s="1648">
        <f t="shared" si="253"/>
        <v>0</v>
      </c>
      <c r="J1435" s="1648"/>
      <c r="K1435" s="1648">
        <f t="shared" si="254"/>
        <v>0</v>
      </c>
      <c r="L1435" s="1648"/>
      <c r="M1435" s="1648">
        <f t="shared" si="255"/>
        <v>0</v>
      </c>
      <c r="N1435" s="1648">
        <f t="shared" si="257"/>
        <v>0</v>
      </c>
      <c r="O1435" s="1648">
        <f t="shared" si="256"/>
        <v>0</v>
      </c>
      <c r="P1435" s="1648">
        <f t="shared" si="248"/>
        <v>0</v>
      </c>
      <c r="Q1435" s="1648">
        <f t="shared" si="249"/>
        <v>0</v>
      </c>
      <c r="R1435" s="55">
        <f t="shared" si="250"/>
        <v>0</v>
      </c>
      <c r="S1435" s="55">
        <f t="shared" si="251"/>
        <v>0</v>
      </c>
    </row>
    <row r="1436" spans="1:19" ht="119.25" hidden="1" customHeight="1">
      <c r="A1436" s="1693"/>
      <c r="B1436" s="1648">
        <f t="shared" si="247"/>
        <v>0</v>
      </c>
      <c r="C1436" s="1867" t="s">
        <v>6327</v>
      </c>
      <c r="D1436" s="1672">
        <v>700</v>
      </c>
      <c r="E1436" s="1703" t="s">
        <v>13</v>
      </c>
      <c r="F1436" s="1651"/>
      <c r="G1436" s="1648">
        <f t="shared" si="252"/>
        <v>0</v>
      </c>
      <c r="H1436" s="1648"/>
      <c r="I1436" s="1648">
        <f t="shared" si="253"/>
        <v>0</v>
      </c>
      <c r="J1436" s="1648"/>
      <c r="K1436" s="1648">
        <f t="shared" si="254"/>
        <v>0</v>
      </c>
      <c r="L1436" s="1648"/>
      <c r="M1436" s="1648">
        <f t="shared" si="255"/>
        <v>0</v>
      </c>
      <c r="N1436" s="1648">
        <f t="shared" si="257"/>
        <v>0</v>
      </c>
      <c r="O1436" s="1648">
        <f t="shared" si="256"/>
        <v>0</v>
      </c>
      <c r="P1436" s="1648">
        <f t="shared" si="248"/>
        <v>0</v>
      </c>
      <c r="Q1436" s="1648">
        <f t="shared" si="249"/>
        <v>0</v>
      </c>
      <c r="R1436" s="55">
        <f t="shared" si="250"/>
        <v>0</v>
      </c>
      <c r="S1436" s="55">
        <f t="shared" si="251"/>
        <v>0</v>
      </c>
    </row>
    <row r="1437" spans="1:19" ht="59.25" hidden="1" customHeight="1">
      <c r="A1437" s="1693"/>
      <c r="B1437" s="1648">
        <f t="shared" si="247"/>
        <v>0</v>
      </c>
      <c r="C1437" s="1865" t="s">
        <v>6328</v>
      </c>
      <c r="D1437" s="1672"/>
      <c r="E1437" s="1703"/>
      <c r="F1437" s="1651"/>
      <c r="G1437" s="1648">
        <f t="shared" si="252"/>
        <v>0</v>
      </c>
      <c r="H1437" s="1648"/>
      <c r="I1437" s="1648">
        <f t="shared" si="253"/>
        <v>0</v>
      </c>
      <c r="J1437" s="1648"/>
      <c r="K1437" s="1648">
        <f t="shared" si="254"/>
        <v>0</v>
      </c>
      <c r="L1437" s="1648"/>
      <c r="M1437" s="1648">
        <f t="shared" si="255"/>
        <v>0</v>
      </c>
      <c r="N1437" s="1648">
        <f t="shared" si="257"/>
        <v>0</v>
      </c>
      <c r="O1437" s="1648">
        <f t="shared" si="256"/>
        <v>0</v>
      </c>
      <c r="P1437" s="1648">
        <f t="shared" si="248"/>
        <v>0</v>
      </c>
      <c r="Q1437" s="1648">
        <f t="shared" si="249"/>
        <v>0</v>
      </c>
      <c r="R1437" s="55">
        <f t="shared" si="250"/>
        <v>0</v>
      </c>
      <c r="S1437" s="55">
        <f t="shared" si="251"/>
        <v>0</v>
      </c>
    </row>
    <row r="1438" spans="1:19" ht="62.25" hidden="1" customHeight="1">
      <c r="A1438" s="1693"/>
      <c r="B1438" s="1648">
        <f t="shared" si="247"/>
        <v>0</v>
      </c>
      <c r="C1438" s="1867" t="s">
        <v>6329</v>
      </c>
      <c r="D1438" s="1672">
        <v>15000</v>
      </c>
      <c r="E1438" s="1703" t="s">
        <v>41</v>
      </c>
      <c r="F1438" s="1651"/>
      <c r="G1438" s="1648">
        <f t="shared" si="252"/>
        <v>0</v>
      </c>
      <c r="H1438" s="1648"/>
      <c r="I1438" s="1648">
        <f t="shared" si="253"/>
        <v>0</v>
      </c>
      <c r="J1438" s="1648"/>
      <c r="K1438" s="1648">
        <f t="shared" si="254"/>
        <v>0</v>
      </c>
      <c r="L1438" s="1648"/>
      <c r="M1438" s="1648">
        <f t="shared" si="255"/>
        <v>0</v>
      </c>
      <c r="N1438" s="1648">
        <f t="shared" si="257"/>
        <v>0</v>
      </c>
      <c r="O1438" s="1648">
        <f t="shared" si="256"/>
        <v>0</v>
      </c>
      <c r="P1438" s="1648">
        <f t="shared" si="248"/>
        <v>0</v>
      </c>
      <c r="Q1438" s="1648">
        <f t="shared" si="249"/>
        <v>0</v>
      </c>
      <c r="R1438" s="55">
        <f t="shared" si="250"/>
        <v>0</v>
      </c>
      <c r="S1438" s="55">
        <f t="shared" si="251"/>
        <v>0</v>
      </c>
    </row>
    <row r="1439" spans="1:19" ht="75.75" hidden="1" customHeight="1">
      <c r="A1439" s="1693"/>
      <c r="B1439" s="1648">
        <f t="shared" si="247"/>
        <v>0</v>
      </c>
      <c r="C1439" s="1867" t="s">
        <v>6330</v>
      </c>
      <c r="D1439" s="1672">
        <v>47000</v>
      </c>
      <c r="E1439" s="1703" t="s">
        <v>41</v>
      </c>
      <c r="F1439" s="1651"/>
      <c r="G1439" s="1648">
        <f t="shared" si="252"/>
        <v>0</v>
      </c>
      <c r="H1439" s="1648"/>
      <c r="I1439" s="1648">
        <f t="shared" si="253"/>
        <v>0</v>
      </c>
      <c r="J1439" s="1648"/>
      <c r="K1439" s="1648">
        <f t="shared" si="254"/>
        <v>0</v>
      </c>
      <c r="L1439" s="1648"/>
      <c r="M1439" s="1648">
        <f t="shared" si="255"/>
        <v>0</v>
      </c>
      <c r="N1439" s="1648">
        <f t="shared" si="257"/>
        <v>0</v>
      </c>
      <c r="O1439" s="1648">
        <f t="shared" si="256"/>
        <v>0</v>
      </c>
      <c r="P1439" s="1648">
        <f t="shared" si="248"/>
        <v>0</v>
      </c>
      <c r="Q1439" s="1648">
        <f t="shared" si="249"/>
        <v>0</v>
      </c>
      <c r="R1439" s="55">
        <f t="shared" si="250"/>
        <v>0</v>
      </c>
      <c r="S1439" s="55">
        <f t="shared" si="251"/>
        <v>0</v>
      </c>
    </row>
    <row r="1440" spans="1:19" ht="78.75" hidden="1" customHeight="1">
      <c r="A1440" s="1693"/>
      <c r="B1440" s="1648">
        <f t="shared" si="247"/>
        <v>0</v>
      </c>
      <c r="C1440" s="1867" t="s">
        <v>6331</v>
      </c>
      <c r="D1440" s="1672">
        <v>70000</v>
      </c>
      <c r="E1440" s="1703" t="s">
        <v>41</v>
      </c>
      <c r="F1440" s="1651"/>
      <c r="G1440" s="1648">
        <f t="shared" si="252"/>
        <v>0</v>
      </c>
      <c r="H1440" s="1648"/>
      <c r="I1440" s="1648">
        <f t="shared" si="253"/>
        <v>0</v>
      </c>
      <c r="J1440" s="1648"/>
      <c r="K1440" s="1648">
        <f t="shared" si="254"/>
        <v>0</v>
      </c>
      <c r="L1440" s="1648"/>
      <c r="M1440" s="1648">
        <f t="shared" si="255"/>
        <v>0</v>
      </c>
      <c r="N1440" s="1648">
        <f t="shared" si="257"/>
        <v>0</v>
      </c>
      <c r="O1440" s="1648">
        <f t="shared" si="256"/>
        <v>0</v>
      </c>
      <c r="P1440" s="1648">
        <f t="shared" si="248"/>
        <v>0</v>
      </c>
      <c r="Q1440" s="1648">
        <f t="shared" si="249"/>
        <v>0</v>
      </c>
      <c r="R1440" s="55">
        <f t="shared" si="250"/>
        <v>0</v>
      </c>
      <c r="S1440" s="55">
        <f t="shared" si="251"/>
        <v>0</v>
      </c>
    </row>
    <row r="1441" spans="1:19" ht="60.75" hidden="1" customHeight="1">
      <c r="A1441" s="1693"/>
      <c r="B1441" s="1648">
        <f t="shared" si="247"/>
        <v>0</v>
      </c>
      <c r="C1441" s="1867" t="s">
        <v>6332</v>
      </c>
      <c r="D1441" s="1672">
        <v>12900</v>
      </c>
      <c r="E1441" s="1703" t="s">
        <v>41</v>
      </c>
      <c r="F1441" s="1651"/>
      <c r="G1441" s="1648">
        <f t="shared" si="252"/>
        <v>0</v>
      </c>
      <c r="H1441" s="1648"/>
      <c r="I1441" s="1648">
        <f t="shared" si="253"/>
        <v>0</v>
      </c>
      <c r="J1441" s="1648"/>
      <c r="K1441" s="1648">
        <f t="shared" si="254"/>
        <v>0</v>
      </c>
      <c r="L1441" s="1648"/>
      <c r="M1441" s="1648">
        <f t="shared" si="255"/>
        <v>0</v>
      </c>
      <c r="N1441" s="1648">
        <f t="shared" si="257"/>
        <v>0</v>
      </c>
      <c r="O1441" s="1648">
        <f t="shared" si="256"/>
        <v>0</v>
      </c>
      <c r="P1441" s="1648">
        <f t="shared" si="248"/>
        <v>0</v>
      </c>
      <c r="Q1441" s="1648">
        <f t="shared" si="249"/>
        <v>0</v>
      </c>
      <c r="R1441" s="55">
        <f t="shared" si="250"/>
        <v>0</v>
      </c>
      <c r="S1441" s="55">
        <f t="shared" si="251"/>
        <v>0</v>
      </c>
    </row>
    <row r="1442" spans="1:19" ht="96.75" hidden="1" customHeight="1">
      <c r="A1442" s="1693"/>
      <c r="B1442" s="1648">
        <f t="shared" si="247"/>
        <v>0</v>
      </c>
      <c r="C1442" s="1867" t="s">
        <v>6333</v>
      </c>
      <c r="D1442" s="1672">
        <v>85000</v>
      </c>
      <c r="E1442" s="1703" t="s">
        <v>1715</v>
      </c>
      <c r="F1442" s="1651"/>
      <c r="G1442" s="1648">
        <f t="shared" si="252"/>
        <v>0</v>
      </c>
      <c r="H1442" s="1648"/>
      <c r="I1442" s="1648">
        <f t="shared" si="253"/>
        <v>0</v>
      </c>
      <c r="J1442" s="1648"/>
      <c r="K1442" s="1648">
        <f t="shared" si="254"/>
        <v>0</v>
      </c>
      <c r="L1442" s="1648"/>
      <c r="M1442" s="1648">
        <f t="shared" si="255"/>
        <v>0</v>
      </c>
      <c r="N1442" s="1648">
        <f t="shared" si="257"/>
        <v>0</v>
      </c>
      <c r="O1442" s="1648">
        <f t="shared" si="256"/>
        <v>0</v>
      </c>
      <c r="P1442" s="1648">
        <f t="shared" si="248"/>
        <v>0</v>
      </c>
      <c r="Q1442" s="1648">
        <f t="shared" si="249"/>
        <v>0</v>
      </c>
      <c r="R1442" s="55">
        <f t="shared" si="250"/>
        <v>0</v>
      </c>
      <c r="S1442" s="55">
        <f t="shared" si="251"/>
        <v>0</v>
      </c>
    </row>
    <row r="1443" spans="1:19" ht="80.25" hidden="1" customHeight="1">
      <c r="A1443" s="1693"/>
      <c r="B1443" s="1648">
        <f t="shared" si="247"/>
        <v>0</v>
      </c>
      <c r="C1443" s="1867" t="s">
        <v>6334</v>
      </c>
      <c r="D1443" s="1672">
        <v>95000</v>
      </c>
      <c r="E1443" s="1703" t="s">
        <v>1715</v>
      </c>
      <c r="F1443" s="1651"/>
      <c r="G1443" s="1648">
        <f t="shared" si="252"/>
        <v>0</v>
      </c>
      <c r="H1443" s="1648"/>
      <c r="I1443" s="1648">
        <f t="shared" si="253"/>
        <v>0</v>
      </c>
      <c r="J1443" s="1648"/>
      <c r="K1443" s="1648">
        <f t="shared" si="254"/>
        <v>0</v>
      </c>
      <c r="L1443" s="1648"/>
      <c r="M1443" s="1648">
        <f t="shared" si="255"/>
        <v>0</v>
      </c>
      <c r="N1443" s="1648">
        <f t="shared" si="257"/>
        <v>0</v>
      </c>
      <c r="O1443" s="1648">
        <f t="shared" si="256"/>
        <v>0</v>
      </c>
      <c r="P1443" s="1648">
        <f t="shared" si="248"/>
        <v>0</v>
      </c>
      <c r="Q1443" s="1648">
        <f t="shared" si="249"/>
        <v>0</v>
      </c>
      <c r="R1443" s="55">
        <f t="shared" si="250"/>
        <v>0</v>
      </c>
      <c r="S1443" s="55">
        <f t="shared" si="251"/>
        <v>0</v>
      </c>
    </row>
    <row r="1444" spans="1:19" ht="78.75" hidden="1" customHeight="1">
      <c r="A1444" s="1693"/>
      <c r="B1444" s="1648">
        <f t="shared" si="247"/>
        <v>0</v>
      </c>
      <c r="C1444" s="1867" t="s">
        <v>6335</v>
      </c>
      <c r="D1444" s="1672">
        <v>12000</v>
      </c>
      <c r="E1444" s="1703" t="s">
        <v>41</v>
      </c>
      <c r="F1444" s="1651"/>
      <c r="G1444" s="1648">
        <f t="shared" si="252"/>
        <v>0</v>
      </c>
      <c r="H1444" s="1648"/>
      <c r="I1444" s="1648">
        <f t="shared" si="253"/>
        <v>0</v>
      </c>
      <c r="J1444" s="1648"/>
      <c r="K1444" s="1648">
        <f t="shared" si="254"/>
        <v>0</v>
      </c>
      <c r="L1444" s="1648"/>
      <c r="M1444" s="1648">
        <f t="shared" si="255"/>
        <v>0</v>
      </c>
      <c r="N1444" s="1648">
        <f t="shared" si="257"/>
        <v>0</v>
      </c>
      <c r="O1444" s="1648">
        <f t="shared" si="256"/>
        <v>0</v>
      </c>
      <c r="P1444" s="1648">
        <f t="shared" si="248"/>
        <v>0</v>
      </c>
      <c r="Q1444" s="1648">
        <f t="shared" si="249"/>
        <v>0</v>
      </c>
      <c r="R1444" s="55">
        <f t="shared" si="250"/>
        <v>0</v>
      </c>
      <c r="S1444" s="55">
        <f t="shared" si="251"/>
        <v>0</v>
      </c>
    </row>
    <row r="1445" spans="1:19" ht="83.25" hidden="1" customHeight="1">
      <c r="A1445" s="1693"/>
      <c r="B1445" s="1648">
        <f t="shared" si="247"/>
        <v>0</v>
      </c>
      <c r="C1445" s="1867" t="s">
        <v>6336</v>
      </c>
      <c r="D1445" s="1672">
        <v>20000</v>
      </c>
      <c r="E1445" s="1703" t="s">
        <v>41</v>
      </c>
      <c r="F1445" s="1651"/>
      <c r="G1445" s="1648">
        <f t="shared" si="252"/>
        <v>0</v>
      </c>
      <c r="H1445" s="1648"/>
      <c r="I1445" s="1648">
        <f t="shared" si="253"/>
        <v>0</v>
      </c>
      <c r="J1445" s="1648"/>
      <c r="K1445" s="1648">
        <f t="shared" si="254"/>
        <v>0</v>
      </c>
      <c r="L1445" s="1648"/>
      <c r="M1445" s="1648">
        <f t="shared" si="255"/>
        <v>0</v>
      </c>
      <c r="N1445" s="1648">
        <f t="shared" si="257"/>
        <v>0</v>
      </c>
      <c r="O1445" s="1648">
        <f t="shared" si="256"/>
        <v>0</v>
      </c>
      <c r="P1445" s="1648">
        <f t="shared" si="248"/>
        <v>0</v>
      </c>
      <c r="Q1445" s="1648">
        <f t="shared" si="249"/>
        <v>0</v>
      </c>
      <c r="R1445" s="55">
        <f t="shared" si="250"/>
        <v>0</v>
      </c>
      <c r="S1445" s="55">
        <f t="shared" si="251"/>
        <v>0</v>
      </c>
    </row>
    <row r="1446" spans="1:19" ht="71.25" hidden="1" customHeight="1">
      <c r="A1446" s="1693"/>
      <c r="B1446" s="1648">
        <f t="shared" si="247"/>
        <v>0</v>
      </c>
      <c r="C1446" s="1867" t="s">
        <v>6337</v>
      </c>
      <c r="D1446" s="1672">
        <v>90000</v>
      </c>
      <c r="E1446" s="1703" t="s">
        <v>1715</v>
      </c>
      <c r="F1446" s="1651"/>
      <c r="G1446" s="1648">
        <f t="shared" si="252"/>
        <v>0</v>
      </c>
      <c r="H1446" s="1648"/>
      <c r="I1446" s="1648">
        <f t="shared" si="253"/>
        <v>0</v>
      </c>
      <c r="J1446" s="1648"/>
      <c r="K1446" s="1648">
        <f t="shared" si="254"/>
        <v>0</v>
      </c>
      <c r="L1446" s="1648"/>
      <c r="M1446" s="1648">
        <f t="shared" si="255"/>
        <v>0</v>
      </c>
      <c r="N1446" s="1648">
        <f t="shared" si="257"/>
        <v>0</v>
      </c>
      <c r="O1446" s="1648">
        <f t="shared" si="256"/>
        <v>0</v>
      </c>
      <c r="P1446" s="1648">
        <f t="shared" si="248"/>
        <v>0</v>
      </c>
      <c r="Q1446" s="1648">
        <f t="shared" si="249"/>
        <v>0</v>
      </c>
      <c r="R1446" s="55">
        <f t="shared" si="250"/>
        <v>0</v>
      </c>
      <c r="S1446" s="55">
        <f t="shared" si="251"/>
        <v>0</v>
      </c>
    </row>
    <row r="1447" spans="1:19" ht="69.75" hidden="1" customHeight="1">
      <c r="A1447" s="1693"/>
      <c r="B1447" s="1648">
        <f t="shared" si="247"/>
        <v>0</v>
      </c>
      <c r="C1447" s="1867" t="s">
        <v>6338</v>
      </c>
      <c r="D1447" s="1672">
        <v>10000</v>
      </c>
      <c r="E1447" s="1703" t="s">
        <v>6103</v>
      </c>
      <c r="F1447" s="1651"/>
      <c r="G1447" s="1648">
        <f t="shared" si="252"/>
        <v>0</v>
      </c>
      <c r="H1447" s="1648"/>
      <c r="I1447" s="1648">
        <f t="shared" si="253"/>
        <v>0</v>
      </c>
      <c r="J1447" s="1648"/>
      <c r="K1447" s="1648">
        <f t="shared" si="254"/>
        <v>0</v>
      </c>
      <c r="L1447" s="1648"/>
      <c r="M1447" s="1648">
        <f t="shared" si="255"/>
        <v>0</v>
      </c>
      <c r="N1447" s="1648">
        <f t="shared" si="257"/>
        <v>0</v>
      </c>
      <c r="O1447" s="1648">
        <f t="shared" si="256"/>
        <v>0</v>
      </c>
      <c r="P1447" s="1648">
        <f t="shared" si="248"/>
        <v>0</v>
      </c>
      <c r="Q1447" s="1648">
        <f t="shared" si="249"/>
        <v>0</v>
      </c>
      <c r="R1447" s="55">
        <f t="shared" si="250"/>
        <v>0</v>
      </c>
      <c r="S1447" s="55">
        <f t="shared" si="251"/>
        <v>0</v>
      </c>
    </row>
    <row r="1448" spans="1:19" ht="72.75" hidden="1" customHeight="1">
      <c r="A1448" s="1693"/>
      <c r="B1448" s="1648">
        <f t="shared" si="247"/>
        <v>0</v>
      </c>
      <c r="C1448" s="1867" t="s">
        <v>6339</v>
      </c>
      <c r="D1448" s="1672">
        <v>75000</v>
      </c>
      <c r="E1448" s="1703" t="s">
        <v>1715</v>
      </c>
      <c r="F1448" s="1651"/>
      <c r="G1448" s="1648">
        <f t="shared" si="252"/>
        <v>0</v>
      </c>
      <c r="H1448" s="1648"/>
      <c r="I1448" s="1648">
        <f t="shared" si="253"/>
        <v>0</v>
      </c>
      <c r="J1448" s="1648"/>
      <c r="K1448" s="1648">
        <f t="shared" si="254"/>
        <v>0</v>
      </c>
      <c r="L1448" s="1648"/>
      <c r="M1448" s="1648">
        <f t="shared" si="255"/>
        <v>0</v>
      </c>
      <c r="N1448" s="1648">
        <f t="shared" si="257"/>
        <v>0</v>
      </c>
      <c r="O1448" s="1648">
        <f t="shared" si="256"/>
        <v>0</v>
      </c>
      <c r="P1448" s="1648">
        <f t="shared" si="248"/>
        <v>0</v>
      </c>
      <c r="Q1448" s="1648">
        <f t="shared" si="249"/>
        <v>0</v>
      </c>
      <c r="R1448" s="55">
        <f t="shared" si="250"/>
        <v>0</v>
      </c>
      <c r="S1448" s="55">
        <f t="shared" si="251"/>
        <v>0</v>
      </c>
    </row>
    <row r="1449" spans="1:19" ht="89.25" hidden="1" customHeight="1">
      <c r="A1449" s="1693"/>
      <c r="B1449" s="1648">
        <f t="shared" si="247"/>
        <v>0</v>
      </c>
      <c r="C1449" s="1867" t="s">
        <v>6340</v>
      </c>
      <c r="D1449" s="1672">
        <v>95000</v>
      </c>
      <c r="E1449" s="1703" t="s">
        <v>1715</v>
      </c>
      <c r="F1449" s="1651"/>
      <c r="G1449" s="1648">
        <f t="shared" si="252"/>
        <v>0</v>
      </c>
      <c r="H1449" s="1648"/>
      <c r="I1449" s="1648">
        <f t="shared" si="253"/>
        <v>0</v>
      </c>
      <c r="J1449" s="1648"/>
      <c r="K1449" s="1648">
        <f t="shared" si="254"/>
        <v>0</v>
      </c>
      <c r="L1449" s="1648"/>
      <c r="M1449" s="1648">
        <f t="shared" si="255"/>
        <v>0</v>
      </c>
      <c r="N1449" s="1648">
        <f t="shared" si="257"/>
        <v>0</v>
      </c>
      <c r="O1449" s="1648">
        <f t="shared" si="256"/>
        <v>0</v>
      </c>
      <c r="P1449" s="1648">
        <f t="shared" si="248"/>
        <v>0</v>
      </c>
      <c r="Q1449" s="1648">
        <f t="shared" si="249"/>
        <v>0</v>
      </c>
      <c r="R1449" s="55">
        <f t="shared" si="250"/>
        <v>0</v>
      </c>
      <c r="S1449" s="55">
        <f t="shared" si="251"/>
        <v>0</v>
      </c>
    </row>
    <row r="1450" spans="1:19" ht="69.75" hidden="1" customHeight="1">
      <c r="A1450" s="1693"/>
      <c r="B1450" s="1648">
        <f t="shared" si="247"/>
        <v>0</v>
      </c>
      <c r="C1450" s="1867" t="s">
        <v>6341</v>
      </c>
      <c r="D1450" s="1672">
        <v>24000</v>
      </c>
      <c r="E1450" s="1703" t="s">
        <v>41</v>
      </c>
      <c r="F1450" s="1651"/>
      <c r="G1450" s="1648">
        <f t="shared" si="252"/>
        <v>0</v>
      </c>
      <c r="H1450" s="1648"/>
      <c r="I1450" s="1648">
        <f t="shared" si="253"/>
        <v>0</v>
      </c>
      <c r="J1450" s="1648"/>
      <c r="K1450" s="1648">
        <f t="shared" si="254"/>
        <v>0</v>
      </c>
      <c r="L1450" s="1648"/>
      <c r="M1450" s="1648">
        <f t="shared" si="255"/>
        <v>0</v>
      </c>
      <c r="N1450" s="1648">
        <f t="shared" si="257"/>
        <v>0</v>
      </c>
      <c r="O1450" s="1648">
        <f t="shared" si="256"/>
        <v>0</v>
      </c>
      <c r="P1450" s="1648">
        <f t="shared" si="248"/>
        <v>0</v>
      </c>
      <c r="Q1450" s="1648">
        <f t="shared" si="249"/>
        <v>0</v>
      </c>
      <c r="R1450" s="55">
        <f t="shared" si="250"/>
        <v>0</v>
      </c>
      <c r="S1450" s="55">
        <f t="shared" si="251"/>
        <v>0</v>
      </c>
    </row>
    <row r="1451" spans="1:19" ht="65.25" hidden="1" customHeight="1">
      <c r="A1451" s="1693"/>
      <c r="B1451" s="1648">
        <f t="shared" si="247"/>
        <v>0</v>
      </c>
      <c r="C1451" s="1867" t="s">
        <v>6342</v>
      </c>
      <c r="D1451" s="1672">
        <v>75000</v>
      </c>
      <c r="E1451" s="1703" t="s">
        <v>3081</v>
      </c>
      <c r="F1451" s="1651"/>
      <c r="G1451" s="1648">
        <f t="shared" si="252"/>
        <v>0</v>
      </c>
      <c r="H1451" s="1648"/>
      <c r="I1451" s="1648">
        <f t="shared" si="253"/>
        <v>0</v>
      </c>
      <c r="J1451" s="1648"/>
      <c r="K1451" s="1648">
        <f t="shared" si="254"/>
        <v>0</v>
      </c>
      <c r="L1451" s="1648"/>
      <c r="M1451" s="1648">
        <f t="shared" si="255"/>
        <v>0</v>
      </c>
      <c r="N1451" s="1648">
        <f t="shared" si="257"/>
        <v>0</v>
      </c>
      <c r="O1451" s="1648">
        <f t="shared" si="256"/>
        <v>0</v>
      </c>
      <c r="P1451" s="1648">
        <f t="shared" si="248"/>
        <v>0</v>
      </c>
      <c r="Q1451" s="1648">
        <f t="shared" si="249"/>
        <v>0</v>
      </c>
      <c r="R1451" s="55">
        <f t="shared" si="250"/>
        <v>0</v>
      </c>
      <c r="S1451" s="55">
        <f t="shared" si="251"/>
        <v>0</v>
      </c>
    </row>
    <row r="1452" spans="1:19" ht="65.25" hidden="1" customHeight="1">
      <c r="A1452" s="1693"/>
      <c r="B1452" s="1648">
        <f t="shared" si="247"/>
        <v>0</v>
      </c>
      <c r="C1452" s="1867" t="str">
        <f>'Detailed Estimate '!B2593</f>
        <v>Supply and fixing of 80 mm dia GI pipe through the cable for EB service connection</v>
      </c>
      <c r="D1452" s="1672"/>
      <c r="E1452" s="1703" t="s">
        <v>13</v>
      </c>
      <c r="F1452" s="1651"/>
      <c r="G1452" s="1648">
        <f t="shared" si="252"/>
        <v>0</v>
      </c>
      <c r="H1452" s="1648"/>
      <c r="I1452" s="1648">
        <f t="shared" si="253"/>
        <v>0</v>
      </c>
      <c r="J1452" s="1648"/>
      <c r="K1452" s="1648">
        <f t="shared" si="254"/>
        <v>0</v>
      </c>
      <c r="L1452" s="1648"/>
      <c r="M1452" s="1648">
        <f t="shared" si="255"/>
        <v>0</v>
      </c>
      <c r="N1452" s="1648">
        <f t="shared" si="257"/>
        <v>0</v>
      </c>
      <c r="O1452" s="1648">
        <f t="shared" si="256"/>
        <v>0</v>
      </c>
      <c r="P1452" s="1648">
        <f t="shared" si="248"/>
        <v>0</v>
      </c>
      <c r="Q1452" s="1648">
        <f t="shared" si="249"/>
        <v>0</v>
      </c>
      <c r="R1452" s="55">
        <f t="shared" si="250"/>
        <v>0</v>
      </c>
      <c r="S1452" s="55">
        <f t="shared" si="251"/>
        <v>0</v>
      </c>
    </row>
    <row r="1453" spans="1:19" ht="65.25" hidden="1" customHeight="1">
      <c r="A1453" s="1693"/>
      <c r="B1453" s="1648">
        <f t="shared" si="247"/>
        <v>0</v>
      </c>
      <c r="C1453" s="1867" t="str">
        <f>'Detailed Estimate '!B2597</f>
        <v>Supplying 80 mm GI bend</v>
      </c>
      <c r="D1453" s="1672"/>
      <c r="E1453" s="1703" t="s">
        <v>41</v>
      </c>
      <c r="F1453" s="1651"/>
      <c r="G1453" s="1648">
        <f t="shared" si="252"/>
        <v>0</v>
      </c>
      <c r="H1453" s="1648"/>
      <c r="I1453" s="1648">
        <f t="shared" si="253"/>
        <v>0</v>
      </c>
      <c r="J1453" s="1648"/>
      <c r="K1453" s="1648">
        <f t="shared" si="254"/>
        <v>0</v>
      </c>
      <c r="L1453" s="1648"/>
      <c r="M1453" s="1648">
        <f t="shared" si="255"/>
        <v>0</v>
      </c>
      <c r="N1453" s="1648">
        <f t="shared" si="257"/>
        <v>0</v>
      </c>
      <c r="O1453" s="1648">
        <f t="shared" si="256"/>
        <v>0</v>
      </c>
      <c r="P1453" s="1648">
        <f t="shared" si="248"/>
        <v>0</v>
      </c>
      <c r="Q1453" s="1648">
        <f t="shared" si="249"/>
        <v>0</v>
      </c>
      <c r="R1453" s="55">
        <f t="shared" si="250"/>
        <v>0</v>
      </c>
      <c r="S1453" s="55">
        <f t="shared" si="251"/>
        <v>0</v>
      </c>
    </row>
    <row r="1454" spans="1:19" ht="65.25" hidden="1" customHeight="1">
      <c r="A1454" s="1693"/>
      <c r="B1454" s="1648">
        <f t="shared" si="247"/>
        <v>0</v>
      </c>
      <c r="C1454" s="1867" t="str">
        <f>'Detailed Estimate '!B2600</f>
        <v>Supplying 80 mm  Cupling</v>
      </c>
      <c r="D1454" s="1672"/>
      <c r="E1454" s="1703" t="s">
        <v>41</v>
      </c>
      <c r="F1454" s="1651"/>
      <c r="G1454" s="1648">
        <f t="shared" si="252"/>
        <v>0</v>
      </c>
      <c r="H1454" s="1648"/>
      <c r="I1454" s="1648">
        <f t="shared" si="253"/>
        <v>0</v>
      </c>
      <c r="J1454" s="1648"/>
      <c r="K1454" s="1648">
        <f t="shared" si="254"/>
        <v>0</v>
      </c>
      <c r="L1454" s="1648"/>
      <c r="M1454" s="1648">
        <f t="shared" si="255"/>
        <v>0</v>
      </c>
      <c r="N1454" s="1648">
        <f t="shared" si="257"/>
        <v>0</v>
      </c>
      <c r="O1454" s="1648">
        <f t="shared" si="256"/>
        <v>0</v>
      </c>
      <c r="P1454" s="1648">
        <f t="shared" si="248"/>
        <v>0</v>
      </c>
      <c r="Q1454" s="1648">
        <f t="shared" si="249"/>
        <v>0</v>
      </c>
      <c r="R1454" s="55">
        <f t="shared" si="250"/>
        <v>0</v>
      </c>
      <c r="S1454" s="55">
        <f t="shared" si="251"/>
        <v>0</v>
      </c>
    </row>
    <row r="1455" spans="1:19" ht="65.25" hidden="1" customHeight="1">
      <c r="A1455" s="1693"/>
      <c r="B1455" s="1648">
        <f t="shared" si="247"/>
        <v>0</v>
      </c>
      <c r="C1455" s="1867" t="str">
        <f>'Detailed Estimate '!B2625</f>
        <v>Supplying of Aluminium ladder 15 feet length (Quotation)</v>
      </c>
      <c r="D1455" s="1672">
        <v>4000</v>
      </c>
      <c r="E1455" s="1703" t="s">
        <v>41</v>
      </c>
      <c r="F1455" s="1651"/>
      <c r="G1455" s="1648">
        <f t="shared" si="252"/>
        <v>0</v>
      </c>
      <c r="H1455" s="1648"/>
      <c r="I1455" s="1648">
        <f t="shared" si="253"/>
        <v>0</v>
      </c>
      <c r="J1455" s="1648"/>
      <c r="K1455" s="1648">
        <f t="shared" si="254"/>
        <v>0</v>
      </c>
      <c r="L1455" s="1648"/>
      <c r="M1455" s="1648">
        <f t="shared" si="255"/>
        <v>0</v>
      </c>
      <c r="N1455" s="1648">
        <f t="shared" si="257"/>
        <v>0</v>
      </c>
      <c r="O1455" s="1648">
        <f t="shared" si="256"/>
        <v>0</v>
      </c>
      <c r="P1455" s="1648">
        <f t="shared" si="248"/>
        <v>0</v>
      </c>
      <c r="Q1455" s="1648">
        <f t="shared" si="249"/>
        <v>0</v>
      </c>
      <c r="R1455" s="55">
        <f t="shared" si="250"/>
        <v>0</v>
      </c>
      <c r="S1455" s="55">
        <f t="shared" si="251"/>
        <v>0</v>
      </c>
    </row>
    <row r="1456" spans="1:19" ht="65.25" hidden="1" customHeight="1">
      <c r="A1456" s="1693"/>
      <c r="B1456" s="1648">
        <f t="shared" si="247"/>
        <v>0</v>
      </c>
      <c r="C1456" s="1867" t="str">
        <f>'Detailed Estimate '!B2627</f>
        <v>Supplying and Delivery of "Godraj Navtal" lock 6 lever with three keys (Quotation)</v>
      </c>
      <c r="D1456" s="1672">
        <v>485</v>
      </c>
      <c r="E1456" s="1703" t="s">
        <v>2847</v>
      </c>
      <c r="F1456" s="1651"/>
      <c r="G1456" s="1648">
        <f t="shared" si="252"/>
        <v>0</v>
      </c>
      <c r="H1456" s="1648"/>
      <c r="I1456" s="1648">
        <f t="shared" si="253"/>
        <v>0</v>
      </c>
      <c r="J1456" s="1648"/>
      <c r="K1456" s="1648">
        <f t="shared" si="254"/>
        <v>0</v>
      </c>
      <c r="L1456" s="1648"/>
      <c r="M1456" s="1648">
        <f t="shared" si="255"/>
        <v>0</v>
      </c>
      <c r="N1456" s="1648">
        <f t="shared" si="257"/>
        <v>0</v>
      </c>
      <c r="O1456" s="1648">
        <f t="shared" si="256"/>
        <v>0</v>
      </c>
      <c r="P1456" s="1648">
        <f t="shared" si="248"/>
        <v>0</v>
      </c>
      <c r="Q1456" s="1648">
        <f t="shared" si="249"/>
        <v>0</v>
      </c>
      <c r="R1456" s="55">
        <f t="shared" si="250"/>
        <v>0</v>
      </c>
      <c r="S1456" s="55">
        <f t="shared" si="251"/>
        <v>0</v>
      </c>
    </row>
    <row r="1457" spans="1:19" ht="65.25" hidden="1" customHeight="1">
      <c r="A1457" s="1693"/>
      <c r="B1457" s="1648">
        <f t="shared" si="247"/>
        <v>0</v>
      </c>
      <c r="C1457" s="1867" t="str">
        <f>'Detailed Estimate '!B2667</f>
        <v>Supplying and fixing of Aluminium TNPHC Emblem of 18" height with approved colour power coat in finishing matt including cost of materials, necessary drilling holes, packing cement mortar supporting the letter cement base bolts and fixing charges etc. complete and as directed by the departmental officers.</v>
      </c>
      <c r="D1457" s="1672">
        <v>4200</v>
      </c>
      <c r="E1457" s="1703" t="s">
        <v>2847</v>
      </c>
      <c r="F1457" s="1651"/>
      <c r="G1457" s="1648">
        <f t="shared" si="252"/>
        <v>0</v>
      </c>
      <c r="H1457" s="1648"/>
      <c r="I1457" s="1648">
        <f t="shared" si="253"/>
        <v>0</v>
      </c>
      <c r="J1457" s="1648"/>
      <c r="K1457" s="1648">
        <f t="shared" si="254"/>
        <v>0</v>
      </c>
      <c r="L1457" s="1648"/>
      <c r="M1457" s="1648">
        <f t="shared" si="255"/>
        <v>0</v>
      </c>
      <c r="N1457" s="1648">
        <f t="shared" si="257"/>
        <v>0</v>
      </c>
      <c r="O1457" s="1648">
        <f t="shared" si="256"/>
        <v>0</v>
      </c>
      <c r="P1457" s="1648">
        <f t="shared" si="248"/>
        <v>0</v>
      </c>
      <c r="Q1457" s="1648">
        <f t="shared" si="249"/>
        <v>0</v>
      </c>
      <c r="R1457" s="55">
        <f t="shared" si="250"/>
        <v>0</v>
      </c>
      <c r="S1457" s="55">
        <f t="shared" si="251"/>
        <v>0</v>
      </c>
    </row>
    <row r="1458" spans="1:19" ht="65.25" hidden="1" customHeight="1">
      <c r="A1458" s="1693"/>
      <c r="B1458" s="1648">
        <f t="shared" si="247"/>
        <v>0</v>
      </c>
      <c r="C1458" s="1867" t="str">
        <f>'Detailed Estimate '!B2670</f>
        <v>Supplying and fixing of 12" Height Aluminium letters with approved colour power coat in finishing matt including cost of materials, necessary drilling holes, packing cement mortar supporting the letter cement base bolts and fixing charges etc. complete and as directed by the departmental officers.</v>
      </c>
      <c r="D1458" s="1672">
        <v>840</v>
      </c>
      <c r="E1458" s="1703" t="s">
        <v>2847</v>
      </c>
      <c r="F1458" s="1651"/>
      <c r="G1458" s="1648">
        <f t="shared" si="252"/>
        <v>0</v>
      </c>
      <c r="H1458" s="1648"/>
      <c r="I1458" s="1648">
        <f t="shared" si="253"/>
        <v>0</v>
      </c>
      <c r="J1458" s="1648"/>
      <c r="K1458" s="1648">
        <f t="shared" si="254"/>
        <v>0</v>
      </c>
      <c r="L1458" s="1648"/>
      <c r="M1458" s="1648">
        <f t="shared" si="255"/>
        <v>0</v>
      </c>
      <c r="N1458" s="1648">
        <f t="shared" si="257"/>
        <v>0</v>
      </c>
      <c r="O1458" s="1648">
        <f t="shared" si="256"/>
        <v>0</v>
      </c>
      <c r="P1458" s="1648">
        <f t="shared" si="248"/>
        <v>0</v>
      </c>
      <c r="Q1458" s="1648">
        <f t="shared" si="249"/>
        <v>0</v>
      </c>
      <c r="R1458" s="55">
        <f t="shared" si="250"/>
        <v>0</v>
      </c>
      <c r="S1458" s="55">
        <f t="shared" si="251"/>
        <v>0</v>
      </c>
    </row>
    <row r="1459" spans="1:19" ht="65.25" hidden="1" customHeight="1">
      <c r="A1459" s="1693"/>
      <c r="B1459" s="1648">
        <f t="shared" si="247"/>
        <v>0</v>
      </c>
      <c r="C1459" s="1867" t="str">
        <f>'Detailed Estimate '!B2676</f>
        <v>Supply and fixing of 20" x 5" Size plastic foam name plate</v>
      </c>
      <c r="D1459" s="1672">
        <v>320</v>
      </c>
      <c r="E1459" s="1703" t="s">
        <v>2847</v>
      </c>
      <c r="F1459" s="1651"/>
      <c r="G1459" s="1648">
        <f t="shared" si="252"/>
        <v>0</v>
      </c>
      <c r="H1459" s="1648"/>
      <c r="I1459" s="1648">
        <f t="shared" si="253"/>
        <v>0</v>
      </c>
      <c r="J1459" s="1648"/>
      <c r="K1459" s="1648">
        <f t="shared" si="254"/>
        <v>0</v>
      </c>
      <c r="L1459" s="1648"/>
      <c r="M1459" s="1648">
        <f t="shared" si="255"/>
        <v>0</v>
      </c>
      <c r="N1459" s="1648">
        <f t="shared" si="257"/>
        <v>0</v>
      </c>
      <c r="O1459" s="1648">
        <f t="shared" si="256"/>
        <v>0</v>
      </c>
      <c r="P1459" s="1648">
        <f t="shared" si="248"/>
        <v>0</v>
      </c>
      <c r="Q1459" s="1648">
        <f t="shared" si="249"/>
        <v>0</v>
      </c>
      <c r="R1459" s="55">
        <f t="shared" si="250"/>
        <v>0</v>
      </c>
      <c r="S1459" s="55">
        <f t="shared" si="251"/>
        <v>0</v>
      </c>
    </row>
    <row r="1460" spans="1:19" ht="65.25" hidden="1" customHeight="1">
      <c r="A1460" s="1693"/>
      <c r="B1460" s="1648">
        <f t="shared" si="247"/>
        <v>0</v>
      </c>
      <c r="C1460" s="1867" t="str">
        <f>'Detailed Estimate '!B2716</f>
        <v>Supply and fixing of 24" x 8" plastic foam name plate with vinyl cutting letters RWH Board with approved colour etc. complete and as directed by the departmental officers.</v>
      </c>
      <c r="D1460" s="1672">
        <v>450</v>
      </c>
      <c r="E1460" s="1703" t="s">
        <v>2847</v>
      </c>
      <c r="F1460" s="1651"/>
      <c r="G1460" s="1648">
        <f t="shared" si="252"/>
        <v>0</v>
      </c>
      <c r="H1460" s="1648"/>
      <c r="I1460" s="1648">
        <f t="shared" si="253"/>
        <v>0</v>
      </c>
      <c r="J1460" s="1648"/>
      <c r="K1460" s="1648">
        <f t="shared" si="254"/>
        <v>0</v>
      </c>
      <c r="L1460" s="1648"/>
      <c r="M1460" s="1648">
        <f t="shared" si="255"/>
        <v>0</v>
      </c>
      <c r="N1460" s="1648">
        <f t="shared" si="257"/>
        <v>0</v>
      </c>
      <c r="O1460" s="1648">
        <f t="shared" si="256"/>
        <v>0</v>
      </c>
      <c r="P1460" s="1648">
        <f t="shared" si="248"/>
        <v>0</v>
      </c>
      <c r="Q1460" s="1648">
        <f t="shared" si="249"/>
        <v>0</v>
      </c>
      <c r="R1460" s="55">
        <f t="shared" si="250"/>
        <v>0</v>
      </c>
      <c r="S1460" s="55">
        <f t="shared" si="251"/>
        <v>0</v>
      </c>
    </row>
    <row r="1461" spans="1:19" ht="91.5" hidden="1" customHeight="1">
      <c r="A1461" s="1693"/>
      <c r="B1461" s="1648">
        <f t="shared" si="247"/>
        <v>0</v>
      </c>
      <c r="C1461" s="1867" t="str">
        <f>'Detailed Estimate '!B2718</f>
        <v>Supply &amp; Installation of 3 Star Rated Air-conditioner with copper coil inculding cost of 3m Copper tube and fixing charge etc.,</v>
      </c>
      <c r="D1461" s="1672">
        <v>44160</v>
      </c>
      <c r="E1461" s="1703" t="s">
        <v>2847</v>
      </c>
      <c r="F1461" s="1651"/>
      <c r="G1461" s="1648">
        <f t="shared" si="252"/>
        <v>0</v>
      </c>
      <c r="H1461" s="1648"/>
      <c r="I1461" s="1648">
        <f t="shared" si="253"/>
        <v>0</v>
      </c>
      <c r="J1461" s="1648"/>
      <c r="K1461" s="1648">
        <f t="shared" si="254"/>
        <v>0</v>
      </c>
      <c r="L1461" s="1648"/>
      <c r="M1461" s="1648">
        <f t="shared" si="255"/>
        <v>0</v>
      </c>
      <c r="N1461" s="1648">
        <f t="shared" si="257"/>
        <v>0</v>
      </c>
      <c r="O1461" s="1648">
        <f t="shared" si="256"/>
        <v>0</v>
      </c>
      <c r="P1461" s="1648">
        <f t="shared" si="248"/>
        <v>0</v>
      </c>
      <c r="Q1461" s="1648">
        <f t="shared" si="249"/>
        <v>0</v>
      </c>
      <c r="R1461" s="55">
        <f t="shared" si="250"/>
        <v>0</v>
      </c>
      <c r="S1461" s="55">
        <f t="shared" si="251"/>
        <v>0</v>
      </c>
    </row>
    <row r="1462" spans="1:19" ht="65.25" hidden="1" customHeight="1">
      <c r="A1462" s="1693"/>
      <c r="B1462" s="1648">
        <f t="shared" si="247"/>
        <v>0</v>
      </c>
      <c r="C1462" s="1867" t="str">
        <f>'Detailed Estimate '!B2722</f>
        <v>Supply and installation of 4 KVA capacity Automatic
Voltage Stabilizer with time delay relay (V-Gurad /
Equivalent) inculding cost of labour charge and tools etc.,</v>
      </c>
      <c r="D1462" s="1672">
        <v>4940</v>
      </c>
      <c r="E1462" s="1703" t="s">
        <v>2847</v>
      </c>
      <c r="F1462" s="1651"/>
      <c r="G1462" s="1648">
        <f t="shared" si="252"/>
        <v>0</v>
      </c>
      <c r="H1462" s="1648"/>
      <c r="I1462" s="1648">
        <f t="shared" si="253"/>
        <v>0</v>
      </c>
      <c r="J1462" s="1648"/>
      <c r="K1462" s="1648">
        <f t="shared" si="254"/>
        <v>0</v>
      </c>
      <c r="L1462" s="1648"/>
      <c r="M1462" s="1648">
        <f t="shared" si="255"/>
        <v>0</v>
      </c>
      <c r="N1462" s="1648">
        <f t="shared" si="257"/>
        <v>0</v>
      </c>
      <c r="O1462" s="1648">
        <f t="shared" si="256"/>
        <v>0</v>
      </c>
      <c r="P1462" s="1648">
        <f t="shared" si="248"/>
        <v>0</v>
      </c>
      <c r="Q1462" s="1648">
        <f t="shared" si="249"/>
        <v>0</v>
      </c>
      <c r="R1462" s="55">
        <f t="shared" si="250"/>
        <v>0</v>
      </c>
      <c r="S1462" s="55">
        <f t="shared" si="251"/>
        <v>0</v>
      </c>
    </row>
    <row r="1463" spans="1:19" ht="65.25" hidden="1" customHeight="1">
      <c r="A1463" s="1693"/>
      <c r="B1463" s="1648">
        <f t="shared" si="247"/>
        <v>0</v>
      </c>
      <c r="C1463" s="1867" t="str">
        <f>'Detailed Estimate '!B2725</f>
        <v>Supply and laying of 5/8" and 3/8" copper pipe (Extra beyond 3 metres supplied with AC unit) inculding cost of labour charge and tools etc.,</v>
      </c>
      <c r="D1463" s="1672">
        <v>940</v>
      </c>
      <c r="E1463" s="1703" t="s">
        <v>2847</v>
      </c>
      <c r="F1463" s="1651"/>
      <c r="G1463" s="1648">
        <f t="shared" si="252"/>
        <v>0</v>
      </c>
      <c r="H1463" s="1648"/>
      <c r="I1463" s="1648">
        <f t="shared" si="253"/>
        <v>0</v>
      </c>
      <c r="J1463" s="1648"/>
      <c r="K1463" s="1648">
        <f t="shared" si="254"/>
        <v>0</v>
      </c>
      <c r="L1463" s="1648"/>
      <c r="M1463" s="1648">
        <f t="shared" si="255"/>
        <v>0</v>
      </c>
      <c r="N1463" s="1648">
        <f t="shared" si="257"/>
        <v>0</v>
      </c>
      <c r="O1463" s="1648">
        <f t="shared" si="256"/>
        <v>0</v>
      </c>
      <c r="P1463" s="1648">
        <f t="shared" si="248"/>
        <v>0</v>
      </c>
      <c r="Q1463" s="1648">
        <f t="shared" si="249"/>
        <v>0</v>
      </c>
      <c r="R1463" s="55">
        <f t="shared" si="250"/>
        <v>0</v>
      </c>
      <c r="S1463" s="55">
        <f t="shared" si="251"/>
        <v>0</v>
      </c>
    </row>
    <row r="1464" spans="1:19" ht="65.25" hidden="1" customHeight="1">
      <c r="A1464" s="1693"/>
      <c r="B1464" s="1648">
        <f t="shared" si="247"/>
        <v>0</v>
      </c>
      <c r="C1464" s="1867" t="str">
        <f>'Detailed Estimate '!B2728</f>
        <v>Supply and fixing of Ac drain pipe including cost of materials and labour etc., SOR -2018-19</v>
      </c>
      <c r="D1464" s="1672">
        <v>64.099999999999994</v>
      </c>
      <c r="E1464" s="1703" t="s">
        <v>2847</v>
      </c>
      <c r="F1464" s="1651"/>
      <c r="G1464" s="1648">
        <f t="shared" si="252"/>
        <v>0</v>
      </c>
      <c r="H1464" s="1648"/>
      <c r="I1464" s="1648">
        <f t="shared" si="253"/>
        <v>0</v>
      </c>
      <c r="J1464" s="1648"/>
      <c r="K1464" s="1648">
        <f t="shared" si="254"/>
        <v>0</v>
      </c>
      <c r="L1464" s="1648"/>
      <c r="M1464" s="1648">
        <f t="shared" si="255"/>
        <v>0</v>
      </c>
      <c r="N1464" s="1648">
        <f t="shared" si="257"/>
        <v>0</v>
      </c>
      <c r="O1464" s="1648">
        <f t="shared" si="256"/>
        <v>0</v>
      </c>
      <c r="P1464" s="1648">
        <f t="shared" si="248"/>
        <v>0</v>
      </c>
      <c r="Q1464" s="1648">
        <f t="shared" si="249"/>
        <v>0</v>
      </c>
      <c r="R1464" s="55">
        <f t="shared" si="250"/>
        <v>0</v>
      </c>
      <c r="S1464" s="55">
        <f t="shared" si="251"/>
        <v>0</v>
      </c>
    </row>
    <row r="1465" spans="1:19" ht="65.25" hidden="1" customHeight="1">
      <c r="A1465" s="1693"/>
      <c r="B1465" s="1648">
        <f t="shared" si="247"/>
        <v>0</v>
      </c>
      <c r="C1465" s="1867" t="str">
        <f>'Detailed Estimate '!B2731</f>
        <v>Supply and fixing of MS stand for fixing outdoor unit</v>
      </c>
      <c r="D1465" s="1672">
        <v>1088</v>
      </c>
      <c r="E1465" s="1703" t="s">
        <v>2847</v>
      </c>
      <c r="F1465" s="1651"/>
      <c r="G1465" s="1648">
        <f t="shared" si="252"/>
        <v>0</v>
      </c>
      <c r="H1465" s="1648"/>
      <c r="I1465" s="1648">
        <f t="shared" si="253"/>
        <v>0</v>
      </c>
      <c r="J1465" s="1648"/>
      <c r="K1465" s="1648">
        <f t="shared" si="254"/>
        <v>0</v>
      </c>
      <c r="L1465" s="1648"/>
      <c r="M1465" s="1648">
        <f t="shared" si="255"/>
        <v>0</v>
      </c>
      <c r="N1465" s="1648">
        <f t="shared" si="257"/>
        <v>0</v>
      </c>
      <c r="O1465" s="1648">
        <f t="shared" si="256"/>
        <v>0</v>
      </c>
      <c r="P1465" s="1648">
        <f t="shared" si="248"/>
        <v>0</v>
      </c>
      <c r="Q1465" s="1648">
        <f t="shared" si="249"/>
        <v>0</v>
      </c>
      <c r="R1465" s="55">
        <f t="shared" si="250"/>
        <v>0</v>
      </c>
      <c r="S1465" s="55">
        <f t="shared" si="251"/>
        <v>0</v>
      </c>
    </row>
    <row r="1466" spans="1:19" ht="48" customHeight="1">
      <c r="A1466" s="1688"/>
      <c r="B1466" s="1648"/>
      <c r="C1466" s="1697" t="s">
        <v>104</v>
      </c>
      <c r="D1466" s="1649">
        <f>ROUND(Data!K1206,2)</f>
        <v>0</v>
      </c>
      <c r="E1466" s="1687"/>
      <c r="F1466" s="1648"/>
      <c r="G1466" s="1663">
        <f>SUM(G4:G1465)+0.01</f>
        <v>50144760.920000002</v>
      </c>
      <c r="H1466" s="1648"/>
      <c r="I1466" s="1663">
        <f>SUM(I4:I1465)</f>
        <v>209308.06</v>
      </c>
      <c r="J1466" s="1648"/>
      <c r="K1466" s="1663">
        <f>SUM(K4:K1465)</f>
        <v>312654.98</v>
      </c>
      <c r="L1466" s="1648"/>
      <c r="M1466" s="1663">
        <f>SUM(M4:M1465)</f>
        <v>895990.5</v>
      </c>
      <c r="N1466" s="1648"/>
      <c r="O1466" s="1663">
        <f>SUM(O4:O1465)</f>
        <v>1417953.54</v>
      </c>
      <c r="P1466" s="1648"/>
      <c r="Q1466" s="1663">
        <f>SUM(Q4:Q1465)</f>
        <v>51562714.460000001</v>
      </c>
      <c r="R1466" s="55">
        <f t="shared" si="250"/>
        <v>51562714.460000001</v>
      </c>
      <c r="S1466" s="55">
        <f t="shared" si="251"/>
        <v>0</v>
      </c>
    </row>
    <row r="1467" spans="1:19">
      <c r="A1467" s="1708"/>
      <c r="B1467" s="1679"/>
      <c r="C1467" s="1882"/>
      <c r="D1467" s="1678"/>
      <c r="E1467" s="1708"/>
      <c r="F1467" s="1678"/>
      <c r="G1467" s="1679">
        <f t="shared" ref="G1467:G1488" si="258">F1467*D1467</f>
        <v>0</v>
      </c>
      <c r="H1467" s="1679"/>
      <c r="I1467" s="1679"/>
      <c r="J1467" s="1679"/>
      <c r="K1467" s="1679"/>
      <c r="L1467" s="1679"/>
      <c r="M1467" s="1679"/>
      <c r="N1467" s="1679"/>
      <c r="O1467" s="1679"/>
      <c r="P1467" s="1679"/>
      <c r="Q1467" s="1679"/>
    </row>
    <row r="1468" spans="1:19">
      <c r="A1468" s="1708"/>
      <c r="B1468" s="1680"/>
      <c r="C1468" s="1883" t="s">
        <v>5813</v>
      </c>
      <c r="D1468" s="1678"/>
      <c r="E1468" s="1709" t="s">
        <v>729</v>
      </c>
      <c r="F1468" s="1680"/>
      <c r="G1468" s="1680">
        <f t="shared" si="258"/>
        <v>0</v>
      </c>
      <c r="H1468" s="1680"/>
      <c r="I1468" s="1680"/>
      <c r="J1468" s="1680"/>
      <c r="K1468" s="1680"/>
      <c r="L1468" s="1680"/>
      <c r="M1468" s="1680"/>
      <c r="N1468" s="1680"/>
      <c r="O1468" s="1680">
        <f>I1466+K1466+M1466</f>
        <v>1417953.54</v>
      </c>
      <c r="P1468" s="1680"/>
      <c r="Q1468" s="1680">
        <f>O1466+G1466</f>
        <v>51562714.460000001</v>
      </c>
    </row>
    <row r="1469" spans="1:19">
      <c r="A1469" s="1708"/>
      <c r="B1469" s="1680"/>
      <c r="C1469" s="1883" t="s">
        <v>5814</v>
      </c>
      <c r="D1469" s="1678"/>
      <c r="E1469" s="1709" t="s">
        <v>729</v>
      </c>
      <c r="F1469" s="1680"/>
      <c r="G1469" s="1680">
        <f t="shared" si="258"/>
        <v>0</v>
      </c>
      <c r="H1469" s="1680"/>
      <c r="I1469" s="1680"/>
      <c r="J1469" s="1680"/>
      <c r="K1469" s="1680"/>
      <c r="L1469" s="1680"/>
      <c r="M1469" s="1680"/>
      <c r="N1469" s="1680"/>
      <c r="O1469" s="1681"/>
      <c r="P1469" s="1680"/>
      <c r="Q1469" s="1680"/>
    </row>
    <row r="1470" spans="1:19">
      <c r="A1470" s="1708"/>
      <c r="B1470" s="1680"/>
      <c r="C1470" s="1883" t="s">
        <v>5820</v>
      </c>
      <c r="D1470" s="1678">
        <f>Data!K2492</f>
        <v>4881.1899999999996</v>
      </c>
      <c r="E1470" s="1708" t="s">
        <v>724</v>
      </c>
      <c r="F1470" s="1682"/>
      <c r="G1470" s="1680">
        <f t="shared" si="258"/>
        <v>0</v>
      </c>
      <c r="H1470" s="1680"/>
      <c r="I1470" s="1680"/>
      <c r="J1470" s="1680"/>
      <c r="K1470" s="1680"/>
      <c r="L1470" s="1680"/>
      <c r="M1470" s="1680"/>
      <c r="N1470" s="1680"/>
      <c r="O1470" s="1680"/>
      <c r="P1470" s="1680"/>
      <c r="Q1470" s="1680"/>
    </row>
    <row r="1471" spans="1:19">
      <c r="A1471" s="1708"/>
      <c r="B1471" s="1680"/>
      <c r="C1471" s="1883" t="s">
        <v>5821</v>
      </c>
      <c r="D1471" s="1678">
        <f>Data!K2515</f>
        <v>5175.3599999999997</v>
      </c>
      <c r="E1471" s="1708" t="s">
        <v>724</v>
      </c>
      <c r="F1471" s="1682"/>
      <c r="G1471" s="1680">
        <f t="shared" si="258"/>
        <v>0</v>
      </c>
      <c r="H1471" s="1680"/>
      <c r="I1471" s="1680"/>
      <c r="J1471" s="1680"/>
      <c r="K1471" s="1680"/>
      <c r="L1471" s="1680"/>
      <c r="M1471" s="1680"/>
      <c r="N1471" s="1680"/>
      <c r="O1471" s="1680">
        <f>O1466+G1466</f>
        <v>51562714.460000001</v>
      </c>
      <c r="P1471" s="1680"/>
      <c r="Q1471" s="1680"/>
    </row>
    <row r="1472" spans="1:19">
      <c r="A1472" s="1708"/>
      <c r="B1472" s="1680"/>
      <c r="C1472" s="1883" t="s">
        <v>5822</v>
      </c>
      <c r="D1472" s="1678">
        <f>Data!R2580</f>
        <v>4457.7700000000004</v>
      </c>
      <c r="E1472" s="1708" t="s">
        <v>724</v>
      </c>
      <c r="F1472" s="1682"/>
      <c r="G1472" s="1680">
        <f t="shared" si="258"/>
        <v>0</v>
      </c>
      <c r="H1472" s="1680"/>
      <c r="I1472" s="1680"/>
      <c r="J1472" s="1680"/>
      <c r="K1472" s="1680"/>
      <c r="L1472" s="1680"/>
      <c r="M1472" s="1680"/>
      <c r="N1472" s="1680"/>
      <c r="O1472" s="1680"/>
      <c r="P1472" s="1680"/>
      <c r="Q1472" s="1680"/>
    </row>
    <row r="1473" spans="1:17">
      <c r="A1473" s="1708"/>
      <c r="B1473" s="1680"/>
      <c r="C1473" s="1883" t="s">
        <v>5816</v>
      </c>
      <c r="D1473" s="1678"/>
      <c r="E1473" s="1708" t="s">
        <v>724</v>
      </c>
      <c r="F1473" s="1682"/>
      <c r="G1473" s="1680">
        <f t="shared" si="258"/>
        <v>0</v>
      </c>
      <c r="H1473" s="1680"/>
      <c r="I1473" s="1680"/>
      <c r="J1473" s="1680"/>
      <c r="K1473" s="1680"/>
      <c r="L1473" s="1680"/>
      <c r="M1473" s="1680"/>
      <c r="N1473" s="1680"/>
      <c r="O1473" s="1680">
        <f>O1471-Q1466</f>
        <v>0</v>
      </c>
      <c r="P1473" s="1680"/>
      <c r="Q1473" s="1680"/>
    </row>
    <row r="1474" spans="1:17" ht="46.5">
      <c r="A1474" s="1708"/>
      <c r="B1474" s="1680"/>
      <c r="C1474" s="1883" t="s">
        <v>6343</v>
      </c>
      <c r="D1474" s="1678"/>
      <c r="E1474" s="1708" t="s">
        <v>724</v>
      </c>
      <c r="F1474" s="1682"/>
      <c r="G1474" s="1680">
        <f t="shared" si="258"/>
        <v>0</v>
      </c>
      <c r="H1474" s="1680"/>
      <c r="I1474" s="1680"/>
      <c r="J1474" s="1680"/>
      <c r="K1474" s="1680"/>
      <c r="L1474" s="1680"/>
      <c r="M1474" s="1680"/>
      <c r="N1474" s="1680"/>
      <c r="O1474" s="1680"/>
      <c r="P1474" s="1680"/>
      <c r="Q1474" s="1680"/>
    </row>
    <row r="1475" spans="1:17" ht="46.5">
      <c r="A1475" s="1708"/>
      <c r="B1475" s="1680"/>
      <c r="C1475" s="1883" t="s">
        <v>6344</v>
      </c>
      <c r="D1475" s="1678"/>
      <c r="E1475" s="1708" t="s">
        <v>724</v>
      </c>
      <c r="F1475" s="1682"/>
      <c r="G1475" s="1680">
        <f t="shared" si="258"/>
        <v>0</v>
      </c>
      <c r="H1475" s="1680"/>
      <c r="I1475" s="1680"/>
      <c r="J1475" s="1680"/>
      <c r="K1475" s="1680"/>
      <c r="L1475" s="1680"/>
      <c r="M1475" s="1680"/>
      <c r="N1475" s="1680"/>
      <c r="O1475" s="1680"/>
      <c r="P1475" s="1680"/>
      <c r="Q1475" s="1680"/>
    </row>
    <row r="1476" spans="1:17" ht="46.5">
      <c r="A1476" s="1708"/>
      <c r="B1476" s="1680"/>
      <c r="C1476" s="1883" t="s">
        <v>6345</v>
      </c>
      <c r="D1476" s="1678"/>
      <c r="E1476" s="1708" t="s">
        <v>724</v>
      </c>
      <c r="F1476" s="1682"/>
      <c r="G1476" s="1680">
        <f t="shared" si="258"/>
        <v>0</v>
      </c>
      <c r="H1476" s="1680"/>
      <c r="I1476" s="1680"/>
      <c r="J1476" s="1680"/>
      <c r="K1476" s="1680"/>
      <c r="L1476" s="1680"/>
      <c r="M1476" s="1680"/>
      <c r="N1476" s="1680"/>
      <c r="O1476" s="1680"/>
      <c r="P1476" s="1680"/>
      <c r="Q1476" s="1680"/>
    </row>
    <row r="1477" spans="1:17">
      <c r="A1477" s="1708"/>
      <c r="B1477" s="1680"/>
      <c r="C1477" s="1883" t="s">
        <v>6346</v>
      </c>
      <c r="D1477" s="1678">
        <f>Data!L1794</f>
        <v>0</v>
      </c>
      <c r="E1477" s="1708" t="s">
        <v>729</v>
      </c>
      <c r="F1477" s="1682"/>
      <c r="G1477" s="1680">
        <f t="shared" si="258"/>
        <v>0</v>
      </c>
      <c r="H1477" s="1680"/>
      <c r="I1477" s="1680"/>
      <c r="J1477" s="1680"/>
      <c r="K1477" s="1680"/>
      <c r="L1477" s="1680"/>
      <c r="M1477" s="1680"/>
      <c r="N1477" s="1680"/>
      <c r="O1477" s="1680"/>
      <c r="P1477" s="1680"/>
      <c r="Q1477" s="1680"/>
    </row>
    <row r="1478" spans="1:17">
      <c r="A1478" s="1708"/>
      <c r="B1478" s="1680"/>
      <c r="C1478" s="1883" t="s">
        <v>6347</v>
      </c>
      <c r="D1478" s="1678">
        <f>Data!K2435</f>
        <v>1520.79</v>
      </c>
      <c r="E1478" s="1708" t="s">
        <v>724</v>
      </c>
      <c r="F1478" s="1682"/>
      <c r="G1478" s="1680">
        <f t="shared" si="258"/>
        <v>0</v>
      </c>
      <c r="H1478" s="1680"/>
      <c r="I1478" s="1680"/>
      <c r="J1478" s="1680"/>
      <c r="K1478" s="1680"/>
      <c r="L1478" s="1680"/>
      <c r="M1478" s="1680"/>
      <c r="N1478" s="1680"/>
      <c r="O1478" s="1680"/>
      <c r="P1478" s="1680"/>
      <c r="Q1478" s="1680"/>
    </row>
    <row r="1479" spans="1:17">
      <c r="A1479" s="1708"/>
      <c r="B1479" s="1680"/>
      <c r="C1479" s="1883" t="s">
        <v>6348</v>
      </c>
      <c r="D1479" s="1678">
        <f>Data!R1230</f>
        <v>1513.16</v>
      </c>
      <c r="E1479" s="1708" t="s">
        <v>724</v>
      </c>
      <c r="F1479" s="1682"/>
      <c r="G1479" s="1680">
        <f t="shared" si="258"/>
        <v>0</v>
      </c>
      <c r="H1479" s="1680"/>
      <c r="I1479" s="1680"/>
      <c r="J1479" s="1680"/>
      <c r="K1479" s="1680"/>
      <c r="L1479" s="1680"/>
      <c r="M1479" s="1680"/>
      <c r="N1479" s="1680"/>
      <c r="O1479" s="1680"/>
      <c r="P1479" s="1680"/>
      <c r="Q1479" s="1680"/>
    </row>
    <row r="1480" spans="1:17" ht="38.25" customHeight="1">
      <c r="A1480" s="1708"/>
      <c r="B1480" s="1680"/>
      <c r="C1480" s="1883" t="s">
        <v>6349</v>
      </c>
      <c r="D1480" s="1678">
        <f>Data!R1272</f>
        <v>1283.24</v>
      </c>
      <c r="E1480" s="1708" t="s">
        <v>724</v>
      </c>
      <c r="F1480" s="1682">
        <f>'Detailed Estimate '!I2398</f>
        <v>1185.0999999999999</v>
      </c>
      <c r="G1480" s="1680">
        <f t="shared" si="258"/>
        <v>1520767.72</v>
      </c>
      <c r="H1480" s="1680"/>
      <c r="I1480" s="1680"/>
      <c r="J1480" s="1680"/>
      <c r="K1480" s="1680"/>
      <c r="L1480" s="1680"/>
      <c r="M1480" s="1680"/>
      <c r="N1480" s="1680"/>
      <c r="O1480" s="1680"/>
      <c r="P1480" s="1680"/>
      <c r="Q1480" s="1680"/>
    </row>
    <row r="1481" spans="1:17">
      <c r="A1481" s="1708"/>
      <c r="B1481" s="1680"/>
      <c r="C1481" s="1883" t="s">
        <v>6350</v>
      </c>
      <c r="D1481" s="1678">
        <f>Data!R2442</f>
        <v>1695.09</v>
      </c>
      <c r="E1481" s="1708" t="s">
        <v>724</v>
      </c>
      <c r="F1481" s="1682"/>
      <c r="G1481" s="1680">
        <f t="shared" si="258"/>
        <v>0</v>
      </c>
      <c r="H1481" s="1680"/>
      <c r="I1481" s="1680"/>
      <c r="J1481" s="1680"/>
      <c r="K1481" s="1680"/>
      <c r="L1481" s="1680"/>
      <c r="M1481" s="1680"/>
      <c r="N1481" s="1680"/>
      <c r="O1481" s="1680"/>
      <c r="P1481" s="1680"/>
      <c r="Q1481" s="1680"/>
    </row>
    <row r="1482" spans="1:17">
      <c r="A1482" s="1708"/>
      <c r="B1482" s="1680"/>
      <c r="C1482" s="1883" t="s">
        <v>6351</v>
      </c>
      <c r="D1482" s="1678">
        <f>Data!AD1257</f>
        <v>1654.94</v>
      </c>
      <c r="E1482" s="1708" t="s">
        <v>724</v>
      </c>
      <c r="F1482" s="1682"/>
      <c r="G1482" s="1680">
        <f t="shared" si="258"/>
        <v>0</v>
      </c>
      <c r="H1482" s="1680"/>
      <c r="I1482" s="1680"/>
      <c r="J1482" s="1680"/>
      <c r="K1482" s="1680"/>
      <c r="L1482" s="1680"/>
      <c r="M1482" s="1680"/>
      <c r="N1482" s="1680"/>
      <c r="O1482" s="1680"/>
      <c r="P1482" s="1680"/>
      <c r="Q1482" s="1680"/>
    </row>
    <row r="1483" spans="1:17" ht="46.5">
      <c r="A1483" s="1708"/>
      <c r="B1483" s="1680"/>
      <c r="C1483" s="1874" t="s">
        <v>6352</v>
      </c>
      <c r="D1483" s="1678">
        <f>Data!K1442</f>
        <v>283.74</v>
      </c>
      <c r="E1483" s="1708" t="s">
        <v>724</v>
      </c>
      <c r="F1483" s="1682"/>
      <c r="G1483" s="1680">
        <f t="shared" si="258"/>
        <v>0</v>
      </c>
      <c r="H1483" s="1680"/>
      <c r="I1483" s="1680"/>
      <c r="J1483" s="1680"/>
      <c r="K1483" s="1680"/>
      <c r="L1483" s="1680"/>
      <c r="M1483" s="1680"/>
      <c r="N1483" s="1680"/>
      <c r="O1483" s="1680"/>
      <c r="P1483" s="1680"/>
      <c r="Q1483" s="1680"/>
    </row>
    <row r="1484" spans="1:17">
      <c r="A1484" s="1708"/>
      <c r="B1484" s="1680"/>
      <c r="C1484" s="1874" t="s">
        <v>6353</v>
      </c>
      <c r="D1484" s="1678">
        <f>5000*8.2</f>
        <v>41000</v>
      </c>
      <c r="E1484" s="1708" t="s">
        <v>729</v>
      </c>
      <c r="F1484" s="1682"/>
      <c r="G1484" s="1680">
        <f t="shared" si="258"/>
        <v>0</v>
      </c>
      <c r="H1484" s="1680"/>
      <c r="I1484" s="1680"/>
      <c r="J1484" s="1680"/>
      <c r="K1484" s="1680"/>
      <c r="L1484" s="1680"/>
      <c r="M1484" s="1680"/>
      <c r="N1484" s="1680"/>
      <c r="O1484" s="1680"/>
      <c r="P1484" s="1680"/>
      <c r="Q1484" s="1680"/>
    </row>
    <row r="1485" spans="1:17" ht="46.5">
      <c r="A1485" s="1708"/>
      <c r="B1485" s="1680"/>
      <c r="C1485" s="1874" t="str">
        <f>Data!O2626</f>
        <v>T.W DOOR SHUTTER TWO LEAVES(1200 X 2100 mm ) with Brass Fittings</v>
      </c>
      <c r="D1485" s="1678">
        <f>Data!R2654</f>
        <v>7218.85</v>
      </c>
      <c r="E1485" s="1708" t="s">
        <v>724</v>
      </c>
      <c r="F1485" s="1682"/>
      <c r="G1485" s="1680">
        <f t="shared" si="258"/>
        <v>0</v>
      </c>
      <c r="H1485" s="1680"/>
      <c r="I1485" s="1680"/>
      <c r="J1485" s="1680"/>
      <c r="K1485" s="1680"/>
      <c r="L1485" s="1680"/>
      <c r="M1485" s="1680"/>
      <c r="N1485" s="1680"/>
      <c r="O1485" s="1680"/>
      <c r="P1485" s="1680"/>
      <c r="Q1485" s="1680"/>
    </row>
    <row r="1486" spans="1:17" ht="46.5">
      <c r="A1486" s="1708"/>
      <c r="B1486" s="1680"/>
      <c r="C1486" s="1874" t="s">
        <v>3110</v>
      </c>
      <c r="D1486" s="1678">
        <f>Data!R1124</f>
        <v>5349.76</v>
      </c>
      <c r="E1486" s="1708" t="s">
        <v>724</v>
      </c>
      <c r="F1486" s="1682"/>
      <c r="G1486" s="1680">
        <f t="shared" si="258"/>
        <v>0</v>
      </c>
      <c r="H1486" s="1680"/>
      <c r="I1486" s="1680"/>
      <c r="J1486" s="1680"/>
      <c r="K1486" s="1680"/>
      <c r="L1486" s="1680"/>
      <c r="M1486" s="1680"/>
      <c r="N1486" s="1680"/>
      <c r="O1486" s="1680"/>
      <c r="P1486" s="1680"/>
      <c r="Q1486" s="1680"/>
    </row>
    <row r="1487" spans="1:17" ht="46.5">
      <c r="A1487" s="1708"/>
      <c r="B1487" s="1680"/>
      <c r="C1487" s="1874" t="s">
        <v>6354</v>
      </c>
      <c r="D1487" s="1678">
        <f>Data!R3204</f>
        <v>0</v>
      </c>
      <c r="E1487" s="1708" t="s">
        <v>724</v>
      </c>
      <c r="F1487" s="1682"/>
      <c r="G1487" s="1680">
        <f t="shared" si="258"/>
        <v>0</v>
      </c>
      <c r="H1487" s="1680"/>
      <c r="I1487" s="1680"/>
      <c r="J1487" s="1680"/>
      <c r="K1487" s="1680"/>
      <c r="L1487" s="1680"/>
      <c r="M1487" s="1680"/>
      <c r="N1487" s="1680"/>
      <c r="O1487" s="1680"/>
      <c r="P1487" s="1680"/>
      <c r="Q1487" s="1680"/>
    </row>
    <row r="1488" spans="1:17" ht="46.5">
      <c r="A1488" s="1708"/>
      <c r="B1488" s="1680"/>
      <c r="C1488" s="1874" t="s">
        <v>6355</v>
      </c>
      <c r="D1488" s="1678">
        <f>Data!R3273</f>
        <v>0</v>
      </c>
      <c r="E1488" s="1708" t="s">
        <v>724</v>
      </c>
      <c r="F1488" s="1682"/>
      <c r="G1488" s="1680">
        <f t="shared" si="258"/>
        <v>0</v>
      </c>
      <c r="H1488" s="1680"/>
      <c r="I1488" s="1680"/>
      <c r="J1488" s="1680"/>
      <c r="K1488" s="1680"/>
      <c r="L1488" s="1680"/>
      <c r="M1488" s="1680"/>
      <c r="N1488" s="1680"/>
      <c r="O1488" s="1680"/>
      <c r="P1488" s="1680"/>
      <c r="Q1488" s="1680"/>
    </row>
    <row r="1489" spans="1:17" ht="46.5">
      <c r="A1489" s="1708"/>
      <c r="B1489" s="1680"/>
      <c r="C1489" s="1874" t="s">
        <v>6356</v>
      </c>
      <c r="D1489" s="1678" t="str">
        <f>Data!K3332</f>
        <v>============</v>
      </c>
      <c r="E1489" s="1708" t="s">
        <v>724</v>
      </c>
      <c r="F1489" s="1682"/>
      <c r="G1489" s="1680" t="e">
        <f t="shared" ref="G1489:G1552" si="259">F1489*D1489</f>
        <v>#VALUE!</v>
      </c>
      <c r="H1489" s="1680"/>
      <c r="I1489" s="1680"/>
      <c r="J1489" s="1680"/>
      <c r="K1489" s="1680"/>
      <c r="L1489" s="1680"/>
      <c r="M1489" s="1680"/>
      <c r="N1489" s="1680"/>
      <c r="O1489" s="1680"/>
      <c r="P1489" s="1680"/>
      <c r="Q1489" s="1680"/>
    </row>
    <row r="1490" spans="1:17" ht="69.75">
      <c r="A1490" s="1708"/>
      <c r="B1490" s="1680"/>
      <c r="C1490" s="1884" t="s">
        <v>6357</v>
      </c>
      <c r="D1490" s="1678">
        <f>Data!R3339</f>
        <v>5302.8</v>
      </c>
      <c r="E1490" s="1708" t="s">
        <v>724</v>
      </c>
      <c r="F1490" s="1682"/>
      <c r="G1490" s="1680">
        <f t="shared" si="259"/>
        <v>0</v>
      </c>
      <c r="H1490" s="1680"/>
      <c r="I1490" s="1680"/>
      <c r="J1490" s="1680"/>
      <c r="K1490" s="1680"/>
      <c r="L1490" s="1680"/>
      <c r="M1490" s="1680"/>
      <c r="N1490" s="1680"/>
      <c r="O1490" s="1680"/>
      <c r="P1490" s="1680"/>
      <c r="Q1490" s="1680"/>
    </row>
    <row r="1491" spans="1:17" ht="69.75">
      <c r="A1491" s="1708"/>
      <c r="B1491" s="1680"/>
      <c r="C1491" s="1884" t="s">
        <v>6358</v>
      </c>
      <c r="D1491" s="1678">
        <f>Data!R3452</f>
        <v>6163.48</v>
      </c>
      <c r="E1491" s="1708" t="s">
        <v>724</v>
      </c>
      <c r="F1491" s="1682"/>
      <c r="G1491" s="1680">
        <f t="shared" si="259"/>
        <v>0</v>
      </c>
      <c r="H1491" s="1680"/>
      <c r="I1491" s="1680"/>
      <c r="J1491" s="1680"/>
      <c r="K1491" s="1680"/>
      <c r="L1491" s="1680"/>
      <c r="M1491" s="1680"/>
      <c r="N1491" s="1680"/>
      <c r="O1491" s="1680"/>
      <c r="P1491" s="1680"/>
      <c r="Q1491" s="1680"/>
    </row>
    <row r="1492" spans="1:17" ht="46.5">
      <c r="A1492" s="1708"/>
      <c r="B1492" s="1680"/>
      <c r="C1492" s="1883" t="s">
        <v>5019</v>
      </c>
      <c r="D1492" s="1678">
        <f>Data!K3434</f>
        <v>5331.63</v>
      </c>
      <c r="E1492" s="1708" t="s">
        <v>724</v>
      </c>
      <c r="F1492" s="1682"/>
      <c r="G1492" s="1680">
        <f t="shared" si="259"/>
        <v>0</v>
      </c>
      <c r="H1492" s="1680"/>
      <c r="I1492" s="1680"/>
      <c r="J1492" s="1680"/>
      <c r="K1492" s="1680"/>
      <c r="L1492" s="1680"/>
      <c r="M1492" s="1680"/>
      <c r="N1492" s="1680"/>
      <c r="O1492" s="1680"/>
      <c r="P1492" s="1680"/>
      <c r="Q1492" s="1680"/>
    </row>
    <row r="1493" spans="1:17">
      <c r="A1493" s="1708"/>
      <c r="B1493" s="1680"/>
      <c r="C1493" s="1874" t="s">
        <v>6359</v>
      </c>
      <c r="D1493" s="1678">
        <f>Data!R3374</f>
        <v>5822.18</v>
      </c>
      <c r="E1493" s="1708" t="s">
        <v>724</v>
      </c>
      <c r="F1493" s="1682"/>
      <c r="G1493" s="1680">
        <f t="shared" si="259"/>
        <v>0</v>
      </c>
      <c r="H1493" s="1680"/>
      <c r="I1493" s="1680"/>
      <c r="J1493" s="1680"/>
      <c r="K1493" s="1680"/>
      <c r="L1493" s="1680"/>
      <c r="M1493" s="1680"/>
      <c r="N1493" s="1680"/>
      <c r="O1493" s="1680"/>
      <c r="P1493" s="1680"/>
      <c r="Q1493" s="1680"/>
    </row>
    <row r="1494" spans="1:17">
      <c r="A1494" s="1708"/>
      <c r="B1494" s="1680"/>
      <c r="C1494" s="1874" t="s">
        <v>6360</v>
      </c>
      <c r="D1494" s="1678" t="str">
        <f>Data!R3409</f>
        <v>=</v>
      </c>
      <c r="E1494" s="1708" t="s">
        <v>724</v>
      </c>
      <c r="F1494" s="1682"/>
      <c r="G1494" s="1680" t="e">
        <f t="shared" si="259"/>
        <v>#VALUE!</v>
      </c>
      <c r="H1494" s="1680"/>
      <c r="I1494" s="1680"/>
      <c r="J1494" s="1680"/>
      <c r="K1494" s="1680"/>
      <c r="L1494" s="1680"/>
      <c r="M1494" s="1680"/>
      <c r="N1494" s="1680"/>
      <c r="O1494" s="1680"/>
      <c r="P1494" s="1680"/>
      <c r="Q1494" s="1680"/>
    </row>
    <row r="1495" spans="1:17">
      <c r="A1495" s="1708"/>
      <c r="B1495" s="1680"/>
      <c r="C1495" s="1874" t="s">
        <v>6361</v>
      </c>
      <c r="D1495" s="1678">
        <f>Data!R3306</f>
        <v>0</v>
      </c>
      <c r="E1495" s="1708" t="s">
        <v>724</v>
      </c>
      <c r="F1495" s="1682"/>
      <c r="G1495" s="1680">
        <f t="shared" si="259"/>
        <v>0</v>
      </c>
      <c r="H1495" s="1680"/>
      <c r="I1495" s="1680"/>
      <c r="J1495" s="1680"/>
      <c r="K1495" s="1680"/>
      <c r="L1495" s="1680"/>
      <c r="M1495" s="1680"/>
      <c r="N1495" s="1680"/>
      <c r="O1495" s="1680"/>
      <c r="P1495" s="1680"/>
      <c r="Q1495" s="1680"/>
    </row>
    <row r="1496" spans="1:17">
      <c r="A1496" s="1708"/>
      <c r="B1496" s="1680"/>
      <c r="C1496" s="1874" t="s">
        <v>6362</v>
      </c>
      <c r="D1496" s="1678">
        <f>Data!R3340</f>
        <v>0</v>
      </c>
      <c r="E1496" s="1708" t="s">
        <v>724</v>
      </c>
      <c r="F1496" s="1682"/>
      <c r="G1496" s="1680">
        <f t="shared" si="259"/>
        <v>0</v>
      </c>
      <c r="H1496" s="1680"/>
      <c r="I1496" s="1680"/>
      <c r="J1496" s="1680"/>
      <c r="K1496" s="1680"/>
      <c r="L1496" s="1680"/>
      <c r="M1496" s="1680"/>
      <c r="N1496" s="1680"/>
      <c r="O1496" s="1680"/>
      <c r="P1496" s="1680"/>
      <c r="Q1496" s="1680"/>
    </row>
    <row r="1497" spans="1:17">
      <c r="A1497" s="1708"/>
      <c r="B1497" s="1680"/>
      <c r="C1497" s="1874" t="s">
        <v>6363</v>
      </c>
      <c r="D1497" s="1678">
        <f>Elec.Data!K650</f>
        <v>1308.97</v>
      </c>
      <c r="E1497" s="1708" t="s">
        <v>729</v>
      </c>
      <c r="F1497" s="1682"/>
      <c r="G1497" s="1680">
        <f t="shared" si="259"/>
        <v>0</v>
      </c>
      <c r="H1497" s="1680"/>
      <c r="I1497" s="1680"/>
      <c r="J1497" s="1680"/>
      <c r="K1497" s="1680"/>
      <c r="L1497" s="1680"/>
      <c r="M1497" s="1680"/>
      <c r="N1497" s="1680"/>
      <c r="O1497" s="1680"/>
      <c r="P1497" s="1680"/>
      <c r="Q1497" s="1680"/>
    </row>
    <row r="1498" spans="1:17">
      <c r="A1498" s="1708"/>
      <c r="B1498" s="1680"/>
      <c r="C1498" s="1874" t="s">
        <v>6364</v>
      </c>
      <c r="D1498" s="1678">
        <f>Elec.Data!K716</f>
        <v>165</v>
      </c>
      <c r="E1498" s="1708" t="s">
        <v>13</v>
      </c>
      <c r="F1498" s="1682"/>
      <c r="G1498" s="1680">
        <f t="shared" si="259"/>
        <v>0</v>
      </c>
      <c r="H1498" s="1680"/>
      <c r="I1498" s="1680"/>
      <c r="J1498" s="1680"/>
      <c r="K1498" s="1680"/>
      <c r="L1498" s="1680"/>
      <c r="M1498" s="1680"/>
      <c r="N1498" s="1680"/>
      <c r="O1498" s="1680"/>
      <c r="P1498" s="1680"/>
      <c r="Q1498" s="1680"/>
    </row>
    <row r="1499" spans="1:17">
      <c r="A1499" s="1708"/>
      <c r="B1499" s="1680"/>
      <c r="C1499" s="1874" t="s">
        <v>2608</v>
      </c>
      <c r="D1499" s="1678">
        <f>Elec.Data!K637</f>
        <v>3068.5</v>
      </c>
      <c r="E1499" s="1708" t="s">
        <v>729</v>
      </c>
      <c r="F1499" s="1682"/>
      <c r="G1499" s="1680">
        <f t="shared" si="259"/>
        <v>0</v>
      </c>
      <c r="H1499" s="1680"/>
      <c r="I1499" s="1680"/>
      <c r="J1499" s="1680"/>
      <c r="K1499" s="1680"/>
      <c r="L1499" s="1680"/>
      <c r="M1499" s="1680"/>
      <c r="N1499" s="1680"/>
      <c r="O1499" s="1680"/>
      <c r="P1499" s="1680"/>
      <c r="Q1499" s="1680"/>
    </row>
    <row r="1500" spans="1:17">
      <c r="A1500" s="1708"/>
      <c r="B1500" s="1680"/>
      <c r="C1500" s="1874" t="s">
        <v>6365</v>
      </c>
      <c r="D1500" s="1678">
        <f>Data!K2982</f>
        <v>0</v>
      </c>
      <c r="E1500" s="1708" t="s">
        <v>724</v>
      </c>
      <c r="F1500" s="1682"/>
      <c r="G1500" s="1680">
        <f t="shared" si="259"/>
        <v>0</v>
      </c>
      <c r="H1500" s="1680"/>
      <c r="I1500" s="1680"/>
      <c r="J1500" s="1680"/>
      <c r="K1500" s="1680"/>
      <c r="L1500" s="1680"/>
      <c r="M1500" s="1680"/>
      <c r="N1500" s="1680"/>
      <c r="O1500" s="1680"/>
      <c r="P1500" s="1680"/>
      <c r="Q1500" s="1680"/>
    </row>
    <row r="1501" spans="1:17">
      <c r="A1501" s="1708"/>
      <c r="B1501" s="1680"/>
      <c r="C1501" s="1874" t="s">
        <v>6366</v>
      </c>
      <c r="D1501" s="1678">
        <f>Data!K2845</f>
        <v>2816.03</v>
      </c>
      <c r="E1501" s="1708" t="s">
        <v>724</v>
      </c>
      <c r="F1501" s="1682"/>
      <c r="G1501" s="1680">
        <f t="shared" si="259"/>
        <v>0</v>
      </c>
      <c r="H1501" s="1680"/>
      <c r="I1501" s="1680"/>
      <c r="J1501" s="1680"/>
      <c r="K1501" s="1680"/>
      <c r="L1501" s="1680"/>
      <c r="M1501" s="1680"/>
      <c r="N1501" s="1680"/>
      <c r="O1501" s="1680"/>
      <c r="P1501" s="1680"/>
      <c r="Q1501" s="1680"/>
    </row>
    <row r="1502" spans="1:17">
      <c r="A1502" s="1708"/>
      <c r="B1502" s="1680"/>
      <c r="C1502" s="1874" t="s">
        <v>6367</v>
      </c>
      <c r="D1502" s="1678">
        <f>Data!R2988</f>
        <v>2736.66</v>
      </c>
      <c r="E1502" s="1708" t="s">
        <v>724</v>
      </c>
      <c r="F1502" s="1682"/>
      <c r="G1502" s="1680">
        <f t="shared" si="259"/>
        <v>0</v>
      </c>
      <c r="H1502" s="1680"/>
      <c r="I1502" s="1680"/>
      <c r="J1502" s="1680"/>
      <c r="K1502" s="1680"/>
      <c r="L1502" s="1680"/>
      <c r="M1502" s="1680"/>
      <c r="N1502" s="1680"/>
      <c r="O1502" s="1680"/>
      <c r="P1502" s="1680"/>
      <c r="Q1502" s="1680"/>
    </row>
    <row r="1503" spans="1:17">
      <c r="A1503" s="1708"/>
      <c r="B1503" s="1680"/>
      <c r="C1503" s="1874" t="s">
        <v>6368</v>
      </c>
      <c r="D1503" s="1678">
        <f>Data!K3085</f>
        <v>2985.43</v>
      </c>
      <c r="E1503" s="1708" t="s">
        <v>724</v>
      </c>
      <c r="F1503" s="1682"/>
      <c r="G1503" s="1680">
        <f t="shared" si="259"/>
        <v>0</v>
      </c>
      <c r="H1503" s="1680"/>
      <c r="I1503" s="1680"/>
      <c r="J1503" s="1680"/>
      <c r="K1503" s="1680"/>
      <c r="L1503" s="1680"/>
      <c r="M1503" s="1680"/>
      <c r="N1503" s="1680"/>
      <c r="O1503" s="1680"/>
      <c r="P1503" s="1680"/>
      <c r="Q1503" s="1680"/>
    </row>
    <row r="1504" spans="1:17">
      <c r="A1504" s="1708"/>
      <c r="B1504" s="1680"/>
      <c r="C1504" s="1874" t="s">
        <v>6369</v>
      </c>
      <c r="D1504" s="1678">
        <f>Data!K3066</f>
        <v>3117.93</v>
      </c>
      <c r="E1504" s="1708" t="s">
        <v>724</v>
      </c>
      <c r="F1504" s="1682"/>
      <c r="G1504" s="1680">
        <f t="shared" si="259"/>
        <v>0</v>
      </c>
      <c r="H1504" s="1680"/>
      <c r="I1504" s="1680"/>
      <c r="J1504" s="1680"/>
      <c r="K1504" s="1680"/>
      <c r="L1504" s="1680"/>
      <c r="M1504" s="1680"/>
      <c r="N1504" s="1680"/>
      <c r="O1504" s="1680"/>
      <c r="P1504" s="1680"/>
      <c r="Q1504" s="1680"/>
    </row>
    <row r="1505" spans="1:17">
      <c r="A1505" s="1708"/>
      <c r="B1505" s="1680"/>
      <c r="C1505" s="1874" t="s">
        <v>6370</v>
      </c>
      <c r="D1505" s="1678">
        <f>Data!R3073</f>
        <v>2926.31</v>
      </c>
      <c r="E1505" s="1708" t="s">
        <v>724</v>
      </c>
      <c r="F1505" s="1682"/>
      <c r="G1505" s="1680">
        <f t="shared" si="259"/>
        <v>0</v>
      </c>
      <c r="H1505" s="1680"/>
      <c r="I1505" s="1680"/>
      <c r="J1505" s="1680"/>
      <c r="K1505" s="1680"/>
      <c r="L1505" s="1680"/>
      <c r="M1505" s="1680"/>
      <c r="N1505" s="1680"/>
      <c r="O1505" s="1680"/>
      <c r="P1505" s="1680"/>
      <c r="Q1505" s="1680"/>
    </row>
    <row r="1506" spans="1:17" ht="46.5">
      <c r="A1506" s="1708"/>
      <c r="B1506" s="1680"/>
      <c r="C1506" s="1874" t="s">
        <v>4783</v>
      </c>
      <c r="D1506" s="1678">
        <f>Data!K2877</f>
        <v>2208.35</v>
      </c>
      <c r="E1506" s="1708" t="s">
        <v>724</v>
      </c>
      <c r="F1506" s="1682"/>
      <c r="G1506" s="1680">
        <f t="shared" si="259"/>
        <v>0</v>
      </c>
      <c r="H1506" s="1680"/>
      <c r="I1506" s="1680"/>
      <c r="J1506" s="1680"/>
      <c r="K1506" s="1680"/>
      <c r="L1506" s="1680"/>
      <c r="M1506" s="1680"/>
      <c r="N1506" s="1680"/>
      <c r="O1506" s="1680"/>
      <c r="P1506" s="1680"/>
      <c r="Q1506" s="1680"/>
    </row>
    <row r="1507" spans="1:17">
      <c r="A1507" s="1708"/>
      <c r="B1507" s="1680"/>
      <c r="C1507" s="1874" t="s">
        <v>6371</v>
      </c>
      <c r="D1507" s="1678">
        <f>Data!K1154</f>
        <v>128.36000000000001</v>
      </c>
      <c r="E1507" s="1708"/>
      <c r="F1507" s="1682"/>
      <c r="G1507" s="1680">
        <f t="shared" si="259"/>
        <v>0</v>
      </c>
      <c r="H1507" s="1680"/>
      <c r="I1507" s="1680"/>
      <c r="J1507" s="1680"/>
      <c r="K1507" s="1680"/>
      <c r="L1507" s="1680"/>
      <c r="M1507" s="1680"/>
      <c r="N1507" s="1680"/>
      <c r="O1507" s="1680"/>
      <c r="P1507" s="1680"/>
      <c r="Q1507" s="1680"/>
    </row>
    <row r="1508" spans="1:17">
      <c r="A1508" s="1708"/>
      <c r="B1508" s="1680"/>
      <c r="C1508" s="1874" t="s">
        <v>6372</v>
      </c>
      <c r="D1508" s="1678">
        <f>Data!K1167</f>
        <v>201.2</v>
      </c>
      <c r="E1508" s="1708"/>
      <c r="F1508" s="1682"/>
      <c r="G1508" s="1680">
        <f t="shared" si="259"/>
        <v>0</v>
      </c>
      <c r="H1508" s="1680"/>
      <c r="I1508" s="1680"/>
      <c r="J1508" s="1680"/>
      <c r="K1508" s="1680"/>
      <c r="L1508" s="1680"/>
      <c r="M1508" s="1680"/>
      <c r="N1508" s="1680"/>
      <c r="O1508" s="1680"/>
      <c r="P1508" s="1680"/>
      <c r="Q1508" s="1680"/>
    </row>
    <row r="1509" spans="1:17">
      <c r="A1509" s="1708"/>
      <c r="B1509" s="1680"/>
      <c r="C1509" s="1874" t="s">
        <v>6373</v>
      </c>
      <c r="D1509" s="1678">
        <f>Data!K2448</f>
        <v>785.66</v>
      </c>
      <c r="E1509" s="1708"/>
      <c r="F1509" s="1682"/>
      <c r="G1509" s="1680">
        <f t="shared" si="259"/>
        <v>0</v>
      </c>
      <c r="H1509" s="1680"/>
      <c r="I1509" s="1680"/>
      <c r="J1509" s="1680"/>
      <c r="K1509" s="1680"/>
      <c r="L1509" s="1680"/>
      <c r="M1509" s="1680"/>
      <c r="N1509" s="1680"/>
      <c r="O1509" s="1680"/>
      <c r="P1509" s="1680"/>
      <c r="Q1509" s="1680"/>
    </row>
    <row r="1510" spans="1:17">
      <c r="A1510" s="1708"/>
      <c r="B1510" s="1680"/>
      <c r="C1510" s="1874" t="s">
        <v>6374</v>
      </c>
      <c r="D1510" s="1678">
        <f>Data!K2798</f>
        <v>1734.23</v>
      </c>
      <c r="E1510" s="1708"/>
      <c r="F1510" s="1682"/>
      <c r="G1510" s="1680">
        <f t="shared" si="259"/>
        <v>0</v>
      </c>
      <c r="H1510" s="1680"/>
      <c r="I1510" s="1680"/>
      <c r="J1510" s="1680"/>
      <c r="K1510" s="1680"/>
      <c r="L1510" s="1680"/>
      <c r="M1510" s="1680"/>
      <c r="N1510" s="1680"/>
      <c r="O1510" s="1680"/>
      <c r="P1510" s="1680"/>
      <c r="Q1510" s="1680"/>
    </row>
    <row r="1511" spans="1:17" ht="69.75">
      <c r="A1511" s="1708"/>
      <c r="B1511" s="1680"/>
      <c r="C1511" s="1874" t="s">
        <v>6375</v>
      </c>
      <c r="D1511" s="1678">
        <f>Elec.Data!K180</f>
        <v>2640</v>
      </c>
      <c r="E1511" s="1708"/>
      <c r="F1511" s="1682"/>
      <c r="G1511" s="1680">
        <f t="shared" si="259"/>
        <v>0</v>
      </c>
      <c r="H1511" s="1680"/>
      <c r="I1511" s="1680"/>
      <c r="J1511" s="1680"/>
      <c r="K1511" s="1680"/>
      <c r="L1511" s="1680"/>
      <c r="M1511" s="1680"/>
      <c r="N1511" s="1680"/>
      <c r="O1511" s="1680"/>
      <c r="P1511" s="1680"/>
      <c r="Q1511" s="1680"/>
    </row>
    <row r="1512" spans="1:17" ht="69.75">
      <c r="A1512" s="1708"/>
      <c r="B1512" s="1680"/>
      <c r="C1512" s="1874" t="s">
        <v>6376</v>
      </c>
      <c r="D1512" s="1678">
        <f>Elec.Data!K192</f>
        <v>2640</v>
      </c>
      <c r="E1512" s="1708"/>
      <c r="F1512" s="1682"/>
      <c r="G1512" s="1680">
        <f t="shared" si="259"/>
        <v>0</v>
      </c>
      <c r="H1512" s="1680"/>
      <c r="I1512" s="1680"/>
      <c r="J1512" s="1680"/>
      <c r="K1512" s="1680"/>
      <c r="L1512" s="1680"/>
      <c r="M1512" s="1680"/>
      <c r="N1512" s="1680"/>
      <c r="O1512" s="1680"/>
      <c r="P1512" s="1680"/>
      <c r="Q1512" s="1680"/>
    </row>
    <row r="1513" spans="1:17" ht="46.5">
      <c r="A1513" s="1708"/>
      <c r="B1513" s="1680"/>
      <c r="C1513" s="1874" t="s">
        <v>6377</v>
      </c>
      <c r="D1513" s="1678">
        <f>Elec.Data!K213</f>
        <v>2712</v>
      </c>
      <c r="E1513" s="1708"/>
      <c r="F1513" s="1682"/>
      <c r="G1513" s="1680">
        <f t="shared" si="259"/>
        <v>0</v>
      </c>
      <c r="H1513" s="1680"/>
      <c r="I1513" s="1680"/>
      <c r="J1513" s="1680"/>
      <c r="K1513" s="1680"/>
      <c r="L1513" s="1680"/>
      <c r="M1513" s="1680"/>
      <c r="N1513" s="1680"/>
      <c r="O1513" s="1680"/>
      <c r="P1513" s="1680"/>
      <c r="Q1513" s="1680"/>
    </row>
    <row r="1514" spans="1:17" ht="69.75">
      <c r="A1514" s="1708"/>
      <c r="B1514" s="1680"/>
      <c r="C1514" s="1874" t="s">
        <v>6378</v>
      </c>
      <c r="D1514" s="1678">
        <f>Elec.Data!K232</f>
        <v>4960</v>
      </c>
      <c r="E1514" s="1708"/>
      <c r="F1514" s="1682"/>
      <c r="G1514" s="1680">
        <f t="shared" si="259"/>
        <v>0</v>
      </c>
      <c r="H1514" s="1680"/>
      <c r="I1514" s="1680"/>
      <c r="J1514" s="1680"/>
      <c r="K1514" s="1680"/>
      <c r="L1514" s="1680"/>
      <c r="M1514" s="1680"/>
      <c r="N1514" s="1680"/>
      <c r="O1514" s="1680"/>
      <c r="P1514" s="1680"/>
      <c r="Q1514" s="1680"/>
    </row>
    <row r="1515" spans="1:17">
      <c r="A1515" s="1708"/>
      <c r="B1515" s="1680"/>
      <c r="C1515" s="1874" t="s">
        <v>2435</v>
      </c>
      <c r="D1515" s="1678">
        <f>Elec.Data!K261</f>
        <v>226</v>
      </c>
      <c r="E1515" s="1708"/>
      <c r="F1515" s="1682"/>
      <c r="G1515" s="1680">
        <f t="shared" si="259"/>
        <v>0</v>
      </c>
      <c r="H1515" s="1680"/>
      <c r="I1515" s="1680"/>
      <c r="J1515" s="1680"/>
      <c r="K1515" s="1680"/>
      <c r="L1515" s="1680"/>
      <c r="M1515" s="1680"/>
      <c r="N1515" s="1680"/>
      <c r="O1515" s="1680"/>
      <c r="P1515" s="1680"/>
      <c r="Q1515" s="1680"/>
    </row>
    <row r="1516" spans="1:17">
      <c r="A1516" s="1708"/>
      <c r="B1516" s="1680"/>
      <c r="C1516" s="1874" t="s">
        <v>2441</v>
      </c>
      <c r="D1516" s="1678">
        <f>Elec.Data!K274</f>
        <v>266</v>
      </c>
      <c r="E1516" s="1708"/>
      <c r="F1516" s="1682"/>
      <c r="G1516" s="1680">
        <f t="shared" si="259"/>
        <v>0</v>
      </c>
      <c r="H1516" s="1680"/>
      <c r="I1516" s="1680"/>
      <c r="J1516" s="1680"/>
      <c r="K1516" s="1680"/>
      <c r="L1516" s="1680"/>
      <c r="M1516" s="1680"/>
      <c r="N1516" s="1680"/>
      <c r="O1516" s="1680"/>
      <c r="P1516" s="1680"/>
      <c r="Q1516" s="1680"/>
    </row>
    <row r="1517" spans="1:17">
      <c r="A1517" s="1708"/>
      <c r="B1517" s="1680"/>
      <c r="C1517" s="1874" t="s">
        <v>2444</v>
      </c>
      <c r="D1517" s="1678">
        <f>Elec.Data!K288</f>
        <v>398</v>
      </c>
      <c r="E1517" s="1708"/>
      <c r="F1517" s="1682"/>
      <c r="G1517" s="1680">
        <f t="shared" si="259"/>
        <v>0</v>
      </c>
      <c r="H1517" s="1680"/>
      <c r="I1517" s="1680"/>
      <c r="J1517" s="1680"/>
      <c r="K1517" s="1680"/>
      <c r="L1517" s="1680"/>
      <c r="M1517" s="1680"/>
      <c r="N1517" s="1680"/>
      <c r="O1517" s="1680"/>
      <c r="P1517" s="1680"/>
      <c r="Q1517" s="1680"/>
    </row>
    <row r="1518" spans="1:17" ht="93">
      <c r="A1518" s="1708"/>
      <c r="B1518" s="1680"/>
      <c r="C1518" s="1874" t="s">
        <v>2475</v>
      </c>
      <c r="D1518" s="1678">
        <f>Elec.Data!K342</f>
        <v>1345.6</v>
      </c>
      <c r="E1518" s="1708"/>
      <c r="F1518" s="1682"/>
      <c r="G1518" s="1680">
        <f t="shared" si="259"/>
        <v>0</v>
      </c>
      <c r="H1518" s="1680"/>
      <c r="I1518" s="1680"/>
      <c r="J1518" s="1680"/>
      <c r="K1518" s="1680"/>
      <c r="L1518" s="1680"/>
      <c r="M1518" s="1680"/>
      <c r="N1518" s="1680"/>
      <c r="O1518" s="1680"/>
      <c r="P1518" s="1680"/>
      <c r="Q1518" s="1680"/>
    </row>
    <row r="1519" spans="1:17" ht="93">
      <c r="A1519" s="1708"/>
      <c r="B1519" s="1680"/>
      <c r="C1519" s="1874" t="s">
        <v>2480</v>
      </c>
      <c r="D1519" s="1678">
        <f>Elec.Data!K353</f>
        <v>1035.5999999999999</v>
      </c>
      <c r="E1519" s="1708"/>
      <c r="F1519" s="1682"/>
      <c r="G1519" s="1680">
        <f t="shared" si="259"/>
        <v>0</v>
      </c>
      <c r="H1519" s="1680"/>
      <c r="I1519" s="1680"/>
      <c r="J1519" s="1680"/>
      <c r="K1519" s="1680"/>
      <c r="L1519" s="1680"/>
      <c r="M1519" s="1680"/>
      <c r="N1519" s="1680"/>
      <c r="O1519" s="1680"/>
      <c r="P1519" s="1680"/>
      <c r="Q1519" s="1680"/>
    </row>
    <row r="1520" spans="1:17" ht="69.75">
      <c r="A1520" s="1708"/>
      <c r="B1520" s="1680"/>
      <c r="C1520" s="1874" t="s">
        <v>2484</v>
      </c>
      <c r="D1520" s="1678">
        <f>Elec.Data!K364</f>
        <v>1723</v>
      </c>
      <c r="E1520" s="1708"/>
      <c r="F1520" s="1682"/>
      <c r="G1520" s="1680">
        <f t="shared" si="259"/>
        <v>0</v>
      </c>
      <c r="H1520" s="1680"/>
      <c r="I1520" s="1680"/>
      <c r="J1520" s="1680"/>
      <c r="K1520" s="1680"/>
      <c r="L1520" s="1680"/>
      <c r="M1520" s="1680"/>
      <c r="N1520" s="1680"/>
      <c r="O1520" s="1680"/>
      <c r="P1520" s="1680"/>
      <c r="Q1520" s="1680"/>
    </row>
    <row r="1521" spans="1:17" ht="69.75">
      <c r="A1521" s="1708"/>
      <c r="B1521" s="1680"/>
      <c r="C1521" s="1874" t="s">
        <v>6379</v>
      </c>
      <c r="D1521" s="1678">
        <f>Elec.Data!K379</f>
        <v>2157.0300000000002</v>
      </c>
      <c r="E1521" s="1708"/>
      <c r="F1521" s="1682"/>
      <c r="G1521" s="1680">
        <f t="shared" si="259"/>
        <v>0</v>
      </c>
      <c r="H1521" s="1680"/>
      <c r="I1521" s="1680"/>
      <c r="J1521" s="1680"/>
      <c r="K1521" s="1680"/>
      <c r="L1521" s="1680"/>
      <c r="M1521" s="1680"/>
      <c r="N1521" s="1680"/>
      <c r="O1521" s="1680"/>
      <c r="P1521" s="1680"/>
      <c r="Q1521" s="1680"/>
    </row>
    <row r="1522" spans="1:17" ht="116.25">
      <c r="A1522" s="1708"/>
      <c r="B1522" s="1680"/>
      <c r="C1522" s="1874" t="s">
        <v>2501</v>
      </c>
      <c r="D1522" s="1678">
        <f>Elec.Data!K402</f>
        <v>4212</v>
      </c>
      <c r="E1522" s="1708"/>
      <c r="F1522" s="1682"/>
      <c r="G1522" s="1680">
        <f t="shared" si="259"/>
        <v>0</v>
      </c>
      <c r="H1522" s="1680"/>
      <c r="I1522" s="1680"/>
      <c r="J1522" s="1680"/>
      <c r="K1522" s="1680"/>
      <c r="L1522" s="1680"/>
      <c r="M1522" s="1680"/>
      <c r="N1522" s="1680"/>
      <c r="O1522" s="1680"/>
      <c r="P1522" s="1680"/>
      <c r="Q1522" s="1680"/>
    </row>
    <row r="1523" spans="1:17" ht="93">
      <c r="A1523" s="1708"/>
      <c r="B1523" s="1680"/>
      <c r="C1523" s="1874" t="s">
        <v>2494</v>
      </c>
      <c r="D1523" s="1678">
        <f>Elec.Data!K390</f>
        <v>3430</v>
      </c>
      <c r="E1523" s="1708"/>
      <c r="F1523" s="1682"/>
      <c r="G1523" s="1680">
        <f t="shared" si="259"/>
        <v>0</v>
      </c>
      <c r="H1523" s="1680"/>
      <c r="I1523" s="1680"/>
      <c r="J1523" s="1680"/>
      <c r="K1523" s="1680"/>
      <c r="L1523" s="1680"/>
      <c r="M1523" s="1680"/>
      <c r="N1523" s="1680"/>
      <c r="O1523" s="1680"/>
      <c r="P1523" s="1680"/>
      <c r="Q1523" s="1680"/>
    </row>
    <row r="1524" spans="1:17" ht="46.5">
      <c r="A1524" s="1708"/>
      <c r="B1524" s="1680"/>
      <c r="C1524" s="1874" t="s">
        <v>2506</v>
      </c>
      <c r="D1524" s="1678">
        <f>Elec.Data!K414</f>
        <v>0</v>
      </c>
      <c r="E1524" s="1708"/>
      <c r="F1524" s="1682"/>
      <c r="G1524" s="1680">
        <f t="shared" si="259"/>
        <v>0</v>
      </c>
      <c r="H1524" s="1680"/>
      <c r="I1524" s="1680"/>
      <c r="J1524" s="1680"/>
      <c r="K1524" s="1680"/>
      <c r="L1524" s="1680"/>
      <c r="M1524" s="1680"/>
      <c r="N1524" s="1680"/>
      <c r="O1524" s="1680"/>
      <c r="P1524" s="1680"/>
      <c r="Q1524" s="1680"/>
    </row>
    <row r="1525" spans="1:17" ht="46.5">
      <c r="A1525" s="1708"/>
      <c r="B1525" s="1680"/>
      <c r="C1525" s="1874" t="s">
        <v>2516</v>
      </c>
      <c r="D1525" s="1678">
        <f>Elec.Data!K432</f>
        <v>0</v>
      </c>
      <c r="E1525" s="1708"/>
      <c r="F1525" s="1682"/>
      <c r="G1525" s="1680">
        <f t="shared" si="259"/>
        <v>0</v>
      </c>
      <c r="H1525" s="1680"/>
      <c r="I1525" s="1680"/>
      <c r="J1525" s="1680"/>
      <c r="K1525" s="1680"/>
      <c r="L1525" s="1680"/>
      <c r="M1525" s="1680"/>
      <c r="N1525" s="1680"/>
      <c r="O1525" s="1680"/>
      <c r="P1525" s="1680"/>
      <c r="Q1525" s="1680"/>
    </row>
    <row r="1526" spans="1:17" ht="46.5">
      <c r="A1526" s="1708"/>
      <c r="B1526" s="1680"/>
      <c r="C1526" s="1874" t="s">
        <v>6380</v>
      </c>
      <c r="D1526" s="1678">
        <f>Elec.Data!K503</f>
        <v>0</v>
      </c>
      <c r="E1526" s="1708"/>
      <c r="F1526" s="1682"/>
      <c r="G1526" s="1680">
        <f t="shared" si="259"/>
        <v>0</v>
      </c>
      <c r="H1526" s="1680"/>
      <c r="I1526" s="1680"/>
      <c r="J1526" s="1680"/>
      <c r="K1526" s="1680"/>
      <c r="L1526" s="1680"/>
      <c r="M1526" s="1680"/>
      <c r="N1526" s="1680"/>
      <c r="O1526" s="1680"/>
      <c r="P1526" s="1680"/>
      <c r="Q1526" s="1680"/>
    </row>
    <row r="1527" spans="1:17" ht="46.5">
      <c r="A1527" s="1708"/>
      <c r="B1527" s="1680"/>
      <c r="C1527" s="1874" t="s">
        <v>6381</v>
      </c>
      <c r="D1527" s="1678">
        <f>Elec.Data!K518</f>
        <v>0</v>
      </c>
      <c r="E1527" s="1708"/>
      <c r="F1527" s="1682"/>
      <c r="G1527" s="1680">
        <f t="shared" si="259"/>
        <v>0</v>
      </c>
      <c r="H1527" s="1680"/>
      <c r="I1527" s="1680"/>
      <c r="J1527" s="1680"/>
      <c r="K1527" s="1680"/>
      <c r="L1527" s="1680"/>
      <c r="M1527" s="1680"/>
      <c r="N1527" s="1680"/>
      <c r="O1527" s="1680"/>
      <c r="P1527" s="1680"/>
      <c r="Q1527" s="1680"/>
    </row>
    <row r="1528" spans="1:17" ht="46.5">
      <c r="A1528" s="1708"/>
      <c r="B1528" s="1680"/>
      <c r="C1528" s="1874" t="s">
        <v>6382</v>
      </c>
      <c r="D1528" s="1678">
        <f>Elec.Data!K536</f>
        <v>0</v>
      </c>
      <c r="E1528" s="1708"/>
      <c r="F1528" s="1682"/>
      <c r="G1528" s="1680">
        <f t="shared" si="259"/>
        <v>0</v>
      </c>
      <c r="H1528" s="1680"/>
      <c r="I1528" s="1680"/>
      <c r="J1528" s="1680"/>
      <c r="K1528" s="1680"/>
      <c r="L1528" s="1680"/>
      <c r="M1528" s="1680"/>
      <c r="N1528" s="1680"/>
      <c r="O1528" s="1680"/>
      <c r="P1528" s="1680"/>
      <c r="Q1528" s="1680"/>
    </row>
    <row r="1529" spans="1:17" ht="46.5">
      <c r="A1529" s="1708"/>
      <c r="B1529" s="1680"/>
      <c r="C1529" s="1874" t="s">
        <v>6383</v>
      </c>
      <c r="D1529" s="1678">
        <f>Elec.Data!K549</f>
        <v>0</v>
      </c>
      <c r="E1529" s="1708"/>
      <c r="F1529" s="1682"/>
      <c r="G1529" s="1680">
        <f t="shared" si="259"/>
        <v>0</v>
      </c>
      <c r="H1529" s="1680"/>
      <c r="I1529" s="1680"/>
      <c r="J1529" s="1680"/>
      <c r="K1529" s="1680"/>
      <c r="L1529" s="1680"/>
      <c r="M1529" s="1680"/>
      <c r="N1529" s="1680"/>
      <c r="O1529" s="1680"/>
      <c r="P1529" s="1680"/>
      <c r="Q1529" s="1680"/>
    </row>
    <row r="1530" spans="1:17" ht="46.5">
      <c r="A1530" s="1708"/>
      <c r="B1530" s="1680"/>
      <c r="C1530" s="1874" t="s">
        <v>2572</v>
      </c>
      <c r="D1530" s="1678">
        <f>Elec.Data!K554</f>
        <v>0</v>
      </c>
      <c r="E1530" s="1708"/>
      <c r="F1530" s="1682"/>
      <c r="G1530" s="1680">
        <f t="shared" si="259"/>
        <v>0</v>
      </c>
      <c r="H1530" s="1680"/>
      <c r="I1530" s="1680"/>
      <c r="J1530" s="1680"/>
      <c r="K1530" s="1680"/>
      <c r="L1530" s="1680"/>
      <c r="M1530" s="1680"/>
      <c r="N1530" s="1680"/>
      <c r="O1530" s="1680"/>
      <c r="P1530" s="1680"/>
      <c r="Q1530" s="1680"/>
    </row>
    <row r="1531" spans="1:17" ht="46.5">
      <c r="A1531" s="1708"/>
      <c r="B1531" s="1680"/>
      <c r="C1531" s="1874" t="s">
        <v>2574</v>
      </c>
      <c r="D1531" s="1678">
        <f>Elec.Data!K559</f>
        <v>0</v>
      </c>
      <c r="E1531" s="1708"/>
      <c r="F1531" s="1682"/>
      <c r="G1531" s="1680">
        <f t="shared" si="259"/>
        <v>0</v>
      </c>
      <c r="H1531" s="1680"/>
      <c r="I1531" s="1680"/>
      <c r="J1531" s="1680"/>
      <c r="K1531" s="1680"/>
      <c r="L1531" s="1680"/>
      <c r="M1531" s="1680"/>
      <c r="N1531" s="1680"/>
      <c r="O1531" s="1680"/>
      <c r="P1531" s="1680"/>
      <c r="Q1531" s="1680"/>
    </row>
    <row r="1532" spans="1:17" ht="69.75">
      <c r="A1532" s="1708"/>
      <c r="B1532" s="1680"/>
      <c r="C1532" s="1874" t="s">
        <v>6384</v>
      </c>
      <c r="D1532" s="1678">
        <f>Elec.Data!K671</f>
        <v>0</v>
      </c>
      <c r="E1532" s="1708"/>
      <c r="F1532" s="1682"/>
      <c r="G1532" s="1680">
        <f t="shared" si="259"/>
        <v>0</v>
      </c>
      <c r="H1532" s="1680"/>
      <c r="I1532" s="1680"/>
      <c r="J1532" s="1680"/>
      <c r="K1532" s="1680"/>
      <c r="L1532" s="1680"/>
      <c r="M1532" s="1680"/>
      <c r="N1532" s="1680"/>
      <c r="O1532" s="1680"/>
      <c r="P1532" s="1680"/>
      <c r="Q1532" s="1680"/>
    </row>
    <row r="1533" spans="1:17" ht="69.75">
      <c r="A1533" s="1708"/>
      <c r="B1533" s="1680"/>
      <c r="C1533" s="1874" t="s">
        <v>6385</v>
      </c>
      <c r="D1533" s="1678">
        <f>Elec.Data!K709</f>
        <v>0</v>
      </c>
      <c r="E1533" s="1708"/>
      <c r="F1533" s="1682"/>
      <c r="G1533" s="1680">
        <f t="shared" si="259"/>
        <v>0</v>
      </c>
      <c r="H1533" s="1680"/>
      <c r="I1533" s="1680"/>
      <c r="J1533" s="1680"/>
      <c r="K1533" s="1680"/>
      <c r="L1533" s="1680"/>
      <c r="M1533" s="1680"/>
      <c r="N1533" s="1680"/>
      <c r="O1533" s="1680"/>
      <c r="P1533" s="1680"/>
      <c r="Q1533" s="1680"/>
    </row>
    <row r="1534" spans="1:17">
      <c r="A1534" s="1708"/>
      <c r="B1534" s="1680"/>
      <c r="C1534" s="1874" t="s">
        <v>6386</v>
      </c>
      <c r="D1534" s="1678">
        <f>Elec.Data!K716</f>
        <v>165</v>
      </c>
      <c r="E1534" s="1708"/>
      <c r="F1534" s="1682"/>
      <c r="G1534" s="1680">
        <f t="shared" si="259"/>
        <v>0</v>
      </c>
      <c r="H1534" s="1680"/>
      <c r="I1534" s="1680"/>
      <c r="J1534" s="1680"/>
      <c r="K1534" s="1680"/>
      <c r="L1534" s="1680"/>
      <c r="M1534" s="1680"/>
      <c r="N1534" s="1680"/>
      <c r="O1534" s="1680"/>
      <c r="P1534" s="1680"/>
      <c r="Q1534" s="1680"/>
    </row>
    <row r="1535" spans="1:17">
      <c r="A1535" s="1708"/>
      <c r="B1535" s="1680"/>
      <c r="C1535" s="1874" t="s">
        <v>2647</v>
      </c>
      <c r="D1535" s="1678">
        <f>Elec.Data!K737</f>
        <v>0</v>
      </c>
      <c r="E1535" s="1708"/>
      <c r="F1535" s="1682"/>
      <c r="G1535" s="1680">
        <f t="shared" si="259"/>
        <v>0</v>
      </c>
      <c r="H1535" s="1680"/>
      <c r="I1535" s="1680"/>
      <c r="J1535" s="1680"/>
      <c r="K1535" s="1680"/>
      <c r="L1535" s="1680"/>
      <c r="M1535" s="1680"/>
      <c r="N1535" s="1680"/>
      <c r="O1535" s="1680"/>
      <c r="P1535" s="1680"/>
      <c r="Q1535" s="1680"/>
    </row>
    <row r="1536" spans="1:17">
      <c r="A1536" s="1708"/>
      <c r="B1536" s="1680"/>
      <c r="C1536" s="1874" t="s">
        <v>2653</v>
      </c>
      <c r="D1536" s="1678">
        <f>Elec.Data!K754</f>
        <v>0</v>
      </c>
      <c r="E1536" s="1708"/>
      <c r="F1536" s="1682"/>
      <c r="G1536" s="1680">
        <f t="shared" si="259"/>
        <v>0</v>
      </c>
      <c r="H1536" s="1680"/>
      <c r="I1536" s="1680"/>
      <c r="J1536" s="1680"/>
      <c r="K1536" s="1680"/>
      <c r="L1536" s="1680"/>
      <c r="M1536" s="1680"/>
      <c r="N1536" s="1680"/>
      <c r="O1536" s="1680"/>
      <c r="P1536" s="1680"/>
      <c r="Q1536" s="1680"/>
    </row>
    <row r="1537" spans="1:17">
      <c r="A1537" s="1708"/>
      <c r="B1537" s="1680"/>
      <c r="C1537" s="1874" t="s">
        <v>2674</v>
      </c>
      <c r="D1537" s="1678">
        <f>Elec.Data!K789</f>
        <v>0</v>
      </c>
      <c r="E1537" s="1708"/>
      <c r="F1537" s="1682"/>
      <c r="G1537" s="1680">
        <f t="shared" si="259"/>
        <v>0</v>
      </c>
      <c r="H1537" s="1680"/>
      <c r="I1537" s="1680"/>
      <c r="J1537" s="1680"/>
      <c r="K1537" s="1680"/>
      <c r="L1537" s="1680"/>
      <c r="M1537" s="1680"/>
      <c r="N1537" s="1680"/>
      <c r="O1537" s="1680"/>
      <c r="P1537" s="1680"/>
      <c r="Q1537" s="1680"/>
    </row>
    <row r="1538" spans="1:17" ht="116.25">
      <c r="A1538" s="1708"/>
      <c r="B1538" s="1680"/>
      <c r="C1538" s="1874" t="s">
        <v>2691</v>
      </c>
      <c r="D1538" s="1678">
        <f>Elec.Data!K820</f>
        <v>0</v>
      </c>
      <c r="E1538" s="1708"/>
      <c r="F1538" s="1682"/>
      <c r="G1538" s="1680">
        <f t="shared" si="259"/>
        <v>0</v>
      </c>
      <c r="H1538" s="1680"/>
      <c r="I1538" s="1680"/>
      <c r="J1538" s="1680"/>
      <c r="K1538" s="1680"/>
      <c r="L1538" s="1680"/>
      <c r="M1538" s="1680"/>
      <c r="N1538" s="1680"/>
      <c r="O1538" s="1680"/>
      <c r="P1538" s="1680"/>
      <c r="Q1538" s="1680"/>
    </row>
    <row r="1539" spans="1:17" ht="69.75">
      <c r="A1539" s="1708"/>
      <c r="B1539" s="1680"/>
      <c r="C1539" s="1874" t="s">
        <v>6387</v>
      </c>
      <c r="D1539" s="1678">
        <f>Elec.Data!K846</f>
        <v>281.56</v>
      </c>
      <c r="E1539" s="1708"/>
      <c r="F1539" s="1682"/>
      <c r="G1539" s="1680">
        <f t="shared" si="259"/>
        <v>0</v>
      </c>
      <c r="H1539" s="1680"/>
      <c r="I1539" s="1680"/>
      <c r="J1539" s="1680"/>
      <c r="K1539" s="1680"/>
      <c r="L1539" s="1680"/>
      <c r="M1539" s="1680"/>
      <c r="N1539" s="1680"/>
      <c r="O1539" s="1680"/>
      <c r="P1539" s="1680"/>
      <c r="Q1539" s="1680"/>
    </row>
    <row r="1540" spans="1:17" ht="46.5">
      <c r="A1540" s="1708"/>
      <c r="B1540" s="1680"/>
      <c r="C1540" s="1874" t="s">
        <v>6388</v>
      </c>
      <c r="D1540" s="1678">
        <f>Elec.Data!K864</f>
        <v>96.41</v>
      </c>
      <c r="E1540" s="1708"/>
      <c r="F1540" s="1682"/>
      <c r="G1540" s="1680">
        <f t="shared" si="259"/>
        <v>0</v>
      </c>
      <c r="H1540" s="1680"/>
      <c r="I1540" s="1680"/>
      <c r="J1540" s="1680"/>
      <c r="K1540" s="1680"/>
      <c r="L1540" s="1680"/>
      <c r="M1540" s="1680"/>
      <c r="N1540" s="1680"/>
      <c r="O1540" s="1680"/>
      <c r="P1540" s="1680"/>
      <c r="Q1540" s="1680"/>
    </row>
    <row r="1541" spans="1:17">
      <c r="A1541" s="1708"/>
      <c r="B1541" s="1680"/>
      <c r="C1541" s="1874" t="s">
        <v>2715</v>
      </c>
      <c r="D1541" s="1678">
        <f>Elec.Data!K871</f>
        <v>54.47</v>
      </c>
      <c r="E1541" s="1708"/>
      <c r="F1541" s="1682"/>
      <c r="G1541" s="1680">
        <f t="shared" si="259"/>
        <v>0</v>
      </c>
      <c r="H1541" s="1680"/>
      <c r="I1541" s="1680"/>
      <c r="J1541" s="1680"/>
      <c r="K1541" s="1680"/>
      <c r="L1541" s="1680"/>
      <c r="M1541" s="1680"/>
      <c r="N1541" s="1680"/>
      <c r="O1541" s="1680"/>
      <c r="P1541" s="1680"/>
      <c r="Q1541" s="1680"/>
    </row>
    <row r="1542" spans="1:17" ht="93">
      <c r="A1542" s="1708"/>
      <c r="B1542" s="1680"/>
      <c r="C1542" s="1874" t="s">
        <v>6389</v>
      </c>
      <c r="D1542" s="1678">
        <f>Elec.Data!K896</f>
        <v>6940.2</v>
      </c>
      <c r="E1542" s="1708"/>
      <c r="F1542" s="1682"/>
      <c r="G1542" s="1680">
        <f t="shared" si="259"/>
        <v>0</v>
      </c>
      <c r="H1542" s="1680"/>
      <c r="I1542" s="1680"/>
      <c r="J1542" s="1680"/>
      <c r="K1542" s="1680"/>
      <c r="L1542" s="1680"/>
      <c r="M1542" s="1680"/>
      <c r="N1542" s="1680"/>
      <c r="O1542" s="1680"/>
      <c r="P1542" s="1680"/>
      <c r="Q1542" s="1680"/>
    </row>
    <row r="1543" spans="1:17">
      <c r="A1543" s="1708"/>
      <c r="B1543" s="1680"/>
      <c r="C1543" s="1874" t="s">
        <v>3003</v>
      </c>
      <c r="D1543" s="1678">
        <f>Elec.Data!K943</f>
        <v>606</v>
      </c>
      <c r="E1543" s="1708"/>
      <c r="F1543" s="1682"/>
      <c r="G1543" s="1680">
        <f t="shared" si="259"/>
        <v>0</v>
      </c>
      <c r="H1543" s="1680"/>
      <c r="I1543" s="1680"/>
      <c r="J1543" s="1680"/>
      <c r="K1543" s="1680"/>
      <c r="L1543" s="1680"/>
      <c r="M1543" s="1680"/>
      <c r="N1543" s="1680"/>
      <c r="O1543" s="1680"/>
      <c r="P1543" s="1680"/>
      <c r="Q1543" s="1680"/>
    </row>
    <row r="1544" spans="1:17" ht="46.5">
      <c r="A1544" s="1708"/>
      <c r="B1544" s="1680"/>
      <c r="C1544" s="1882" t="s">
        <v>6390</v>
      </c>
      <c r="D1544" s="1678">
        <f>Elec.Data!K993</f>
        <v>895</v>
      </c>
      <c r="E1544" s="1708"/>
      <c r="F1544" s="1682"/>
      <c r="G1544" s="1680">
        <f t="shared" si="259"/>
        <v>0</v>
      </c>
      <c r="H1544" s="1680"/>
      <c r="I1544" s="1680"/>
      <c r="J1544" s="1680"/>
      <c r="K1544" s="1680"/>
      <c r="L1544" s="1680"/>
      <c r="M1544" s="1680"/>
      <c r="N1544" s="1680"/>
      <c r="O1544" s="1680"/>
      <c r="P1544" s="1680"/>
      <c r="Q1544" s="1680"/>
    </row>
    <row r="1545" spans="1:17" ht="46.5">
      <c r="A1545" s="1708"/>
      <c r="B1545" s="1680"/>
      <c r="C1545" s="1874" t="s">
        <v>6391</v>
      </c>
      <c r="D1545" s="1678">
        <f>Elec.Data!K1019</f>
        <v>897</v>
      </c>
      <c r="E1545" s="1708"/>
      <c r="F1545" s="1682"/>
      <c r="G1545" s="1680">
        <f t="shared" si="259"/>
        <v>0</v>
      </c>
      <c r="H1545" s="1680"/>
      <c r="I1545" s="1680"/>
      <c r="J1545" s="1680"/>
      <c r="K1545" s="1680"/>
      <c r="L1545" s="1680"/>
      <c r="M1545" s="1680"/>
      <c r="N1545" s="1680"/>
      <c r="O1545" s="1680"/>
      <c r="P1545" s="1680"/>
      <c r="Q1545" s="1680"/>
    </row>
    <row r="1546" spans="1:17" ht="69.75">
      <c r="A1546" s="1708"/>
      <c r="B1546" s="1680"/>
      <c r="C1546" s="1882" t="s">
        <v>6392</v>
      </c>
      <c r="D1546" s="1678">
        <f>Elec.Data!K1035</f>
        <v>934.35</v>
      </c>
      <c r="E1546" s="1708"/>
      <c r="F1546" s="1682"/>
      <c r="G1546" s="1680">
        <f t="shared" si="259"/>
        <v>0</v>
      </c>
      <c r="H1546" s="1680"/>
      <c r="I1546" s="1680"/>
      <c r="J1546" s="1680"/>
      <c r="K1546" s="1680"/>
      <c r="L1546" s="1680"/>
      <c r="M1546" s="1680"/>
      <c r="N1546" s="1680"/>
      <c r="O1546" s="1680"/>
      <c r="P1546" s="1680"/>
      <c r="Q1546" s="1680"/>
    </row>
    <row r="1547" spans="1:17" ht="69.75">
      <c r="A1547" s="1708"/>
      <c r="B1547" s="1680"/>
      <c r="C1547" s="1882" t="s">
        <v>6393</v>
      </c>
      <c r="D1547" s="1678">
        <f>Elec.Data!K1057</f>
        <v>980.1</v>
      </c>
      <c r="E1547" s="1708"/>
      <c r="F1547" s="1682"/>
      <c r="G1547" s="1680">
        <f t="shared" si="259"/>
        <v>0</v>
      </c>
      <c r="H1547" s="1680"/>
      <c r="I1547" s="1680"/>
      <c r="J1547" s="1680"/>
      <c r="K1547" s="1680"/>
      <c r="L1547" s="1680"/>
      <c r="M1547" s="1680"/>
      <c r="N1547" s="1680"/>
      <c r="O1547" s="1680"/>
      <c r="P1547" s="1680"/>
      <c r="Q1547" s="1680"/>
    </row>
    <row r="1548" spans="1:17" ht="69.75">
      <c r="A1548" s="1708"/>
      <c r="B1548" s="1680"/>
      <c r="C1548" s="1882" t="s">
        <v>6394</v>
      </c>
      <c r="D1548" s="1678">
        <f>Elec.Data!K1077</f>
        <v>2126.6999999999998</v>
      </c>
      <c r="E1548" s="1708"/>
      <c r="F1548" s="1682"/>
      <c r="G1548" s="1680">
        <f t="shared" si="259"/>
        <v>0</v>
      </c>
      <c r="H1548" s="1680"/>
      <c r="I1548" s="1680"/>
      <c r="J1548" s="1680"/>
      <c r="K1548" s="1680"/>
      <c r="L1548" s="1680"/>
      <c r="M1548" s="1680"/>
      <c r="N1548" s="1680"/>
      <c r="O1548" s="1680"/>
      <c r="P1548" s="1680"/>
      <c r="Q1548" s="1680"/>
    </row>
    <row r="1549" spans="1:17" ht="69.75">
      <c r="A1549" s="1708"/>
      <c r="B1549" s="1680"/>
      <c r="C1549" s="1882" t="s">
        <v>6395</v>
      </c>
      <c r="D1549" s="1678">
        <f>Elec.Data!K1096</f>
        <v>689.21</v>
      </c>
      <c r="E1549" s="1708"/>
      <c r="F1549" s="1682"/>
      <c r="G1549" s="1680">
        <f t="shared" si="259"/>
        <v>0</v>
      </c>
      <c r="H1549" s="1680"/>
      <c r="I1549" s="1680"/>
      <c r="J1549" s="1680"/>
      <c r="K1549" s="1680"/>
      <c r="L1549" s="1680"/>
      <c r="M1549" s="1680"/>
      <c r="N1549" s="1680"/>
      <c r="O1549" s="1680"/>
      <c r="P1549" s="1680"/>
      <c r="Q1549" s="1680"/>
    </row>
    <row r="1550" spans="1:17" ht="46.5">
      <c r="A1550" s="1708"/>
      <c r="B1550" s="1680"/>
      <c r="C1550" s="1882" t="s">
        <v>6396</v>
      </c>
      <c r="D1550" s="1678">
        <f>Elec.Data!K1120</f>
        <v>128.19999999999999</v>
      </c>
      <c r="E1550" s="1708"/>
      <c r="F1550" s="1682"/>
      <c r="G1550" s="1680">
        <f t="shared" si="259"/>
        <v>0</v>
      </c>
      <c r="H1550" s="1680"/>
      <c r="I1550" s="1680"/>
      <c r="J1550" s="1680"/>
      <c r="K1550" s="1680"/>
      <c r="L1550" s="1680"/>
      <c r="M1550" s="1680"/>
      <c r="N1550" s="1680"/>
      <c r="O1550" s="1680"/>
      <c r="P1550" s="1680"/>
      <c r="Q1550" s="1680"/>
    </row>
    <row r="1551" spans="1:17" ht="46.5">
      <c r="A1551" s="1708"/>
      <c r="B1551" s="1680"/>
      <c r="C1551" s="1874" t="s">
        <v>6397</v>
      </c>
      <c r="D1551" s="1678">
        <f>Elec.Data!K1131</f>
        <v>146.6</v>
      </c>
      <c r="E1551" s="1708"/>
      <c r="F1551" s="1682"/>
      <c r="G1551" s="1680">
        <f t="shared" si="259"/>
        <v>0</v>
      </c>
      <c r="H1551" s="1680"/>
      <c r="I1551" s="1680"/>
      <c r="J1551" s="1680"/>
      <c r="K1551" s="1680"/>
      <c r="L1551" s="1680"/>
      <c r="M1551" s="1680"/>
      <c r="N1551" s="1680"/>
      <c r="O1551" s="1680"/>
      <c r="P1551" s="1680"/>
      <c r="Q1551" s="1680"/>
    </row>
    <row r="1552" spans="1:17">
      <c r="A1552" s="1708"/>
      <c r="B1552" s="1680"/>
      <c r="C1552" s="1874" t="s">
        <v>6398</v>
      </c>
      <c r="D1552" s="1678">
        <f>Data!R384</f>
        <v>24.02</v>
      </c>
      <c r="E1552" s="1708"/>
      <c r="F1552" s="1682"/>
      <c r="G1552" s="1680">
        <f t="shared" si="259"/>
        <v>0</v>
      </c>
      <c r="H1552" s="1680"/>
      <c r="I1552" s="1680"/>
      <c r="J1552" s="1680"/>
      <c r="K1552" s="1680"/>
      <c r="L1552" s="1680"/>
      <c r="M1552" s="1680"/>
      <c r="N1552" s="1680"/>
      <c r="O1552" s="1680"/>
      <c r="P1552" s="1680"/>
      <c r="Q1552" s="1680"/>
    </row>
    <row r="1553" spans="1:17">
      <c r="A1553" s="1708"/>
      <c r="B1553" s="1680"/>
      <c r="C1553" s="1874" t="s">
        <v>6399</v>
      </c>
      <c r="D1553" s="1678">
        <f>D1551+D1554</f>
        <v>181.58</v>
      </c>
      <c r="E1553" s="1708"/>
      <c r="F1553" s="1682"/>
      <c r="G1553" s="1680">
        <f t="shared" ref="G1553:G1616" si="260">F1553*D1553</f>
        <v>0</v>
      </c>
      <c r="H1553" s="1680"/>
      <c r="I1553" s="1680"/>
      <c r="J1553" s="1680"/>
      <c r="K1553" s="1680"/>
      <c r="L1553" s="1680"/>
      <c r="M1553" s="1680"/>
      <c r="N1553" s="1680"/>
      <c r="O1553" s="1680"/>
      <c r="P1553" s="1680"/>
      <c r="Q1553" s="1680"/>
    </row>
    <row r="1554" spans="1:17">
      <c r="A1554" s="1708"/>
      <c r="B1554" s="1680"/>
      <c r="C1554" s="1874" t="s">
        <v>6400</v>
      </c>
      <c r="D1554" s="1678">
        <f>Data!R398</f>
        <v>34.979999999999997</v>
      </c>
      <c r="E1554" s="1708"/>
      <c r="F1554" s="1682"/>
      <c r="G1554" s="1680">
        <f t="shared" si="260"/>
        <v>0</v>
      </c>
      <c r="H1554" s="1680"/>
      <c r="I1554" s="1680"/>
      <c r="J1554" s="1680"/>
      <c r="K1554" s="1680"/>
      <c r="L1554" s="1680"/>
      <c r="M1554" s="1680"/>
      <c r="N1554" s="1680"/>
      <c r="O1554" s="1680"/>
      <c r="P1554" s="1680"/>
      <c r="Q1554" s="1680"/>
    </row>
    <row r="1555" spans="1:17">
      <c r="A1555" s="1708"/>
      <c r="B1555" s="1680"/>
      <c r="C1555" s="1874" t="s">
        <v>6401</v>
      </c>
      <c r="D1555" s="1678">
        <f>Data!I3172</f>
        <v>4.4000000000000004</v>
      </c>
      <c r="E1555" s="1708"/>
      <c r="F1555" s="1682"/>
      <c r="G1555" s="1680">
        <f t="shared" si="260"/>
        <v>0</v>
      </c>
      <c r="H1555" s="1680"/>
      <c r="I1555" s="1680"/>
      <c r="J1555" s="1680"/>
      <c r="K1555" s="1680"/>
      <c r="L1555" s="1680"/>
      <c r="M1555" s="1680"/>
      <c r="N1555" s="1680"/>
      <c r="O1555" s="1680"/>
      <c r="P1555" s="1680"/>
      <c r="Q1555" s="1680"/>
    </row>
    <row r="1556" spans="1:17">
      <c r="A1556" s="1708"/>
      <c r="B1556" s="1680"/>
      <c r="C1556" s="1874" t="s">
        <v>6402</v>
      </c>
      <c r="D1556" s="1678">
        <f>Data!I3198</f>
        <v>9.52</v>
      </c>
      <c r="E1556" s="1708"/>
      <c r="F1556" s="1682"/>
      <c r="G1556" s="1680">
        <f t="shared" si="260"/>
        <v>0</v>
      </c>
      <c r="H1556" s="1680"/>
      <c r="I1556" s="1680"/>
      <c r="J1556" s="1680"/>
      <c r="K1556" s="1680"/>
      <c r="L1556" s="1680"/>
      <c r="M1556" s="1680"/>
      <c r="N1556" s="1680"/>
      <c r="O1556" s="1680"/>
      <c r="P1556" s="1680"/>
      <c r="Q1556" s="1680"/>
    </row>
    <row r="1557" spans="1:17">
      <c r="A1557" s="1708"/>
      <c r="B1557" s="1680"/>
      <c r="C1557" s="1874" t="s">
        <v>6403</v>
      </c>
      <c r="D1557" s="1678">
        <f>Data!I3212</f>
        <v>10.29</v>
      </c>
      <c r="E1557" s="1708"/>
      <c r="F1557" s="1682"/>
      <c r="G1557" s="1680">
        <f t="shared" si="260"/>
        <v>0</v>
      </c>
      <c r="H1557" s="1680"/>
      <c r="I1557" s="1680"/>
      <c r="J1557" s="1680"/>
      <c r="K1557" s="1680"/>
      <c r="L1557" s="1680"/>
      <c r="M1557" s="1680"/>
      <c r="N1557" s="1680"/>
      <c r="O1557" s="1680"/>
      <c r="P1557" s="1680"/>
      <c r="Q1557" s="1680"/>
    </row>
    <row r="1558" spans="1:17">
      <c r="A1558" s="1708"/>
      <c r="B1558" s="1680"/>
      <c r="C1558" s="1874" t="s">
        <v>6404</v>
      </c>
      <c r="D1558" s="1678">
        <f>Data!K3188</f>
        <v>73.63</v>
      </c>
      <c r="E1558" s="1708"/>
      <c r="F1558" s="1682"/>
      <c r="G1558" s="1680">
        <f t="shared" si="260"/>
        <v>0</v>
      </c>
      <c r="H1558" s="1680"/>
      <c r="I1558" s="1680"/>
      <c r="J1558" s="1680"/>
      <c r="K1558" s="1680"/>
      <c r="L1558" s="1680"/>
      <c r="M1558" s="1680"/>
      <c r="N1558" s="1680"/>
      <c r="O1558" s="1680"/>
      <c r="P1558" s="1680"/>
      <c r="Q1558" s="1680"/>
    </row>
    <row r="1559" spans="1:17">
      <c r="A1559" s="1708"/>
      <c r="B1559" s="1680"/>
      <c r="C1559" s="1874" t="s">
        <v>6405</v>
      </c>
      <c r="D1559" s="1678">
        <f>Data!K3175</f>
        <v>140.86000000000001</v>
      </c>
      <c r="E1559" s="1708"/>
      <c r="F1559" s="1682"/>
      <c r="G1559" s="1680">
        <f t="shared" si="260"/>
        <v>0</v>
      </c>
      <c r="H1559" s="1680"/>
      <c r="I1559" s="1680"/>
      <c r="J1559" s="1680"/>
      <c r="K1559" s="1680"/>
      <c r="L1559" s="1680"/>
      <c r="M1559" s="1680"/>
      <c r="N1559" s="1680"/>
      <c r="O1559" s="1680"/>
      <c r="P1559" s="1680"/>
      <c r="Q1559" s="1680"/>
    </row>
    <row r="1560" spans="1:17">
      <c r="A1560" s="1708"/>
      <c r="B1560" s="1680"/>
      <c r="C1560" s="1874" t="s">
        <v>6406</v>
      </c>
      <c r="D1560" s="1678">
        <f>Data!K3202</f>
        <v>93.28</v>
      </c>
      <c r="E1560" s="1708"/>
      <c r="F1560" s="1682"/>
      <c r="G1560" s="1680">
        <f t="shared" si="260"/>
        <v>0</v>
      </c>
      <c r="H1560" s="1680"/>
      <c r="I1560" s="1680"/>
      <c r="J1560" s="1680"/>
      <c r="K1560" s="1680"/>
      <c r="L1560" s="1680"/>
      <c r="M1560" s="1680"/>
      <c r="N1560" s="1680"/>
      <c r="O1560" s="1680"/>
      <c r="P1560" s="1680"/>
      <c r="Q1560" s="1680"/>
    </row>
    <row r="1561" spans="1:17">
      <c r="A1561" s="1708"/>
      <c r="B1561" s="1680"/>
      <c r="C1561" s="1874" t="s">
        <v>6407</v>
      </c>
      <c r="D1561" s="1678">
        <f>Data!K3247</f>
        <v>144.19999999999999</v>
      </c>
      <c r="E1561" s="1708"/>
      <c r="F1561" s="1682"/>
      <c r="G1561" s="1680">
        <f t="shared" si="260"/>
        <v>0</v>
      </c>
      <c r="H1561" s="1680"/>
      <c r="I1561" s="1680"/>
      <c r="J1561" s="1680"/>
      <c r="K1561" s="1680"/>
      <c r="L1561" s="1680"/>
      <c r="M1561" s="1680"/>
      <c r="N1561" s="1680"/>
      <c r="O1561" s="1680"/>
      <c r="P1561" s="1680"/>
      <c r="Q1561" s="1680"/>
    </row>
    <row r="1562" spans="1:17">
      <c r="A1562" s="1708"/>
      <c r="B1562" s="1680"/>
      <c r="C1562" s="1874" t="s">
        <v>6408</v>
      </c>
      <c r="D1562" s="1678">
        <f>Data!K3216</f>
        <v>100.62</v>
      </c>
      <c r="E1562" s="1708"/>
      <c r="F1562" s="1682"/>
      <c r="G1562" s="1680">
        <f t="shared" si="260"/>
        <v>0</v>
      </c>
      <c r="H1562" s="1680"/>
      <c r="I1562" s="1680"/>
      <c r="J1562" s="1680"/>
      <c r="K1562" s="1680"/>
      <c r="L1562" s="1680"/>
      <c r="M1562" s="1680"/>
      <c r="N1562" s="1680"/>
      <c r="O1562" s="1680"/>
      <c r="P1562" s="1680"/>
      <c r="Q1562" s="1680"/>
    </row>
    <row r="1563" spans="1:17">
      <c r="A1563" s="1708"/>
      <c r="B1563" s="1680"/>
      <c r="C1563" s="1874" t="s">
        <v>6409</v>
      </c>
      <c r="D1563" s="1678">
        <f>Data!K3231</f>
        <v>163.78</v>
      </c>
      <c r="E1563" s="1708"/>
      <c r="F1563" s="1682"/>
      <c r="G1563" s="1680">
        <f t="shared" si="260"/>
        <v>0</v>
      </c>
      <c r="H1563" s="1680"/>
      <c r="I1563" s="1680"/>
      <c r="J1563" s="1680"/>
      <c r="K1563" s="1680"/>
      <c r="L1563" s="1680"/>
      <c r="M1563" s="1680"/>
      <c r="N1563" s="1680"/>
      <c r="O1563" s="1680"/>
      <c r="P1563" s="1680"/>
      <c r="Q1563" s="1680"/>
    </row>
    <row r="1564" spans="1:17">
      <c r="A1564" s="1708"/>
      <c r="B1564" s="1680"/>
      <c r="C1564" s="1874" t="s">
        <v>6410</v>
      </c>
      <c r="D1564" s="1678">
        <f>Data!K3275</f>
        <v>93.1</v>
      </c>
      <c r="E1564" s="1708"/>
      <c r="F1564" s="1682"/>
      <c r="G1564" s="1680">
        <f t="shared" si="260"/>
        <v>0</v>
      </c>
      <c r="H1564" s="1680"/>
      <c r="I1564" s="1680"/>
      <c r="J1564" s="1680"/>
      <c r="K1564" s="1680"/>
      <c r="L1564" s="1680"/>
      <c r="M1564" s="1680"/>
      <c r="N1564" s="1680"/>
      <c r="O1564" s="1680"/>
      <c r="P1564" s="1680"/>
      <c r="Q1564" s="1680"/>
    </row>
    <row r="1565" spans="1:17">
      <c r="A1565" s="1708"/>
      <c r="B1565" s="1680"/>
      <c r="C1565" s="1874" t="s">
        <v>6411</v>
      </c>
      <c r="D1565" s="1678">
        <f>Data!K3358</f>
        <v>170.96</v>
      </c>
      <c r="E1565" s="1708"/>
      <c r="F1565" s="1682"/>
      <c r="G1565" s="1680">
        <f t="shared" si="260"/>
        <v>0</v>
      </c>
      <c r="H1565" s="1680"/>
      <c r="I1565" s="1680"/>
      <c r="J1565" s="1680"/>
      <c r="K1565" s="1680"/>
      <c r="L1565" s="1680"/>
      <c r="M1565" s="1680"/>
      <c r="N1565" s="1680"/>
      <c r="O1565" s="1680"/>
      <c r="P1565" s="1680"/>
      <c r="Q1565" s="1680"/>
    </row>
    <row r="1566" spans="1:17">
      <c r="A1566" s="1708"/>
      <c r="B1566" s="1680"/>
      <c r="C1566" s="1874" t="s">
        <v>6411</v>
      </c>
      <c r="D1566" s="1678">
        <f>Data!K3371</f>
        <v>86.42</v>
      </c>
      <c r="E1566" s="1708"/>
      <c r="F1566" s="1682"/>
      <c r="G1566" s="1680">
        <f t="shared" si="260"/>
        <v>0</v>
      </c>
      <c r="H1566" s="1680"/>
      <c r="I1566" s="1680"/>
      <c r="J1566" s="1680"/>
      <c r="K1566" s="1680"/>
      <c r="L1566" s="1680"/>
      <c r="M1566" s="1680"/>
      <c r="N1566" s="1680"/>
      <c r="O1566" s="1680"/>
      <c r="P1566" s="1680"/>
      <c r="Q1566" s="1680"/>
    </row>
    <row r="1567" spans="1:17">
      <c r="A1567" s="1708"/>
      <c r="B1567" s="1680"/>
      <c r="C1567" s="1874"/>
      <c r="D1567" s="1678"/>
      <c r="E1567" s="1708"/>
      <c r="F1567" s="1682"/>
      <c r="G1567" s="1680">
        <f t="shared" si="260"/>
        <v>0</v>
      </c>
      <c r="H1567" s="1680"/>
      <c r="I1567" s="1680"/>
      <c r="J1567" s="1680"/>
      <c r="K1567" s="1680"/>
      <c r="L1567" s="1680"/>
      <c r="M1567" s="1680"/>
      <c r="N1567" s="1680"/>
      <c r="O1567" s="1680"/>
      <c r="P1567" s="1680"/>
      <c r="Q1567" s="1680"/>
    </row>
    <row r="1568" spans="1:17">
      <c r="A1568" s="1708"/>
      <c r="B1568" s="1680"/>
      <c r="C1568" s="1874"/>
      <c r="D1568" s="1678"/>
      <c r="E1568" s="1708"/>
      <c r="F1568" s="1682"/>
      <c r="G1568" s="1680">
        <f t="shared" si="260"/>
        <v>0</v>
      </c>
      <c r="H1568" s="1680"/>
      <c r="I1568" s="1680"/>
      <c r="J1568" s="1680"/>
      <c r="K1568" s="1680"/>
      <c r="L1568" s="1680"/>
      <c r="M1568" s="1680"/>
      <c r="N1568" s="1680"/>
      <c r="O1568" s="1680"/>
      <c r="P1568" s="1680"/>
      <c r="Q1568" s="1680"/>
    </row>
    <row r="1569" spans="1:17">
      <c r="A1569" s="1708"/>
      <c r="B1569" s="1680"/>
      <c r="C1569" s="1874" t="s">
        <v>6412</v>
      </c>
      <c r="D1569" s="1678"/>
      <c r="E1569" s="1708"/>
      <c r="F1569" s="1682"/>
      <c r="G1569" s="1680">
        <f t="shared" si="260"/>
        <v>0</v>
      </c>
      <c r="H1569" s="1680"/>
      <c r="I1569" s="1680"/>
      <c r="J1569" s="1680"/>
      <c r="K1569" s="1680"/>
      <c r="L1569" s="1680"/>
      <c r="M1569" s="1680"/>
      <c r="N1569" s="1680"/>
      <c r="O1569" s="1680"/>
      <c r="P1569" s="1680"/>
      <c r="Q1569" s="1680"/>
    </row>
    <row r="1570" spans="1:17">
      <c r="A1570" s="1708"/>
      <c r="B1570" s="1680"/>
      <c r="C1570" s="1874"/>
      <c r="D1570" s="1678"/>
      <c r="E1570" s="1708"/>
      <c r="F1570" s="1682"/>
      <c r="G1570" s="1680">
        <f t="shared" si="260"/>
        <v>0</v>
      </c>
      <c r="H1570" s="1680"/>
      <c r="I1570" s="1680"/>
      <c r="J1570" s="1680"/>
      <c r="K1570" s="1680"/>
      <c r="L1570" s="1680"/>
      <c r="M1570" s="1680"/>
      <c r="N1570" s="1680"/>
      <c r="O1570" s="1680"/>
      <c r="P1570" s="1680"/>
      <c r="Q1570" s="1680"/>
    </row>
    <row r="1571" spans="1:17">
      <c r="A1571" s="1708"/>
      <c r="B1571" s="1680"/>
      <c r="C1571" s="1874"/>
      <c r="D1571" s="1678"/>
      <c r="E1571" s="1708"/>
      <c r="F1571" s="1682"/>
      <c r="G1571" s="1680">
        <f t="shared" si="260"/>
        <v>0</v>
      </c>
      <c r="H1571" s="1680"/>
      <c r="I1571" s="1680"/>
      <c r="J1571" s="1680"/>
      <c r="K1571" s="1680"/>
      <c r="L1571" s="1680"/>
      <c r="M1571" s="1680"/>
      <c r="N1571" s="1680"/>
      <c r="O1571" s="1680"/>
      <c r="P1571" s="1680"/>
      <c r="Q1571" s="1680"/>
    </row>
    <row r="1572" spans="1:17">
      <c r="A1572" s="1708"/>
      <c r="B1572" s="1680"/>
      <c r="C1572" s="1874"/>
      <c r="D1572" s="1678"/>
      <c r="E1572" s="1708"/>
      <c r="F1572" s="1682"/>
      <c r="G1572" s="1680">
        <f t="shared" si="260"/>
        <v>0</v>
      </c>
      <c r="H1572" s="1680"/>
      <c r="I1572" s="1680"/>
      <c r="J1572" s="1680"/>
      <c r="K1572" s="1680"/>
      <c r="L1572" s="1680"/>
      <c r="M1572" s="1680"/>
      <c r="N1572" s="1680"/>
      <c r="O1572" s="1680"/>
      <c r="P1572" s="1680"/>
      <c r="Q1572" s="1680"/>
    </row>
    <row r="1573" spans="1:17">
      <c r="A1573" s="1708"/>
      <c r="B1573" s="1680"/>
      <c r="C1573" s="1874"/>
      <c r="D1573" s="1678"/>
      <c r="E1573" s="1708"/>
      <c r="F1573" s="1682"/>
      <c r="G1573" s="1680">
        <f t="shared" si="260"/>
        <v>0</v>
      </c>
      <c r="H1573" s="1680"/>
      <c r="I1573" s="1680"/>
      <c r="J1573" s="1680"/>
      <c r="K1573" s="1680"/>
      <c r="L1573" s="1680"/>
      <c r="M1573" s="1680"/>
      <c r="N1573" s="1680"/>
      <c r="O1573" s="1680"/>
      <c r="P1573" s="1680"/>
      <c r="Q1573" s="1680"/>
    </row>
    <row r="1574" spans="1:17">
      <c r="A1574" s="1708"/>
      <c r="B1574" s="1680"/>
      <c r="C1574" s="1874"/>
      <c r="D1574" s="1678"/>
      <c r="E1574" s="1708"/>
      <c r="F1574" s="1682"/>
      <c r="G1574" s="1680">
        <f t="shared" si="260"/>
        <v>0</v>
      </c>
      <c r="H1574" s="1680"/>
      <c r="I1574" s="1680"/>
      <c r="J1574" s="1680"/>
      <c r="K1574" s="1680"/>
      <c r="L1574" s="1680"/>
      <c r="M1574" s="1680"/>
      <c r="N1574" s="1680"/>
      <c r="O1574" s="1680"/>
      <c r="P1574" s="1680"/>
      <c r="Q1574" s="1680"/>
    </row>
    <row r="1575" spans="1:17">
      <c r="A1575" s="1708"/>
      <c r="B1575" s="1680"/>
      <c r="C1575" s="1874"/>
      <c r="D1575" s="1678"/>
      <c r="E1575" s="1708"/>
      <c r="F1575" s="1682"/>
      <c r="G1575" s="1680">
        <f t="shared" si="260"/>
        <v>0</v>
      </c>
      <c r="H1575" s="1680"/>
      <c r="I1575" s="1680"/>
      <c r="J1575" s="1680"/>
      <c r="K1575" s="1680"/>
      <c r="L1575" s="1680"/>
      <c r="M1575" s="1680"/>
      <c r="N1575" s="1680"/>
      <c r="O1575" s="1680"/>
      <c r="P1575" s="1680"/>
      <c r="Q1575" s="1680"/>
    </row>
    <row r="1576" spans="1:17">
      <c r="A1576" s="1708"/>
      <c r="B1576" s="1680"/>
      <c r="C1576" s="1874"/>
      <c r="D1576" s="1678"/>
      <c r="E1576" s="1708"/>
      <c r="F1576" s="1682"/>
      <c r="G1576" s="1680">
        <f t="shared" si="260"/>
        <v>0</v>
      </c>
      <c r="H1576" s="1680"/>
      <c r="I1576" s="1680"/>
      <c r="J1576" s="1680"/>
      <c r="K1576" s="1680"/>
      <c r="L1576" s="1680"/>
      <c r="M1576" s="1680"/>
      <c r="N1576" s="1680"/>
      <c r="O1576" s="1680"/>
      <c r="P1576" s="1680"/>
      <c r="Q1576" s="1680"/>
    </row>
    <row r="1577" spans="1:17">
      <c r="A1577" s="1708"/>
      <c r="B1577" s="1680"/>
      <c r="C1577" s="1874"/>
      <c r="D1577" s="1678"/>
      <c r="E1577" s="1708"/>
      <c r="F1577" s="1682"/>
      <c r="G1577" s="1680">
        <f t="shared" si="260"/>
        <v>0</v>
      </c>
      <c r="H1577" s="1680"/>
      <c r="I1577" s="1680"/>
      <c r="J1577" s="1680"/>
      <c r="K1577" s="1680"/>
      <c r="L1577" s="1680"/>
      <c r="M1577" s="1680"/>
      <c r="N1577" s="1680"/>
      <c r="O1577" s="1680"/>
      <c r="P1577" s="1680"/>
      <c r="Q1577" s="1680"/>
    </row>
    <row r="1578" spans="1:17">
      <c r="A1578" s="1708"/>
      <c r="B1578" s="1680"/>
      <c r="C1578" s="1874"/>
      <c r="D1578" s="1678"/>
      <c r="E1578" s="1708"/>
      <c r="F1578" s="1682"/>
      <c r="G1578" s="1680">
        <f t="shared" si="260"/>
        <v>0</v>
      </c>
      <c r="H1578" s="1680"/>
      <c r="I1578" s="1680"/>
      <c r="J1578" s="1680"/>
      <c r="K1578" s="1680"/>
      <c r="L1578" s="1680"/>
      <c r="M1578" s="1680"/>
      <c r="N1578" s="1680"/>
      <c r="O1578" s="1680"/>
      <c r="P1578" s="1680"/>
      <c r="Q1578" s="1680"/>
    </row>
    <row r="1579" spans="1:17">
      <c r="A1579" s="1708"/>
      <c r="B1579" s="1680"/>
      <c r="C1579" s="1874"/>
      <c r="D1579" s="1678"/>
      <c r="E1579" s="1708"/>
      <c r="F1579" s="1682"/>
      <c r="G1579" s="1680">
        <f t="shared" si="260"/>
        <v>0</v>
      </c>
      <c r="H1579" s="1680"/>
      <c r="I1579" s="1680"/>
      <c r="J1579" s="1680"/>
      <c r="K1579" s="1680"/>
      <c r="L1579" s="1680"/>
      <c r="M1579" s="1680"/>
      <c r="N1579" s="1680"/>
      <c r="O1579" s="1680"/>
      <c r="P1579" s="1680"/>
      <c r="Q1579" s="1680"/>
    </row>
    <row r="1580" spans="1:17">
      <c r="A1580" s="1708"/>
      <c r="B1580" s="1680"/>
      <c r="C1580" s="1874"/>
      <c r="D1580" s="1678"/>
      <c r="E1580" s="1708"/>
      <c r="F1580" s="1682"/>
      <c r="G1580" s="1680">
        <f t="shared" si="260"/>
        <v>0</v>
      </c>
      <c r="H1580" s="1680"/>
      <c r="I1580" s="1680"/>
      <c r="J1580" s="1680"/>
      <c r="K1580" s="1680"/>
      <c r="L1580" s="1680"/>
      <c r="M1580" s="1680"/>
      <c r="N1580" s="1680"/>
      <c r="O1580" s="1680"/>
      <c r="P1580" s="1680"/>
      <c r="Q1580" s="1680"/>
    </row>
    <row r="1581" spans="1:17">
      <c r="A1581" s="1708"/>
      <c r="B1581" s="1680"/>
      <c r="C1581" s="1874"/>
      <c r="D1581" s="1678"/>
      <c r="E1581" s="1708"/>
      <c r="F1581" s="1682"/>
      <c r="G1581" s="1680">
        <f t="shared" si="260"/>
        <v>0</v>
      </c>
      <c r="H1581" s="1680"/>
      <c r="I1581" s="1680"/>
      <c r="J1581" s="1680"/>
      <c r="K1581" s="1680"/>
      <c r="L1581" s="1680"/>
      <c r="M1581" s="1680"/>
      <c r="N1581" s="1680"/>
      <c r="O1581" s="1680"/>
      <c r="P1581" s="1680"/>
      <c r="Q1581" s="1680"/>
    </row>
    <row r="1582" spans="1:17">
      <c r="A1582" s="1708"/>
      <c r="B1582" s="1680"/>
      <c r="C1582" s="1874"/>
      <c r="D1582" s="1678"/>
      <c r="E1582" s="1708"/>
      <c r="F1582" s="1682"/>
      <c r="G1582" s="1680">
        <f t="shared" si="260"/>
        <v>0</v>
      </c>
      <c r="H1582" s="1680"/>
      <c r="I1582" s="1680"/>
      <c r="J1582" s="1680"/>
      <c r="K1582" s="1680"/>
      <c r="L1582" s="1680"/>
      <c r="M1582" s="1680"/>
      <c r="N1582" s="1680"/>
      <c r="O1582" s="1680"/>
      <c r="P1582" s="1680"/>
      <c r="Q1582" s="1680"/>
    </row>
    <row r="1583" spans="1:17">
      <c r="A1583" s="1708"/>
      <c r="B1583" s="1680"/>
      <c r="C1583" s="1874"/>
      <c r="D1583" s="1678"/>
      <c r="E1583" s="1708"/>
      <c r="F1583" s="1682"/>
      <c r="G1583" s="1680">
        <f t="shared" si="260"/>
        <v>0</v>
      </c>
      <c r="H1583" s="1680"/>
      <c r="I1583" s="1680"/>
      <c r="J1583" s="1680"/>
      <c r="K1583" s="1680"/>
      <c r="L1583" s="1680"/>
      <c r="M1583" s="1680"/>
      <c r="N1583" s="1680"/>
      <c r="O1583" s="1680"/>
      <c r="P1583" s="1680"/>
      <c r="Q1583" s="1680"/>
    </row>
    <row r="1584" spans="1:17">
      <c r="A1584" s="1708"/>
      <c r="B1584" s="1680"/>
      <c r="C1584" s="1874"/>
      <c r="D1584" s="1678"/>
      <c r="E1584" s="1708"/>
      <c r="F1584" s="1682"/>
      <c r="G1584" s="1680">
        <f t="shared" si="260"/>
        <v>0</v>
      </c>
      <c r="H1584" s="1680"/>
      <c r="I1584" s="1680"/>
      <c r="J1584" s="1680"/>
      <c r="K1584" s="1680"/>
      <c r="L1584" s="1680"/>
      <c r="M1584" s="1680"/>
      <c r="N1584" s="1680"/>
      <c r="O1584" s="1680"/>
      <c r="P1584" s="1680"/>
      <c r="Q1584" s="1680"/>
    </row>
    <row r="1585" spans="1:17">
      <c r="A1585" s="1708"/>
      <c r="B1585" s="1680"/>
      <c r="C1585" s="1874"/>
      <c r="D1585" s="1678"/>
      <c r="E1585" s="1708"/>
      <c r="F1585" s="1682"/>
      <c r="G1585" s="1680">
        <f t="shared" si="260"/>
        <v>0</v>
      </c>
      <c r="H1585" s="1680"/>
      <c r="I1585" s="1680"/>
      <c r="J1585" s="1680"/>
      <c r="K1585" s="1680"/>
      <c r="L1585" s="1680"/>
      <c r="M1585" s="1680"/>
      <c r="N1585" s="1680"/>
      <c r="O1585" s="1680"/>
      <c r="P1585" s="1680"/>
      <c r="Q1585" s="1680"/>
    </row>
    <row r="1586" spans="1:17">
      <c r="A1586" s="1708"/>
      <c r="B1586" s="1680"/>
      <c r="C1586" s="1874"/>
      <c r="D1586" s="1678"/>
      <c r="E1586" s="1708"/>
      <c r="F1586" s="1682"/>
      <c r="G1586" s="1680">
        <f t="shared" si="260"/>
        <v>0</v>
      </c>
      <c r="H1586" s="1680"/>
      <c r="I1586" s="1680"/>
      <c r="J1586" s="1680"/>
      <c r="K1586" s="1680"/>
      <c r="L1586" s="1680"/>
      <c r="M1586" s="1680"/>
      <c r="N1586" s="1680"/>
      <c r="O1586" s="1680"/>
      <c r="P1586" s="1680"/>
      <c r="Q1586" s="1680"/>
    </row>
    <row r="1587" spans="1:17">
      <c r="A1587" s="1708"/>
      <c r="B1587" s="1680"/>
      <c r="C1587" s="1874"/>
      <c r="D1587" s="1678"/>
      <c r="E1587" s="1708"/>
      <c r="F1587" s="1682"/>
      <c r="G1587" s="1680">
        <f t="shared" si="260"/>
        <v>0</v>
      </c>
      <c r="H1587" s="1680"/>
      <c r="I1587" s="1680"/>
      <c r="J1587" s="1680"/>
      <c r="K1587" s="1680"/>
      <c r="L1587" s="1680"/>
      <c r="M1587" s="1680"/>
      <c r="N1587" s="1680"/>
      <c r="O1587" s="1680"/>
      <c r="P1587" s="1680"/>
      <c r="Q1587" s="1680"/>
    </row>
    <row r="1588" spans="1:17">
      <c r="A1588" s="1708"/>
      <c r="B1588" s="1680"/>
      <c r="C1588" s="1874"/>
      <c r="D1588" s="1678"/>
      <c r="E1588" s="1708"/>
      <c r="F1588" s="1682"/>
      <c r="G1588" s="1680">
        <f t="shared" si="260"/>
        <v>0</v>
      </c>
      <c r="H1588" s="1680"/>
      <c r="I1588" s="1680"/>
      <c r="J1588" s="1680"/>
      <c r="K1588" s="1680"/>
      <c r="L1588" s="1680"/>
      <c r="M1588" s="1680"/>
      <c r="N1588" s="1680"/>
      <c r="O1588" s="1680"/>
      <c r="P1588" s="1680"/>
      <c r="Q1588" s="1680"/>
    </row>
    <row r="1589" spans="1:17">
      <c r="A1589" s="1708"/>
      <c r="B1589" s="1680"/>
      <c r="C1589" s="1874"/>
      <c r="D1589" s="1678"/>
      <c r="E1589" s="1708"/>
      <c r="F1589" s="1682"/>
      <c r="G1589" s="1680">
        <f t="shared" si="260"/>
        <v>0</v>
      </c>
      <c r="H1589" s="1680"/>
      <c r="I1589" s="1680"/>
      <c r="J1589" s="1680"/>
      <c r="K1589" s="1680"/>
      <c r="L1589" s="1680"/>
      <c r="M1589" s="1680"/>
      <c r="N1589" s="1680"/>
      <c r="O1589" s="1680"/>
      <c r="P1589" s="1680"/>
      <c r="Q1589" s="1680"/>
    </row>
    <row r="1590" spans="1:17">
      <c r="A1590" s="1708"/>
      <c r="B1590" s="1680"/>
      <c r="C1590" s="1874"/>
      <c r="D1590" s="1678"/>
      <c r="E1590" s="1708"/>
      <c r="F1590" s="1682"/>
      <c r="G1590" s="1680">
        <f t="shared" si="260"/>
        <v>0</v>
      </c>
      <c r="H1590" s="1680"/>
      <c r="I1590" s="1680"/>
      <c r="J1590" s="1680"/>
      <c r="K1590" s="1680"/>
      <c r="L1590" s="1680"/>
      <c r="M1590" s="1680"/>
      <c r="N1590" s="1680"/>
      <c r="O1590" s="1680"/>
      <c r="P1590" s="1680"/>
      <c r="Q1590" s="1680"/>
    </row>
    <row r="1591" spans="1:17">
      <c r="A1591" s="1708"/>
      <c r="B1591" s="1680"/>
      <c r="C1591" s="1874"/>
      <c r="D1591" s="1678"/>
      <c r="E1591" s="1708"/>
      <c r="F1591" s="1682"/>
      <c r="G1591" s="1680">
        <f t="shared" si="260"/>
        <v>0</v>
      </c>
      <c r="H1591" s="1680"/>
      <c r="I1591" s="1680"/>
      <c r="J1591" s="1680"/>
      <c r="K1591" s="1680"/>
      <c r="L1591" s="1680"/>
      <c r="M1591" s="1680"/>
      <c r="N1591" s="1680"/>
      <c r="O1591" s="1680"/>
      <c r="P1591" s="1680"/>
      <c r="Q1591" s="1680"/>
    </row>
    <row r="1592" spans="1:17">
      <c r="A1592" s="1708"/>
      <c r="B1592" s="1680"/>
      <c r="C1592" s="1874"/>
      <c r="D1592" s="1678"/>
      <c r="E1592" s="1708"/>
      <c r="F1592" s="1682"/>
      <c r="G1592" s="1680">
        <f t="shared" si="260"/>
        <v>0</v>
      </c>
      <c r="H1592" s="1680"/>
      <c r="I1592" s="1680"/>
      <c r="J1592" s="1680"/>
      <c r="K1592" s="1680"/>
      <c r="L1592" s="1680"/>
      <c r="M1592" s="1680"/>
      <c r="N1592" s="1680"/>
      <c r="O1592" s="1680"/>
      <c r="P1592" s="1680"/>
      <c r="Q1592" s="1680"/>
    </row>
    <row r="1593" spans="1:17">
      <c r="A1593" s="1708"/>
      <c r="B1593" s="1680"/>
      <c r="C1593" s="1874"/>
      <c r="D1593" s="1678"/>
      <c r="E1593" s="1708"/>
      <c r="F1593" s="1682"/>
      <c r="G1593" s="1680">
        <f t="shared" si="260"/>
        <v>0</v>
      </c>
      <c r="H1593" s="1680"/>
      <c r="I1593" s="1680"/>
      <c r="J1593" s="1680"/>
      <c r="K1593" s="1680"/>
      <c r="L1593" s="1680"/>
      <c r="M1593" s="1680"/>
      <c r="N1593" s="1680"/>
      <c r="O1593" s="1680"/>
      <c r="P1593" s="1680"/>
      <c r="Q1593" s="1680"/>
    </row>
    <row r="1594" spans="1:17">
      <c r="A1594" s="1708"/>
      <c r="B1594" s="1680"/>
      <c r="C1594" s="1874"/>
      <c r="D1594" s="1678"/>
      <c r="E1594" s="1708"/>
      <c r="F1594" s="1682"/>
      <c r="G1594" s="1680">
        <f t="shared" si="260"/>
        <v>0</v>
      </c>
      <c r="H1594" s="1680"/>
      <c r="I1594" s="1680"/>
      <c r="J1594" s="1680"/>
      <c r="K1594" s="1680"/>
      <c r="L1594" s="1680"/>
      <c r="M1594" s="1680"/>
      <c r="N1594" s="1680"/>
      <c r="O1594" s="1680"/>
      <c r="P1594" s="1680"/>
      <c r="Q1594" s="1680"/>
    </row>
    <row r="1595" spans="1:17">
      <c r="A1595" s="1708"/>
      <c r="B1595" s="1680"/>
      <c r="C1595" s="1874"/>
      <c r="D1595" s="1678"/>
      <c r="E1595" s="1708"/>
      <c r="F1595" s="1682"/>
      <c r="G1595" s="1680">
        <f t="shared" si="260"/>
        <v>0</v>
      </c>
      <c r="H1595" s="1680"/>
      <c r="I1595" s="1680"/>
      <c r="J1595" s="1680"/>
      <c r="K1595" s="1680"/>
      <c r="L1595" s="1680"/>
      <c r="M1595" s="1680"/>
      <c r="N1595" s="1680"/>
      <c r="O1595" s="1680"/>
      <c r="P1595" s="1680"/>
      <c r="Q1595" s="1680"/>
    </row>
    <row r="1596" spans="1:17">
      <c r="A1596" s="1708"/>
      <c r="B1596" s="1680"/>
      <c r="C1596" s="1874"/>
      <c r="D1596" s="1678"/>
      <c r="E1596" s="1708"/>
      <c r="F1596" s="1682"/>
      <c r="G1596" s="1680">
        <f t="shared" si="260"/>
        <v>0</v>
      </c>
      <c r="H1596" s="1680"/>
      <c r="I1596" s="1680"/>
      <c r="J1596" s="1680"/>
      <c r="K1596" s="1680"/>
      <c r="L1596" s="1680"/>
      <c r="M1596" s="1680"/>
      <c r="N1596" s="1680"/>
      <c r="O1596" s="1680"/>
      <c r="P1596" s="1680"/>
      <c r="Q1596" s="1680"/>
    </row>
    <row r="1597" spans="1:17">
      <c r="A1597" s="1708"/>
      <c r="B1597" s="1680"/>
      <c r="C1597" s="1874"/>
      <c r="D1597" s="1678"/>
      <c r="E1597" s="1708"/>
      <c r="F1597" s="1682"/>
      <c r="G1597" s="1680">
        <f t="shared" si="260"/>
        <v>0</v>
      </c>
      <c r="H1597" s="1680"/>
      <c r="I1597" s="1680"/>
      <c r="J1597" s="1680"/>
      <c r="K1597" s="1680"/>
      <c r="L1597" s="1680"/>
      <c r="M1597" s="1680"/>
      <c r="N1597" s="1680"/>
      <c r="O1597" s="1680"/>
      <c r="P1597" s="1680"/>
      <c r="Q1597" s="1680"/>
    </row>
    <row r="1598" spans="1:17">
      <c r="A1598" s="1708"/>
      <c r="B1598" s="1680"/>
      <c r="C1598" s="1874"/>
      <c r="D1598" s="1678"/>
      <c r="E1598" s="1708"/>
      <c r="F1598" s="1682"/>
      <c r="G1598" s="1680">
        <f t="shared" si="260"/>
        <v>0</v>
      </c>
      <c r="H1598" s="1680"/>
      <c r="I1598" s="1680"/>
      <c r="J1598" s="1680"/>
      <c r="K1598" s="1680"/>
      <c r="L1598" s="1680"/>
      <c r="M1598" s="1680"/>
      <c r="N1598" s="1680"/>
      <c r="O1598" s="1680"/>
      <c r="P1598" s="1680"/>
      <c r="Q1598" s="1680"/>
    </row>
    <row r="1599" spans="1:17">
      <c r="A1599" s="1708"/>
      <c r="B1599" s="1680"/>
      <c r="C1599" s="1874"/>
      <c r="D1599" s="1678"/>
      <c r="E1599" s="1708"/>
      <c r="F1599" s="1682"/>
      <c r="G1599" s="1680">
        <f t="shared" si="260"/>
        <v>0</v>
      </c>
      <c r="H1599" s="1680"/>
      <c r="I1599" s="1680"/>
      <c r="J1599" s="1680"/>
      <c r="K1599" s="1680"/>
      <c r="L1599" s="1680"/>
      <c r="M1599" s="1680"/>
      <c r="N1599" s="1680"/>
      <c r="O1599" s="1680"/>
      <c r="P1599" s="1680"/>
      <c r="Q1599" s="1680"/>
    </row>
    <row r="1600" spans="1:17">
      <c r="A1600" s="1708"/>
      <c r="B1600" s="1680"/>
      <c r="C1600" s="1874"/>
      <c r="D1600" s="1678"/>
      <c r="E1600" s="1708"/>
      <c r="F1600" s="1682"/>
      <c r="G1600" s="1680">
        <f t="shared" si="260"/>
        <v>0</v>
      </c>
      <c r="H1600" s="1680"/>
      <c r="I1600" s="1680"/>
      <c r="J1600" s="1680"/>
      <c r="K1600" s="1680"/>
      <c r="L1600" s="1680"/>
      <c r="M1600" s="1680"/>
      <c r="N1600" s="1680"/>
      <c r="O1600" s="1680"/>
      <c r="P1600" s="1680"/>
      <c r="Q1600" s="1680"/>
    </row>
    <row r="1601" spans="1:17">
      <c r="A1601" s="1708"/>
      <c r="B1601" s="1680"/>
      <c r="C1601" s="1874"/>
      <c r="D1601" s="1678"/>
      <c r="E1601" s="1708"/>
      <c r="F1601" s="1682"/>
      <c r="G1601" s="1680">
        <f t="shared" si="260"/>
        <v>0</v>
      </c>
      <c r="H1601" s="1680"/>
      <c r="I1601" s="1680"/>
      <c r="J1601" s="1680"/>
      <c r="K1601" s="1680"/>
      <c r="L1601" s="1680"/>
      <c r="M1601" s="1680"/>
      <c r="N1601" s="1680"/>
      <c r="O1601" s="1680"/>
      <c r="P1601" s="1680"/>
      <c r="Q1601" s="1680"/>
    </row>
    <row r="1602" spans="1:17">
      <c r="A1602" s="1708"/>
      <c r="B1602" s="1680"/>
      <c r="C1602" s="1874"/>
      <c r="D1602" s="1678"/>
      <c r="E1602" s="1708"/>
      <c r="F1602" s="1682"/>
      <c r="G1602" s="1680">
        <f t="shared" si="260"/>
        <v>0</v>
      </c>
      <c r="H1602" s="1680"/>
      <c r="I1602" s="1680"/>
      <c r="J1602" s="1680"/>
      <c r="K1602" s="1680"/>
      <c r="L1602" s="1680"/>
      <c r="M1602" s="1680"/>
      <c r="N1602" s="1680"/>
      <c r="O1602" s="1680"/>
      <c r="P1602" s="1680"/>
      <c r="Q1602" s="1680"/>
    </row>
    <row r="1603" spans="1:17">
      <c r="A1603" s="1708"/>
      <c r="B1603" s="1680"/>
      <c r="C1603" s="1874"/>
      <c r="D1603" s="1678"/>
      <c r="E1603" s="1708"/>
      <c r="F1603" s="1682"/>
      <c r="G1603" s="1680">
        <f t="shared" si="260"/>
        <v>0</v>
      </c>
      <c r="H1603" s="1680"/>
      <c r="I1603" s="1680"/>
      <c r="J1603" s="1680"/>
      <c r="K1603" s="1680"/>
      <c r="L1603" s="1680"/>
      <c r="M1603" s="1680"/>
      <c r="N1603" s="1680"/>
      <c r="O1603" s="1680"/>
      <c r="P1603" s="1680"/>
      <c r="Q1603" s="1680"/>
    </row>
    <row r="1604" spans="1:17">
      <c r="A1604" s="1708"/>
      <c r="B1604" s="1680"/>
      <c r="C1604" s="1874"/>
      <c r="D1604" s="1678"/>
      <c r="E1604" s="1708"/>
      <c r="F1604" s="1682"/>
      <c r="G1604" s="1680">
        <f t="shared" si="260"/>
        <v>0</v>
      </c>
      <c r="H1604" s="1680"/>
      <c r="I1604" s="1680"/>
      <c r="J1604" s="1680"/>
      <c r="K1604" s="1680"/>
      <c r="L1604" s="1680"/>
      <c r="M1604" s="1680"/>
      <c r="N1604" s="1680"/>
      <c r="O1604" s="1680"/>
      <c r="P1604" s="1680"/>
      <c r="Q1604" s="1680"/>
    </row>
    <row r="1605" spans="1:17">
      <c r="A1605" s="1708"/>
      <c r="B1605" s="1680"/>
      <c r="C1605" s="1874"/>
      <c r="D1605" s="1678"/>
      <c r="E1605" s="1708"/>
      <c r="F1605" s="1682"/>
      <c r="G1605" s="1680">
        <f t="shared" si="260"/>
        <v>0</v>
      </c>
      <c r="H1605" s="1680"/>
      <c r="I1605" s="1680"/>
      <c r="J1605" s="1680"/>
      <c r="K1605" s="1680"/>
      <c r="L1605" s="1680"/>
      <c r="M1605" s="1680"/>
      <c r="N1605" s="1680"/>
      <c r="O1605" s="1680"/>
      <c r="P1605" s="1680"/>
      <c r="Q1605" s="1680"/>
    </row>
    <row r="1606" spans="1:17">
      <c r="A1606" s="1708"/>
      <c r="B1606" s="1680"/>
      <c r="C1606" s="1874"/>
      <c r="D1606" s="1678"/>
      <c r="E1606" s="1708"/>
      <c r="F1606" s="1682"/>
      <c r="G1606" s="1680">
        <f t="shared" si="260"/>
        <v>0</v>
      </c>
      <c r="H1606" s="1680"/>
      <c r="I1606" s="1680"/>
      <c r="J1606" s="1680"/>
      <c r="K1606" s="1680"/>
      <c r="L1606" s="1680"/>
      <c r="M1606" s="1680"/>
      <c r="N1606" s="1680"/>
      <c r="O1606" s="1680"/>
      <c r="P1606" s="1680"/>
      <c r="Q1606" s="1680"/>
    </row>
    <row r="1607" spans="1:17">
      <c r="A1607" s="1708"/>
      <c r="B1607" s="1680"/>
      <c r="C1607" s="1874"/>
      <c r="D1607" s="1678"/>
      <c r="E1607" s="1708"/>
      <c r="F1607" s="1682"/>
      <c r="G1607" s="1680">
        <f t="shared" si="260"/>
        <v>0</v>
      </c>
      <c r="H1607" s="1680"/>
      <c r="I1607" s="1680"/>
      <c r="J1607" s="1680"/>
      <c r="K1607" s="1680"/>
      <c r="L1607" s="1680"/>
      <c r="M1607" s="1680"/>
      <c r="N1607" s="1680"/>
      <c r="O1607" s="1680"/>
      <c r="P1607" s="1680"/>
      <c r="Q1607" s="1680"/>
    </row>
    <row r="1608" spans="1:17">
      <c r="A1608" s="1708"/>
      <c r="B1608" s="1680"/>
      <c r="C1608" s="1874"/>
      <c r="D1608" s="1678"/>
      <c r="E1608" s="1708"/>
      <c r="F1608" s="1682"/>
      <c r="G1608" s="1680">
        <f t="shared" si="260"/>
        <v>0</v>
      </c>
      <c r="H1608" s="1680"/>
      <c r="I1608" s="1680"/>
      <c r="J1608" s="1680"/>
      <c r="K1608" s="1680"/>
      <c r="L1608" s="1680"/>
      <c r="M1608" s="1680"/>
      <c r="N1608" s="1680"/>
      <c r="O1608" s="1680"/>
      <c r="P1608" s="1680"/>
      <c r="Q1608" s="1680"/>
    </row>
    <row r="1609" spans="1:17">
      <c r="A1609" s="1708"/>
      <c r="B1609" s="1680"/>
      <c r="C1609" s="1874"/>
      <c r="D1609" s="1678"/>
      <c r="E1609" s="1708"/>
      <c r="F1609" s="1682"/>
      <c r="G1609" s="1680">
        <f t="shared" si="260"/>
        <v>0</v>
      </c>
      <c r="H1609" s="1680"/>
      <c r="I1609" s="1680"/>
      <c r="J1609" s="1680"/>
      <c r="K1609" s="1680"/>
      <c r="L1609" s="1680"/>
      <c r="M1609" s="1680"/>
      <c r="N1609" s="1680"/>
      <c r="O1609" s="1680"/>
      <c r="P1609" s="1680"/>
      <c r="Q1609" s="1680"/>
    </row>
    <row r="1610" spans="1:17">
      <c r="A1610" s="1708"/>
      <c r="B1610" s="1680"/>
      <c r="C1610" s="1874"/>
      <c r="D1610" s="1678"/>
      <c r="E1610" s="1708"/>
      <c r="F1610" s="1682"/>
      <c r="G1610" s="1680">
        <f t="shared" si="260"/>
        <v>0</v>
      </c>
      <c r="H1610" s="1680"/>
      <c r="I1610" s="1680"/>
      <c r="J1610" s="1680"/>
      <c r="K1610" s="1680"/>
      <c r="L1610" s="1680"/>
      <c r="M1610" s="1680"/>
      <c r="N1610" s="1680"/>
      <c r="O1610" s="1680"/>
      <c r="P1610" s="1680"/>
      <c r="Q1610" s="1680"/>
    </row>
    <row r="1611" spans="1:17">
      <c r="A1611" s="1708"/>
      <c r="B1611" s="1680"/>
      <c r="C1611" s="1874"/>
      <c r="D1611" s="1678"/>
      <c r="E1611" s="1708"/>
      <c r="F1611" s="1682"/>
      <c r="G1611" s="1680">
        <f t="shared" si="260"/>
        <v>0</v>
      </c>
      <c r="H1611" s="1680"/>
      <c r="I1611" s="1680"/>
      <c r="J1611" s="1680"/>
      <c r="K1611" s="1680"/>
      <c r="L1611" s="1680"/>
      <c r="M1611" s="1680"/>
      <c r="N1611" s="1680"/>
      <c r="O1611" s="1680"/>
      <c r="P1611" s="1680"/>
      <c r="Q1611" s="1680"/>
    </row>
    <row r="1612" spans="1:17">
      <c r="A1612" s="1708"/>
      <c r="B1612" s="1680"/>
      <c r="C1612" s="1874"/>
      <c r="D1612" s="1678"/>
      <c r="E1612" s="1708"/>
      <c r="F1612" s="1682"/>
      <c r="G1612" s="1680">
        <f t="shared" si="260"/>
        <v>0</v>
      </c>
      <c r="H1612" s="1680"/>
      <c r="I1612" s="1680"/>
      <c r="J1612" s="1680"/>
      <c r="K1612" s="1680"/>
      <c r="L1612" s="1680"/>
      <c r="M1612" s="1680"/>
      <c r="N1612" s="1680"/>
      <c r="O1612" s="1680"/>
      <c r="P1612" s="1680"/>
      <c r="Q1612" s="1680"/>
    </row>
    <row r="1613" spans="1:17">
      <c r="A1613" s="1708"/>
      <c r="B1613" s="1680"/>
      <c r="C1613" s="1874"/>
      <c r="D1613" s="1678"/>
      <c r="E1613" s="1708"/>
      <c r="F1613" s="1682"/>
      <c r="G1613" s="1680">
        <f t="shared" si="260"/>
        <v>0</v>
      </c>
      <c r="H1613" s="1680"/>
      <c r="I1613" s="1680"/>
      <c r="J1613" s="1680"/>
      <c r="K1613" s="1680"/>
      <c r="L1613" s="1680"/>
      <c r="M1613" s="1680"/>
      <c r="N1613" s="1680"/>
      <c r="O1613" s="1680"/>
      <c r="P1613" s="1680"/>
      <c r="Q1613" s="1680"/>
    </row>
    <row r="1614" spans="1:17">
      <c r="A1614" s="1708"/>
      <c r="B1614" s="1680"/>
      <c r="C1614" s="1874"/>
      <c r="D1614" s="1678"/>
      <c r="E1614" s="1708"/>
      <c r="F1614" s="1682"/>
      <c r="G1614" s="1680">
        <f t="shared" si="260"/>
        <v>0</v>
      </c>
      <c r="H1614" s="1680"/>
      <c r="I1614" s="1680"/>
      <c r="J1614" s="1680"/>
      <c r="K1614" s="1680"/>
      <c r="L1614" s="1680"/>
      <c r="M1614" s="1680"/>
      <c r="N1614" s="1680"/>
      <c r="O1614" s="1680"/>
      <c r="P1614" s="1680"/>
      <c r="Q1614" s="1680"/>
    </row>
    <row r="1615" spans="1:17">
      <c r="A1615" s="1708"/>
      <c r="B1615" s="1680"/>
      <c r="C1615" s="1874"/>
      <c r="D1615" s="1678"/>
      <c r="E1615" s="1708"/>
      <c r="F1615" s="1682"/>
      <c r="G1615" s="1680">
        <f t="shared" si="260"/>
        <v>0</v>
      </c>
      <c r="H1615" s="1680"/>
      <c r="I1615" s="1680"/>
      <c r="J1615" s="1680"/>
      <c r="K1615" s="1680"/>
      <c r="L1615" s="1680"/>
      <c r="M1615" s="1680"/>
      <c r="N1615" s="1680"/>
      <c r="O1615" s="1680"/>
      <c r="P1615" s="1680"/>
      <c r="Q1615" s="1680"/>
    </row>
    <row r="1616" spans="1:17">
      <c r="A1616" s="1708"/>
      <c r="B1616" s="1680"/>
      <c r="C1616" s="1874"/>
      <c r="D1616" s="1678"/>
      <c r="E1616" s="1708"/>
      <c r="F1616" s="1682"/>
      <c r="G1616" s="1680">
        <f t="shared" si="260"/>
        <v>0</v>
      </c>
      <c r="H1616" s="1680"/>
      <c r="I1616" s="1680"/>
      <c r="J1616" s="1680"/>
      <c r="K1616" s="1680"/>
      <c r="L1616" s="1680"/>
      <c r="M1616" s="1680"/>
      <c r="N1616" s="1680"/>
      <c r="O1616" s="1680"/>
      <c r="P1616" s="1680"/>
      <c r="Q1616" s="1680"/>
    </row>
    <row r="1617" spans="1:17">
      <c r="A1617" s="1708"/>
      <c r="B1617" s="1680"/>
      <c r="C1617" s="1874"/>
      <c r="D1617" s="1678"/>
      <c r="E1617" s="1708"/>
      <c r="F1617" s="1682"/>
      <c r="G1617" s="1680">
        <f t="shared" ref="G1617:G1642" si="261">F1617*D1617</f>
        <v>0</v>
      </c>
      <c r="H1617" s="1680"/>
      <c r="I1617" s="1680"/>
      <c r="J1617" s="1680"/>
      <c r="K1617" s="1680"/>
      <c r="L1617" s="1680"/>
      <c r="M1617" s="1680"/>
      <c r="N1617" s="1680"/>
      <c r="O1617" s="1680"/>
      <c r="P1617" s="1680"/>
      <c r="Q1617" s="1680"/>
    </row>
    <row r="1618" spans="1:17">
      <c r="A1618" s="1708"/>
      <c r="B1618" s="1680"/>
      <c r="C1618" s="1874"/>
      <c r="D1618" s="1678"/>
      <c r="E1618" s="1708"/>
      <c r="F1618" s="1682"/>
      <c r="G1618" s="1680">
        <f t="shared" si="261"/>
        <v>0</v>
      </c>
      <c r="H1618" s="1680"/>
      <c r="I1618" s="1680"/>
      <c r="J1618" s="1680"/>
      <c r="K1618" s="1680"/>
      <c r="L1618" s="1680"/>
      <c r="M1618" s="1680"/>
      <c r="N1618" s="1680"/>
      <c r="O1618" s="1680"/>
      <c r="P1618" s="1680"/>
      <c r="Q1618" s="1680"/>
    </row>
    <row r="1619" spans="1:17">
      <c r="A1619" s="1708"/>
      <c r="B1619" s="1680"/>
      <c r="C1619" s="1874"/>
      <c r="D1619" s="1678"/>
      <c r="E1619" s="1708"/>
      <c r="F1619" s="1682"/>
      <c r="G1619" s="1680">
        <f t="shared" si="261"/>
        <v>0</v>
      </c>
      <c r="H1619" s="1680"/>
      <c r="I1619" s="1680"/>
      <c r="J1619" s="1680"/>
      <c r="K1619" s="1680"/>
      <c r="L1619" s="1680"/>
      <c r="M1619" s="1680"/>
      <c r="N1619" s="1680"/>
      <c r="O1619" s="1680"/>
      <c r="P1619" s="1680"/>
      <c r="Q1619" s="1680"/>
    </row>
    <row r="1620" spans="1:17">
      <c r="A1620" s="1708"/>
      <c r="B1620" s="1680"/>
      <c r="C1620" s="1874"/>
      <c r="D1620" s="1678"/>
      <c r="E1620" s="1708"/>
      <c r="F1620" s="1682"/>
      <c r="G1620" s="1680">
        <f t="shared" si="261"/>
        <v>0</v>
      </c>
      <c r="H1620" s="1680"/>
      <c r="I1620" s="1680"/>
      <c r="J1620" s="1680"/>
      <c r="K1620" s="1680"/>
      <c r="L1620" s="1680"/>
      <c r="M1620" s="1680"/>
      <c r="N1620" s="1680"/>
      <c r="O1620" s="1680"/>
      <c r="P1620" s="1680"/>
      <c r="Q1620" s="1680"/>
    </row>
    <row r="1621" spans="1:17">
      <c r="A1621" s="1708"/>
      <c r="B1621" s="1680"/>
      <c r="C1621" s="1874"/>
      <c r="D1621" s="1678"/>
      <c r="E1621" s="1708"/>
      <c r="F1621" s="1682"/>
      <c r="G1621" s="1680">
        <f t="shared" si="261"/>
        <v>0</v>
      </c>
      <c r="H1621" s="1680"/>
      <c r="I1621" s="1680"/>
      <c r="J1621" s="1680"/>
      <c r="K1621" s="1680"/>
      <c r="L1621" s="1680"/>
      <c r="M1621" s="1680"/>
      <c r="N1621" s="1680"/>
      <c r="O1621" s="1680"/>
      <c r="P1621" s="1680"/>
      <c r="Q1621" s="1680"/>
    </row>
    <row r="1622" spans="1:17">
      <c r="A1622" s="1708"/>
      <c r="B1622" s="1680"/>
      <c r="C1622" s="1874"/>
      <c r="D1622" s="1678"/>
      <c r="E1622" s="1708"/>
      <c r="F1622" s="1682"/>
      <c r="G1622" s="1680">
        <f t="shared" si="261"/>
        <v>0</v>
      </c>
      <c r="H1622" s="1680"/>
      <c r="I1622" s="1680"/>
      <c r="J1622" s="1680"/>
      <c r="K1622" s="1680"/>
      <c r="L1622" s="1680"/>
      <c r="M1622" s="1680"/>
      <c r="N1622" s="1680"/>
      <c r="O1622" s="1680"/>
      <c r="P1622" s="1680"/>
      <c r="Q1622" s="1680"/>
    </row>
    <row r="1623" spans="1:17">
      <c r="A1623" s="1708"/>
      <c r="B1623" s="1680"/>
      <c r="C1623" s="1874"/>
      <c r="D1623" s="1678"/>
      <c r="E1623" s="1708"/>
      <c r="F1623" s="1682"/>
      <c r="G1623" s="1680">
        <f t="shared" si="261"/>
        <v>0</v>
      </c>
      <c r="H1623" s="1680"/>
      <c r="I1623" s="1680"/>
      <c r="J1623" s="1680"/>
      <c r="K1623" s="1680"/>
      <c r="L1623" s="1680"/>
      <c r="M1623" s="1680"/>
      <c r="N1623" s="1680"/>
      <c r="O1623" s="1680"/>
      <c r="P1623" s="1680"/>
      <c r="Q1623" s="1680"/>
    </row>
    <row r="1624" spans="1:17">
      <c r="A1624" s="1708"/>
      <c r="B1624" s="1680"/>
      <c r="C1624" s="1874"/>
      <c r="D1624" s="1678"/>
      <c r="E1624" s="1708"/>
      <c r="F1624" s="1682"/>
      <c r="G1624" s="1680">
        <f t="shared" si="261"/>
        <v>0</v>
      </c>
      <c r="H1624" s="1680"/>
      <c r="I1624" s="1680"/>
      <c r="J1624" s="1680"/>
      <c r="K1624" s="1680"/>
      <c r="L1624" s="1680"/>
      <c r="M1624" s="1680"/>
      <c r="N1624" s="1680"/>
      <c r="O1624" s="1680"/>
      <c r="P1624" s="1680"/>
      <c r="Q1624" s="1680"/>
    </row>
    <row r="1625" spans="1:17">
      <c r="A1625" s="1708"/>
      <c r="B1625" s="1680"/>
      <c r="C1625" s="1874"/>
      <c r="D1625" s="1678"/>
      <c r="E1625" s="1708"/>
      <c r="F1625" s="1682"/>
      <c r="G1625" s="1680">
        <f t="shared" si="261"/>
        <v>0</v>
      </c>
      <c r="H1625" s="1680"/>
      <c r="I1625" s="1680"/>
      <c r="J1625" s="1680"/>
      <c r="K1625" s="1680"/>
      <c r="L1625" s="1680"/>
      <c r="M1625" s="1680"/>
      <c r="N1625" s="1680"/>
      <c r="O1625" s="1680"/>
      <c r="P1625" s="1680"/>
      <c r="Q1625" s="1680"/>
    </row>
    <row r="1626" spans="1:17">
      <c r="A1626" s="1708"/>
      <c r="B1626" s="1680"/>
      <c r="C1626" s="1874"/>
      <c r="D1626" s="1678"/>
      <c r="E1626" s="1708"/>
      <c r="F1626" s="1682"/>
      <c r="G1626" s="1680">
        <f t="shared" si="261"/>
        <v>0</v>
      </c>
      <c r="H1626" s="1680"/>
      <c r="I1626" s="1680"/>
      <c r="J1626" s="1680"/>
      <c r="K1626" s="1680"/>
      <c r="L1626" s="1680"/>
      <c r="M1626" s="1680"/>
      <c r="N1626" s="1680"/>
      <c r="O1626" s="1680"/>
      <c r="P1626" s="1680"/>
      <c r="Q1626" s="1680"/>
    </row>
    <row r="1627" spans="1:17">
      <c r="A1627" s="1708"/>
      <c r="B1627" s="1680"/>
      <c r="C1627" s="1874"/>
      <c r="D1627" s="1678"/>
      <c r="E1627" s="1708"/>
      <c r="F1627" s="1682"/>
      <c r="G1627" s="1680">
        <f t="shared" si="261"/>
        <v>0</v>
      </c>
      <c r="H1627" s="1680"/>
      <c r="I1627" s="1680"/>
      <c r="J1627" s="1680"/>
      <c r="K1627" s="1680"/>
      <c r="L1627" s="1680"/>
      <c r="M1627" s="1680"/>
      <c r="N1627" s="1680"/>
      <c r="O1627" s="1680"/>
      <c r="P1627" s="1680"/>
      <c r="Q1627" s="1680"/>
    </row>
    <row r="1628" spans="1:17">
      <c r="A1628" s="1708"/>
      <c r="B1628" s="1680"/>
      <c r="C1628" s="1874"/>
      <c r="D1628" s="1678"/>
      <c r="E1628" s="1708"/>
      <c r="F1628" s="1682"/>
      <c r="G1628" s="1680">
        <f t="shared" si="261"/>
        <v>0</v>
      </c>
      <c r="H1628" s="1680"/>
      <c r="I1628" s="1680"/>
      <c r="J1628" s="1680"/>
      <c r="K1628" s="1680"/>
      <c r="L1628" s="1680"/>
      <c r="M1628" s="1680"/>
      <c r="N1628" s="1680"/>
      <c r="O1628" s="1680"/>
      <c r="P1628" s="1680"/>
      <c r="Q1628" s="1680"/>
    </row>
    <row r="1629" spans="1:17">
      <c r="A1629" s="1708"/>
      <c r="B1629" s="1680"/>
      <c r="C1629" s="1874"/>
      <c r="D1629" s="1678"/>
      <c r="E1629" s="1708"/>
      <c r="F1629" s="1682"/>
      <c r="G1629" s="1680">
        <f t="shared" si="261"/>
        <v>0</v>
      </c>
      <c r="H1629" s="1680"/>
      <c r="I1629" s="1680"/>
      <c r="J1629" s="1680"/>
      <c r="K1629" s="1680"/>
      <c r="L1629" s="1680"/>
      <c r="M1629" s="1680"/>
      <c r="N1629" s="1680"/>
      <c r="O1629" s="1680"/>
      <c r="P1629" s="1680"/>
      <c r="Q1629" s="1680"/>
    </row>
    <row r="1630" spans="1:17">
      <c r="A1630" s="1708"/>
      <c r="B1630" s="1680"/>
      <c r="C1630" s="1874"/>
      <c r="D1630" s="1678"/>
      <c r="E1630" s="1708"/>
      <c r="F1630" s="1682"/>
      <c r="G1630" s="1680">
        <f t="shared" si="261"/>
        <v>0</v>
      </c>
      <c r="H1630" s="1680"/>
      <c r="I1630" s="1680"/>
      <c r="J1630" s="1680"/>
      <c r="K1630" s="1680"/>
      <c r="L1630" s="1680"/>
      <c r="M1630" s="1680"/>
      <c r="N1630" s="1680"/>
      <c r="O1630" s="1680"/>
      <c r="P1630" s="1680"/>
      <c r="Q1630" s="1680"/>
    </row>
    <row r="1631" spans="1:17">
      <c r="A1631" s="1708"/>
      <c r="B1631" s="1680"/>
      <c r="C1631" s="1874"/>
      <c r="D1631" s="1678"/>
      <c r="E1631" s="1708"/>
      <c r="F1631" s="1682"/>
      <c r="G1631" s="1680">
        <f t="shared" si="261"/>
        <v>0</v>
      </c>
      <c r="H1631" s="1680"/>
      <c r="I1631" s="1680"/>
      <c r="J1631" s="1680"/>
      <c r="K1631" s="1680"/>
      <c r="L1631" s="1680"/>
      <c r="M1631" s="1680"/>
      <c r="N1631" s="1680"/>
      <c r="O1631" s="1680"/>
      <c r="P1631" s="1680"/>
      <c r="Q1631" s="1680"/>
    </row>
    <row r="1632" spans="1:17">
      <c r="A1632" s="1708"/>
      <c r="B1632" s="1680"/>
      <c r="C1632" s="1874"/>
      <c r="D1632" s="1678"/>
      <c r="E1632" s="1708"/>
      <c r="F1632" s="1682"/>
      <c r="G1632" s="1680">
        <f t="shared" si="261"/>
        <v>0</v>
      </c>
      <c r="H1632" s="1680"/>
      <c r="I1632" s="1680"/>
      <c r="J1632" s="1680"/>
      <c r="K1632" s="1680"/>
      <c r="L1632" s="1680"/>
      <c r="M1632" s="1680"/>
      <c r="N1632" s="1680"/>
      <c r="O1632" s="1680"/>
      <c r="P1632" s="1680"/>
      <c r="Q1632" s="1680"/>
    </row>
    <row r="1633" spans="1:17">
      <c r="A1633" s="1708"/>
      <c r="B1633" s="1680"/>
      <c r="C1633" s="1874"/>
      <c r="D1633" s="1678"/>
      <c r="E1633" s="1708"/>
      <c r="F1633" s="1682"/>
      <c r="G1633" s="1680">
        <f t="shared" si="261"/>
        <v>0</v>
      </c>
      <c r="H1633" s="1680"/>
      <c r="I1633" s="1680"/>
      <c r="J1633" s="1680"/>
      <c r="K1633" s="1680"/>
      <c r="L1633" s="1680"/>
      <c r="M1633" s="1680"/>
      <c r="N1633" s="1680"/>
      <c r="O1633" s="1680"/>
      <c r="P1633" s="1680"/>
      <c r="Q1633" s="1680"/>
    </row>
    <row r="1634" spans="1:17">
      <c r="A1634" s="1708"/>
      <c r="B1634" s="1680"/>
      <c r="C1634" s="1874"/>
      <c r="D1634" s="1678"/>
      <c r="E1634" s="1708"/>
      <c r="F1634" s="1682"/>
      <c r="G1634" s="1680">
        <f t="shared" si="261"/>
        <v>0</v>
      </c>
      <c r="H1634" s="1680"/>
      <c r="I1634" s="1680"/>
      <c r="J1634" s="1680"/>
      <c r="K1634" s="1680"/>
      <c r="L1634" s="1680"/>
      <c r="M1634" s="1680"/>
      <c r="N1634" s="1680"/>
      <c r="O1634" s="1680"/>
      <c r="P1634" s="1680"/>
      <c r="Q1634" s="1680"/>
    </row>
    <row r="1635" spans="1:17">
      <c r="A1635" s="1708"/>
      <c r="B1635" s="1680"/>
      <c r="C1635" s="1874"/>
      <c r="D1635" s="1678"/>
      <c r="E1635" s="1708"/>
      <c r="F1635" s="1682"/>
      <c r="G1635" s="1680">
        <f t="shared" si="261"/>
        <v>0</v>
      </c>
      <c r="H1635" s="1680"/>
      <c r="I1635" s="1680"/>
      <c r="J1635" s="1680"/>
      <c r="K1635" s="1680"/>
      <c r="L1635" s="1680"/>
      <c r="M1635" s="1680"/>
      <c r="N1635" s="1680"/>
      <c r="O1635" s="1680"/>
      <c r="P1635" s="1680"/>
      <c r="Q1635" s="1680"/>
    </row>
    <row r="1636" spans="1:17">
      <c r="A1636" s="1708"/>
      <c r="B1636" s="1680"/>
      <c r="C1636" s="1874"/>
      <c r="D1636" s="1678"/>
      <c r="E1636" s="1708"/>
      <c r="F1636" s="1682"/>
      <c r="G1636" s="1680">
        <f t="shared" si="261"/>
        <v>0</v>
      </c>
      <c r="H1636" s="1680"/>
      <c r="I1636" s="1680"/>
      <c r="J1636" s="1680"/>
      <c r="K1636" s="1680"/>
      <c r="L1636" s="1680"/>
      <c r="M1636" s="1680"/>
      <c r="N1636" s="1680"/>
      <c r="O1636" s="1680"/>
      <c r="P1636" s="1680"/>
      <c r="Q1636" s="1680"/>
    </row>
    <row r="1637" spans="1:17">
      <c r="A1637" s="1708"/>
      <c r="B1637" s="1680"/>
      <c r="C1637" s="1874"/>
      <c r="D1637" s="1678"/>
      <c r="E1637" s="1708"/>
      <c r="F1637" s="1682"/>
      <c r="G1637" s="1680">
        <f t="shared" si="261"/>
        <v>0</v>
      </c>
      <c r="H1637" s="1680"/>
      <c r="I1637" s="1680"/>
      <c r="J1637" s="1680"/>
      <c r="K1637" s="1680"/>
      <c r="L1637" s="1680"/>
      <c r="M1637" s="1680"/>
      <c r="N1637" s="1680"/>
      <c r="O1637" s="1680"/>
      <c r="P1637" s="1680"/>
      <c r="Q1637" s="1680"/>
    </row>
    <row r="1638" spans="1:17">
      <c r="A1638" s="1708"/>
      <c r="B1638" s="1680"/>
      <c r="C1638" s="1874"/>
      <c r="D1638" s="1678"/>
      <c r="E1638" s="1708"/>
      <c r="F1638" s="1682"/>
      <c r="G1638" s="1680">
        <f t="shared" si="261"/>
        <v>0</v>
      </c>
      <c r="H1638" s="1680"/>
      <c r="I1638" s="1680"/>
      <c r="J1638" s="1680"/>
      <c r="K1638" s="1680"/>
      <c r="L1638" s="1680"/>
      <c r="M1638" s="1680"/>
      <c r="N1638" s="1680"/>
      <c r="O1638" s="1680"/>
      <c r="P1638" s="1680"/>
      <c r="Q1638" s="1680"/>
    </row>
    <row r="1639" spans="1:17">
      <c r="A1639" s="1708"/>
      <c r="B1639" s="1680"/>
      <c r="C1639" s="1874"/>
      <c r="D1639" s="1678"/>
      <c r="E1639" s="1708"/>
      <c r="F1639" s="1682"/>
      <c r="G1639" s="1680">
        <f t="shared" si="261"/>
        <v>0</v>
      </c>
      <c r="H1639" s="1680"/>
      <c r="I1639" s="1680"/>
      <c r="J1639" s="1680"/>
      <c r="K1639" s="1680"/>
      <c r="L1639" s="1680"/>
      <c r="M1639" s="1680"/>
      <c r="N1639" s="1680"/>
      <c r="O1639" s="1680"/>
      <c r="P1639" s="1680"/>
      <c r="Q1639" s="1680"/>
    </row>
    <row r="1640" spans="1:17">
      <c r="A1640" s="1708"/>
      <c r="B1640" s="1680"/>
      <c r="C1640" s="1874"/>
      <c r="D1640" s="1678"/>
      <c r="E1640" s="1708"/>
      <c r="F1640" s="1682"/>
      <c r="G1640" s="1680">
        <f t="shared" si="261"/>
        <v>0</v>
      </c>
      <c r="H1640" s="1680"/>
      <c r="I1640" s="1680"/>
      <c r="J1640" s="1680"/>
      <c r="K1640" s="1680"/>
      <c r="L1640" s="1680"/>
      <c r="M1640" s="1680"/>
      <c r="N1640" s="1680"/>
      <c r="O1640" s="1680"/>
      <c r="P1640" s="1680"/>
      <c r="Q1640" s="1680"/>
    </row>
    <row r="1641" spans="1:17">
      <c r="A1641" s="1708"/>
      <c r="B1641" s="1680"/>
      <c r="C1641" s="1874"/>
      <c r="D1641" s="1678"/>
      <c r="E1641" s="1708"/>
      <c r="F1641" s="1682"/>
      <c r="G1641" s="1680">
        <f t="shared" si="261"/>
        <v>0</v>
      </c>
      <c r="H1641" s="1680"/>
      <c r="I1641" s="1680"/>
      <c r="J1641" s="1680"/>
      <c r="K1641" s="1680"/>
      <c r="L1641" s="1680"/>
      <c r="M1641" s="1680"/>
      <c r="N1641" s="1680"/>
      <c r="O1641" s="1680"/>
      <c r="P1641" s="1680"/>
      <c r="Q1641" s="1680"/>
    </row>
    <row r="1642" spans="1:17">
      <c r="A1642" s="1708"/>
      <c r="B1642" s="1680"/>
      <c r="C1642" s="1874"/>
      <c r="D1642" s="1678"/>
      <c r="E1642" s="1708"/>
      <c r="F1642" s="1682"/>
      <c r="G1642" s="1680">
        <f t="shared" si="261"/>
        <v>0</v>
      </c>
      <c r="H1642" s="1680"/>
      <c r="I1642" s="1680"/>
      <c r="J1642" s="1680"/>
      <c r="K1642" s="1680"/>
      <c r="L1642" s="1680"/>
      <c r="M1642" s="1680"/>
      <c r="N1642" s="1680"/>
      <c r="O1642" s="1680"/>
      <c r="P1642" s="1680"/>
      <c r="Q1642" s="1680"/>
    </row>
    <row r="1643" spans="1:17">
      <c r="A1643" s="1708"/>
      <c r="B1643" s="1680"/>
      <c r="C1643" s="1874"/>
      <c r="D1643" s="1678"/>
      <c r="E1643" s="1708"/>
      <c r="F1643" s="1682"/>
      <c r="G1643" s="1680">
        <f t="shared" ref="G1643:G1658" si="262">F1643*D1643</f>
        <v>0</v>
      </c>
      <c r="H1643" s="1680"/>
      <c r="I1643" s="1680"/>
      <c r="J1643" s="1680"/>
      <c r="K1643" s="1680"/>
      <c r="L1643" s="1680"/>
      <c r="M1643" s="1680"/>
      <c r="N1643" s="1680"/>
      <c r="O1643" s="1680"/>
      <c r="P1643" s="1680"/>
      <c r="Q1643" s="1680"/>
    </row>
    <row r="1644" spans="1:17">
      <c r="A1644" s="1708"/>
      <c r="B1644" s="1680"/>
      <c r="C1644" s="1874"/>
      <c r="D1644" s="1678"/>
      <c r="E1644" s="1708"/>
      <c r="F1644" s="1682"/>
      <c r="G1644" s="1680">
        <f t="shared" si="262"/>
        <v>0</v>
      </c>
      <c r="H1644" s="1680"/>
      <c r="I1644" s="1680"/>
      <c r="J1644" s="1680"/>
      <c r="K1644" s="1680"/>
      <c r="L1644" s="1680"/>
      <c r="M1644" s="1680"/>
      <c r="N1644" s="1680"/>
      <c r="O1644" s="1680"/>
      <c r="P1644" s="1680"/>
      <c r="Q1644" s="1680"/>
    </row>
    <row r="1645" spans="1:17">
      <c r="A1645" s="1708"/>
      <c r="B1645" s="1680"/>
      <c r="C1645" s="1874"/>
      <c r="D1645" s="1678"/>
      <c r="E1645" s="1708"/>
      <c r="F1645" s="1682"/>
      <c r="G1645" s="1680">
        <f t="shared" si="262"/>
        <v>0</v>
      </c>
      <c r="H1645" s="1680"/>
      <c r="I1645" s="1680"/>
      <c r="J1645" s="1680"/>
      <c r="K1645" s="1680"/>
      <c r="L1645" s="1680"/>
      <c r="M1645" s="1680"/>
      <c r="N1645" s="1680"/>
      <c r="O1645" s="1680"/>
      <c r="P1645" s="1680"/>
      <c r="Q1645" s="1680"/>
    </row>
    <row r="1646" spans="1:17">
      <c r="A1646" s="1708"/>
      <c r="B1646" s="1680"/>
      <c r="C1646" s="1874"/>
      <c r="D1646" s="1678"/>
      <c r="E1646" s="1708"/>
      <c r="F1646" s="1682"/>
      <c r="G1646" s="1680">
        <f t="shared" si="262"/>
        <v>0</v>
      </c>
      <c r="H1646" s="1680"/>
      <c r="I1646" s="1680"/>
      <c r="J1646" s="1680"/>
      <c r="K1646" s="1680"/>
      <c r="L1646" s="1680"/>
      <c r="M1646" s="1680"/>
      <c r="N1646" s="1680"/>
      <c r="O1646" s="1680"/>
      <c r="P1646" s="1680"/>
      <c r="Q1646" s="1680"/>
    </row>
    <row r="1647" spans="1:17">
      <c r="A1647" s="1708"/>
      <c r="B1647" s="1680"/>
      <c r="C1647" s="1874"/>
      <c r="D1647" s="1678"/>
      <c r="E1647" s="1708"/>
      <c r="F1647" s="1682"/>
      <c r="G1647" s="1680">
        <f t="shared" si="262"/>
        <v>0</v>
      </c>
      <c r="H1647" s="1680"/>
      <c r="I1647" s="1680"/>
      <c r="J1647" s="1680"/>
      <c r="K1647" s="1680"/>
      <c r="L1647" s="1680"/>
      <c r="M1647" s="1680"/>
      <c r="N1647" s="1680"/>
      <c r="O1647" s="1680"/>
      <c r="P1647" s="1680"/>
      <c r="Q1647" s="1680"/>
    </row>
    <row r="1648" spans="1:17">
      <c r="A1648" s="1708"/>
      <c r="B1648" s="1680"/>
      <c r="C1648" s="1874"/>
      <c r="D1648" s="1678"/>
      <c r="E1648" s="1708"/>
      <c r="F1648" s="1682"/>
      <c r="G1648" s="1680">
        <f t="shared" si="262"/>
        <v>0</v>
      </c>
      <c r="H1648" s="1680"/>
      <c r="I1648" s="1680"/>
      <c r="J1648" s="1680"/>
      <c r="K1648" s="1680"/>
      <c r="L1648" s="1680"/>
      <c r="M1648" s="1680"/>
      <c r="N1648" s="1680"/>
      <c r="O1648" s="1680"/>
      <c r="P1648" s="1680"/>
      <c r="Q1648" s="1680"/>
    </row>
    <row r="1649" spans="1:17">
      <c r="A1649" s="1708"/>
      <c r="B1649" s="1680"/>
      <c r="C1649" s="1874"/>
      <c r="D1649" s="1678"/>
      <c r="E1649" s="1708"/>
      <c r="F1649" s="1682"/>
      <c r="G1649" s="1680">
        <f t="shared" si="262"/>
        <v>0</v>
      </c>
      <c r="H1649" s="1680"/>
      <c r="I1649" s="1680"/>
      <c r="J1649" s="1680"/>
      <c r="K1649" s="1680"/>
      <c r="L1649" s="1680"/>
      <c r="M1649" s="1680"/>
      <c r="N1649" s="1680"/>
      <c r="O1649" s="1680"/>
      <c r="P1649" s="1680"/>
      <c r="Q1649" s="1680"/>
    </row>
    <row r="1650" spans="1:17">
      <c r="A1650" s="1708"/>
      <c r="B1650" s="1680"/>
      <c r="C1650" s="1874"/>
      <c r="D1650" s="1678"/>
      <c r="E1650" s="1708"/>
      <c r="F1650" s="1682"/>
      <c r="G1650" s="1680">
        <f t="shared" si="262"/>
        <v>0</v>
      </c>
      <c r="H1650" s="1680"/>
      <c r="I1650" s="1680"/>
      <c r="J1650" s="1680"/>
      <c r="K1650" s="1680"/>
      <c r="L1650" s="1680"/>
      <c r="M1650" s="1680"/>
      <c r="N1650" s="1680"/>
      <c r="O1650" s="1680"/>
      <c r="P1650" s="1680"/>
      <c r="Q1650" s="1680"/>
    </row>
    <row r="1651" spans="1:17">
      <c r="A1651" s="1708"/>
      <c r="B1651" s="1680"/>
      <c r="C1651" s="1874"/>
      <c r="D1651" s="1678"/>
      <c r="E1651" s="1708"/>
      <c r="F1651" s="1682"/>
      <c r="G1651" s="1680">
        <f t="shared" si="262"/>
        <v>0</v>
      </c>
      <c r="H1651" s="1680"/>
      <c r="I1651" s="1680"/>
      <c r="J1651" s="1680"/>
      <c r="K1651" s="1680"/>
      <c r="L1651" s="1680"/>
      <c r="M1651" s="1680"/>
      <c r="N1651" s="1680"/>
      <c r="O1651" s="1680"/>
      <c r="P1651" s="1680"/>
      <c r="Q1651" s="1680"/>
    </row>
    <row r="1652" spans="1:17">
      <c r="A1652" s="1708"/>
      <c r="B1652" s="1680"/>
      <c r="C1652" s="1874"/>
      <c r="D1652" s="1678"/>
      <c r="E1652" s="1708"/>
      <c r="F1652" s="1682"/>
      <c r="G1652" s="1680">
        <f t="shared" si="262"/>
        <v>0</v>
      </c>
      <c r="H1652" s="1680"/>
      <c r="I1652" s="1680"/>
      <c r="J1652" s="1680"/>
      <c r="K1652" s="1680"/>
      <c r="L1652" s="1680"/>
      <c r="M1652" s="1680"/>
      <c r="N1652" s="1680"/>
      <c r="O1652" s="1680"/>
      <c r="P1652" s="1680"/>
      <c r="Q1652" s="1680"/>
    </row>
    <row r="1653" spans="1:17">
      <c r="A1653" s="1708"/>
      <c r="B1653" s="1680"/>
      <c r="C1653" s="1874"/>
      <c r="D1653" s="1678"/>
      <c r="E1653" s="1708"/>
      <c r="F1653" s="1682"/>
      <c r="G1653" s="1680">
        <f t="shared" si="262"/>
        <v>0</v>
      </c>
      <c r="H1653" s="1680"/>
      <c r="I1653" s="1680"/>
      <c r="J1653" s="1680"/>
      <c r="K1653" s="1680"/>
      <c r="L1653" s="1680"/>
      <c r="M1653" s="1680"/>
      <c r="N1653" s="1680"/>
      <c r="O1653" s="1680"/>
      <c r="P1653" s="1680"/>
      <c r="Q1653" s="1680"/>
    </row>
    <row r="1654" spans="1:17">
      <c r="A1654" s="1708"/>
      <c r="B1654" s="1680"/>
      <c r="C1654" s="1874"/>
      <c r="D1654" s="1678"/>
      <c r="E1654" s="1708"/>
      <c r="F1654" s="1682"/>
      <c r="G1654" s="1680">
        <f t="shared" si="262"/>
        <v>0</v>
      </c>
      <c r="H1654" s="1680"/>
      <c r="I1654" s="1680"/>
      <c r="J1654" s="1680"/>
      <c r="K1654" s="1680"/>
      <c r="L1654" s="1680"/>
      <c r="M1654" s="1680"/>
      <c r="N1654" s="1680"/>
      <c r="O1654" s="1680"/>
      <c r="P1654" s="1680"/>
      <c r="Q1654" s="1680"/>
    </row>
    <row r="1655" spans="1:17">
      <c r="A1655" s="1708"/>
      <c r="B1655" s="1680"/>
      <c r="C1655" s="1874"/>
      <c r="D1655" s="1678"/>
      <c r="E1655" s="1708"/>
      <c r="F1655" s="1682"/>
      <c r="G1655" s="1680">
        <f t="shared" si="262"/>
        <v>0</v>
      </c>
      <c r="H1655" s="1680"/>
      <c r="I1655" s="1680"/>
      <c r="J1655" s="1680"/>
      <c r="K1655" s="1680"/>
      <c r="L1655" s="1680"/>
      <c r="M1655" s="1680"/>
      <c r="N1655" s="1680"/>
      <c r="O1655" s="1680"/>
      <c r="P1655" s="1680"/>
      <c r="Q1655" s="1680"/>
    </row>
    <row r="1656" spans="1:17">
      <c r="A1656" s="1708"/>
      <c r="B1656" s="1680"/>
      <c r="C1656" s="1874"/>
      <c r="D1656" s="1678"/>
      <c r="E1656" s="1708"/>
      <c r="F1656" s="1682"/>
      <c r="G1656" s="1680">
        <f t="shared" si="262"/>
        <v>0</v>
      </c>
      <c r="H1656" s="1680"/>
      <c r="I1656" s="1680"/>
      <c r="J1656" s="1680"/>
      <c r="K1656" s="1680"/>
      <c r="L1656" s="1680"/>
      <c r="M1656" s="1680"/>
      <c r="N1656" s="1680"/>
      <c r="O1656" s="1680"/>
      <c r="P1656" s="1680"/>
      <c r="Q1656" s="1680"/>
    </row>
    <row r="1657" spans="1:17">
      <c r="A1657" s="1708"/>
      <c r="B1657" s="1680"/>
      <c r="C1657" s="1874"/>
      <c r="D1657" s="1678"/>
      <c r="E1657" s="1708"/>
      <c r="F1657" s="1682"/>
      <c r="G1657" s="1680">
        <f t="shared" si="262"/>
        <v>0</v>
      </c>
      <c r="H1657" s="1680"/>
      <c r="I1657" s="1680"/>
      <c r="J1657" s="1680"/>
      <c r="K1657" s="1680"/>
      <c r="L1657" s="1680"/>
      <c r="M1657" s="1680"/>
      <c r="N1657" s="1680"/>
      <c r="O1657" s="1680"/>
      <c r="P1657" s="1680"/>
      <c r="Q1657" s="1680"/>
    </row>
    <row r="1658" spans="1:17">
      <c r="A1658" s="1708"/>
      <c r="B1658" s="1680"/>
      <c r="C1658" s="1874"/>
      <c r="D1658" s="1678"/>
      <c r="E1658" s="1708"/>
      <c r="F1658" s="1682"/>
      <c r="G1658" s="1680">
        <f t="shared" si="262"/>
        <v>0</v>
      </c>
      <c r="H1658" s="1680"/>
      <c r="I1658" s="1680"/>
      <c r="J1658" s="1680"/>
      <c r="K1658" s="1680"/>
      <c r="L1658" s="1680"/>
      <c r="M1658" s="1680"/>
      <c r="N1658" s="1680"/>
      <c r="O1658" s="1680"/>
      <c r="P1658" s="1680"/>
      <c r="Q1658" s="1680"/>
    </row>
    <row r="1659" spans="1:17">
      <c r="A1659" s="1708"/>
      <c r="B1659" s="1680"/>
      <c r="C1659" s="1874"/>
      <c r="D1659" s="1678"/>
      <c r="E1659" s="1708"/>
      <c r="F1659" s="1682"/>
      <c r="G1659" s="1680">
        <f t="shared" ref="G1659:G1722" si="263">F1659*D1659</f>
        <v>0</v>
      </c>
      <c r="H1659" s="1680"/>
      <c r="I1659" s="1680"/>
      <c r="J1659" s="1680"/>
      <c r="K1659" s="1680"/>
      <c r="L1659" s="1680"/>
      <c r="M1659" s="1680"/>
      <c r="N1659" s="1680"/>
      <c r="O1659" s="1680"/>
      <c r="P1659" s="1680"/>
      <c r="Q1659" s="1680"/>
    </row>
    <row r="1660" spans="1:17">
      <c r="A1660" s="1708"/>
      <c r="B1660" s="1680"/>
      <c r="C1660" s="1874"/>
      <c r="D1660" s="1678"/>
      <c r="E1660" s="1708"/>
      <c r="F1660" s="1682"/>
      <c r="G1660" s="1680">
        <f t="shared" si="263"/>
        <v>0</v>
      </c>
      <c r="H1660" s="1680"/>
      <c r="I1660" s="1680"/>
      <c r="J1660" s="1680"/>
      <c r="K1660" s="1680"/>
      <c r="L1660" s="1680"/>
      <c r="M1660" s="1680"/>
      <c r="N1660" s="1680"/>
      <c r="O1660" s="1680"/>
      <c r="P1660" s="1680"/>
      <c r="Q1660" s="1680"/>
    </row>
    <row r="1661" spans="1:17">
      <c r="A1661" s="1708"/>
      <c r="B1661" s="1680"/>
      <c r="C1661" s="1874"/>
      <c r="D1661" s="1678"/>
      <c r="E1661" s="1708"/>
      <c r="F1661" s="1682"/>
      <c r="G1661" s="1680">
        <f t="shared" si="263"/>
        <v>0</v>
      </c>
      <c r="H1661" s="1680"/>
      <c r="I1661" s="1680"/>
      <c r="J1661" s="1680"/>
      <c r="K1661" s="1680"/>
      <c r="L1661" s="1680"/>
      <c r="M1661" s="1680"/>
      <c r="N1661" s="1680"/>
      <c r="O1661" s="1680"/>
      <c r="P1661" s="1680"/>
      <c r="Q1661" s="1680"/>
    </row>
    <row r="1662" spans="1:17">
      <c r="A1662" s="1708"/>
      <c r="B1662" s="1680"/>
      <c r="C1662" s="1874"/>
      <c r="D1662" s="1678"/>
      <c r="E1662" s="1708"/>
      <c r="F1662" s="1682"/>
      <c r="G1662" s="1680">
        <f t="shared" si="263"/>
        <v>0</v>
      </c>
      <c r="H1662" s="1680"/>
      <c r="I1662" s="1680"/>
      <c r="J1662" s="1680"/>
      <c r="K1662" s="1680"/>
      <c r="L1662" s="1680"/>
      <c r="M1662" s="1680"/>
      <c r="N1662" s="1680"/>
      <c r="O1662" s="1680"/>
      <c r="P1662" s="1680"/>
      <c r="Q1662" s="1680"/>
    </row>
    <row r="1663" spans="1:17">
      <c r="A1663" s="1708"/>
      <c r="B1663" s="1680"/>
      <c r="C1663" s="1874"/>
      <c r="D1663" s="1678"/>
      <c r="E1663" s="1708"/>
      <c r="F1663" s="1682"/>
      <c r="G1663" s="1680">
        <f t="shared" si="263"/>
        <v>0</v>
      </c>
      <c r="H1663" s="1680"/>
      <c r="I1663" s="1680"/>
      <c r="J1663" s="1680"/>
      <c r="K1663" s="1680"/>
      <c r="L1663" s="1680"/>
      <c r="M1663" s="1680"/>
      <c r="N1663" s="1680"/>
      <c r="O1663" s="1680"/>
      <c r="P1663" s="1680"/>
      <c r="Q1663" s="1680"/>
    </row>
    <row r="1664" spans="1:17">
      <c r="A1664" s="1708"/>
      <c r="B1664" s="1680"/>
      <c r="C1664" s="1874"/>
      <c r="D1664" s="1678"/>
      <c r="E1664" s="1708"/>
      <c r="F1664" s="1682"/>
      <c r="G1664" s="1680">
        <f t="shared" si="263"/>
        <v>0</v>
      </c>
      <c r="H1664" s="1680"/>
      <c r="I1664" s="1680"/>
      <c r="J1664" s="1680"/>
      <c r="K1664" s="1680"/>
      <c r="L1664" s="1680"/>
      <c r="M1664" s="1680"/>
      <c r="N1664" s="1680"/>
      <c r="O1664" s="1680"/>
      <c r="P1664" s="1680"/>
      <c r="Q1664" s="1680"/>
    </row>
    <row r="1665" spans="1:17">
      <c r="A1665" s="1708"/>
      <c r="B1665" s="1680"/>
      <c r="C1665" s="1874"/>
      <c r="D1665" s="1678"/>
      <c r="E1665" s="1708"/>
      <c r="F1665" s="1682"/>
      <c r="G1665" s="1680">
        <f t="shared" si="263"/>
        <v>0</v>
      </c>
      <c r="H1665" s="1680"/>
      <c r="I1665" s="1680"/>
      <c r="J1665" s="1680"/>
      <c r="K1665" s="1680"/>
      <c r="L1665" s="1680"/>
      <c r="M1665" s="1680"/>
      <c r="N1665" s="1680"/>
      <c r="O1665" s="1680"/>
      <c r="P1665" s="1680"/>
      <c r="Q1665" s="1680"/>
    </row>
    <row r="1666" spans="1:17">
      <c r="A1666" s="1708"/>
      <c r="B1666" s="1680"/>
      <c r="C1666" s="1874"/>
      <c r="D1666" s="1678"/>
      <c r="E1666" s="1708"/>
      <c r="F1666" s="1682"/>
      <c r="G1666" s="1680">
        <f t="shared" si="263"/>
        <v>0</v>
      </c>
      <c r="H1666" s="1680"/>
      <c r="I1666" s="1680"/>
      <c r="J1666" s="1680"/>
      <c r="K1666" s="1680"/>
      <c r="L1666" s="1680"/>
      <c r="M1666" s="1680"/>
      <c r="N1666" s="1680"/>
      <c r="O1666" s="1680"/>
      <c r="P1666" s="1680"/>
      <c r="Q1666" s="1680"/>
    </row>
    <row r="1667" spans="1:17">
      <c r="A1667" s="1708"/>
      <c r="B1667" s="1680"/>
      <c r="C1667" s="1874"/>
      <c r="D1667" s="1678"/>
      <c r="E1667" s="1708"/>
      <c r="F1667" s="1682"/>
      <c r="G1667" s="1680">
        <f t="shared" si="263"/>
        <v>0</v>
      </c>
      <c r="H1667" s="1680"/>
      <c r="I1667" s="1680"/>
      <c r="J1667" s="1680"/>
      <c r="K1667" s="1680"/>
      <c r="L1667" s="1680"/>
      <c r="M1667" s="1680"/>
      <c r="N1667" s="1680"/>
      <c r="O1667" s="1680"/>
      <c r="P1667" s="1680"/>
      <c r="Q1667" s="1680"/>
    </row>
    <row r="1668" spans="1:17">
      <c r="A1668" s="1708"/>
      <c r="B1668" s="1680"/>
      <c r="C1668" s="1874"/>
      <c r="D1668" s="1678"/>
      <c r="E1668" s="1708"/>
      <c r="F1668" s="1682"/>
      <c r="G1668" s="1680">
        <f t="shared" si="263"/>
        <v>0</v>
      </c>
      <c r="H1668" s="1680"/>
      <c r="I1668" s="1680"/>
      <c r="J1668" s="1680"/>
      <c r="K1668" s="1680"/>
      <c r="L1668" s="1680"/>
      <c r="M1668" s="1680"/>
      <c r="N1668" s="1680"/>
      <c r="O1668" s="1680"/>
      <c r="P1668" s="1680"/>
      <c r="Q1668" s="1680"/>
    </row>
    <row r="1669" spans="1:17">
      <c r="A1669" s="1708"/>
      <c r="B1669" s="1680"/>
      <c r="C1669" s="1874"/>
      <c r="D1669" s="1678"/>
      <c r="E1669" s="1708"/>
      <c r="F1669" s="1682"/>
      <c r="G1669" s="1680">
        <f t="shared" si="263"/>
        <v>0</v>
      </c>
      <c r="H1669" s="1680"/>
      <c r="I1669" s="1680"/>
      <c r="J1669" s="1680"/>
      <c r="K1669" s="1680"/>
      <c r="L1669" s="1680"/>
      <c r="M1669" s="1680"/>
      <c r="N1669" s="1680"/>
      <c r="O1669" s="1680"/>
      <c r="P1669" s="1680"/>
      <c r="Q1669" s="1680"/>
    </row>
    <row r="1670" spans="1:17">
      <c r="A1670" s="1708"/>
      <c r="B1670" s="1680"/>
      <c r="C1670" s="1874"/>
      <c r="D1670" s="1678"/>
      <c r="E1670" s="1708"/>
      <c r="F1670" s="1682"/>
      <c r="G1670" s="1680">
        <f t="shared" si="263"/>
        <v>0</v>
      </c>
      <c r="H1670" s="1680"/>
      <c r="I1670" s="1680"/>
      <c r="J1670" s="1680"/>
      <c r="K1670" s="1680"/>
      <c r="L1670" s="1680"/>
      <c r="M1670" s="1680"/>
      <c r="N1670" s="1680"/>
      <c r="O1670" s="1680"/>
      <c r="P1670" s="1680"/>
      <c r="Q1670" s="1680"/>
    </row>
    <row r="1671" spans="1:17">
      <c r="A1671" s="1708"/>
      <c r="B1671" s="1680"/>
      <c r="C1671" s="1874"/>
      <c r="D1671" s="1678"/>
      <c r="E1671" s="1708"/>
      <c r="F1671" s="1682"/>
      <c r="G1671" s="1680">
        <f t="shared" si="263"/>
        <v>0</v>
      </c>
      <c r="H1671" s="1680"/>
      <c r="I1671" s="1680"/>
      <c r="J1671" s="1680"/>
      <c r="K1671" s="1680"/>
      <c r="L1671" s="1680"/>
      <c r="M1671" s="1680"/>
      <c r="N1671" s="1680"/>
      <c r="O1671" s="1680"/>
      <c r="P1671" s="1680"/>
      <c r="Q1671" s="1680"/>
    </row>
    <row r="1672" spans="1:17">
      <c r="A1672" s="1708"/>
      <c r="B1672" s="1680"/>
      <c r="C1672" s="1874"/>
      <c r="D1672" s="1678"/>
      <c r="E1672" s="1708"/>
      <c r="F1672" s="1682"/>
      <c r="G1672" s="1680">
        <f t="shared" si="263"/>
        <v>0</v>
      </c>
      <c r="H1672" s="1680"/>
      <c r="I1672" s="1680"/>
      <c r="J1672" s="1680"/>
      <c r="K1672" s="1680"/>
      <c r="L1672" s="1680"/>
      <c r="M1672" s="1680"/>
      <c r="N1672" s="1680"/>
      <c r="O1672" s="1680"/>
      <c r="P1672" s="1680"/>
      <c r="Q1672" s="1680"/>
    </row>
    <row r="1673" spans="1:17">
      <c r="A1673" s="1708"/>
      <c r="B1673" s="1680"/>
      <c r="C1673" s="1874"/>
      <c r="D1673" s="1678"/>
      <c r="E1673" s="1708"/>
      <c r="F1673" s="1682"/>
      <c r="G1673" s="1680">
        <f t="shared" si="263"/>
        <v>0</v>
      </c>
      <c r="H1673" s="1680"/>
      <c r="I1673" s="1680"/>
      <c r="J1673" s="1680"/>
      <c r="K1673" s="1680"/>
      <c r="L1673" s="1680"/>
      <c r="M1673" s="1680"/>
      <c r="N1673" s="1680"/>
      <c r="O1673" s="1680"/>
      <c r="P1673" s="1680"/>
      <c r="Q1673" s="1680"/>
    </row>
    <row r="1674" spans="1:17">
      <c r="A1674" s="1708"/>
      <c r="B1674" s="1680"/>
      <c r="C1674" s="1874"/>
      <c r="D1674" s="1678"/>
      <c r="E1674" s="1708"/>
      <c r="F1674" s="1682"/>
      <c r="G1674" s="1680">
        <f t="shared" si="263"/>
        <v>0</v>
      </c>
      <c r="H1674" s="1680"/>
      <c r="I1674" s="1680"/>
      <c r="J1674" s="1680"/>
      <c r="K1674" s="1680"/>
      <c r="L1674" s="1680"/>
      <c r="M1674" s="1680"/>
      <c r="N1674" s="1680"/>
      <c r="O1674" s="1680"/>
      <c r="P1674" s="1680"/>
      <c r="Q1674" s="1680"/>
    </row>
    <row r="1675" spans="1:17">
      <c r="A1675" s="1708"/>
      <c r="B1675" s="1680"/>
      <c r="C1675" s="1874"/>
      <c r="D1675" s="1678"/>
      <c r="E1675" s="1708"/>
      <c r="F1675" s="1682"/>
      <c r="G1675" s="1680">
        <f t="shared" si="263"/>
        <v>0</v>
      </c>
      <c r="H1675" s="1680"/>
      <c r="I1675" s="1680"/>
      <c r="J1675" s="1680"/>
      <c r="K1675" s="1680"/>
      <c r="L1675" s="1680"/>
      <c r="M1675" s="1680"/>
      <c r="N1675" s="1680"/>
      <c r="O1675" s="1680"/>
      <c r="P1675" s="1680"/>
      <c r="Q1675" s="1680"/>
    </row>
    <row r="1676" spans="1:17">
      <c r="A1676" s="1708"/>
      <c r="B1676" s="1680"/>
      <c r="C1676" s="1874"/>
      <c r="D1676" s="1678"/>
      <c r="E1676" s="1708"/>
      <c r="F1676" s="1682"/>
      <c r="G1676" s="1680">
        <f t="shared" si="263"/>
        <v>0</v>
      </c>
      <c r="H1676" s="1680"/>
      <c r="I1676" s="1680"/>
      <c r="J1676" s="1680"/>
      <c r="K1676" s="1680"/>
      <c r="L1676" s="1680"/>
      <c r="M1676" s="1680"/>
      <c r="N1676" s="1680"/>
      <c r="O1676" s="1680"/>
      <c r="P1676" s="1680"/>
      <c r="Q1676" s="1680"/>
    </row>
    <row r="1677" spans="1:17">
      <c r="A1677" s="1708"/>
      <c r="B1677" s="1680"/>
      <c r="C1677" s="1874"/>
      <c r="D1677" s="1678"/>
      <c r="E1677" s="1708"/>
      <c r="F1677" s="1682"/>
      <c r="G1677" s="1680">
        <f t="shared" si="263"/>
        <v>0</v>
      </c>
      <c r="H1677" s="1680"/>
      <c r="I1677" s="1680"/>
      <c r="J1677" s="1680"/>
      <c r="K1677" s="1680"/>
      <c r="L1677" s="1680"/>
      <c r="M1677" s="1680"/>
      <c r="N1677" s="1680"/>
      <c r="O1677" s="1680"/>
      <c r="P1677" s="1680"/>
      <c r="Q1677" s="1680"/>
    </row>
    <row r="1678" spans="1:17">
      <c r="A1678" s="1708"/>
      <c r="B1678" s="1680"/>
      <c r="C1678" s="1874"/>
      <c r="D1678" s="1678"/>
      <c r="E1678" s="1708"/>
      <c r="F1678" s="1682"/>
      <c r="G1678" s="1680">
        <f t="shared" si="263"/>
        <v>0</v>
      </c>
      <c r="H1678" s="1680"/>
      <c r="I1678" s="1680"/>
      <c r="J1678" s="1680"/>
      <c r="K1678" s="1680"/>
      <c r="L1678" s="1680"/>
      <c r="M1678" s="1680"/>
      <c r="N1678" s="1680"/>
      <c r="O1678" s="1680"/>
      <c r="P1678" s="1680"/>
      <c r="Q1678" s="1680"/>
    </row>
    <row r="1679" spans="1:17">
      <c r="A1679" s="1708"/>
      <c r="B1679" s="1680"/>
      <c r="C1679" s="1874"/>
      <c r="D1679" s="1678"/>
      <c r="E1679" s="1708"/>
      <c r="F1679" s="1682"/>
      <c r="G1679" s="1680">
        <f t="shared" si="263"/>
        <v>0</v>
      </c>
      <c r="H1679" s="1680"/>
      <c r="I1679" s="1680"/>
      <c r="J1679" s="1680"/>
      <c r="K1679" s="1680"/>
      <c r="L1679" s="1680"/>
      <c r="M1679" s="1680"/>
      <c r="N1679" s="1680"/>
      <c r="O1679" s="1680"/>
      <c r="P1679" s="1680"/>
      <c r="Q1679" s="1680"/>
    </row>
    <row r="1680" spans="1:17">
      <c r="A1680" s="1708"/>
      <c r="B1680" s="1680"/>
      <c r="C1680" s="1874"/>
      <c r="D1680" s="1678"/>
      <c r="E1680" s="1708"/>
      <c r="F1680" s="1682"/>
      <c r="G1680" s="1680">
        <f t="shared" si="263"/>
        <v>0</v>
      </c>
      <c r="H1680" s="1680"/>
      <c r="I1680" s="1680"/>
      <c r="J1680" s="1680"/>
      <c r="K1680" s="1680"/>
      <c r="L1680" s="1680"/>
      <c r="M1680" s="1680"/>
      <c r="N1680" s="1680"/>
      <c r="O1680" s="1680"/>
      <c r="P1680" s="1680"/>
      <c r="Q1680" s="1680"/>
    </row>
    <row r="1681" spans="1:17">
      <c r="A1681" s="1708"/>
      <c r="B1681" s="1680"/>
      <c r="C1681" s="1874"/>
      <c r="D1681" s="1678"/>
      <c r="E1681" s="1708"/>
      <c r="F1681" s="1682"/>
      <c r="G1681" s="1680">
        <f t="shared" si="263"/>
        <v>0</v>
      </c>
      <c r="H1681" s="1680"/>
      <c r="I1681" s="1680"/>
      <c r="J1681" s="1680"/>
      <c r="K1681" s="1680"/>
      <c r="L1681" s="1680"/>
      <c r="M1681" s="1680"/>
      <c r="N1681" s="1680"/>
      <c r="O1681" s="1680"/>
      <c r="P1681" s="1680"/>
      <c r="Q1681" s="1680"/>
    </row>
    <row r="1682" spans="1:17">
      <c r="A1682" s="1708"/>
      <c r="B1682" s="1680"/>
      <c r="C1682" s="1874"/>
      <c r="D1682" s="1678"/>
      <c r="E1682" s="1708"/>
      <c r="F1682" s="1682"/>
      <c r="G1682" s="1680">
        <f t="shared" si="263"/>
        <v>0</v>
      </c>
      <c r="H1682" s="1680"/>
      <c r="I1682" s="1680"/>
      <c r="J1682" s="1680"/>
      <c r="K1682" s="1680"/>
      <c r="L1682" s="1680"/>
      <c r="M1682" s="1680"/>
      <c r="N1682" s="1680"/>
      <c r="O1682" s="1680"/>
      <c r="P1682" s="1680"/>
      <c r="Q1682" s="1680"/>
    </row>
    <row r="1683" spans="1:17">
      <c r="A1683" s="1708"/>
      <c r="B1683" s="1680"/>
      <c r="C1683" s="1874"/>
      <c r="D1683" s="1678"/>
      <c r="E1683" s="1708"/>
      <c r="F1683" s="1682"/>
      <c r="G1683" s="1680">
        <f t="shared" si="263"/>
        <v>0</v>
      </c>
      <c r="H1683" s="1680"/>
      <c r="I1683" s="1680"/>
      <c r="J1683" s="1680"/>
      <c r="K1683" s="1680"/>
      <c r="L1683" s="1680"/>
      <c r="M1683" s="1680"/>
      <c r="N1683" s="1680"/>
      <c r="O1683" s="1680"/>
      <c r="P1683" s="1680"/>
      <c r="Q1683" s="1680"/>
    </row>
    <row r="1684" spans="1:17">
      <c r="A1684" s="1708"/>
      <c r="B1684" s="1680"/>
      <c r="C1684" s="1874"/>
      <c r="D1684" s="1678"/>
      <c r="E1684" s="1708"/>
      <c r="F1684" s="1682"/>
      <c r="G1684" s="1680">
        <f t="shared" si="263"/>
        <v>0</v>
      </c>
      <c r="H1684" s="1680"/>
      <c r="I1684" s="1680"/>
      <c r="J1684" s="1680"/>
      <c r="K1684" s="1680"/>
      <c r="L1684" s="1680"/>
      <c r="M1684" s="1680"/>
      <c r="N1684" s="1680"/>
      <c r="O1684" s="1680"/>
      <c r="P1684" s="1680"/>
      <c r="Q1684" s="1680"/>
    </row>
    <row r="1685" spans="1:17">
      <c r="A1685" s="1708"/>
      <c r="B1685" s="1680"/>
      <c r="C1685" s="1874"/>
      <c r="D1685" s="1678"/>
      <c r="E1685" s="1708"/>
      <c r="F1685" s="1682"/>
      <c r="G1685" s="1680">
        <f t="shared" si="263"/>
        <v>0</v>
      </c>
      <c r="H1685" s="1680"/>
      <c r="I1685" s="1680"/>
      <c r="J1685" s="1680"/>
      <c r="K1685" s="1680"/>
      <c r="L1685" s="1680"/>
      <c r="M1685" s="1680"/>
      <c r="N1685" s="1680"/>
      <c r="O1685" s="1680"/>
      <c r="P1685" s="1680"/>
      <c r="Q1685" s="1680"/>
    </row>
    <row r="1686" spans="1:17">
      <c r="A1686" s="1708"/>
      <c r="B1686" s="1680"/>
      <c r="C1686" s="1874"/>
      <c r="D1686" s="1678"/>
      <c r="E1686" s="1708"/>
      <c r="F1686" s="1682"/>
      <c r="G1686" s="1680">
        <f t="shared" si="263"/>
        <v>0</v>
      </c>
      <c r="H1686" s="1680"/>
      <c r="I1686" s="1680"/>
      <c r="J1686" s="1680"/>
      <c r="K1686" s="1680"/>
      <c r="L1686" s="1680"/>
      <c r="M1686" s="1680"/>
      <c r="N1686" s="1680"/>
      <c r="O1686" s="1680"/>
      <c r="P1686" s="1680"/>
      <c r="Q1686" s="1680"/>
    </row>
    <row r="1687" spans="1:17">
      <c r="A1687" s="1708"/>
      <c r="B1687" s="1680"/>
      <c r="C1687" s="1874"/>
      <c r="D1687" s="1678"/>
      <c r="E1687" s="1708"/>
      <c r="F1687" s="1682"/>
      <c r="G1687" s="1680">
        <f t="shared" si="263"/>
        <v>0</v>
      </c>
      <c r="H1687" s="1680"/>
      <c r="I1687" s="1680"/>
      <c r="J1687" s="1680"/>
      <c r="K1687" s="1680"/>
      <c r="L1687" s="1680"/>
      <c r="M1687" s="1680"/>
      <c r="N1687" s="1680"/>
      <c r="O1687" s="1680"/>
      <c r="P1687" s="1680"/>
      <c r="Q1687" s="1680"/>
    </row>
    <row r="1688" spans="1:17">
      <c r="A1688" s="1708"/>
      <c r="B1688" s="1680"/>
      <c r="C1688" s="1874"/>
      <c r="D1688" s="1678"/>
      <c r="E1688" s="1708"/>
      <c r="F1688" s="1682"/>
      <c r="G1688" s="1680">
        <f t="shared" si="263"/>
        <v>0</v>
      </c>
      <c r="H1688" s="1680"/>
      <c r="I1688" s="1680"/>
      <c r="J1688" s="1680"/>
      <c r="K1688" s="1680"/>
      <c r="L1688" s="1680"/>
      <c r="M1688" s="1680"/>
      <c r="N1688" s="1680"/>
      <c r="O1688" s="1680"/>
      <c r="P1688" s="1680"/>
      <c r="Q1688" s="1680"/>
    </row>
    <row r="1689" spans="1:17">
      <c r="A1689" s="1708"/>
      <c r="B1689" s="1680"/>
      <c r="C1689" s="1874"/>
      <c r="D1689" s="1678"/>
      <c r="E1689" s="1708"/>
      <c r="F1689" s="1682"/>
      <c r="G1689" s="1680">
        <f t="shared" si="263"/>
        <v>0</v>
      </c>
      <c r="H1689" s="1680"/>
      <c r="I1689" s="1680"/>
      <c r="J1689" s="1680"/>
      <c r="K1689" s="1680"/>
      <c r="L1689" s="1680"/>
      <c r="M1689" s="1680"/>
      <c r="N1689" s="1680"/>
      <c r="O1689" s="1680"/>
      <c r="P1689" s="1680"/>
      <c r="Q1689" s="1680"/>
    </row>
    <row r="1690" spans="1:17">
      <c r="A1690" s="1708"/>
      <c r="B1690" s="1680"/>
      <c r="C1690" s="1874"/>
      <c r="D1690" s="1678"/>
      <c r="E1690" s="1708"/>
      <c r="F1690" s="1682"/>
      <c r="G1690" s="1680">
        <f t="shared" si="263"/>
        <v>0</v>
      </c>
      <c r="H1690" s="1680"/>
      <c r="I1690" s="1680"/>
      <c r="J1690" s="1680"/>
      <c r="K1690" s="1680"/>
      <c r="L1690" s="1680"/>
      <c r="M1690" s="1680"/>
      <c r="N1690" s="1680"/>
      <c r="O1690" s="1680"/>
      <c r="P1690" s="1680"/>
      <c r="Q1690" s="1680"/>
    </row>
    <row r="1691" spans="1:17">
      <c r="A1691" s="1708"/>
      <c r="B1691" s="1680"/>
      <c r="C1691" s="1874"/>
      <c r="D1691" s="1678"/>
      <c r="E1691" s="1708"/>
      <c r="F1691" s="1682"/>
      <c r="G1691" s="1680">
        <f t="shared" si="263"/>
        <v>0</v>
      </c>
      <c r="H1691" s="1680"/>
      <c r="I1691" s="1680"/>
      <c r="J1691" s="1680"/>
      <c r="K1691" s="1680"/>
      <c r="L1691" s="1680"/>
      <c r="M1691" s="1680"/>
      <c r="N1691" s="1680"/>
      <c r="O1691" s="1680"/>
      <c r="P1691" s="1680"/>
      <c r="Q1691" s="1680"/>
    </row>
    <row r="1692" spans="1:17">
      <c r="A1692" s="1708"/>
      <c r="B1692" s="1680"/>
      <c r="C1692" s="1874"/>
      <c r="D1692" s="1678"/>
      <c r="E1692" s="1708"/>
      <c r="F1692" s="1682"/>
      <c r="G1692" s="1680">
        <f t="shared" si="263"/>
        <v>0</v>
      </c>
      <c r="H1692" s="1680"/>
      <c r="I1692" s="1680"/>
      <c r="J1692" s="1680"/>
      <c r="K1692" s="1680"/>
      <c r="L1692" s="1680"/>
      <c r="M1692" s="1680"/>
      <c r="N1692" s="1680"/>
      <c r="O1692" s="1680"/>
      <c r="P1692" s="1680"/>
      <c r="Q1692" s="1680"/>
    </row>
    <row r="1693" spans="1:17">
      <c r="A1693" s="1708"/>
      <c r="B1693" s="1680"/>
      <c r="C1693" s="1874"/>
      <c r="D1693" s="1678"/>
      <c r="E1693" s="1708"/>
      <c r="F1693" s="1682"/>
      <c r="G1693" s="1680">
        <f t="shared" si="263"/>
        <v>0</v>
      </c>
      <c r="H1693" s="1680"/>
      <c r="I1693" s="1680"/>
      <c r="J1693" s="1680"/>
      <c r="K1693" s="1680"/>
      <c r="L1693" s="1680"/>
      <c r="M1693" s="1680"/>
      <c r="N1693" s="1680"/>
      <c r="O1693" s="1680"/>
      <c r="P1693" s="1680"/>
      <c r="Q1693" s="1680"/>
    </row>
    <row r="1694" spans="1:17">
      <c r="A1694" s="1708"/>
      <c r="B1694" s="1680"/>
      <c r="C1694" s="1874"/>
      <c r="D1694" s="1678"/>
      <c r="E1694" s="1708"/>
      <c r="F1694" s="1682"/>
      <c r="G1694" s="1680">
        <f t="shared" si="263"/>
        <v>0</v>
      </c>
      <c r="H1694" s="1680"/>
      <c r="I1694" s="1680"/>
      <c r="J1694" s="1680"/>
      <c r="K1694" s="1680"/>
      <c r="L1694" s="1680"/>
      <c r="M1694" s="1680"/>
      <c r="N1694" s="1680"/>
      <c r="O1694" s="1680"/>
      <c r="P1694" s="1680"/>
      <c r="Q1694" s="1680"/>
    </row>
    <row r="1695" spans="1:17">
      <c r="A1695" s="1708"/>
      <c r="B1695" s="1680"/>
      <c r="C1695" s="1874"/>
      <c r="D1695" s="1678"/>
      <c r="E1695" s="1708"/>
      <c r="F1695" s="1682"/>
      <c r="G1695" s="1680">
        <f t="shared" si="263"/>
        <v>0</v>
      </c>
      <c r="H1695" s="1680"/>
      <c r="I1695" s="1680"/>
      <c r="J1695" s="1680"/>
      <c r="K1695" s="1680"/>
      <c r="L1695" s="1680"/>
      <c r="M1695" s="1680"/>
      <c r="N1695" s="1680"/>
      <c r="O1695" s="1680"/>
      <c r="P1695" s="1680"/>
      <c r="Q1695" s="1680"/>
    </row>
    <row r="1696" spans="1:17">
      <c r="A1696" s="1708"/>
      <c r="B1696" s="1680"/>
      <c r="C1696" s="1874"/>
      <c r="D1696" s="1678"/>
      <c r="E1696" s="1708"/>
      <c r="F1696" s="1682"/>
      <c r="G1696" s="1680">
        <f t="shared" si="263"/>
        <v>0</v>
      </c>
      <c r="H1696" s="1680"/>
      <c r="I1696" s="1680"/>
      <c r="J1696" s="1680"/>
      <c r="K1696" s="1680"/>
      <c r="L1696" s="1680"/>
      <c r="M1696" s="1680"/>
      <c r="N1696" s="1680"/>
      <c r="O1696" s="1680"/>
      <c r="P1696" s="1680"/>
      <c r="Q1696" s="1680"/>
    </row>
    <row r="1697" spans="1:17">
      <c r="A1697" s="1708"/>
      <c r="B1697" s="1680"/>
      <c r="C1697" s="1874"/>
      <c r="D1697" s="1678"/>
      <c r="E1697" s="1708"/>
      <c r="F1697" s="1682"/>
      <c r="G1697" s="1680">
        <f t="shared" si="263"/>
        <v>0</v>
      </c>
      <c r="H1697" s="1680"/>
      <c r="I1697" s="1680"/>
      <c r="J1697" s="1680"/>
      <c r="K1697" s="1680"/>
      <c r="L1697" s="1680"/>
      <c r="M1697" s="1680"/>
      <c r="N1697" s="1680"/>
      <c r="O1697" s="1680"/>
      <c r="P1697" s="1680"/>
      <c r="Q1697" s="1680"/>
    </row>
    <row r="1698" spans="1:17">
      <c r="A1698" s="1708"/>
      <c r="B1698" s="1680"/>
      <c r="C1698" s="1874"/>
      <c r="D1698" s="1678"/>
      <c r="E1698" s="1708"/>
      <c r="F1698" s="1682"/>
      <c r="G1698" s="1680">
        <f t="shared" si="263"/>
        <v>0</v>
      </c>
      <c r="H1698" s="1680"/>
      <c r="I1698" s="1680"/>
      <c r="J1698" s="1680"/>
      <c r="K1698" s="1680"/>
      <c r="L1698" s="1680"/>
      <c r="M1698" s="1680"/>
      <c r="N1698" s="1680"/>
      <c r="O1698" s="1680"/>
      <c r="P1698" s="1680"/>
      <c r="Q1698" s="1680"/>
    </row>
    <row r="1699" spans="1:17">
      <c r="A1699" s="1708"/>
      <c r="B1699" s="1680"/>
      <c r="C1699" s="1874"/>
      <c r="D1699" s="1678"/>
      <c r="E1699" s="1708"/>
      <c r="F1699" s="1682"/>
      <c r="G1699" s="1680">
        <f t="shared" si="263"/>
        <v>0</v>
      </c>
      <c r="H1699" s="1680"/>
      <c r="I1699" s="1680"/>
      <c r="J1699" s="1680"/>
      <c r="K1699" s="1680"/>
      <c r="L1699" s="1680"/>
      <c r="M1699" s="1680"/>
      <c r="N1699" s="1680"/>
      <c r="O1699" s="1680"/>
      <c r="P1699" s="1680"/>
      <c r="Q1699" s="1680"/>
    </row>
    <row r="1700" spans="1:17">
      <c r="A1700" s="1708"/>
      <c r="B1700" s="1680"/>
      <c r="C1700" s="1874"/>
      <c r="D1700" s="1678"/>
      <c r="E1700" s="1708"/>
      <c r="F1700" s="1682"/>
      <c r="G1700" s="1680">
        <f t="shared" si="263"/>
        <v>0</v>
      </c>
      <c r="H1700" s="1680"/>
      <c r="I1700" s="1680"/>
      <c r="J1700" s="1680"/>
      <c r="K1700" s="1680"/>
      <c r="L1700" s="1680"/>
      <c r="M1700" s="1680"/>
      <c r="N1700" s="1680"/>
      <c r="O1700" s="1680"/>
      <c r="P1700" s="1680"/>
      <c r="Q1700" s="1680"/>
    </row>
    <row r="1701" spans="1:17">
      <c r="A1701" s="1708"/>
      <c r="B1701" s="1680"/>
      <c r="C1701" s="1874"/>
      <c r="D1701" s="1678"/>
      <c r="E1701" s="1708"/>
      <c r="F1701" s="1682"/>
      <c r="G1701" s="1680">
        <f t="shared" si="263"/>
        <v>0</v>
      </c>
      <c r="H1701" s="1680"/>
      <c r="I1701" s="1680"/>
      <c r="J1701" s="1680"/>
      <c r="K1701" s="1680"/>
      <c r="L1701" s="1680"/>
      <c r="M1701" s="1680"/>
      <c r="N1701" s="1680"/>
      <c r="O1701" s="1680"/>
      <c r="P1701" s="1680"/>
      <c r="Q1701" s="1680"/>
    </row>
    <row r="1702" spans="1:17">
      <c r="A1702" s="1708"/>
      <c r="B1702" s="1680"/>
      <c r="C1702" s="1874"/>
      <c r="D1702" s="1678"/>
      <c r="E1702" s="1708"/>
      <c r="F1702" s="1682"/>
      <c r="G1702" s="1680">
        <f t="shared" si="263"/>
        <v>0</v>
      </c>
      <c r="H1702" s="1680"/>
      <c r="I1702" s="1680"/>
      <c r="J1702" s="1680"/>
      <c r="K1702" s="1680"/>
      <c r="L1702" s="1680"/>
      <c r="M1702" s="1680"/>
      <c r="N1702" s="1680"/>
      <c r="O1702" s="1680"/>
      <c r="P1702" s="1680"/>
      <c r="Q1702" s="1680"/>
    </row>
    <row r="1703" spans="1:17">
      <c r="A1703" s="1708"/>
      <c r="B1703" s="1680"/>
      <c r="C1703" s="1874"/>
      <c r="D1703" s="1678"/>
      <c r="E1703" s="1708"/>
      <c r="F1703" s="1682"/>
      <c r="G1703" s="1680">
        <f t="shared" si="263"/>
        <v>0</v>
      </c>
      <c r="H1703" s="1680"/>
      <c r="I1703" s="1680"/>
      <c r="J1703" s="1680"/>
      <c r="K1703" s="1680"/>
      <c r="L1703" s="1680"/>
      <c r="M1703" s="1680"/>
      <c r="N1703" s="1680"/>
      <c r="O1703" s="1680"/>
      <c r="P1703" s="1680"/>
      <c r="Q1703" s="1680"/>
    </row>
    <row r="1704" spans="1:17">
      <c r="A1704" s="1708"/>
      <c r="B1704" s="1680"/>
      <c r="C1704" s="1874"/>
      <c r="D1704" s="1678"/>
      <c r="E1704" s="1708"/>
      <c r="F1704" s="1682"/>
      <c r="G1704" s="1680">
        <f t="shared" si="263"/>
        <v>0</v>
      </c>
      <c r="H1704" s="1680"/>
      <c r="I1704" s="1680"/>
      <c r="J1704" s="1680"/>
      <c r="K1704" s="1680"/>
      <c r="L1704" s="1680"/>
      <c r="M1704" s="1680"/>
      <c r="N1704" s="1680"/>
      <c r="O1704" s="1680"/>
      <c r="P1704" s="1680"/>
      <c r="Q1704" s="1680"/>
    </row>
    <row r="1705" spans="1:17">
      <c r="A1705" s="1708"/>
      <c r="B1705" s="1680"/>
      <c r="C1705" s="1874"/>
      <c r="D1705" s="1678"/>
      <c r="E1705" s="1708"/>
      <c r="F1705" s="1682"/>
      <c r="G1705" s="1680">
        <f t="shared" si="263"/>
        <v>0</v>
      </c>
      <c r="H1705" s="1680"/>
      <c r="I1705" s="1680"/>
      <c r="J1705" s="1680"/>
      <c r="K1705" s="1680"/>
      <c r="L1705" s="1680"/>
      <c r="M1705" s="1680"/>
      <c r="N1705" s="1680"/>
      <c r="O1705" s="1680"/>
      <c r="P1705" s="1680"/>
      <c r="Q1705" s="1680"/>
    </row>
    <row r="1706" spans="1:17">
      <c r="A1706" s="1708"/>
      <c r="B1706" s="1680"/>
      <c r="C1706" s="1874"/>
      <c r="D1706" s="1678"/>
      <c r="E1706" s="1708"/>
      <c r="F1706" s="1682"/>
      <c r="G1706" s="1680">
        <f t="shared" si="263"/>
        <v>0</v>
      </c>
      <c r="H1706" s="1680"/>
      <c r="I1706" s="1680"/>
      <c r="J1706" s="1680"/>
      <c r="K1706" s="1680"/>
      <c r="L1706" s="1680"/>
      <c r="M1706" s="1680"/>
      <c r="N1706" s="1680"/>
      <c r="O1706" s="1680"/>
      <c r="P1706" s="1680"/>
      <c r="Q1706" s="1680"/>
    </row>
    <row r="1707" spans="1:17">
      <c r="A1707" s="1708"/>
      <c r="B1707" s="1680"/>
      <c r="C1707" s="1874"/>
      <c r="D1707" s="1678"/>
      <c r="E1707" s="1708"/>
      <c r="F1707" s="1682"/>
      <c r="G1707" s="1680">
        <f t="shared" si="263"/>
        <v>0</v>
      </c>
      <c r="H1707" s="1680"/>
      <c r="I1707" s="1680"/>
      <c r="J1707" s="1680"/>
      <c r="K1707" s="1680"/>
      <c r="L1707" s="1680"/>
      <c r="M1707" s="1680"/>
      <c r="N1707" s="1680"/>
      <c r="O1707" s="1680"/>
      <c r="P1707" s="1680"/>
      <c r="Q1707" s="1680"/>
    </row>
    <row r="1708" spans="1:17">
      <c r="A1708" s="1708"/>
      <c r="B1708" s="1680"/>
      <c r="C1708" s="1874"/>
      <c r="D1708" s="1678"/>
      <c r="E1708" s="1708"/>
      <c r="F1708" s="1682"/>
      <c r="G1708" s="1680">
        <f t="shared" si="263"/>
        <v>0</v>
      </c>
      <c r="H1708" s="1680"/>
      <c r="I1708" s="1680"/>
      <c r="J1708" s="1680"/>
      <c r="K1708" s="1680"/>
      <c r="L1708" s="1680"/>
      <c r="M1708" s="1680"/>
      <c r="N1708" s="1680"/>
      <c r="O1708" s="1680"/>
      <c r="P1708" s="1680"/>
      <c r="Q1708" s="1680"/>
    </row>
    <row r="1709" spans="1:17">
      <c r="A1709" s="1708"/>
      <c r="B1709" s="1680"/>
      <c r="C1709" s="1874"/>
      <c r="D1709" s="1678"/>
      <c r="E1709" s="1708"/>
      <c r="F1709" s="1682"/>
      <c r="G1709" s="1680">
        <f t="shared" si="263"/>
        <v>0</v>
      </c>
      <c r="H1709" s="1680"/>
      <c r="I1709" s="1680"/>
      <c r="J1709" s="1680"/>
      <c r="K1709" s="1680"/>
      <c r="L1709" s="1680"/>
      <c r="M1709" s="1680"/>
      <c r="N1709" s="1680"/>
      <c r="O1709" s="1680"/>
      <c r="P1709" s="1680"/>
      <c r="Q1709" s="1680"/>
    </row>
    <row r="1710" spans="1:17">
      <c r="A1710" s="1708"/>
      <c r="B1710" s="1680"/>
      <c r="C1710" s="1874"/>
      <c r="D1710" s="1678"/>
      <c r="E1710" s="1708"/>
      <c r="F1710" s="1682"/>
      <c r="G1710" s="1680">
        <f t="shared" si="263"/>
        <v>0</v>
      </c>
      <c r="H1710" s="1680"/>
      <c r="I1710" s="1680"/>
      <c r="J1710" s="1680"/>
      <c r="K1710" s="1680"/>
      <c r="L1710" s="1680"/>
      <c r="M1710" s="1680"/>
      <c r="N1710" s="1680"/>
      <c r="O1710" s="1680"/>
      <c r="P1710" s="1680"/>
      <c r="Q1710" s="1680"/>
    </row>
    <row r="1711" spans="1:17">
      <c r="A1711" s="1708"/>
      <c r="B1711" s="1680"/>
      <c r="C1711" s="1874"/>
      <c r="D1711" s="1678"/>
      <c r="E1711" s="1708"/>
      <c r="F1711" s="1682"/>
      <c r="G1711" s="1680">
        <f t="shared" si="263"/>
        <v>0</v>
      </c>
      <c r="H1711" s="1680"/>
      <c r="I1711" s="1680"/>
      <c r="J1711" s="1680"/>
      <c r="K1711" s="1680"/>
      <c r="L1711" s="1680"/>
      <c r="M1711" s="1680"/>
      <c r="N1711" s="1680"/>
      <c r="O1711" s="1680"/>
      <c r="P1711" s="1680"/>
      <c r="Q1711" s="1680"/>
    </row>
    <row r="1712" spans="1:17">
      <c r="A1712" s="1708"/>
      <c r="B1712" s="1680"/>
      <c r="C1712" s="1874"/>
      <c r="D1712" s="1678"/>
      <c r="E1712" s="1708"/>
      <c r="F1712" s="1682"/>
      <c r="G1712" s="1680">
        <f t="shared" si="263"/>
        <v>0</v>
      </c>
      <c r="H1712" s="1680"/>
      <c r="I1712" s="1680"/>
      <c r="J1712" s="1680"/>
      <c r="K1712" s="1680"/>
      <c r="L1712" s="1680"/>
      <c r="M1712" s="1680"/>
      <c r="N1712" s="1680"/>
      <c r="O1712" s="1680"/>
      <c r="P1712" s="1680"/>
      <c r="Q1712" s="1680"/>
    </row>
    <row r="1713" spans="1:17">
      <c r="A1713" s="1708"/>
      <c r="B1713" s="1680"/>
      <c r="C1713" s="1874"/>
      <c r="D1713" s="1678"/>
      <c r="E1713" s="1708"/>
      <c r="F1713" s="1682"/>
      <c r="G1713" s="1680">
        <f t="shared" si="263"/>
        <v>0</v>
      </c>
      <c r="H1713" s="1680"/>
      <c r="I1713" s="1680"/>
      <c r="J1713" s="1680"/>
      <c r="K1713" s="1680"/>
      <c r="L1713" s="1680"/>
      <c r="M1713" s="1680"/>
      <c r="N1713" s="1680"/>
      <c r="O1713" s="1680"/>
      <c r="P1713" s="1680"/>
      <c r="Q1713" s="1680"/>
    </row>
    <row r="1714" spans="1:17">
      <c r="A1714" s="1708"/>
      <c r="B1714" s="1680"/>
      <c r="C1714" s="1874"/>
      <c r="D1714" s="1678"/>
      <c r="E1714" s="1708"/>
      <c r="F1714" s="1682"/>
      <c r="G1714" s="1680">
        <f t="shared" si="263"/>
        <v>0</v>
      </c>
      <c r="H1714" s="1680"/>
      <c r="I1714" s="1680"/>
      <c r="J1714" s="1680"/>
      <c r="K1714" s="1680"/>
      <c r="L1714" s="1680"/>
      <c r="M1714" s="1680"/>
      <c r="N1714" s="1680"/>
      <c r="O1714" s="1680"/>
      <c r="P1714" s="1680"/>
      <c r="Q1714" s="1680"/>
    </row>
    <row r="1715" spans="1:17">
      <c r="A1715" s="1708"/>
      <c r="B1715" s="1680"/>
      <c r="C1715" s="1874"/>
      <c r="D1715" s="1678"/>
      <c r="E1715" s="1708"/>
      <c r="F1715" s="1682"/>
      <c r="G1715" s="1680">
        <f t="shared" si="263"/>
        <v>0</v>
      </c>
      <c r="H1715" s="1680"/>
      <c r="I1715" s="1680"/>
      <c r="J1715" s="1680"/>
      <c r="K1715" s="1680"/>
      <c r="L1715" s="1680"/>
      <c r="M1715" s="1680"/>
      <c r="N1715" s="1680"/>
      <c r="O1715" s="1680"/>
      <c r="P1715" s="1680"/>
      <c r="Q1715" s="1680"/>
    </row>
    <row r="1716" spans="1:17">
      <c r="A1716" s="1708"/>
      <c r="B1716" s="1680"/>
      <c r="C1716" s="1874"/>
      <c r="D1716" s="1678"/>
      <c r="E1716" s="1708"/>
      <c r="F1716" s="1682"/>
      <c r="G1716" s="1680">
        <f t="shared" si="263"/>
        <v>0</v>
      </c>
      <c r="H1716" s="1680"/>
      <c r="I1716" s="1680"/>
      <c r="J1716" s="1680"/>
      <c r="K1716" s="1680"/>
      <c r="L1716" s="1680"/>
      <c r="M1716" s="1680"/>
      <c r="N1716" s="1680"/>
      <c r="O1716" s="1680"/>
      <c r="P1716" s="1680"/>
      <c r="Q1716" s="1680"/>
    </row>
    <row r="1717" spans="1:17">
      <c r="A1717" s="1708"/>
      <c r="B1717" s="1680"/>
      <c r="C1717" s="1874"/>
      <c r="D1717" s="1678"/>
      <c r="E1717" s="1708"/>
      <c r="F1717" s="1682"/>
      <c r="G1717" s="1680">
        <f t="shared" si="263"/>
        <v>0</v>
      </c>
      <c r="H1717" s="1680"/>
      <c r="I1717" s="1680"/>
      <c r="J1717" s="1680"/>
      <c r="K1717" s="1680"/>
      <c r="L1717" s="1680"/>
      <c r="M1717" s="1680"/>
      <c r="N1717" s="1680"/>
      <c r="O1717" s="1680"/>
      <c r="P1717" s="1680"/>
      <c r="Q1717" s="1680"/>
    </row>
    <row r="1718" spans="1:17">
      <c r="A1718" s="1708"/>
      <c r="B1718" s="1680"/>
      <c r="C1718" s="1874"/>
      <c r="D1718" s="1678"/>
      <c r="E1718" s="1708"/>
      <c r="F1718" s="1682"/>
      <c r="G1718" s="1680">
        <f t="shared" si="263"/>
        <v>0</v>
      </c>
      <c r="H1718" s="1680"/>
      <c r="I1718" s="1680"/>
      <c r="J1718" s="1680"/>
      <c r="K1718" s="1680"/>
      <c r="L1718" s="1680"/>
      <c r="M1718" s="1680"/>
      <c r="N1718" s="1680"/>
      <c r="O1718" s="1680"/>
      <c r="P1718" s="1680"/>
      <c r="Q1718" s="1680"/>
    </row>
    <row r="1719" spans="1:17">
      <c r="A1719" s="1708"/>
      <c r="B1719" s="1680"/>
      <c r="C1719" s="1874"/>
      <c r="D1719" s="1678"/>
      <c r="E1719" s="1708"/>
      <c r="F1719" s="1682"/>
      <c r="G1719" s="1680">
        <f t="shared" si="263"/>
        <v>0</v>
      </c>
      <c r="H1719" s="1680"/>
      <c r="I1719" s="1680"/>
      <c r="J1719" s="1680"/>
      <c r="K1719" s="1680"/>
      <c r="L1719" s="1680"/>
      <c r="M1719" s="1680"/>
      <c r="N1719" s="1680"/>
      <c r="O1719" s="1680"/>
      <c r="P1719" s="1680"/>
      <c r="Q1719" s="1680"/>
    </row>
    <row r="1720" spans="1:17">
      <c r="A1720" s="1708"/>
      <c r="B1720" s="1680"/>
      <c r="C1720" s="1874"/>
      <c r="D1720" s="1678"/>
      <c r="E1720" s="1708"/>
      <c r="F1720" s="1682"/>
      <c r="G1720" s="1680">
        <f t="shared" si="263"/>
        <v>0</v>
      </c>
      <c r="H1720" s="1680"/>
      <c r="I1720" s="1680"/>
      <c r="J1720" s="1680"/>
      <c r="K1720" s="1680"/>
      <c r="L1720" s="1680"/>
      <c r="M1720" s="1680"/>
      <c r="N1720" s="1680"/>
      <c r="O1720" s="1680"/>
      <c r="P1720" s="1680"/>
      <c r="Q1720" s="1680"/>
    </row>
    <row r="1721" spans="1:17">
      <c r="A1721" s="1708"/>
      <c r="B1721" s="1680"/>
      <c r="C1721" s="1874"/>
      <c r="D1721" s="1678"/>
      <c r="E1721" s="1708"/>
      <c r="F1721" s="1682"/>
      <c r="G1721" s="1680">
        <f t="shared" si="263"/>
        <v>0</v>
      </c>
      <c r="H1721" s="1680"/>
      <c r="I1721" s="1680"/>
      <c r="J1721" s="1680"/>
      <c r="K1721" s="1680"/>
      <c r="L1721" s="1680"/>
      <c r="M1721" s="1680"/>
      <c r="N1721" s="1680"/>
      <c r="O1721" s="1680"/>
      <c r="P1721" s="1680"/>
      <c r="Q1721" s="1680"/>
    </row>
    <row r="1722" spans="1:17">
      <c r="A1722" s="1708"/>
      <c r="B1722" s="1680"/>
      <c r="C1722" s="1874"/>
      <c r="D1722" s="1678"/>
      <c r="E1722" s="1708"/>
      <c r="F1722" s="1682"/>
      <c r="G1722" s="1680">
        <f t="shared" si="263"/>
        <v>0</v>
      </c>
      <c r="H1722" s="1680"/>
      <c r="I1722" s="1680"/>
      <c r="J1722" s="1680"/>
      <c r="K1722" s="1680"/>
      <c r="L1722" s="1680"/>
      <c r="M1722" s="1680"/>
      <c r="N1722" s="1680"/>
      <c r="O1722" s="1680"/>
      <c r="P1722" s="1680"/>
      <c r="Q1722" s="1680"/>
    </row>
    <row r="1723" spans="1:17">
      <c r="A1723" s="1708"/>
      <c r="B1723" s="1680"/>
      <c r="C1723" s="1874"/>
      <c r="D1723" s="1678"/>
      <c r="E1723" s="1708"/>
      <c r="F1723" s="1682"/>
      <c r="G1723" s="1680">
        <f t="shared" ref="G1723:G1786" si="264">F1723*D1723</f>
        <v>0</v>
      </c>
      <c r="H1723" s="1680"/>
      <c r="I1723" s="1680"/>
      <c r="J1723" s="1680"/>
      <c r="K1723" s="1680"/>
      <c r="L1723" s="1680"/>
      <c r="M1723" s="1680"/>
      <c r="N1723" s="1680"/>
      <c r="O1723" s="1680"/>
      <c r="P1723" s="1680"/>
      <c r="Q1723" s="1680"/>
    </row>
    <row r="1724" spans="1:17">
      <c r="A1724" s="1708"/>
      <c r="B1724" s="1680"/>
      <c r="C1724" s="1874"/>
      <c r="D1724" s="1678"/>
      <c r="E1724" s="1708"/>
      <c r="F1724" s="1682"/>
      <c r="G1724" s="1680">
        <f t="shared" si="264"/>
        <v>0</v>
      </c>
      <c r="H1724" s="1680"/>
      <c r="I1724" s="1680"/>
      <c r="J1724" s="1680"/>
      <c r="K1724" s="1680"/>
      <c r="L1724" s="1680"/>
      <c r="M1724" s="1680"/>
      <c r="N1724" s="1680"/>
      <c r="O1724" s="1680"/>
      <c r="P1724" s="1680"/>
      <c r="Q1724" s="1680"/>
    </row>
    <row r="1725" spans="1:17">
      <c r="A1725" s="1708"/>
      <c r="B1725" s="1680"/>
      <c r="C1725" s="1874"/>
      <c r="D1725" s="1678"/>
      <c r="E1725" s="1708"/>
      <c r="F1725" s="1682"/>
      <c r="G1725" s="1680">
        <f t="shared" si="264"/>
        <v>0</v>
      </c>
      <c r="H1725" s="1680"/>
      <c r="I1725" s="1680"/>
      <c r="J1725" s="1680"/>
      <c r="K1725" s="1680"/>
      <c r="L1725" s="1680"/>
      <c r="M1725" s="1680"/>
      <c r="N1725" s="1680"/>
      <c r="O1725" s="1680"/>
      <c r="P1725" s="1680"/>
      <c r="Q1725" s="1680"/>
    </row>
    <row r="1726" spans="1:17">
      <c r="A1726" s="1708"/>
      <c r="B1726" s="1680"/>
      <c r="C1726" s="1874"/>
      <c r="D1726" s="1678"/>
      <c r="E1726" s="1708"/>
      <c r="F1726" s="1682"/>
      <c r="G1726" s="1680">
        <f t="shared" si="264"/>
        <v>0</v>
      </c>
      <c r="H1726" s="1680"/>
      <c r="I1726" s="1680"/>
      <c r="J1726" s="1680"/>
      <c r="K1726" s="1680"/>
      <c r="L1726" s="1680"/>
      <c r="M1726" s="1680"/>
      <c r="N1726" s="1680"/>
      <c r="O1726" s="1680"/>
      <c r="P1726" s="1680"/>
      <c r="Q1726" s="1680"/>
    </row>
    <row r="1727" spans="1:17">
      <c r="A1727" s="1708"/>
      <c r="B1727" s="1680"/>
      <c r="C1727" s="1874"/>
      <c r="D1727" s="1678"/>
      <c r="E1727" s="1708"/>
      <c r="F1727" s="1682"/>
      <c r="G1727" s="1680">
        <f t="shared" si="264"/>
        <v>0</v>
      </c>
      <c r="H1727" s="1680"/>
      <c r="I1727" s="1680"/>
      <c r="J1727" s="1680"/>
      <c r="K1727" s="1680"/>
      <c r="L1727" s="1680"/>
      <c r="M1727" s="1680"/>
      <c r="N1727" s="1680"/>
      <c r="O1727" s="1680"/>
      <c r="P1727" s="1680"/>
      <c r="Q1727" s="1680"/>
    </row>
    <row r="1728" spans="1:17">
      <c r="A1728" s="1708"/>
      <c r="B1728" s="1680"/>
      <c r="C1728" s="1874"/>
      <c r="D1728" s="1678"/>
      <c r="E1728" s="1708"/>
      <c r="F1728" s="1682"/>
      <c r="G1728" s="1680">
        <f t="shared" si="264"/>
        <v>0</v>
      </c>
      <c r="H1728" s="1680"/>
      <c r="I1728" s="1680"/>
      <c r="J1728" s="1680"/>
      <c r="K1728" s="1680"/>
      <c r="L1728" s="1680"/>
      <c r="M1728" s="1680"/>
      <c r="N1728" s="1680"/>
      <c r="O1728" s="1680"/>
      <c r="P1728" s="1680"/>
      <c r="Q1728" s="1680"/>
    </row>
    <row r="1729" spans="1:17">
      <c r="A1729" s="1708"/>
      <c r="B1729" s="1680"/>
      <c r="C1729" s="1874"/>
      <c r="D1729" s="1678"/>
      <c r="E1729" s="1708"/>
      <c r="F1729" s="1682"/>
      <c r="G1729" s="1680">
        <f t="shared" si="264"/>
        <v>0</v>
      </c>
      <c r="H1729" s="1680"/>
      <c r="I1729" s="1680"/>
      <c r="J1729" s="1680"/>
      <c r="K1729" s="1680"/>
      <c r="L1729" s="1680"/>
      <c r="M1729" s="1680"/>
      <c r="N1729" s="1680"/>
      <c r="O1729" s="1680"/>
      <c r="P1729" s="1680"/>
      <c r="Q1729" s="1680"/>
    </row>
    <row r="1730" spans="1:17">
      <c r="A1730" s="1708"/>
      <c r="B1730" s="1680"/>
      <c r="C1730" s="1874"/>
      <c r="D1730" s="1678"/>
      <c r="E1730" s="1708"/>
      <c r="F1730" s="1682"/>
      <c r="G1730" s="1680">
        <f t="shared" si="264"/>
        <v>0</v>
      </c>
      <c r="H1730" s="1680"/>
      <c r="I1730" s="1680"/>
      <c r="J1730" s="1680"/>
      <c r="K1730" s="1680"/>
      <c r="L1730" s="1680"/>
      <c r="M1730" s="1680"/>
      <c r="N1730" s="1680"/>
      <c r="O1730" s="1680"/>
      <c r="P1730" s="1680"/>
      <c r="Q1730" s="1680"/>
    </row>
    <row r="1731" spans="1:17">
      <c r="A1731" s="1708"/>
      <c r="B1731" s="1680"/>
      <c r="C1731" s="1874"/>
      <c r="D1731" s="1678"/>
      <c r="E1731" s="1708"/>
      <c r="F1731" s="1682"/>
      <c r="G1731" s="1680">
        <f t="shared" si="264"/>
        <v>0</v>
      </c>
      <c r="H1731" s="1680"/>
      <c r="I1731" s="1680"/>
      <c r="J1731" s="1680"/>
      <c r="K1731" s="1680"/>
      <c r="L1731" s="1680"/>
      <c r="M1731" s="1680"/>
      <c r="N1731" s="1680"/>
      <c r="O1731" s="1680"/>
      <c r="P1731" s="1680"/>
      <c r="Q1731" s="1680"/>
    </row>
    <row r="1732" spans="1:17">
      <c r="A1732" s="1708"/>
      <c r="B1732" s="1680"/>
      <c r="C1732" s="1874"/>
      <c r="D1732" s="1678"/>
      <c r="E1732" s="1708"/>
      <c r="F1732" s="1682"/>
      <c r="G1732" s="1680">
        <f t="shared" si="264"/>
        <v>0</v>
      </c>
      <c r="H1732" s="1680"/>
      <c r="I1732" s="1680"/>
      <c r="J1732" s="1680"/>
      <c r="K1732" s="1680"/>
      <c r="L1732" s="1680"/>
      <c r="M1732" s="1680"/>
      <c r="N1732" s="1680"/>
      <c r="O1732" s="1680"/>
      <c r="P1732" s="1680"/>
      <c r="Q1732" s="1680"/>
    </row>
    <row r="1733" spans="1:17">
      <c r="A1733" s="1708"/>
      <c r="B1733" s="1680"/>
      <c r="C1733" s="1874"/>
      <c r="D1733" s="1678"/>
      <c r="E1733" s="1708"/>
      <c r="F1733" s="1682"/>
      <c r="G1733" s="1680">
        <f t="shared" si="264"/>
        <v>0</v>
      </c>
      <c r="H1733" s="1680"/>
      <c r="I1733" s="1680"/>
      <c r="J1733" s="1680"/>
      <c r="K1733" s="1680"/>
      <c r="L1733" s="1680"/>
      <c r="M1733" s="1680"/>
      <c r="N1733" s="1680"/>
      <c r="O1733" s="1680"/>
      <c r="P1733" s="1680"/>
      <c r="Q1733" s="1680"/>
    </row>
    <row r="1734" spans="1:17">
      <c r="A1734" s="1708"/>
      <c r="B1734" s="1680"/>
      <c r="C1734" s="1874"/>
      <c r="D1734" s="1678"/>
      <c r="E1734" s="1708"/>
      <c r="F1734" s="1682"/>
      <c r="G1734" s="1680">
        <f t="shared" si="264"/>
        <v>0</v>
      </c>
      <c r="H1734" s="1680"/>
      <c r="I1734" s="1680"/>
      <c r="J1734" s="1680"/>
      <c r="K1734" s="1680"/>
      <c r="L1734" s="1680"/>
      <c r="M1734" s="1680"/>
      <c r="N1734" s="1680"/>
      <c r="O1734" s="1680"/>
      <c r="P1734" s="1680"/>
      <c r="Q1734" s="1680"/>
    </row>
    <row r="1735" spans="1:17">
      <c r="A1735" s="1708"/>
      <c r="B1735" s="1680"/>
      <c r="C1735" s="1874"/>
      <c r="D1735" s="1678"/>
      <c r="E1735" s="1708"/>
      <c r="F1735" s="1682"/>
      <c r="G1735" s="1680">
        <f t="shared" si="264"/>
        <v>0</v>
      </c>
      <c r="H1735" s="1680"/>
      <c r="I1735" s="1680"/>
      <c r="J1735" s="1680"/>
      <c r="K1735" s="1680"/>
      <c r="L1735" s="1680"/>
      <c r="M1735" s="1680"/>
      <c r="N1735" s="1680"/>
      <c r="O1735" s="1680"/>
      <c r="P1735" s="1680"/>
      <c r="Q1735" s="1680"/>
    </row>
    <row r="1736" spans="1:17">
      <c r="A1736" s="1708"/>
      <c r="B1736" s="1680"/>
      <c r="C1736" s="1874"/>
      <c r="D1736" s="1678"/>
      <c r="E1736" s="1708"/>
      <c r="F1736" s="1682"/>
      <c r="G1736" s="1680">
        <f t="shared" si="264"/>
        <v>0</v>
      </c>
      <c r="H1736" s="1680"/>
      <c r="I1736" s="1680"/>
      <c r="J1736" s="1680"/>
      <c r="K1736" s="1680"/>
      <c r="L1736" s="1680"/>
      <c r="M1736" s="1680"/>
      <c r="N1736" s="1680"/>
      <c r="O1736" s="1680"/>
      <c r="P1736" s="1680"/>
      <c r="Q1736" s="1680"/>
    </row>
    <row r="1737" spans="1:17">
      <c r="A1737" s="1708"/>
      <c r="B1737" s="1680"/>
      <c r="C1737" s="1874"/>
      <c r="D1737" s="1678"/>
      <c r="E1737" s="1708"/>
      <c r="F1737" s="1682"/>
      <c r="G1737" s="1680">
        <f t="shared" si="264"/>
        <v>0</v>
      </c>
      <c r="H1737" s="1680"/>
      <c r="I1737" s="1680"/>
      <c r="J1737" s="1680"/>
      <c r="K1737" s="1680"/>
      <c r="L1737" s="1680"/>
      <c r="M1737" s="1680"/>
      <c r="N1737" s="1680"/>
      <c r="O1737" s="1680"/>
      <c r="P1737" s="1680"/>
      <c r="Q1737" s="1680"/>
    </row>
    <row r="1738" spans="1:17">
      <c r="A1738" s="1708"/>
      <c r="B1738" s="1680"/>
      <c r="C1738" s="1874"/>
      <c r="D1738" s="1678"/>
      <c r="E1738" s="1708"/>
      <c r="F1738" s="1682"/>
      <c r="G1738" s="1680">
        <f t="shared" si="264"/>
        <v>0</v>
      </c>
      <c r="H1738" s="1680"/>
      <c r="I1738" s="1680"/>
      <c r="J1738" s="1680"/>
      <c r="K1738" s="1680"/>
      <c r="L1738" s="1680"/>
      <c r="M1738" s="1680"/>
      <c r="N1738" s="1680"/>
      <c r="O1738" s="1680"/>
      <c r="P1738" s="1680"/>
      <c r="Q1738" s="1680"/>
    </row>
    <row r="1739" spans="1:17">
      <c r="A1739" s="1708"/>
      <c r="B1739" s="1680"/>
      <c r="C1739" s="1874"/>
      <c r="D1739" s="1678"/>
      <c r="E1739" s="1708"/>
      <c r="F1739" s="1682"/>
      <c r="G1739" s="1680">
        <f t="shared" si="264"/>
        <v>0</v>
      </c>
      <c r="H1739" s="1680"/>
      <c r="I1739" s="1680"/>
      <c r="J1739" s="1680"/>
      <c r="K1739" s="1680"/>
      <c r="L1739" s="1680"/>
      <c r="M1739" s="1680"/>
      <c r="N1739" s="1680"/>
      <c r="O1739" s="1680"/>
      <c r="P1739" s="1680"/>
      <c r="Q1739" s="1680"/>
    </row>
    <row r="1740" spans="1:17">
      <c r="A1740" s="1708"/>
      <c r="B1740" s="1680"/>
      <c r="C1740" s="1874"/>
      <c r="D1740" s="1678"/>
      <c r="E1740" s="1708"/>
      <c r="F1740" s="1682"/>
      <c r="G1740" s="1680">
        <f t="shared" si="264"/>
        <v>0</v>
      </c>
      <c r="H1740" s="1680"/>
      <c r="I1740" s="1680"/>
      <c r="J1740" s="1680"/>
      <c r="K1740" s="1680"/>
      <c r="L1740" s="1680"/>
      <c r="M1740" s="1680"/>
      <c r="N1740" s="1680"/>
      <c r="O1740" s="1680"/>
      <c r="P1740" s="1680"/>
      <c r="Q1740" s="1680"/>
    </row>
    <row r="1741" spans="1:17">
      <c r="A1741" s="1708"/>
      <c r="B1741" s="1680"/>
      <c r="C1741" s="1874"/>
      <c r="D1741" s="1678"/>
      <c r="E1741" s="1708"/>
      <c r="F1741" s="1682"/>
      <c r="G1741" s="1680">
        <f t="shared" si="264"/>
        <v>0</v>
      </c>
      <c r="H1741" s="1680"/>
      <c r="I1741" s="1680"/>
      <c r="J1741" s="1680"/>
      <c r="K1741" s="1680"/>
      <c r="L1741" s="1680"/>
      <c r="M1741" s="1680"/>
      <c r="N1741" s="1680"/>
      <c r="O1741" s="1680"/>
      <c r="P1741" s="1680"/>
      <c r="Q1741" s="1680"/>
    </row>
    <row r="1742" spans="1:17">
      <c r="A1742" s="1708"/>
      <c r="B1742" s="1680"/>
      <c r="C1742" s="1874"/>
      <c r="D1742" s="1678"/>
      <c r="E1742" s="1708"/>
      <c r="F1742" s="1682"/>
      <c r="G1742" s="1680">
        <f t="shared" si="264"/>
        <v>0</v>
      </c>
      <c r="H1742" s="1680"/>
      <c r="I1742" s="1680"/>
      <c r="J1742" s="1680"/>
      <c r="K1742" s="1680"/>
      <c r="L1742" s="1680"/>
      <c r="M1742" s="1680"/>
      <c r="N1742" s="1680"/>
      <c r="O1742" s="1680"/>
      <c r="P1742" s="1680"/>
      <c r="Q1742" s="1680"/>
    </row>
    <row r="1743" spans="1:17">
      <c r="A1743" s="1708"/>
      <c r="B1743" s="1680"/>
      <c r="C1743" s="1874"/>
      <c r="D1743" s="1678"/>
      <c r="E1743" s="1708"/>
      <c r="F1743" s="1682"/>
      <c r="G1743" s="1680">
        <f t="shared" si="264"/>
        <v>0</v>
      </c>
      <c r="H1743" s="1680"/>
      <c r="I1743" s="1680"/>
      <c r="J1743" s="1680"/>
      <c r="K1743" s="1680"/>
      <c r="L1743" s="1680"/>
      <c r="M1743" s="1680"/>
      <c r="N1743" s="1680"/>
      <c r="O1743" s="1680"/>
      <c r="P1743" s="1680"/>
      <c r="Q1743" s="1680"/>
    </row>
    <row r="1744" spans="1:17">
      <c r="A1744" s="1708"/>
      <c r="B1744" s="1680"/>
      <c r="C1744" s="1874"/>
      <c r="D1744" s="1678"/>
      <c r="E1744" s="1708"/>
      <c r="F1744" s="1682"/>
      <c r="G1744" s="1680">
        <f t="shared" si="264"/>
        <v>0</v>
      </c>
      <c r="H1744" s="1680"/>
      <c r="I1744" s="1680"/>
      <c r="J1744" s="1680"/>
      <c r="K1744" s="1680"/>
      <c r="L1744" s="1680"/>
      <c r="M1744" s="1680"/>
      <c r="N1744" s="1680"/>
      <c r="O1744" s="1680"/>
      <c r="P1744" s="1680"/>
      <c r="Q1744" s="1680"/>
    </row>
    <row r="1745" spans="1:17">
      <c r="A1745" s="1708"/>
      <c r="B1745" s="1680"/>
      <c r="C1745" s="1874"/>
      <c r="D1745" s="1678"/>
      <c r="E1745" s="1708"/>
      <c r="F1745" s="1682"/>
      <c r="G1745" s="1680">
        <f t="shared" si="264"/>
        <v>0</v>
      </c>
      <c r="H1745" s="1680"/>
      <c r="I1745" s="1680"/>
      <c r="J1745" s="1680"/>
      <c r="K1745" s="1680"/>
      <c r="L1745" s="1680"/>
      <c r="M1745" s="1680"/>
      <c r="N1745" s="1680"/>
      <c r="O1745" s="1680"/>
      <c r="P1745" s="1680"/>
      <c r="Q1745" s="1680"/>
    </row>
    <row r="1746" spans="1:17">
      <c r="A1746" s="1708"/>
      <c r="B1746" s="1680"/>
      <c r="C1746" s="1874"/>
      <c r="D1746" s="1678"/>
      <c r="E1746" s="1708"/>
      <c r="F1746" s="1682"/>
      <c r="G1746" s="1680">
        <f t="shared" si="264"/>
        <v>0</v>
      </c>
      <c r="H1746" s="1680"/>
      <c r="I1746" s="1680"/>
      <c r="J1746" s="1680"/>
      <c r="K1746" s="1680"/>
      <c r="L1746" s="1680"/>
      <c r="M1746" s="1680"/>
      <c r="N1746" s="1680"/>
      <c r="O1746" s="1680"/>
      <c r="P1746" s="1680"/>
      <c r="Q1746" s="1680"/>
    </row>
    <row r="1747" spans="1:17">
      <c r="A1747" s="1708"/>
      <c r="B1747" s="1680"/>
      <c r="C1747" s="1874"/>
      <c r="D1747" s="1678"/>
      <c r="E1747" s="1708"/>
      <c r="F1747" s="1682"/>
      <c r="G1747" s="1680">
        <f t="shared" si="264"/>
        <v>0</v>
      </c>
      <c r="H1747" s="1680"/>
      <c r="I1747" s="1680"/>
      <c r="J1747" s="1680"/>
      <c r="K1747" s="1680"/>
      <c r="L1747" s="1680"/>
      <c r="M1747" s="1680"/>
      <c r="N1747" s="1680"/>
      <c r="O1747" s="1680"/>
      <c r="P1747" s="1680"/>
      <c r="Q1747" s="1680"/>
    </row>
    <row r="1748" spans="1:17">
      <c r="A1748" s="1708"/>
      <c r="B1748" s="1680"/>
      <c r="C1748" s="1874"/>
      <c r="D1748" s="1678"/>
      <c r="E1748" s="1708"/>
      <c r="F1748" s="1682"/>
      <c r="G1748" s="1680">
        <f t="shared" si="264"/>
        <v>0</v>
      </c>
      <c r="H1748" s="1680"/>
      <c r="I1748" s="1680"/>
      <c r="J1748" s="1680"/>
      <c r="K1748" s="1680"/>
      <c r="L1748" s="1680"/>
      <c r="M1748" s="1680"/>
      <c r="N1748" s="1680"/>
      <c r="O1748" s="1680"/>
      <c r="P1748" s="1680"/>
      <c r="Q1748" s="1680"/>
    </row>
    <row r="1749" spans="1:17">
      <c r="A1749" s="1708"/>
      <c r="B1749" s="1680"/>
      <c r="C1749" s="1874"/>
      <c r="D1749" s="1678"/>
      <c r="E1749" s="1708"/>
      <c r="F1749" s="1682"/>
      <c r="G1749" s="1680">
        <f t="shared" si="264"/>
        <v>0</v>
      </c>
      <c r="H1749" s="1680"/>
      <c r="I1749" s="1680"/>
      <c r="J1749" s="1680"/>
      <c r="K1749" s="1680"/>
      <c r="L1749" s="1680"/>
      <c r="M1749" s="1680"/>
      <c r="N1749" s="1680"/>
      <c r="O1749" s="1680"/>
      <c r="P1749" s="1680"/>
      <c r="Q1749" s="1680"/>
    </row>
    <row r="1750" spans="1:17">
      <c r="A1750" s="1708"/>
      <c r="B1750" s="1680"/>
      <c r="C1750" s="1874"/>
      <c r="D1750" s="1678"/>
      <c r="E1750" s="1708"/>
      <c r="F1750" s="1682"/>
      <c r="G1750" s="1680">
        <f t="shared" si="264"/>
        <v>0</v>
      </c>
      <c r="H1750" s="1680"/>
      <c r="I1750" s="1680"/>
      <c r="J1750" s="1680"/>
      <c r="K1750" s="1680"/>
      <c r="L1750" s="1680"/>
      <c r="M1750" s="1680"/>
      <c r="N1750" s="1680"/>
      <c r="O1750" s="1680"/>
      <c r="P1750" s="1680"/>
      <c r="Q1750" s="1680"/>
    </row>
    <row r="1751" spans="1:17">
      <c r="A1751" s="1708"/>
      <c r="B1751" s="1680"/>
      <c r="C1751" s="1874"/>
      <c r="D1751" s="1678"/>
      <c r="E1751" s="1708"/>
      <c r="F1751" s="1682"/>
      <c r="G1751" s="1680">
        <f t="shared" si="264"/>
        <v>0</v>
      </c>
      <c r="H1751" s="1680"/>
      <c r="I1751" s="1680"/>
      <c r="J1751" s="1680"/>
      <c r="K1751" s="1680"/>
      <c r="L1751" s="1680"/>
      <c r="M1751" s="1680"/>
      <c r="N1751" s="1680"/>
      <c r="O1751" s="1680"/>
      <c r="P1751" s="1680"/>
      <c r="Q1751" s="1680"/>
    </row>
    <row r="1752" spans="1:17">
      <c r="A1752" s="1708"/>
      <c r="B1752" s="1680"/>
      <c r="C1752" s="1874"/>
      <c r="D1752" s="1678"/>
      <c r="E1752" s="1708"/>
      <c r="F1752" s="1682"/>
      <c r="G1752" s="1680">
        <f t="shared" si="264"/>
        <v>0</v>
      </c>
      <c r="H1752" s="1680"/>
      <c r="I1752" s="1680"/>
      <c r="J1752" s="1680"/>
      <c r="K1752" s="1680"/>
      <c r="L1752" s="1680"/>
      <c r="M1752" s="1680"/>
      <c r="N1752" s="1680"/>
      <c r="O1752" s="1680"/>
      <c r="P1752" s="1680"/>
      <c r="Q1752" s="1680"/>
    </row>
    <row r="1753" spans="1:17">
      <c r="A1753" s="1708"/>
      <c r="B1753" s="1680"/>
      <c r="C1753" s="1874"/>
      <c r="D1753" s="1678"/>
      <c r="E1753" s="1708"/>
      <c r="F1753" s="1682"/>
      <c r="G1753" s="1680">
        <f t="shared" si="264"/>
        <v>0</v>
      </c>
      <c r="H1753" s="1680"/>
      <c r="I1753" s="1680"/>
      <c r="J1753" s="1680"/>
      <c r="K1753" s="1680"/>
      <c r="L1753" s="1680"/>
      <c r="M1753" s="1680"/>
      <c r="N1753" s="1680"/>
      <c r="O1753" s="1680"/>
      <c r="P1753" s="1680"/>
      <c r="Q1753" s="1680"/>
    </row>
    <row r="1754" spans="1:17">
      <c r="A1754" s="1708"/>
      <c r="B1754" s="1680"/>
      <c r="C1754" s="1874"/>
      <c r="D1754" s="1678"/>
      <c r="E1754" s="1708"/>
      <c r="F1754" s="1682"/>
      <c r="G1754" s="1680">
        <f t="shared" si="264"/>
        <v>0</v>
      </c>
      <c r="H1754" s="1680"/>
      <c r="I1754" s="1680"/>
      <c r="J1754" s="1680"/>
      <c r="K1754" s="1680"/>
      <c r="L1754" s="1680"/>
      <c r="M1754" s="1680"/>
      <c r="N1754" s="1680"/>
      <c r="O1754" s="1680"/>
      <c r="P1754" s="1680"/>
      <c r="Q1754" s="1680"/>
    </row>
    <row r="1755" spans="1:17">
      <c r="A1755" s="1708"/>
      <c r="B1755" s="1680"/>
      <c r="C1755" s="1874"/>
      <c r="D1755" s="1678"/>
      <c r="E1755" s="1708"/>
      <c r="F1755" s="1682"/>
      <c r="G1755" s="1680">
        <f t="shared" si="264"/>
        <v>0</v>
      </c>
      <c r="H1755" s="1680"/>
      <c r="I1755" s="1680"/>
      <c r="J1755" s="1680"/>
      <c r="K1755" s="1680"/>
      <c r="L1755" s="1680"/>
      <c r="M1755" s="1680"/>
      <c r="N1755" s="1680"/>
      <c r="O1755" s="1680"/>
      <c r="P1755" s="1680"/>
      <c r="Q1755" s="1680"/>
    </row>
    <row r="1756" spans="1:17">
      <c r="A1756" s="1708"/>
      <c r="B1756" s="1680"/>
      <c r="C1756" s="1874"/>
      <c r="D1756" s="1678"/>
      <c r="E1756" s="1708"/>
      <c r="F1756" s="1682"/>
      <c r="G1756" s="1680">
        <f t="shared" si="264"/>
        <v>0</v>
      </c>
      <c r="H1756" s="1680"/>
      <c r="I1756" s="1680"/>
      <c r="J1756" s="1680"/>
      <c r="K1756" s="1680"/>
      <c r="L1756" s="1680"/>
      <c r="M1756" s="1680"/>
      <c r="N1756" s="1680"/>
      <c r="O1756" s="1680"/>
      <c r="P1756" s="1680"/>
      <c r="Q1756" s="1680"/>
    </row>
    <row r="1757" spans="1:17">
      <c r="A1757" s="1708"/>
      <c r="B1757" s="1680"/>
      <c r="C1757" s="1874"/>
      <c r="D1757" s="1678"/>
      <c r="E1757" s="1708"/>
      <c r="F1757" s="1682"/>
      <c r="G1757" s="1680">
        <f t="shared" si="264"/>
        <v>0</v>
      </c>
      <c r="H1757" s="1680"/>
      <c r="I1757" s="1680"/>
      <c r="J1757" s="1680"/>
      <c r="K1757" s="1680"/>
      <c r="L1757" s="1680"/>
      <c r="M1757" s="1680"/>
      <c r="N1757" s="1680"/>
      <c r="O1757" s="1680"/>
      <c r="P1757" s="1680"/>
      <c r="Q1757" s="1680"/>
    </row>
    <row r="1758" spans="1:17">
      <c r="A1758" s="1708"/>
      <c r="B1758" s="1680"/>
      <c r="C1758" s="1874"/>
      <c r="D1758" s="1678"/>
      <c r="E1758" s="1708"/>
      <c r="F1758" s="1682"/>
      <c r="G1758" s="1680">
        <f t="shared" si="264"/>
        <v>0</v>
      </c>
      <c r="H1758" s="1680"/>
      <c r="I1758" s="1680"/>
      <c r="J1758" s="1680"/>
      <c r="K1758" s="1680"/>
      <c r="L1758" s="1680"/>
      <c r="M1758" s="1680"/>
      <c r="N1758" s="1680"/>
      <c r="O1758" s="1680"/>
      <c r="P1758" s="1680"/>
      <c r="Q1758" s="1680"/>
    </row>
    <row r="1759" spans="1:17">
      <c r="A1759" s="1708"/>
      <c r="B1759" s="1680"/>
      <c r="C1759" s="1874"/>
      <c r="D1759" s="1678"/>
      <c r="E1759" s="1708"/>
      <c r="F1759" s="1682"/>
      <c r="G1759" s="1680">
        <f t="shared" si="264"/>
        <v>0</v>
      </c>
      <c r="H1759" s="1680"/>
      <c r="I1759" s="1680"/>
      <c r="J1759" s="1680"/>
      <c r="K1759" s="1680"/>
      <c r="L1759" s="1680"/>
      <c r="M1759" s="1680"/>
      <c r="N1759" s="1680"/>
      <c r="O1759" s="1680"/>
      <c r="P1759" s="1680"/>
      <c r="Q1759" s="1680"/>
    </row>
    <row r="1760" spans="1:17">
      <c r="A1760" s="1708"/>
      <c r="B1760" s="1680"/>
      <c r="C1760" s="1874"/>
      <c r="D1760" s="1678"/>
      <c r="E1760" s="1708"/>
      <c r="F1760" s="1682"/>
      <c r="G1760" s="1680">
        <f t="shared" si="264"/>
        <v>0</v>
      </c>
      <c r="H1760" s="1680"/>
      <c r="I1760" s="1680"/>
      <c r="J1760" s="1680"/>
      <c r="K1760" s="1680"/>
      <c r="L1760" s="1680"/>
      <c r="M1760" s="1680"/>
      <c r="N1760" s="1680"/>
      <c r="O1760" s="1680"/>
      <c r="P1760" s="1680"/>
      <c r="Q1760" s="1680"/>
    </row>
    <row r="1761" spans="1:17">
      <c r="A1761" s="1708"/>
      <c r="B1761" s="1680"/>
      <c r="C1761" s="1874"/>
      <c r="D1761" s="1678"/>
      <c r="E1761" s="1708"/>
      <c r="F1761" s="1682"/>
      <c r="G1761" s="1680">
        <f t="shared" si="264"/>
        <v>0</v>
      </c>
      <c r="H1761" s="1680"/>
      <c r="I1761" s="1680"/>
      <c r="J1761" s="1680"/>
      <c r="K1761" s="1680"/>
      <c r="L1761" s="1680"/>
      <c r="M1761" s="1680"/>
      <c r="N1761" s="1680"/>
      <c r="O1761" s="1680"/>
      <c r="P1761" s="1680"/>
      <c r="Q1761" s="1680"/>
    </row>
    <row r="1762" spans="1:17">
      <c r="A1762" s="1708"/>
      <c r="B1762" s="1680"/>
      <c r="C1762" s="1874"/>
      <c r="D1762" s="1678"/>
      <c r="E1762" s="1708"/>
      <c r="F1762" s="1682"/>
      <c r="G1762" s="1680">
        <f t="shared" si="264"/>
        <v>0</v>
      </c>
      <c r="H1762" s="1680"/>
      <c r="I1762" s="1680"/>
      <c r="J1762" s="1680"/>
      <c r="K1762" s="1680"/>
      <c r="L1762" s="1680"/>
      <c r="M1762" s="1680"/>
      <c r="N1762" s="1680"/>
      <c r="O1762" s="1680"/>
      <c r="P1762" s="1680"/>
      <c r="Q1762" s="1680"/>
    </row>
    <row r="1763" spans="1:17">
      <c r="A1763" s="1708"/>
      <c r="B1763" s="1680"/>
      <c r="C1763" s="1874"/>
      <c r="D1763" s="1678"/>
      <c r="E1763" s="1708"/>
      <c r="F1763" s="1682"/>
      <c r="G1763" s="1680">
        <f t="shared" si="264"/>
        <v>0</v>
      </c>
      <c r="H1763" s="1680"/>
      <c r="I1763" s="1680"/>
      <c r="J1763" s="1680"/>
      <c r="K1763" s="1680"/>
      <c r="L1763" s="1680"/>
      <c r="M1763" s="1680"/>
      <c r="N1763" s="1680"/>
      <c r="O1763" s="1680"/>
      <c r="P1763" s="1680"/>
      <c r="Q1763" s="1680"/>
    </row>
    <row r="1764" spans="1:17">
      <c r="A1764" s="1708"/>
      <c r="B1764" s="1680"/>
      <c r="C1764" s="1874"/>
      <c r="D1764" s="1678"/>
      <c r="E1764" s="1708"/>
      <c r="F1764" s="1682"/>
      <c r="G1764" s="1680">
        <f t="shared" si="264"/>
        <v>0</v>
      </c>
      <c r="H1764" s="1680"/>
      <c r="I1764" s="1680"/>
      <c r="J1764" s="1680"/>
      <c r="K1764" s="1680"/>
      <c r="L1764" s="1680"/>
      <c r="M1764" s="1680"/>
      <c r="N1764" s="1680"/>
      <c r="O1764" s="1680"/>
      <c r="P1764" s="1680"/>
      <c r="Q1764" s="1680"/>
    </row>
    <row r="1765" spans="1:17">
      <c r="A1765" s="1708"/>
      <c r="B1765" s="1680"/>
      <c r="C1765" s="1874"/>
      <c r="D1765" s="1678"/>
      <c r="E1765" s="1708"/>
      <c r="F1765" s="1682"/>
      <c r="G1765" s="1680">
        <f t="shared" si="264"/>
        <v>0</v>
      </c>
      <c r="H1765" s="1680"/>
      <c r="I1765" s="1680"/>
      <c r="J1765" s="1680"/>
      <c r="K1765" s="1680"/>
      <c r="L1765" s="1680"/>
      <c r="M1765" s="1680"/>
      <c r="N1765" s="1680"/>
      <c r="O1765" s="1680"/>
      <c r="P1765" s="1680"/>
      <c r="Q1765" s="1680"/>
    </row>
    <row r="1766" spans="1:17">
      <c r="A1766" s="1708"/>
      <c r="B1766" s="1680"/>
      <c r="C1766" s="1874"/>
      <c r="D1766" s="1678"/>
      <c r="E1766" s="1708"/>
      <c r="F1766" s="1682"/>
      <c r="G1766" s="1680">
        <f t="shared" si="264"/>
        <v>0</v>
      </c>
      <c r="H1766" s="1680"/>
      <c r="I1766" s="1680"/>
      <c r="J1766" s="1680"/>
      <c r="K1766" s="1680"/>
      <c r="L1766" s="1680"/>
      <c r="M1766" s="1680"/>
      <c r="N1766" s="1680"/>
      <c r="O1766" s="1680"/>
      <c r="P1766" s="1680"/>
      <c r="Q1766" s="1680"/>
    </row>
    <row r="1767" spans="1:17">
      <c r="A1767" s="1708"/>
      <c r="B1767" s="1680"/>
      <c r="C1767" s="1874"/>
      <c r="D1767" s="1678"/>
      <c r="E1767" s="1708"/>
      <c r="F1767" s="1682"/>
      <c r="G1767" s="1680">
        <f t="shared" si="264"/>
        <v>0</v>
      </c>
      <c r="H1767" s="1680"/>
      <c r="I1767" s="1680"/>
      <c r="J1767" s="1680"/>
      <c r="K1767" s="1680"/>
      <c r="L1767" s="1680"/>
      <c r="M1767" s="1680"/>
      <c r="N1767" s="1680"/>
      <c r="O1767" s="1680"/>
      <c r="P1767" s="1680"/>
      <c r="Q1767" s="1680"/>
    </row>
    <row r="1768" spans="1:17">
      <c r="A1768" s="1708"/>
      <c r="B1768" s="1680"/>
      <c r="C1768" s="1874"/>
      <c r="D1768" s="1678"/>
      <c r="E1768" s="1708"/>
      <c r="F1768" s="1682"/>
      <c r="G1768" s="1680">
        <f t="shared" si="264"/>
        <v>0</v>
      </c>
      <c r="H1768" s="1680"/>
      <c r="I1768" s="1680"/>
      <c r="J1768" s="1680"/>
      <c r="K1768" s="1680"/>
      <c r="L1768" s="1680"/>
      <c r="M1768" s="1680"/>
      <c r="N1768" s="1680"/>
      <c r="O1768" s="1680"/>
      <c r="P1768" s="1680"/>
      <c r="Q1768" s="1680"/>
    </row>
    <row r="1769" spans="1:17">
      <c r="A1769" s="1708"/>
      <c r="B1769" s="1680"/>
      <c r="C1769" s="1874"/>
      <c r="D1769" s="1678"/>
      <c r="E1769" s="1708"/>
      <c r="F1769" s="1682"/>
      <c r="G1769" s="1680">
        <f t="shared" si="264"/>
        <v>0</v>
      </c>
      <c r="H1769" s="1680"/>
      <c r="I1769" s="1680"/>
      <c r="J1769" s="1680"/>
      <c r="K1769" s="1680"/>
      <c r="L1769" s="1680"/>
      <c r="M1769" s="1680"/>
      <c r="N1769" s="1680"/>
      <c r="O1769" s="1680"/>
      <c r="P1769" s="1680"/>
      <c r="Q1769" s="1680"/>
    </row>
    <row r="1770" spans="1:17">
      <c r="A1770" s="1708"/>
      <c r="B1770" s="1680"/>
      <c r="C1770" s="1874"/>
      <c r="D1770" s="1678"/>
      <c r="E1770" s="1708"/>
      <c r="F1770" s="1682"/>
      <c r="G1770" s="1680">
        <f t="shared" si="264"/>
        <v>0</v>
      </c>
      <c r="H1770" s="1680"/>
      <c r="I1770" s="1680"/>
      <c r="J1770" s="1680"/>
      <c r="K1770" s="1680"/>
      <c r="L1770" s="1680"/>
      <c r="M1770" s="1680"/>
      <c r="N1770" s="1680"/>
      <c r="O1770" s="1680"/>
      <c r="P1770" s="1680"/>
      <c r="Q1770" s="1680"/>
    </row>
    <row r="1771" spans="1:17">
      <c r="A1771" s="1708"/>
      <c r="B1771" s="1680"/>
      <c r="C1771" s="1874"/>
      <c r="D1771" s="1678"/>
      <c r="E1771" s="1708"/>
      <c r="F1771" s="1682"/>
      <c r="G1771" s="1680">
        <f t="shared" si="264"/>
        <v>0</v>
      </c>
      <c r="H1771" s="1680"/>
      <c r="I1771" s="1680"/>
      <c r="J1771" s="1680"/>
      <c r="K1771" s="1680"/>
      <c r="L1771" s="1680"/>
      <c r="M1771" s="1680"/>
      <c r="N1771" s="1680"/>
      <c r="O1771" s="1680"/>
      <c r="P1771" s="1680"/>
      <c r="Q1771" s="1680"/>
    </row>
    <row r="1772" spans="1:17">
      <c r="A1772" s="1708"/>
      <c r="B1772" s="1680"/>
      <c r="C1772" s="1874"/>
      <c r="D1772" s="1678"/>
      <c r="E1772" s="1708"/>
      <c r="F1772" s="1682"/>
      <c r="G1772" s="1680">
        <f t="shared" si="264"/>
        <v>0</v>
      </c>
      <c r="H1772" s="1680"/>
      <c r="I1772" s="1680"/>
      <c r="J1772" s="1680"/>
      <c r="K1772" s="1680"/>
      <c r="L1772" s="1680"/>
      <c r="M1772" s="1680"/>
      <c r="N1772" s="1680"/>
      <c r="O1772" s="1680"/>
      <c r="P1772" s="1680"/>
      <c r="Q1772" s="1680"/>
    </row>
    <row r="1773" spans="1:17">
      <c r="A1773" s="1708"/>
      <c r="B1773" s="1680"/>
      <c r="C1773" s="1874"/>
      <c r="D1773" s="1678"/>
      <c r="E1773" s="1708"/>
      <c r="F1773" s="1682"/>
      <c r="G1773" s="1680">
        <f t="shared" si="264"/>
        <v>0</v>
      </c>
      <c r="H1773" s="1680"/>
      <c r="I1773" s="1680"/>
      <c r="J1773" s="1680"/>
      <c r="K1773" s="1680"/>
      <c r="L1773" s="1680"/>
      <c r="M1773" s="1680"/>
      <c r="N1773" s="1680"/>
      <c r="O1773" s="1680"/>
      <c r="P1773" s="1680"/>
      <c r="Q1773" s="1680"/>
    </row>
    <row r="1774" spans="1:17">
      <c r="A1774" s="1708"/>
      <c r="B1774" s="1680"/>
      <c r="C1774" s="1874"/>
      <c r="D1774" s="1678"/>
      <c r="E1774" s="1708"/>
      <c r="F1774" s="1682"/>
      <c r="G1774" s="1680">
        <f t="shared" si="264"/>
        <v>0</v>
      </c>
      <c r="H1774" s="1680"/>
      <c r="I1774" s="1680"/>
      <c r="J1774" s="1680"/>
      <c r="K1774" s="1680"/>
      <c r="L1774" s="1680"/>
      <c r="M1774" s="1680"/>
      <c r="N1774" s="1680"/>
      <c r="O1774" s="1680"/>
      <c r="P1774" s="1680"/>
      <c r="Q1774" s="1680"/>
    </row>
    <row r="1775" spans="1:17">
      <c r="A1775" s="1708"/>
      <c r="B1775" s="1680"/>
      <c r="C1775" s="1874"/>
      <c r="D1775" s="1678"/>
      <c r="E1775" s="1708"/>
      <c r="F1775" s="1682"/>
      <c r="G1775" s="1680">
        <f t="shared" si="264"/>
        <v>0</v>
      </c>
      <c r="H1775" s="1680"/>
      <c r="I1775" s="1680"/>
      <c r="J1775" s="1680"/>
      <c r="K1775" s="1680"/>
      <c r="L1775" s="1680"/>
      <c r="M1775" s="1680"/>
      <c r="N1775" s="1680"/>
      <c r="O1775" s="1680"/>
      <c r="P1775" s="1680"/>
      <c r="Q1775" s="1680"/>
    </row>
    <row r="1776" spans="1:17">
      <c r="A1776" s="1708"/>
      <c r="B1776" s="1680"/>
      <c r="C1776" s="1874"/>
      <c r="D1776" s="1678"/>
      <c r="E1776" s="1708"/>
      <c r="F1776" s="1682"/>
      <c r="G1776" s="1680">
        <f t="shared" si="264"/>
        <v>0</v>
      </c>
      <c r="H1776" s="1680"/>
      <c r="I1776" s="1680"/>
      <c r="J1776" s="1680"/>
      <c r="K1776" s="1680"/>
      <c r="L1776" s="1680"/>
      <c r="M1776" s="1680"/>
      <c r="N1776" s="1680"/>
      <c r="O1776" s="1680"/>
      <c r="P1776" s="1680"/>
      <c r="Q1776" s="1680"/>
    </row>
    <row r="1777" spans="1:17">
      <c r="A1777" s="1708"/>
      <c r="B1777" s="1680"/>
      <c r="C1777" s="1874"/>
      <c r="D1777" s="1678"/>
      <c r="E1777" s="1708"/>
      <c r="F1777" s="1682"/>
      <c r="G1777" s="1680">
        <f t="shared" si="264"/>
        <v>0</v>
      </c>
      <c r="H1777" s="1680"/>
      <c r="I1777" s="1680"/>
      <c r="J1777" s="1680"/>
      <c r="K1777" s="1680"/>
      <c r="L1777" s="1680"/>
      <c r="M1777" s="1680"/>
      <c r="N1777" s="1680"/>
      <c r="O1777" s="1680"/>
      <c r="P1777" s="1680"/>
      <c r="Q1777" s="1680"/>
    </row>
    <row r="1778" spans="1:17">
      <c r="A1778" s="1708"/>
      <c r="B1778" s="1680"/>
      <c r="C1778" s="1874"/>
      <c r="D1778" s="1678"/>
      <c r="E1778" s="1708"/>
      <c r="F1778" s="1682"/>
      <c r="G1778" s="1680">
        <f t="shared" si="264"/>
        <v>0</v>
      </c>
      <c r="H1778" s="1680"/>
      <c r="I1778" s="1680"/>
      <c r="J1778" s="1680"/>
      <c r="K1778" s="1680"/>
      <c r="L1778" s="1680"/>
      <c r="M1778" s="1680"/>
      <c r="N1778" s="1680"/>
      <c r="O1778" s="1680"/>
      <c r="P1778" s="1680"/>
      <c r="Q1778" s="1680"/>
    </row>
    <row r="1779" spans="1:17">
      <c r="A1779" s="1708"/>
      <c r="B1779" s="1680"/>
      <c r="C1779" s="1874"/>
      <c r="D1779" s="1678"/>
      <c r="E1779" s="1708"/>
      <c r="F1779" s="1682"/>
      <c r="G1779" s="1680">
        <f t="shared" si="264"/>
        <v>0</v>
      </c>
      <c r="H1779" s="1680"/>
      <c r="I1779" s="1680"/>
      <c r="J1779" s="1680"/>
      <c r="K1779" s="1680"/>
      <c r="L1779" s="1680"/>
      <c r="M1779" s="1680"/>
      <c r="N1779" s="1680"/>
      <c r="O1779" s="1680"/>
      <c r="P1779" s="1680"/>
      <c r="Q1779" s="1680"/>
    </row>
    <row r="1780" spans="1:17">
      <c r="A1780" s="1708"/>
      <c r="B1780" s="1680"/>
      <c r="C1780" s="1874"/>
      <c r="D1780" s="1678"/>
      <c r="E1780" s="1708"/>
      <c r="F1780" s="1682"/>
      <c r="G1780" s="1680">
        <f t="shared" si="264"/>
        <v>0</v>
      </c>
      <c r="H1780" s="1680"/>
      <c r="I1780" s="1680"/>
      <c r="J1780" s="1680"/>
      <c r="K1780" s="1680"/>
      <c r="L1780" s="1680"/>
      <c r="M1780" s="1680"/>
      <c r="N1780" s="1680"/>
      <c r="O1780" s="1680"/>
      <c r="P1780" s="1680"/>
      <c r="Q1780" s="1680"/>
    </row>
    <row r="1781" spans="1:17">
      <c r="A1781" s="1708"/>
      <c r="B1781" s="1680"/>
      <c r="C1781" s="1874"/>
      <c r="D1781" s="1678"/>
      <c r="E1781" s="1708"/>
      <c r="F1781" s="1682"/>
      <c r="G1781" s="1680">
        <f t="shared" si="264"/>
        <v>0</v>
      </c>
      <c r="H1781" s="1680"/>
      <c r="I1781" s="1680"/>
      <c r="J1781" s="1680"/>
      <c r="K1781" s="1680"/>
      <c r="L1781" s="1680"/>
      <c r="M1781" s="1680"/>
      <c r="N1781" s="1680"/>
      <c r="O1781" s="1680"/>
      <c r="P1781" s="1680"/>
      <c r="Q1781" s="1680"/>
    </row>
    <row r="1782" spans="1:17">
      <c r="A1782" s="1708"/>
      <c r="B1782" s="1680"/>
      <c r="C1782" s="1874"/>
      <c r="D1782" s="1678"/>
      <c r="E1782" s="1708"/>
      <c r="F1782" s="1682"/>
      <c r="G1782" s="1680">
        <f t="shared" si="264"/>
        <v>0</v>
      </c>
      <c r="H1782" s="1680"/>
      <c r="I1782" s="1680"/>
      <c r="J1782" s="1680"/>
      <c r="K1782" s="1680"/>
      <c r="L1782" s="1680"/>
      <c r="M1782" s="1680"/>
      <c r="N1782" s="1680"/>
      <c r="O1782" s="1680"/>
      <c r="P1782" s="1680"/>
      <c r="Q1782" s="1680"/>
    </row>
    <row r="1783" spans="1:17">
      <c r="A1783" s="1708"/>
      <c r="B1783" s="1680"/>
      <c r="C1783" s="1874"/>
      <c r="D1783" s="1678"/>
      <c r="E1783" s="1708"/>
      <c r="F1783" s="1682"/>
      <c r="G1783" s="1680">
        <f t="shared" si="264"/>
        <v>0</v>
      </c>
      <c r="H1783" s="1680"/>
      <c r="I1783" s="1680"/>
      <c r="J1783" s="1680"/>
      <c r="K1783" s="1680"/>
      <c r="L1783" s="1680"/>
      <c r="M1783" s="1680"/>
      <c r="N1783" s="1680"/>
      <c r="O1783" s="1680"/>
      <c r="P1783" s="1680"/>
      <c r="Q1783" s="1680"/>
    </row>
    <row r="1784" spans="1:17">
      <c r="A1784" s="1708"/>
      <c r="B1784" s="1680"/>
      <c r="C1784" s="1874"/>
      <c r="D1784" s="1678"/>
      <c r="E1784" s="1708"/>
      <c r="F1784" s="1682"/>
      <c r="G1784" s="1680">
        <f t="shared" si="264"/>
        <v>0</v>
      </c>
      <c r="H1784" s="1680"/>
      <c r="I1784" s="1680"/>
      <c r="J1784" s="1680"/>
      <c r="K1784" s="1680"/>
      <c r="L1784" s="1680"/>
      <c r="M1784" s="1680"/>
      <c r="N1784" s="1680"/>
      <c r="O1784" s="1680"/>
      <c r="P1784" s="1680"/>
      <c r="Q1784" s="1680"/>
    </row>
    <row r="1785" spans="1:17">
      <c r="A1785" s="1708"/>
      <c r="B1785" s="1680"/>
      <c r="C1785" s="1874"/>
      <c r="D1785" s="1678"/>
      <c r="E1785" s="1708"/>
      <c r="F1785" s="1682"/>
      <c r="G1785" s="1680">
        <f t="shared" si="264"/>
        <v>0</v>
      </c>
      <c r="H1785" s="1680"/>
      <c r="I1785" s="1680"/>
      <c r="J1785" s="1680"/>
      <c r="K1785" s="1680"/>
      <c r="L1785" s="1680"/>
      <c r="M1785" s="1680"/>
      <c r="N1785" s="1680"/>
      <c r="O1785" s="1680"/>
      <c r="P1785" s="1680"/>
      <c r="Q1785" s="1680"/>
    </row>
    <row r="1786" spans="1:17">
      <c r="A1786" s="1708"/>
      <c r="B1786" s="1680"/>
      <c r="C1786" s="1874"/>
      <c r="D1786" s="1678"/>
      <c r="E1786" s="1708"/>
      <c r="F1786" s="1682"/>
      <c r="G1786" s="1680">
        <f t="shared" si="264"/>
        <v>0</v>
      </c>
      <c r="H1786" s="1680"/>
      <c r="I1786" s="1680"/>
      <c r="J1786" s="1680"/>
      <c r="K1786" s="1680"/>
      <c r="L1786" s="1680"/>
      <c r="M1786" s="1680"/>
      <c r="N1786" s="1680"/>
      <c r="O1786" s="1680"/>
      <c r="P1786" s="1680"/>
      <c r="Q1786" s="1680"/>
    </row>
    <row r="1787" spans="1:17">
      <c r="A1787" s="1708"/>
      <c r="B1787" s="1680"/>
      <c r="C1787" s="1874"/>
      <c r="D1787" s="1678"/>
      <c r="E1787" s="1708"/>
      <c r="F1787" s="1682"/>
      <c r="G1787" s="1680">
        <f t="shared" ref="G1787:G1835" si="265">F1787*D1787</f>
        <v>0</v>
      </c>
      <c r="H1787" s="1680"/>
      <c r="I1787" s="1680"/>
      <c r="J1787" s="1680"/>
      <c r="K1787" s="1680"/>
      <c r="L1787" s="1680"/>
      <c r="M1787" s="1680"/>
      <c r="N1787" s="1680"/>
      <c r="O1787" s="1680"/>
      <c r="P1787" s="1680"/>
      <c r="Q1787" s="1680"/>
    </row>
    <row r="1788" spans="1:17">
      <c r="A1788" s="1708"/>
      <c r="B1788" s="1680"/>
      <c r="C1788" s="1874"/>
      <c r="D1788" s="1678"/>
      <c r="E1788" s="1708"/>
      <c r="F1788" s="1682"/>
      <c r="G1788" s="1680">
        <f t="shared" si="265"/>
        <v>0</v>
      </c>
      <c r="H1788" s="1680"/>
      <c r="I1788" s="1680"/>
      <c r="J1788" s="1680"/>
      <c r="K1788" s="1680"/>
      <c r="L1788" s="1680"/>
      <c r="M1788" s="1680"/>
      <c r="N1788" s="1680"/>
      <c r="O1788" s="1680"/>
      <c r="P1788" s="1680"/>
      <c r="Q1788" s="1680"/>
    </row>
    <row r="1789" spans="1:17">
      <c r="A1789" s="1708"/>
      <c r="B1789" s="1680"/>
      <c r="C1789" s="1874"/>
      <c r="D1789" s="1678"/>
      <c r="E1789" s="1708"/>
      <c r="F1789" s="1682"/>
      <c r="G1789" s="1680">
        <f t="shared" si="265"/>
        <v>0</v>
      </c>
      <c r="H1789" s="1680"/>
      <c r="I1789" s="1680"/>
      <c r="J1789" s="1680"/>
      <c r="K1789" s="1680"/>
      <c r="L1789" s="1680"/>
      <c r="M1789" s="1680"/>
      <c r="N1789" s="1680"/>
      <c r="O1789" s="1680"/>
      <c r="P1789" s="1680"/>
      <c r="Q1789" s="1680"/>
    </row>
    <row r="1790" spans="1:17">
      <c r="A1790" s="1708"/>
      <c r="B1790" s="1680"/>
      <c r="C1790" s="1874"/>
      <c r="D1790" s="1678"/>
      <c r="E1790" s="1708"/>
      <c r="F1790" s="1682"/>
      <c r="G1790" s="1680">
        <f t="shared" si="265"/>
        <v>0</v>
      </c>
      <c r="H1790" s="1680"/>
      <c r="I1790" s="1680"/>
      <c r="J1790" s="1680"/>
      <c r="K1790" s="1680"/>
      <c r="L1790" s="1680"/>
      <c r="M1790" s="1680"/>
      <c r="N1790" s="1680"/>
      <c r="O1790" s="1680"/>
      <c r="P1790" s="1680"/>
      <c r="Q1790" s="1680"/>
    </row>
    <row r="1791" spans="1:17">
      <c r="A1791" s="1708"/>
      <c r="B1791" s="1680"/>
      <c r="C1791" s="1874"/>
      <c r="D1791" s="1678"/>
      <c r="E1791" s="1708"/>
      <c r="F1791" s="1682"/>
      <c r="G1791" s="1680">
        <f t="shared" si="265"/>
        <v>0</v>
      </c>
      <c r="H1791" s="1680"/>
      <c r="I1791" s="1680"/>
      <c r="J1791" s="1680"/>
      <c r="K1791" s="1680"/>
      <c r="L1791" s="1680"/>
      <c r="M1791" s="1680"/>
      <c r="N1791" s="1680"/>
      <c r="O1791" s="1680"/>
      <c r="P1791" s="1680"/>
      <c r="Q1791" s="1680"/>
    </row>
    <row r="1792" spans="1:17">
      <c r="A1792" s="1708"/>
      <c r="B1792" s="1680"/>
      <c r="C1792" s="1874"/>
      <c r="D1792" s="1678"/>
      <c r="E1792" s="1708"/>
      <c r="F1792" s="1682"/>
      <c r="G1792" s="1680">
        <f t="shared" si="265"/>
        <v>0</v>
      </c>
      <c r="H1792" s="1680"/>
      <c r="I1792" s="1680"/>
      <c r="J1792" s="1680"/>
      <c r="K1792" s="1680"/>
      <c r="L1792" s="1680"/>
      <c r="M1792" s="1680"/>
      <c r="N1792" s="1680"/>
      <c r="O1792" s="1680"/>
      <c r="P1792" s="1680"/>
      <c r="Q1792" s="1680"/>
    </row>
    <row r="1793" spans="1:17">
      <c r="A1793" s="1708"/>
      <c r="B1793" s="1680"/>
      <c r="C1793" s="1874"/>
      <c r="D1793" s="1678"/>
      <c r="E1793" s="1708"/>
      <c r="F1793" s="1682"/>
      <c r="G1793" s="1680">
        <f t="shared" si="265"/>
        <v>0</v>
      </c>
      <c r="H1793" s="1680"/>
      <c r="I1793" s="1680"/>
      <c r="J1793" s="1680"/>
      <c r="K1793" s="1680"/>
      <c r="L1793" s="1680"/>
      <c r="M1793" s="1680"/>
      <c r="N1793" s="1680"/>
      <c r="O1793" s="1680"/>
      <c r="P1793" s="1680"/>
      <c r="Q1793" s="1680"/>
    </row>
    <row r="1794" spans="1:17">
      <c r="A1794" s="1708"/>
      <c r="B1794" s="1680"/>
      <c r="C1794" s="1874"/>
      <c r="D1794" s="1678"/>
      <c r="E1794" s="1708"/>
      <c r="F1794" s="1682"/>
      <c r="G1794" s="1680">
        <f t="shared" si="265"/>
        <v>0</v>
      </c>
      <c r="H1794" s="1680"/>
      <c r="I1794" s="1680"/>
      <c r="J1794" s="1680"/>
      <c r="K1794" s="1680"/>
      <c r="L1794" s="1680"/>
      <c r="M1794" s="1680"/>
      <c r="N1794" s="1680"/>
      <c r="O1794" s="1680"/>
      <c r="P1794" s="1680"/>
      <c r="Q1794" s="1680"/>
    </row>
    <row r="1795" spans="1:17">
      <c r="A1795" s="1708"/>
      <c r="B1795" s="1680"/>
      <c r="C1795" s="1874"/>
      <c r="D1795" s="1678"/>
      <c r="E1795" s="1708"/>
      <c r="F1795" s="1682"/>
      <c r="G1795" s="1680">
        <f t="shared" si="265"/>
        <v>0</v>
      </c>
      <c r="H1795" s="1680"/>
      <c r="I1795" s="1680"/>
      <c r="J1795" s="1680"/>
      <c r="K1795" s="1680"/>
      <c r="L1795" s="1680"/>
      <c r="M1795" s="1680"/>
      <c r="N1795" s="1680"/>
      <c r="O1795" s="1680"/>
      <c r="P1795" s="1680"/>
      <c r="Q1795" s="1680"/>
    </row>
    <row r="1796" spans="1:17">
      <c r="A1796" s="1708"/>
      <c r="B1796" s="1680"/>
      <c r="C1796" s="1874"/>
      <c r="D1796" s="1678"/>
      <c r="E1796" s="1708"/>
      <c r="F1796" s="1682"/>
      <c r="G1796" s="1680">
        <f t="shared" si="265"/>
        <v>0</v>
      </c>
      <c r="H1796" s="1680"/>
      <c r="I1796" s="1680"/>
      <c r="J1796" s="1680"/>
      <c r="K1796" s="1680"/>
      <c r="L1796" s="1680"/>
      <c r="M1796" s="1680"/>
      <c r="N1796" s="1680"/>
      <c r="O1796" s="1680"/>
      <c r="P1796" s="1680"/>
      <c r="Q1796" s="1680"/>
    </row>
    <row r="1797" spans="1:17">
      <c r="A1797" s="1708"/>
      <c r="B1797" s="1680"/>
      <c r="C1797" s="1874"/>
      <c r="D1797" s="1678"/>
      <c r="E1797" s="1708"/>
      <c r="F1797" s="1682"/>
      <c r="G1797" s="1680">
        <f t="shared" si="265"/>
        <v>0</v>
      </c>
      <c r="H1797" s="1680"/>
      <c r="I1797" s="1680"/>
      <c r="J1797" s="1680"/>
      <c r="K1797" s="1680"/>
      <c r="L1797" s="1680"/>
      <c r="M1797" s="1680"/>
      <c r="N1797" s="1680"/>
      <c r="O1797" s="1680"/>
      <c r="P1797" s="1680"/>
      <c r="Q1797" s="1680"/>
    </row>
    <row r="1798" spans="1:17">
      <c r="A1798" s="1708"/>
      <c r="B1798" s="1680"/>
      <c r="C1798" s="1874"/>
      <c r="D1798" s="1678"/>
      <c r="E1798" s="1708"/>
      <c r="F1798" s="1682"/>
      <c r="G1798" s="1680">
        <f t="shared" si="265"/>
        <v>0</v>
      </c>
      <c r="H1798" s="1680"/>
      <c r="I1798" s="1680"/>
      <c r="J1798" s="1680"/>
      <c r="K1798" s="1680"/>
      <c r="L1798" s="1680"/>
      <c r="M1798" s="1680"/>
      <c r="N1798" s="1680"/>
      <c r="O1798" s="1680"/>
      <c r="P1798" s="1680"/>
      <c r="Q1798" s="1680"/>
    </row>
    <row r="1799" spans="1:17">
      <c r="A1799" s="1708"/>
      <c r="B1799" s="1680"/>
      <c r="C1799" s="1874"/>
      <c r="D1799" s="1678"/>
      <c r="E1799" s="1708"/>
      <c r="F1799" s="1682"/>
      <c r="G1799" s="1680">
        <f t="shared" si="265"/>
        <v>0</v>
      </c>
      <c r="H1799" s="1680"/>
      <c r="I1799" s="1680"/>
      <c r="J1799" s="1680"/>
      <c r="K1799" s="1680"/>
      <c r="L1799" s="1680"/>
      <c r="M1799" s="1680"/>
      <c r="N1799" s="1680"/>
      <c r="O1799" s="1680"/>
      <c r="P1799" s="1680"/>
      <c r="Q1799" s="1680"/>
    </row>
    <row r="1800" spans="1:17">
      <c r="A1800" s="1708"/>
      <c r="B1800" s="1680"/>
      <c r="C1800" s="1874"/>
      <c r="D1800" s="1678"/>
      <c r="E1800" s="1708"/>
      <c r="F1800" s="1682"/>
      <c r="G1800" s="1680">
        <f t="shared" si="265"/>
        <v>0</v>
      </c>
      <c r="H1800" s="1680"/>
      <c r="I1800" s="1680"/>
      <c r="J1800" s="1680"/>
      <c r="K1800" s="1680"/>
      <c r="L1800" s="1680"/>
      <c r="M1800" s="1680"/>
      <c r="N1800" s="1680"/>
      <c r="O1800" s="1680"/>
      <c r="P1800" s="1680"/>
      <c r="Q1800" s="1680"/>
    </row>
    <row r="1801" spans="1:17">
      <c r="A1801" s="1708"/>
      <c r="B1801" s="1680"/>
      <c r="C1801" s="1874"/>
      <c r="D1801" s="1678"/>
      <c r="E1801" s="1708"/>
      <c r="F1801" s="1682"/>
      <c r="G1801" s="1680">
        <f t="shared" si="265"/>
        <v>0</v>
      </c>
      <c r="H1801" s="1680"/>
      <c r="I1801" s="1680"/>
      <c r="J1801" s="1680"/>
      <c r="K1801" s="1680"/>
      <c r="L1801" s="1680"/>
      <c r="M1801" s="1680"/>
      <c r="N1801" s="1680"/>
      <c r="O1801" s="1680"/>
      <c r="P1801" s="1680"/>
      <c r="Q1801" s="1680"/>
    </row>
    <row r="1802" spans="1:17">
      <c r="A1802" s="1708"/>
      <c r="B1802" s="1680"/>
      <c r="C1802" s="1874"/>
      <c r="D1802" s="1678"/>
      <c r="E1802" s="1708"/>
      <c r="F1802" s="1682"/>
      <c r="G1802" s="1680">
        <f t="shared" si="265"/>
        <v>0</v>
      </c>
      <c r="H1802" s="1680"/>
      <c r="I1802" s="1680"/>
      <c r="J1802" s="1680"/>
      <c r="K1802" s="1680"/>
      <c r="L1802" s="1680"/>
      <c r="M1802" s="1680"/>
      <c r="N1802" s="1680"/>
      <c r="O1802" s="1680"/>
      <c r="P1802" s="1680"/>
      <c r="Q1802" s="1680"/>
    </row>
    <row r="1803" spans="1:17">
      <c r="A1803" s="1708"/>
      <c r="B1803" s="1680"/>
      <c r="C1803" s="1874"/>
      <c r="D1803" s="1678"/>
      <c r="E1803" s="1708"/>
      <c r="F1803" s="1682"/>
      <c r="G1803" s="1680">
        <f t="shared" si="265"/>
        <v>0</v>
      </c>
      <c r="H1803" s="1680"/>
      <c r="I1803" s="1680"/>
      <c r="J1803" s="1680"/>
      <c r="K1803" s="1680"/>
      <c r="L1803" s="1680"/>
      <c r="M1803" s="1680"/>
      <c r="N1803" s="1680"/>
      <c r="O1803" s="1680"/>
      <c r="P1803" s="1680"/>
      <c r="Q1803" s="1680"/>
    </row>
    <row r="1804" spans="1:17">
      <c r="A1804" s="1708"/>
      <c r="B1804" s="1680"/>
      <c r="C1804" s="1874"/>
      <c r="D1804" s="1678"/>
      <c r="E1804" s="1708"/>
      <c r="F1804" s="1682"/>
      <c r="G1804" s="1680">
        <f t="shared" si="265"/>
        <v>0</v>
      </c>
      <c r="H1804" s="1680"/>
      <c r="I1804" s="1680"/>
      <c r="J1804" s="1680"/>
      <c r="K1804" s="1680"/>
      <c r="L1804" s="1680"/>
      <c r="M1804" s="1680"/>
      <c r="N1804" s="1680"/>
      <c r="O1804" s="1680"/>
      <c r="P1804" s="1680"/>
      <c r="Q1804" s="1680"/>
    </row>
    <row r="1805" spans="1:17">
      <c r="A1805" s="1708"/>
      <c r="B1805" s="1680"/>
      <c r="C1805" s="1874"/>
      <c r="D1805" s="1678"/>
      <c r="E1805" s="1708"/>
      <c r="F1805" s="1682"/>
      <c r="G1805" s="1680">
        <f t="shared" si="265"/>
        <v>0</v>
      </c>
      <c r="H1805" s="1680"/>
      <c r="I1805" s="1680"/>
      <c r="J1805" s="1680"/>
      <c r="K1805" s="1680"/>
      <c r="L1805" s="1680"/>
      <c r="M1805" s="1680"/>
      <c r="N1805" s="1680"/>
      <c r="O1805" s="1680"/>
      <c r="P1805" s="1680"/>
      <c r="Q1805" s="1680"/>
    </row>
    <row r="1806" spans="1:17">
      <c r="A1806" s="1708"/>
      <c r="B1806" s="1680"/>
      <c r="C1806" s="1874"/>
      <c r="D1806" s="1678"/>
      <c r="E1806" s="1708"/>
      <c r="F1806" s="1682"/>
      <c r="G1806" s="1680">
        <f t="shared" si="265"/>
        <v>0</v>
      </c>
      <c r="H1806" s="1680"/>
      <c r="I1806" s="1680"/>
      <c r="J1806" s="1680"/>
      <c r="K1806" s="1680"/>
      <c r="L1806" s="1680"/>
      <c r="M1806" s="1680"/>
      <c r="N1806" s="1680"/>
      <c r="O1806" s="1680"/>
      <c r="P1806" s="1680"/>
      <c r="Q1806" s="1680"/>
    </row>
    <row r="1807" spans="1:17">
      <c r="A1807" s="1708"/>
      <c r="B1807" s="1680"/>
      <c r="C1807" s="1874"/>
      <c r="D1807" s="1678"/>
      <c r="E1807" s="1708"/>
      <c r="F1807" s="1682"/>
      <c r="G1807" s="1680">
        <f t="shared" si="265"/>
        <v>0</v>
      </c>
      <c r="H1807" s="1680"/>
      <c r="I1807" s="1680"/>
      <c r="J1807" s="1680"/>
      <c r="K1807" s="1680"/>
      <c r="L1807" s="1680"/>
      <c r="M1807" s="1680"/>
      <c r="N1807" s="1680"/>
      <c r="O1807" s="1680"/>
      <c r="P1807" s="1680"/>
      <c r="Q1807" s="1680"/>
    </row>
    <row r="1808" spans="1:17">
      <c r="A1808" s="1708"/>
      <c r="B1808" s="1680"/>
      <c r="C1808" s="1874"/>
      <c r="D1808" s="1678"/>
      <c r="E1808" s="1708"/>
      <c r="F1808" s="1682"/>
      <c r="G1808" s="1680">
        <f t="shared" si="265"/>
        <v>0</v>
      </c>
      <c r="H1808" s="1680"/>
      <c r="I1808" s="1680"/>
      <c r="J1808" s="1680"/>
      <c r="K1808" s="1680"/>
      <c r="L1808" s="1680"/>
      <c r="M1808" s="1680"/>
      <c r="N1808" s="1680"/>
      <c r="O1808" s="1680"/>
      <c r="P1808" s="1680"/>
      <c r="Q1808" s="1680"/>
    </row>
    <row r="1809" spans="1:17">
      <c r="A1809" s="1708"/>
      <c r="B1809" s="1680"/>
      <c r="C1809" s="1874"/>
      <c r="D1809" s="1678"/>
      <c r="E1809" s="1708"/>
      <c r="F1809" s="1682"/>
      <c r="G1809" s="1680">
        <f t="shared" si="265"/>
        <v>0</v>
      </c>
      <c r="H1809" s="1680"/>
      <c r="I1809" s="1680"/>
      <c r="J1809" s="1680"/>
      <c r="K1809" s="1680"/>
      <c r="L1809" s="1680"/>
      <c r="M1809" s="1680"/>
      <c r="N1809" s="1680"/>
      <c r="O1809" s="1680"/>
      <c r="P1809" s="1680"/>
      <c r="Q1809" s="1680"/>
    </row>
    <row r="1810" spans="1:17">
      <c r="A1810" s="1708"/>
      <c r="B1810" s="1680"/>
      <c r="C1810" s="1874"/>
      <c r="D1810" s="1678"/>
      <c r="E1810" s="1708"/>
      <c r="F1810" s="1682"/>
      <c r="G1810" s="1680">
        <f t="shared" si="265"/>
        <v>0</v>
      </c>
      <c r="H1810" s="1680"/>
      <c r="I1810" s="1680"/>
      <c r="J1810" s="1680"/>
      <c r="K1810" s="1680"/>
      <c r="L1810" s="1680"/>
      <c r="M1810" s="1680"/>
      <c r="N1810" s="1680"/>
      <c r="O1810" s="1680"/>
      <c r="P1810" s="1680"/>
      <c r="Q1810" s="1680"/>
    </row>
    <row r="1811" spans="1:17">
      <c r="A1811" s="1708"/>
      <c r="B1811" s="1680"/>
      <c r="C1811" s="1874"/>
      <c r="D1811" s="1678"/>
      <c r="E1811" s="1708"/>
      <c r="F1811" s="1682"/>
      <c r="G1811" s="1680">
        <f t="shared" si="265"/>
        <v>0</v>
      </c>
      <c r="H1811" s="1680"/>
      <c r="I1811" s="1680"/>
      <c r="J1811" s="1680"/>
      <c r="K1811" s="1680"/>
      <c r="L1811" s="1680"/>
      <c r="M1811" s="1680"/>
      <c r="N1811" s="1680"/>
      <c r="O1811" s="1680"/>
      <c r="P1811" s="1680"/>
      <c r="Q1811" s="1680"/>
    </row>
    <row r="1812" spans="1:17">
      <c r="A1812" s="1708"/>
      <c r="B1812" s="1680"/>
      <c r="C1812" s="1874"/>
      <c r="D1812" s="1678"/>
      <c r="E1812" s="1708"/>
      <c r="F1812" s="1682"/>
      <c r="G1812" s="1680">
        <f t="shared" si="265"/>
        <v>0</v>
      </c>
      <c r="H1812" s="1680"/>
      <c r="I1812" s="1680"/>
      <c r="J1812" s="1680"/>
      <c r="K1812" s="1680"/>
      <c r="L1812" s="1680"/>
      <c r="M1812" s="1680"/>
      <c r="N1812" s="1680"/>
      <c r="O1812" s="1680"/>
      <c r="P1812" s="1680"/>
      <c r="Q1812" s="1680"/>
    </row>
    <row r="1813" spans="1:17">
      <c r="A1813" s="1708"/>
      <c r="B1813" s="1680"/>
      <c r="C1813" s="1874"/>
      <c r="D1813" s="1678"/>
      <c r="E1813" s="1708"/>
      <c r="F1813" s="1682"/>
      <c r="G1813" s="1680">
        <f t="shared" si="265"/>
        <v>0</v>
      </c>
      <c r="H1813" s="1680"/>
      <c r="I1813" s="1680"/>
      <c r="J1813" s="1680"/>
      <c r="K1813" s="1680"/>
      <c r="L1813" s="1680"/>
      <c r="M1813" s="1680"/>
      <c r="N1813" s="1680"/>
      <c r="O1813" s="1680"/>
      <c r="P1813" s="1680"/>
      <c r="Q1813" s="1680"/>
    </row>
    <row r="1814" spans="1:17">
      <c r="A1814" s="1708"/>
      <c r="B1814" s="1680"/>
      <c r="C1814" s="1874"/>
      <c r="D1814" s="1678"/>
      <c r="E1814" s="1708"/>
      <c r="F1814" s="1682"/>
      <c r="G1814" s="1680">
        <f t="shared" si="265"/>
        <v>0</v>
      </c>
      <c r="H1814" s="1680"/>
      <c r="I1814" s="1680"/>
      <c r="J1814" s="1680"/>
      <c r="K1814" s="1680"/>
      <c r="L1814" s="1680"/>
      <c r="M1814" s="1680"/>
      <c r="N1814" s="1680"/>
      <c r="O1814" s="1680"/>
      <c r="P1814" s="1680"/>
      <c r="Q1814" s="1680"/>
    </row>
    <row r="1815" spans="1:17">
      <c r="A1815" s="1708"/>
      <c r="B1815" s="1680"/>
      <c r="C1815" s="1874"/>
      <c r="D1815" s="1678"/>
      <c r="E1815" s="1708"/>
      <c r="F1815" s="1682"/>
      <c r="G1815" s="1680">
        <f t="shared" si="265"/>
        <v>0</v>
      </c>
      <c r="H1815" s="1680"/>
      <c r="I1815" s="1680"/>
      <c r="J1815" s="1680"/>
      <c r="K1815" s="1680"/>
      <c r="L1815" s="1680"/>
      <c r="M1815" s="1680"/>
      <c r="N1815" s="1680"/>
      <c r="O1815" s="1680"/>
      <c r="P1815" s="1680"/>
      <c r="Q1815" s="1680"/>
    </row>
    <row r="1816" spans="1:17">
      <c r="A1816" s="1708"/>
      <c r="B1816" s="1680"/>
      <c r="C1816" s="1874"/>
      <c r="D1816" s="1678"/>
      <c r="E1816" s="1708"/>
      <c r="F1816" s="1682"/>
      <c r="G1816" s="1680">
        <f t="shared" si="265"/>
        <v>0</v>
      </c>
      <c r="H1816" s="1680"/>
      <c r="I1816" s="1680"/>
      <c r="J1816" s="1680"/>
      <c r="K1816" s="1680"/>
      <c r="L1816" s="1680"/>
      <c r="M1816" s="1680"/>
      <c r="N1816" s="1680"/>
      <c r="O1816" s="1680"/>
      <c r="P1816" s="1680"/>
      <c r="Q1816" s="1680"/>
    </row>
    <row r="1817" spans="1:17">
      <c r="A1817" s="1708"/>
      <c r="B1817" s="1680"/>
      <c r="C1817" s="1874"/>
      <c r="D1817" s="1678"/>
      <c r="E1817" s="1708"/>
      <c r="F1817" s="1682"/>
      <c r="G1817" s="1680">
        <f t="shared" si="265"/>
        <v>0</v>
      </c>
      <c r="H1817" s="1680"/>
      <c r="I1817" s="1680"/>
      <c r="J1817" s="1680"/>
      <c r="K1817" s="1680"/>
      <c r="L1817" s="1680"/>
      <c r="M1817" s="1680"/>
      <c r="N1817" s="1680"/>
      <c r="O1817" s="1680"/>
      <c r="P1817" s="1680"/>
      <c r="Q1817" s="1680"/>
    </row>
    <row r="1818" spans="1:17">
      <c r="A1818" s="1708"/>
      <c r="B1818" s="1680"/>
      <c r="C1818" s="1874"/>
      <c r="D1818" s="1678"/>
      <c r="E1818" s="1708"/>
      <c r="F1818" s="1682"/>
      <c r="G1818" s="1680">
        <f t="shared" si="265"/>
        <v>0</v>
      </c>
      <c r="H1818" s="1680"/>
      <c r="I1818" s="1680"/>
      <c r="J1818" s="1680"/>
      <c r="K1818" s="1680"/>
      <c r="L1818" s="1680"/>
      <c r="M1818" s="1680"/>
      <c r="N1818" s="1680"/>
      <c r="O1818" s="1680"/>
      <c r="P1818" s="1680"/>
      <c r="Q1818" s="1680"/>
    </row>
    <row r="1819" spans="1:17">
      <c r="A1819" s="1708"/>
      <c r="B1819" s="1680"/>
      <c r="C1819" s="1874"/>
      <c r="D1819" s="1678"/>
      <c r="E1819" s="1708"/>
      <c r="F1819" s="1682"/>
      <c r="G1819" s="1680">
        <f t="shared" si="265"/>
        <v>0</v>
      </c>
      <c r="H1819" s="1680"/>
      <c r="I1819" s="1680"/>
      <c r="J1819" s="1680"/>
      <c r="K1819" s="1680"/>
      <c r="L1819" s="1680"/>
      <c r="M1819" s="1680"/>
      <c r="N1819" s="1680"/>
      <c r="O1819" s="1680"/>
      <c r="P1819" s="1680"/>
      <c r="Q1819" s="1680"/>
    </row>
    <row r="1820" spans="1:17">
      <c r="A1820" s="1708"/>
      <c r="B1820" s="1680"/>
      <c r="C1820" s="1874"/>
      <c r="D1820" s="1678"/>
      <c r="E1820" s="1708"/>
      <c r="F1820" s="1682"/>
      <c r="G1820" s="1680">
        <f t="shared" si="265"/>
        <v>0</v>
      </c>
      <c r="H1820" s="1680"/>
      <c r="I1820" s="1680"/>
      <c r="J1820" s="1680"/>
      <c r="K1820" s="1680"/>
      <c r="L1820" s="1680"/>
      <c r="M1820" s="1680"/>
      <c r="N1820" s="1680"/>
      <c r="O1820" s="1680"/>
      <c r="P1820" s="1680"/>
      <c r="Q1820" s="1680"/>
    </row>
    <row r="1821" spans="1:17">
      <c r="A1821" s="1708"/>
      <c r="B1821" s="1680"/>
      <c r="C1821" s="1874"/>
      <c r="D1821" s="1678"/>
      <c r="E1821" s="1708"/>
      <c r="F1821" s="1682"/>
      <c r="G1821" s="1680">
        <f t="shared" si="265"/>
        <v>0</v>
      </c>
      <c r="H1821" s="1680"/>
      <c r="I1821" s="1680"/>
      <c r="J1821" s="1680"/>
      <c r="K1821" s="1680"/>
      <c r="L1821" s="1680"/>
      <c r="M1821" s="1680"/>
      <c r="N1821" s="1680"/>
      <c r="O1821" s="1680"/>
      <c r="P1821" s="1680"/>
      <c r="Q1821" s="1680"/>
    </row>
    <row r="1822" spans="1:17">
      <c r="A1822" s="1708"/>
      <c r="B1822" s="1680"/>
      <c r="C1822" s="1874"/>
      <c r="D1822" s="1678"/>
      <c r="E1822" s="1708"/>
      <c r="F1822" s="1682"/>
      <c r="G1822" s="1680">
        <f t="shared" si="265"/>
        <v>0</v>
      </c>
      <c r="H1822" s="1680"/>
      <c r="I1822" s="1680"/>
      <c r="J1822" s="1680"/>
      <c r="K1822" s="1680"/>
      <c r="L1822" s="1680"/>
      <c r="M1822" s="1680"/>
      <c r="N1822" s="1680"/>
      <c r="O1822" s="1680"/>
      <c r="P1822" s="1680"/>
      <c r="Q1822" s="1680"/>
    </row>
    <row r="1823" spans="1:17">
      <c r="A1823" s="1708"/>
      <c r="B1823" s="1680"/>
      <c r="C1823" s="1874"/>
      <c r="D1823" s="1678"/>
      <c r="E1823" s="1708"/>
      <c r="F1823" s="1682"/>
      <c r="G1823" s="1680">
        <f t="shared" si="265"/>
        <v>0</v>
      </c>
      <c r="H1823" s="1680"/>
      <c r="I1823" s="1680"/>
      <c r="J1823" s="1680"/>
      <c r="K1823" s="1680"/>
      <c r="L1823" s="1680"/>
      <c r="M1823" s="1680"/>
      <c r="N1823" s="1680"/>
      <c r="O1823" s="1680"/>
      <c r="P1823" s="1680"/>
      <c r="Q1823" s="1680"/>
    </row>
    <row r="1824" spans="1:17">
      <c r="A1824" s="1708"/>
      <c r="B1824" s="1680"/>
      <c r="C1824" s="1874"/>
      <c r="D1824" s="1678"/>
      <c r="E1824" s="1708"/>
      <c r="F1824" s="1682"/>
      <c r="G1824" s="1680">
        <f t="shared" si="265"/>
        <v>0</v>
      </c>
      <c r="H1824" s="1680"/>
      <c r="I1824" s="1680"/>
      <c r="J1824" s="1680"/>
      <c r="K1824" s="1680"/>
      <c r="L1824" s="1680"/>
      <c r="M1824" s="1680"/>
      <c r="N1824" s="1680"/>
      <c r="O1824" s="1680"/>
      <c r="P1824" s="1680"/>
      <c r="Q1824" s="1680"/>
    </row>
    <row r="1825" spans="1:17">
      <c r="A1825" s="1708"/>
      <c r="B1825" s="1680"/>
      <c r="C1825" s="1874"/>
      <c r="D1825" s="1678"/>
      <c r="E1825" s="1708"/>
      <c r="F1825" s="1682"/>
      <c r="G1825" s="1680">
        <f t="shared" si="265"/>
        <v>0</v>
      </c>
      <c r="H1825" s="1680"/>
      <c r="I1825" s="1680"/>
      <c r="J1825" s="1680"/>
      <c r="K1825" s="1680"/>
      <c r="L1825" s="1680"/>
      <c r="M1825" s="1680"/>
      <c r="N1825" s="1680"/>
      <c r="O1825" s="1680"/>
      <c r="P1825" s="1680"/>
      <c r="Q1825" s="1680"/>
    </row>
    <row r="1826" spans="1:17">
      <c r="A1826" s="1708"/>
      <c r="B1826" s="1680"/>
      <c r="C1826" s="1874"/>
      <c r="D1826" s="1678"/>
      <c r="E1826" s="1708"/>
      <c r="F1826" s="1682"/>
      <c r="G1826" s="1680">
        <f t="shared" si="265"/>
        <v>0</v>
      </c>
      <c r="H1826" s="1680"/>
      <c r="I1826" s="1680"/>
      <c r="J1826" s="1680"/>
      <c r="K1826" s="1680"/>
      <c r="L1826" s="1680"/>
      <c r="M1826" s="1680"/>
      <c r="N1826" s="1680"/>
      <c r="O1826" s="1680"/>
      <c r="P1826" s="1680"/>
      <c r="Q1826" s="1680"/>
    </row>
    <row r="1827" spans="1:17">
      <c r="A1827" s="1708"/>
      <c r="B1827" s="1680"/>
      <c r="C1827" s="1874"/>
      <c r="D1827" s="1678"/>
      <c r="E1827" s="1708"/>
      <c r="F1827" s="1682"/>
      <c r="G1827" s="1680">
        <f t="shared" si="265"/>
        <v>0</v>
      </c>
      <c r="H1827" s="1680"/>
      <c r="I1827" s="1680"/>
      <c r="J1827" s="1680"/>
      <c r="K1827" s="1680"/>
      <c r="L1827" s="1680"/>
      <c r="M1827" s="1680"/>
      <c r="N1827" s="1680"/>
      <c r="O1827" s="1680"/>
      <c r="P1827" s="1680"/>
      <c r="Q1827" s="1680"/>
    </row>
    <row r="1828" spans="1:17">
      <c r="A1828" s="1708"/>
      <c r="B1828" s="1680"/>
      <c r="C1828" s="1874"/>
      <c r="D1828" s="1678"/>
      <c r="E1828" s="1708"/>
      <c r="F1828" s="1682"/>
      <c r="G1828" s="1680">
        <f t="shared" si="265"/>
        <v>0</v>
      </c>
      <c r="H1828" s="1680"/>
      <c r="I1828" s="1680"/>
      <c r="J1828" s="1680"/>
      <c r="K1828" s="1680"/>
      <c r="L1828" s="1680"/>
      <c r="M1828" s="1680"/>
      <c r="N1828" s="1680"/>
      <c r="O1828" s="1680"/>
      <c r="P1828" s="1680"/>
      <c r="Q1828" s="1680"/>
    </row>
    <row r="1829" spans="1:17">
      <c r="A1829" s="1708"/>
      <c r="B1829" s="1680"/>
      <c r="C1829" s="1874"/>
      <c r="D1829" s="1678"/>
      <c r="E1829" s="1708"/>
      <c r="F1829" s="1682"/>
      <c r="G1829" s="1680">
        <f t="shared" si="265"/>
        <v>0</v>
      </c>
      <c r="H1829" s="1680"/>
      <c r="I1829" s="1680"/>
      <c r="J1829" s="1680"/>
      <c r="K1829" s="1680"/>
      <c r="L1829" s="1680"/>
      <c r="M1829" s="1680"/>
      <c r="N1829" s="1680"/>
      <c r="O1829" s="1680"/>
      <c r="P1829" s="1680"/>
      <c r="Q1829" s="1680"/>
    </row>
    <row r="1830" spans="1:17">
      <c r="A1830" s="1708"/>
      <c r="B1830" s="1680"/>
      <c r="C1830" s="1874"/>
      <c r="D1830" s="1678"/>
      <c r="E1830" s="1708"/>
      <c r="F1830" s="1682"/>
      <c r="G1830" s="1680">
        <f t="shared" si="265"/>
        <v>0</v>
      </c>
      <c r="H1830" s="1680"/>
      <c r="I1830" s="1680"/>
      <c r="J1830" s="1680"/>
      <c r="K1830" s="1680"/>
      <c r="L1830" s="1680"/>
      <c r="M1830" s="1680"/>
      <c r="N1830" s="1680"/>
      <c r="O1830" s="1680"/>
      <c r="P1830" s="1680"/>
      <c r="Q1830" s="1680"/>
    </row>
    <row r="1831" spans="1:17">
      <c r="A1831" s="1708"/>
      <c r="B1831" s="1680"/>
      <c r="C1831" s="1874"/>
      <c r="D1831" s="1678"/>
      <c r="E1831" s="1708"/>
      <c r="F1831" s="1682"/>
      <c r="G1831" s="1680">
        <f t="shared" si="265"/>
        <v>0</v>
      </c>
      <c r="H1831" s="1680"/>
      <c r="I1831" s="1680"/>
      <c r="J1831" s="1680"/>
      <c r="K1831" s="1680"/>
      <c r="L1831" s="1680"/>
      <c r="M1831" s="1680"/>
      <c r="N1831" s="1680"/>
      <c r="O1831" s="1680"/>
      <c r="P1831" s="1680"/>
      <c r="Q1831" s="1680"/>
    </row>
    <row r="1832" spans="1:17">
      <c r="A1832" s="1708"/>
      <c r="B1832" s="1680"/>
      <c r="C1832" s="1874"/>
      <c r="D1832" s="1678"/>
      <c r="E1832" s="1708"/>
      <c r="F1832" s="1682"/>
      <c r="G1832" s="1680">
        <f t="shared" si="265"/>
        <v>0</v>
      </c>
      <c r="H1832" s="1680"/>
      <c r="I1832" s="1680"/>
      <c r="J1832" s="1680"/>
      <c r="K1832" s="1680"/>
      <c r="L1832" s="1680"/>
      <c r="M1832" s="1680"/>
      <c r="N1832" s="1680"/>
      <c r="O1832" s="1680"/>
      <c r="P1832" s="1680"/>
      <c r="Q1832" s="1680"/>
    </row>
    <row r="1833" spans="1:17">
      <c r="A1833" s="1708"/>
      <c r="B1833" s="1680"/>
      <c r="C1833" s="1874"/>
      <c r="D1833" s="1678"/>
      <c r="E1833" s="1708"/>
      <c r="F1833" s="1682"/>
      <c r="G1833" s="1680">
        <f t="shared" si="265"/>
        <v>0</v>
      </c>
      <c r="H1833" s="1680"/>
      <c r="I1833" s="1680"/>
      <c r="J1833" s="1680"/>
      <c r="K1833" s="1680"/>
      <c r="L1833" s="1680"/>
      <c r="M1833" s="1680"/>
      <c r="N1833" s="1680"/>
      <c r="O1833" s="1680"/>
      <c r="P1833" s="1680"/>
      <c r="Q1833" s="1680"/>
    </row>
    <row r="1834" spans="1:17">
      <c r="A1834" s="1708"/>
      <c r="B1834" s="1680"/>
      <c r="C1834" s="1874"/>
      <c r="D1834" s="1678"/>
      <c r="E1834" s="1708"/>
      <c r="F1834" s="1682"/>
      <c r="G1834" s="1680">
        <f t="shared" si="265"/>
        <v>0</v>
      </c>
      <c r="H1834" s="1680"/>
      <c r="I1834" s="1680"/>
      <c r="J1834" s="1680"/>
      <c r="K1834" s="1680"/>
      <c r="L1834" s="1680"/>
      <c r="M1834" s="1680"/>
      <c r="N1834" s="1680"/>
      <c r="O1834" s="1680"/>
      <c r="P1834" s="1680"/>
      <c r="Q1834" s="1680"/>
    </row>
    <row r="1835" spans="1:17">
      <c r="A1835" s="1708"/>
      <c r="B1835" s="1680"/>
      <c r="C1835" s="1874"/>
      <c r="D1835" s="1678"/>
      <c r="E1835" s="1708"/>
      <c r="F1835" s="1682"/>
      <c r="G1835" s="1680">
        <f t="shared" si="265"/>
        <v>0</v>
      </c>
      <c r="H1835" s="1680"/>
      <c r="I1835" s="1680"/>
      <c r="J1835" s="1680"/>
      <c r="K1835" s="1680"/>
      <c r="L1835" s="1680"/>
      <c r="M1835" s="1680"/>
      <c r="N1835" s="1680"/>
      <c r="O1835" s="1680"/>
      <c r="P1835" s="1680"/>
      <c r="Q1835" s="1680"/>
    </row>
    <row r="1836" spans="1:17">
      <c r="B1836" s="1685"/>
      <c r="H1836" s="1685"/>
      <c r="I1836" s="1685"/>
      <c r="J1836" s="1685"/>
      <c r="K1836" s="1685"/>
      <c r="L1836" s="1685"/>
      <c r="M1836" s="1685"/>
      <c r="N1836" s="1685"/>
      <c r="O1836" s="1685"/>
      <c r="P1836" s="1685"/>
      <c r="Q1836" s="1685"/>
    </row>
  </sheetData>
  <autoFilter ref="A3:Q1835">
    <filterColumn colId="1"/>
  </autoFilter>
  <mergeCells count="11">
    <mergeCell ref="L2:M2"/>
    <mergeCell ref="N2:O2"/>
    <mergeCell ref="P2:Q2"/>
    <mergeCell ref="A1:Q1"/>
    <mergeCell ref="A2:A3"/>
    <mergeCell ref="C2:C3"/>
    <mergeCell ref="D2:D3"/>
    <mergeCell ref="E2:E3"/>
    <mergeCell ref="F2:G2"/>
    <mergeCell ref="H2:I2"/>
    <mergeCell ref="J2:K2"/>
  </mergeCells>
  <printOptions horizontalCentered="1"/>
  <pageMargins left="0.5" right="0.5" top="0.5" bottom="0.5" header="0.3" footer="0.3"/>
  <pageSetup paperSize="9" scale="51" orientation="portrait" r:id="rId1"/>
  <headerFooter alignWithMargins="0">
    <oddHeader>&amp;R&amp;P</oddHeader>
  </headerFooter>
  <rowBreaks count="1" manualBreakCount="1">
    <brk id="1048" max="16" man="1"/>
  </rowBreaks>
</worksheet>
</file>

<file path=xl/worksheets/sheet12.xml><?xml version="1.0" encoding="utf-8"?>
<worksheet xmlns="http://schemas.openxmlformats.org/spreadsheetml/2006/main" xmlns:r="http://schemas.openxmlformats.org/officeDocument/2006/relationships">
  <sheetPr codeName="Sheet11" enableFormatConditionsCalculation="0">
    <tabColor rgb="FF00B050"/>
  </sheetPr>
  <dimension ref="A1:J36"/>
  <sheetViews>
    <sheetView view="pageBreakPreview" topLeftCell="A7" zoomScale="70" zoomScaleNormal="75" zoomScaleSheetLayoutView="70" workbookViewId="0">
      <selection activeCell="D9" sqref="D9"/>
    </sheetView>
  </sheetViews>
  <sheetFormatPr defaultColWidth="9.21875" defaultRowHeight="35.1" customHeight="1"/>
  <cols>
    <col min="1" max="1" width="8" style="703" customWidth="1"/>
    <col min="2" max="2" width="6.6640625" style="377" customWidth="1"/>
    <col min="3" max="3" width="40.77734375" style="377" customWidth="1"/>
    <col min="4" max="4" width="17.109375" style="377" customWidth="1"/>
    <col min="5" max="5" width="7.21875" style="377" customWidth="1"/>
    <col min="6" max="6" width="16.88671875" style="377" bestFit="1" customWidth="1"/>
    <col min="7" max="7" width="19.109375" style="377" customWidth="1"/>
    <col min="8" max="8" width="19" style="377" customWidth="1"/>
    <col min="9" max="9" width="10" style="377" bestFit="1" customWidth="1"/>
    <col min="10" max="10" width="34.109375" style="377" customWidth="1"/>
    <col min="11" max="16384" width="9.21875" style="377"/>
  </cols>
  <sheetData>
    <row r="1" spans="1:10" ht="42.75" customHeight="1">
      <c r="A1" s="1849" t="s">
        <v>7381</v>
      </c>
      <c r="B1" s="1849"/>
      <c r="C1" s="1849"/>
      <c r="D1" s="1849"/>
      <c r="E1" s="1849"/>
      <c r="F1" s="1849"/>
    </row>
    <row r="2" spans="1:10" ht="43.5" customHeight="1">
      <c r="A2" s="1850" t="s">
        <v>3762</v>
      </c>
      <c r="B2" s="1850"/>
      <c r="C2" s="1850"/>
      <c r="D2" s="1850"/>
      <c r="E2" s="1850"/>
      <c r="F2" s="1850"/>
    </row>
    <row r="3" spans="1:10" ht="79.5" customHeight="1">
      <c r="A3" s="1851" t="str">
        <f>'Detail '!A1:J1</f>
        <v>NAME OF WORK :  CONSTRUCTION OF  NEW BUILDING FOR FIRE AND RESCUE SERVICE STATION WITH DEVELOPMENT WORKS AT VANNIYAMPATHY  IN CHENNAI CITY</v>
      </c>
      <c r="B3" s="1852"/>
      <c r="C3" s="1852"/>
      <c r="D3" s="1852"/>
      <c r="E3" s="1852"/>
      <c r="F3" s="1852"/>
    </row>
    <row r="4" spans="1:10" s="702" customFormat="1" ht="53.25" customHeight="1">
      <c r="A4" s="1734" t="s">
        <v>7588</v>
      </c>
      <c r="B4" s="1734" t="s">
        <v>2060</v>
      </c>
      <c r="C4" s="1734" t="s">
        <v>2061</v>
      </c>
      <c r="D4" s="1734" t="s">
        <v>2062</v>
      </c>
      <c r="E4" s="1734" t="s">
        <v>3199</v>
      </c>
      <c r="F4" s="1734" t="s">
        <v>2064</v>
      </c>
      <c r="G4" s="377"/>
      <c r="H4" s="377"/>
      <c r="I4" s="377"/>
      <c r="J4" s="377"/>
    </row>
    <row r="5" spans="1:10" s="702" customFormat="1" ht="36.75" customHeight="1">
      <c r="A5" s="1734"/>
      <c r="B5" s="1734"/>
      <c r="C5" s="1734" t="s">
        <v>3763</v>
      </c>
      <c r="D5" s="1786" t="s">
        <v>3764</v>
      </c>
      <c r="E5" s="1786"/>
      <c r="F5" s="1786"/>
      <c r="G5" s="377"/>
      <c r="H5" s="377"/>
      <c r="I5" s="377"/>
      <c r="J5" s="377"/>
    </row>
    <row r="6" spans="1:10" s="702" customFormat="1" ht="47.25" customHeight="1">
      <c r="A6" s="1612">
        <v>1</v>
      </c>
      <c r="B6" s="1613">
        <v>1</v>
      </c>
      <c r="C6" s="1613" t="s">
        <v>3765</v>
      </c>
      <c r="D6" s="1613">
        <f>'A3'!G1466</f>
        <v>50144760.920000002</v>
      </c>
      <c r="E6" s="1613" t="s">
        <v>3766</v>
      </c>
      <c r="F6" s="1613">
        <f>D6*B6</f>
        <v>50144760.920000002</v>
      </c>
      <c r="G6" s="704">
        <v>31372924.02</v>
      </c>
      <c r="H6" s="377"/>
      <c r="I6" s="377"/>
      <c r="J6" s="377"/>
    </row>
    <row r="7" spans="1:10" s="702" customFormat="1" ht="47.25" customHeight="1">
      <c r="A7" s="1612"/>
      <c r="B7" s="1613"/>
      <c r="C7" s="1786" t="s">
        <v>3767</v>
      </c>
      <c r="D7" s="1786"/>
      <c r="E7" s="1786"/>
      <c r="F7" s="1614">
        <f>SUM(F6:F6)</f>
        <v>50144760.920000002</v>
      </c>
      <c r="G7" s="377"/>
      <c r="H7" s="377"/>
      <c r="I7" s="377"/>
      <c r="J7" s="377"/>
    </row>
    <row r="8" spans="1:10" s="702" customFormat="1" ht="47.25" customHeight="1">
      <c r="A8" s="1612"/>
      <c r="B8" s="1613"/>
      <c r="C8" s="1611" t="s">
        <v>3768</v>
      </c>
      <c r="D8" s="1611"/>
      <c r="E8" s="1611"/>
      <c r="F8" s="1614"/>
      <c r="G8" s="377"/>
      <c r="H8" s="377"/>
      <c r="I8" s="377"/>
      <c r="J8" s="377"/>
    </row>
    <row r="9" spans="1:10" s="702" customFormat="1" ht="47.25" customHeight="1">
      <c r="A9" s="1612">
        <v>2</v>
      </c>
      <c r="B9" s="1613">
        <v>1</v>
      </c>
      <c r="C9" s="1613" t="str">
        <f>[1]building!G2</f>
        <v>Borewell &amp; External water Supply</v>
      </c>
      <c r="D9" s="1613">
        <f>'A3'!I1466</f>
        <v>209308.06</v>
      </c>
      <c r="E9" s="1613" t="s">
        <v>3766</v>
      </c>
      <c r="F9" s="1613">
        <f>B9*D9</f>
        <v>209308.06</v>
      </c>
      <c r="G9" s="377"/>
      <c r="H9" s="377"/>
      <c r="I9" s="377"/>
      <c r="J9" s="377"/>
    </row>
    <row r="10" spans="1:10" s="702" customFormat="1" ht="47.25" customHeight="1">
      <c r="A10" s="1612">
        <v>3</v>
      </c>
      <c r="B10" s="1613">
        <v>1</v>
      </c>
      <c r="C10" s="1613" t="str">
        <f>[1]building!I2</f>
        <v>Sump</v>
      </c>
      <c r="D10" s="1613">
        <f>'A3'!K1466</f>
        <v>312654.98</v>
      </c>
      <c r="E10" s="1613" t="s">
        <v>3766</v>
      </c>
      <c r="F10" s="1613">
        <f>B10*D10</f>
        <v>312654.98</v>
      </c>
      <c r="G10" s="377"/>
      <c r="H10" s="377"/>
      <c r="I10" s="377"/>
      <c r="J10" s="377"/>
    </row>
    <row r="11" spans="1:10" s="702" customFormat="1" ht="47.25" customHeight="1">
      <c r="A11" s="1612">
        <v>4</v>
      </c>
      <c r="B11" s="1613">
        <v>1</v>
      </c>
      <c r="C11" s="1615" t="s">
        <v>3769</v>
      </c>
      <c r="D11" s="1613">
        <f>'A3'!M1466</f>
        <v>895990.5</v>
      </c>
      <c r="E11" s="1613" t="s">
        <v>3766</v>
      </c>
      <c r="F11" s="1613">
        <f>B11*D11</f>
        <v>895990.5</v>
      </c>
      <c r="G11" s="377"/>
      <c r="H11" s="377"/>
      <c r="I11" s="377"/>
      <c r="J11" s="377"/>
    </row>
    <row r="12" spans="1:10" s="702" customFormat="1" ht="47.25" customHeight="1">
      <c r="A12" s="1612"/>
      <c r="B12" s="1616"/>
      <c r="C12" s="1786" t="s">
        <v>3770</v>
      </c>
      <c r="D12" s="1786"/>
      <c r="E12" s="1786"/>
      <c r="F12" s="1614">
        <f>SUM(F7:F11)</f>
        <v>51562714.460000001</v>
      </c>
      <c r="G12" s="377">
        <f>'A3'!Q1466</f>
        <v>51562714.460000001</v>
      </c>
      <c r="H12" s="377">
        <f>F12-'A3'!Q1466</f>
        <v>0</v>
      </c>
      <c r="I12" s="377"/>
      <c r="J12" s="377"/>
    </row>
    <row r="13" spans="1:10" s="702" customFormat="1" ht="47.25" customHeight="1">
      <c r="A13" s="1612">
        <v>4</v>
      </c>
      <c r="B13" s="1617"/>
      <c r="C13" s="1615" t="s">
        <v>3772</v>
      </c>
      <c r="D13" s="1786"/>
      <c r="E13" s="1786"/>
      <c r="F13" s="1613">
        <v>50000</v>
      </c>
      <c r="G13" s="377"/>
      <c r="H13" s="377"/>
      <c r="I13" s="377"/>
      <c r="J13" s="708"/>
    </row>
    <row r="14" spans="1:10" s="702" customFormat="1" ht="47.25" customHeight="1">
      <c r="A14" s="1612"/>
      <c r="B14" s="1617"/>
      <c r="C14" s="1786" t="s">
        <v>3771</v>
      </c>
      <c r="D14" s="1786"/>
      <c r="E14" s="1786"/>
      <c r="F14" s="1614">
        <f>SUM(F12:F13)</f>
        <v>51612714.460000001</v>
      </c>
      <c r="G14" s="702">
        <f>F14-10964595</f>
        <v>40648119.460000001</v>
      </c>
      <c r="H14" s="377"/>
      <c r="I14" s="377"/>
      <c r="J14" s="708"/>
    </row>
    <row r="15" spans="1:10" s="702" customFormat="1" ht="47.25" customHeight="1">
      <c r="A15" s="1612">
        <v>5</v>
      </c>
      <c r="B15" s="1617"/>
      <c r="C15" s="1846" t="s">
        <v>7585</v>
      </c>
      <c r="D15" s="1847"/>
      <c r="E15" s="1848"/>
      <c r="F15" s="1613">
        <f>F14*12%</f>
        <v>6193525.7400000002</v>
      </c>
      <c r="G15" s="377"/>
      <c r="H15" s="377"/>
      <c r="I15" s="377"/>
      <c r="J15" s="708"/>
    </row>
    <row r="16" spans="1:10" s="702" customFormat="1" ht="47.25" customHeight="1">
      <c r="A16" s="1612"/>
      <c r="B16" s="1617"/>
      <c r="C16" s="1786" t="s">
        <v>3771</v>
      </c>
      <c r="D16" s="1786"/>
      <c r="E16" s="1786"/>
      <c r="F16" s="1614">
        <f>SUM(F14:F15)</f>
        <v>57806240.200000003</v>
      </c>
      <c r="G16" s="705"/>
      <c r="H16" s="377"/>
      <c r="I16" s="377"/>
      <c r="J16" s="708"/>
    </row>
    <row r="17" spans="1:10" s="702" customFormat="1" ht="47.25" customHeight="1">
      <c r="A17" s="1612">
        <v>6</v>
      </c>
      <c r="B17" s="1615"/>
      <c r="C17" s="1615" t="s">
        <v>3773</v>
      </c>
      <c r="D17" s="1785" t="s">
        <v>3774</v>
      </c>
      <c r="E17" s="1785"/>
      <c r="F17" s="1613">
        <f>F14*1%</f>
        <v>516127.14</v>
      </c>
      <c r="G17" s="706"/>
      <c r="H17" s="377"/>
      <c r="I17" s="377"/>
      <c r="J17" s="377"/>
    </row>
    <row r="18" spans="1:10" s="702" customFormat="1" ht="50.25" customHeight="1">
      <c r="A18" s="1612">
        <v>7</v>
      </c>
      <c r="B18" s="1615"/>
      <c r="C18" s="1615" t="s">
        <v>7016</v>
      </c>
      <c r="D18" s="1785" t="s">
        <v>3774</v>
      </c>
      <c r="E18" s="1785"/>
      <c r="F18" s="1613">
        <f>F16*1%+258.25</f>
        <v>578320.65</v>
      </c>
      <c r="G18" s="706">
        <f>H26</f>
        <v>0</v>
      </c>
      <c r="H18" s="377"/>
      <c r="I18" s="377"/>
      <c r="J18" s="377"/>
    </row>
    <row r="19" spans="1:10" s="702" customFormat="1" ht="47.25" customHeight="1">
      <c r="A19" s="1612">
        <f>A18+1</f>
        <v>8</v>
      </c>
      <c r="B19" s="1615"/>
      <c r="C19" s="1615" t="s">
        <v>3775</v>
      </c>
      <c r="D19" s="1785" t="s">
        <v>3774</v>
      </c>
      <c r="E19" s="1785"/>
      <c r="F19" s="1613">
        <f>F16*5%</f>
        <v>2890312.01</v>
      </c>
      <c r="G19" s="706"/>
      <c r="H19" s="377"/>
      <c r="I19" s="377"/>
      <c r="J19" s="377"/>
    </row>
    <row r="20" spans="1:10" s="702" customFormat="1" ht="47.25" customHeight="1">
      <c r="A20" s="1612"/>
      <c r="B20" s="1617"/>
      <c r="C20" s="1786" t="s">
        <v>3776</v>
      </c>
      <c r="D20" s="1786"/>
      <c r="E20" s="1786"/>
      <c r="F20" s="1614">
        <f>SUM(F16:F19)</f>
        <v>61791000</v>
      </c>
      <c r="G20" s="706"/>
      <c r="H20" s="377"/>
      <c r="I20" s="377"/>
      <c r="J20" s="377"/>
    </row>
    <row r="21" spans="1:10" s="702" customFormat="1" ht="47.25" customHeight="1">
      <c r="A21" s="1612">
        <v>8</v>
      </c>
      <c r="B21" s="1617"/>
      <c r="C21" s="1615" t="s">
        <v>3777</v>
      </c>
      <c r="D21" s="1787" t="s">
        <v>49</v>
      </c>
      <c r="E21" s="1787"/>
      <c r="F21" s="1613">
        <v>70000</v>
      </c>
      <c r="G21" s="707"/>
      <c r="H21" s="377"/>
      <c r="I21" s="377"/>
      <c r="J21" s="377"/>
    </row>
    <row r="22" spans="1:10" s="702" customFormat="1" ht="47.25" customHeight="1">
      <c r="A22" s="1612">
        <f>A21+1</f>
        <v>9</v>
      </c>
      <c r="B22" s="1733"/>
      <c r="C22" s="1615" t="s">
        <v>3778</v>
      </c>
      <c r="D22" s="1788" t="s">
        <v>49</v>
      </c>
      <c r="E22" s="1788"/>
      <c r="F22" s="1613">
        <v>250000</v>
      </c>
      <c r="G22" s="705"/>
      <c r="H22" s="377"/>
      <c r="I22" s="377"/>
      <c r="J22" s="377"/>
    </row>
    <row r="23" spans="1:10" s="702" customFormat="1" ht="51" customHeight="1">
      <c r="A23" s="1612">
        <f>A22+1</f>
        <v>10</v>
      </c>
      <c r="B23" s="1733"/>
      <c r="C23" s="1615" t="s">
        <v>3779</v>
      </c>
      <c r="D23" s="1788" t="s">
        <v>49</v>
      </c>
      <c r="E23" s="1788"/>
      <c r="F23" s="1613">
        <v>150000</v>
      </c>
      <c r="G23" s="377"/>
      <c r="H23" s="377"/>
      <c r="I23" s="377"/>
      <c r="J23" s="377"/>
    </row>
    <row r="24" spans="1:10" s="702" customFormat="1" ht="47.25" customHeight="1">
      <c r="A24" s="1612">
        <v>12</v>
      </c>
      <c r="B24" s="1733"/>
      <c r="C24" s="1615" t="s">
        <v>3780</v>
      </c>
      <c r="D24" s="1788" t="s">
        <v>49</v>
      </c>
      <c r="E24" s="1788"/>
      <c r="F24" s="1613">
        <v>100000</v>
      </c>
      <c r="G24" s="377">
        <f>626.09-624.61</f>
        <v>1.48</v>
      </c>
      <c r="H24" s="377"/>
      <c r="I24" s="377"/>
      <c r="J24" s="377"/>
    </row>
    <row r="25" spans="1:10" s="702" customFormat="1" ht="51" customHeight="1">
      <c r="A25" s="1612">
        <v>13</v>
      </c>
      <c r="B25" s="1733"/>
      <c r="C25" s="1615" t="s">
        <v>3781</v>
      </c>
      <c r="D25" s="1787" t="s">
        <v>49</v>
      </c>
      <c r="E25" s="1787"/>
      <c r="F25" s="1613">
        <v>100000</v>
      </c>
      <c r="G25" s="377">
        <v>624.61</v>
      </c>
      <c r="H25" s="377">
        <f>G25*100000</f>
        <v>62461000</v>
      </c>
      <c r="I25" s="377"/>
      <c r="J25" s="377"/>
    </row>
    <row r="26" spans="1:10" s="702" customFormat="1" ht="38.25" customHeight="1">
      <c r="A26" s="1612"/>
      <c r="B26" s="1733"/>
      <c r="C26" s="1786" t="s">
        <v>3782</v>
      </c>
      <c r="D26" s="1786"/>
      <c r="E26" s="1786"/>
      <c r="F26" s="1614">
        <f>SUM(F20:F25)</f>
        <v>62461000</v>
      </c>
      <c r="G26" s="702">
        <f>F26/100000</f>
        <v>624.61</v>
      </c>
      <c r="H26" s="702">
        <f>H25-F26</f>
        <v>0</v>
      </c>
    </row>
    <row r="27" spans="1:10" s="702" customFormat="1" ht="38.25" customHeight="1">
      <c r="A27" s="1840"/>
      <c r="B27" s="1841"/>
      <c r="C27" s="1841"/>
      <c r="D27" s="1844" t="s">
        <v>2981</v>
      </c>
      <c r="E27" s="1844"/>
      <c r="F27" s="1853" t="s">
        <v>7586</v>
      </c>
      <c r="G27" s="705">
        <f>G25-G26</f>
        <v>0</v>
      </c>
      <c r="H27" s="705"/>
    </row>
    <row r="28" spans="1:10" ht="35.1" customHeight="1">
      <c r="A28" s="1842"/>
      <c r="B28" s="1843"/>
      <c r="C28" s="1843"/>
      <c r="D28" s="1843"/>
      <c r="E28" s="1843"/>
      <c r="F28" s="1843"/>
      <c r="G28" s="1843"/>
      <c r="H28" s="1843"/>
    </row>
    <row r="29" spans="1:10" ht="35.1" customHeight="1">
      <c r="A29" s="1842"/>
      <c r="B29" s="1843"/>
      <c r="C29" s="1843"/>
      <c r="D29" s="1843"/>
      <c r="E29" s="1843"/>
      <c r="F29" s="1843"/>
      <c r="G29" s="1843"/>
      <c r="H29" s="1843"/>
    </row>
    <row r="30" spans="1:10" ht="35.1" customHeight="1">
      <c r="A30" s="1842"/>
      <c r="B30" s="1843"/>
      <c r="C30" s="1843"/>
      <c r="D30" s="1843"/>
      <c r="E30" s="1843"/>
      <c r="F30" s="1843"/>
      <c r="G30" s="1843">
        <f>F29-F28</f>
        <v>0</v>
      </c>
      <c r="H30" s="1843"/>
    </row>
    <row r="31" spans="1:10" ht="35.1" customHeight="1">
      <c r="A31" s="1842"/>
      <c r="B31" s="1843"/>
      <c r="C31" s="1843"/>
      <c r="D31" s="1845" t="s">
        <v>7587</v>
      </c>
      <c r="E31" s="1845"/>
      <c r="F31" s="1845"/>
      <c r="G31" s="1843"/>
      <c r="H31" s="1843"/>
    </row>
    <row r="32" spans="1:10" ht="35.1" customHeight="1">
      <c r="A32" s="1842"/>
      <c r="B32" s="1843"/>
      <c r="C32" s="1843"/>
      <c r="D32" s="1843"/>
      <c r="E32" s="1843"/>
      <c r="F32" s="1843"/>
      <c r="G32" s="1843"/>
      <c r="H32" s="1843"/>
    </row>
    <row r="33" spans="1:8" ht="35.1" customHeight="1">
      <c r="A33" s="1842"/>
      <c r="B33" s="1843"/>
      <c r="C33" s="1843"/>
      <c r="D33" s="1843"/>
      <c r="E33" s="1843"/>
      <c r="F33" s="1843"/>
      <c r="G33" s="1843"/>
      <c r="H33" s="1843"/>
    </row>
    <row r="34" spans="1:8" ht="35.1" customHeight="1">
      <c r="A34" s="1842"/>
      <c r="B34" s="1843"/>
      <c r="C34" s="1843"/>
      <c r="D34" s="1843"/>
      <c r="E34" s="1843"/>
      <c r="F34" s="1843"/>
      <c r="G34" s="1843"/>
      <c r="H34" s="1843"/>
    </row>
    <row r="35" spans="1:8" ht="35.1" customHeight="1">
      <c r="A35" s="1842"/>
      <c r="B35" s="1843"/>
      <c r="C35" s="1843"/>
      <c r="D35" s="1843"/>
      <c r="E35" s="1843"/>
      <c r="F35" s="1843"/>
      <c r="G35" s="1843"/>
      <c r="H35" s="1843"/>
    </row>
    <row r="36" spans="1:8" ht="35.1" customHeight="1">
      <c r="A36" s="1842"/>
      <c r="B36" s="1843"/>
      <c r="C36" s="1843"/>
      <c r="D36" s="1843"/>
      <c r="E36" s="1843"/>
      <c r="F36" s="1843"/>
      <c r="G36" s="1843"/>
      <c r="H36" s="1843"/>
    </row>
  </sheetData>
  <mergeCells count="22">
    <mergeCell ref="D31:F31"/>
    <mergeCell ref="C15:E15"/>
    <mergeCell ref="D19:E19"/>
    <mergeCell ref="D25:E25"/>
    <mergeCell ref="D27:E27"/>
    <mergeCell ref="C20:E20"/>
    <mergeCell ref="D21:E21"/>
    <mergeCell ref="D22:E22"/>
    <mergeCell ref="D23:E23"/>
    <mergeCell ref="C26:E26"/>
    <mergeCell ref="D24:E24"/>
    <mergeCell ref="A1:F1"/>
    <mergeCell ref="D13:E13"/>
    <mergeCell ref="C7:E7"/>
    <mergeCell ref="A2:F2"/>
    <mergeCell ref="A3:F3"/>
    <mergeCell ref="D18:E18"/>
    <mergeCell ref="C16:E16"/>
    <mergeCell ref="D5:F5"/>
    <mergeCell ref="C14:E14"/>
    <mergeCell ref="C12:E12"/>
    <mergeCell ref="D17:E17"/>
  </mergeCells>
  <printOptions horizontalCentered="1"/>
  <pageMargins left="0.25" right="0.25" top="0.25" bottom="0.25" header="0.5" footer="0.5"/>
  <pageSetup paperSize="9" scale="85" orientation="portrait" r:id="rId1"/>
  <headerFooter alignWithMargins="0">
    <oddHeader>&amp;R&amp;P</oddHeader>
  </headerFooter>
</worksheet>
</file>

<file path=xl/worksheets/sheet13.xml><?xml version="1.0" encoding="utf-8"?>
<worksheet xmlns="http://schemas.openxmlformats.org/spreadsheetml/2006/main" xmlns:r="http://schemas.openxmlformats.org/officeDocument/2006/relationships">
  <sheetPr codeName="Sheet12"/>
  <dimension ref="A1:K89"/>
  <sheetViews>
    <sheetView view="pageBreakPreview" topLeftCell="A77" zoomScaleSheetLayoutView="100" workbookViewId="0">
      <selection activeCell="A90" sqref="A90"/>
    </sheetView>
  </sheetViews>
  <sheetFormatPr defaultColWidth="1.77734375" defaultRowHeight="15.75"/>
  <cols>
    <col min="1" max="1" width="5.109375" style="646" customWidth="1"/>
    <col min="2" max="2" width="30.6640625" style="647" customWidth="1"/>
    <col min="3" max="3" width="5" style="645" customWidth="1"/>
    <col min="4" max="4" width="2.21875" style="645" customWidth="1"/>
    <col min="5" max="5" width="5" style="645" customWidth="1"/>
    <col min="6" max="6" width="7.109375" style="648" customWidth="1"/>
    <col min="7" max="7" width="4.33203125" style="648" customWidth="1"/>
    <col min="8" max="8" width="5.88671875" style="649" customWidth="1"/>
    <col min="9" max="9" width="7.21875" style="650" customWidth="1"/>
    <col min="10" max="10" width="4.6640625" style="645" customWidth="1"/>
    <col min="11" max="252" width="7.77734375" style="645" bestFit="1" customWidth="1"/>
    <col min="253" max="253" width="6" style="645" customWidth="1"/>
    <col min="254" max="254" width="36.33203125" style="645" customWidth="1"/>
    <col min="255" max="255" width="2.88671875" style="645" customWidth="1"/>
    <col min="256" max="16384" width="1.77734375" style="645"/>
  </cols>
  <sheetData>
    <row r="1" spans="1:10" s="643" customFormat="1" ht="27.95" customHeight="1">
      <c r="A1" s="1789" t="s">
        <v>3783</v>
      </c>
      <c r="B1" s="1790"/>
      <c r="C1" s="1791"/>
      <c r="D1" s="1791"/>
      <c r="E1" s="1791"/>
      <c r="F1" s="1791"/>
      <c r="G1" s="1791"/>
      <c r="H1" s="1791"/>
      <c r="I1" s="1791"/>
      <c r="J1" s="1791"/>
    </row>
    <row r="2" spans="1:10" s="643" customFormat="1" ht="16.5">
      <c r="A2" s="1792" t="s">
        <v>3784</v>
      </c>
      <c r="B2" s="1793"/>
      <c r="C2" s="1792"/>
      <c r="D2" s="1792"/>
      <c r="E2" s="1792"/>
      <c r="F2" s="1792"/>
      <c r="G2" s="1792"/>
      <c r="H2" s="1792"/>
      <c r="I2" s="1792"/>
      <c r="J2" s="1792"/>
    </row>
    <row r="3" spans="1:10" s="644" customFormat="1" ht="16.5">
      <c r="A3" s="651" t="s">
        <v>3785</v>
      </c>
      <c r="B3" s="652" t="s">
        <v>3786</v>
      </c>
      <c r="C3" s="1794" t="s">
        <v>1034</v>
      </c>
      <c r="D3" s="1794"/>
      <c r="E3" s="1794"/>
      <c r="F3" s="653" t="s">
        <v>3362</v>
      </c>
      <c r="G3" s="653" t="s">
        <v>634</v>
      </c>
      <c r="H3" s="653" t="s">
        <v>3363</v>
      </c>
      <c r="I3" s="1795" t="s">
        <v>3787</v>
      </c>
      <c r="J3" s="1796"/>
    </row>
    <row r="4" spans="1:10" ht="145.5" customHeight="1">
      <c r="A4" s="654">
        <v>1</v>
      </c>
      <c r="B4" s="655" t="s">
        <v>3788</v>
      </c>
      <c r="C4" s="656"/>
      <c r="D4" s="656"/>
      <c r="E4" s="656"/>
      <c r="F4" s="657"/>
      <c r="G4" s="657"/>
      <c r="H4" s="658"/>
      <c r="I4" s="680"/>
      <c r="J4" s="681"/>
    </row>
    <row r="5" spans="1:10">
      <c r="A5" s="659"/>
      <c r="B5" s="660" t="s">
        <v>3789</v>
      </c>
      <c r="C5" s="661"/>
      <c r="D5" s="661"/>
      <c r="E5" s="661"/>
      <c r="F5" s="662"/>
      <c r="G5" s="662"/>
      <c r="H5" s="663"/>
      <c r="I5" s="678"/>
      <c r="J5" s="682"/>
    </row>
    <row r="6" spans="1:10">
      <c r="A6" s="659"/>
      <c r="B6" s="664" t="s">
        <v>3790</v>
      </c>
      <c r="C6" s="661">
        <v>1</v>
      </c>
      <c r="D6" s="661" t="s">
        <v>3364</v>
      </c>
      <c r="E6" s="661">
        <v>1</v>
      </c>
      <c r="F6" s="662"/>
      <c r="G6" s="662"/>
      <c r="H6" s="662">
        <v>24</v>
      </c>
      <c r="I6" s="683">
        <f>PRODUCT(C6:H6)</f>
        <v>24</v>
      </c>
      <c r="J6" s="682"/>
    </row>
    <row r="7" spans="1:10">
      <c r="A7" s="659"/>
      <c r="B7" s="664"/>
      <c r="C7" s="661"/>
      <c r="D7" s="661"/>
      <c r="E7" s="661"/>
      <c r="F7" s="662"/>
      <c r="G7" s="665"/>
      <c r="H7" s="665" t="s">
        <v>2981</v>
      </c>
      <c r="I7" s="663">
        <f>SUM(I6:I6)</f>
        <v>24</v>
      </c>
      <c r="J7" s="682" t="s">
        <v>3791</v>
      </c>
    </row>
    <row r="8" spans="1:10">
      <c r="A8" s="659"/>
      <c r="B8" s="664"/>
      <c r="C8" s="661"/>
      <c r="D8" s="661"/>
      <c r="E8" s="661"/>
      <c r="F8" s="662"/>
      <c r="G8" s="662"/>
      <c r="H8" s="662"/>
      <c r="I8" s="662"/>
      <c r="J8" s="684"/>
    </row>
    <row r="9" spans="1:10" ht="31.5" hidden="1">
      <c r="A9" s="659"/>
      <c r="B9" s="664" t="s">
        <v>3792</v>
      </c>
      <c r="C9" s="661"/>
      <c r="D9" s="661"/>
      <c r="E9" s="661"/>
      <c r="F9" s="662"/>
      <c r="G9" s="662"/>
      <c r="H9" s="662"/>
      <c r="I9" s="663"/>
      <c r="J9" s="682"/>
    </row>
    <row r="10" spans="1:10" hidden="1">
      <c r="A10" s="659"/>
      <c r="B10" s="664" t="s">
        <v>3790</v>
      </c>
      <c r="C10" s="661">
        <v>1</v>
      </c>
      <c r="D10" s="661" t="s">
        <v>3364</v>
      </c>
      <c r="E10" s="661">
        <v>1</v>
      </c>
      <c r="F10" s="662"/>
      <c r="G10" s="662"/>
      <c r="H10" s="662">
        <v>20</v>
      </c>
      <c r="I10" s="683">
        <f>PRODUCT(C10:H10)</f>
        <v>20</v>
      </c>
      <c r="J10" s="685"/>
    </row>
    <row r="11" spans="1:10" hidden="1">
      <c r="A11" s="659"/>
      <c r="B11" s="664"/>
      <c r="C11" s="661"/>
      <c r="D11" s="661"/>
      <c r="E11" s="661"/>
      <c r="F11" s="662"/>
      <c r="G11" s="665"/>
      <c r="H11" s="665" t="s">
        <v>2981</v>
      </c>
      <c r="I11" s="663"/>
      <c r="J11" s="682" t="s">
        <v>3791</v>
      </c>
    </row>
    <row r="12" spans="1:10">
      <c r="A12" s="659"/>
      <c r="B12" s="664"/>
      <c r="C12" s="661"/>
      <c r="D12" s="661"/>
      <c r="E12" s="661"/>
      <c r="F12" s="662"/>
      <c r="G12" s="665"/>
      <c r="H12" s="665"/>
      <c r="I12" s="663"/>
      <c r="J12" s="682"/>
    </row>
    <row r="13" spans="1:10" ht="78.75">
      <c r="A13" s="659">
        <v>2</v>
      </c>
      <c r="B13" s="664" t="s">
        <v>3793</v>
      </c>
      <c r="C13" s="661"/>
      <c r="D13" s="661"/>
      <c r="E13" s="661"/>
      <c r="F13" s="662"/>
      <c r="G13" s="662"/>
      <c r="H13" s="662"/>
      <c r="I13" s="663"/>
      <c r="J13" s="682"/>
    </row>
    <row r="14" spans="1:10">
      <c r="A14" s="659"/>
      <c r="B14" s="664" t="s">
        <v>3789</v>
      </c>
      <c r="C14" s="661">
        <v>1</v>
      </c>
      <c r="D14" s="661" t="s">
        <v>3364</v>
      </c>
      <c r="E14" s="661">
        <v>1</v>
      </c>
      <c r="F14" s="662"/>
      <c r="G14" s="662"/>
      <c r="H14" s="662">
        <f>H6</f>
        <v>24</v>
      </c>
      <c r="I14" s="683">
        <f>PRODUCT(C14:H14)</f>
        <v>24</v>
      </c>
      <c r="J14" s="682" t="s">
        <v>3791</v>
      </c>
    </row>
    <row r="15" spans="1:10">
      <c r="A15" s="659"/>
      <c r="B15" s="664"/>
      <c r="C15" s="661"/>
      <c r="D15" s="661"/>
      <c r="E15" s="661"/>
      <c r="F15" s="662"/>
      <c r="G15" s="662"/>
      <c r="H15" s="662"/>
      <c r="I15" s="663"/>
      <c r="J15" s="682"/>
    </row>
    <row r="16" spans="1:10" ht="31.5" hidden="1">
      <c r="A16" s="659"/>
      <c r="B16" s="664" t="s">
        <v>3792</v>
      </c>
      <c r="C16" s="661">
        <v>1</v>
      </c>
      <c r="D16" s="661" t="s">
        <v>3364</v>
      </c>
      <c r="E16" s="661">
        <v>1</v>
      </c>
      <c r="F16" s="662"/>
      <c r="G16" s="662"/>
      <c r="H16" s="662">
        <v>20</v>
      </c>
      <c r="I16" s="683"/>
      <c r="J16" s="682" t="s">
        <v>3791</v>
      </c>
    </row>
    <row r="17" spans="1:10" hidden="1">
      <c r="A17" s="659"/>
      <c r="B17" s="664"/>
      <c r="C17" s="661"/>
      <c r="D17" s="661"/>
      <c r="E17" s="661"/>
      <c r="F17" s="662"/>
      <c r="G17" s="662"/>
      <c r="H17" s="662"/>
      <c r="I17" s="663"/>
      <c r="J17" s="682"/>
    </row>
    <row r="18" spans="1:10" ht="98.25" customHeight="1">
      <c r="A18" s="659">
        <v>3</v>
      </c>
      <c r="B18" s="664" t="s">
        <v>3794</v>
      </c>
      <c r="C18" s="661"/>
      <c r="D18" s="661"/>
      <c r="E18" s="661"/>
      <c r="F18" s="662"/>
      <c r="G18" s="662"/>
      <c r="H18" s="662"/>
      <c r="I18" s="663"/>
      <c r="J18" s="682"/>
    </row>
    <row r="19" spans="1:10">
      <c r="A19" s="659"/>
      <c r="B19" s="664" t="s">
        <v>3795</v>
      </c>
      <c r="C19" s="661">
        <v>1</v>
      </c>
      <c r="D19" s="661" t="s">
        <v>3364</v>
      </c>
      <c r="E19" s="661">
        <v>1</v>
      </c>
      <c r="F19" s="662"/>
      <c r="G19" s="662"/>
      <c r="H19" s="662">
        <v>12</v>
      </c>
      <c r="I19" s="683">
        <f>PRODUCT(C19:H19)</f>
        <v>12</v>
      </c>
      <c r="J19" s="682"/>
    </row>
    <row r="20" spans="1:10">
      <c r="A20" s="659"/>
      <c r="B20" s="664"/>
      <c r="C20" s="661"/>
      <c r="D20" s="661"/>
      <c r="E20" s="661"/>
      <c r="F20" s="662"/>
      <c r="G20" s="662"/>
      <c r="H20" s="662"/>
      <c r="I20" s="663">
        <f>SUM(I19:I19)</f>
        <v>12</v>
      </c>
      <c r="J20" s="686" t="s">
        <v>3791</v>
      </c>
    </row>
    <row r="21" spans="1:10">
      <c r="A21" s="659"/>
      <c r="B21" s="664"/>
      <c r="C21" s="661"/>
      <c r="D21" s="661"/>
      <c r="E21" s="661"/>
      <c r="F21" s="662"/>
      <c r="G21" s="662"/>
      <c r="H21" s="662"/>
      <c r="I21" s="663"/>
      <c r="J21" s="682"/>
    </row>
    <row r="22" spans="1:10" ht="238.5">
      <c r="A22" s="659">
        <v>4</v>
      </c>
      <c r="B22" s="664" t="s">
        <v>3796</v>
      </c>
      <c r="C22" s="661"/>
      <c r="D22" s="661"/>
      <c r="E22" s="661"/>
      <c r="F22" s="662"/>
      <c r="G22" s="662"/>
      <c r="H22" s="662"/>
      <c r="I22" s="663"/>
      <c r="J22" s="682"/>
    </row>
    <row r="23" spans="1:10">
      <c r="A23" s="659"/>
      <c r="B23" s="664" t="s">
        <v>3797</v>
      </c>
      <c r="C23" s="661">
        <v>1</v>
      </c>
      <c r="D23" s="661" t="s">
        <v>3364</v>
      </c>
      <c r="E23" s="661">
        <v>1</v>
      </c>
      <c r="F23" s="662"/>
      <c r="G23" s="662"/>
      <c r="H23" s="662">
        <v>12</v>
      </c>
      <c r="I23" s="683">
        <f>PRODUCT(C23:H23)</f>
        <v>12</v>
      </c>
      <c r="J23" s="682"/>
    </row>
    <row r="24" spans="1:10">
      <c r="A24" s="659"/>
      <c r="B24" s="664"/>
      <c r="C24" s="661"/>
      <c r="D24" s="661"/>
      <c r="E24" s="661"/>
      <c r="F24" s="662"/>
      <c r="G24" s="662"/>
      <c r="H24" s="662"/>
      <c r="I24" s="663">
        <f>SUM(I23:I23)</f>
        <v>12</v>
      </c>
      <c r="J24" s="686" t="s">
        <v>3791</v>
      </c>
    </row>
    <row r="25" spans="1:10">
      <c r="A25" s="659"/>
      <c r="B25" s="664"/>
      <c r="C25" s="661"/>
      <c r="D25" s="661"/>
      <c r="E25" s="661"/>
      <c r="F25" s="662"/>
      <c r="G25" s="662"/>
      <c r="H25" s="662"/>
      <c r="I25" s="663"/>
      <c r="J25" s="682"/>
    </row>
    <row r="26" spans="1:10" ht="47.25">
      <c r="A26" s="659">
        <v>5</v>
      </c>
      <c r="B26" s="664" t="s">
        <v>3798</v>
      </c>
      <c r="C26" s="661"/>
      <c r="D26" s="661"/>
      <c r="E26" s="661"/>
      <c r="F26" s="662"/>
      <c r="G26" s="662"/>
      <c r="H26" s="662"/>
      <c r="I26" s="663"/>
      <c r="J26" s="682"/>
    </row>
    <row r="27" spans="1:10">
      <c r="A27" s="659"/>
      <c r="B27" s="664" t="s">
        <v>3797</v>
      </c>
      <c r="C27" s="661">
        <v>1</v>
      </c>
      <c r="D27" s="661" t="s">
        <v>3364</v>
      </c>
      <c r="E27" s="661">
        <v>1</v>
      </c>
      <c r="F27" s="662"/>
      <c r="G27" s="662"/>
      <c r="H27" s="662"/>
      <c r="I27" s="683">
        <f>PRODUCT(C27:H27)</f>
        <v>1</v>
      </c>
      <c r="J27" s="685"/>
    </row>
    <row r="28" spans="1:10">
      <c r="A28" s="659"/>
      <c r="B28" s="664"/>
      <c r="C28" s="661"/>
      <c r="D28" s="661"/>
      <c r="E28" s="661"/>
      <c r="F28" s="662"/>
      <c r="G28" s="663"/>
      <c r="H28" s="663" t="s">
        <v>3799</v>
      </c>
      <c r="I28" s="663">
        <v>1</v>
      </c>
      <c r="J28" s="682" t="s">
        <v>41</v>
      </c>
    </row>
    <row r="29" spans="1:10">
      <c r="A29" s="659"/>
      <c r="B29" s="664"/>
      <c r="C29" s="661"/>
      <c r="D29" s="661"/>
      <c r="E29" s="661"/>
      <c r="F29" s="662"/>
      <c r="G29" s="663"/>
      <c r="H29" s="663"/>
      <c r="I29" s="663"/>
      <c r="J29" s="682"/>
    </row>
    <row r="30" spans="1:10" ht="141.75">
      <c r="A30" s="659">
        <v>6</v>
      </c>
      <c r="B30" s="664" t="s">
        <v>3800</v>
      </c>
      <c r="C30" s="661"/>
      <c r="D30" s="661"/>
      <c r="E30" s="661"/>
      <c r="F30" s="662"/>
      <c r="G30" s="662"/>
      <c r="H30" s="662"/>
      <c r="I30" s="663"/>
      <c r="J30" s="684"/>
    </row>
    <row r="31" spans="1:10">
      <c r="A31" s="659"/>
      <c r="B31" s="664" t="s">
        <v>3797</v>
      </c>
      <c r="C31" s="661">
        <v>1</v>
      </c>
      <c r="D31" s="661" t="s">
        <v>3364</v>
      </c>
      <c r="E31" s="661">
        <v>1</v>
      </c>
      <c r="F31" s="662"/>
      <c r="G31" s="662"/>
      <c r="H31" s="662">
        <v>24</v>
      </c>
      <c r="I31" s="683">
        <f>PRODUCT(C31:H31)</f>
        <v>24</v>
      </c>
      <c r="J31" s="684"/>
    </row>
    <row r="32" spans="1:10">
      <c r="A32" s="659"/>
      <c r="B32" s="664"/>
      <c r="C32" s="661"/>
      <c r="D32" s="661"/>
      <c r="E32" s="661"/>
      <c r="F32" s="662"/>
      <c r="G32" s="662"/>
      <c r="H32" s="662"/>
      <c r="I32" s="663">
        <f>SUM(I31:I31)</f>
        <v>24</v>
      </c>
      <c r="J32" s="684" t="s">
        <v>3791</v>
      </c>
    </row>
    <row r="33" spans="1:10">
      <c r="A33" s="659"/>
      <c r="B33" s="664"/>
      <c r="C33" s="661"/>
      <c r="D33" s="661"/>
      <c r="E33" s="661"/>
      <c r="F33" s="662"/>
      <c r="G33" s="662"/>
      <c r="H33" s="662"/>
      <c r="I33" s="663"/>
      <c r="J33" s="684"/>
    </row>
    <row r="34" spans="1:10" ht="141.75">
      <c r="A34" s="659">
        <v>7</v>
      </c>
      <c r="B34" s="664" t="s">
        <v>3801</v>
      </c>
      <c r="C34" s="661"/>
      <c r="D34" s="661"/>
      <c r="E34" s="661"/>
      <c r="F34" s="662"/>
      <c r="G34" s="662"/>
      <c r="H34" s="662"/>
      <c r="I34" s="663"/>
      <c r="J34" s="687"/>
    </row>
    <row r="35" spans="1:10">
      <c r="A35" s="659"/>
      <c r="B35" s="664" t="s">
        <v>3797</v>
      </c>
      <c r="C35" s="661">
        <v>1</v>
      </c>
      <c r="D35" s="661" t="s">
        <v>3364</v>
      </c>
      <c r="E35" s="661">
        <v>1</v>
      </c>
      <c r="F35" s="662">
        <v>8</v>
      </c>
      <c r="G35" s="662"/>
      <c r="H35" s="662"/>
      <c r="I35" s="683">
        <f>PRODUCT(C35:H35)</f>
        <v>8</v>
      </c>
      <c r="J35" s="682"/>
    </row>
    <row r="36" spans="1:10">
      <c r="A36" s="659"/>
      <c r="B36" s="664"/>
      <c r="C36" s="661"/>
      <c r="D36" s="661"/>
      <c r="E36" s="661"/>
      <c r="F36" s="662"/>
      <c r="G36" s="661"/>
      <c r="H36" s="661"/>
      <c r="I36" s="663">
        <v>8</v>
      </c>
      <c r="J36" s="682" t="s">
        <v>3802</v>
      </c>
    </row>
    <row r="37" spans="1:10">
      <c r="A37" s="659"/>
      <c r="B37" s="664"/>
      <c r="C37" s="661"/>
      <c r="D37" s="661"/>
      <c r="E37" s="661"/>
      <c r="F37" s="662"/>
      <c r="G37" s="661"/>
      <c r="H37" s="661"/>
      <c r="I37" s="663"/>
      <c r="J37" s="682"/>
    </row>
    <row r="38" spans="1:10" ht="173.25">
      <c r="A38" s="659">
        <v>8</v>
      </c>
      <c r="B38" s="666" t="s">
        <v>3803</v>
      </c>
      <c r="C38" s="667"/>
      <c r="D38" s="667"/>
      <c r="E38" s="667"/>
      <c r="F38" s="668"/>
      <c r="G38" s="668"/>
      <c r="H38" s="668"/>
      <c r="I38" s="668"/>
      <c r="J38" s="688"/>
    </row>
    <row r="39" spans="1:10">
      <c r="A39" s="659"/>
      <c r="B39" s="664" t="s">
        <v>3797</v>
      </c>
      <c r="C39" s="669">
        <v>1</v>
      </c>
      <c r="D39" s="669" t="s">
        <v>3364</v>
      </c>
      <c r="E39" s="669">
        <v>1</v>
      </c>
      <c r="F39" s="670"/>
      <c r="G39" s="670"/>
      <c r="H39" s="670"/>
      <c r="I39" s="683">
        <f>PRODUCT(C39:H39)</f>
        <v>1</v>
      </c>
      <c r="J39" s="688"/>
    </row>
    <row r="40" spans="1:10">
      <c r="A40" s="659"/>
      <c r="B40" s="671"/>
      <c r="C40" s="669"/>
      <c r="D40" s="669"/>
      <c r="E40" s="669"/>
      <c r="F40" s="670"/>
      <c r="G40" s="672"/>
      <c r="H40" s="672" t="s">
        <v>3799</v>
      </c>
      <c r="I40" s="689">
        <v>1</v>
      </c>
      <c r="J40" s="682" t="s">
        <v>41</v>
      </c>
    </row>
    <row r="41" spans="1:10">
      <c r="A41" s="659"/>
      <c r="B41" s="671"/>
      <c r="C41" s="669"/>
      <c r="D41" s="669"/>
      <c r="E41" s="669"/>
      <c r="F41" s="670"/>
      <c r="G41" s="670"/>
      <c r="H41" s="670"/>
      <c r="I41" s="689"/>
      <c r="J41" s="688"/>
    </row>
    <row r="42" spans="1:10">
      <c r="A42" s="659"/>
      <c r="B42" s="671"/>
      <c r="C42" s="669"/>
      <c r="D42" s="669"/>
      <c r="E42" s="669"/>
      <c r="F42" s="670"/>
      <c r="G42" s="670"/>
      <c r="H42" s="670"/>
      <c r="I42" s="689"/>
      <c r="J42" s="688"/>
    </row>
    <row r="43" spans="1:10" ht="78.75">
      <c r="A43" s="659">
        <v>9</v>
      </c>
      <c r="B43" s="666" t="s">
        <v>3804</v>
      </c>
      <c r="C43" s="673"/>
      <c r="D43" s="673"/>
      <c r="E43" s="673"/>
      <c r="F43" s="674"/>
      <c r="G43" s="674"/>
      <c r="H43" s="674"/>
      <c r="I43" s="674"/>
      <c r="J43" s="687"/>
    </row>
    <row r="44" spans="1:10">
      <c r="A44" s="659"/>
      <c r="B44" s="660" t="s">
        <v>3805</v>
      </c>
      <c r="C44" s="673"/>
      <c r="D44" s="673"/>
      <c r="E44" s="673"/>
      <c r="F44" s="674"/>
      <c r="G44" s="674"/>
      <c r="H44" s="674"/>
      <c r="I44" s="675"/>
      <c r="J44" s="687"/>
    </row>
    <row r="45" spans="1:10">
      <c r="A45" s="659"/>
      <c r="B45" s="664" t="s">
        <v>3806</v>
      </c>
      <c r="C45" s="661">
        <v>1</v>
      </c>
      <c r="D45" s="661" t="s">
        <v>3364</v>
      </c>
      <c r="E45" s="661">
        <v>1</v>
      </c>
      <c r="F45" s="662"/>
      <c r="G45" s="662"/>
      <c r="H45" s="662"/>
      <c r="I45" s="683">
        <f>PRODUCT(C45:H45)</f>
        <v>1</v>
      </c>
      <c r="J45" s="687"/>
    </row>
    <row r="46" spans="1:10">
      <c r="A46" s="659"/>
      <c r="B46" s="660"/>
      <c r="C46" s="673"/>
      <c r="D46" s="673"/>
      <c r="E46" s="673"/>
      <c r="F46" s="674"/>
      <c r="G46" s="672"/>
      <c r="H46" s="672" t="s">
        <v>3799</v>
      </c>
      <c r="I46" s="690">
        <f>SUM(I45:I45)</f>
        <v>1</v>
      </c>
      <c r="J46" s="682" t="s">
        <v>41</v>
      </c>
    </row>
    <row r="47" spans="1:10">
      <c r="A47" s="659"/>
      <c r="B47" s="660" t="s">
        <v>3807</v>
      </c>
      <c r="C47" s="673"/>
      <c r="D47" s="673"/>
      <c r="E47" s="673"/>
      <c r="F47" s="674"/>
      <c r="G47" s="674"/>
      <c r="H47" s="674"/>
      <c r="I47" s="675"/>
      <c r="J47" s="687"/>
    </row>
    <row r="48" spans="1:10">
      <c r="A48" s="659"/>
      <c r="B48" s="664" t="s">
        <v>3795</v>
      </c>
      <c r="C48" s="661">
        <v>1</v>
      </c>
      <c r="D48" s="661" t="s">
        <v>3364</v>
      </c>
      <c r="E48" s="661">
        <v>1</v>
      </c>
      <c r="F48" s="662">
        <v>40</v>
      </c>
      <c r="G48" s="662"/>
      <c r="H48" s="662"/>
      <c r="I48" s="683">
        <f>PRODUCT(C48:H48)</f>
        <v>40</v>
      </c>
      <c r="J48" s="687"/>
    </row>
    <row r="49" spans="1:11">
      <c r="A49" s="659"/>
      <c r="B49" s="660"/>
      <c r="C49" s="673"/>
      <c r="D49" s="673"/>
      <c r="E49" s="673"/>
      <c r="F49" s="674"/>
      <c r="G49" s="672"/>
      <c r="H49" s="672" t="s">
        <v>3799</v>
      </c>
      <c r="I49" s="690">
        <f>SUM(I48:I48)</f>
        <v>40</v>
      </c>
      <c r="J49" s="691" t="s">
        <v>13</v>
      </c>
    </row>
    <row r="50" spans="1:11">
      <c r="A50" s="659"/>
      <c r="B50" s="660"/>
      <c r="C50" s="673"/>
      <c r="D50" s="673"/>
      <c r="E50" s="673"/>
      <c r="F50" s="674"/>
      <c r="G50" s="672"/>
      <c r="H50" s="672"/>
      <c r="I50" s="690"/>
      <c r="J50" s="691"/>
    </row>
    <row r="51" spans="1:11">
      <c r="A51" s="659"/>
      <c r="B51" s="666" t="s">
        <v>3808</v>
      </c>
      <c r="C51" s="673"/>
      <c r="D51" s="673"/>
      <c r="E51" s="673"/>
      <c r="F51" s="674"/>
      <c r="G51" s="672"/>
      <c r="H51" s="672"/>
      <c r="I51" s="690"/>
      <c r="J51" s="691"/>
    </row>
    <row r="52" spans="1:11">
      <c r="A52" s="659"/>
      <c r="B52" s="664" t="s">
        <v>3797</v>
      </c>
      <c r="C52" s="673">
        <v>1</v>
      </c>
      <c r="D52" s="673"/>
      <c r="E52" s="673">
        <v>1</v>
      </c>
      <c r="F52" s="674"/>
      <c r="G52" s="672"/>
      <c r="H52" s="662"/>
      <c r="I52" s="683">
        <f>PRODUCT(C52:H52)</f>
        <v>1</v>
      </c>
      <c r="J52" s="687"/>
    </row>
    <row r="53" spans="1:11">
      <c r="A53" s="659"/>
      <c r="B53" s="660"/>
      <c r="C53" s="673"/>
      <c r="D53" s="673"/>
      <c r="E53" s="673"/>
      <c r="F53" s="674"/>
      <c r="G53" s="672"/>
      <c r="H53" s="672" t="s">
        <v>3799</v>
      </c>
      <c r="I53" s="690">
        <f>SUM(I52:I52)</f>
        <v>1</v>
      </c>
      <c r="J53" s="682" t="s">
        <v>41</v>
      </c>
    </row>
    <row r="54" spans="1:11">
      <c r="A54" s="659"/>
      <c r="B54" s="660" t="s">
        <v>3809</v>
      </c>
      <c r="C54" s="673"/>
      <c r="D54" s="673"/>
      <c r="E54" s="673"/>
      <c r="F54" s="674"/>
      <c r="G54" s="674"/>
      <c r="H54" s="674"/>
      <c r="I54" s="675"/>
      <c r="J54" s="687"/>
    </row>
    <row r="55" spans="1:11">
      <c r="A55" s="659"/>
      <c r="B55" s="664" t="s">
        <v>3797</v>
      </c>
      <c r="C55" s="661">
        <v>1</v>
      </c>
      <c r="D55" s="661" t="s">
        <v>3364</v>
      </c>
      <c r="E55" s="661">
        <v>1</v>
      </c>
      <c r="F55" s="662">
        <v>24</v>
      </c>
      <c r="G55" s="662"/>
      <c r="H55" s="662"/>
      <c r="I55" s="683">
        <f>PRODUCT(C55:H55)</f>
        <v>24</v>
      </c>
      <c r="J55" s="687"/>
    </row>
    <row r="56" spans="1:11">
      <c r="A56" s="659"/>
      <c r="B56" s="660"/>
      <c r="C56" s="673"/>
      <c r="D56" s="673"/>
      <c r="E56" s="673"/>
      <c r="F56" s="675"/>
      <c r="G56" s="672"/>
      <c r="H56" s="672" t="s">
        <v>3799</v>
      </c>
      <c r="I56" s="690">
        <f>SUM(I55:I55)</f>
        <v>24</v>
      </c>
      <c r="J56" s="691" t="s">
        <v>13</v>
      </c>
    </row>
    <row r="57" spans="1:11">
      <c r="A57" s="659"/>
      <c r="B57" s="666"/>
      <c r="C57" s="676"/>
      <c r="D57" s="676"/>
      <c r="E57" s="676"/>
      <c r="F57" s="677"/>
      <c r="G57" s="677"/>
      <c r="H57" s="678"/>
      <c r="I57" s="690"/>
      <c r="J57" s="691"/>
    </row>
    <row r="58" spans="1:11">
      <c r="A58" s="659"/>
      <c r="B58" s="660" t="s">
        <v>3810</v>
      </c>
      <c r="C58" s="673"/>
      <c r="D58" s="673"/>
      <c r="E58" s="673"/>
      <c r="F58" s="675"/>
      <c r="G58" s="674"/>
      <c r="H58" s="674"/>
      <c r="I58" s="675"/>
      <c r="J58" s="687"/>
      <c r="K58" s="645" t="s">
        <v>3811</v>
      </c>
    </row>
    <row r="59" spans="1:11">
      <c r="A59" s="659"/>
      <c r="B59" s="664" t="s">
        <v>3806</v>
      </c>
      <c r="C59" s="661">
        <v>1</v>
      </c>
      <c r="D59" s="661" t="s">
        <v>3364</v>
      </c>
      <c r="E59" s="661">
        <v>1</v>
      </c>
      <c r="F59" s="662">
        <v>40</v>
      </c>
      <c r="G59" s="662"/>
      <c r="H59" s="662"/>
      <c r="I59" s="683">
        <f>PRODUCT(C59:H59)</f>
        <v>40</v>
      </c>
      <c r="J59" s="687"/>
    </row>
    <row r="60" spans="1:11">
      <c r="A60" s="659"/>
      <c r="B60" s="660"/>
      <c r="C60" s="673"/>
      <c r="D60" s="673"/>
      <c r="E60" s="673"/>
      <c r="F60" s="675"/>
      <c r="G60" s="672"/>
      <c r="H60" s="672" t="s">
        <v>3799</v>
      </c>
      <c r="I60" s="690">
        <f>SUM(I59:I59)</f>
        <v>40</v>
      </c>
      <c r="J60" s="691" t="s">
        <v>13</v>
      </c>
    </row>
    <row r="61" spans="1:11">
      <c r="A61" s="659"/>
      <c r="B61" s="660"/>
      <c r="C61" s="673"/>
      <c r="D61" s="673"/>
      <c r="E61" s="673"/>
      <c r="F61" s="675"/>
      <c r="G61" s="672"/>
      <c r="H61" s="672"/>
      <c r="I61" s="690"/>
      <c r="J61" s="691"/>
    </row>
    <row r="62" spans="1:11" ht="110.25">
      <c r="A62" s="659">
        <v>11</v>
      </c>
      <c r="B62" s="679" t="s">
        <v>3812</v>
      </c>
      <c r="C62" s="673"/>
      <c r="D62" s="673"/>
      <c r="E62" s="673"/>
      <c r="F62" s="675"/>
      <c r="G62" s="674"/>
      <c r="H62" s="674"/>
      <c r="I62" s="675"/>
      <c r="J62" s="687"/>
    </row>
    <row r="63" spans="1:11">
      <c r="A63" s="659"/>
      <c r="B63" s="664" t="s">
        <v>3797</v>
      </c>
      <c r="C63" s="661">
        <v>1</v>
      </c>
      <c r="D63" s="661" t="s">
        <v>3364</v>
      </c>
      <c r="E63" s="661">
        <v>1</v>
      </c>
      <c r="F63" s="662"/>
      <c r="G63" s="662"/>
      <c r="H63" s="662"/>
      <c r="I63" s="683">
        <f>PRODUCT(C63:H63)</f>
        <v>1</v>
      </c>
      <c r="J63" s="687"/>
    </row>
    <row r="64" spans="1:11">
      <c r="A64" s="659"/>
      <c r="B64" s="664"/>
      <c r="C64" s="673"/>
      <c r="D64" s="673"/>
      <c r="E64" s="673"/>
      <c r="F64" s="675"/>
      <c r="G64" s="672"/>
      <c r="H64" s="672" t="s">
        <v>3799</v>
      </c>
      <c r="I64" s="690">
        <f>SUM(I63:I63)</f>
        <v>1</v>
      </c>
      <c r="J64" s="691" t="s">
        <v>41</v>
      </c>
    </row>
    <row r="65" spans="1:10">
      <c r="A65" s="659"/>
      <c r="B65" s="664"/>
      <c r="C65" s="673"/>
      <c r="D65" s="673"/>
      <c r="E65" s="673"/>
      <c r="F65" s="675"/>
      <c r="G65" s="672"/>
      <c r="H65" s="672"/>
      <c r="I65" s="690"/>
      <c r="J65" s="691"/>
    </row>
    <row r="66" spans="1:10" ht="94.5">
      <c r="A66" s="659">
        <v>12</v>
      </c>
      <c r="B66" s="679" t="s">
        <v>3813</v>
      </c>
      <c r="C66" s="673"/>
      <c r="D66" s="673"/>
      <c r="E66" s="673"/>
      <c r="F66" s="675"/>
      <c r="G66" s="674"/>
      <c r="H66" s="674"/>
      <c r="I66" s="675"/>
      <c r="J66" s="687"/>
    </row>
    <row r="67" spans="1:10">
      <c r="A67" s="659"/>
      <c r="B67" s="664" t="s">
        <v>3814</v>
      </c>
      <c r="C67" s="661">
        <v>1</v>
      </c>
      <c r="D67" s="661" t="s">
        <v>3364</v>
      </c>
      <c r="E67" s="661">
        <v>1</v>
      </c>
      <c r="F67" s="662">
        <v>10</v>
      </c>
      <c r="G67" s="662"/>
      <c r="H67" s="662"/>
      <c r="I67" s="683">
        <f t="shared" ref="I67:I72" si="0">PRODUCT(C67:H67)</f>
        <v>10</v>
      </c>
      <c r="J67" s="687"/>
    </row>
    <row r="68" spans="1:10">
      <c r="A68" s="659"/>
      <c r="B68" s="664"/>
      <c r="C68" s="673"/>
      <c r="D68" s="673"/>
      <c r="E68" s="673"/>
      <c r="F68" s="675"/>
      <c r="G68" s="672"/>
      <c r="H68" s="672" t="s">
        <v>3799</v>
      </c>
      <c r="I68" s="690">
        <f>SUM(I67:I67)</f>
        <v>10</v>
      </c>
      <c r="J68" s="691" t="s">
        <v>13</v>
      </c>
    </row>
    <row r="69" spans="1:10">
      <c r="A69" s="659"/>
      <c r="B69" s="664"/>
      <c r="C69" s="673"/>
      <c r="D69" s="673"/>
      <c r="E69" s="673"/>
      <c r="F69" s="675"/>
      <c r="G69" s="672"/>
      <c r="H69" s="672"/>
      <c r="I69" s="690"/>
      <c r="J69" s="691"/>
    </row>
    <row r="70" spans="1:10" ht="94.5">
      <c r="A70" s="659">
        <v>13</v>
      </c>
      <c r="B70" s="679" t="s">
        <v>3815</v>
      </c>
      <c r="C70" s="673"/>
      <c r="D70" s="673"/>
      <c r="E70" s="673"/>
      <c r="F70" s="675"/>
      <c r="G70" s="672"/>
      <c r="H70" s="672"/>
      <c r="I70" s="690"/>
      <c r="J70" s="691"/>
    </row>
    <row r="71" spans="1:10">
      <c r="A71" s="659"/>
      <c r="B71" s="664" t="s">
        <v>7011</v>
      </c>
      <c r="C71" s="661">
        <v>1</v>
      </c>
      <c r="D71" s="661" t="s">
        <v>3364</v>
      </c>
      <c r="E71" s="661">
        <v>1</v>
      </c>
      <c r="F71" s="662">
        <v>10</v>
      </c>
      <c r="G71" s="662"/>
      <c r="H71" s="662"/>
      <c r="I71" s="683">
        <f t="shared" si="0"/>
        <v>10</v>
      </c>
      <c r="J71" s="687"/>
    </row>
    <row r="72" spans="1:10">
      <c r="A72" s="659"/>
      <c r="B72" s="664" t="s">
        <v>3816</v>
      </c>
      <c r="C72" s="661">
        <v>1</v>
      </c>
      <c r="D72" s="661" t="s">
        <v>3364</v>
      </c>
      <c r="E72" s="661">
        <v>1</v>
      </c>
      <c r="F72" s="662">
        <v>15</v>
      </c>
      <c r="G72" s="662"/>
      <c r="H72" s="662"/>
      <c r="I72" s="683">
        <f t="shared" si="0"/>
        <v>15</v>
      </c>
      <c r="J72" s="687"/>
    </row>
    <row r="73" spans="1:10">
      <c r="A73" s="659"/>
      <c r="B73" s="664"/>
      <c r="C73" s="673"/>
      <c r="D73" s="673"/>
      <c r="E73" s="673"/>
      <c r="F73" s="675"/>
      <c r="G73" s="672"/>
      <c r="H73" s="672" t="s">
        <v>3799</v>
      </c>
      <c r="I73" s="690">
        <f>SUM(I71:I72)</f>
        <v>25</v>
      </c>
      <c r="J73" s="691" t="s">
        <v>13</v>
      </c>
    </row>
    <row r="74" spans="1:10" ht="205.5" customHeight="1">
      <c r="A74" s="659">
        <v>14</v>
      </c>
      <c r="B74" s="664" t="s">
        <v>3817</v>
      </c>
      <c r="C74" s="673"/>
      <c r="D74" s="673"/>
      <c r="E74" s="673"/>
      <c r="F74" s="674"/>
      <c r="G74" s="674"/>
      <c r="H74" s="674"/>
      <c r="I74" s="674"/>
      <c r="J74" s="687"/>
    </row>
    <row r="75" spans="1:10">
      <c r="A75" s="659"/>
      <c r="B75" s="664" t="s">
        <v>3818</v>
      </c>
      <c r="C75" s="661">
        <v>1</v>
      </c>
      <c r="D75" s="661" t="s">
        <v>3364</v>
      </c>
      <c r="E75" s="661">
        <v>2</v>
      </c>
      <c r="F75" s="662"/>
      <c r="G75" s="662"/>
      <c r="H75" s="662"/>
      <c r="I75" s="683">
        <f>PRODUCT(C75:H75)</f>
        <v>2</v>
      </c>
      <c r="J75" s="687"/>
    </row>
    <row r="76" spans="1:10">
      <c r="A76" s="659"/>
      <c r="B76" s="660"/>
      <c r="C76" s="673"/>
      <c r="D76" s="673"/>
      <c r="E76" s="673"/>
      <c r="F76" s="674"/>
      <c r="G76" s="672"/>
      <c r="H76" s="672" t="s">
        <v>3799</v>
      </c>
      <c r="I76" s="690">
        <f>SUM(I75:I75)</f>
        <v>2</v>
      </c>
      <c r="J76" s="691" t="s">
        <v>41</v>
      </c>
    </row>
    <row r="77" spans="1:10">
      <c r="A77" s="659"/>
      <c r="B77" s="660"/>
      <c r="C77" s="673"/>
      <c r="D77" s="673"/>
      <c r="E77" s="673"/>
      <c r="F77" s="674"/>
      <c r="G77" s="674"/>
      <c r="H77" s="674"/>
      <c r="I77" s="675"/>
      <c r="J77" s="687"/>
    </row>
    <row r="78" spans="1:10" ht="63">
      <c r="A78" s="659">
        <v>15</v>
      </c>
      <c r="B78" s="664" t="s">
        <v>3819</v>
      </c>
      <c r="C78" s="692"/>
      <c r="D78" s="692"/>
      <c r="E78" s="692"/>
      <c r="F78" s="693"/>
      <c r="G78" s="693"/>
      <c r="H78" s="694"/>
      <c r="I78" s="674"/>
      <c r="J78" s="687"/>
    </row>
    <row r="79" spans="1:10">
      <c r="A79" s="659"/>
      <c r="B79" s="679" t="s">
        <v>3820</v>
      </c>
      <c r="C79" s="676">
        <v>1</v>
      </c>
      <c r="D79" s="676"/>
      <c r="E79" s="676">
        <v>1</v>
      </c>
      <c r="F79" s="677"/>
      <c r="G79" s="677"/>
      <c r="H79" s="678"/>
      <c r="I79" s="683">
        <f>PRODUCT(C79:H79)</f>
        <v>1</v>
      </c>
      <c r="J79" s="700" t="s">
        <v>729</v>
      </c>
    </row>
    <row r="80" spans="1:10">
      <c r="A80" s="659"/>
      <c r="B80" s="660"/>
      <c r="C80" s="673"/>
      <c r="D80" s="673"/>
      <c r="E80" s="673"/>
      <c r="F80" s="674"/>
      <c r="G80" s="674"/>
      <c r="H80" s="674"/>
      <c r="I80" s="674"/>
      <c r="J80" s="687"/>
    </row>
    <row r="81" spans="1:10" s="479" customFormat="1">
      <c r="A81" s="695">
        <v>16</v>
      </c>
      <c r="B81" s="696" t="s">
        <v>3821</v>
      </c>
      <c r="C81" s="697"/>
      <c r="D81" s="697"/>
      <c r="E81" s="697"/>
      <c r="F81" s="698"/>
      <c r="G81" s="697"/>
      <c r="H81" s="697"/>
      <c r="I81" s="698"/>
      <c r="J81" s="697"/>
    </row>
    <row r="82" spans="1:10" s="479" customFormat="1">
      <c r="A82" s="695"/>
      <c r="B82" s="699" t="s">
        <v>3822</v>
      </c>
      <c r="C82" s="697">
        <v>1</v>
      </c>
      <c r="D82" s="697" t="s">
        <v>3364</v>
      </c>
      <c r="E82" s="697">
        <v>1</v>
      </c>
      <c r="F82" s="698">
        <v>15</v>
      </c>
      <c r="G82" s="697"/>
      <c r="H82" s="697"/>
      <c r="I82" s="698">
        <v>15</v>
      </c>
      <c r="J82" s="697"/>
    </row>
    <row r="83" spans="1:10" s="479" customFormat="1">
      <c r="A83" s="695"/>
      <c r="B83" s="699" t="s">
        <v>3823</v>
      </c>
      <c r="C83" s="697">
        <v>1</v>
      </c>
      <c r="D83" s="697" t="s">
        <v>3364</v>
      </c>
      <c r="E83" s="697">
        <v>1</v>
      </c>
      <c r="F83" s="698">
        <v>10</v>
      </c>
      <c r="G83" s="697"/>
      <c r="H83" s="697"/>
      <c r="I83" s="698">
        <v>10</v>
      </c>
      <c r="J83" s="697"/>
    </row>
    <row r="84" spans="1:10" s="479" customFormat="1">
      <c r="A84" s="695"/>
      <c r="B84" s="699"/>
      <c r="C84" s="697"/>
      <c r="D84" s="697"/>
      <c r="E84" s="697"/>
      <c r="F84" s="698"/>
      <c r="G84" s="697"/>
      <c r="H84" s="697"/>
      <c r="I84" s="698">
        <f>SUM(I82:I83)</f>
        <v>25</v>
      </c>
      <c r="J84" s="697" t="s">
        <v>13</v>
      </c>
    </row>
    <row r="85" spans="1:10" s="479" customFormat="1">
      <c r="A85" s="695"/>
      <c r="B85" s="696" t="s">
        <v>3824</v>
      </c>
      <c r="C85" s="697"/>
      <c r="D85" s="697"/>
      <c r="E85" s="697"/>
      <c r="F85" s="698"/>
      <c r="G85" s="697"/>
      <c r="H85" s="697"/>
      <c r="I85" s="698"/>
      <c r="J85" s="697"/>
    </row>
    <row r="86" spans="1:10" s="479" customFormat="1">
      <c r="A86" s="695"/>
      <c r="B86" s="699" t="s">
        <v>3823</v>
      </c>
      <c r="C86" s="697">
        <v>1</v>
      </c>
      <c r="D86" s="697" t="s">
        <v>3364</v>
      </c>
      <c r="E86" s="697">
        <v>1</v>
      </c>
      <c r="F86" s="698">
        <v>30</v>
      </c>
      <c r="G86" s="697"/>
      <c r="H86" s="697"/>
      <c r="I86" s="698">
        <v>30</v>
      </c>
      <c r="J86" s="697"/>
    </row>
    <row r="87" spans="1:10" s="479" customFormat="1">
      <c r="A87" s="695"/>
      <c r="B87" s="699"/>
      <c r="C87" s="697"/>
      <c r="D87" s="697"/>
      <c r="E87" s="697"/>
      <c r="F87" s="698"/>
      <c r="G87" s="697"/>
      <c r="H87" s="697"/>
      <c r="I87" s="698">
        <f>SUM(I86:I86)</f>
        <v>30</v>
      </c>
      <c r="J87" s="697" t="s">
        <v>13</v>
      </c>
    </row>
    <row r="88" spans="1:10" s="479" customFormat="1" ht="89.25" customHeight="1">
      <c r="A88" s="695">
        <v>17</v>
      </c>
      <c r="B88" s="699" t="s">
        <v>3825</v>
      </c>
      <c r="C88" s="697"/>
      <c r="D88" s="697"/>
      <c r="E88" s="697"/>
      <c r="F88" s="697"/>
      <c r="G88" s="697"/>
      <c r="H88" s="697"/>
      <c r="I88" s="697"/>
      <c r="J88" s="697"/>
    </row>
    <row r="89" spans="1:10" s="479" customFormat="1">
      <c r="A89" s="695"/>
      <c r="B89" s="699" t="s">
        <v>3826</v>
      </c>
      <c r="C89" s="697">
        <v>1</v>
      </c>
      <c r="D89" s="697" t="s">
        <v>3827</v>
      </c>
      <c r="E89" s="697">
        <v>1</v>
      </c>
      <c r="F89" s="697">
        <v>1</v>
      </c>
      <c r="G89" s="697"/>
      <c r="H89" s="697"/>
      <c r="I89" s="701">
        <v>1</v>
      </c>
      <c r="J89" s="697" t="s">
        <v>729</v>
      </c>
    </row>
  </sheetData>
  <mergeCells count="4">
    <mergeCell ref="A1:J1"/>
    <mergeCell ref="A2:J2"/>
    <mergeCell ref="C3:E3"/>
    <mergeCell ref="I3:J3"/>
  </mergeCells>
  <pageMargins left="0.3576388888888889" right="0.3576388888888889" top="0.21249999999999999" bottom="0.21249999999999999" header="0.5" footer="0.5"/>
  <pageSetup paperSize="9" orientation="portrait" r:id="rId1"/>
</worksheet>
</file>

<file path=xl/worksheets/sheet14.xml><?xml version="1.0" encoding="utf-8"?>
<worksheet xmlns="http://schemas.openxmlformats.org/spreadsheetml/2006/main" xmlns:r="http://schemas.openxmlformats.org/officeDocument/2006/relationships">
  <sheetPr codeName="Sheet13"/>
  <dimension ref="A1:J97"/>
  <sheetViews>
    <sheetView view="pageBreakPreview" topLeftCell="A24" zoomScale="70" zoomScaleSheetLayoutView="70" workbookViewId="0">
      <selection activeCell="B43" sqref="B43"/>
    </sheetView>
  </sheetViews>
  <sheetFormatPr defaultColWidth="9.21875" defaultRowHeight="15.75"/>
  <cols>
    <col min="1" max="1" width="6.33203125" style="592" customWidth="1"/>
    <col min="2" max="2" width="25.88671875" style="592" customWidth="1"/>
    <col min="3" max="3" width="2.6640625" style="592" bestFit="1" customWidth="1"/>
    <col min="4" max="4" width="1.88671875" style="592" bestFit="1" customWidth="1"/>
    <col min="5" max="5" width="2.6640625" style="592" bestFit="1" customWidth="1"/>
    <col min="6" max="6" width="6.33203125" style="592" customWidth="1"/>
    <col min="7" max="7" width="9.21875" style="592" customWidth="1"/>
    <col min="8" max="8" width="6.33203125" style="592" customWidth="1"/>
    <col min="9" max="9" width="8.33203125" style="593" customWidth="1"/>
    <col min="10" max="10" width="4.109375" style="593" customWidth="1"/>
    <col min="11" max="16384" width="9.21875" style="592"/>
  </cols>
  <sheetData>
    <row r="1" spans="1:10" ht="29.25" customHeight="1">
      <c r="A1" s="1797" t="s">
        <v>3361</v>
      </c>
      <c r="B1" s="1798"/>
      <c r="C1" s="1798"/>
      <c r="D1" s="1798"/>
      <c r="E1" s="1798"/>
      <c r="F1" s="1798"/>
      <c r="G1" s="1798"/>
      <c r="H1" s="1798"/>
      <c r="I1" s="1798"/>
      <c r="J1" s="1799"/>
    </row>
    <row r="2" spans="1:10" ht="27.75" customHeight="1">
      <c r="A2" s="1804" t="s">
        <v>3828</v>
      </c>
      <c r="B2" s="1805"/>
      <c r="C2" s="1805"/>
      <c r="D2" s="1805"/>
      <c r="E2" s="1805"/>
      <c r="F2" s="1805"/>
      <c r="G2" s="1805"/>
      <c r="H2" s="1805"/>
      <c r="I2" s="1805"/>
      <c r="J2" s="1806"/>
    </row>
    <row r="3" spans="1:10">
      <c r="A3" s="594" t="s">
        <v>3829</v>
      </c>
      <c r="B3" s="595" t="s">
        <v>3786</v>
      </c>
      <c r="C3" s="1802" t="s">
        <v>1034</v>
      </c>
      <c r="D3" s="1802"/>
      <c r="E3" s="1802"/>
      <c r="F3" s="595" t="s">
        <v>3362</v>
      </c>
      <c r="G3" s="595" t="s">
        <v>634</v>
      </c>
      <c r="H3" s="595" t="s">
        <v>3363</v>
      </c>
      <c r="I3" s="1803" t="s">
        <v>3787</v>
      </c>
      <c r="J3" s="1803"/>
    </row>
    <row r="4" spans="1:10" ht="38.25">
      <c r="A4" s="596">
        <v>1.5</v>
      </c>
      <c r="B4" s="597" t="s">
        <v>3830</v>
      </c>
      <c r="C4" s="598"/>
      <c r="D4" s="598"/>
      <c r="E4" s="598"/>
      <c r="F4" s="599"/>
      <c r="G4" s="599"/>
      <c r="H4" s="600"/>
      <c r="I4" s="621"/>
      <c r="J4" s="621"/>
    </row>
    <row r="5" spans="1:10">
      <c r="A5" s="596" t="s">
        <v>2102</v>
      </c>
      <c r="B5" s="601" t="s">
        <v>3831</v>
      </c>
      <c r="C5" s="598">
        <v>1</v>
      </c>
      <c r="D5" s="598" t="s">
        <v>3364</v>
      </c>
      <c r="E5" s="598">
        <v>1</v>
      </c>
      <c r="F5" s="1800" t="s">
        <v>3832</v>
      </c>
      <c r="G5" s="1800"/>
      <c r="H5" s="602">
        <v>2</v>
      </c>
      <c r="I5" s="622">
        <f>(((22/7)*(3.8*3.8))/4)*2</f>
        <v>22.690999999999999</v>
      </c>
      <c r="J5" s="623" t="s">
        <v>3833</v>
      </c>
    </row>
    <row r="6" spans="1:10">
      <c r="A6" s="603"/>
      <c r="B6" s="600"/>
      <c r="C6" s="598"/>
      <c r="D6" s="598"/>
      <c r="E6" s="598"/>
      <c r="F6" s="599"/>
      <c r="G6" s="599"/>
      <c r="H6" s="604" t="s">
        <v>2981</v>
      </c>
      <c r="I6" s="624">
        <v>22.7</v>
      </c>
      <c r="J6" s="625" t="s">
        <v>3834</v>
      </c>
    </row>
    <row r="7" spans="1:10">
      <c r="A7" s="603" t="s">
        <v>2081</v>
      </c>
      <c r="B7" s="601" t="s">
        <v>3835</v>
      </c>
      <c r="C7" s="598">
        <v>1</v>
      </c>
      <c r="D7" s="598" t="s">
        <v>3364</v>
      </c>
      <c r="E7" s="598">
        <v>1</v>
      </c>
      <c r="F7" s="1800" t="s">
        <v>3832</v>
      </c>
      <c r="G7" s="1800"/>
      <c r="H7" s="602">
        <v>0.9</v>
      </c>
      <c r="I7" s="622">
        <f>(((22/7)*(3.8*3.8))/4)*0.9</f>
        <v>10.211</v>
      </c>
      <c r="J7" s="623" t="s">
        <v>3833</v>
      </c>
    </row>
    <row r="8" spans="1:10">
      <c r="A8" s="603"/>
      <c r="B8" s="600"/>
      <c r="C8" s="598"/>
      <c r="D8" s="598"/>
      <c r="E8" s="598"/>
      <c r="F8" s="599"/>
      <c r="G8" s="599"/>
      <c r="H8" s="604" t="s">
        <v>2981</v>
      </c>
      <c r="I8" s="626">
        <v>10.3</v>
      </c>
      <c r="J8" s="625" t="s">
        <v>3834</v>
      </c>
    </row>
    <row r="9" spans="1:10" ht="25.5">
      <c r="A9" s="596">
        <v>2.1</v>
      </c>
      <c r="B9" s="601" t="s">
        <v>3836</v>
      </c>
      <c r="C9" s="598">
        <v>1</v>
      </c>
      <c r="D9" s="598" t="s">
        <v>3364</v>
      </c>
      <c r="E9" s="598">
        <v>1</v>
      </c>
      <c r="F9" s="1800" t="s">
        <v>3832</v>
      </c>
      <c r="G9" s="1800"/>
      <c r="H9" s="602">
        <v>0.15</v>
      </c>
      <c r="I9" s="622">
        <f>(((22/7)*(3.8*3.8))/4)*0.15</f>
        <v>1.702</v>
      </c>
      <c r="J9" s="623" t="s">
        <v>3833</v>
      </c>
    </row>
    <row r="10" spans="1:10">
      <c r="A10" s="603"/>
      <c r="B10" s="600"/>
      <c r="C10" s="598"/>
      <c r="D10" s="598"/>
      <c r="E10" s="598"/>
      <c r="F10" s="599"/>
      <c r="G10" s="599"/>
      <c r="H10" s="604" t="s">
        <v>2981</v>
      </c>
      <c r="I10" s="626">
        <v>1.8</v>
      </c>
      <c r="J10" s="625" t="s">
        <v>3834</v>
      </c>
    </row>
    <row r="11" spans="1:10" ht="25.5">
      <c r="A11" s="596">
        <v>3.1</v>
      </c>
      <c r="B11" s="601" t="s">
        <v>3837</v>
      </c>
      <c r="C11" s="598">
        <v>1</v>
      </c>
      <c r="D11" s="598" t="s">
        <v>3364</v>
      </c>
      <c r="E11" s="598">
        <v>1</v>
      </c>
      <c r="F11" s="1800" t="s">
        <v>3832</v>
      </c>
      <c r="G11" s="1800"/>
      <c r="H11" s="602">
        <v>0.15</v>
      </c>
      <c r="I11" s="622">
        <f>(((22/7)*(3.8*3.8))/4)*0.15</f>
        <v>1.702</v>
      </c>
      <c r="J11" s="623" t="s">
        <v>3833</v>
      </c>
    </row>
    <row r="12" spans="1:10">
      <c r="A12" s="603"/>
      <c r="B12" s="601"/>
      <c r="C12" s="605"/>
      <c r="D12" s="605"/>
      <c r="E12" s="605"/>
      <c r="F12" s="600"/>
      <c r="G12" s="600"/>
      <c r="H12" s="604" t="s">
        <v>2981</v>
      </c>
      <c r="I12" s="626">
        <v>1.8</v>
      </c>
      <c r="J12" s="625" t="s">
        <v>3834</v>
      </c>
    </row>
    <row r="13" spans="1:10" ht="25.5">
      <c r="A13" s="596">
        <v>4.2</v>
      </c>
      <c r="B13" s="601" t="s">
        <v>3838</v>
      </c>
      <c r="C13" s="598"/>
      <c r="D13" s="598"/>
      <c r="E13" s="598"/>
      <c r="F13" s="599"/>
      <c r="G13" s="599"/>
      <c r="H13" s="602"/>
      <c r="I13" s="624"/>
      <c r="J13" s="623"/>
    </row>
    <row r="14" spans="1:10" ht="21" customHeight="1">
      <c r="A14" s="603"/>
      <c r="B14" s="600" t="s">
        <v>3839</v>
      </c>
      <c r="C14" s="598">
        <v>1</v>
      </c>
      <c r="D14" s="598" t="s">
        <v>3364</v>
      </c>
      <c r="E14" s="598">
        <v>1</v>
      </c>
      <c r="F14" s="1800" t="s">
        <v>3840</v>
      </c>
      <c r="G14" s="1800"/>
      <c r="H14" s="602">
        <v>0.3</v>
      </c>
      <c r="I14" s="622">
        <f>(((22/7)*(3*3))/4)*0.3</f>
        <v>2.121</v>
      </c>
      <c r="J14" s="623" t="s">
        <v>3833</v>
      </c>
    </row>
    <row r="15" spans="1:10" ht="21" customHeight="1">
      <c r="A15" s="603"/>
      <c r="B15" s="600" t="s">
        <v>3841</v>
      </c>
      <c r="C15" s="598">
        <v>1</v>
      </c>
      <c r="D15" s="598" t="s">
        <v>3364</v>
      </c>
      <c r="E15" s="598">
        <v>1</v>
      </c>
      <c r="F15" s="599" t="s">
        <v>3842</v>
      </c>
      <c r="G15" s="599">
        <v>0.2</v>
      </c>
      <c r="H15" s="602">
        <v>2.6</v>
      </c>
      <c r="I15" s="622">
        <f>((22/7)*3.4)*0.2*2.6</f>
        <v>5.5570000000000004</v>
      </c>
      <c r="J15" s="623" t="s">
        <v>3833</v>
      </c>
    </row>
    <row r="16" spans="1:10" ht="21" customHeight="1">
      <c r="A16" s="603"/>
      <c r="B16" s="601" t="s">
        <v>3843</v>
      </c>
      <c r="C16" s="598">
        <v>1</v>
      </c>
      <c r="D16" s="598" t="s">
        <v>3364</v>
      </c>
      <c r="E16" s="598">
        <v>1</v>
      </c>
      <c r="F16" s="1800" t="s">
        <v>3840</v>
      </c>
      <c r="G16" s="1800"/>
      <c r="H16" s="602">
        <v>0.15</v>
      </c>
      <c r="I16" s="622">
        <f>(((22/7)*(3*3))/4)*0.15</f>
        <v>1.0609999999999999</v>
      </c>
      <c r="J16" s="623" t="s">
        <v>3833</v>
      </c>
    </row>
    <row r="17" spans="1:10" ht="21" customHeight="1">
      <c r="A17" s="603"/>
      <c r="B17" s="601" t="s">
        <v>3844</v>
      </c>
      <c r="C17" s="1801" t="s">
        <v>3845</v>
      </c>
      <c r="D17" s="1801"/>
      <c r="E17" s="1801"/>
      <c r="F17" s="599" t="str">
        <f>F15</f>
        <v>п x 3.4</v>
      </c>
      <c r="G17" s="599">
        <v>0.15</v>
      </c>
      <c r="H17" s="602">
        <v>0.15</v>
      </c>
      <c r="I17" s="622">
        <f>((22/7)*3.4)*0.15*0.15</f>
        <v>0.24</v>
      </c>
      <c r="J17" s="623" t="s">
        <v>3833</v>
      </c>
    </row>
    <row r="18" spans="1:10" ht="21" customHeight="1">
      <c r="A18" s="596"/>
      <c r="B18" s="601" t="s">
        <v>3846</v>
      </c>
      <c r="C18" s="598">
        <v>1</v>
      </c>
      <c r="D18" s="598" t="s">
        <v>3364</v>
      </c>
      <c r="E18" s="598">
        <v>2</v>
      </c>
      <c r="F18" s="1800" t="s">
        <v>3847</v>
      </c>
      <c r="G18" s="1800"/>
      <c r="H18" s="602">
        <v>0.15</v>
      </c>
      <c r="I18" s="622">
        <f>(((22/7)*(0.6*0.6))/4)*0.15</f>
        <v>4.2000000000000003E-2</v>
      </c>
      <c r="J18" s="623" t="s">
        <v>3833</v>
      </c>
    </row>
    <row r="19" spans="1:10" ht="21" customHeight="1">
      <c r="A19" s="596"/>
      <c r="B19" s="601" t="s">
        <v>104</v>
      </c>
      <c r="C19" s="598"/>
      <c r="D19" s="598"/>
      <c r="E19" s="598"/>
      <c r="F19" s="599"/>
      <c r="G19" s="599"/>
      <c r="H19" s="602"/>
      <c r="I19" s="622">
        <f>SUM(I14:I18)</f>
        <v>9.0210000000000008</v>
      </c>
      <c r="J19" s="623" t="s">
        <v>3833</v>
      </c>
    </row>
    <row r="20" spans="1:10">
      <c r="A20" s="596"/>
      <c r="B20" s="601"/>
      <c r="C20" s="598"/>
      <c r="D20" s="598"/>
      <c r="E20" s="598"/>
      <c r="F20" s="599"/>
      <c r="G20" s="599"/>
      <c r="H20" s="604" t="s">
        <v>2981</v>
      </c>
      <c r="I20" s="626">
        <v>9</v>
      </c>
      <c r="J20" s="625" t="s">
        <v>3834</v>
      </c>
    </row>
    <row r="21" spans="1:10">
      <c r="A21" s="596">
        <v>18.100000000000001</v>
      </c>
      <c r="B21" s="601" t="s">
        <v>3848</v>
      </c>
      <c r="C21" s="598"/>
      <c r="D21" s="598"/>
      <c r="E21" s="598"/>
      <c r="F21" s="599"/>
      <c r="G21" s="599"/>
      <c r="H21" s="602"/>
      <c r="I21" s="624"/>
      <c r="J21" s="623"/>
    </row>
    <row r="22" spans="1:10">
      <c r="A22" s="596" t="s">
        <v>3849</v>
      </c>
      <c r="B22" s="601" t="s">
        <v>3850</v>
      </c>
      <c r="C22" s="598"/>
      <c r="D22" s="598"/>
      <c r="E22" s="598"/>
      <c r="F22" s="599"/>
      <c r="G22" s="599"/>
      <c r="H22" s="602"/>
      <c r="I22" s="624"/>
      <c r="J22" s="623"/>
    </row>
    <row r="23" spans="1:10" ht="21" customHeight="1">
      <c r="A23" s="603"/>
      <c r="B23" s="600" t="s">
        <v>3851</v>
      </c>
      <c r="C23" s="598">
        <v>1</v>
      </c>
      <c r="D23" s="598" t="s">
        <v>3364</v>
      </c>
      <c r="E23" s="598">
        <v>1</v>
      </c>
      <c r="F23" s="599" t="s">
        <v>3852</v>
      </c>
      <c r="G23" s="599" t="s">
        <v>52</v>
      </c>
      <c r="H23" s="602">
        <v>0.3</v>
      </c>
      <c r="I23" s="622">
        <f>((22/7)*3)*0.3</f>
        <v>2.8290000000000002</v>
      </c>
      <c r="J23" s="623" t="s">
        <v>3853</v>
      </c>
    </row>
    <row r="24" spans="1:10" ht="21" customHeight="1">
      <c r="A24" s="603"/>
      <c r="B24" s="600" t="s">
        <v>3854</v>
      </c>
      <c r="C24" s="598">
        <v>1</v>
      </c>
      <c r="D24" s="598" t="s">
        <v>3364</v>
      </c>
      <c r="E24" s="598">
        <v>1</v>
      </c>
      <c r="F24" s="599" t="s">
        <v>3852</v>
      </c>
      <c r="G24" s="599" t="s">
        <v>52</v>
      </c>
      <c r="H24" s="602">
        <v>0.15</v>
      </c>
      <c r="I24" s="622">
        <f>((22/7)*3)*0.15</f>
        <v>1.4139999999999999</v>
      </c>
      <c r="J24" s="623" t="s">
        <v>3853</v>
      </c>
    </row>
    <row r="25" spans="1:10" ht="21" customHeight="1">
      <c r="A25" s="603"/>
      <c r="B25" s="600" t="s">
        <v>3855</v>
      </c>
      <c r="C25" s="598">
        <v>2</v>
      </c>
      <c r="D25" s="598" t="s">
        <v>3364</v>
      </c>
      <c r="E25" s="598">
        <v>1</v>
      </c>
      <c r="F25" s="599" t="s">
        <v>3856</v>
      </c>
      <c r="G25" s="599" t="s">
        <v>52</v>
      </c>
      <c r="H25" s="602">
        <v>0.15</v>
      </c>
      <c r="I25" s="622">
        <f>((22/7)*0.6)*0.15</f>
        <v>0.28299999999999997</v>
      </c>
      <c r="J25" s="623" t="s">
        <v>3853</v>
      </c>
    </row>
    <row r="26" spans="1:10" ht="21" customHeight="1">
      <c r="A26" s="603"/>
      <c r="B26" s="600" t="s">
        <v>3857</v>
      </c>
      <c r="C26" s="598">
        <v>1</v>
      </c>
      <c r="D26" s="598" t="s">
        <v>3364</v>
      </c>
      <c r="E26" s="598">
        <v>1</v>
      </c>
      <c r="F26" s="599" t="s">
        <v>3842</v>
      </c>
      <c r="G26" s="599" t="s">
        <v>52</v>
      </c>
      <c r="H26" s="602">
        <v>2.6</v>
      </c>
      <c r="I26" s="622">
        <f>((22/7)*3.4)*2.6</f>
        <v>27.783000000000001</v>
      </c>
      <c r="J26" s="623" t="s">
        <v>3853</v>
      </c>
    </row>
    <row r="27" spans="1:10" ht="21" customHeight="1">
      <c r="A27" s="603"/>
      <c r="B27" s="600" t="s">
        <v>3858</v>
      </c>
      <c r="C27" s="598">
        <v>1</v>
      </c>
      <c r="D27" s="598" t="s">
        <v>3364</v>
      </c>
      <c r="E27" s="598">
        <v>1</v>
      </c>
      <c r="F27" s="599" t="s">
        <v>3852</v>
      </c>
      <c r="G27" s="599" t="s">
        <v>52</v>
      </c>
      <c r="H27" s="602">
        <v>2.6</v>
      </c>
      <c r="I27" s="622">
        <f>((22/7)*3)*2.6</f>
        <v>24.513999999999999</v>
      </c>
      <c r="J27" s="623" t="s">
        <v>3853</v>
      </c>
    </row>
    <row r="28" spans="1:10" ht="21" customHeight="1">
      <c r="A28" s="603"/>
      <c r="B28" s="600" t="s">
        <v>3859</v>
      </c>
      <c r="C28" s="598">
        <v>1</v>
      </c>
      <c r="D28" s="598" t="s">
        <v>3364</v>
      </c>
      <c r="E28" s="598">
        <v>1</v>
      </c>
      <c r="F28" s="1800" t="s">
        <v>3840</v>
      </c>
      <c r="G28" s="1800"/>
      <c r="H28" s="599" t="s">
        <v>52</v>
      </c>
      <c r="I28" s="622">
        <f>(((22/7)*(3*3))/4)</f>
        <v>7.0709999999999997</v>
      </c>
      <c r="J28" s="623" t="s">
        <v>3853</v>
      </c>
    </row>
    <row r="29" spans="1:10" ht="21" customHeight="1">
      <c r="A29" s="603"/>
      <c r="B29" s="600" t="s">
        <v>3860</v>
      </c>
      <c r="C29" s="598">
        <v>2</v>
      </c>
      <c r="D29" s="598" t="s">
        <v>3364</v>
      </c>
      <c r="E29" s="598">
        <v>1</v>
      </c>
      <c r="F29" s="1800" t="s">
        <v>3847</v>
      </c>
      <c r="G29" s="1800"/>
      <c r="H29" s="599" t="s">
        <v>52</v>
      </c>
      <c r="I29" s="622">
        <f>-(((22/7)*(0.6*0.6))/4)*2</f>
        <v>-0.56599999999999995</v>
      </c>
      <c r="J29" s="623" t="s">
        <v>3853</v>
      </c>
    </row>
    <row r="30" spans="1:10" ht="21" customHeight="1">
      <c r="A30" s="596"/>
      <c r="B30" s="601" t="s">
        <v>104</v>
      </c>
      <c r="C30" s="598"/>
      <c r="D30" s="598"/>
      <c r="E30" s="598"/>
      <c r="F30" s="599"/>
      <c r="G30" s="599"/>
      <c r="H30" s="602"/>
      <c r="I30" s="622">
        <f>SUM(I23:I29)</f>
        <v>63.328000000000003</v>
      </c>
      <c r="J30" s="623" t="s">
        <v>3853</v>
      </c>
    </row>
    <row r="31" spans="1:10">
      <c r="A31" s="596"/>
      <c r="B31" s="601"/>
      <c r="C31" s="598"/>
      <c r="D31" s="598"/>
      <c r="E31" s="598"/>
      <c r="F31" s="599"/>
      <c r="G31" s="599"/>
      <c r="H31" s="604" t="s">
        <v>2981</v>
      </c>
      <c r="I31" s="624">
        <v>63.4</v>
      </c>
      <c r="J31" s="625" t="s">
        <v>3861</v>
      </c>
    </row>
    <row r="32" spans="1:10" ht="25.5">
      <c r="A32" s="603"/>
      <c r="B32" s="613" t="s">
        <v>3862</v>
      </c>
      <c r="C32" s="598"/>
      <c r="D32" s="598"/>
      <c r="E32" s="598"/>
      <c r="F32" s="599"/>
      <c r="G32" s="599"/>
      <c r="H32" s="600"/>
      <c r="I32" s="624"/>
      <c r="J32" s="625"/>
    </row>
    <row r="33" spans="1:10" ht="19.5" customHeight="1">
      <c r="A33" s="603"/>
      <c r="B33" s="600" t="s">
        <v>3858</v>
      </c>
      <c r="C33" s="598">
        <v>1</v>
      </c>
      <c r="D33" s="598" t="s">
        <v>3364</v>
      </c>
      <c r="E33" s="598">
        <v>1</v>
      </c>
      <c r="F33" s="599" t="s">
        <v>3842</v>
      </c>
      <c r="G33" s="599" t="s">
        <v>52</v>
      </c>
      <c r="H33" s="602">
        <v>2.6</v>
      </c>
      <c r="I33" s="622">
        <f>((22/7)*3.4)*2.6</f>
        <v>27.783000000000001</v>
      </c>
      <c r="J33" s="623" t="s">
        <v>3853</v>
      </c>
    </row>
    <row r="34" spans="1:10" ht="19.5" customHeight="1">
      <c r="A34" s="603"/>
      <c r="B34" s="606" t="s">
        <v>3863</v>
      </c>
      <c r="C34" s="607">
        <v>1</v>
      </c>
      <c r="D34" s="607" t="s">
        <v>3364</v>
      </c>
      <c r="E34" s="607">
        <v>1</v>
      </c>
      <c r="F34" s="608" t="s">
        <v>3864</v>
      </c>
      <c r="G34" s="608" t="s">
        <v>52</v>
      </c>
      <c r="H34" s="609">
        <v>2.75</v>
      </c>
      <c r="I34" s="627">
        <f>((22/7)*3.8)*2.75</f>
        <v>32.843000000000004</v>
      </c>
      <c r="J34" s="628" t="s">
        <v>3833</v>
      </c>
    </row>
    <row r="35" spans="1:10" ht="19.5" customHeight="1">
      <c r="A35" s="596"/>
      <c r="B35" s="600" t="s">
        <v>3865</v>
      </c>
      <c r="C35" s="598">
        <v>1</v>
      </c>
      <c r="D35" s="598" t="s">
        <v>3364</v>
      </c>
      <c r="E35" s="598">
        <v>1</v>
      </c>
      <c r="F35" s="1800" t="s">
        <v>3840</v>
      </c>
      <c r="G35" s="1800"/>
      <c r="H35" s="599" t="s">
        <v>52</v>
      </c>
      <c r="I35" s="622">
        <f>(((22/7)*(3*3))/4)</f>
        <v>7.0709999999999997</v>
      </c>
      <c r="J35" s="623" t="s">
        <v>3853</v>
      </c>
    </row>
    <row r="36" spans="1:10" ht="19.5" customHeight="1">
      <c r="A36" s="603"/>
      <c r="B36" s="600" t="s">
        <v>104</v>
      </c>
      <c r="C36" s="598"/>
      <c r="D36" s="598"/>
      <c r="E36" s="598"/>
      <c r="F36" s="599"/>
      <c r="G36" s="599"/>
      <c r="H36" s="610"/>
      <c r="I36" s="622">
        <f>SUM(I33:I35)</f>
        <v>67.697000000000003</v>
      </c>
      <c r="J36" s="623" t="s">
        <v>3853</v>
      </c>
    </row>
    <row r="37" spans="1:10">
      <c r="A37" s="596"/>
      <c r="B37" s="601"/>
      <c r="C37" s="598"/>
      <c r="D37" s="598"/>
      <c r="E37" s="598"/>
      <c r="F37" s="599"/>
      <c r="G37" s="599"/>
      <c r="H37" s="604" t="s">
        <v>2981</v>
      </c>
      <c r="I37" s="626">
        <v>67.7</v>
      </c>
      <c r="J37" s="625" t="s">
        <v>3861</v>
      </c>
    </row>
    <row r="38" spans="1:10" ht="38.25">
      <c r="A38" s="596">
        <v>53.4</v>
      </c>
      <c r="B38" s="601" t="s">
        <v>3866</v>
      </c>
      <c r="C38" s="598">
        <v>2</v>
      </c>
      <c r="D38" s="598" t="s">
        <v>3364</v>
      </c>
      <c r="E38" s="598">
        <v>1</v>
      </c>
      <c r="F38" s="599"/>
      <c r="G38" s="599"/>
      <c r="H38" s="602"/>
      <c r="I38" s="624">
        <v>2</v>
      </c>
      <c r="J38" s="623" t="s">
        <v>1034</v>
      </c>
    </row>
    <row r="39" spans="1:10">
      <c r="A39" s="611"/>
      <c r="B39" s="606"/>
      <c r="C39" s="607"/>
      <c r="D39" s="607"/>
      <c r="E39" s="607"/>
      <c r="F39" s="608"/>
      <c r="G39" s="608"/>
      <c r="H39" s="609"/>
      <c r="I39" s="627"/>
      <c r="J39" s="628"/>
    </row>
    <row r="40" spans="1:10">
      <c r="A40" s="612">
        <v>9</v>
      </c>
      <c r="B40" s="613" t="s">
        <v>3867</v>
      </c>
      <c r="C40" s="1807" t="s">
        <v>3868</v>
      </c>
      <c r="D40" s="1807"/>
      <c r="E40" s="1807"/>
      <c r="F40" s="608"/>
      <c r="G40" s="608"/>
      <c r="H40" s="609"/>
      <c r="I40" s="629">
        <f>1*2*5</f>
        <v>10</v>
      </c>
      <c r="J40" s="628" t="s">
        <v>1034</v>
      </c>
    </row>
    <row r="41" spans="1:10">
      <c r="A41" s="611"/>
      <c r="B41" s="606"/>
      <c r="C41" s="607"/>
      <c r="D41" s="607"/>
      <c r="E41" s="607"/>
      <c r="F41" s="608"/>
      <c r="G41" s="608"/>
      <c r="H41" s="609"/>
      <c r="I41" s="630"/>
      <c r="J41" s="620"/>
    </row>
    <row r="42" spans="1:10" ht="38.25">
      <c r="A42" s="614">
        <v>43.2</v>
      </c>
      <c r="B42" s="613" t="s">
        <v>3869</v>
      </c>
      <c r="C42" s="607"/>
      <c r="D42" s="607"/>
      <c r="E42" s="607"/>
      <c r="F42" s="608"/>
      <c r="G42" s="608"/>
      <c r="H42" s="609"/>
      <c r="I42" s="627">
        <f>I20</f>
        <v>9</v>
      </c>
      <c r="J42" s="628"/>
    </row>
    <row r="43" spans="1:10" ht="27">
      <c r="A43" s="611"/>
      <c r="B43" s="613" t="s">
        <v>3870</v>
      </c>
      <c r="C43" s="607"/>
      <c r="D43" s="607"/>
      <c r="E43" s="607"/>
      <c r="F43" s="608"/>
      <c r="G43" s="608"/>
      <c r="H43" s="609"/>
      <c r="I43" s="627">
        <f>I42*120</f>
        <v>1080</v>
      </c>
      <c r="J43" s="628"/>
    </row>
    <row r="44" spans="1:10">
      <c r="A44" s="611" t="s">
        <v>2102</v>
      </c>
      <c r="B44" s="606" t="s">
        <v>3871</v>
      </c>
      <c r="C44" s="607"/>
      <c r="D44" s="607"/>
      <c r="E44" s="607"/>
      <c r="F44" s="608"/>
      <c r="G44" s="608"/>
      <c r="H44" s="609"/>
      <c r="I44" s="629">
        <f>I43/1000</f>
        <v>1.08</v>
      </c>
      <c r="J44" s="628" t="s">
        <v>11</v>
      </c>
    </row>
    <row r="45" spans="1:10" s="591" customFormat="1" ht="31.5">
      <c r="A45" s="1609">
        <v>238</v>
      </c>
      <c r="B45" s="615" t="s">
        <v>3872</v>
      </c>
      <c r="C45" s="616"/>
      <c r="D45" s="616"/>
      <c r="E45" s="616"/>
      <c r="F45" s="617"/>
      <c r="G45" s="617"/>
      <c r="H45" s="618"/>
      <c r="I45" s="631"/>
      <c r="J45" s="632"/>
    </row>
    <row r="46" spans="1:10" s="591" customFormat="1">
      <c r="A46" s="616"/>
      <c r="B46" s="616" t="s">
        <v>3873</v>
      </c>
      <c r="C46" s="619">
        <v>1</v>
      </c>
      <c r="D46" s="619" t="s">
        <v>3364</v>
      </c>
      <c r="E46" s="619">
        <v>1</v>
      </c>
      <c r="F46" s="617">
        <f>I44</f>
        <v>1.08</v>
      </c>
      <c r="G46" s="617"/>
      <c r="H46" s="618"/>
      <c r="I46" s="633">
        <f>PRODUCT(C46:H46)</f>
        <v>1.08</v>
      </c>
      <c r="J46" s="632" t="s">
        <v>11</v>
      </c>
    </row>
    <row r="47" spans="1:10">
      <c r="I47" s="634"/>
      <c r="J47" s="635"/>
    </row>
    <row r="48" spans="1:10">
      <c r="I48" s="634"/>
      <c r="J48" s="635"/>
    </row>
    <row r="49" spans="9:10">
      <c r="I49" s="634"/>
      <c r="J49" s="635"/>
    </row>
    <row r="50" spans="9:10">
      <c r="I50" s="634"/>
      <c r="J50" s="635"/>
    </row>
    <row r="51" spans="9:10">
      <c r="I51" s="634"/>
      <c r="J51" s="635"/>
    </row>
    <row r="52" spans="9:10">
      <c r="I52" s="636"/>
      <c r="J52" s="637"/>
    </row>
    <row r="53" spans="9:10">
      <c r="I53" s="638"/>
    </row>
    <row r="54" spans="9:10">
      <c r="I54" s="636"/>
      <c r="J54" s="635"/>
    </row>
    <row r="55" spans="9:10">
      <c r="I55" s="634"/>
      <c r="J55" s="635"/>
    </row>
    <row r="56" spans="9:10">
      <c r="I56" s="634"/>
      <c r="J56" s="635"/>
    </row>
    <row r="57" spans="9:10">
      <c r="I57" s="634"/>
      <c r="J57" s="635"/>
    </row>
    <row r="58" spans="9:10">
      <c r="I58" s="634"/>
      <c r="J58" s="635"/>
    </row>
    <row r="59" spans="9:10">
      <c r="I59" s="634"/>
      <c r="J59" s="635"/>
    </row>
    <row r="60" spans="9:10">
      <c r="I60" s="634"/>
      <c r="J60" s="635"/>
    </row>
    <row r="61" spans="9:10">
      <c r="I61" s="634"/>
      <c r="J61" s="635"/>
    </row>
    <row r="62" spans="9:10">
      <c r="I62" s="634"/>
      <c r="J62" s="635"/>
    </row>
    <row r="63" spans="9:10">
      <c r="I63" s="634"/>
      <c r="J63" s="635"/>
    </row>
    <row r="64" spans="9:10">
      <c r="I64" s="634"/>
      <c r="J64" s="635"/>
    </row>
    <row r="65" spans="9:10">
      <c r="I65" s="634"/>
      <c r="J65" s="635"/>
    </row>
    <row r="66" spans="9:10">
      <c r="I66" s="634"/>
      <c r="J66" s="635"/>
    </row>
    <row r="67" spans="9:10">
      <c r="I67" s="634"/>
      <c r="J67" s="635"/>
    </row>
    <row r="68" spans="9:10">
      <c r="I68" s="636"/>
      <c r="J68" s="637"/>
    </row>
    <row r="69" spans="9:10">
      <c r="I69" s="639"/>
    </row>
    <row r="70" spans="9:10">
      <c r="I70" s="636"/>
      <c r="J70" s="635"/>
    </row>
    <row r="71" spans="9:10">
      <c r="I71" s="634"/>
      <c r="J71" s="635"/>
    </row>
    <row r="72" spans="9:10">
      <c r="I72" s="634"/>
      <c r="J72" s="635"/>
    </row>
    <row r="73" spans="9:10">
      <c r="I73" s="634"/>
      <c r="J73" s="635"/>
    </row>
    <row r="74" spans="9:10">
      <c r="I74" s="636"/>
      <c r="J74" s="637"/>
    </row>
    <row r="75" spans="9:10">
      <c r="I75" s="640"/>
    </row>
    <row r="76" spans="9:10">
      <c r="I76" s="636"/>
      <c r="J76" s="635"/>
    </row>
    <row r="77" spans="9:10">
      <c r="I77" s="640"/>
    </row>
    <row r="78" spans="9:10">
      <c r="I78" s="636"/>
      <c r="J78" s="637"/>
    </row>
    <row r="79" spans="9:10">
      <c r="I79" s="641"/>
    </row>
    <row r="80" spans="9:10">
      <c r="I80" s="636"/>
      <c r="J80" s="637"/>
    </row>
    <row r="82" spans="9:10">
      <c r="I82" s="636"/>
      <c r="J82" s="637"/>
    </row>
    <row r="83" spans="9:10">
      <c r="I83" s="639"/>
    </row>
    <row r="84" spans="9:10">
      <c r="I84" s="636"/>
      <c r="J84" s="637"/>
    </row>
    <row r="85" spans="9:10">
      <c r="I85" s="642"/>
    </row>
    <row r="86" spans="9:10">
      <c r="I86" s="636"/>
      <c r="J86" s="637"/>
    </row>
    <row r="87" spans="9:10">
      <c r="I87" s="634"/>
      <c r="J87" s="635"/>
    </row>
    <row r="88" spans="9:10">
      <c r="I88" s="636"/>
      <c r="J88" s="637"/>
    </row>
    <row r="89" spans="9:10">
      <c r="I89" s="638"/>
    </row>
    <row r="90" spans="9:10">
      <c r="I90" s="636"/>
      <c r="J90" s="637"/>
    </row>
    <row r="91" spans="9:10">
      <c r="I91" s="638"/>
    </row>
    <row r="92" spans="9:10">
      <c r="I92" s="636"/>
      <c r="J92" s="635"/>
    </row>
    <row r="93" spans="9:10">
      <c r="I93" s="634"/>
      <c r="J93" s="635"/>
    </row>
    <row r="94" spans="9:10">
      <c r="I94" s="634"/>
      <c r="J94" s="635"/>
    </row>
    <row r="95" spans="9:10">
      <c r="I95" s="634"/>
      <c r="J95" s="635"/>
    </row>
    <row r="96" spans="9:10">
      <c r="I96" s="634"/>
      <c r="J96" s="635"/>
    </row>
    <row r="97" spans="9:10">
      <c r="I97" s="636"/>
      <c r="J97" s="637"/>
    </row>
  </sheetData>
  <mergeCells count="16">
    <mergeCell ref="C40:E40"/>
    <mergeCell ref="F7:G7"/>
    <mergeCell ref="F9:G9"/>
    <mergeCell ref="F11:G11"/>
    <mergeCell ref="F14:G14"/>
    <mergeCell ref="F16:G16"/>
    <mergeCell ref="A1:J1"/>
    <mergeCell ref="F18:G18"/>
    <mergeCell ref="F28:G28"/>
    <mergeCell ref="F29:G29"/>
    <mergeCell ref="F35:G35"/>
    <mergeCell ref="C17:E17"/>
    <mergeCell ref="C3:E3"/>
    <mergeCell ref="I3:J3"/>
    <mergeCell ref="F5:G5"/>
    <mergeCell ref="A2:J2"/>
  </mergeCells>
  <pageMargins left="0.47222222222222221" right="0.39305555555555555" top="0.47222222222222221" bottom="0.47222222222222221" header="0.2986111111111111" footer="0.2986111111111111"/>
  <pageSetup paperSize="9" orientation="portrait" r:id="rId1"/>
</worksheet>
</file>

<file path=xl/worksheets/sheet15.xml><?xml version="1.0" encoding="utf-8"?>
<worksheet xmlns="http://schemas.openxmlformats.org/spreadsheetml/2006/main" xmlns:r="http://schemas.openxmlformats.org/officeDocument/2006/relationships">
  <sheetPr codeName="Sheet14"/>
  <dimension ref="A1:IS4079"/>
  <sheetViews>
    <sheetView view="pageBreakPreview" topLeftCell="H2821" zoomScale="70" zoomScaleNormal="75" zoomScaleSheetLayoutView="70" workbookViewId="0">
      <selection activeCell="P2831" sqref="P2831"/>
    </sheetView>
  </sheetViews>
  <sheetFormatPr defaultColWidth="7.44140625" defaultRowHeight="24" customHeight="1"/>
  <cols>
    <col min="1" max="1" width="7.77734375" style="115" customWidth="1"/>
    <col min="2" max="2" width="64" style="115" customWidth="1"/>
    <col min="3" max="3" width="16.21875" style="115" customWidth="1"/>
    <col min="4" max="4" width="13.77734375" style="115" customWidth="1"/>
    <col min="5" max="5" width="8.5546875" style="115" customWidth="1"/>
    <col min="6" max="6" width="11.44140625" style="115" customWidth="1"/>
    <col min="7" max="7" width="14.21875" style="116" customWidth="1"/>
    <col min="8" max="8" width="43.33203125" style="115" customWidth="1"/>
    <col min="9" max="9" width="14.33203125" style="115" customWidth="1"/>
    <col min="10" max="10" width="11.44140625" style="117" customWidth="1"/>
    <col min="11" max="11" width="12.88671875" style="115" customWidth="1"/>
    <col min="12" max="12" width="9.77734375" style="115" customWidth="1"/>
    <col min="13" max="13" width="11.21875" style="115" customWidth="1"/>
    <col min="14" max="14" width="8.5546875" style="115" bestFit="1" customWidth="1"/>
    <col min="15" max="15" width="51" style="115" customWidth="1"/>
    <col min="16" max="16" width="15.5546875" style="115" customWidth="1"/>
    <col min="17" max="17" width="10.6640625" style="115" customWidth="1"/>
    <col min="18" max="18" width="11.77734375" style="115" customWidth="1"/>
    <col min="19" max="19" width="10.88671875" style="118" customWidth="1"/>
    <col min="20" max="20" width="9.21875" style="115" customWidth="1"/>
    <col min="21" max="21" width="46.6640625" style="115" customWidth="1"/>
    <col min="22" max="22" width="12.109375" style="115" customWidth="1"/>
    <col min="23" max="23" width="12.88671875" style="119" customWidth="1"/>
    <col min="24" max="24" width="12.6640625" style="115" customWidth="1"/>
    <col min="25" max="25" width="10.109375" style="115" customWidth="1"/>
    <col min="26" max="26" width="12.6640625" style="115" customWidth="1"/>
    <col min="27" max="27" width="6.6640625" style="115" customWidth="1"/>
    <col min="28" max="28" width="15.5546875" style="115" customWidth="1"/>
    <col min="29" max="29" width="13.33203125" style="115" customWidth="1"/>
    <col min="30" max="30" width="34.77734375" style="115" customWidth="1"/>
    <col min="31" max="31" width="14.44140625" style="115" customWidth="1"/>
    <col min="32" max="32" width="11.77734375" style="115" customWidth="1"/>
    <col min="33" max="33" width="11.5546875" style="115" customWidth="1"/>
    <col min="34" max="34" width="15.77734375" style="115" customWidth="1"/>
    <col min="35" max="35" width="21.5546875" style="115" customWidth="1"/>
    <col min="36" max="36" width="12.77734375" style="115" customWidth="1"/>
    <col min="37" max="37" width="8.88671875" style="115" customWidth="1"/>
    <col min="38" max="38" width="10.21875" style="115" customWidth="1"/>
    <col min="39" max="39" width="7.44140625" style="115" customWidth="1"/>
    <col min="40" max="40" width="10.88671875" style="115" customWidth="1"/>
    <col min="41" max="41" width="7.44140625" style="115"/>
    <col min="42" max="42" width="22" style="115" customWidth="1"/>
    <col min="43" max="43" width="11.33203125" style="115" customWidth="1"/>
    <col min="44" max="44" width="8.6640625" style="115" customWidth="1"/>
    <col min="45" max="45" width="11" style="115" customWidth="1"/>
    <col min="46" max="46" width="7.5546875" style="115" bestFit="1" customWidth="1"/>
    <col min="47" max="47" width="8.88671875" style="115" bestFit="1" customWidth="1"/>
    <col min="48" max="48" width="9.33203125" style="115" customWidth="1"/>
    <col min="49" max="252" width="7.44140625" style="115"/>
    <col min="253" max="253" width="7.5546875" style="115" bestFit="1" customWidth="1"/>
    <col min="254" max="16384" width="7.44140625" style="115"/>
  </cols>
  <sheetData>
    <row r="1" spans="1:38" ht="24" customHeight="1">
      <c r="A1" s="120"/>
      <c r="B1" s="121" t="s">
        <v>3874</v>
      </c>
      <c r="E1" s="120" t="s">
        <v>85</v>
      </c>
      <c r="H1" s="122" t="s">
        <v>87</v>
      </c>
      <c r="O1" s="120" t="s">
        <v>87</v>
      </c>
      <c r="T1" s="119"/>
      <c r="U1" s="144" t="s">
        <v>86</v>
      </c>
      <c r="V1" s="144"/>
      <c r="W1" s="121" t="s">
        <v>85</v>
      </c>
      <c r="X1" s="119"/>
      <c r="Y1" s="119"/>
      <c r="Z1" s="119"/>
      <c r="AA1" s="119"/>
      <c r="AB1" s="119"/>
      <c r="AC1" s="119"/>
      <c r="AD1" s="119"/>
      <c r="AE1" s="119"/>
    </row>
    <row r="2" spans="1:38" ht="24" customHeight="1">
      <c r="B2" s="123" t="s">
        <v>89</v>
      </c>
      <c r="E2" s="120" t="s">
        <v>85</v>
      </c>
      <c r="H2" s="121" t="s">
        <v>90</v>
      </c>
      <c r="O2" s="121" t="s">
        <v>90</v>
      </c>
      <c r="U2" s="1809" t="s">
        <v>3875</v>
      </c>
      <c r="V2" s="1810"/>
      <c r="W2" s="1810"/>
      <c r="X2" s="1810"/>
    </row>
    <row r="3" spans="1:38" ht="24" customHeight="1">
      <c r="A3" s="120" t="s">
        <v>91</v>
      </c>
      <c r="B3" s="124" t="s">
        <v>3876</v>
      </c>
      <c r="C3" s="120" t="s">
        <v>3877</v>
      </c>
      <c r="E3" s="120" t="s">
        <v>85</v>
      </c>
      <c r="F3" s="125" t="s">
        <v>91</v>
      </c>
      <c r="G3" s="126" t="s">
        <v>85</v>
      </c>
      <c r="H3" s="127" t="str">
        <f>B3</f>
        <v>Chennai</v>
      </c>
      <c r="J3" s="122" t="str">
        <f>C3</f>
        <v>2022-2023</v>
      </c>
      <c r="M3" s="120" t="s">
        <v>91</v>
      </c>
      <c r="N3" s="120" t="s">
        <v>85</v>
      </c>
      <c r="O3" s="129" t="str">
        <f>B3</f>
        <v>Chennai</v>
      </c>
      <c r="Q3" s="129" t="str">
        <f>C3</f>
        <v>2022-2023</v>
      </c>
      <c r="T3" s="120" t="s">
        <v>91</v>
      </c>
      <c r="U3" s="129" t="s">
        <v>7382</v>
      </c>
      <c r="W3" s="128" t="str">
        <f>C3</f>
        <v>2022-2023</v>
      </c>
      <c r="AA3" s="120"/>
    </row>
    <row r="4" spans="1:38" ht="24" customHeight="1">
      <c r="F4" s="123" t="s">
        <v>52</v>
      </c>
      <c r="G4" s="123" t="s">
        <v>52</v>
      </c>
      <c r="H4" s="123" t="s">
        <v>52</v>
      </c>
      <c r="I4" s="123" t="s">
        <v>52</v>
      </c>
      <c r="J4" s="123" t="s">
        <v>52</v>
      </c>
      <c r="K4" s="123" t="s">
        <v>52</v>
      </c>
      <c r="M4" s="123" t="s">
        <v>52</v>
      </c>
      <c r="N4" s="123" t="s">
        <v>52</v>
      </c>
      <c r="O4" s="123" t="s">
        <v>52</v>
      </c>
      <c r="P4" s="123" t="s">
        <v>52</v>
      </c>
      <c r="Q4" s="123" t="s">
        <v>52</v>
      </c>
      <c r="R4" s="123" t="s">
        <v>52</v>
      </c>
      <c r="U4" s="120" t="s">
        <v>85</v>
      </c>
      <c r="W4" s="121" t="s">
        <v>85</v>
      </c>
      <c r="X4" s="120" t="s">
        <v>88</v>
      </c>
      <c r="Y4" s="120"/>
      <c r="AC4" s="120" t="s">
        <v>85</v>
      </c>
      <c r="AG4" s="120" t="s">
        <v>94</v>
      </c>
    </row>
    <row r="5" spans="1:38" ht="24" customHeight="1">
      <c r="A5" s="123" t="s">
        <v>52</v>
      </c>
      <c r="B5" s="123" t="s">
        <v>52</v>
      </c>
      <c r="C5" s="123" t="s">
        <v>52</v>
      </c>
      <c r="D5" s="123" t="s">
        <v>52</v>
      </c>
      <c r="E5" s="120" t="s">
        <v>85</v>
      </c>
      <c r="F5" s="125" t="s">
        <v>95</v>
      </c>
      <c r="G5" s="126" t="s">
        <v>85</v>
      </c>
      <c r="H5" s="128" t="s">
        <v>96</v>
      </c>
      <c r="I5" s="128" t="s">
        <v>97</v>
      </c>
      <c r="J5" s="128" t="s">
        <v>98</v>
      </c>
      <c r="K5" s="128" t="s">
        <v>99</v>
      </c>
      <c r="M5" s="121" t="s">
        <v>95</v>
      </c>
      <c r="N5" s="120" t="s">
        <v>85</v>
      </c>
      <c r="O5" s="121" t="s">
        <v>96</v>
      </c>
      <c r="P5" s="121" t="s">
        <v>97</v>
      </c>
      <c r="Q5" s="121" t="s">
        <v>98</v>
      </c>
      <c r="R5" s="121" t="s">
        <v>99</v>
      </c>
      <c r="T5" s="123"/>
      <c r="U5" s="123" t="s">
        <v>52</v>
      </c>
      <c r="V5" s="123" t="s">
        <v>52</v>
      </c>
      <c r="W5" s="121" t="s">
        <v>52</v>
      </c>
      <c r="X5" s="123" t="s">
        <v>52</v>
      </c>
      <c r="Y5" s="123" t="s">
        <v>52</v>
      </c>
      <c r="Z5" s="123" t="s">
        <v>52</v>
      </c>
      <c r="AA5" s="123" t="s">
        <v>52</v>
      </c>
      <c r="AB5" s="123" t="s">
        <v>52</v>
      </c>
      <c r="AC5" s="123" t="s">
        <v>52</v>
      </c>
      <c r="AD5" s="123" t="s">
        <v>52</v>
      </c>
      <c r="AE5" s="123" t="s">
        <v>52</v>
      </c>
    </row>
    <row r="6" spans="1:38" ht="24" customHeight="1">
      <c r="A6" s="120" t="s">
        <v>100</v>
      </c>
      <c r="B6" s="120" t="s">
        <v>96</v>
      </c>
      <c r="C6" s="120" t="s">
        <v>97</v>
      </c>
      <c r="D6" s="120" t="s">
        <v>98</v>
      </c>
      <c r="F6" s="123" t="s">
        <v>52</v>
      </c>
      <c r="G6" s="123" t="s">
        <v>52</v>
      </c>
      <c r="H6" s="123" t="s">
        <v>52</v>
      </c>
      <c r="I6" s="123" t="s">
        <v>52</v>
      </c>
      <c r="J6" s="123" t="s">
        <v>52</v>
      </c>
      <c r="K6" s="123" t="s">
        <v>52</v>
      </c>
      <c r="M6" s="123" t="s">
        <v>52</v>
      </c>
      <c r="N6" s="123" t="s">
        <v>52</v>
      </c>
      <c r="O6" s="123" t="s">
        <v>52</v>
      </c>
      <c r="P6" s="123" t="s">
        <v>52</v>
      </c>
      <c r="Q6" s="123" t="s">
        <v>52</v>
      </c>
      <c r="R6" s="123" t="s">
        <v>52</v>
      </c>
      <c r="T6" s="121" t="s">
        <v>100</v>
      </c>
      <c r="U6" s="121" t="s">
        <v>101</v>
      </c>
      <c r="V6" s="121" t="s">
        <v>102</v>
      </c>
      <c r="W6" s="121" t="s">
        <v>103</v>
      </c>
      <c r="X6" s="121" t="s">
        <v>104</v>
      </c>
      <c r="Y6" s="121" t="s">
        <v>105</v>
      </c>
      <c r="Z6" s="121" t="s">
        <v>106</v>
      </c>
      <c r="AA6" s="152" t="s">
        <v>3878</v>
      </c>
      <c r="AB6" s="120" t="s">
        <v>108</v>
      </c>
      <c r="AC6" s="120" t="s">
        <v>109</v>
      </c>
      <c r="AD6" s="121" t="s">
        <v>110</v>
      </c>
    </row>
    <row r="7" spans="1:38" ht="24" customHeight="1">
      <c r="A7" s="123" t="s">
        <v>52</v>
      </c>
      <c r="B7" s="123" t="s">
        <v>52</v>
      </c>
      <c r="C7" s="123" t="s">
        <v>52</v>
      </c>
      <c r="D7" s="123" t="s">
        <v>52</v>
      </c>
      <c r="G7" s="126" t="s">
        <v>111</v>
      </c>
      <c r="H7" s="120" t="s">
        <v>112</v>
      </c>
      <c r="O7" s="120" t="s">
        <v>113</v>
      </c>
      <c r="X7" s="121" t="s">
        <v>114</v>
      </c>
      <c r="Y7" s="121" t="s">
        <v>109</v>
      </c>
      <c r="Z7" s="121" t="s">
        <v>115</v>
      </c>
      <c r="AA7" s="152" t="s">
        <v>3879</v>
      </c>
      <c r="AB7" s="120" t="s">
        <v>117</v>
      </c>
      <c r="AC7" s="120" t="s">
        <v>118</v>
      </c>
      <c r="AE7" s="125"/>
    </row>
    <row r="8" spans="1:38" ht="24" customHeight="1">
      <c r="B8" s="120" t="s">
        <v>119</v>
      </c>
      <c r="H8" s="123" t="s">
        <v>52</v>
      </c>
      <c r="O8" s="123" t="s">
        <v>52</v>
      </c>
      <c r="T8" s="123" t="s">
        <v>52</v>
      </c>
      <c r="U8" s="123" t="s">
        <v>52</v>
      </c>
      <c r="V8" s="123" t="s">
        <v>52</v>
      </c>
      <c r="W8" s="121" t="s">
        <v>52</v>
      </c>
      <c r="X8" s="123" t="s">
        <v>52</v>
      </c>
      <c r="Y8" s="123" t="s">
        <v>52</v>
      </c>
      <c r="Z8" s="123" t="s">
        <v>52</v>
      </c>
      <c r="AA8" s="153" t="s">
        <v>3880</v>
      </c>
      <c r="AB8" s="123" t="s">
        <v>52</v>
      </c>
      <c r="AC8" s="123" t="s">
        <v>52</v>
      </c>
      <c r="AD8" s="123" t="s">
        <v>52</v>
      </c>
      <c r="AE8" s="123" t="s">
        <v>52</v>
      </c>
      <c r="AG8" s="1165" t="s">
        <v>3881</v>
      </c>
      <c r="AH8" s="1165" t="s">
        <v>3882</v>
      </c>
      <c r="AI8" s="1166" t="s">
        <v>3883</v>
      </c>
      <c r="AJ8" s="1166" t="s">
        <v>3884</v>
      </c>
      <c r="AK8" s="1166" t="s">
        <v>3885</v>
      </c>
      <c r="AL8" s="1166" t="s">
        <v>3886</v>
      </c>
    </row>
    <row r="9" spans="1:38" ht="24" customHeight="1">
      <c r="B9" s="120" t="s">
        <v>121</v>
      </c>
      <c r="F9" s="129">
        <v>0.96</v>
      </c>
      <c r="G9" s="126" t="s">
        <v>122</v>
      </c>
      <c r="H9" s="120" t="s">
        <v>123</v>
      </c>
      <c r="I9" s="129">
        <f>(C67)</f>
        <v>6040</v>
      </c>
      <c r="J9" s="120" t="s">
        <v>122</v>
      </c>
      <c r="K9" s="129">
        <f>(F9*I9)</f>
        <v>5798.4</v>
      </c>
      <c r="M9" s="129">
        <v>0.5</v>
      </c>
      <c r="N9" s="120" t="s">
        <v>122</v>
      </c>
      <c r="O9" s="120" t="s">
        <v>124</v>
      </c>
      <c r="P9" s="129">
        <f>(C85)</f>
        <v>1016.58</v>
      </c>
      <c r="Q9" s="120" t="s">
        <v>122</v>
      </c>
      <c r="R9" s="129">
        <f>(M9*P9)</f>
        <v>508.29</v>
      </c>
      <c r="T9" s="121" t="s">
        <v>125</v>
      </c>
      <c r="U9" s="120" t="s">
        <v>3887</v>
      </c>
      <c r="V9" s="120" t="s">
        <v>127</v>
      </c>
      <c r="W9" s="1417" t="s">
        <v>128</v>
      </c>
      <c r="X9" s="129">
        <f>'lead  charge'!D12</f>
        <v>53</v>
      </c>
      <c r="Y9" s="136">
        <v>449.4</v>
      </c>
      <c r="Z9" s="154">
        <f>'lead  charge'!E12</f>
        <v>483.83</v>
      </c>
      <c r="AA9" s="121"/>
      <c r="AB9" s="120">
        <v>0</v>
      </c>
      <c r="AC9" s="120">
        <f>SUM(Y9+Z9+AA9+AB9)</f>
        <v>933.23</v>
      </c>
      <c r="AD9" s="120" t="s">
        <v>3888</v>
      </c>
      <c r="AE9" s="129">
        <f>AH9</f>
        <v>1041.7</v>
      </c>
      <c r="AF9" s="136">
        <v>947</v>
      </c>
      <c r="AG9" s="129">
        <f>AF9*1.05</f>
        <v>994.35</v>
      </c>
      <c r="AH9" s="115">
        <f>AF9*1.1</f>
        <v>1041.7</v>
      </c>
      <c r="AI9" s="115">
        <f>AF9*1.2</f>
        <v>1136.4000000000001</v>
      </c>
      <c r="AJ9" s="115">
        <f>AF9*1.25</f>
        <v>1183.75</v>
      </c>
      <c r="AK9" s="115">
        <f>AF9*1.4</f>
        <v>1325.8</v>
      </c>
      <c r="AL9" s="115">
        <f>AF9*1.5</f>
        <v>1420.5</v>
      </c>
    </row>
    <row r="10" spans="1:38" ht="24" customHeight="1">
      <c r="A10" s="130">
        <v>1</v>
      </c>
      <c r="B10" s="120" t="s">
        <v>130</v>
      </c>
      <c r="C10" s="131">
        <f>AE9</f>
        <v>1041.7</v>
      </c>
      <c r="D10" s="132" t="s">
        <v>131</v>
      </c>
      <c r="F10" s="129">
        <v>1</v>
      </c>
      <c r="G10" s="126" t="s">
        <v>132</v>
      </c>
      <c r="H10" s="120" t="s">
        <v>133</v>
      </c>
      <c r="I10" s="129">
        <f>(C78)</f>
        <v>1642.42</v>
      </c>
      <c r="J10" s="120" t="s">
        <v>132</v>
      </c>
      <c r="K10" s="129">
        <f>(F10*I10)</f>
        <v>1642.42</v>
      </c>
      <c r="M10" s="129">
        <v>1</v>
      </c>
      <c r="N10" s="120" t="s">
        <v>132</v>
      </c>
      <c r="O10" s="120" t="s">
        <v>133</v>
      </c>
      <c r="P10" s="129">
        <f>(C78)</f>
        <v>1642.42</v>
      </c>
      <c r="Q10" s="120" t="s">
        <v>132</v>
      </c>
      <c r="R10" s="129">
        <f>(M10*P10)</f>
        <v>1642.42</v>
      </c>
      <c r="T10" s="121" t="s">
        <v>134</v>
      </c>
      <c r="U10" s="120" t="s">
        <v>3889</v>
      </c>
      <c r="V10" s="120" t="s">
        <v>127</v>
      </c>
      <c r="W10" s="1417" t="str">
        <f>W9</f>
        <v>Nallambakkam</v>
      </c>
      <c r="X10" s="129">
        <f>'lead  charge'!D12</f>
        <v>53</v>
      </c>
      <c r="Y10" s="136">
        <v>648.4</v>
      </c>
      <c r="Z10" s="154">
        <f>Z9</f>
        <v>483.83</v>
      </c>
      <c r="AA10" s="121"/>
      <c r="AB10" s="117">
        <v>0</v>
      </c>
      <c r="AC10" s="120">
        <f t="shared" ref="AC10:AC39" si="0">SUM(Y10+Z10+AA10+AB10)</f>
        <v>1132.23</v>
      </c>
      <c r="AD10" s="120" t="s">
        <v>3890</v>
      </c>
      <c r="AE10" s="129">
        <f t="shared" ref="AE10:AE41" si="1">AH10</f>
        <v>972.4</v>
      </c>
      <c r="AF10" s="136">
        <v>884</v>
      </c>
      <c r="AG10" s="129">
        <f t="shared" ref="AG10:AG64" si="2">AF10*1.05</f>
        <v>928.2</v>
      </c>
      <c r="AH10" s="115">
        <f t="shared" ref="AH10:AH64" si="3">AF10*1.1</f>
        <v>972.4</v>
      </c>
      <c r="AI10" s="115">
        <f t="shared" ref="AI10:AI64" si="4">AF10*1.2</f>
        <v>1060.8</v>
      </c>
      <c r="AJ10" s="115">
        <f t="shared" ref="AJ10:AJ64" si="5">AF10*1.25</f>
        <v>1105</v>
      </c>
      <c r="AK10" s="115">
        <f t="shared" ref="AK10:AK64" si="6">AF10*1.4</f>
        <v>1237.5999999999999</v>
      </c>
      <c r="AL10" s="115">
        <f t="shared" ref="AL10:AL64" si="7">AF10*1.5</f>
        <v>1326</v>
      </c>
    </row>
    <row r="11" spans="1:38" ht="24" customHeight="1">
      <c r="A11" s="130">
        <f t="shared" ref="A11:A35" si="8">(A10+1)</f>
        <v>2</v>
      </c>
      <c r="B11" s="120" t="s">
        <v>137</v>
      </c>
      <c r="C11" s="131">
        <f>AE10</f>
        <v>972.4</v>
      </c>
      <c r="D11" s="132">
        <f>AE9</f>
        <v>1041.7</v>
      </c>
      <c r="F11" s="129">
        <v>1</v>
      </c>
      <c r="G11" s="126" t="s">
        <v>132</v>
      </c>
      <c r="H11" s="120" t="s">
        <v>138</v>
      </c>
      <c r="I11" s="129">
        <f>(C18)</f>
        <v>121</v>
      </c>
      <c r="J11" s="120" t="s">
        <v>132</v>
      </c>
      <c r="K11" s="129">
        <f>(F11*I11)</f>
        <v>121</v>
      </c>
      <c r="M11" s="129">
        <v>1</v>
      </c>
      <c r="N11" s="120" t="s">
        <v>132</v>
      </c>
      <c r="O11" s="120" t="s">
        <v>139</v>
      </c>
      <c r="P11" s="129">
        <f>(C64)</f>
        <v>266</v>
      </c>
      <c r="Q11" s="120" t="s">
        <v>132</v>
      </c>
      <c r="R11" s="129">
        <f>(M11*P11)</f>
        <v>266</v>
      </c>
      <c r="T11" s="121" t="s">
        <v>140</v>
      </c>
      <c r="U11" s="120" t="s">
        <v>3891</v>
      </c>
      <c r="V11" s="120" t="s">
        <v>127</v>
      </c>
      <c r="W11" s="1417" t="s">
        <v>142</v>
      </c>
      <c r="X11" s="129">
        <f>'lead  charge'!D10:D10</f>
        <v>26</v>
      </c>
      <c r="Y11" s="136">
        <f>ROUND((609+677+1001)/3,2)</f>
        <v>762.33</v>
      </c>
      <c r="Z11" s="154">
        <f>'lead  charge'!E10</f>
        <v>262.98</v>
      </c>
      <c r="AA11" s="121"/>
      <c r="AB11" s="117">
        <v>0</v>
      </c>
      <c r="AC11" s="120">
        <f t="shared" si="0"/>
        <v>1025.31</v>
      </c>
      <c r="AD11" s="120" t="s">
        <v>143</v>
      </c>
      <c r="AE11" s="129">
        <f t="shared" si="1"/>
        <v>679.8</v>
      </c>
      <c r="AF11" s="136">
        <v>618</v>
      </c>
      <c r="AG11" s="129">
        <f t="shared" si="2"/>
        <v>648.9</v>
      </c>
      <c r="AH11" s="115">
        <f t="shared" si="3"/>
        <v>679.8</v>
      </c>
      <c r="AI11" s="115">
        <f t="shared" si="4"/>
        <v>741.6</v>
      </c>
      <c r="AJ11" s="115">
        <f t="shared" si="5"/>
        <v>772.5</v>
      </c>
      <c r="AK11" s="115">
        <f t="shared" si="6"/>
        <v>865.2</v>
      </c>
      <c r="AL11" s="115">
        <f t="shared" si="7"/>
        <v>927</v>
      </c>
    </row>
    <row r="12" spans="1:38" ht="24" customHeight="1">
      <c r="A12" s="130">
        <f t="shared" si="8"/>
        <v>3</v>
      </c>
      <c r="B12" s="120" t="s">
        <v>144</v>
      </c>
      <c r="C12" s="131">
        <f>AE11</f>
        <v>679.8</v>
      </c>
      <c r="D12" s="132" t="s">
        <v>131</v>
      </c>
      <c r="G12" s="126" t="s">
        <v>145</v>
      </c>
      <c r="H12" s="120" t="s">
        <v>146</v>
      </c>
      <c r="I12" s="120" t="s">
        <v>85</v>
      </c>
      <c r="J12" s="120" t="s">
        <v>145</v>
      </c>
      <c r="K12" s="129"/>
      <c r="N12" s="120" t="s">
        <v>145</v>
      </c>
      <c r="O12" s="120" t="s">
        <v>146</v>
      </c>
      <c r="P12" s="120" t="s">
        <v>85</v>
      </c>
      <c r="Q12" s="120" t="s">
        <v>145</v>
      </c>
      <c r="R12" s="129">
        <v>0</v>
      </c>
      <c r="T12" s="121" t="s">
        <v>147</v>
      </c>
      <c r="U12" s="120" t="s">
        <v>148</v>
      </c>
      <c r="V12" s="120" t="s">
        <v>127</v>
      </c>
      <c r="W12" s="1417" t="s">
        <v>142</v>
      </c>
      <c r="X12" s="129">
        <f>X11</f>
        <v>26</v>
      </c>
      <c r="Y12" s="136">
        <v>1001</v>
      </c>
      <c r="Z12" s="154">
        <f>Z11</f>
        <v>262.98</v>
      </c>
      <c r="AA12" s="121"/>
      <c r="AB12" s="117">
        <v>0</v>
      </c>
      <c r="AC12" s="120">
        <f t="shared" si="0"/>
        <v>1263.98</v>
      </c>
      <c r="AD12" s="120" t="s">
        <v>149</v>
      </c>
      <c r="AE12" s="129">
        <f t="shared" si="1"/>
        <v>557.70000000000005</v>
      </c>
      <c r="AF12" s="136">
        <v>507</v>
      </c>
      <c r="AG12" s="129">
        <f t="shared" si="2"/>
        <v>532.35</v>
      </c>
      <c r="AH12" s="115">
        <f t="shared" si="3"/>
        <v>557.70000000000005</v>
      </c>
      <c r="AI12" s="115">
        <f t="shared" si="4"/>
        <v>608.4</v>
      </c>
      <c r="AJ12" s="115">
        <f t="shared" si="5"/>
        <v>633.75</v>
      </c>
      <c r="AK12" s="115">
        <f t="shared" si="6"/>
        <v>709.8</v>
      </c>
      <c r="AL12" s="115">
        <f t="shared" si="7"/>
        <v>760.5</v>
      </c>
    </row>
    <row r="13" spans="1:38" ht="24" customHeight="1">
      <c r="A13" s="130">
        <f t="shared" si="8"/>
        <v>4</v>
      </c>
      <c r="B13" s="120" t="s">
        <v>150</v>
      </c>
      <c r="C13" s="131">
        <f>AE12</f>
        <v>557.70000000000005</v>
      </c>
      <c r="D13" s="132" t="s">
        <v>131</v>
      </c>
      <c r="K13" s="123" t="s">
        <v>52</v>
      </c>
      <c r="R13" s="123" t="s">
        <v>52</v>
      </c>
      <c r="T13" s="121" t="s">
        <v>151</v>
      </c>
      <c r="U13" s="120" t="s">
        <v>152</v>
      </c>
      <c r="V13" s="120" t="s">
        <v>127</v>
      </c>
      <c r="W13" s="1417" t="s">
        <v>142</v>
      </c>
      <c r="X13" s="129">
        <f>X11</f>
        <v>26</v>
      </c>
      <c r="Y13" s="136">
        <v>1362</v>
      </c>
      <c r="Z13" s="154">
        <f>Z12</f>
        <v>262.98</v>
      </c>
      <c r="AA13" s="121"/>
      <c r="AB13" s="117">
        <v>0</v>
      </c>
      <c r="AC13" s="120">
        <f t="shared" si="0"/>
        <v>1624.98</v>
      </c>
      <c r="AD13" s="120" t="s">
        <v>153</v>
      </c>
      <c r="AE13" s="129">
        <f t="shared" si="1"/>
        <v>831.6</v>
      </c>
      <c r="AF13" s="136">
        <v>756</v>
      </c>
      <c r="AG13" s="129">
        <f t="shared" si="2"/>
        <v>793.8</v>
      </c>
      <c r="AH13" s="115">
        <f t="shared" si="3"/>
        <v>831.6</v>
      </c>
      <c r="AI13" s="115">
        <f t="shared" si="4"/>
        <v>907.2</v>
      </c>
      <c r="AJ13" s="115">
        <f t="shared" si="5"/>
        <v>945</v>
      </c>
      <c r="AK13" s="115">
        <f t="shared" si="6"/>
        <v>1058.4000000000001</v>
      </c>
      <c r="AL13" s="115">
        <f t="shared" si="7"/>
        <v>1134</v>
      </c>
    </row>
    <row r="14" spans="1:38" ht="24" customHeight="1">
      <c r="A14" s="130">
        <f t="shared" si="8"/>
        <v>5</v>
      </c>
      <c r="B14" s="120" t="s">
        <v>154</v>
      </c>
      <c r="C14" s="131">
        <f>AE13</f>
        <v>831.6</v>
      </c>
      <c r="D14" s="131">
        <f>AE14</f>
        <v>805.2</v>
      </c>
      <c r="H14" s="120" t="s">
        <v>155</v>
      </c>
      <c r="K14" s="127">
        <f>SUM(K9:K12)</f>
        <v>7561.82</v>
      </c>
      <c r="N14" s="129">
        <f>SUM(K9:K12)</f>
        <v>7561.82</v>
      </c>
      <c r="O14" s="120" t="s">
        <v>155</v>
      </c>
      <c r="R14" s="129">
        <f>SUM(R9:R12)</f>
        <v>2416.71</v>
      </c>
      <c r="T14" s="121" t="s">
        <v>156</v>
      </c>
      <c r="U14" s="120" t="s">
        <v>157</v>
      </c>
      <c r="V14" s="120" t="s">
        <v>127</v>
      </c>
      <c r="W14" s="1417" t="s">
        <v>142</v>
      </c>
      <c r="X14" s="129">
        <f>X11</f>
        <v>26</v>
      </c>
      <c r="Y14" s="136">
        <v>1467</v>
      </c>
      <c r="Z14" s="154">
        <f>Z13</f>
        <v>262.98</v>
      </c>
      <c r="AA14" s="121"/>
      <c r="AB14" s="117">
        <v>0</v>
      </c>
      <c r="AC14" s="120">
        <f t="shared" si="0"/>
        <v>1729.98</v>
      </c>
      <c r="AD14" s="120" t="s">
        <v>158</v>
      </c>
      <c r="AE14" s="129">
        <f t="shared" si="1"/>
        <v>805.2</v>
      </c>
      <c r="AF14" s="136">
        <v>732</v>
      </c>
      <c r="AG14" s="129">
        <f t="shared" si="2"/>
        <v>768.6</v>
      </c>
      <c r="AH14" s="115">
        <f t="shared" si="3"/>
        <v>805.2</v>
      </c>
      <c r="AI14" s="115">
        <f t="shared" si="4"/>
        <v>878.4</v>
      </c>
      <c r="AJ14" s="115">
        <f t="shared" si="5"/>
        <v>915</v>
      </c>
      <c r="AK14" s="115">
        <f t="shared" si="6"/>
        <v>1024.8</v>
      </c>
      <c r="AL14" s="115">
        <f t="shared" si="7"/>
        <v>1098</v>
      </c>
    </row>
    <row r="15" spans="1:38" ht="24" customHeight="1">
      <c r="A15" s="130">
        <f t="shared" si="8"/>
        <v>6</v>
      </c>
      <c r="B15" s="120" t="s">
        <v>159</v>
      </c>
      <c r="C15" s="131">
        <f>AE15</f>
        <v>903.1</v>
      </c>
      <c r="D15" s="132" t="s">
        <v>131</v>
      </c>
      <c r="K15" s="123" t="s">
        <v>52</v>
      </c>
      <c r="R15" s="123" t="s">
        <v>52</v>
      </c>
      <c r="T15" s="121" t="s">
        <v>160</v>
      </c>
      <c r="U15" s="120" t="s">
        <v>161</v>
      </c>
      <c r="V15" s="120" t="s">
        <v>127</v>
      </c>
      <c r="W15" s="1417" t="s">
        <v>142</v>
      </c>
      <c r="X15" s="129">
        <f>X11</f>
        <v>26</v>
      </c>
      <c r="Y15" s="136">
        <v>1054</v>
      </c>
      <c r="Z15" s="154">
        <f>Z14</f>
        <v>262.98</v>
      </c>
      <c r="AA15" s="121"/>
      <c r="AB15" s="117">
        <v>0</v>
      </c>
      <c r="AC15" s="120">
        <f t="shared" si="0"/>
        <v>1316.98</v>
      </c>
      <c r="AD15" s="120" t="s">
        <v>162</v>
      </c>
      <c r="AE15" s="129">
        <f t="shared" si="1"/>
        <v>903.1</v>
      </c>
      <c r="AF15" s="136">
        <v>821</v>
      </c>
      <c r="AG15" s="129">
        <f t="shared" si="2"/>
        <v>862.05</v>
      </c>
      <c r="AH15" s="115">
        <f t="shared" si="3"/>
        <v>903.1</v>
      </c>
      <c r="AI15" s="115">
        <f t="shared" si="4"/>
        <v>985.2</v>
      </c>
      <c r="AJ15" s="115">
        <f t="shared" si="5"/>
        <v>1026.25</v>
      </c>
      <c r="AK15" s="115">
        <f t="shared" si="6"/>
        <v>1149.4000000000001</v>
      </c>
      <c r="AL15" s="115">
        <f t="shared" si="7"/>
        <v>1231.5</v>
      </c>
    </row>
    <row r="16" spans="1:38" ht="24" customHeight="1">
      <c r="A16" s="130">
        <f t="shared" si="8"/>
        <v>7</v>
      </c>
      <c r="B16" s="120" t="s">
        <v>163</v>
      </c>
      <c r="C16" s="131">
        <f>AE19</f>
        <v>1018.6</v>
      </c>
      <c r="D16" s="131">
        <f>AE20</f>
        <v>972.4</v>
      </c>
      <c r="G16" s="126" t="s">
        <v>111</v>
      </c>
      <c r="H16" s="120" t="s">
        <v>164</v>
      </c>
      <c r="N16" s="120" t="s">
        <v>111</v>
      </c>
      <c r="O16" s="120" t="s">
        <v>165</v>
      </c>
      <c r="T16" s="121" t="s">
        <v>166</v>
      </c>
      <c r="U16" s="120" t="s">
        <v>3892</v>
      </c>
      <c r="V16" s="120" t="s">
        <v>127</v>
      </c>
      <c r="W16" s="1417" t="s">
        <v>7559</v>
      </c>
      <c r="X16" s="129">
        <f>'lead  charge'!D11</f>
        <v>34</v>
      </c>
      <c r="Y16" s="133">
        <v>1312</v>
      </c>
      <c r="Z16" s="154">
        <f>'lead  charge'!E11</f>
        <v>330.42</v>
      </c>
      <c r="AA16" s="121"/>
      <c r="AB16" s="117">
        <v>0</v>
      </c>
      <c r="AC16" s="120">
        <f t="shared" si="0"/>
        <v>1642.42</v>
      </c>
      <c r="AD16" s="120" t="s">
        <v>169</v>
      </c>
      <c r="AE16" s="129">
        <f t="shared" si="1"/>
        <v>875.6</v>
      </c>
      <c r="AF16" s="136">
        <v>796</v>
      </c>
      <c r="AG16" s="129">
        <f t="shared" si="2"/>
        <v>835.8</v>
      </c>
      <c r="AH16" s="115">
        <f t="shared" si="3"/>
        <v>875.6</v>
      </c>
      <c r="AI16" s="115">
        <f t="shared" si="4"/>
        <v>955.2</v>
      </c>
      <c r="AJ16" s="115">
        <f t="shared" si="5"/>
        <v>995</v>
      </c>
      <c r="AK16" s="115">
        <f t="shared" si="6"/>
        <v>1114.4000000000001</v>
      </c>
      <c r="AL16" s="115">
        <f t="shared" si="7"/>
        <v>1194</v>
      </c>
    </row>
    <row r="17" spans="1:38" ht="24" customHeight="1">
      <c r="A17" s="130">
        <f t="shared" si="8"/>
        <v>8</v>
      </c>
      <c r="B17" s="120" t="s">
        <v>3893</v>
      </c>
      <c r="C17" s="131">
        <f>AE17</f>
        <v>919.6</v>
      </c>
      <c r="D17" s="131">
        <f>AE18</f>
        <v>893.2</v>
      </c>
      <c r="H17" s="123" t="s">
        <v>52</v>
      </c>
      <c r="O17" s="120" t="s">
        <v>171</v>
      </c>
      <c r="T17" s="121" t="s">
        <v>172</v>
      </c>
      <c r="U17" s="120" t="s">
        <v>3894</v>
      </c>
      <c r="V17" s="120" t="s">
        <v>127</v>
      </c>
      <c r="W17" s="1417" t="s">
        <v>7559</v>
      </c>
      <c r="X17" s="129">
        <f>X16</f>
        <v>34</v>
      </c>
      <c r="Y17" s="133">
        <f>Y16</f>
        <v>1312</v>
      </c>
      <c r="Z17" s="154">
        <f>Z16</f>
        <v>330.42</v>
      </c>
      <c r="AA17" s="121"/>
      <c r="AB17" s="117">
        <v>0</v>
      </c>
      <c r="AC17" s="120">
        <f t="shared" si="0"/>
        <v>1642.42</v>
      </c>
      <c r="AD17" s="120" t="s">
        <v>175</v>
      </c>
      <c r="AE17" s="129">
        <f t="shared" si="1"/>
        <v>919.6</v>
      </c>
      <c r="AF17" s="136">
        <v>836</v>
      </c>
      <c r="AG17" s="129">
        <f t="shared" si="2"/>
        <v>877.8</v>
      </c>
      <c r="AH17" s="115">
        <f t="shared" si="3"/>
        <v>919.6</v>
      </c>
      <c r="AI17" s="115">
        <f t="shared" si="4"/>
        <v>1003.2</v>
      </c>
      <c r="AJ17" s="115">
        <f t="shared" si="5"/>
        <v>1045</v>
      </c>
      <c r="AK17" s="115">
        <f t="shared" si="6"/>
        <v>1170.4000000000001</v>
      </c>
      <c r="AL17" s="115">
        <f t="shared" si="7"/>
        <v>1254</v>
      </c>
    </row>
    <row r="18" spans="1:38" ht="24" customHeight="1">
      <c r="A18" s="130">
        <f t="shared" si="8"/>
        <v>9</v>
      </c>
      <c r="B18" s="120" t="s">
        <v>3895</v>
      </c>
      <c r="C18" s="131">
        <f>AE24</f>
        <v>121</v>
      </c>
      <c r="D18" s="132" t="s">
        <v>177</v>
      </c>
      <c r="F18" s="129">
        <v>0.72</v>
      </c>
      <c r="G18" s="126" t="s">
        <v>122</v>
      </c>
      <c r="H18" s="120" t="s">
        <v>123</v>
      </c>
      <c r="I18" s="129">
        <f>(C67)</f>
        <v>6040</v>
      </c>
      <c r="J18" s="120" t="s">
        <v>122</v>
      </c>
      <c r="K18" s="129">
        <f>(F18*I18)</f>
        <v>4348.8</v>
      </c>
      <c r="O18" s="120" t="s">
        <v>178</v>
      </c>
      <c r="T18" s="121" t="s">
        <v>179</v>
      </c>
      <c r="U18" s="120" t="s">
        <v>3896</v>
      </c>
      <c r="V18" s="120" t="s">
        <v>181</v>
      </c>
      <c r="W18" s="1417" t="s">
        <v>182</v>
      </c>
      <c r="X18" s="129">
        <f>'lead  charge'!G10</f>
        <v>15</v>
      </c>
      <c r="Y18" s="136">
        <v>5709</v>
      </c>
      <c r="Z18" s="154">
        <f>'lead  charge'!H10</f>
        <v>137.94999999999999</v>
      </c>
      <c r="AA18" s="121"/>
      <c r="AB18" s="117">
        <v>0</v>
      </c>
      <c r="AC18" s="120">
        <f t="shared" si="0"/>
        <v>5846.95</v>
      </c>
      <c r="AD18" s="120" t="s">
        <v>183</v>
      </c>
      <c r="AE18" s="129">
        <f t="shared" si="1"/>
        <v>893.2</v>
      </c>
      <c r="AF18" s="136">
        <v>812</v>
      </c>
      <c r="AG18" s="129">
        <f t="shared" si="2"/>
        <v>852.6</v>
      </c>
      <c r="AH18" s="115">
        <f t="shared" si="3"/>
        <v>893.2</v>
      </c>
      <c r="AI18" s="115">
        <f t="shared" si="4"/>
        <v>974.4</v>
      </c>
      <c r="AJ18" s="115">
        <f t="shared" si="5"/>
        <v>1015</v>
      </c>
      <c r="AK18" s="115">
        <f t="shared" si="6"/>
        <v>1136.8</v>
      </c>
      <c r="AL18" s="115">
        <f t="shared" si="7"/>
        <v>1218</v>
      </c>
    </row>
    <row r="19" spans="1:38" ht="24" customHeight="1">
      <c r="A19" s="130">
        <f t="shared" si="8"/>
        <v>10</v>
      </c>
      <c r="B19" s="120" t="s">
        <v>3897</v>
      </c>
      <c r="C19" s="129">
        <f t="shared" ref="C19:C24" si="9">AE41</f>
        <v>82.28</v>
      </c>
      <c r="D19" s="132" t="s">
        <v>132</v>
      </c>
      <c r="F19" s="129">
        <v>1</v>
      </c>
      <c r="G19" s="126" t="s">
        <v>132</v>
      </c>
      <c r="H19" s="120" t="s">
        <v>133</v>
      </c>
      <c r="I19" s="129">
        <f>I36</f>
        <v>1642.42</v>
      </c>
      <c r="J19" s="120" t="s">
        <v>132</v>
      </c>
      <c r="K19" s="129">
        <f>(F19*I19)</f>
        <v>1642.42</v>
      </c>
      <c r="O19" s="120" t="s">
        <v>185</v>
      </c>
      <c r="T19" s="121" t="s">
        <v>186</v>
      </c>
      <c r="U19" s="120" t="s">
        <v>3898</v>
      </c>
      <c r="V19" s="120" t="s">
        <v>132</v>
      </c>
      <c r="W19" s="1417" t="str">
        <f>W18</f>
        <v>Nerkundram</v>
      </c>
      <c r="X19" s="129">
        <f>'lead  charge'!P10</f>
        <v>15</v>
      </c>
      <c r="Y19" s="136">
        <v>705</v>
      </c>
      <c r="Z19" s="155">
        <f>'lead  charge'!Q10</f>
        <v>112.25</v>
      </c>
      <c r="AA19" s="121"/>
      <c r="AB19" s="117">
        <v>0</v>
      </c>
      <c r="AC19" s="120">
        <f t="shared" si="0"/>
        <v>817.25</v>
      </c>
      <c r="AD19" s="120" t="s">
        <v>188</v>
      </c>
      <c r="AE19" s="129">
        <f t="shared" si="1"/>
        <v>1018.6</v>
      </c>
      <c r="AF19" s="136">
        <v>926</v>
      </c>
      <c r="AG19" s="129">
        <f t="shared" si="2"/>
        <v>972.3</v>
      </c>
      <c r="AH19" s="115">
        <f t="shared" si="3"/>
        <v>1018.6</v>
      </c>
      <c r="AI19" s="115">
        <f t="shared" si="4"/>
        <v>1111.2</v>
      </c>
      <c r="AJ19" s="115">
        <f t="shared" si="5"/>
        <v>1157.5</v>
      </c>
      <c r="AK19" s="115">
        <f t="shared" si="6"/>
        <v>1296.4000000000001</v>
      </c>
      <c r="AL19" s="115">
        <f t="shared" si="7"/>
        <v>1389</v>
      </c>
    </row>
    <row r="20" spans="1:38" ht="24" customHeight="1">
      <c r="A20" s="130">
        <f t="shared" si="8"/>
        <v>11</v>
      </c>
      <c r="B20" s="120" t="s">
        <v>189</v>
      </c>
      <c r="C20" s="129">
        <f t="shared" si="9"/>
        <v>165.99</v>
      </c>
      <c r="D20" s="132" t="s">
        <v>132</v>
      </c>
      <c r="F20" s="129">
        <v>1</v>
      </c>
      <c r="G20" s="126" t="s">
        <v>132</v>
      </c>
      <c r="H20" s="120" t="s">
        <v>138</v>
      </c>
      <c r="I20" s="129">
        <f>(C18)</f>
        <v>121</v>
      </c>
      <c r="J20" s="120" t="s">
        <v>132</v>
      </c>
      <c r="K20" s="129">
        <f>(F20*I20)</f>
        <v>121</v>
      </c>
      <c r="O20" s="120" t="s">
        <v>190</v>
      </c>
      <c r="T20" s="121" t="s">
        <v>191</v>
      </c>
      <c r="U20" s="120" t="s">
        <v>192</v>
      </c>
      <c r="V20" s="120" t="s">
        <v>132</v>
      </c>
      <c r="W20" s="1417" t="str">
        <f>W18</f>
        <v>Nerkundram</v>
      </c>
      <c r="X20" s="129">
        <f>X19</f>
        <v>15</v>
      </c>
      <c r="Y20" s="136">
        <v>786</v>
      </c>
      <c r="Z20" s="154">
        <f>Z19</f>
        <v>112.25</v>
      </c>
      <c r="AA20" s="121"/>
      <c r="AB20" s="117">
        <v>0</v>
      </c>
      <c r="AC20" s="120">
        <f t="shared" si="0"/>
        <v>898.25</v>
      </c>
      <c r="AD20" s="120" t="s">
        <v>193</v>
      </c>
      <c r="AE20" s="129">
        <f t="shared" si="1"/>
        <v>972.4</v>
      </c>
      <c r="AF20" s="136">
        <v>884</v>
      </c>
      <c r="AG20" s="129">
        <f t="shared" si="2"/>
        <v>928.2</v>
      </c>
      <c r="AH20" s="115">
        <f t="shared" si="3"/>
        <v>972.4</v>
      </c>
      <c r="AI20" s="115">
        <f t="shared" si="4"/>
        <v>1060.8</v>
      </c>
      <c r="AJ20" s="115">
        <f t="shared" si="5"/>
        <v>1105</v>
      </c>
      <c r="AK20" s="115">
        <f t="shared" si="6"/>
        <v>1237.5999999999999</v>
      </c>
      <c r="AL20" s="115">
        <f t="shared" si="7"/>
        <v>1326</v>
      </c>
    </row>
    <row r="21" spans="1:38" ht="24" customHeight="1">
      <c r="A21" s="130">
        <f t="shared" si="8"/>
        <v>12</v>
      </c>
      <c r="B21" s="120" t="s">
        <v>194</v>
      </c>
      <c r="C21" s="129">
        <f t="shared" si="9"/>
        <v>165.99</v>
      </c>
      <c r="D21" s="132" t="s">
        <v>132</v>
      </c>
      <c r="G21" s="126" t="s">
        <v>145</v>
      </c>
      <c r="H21" s="120" t="s">
        <v>146</v>
      </c>
      <c r="I21" s="120" t="s">
        <v>85</v>
      </c>
      <c r="J21" s="120" t="s">
        <v>145</v>
      </c>
      <c r="K21" s="129"/>
      <c r="O21" s="123" t="s">
        <v>52</v>
      </c>
      <c r="T21" s="121" t="s">
        <v>195</v>
      </c>
      <c r="U21" s="120" t="s">
        <v>3899</v>
      </c>
      <c r="V21" s="120" t="s">
        <v>181</v>
      </c>
      <c r="W21" s="1417" t="s">
        <v>197</v>
      </c>
      <c r="X21" s="129">
        <f>'lead  charge'!J12</f>
        <v>0</v>
      </c>
      <c r="Y21" s="136">
        <v>16106</v>
      </c>
      <c r="Z21" s="154">
        <f>'lead  charge'!K11</f>
        <v>0</v>
      </c>
      <c r="AA21" s="121"/>
      <c r="AB21" s="117">
        <v>0</v>
      </c>
      <c r="AC21" s="120">
        <f t="shared" si="0"/>
        <v>16106</v>
      </c>
      <c r="AD21" s="120" t="s">
        <v>198</v>
      </c>
      <c r="AE21" s="129">
        <f t="shared" si="1"/>
        <v>799.7</v>
      </c>
      <c r="AF21" s="136">
        <v>727</v>
      </c>
      <c r="AG21" s="129">
        <f t="shared" si="2"/>
        <v>763.35</v>
      </c>
      <c r="AH21" s="115">
        <f t="shared" si="3"/>
        <v>799.7</v>
      </c>
      <c r="AI21" s="115">
        <f t="shared" si="4"/>
        <v>872.4</v>
      </c>
      <c r="AJ21" s="115">
        <f t="shared" si="5"/>
        <v>908.75</v>
      </c>
      <c r="AK21" s="115">
        <f t="shared" si="6"/>
        <v>1017.8</v>
      </c>
      <c r="AL21" s="115">
        <f t="shared" si="7"/>
        <v>1090.5</v>
      </c>
    </row>
    <row r="22" spans="1:38" ht="24" customHeight="1">
      <c r="A22" s="130">
        <f t="shared" si="8"/>
        <v>13</v>
      </c>
      <c r="B22" s="120" t="s">
        <v>3900</v>
      </c>
      <c r="C22" s="129">
        <f t="shared" si="9"/>
        <v>124.96</v>
      </c>
      <c r="D22" s="132" t="s">
        <v>132</v>
      </c>
      <c r="K22" s="123" t="s">
        <v>52</v>
      </c>
      <c r="M22" s="129">
        <v>1</v>
      </c>
      <c r="N22" s="120" t="s">
        <v>132</v>
      </c>
      <c r="O22" s="120" t="s">
        <v>200</v>
      </c>
      <c r="P22" s="129">
        <f>C79</f>
        <v>1642.42</v>
      </c>
      <c r="Q22" s="120" t="s">
        <v>132</v>
      </c>
      <c r="R22" s="129">
        <f>(M22*P22)</f>
        <v>1642.42</v>
      </c>
      <c r="T22" s="121" t="s">
        <v>201</v>
      </c>
      <c r="U22" s="120" t="s">
        <v>3901</v>
      </c>
      <c r="V22" s="120" t="s">
        <v>127</v>
      </c>
      <c r="W22" s="1417" t="s">
        <v>197</v>
      </c>
      <c r="X22" s="129"/>
      <c r="Y22" s="136">
        <v>1348</v>
      </c>
      <c r="Z22" s="154"/>
      <c r="AA22" s="121"/>
      <c r="AB22" s="117">
        <v>0</v>
      </c>
      <c r="AC22" s="120">
        <f t="shared" si="0"/>
        <v>1348</v>
      </c>
      <c r="AD22" s="120" t="s">
        <v>204</v>
      </c>
      <c r="AE22" s="129">
        <f t="shared" si="1"/>
        <v>770</v>
      </c>
      <c r="AF22" s="136">
        <v>700</v>
      </c>
      <c r="AG22" s="129">
        <f t="shared" si="2"/>
        <v>735</v>
      </c>
      <c r="AH22" s="115">
        <f t="shared" si="3"/>
        <v>770</v>
      </c>
      <c r="AI22" s="115">
        <f t="shared" si="4"/>
        <v>840</v>
      </c>
      <c r="AJ22" s="115">
        <f t="shared" si="5"/>
        <v>875</v>
      </c>
      <c r="AK22" s="115">
        <f t="shared" si="6"/>
        <v>980</v>
      </c>
      <c r="AL22" s="115">
        <f t="shared" si="7"/>
        <v>1050</v>
      </c>
    </row>
    <row r="23" spans="1:38" ht="24" customHeight="1">
      <c r="A23" s="130">
        <f t="shared" si="8"/>
        <v>14</v>
      </c>
      <c r="B23" s="120" t="s">
        <v>205</v>
      </c>
      <c r="C23" s="129">
        <f t="shared" si="9"/>
        <v>246.18</v>
      </c>
      <c r="D23" s="132" t="s">
        <v>132</v>
      </c>
      <c r="H23" s="120" t="s">
        <v>155</v>
      </c>
      <c r="K23" s="127">
        <f>SUM(K18:K21)</f>
        <v>6112.22</v>
      </c>
      <c r="M23" s="129">
        <v>1</v>
      </c>
      <c r="N23" s="120" t="s">
        <v>132</v>
      </c>
      <c r="O23" s="120" t="s">
        <v>206</v>
      </c>
      <c r="P23" s="129">
        <f>C85</f>
        <v>1016.58</v>
      </c>
      <c r="Q23" s="120" t="s">
        <v>132</v>
      </c>
      <c r="R23" s="129">
        <f>(M23*P23)</f>
        <v>1016.58</v>
      </c>
      <c r="T23" s="121" t="s">
        <v>207</v>
      </c>
      <c r="U23" s="120" t="s">
        <v>3902</v>
      </c>
      <c r="V23" s="120" t="s">
        <v>127</v>
      </c>
      <c r="W23" s="1417" t="s">
        <v>7383</v>
      </c>
      <c r="X23" s="129">
        <f>'lead  charge'!P11</f>
        <v>3</v>
      </c>
      <c r="Y23" s="136">
        <v>993</v>
      </c>
      <c r="Z23" s="154">
        <f>'lead  charge'!Q11</f>
        <v>23.58</v>
      </c>
      <c r="AA23" s="121"/>
      <c r="AB23" s="117">
        <v>0</v>
      </c>
      <c r="AC23" s="120">
        <f t="shared" si="0"/>
        <v>1016.58</v>
      </c>
      <c r="AD23" s="120" t="s">
        <v>209</v>
      </c>
      <c r="AE23" s="129">
        <f t="shared" si="1"/>
        <v>801.9</v>
      </c>
      <c r="AF23" s="136">
        <v>729</v>
      </c>
      <c r="AG23" s="129">
        <f t="shared" si="2"/>
        <v>765.45</v>
      </c>
      <c r="AH23" s="115">
        <f t="shared" si="3"/>
        <v>801.9</v>
      </c>
      <c r="AI23" s="115">
        <f t="shared" si="4"/>
        <v>874.8</v>
      </c>
      <c r="AJ23" s="115">
        <f t="shared" si="5"/>
        <v>911.25</v>
      </c>
      <c r="AK23" s="115">
        <f t="shared" si="6"/>
        <v>1020.6</v>
      </c>
      <c r="AL23" s="115">
        <f t="shared" si="7"/>
        <v>1093.5</v>
      </c>
    </row>
    <row r="24" spans="1:38" ht="24" customHeight="1">
      <c r="A24" s="130">
        <f t="shared" si="8"/>
        <v>15</v>
      </c>
      <c r="B24" s="120" t="s">
        <v>210</v>
      </c>
      <c r="C24" s="129">
        <f t="shared" si="9"/>
        <v>246.18</v>
      </c>
      <c r="D24" s="132" t="s">
        <v>132</v>
      </c>
      <c r="K24" s="123" t="s">
        <v>52</v>
      </c>
      <c r="M24" s="129">
        <v>1.5</v>
      </c>
      <c r="N24" s="120" t="s">
        <v>132</v>
      </c>
      <c r="O24" s="120" t="s">
        <v>211</v>
      </c>
      <c r="P24" s="129">
        <f>C18</f>
        <v>121</v>
      </c>
      <c r="Q24" s="120" t="s">
        <v>132</v>
      </c>
      <c r="R24" s="129">
        <f>(M24*P24)</f>
        <v>181.5</v>
      </c>
      <c r="T24" s="121" t="s">
        <v>212</v>
      </c>
      <c r="U24" s="120" t="s">
        <v>3903</v>
      </c>
      <c r="V24" s="120" t="s">
        <v>127</v>
      </c>
      <c r="W24" s="1417" t="s">
        <v>214</v>
      </c>
      <c r="X24" s="115">
        <f>X25</f>
        <v>0</v>
      </c>
      <c r="Y24" s="136">
        <v>34300</v>
      </c>
      <c r="Z24" s="156">
        <f>Z25</f>
        <v>0</v>
      </c>
      <c r="AA24" s="119"/>
      <c r="AB24" s="117">
        <v>0</v>
      </c>
      <c r="AC24" s="120">
        <f t="shared" si="0"/>
        <v>34300</v>
      </c>
      <c r="AD24" s="120" t="s">
        <v>3904</v>
      </c>
      <c r="AE24" s="129">
        <f t="shared" si="1"/>
        <v>121</v>
      </c>
      <c r="AF24" s="136">
        <v>110</v>
      </c>
      <c r="AG24" s="129">
        <f t="shared" si="2"/>
        <v>115.5</v>
      </c>
      <c r="AH24" s="115">
        <f t="shared" si="3"/>
        <v>121</v>
      </c>
      <c r="AI24" s="115">
        <f t="shared" si="4"/>
        <v>132</v>
      </c>
      <c r="AJ24" s="115">
        <f t="shared" si="5"/>
        <v>137.5</v>
      </c>
      <c r="AK24" s="115">
        <f t="shared" si="6"/>
        <v>154</v>
      </c>
      <c r="AL24" s="115">
        <f t="shared" si="7"/>
        <v>165</v>
      </c>
    </row>
    <row r="25" spans="1:38" ht="24" customHeight="1">
      <c r="A25" s="130">
        <f t="shared" si="8"/>
        <v>16</v>
      </c>
      <c r="B25" s="120" t="s">
        <v>3905</v>
      </c>
      <c r="C25" s="131">
        <f>AE25</f>
        <v>98.34</v>
      </c>
      <c r="D25" s="132" t="s">
        <v>132</v>
      </c>
      <c r="G25" s="126" t="s">
        <v>111</v>
      </c>
      <c r="H25" s="120" t="s">
        <v>217</v>
      </c>
      <c r="M25" s="129">
        <v>1.5</v>
      </c>
      <c r="N25" s="120" t="s">
        <v>132</v>
      </c>
      <c r="O25" s="120" t="s">
        <v>218</v>
      </c>
      <c r="P25" s="129">
        <f>C27</f>
        <v>35.700000000000003</v>
      </c>
      <c r="Q25" s="120" t="s">
        <v>132</v>
      </c>
      <c r="R25" s="129">
        <f>(M25*P25)</f>
        <v>53.55</v>
      </c>
      <c r="T25" s="121" t="s">
        <v>219</v>
      </c>
      <c r="U25" s="147" t="s">
        <v>220</v>
      </c>
      <c r="V25" s="120" t="s">
        <v>127</v>
      </c>
      <c r="W25" s="145" t="s">
        <v>214</v>
      </c>
      <c r="X25" s="115">
        <f>'lead  charge'!P12</f>
        <v>0</v>
      </c>
      <c r="Y25" s="136">
        <v>39400</v>
      </c>
      <c r="Z25" s="156">
        <f>'lead  charge'!Q12</f>
        <v>0</v>
      </c>
      <c r="AA25" s="119"/>
      <c r="AB25" s="117">
        <v>0</v>
      </c>
      <c r="AC25" s="120">
        <f t="shared" si="0"/>
        <v>39400</v>
      </c>
      <c r="AD25" s="120" t="s">
        <v>3906</v>
      </c>
      <c r="AE25" s="129">
        <f t="shared" si="1"/>
        <v>98.34</v>
      </c>
      <c r="AF25" s="136">
        <v>89.4</v>
      </c>
      <c r="AG25" s="129">
        <f t="shared" si="2"/>
        <v>93.87</v>
      </c>
      <c r="AH25" s="115">
        <f t="shared" si="3"/>
        <v>98.34</v>
      </c>
      <c r="AI25" s="115">
        <f t="shared" si="4"/>
        <v>107.28</v>
      </c>
      <c r="AJ25" s="115">
        <f t="shared" si="5"/>
        <v>111.75</v>
      </c>
      <c r="AK25" s="115">
        <f t="shared" si="6"/>
        <v>125.16</v>
      </c>
      <c r="AL25" s="115">
        <f t="shared" si="7"/>
        <v>134.1</v>
      </c>
    </row>
    <row r="26" spans="1:38" ht="24" customHeight="1">
      <c r="A26" s="130">
        <f t="shared" si="8"/>
        <v>17</v>
      </c>
      <c r="B26" s="120" t="s">
        <v>3907</v>
      </c>
      <c r="C26" s="131">
        <f>AE28</f>
        <v>40.65</v>
      </c>
      <c r="D26" s="132" t="s">
        <v>223</v>
      </c>
      <c r="H26" s="123" t="s">
        <v>52</v>
      </c>
      <c r="N26" s="120" t="s">
        <v>145</v>
      </c>
      <c r="O26" s="120" t="s">
        <v>146</v>
      </c>
      <c r="P26" s="120" t="s">
        <v>85</v>
      </c>
      <c r="Q26" s="120" t="s">
        <v>145</v>
      </c>
      <c r="R26" s="129">
        <v>0</v>
      </c>
      <c r="T26" s="121" t="s">
        <v>224</v>
      </c>
      <c r="U26" s="120" t="s">
        <v>3908</v>
      </c>
      <c r="V26" s="120" t="s">
        <v>127</v>
      </c>
      <c r="W26" s="145" t="s">
        <v>214</v>
      </c>
      <c r="X26" s="115">
        <f>X25</f>
        <v>0</v>
      </c>
      <c r="Y26" s="136">
        <v>111600</v>
      </c>
      <c r="Z26" s="156">
        <f>'lead  charge'!Q12</f>
        <v>0</v>
      </c>
      <c r="AA26" s="119"/>
      <c r="AB26" s="117">
        <v>0</v>
      </c>
      <c r="AC26" s="120">
        <f t="shared" si="0"/>
        <v>111600</v>
      </c>
      <c r="AD26" s="120" t="s">
        <v>3909</v>
      </c>
      <c r="AE26" s="129">
        <f t="shared" si="1"/>
        <v>72.819999999999993</v>
      </c>
      <c r="AF26" s="136">
        <v>66.2</v>
      </c>
      <c r="AG26" s="129">
        <f t="shared" si="2"/>
        <v>69.510000000000005</v>
      </c>
      <c r="AH26" s="115">
        <f t="shared" si="3"/>
        <v>72.819999999999993</v>
      </c>
      <c r="AI26" s="115">
        <f t="shared" si="4"/>
        <v>79.44</v>
      </c>
      <c r="AJ26" s="115">
        <f t="shared" si="5"/>
        <v>82.75</v>
      </c>
      <c r="AK26" s="115">
        <f t="shared" si="6"/>
        <v>92.68</v>
      </c>
      <c r="AL26" s="115">
        <f t="shared" si="7"/>
        <v>99.3</v>
      </c>
    </row>
    <row r="27" spans="1:38" ht="24" customHeight="1">
      <c r="A27" s="130">
        <f t="shared" si="8"/>
        <v>18</v>
      </c>
      <c r="B27" s="120" t="s">
        <v>3910</v>
      </c>
      <c r="C27" s="131">
        <f>AE27</f>
        <v>35.700000000000003</v>
      </c>
      <c r="D27" s="132" t="s">
        <v>223</v>
      </c>
      <c r="E27" s="133">
        <f>(67+89.5+102.7)/3</f>
        <v>86.4</v>
      </c>
      <c r="F27" s="129">
        <v>0.48</v>
      </c>
      <c r="G27" s="126" t="s">
        <v>122</v>
      </c>
      <c r="H27" s="120" t="s">
        <v>123</v>
      </c>
      <c r="I27" s="129">
        <f>(C67)</f>
        <v>6040</v>
      </c>
      <c r="J27" s="120" t="s">
        <v>122</v>
      </c>
      <c r="K27" s="129">
        <f>(F27*I27)</f>
        <v>2899.2</v>
      </c>
      <c r="R27" s="123" t="s">
        <v>52</v>
      </c>
      <c r="T27" s="121" t="s">
        <v>228</v>
      </c>
      <c r="U27" s="120" t="s">
        <v>3911</v>
      </c>
      <c r="V27" s="120" t="s">
        <v>127</v>
      </c>
      <c r="W27" s="145" t="s">
        <v>214</v>
      </c>
      <c r="X27" s="115">
        <f>X26</f>
        <v>0</v>
      </c>
      <c r="Y27" s="136">
        <v>99400</v>
      </c>
      <c r="Z27" s="156">
        <f>Z26</f>
        <v>0</v>
      </c>
      <c r="AA27" s="119"/>
      <c r="AB27" s="117">
        <v>0</v>
      </c>
      <c r="AC27" s="120">
        <f t="shared" si="0"/>
        <v>99400</v>
      </c>
      <c r="AD27" s="120" t="s">
        <v>3912</v>
      </c>
      <c r="AE27" s="129">
        <f t="shared" si="1"/>
        <v>35.700000000000003</v>
      </c>
      <c r="AF27" s="136">
        <v>32.450000000000003</v>
      </c>
      <c r="AG27" s="129">
        <f t="shared" si="2"/>
        <v>34.07</v>
      </c>
      <c r="AH27" s="115">
        <f t="shared" si="3"/>
        <v>35.700000000000003</v>
      </c>
      <c r="AI27" s="115">
        <f t="shared" si="4"/>
        <v>38.94</v>
      </c>
      <c r="AJ27" s="115">
        <f t="shared" si="5"/>
        <v>40.56</v>
      </c>
      <c r="AK27" s="115">
        <f t="shared" si="6"/>
        <v>45.43</v>
      </c>
      <c r="AL27" s="115">
        <f t="shared" si="7"/>
        <v>48.68</v>
      </c>
    </row>
    <row r="28" spans="1:38" ht="24" customHeight="1">
      <c r="A28" s="130">
        <f t="shared" si="8"/>
        <v>19</v>
      </c>
      <c r="B28" s="120" t="s">
        <v>3913</v>
      </c>
      <c r="C28" s="133">
        <f>E27</f>
        <v>86.4</v>
      </c>
      <c r="D28" s="132" t="s">
        <v>145</v>
      </c>
      <c r="E28" s="115">
        <v>254.4</v>
      </c>
      <c r="F28" s="129">
        <v>1</v>
      </c>
      <c r="G28" s="126" t="s">
        <v>132</v>
      </c>
      <c r="H28" s="120" t="s">
        <v>133</v>
      </c>
      <c r="I28" s="129">
        <f>(C78)</f>
        <v>1642.42</v>
      </c>
      <c r="J28" s="120" t="s">
        <v>132</v>
      </c>
      <c r="K28" s="129">
        <f>(F28*I28)</f>
        <v>1642.42</v>
      </c>
      <c r="O28" s="120" t="s">
        <v>232</v>
      </c>
      <c r="R28" s="129">
        <f>SUM(R22:R26)</f>
        <v>2894.05</v>
      </c>
      <c r="T28" s="121" t="s">
        <v>233</v>
      </c>
      <c r="U28" s="120" t="s">
        <v>3914</v>
      </c>
      <c r="V28" s="120" t="s">
        <v>127</v>
      </c>
      <c r="W28" s="145" t="s">
        <v>214</v>
      </c>
      <c r="X28" s="115">
        <f>X27</f>
        <v>0</v>
      </c>
      <c r="Y28" s="136">
        <v>95000</v>
      </c>
      <c r="Z28" s="156">
        <f>Z27</f>
        <v>0</v>
      </c>
      <c r="AA28" s="119"/>
      <c r="AB28" s="117">
        <v>0</v>
      </c>
      <c r="AC28" s="120">
        <f t="shared" si="0"/>
        <v>95000</v>
      </c>
      <c r="AD28" s="120" t="s">
        <v>3915</v>
      </c>
      <c r="AE28" s="129">
        <f t="shared" si="1"/>
        <v>40.65</v>
      </c>
      <c r="AF28" s="136">
        <v>36.950000000000003</v>
      </c>
      <c r="AG28" s="129">
        <f t="shared" si="2"/>
        <v>38.799999999999997</v>
      </c>
      <c r="AH28" s="115">
        <f t="shared" si="3"/>
        <v>40.65</v>
      </c>
      <c r="AI28" s="115">
        <f t="shared" si="4"/>
        <v>44.34</v>
      </c>
      <c r="AJ28" s="115">
        <f t="shared" si="5"/>
        <v>46.19</v>
      </c>
      <c r="AK28" s="115">
        <f t="shared" si="6"/>
        <v>51.73</v>
      </c>
      <c r="AL28" s="115">
        <f t="shared" si="7"/>
        <v>55.43</v>
      </c>
    </row>
    <row r="29" spans="1:38" ht="24" customHeight="1">
      <c r="A29" s="130">
        <f t="shared" si="8"/>
        <v>20</v>
      </c>
      <c r="B29" s="120" t="s">
        <v>3916</v>
      </c>
      <c r="C29" s="131">
        <f>AE23</f>
        <v>801.9</v>
      </c>
      <c r="D29" s="132" t="s">
        <v>237</v>
      </c>
      <c r="E29" s="115">
        <f>E28/3</f>
        <v>84.8</v>
      </c>
      <c r="F29" s="129">
        <v>1</v>
      </c>
      <c r="G29" s="126" t="s">
        <v>132</v>
      </c>
      <c r="H29" s="120" t="s">
        <v>138</v>
      </c>
      <c r="I29" s="129">
        <f>(C18)</f>
        <v>121</v>
      </c>
      <c r="J29" s="120" t="s">
        <v>132</v>
      </c>
      <c r="K29" s="129">
        <f>(F29*I29)</f>
        <v>121</v>
      </c>
      <c r="R29" s="123" t="s">
        <v>52</v>
      </c>
      <c r="T29" s="121" t="s">
        <v>238</v>
      </c>
      <c r="U29" s="120" t="s">
        <v>3917</v>
      </c>
      <c r="V29" s="120" t="s">
        <v>181</v>
      </c>
      <c r="W29" s="145" t="str">
        <f>W18</f>
        <v>Nerkundram</v>
      </c>
      <c r="X29" s="129">
        <f>X18</f>
        <v>15</v>
      </c>
      <c r="Y29" s="136">
        <v>4299</v>
      </c>
      <c r="Z29" s="154">
        <f>'lead  charge'!H10</f>
        <v>137.94999999999999</v>
      </c>
      <c r="AA29" s="119"/>
      <c r="AB29" s="117">
        <v>0</v>
      </c>
      <c r="AC29" s="120">
        <f t="shared" si="0"/>
        <v>4436.95</v>
      </c>
      <c r="AD29" s="120" t="s">
        <v>3918</v>
      </c>
      <c r="AE29" s="129">
        <f t="shared" si="1"/>
        <v>116.88</v>
      </c>
      <c r="AF29" s="136">
        <v>106.25</v>
      </c>
      <c r="AG29" s="129">
        <f t="shared" si="2"/>
        <v>111.56</v>
      </c>
      <c r="AH29" s="115">
        <f t="shared" si="3"/>
        <v>116.88</v>
      </c>
      <c r="AI29" s="115">
        <f t="shared" si="4"/>
        <v>127.5</v>
      </c>
      <c r="AJ29" s="115">
        <f t="shared" si="5"/>
        <v>132.81</v>
      </c>
      <c r="AK29" s="115">
        <f t="shared" si="6"/>
        <v>148.75</v>
      </c>
      <c r="AL29" s="115">
        <f t="shared" si="7"/>
        <v>159.38</v>
      </c>
    </row>
    <row r="30" spans="1:38" ht="24" customHeight="1">
      <c r="A30" s="130">
        <f t="shared" si="8"/>
        <v>21</v>
      </c>
      <c r="B30" s="120" t="s">
        <v>3919</v>
      </c>
      <c r="C30" s="131">
        <f>AE33</f>
        <v>14278</v>
      </c>
      <c r="D30" s="134">
        <f>AE31</f>
        <v>1336.5</v>
      </c>
      <c r="G30" s="126" t="s">
        <v>145</v>
      </c>
      <c r="H30" s="120" t="s">
        <v>146</v>
      </c>
      <c r="I30" s="120" t="s">
        <v>85</v>
      </c>
      <c r="J30" s="120" t="s">
        <v>145</v>
      </c>
      <c r="K30" s="129"/>
      <c r="O30" s="120" t="s">
        <v>242</v>
      </c>
      <c r="R30" s="129">
        <f>(R28/1.5)</f>
        <v>1929.37</v>
      </c>
      <c r="T30" s="121" t="s">
        <v>243</v>
      </c>
      <c r="U30" s="120" t="s">
        <v>3920</v>
      </c>
      <c r="V30" s="120" t="s">
        <v>181</v>
      </c>
      <c r="W30" s="145" t="s">
        <v>214</v>
      </c>
      <c r="X30" s="129"/>
      <c r="Y30" s="136">
        <v>11907</v>
      </c>
      <c r="Z30" s="154"/>
      <c r="AA30" s="121"/>
      <c r="AB30" s="117">
        <v>0</v>
      </c>
      <c r="AC30" s="120">
        <f t="shared" si="0"/>
        <v>11907</v>
      </c>
      <c r="AD30" s="120" t="s">
        <v>3921</v>
      </c>
      <c r="AE30" s="129">
        <f t="shared" si="1"/>
        <v>1602.7</v>
      </c>
      <c r="AF30" s="136">
        <v>1457</v>
      </c>
      <c r="AG30" s="129">
        <f t="shared" si="2"/>
        <v>1529.85</v>
      </c>
      <c r="AH30" s="115">
        <f t="shared" si="3"/>
        <v>1602.7</v>
      </c>
      <c r="AI30" s="115">
        <f t="shared" si="4"/>
        <v>1748.4</v>
      </c>
      <c r="AJ30" s="115">
        <f t="shared" si="5"/>
        <v>1821.25</v>
      </c>
      <c r="AK30" s="115">
        <f t="shared" si="6"/>
        <v>2039.8</v>
      </c>
      <c r="AL30" s="115">
        <f t="shared" si="7"/>
        <v>2185.5</v>
      </c>
    </row>
    <row r="31" spans="1:38" ht="24" customHeight="1">
      <c r="A31" s="130">
        <f t="shared" si="8"/>
        <v>22</v>
      </c>
      <c r="B31" s="120" t="s">
        <v>3922</v>
      </c>
      <c r="C31" s="131">
        <f>AE30</f>
        <v>1602.7</v>
      </c>
      <c r="D31" s="134">
        <f>AE32</f>
        <v>1498.2</v>
      </c>
      <c r="K31" s="123" t="s">
        <v>52</v>
      </c>
      <c r="O31" s="120" t="s">
        <v>88</v>
      </c>
      <c r="R31" s="123" t="s">
        <v>89</v>
      </c>
      <c r="T31" s="121" t="s">
        <v>247</v>
      </c>
      <c r="U31" s="120" t="s">
        <v>248</v>
      </c>
      <c r="V31" s="120" t="s">
        <v>122</v>
      </c>
      <c r="W31" s="145" t="s">
        <v>214</v>
      </c>
      <c r="X31" s="129">
        <f>'lead  charge'!D14</f>
        <v>0</v>
      </c>
      <c r="Y31" s="136">
        <v>6040</v>
      </c>
      <c r="Z31" s="154">
        <f>'lead  charge'!E14</f>
        <v>0</v>
      </c>
      <c r="AA31" s="121"/>
      <c r="AB31" s="117"/>
      <c r="AC31" s="120">
        <f t="shared" si="0"/>
        <v>6040</v>
      </c>
      <c r="AD31" s="120" t="s">
        <v>3923</v>
      </c>
      <c r="AE31" s="129">
        <f t="shared" si="1"/>
        <v>1336.5</v>
      </c>
      <c r="AF31" s="136">
        <v>1215</v>
      </c>
      <c r="AG31" s="129">
        <f t="shared" si="2"/>
        <v>1275.75</v>
      </c>
      <c r="AH31" s="115">
        <f t="shared" si="3"/>
        <v>1336.5</v>
      </c>
      <c r="AI31" s="115">
        <f t="shared" si="4"/>
        <v>1458</v>
      </c>
      <c r="AJ31" s="115">
        <f t="shared" si="5"/>
        <v>1518.75</v>
      </c>
      <c r="AK31" s="115">
        <f t="shared" si="6"/>
        <v>1701</v>
      </c>
      <c r="AL31" s="115">
        <f t="shared" si="7"/>
        <v>1822.5</v>
      </c>
    </row>
    <row r="32" spans="1:38" ht="24" customHeight="1">
      <c r="A32" s="130">
        <f t="shared" si="8"/>
        <v>23</v>
      </c>
      <c r="B32" s="120" t="s">
        <v>250</v>
      </c>
      <c r="C32" s="135">
        <v>2.5</v>
      </c>
      <c r="D32" s="131">
        <f>AE34</f>
        <v>1248.5</v>
      </c>
      <c r="H32" s="120" t="s">
        <v>155</v>
      </c>
      <c r="K32" s="127">
        <f>SUM(K27:K30)</f>
        <v>4662.62</v>
      </c>
      <c r="T32" s="121" t="s">
        <v>251</v>
      </c>
      <c r="U32" s="120" t="s">
        <v>252</v>
      </c>
      <c r="V32" s="120" t="s">
        <v>122</v>
      </c>
      <c r="W32" s="145" t="s">
        <v>197</v>
      </c>
      <c r="X32" s="129">
        <f>'lead  charge'!D15</f>
        <v>0</v>
      </c>
      <c r="Y32" s="136">
        <v>58000</v>
      </c>
      <c r="Z32" s="154">
        <f>Z31</f>
        <v>0</v>
      </c>
      <c r="AA32" s="121"/>
      <c r="AB32" s="117">
        <v>0</v>
      </c>
      <c r="AC32" s="120">
        <f t="shared" si="0"/>
        <v>58000</v>
      </c>
      <c r="AD32" s="120" t="s">
        <v>3924</v>
      </c>
      <c r="AE32" s="129">
        <f t="shared" si="1"/>
        <v>1498.2</v>
      </c>
      <c r="AF32" s="136">
        <v>1362</v>
      </c>
      <c r="AG32" s="129">
        <f t="shared" si="2"/>
        <v>1430.1</v>
      </c>
      <c r="AH32" s="115">
        <f t="shared" si="3"/>
        <v>1498.2</v>
      </c>
      <c r="AI32" s="115">
        <f t="shared" si="4"/>
        <v>1634.4</v>
      </c>
      <c r="AJ32" s="115">
        <f t="shared" si="5"/>
        <v>1702.5</v>
      </c>
      <c r="AK32" s="115">
        <f t="shared" si="6"/>
        <v>1906.8</v>
      </c>
      <c r="AL32" s="115">
        <f t="shared" si="7"/>
        <v>2043</v>
      </c>
    </row>
    <row r="33" spans="1:38" ht="24" customHeight="1">
      <c r="A33" s="130">
        <f t="shared" si="8"/>
        <v>24</v>
      </c>
      <c r="B33" s="120" t="s">
        <v>254</v>
      </c>
      <c r="C33" s="135">
        <v>3.64</v>
      </c>
      <c r="D33" s="131">
        <f>AE35</f>
        <v>1118.7</v>
      </c>
      <c r="K33" s="123" t="s">
        <v>52</v>
      </c>
      <c r="T33" s="148" t="s">
        <v>255</v>
      </c>
      <c r="U33" s="120" t="s">
        <v>256</v>
      </c>
      <c r="V33" s="120" t="s">
        <v>122</v>
      </c>
      <c r="W33" s="145" t="s">
        <v>197</v>
      </c>
      <c r="X33" s="129">
        <f>X32</f>
        <v>0</v>
      </c>
      <c r="Y33" s="136">
        <v>58000</v>
      </c>
      <c r="Z33" s="154">
        <f>Z32</f>
        <v>0</v>
      </c>
      <c r="AA33" s="121"/>
      <c r="AB33" s="117">
        <v>0</v>
      </c>
      <c r="AC33" s="120">
        <f t="shared" si="0"/>
        <v>58000</v>
      </c>
      <c r="AD33" s="120" t="s">
        <v>3925</v>
      </c>
      <c r="AE33" s="129">
        <f t="shared" si="1"/>
        <v>14278</v>
      </c>
      <c r="AF33" s="136">
        <v>12980</v>
      </c>
      <c r="AG33" s="129">
        <f t="shared" si="2"/>
        <v>13629</v>
      </c>
      <c r="AH33" s="115">
        <f t="shared" si="3"/>
        <v>14278</v>
      </c>
      <c r="AI33" s="115">
        <f t="shared" si="4"/>
        <v>15576</v>
      </c>
      <c r="AJ33" s="115">
        <f t="shared" si="5"/>
        <v>16225</v>
      </c>
      <c r="AK33" s="115">
        <f t="shared" si="6"/>
        <v>18172</v>
      </c>
      <c r="AL33" s="115">
        <f t="shared" si="7"/>
        <v>19470</v>
      </c>
    </row>
    <row r="34" spans="1:38" ht="24" customHeight="1">
      <c r="A34" s="130">
        <f t="shared" si="8"/>
        <v>25</v>
      </c>
      <c r="B34" s="120" t="s">
        <v>3926</v>
      </c>
      <c r="C34" s="136">
        <f>53*1000</f>
        <v>53000</v>
      </c>
      <c r="D34" s="137">
        <f>C34</f>
        <v>53000</v>
      </c>
      <c r="G34" s="126" t="s">
        <v>111</v>
      </c>
      <c r="H34" s="120" t="s">
        <v>259</v>
      </c>
      <c r="T34" s="148" t="s">
        <v>260</v>
      </c>
      <c r="U34" s="120" t="s">
        <v>261</v>
      </c>
      <c r="V34" s="120" t="s">
        <v>181</v>
      </c>
      <c r="W34" s="145" t="str">
        <f>W18</f>
        <v>Nerkundram</v>
      </c>
      <c r="X34" s="129">
        <f>X29</f>
        <v>15</v>
      </c>
      <c r="Y34" s="136">
        <f>Y29</f>
        <v>4299</v>
      </c>
      <c r="Z34" s="154">
        <f>Z29</f>
        <v>137.94999999999999</v>
      </c>
      <c r="AA34" s="121"/>
      <c r="AB34" s="117">
        <v>0</v>
      </c>
      <c r="AC34" s="120">
        <f t="shared" si="0"/>
        <v>4436.95</v>
      </c>
      <c r="AD34" s="120" t="s">
        <v>3927</v>
      </c>
      <c r="AE34" s="129">
        <f t="shared" si="1"/>
        <v>1248.5</v>
      </c>
      <c r="AF34" s="136">
        <v>1135</v>
      </c>
      <c r="AG34" s="129">
        <f t="shared" si="2"/>
        <v>1191.75</v>
      </c>
      <c r="AH34" s="115">
        <f t="shared" si="3"/>
        <v>1248.5</v>
      </c>
      <c r="AI34" s="115">
        <f t="shared" si="4"/>
        <v>1362</v>
      </c>
      <c r="AJ34" s="115">
        <f t="shared" si="5"/>
        <v>1418.75</v>
      </c>
      <c r="AK34" s="115">
        <f t="shared" si="6"/>
        <v>1589</v>
      </c>
      <c r="AL34" s="115">
        <f t="shared" si="7"/>
        <v>1702.5</v>
      </c>
    </row>
    <row r="35" spans="1:38" ht="24" customHeight="1">
      <c r="A35" s="130">
        <f t="shared" si="8"/>
        <v>26</v>
      </c>
      <c r="B35" s="120" t="s">
        <v>276</v>
      </c>
      <c r="C35" s="131">
        <f>AC38</f>
        <v>356.78</v>
      </c>
      <c r="D35" s="138"/>
      <c r="F35" s="129">
        <v>0.36</v>
      </c>
      <c r="G35" s="126" t="s">
        <v>122</v>
      </c>
      <c r="H35" s="120" t="s">
        <v>123</v>
      </c>
      <c r="I35" s="129">
        <f>C67</f>
        <v>6040</v>
      </c>
      <c r="J35" s="120" t="s">
        <v>122</v>
      </c>
      <c r="K35" s="129">
        <f>(F35*I35)</f>
        <v>2174.4</v>
      </c>
      <c r="T35" s="121" t="s">
        <v>264</v>
      </c>
      <c r="U35" s="149" t="s">
        <v>3928</v>
      </c>
      <c r="V35" s="149" t="s">
        <v>127</v>
      </c>
      <c r="W35" s="150" t="str">
        <f>W11</f>
        <v>Pallavaram</v>
      </c>
      <c r="X35" s="151">
        <f>X11</f>
        <v>26</v>
      </c>
      <c r="Y35" s="157">
        <v>947</v>
      </c>
      <c r="Z35" s="154">
        <f>Z11</f>
        <v>262.98</v>
      </c>
      <c r="AA35" s="121"/>
      <c r="AB35" s="117"/>
      <c r="AC35" s="120">
        <f t="shared" si="0"/>
        <v>1209.98</v>
      </c>
      <c r="AD35" s="120" t="s">
        <v>3929</v>
      </c>
      <c r="AE35" s="129">
        <f t="shared" si="1"/>
        <v>1118.7</v>
      </c>
      <c r="AF35" s="136">
        <v>1017</v>
      </c>
      <c r="AG35" s="129">
        <f t="shared" si="2"/>
        <v>1067.8499999999999</v>
      </c>
      <c r="AH35" s="115">
        <f t="shared" si="3"/>
        <v>1118.7</v>
      </c>
      <c r="AI35" s="115">
        <f t="shared" si="4"/>
        <v>1220.4000000000001</v>
      </c>
      <c r="AJ35" s="115">
        <f t="shared" si="5"/>
        <v>1271.25</v>
      </c>
      <c r="AK35" s="115">
        <f t="shared" si="6"/>
        <v>1423.8</v>
      </c>
      <c r="AL35" s="115">
        <f t="shared" si="7"/>
        <v>1525.5</v>
      </c>
    </row>
    <row r="36" spans="1:38" ht="24" customHeight="1">
      <c r="A36" s="138" t="s">
        <v>85</v>
      </c>
      <c r="B36" s="120" t="s">
        <v>3930</v>
      </c>
      <c r="C36" s="129">
        <f>AE59</f>
        <v>11.22</v>
      </c>
      <c r="D36" s="138"/>
      <c r="F36" s="129">
        <v>1</v>
      </c>
      <c r="G36" s="126" t="s">
        <v>132</v>
      </c>
      <c r="H36" s="120" t="s">
        <v>133</v>
      </c>
      <c r="I36" s="129">
        <f>AC16</f>
        <v>1642.42</v>
      </c>
      <c r="J36" s="120" t="s">
        <v>132</v>
      </c>
      <c r="K36" s="129">
        <f>(F36*I36)</f>
        <v>1642.42</v>
      </c>
      <c r="T36" s="121" t="s">
        <v>268</v>
      </c>
      <c r="U36" s="149" t="s">
        <v>269</v>
      </c>
      <c r="V36" s="149" t="s">
        <v>127</v>
      </c>
      <c r="W36" s="150" t="str">
        <f>W12</f>
        <v>Pallavaram</v>
      </c>
      <c r="X36" s="151">
        <f>X11</f>
        <v>26</v>
      </c>
      <c r="Y36" s="157">
        <f>ROUND((1098+1036)/2,2)</f>
        <v>1067</v>
      </c>
      <c r="Z36" s="154">
        <f>Z11</f>
        <v>262.98</v>
      </c>
      <c r="AA36" s="121"/>
      <c r="AB36" s="117">
        <v>0</v>
      </c>
      <c r="AC36" s="120">
        <f t="shared" si="0"/>
        <v>1329.98</v>
      </c>
      <c r="AD36" s="120" t="s">
        <v>3931</v>
      </c>
      <c r="AE36" s="129">
        <f t="shared" si="1"/>
        <v>174.02</v>
      </c>
      <c r="AF36" s="136">
        <v>158.19999999999999</v>
      </c>
      <c r="AG36" s="129">
        <f t="shared" si="2"/>
        <v>166.11</v>
      </c>
      <c r="AH36" s="115">
        <f t="shared" si="3"/>
        <v>174.02</v>
      </c>
      <c r="AI36" s="115">
        <f t="shared" si="4"/>
        <v>189.84</v>
      </c>
      <c r="AJ36" s="115">
        <f t="shared" si="5"/>
        <v>197.75</v>
      </c>
      <c r="AK36" s="115">
        <f t="shared" si="6"/>
        <v>221.48</v>
      </c>
      <c r="AL36" s="115">
        <f t="shared" si="7"/>
        <v>237.3</v>
      </c>
    </row>
    <row r="37" spans="1:38" ht="24" customHeight="1">
      <c r="A37" s="138"/>
      <c r="B37" s="120" t="s">
        <v>3932</v>
      </c>
      <c r="C37" s="129">
        <f>AE60</f>
        <v>57.75</v>
      </c>
      <c r="D37" s="138"/>
      <c r="F37" s="129">
        <v>1</v>
      </c>
      <c r="G37" s="126" t="s">
        <v>132</v>
      </c>
      <c r="H37" s="120" t="s">
        <v>138</v>
      </c>
      <c r="I37" s="129">
        <f>C18</f>
        <v>121</v>
      </c>
      <c r="J37" s="120" t="s">
        <v>132</v>
      </c>
      <c r="K37" s="129">
        <f>(F37*I37)</f>
        <v>121</v>
      </c>
      <c r="T37" s="121" t="s">
        <v>271</v>
      </c>
      <c r="U37" s="149" t="s">
        <v>272</v>
      </c>
      <c r="V37" s="149" t="s">
        <v>127</v>
      </c>
      <c r="W37" s="150" t="str">
        <f>W13</f>
        <v>Pallavaram</v>
      </c>
      <c r="X37" s="151">
        <f>X36</f>
        <v>26</v>
      </c>
      <c r="Y37" s="157">
        <f>ROUND((656+800+1076+1076)/4,2)</f>
        <v>902</v>
      </c>
      <c r="Z37" s="154">
        <f>Z11</f>
        <v>262.98</v>
      </c>
      <c r="AA37" s="121"/>
      <c r="AB37" s="117">
        <v>0</v>
      </c>
      <c r="AC37" s="120">
        <f t="shared" si="0"/>
        <v>1164.98</v>
      </c>
      <c r="AD37" s="120" t="s">
        <v>3933</v>
      </c>
      <c r="AE37" s="129">
        <f t="shared" si="1"/>
        <v>875.6</v>
      </c>
      <c r="AF37" s="136">
        <v>796</v>
      </c>
      <c r="AG37" s="129">
        <f t="shared" si="2"/>
        <v>835.8</v>
      </c>
      <c r="AH37" s="115">
        <f t="shared" si="3"/>
        <v>875.6</v>
      </c>
      <c r="AI37" s="115">
        <f t="shared" si="4"/>
        <v>955.2</v>
      </c>
      <c r="AJ37" s="115">
        <f t="shared" si="5"/>
        <v>995</v>
      </c>
      <c r="AK37" s="115">
        <f t="shared" si="6"/>
        <v>1114.4000000000001</v>
      </c>
      <c r="AL37" s="115">
        <f t="shared" si="7"/>
        <v>1194</v>
      </c>
    </row>
    <row r="38" spans="1:38" ht="24" customHeight="1">
      <c r="A38" s="130">
        <f>(A35+1)</f>
        <v>27</v>
      </c>
      <c r="B38" s="120" t="s">
        <v>274</v>
      </c>
      <c r="C38" s="139">
        <v>40</v>
      </c>
      <c r="D38" s="132" t="s">
        <v>131</v>
      </c>
      <c r="G38" s="126" t="s">
        <v>145</v>
      </c>
      <c r="H38" s="120" t="s">
        <v>146</v>
      </c>
      <c r="I38" s="120" t="s">
        <v>85</v>
      </c>
      <c r="J38" s="120" t="s">
        <v>145</v>
      </c>
      <c r="K38" s="129"/>
      <c r="T38" s="121" t="s">
        <v>275</v>
      </c>
      <c r="U38" s="120" t="s">
        <v>3934</v>
      </c>
      <c r="V38" s="120" t="s">
        <v>127</v>
      </c>
      <c r="W38" s="145" t="s">
        <v>3937</v>
      </c>
      <c r="X38" s="129">
        <f>'lead  charge'!D13</f>
        <v>12</v>
      </c>
      <c r="Y38" s="158">
        <v>222.7</v>
      </c>
      <c r="Z38" s="154">
        <f>'lead  charge'!E13</f>
        <v>134.08000000000001</v>
      </c>
      <c r="AA38" s="121"/>
      <c r="AB38" s="117">
        <v>0</v>
      </c>
      <c r="AC38" s="120">
        <f t="shared" si="0"/>
        <v>356.78</v>
      </c>
      <c r="AD38" s="120" t="s">
        <v>3935</v>
      </c>
      <c r="AE38" s="129">
        <f t="shared" si="1"/>
        <v>903.1</v>
      </c>
      <c r="AF38" s="136">
        <v>821</v>
      </c>
      <c r="AG38" s="129">
        <f t="shared" si="2"/>
        <v>862.05</v>
      </c>
      <c r="AH38" s="115">
        <f t="shared" si="3"/>
        <v>903.1</v>
      </c>
      <c r="AI38" s="115">
        <f t="shared" si="4"/>
        <v>985.2</v>
      </c>
      <c r="AJ38" s="115">
        <f t="shared" si="5"/>
        <v>1026.25</v>
      </c>
      <c r="AK38" s="115">
        <f t="shared" si="6"/>
        <v>1149.4000000000001</v>
      </c>
      <c r="AL38" s="115">
        <f t="shared" si="7"/>
        <v>1231.5</v>
      </c>
    </row>
    <row r="39" spans="1:38" ht="24" customHeight="1">
      <c r="A39" s="130">
        <f t="shared" ref="A39:A58" si="10">(A38+1)</f>
        <v>28</v>
      </c>
      <c r="B39" s="120" t="s">
        <v>278</v>
      </c>
      <c r="C39" s="139">
        <v>41</v>
      </c>
      <c r="D39" s="131">
        <v>500</v>
      </c>
      <c r="K39" s="123" t="s">
        <v>52</v>
      </c>
      <c r="T39" s="121">
        <v>31</v>
      </c>
      <c r="U39" s="120" t="s">
        <v>3936</v>
      </c>
      <c r="V39" s="120" t="s">
        <v>127</v>
      </c>
      <c r="W39" s="121" t="s">
        <v>3937</v>
      </c>
      <c r="X39" s="129">
        <f>'lead  charge'!D16</f>
        <v>12</v>
      </c>
      <c r="Y39" s="158">
        <v>166.5</v>
      </c>
      <c r="Z39" s="154">
        <f>'lead  charge'!E16</f>
        <v>134.08000000000001</v>
      </c>
      <c r="AA39" s="121"/>
      <c r="AB39" s="117">
        <v>0</v>
      </c>
      <c r="AC39" s="120">
        <f t="shared" si="0"/>
        <v>300.58</v>
      </c>
      <c r="AD39" s="120" t="s">
        <v>3938</v>
      </c>
      <c r="AE39" s="129">
        <f t="shared" si="1"/>
        <v>78.05</v>
      </c>
      <c r="AF39" s="136">
        <v>70.95</v>
      </c>
      <c r="AG39" s="129">
        <f t="shared" si="2"/>
        <v>74.5</v>
      </c>
      <c r="AH39" s="115">
        <f t="shared" si="3"/>
        <v>78.05</v>
      </c>
      <c r="AI39" s="115">
        <f t="shared" si="4"/>
        <v>85.14</v>
      </c>
      <c r="AJ39" s="115">
        <f t="shared" si="5"/>
        <v>88.69</v>
      </c>
      <c r="AK39" s="115">
        <f t="shared" si="6"/>
        <v>99.33</v>
      </c>
      <c r="AL39" s="115">
        <f t="shared" si="7"/>
        <v>106.43</v>
      </c>
    </row>
    <row r="40" spans="1:38" ht="24" customHeight="1">
      <c r="A40" s="130">
        <f t="shared" si="10"/>
        <v>29</v>
      </c>
      <c r="B40" s="120" t="s">
        <v>279</v>
      </c>
      <c r="C40" s="139">
        <v>28</v>
      </c>
      <c r="D40" s="140">
        <v>116.2</v>
      </c>
      <c r="H40" s="120" t="s">
        <v>155</v>
      </c>
      <c r="K40" s="127">
        <f>SUM(K35:K38)</f>
        <v>3937.82</v>
      </c>
      <c r="T40" s="123"/>
      <c r="W40" s="121" t="s">
        <v>52</v>
      </c>
      <c r="Z40" s="156"/>
      <c r="AE40" s="129">
        <f t="shared" si="1"/>
        <v>0</v>
      </c>
      <c r="AG40" s="129">
        <f t="shared" si="2"/>
        <v>0</v>
      </c>
      <c r="AH40" s="115">
        <f t="shared" si="3"/>
        <v>0</v>
      </c>
      <c r="AI40" s="115">
        <f t="shared" si="4"/>
        <v>0</v>
      </c>
      <c r="AJ40" s="115">
        <f t="shared" si="5"/>
        <v>0</v>
      </c>
      <c r="AK40" s="115">
        <f t="shared" si="6"/>
        <v>0</v>
      </c>
      <c r="AL40" s="115">
        <f t="shared" si="7"/>
        <v>0</v>
      </c>
    </row>
    <row r="41" spans="1:38" ht="24" customHeight="1">
      <c r="A41" s="130">
        <f t="shared" si="10"/>
        <v>30</v>
      </c>
      <c r="B41" s="120" t="s">
        <v>280</v>
      </c>
      <c r="C41" s="131">
        <f>AE22</f>
        <v>770</v>
      </c>
      <c r="D41" s="132" t="s">
        <v>237</v>
      </c>
      <c r="K41" s="123" t="s">
        <v>52</v>
      </c>
      <c r="U41" s="120" t="s">
        <v>3939</v>
      </c>
      <c r="V41" s="120" t="s">
        <v>181</v>
      </c>
      <c r="W41" s="121" t="str">
        <f>W34</f>
        <v>Nerkundram</v>
      </c>
      <c r="X41" s="129">
        <f>'lead  charge'!M10</f>
        <v>15</v>
      </c>
      <c r="Y41" s="136">
        <v>6595</v>
      </c>
      <c r="Z41" s="154">
        <f>'lead  charge'!N10</f>
        <v>229.8</v>
      </c>
      <c r="AA41" s="121">
        <v>0</v>
      </c>
      <c r="AB41" s="117">
        <v>0</v>
      </c>
      <c r="AC41" s="120">
        <f t="shared" ref="AC41:AC47" si="11">SUM(Y41+Z41+AA41+AB41)</f>
        <v>6824.8</v>
      </c>
      <c r="AD41" s="159" t="s">
        <v>3940</v>
      </c>
      <c r="AE41" s="129">
        <f t="shared" si="1"/>
        <v>82.28</v>
      </c>
      <c r="AF41" s="136">
        <v>74.8</v>
      </c>
      <c r="AG41" s="129">
        <f t="shared" si="2"/>
        <v>78.540000000000006</v>
      </c>
      <c r="AH41" s="115">
        <f t="shared" si="3"/>
        <v>82.28</v>
      </c>
      <c r="AI41" s="115">
        <f t="shared" si="4"/>
        <v>89.76</v>
      </c>
      <c r="AJ41" s="115">
        <f t="shared" si="5"/>
        <v>93.5</v>
      </c>
      <c r="AK41" s="115">
        <f t="shared" si="6"/>
        <v>104.72</v>
      </c>
      <c r="AL41" s="115">
        <f t="shared" si="7"/>
        <v>112.2</v>
      </c>
    </row>
    <row r="42" spans="1:38" ht="24" customHeight="1">
      <c r="A42" s="130">
        <f t="shared" si="10"/>
        <v>31</v>
      </c>
      <c r="B42" s="120" t="s">
        <v>281</v>
      </c>
      <c r="C42" s="139">
        <v>5</v>
      </c>
      <c r="D42" s="141" t="s">
        <v>282</v>
      </c>
      <c r="G42" s="126" t="s">
        <v>111</v>
      </c>
      <c r="H42" s="120" t="s">
        <v>283</v>
      </c>
      <c r="U42" s="120" t="s">
        <v>3941</v>
      </c>
      <c r="V42" s="120" t="s">
        <v>181</v>
      </c>
      <c r="W42" s="121" t="str">
        <f>W41</f>
        <v>Nerkundram</v>
      </c>
      <c r="X42" s="129">
        <f>X41</f>
        <v>15</v>
      </c>
      <c r="Y42" s="136">
        <v>6795</v>
      </c>
      <c r="Z42" s="154">
        <f>Z41</f>
        <v>229.8</v>
      </c>
      <c r="AA42" s="121">
        <v>0</v>
      </c>
      <c r="AB42" s="117">
        <v>0</v>
      </c>
      <c r="AC42" s="120">
        <f t="shared" si="11"/>
        <v>7024.8</v>
      </c>
      <c r="AD42" s="159" t="s">
        <v>189</v>
      </c>
      <c r="AE42" s="129">
        <f t="shared" ref="AE42:AE64" si="12">AH42</f>
        <v>165.99</v>
      </c>
      <c r="AF42" s="136">
        <v>150.9</v>
      </c>
      <c r="AG42" s="129">
        <f t="shared" si="2"/>
        <v>158.44999999999999</v>
      </c>
      <c r="AH42" s="115">
        <f t="shared" si="3"/>
        <v>165.99</v>
      </c>
      <c r="AI42" s="115">
        <f t="shared" si="4"/>
        <v>181.08</v>
      </c>
      <c r="AJ42" s="115">
        <f t="shared" si="5"/>
        <v>188.63</v>
      </c>
      <c r="AK42" s="115">
        <f t="shared" si="6"/>
        <v>211.26</v>
      </c>
      <c r="AL42" s="115">
        <f t="shared" si="7"/>
        <v>226.35</v>
      </c>
    </row>
    <row r="43" spans="1:38" ht="24" customHeight="1">
      <c r="A43" s="130">
        <f t="shared" si="10"/>
        <v>32</v>
      </c>
      <c r="B43" s="120" t="s">
        <v>3942</v>
      </c>
      <c r="C43" s="136">
        <v>8.9</v>
      </c>
      <c r="D43" s="141" t="s">
        <v>237</v>
      </c>
      <c r="H43" s="123" t="s">
        <v>52</v>
      </c>
      <c r="U43" s="120" t="s">
        <v>3943</v>
      </c>
      <c r="V43" s="120" t="s">
        <v>5</v>
      </c>
      <c r="W43" s="119" t="str">
        <f>W11</f>
        <v>Pallavaram</v>
      </c>
      <c r="X43" s="115">
        <f>'lead  charge'!P13</f>
        <v>26</v>
      </c>
      <c r="Y43" s="136">
        <v>123.7</v>
      </c>
      <c r="Z43" s="154">
        <f>'lead  charge'!Q13</f>
        <v>180.7</v>
      </c>
      <c r="AA43" s="121">
        <v>0</v>
      </c>
      <c r="AB43" s="117">
        <v>0</v>
      </c>
      <c r="AC43" s="120">
        <f t="shared" si="11"/>
        <v>304.39999999999998</v>
      </c>
      <c r="AD43" s="159" t="s">
        <v>194</v>
      </c>
      <c r="AE43" s="129">
        <f t="shared" si="12"/>
        <v>165.99</v>
      </c>
      <c r="AF43" s="136">
        <f>AF42</f>
        <v>150.9</v>
      </c>
      <c r="AG43" s="129">
        <f t="shared" si="2"/>
        <v>158.44999999999999</v>
      </c>
      <c r="AH43" s="115">
        <f t="shared" si="3"/>
        <v>165.99</v>
      </c>
      <c r="AI43" s="115">
        <f t="shared" si="4"/>
        <v>181.08</v>
      </c>
      <c r="AJ43" s="115">
        <f t="shared" si="5"/>
        <v>188.63</v>
      </c>
      <c r="AK43" s="115">
        <f t="shared" si="6"/>
        <v>211.26</v>
      </c>
      <c r="AL43" s="115">
        <f t="shared" si="7"/>
        <v>226.35</v>
      </c>
    </row>
    <row r="44" spans="1:38" ht="24" customHeight="1">
      <c r="A44" s="130">
        <f t="shared" si="10"/>
        <v>33</v>
      </c>
      <c r="B44" s="120" t="s">
        <v>286</v>
      </c>
      <c r="C44" s="136">
        <v>8.9</v>
      </c>
      <c r="D44" s="141" t="s">
        <v>237</v>
      </c>
      <c r="F44" s="142">
        <v>0.28799999999999998</v>
      </c>
      <c r="G44" s="126" t="s">
        <v>122</v>
      </c>
      <c r="H44" s="120" t="s">
        <v>123</v>
      </c>
      <c r="I44" s="129">
        <f>(C67)</f>
        <v>6040</v>
      </c>
      <c r="J44" s="120" t="s">
        <v>122</v>
      </c>
      <c r="K44" s="129">
        <f>(F44*I44)</f>
        <v>1739.52</v>
      </c>
      <c r="U44" s="120" t="s">
        <v>3944</v>
      </c>
      <c r="V44" s="120" t="s">
        <v>5</v>
      </c>
      <c r="W44" s="119" t="str">
        <f>W43</f>
        <v>Pallavaram</v>
      </c>
      <c r="X44" s="115">
        <f>X11</f>
        <v>26</v>
      </c>
      <c r="Y44" s="136">
        <f>ROUND((677+1001)/2,2)</f>
        <v>839</v>
      </c>
      <c r="Z44" s="154">
        <f>Z11</f>
        <v>262.98</v>
      </c>
      <c r="AA44" s="121">
        <v>0</v>
      </c>
      <c r="AB44" s="117">
        <v>0</v>
      </c>
      <c r="AC44" s="120">
        <f t="shared" si="11"/>
        <v>1101.98</v>
      </c>
      <c r="AD44" s="159" t="s">
        <v>3945</v>
      </c>
      <c r="AE44" s="129">
        <f t="shared" si="12"/>
        <v>124.96</v>
      </c>
      <c r="AF44" s="136">
        <v>113.6</v>
      </c>
      <c r="AG44" s="129">
        <f t="shared" si="2"/>
        <v>119.28</v>
      </c>
      <c r="AH44" s="115">
        <f t="shared" si="3"/>
        <v>124.96</v>
      </c>
      <c r="AI44" s="115">
        <f t="shared" si="4"/>
        <v>136.32</v>
      </c>
      <c r="AJ44" s="115">
        <f t="shared" si="5"/>
        <v>142</v>
      </c>
      <c r="AK44" s="115">
        <f t="shared" si="6"/>
        <v>159.04</v>
      </c>
      <c r="AL44" s="115">
        <f t="shared" si="7"/>
        <v>170.4</v>
      </c>
    </row>
    <row r="45" spans="1:38" ht="24" customHeight="1">
      <c r="A45" s="130">
        <f t="shared" si="10"/>
        <v>34</v>
      </c>
      <c r="B45" s="120" t="s">
        <v>287</v>
      </c>
      <c r="C45" s="136">
        <v>10.65</v>
      </c>
      <c r="D45" s="141" t="s">
        <v>237</v>
      </c>
      <c r="F45" s="129">
        <v>1</v>
      </c>
      <c r="G45" s="126" t="s">
        <v>132</v>
      </c>
      <c r="H45" s="120" t="s">
        <v>133</v>
      </c>
      <c r="I45" s="129">
        <f>I36</f>
        <v>1642.42</v>
      </c>
      <c r="J45" s="120" t="s">
        <v>132</v>
      </c>
      <c r="K45" s="129">
        <f>(F45*I45)</f>
        <v>1642.42</v>
      </c>
      <c r="U45" s="120" t="s">
        <v>3946</v>
      </c>
      <c r="W45" s="119" t="s">
        <v>182</v>
      </c>
      <c r="X45" s="115">
        <f>'lead  charge'!M10</f>
        <v>15</v>
      </c>
      <c r="Y45" s="136">
        <v>6595</v>
      </c>
      <c r="Z45" s="156">
        <f>Z41</f>
        <v>229.8</v>
      </c>
      <c r="AC45" s="120">
        <f t="shared" si="11"/>
        <v>6824.8</v>
      </c>
      <c r="AD45" s="159" t="s">
        <v>205</v>
      </c>
      <c r="AE45" s="129">
        <f t="shared" si="12"/>
        <v>246.18</v>
      </c>
      <c r="AF45" s="136">
        <v>223.8</v>
      </c>
      <c r="AG45" s="129">
        <f t="shared" si="2"/>
        <v>234.99</v>
      </c>
      <c r="AH45" s="115">
        <f t="shared" si="3"/>
        <v>246.18</v>
      </c>
      <c r="AI45" s="115">
        <f t="shared" si="4"/>
        <v>268.56</v>
      </c>
      <c r="AJ45" s="115">
        <f t="shared" si="5"/>
        <v>279.75</v>
      </c>
      <c r="AK45" s="115">
        <f t="shared" si="6"/>
        <v>313.32</v>
      </c>
      <c r="AL45" s="115">
        <f t="shared" si="7"/>
        <v>335.7</v>
      </c>
    </row>
    <row r="46" spans="1:38" ht="24" customHeight="1">
      <c r="A46" s="130">
        <f t="shared" si="10"/>
        <v>35</v>
      </c>
      <c r="B46" s="120" t="s">
        <v>288</v>
      </c>
      <c r="C46" s="136">
        <v>12.85</v>
      </c>
      <c r="D46" s="141" t="s">
        <v>237</v>
      </c>
      <c r="F46" s="129">
        <v>1</v>
      </c>
      <c r="G46" s="126" t="s">
        <v>132</v>
      </c>
      <c r="H46" s="120" t="s">
        <v>138</v>
      </c>
      <c r="I46" s="129">
        <f>(C18)</f>
        <v>121</v>
      </c>
      <c r="J46" s="120" t="s">
        <v>132</v>
      </c>
      <c r="K46" s="129">
        <f>(F46*I46)</f>
        <v>121</v>
      </c>
      <c r="U46" s="120" t="s">
        <v>3947</v>
      </c>
      <c r="V46" s="120" t="s">
        <v>127</v>
      </c>
      <c r="W46" s="121" t="s">
        <v>7559</v>
      </c>
      <c r="X46" s="129">
        <f>'lead  charge'!D11</f>
        <v>34</v>
      </c>
      <c r="Y46" s="133">
        <v>1312</v>
      </c>
      <c r="Z46" s="154">
        <f>'lead  charge'!E11</f>
        <v>330.42</v>
      </c>
      <c r="AA46" s="121"/>
      <c r="AB46" s="117">
        <v>0</v>
      </c>
      <c r="AC46" s="120">
        <f t="shared" si="11"/>
        <v>1642.42</v>
      </c>
      <c r="AD46" s="159" t="s">
        <v>210</v>
      </c>
      <c r="AE46" s="129">
        <f t="shared" si="12"/>
        <v>246.18</v>
      </c>
      <c r="AF46" s="136">
        <f>AF45</f>
        <v>223.8</v>
      </c>
      <c r="AG46" s="129">
        <f t="shared" si="2"/>
        <v>234.99</v>
      </c>
      <c r="AH46" s="115">
        <f t="shared" si="3"/>
        <v>246.18</v>
      </c>
      <c r="AI46" s="115">
        <f t="shared" si="4"/>
        <v>268.56</v>
      </c>
      <c r="AJ46" s="115">
        <f t="shared" si="5"/>
        <v>279.75</v>
      </c>
      <c r="AK46" s="115">
        <f t="shared" si="6"/>
        <v>313.32</v>
      </c>
      <c r="AL46" s="115">
        <f t="shared" si="7"/>
        <v>335.7</v>
      </c>
    </row>
    <row r="47" spans="1:38" ht="24" customHeight="1">
      <c r="A47" s="130">
        <f t="shared" si="10"/>
        <v>36</v>
      </c>
      <c r="B47" s="120" t="s">
        <v>292</v>
      </c>
      <c r="C47" s="136">
        <v>17.350000000000001</v>
      </c>
      <c r="D47" s="141" t="s">
        <v>237</v>
      </c>
      <c r="G47" s="126" t="s">
        <v>145</v>
      </c>
      <c r="H47" s="120" t="s">
        <v>146</v>
      </c>
      <c r="I47" s="120" t="s">
        <v>85</v>
      </c>
      <c r="J47" s="120" t="s">
        <v>145</v>
      </c>
      <c r="K47" s="129"/>
      <c r="N47" s="120" t="s">
        <v>111</v>
      </c>
      <c r="O47" s="120" t="s">
        <v>293</v>
      </c>
      <c r="U47" s="120" t="s">
        <v>3948</v>
      </c>
      <c r="V47" s="120" t="s">
        <v>127</v>
      </c>
      <c r="W47" s="121" t="s">
        <v>7559</v>
      </c>
      <c r="X47" s="129">
        <f>X46</f>
        <v>34</v>
      </c>
      <c r="Y47" s="133">
        <f>Y46</f>
        <v>1312</v>
      </c>
      <c r="Z47" s="154">
        <f>Z46</f>
        <v>330.42</v>
      </c>
      <c r="AA47" s="121"/>
      <c r="AB47" s="117">
        <v>0</v>
      </c>
      <c r="AC47" s="120">
        <f t="shared" si="11"/>
        <v>1642.42</v>
      </c>
      <c r="AD47" s="160"/>
      <c r="AE47" s="129">
        <f t="shared" si="12"/>
        <v>0</v>
      </c>
      <c r="AF47" s="129"/>
      <c r="AG47" s="129">
        <f t="shared" si="2"/>
        <v>0</v>
      </c>
      <c r="AH47" s="115">
        <f t="shared" si="3"/>
        <v>0</v>
      </c>
      <c r="AI47" s="115">
        <f t="shared" si="4"/>
        <v>0</v>
      </c>
      <c r="AJ47" s="115">
        <f t="shared" si="5"/>
        <v>0</v>
      </c>
      <c r="AK47" s="115">
        <f t="shared" si="6"/>
        <v>0</v>
      </c>
      <c r="AL47" s="115">
        <f t="shared" si="7"/>
        <v>0</v>
      </c>
    </row>
    <row r="48" spans="1:38" ht="24" customHeight="1">
      <c r="A48" s="130">
        <f t="shared" si="10"/>
        <v>37</v>
      </c>
      <c r="B48" s="120" t="s">
        <v>294</v>
      </c>
      <c r="C48" s="136">
        <v>22.3</v>
      </c>
      <c r="D48" s="136">
        <v>44.9</v>
      </c>
      <c r="K48" s="123" t="s">
        <v>52</v>
      </c>
      <c r="O48" s="120" t="s">
        <v>295</v>
      </c>
      <c r="U48" s="123" t="s">
        <v>52</v>
      </c>
      <c r="V48" s="123" t="s">
        <v>52</v>
      </c>
      <c r="W48" s="121" t="s">
        <v>52</v>
      </c>
      <c r="X48" s="123" t="s">
        <v>52</v>
      </c>
      <c r="Y48" s="123" t="s">
        <v>52</v>
      </c>
      <c r="Z48" s="154" t="s">
        <v>52</v>
      </c>
      <c r="AA48" s="123" t="s">
        <v>52</v>
      </c>
      <c r="AB48" s="123" t="s">
        <v>52</v>
      </c>
      <c r="AC48" s="123" t="s">
        <v>52</v>
      </c>
      <c r="AD48" s="161" t="s">
        <v>52</v>
      </c>
      <c r="AE48" s="129" t="e">
        <f t="shared" si="12"/>
        <v>#VALUE!</v>
      </c>
      <c r="AF48" s="123" t="s">
        <v>52</v>
      </c>
      <c r="AG48" s="129" t="e">
        <f t="shared" si="2"/>
        <v>#VALUE!</v>
      </c>
      <c r="AH48" s="115" t="e">
        <f t="shared" si="3"/>
        <v>#VALUE!</v>
      </c>
      <c r="AI48" s="115" t="e">
        <f t="shared" si="4"/>
        <v>#VALUE!</v>
      </c>
      <c r="AJ48" s="115" t="e">
        <f t="shared" si="5"/>
        <v>#VALUE!</v>
      </c>
      <c r="AK48" s="115" t="e">
        <f t="shared" si="6"/>
        <v>#VALUE!</v>
      </c>
      <c r="AL48" s="115" t="e">
        <f t="shared" si="7"/>
        <v>#VALUE!</v>
      </c>
    </row>
    <row r="49" spans="1:45" ht="27.75" customHeight="1">
      <c r="A49" s="130">
        <f t="shared" si="10"/>
        <v>38</v>
      </c>
      <c r="B49" s="120" t="s">
        <v>296</v>
      </c>
      <c r="C49" s="136">
        <v>24.2</v>
      </c>
      <c r="D49" s="136">
        <v>31.5</v>
      </c>
      <c r="H49" s="120" t="s">
        <v>155</v>
      </c>
      <c r="K49" s="127">
        <f>SUM(K44:K47)</f>
        <v>3502.94</v>
      </c>
      <c r="O49" s="123" t="s">
        <v>52</v>
      </c>
      <c r="Z49" s="156"/>
      <c r="AD49" s="159" t="s">
        <v>3949</v>
      </c>
      <c r="AE49" s="129">
        <f t="shared" si="12"/>
        <v>4.4000000000000004</v>
      </c>
      <c r="AF49" s="136">
        <v>4</v>
      </c>
      <c r="AG49" s="129">
        <f t="shared" si="2"/>
        <v>4.2</v>
      </c>
      <c r="AH49" s="115">
        <f t="shared" si="3"/>
        <v>4.4000000000000004</v>
      </c>
      <c r="AI49" s="115">
        <f t="shared" si="4"/>
        <v>4.8</v>
      </c>
      <c r="AJ49" s="115">
        <f t="shared" si="5"/>
        <v>5</v>
      </c>
      <c r="AK49" s="115">
        <f t="shared" si="6"/>
        <v>5.6</v>
      </c>
      <c r="AL49" s="115">
        <f t="shared" si="7"/>
        <v>6</v>
      </c>
    </row>
    <row r="50" spans="1:45" ht="40.5" customHeight="1">
      <c r="A50" s="130">
        <f t="shared" si="10"/>
        <v>39</v>
      </c>
      <c r="B50" s="120" t="s">
        <v>3950</v>
      </c>
      <c r="C50" s="136">
        <v>12.65</v>
      </c>
      <c r="D50" s="141" t="s">
        <v>237</v>
      </c>
      <c r="K50" s="123" t="s">
        <v>52</v>
      </c>
      <c r="M50" s="129">
        <v>9</v>
      </c>
      <c r="N50" s="120" t="s">
        <v>132</v>
      </c>
      <c r="O50" s="120" t="s">
        <v>295</v>
      </c>
      <c r="P50" s="129">
        <f>(C81)</f>
        <v>817.25</v>
      </c>
      <c r="Q50" s="120" t="s">
        <v>132</v>
      </c>
      <c r="R50" s="129">
        <f>(M50*P50)</f>
        <v>7355.25</v>
      </c>
      <c r="Z50" s="156"/>
      <c r="AD50" s="159" t="s">
        <v>3951</v>
      </c>
      <c r="AE50" s="129">
        <f t="shared" si="12"/>
        <v>5.5</v>
      </c>
      <c r="AF50" s="136">
        <v>5</v>
      </c>
      <c r="AG50" s="129">
        <f t="shared" si="2"/>
        <v>5.25</v>
      </c>
      <c r="AH50" s="115">
        <f t="shared" si="3"/>
        <v>5.5</v>
      </c>
      <c r="AI50" s="115">
        <f t="shared" si="4"/>
        <v>6</v>
      </c>
      <c r="AJ50" s="115">
        <f t="shared" si="5"/>
        <v>6.25</v>
      </c>
      <c r="AK50" s="115">
        <f t="shared" si="6"/>
        <v>7</v>
      </c>
      <c r="AL50" s="115">
        <f t="shared" si="7"/>
        <v>7.5</v>
      </c>
    </row>
    <row r="51" spans="1:45" ht="24" customHeight="1">
      <c r="A51" s="130">
        <f t="shared" si="10"/>
        <v>40</v>
      </c>
      <c r="B51" s="120" t="s">
        <v>298</v>
      </c>
      <c r="C51" s="136">
        <v>12.85</v>
      </c>
      <c r="D51" s="141" t="s">
        <v>237</v>
      </c>
      <c r="G51" s="126" t="s">
        <v>111</v>
      </c>
      <c r="H51" s="120" t="s">
        <v>299</v>
      </c>
      <c r="M51" s="129">
        <v>4.5</v>
      </c>
      <c r="N51" s="120" t="s">
        <v>132</v>
      </c>
      <c r="O51" s="120" t="s">
        <v>300</v>
      </c>
      <c r="P51" s="129">
        <f>(K77)</f>
        <v>2850.62</v>
      </c>
      <c r="Q51" s="120" t="s">
        <v>132</v>
      </c>
      <c r="R51" s="129">
        <f>(M51*P51)</f>
        <v>12827.79</v>
      </c>
      <c r="Z51" s="156"/>
      <c r="AD51" s="159" t="s">
        <v>3952</v>
      </c>
      <c r="AE51" s="129">
        <f t="shared" si="12"/>
        <v>0</v>
      </c>
      <c r="AF51" s="136"/>
      <c r="AG51" s="129">
        <f t="shared" si="2"/>
        <v>0</v>
      </c>
      <c r="AH51" s="115">
        <f t="shared" si="3"/>
        <v>0</v>
      </c>
      <c r="AI51" s="115">
        <f t="shared" si="4"/>
        <v>0</v>
      </c>
      <c r="AJ51" s="115">
        <f t="shared" si="5"/>
        <v>0</v>
      </c>
      <c r="AK51" s="115">
        <f t="shared" si="6"/>
        <v>0</v>
      </c>
      <c r="AL51" s="115">
        <f t="shared" si="7"/>
        <v>0</v>
      </c>
    </row>
    <row r="52" spans="1:45" ht="24" customHeight="1">
      <c r="A52" s="130">
        <f t="shared" si="10"/>
        <v>41</v>
      </c>
      <c r="B52" s="120" t="s">
        <v>301</v>
      </c>
      <c r="C52" s="136">
        <v>26.6</v>
      </c>
      <c r="D52" s="141" t="s">
        <v>237</v>
      </c>
      <c r="H52" s="123" t="s">
        <v>52</v>
      </c>
      <c r="M52" s="129">
        <v>1.8</v>
      </c>
      <c r="N52" s="120" t="s">
        <v>131</v>
      </c>
      <c r="O52" s="120" t="s">
        <v>302</v>
      </c>
      <c r="P52" s="129">
        <f>(C11)</f>
        <v>972.4</v>
      </c>
      <c r="Q52" s="120" t="s">
        <v>131</v>
      </c>
      <c r="R52" s="129">
        <f>(M52*P52)</f>
        <v>1750.32</v>
      </c>
      <c r="Z52" s="156"/>
      <c r="AD52" s="159" t="s">
        <v>3953</v>
      </c>
      <c r="AE52" s="129">
        <f t="shared" si="12"/>
        <v>223.3</v>
      </c>
      <c r="AF52" s="162">
        <v>203</v>
      </c>
      <c r="AG52" s="129">
        <f t="shared" si="2"/>
        <v>213.15</v>
      </c>
      <c r="AH52" s="115">
        <f t="shared" si="3"/>
        <v>223.3</v>
      </c>
      <c r="AI52" s="115">
        <f t="shared" si="4"/>
        <v>243.6</v>
      </c>
      <c r="AJ52" s="115">
        <f t="shared" si="5"/>
        <v>253.75</v>
      </c>
      <c r="AK52" s="115">
        <f t="shared" si="6"/>
        <v>284.2</v>
      </c>
      <c r="AL52" s="115">
        <f t="shared" si="7"/>
        <v>304.5</v>
      </c>
    </row>
    <row r="53" spans="1:45" ht="24" customHeight="1">
      <c r="A53" s="130">
        <f t="shared" si="10"/>
        <v>42</v>
      </c>
      <c r="B53" s="120" t="s">
        <v>303</v>
      </c>
      <c r="C53" s="136">
        <v>35.9</v>
      </c>
      <c r="D53" s="136">
        <v>90.6</v>
      </c>
      <c r="F53" s="129">
        <v>0.24</v>
      </c>
      <c r="G53" s="126" t="s">
        <v>122</v>
      </c>
      <c r="H53" s="120" t="s">
        <v>123</v>
      </c>
      <c r="I53" s="129">
        <f>(C67)</f>
        <v>6040</v>
      </c>
      <c r="J53" s="120" t="s">
        <v>122</v>
      </c>
      <c r="K53" s="129">
        <f>(F53*I53)</f>
        <v>1449.6</v>
      </c>
      <c r="M53" s="129">
        <v>17.7</v>
      </c>
      <c r="N53" s="120" t="s">
        <v>131</v>
      </c>
      <c r="O53" s="120" t="s">
        <v>304</v>
      </c>
      <c r="P53" s="129">
        <f>(C12)</f>
        <v>679.8</v>
      </c>
      <c r="Q53" s="120" t="s">
        <v>131</v>
      </c>
      <c r="R53" s="129">
        <f>(M53*P53)</f>
        <v>12032.46</v>
      </c>
      <c r="Z53" s="156"/>
      <c r="AD53" s="159" t="s">
        <v>3954</v>
      </c>
      <c r="AE53" s="129">
        <f t="shared" si="12"/>
        <v>344.3</v>
      </c>
      <c r="AF53" s="162">
        <v>313</v>
      </c>
      <c r="AG53" s="129">
        <f t="shared" si="2"/>
        <v>328.65</v>
      </c>
      <c r="AH53" s="115">
        <f t="shared" si="3"/>
        <v>344.3</v>
      </c>
      <c r="AI53" s="115">
        <f t="shared" si="4"/>
        <v>375.6</v>
      </c>
      <c r="AJ53" s="115">
        <f t="shared" si="5"/>
        <v>391.25</v>
      </c>
      <c r="AK53" s="115">
        <f t="shared" si="6"/>
        <v>438.2</v>
      </c>
      <c r="AL53" s="115">
        <f t="shared" si="7"/>
        <v>469.5</v>
      </c>
    </row>
    <row r="54" spans="1:45" ht="24" customHeight="1">
      <c r="A54" s="130">
        <f t="shared" si="10"/>
        <v>43</v>
      </c>
      <c r="B54" s="120" t="s">
        <v>305</v>
      </c>
      <c r="C54" s="136">
        <v>40.450000000000003</v>
      </c>
      <c r="D54" s="136">
        <v>68.400000000000006</v>
      </c>
      <c r="F54" s="129">
        <v>1</v>
      </c>
      <c r="G54" s="126" t="s">
        <v>132</v>
      </c>
      <c r="H54" s="120" t="s">
        <v>133</v>
      </c>
      <c r="I54" s="129">
        <f>(C78)</f>
        <v>1642.42</v>
      </c>
      <c r="J54" s="120" t="s">
        <v>132</v>
      </c>
      <c r="K54" s="129">
        <f>(F54*I54)</f>
        <v>1642.42</v>
      </c>
      <c r="M54" s="129">
        <v>14.1</v>
      </c>
      <c r="N54" s="120" t="s">
        <v>131</v>
      </c>
      <c r="O54" s="120" t="s">
        <v>306</v>
      </c>
      <c r="P54" s="129">
        <f>(C13)</f>
        <v>557.70000000000005</v>
      </c>
      <c r="Q54" s="120" t="s">
        <v>131</v>
      </c>
      <c r="R54" s="129">
        <f>(M54*P54)</f>
        <v>7863.57</v>
      </c>
      <c r="Z54" s="156"/>
      <c r="AD54" s="159" t="s">
        <v>3955</v>
      </c>
      <c r="AE54" s="129">
        <f t="shared" si="12"/>
        <v>9.52</v>
      </c>
      <c r="AF54" s="162">
        <v>8.65</v>
      </c>
      <c r="AG54" s="129">
        <f t="shared" si="2"/>
        <v>9.08</v>
      </c>
      <c r="AH54" s="115">
        <f t="shared" si="3"/>
        <v>9.52</v>
      </c>
      <c r="AI54" s="115">
        <f t="shared" si="4"/>
        <v>10.38</v>
      </c>
      <c r="AJ54" s="115">
        <f t="shared" si="5"/>
        <v>10.81</v>
      </c>
      <c r="AK54" s="115">
        <f t="shared" si="6"/>
        <v>12.11</v>
      </c>
      <c r="AL54" s="115">
        <f t="shared" si="7"/>
        <v>12.98</v>
      </c>
    </row>
    <row r="55" spans="1:45" ht="24" customHeight="1">
      <c r="A55" s="130">
        <f t="shared" si="10"/>
        <v>44</v>
      </c>
      <c r="B55" s="120" t="s">
        <v>308</v>
      </c>
      <c r="C55" s="136">
        <v>44.9</v>
      </c>
      <c r="D55" s="136">
        <v>54.3</v>
      </c>
      <c r="F55" s="129">
        <v>1</v>
      </c>
      <c r="G55" s="126" t="s">
        <v>132</v>
      </c>
      <c r="H55" s="120" t="s">
        <v>138</v>
      </c>
      <c r="I55" s="129">
        <f>(C18)</f>
        <v>121</v>
      </c>
      <c r="J55" s="120" t="s">
        <v>132</v>
      </c>
      <c r="K55" s="129">
        <f>(F55*I55)</f>
        <v>121</v>
      </c>
      <c r="N55" s="120" t="s">
        <v>145</v>
      </c>
      <c r="O55" s="120" t="s">
        <v>146</v>
      </c>
      <c r="Q55" s="120" t="s">
        <v>145</v>
      </c>
      <c r="R55" s="129">
        <v>0</v>
      </c>
      <c r="Z55" s="156"/>
      <c r="AD55" s="159" t="s">
        <v>3956</v>
      </c>
      <c r="AE55" s="129">
        <f t="shared" si="12"/>
        <v>10.29</v>
      </c>
      <c r="AF55" s="162">
        <v>9.35</v>
      </c>
      <c r="AG55" s="129">
        <f t="shared" si="2"/>
        <v>9.82</v>
      </c>
      <c r="AH55" s="115">
        <f t="shared" si="3"/>
        <v>10.29</v>
      </c>
      <c r="AI55" s="115">
        <f t="shared" si="4"/>
        <v>11.22</v>
      </c>
      <c r="AJ55" s="115">
        <f t="shared" si="5"/>
        <v>11.69</v>
      </c>
      <c r="AK55" s="115">
        <f t="shared" si="6"/>
        <v>13.09</v>
      </c>
      <c r="AL55" s="115">
        <f t="shared" si="7"/>
        <v>14.03</v>
      </c>
    </row>
    <row r="56" spans="1:45" ht="35.25" customHeight="1">
      <c r="A56" s="130">
        <f t="shared" si="10"/>
        <v>45</v>
      </c>
      <c r="B56" s="120" t="s">
        <v>309</v>
      </c>
      <c r="C56" s="140">
        <v>12.1</v>
      </c>
      <c r="D56" s="132" t="s">
        <v>145</v>
      </c>
      <c r="G56" s="126" t="s">
        <v>145</v>
      </c>
      <c r="H56" s="120" t="s">
        <v>146</v>
      </c>
      <c r="I56" s="120" t="s">
        <v>85</v>
      </c>
      <c r="J56" s="120" t="s">
        <v>145</v>
      </c>
      <c r="K56" s="129"/>
      <c r="R56" s="123" t="s">
        <v>52</v>
      </c>
      <c r="AD56" s="159" t="s">
        <v>3957</v>
      </c>
      <c r="AE56" s="129">
        <f t="shared" si="12"/>
        <v>10.67</v>
      </c>
      <c r="AF56" s="162">
        <v>9.6999999999999993</v>
      </c>
      <c r="AG56" s="129">
        <f t="shared" si="2"/>
        <v>10.19</v>
      </c>
      <c r="AH56" s="115">
        <f t="shared" si="3"/>
        <v>10.67</v>
      </c>
      <c r="AI56" s="115">
        <f t="shared" si="4"/>
        <v>11.64</v>
      </c>
      <c r="AJ56" s="115">
        <f t="shared" si="5"/>
        <v>12.13</v>
      </c>
      <c r="AK56" s="115">
        <f t="shared" si="6"/>
        <v>13.58</v>
      </c>
      <c r="AL56" s="115">
        <f t="shared" si="7"/>
        <v>14.55</v>
      </c>
    </row>
    <row r="57" spans="1:45" ht="24" customHeight="1">
      <c r="A57" s="130">
        <f t="shared" si="10"/>
        <v>46</v>
      </c>
      <c r="B57" s="120" t="s">
        <v>3958</v>
      </c>
      <c r="C57" s="136">
        <f>228.6/8</f>
        <v>28.58</v>
      </c>
      <c r="D57" s="132" t="s">
        <v>145</v>
      </c>
      <c r="K57" s="123" t="s">
        <v>52</v>
      </c>
      <c r="O57" s="120" t="s">
        <v>311</v>
      </c>
      <c r="R57" s="129">
        <f>SUM(R50:R55)</f>
        <v>41829.39</v>
      </c>
      <c r="AD57" s="159" t="s">
        <v>3959</v>
      </c>
      <c r="AE57" s="129">
        <f t="shared" si="12"/>
        <v>1613.7</v>
      </c>
      <c r="AF57" s="162">
        <v>1467</v>
      </c>
      <c r="AG57" s="129">
        <f t="shared" si="2"/>
        <v>1540.35</v>
      </c>
      <c r="AH57" s="115">
        <f t="shared" si="3"/>
        <v>1613.7</v>
      </c>
      <c r="AI57" s="115">
        <f t="shared" si="4"/>
        <v>1760.4</v>
      </c>
      <c r="AJ57" s="115">
        <f t="shared" si="5"/>
        <v>1833.75</v>
      </c>
      <c r="AK57" s="115">
        <f t="shared" si="6"/>
        <v>2053.8000000000002</v>
      </c>
      <c r="AL57" s="115">
        <f t="shared" si="7"/>
        <v>2200.5</v>
      </c>
    </row>
    <row r="58" spans="1:45" ht="24" customHeight="1">
      <c r="A58" s="130">
        <f t="shared" si="10"/>
        <v>47</v>
      </c>
      <c r="B58" s="120" t="s">
        <v>3960</v>
      </c>
      <c r="C58" s="136">
        <v>11.9</v>
      </c>
      <c r="D58" s="132" t="s">
        <v>3961</v>
      </c>
      <c r="H58" s="120" t="s">
        <v>155</v>
      </c>
      <c r="K58" s="127">
        <f>SUM(K53:K56)</f>
        <v>3213.02</v>
      </c>
      <c r="R58" s="123" t="s">
        <v>52</v>
      </c>
      <c r="AD58" s="120" t="s">
        <v>3962</v>
      </c>
      <c r="AE58" s="129">
        <f t="shared" si="12"/>
        <v>1498.2</v>
      </c>
      <c r="AF58" s="136">
        <v>1362</v>
      </c>
      <c r="AG58" s="129">
        <f t="shared" si="2"/>
        <v>1430.1</v>
      </c>
      <c r="AH58" s="115">
        <f t="shared" si="3"/>
        <v>1498.2</v>
      </c>
      <c r="AI58" s="115">
        <f t="shared" si="4"/>
        <v>1634.4</v>
      </c>
      <c r="AJ58" s="115">
        <f t="shared" si="5"/>
        <v>1702.5</v>
      </c>
      <c r="AK58" s="115">
        <f t="shared" si="6"/>
        <v>1906.8</v>
      </c>
      <c r="AL58" s="115">
        <f t="shared" si="7"/>
        <v>2043</v>
      </c>
    </row>
    <row r="59" spans="1:45" ht="24" customHeight="1">
      <c r="A59" s="138"/>
      <c r="C59" s="138"/>
      <c r="D59" s="138"/>
      <c r="F59" s="120" t="s">
        <v>85</v>
      </c>
      <c r="AD59" s="120" t="s">
        <v>3930</v>
      </c>
      <c r="AE59" s="129">
        <f t="shared" si="12"/>
        <v>11.22</v>
      </c>
      <c r="AF59" s="137">
        <v>10.199999999999999</v>
      </c>
      <c r="AG59" s="129">
        <f t="shared" si="2"/>
        <v>10.71</v>
      </c>
      <c r="AH59" s="115">
        <f t="shared" si="3"/>
        <v>11.22</v>
      </c>
      <c r="AI59" s="115">
        <f t="shared" si="4"/>
        <v>12.24</v>
      </c>
      <c r="AJ59" s="115">
        <f t="shared" si="5"/>
        <v>12.75</v>
      </c>
      <c r="AK59" s="115">
        <f t="shared" si="6"/>
        <v>14.28</v>
      </c>
      <c r="AL59" s="115">
        <f t="shared" si="7"/>
        <v>15.3</v>
      </c>
      <c r="AP59" s="114" t="s">
        <v>3963</v>
      </c>
    </row>
    <row r="60" spans="1:45" ht="24" customHeight="1">
      <c r="A60" s="130">
        <f>(A58+1)</f>
        <v>48</v>
      </c>
      <c r="B60" s="120" t="s">
        <v>3964</v>
      </c>
      <c r="C60" s="136">
        <v>30.35</v>
      </c>
      <c r="D60" s="120" t="s">
        <v>314</v>
      </c>
      <c r="K60" s="123" t="s">
        <v>52</v>
      </c>
      <c r="O60" s="120" t="s">
        <v>242</v>
      </c>
      <c r="R60" s="129">
        <f>(R57/10)</f>
        <v>4182.9399999999996</v>
      </c>
      <c r="AD60" s="120" t="s">
        <v>3932</v>
      </c>
      <c r="AE60" s="129">
        <f t="shared" si="12"/>
        <v>57.75</v>
      </c>
      <c r="AF60" s="163">
        <v>52.5</v>
      </c>
      <c r="AG60" s="129">
        <f t="shared" si="2"/>
        <v>55.13</v>
      </c>
      <c r="AH60" s="115">
        <f t="shared" si="3"/>
        <v>57.75</v>
      </c>
      <c r="AI60" s="115">
        <f t="shared" si="4"/>
        <v>63</v>
      </c>
      <c r="AJ60" s="115">
        <f t="shared" si="5"/>
        <v>65.63</v>
      </c>
      <c r="AK60" s="115">
        <f t="shared" si="6"/>
        <v>73.5</v>
      </c>
      <c r="AL60" s="115">
        <f t="shared" si="7"/>
        <v>78.75</v>
      </c>
      <c r="AN60" s="167">
        <v>6.5</v>
      </c>
      <c r="AO60" s="126" t="s">
        <v>111</v>
      </c>
      <c r="AP60" s="120" t="s">
        <v>3965</v>
      </c>
      <c r="AR60" s="117"/>
    </row>
    <row r="61" spans="1:45" ht="24" customHeight="1">
      <c r="A61" s="130">
        <f t="shared" ref="A61:A91" si="13">(A60+1)</f>
        <v>49</v>
      </c>
      <c r="B61" s="120" t="s">
        <v>3966</v>
      </c>
      <c r="C61" s="129">
        <f>AE29</f>
        <v>116.88</v>
      </c>
      <c r="D61" s="129">
        <f>AE36</f>
        <v>174.02</v>
      </c>
      <c r="G61" s="126" t="s">
        <v>111</v>
      </c>
      <c r="H61" s="120" t="s">
        <v>316</v>
      </c>
      <c r="R61" s="123" t="s">
        <v>89</v>
      </c>
      <c r="AE61" s="129">
        <f t="shared" si="12"/>
        <v>0</v>
      </c>
      <c r="AG61" s="129">
        <f t="shared" si="2"/>
        <v>0</v>
      </c>
      <c r="AH61" s="115">
        <f t="shared" si="3"/>
        <v>0</v>
      </c>
      <c r="AI61" s="115">
        <f t="shared" si="4"/>
        <v>0</v>
      </c>
      <c r="AJ61" s="115">
        <f t="shared" si="5"/>
        <v>0</v>
      </c>
      <c r="AK61" s="115">
        <f t="shared" si="6"/>
        <v>0</v>
      </c>
      <c r="AL61" s="115">
        <f t="shared" si="7"/>
        <v>0</v>
      </c>
      <c r="AO61" s="116"/>
      <c r="AP61" s="120" t="s">
        <v>3967</v>
      </c>
      <c r="AR61" s="117"/>
    </row>
    <row r="62" spans="1:45" ht="24" customHeight="1">
      <c r="A62" s="130">
        <f t="shared" si="13"/>
        <v>50</v>
      </c>
      <c r="B62" s="120" t="s">
        <v>3968</v>
      </c>
      <c r="C62" s="136">
        <v>672</v>
      </c>
      <c r="D62" s="120" t="s">
        <v>131</v>
      </c>
      <c r="H62" s="123" t="s">
        <v>52</v>
      </c>
      <c r="N62" s="120" t="s">
        <v>111</v>
      </c>
      <c r="O62" s="120" t="s">
        <v>318</v>
      </c>
      <c r="AD62" s="164" t="s">
        <v>3969</v>
      </c>
      <c r="AE62" s="129">
        <f t="shared" si="12"/>
        <v>7018</v>
      </c>
      <c r="AF62" s="162">
        <v>6380</v>
      </c>
      <c r="AG62" s="129">
        <f t="shared" si="2"/>
        <v>6699</v>
      </c>
      <c r="AH62" s="115">
        <f t="shared" si="3"/>
        <v>7018</v>
      </c>
      <c r="AI62" s="115">
        <f t="shared" si="4"/>
        <v>7656</v>
      </c>
      <c r="AJ62" s="115">
        <f t="shared" si="5"/>
        <v>7975</v>
      </c>
      <c r="AK62" s="115">
        <f t="shared" si="6"/>
        <v>8932</v>
      </c>
      <c r="AL62" s="115">
        <f t="shared" si="7"/>
        <v>9570</v>
      </c>
      <c r="AO62" s="116"/>
      <c r="AP62" s="123" t="s">
        <v>52</v>
      </c>
      <c r="AR62" s="117"/>
    </row>
    <row r="63" spans="1:45" ht="24" customHeight="1">
      <c r="A63" s="130">
        <f t="shared" si="13"/>
        <v>51</v>
      </c>
      <c r="B63" s="143" t="s">
        <v>319</v>
      </c>
      <c r="C63" s="140">
        <v>42</v>
      </c>
      <c r="D63" s="120" t="s">
        <v>145</v>
      </c>
      <c r="F63" s="142">
        <v>0.20599999999999999</v>
      </c>
      <c r="G63" s="126" t="s">
        <v>122</v>
      </c>
      <c r="H63" s="120" t="s">
        <v>123</v>
      </c>
      <c r="I63" s="129">
        <f>(C67)</f>
        <v>6040</v>
      </c>
      <c r="J63" s="120" t="s">
        <v>122</v>
      </c>
      <c r="K63" s="129">
        <f>(F63*I63)</f>
        <v>1244.24</v>
      </c>
      <c r="O63" s="120" t="s">
        <v>320</v>
      </c>
      <c r="AD63" s="165" t="s">
        <v>3970</v>
      </c>
      <c r="AE63" s="129">
        <f t="shared" si="12"/>
        <v>12.6</v>
      </c>
      <c r="AF63" s="162">
        <v>11.45</v>
      </c>
      <c r="AG63" s="129">
        <f t="shared" si="2"/>
        <v>12.02</v>
      </c>
      <c r="AH63" s="115">
        <f t="shared" si="3"/>
        <v>12.6</v>
      </c>
      <c r="AI63" s="115">
        <f t="shared" si="4"/>
        <v>13.74</v>
      </c>
      <c r="AJ63" s="115">
        <f t="shared" si="5"/>
        <v>14.31</v>
      </c>
      <c r="AK63" s="115">
        <f t="shared" si="6"/>
        <v>16.03</v>
      </c>
      <c r="AL63" s="115">
        <f t="shared" si="7"/>
        <v>17.18</v>
      </c>
      <c r="AN63" s="129">
        <v>1300</v>
      </c>
      <c r="AO63" s="126" t="s">
        <v>338</v>
      </c>
      <c r="AP63" s="129" t="str">
        <f>AP61</f>
        <v>Bricks of size 23x11x7 cm</v>
      </c>
      <c r="AQ63" s="129">
        <f>AC45</f>
        <v>6824.8</v>
      </c>
      <c r="AR63" s="120" t="s">
        <v>339</v>
      </c>
      <c r="AS63" s="129">
        <f>(AN63*AQ63)/1000</f>
        <v>8872.24</v>
      </c>
    </row>
    <row r="64" spans="1:45" ht="24" customHeight="1">
      <c r="A64" s="130">
        <f t="shared" si="13"/>
        <v>52</v>
      </c>
      <c r="B64" s="120" t="s">
        <v>3971</v>
      </c>
      <c r="C64" s="136">
        <v>266</v>
      </c>
      <c r="D64" s="120" t="s">
        <v>132</v>
      </c>
      <c r="F64" s="129">
        <v>1</v>
      </c>
      <c r="G64" s="126" t="s">
        <v>132</v>
      </c>
      <c r="H64" s="120" t="s">
        <v>133</v>
      </c>
      <c r="I64" s="129">
        <f>(C78)</f>
        <v>1642.42</v>
      </c>
      <c r="J64" s="120" t="s">
        <v>132</v>
      </c>
      <c r="K64" s="129">
        <f>(F64*I64)</f>
        <v>1642.42</v>
      </c>
      <c r="O64" s="123" t="s">
        <v>52</v>
      </c>
      <c r="AD64" s="164" t="s">
        <v>3972</v>
      </c>
      <c r="AE64" s="129">
        <f t="shared" si="12"/>
        <v>48.68</v>
      </c>
      <c r="AF64" s="162">
        <v>44.25</v>
      </c>
      <c r="AG64" s="129">
        <f t="shared" si="2"/>
        <v>46.46</v>
      </c>
      <c r="AH64" s="115">
        <f t="shared" si="3"/>
        <v>48.68</v>
      </c>
      <c r="AI64" s="115">
        <f t="shared" si="4"/>
        <v>53.1</v>
      </c>
      <c r="AJ64" s="115">
        <f t="shared" si="5"/>
        <v>55.31</v>
      </c>
      <c r="AK64" s="115">
        <f t="shared" si="6"/>
        <v>61.95</v>
      </c>
      <c r="AL64" s="115">
        <f t="shared" si="7"/>
        <v>66.38</v>
      </c>
      <c r="AN64" s="142">
        <v>0.70799999999999996</v>
      </c>
      <c r="AO64" s="126" t="s">
        <v>132</v>
      </c>
      <c r="AP64" s="120" t="s">
        <v>283</v>
      </c>
      <c r="AQ64" s="129">
        <f>K49</f>
        <v>3502.94</v>
      </c>
      <c r="AR64" s="120" t="s">
        <v>132</v>
      </c>
      <c r="AS64" s="129">
        <f>(AN64*AQ64)</f>
        <v>2480.08</v>
      </c>
    </row>
    <row r="65" spans="1:45" s="112" customFormat="1" ht="24" customHeight="1">
      <c r="A65" s="168">
        <f t="shared" si="13"/>
        <v>53</v>
      </c>
      <c r="B65" s="169" t="s">
        <v>3973</v>
      </c>
      <c r="C65" s="170">
        <v>391.1</v>
      </c>
      <c r="D65" s="169" t="s">
        <v>323</v>
      </c>
      <c r="F65" s="171">
        <v>1</v>
      </c>
      <c r="G65" s="172" t="s">
        <v>132</v>
      </c>
      <c r="H65" s="169" t="s">
        <v>138</v>
      </c>
      <c r="I65" s="171">
        <f>(C18)</f>
        <v>121</v>
      </c>
      <c r="J65" s="169" t="s">
        <v>132</v>
      </c>
      <c r="K65" s="171">
        <f>(F65*I65)</f>
        <v>121</v>
      </c>
      <c r="M65" s="171">
        <v>9</v>
      </c>
      <c r="N65" s="169" t="s">
        <v>132</v>
      </c>
      <c r="O65" s="169" t="s">
        <v>320</v>
      </c>
      <c r="P65" s="171">
        <f>(C73)</f>
        <v>1729.98</v>
      </c>
      <c r="Q65" s="169" t="s">
        <v>132</v>
      </c>
      <c r="R65" s="171">
        <f>(M65*P65)</f>
        <v>15569.82</v>
      </c>
      <c r="S65" s="180"/>
      <c r="U65" s="181" t="s">
        <v>3974</v>
      </c>
      <c r="W65" s="182"/>
      <c r="AE65" s="129"/>
      <c r="AG65" s="188"/>
      <c r="AN65" s="171">
        <v>1</v>
      </c>
      <c r="AO65" s="172" t="s">
        <v>131</v>
      </c>
      <c r="AP65" s="169" t="s">
        <v>345</v>
      </c>
      <c r="AQ65" s="171">
        <f>V313</f>
        <v>1041.7</v>
      </c>
      <c r="AR65" s="169" t="s">
        <v>131</v>
      </c>
      <c r="AS65" s="171">
        <f>(AN65*AQ65)</f>
        <v>1041.7</v>
      </c>
    </row>
    <row r="66" spans="1:45" ht="24" customHeight="1">
      <c r="A66" s="130">
        <f t="shared" si="13"/>
        <v>54</v>
      </c>
      <c r="B66" s="120" t="s">
        <v>324</v>
      </c>
      <c r="C66" s="129">
        <f>AE18</f>
        <v>893.2</v>
      </c>
      <c r="D66" s="120" t="s">
        <v>131</v>
      </c>
      <c r="G66" s="126" t="s">
        <v>145</v>
      </c>
      <c r="H66" s="120" t="s">
        <v>146</v>
      </c>
      <c r="I66" s="120" t="s">
        <v>85</v>
      </c>
      <c r="J66" s="120" t="s">
        <v>145</v>
      </c>
      <c r="K66" s="129"/>
      <c r="M66" s="129">
        <v>4.5</v>
      </c>
      <c r="N66" s="120" t="s">
        <v>132</v>
      </c>
      <c r="O66" s="120" t="s">
        <v>164</v>
      </c>
      <c r="P66" s="129">
        <f>(K23)</f>
        <v>6112.22</v>
      </c>
      <c r="Q66" s="120" t="s">
        <v>132</v>
      </c>
      <c r="R66" s="129">
        <f>(M66*P66)</f>
        <v>27504.99</v>
      </c>
      <c r="U66" s="115" t="s">
        <v>3975</v>
      </c>
      <c r="V66" s="115" t="s">
        <v>1774</v>
      </c>
      <c r="W66" s="183">
        <v>195.7</v>
      </c>
      <c r="AE66" s="129"/>
      <c r="AG66" s="120"/>
      <c r="AN66" s="129">
        <v>3</v>
      </c>
      <c r="AO66" s="126" t="s">
        <v>131</v>
      </c>
      <c r="AP66" s="120" t="s">
        <v>302</v>
      </c>
      <c r="AQ66" s="129">
        <f>V314</f>
        <v>972.4</v>
      </c>
      <c r="AR66" s="120" t="s">
        <v>131</v>
      </c>
      <c r="AS66" s="129">
        <f>(AN66*AQ66)</f>
        <v>2917.2</v>
      </c>
    </row>
    <row r="67" spans="1:45" ht="24" customHeight="1">
      <c r="A67" s="130">
        <f t="shared" si="13"/>
        <v>55</v>
      </c>
      <c r="B67" s="120" t="s">
        <v>123</v>
      </c>
      <c r="C67" s="129">
        <f>AC31</f>
        <v>6040</v>
      </c>
      <c r="D67" s="120" t="s">
        <v>122</v>
      </c>
      <c r="K67" s="123" t="s">
        <v>52</v>
      </c>
      <c r="M67" s="129">
        <v>1.8</v>
      </c>
      <c r="N67" s="120" t="s">
        <v>131</v>
      </c>
      <c r="O67" s="120" t="s">
        <v>302</v>
      </c>
      <c r="P67" s="129">
        <f>(C11)</f>
        <v>972.4</v>
      </c>
      <c r="Q67" s="120" t="s">
        <v>131</v>
      </c>
      <c r="R67" s="129">
        <f>(M67*P67)</f>
        <v>1750.32</v>
      </c>
      <c r="U67" s="115" t="s">
        <v>3976</v>
      </c>
      <c r="V67" s="115" t="s">
        <v>1774</v>
      </c>
      <c r="W67" s="183">
        <v>370.25</v>
      </c>
      <c r="AE67" s="129"/>
      <c r="AG67" s="120"/>
      <c r="AN67" s="129">
        <v>2</v>
      </c>
      <c r="AO67" s="126" t="s">
        <v>131</v>
      </c>
      <c r="AP67" s="120" t="s">
        <v>304</v>
      </c>
      <c r="AQ67" s="129">
        <f>V315</f>
        <v>679.8</v>
      </c>
      <c r="AR67" s="120" t="s">
        <v>131</v>
      </c>
      <c r="AS67" s="129">
        <f>(AN67*AQ67)</f>
        <v>1359.6</v>
      </c>
    </row>
    <row r="68" spans="1:45" ht="24" customHeight="1">
      <c r="A68" s="130">
        <f t="shared" si="13"/>
        <v>56</v>
      </c>
      <c r="B68" s="120" t="s">
        <v>325</v>
      </c>
      <c r="C68" s="129">
        <f t="shared" ref="C68:C74" si="14">AC9</f>
        <v>933.23</v>
      </c>
      <c r="D68" s="120" t="s">
        <v>132</v>
      </c>
      <c r="H68" s="120" t="s">
        <v>155</v>
      </c>
      <c r="K68" s="127">
        <f>SUM(K63:K66)</f>
        <v>3007.66</v>
      </c>
      <c r="M68" s="129">
        <v>17.7</v>
      </c>
      <c r="N68" s="120" t="s">
        <v>131</v>
      </c>
      <c r="O68" s="120" t="s">
        <v>304</v>
      </c>
      <c r="P68" s="129">
        <f>(C12)</f>
        <v>679.8</v>
      </c>
      <c r="Q68" s="120" t="s">
        <v>131</v>
      </c>
      <c r="R68" s="129">
        <f>(M68*P68)</f>
        <v>12032.46</v>
      </c>
      <c r="U68" s="115" t="s">
        <v>3977</v>
      </c>
      <c r="AE68" s="129"/>
      <c r="AG68" s="120"/>
      <c r="AN68" s="129">
        <v>6</v>
      </c>
      <c r="AO68" s="126" t="s">
        <v>131</v>
      </c>
      <c r="AP68" s="120" t="s">
        <v>306</v>
      </c>
      <c r="AQ68" s="129">
        <f>V316</f>
        <v>557.70000000000005</v>
      </c>
      <c r="AR68" s="120" t="s">
        <v>131</v>
      </c>
      <c r="AS68" s="129">
        <f>(AN68*AQ68)</f>
        <v>3346.2</v>
      </c>
    </row>
    <row r="69" spans="1:45" ht="24" customHeight="1">
      <c r="A69" s="130">
        <f t="shared" si="13"/>
        <v>57</v>
      </c>
      <c r="B69" s="120" t="s">
        <v>135</v>
      </c>
      <c r="C69" s="129">
        <f t="shared" si="14"/>
        <v>1132.23</v>
      </c>
      <c r="D69" s="120" t="s">
        <v>132</v>
      </c>
      <c r="K69" s="123" t="s">
        <v>52</v>
      </c>
      <c r="M69" s="129">
        <v>14.1</v>
      </c>
      <c r="N69" s="120" t="s">
        <v>131</v>
      </c>
      <c r="O69" s="120" t="s">
        <v>306</v>
      </c>
      <c r="P69" s="129">
        <f>(C13)</f>
        <v>557.70000000000005</v>
      </c>
      <c r="Q69" s="120" t="s">
        <v>131</v>
      </c>
      <c r="R69" s="129">
        <f>(M69*P69)</f>
        <v>7863.57</v>
      </c>
      <c r="U69" s="115" t="s">
        <v>3978</v>
      </c>
      <c r="V69" s="115" t="s">
        <v>729</v>
      </c>
      <c r="W69" s="183">
        <v>9180</v>
      </c>
      <c r="AE69" s="129"/>
      <c r="AG69" s="120"/>
      <c r="AO69" s="126" t="s">
        <v>145</v>
      </c>
      <c r="AP69" s="120" t="s">
        <v>146</v>
      </c>
      <c r="AR69" s="120" t="s">
        <v>145</v>
      </c>
      <c r="AS69" s="129">
        <v>5</v>
      </c>
    </row>
    <row r="70" spans="1:45" ht="24" customHeight="1">
      <c r="A70" s="130">
        <f t="shared" si="13"/>
        <v>58</v>
      </c>
      <c r="B70" s="120" t="s">
        <v>326</v>
      </c>
      <c r="C70" s="129">
        <f t="shared" si="14"/>
        <v>1025.31</v>
      </c>
      <c r="D70" s="120" t="s">
        <v>132</v>
      </c>
      <c r="G70" s="126" t="s">
        <v>111</v>
      </c>
      <c r="H70" s="120" t="s">
        <v>300</v>
      </c>
      <c r="N70" s="120" t="s">
        <v>145</v>
      </c>
      <c r="O70" s="120" t="s">
        <v>146</v>
      </c>
      <c r="Q70" s="120" t="s">
        <v>145</v>
      </c>
      <c r="R70" s="129">
        <v>0</v>
      </c>
      <c r="U70" s="115" t="s">
        <v>3979</v>
      </c>
      <c r="V70" s="115" t="s">
        <v>729</v>
      </c>
      <c r="W70" s="183">
        <v>7140</v>
      </c>
      <c r="AE70" s="129"/>
      <c r="AG70" s="120"/>
      <c r="AO70" s="116"/>
      <c r="AR70" s="117"/>
      <c r="AS70" s="123" t="s">
        <v>52</v>
      </c>
    </row>
    <row r="71" spans="1:45" ht="24" customHeight="1">
      <c r="A71" s="130">
        <f t="shared" si="13"/>
        <v>59</v>
      </c>
      <c r="B71" s="120" t="s">
        <v>327</v>
      </c>
      <c r="C71" s="129">
        <f t="shared" si="14"/>
        <v>1263.98</v>
      </c>
      <c r="D71" s="120" t="s">
        <v>132</v>
      </c>
      <c r="H71" s="123" t="s">
        <v>52</v>
      </c>
      <c r="R71" s="123" t="s">
        <v>52</v>
      </c>
      <c r="U71" s="115" t="s">
        <v>3980</v>
      </c>
      <c r="V71" s="115" t="s">
        <v>3981</v>
      </c>
      <c r="W71" s="183">
        <v>8106</v>
      </c>
      <c r="AE71" s="129"/>
      <c r="AG71" s="120"/>
      <c r="AO71" s="116"/>
      <c r="AP71" s="120" t="s">
        <v>3982</v>
      </c>
      <c r="AR71" s="117"/>
      <c r="AS71" s="129">
        <f>SUM(AS63:AS69)</f>
        <v>20022.02</v>
      </c>
    </row>
    <row r="72" spans="1:45" ht="24" customHeight="1">
      <c r="A72" s="130">
        <f t="shared" si="13"/>
        <v>60</v>
      </c>
      <c r="B72" s="120" t="s">
        <v>328</v>
      </c>
      <c r="C72" s="129">
        <f t="shared" si="14"/>
        <v>1624.98</v>
      </c>
      <c r="D72" s="120" t="s">
        <v>132</v>
      </c>
      <c r="F72" s="129">
        <v>0.18</v>
      </c>
      <c r="G72" s="126" t="s">
        <v>122</v>
      </c>
      <c r="H72" s="120" t="s">
        <v>123</v>
      </c>
      <c r="I72" s="129">
        <f>(C67)</f>
        <v>6040</v>
      </c>
      <c r="J72" s="120" t="s">
        <v>122</v>
      </c>
      <c r="K72" s="129">
        <f>(F72*I72)</f>
        <v>1087.2</v>
      </c>
      <c r="O72" s="120" t="s">
        <v>311</v>
      </c>
      <c r="R72" s="129">
        <f>SUM(R65:R70)</f>
        <v>64721.16</v>
      </c>
      <c r="U72" s="115" t="s">
        <v>3983</v>
      </c>
      <c r="V72" s="115" t="s">
        <v>3981</v>
      </c>
      <c r="W72" s="183">
        <v>7482</v>
      </c>
      <c r="AE72" s="129"/>
      <c r="AG72" s="120"/>
      <c r="AO72" s="116"/>
      <c r="AR72" s="117"/>
      <c r="AS72" s="123" t="s">
        <v>52</v>
      </c>
    </row>
    <row r="73" spans="1:45" ht="24" customHeight="1">
      <c r="A73" s="130">
        <f t="shared" si="13"/>
        <v>61</v>
      </c>
      <c r="B73" s="120" t="s">
        <v>329</v>
      </c>
      <c r="C73" s="129">
        <f t="shared" si="14"/>
        <v>1729.98</v>
      </c>
      <c r="D73" s="120" t="s">
        <v>132</v>
      </c>
      <c r="F73" s="129">
        <v>1</v>
      </c>
      <c r="G73" s="126" t="s">
        <v>132</v>
      </c>
      <c r="H73" s="120" t="s">
        <v>133</v>
      </c>
      <c r="I73" s="129">
        <f>(C78)</f>
        <v>1642.42</v>
      </c>
      <c r="J73" s="120" t="s">
        <v>132</v>
      </c>
      <c r="K73" s="129">
        <f>(F73*I73)</f>
        <v>1642.42</v>
      </c>
      <c r="R73" s="123" t="s">
        <v>52</v>
      </c>
      <c r="AE73" s="129"/>
      <c r="AG73" s="120"/>
      <c r="AO73" s="116"/>
      <c r="AP73" s="128" t="s">
        <v>242</v>
      </c>
      <c r="AR73" s="117"/>
      <c r="AS73" s="127">
        <f>(AS71/2.83168)</f>
        <v>7070.72</v>
      </c>
    </row>
    <row r="74" spans="1:45" ht="45" customHeight="1">
      <c r="A74" s="130">
        <f t="shared" si="13"/>
        <v>62</v>
      </c>
      <c r="B74" s="120" t="s">
        <v>330</v>
      </c>
      <c r="C74" s="129">
        <f t="shared" si="14"/>
        <v>1316.98</v>
      </c>
      <c r="D74" s="120" t="s">
        <v>132</v>
      </c>
      <c r="F74" s="129">
        <v>1</v>
      </c>
      <c r="G74" s="126" t="s">
        <v>132</v>
      </c>
      <c r="H74" s="120" t="s">
        <v>138</v>
      </c>
      <c r="I74" s="129">
        <f>(C18)</f>
        <v>121</v>
      </c>
      <c r="J74" s="120" t="s">
        <v>132</v>
      </c>
      <c r="K74" s="129">
        <f>(F74*I74)</f>
        <v>121</v>
      </c>
      <c r="O74" s="120" t="s">
        <v>242</v>
      </c>
      <c r="R74" s="129">
        <f>(R72/10)</f>
        <v>6472.12</v>
      </c>
      <c r="U74" s="184" t="s">
        <v>3984</v>
      </c>
      <c r="V74" s="115" t="s">
        <v>3985</v>
      </c>
      <c r="W74" s="183">
        <v>2419</v>
      </c>
      <c r="AE74" s="129"/>
      <c r="AG74" s="120"/>
      <c r="AO74" s="116"/>
      <c r="AR74" s="117"/>
      <c r="AS74" s="123" t="s">
        <v>89</v>
      </c>
    </row>
    <row r="75" spans="1:45" ht="24" customHeight="1">
      <c r="A75" s="130">
        <f t="shared" si="13"/>
        <v>63</v>
      </c>
      <c r="B75" s="120" t="s">
        <v>331</v>
      </c>
      <c r="C75" s="139">
        <v>175</v>
      </c>
      <c r="D75" s="132" t="s">
        <v>111</v>
      </c>
      <c r="G75" s="126" t="s">
        <v>145</v>
      </c>
      <c r="H75" s="120" t="s">
        <v>146</v>
      </c>
      <c r="I75" s="120" t="s">
        <v>85</v>
      </c>
      <c r="J75" s="120" t="s">
        <v>145</v>
      </c>
      <c r="K75" s="129"/>
      <c r="R75" s="123" t="s">
        <v>89</v>
      </c>
      <c r="AE75" s="129"/>
      <c r="AG75" s="120"/>
      <c r="AO75" s="116"/>
      <c r="AP75" s="120" t="s">
        <v>53</v>
      </c>
      <c r="AR75" s="117"/>
      <c r="AS75" s="129">
        <f>AS73+C19</f>
        <v>7153</v>
      </c>
    </row>
    <row r="76" spans="1:45" ht="24" customHeight="1">
      <c r="A76" s="130">
        <f t="shared" si="13"/>
        <v>64</v>
      </c>
      <c r="B76" s="120" t="s">
        <v>332</v>
      </c>
      <c r="C76" s="139">
        <v>460</v>
      </c>
      <c r="D76" s="140">
        <v>290</v>
      </c>
      <c r="E76" s="115" t="s">
        <v>3986</v>
      </c>
      <c r="K76" s="123" t="s">
        <v>52</v>
      </c>
      <c r="N76" s="120" t="s">
        <v>111</v>
      </c>
      <c r="O76" s="120" t="s">
        <v>333</v>
      </c>
      <c r="AE76" s="129"/>
      <c r="AG76" s="120"/>
      <c r="AO76" s="116"/>
      <c r="AP76" s="120" t="s">
        <v>54</v>
      </c>
      <c r="AR76" s="117"/>
      <c r="AS76" s="129">
        <f>AS75+C20</f>
        <v>7318.99</v>
      </c>
    </row>
    <row r="77" spans="1:45" ht="24" customHeight="1">
      <c r="A77" s="130">
        <f t="shared" si="13"/>
        <v>65</v>
      </c>
      <c r="B77" s="120" t="s">
        <v>3987</v>
      </c>
      <c r="C77" s="131">
        <f>AC34</f>
        <v>4436.95</v>
      </c>
      <c r="D77" s="132" t="s">
        <v>132</v>
      </c>
      <c r="H77" s="120" t="s">
        <v>155</v>
      </c>
      <c r="K77" s="127">
        <f>SUM(K72:K75)</f>
        <v>2850.62</v>
      </c>
      <c r="O77" s="120" t="s">
        <v>3988</v>
      </c>
      <c r="AE77" s="129"/>
      <c r="AG77" s="120"/>
      <c r="AO77" s="116"/>
      <c r="AP77" s="120" t="s">
        <v>55</v>
      </c>
      <c r="AR77" s="117"/>
      <c r="AS77" s="129">
        <f>AS76+C20</f>
        <v>7484.98</v>
      </c>
    </row>
    <row r="78" spans="1:45" ht="24" customHeight="1">
      <c r="A78" s="130">
        <f t="shared" si="13"/>
        <v>66</v>
      </c>
      <c r="B78" s="120" t="s">
        <v>336</v>
      </c>
      <c r="C78" s="131">
        <f t="shared" ref="C78:C91" si="15">AC16</f>
        <v>1642.42</v>
      </c>
      <c r="D78" s="132" t="s">
        <v>132</v>
      </c>
      <c r="K78" s="123" t="s">
        <v>52</v>
      </c>
      <c r="O78" s="123" t="s">
        <v>52</v>
      </c>
      <c r="AE78" s="129"/>
      <c r="AG78" s="120"/>
      <c r="AO78" s="116"/>
      <c r="AP78" s="120" t="s">
        <v>56</v>
      </c>
      <c r="AR78" s="117"/>
      <c r="AS78" s="129">
        <f>AS77+C20</f>
        <v>7650.97</v>
      </c>
    </row>
    <row r="79" spans="1:45" ht="24" customHeight="1">
      <c r="A79" s="130">
        <f t="shared" si="13"/>
        <v>67</v>
      </c>
      <c r="B79" s="120" t="s">
        <v>173</v>
      </c>
      <c r="C79" s="131">
        <f t="shared" si="15"/>
        <v>1642.42</v>
      </c>
      <c r="D79" s="132" t="s">
        <v>132</v>
      </c>
      <c r="F79" s="167">
        <v>1.1000000000000001</v>
      </c>
      <c r="G79" s="126" t="s">
        <v>85</v>
      </c>
      <c r="H79" s="120" t="s">
        <v>337</v>
      </c>
      <c r="M79" s="129">
        <v>4600</v>
      </c>
      <c r="N79" s="120" t="s">
        <v>338</v>
      </c>
      <c r="O79" s="120" t="s">
        <v>335</v>
      </c>
      <c r="P79" s="129">
        <f>AC41</f>
        <v>6824.8</v>
      </c>
      <c r="Q79" s="120" t="s">
        <v>339</v>
      </c>
      <c r="R79" s="129">
        <f>(M79*P79)/1000</f>
        <v>31394.080000000002</v>
      </c>
      <c r="S79" s="185">
        <v>1.1000000000000001</v>
      </c>
      <c r="T79" s="126" t="s">
        <v>85</v>
      </c>
      <c r="U79" s="122" t="s">
        <v>3989</v>
      </c>
      <c r="AE79" s="129"/>
      <c r="AG79" s="120"/>
      <c r="AO79" s="116"/>
      <c r="AP79" s="120" t="s">
        <v>526</v>
      </c>
      <c r="AR79" s="117"/>
      <c r="AS79" s="129">
        <f>AS78+C20</f>
        <v>7816.96</v>
      </c>
    </row>
    <row r="80" spans="1:45" ht="24" customHeight="1">
      <c r="A80" s="130">
        <f t="shared" si="13"/>
        <v>68</v>
      </c>
      <c r="B80" s="120" t="s">
        <v>340</v>
      </c>
      <c r="C80" s="131">
        <f t="shared" si="15"/>
        <v>5846.95</v>
      </c>
      <c r="D80" s="132" t="s">
        <v>341</v>
      </c>
      <c r="F80" s="173" t="s">
        <v>85</v>
      </c>
      <c r="H80" s="120" t="s">
        <v>342</v>
      </c>
      <c r="M80" s="129">
        <v>2.5</v>
      </c>
      <c r="N80" s="120" t="s">
        <v>132</v>
      </c>
      <c r="O80" s="120" t="s">
        <v>283</v>
      </c>
      <c r="P80" s="129">
        <f>(K49)</f>
        <v>3502.94</v>
      </c>
      <c r="Q80" s="120" t="s">
        <v>132</v>
      </c>
      <c r="R80" s="129">
        <f>(M80*P80)</f>
        <v>8757.35</v>
      </c>
      <c r="S80" s="186" t="s">
        <v>85</v>
      </c>
      <c r="T80" s="116"/>
      <c r="U80" s="120" t="s">
        <v>342</v>
      </c>
      <c r="AE80" s="129"/>
      <c r="AG80" s="120"/>
      <c r="AQ80" s="137"/>
      <c r="AS80" s="120"/>
    </row>
    <row r="81" spans="1:45" ht="24" customHeight="1">
      <c r="A81" s="130">
        <f t="shared" si="13"/>
        <v>69</v>
      </c>
      <c r="B81" s="120" t="s">
        <v>343</v>
      </c>
      <c r="C81" s="131">
        <f t="shared" si="15"/>
        <v>817.25</v>
      </c>
      <c r="D81" s="132" t="s">
        <v>132</v>
      </c>
      <c r="F81" s="129">
        <v>10</v>
      </c>
      <c r="G81" s="126" t="s">
        <v>132</v>
      </c>
      <c r="H81" s="120" t="s">
        <v>344</v>
      </c>
      <c r="I81" s="129">
        <f>(C61)</f>
        <v>116.88</v>
      </c>
      <c r="J81" s="120" t="s">
        <v>132</v>
      </c>
      <c r="K81" s="129">
        <f>(F81*I81)</f>
        <v>1168.8</v>
      </c>
      <c r="M81" s="129">
        <v>3.5</v>
      </c>
      <c r="N81" s="120" t="s">
        <v>131</v>
      </c>
      <c r="O81" s="120" t="s">
        <v>345</v>
      </c>
      <c r="P81" s="129">
        <f>(C10)</f>
        <v>1041.7</v>
      </c>
      <c r="Q81" s="120" t="s">
        <v>131</v>
      </c>
      <c r="R81" s="129">
        <f>(M81*P81)</f>
        <v>3645.95</v>
      </c>
      <c r="S81" s="142">
        <v>10</v>
      </c>
      <c r="T81" s="126" t="s">
        <v>132</v>
      </c>
      <c r="U81" s="120" t="s">
        <v>344</v>
      </c>
      <c r="V81" s="129">
        <f>AE39</f>
        <v>78.05</v>
      </c>
      <c r="W81" s="121" t="s">
        <v>132</v>
      </c>
      <c r="X81" s="129">
        <f>(S81*V81)</f>
        <v>780.5</v>
      </c>
      <c r="AE81" s="129"/>
      <c r="AG81" s="120"/>
      <c r="AQ81" s="137"/>
      <c r="AS81" s="120"/>
    </row>
    <row r="82" spans="1:45" ht="24" customHeight="1">
      <c r="A82" s="130">
        <f t="shared" si="13"/>
        <v>70</v>
      </c>
      <c r="B82" s="120" t="s">
        <v>346</v>
      </c>
      <c r="C82" s="131">
        <f t="shared" si="15"/>
        <v>898.25</v>
      </c>
      <c r="D82" s="132" t="s">
        <v>132</v>
      </c>
      <c r="F82" s="129">
        <v>10</v>
      </c>
      <c r="G82" s="126" t="s">
        <v>132</v>
      </c>
      <c r="H82" s="120" t="s">
        <v>347</v>
      </c>
      <c r="I82" s="129">
        <f>(C61)</f>
        <v>116.88</v>
      </c>
      <c r="J82" s="120" t="s">
        <v>132</v>
      </c>
      <c r="K82" s="129">
        <f>(F82*I82)</f>
        <v>1168.8</v>
      </c>
      <c r="L82" s="115">
        <f>I82+I81</f>
        <v>233.76</v>
      </c>
      <c r="M82" s="129">
        <v>10.6</v>
      </c>
      <c r="N82" s="120" t="s">
        <v>131</v>
      </c>
      <c r="O82" s="120" t="s">
        <v>302</v>
      </c>
      <c r="P82" s="129">
        <f>(C11)</f>
        <v>972.4</v>
      </c>
      <c r="Q82" s="120" t="s">
        <v>131</v>
      </c>
      <c r="R82" s="129">
        <f>(M82*P82)</f>
        <v>10307.44</v>
      </c>
      <c r="S82" s="142">
        <v>10</v>
      </c>
      <c r="T82" s="126" t="s">
        <v>132</v>
      </c>
      <c r="U82" s="120" t="s">
        <v>347</v>
      </c>
      <c r="V82" s="129">
        <f>V81</f>
        <v>78.05</v>
      </c>
      <c r="W82" s="121" t="s">
        <v>132</v>
      </c>
      <c r="X82" s="129">
        <f>(S82*V82)</f>
        <v>780.5</v>
      </c>
      <c r="AE82" s="129"/>
      <c r="AG82" s="120"/>
      <c r="AQ82" s="137"/>
      <c r="AS82" s="120"/>
    </row>
    <row r="83" spans="1:45" ht="24" customHeight="1">
      <c r="A83" s="130">
        <f t="shared" si="13"/>
        <v>71</v>
      </c>
      <c r="B83" s="120" t="s">
        <v>348</v>
      </c>
      <c r="C83" s="131">
        <f t="shared" si="15"/>
        <v>16106</v>
      </c>
      <c r="D83" s="132" t="s">
        <v>341</v>
      </c>
      <c r="E83" s="174">
        <v>8710</v>
      </c>
      <c r="F83" s="129">
        <v>10</v>
      </c>
      <c r="G83" s="126" t="s">
        <v>132</v>
      </c>
      <c r="H83" s="120" t="s">
        <v>349</v>
      </c>
      <c r="I83" s="129">
        <f>(C26)/3</f>
        <v>13.55</v>
      </c>
      <c r="J83" s="120" t="s">
        <v>132</v>
      </c>
      <c r="K83" s="129">
        <f>(F83*I83)</f>
        <v>135.5</v>
      </c>
      <c r="M83" s="129">
        <v>7.1</v>
      </c>
      <c r="N83" s="120" t="s">
        <v>131</v>
      </c>
      <c r="O83" s="120" t="s">
        <v>304</v>
      </c>
      <c r="P83" s="129">
        <f>(C12)</f>
        <v>679.8</v>
      </c>
      <c r="Q83" s="120" t="s">
        <v>131</v>
      </c>
      <c r="R83" s="129">
        <f>(M83*P83)</f>
        <v>4826.58</v>
      </c>
      <c r="S83" s="142">
        <v>10</v>
      </c>
      <c r="T83" s="126" t="s">
        <v>132</v>
      </c>
      <c r="U83" s="120" t="s">
        <v>349</v>
      </c>
      <c r="V83" s="129">
        <f>AE27/3</f>
        <v>11.9</v>
      </c>
      <c r="W83" s="121" t="s">
        <v>132</v>
      </c>
      <c r="X83" s="129">
        <f>(S83*V83)</f>
        <v>119</v>
      </c>
      <c r="AE83" s="129"/>
      <c r="AG83" s="120"/>
      <c r="AQ83" s="137"/>
      <c r="AS83" s="120"/>
    </row>
    <row r="84" spans="1:45" ht="24" customHeight="1">
      <c r="A84" s="130">
        <f t="shared" si="13"/>
        <v>72</v>
      </c>
      <c r="B84" s="120" t="s">
        <v>350</v>
      </c>
      <c r="C84" s="131">
        <f t="shared" si="15"/>
        <v>1348</v>
      </c>
      <c r="D84" s="132" t="s">
        <v>132</v>
      </c>
      <c r="G84" s="126" t="s">
        <v>145</v>
      </c>
      <c r="H84" s="120" t="s">
        <v>146</v>
      </c>
      <c r="J84" s="120" t="s">
        <v>145</v>
      </c>
      <c r="K84" s="129">
        <v>0</v>
      </c>
      <c r="M84" s="129">
        <v>21.2</v>
      </c>
      <c r="N84" s="120" t="s">
        <v>131</v>
      </c>
      <c r="O84" s="120" t="s">
        <v>306</v>
      </c>
      <c r="P84" s="129">
        <f>(C13)</f>
        <v>557.70000000000005</v>
      </c>
      <c r="Q84" s="120" t="s">
        <v>131</v>
      </c>
      <c r="R84" s="129">
        <f>(M84*P84)</f>
        <v>11823.24</v>
      </c>
      <c r="T84" s="126" t="s">
        <v>145</v>
      </c>
      <c r="U84" s="120" t="s">
        <v>146</v>
      </c>
      <c r="W84" s="121" t="s">
        <v>145</v>
      </c>
      <c r="X84" s="129">
        <v>0</v>
      </c>
      <c r="AE84" s="129"/>
      <c r="AG84" s="120"/>
      <c r="AN84" s="148">
        <v>9</v>
      </c>
      <c r="AO84" s="126" t="s">
        <v>111</v>
      </c>
      <c r="AP84" s="120" t="s">
        <v>3990</v>
      </c>
      <c r="AR84" s="117"/>
    </row>
    <row r="85" spans="1:45" ht="24" customHeight="1">
      <c r="A85" s="130">
        <f t="shared" si="13"/>
        <v>73</v>
      </c>
      <c r="B85" s="120" t="s">
        <v>202</v>
      </c>
      <c r="C85" s="131">
        <f t="shared" si="15"/>
        <v>1016.58</v>
      </c>
      <c r="D85" s="132" t="s">
        <v>132</v>
      </c>
      <c r="K85" s="123" t="s">
        <v>52</v>
      </c>
      <c r="N85" s="120" t="s">
        <v>145</v>
      </c>
      <c r="O85" s="120" t="s">
        <v>146</v>
      </c>
      <c r="Q85" s="120" t="s">
        <v>145</v>
      </c>
      <c r="R85" s="129">
        <v>0</v>
      </c>
      <c r="T85" s="116"/>
      <c r="X85" s="123" t="s">
        <v>52</v>
      </c>
      <c r="AE85" s="129"/>
      <c r="AG85" s="120"/>
      <c r="AO85" s="116"/>
      <c r="AP85" s="120" t="str">
        <f>AP61</f>
        <v>Bricks of size 23x11x7 cm</v>
      </c>
      <c r="AR85" s="117"/>
    </row>
    <row r="86" spans="1:45" ht="24" customHeight="1">
      <c r="A86" s="130">
        <f t="shared" si="13"/>
        <v>74</v>
      </c>
      <c r="B86" s="120" t="s">
        <v>3991</v>
      </c>
      <c r="C86" s="131">
        <f t="shared" si="15"/>
        <v>34300</v>
      </c>
      <c r="D86" s="132" t="s">
        <v>132</v>
      </c>
      <c r="H86" s="120" t="s">
        <v>311</v>
      </c>
      <c r="K86" s="129">
        <f>SUM(K81:K84)</f>
        <v>2473.1</v>
      </c>
      <c r="R86" s="123" t="s">
        <v>52</v>
      </c>
      <c r="T86" s="116"/>
      <c r="U86" s="120" t="s">
        <v>311</v>
      </c>
      <c r="X86" s="129">
        <f>SUM(X81:X84)</f>
        <v>1680</v>
      </c>
      <c r="AE86" s="129"/>
      <c r="AG86" s="120"/>
      <c r="AO86" s="116"/>
      <c r="AP86" s="123" t="s">
        <v>52</v>
      </c>
      <c r="AR86" s="117"/>
    </row>
    <row r="87" spans="1:45" ht="24" customHeight="1">
      <c r="A87" s="130">
        <f t="shared" si="13"/>
        <v>75</v>
      </c>
      <c r="B87" s="120" t="s">
        <v>352</v>
      </c>
      <c r="C87" s="131">
        <f t="shared" si="15"/>
        <v>39400</v>
      </c>
      <c r="D87" s="132" t="s">
        <v>132</v>
      </c>
      <c r="K87" s="123" t="s">
        <v>52</v>
      </c>
      <c r="O87" s="120" t="s">
        <v>311</v>
      </c>
      <c r="R87" s="129">
        <f>SUM(R79:R85)</f>
        <v>70754.64</v>
      </c>
      <c r="T87" s="116"/>
      <c r="X87" s="123" t="s">
        <v>52</v>
      </c>
      <c r="AE87" s="129"/>
      <c r="AG87" s="120"/>
      <c r="AN87" s="129">
        <f>AN63</f>
        <v>1300</v>
      </c>
      <c r="AO87" s="126" t="s">
        <v>338</v>
      </c>
      <c r="AP87" s="129" t="str">
        <f>AP61</f>
        <v>Bricks of size 23x11x7 cm</v>
      </c>
      <c r="AQ87" s="129">
        <f>AC45</f>
        <v>6824.8</v>
      </c>
      <c r="AR87" s="120" t="s">
        <v>339</v>
      </c>
      <c r="AS87" s="129">
        <f>AQ87*AN87/1000</f>
        <v>8872.24</v>
      </c>
    </row>
    <row r="88" spans="1:45" ht="36" customHeight="1">
      <c r="A88" s="130">
        <f t="shared" si="13"/>
        <v>76</v>
      </c>
      <c r="B88" s="120" t="s">
        <v>353</v>
      </c>
      <c r="C88" s="131">
        <f t="shared" si="15"/>
        <v>111600</v>
      </c>
      <c r="D88" s="132" t="s">
        <v>132</v>
      </c>
      <c r="H88" s="122" t="s">
        <v>354</v>
      </c>
      <c r="I88" s="114" t="s">
        <v>355</v>
      </c>
      <c r="J88" s="178"/>
      <c r="K88" s="127">
        <f>(K86/10)</f>
        <v>247.31</v>
      </c>
      <c r="R88" s="123" t="s">
        <v>52</v>
      </c>
      <c r="T88" s="116"/>
      <c r="U88" s="122" t="s">
        <v>354</v>
      </c>
      <c r="V88" s="114" t="s">
        <v>355</v>
      </c>
      <c r="W88" s="166"/>
      <c r="X88" s="127">
        <f>(X86/10)</f>
        <v>168</v>
      </c>
      <c r="AE88" s="129"/>
      <c r="AG88" s="120"/>
      <c r="AN88" s="142">
        <f>AN64</f>
        <v>0.70799999999999996</v>
      </c>
      <c r="AO88" s="126" t="s">
        <v>132</v>
      </c>
      <c r="AP88" s="120" t="s">
        <v>299</v>
      </c>
      <c r="AQ88" s="129">
        <f>K58</f>
        <v>3213.02</v>
      </c>
      <c r="AR88" s="120" t="s">
        <v>132</v>
      </c>
      <c r="AS88" s="129">
        <f>AQ88*AN88</f>
        <v>2274.8200000000002</v>
      </c>
    </row>
    <row r="89" spans="1:45" ht="19.5" customHeight="1">
      <c r="A89" s="130">
        <f t="shared" si="13"/>
        <v>77</v>
      </c>
      <c r="B89" s="120" t="s">
        <v>356</v>
      </c>
      <c r="C89" s="131">
        <f t="shared" si="15"/>
        <v>99400</v>
      </c>
      <c r="D89" s="132" t="s">
        <v>132</v>
      </c>
      <c r="I89" s="114" t="s">
        <v>357</v>
      </c>
      <c r="J89" s="178"/>
      <c r="K89" s="125">
        <f>ROUND(K88+C36,2)</f>
        <v>258.52999999999997</v>
      </c>
      <c r="L89" s="115">
        <f>K89+C36</f>
        <v>269.75</v>
      </c>
      <c r="M89" s="115">
        <f>L89+C36</f>
        <v>280.97000000000003</v>
      </c>
      <c r="O89" s="120" t="s">
        <v>242</v>
      </c>
      <c r="R89" s="129">
        <f>(R87/10)</f>
        <v>7075.46</v>
      </c>
      <c r="T89" s="116"/>
      <c r="V89" s="114" t="s">
        <v>357</v>
      </c>
      <c r="W89" s="166"/>
      <c r="X89" s="125">
        <f>ROUND(X88+C36,2)</f>
        <v>179.22</v>
      </c>
      <c r="AE89" s="129"/>
      <c r="AG89" s="120"/>
      <c r="AN89" s="129">
        <v>1</v>
      </c>
      <c r="AO89" s="126" t="s">
        <v>131</v>
      </c>
      <c r="AP89" s="120" t="s">
        <v>345</v>
      </c>
      <c r="AQ89" s="129">
        <f>AQ65</f>
        <v>1041.7</v>
      </c>
      <c r="AR89" s="120" t="s">
        <v>131</v>
      </c>
      <c r="AS89" s="129">
        <f>AQ89*AN89</f>
        <v>1041.7</v>
      </c>
    </row>
    <row r="90" spans="1:45" ht="36" customHeight="1">
      <c r="A90" s="130">
        <f t="shared" si="13"/>
        <v>78</v>
      </c>
      <c r="B90" s="120" t="s">
        <v>3992</v>
      </c>
      <c r="C90" s="131">
        <f t="shared" si="15"/>
        <v>95000</v>
      </c>
      <c r="D90" s="132" t="s">
        <v>132</v>
      </c>
      <c r="F90" s="148" t="s">
        <v>359</v>
      </c>
      <c r="H90" s="175" t="s">
        <v>360</v>
      </c>
      <c r="I90" s="114" t="s">
        <v>355</v>
      </c>
      <c r="J90" s="178"/>
      <c r="K90" s="127">
        <f>K88-K83/10</f>
        <v>233.76</v>
      </c>
      <c r="R90" s="123" t="s">
        <v>89</v>
      </c>
      <c r="S90" s="185" t="s">
        <v>359</v>
      </c>
      <c r="T90" s="116"/>
      <c r="U90" s="175" t="s">
        <v>3993</v>
      </c>
      <c r="V90" s="114" t="s">
        <v>355</v>
      </c>
      <c r="W90" s="166"/>
      <c r="X90" s="127">
        <f>X88-X83/10</f>
        <v>156.1</v>
      </c>
      <c r="AE90" s="129"/>
      <c r="AG90" s="120"/>
      <c r="AN90" s="129">
        <v>3</v>
      </c>
      <c r="AO90" s="126" t="s">
        <v>131</v>
      </c>
      <c r="AP90" s="120" t="s">
        <v>302</v>
      </c>
      <c r="AQ90" s="129">
        <f>AQ66</f>
        <v>972.4</v>
      </c>
      <c r="AR90" s="120" t="s">
        <v>131</v>
      </c>
      <c r="AS90" s="129">
        <f>AQ90*AN90</f>
        <v>2917.2</v>
      </c>
    </row>
    <row r="91" spans="1:45" ht="24" customHeight="1">
      <c r="A91" s="130">
        <f t="shared" si="13"/>
        <v>79</v>
      </c>
      <c r="B91" s="120" t="s">
        <v>3994</v>
      </c>
      <c r="C91" s="131">
        <f t="shared" si="15"/>
        <v>4436.95</v>
      </c>
      <c r="D91" s="132" t="s">
        <v>341</v>
      </c>
      <c r="I91" s="114" t="s">
        <v>357</v>
      </c>
      <c r="J91" s="178"/>
      <c r="K91" s="125">
        <f>ROUND(K90+C36,2)</f>
        <v>244.98</v>
      </c>
      <c r="T91" s="116"/>
      <c r="V91" s="114" t="s">
        <v>357</v>
      </c>
      <c r="W91" s="166"/>
      <c r="X91" s="125">
        <f>ROUND(X90+C36,2)</f>
        <v>167.32</v>
      </c>
      <c r="AE91" s="129"/>
      <c r="AG91" s="120"/>
      <c r="AN91" s="129">
        <v>2</v>
      </c>
      <c r="AO91" s="126" t="s">
        <v>131</v>
      </c>
      <c r="AP91" s="120" t="s">
        <v>304</v>
      </c>
      <c r="AQ91" s="129">
        <f>AQ67</f>
        <v>679.8</v>
      </c>
      <c r="AR91" s="120" t="s">
        <v>131</v>
      </c>
      <c r="AS91" s="129">
        <f>AQ91*AN91</f>
        <v>1359.6</v>
      </c>
    </row>
    <row r="92" spans="1:45" ht="24" customHeight="1">
      <c r="A92" s="138"/>
      <c r="B92" s="138"/>
      <c r="C92" s="138"/>
      <c r="D92" s="138"/>
      <c r="F92" s="148" t="s">
        <v>362</v>
      </c>
      <c r="G92" s="126" t="s">
        <v>85</v>
      </c>
      <c r="H92" s="120" t="s">
        <v>3995</v>
      </c>
      <c r="S92" s="185"/>
      <c r="T92" s="126"/>
      <c r="U92" s="120"/>
      <c r="AE92" s="129"/>
      <c r="AN92" s="129">
        <v>6</v>
      </c>
      <c r="AO92" s="126" t="s">
        <v>131</v>
      </c>
      <c r="AP92" s="120" t="s">
        <v>306</v>
      </c>
      <c r="AQ92" s="129">
        <f>AQ68</f>
        <v>557.70000000000005</v>
      </c>
      <c r="AR92" s="120" t="s">
        <v>131</v>
      </c>
      <c r="AS92" s="129">
        <f>AQ92*AN92</f>
        <v>3346.2</v>
      </c>
    </row>
    <row r="93" spans="1:45" ht="24" customHeight="1">
      <c r="A93" s="138"/>
      <c r="B93" s="138"/>
      <c r="C93" s="138"/>
      <c r="D93" s="138"/>
      <c r="F93" s="173" t="s">
        <v>85</v>
      </c>
      <c r="H93" s="123" t="s">
        <v>52</v>
      </c>
      <c r="M93" s="115" t="s">
        <v>3996</v>
      </c>
      <c r="S93" s="186"/>
      <c r="T93" s="116"/>
      <c r="U93" s="123"/>
      <c r="AE93" s="129"/>
      <c r="AO93" s="126" t="s">
        <v>145</v>
      </c>
      <c r="AP93" s="120" t="s">
        <v>146</v>
      </c>
      <c r="AR93" s="120" t="s">
        <v>145</v>
      </c>
      <c r="AS93" s="129">
        <v>0</v>
      </c>
    </row>
    <row r="94" spans="1:45" ht="24" customHeight="1">
      <c r="A94" s="138"/>
      <c r="B94" s="138"/>
      <c r="C94" s="138"/>
      <c r="D94" s="138"/>
      <c r="F94" s="129">
        <v>10</v>
      </c>
      <c r="G94" s="126" t="s">
        <v>132</v>
      </c>
      <c r="H94" s="120" t="s">
        <v>364</v>
      </c>
      <c r="I94" s="129">
        <f>D61</f>
        <v>174.02</v>
      </c>
      <c r="J94" s="120" t="s">
        <v>132</v>
      </c>
      <c r="K94" s="129">
        <f>(F94*I94)</f>
        <v>1740.2</v>
      </c>
      <c r="M94" s="115">
        <f>AE39</f>
        <v>78.05</v>
      </c>
      <c r="S94" s="142"/>
      <c r="T94" s="126"/>
      <c r="U94" s="120"/>
      <c r="V94" s="129"/>
      <c r="W94" s="121"/>
      <c r="X94" s="129"/>
      <c r="AE94" s="129"/>
      <c r="AO94" s="116"/>
      <c r="AR94" s="117"/>
      <c r="AS94" s="123" t="s">
        <v>52</v>
      </c>
    </row>
    <row r="95" spans="1:45" ht="24" customHeight="1">
      <c r="A95" s="138"/>
      <c r="B95" s="138"/>
      <c r="C95" s="138"/>
      <c r="D95" s="138"/>
      <c r="F95" s="129">
        <v>10</v>
      </c>
      <c r="G95" s="126" t="s">
        <v>132</v>
      </c>
      <c r="H95" s="120" t="s">
        <v>347</v>
      </c>
      <c r="I95" s="129">
        <f>D61</f>
        <v>174.02</v>
      </c>
      <c r="J95" s="120" t="s">
        <v>132</v>
      </c>
      <c r="K95" s="129">
        <f>(F95*I95)</f>
        <v>1740.2</v>
      </c>
      <c r="M95" s="115">
        <f>M94</f>
        <v>78.05</v>
      </c>
      <c r="S95" s="142"/>
      <c r="T95" s="126"/>
      <c r="U95" s="120"/>
      <c r="V95" s="129"/>
      <c r="W95" s="121"/>
      <c r="X95" s="129"/>
      <c r="AE95" s="129"/>
      <c r="AO95" s="116"/>
      <c r="AP95" s="120" t="s">
        <v>311</v>
      </c>
      <c r="AR95" s="117"/>
      <c r="AS95" s="129">
        <f>SUM(AS87:AS93)</f>
        <v>19811.759999999998</v>
      </c>
    </row>
    <row r="96" spans="1:45" ht="24" customHeight="1">
      <c r="A96" s="138"/>
      <c r="B96" s="138"/>
      <c r="C96" s="138"/>
      <c r="D96" s="138"/>
      <c r="F96" s="129">
        <v>10</v>
      </c>
      <c r="G96" s="126" t="s">
        <v>132</v>
      </c>
      <c r="H96" s="120" t="s">
        <v>349</v>
      </c>
      <c r="I96" s="129">
        <f>I83</f>
        <v>13.55</v>
      </c>
      <c r="J96" s="120" t="s">
        <v>132</v>
      </c>
      <c r="K96" s="129">
        <f>(F96*I96)</f>
        <v>135.5</v>
      </c>
      <c r="M96" s="115">
        <f>I96</f>
        <v>13.55</v>
      </c>
      <c r="S96" s="142"/>
      <c r="T96" s="126"/>
      <c r="U96" s="120"/>
      <c r="V96" s="129"/>
      <c r="W96" s="121"/>
      <c r="X96" s="129"/>
      <c r="AE96" s="129"/>
      <c r="AO96" s="116"/>
      <c r="AR96" s="117"/>
      <c r="AS96" s="123" t="s">
        <v>52</v>
      </c>
    </row>
    <row r="97" spans="1:48" ht="24" customHeight="1">
      <c r="A97" s="138"/>
      <c r="B97" s="138"/>
      <c r="C97" s="138"/>
      <c r="D97" s="138"/>
      <c r="G97" s="126" t="s">
        <v>145</v>
      </c>
      <c r="H97" s="120" t="s">
        <v>146</v>
      </c>
      <c r="J97" s="120" t="s">
        <v>145</v>
      </c>
      <c r="K97" s="129">
        <v>0</v>
      </c>
      <c r="M97" s="115">
        <f>SUM(M94:M96)</f>
        <v>169.65</v>
      </c>
      <c r="T97" s="126"/>
      <c r="U97" s="120"/>
      <c r="W97" s="121"/>
      <c r="X97" s="129"/>
      <c r="AE97" s="129"/>
      <c r="AO97" s="116"/>
      <c r="AP97" s="121" t="s">
        <v>242</v>
      </c>
      <c r="AR97" s="117"/>
      <c r="AS97" s="129">
        <f>(AS95/2.83168)</f>
        <v>6996.47</v>
      </c>
    </row>
    <row r="98" spans="1:48" ht="24" customHeight="1">
      <c r="A98" s="138"/>
      <c r="B98" s="138"/>
      <c r="C98" s="138"/>
      <c r="D98" s="138"/>
      <c r="K98" s="123" t="s">
        <v>52</v>
      </c>
      <c r="T98" s="116"/>
      <c r="X98" s="123"/>
      <c r="AE98" s="129"/>
      <c r="AO98" s="116"/>
      <c r="AR98" s="117"/>
      <c r="AS98" s="123" t="s">
        <v>89</v>
      </c>
    </row>
    <row r="99" spans="1:48" ht="24" customHeight="1">
      <c r="A99" s="138"/>
      <c r="B99" s="138"/>
      <c r="C99" s="138"/>
      <c r="D99" s="138"/>
      <c r="H99" s="120" t="s">
        <v>311</v>
      </c>
      <c r="K99" s="129">
        <f>SUM(K94:K97)</f>
        <v>3615.9</v>
      </c>
      <c r="T99" s="116"/>
      <c r="U99" s="120"/>
      <c r="X99" s="129"/>
      <c r="AE99" s="129"/>
      <c r="AO99" s="116"/>
      <c r="AP99" s="120" t="s">
        <v>53</v>
      </c>
      <c r="AR99" s="117"/>
      <c r="AS99" s="127">
        <f>AS97+C19</f>
        <v>7078.75</v>
      </c>
      <c r="AU99" s="115">
        <f>AS99*22.69/100</f>
        <v>1606.17</v>
      </c>
      <c r="AV99" s="115">
        <f>AS99-AU99</f>
        <v>5472.58</v>
      </c>
    </row>
    <row r="100" spans="1:48" ht="24" customHeight="1">
      <c r="A100" s="138"/>
      <c r="B100" s="138"/>
      <c r="C100" s="138"/>
      <c r="D100" s="138"/>
      <c r="K100" s="123" t="s">
        <v>52</v>
      </c>
      <c r="T100" s="116"/>
      <c r="X100" s="123"/>
      <c r="AE100" s="129"/>
      <c r="AO100" s="116"/>
      <c r="AP100" s="120" t="s">
        <v>54</v>
      </c>
      <c r="AR100" s="117"/>
      <c r="AS100" s="127">
        <f>(AS99+C20)</f>
        <v>7244.74</v>
      </c>
      <c r="AU100" s="115">
        <f t="shared" ref="AU100:AU163" si="16">AS100*22.69/100</f>
        <v>1643.83</v>
      </c>
      <c r="AV100" s="115">
        <f t="shared" ref="AV100:AV163" si="17">AS100-AU100</f>
        <v>5600.91</v>
      </c>
    </row>
    <row r="101" spans="1:48" ht="24" customHeight="1">
      <c r="A101" s="138"/>
      <c r="B101" s="138"/>
      <c r="C101" s="138"/>
      <c r="D101" s="138"/>
      <c r="H101" s="122" t="s">
        <v>354</v>
      </c>
      <c r="I101" s="114" t="s">
        <v>355</v>
      </c>
      <c r="J101" s="178"/>
      <c r="K101" s="127">
        <f>(K99/10)</f>
        <v>361.59</v>
      </c>
      <c r="M101" s="115">
        <f>SUM(M94:M95)</f>
        <v>156.1</v>
      </c>
      <c r="T101" s="116"/>
      <c r="U101" s="122"/>
      <c r="V101" s="114"/>
      <c r="W101" s="166"/>
      <c r="X101" s="127"/>
      <c r="AE101" s="129"/>
      <c r="AO101" s="116"/>
      <c r="AP101" s="120" t="s">
        <v>55</v>
      </c>
      <c r="AR101" s="117"/>
      <c r="AS101" s="127">
        <f>(AS100+C20)</f>
        <v>7410.73</v>
      </c>
      <c r="AU101" s="115">
        <f t="shared" si="16"/>
        <v>1681.49</v>
      </c>
      <c r="AV101" s="115">
        <f t="shared" si="17"/>
        <v>5729.24</v>
      </c>
    </row>
    <row r="102" spans="1:48" ht="24" customHeight="1">
      <c r="A102" s="138"/>
      <c r="B102" s="138"/>
      <c r="C102" s="138"/>
      <c r="D102" s="138"/>
      <c r="I102" s="114" t="s">
        <v>357</v>
      </c>
      <c r="J102" s="178"/>
      <c r="K102" s="125">
        <f>ROUND(K101+C36,2)</f>
        <v>372.81</v>
      </c>
      <c r="T102" s="116"/>
      <c r="V102" s="114"/>
      <c r="W102" s="166"/>
      <c r="X102" s="125"/>
      <c r="AE102" s="129"/>
      <c r="AO102" s="116"/>
      <c r="AP102" s="120" t="s">
        <v>56</v>
      </c>
      <c r="AR102" s="117"/>
      <c r="AS102" s="127">
        <f>(AS101+C20)</f>
        <v>7576.72</v>
      </c>
      <c r="AU102" s="115">
        <f t="shared" si="16"/>
        <v>1719.16</v>
      </c>
      <c r="AV102" s="115">
        <f t="shared" si="17"/>
        <v>5857.56</v>
      </c>
    </row>
    <row r="103" spans="1:48" ht="24" customHeight="1">
      <c r="A103" s="138"/>
      <c r="B103" s="138"/>
      <c r="C103" s="138"/>
      <c r="D103" s="138"/>
      <c r="I103" s="114"/>
      <c r="J103" s="178"/>
      <c r="K103" s="179"/>
      <c r="T103" s="116"/>
      <c r="V103" s="114"/>
      <c r="W103" s="166"/>
      <c r="X103" s="179"/>
      <c r="AE103" s="129"/>
      <c r="AN103" s="120" t="s">
        <v>85</v>
      </c>
      <c r="AO103" s="116"/>
      <c r="AP103" s="120" t="s">
        <v>526</v>
      </c>
      <c r="AR103" s="117"/>
      <c r="AS103" s="127">
        <f>(AS102+C20)</f>
        <v>7742.71</v>
      </c>
      <c r="AU103" s="115">
        <f t="shared" si="16"/>
        <v>1756.82</v>
      </c>
      <c r="AV103" s="115">
        <f t="shared" si="17"/>
        <v>5985.89</v>
      </c>
    </row>
    <row r="104" spans="1:48" ht="30.75" customHeight="1">
      <c r="A104" s="138"/>
      <c r="B104" s="138"/>
      <c r="C104" s="138"/>
      <c r="D104" s="138"/>
      <c r="F104" s="167">
        <v>1.7</v>
      </c>
      <c r="H104" s="175" t="s">
        <v>365</v>
      </c>
      <c r="I104" s="114" t="s">
        <v>355</v>
      </c>
      <c r="J104" s="178"/>
      <c r="K104" s="125">
        <f>ROUND(K101-K96/10,2)</f>
        <v>348.04</v>
      </c>
      <c r="S104" s="185"/>
      <c r="T104" s="116"/>
      <c r="U104" s="175"/>
      <c r="V104" s="114"/>
      <c r="W104" s="166"/>
      <c r="X104" s="125"/>
      <c r="AE104" s="129"/>
      <c r="AN104" s="148">
        <v>27</v>
      </c>
      <c r="AO104" s="126" t="s">
        <v>111</v>
      </c>
      <c r="AP104" s="120" t="s">
        <v>3997</v>
      </c>
      <c r="AR104" s="117"/>
    </row>
    <row r="105" spans="1:48" ht="24" customHeight="1">
      <c r="A105" s="138"/>
      <c r="B105" s="138"/>
      <c r="C105" s="138"/>
      <c r="D105" s="138"/>
      <c r="I105" s="114" t="s">
        <v>357</v>
      </c>
      <c r="J105" s="178"/>
      <c r="K105" s="125">
        <f>ROUND(K104+C36,2)</f>
        <v>359.26</v>
      </c>
      <c r="T105" s="116"/>
      <c r="V105" s="114"/>
      <c r="W105" s="166"/>
      <c r="X105" s="125"/>
      <c r="AE105" s="129"/>
      <c r="AO105" s="116"/>
      <c r="AP105" s="120" t="str">
        <f>AP85</f>
        <v>Bricks of size 23x11x7 cm</v>
      </c>
      <c r="AR105" s="117"/>
    </row>
    <row r="106" spans="1:48" ht="24" customHeight="1">
      <c r="A106" s="138"/>
      <c r="B106" s="138"/>
      <c r="C106" s="138"/>
      <c r="D106" s="138"/>
      <c r="K106" s="123"/>
      <c r="T106" s="116"/>
      <c r="X106" s="123"/>
      <c r="AE106" s="129"/>
      <c r="AO106" s="116"/>
      <c r="AP106" s="123" t="s">
        <v>52</v>
      </c>
      <c r="AR106" s="117"/>
    </row>
    <row r="107" spans="1:48" ht="24" customHeight="1">
      <c r="A107" s="138"/>
      <c r="B107" s="138"/>
      <c r="C107" s="138"/>
      <c r="D107" s="138"/>
      <c r="K107" s="123"/>
      <c r="T107" s="116"/>
      <c r="X107" s="123"/>
      <c r="AE107" s="129"/>
      <c r="AN107" s="129">
        <v>1300</v>
      </c>
      <c r="AO107" s="126" t="s">
        <v>338</v>
      </c>
      <c r="AP107" s="129" t="str">
        <f>AP61</f>
        <v>Bricks of size 23x11x7 cm</v>
      </c>
      <c r="AQ107" s="129">
        <f>AC45</f>
        <v>6824.8</v>
      </c>
      <c r="AR107" s="120" t="s">
        <v>339</v>
      </c>
      <c r="AS107" s="129">
        <f>(AN107*AQ107)/1000</f>
        <v>8872.24</v>
      </c>
      <c r="AU107" s="115">
        <f t="shared" si="16"/>
        <v>2013.11</v>
      </c>
      <c r="AV107" s="115">
        <f t="shared" si="17"/>
        <v>6859.13</v>
      </c>
    </row>
    <row r="108" spans="1:48" ht="38.25" customHeight="1">
      <c r="A108" s="138"/>
      <c r="B108" s="138"/>
      <c r="C108" s="138"/>
      <c r="D108" s="138"/>
      <c r="F108" s="167">
        <v>1.4</v>
      </c>
      <c r="G108" s="126" t="s">
        <v>85</v>
      </c>
      <c r="H108" s="176" t="s">
        <v>3998</v>
      </c>
      <c r="S108" s="185">
        <v>1.4</v>
      </c>
      <c r="T108" s="126" t="s">
        <v>85</v>
      </c>
      <c r="U108" s="176" t="s">
        <v>3998</v>
      </c>
      <c r="AE108" s="129"/>
      <c r="AN108" s="142">
        <v>0.70799999999999996</v>
      </c>
      <c r="AO108" s="126" t="s">
        <v>132</v>
      </c>
      <c r="AP108" s="120" t="s">
        <v>259</v>
      </c>
      <c r="AQ108" s="129">
        <f>K40</f>
        <v>3937.82</v>
      </c>
      <c r="AR108" s="120" t="s">
        <v>132</v>
      </c>
      <c r="AS108" s="129">
        <f>(AN108*AQ108)</f>
        <v>2787.98</v>
      </c>
      <c r="AU108" s="115">
        <f t="shared" si="16"/>
        <v>632.59</v>
      </c>
      <c r="AV108" s="115">
        <f t="shared" si="17"/>
        <v>2155.39</v>
      </c>
    </row>
    <row r="109" spans="1:48" ht="24" customHeight="1">
      <c r="A109" s="138"/>
      <c r="B109" s="138"/>
      <c r="C109" s="138"/>
      <c r="D109" s="138"/>
      <c r="T109" s="116"/>
      <c r="AE109" s="129"/>
      <c r="AN109" s="129">
        <v>1</v>
      </c>
      <c r="AO109" s="126" t="s">
        <v>131</v>
      </c>
      <c r="AP109" s="120" t="s">
        <v>345</v>
      </c>
      <c r="AQ109" s="129">
        <f>AQ89</f>
        <v>1041.7</v>
      </c>
      <c r="AR109" s="120" t="s">
        <v>131</v>
      </c>
      <c r="AS109" s="129">
        <f>(AN109*AQ109)</f>
        <v>1041.7</v>
      </c>
      <c r="AU109" s="115">
        <f t="shared" si="16"/>
        <v>236.36</v>
      </c>
      <c r="AV109" s="115">
        <f t="shared" si="17"/>
        <v>805.34</v>
      </c>
    </row>
    <row r="110" spans="1:48" ht="24" customHeight="1">
      <c r="A110" s="138"/>
      <c r="B110" s="138"/>
      <c r="C110" s="138"/>
      <c r="D110" s="138"/>
      <c r="F110" s="129">
        <v>10</v>
      </c>
      <c r="G110" s="126" t="s">
        <v>132</v>
      </c>
      <c r="H110" s="120" t="s">
        <v>344</v>
      </c>
      <c r="I110" s="129">
        <f>C61</f>
        <v>116.88</v>
      </c>
      <c r="J110" s="120" t="s">
        <v>132</v>
      </c>
      <c r="K110" s="129">
        <f>(F110*I110)</f>
        <v>1168.8</v>
      </c>
      <c r="S110" s="142">
        <v>10</v>
      </c>
      <c r="T110" s="126" t="s">
        <v>132</v>
      </c>
      <c r="U110" s="120" t="s">
        <v>344</v>
      </c>
      <c r="V110" s="129">
        <f>V81</f>
        <v>78.05</v>
      </c>
      <c r="W110" s="121" t="s">
        <v>132</v>
      </c>
      <c r="X110" s="129">
        <f>(S110*V110)</f>
        <v>780.5</v>
      </c>
      <c r="AE110" s="129"/>
      <c r="AN110" s="129">
        <v>3</v>
      </c>
      <c r="AO110" s="126" t="s">
        <v>131</v>
      </c>
      <c r="AP110" s="120" t="s">
        <v>302</v>
      </c>
      <c r="AQ110" s="129">
        <f>AQ90</f>
        <v>972.4</v>
      </c>
      <c r="AR110" s="120" t="s">
        <v>131</v>
      </c>
      <c r="AS110" s="129">
        <f>(AN110*AQ110)</f>
        <v>2917.2</v>
      </c>
      <c r="AU110" s="115">
        <f t="shared" si="16"/>
        <v>661.91</v>
      </c>
      <c r="AV110" s="115">
        <f t="shared" si="17"/>
        <v>2255.29</v>
      </c>
    </row>
    <row r="111" spans="1:48" ht="24" customHeight="1">
      <c r="A111" s="138"/>
      <c r="B111" s="138"/>
      <c r="C111" s="138"/>
      <c r="D111" s="138"/>
      <c r="F111" s="129">
        <v>10</v>
      </c>
      <c r="G111" s="126" t="s">
        <v>132</v>
      </c>
      <c r="H111" s="120" t="s">
        <v>349</v>
      </c>
      <c r="I111" s="129">
        <f>I83</f>
        <v>13.55</v>
      </c>
      <c r="J111" s="120" t="s">
        <v>132</v>
      </c>
      <c r="K111" s="129">
        <f>(F111*I111)</f>
        <v>135.5</v>
      </c>
      <c r="S111" s="142">
        <v>10</v>
      </c>
      <c r="T111" s="126" t="s">
        <v>132</v>
      </c>
      <c r="U111" s="120" t="s">
        <v>349</v>
      </c>
      <c r="V111" s="129">
        <f>V83</f>
        <v>11.9</v>
      </c>
      <c r="W111" s="121" t="s">
        <v>132</v>
      </c>
      <c r="X111" s="129">
        <f>(S111*V111)</f>
        <v>119</v>
      </c>
      <c r="AE111" s="129"/>
      <c r="AN111" s="129">
        <v>2</v>
      </c>
      <c r="AO111" s="126" t="s">
        <v>131</v>
      </c>
      <c r="AP111" s="120" t="s">
        <v>304</v>
      </c>
      <c r="AQ111" s="129">
        <f>AQ91</f>
        <v>679.8</v>
      </c>
      <c r="AR111" s="120" t="s">
        <v>131</v>
      </c>
      <c r="AS111" s="129">
        <f>(AN111*AQ111)</f>
        <v>1359.6</v>
      </c>
      <c r="AU111" s="115">
        <f t="shared" si="16"/>
        <v>308.49</v>
      </c>
      <c r="AV111" s="115">
        <f t="shared" si="17"/>
        <v>1051.1099999999999</v>
      </c>
    </row>
    <row r="112" spans="1:48" ht="24" customHeight="1">
      <c r="A112" s="138"/>
      <c r="B112" s="138"/>
      <c r="C112" s="138"/>
      <c r="D112" s="138"/>
      <c r="G112" s="126" t="s">
        <v>145</v>
      </c>
      <c r="H112" s="120" t="s">
        <v>146</v>
      </c>
      <c r="J112" s="120" t="s">
        <v>145</v>
      </c>
      <c r="K112" s="129">
        <v>0</v>
      </c>
      <c r="T112" s="126" t="s">
        <v>145</v>
      </c>
      <c r="U112" s="120" t="s">
        <v>146</v>
      </c>
      <c r="W112" s="121" t="s">
        <v>145</v>
      </c>
      <c r="X112" s="129">
        <v>0</v>
      </c>
      <c r="AE112" s="129"/>
      <c r="AN112" s="129">
        <v>6</v>
      </c>
      <c r="AO112" s="126" t="s">
        <v>131</v>
      </c>
      <c r="AP112" s="120" t="s">
        <v>306</v>
      </c>
      <c r="AQ112" s="129">
        <f>AQ92</f>
        <v>557.70000000000005</v>
      </c>
      <c r="AR112" s="120" t="s">
        <v>131</v>
      </c>
      <c r="AS112" s="129">
        <f>(AN112*AQ112)</f>
        <v>3346.2</v>
      </c>
      <c r="AU112" s="115">
        <f t="shared" si="16"/>
        <v>759.25</v>
      </c>
      <c r="AV112" s="115">
        <f t="shared" si="17"/>
        <v>2586.9499999999998</v>
      </c>
    </row>
    <row r="113" spans="1:48" ht="24" customHeight="1">
      <c r="A113" s="138"/>
      <c r="B113" s="138"/>
      <c r="C113" s="138"/>
      <c r="D113" s="138"/>
      <c r="K113" s="123" t="s">
        <v>52</v>
      </c>
      <c r="T113" s="116"/>
      <c r="X113" s="123" t="s">
        <v>52</v>
      </c>
      <c r="AE113" s="129"/>
      <c r="AO113" s="126" t="s">
        <v>145</v>
      </c>
      <c r="AP113" s="120" t="s">
        <v>146</v>
      </c>
      <c r="AR113" s="120" t="s">
        <v>145</v>
      </c>
      <c r="AS113" s="129">
        <v>0</v>
      </c>
      <c r="AU113" s="115">
        <f t="shared" si="16"/>
        <v>0</v>
      </c>
      <c r="AV113" s="115">
        <f t="shared" si="17"/>
        <v>0</v>
      </c>
    </row>
    <row r="114" spans="1:48" ht="24" customHeight="1">
      <c r="A114" s="138"/>
      <c r="B114" s="138"/>
      <c r="C114" s="138"/>
      <c r="D114" s="138"/>
      <c r="H114" s="120" t="s">
        <v>311</v>
      </c>
      <c r="K114" s="129">
        <f>SUM(K110:K112)</f>
        <v>1304.3</v>
      </c>
      <c r="T114" s="116"/>
      <c r="U114" s="120" t="s">
        <v>311</v>
      </c>
      <c r="X114" s="129">
        <f>SUM(X110:X112)</f>
        <v>899.5</v>
      </c>
      <c r="AE114" s="129"/>
      <c r="AO114" s="116"/>
      <c r="AR114" s="117"/>
      <c r="AS114" s="123" t="s">
        <v>52</v>
      </c>
      <c r="AU114" s="115" t="e">
        <f t="shared" si="16"/>
        <v>#VALUE!</v>
      </c>
      <c r="AV114" s="115" t="e">
        <f t="shared" si="17"/>
        <v>#VALUE!</v>
      </c>
    </row>
    <row r="115" spans="1:48" ht="24" customHeight="1">
      <c r="A115" s="138"/>
      <c r="B115" s="138"/>
      <c r="C115" s="138"/>
      <c r="D115" s="138"/>
      <c r="K115" s="123" t="s">
        <v>52</v>
      </c>
      <c r="T115" s="116"/>
      <c r="X115" s="123" t="s">
        <v>52</v>
      </c>
      <c r="AE115" s="129"/>
      <c r="AO115" s="116"/>
      <c r="AP115" s="120" t="s">
        <v>311</v>
      </c>
      <c r="AR115" s="117"/>
      <c r="AS115" s="129">
        <f>SUM(AS107:AS113)</f>
        <v>20324.919999999998</v>
      </c>
      <c r="AU115" s="115">
        <f t="shared" si="16"/>
        <v>4611.72</v>
      </c>
      <c r="AV115" s="115">
        <f t="shared" si="17"/>
        <v>15713.2</v>
      </c>
    </row>
    <row r="116" spans="1:48" ht="24" customHeight="1">
      <c r="A116" s="138"/>
      <c r="B116" s="138"/>
      <c r="C116" s="138"/>
      <c r="D116" s="138"/>
      <c r="H116" s="120"/>
      <c r="K116" s="127">
        <f>(K114/10)</f>
        <v>130.43</v>
      </c>
      <c r="L116" s="114">
        <f>K116+C36</f>
        <v>141.65</v>
      </c>
      <c r="M116" s="115">
        <f>M94</f>
        <v>78.05</v>
      </c>
      <c r="T116" s="116"/>
      <c r="U116" s="120"/>
      <c r="X116" s="127">
        <f>(X114/10)</f>
        <v>89.95</v>
      </c>
      <c r="AE116" s="129"/>
      <c r="AO116" s="116"/>
      <c r="AR116" s="117"/>
      <c r="AS116" s="123" t="s">
        <v>52</v>
      </c>
      <c r="AU116" s="115" t="e">
        <f t="shared" si="16"/>
        <v>#VALUE!</v>
      </c>
      <c r="AV116" s="115" t="e">
        <f t="shared" si="17"/>
        <v>#VALUE!</v>
      </c>
    </row>
    <row r="117" spans="1:48" ht="24" customHeight="1">
      <c r="A117" s="138"/>
      <c r="B117" s="138"/>
      <c r="C117" s="138"/>
      <c r="D117" s="138"/>
      <c r="K117" s="123"/>
      <c r="T117" s="116"/>
      <c r="X117" s="123"/>
      <c r="AE117" s="129"/>
      <c r="AO117" s="116"/>
      <c r="AP117" s="120" t="s">
        <v>242</v>
      </c>
      <c r="AR117" s="117"/>
      <c r="AS117" s="127">
        <f>(AS115/2.83168)</f>
        <v>7177.69</v>
      </c>
      <c r="AU117" s="115">
        <f t="shared" si="16"/>
        <v>1628.62</v>
      </c>
      <c r="AV117" s="115">
        <f t="shared" si="17"/>
        <v>5549.07</v>
      </c>
    </row>
    <row r="118" spans="1:48" ht="24" customHeight="1">
      <c r="A118" s="138"/>
      <c r="B118" s="138"/>
      <c r="C118" s="138"/>
      <c r="D118" s="138"/>
      <c r="F118" s="167">
        <v>1.5</v>
      </c>
      <c r="H118" s="120" t="s">
        <v>367</v>
      </c>
      <c r="I118" s="114" t="s">
        <v>355</v>
      </c>
      <c r="K118" s="127">
        <f>K116-K111/10</f>
        <v>116.88</v>
      </c>
      <c r="S118" s="185">
        <v>1.5</v>
      </c>
      <c r="T118" s="116"/>
      <c r="U118" s="120" t="s">
        <v>367</v>
      </c>
      <c r="V118" s="114" t="s">
        <v>355</v>
      </c>
      <c r="X118" s="127">
        <f>X116-X111/10</f>
        <v>78.05</v>
      </c>
      <c r="AE118" s="129"/>
      <c r="AO118" s="116"/>
      <c r="AR118" s="117"/>
      <c r="AS118" s="123" t="s">
        <v>89</v>
      </c>
      <c r="AU118" s="115" t="e">
        <f t="shared" si="16"/>
        <v>#VALUE!</v>
      </c>
      <c r="AV118" s="115" t="e">
        <f t="shared" si="17"/>
        <v>#VALUE!</v>
      </c>
    </row>
    <row r="119" spans="1:48" ht="24" customHeight="1">
      <c r="A119" s="138"/>
      <c r="B119" s="138"/>
      <c r="C119" s="138"/>
      <c r="D119" s="138"/>
      <c r="I119" s="114" t="s">
        <v>357</v>
      </c>
      <c r="K119" s="125">
        <f>ROUND(K118+C36,2)</f>
        <v>128.1</v>
      </c>
      <c r="T119" s="116"/>
      <c r="V119" s="114" t="s">
        <v>357</v>
      </c>
      <c r="X119" s="125">
        <f>ROUND(X118+P36,2)</f>
        <v>78.05</v>
      </c>
      <c r="AE119" s="129"/>
      <c r="AO119" s="116"/>
      <c r="AP119" s="120" t="s">
        <v>53</v>
      </c>
      <c r="AR119" s="117"/>
      <c r="AS119" s="129">
        <f>(AS117+C19)</f>
        <v>7259.97</v>
      </c>
      <c r="AT119" s="115">
        <f>AS119-AS117</f>
        <v>82.28</v>
      </c>
      <c r="AU119" s="115">
        <f t="shared" si="16"/>
        <v>1647.29</v>
      </c>
      <c r="AV119" s="115">
        <f t="shared" si="17"/>
        <v>5612.68</v>
      </c>
    </row>
    <row r="120" spans="1:48" ht="24" customHeight="1">
      <c r="A120" s="138"/>
      <c r="B120" s="138"/>
      <c r="C120" s="138"/>
      <c r="D120" s="138"/>
      <c r="I120" s="115" t="s">
        <v>3999</v>
      </c>
      <c r="K120" s="125">
        <f>ROUND(K119+C36,2)</f>
        <v>139.32</v>
      </c>
      <c r="T120" s="116"/>
      <c r="X120" s="123"/>
      <c r="AE120" s="129"/>
      <c r="AO120" s="116"/>
      <c r="AP120" s="120" t="s">
        <v>54</v>
      </c>
      <c r="AR120" s="117"/>
      <c r="AS120" s="129">
        <f>(AS119+C20)</f>
        <v>7425.96</v>
      </c>
      <c r="AT120" s="115">
        <f>AS120-AS119</f>
        <v>165.99</v>
      </c>
      <c r="AU120" s="115">
        <f t="shared" si="16"/>
        <v>1684.95</v>
      </c>
      <c r="AV120" s="115">
        <f t="shared" si="17"/>
        <v>5741.01</v>
      </c>
    </row>
    <row r="121" spans="1:48" ht="24" customHeight="1">
      <c r="A121" s="138"/>
      <c r="B121" s="138"/>
      <c r="C121" s="138"/>
      <c r="D121" s="138"/>
      <c r="I121" s="115" t="s">
        <v>4000</v>
      </c>
      <c r="K121" s="125">
        <f>ROUND(K120+C36,2)</f>
        <v>150.54</v>
      </c>
      <c r="T121" s="116"/>
      <c r="X121" s="123"/>
      <c r="AE121" s="129"/>
      <c r="AO121" s="116"/>
      <c r="AP121" s="120" t="s">
        <v>55</v>
      </c>
      <c r="AR121" s="117"/>
      <c r="AS121" s="129">
        <f>(AS120+C20)</f>
        <v>7591.95</v>
      </c>
      <c r="AU121" s="115">
        <f t="shared" si="16"/>
        <v>1722.61</v>
      </c>
      <c r="AV121" s="115">
        <f t="shared" si="17"/>
        <v>5869.34</v>
      </c>
    </row>
    <row r="122" spans="1:48" ht="28.5" customHeight="1">
      <c r="A122" s="138"/>
      <c r="B122" s="138"/>
      <c r="C122" s="138"/>
      <c r="D122" s="138"/>
      <c r="F122" s="177">
        <v>1.8</v>
      </c>
      <c r="H122" s="176" t="s">
        <v>4001</v>
      </c>
      <c r="K122" s="123"/>
      <c r="M122" s="121" t="s">
        <v>374</v>
      </c>
      <c r="N122" s="126" t="s">
        <v>111</v>
      </c>
      <c r="O122" s="120" t="s">
        <v>375</v>
      </c>
      <c r="Q122" s="117"/>
      <c r="S122" s="187"/>
      <c r="T122" s="116"/>
      <c r="U122" s="176"/>
      <c r="X122" s="123"/>
      <c r="AE122" s="129"/>
      <c r="AO122" s="116"/>
      <c r="AP122" s="120" t="s">
        <v>56</v>
      </c>
      <c r="AR122" s="117"/>
      <c r="AS122" s="129">
        <f>AS121+C20</f>
        <v>7757.94</v>
      </c>
      <c r="AU122" s="115">
        <f t="shared" si="16"/>
        <v>1760.28</v>
      </c>
      <c r="AV122" s="115">
        <f t="shared" si="17"/>
        <v>5997.66</v>
      </c>
    </row>
    <row r="123" spans="1:48" ht="24" customHeight="1">
      <c r="A123" s="138"/>
      <c r="B123" s="138"/>
      <c r="C123" s="138"/>
      <c r="D123" s="138"/>
      <c r="K123" s="123"/>
      <c r="N123" s="116"/>
      <c r="O123" s="120" t="s">
        <v>4002</v>
      </c>
      <c r="Q123" s="117"/>
      <c r="T123" s="116"/>
      <c r="X123" s="123"/>
      <c r="AE123" s="129"/>
      <c r="AO123" s="116"/>
      <c r="AP123" s="120" t="s">
        <v>526</v>
      </c>
      <c r="AR123" s="117"/>
      <c r="AS123" s="129">
        <f>AS122+C20</f>
        <v>7923.93</v>
      </c>
      <c r="AU123" s="115">
        <f t="shared" si="16"/>
        <v>1797.94</v>
      </c>
      <c r="AV123" s="115">
        <f t="shared" si="17"/>
        <v>6125.99</v>
      </c>
    </row>
    <row r="124" spans="1:48" ht="24" customHeight="1">
      <c r="A124" s="138"/>
      <c r="B124" s="138"/>
      <c r="C124" s="138"/>
      <c r="D124" s="138"/>
      <c r="F124" s="129">
        <v>10</v>
      </c>
      <c r="G124" s="126" t="s">
        <v>132</v>
      </c>
      <c r="H124" s="120" t="s">
        <v>364</v>
      </c>
      <c r="I124" s="115">
        <f>D61</f>
        <v>174.02</v>
      </c>
      <c r="J124" s="120" t="s">
        <v>132</v>
      </c>
      <c r="K124" s="129">
        <f>(F124*I124)</f>
        <v>1740.2</v>
      </c>
      <c r="N124" s="116"/>
      <c r="O124" s="123" t="s">
        <v>52</v>
      </c>
      <c r="Q124" s="117"/>
      <c r="S124" s="142"/>
      <c r="T124" s="126"/>
      <c r="U124" s="120"/>
      <c r="W124" s="121" t="s">
        <v>132</v>
      </c>
      <c r="X124" s="129"/>
      <c r="AE124" s="129"/>
      <c r="AO124" s="116"/>
      <c r="AP124" s="120" t="s">
        <v>577</v>
      </c>
      <c r="AR124" s="117"/>
      <c r="AS124" s="129">
        <f>(AS119+AS120+AS121+AS122)/4</f>
        <v>7508.96</v>
      </c>
      <c r="AU124" s="115">
        <f t="shared" si="16"/>
        <v>1703.78</v>
      </c>
      <c r="AV124" s="115">
        <f t="shared" si="17"/>
        <v>5805.18</v>
      </c>
    </row>
    <row r="125" spans="1:48" ht="24" customHeight="1">
      <c r="A125" s="138"/>
      <c r="B125" s="138"/>
      <c r="C125" s="138"/>
      <c r="D125" s="138"/>
      <c r="G125" s="116" t="s">
        <v>49</v>
      </c>
      <c r="J125" s="117" t="s">
        <v>49</v>
      </c>
      <c r="K125" s="129">
        <v>0</v>
      </c>
      <c r="M125" s="129">
        <v>1</v>
      </c>
      <c r="N125" s="126" t="s">
        <v>132</v>
      </c>
      <c r="O125" s="120" t="s">
        <v>4003</v>
      </c>
      <c r="P125" s="129">
        <f>AC39</f>
        <v>300.58</v>
      </c>
      <c r="Q125" s="120" t="s">
        <v>132</v>
      </c>
      <c r="R125" s="129">
        <f>(M125*P125)</f>
        <v>300.58</v>
      </c>
      <c r="T125" s="116"/>
      <c r="W125" s="119" t="s">
        <v>49</v>
      </c>
      <c r="X125" s="129"/>
      <c r="AE125" s="129"/>
      <c r="AO125" s="116"/>
    </row>
    <row r="126" spans="1:48" ht="24" customHeight="1">
      <c r="A126" s="138"/>
      <c r="B126" s="138"/>
      <c r="C126" s="138"/>
      <c r="D126" s="138"/>
      <c r="K126" s="123" t="s">
        <v>52</v>
      </c>
      <c r="M126" s="129">
        <v>1</v>
      </c>
      <c r="N126" s="126" t="s">
        <v>132</v>
      </c>
      <c r="O126" s="120" t="s">
        <v>218</v>
      </c>
      <c r="P126" s="129">
        <f>P141</f>
        <v>40.65</v>
      </c>
      <c r="Q126" s="120" t="s">
        <v>132</v>
      </c>
      <c r="R126" s="129">
        <f>(M126*P126)</f>
        <v>40.65</v>
      </c>
      <c r="T126" s="116"/>
      <c r="X126" s="123"/>
      <c r="AE126" s="129"/>
      <c r="AO126" s="116"/>
      <c r="AR126" s="117"/>
    </row>
    <row r="127" spans="1:48" ht="24" customHeight="1">
      <c r="A127" s="138"/>
      <c r="B127" s="138"/>
      <c r="C127" s="138"/>
      <c r="D127" s="138"/>
      <c r="H127" s="120" t="s">
        <v>311</v>
      </c>
      <c r="K127" s="129">
        <f>SUM(K124:K125)</f>
        <v>1740.2</v>
      </c>
      <c r="N127" s="126" t="s">
        <v>145</v>
      </c>
      <c r="O127" s="120" t="s">
        <v>146</v>
      </c>
      <c r="P127" s="120" t="s">
        <v>85</v>
      </c>
      <c r="Q127" s="120" t="s">
        <v>145</v>
      </c>
      <c r="R127" s="129">
        <v>0</v>
      </c>
      <c r="T127" s="116"/>
      <c r="U127" s="120"/>
      <c r="X127" s="129"/>
      <c r="AE127" s="129"/>
      <c r="AO127" s="116"/>
      <c r="AP127" s="128" t="s">
        <v>579</v>
      </c>
      <c r="AR127" s="117"/>
    </row>
    <row r="128" spans="1:48" ht="24" customHeight="1">
      <c r="A128" s="138"/>
      <c r="B128" s="138"/>
      <c r="C128" s="138"/>
      <c r="D128" s="138"/>
      <c r="K128" s="123" t="s">
        <v>52</v>
      </c>
      <c r="N128" s="116"/>
      <c r="Q128" s="117"/>
      <c r="R128" s="123" t="s">
        <v>52</v>
      </c>
      <c r="T128" s="116"/>
      <c r="X128" s="123"/>
      <c r="AE128" s="129"/>
      <c r="AO128" s="116"/>
      <c r="AP128" s="123" t="s">
        <v>52</v>
      </c>
      <c r="AR128" s="117"/>
    </row>
    <row r="129" spans="1:48" ht="38.25" customHeight="1">
      <c r="A129" s="138"/>
      <c r="B129" s="138"/>
      <c r="C129" s="138"/>
      <c r="D129" s="138"/>
      <c r="F129" s="189"/>
      <c r="H129" s="42" t="s">
        <v>4004</v>
      </c>
      <c r="I129" s="114" t="s">
        <v>355</v>
      </c>
      <c r="K129" s="125">
        <f>ROUND(K127/10,2)</f>
        <v>174.02</v>
      </c>
      <c r="N129" s="116"/>
      <c r="O129" s="120" t="s">
        <v>155</v>
      </c>
      <c r="Q129" s="117"/>
      <c r="R129" s="129">
        <f>SUM(R125:R127)</f>
        <v>341.23</v>
      </c>
      <c r="S129" s="197"/>
      <c r="T129" s="116"/>
      <c r="U129" s="42"/>
      <c r="V129" s="114"/>
      <c r="X129" s="125"/>
      <c r="AE129" s="129"/>
      <c r="AN129" s="148">
        <v>10</v>
      </c>
      <c r="AO129" s="126" t="s">
        <v>111</v>
      </c>
      <c r="AP129" s="120" t="s">
        <v>4005</v>
      </c>
      <c r="AR129" s="117"/>
    </row>
    <row r="130" spans="1:48" ht="24" customHeight="1">
      <c r="A130" s="138"/>
      <c r="B130" s="138"/>
      <c r="C130" s="138"/>
      <c r="D130" s="138"/>
      <c r="I130" s="114" t="s">
        <v>357</v>
      </c>
      <c r="K130" s="125">
        <f>ROUND(K129+C36,2)</f>
        <v>185.24</v>
      </c>
      <c r="T130" s="116"/>
      <c r="V130" s="114"/>
      <c r="X130" s="125"/>
      <c r="AE130" s="129"/>
      <c r="AO130" s="116"/>
      <c r="AP130" s="129" t="str">
        <f>AP61</f>
        <v>Bricks of size 23x11x7 cm</v>
      </c>
      <c r="AR130" s="117"/>
    </row>
    <row r="131" spans="1:48" ht="24" customHeight="1">
      <c r="A131" s="138"/>
      <c r="B131" s="138"/>
      <c r="C131" s="138"/>
      <c r="D131" s="138"/>
      <c r="I131" s="114"/>
      <c r="K131" s="123"/>
      <c r="T131" s="116"/>
      <c r="V131" s="114"/>
      <c r="X131" s="123"/>
      <c r="AE131" s="129"/>
      <c r="AO131" s="116"/>
      <c r="AP131" s="123" t="s">
        <v>52</v>
      </c>
      <c r="AR131" s="117"/>
    </row>
    <row r="132" spans="1:48" ht="24" customHeight="1">
      <c r="A132" s="138"/>
      <c r="B132" s="138"/>
      <c r="C132" s="138"/>
      <c r="D132" s="138"/>
      <c r="F132" s="167">
        <v>1.6</v>
      </c>
      <c r="H132" s="120" t="s">
        <v>370</v>
      </c>
      <c r="I132" s="114"/>
      <c r="S132" s="185">
        <v>1.6</v>
      </c>
      <c r="T132" s="116"/>
      <c r="U132" s="120" t="s">
        <v>370</v>
      </c>
      <c r="V132" s="114"/>
      <c r="AE132" s="129"/>
      <c r="AN132" s="129">
        <f>AN63</f>
        <v>1300</v>
      </c>
      <c r="AO132" s="126" t="s">
        <v>338</v>
      </c>
      <c r="AP132" s="129" t="str">
        <f>AP61</f>
        <v>Bricks of size 23x11x7 cm</v>
      </c>
      <c r="AQ132" s="129">
        <f>AC45</f>
        <v>6824.8</v>
      </c>
      <c r="AR132" s="120" t="s">
        <v>339</v>
      </c>
      <c r="AS132" s="129">
        <f>(AN132*AQ132)/1000</f>
        <v>8872.24</v>
      </c>
      <c r="AU132" s="115">
        <f t="shared" si="16"/>
        <v>2013.11</v>
      </c>
      <c r="AV132" s="115">
        <f t="shared" si="17"/>
        <v>6859.13</v>
      </c>
    </row>
    <row r="133" spans="1:48" ht="24" customHeight="1">
      <c r="A133" s="138"/>
      <c r="B133" s="138"/>
      <c r="C133" s="138"/>
      <c r="D133" s="138"/>
      <c r="H133" s="120" t="s">
        <v>371</v>
      </c>
      <c r="I133" s="114" t="s">
        <v>355</v>
      </c>
      <c r="K133" s="127">
        <f>C61*1.5</f>
        <v>175.32</v>
      </c>
      <c r="L133" s="127"/>
      <c r="M133" s="115">
        <f>M116*1.5</f>
        <v>117.08</v>
      </c>
      <c r="T133" s="116"/>
      <c r="U133" s="120" t="s">
        <v>371</v>
      </c>
      <c r="V133" s="114" t="s">
        <v>355</v>
      </c>
      <c r="X133" s="127">
        <f>V81*1.5</f>
        <v>117.08</v>
      </c>
      <c r="AE133" s="129"/>
      <c r="AN133" s="142">
        <v>0.70799999999999996</v>
      </c>
      <c r="AO133" s="126" t="s">
        <v>132</v>
      </c>
      <c r="AP133" s="120" t="s">
        <v>259</v>
      </c>
      <c r="AQ133" s="129">
        <f>K40</f>
        <v>3937.82</v>
      </c>
      <c r="AR133" s="120" t="s">
        <v>132</v>
      </c>
      <c r="AS133" s="129">
        <f>(AN133*AQ133)</f>
        <v>2787.98</v>
      </c>
      <c r="AU133" s="115">
        <f t="shared" si="16"/>
        <v>632.59</v>
      </c>
      <c r="AV133" s="115">
        <f t="shared" si="17"/>
        <v>2155.39</v>
      </c>
    </row>
    <row r="134" spans="1:48" ht="24" customHeight="1">
      <c r="A134" s="138"/>
      <c r="B134" s="138"/>
      <c r="C134" s="138"/>
      <c r="D134" s="138"/>
      <c r="F134" s="120" t="s">
        <v>85</v>
      </c>
      <c r="H134" s="120" t="s">
        <v>372</v>
      </c>
      <c r="I134" s="114" t="s">
        <v>357</v>
      </c>
      <c r="K134" s="125">
        <f>ROUND(K133+C36,2)</f>
        <v>186.54</v>
      </c>
      <c r="S134" s="186" t="s">
        <v>85</v>
      </c>
      <c r="T134" s="116"/>
      <c r="U134" s="120" t="s">
        <v>372</v>
      </c>
      <c r="V134" s="114" t="s">
        <v>357</v>
      </c>
      <c r="X134" s="125">
        <f>ROUND(X133+C36,2)</f>
        <v>128.30000000000001</v>
      </c>
      <c r="AE134" s="129"/>
      <c r="AN134" s="129">
        <v>1</v>
      </c>
      <c r="AO134" s="126" t="s">
        <v>131</v>
      </c>
      <c r="AP134" s="120" t="s">
        <v>345</v>
      </c>
      <c r="AQ134" s="129">
        <f>AQ109</f>
        <v>1041.7</v>
      </c>
      <c r="AR134" s="120" t="s">
        <v>131</v>
      </c>
      <c r="AS134" s="129">
        <f>(AN134*AQ134)</f>
        <v>1041.7</v>
      </c>
      <c r="AU134" s="115">
        <f t="shared" si="16"/>
        <v>236.36</v>
      </c>
      <c r="AV134" s="115">
        <f t="shared" si="17"/>
        <v>805.34</v>
      </c>
    </row>
    <row r="135" spans="1:48" ht="24" customHeight="1">
      <c r="A135" s="138"/>
      <c r="B135" s="138"/>
      <c r="C135" s="138"/>
      <c r="D135" s="138"/>
      <c r="K135" s="123" t="s">
        <v>89</v>
      </c>
      <c r="T135" s="116"/>
      <c r="X135" s="123" t="s">
        <v>89</v>
      </c>
      <c r="AE135" s="129"/>
      <c r="AN135" s="129">
        <v>3</v>
      </c>
      <c r="AO135" s="126" t="s">
        <v>131</v>
      </c>
      <c r="AP135" s="120" t="s">
        <v>302</v>
      </c>
      <c r="AQ135" s="129">
        <f>AQ110</f>
        <v>972.4</v>
      </c>
      <c r="AR135" s="120" t="s">
        <v>131</v>
      </c>
      <c r="AS135" s="129">
        <f>(AN135*AQ135)</f>
        <v>2917.2</v>
      </c>
      <c r="AU135" s="115">
        <f t="shared" si="16"/>
        <v>661.91</v>
      </c>
      <c r="AV135" s="115">
        <f t="shared" si="17"/>
        <v>2255.29</v>
      </c>
    </row>
    <row r="136" spans="1:48" ht="24" customHeight="1">
      <c r="A136" s="138"/>
      <c r="B136" s="138"/>
      <c r="C136" s="138"/>
      <c r="D136" s="138"/>
      <c r="H136" s="122" t="s">
        <v>4006</v>
      </c>
      <c r="I136" s="114" t="s">
        <v>355</v>
      </c>
      <c r="K136" s="127">
        <f>C61*1.25</f>
        <v>146.1</v>
      </c>
      <c r="T136" s="116"/>
      <c r="U136" s="122" t="s">
        <v>4007</v>
      </c>
      <c r="V136" s="114" t="s">
        <v>355</v>
      </c>
      <c r="X136" s="127">
        <f>V81*1.25</f>
        <v>97.56</v>
      </c>
      <c r="AE136" s="129"/>
      <c r="AN136" s="129">
        <v>2</v>
      </c>
      <c r="AO136" s="126" t="s">
        <v>131</v>
      </c>
      <c r="AP136" s="120" t="s">
        <v>304</v>
      </c>
      <c r="AQ136" s="129">
        <f>AQ111</f>
        <v>679.8</v>
      </c>
      <c r="AR136" s="120" t="s">
        <v>131</v>
      </c>
      <c r="AS136" s="129">
        <f>(AN136*AQ136)</f>
        <v>1359.6</v>
      </c>
      <c r="AU136" s="115">
        <f t="shared" si="16"/>
        <v>308.49</v>
      </c>
      <c r="AV136" s="115">
        <f t="shared" si="17"/>
        <v>1051.1099999999999</v>
      </c>
    </row>
    <row r="137" spans="1:48" ht="24" customHeight="1">
      <c r="A137" s="130">
        <f>(A91+1)</f>
        <v>80</v>
      </c>
      <c r="B137" s="132" t="s">
        <v>373</v>
      </c>
      <c r="C137" s="131">
        <f>AC30</f>
        <v>11907</v>
      </c>
      <c r="D137" s="190">
        <v>13.87</v>
      </c>
      <c r="E137" s="120" t="s">
        <v>85</v>
      </c>
      <c r="F137" s="121" t="s">
        <v>374</v>
      </c>
      <c r="G137" s="126" t="s">
        <v>111</v>
      </c>
      <c r="H137" s="120" t="s">
        <v>375</v>
      </c>
      <c r="M137" s="121" t="s">
        <v>374</v>
      </c>
      <c r="N137" s="126" t="s">
        <v>111</v>
      </c>
      <c r="O137" s="120" t="s">
        <v>375</v>
      </c>
      <c r="Q137" s="117"/>
      <c r="AE137" s="129"/>
      <c r="AG137" s="120"/>
      <c r="AN137" s="129">
        <v>6</v>
      </c>
      <c r="AO137" s="126" t="s">
        <v>131</v>
      </c>
      <c r="AP137" s="120" t="s">
        <v>306</v>
      </c>
      <c r="AQ137" s="129">
        <f>AQ112</f>
        <v>557.70000000000005</v>
      </c>
      <c r="AR137" s="120" t="s">
        <v>131</v>
      </c>
      <c r="AS137" s="129">
        <f>(AN137*AQ137)</f>
        <v>3346.2</v>
      </c>
      <c r="AU137" s="115">
        <f t="shared" si="16"/>
        <v>759.25</v>
      </c>
      <c r="AV137" s="115">
        <f t="shared" si="17"/>
        <v>2586.9499999999998</v>
      </c>
    </row>
    <row r="138" spans="1:48" ht="24" customHeight="1">
      <c r="A138" s="130">
        <f t="shared" ref="A138:A143" si="18">(A137+1)</f>
        <v>81</v>
      </c>
      <c r="B138" s="132" t="s">
        <v>377</v>
      </c>
      <c r="C138" s="131">
        <f>AC33</f>
        <v>58000</v>
      </c>
      <c r="D138" s="132" t="s">
        <v>122</v>
      </c>
      <c r="H138" s="120" t="s">
        <v>4008</v>
      </c>
      <c r="N138" s="116"/>
      <c r="O138" s="120" t="s">
        <v>4009</v>
      </c>
      <c r="Q138" s="117"/>
      <c r="AE138" s="129"/>
      <c r="AG138" s="120"/>
      <c r="AO138" s="126" t="s">
        <v>145</v>
      </c>
      <c r="AP138" s="120" t="s">
        <v>146</v>
      </c>
      <c r="AQ138" s="120" t="s">
        <v>85</v>
      </c>
      <c r="AR138" s="120" t="s">
        <v>145</v>
      </c>
      <c r="AS138" s="129">
        <v>0</v>
      </c>
      <c r="AU138" s="115">
        <f t="shared" si="16"/>
        <v>0</v>
      </c>
      <c r="AV138" s="115">
        <f t="shared" si="17"/>
        <v>0</v>
      </c>
    </row>
    <row r="139" spans="1:48" ht="24" customHeight="1">
      <c r="A139" s="130">
        <f t="shared" si="18"/>
        <v>82</v>
      </c>
      <c r="B139" s="132" t="s">
        <v>380</v>
      </c>
      <c r="C139" s="131">
        <f>AC32</f>
        <v>58000</v>
      </c>
      <c r="D139" s="132" t="s">
        <v>122</v>
      </c>
      <c r="H139" s="123" t="s">
        <v>52</v>
      </c>
      <c r="N139" s="116"/>
      <c r="O139" s="123" t="s">
        <v>52</v>
      </c>
      <c r="Q139" s="117"/>
      <c r="AE139" s="129"/>
      <c r="AG139" s="120"/>
      <c r="AO139" s="116"/>
      <c r="AR139" s="117"/>
      <c r="AS139" s="123" t="s">
        <v>52</v>
      </c>
      <c r="AU139" s="115" t="e">
        <f t="shared" si="16"/>
        <v>#VALUE!</v>
      </c>
      <c r="AV139" s="115" t="e">
        <f t="shared" si="17"/>
        <v>#VALUE!</v>
      </c>
    </row>
    <row r="140" spans="1:48" ht="24" customHeight="1">
      <c r="A140" s="130">
        <f t="shared" si="18"/>
        <v>83</v>
      </c>
      <c r="B140" s="132" t="s">
        <v>382</v>
      </c>
      <c r="C140" s="131">
        <f>AC33</f>
        <v>58000</v>
      </c>
      <c r="D140" s="132" t="s">
        <v>122</v>
      </c>
      <c r="F140" s="129">
        <v>1</v>
      </c>
      <c r="G140" s="126" t="s">
        <v>132</v>
      </c>
      <c r="H140" s="120" t="s">
        <v>383</v>
      </c>
      <c r="I140" s="129">
        <f>I36</f>
        <v>1642.42</v>
      </c>
      <c r="J140" s="120" t="s">
        <v>132</v>
      </c>
      <c r="K140" s="129">
        <f>(F140*I140)</f>
        <v>1642.42</v>
      </c>
      <c r="M140" s="129">
        <v>1</v>
      </c>
      <c r="N140" s="126" t="s">
        <v>132</v>
      </c>
      <c r="O140" s="120" t="s">
        <v>4003</v>
      </c>
      <c r="P140" s="129">
        <f>AC38</f>
        <v>356.78</v>
      </c>
      <c r="Q140" s="120" t="s">
        <v>132</v>
      </c>
      <c r="R140" s="129">
        <f>(M140*P140)</f>
        <v>356.78</v>
      </c>
      <c r="AE140" s="129"/>
      <c r="AG140" s="120"/>
      <c r="AO140" s="116"/>
      <c r="AP140" s="120" t="s">
        <v>311</v>
      </c>
      <c r="AR140" s="117"/>
      <c r="AS140" s="129">
        <f>SUM(AS132:AS138)</f>
        <v>20324.919999999998</v>
      </c>
      <c r="AU140" s="115">
        <f t="shared" si="16"/>
        <v>4611.72</v>
      </c>
      <c r="AV140" s="115">
        <f t="shared" si="17"/>
        <v>15713.2</v>
      </c>
    </row>
    <row r="141" spans="1:48" ht="24" customHeight="1">
      <c r="A141" s="130">
        <f t="shared" si="18"/>
        <v>84</v>
      </c>
      <c r="B141" s="132" t="s">
        <v>385</v>
      </c>
      <c r="C141" s="131">
        <f>AC38</f>
        <v>356.78</v>
      </c>
      <c r="D141" s="132" t="s">
        <v>132</v>
      </c>
      <c r="F141" s="129">
        <v>1</v>
      </c>
      <c r="G141" s="126" t="s">
        <v>132</v>
      </c>
      <c r="H141" s="120" t="s">
        <v>218</v>
      </c>
      <c r="I141" s="129">
        <f>C27</f>
        <v>35.700000000000003</v>
      </c>
      <c r="J141" s="120" t="s">
        <v>132</v>
      </c>
      <c r="K141" s="129">
        <f>(F141*I141)</f>
        <v>35.700000000000003</v>
      </c>
      <c r="M141" s="129">
        <v>1</v>
      </c>
      <c r="N141" s="126" t="s">
        <v>132</v>
      </c>
      <c r="O141" s="120" t="s">
        <v>218</v>
      </c>
      <c r="P141" s="129">
        <f>C26</f>
        <v>40.65</v>
      </c>
      <c r="Q141" s="120" t="s">
        <v>132</v>
      </c>
      <c r="R141" s="129">
        <f>(M141*P141)</f>
        <v>40.65</v>
      </c>
      <c r="AE141" s="129"/>
      <c r="AG141" s="120"/>
      <c r="AO141" s="116"/>
      <c r="AR141" s="117"/>
      <c r="AS141" s="123" t="s">
        <v>52</v>
      </c>
      <c r="AU141" s="115" t="e">
        <f t="shared" si="16"/>
        <v>#VALUE!</v>
      </c>
      <c r="AV141" s="115" t="e">
        <f t="shared" si="17"/>
        <v>#VALUE!</v>
      </c>
    </row>
    <row r="142" spans="1:48" ht="24" customHeight="1">
      <c r="A142" s="130">
        <f t="shared" si="18"/>
        <v>85</v>
      </c>
      <c r="B142" s="132" t="s">
        <v>387</v>
      </c>
      <c r="C142" s="140">
        <v>43563.69</v>
      </c>
      <c r="D142" s="132" t="s">
        <v>122</v>
      </c>
      <c r="G142" s="126" t="s">
        <v>145</v>
      </c>
      <c r="H142" s="120" t="s">
        <v>146</v>
      </c>
      <c r="I142" s="120" t="s">
        <v>85</v>
      </c>
      <c r="J142" s="120" t="s">
        <v>145</v>
      </c>
      <c r="K142" s="129">
        <v>0</v>
      </c>
      <c r="N142" s="126" t="s">
        <v>145</v>
      </c>
      <c r="O142" s="120" t="s">
        <v>146</v>
      </c>
      <c r="P142" s="120" t="s">
        <v>85</v>
      </c>
      <c r="Q142" s="120" t="s">
        <v>145</v>
      </c>
      <c r="R142" s="129">
        <v>0</v>
      </c>
      <c r="AE142" s="129"/>
      <c r="AG142" s="120"/>
      <c r="AO142" s="116"/>
      <c r="AP142" s="120" t="s">
        <v>242</v>
      </c>
      <c r="AR142" s="117"/>
      <c r="AS142" s="129">
        <f>(AS140/2.83168)</f>
        <v>7177.69</v>
      </c>
      <c r="AU142" s="115">
        <f t="shared" si="16"/>
        <v>1628.62</v>
      </c>
      <c r="AV142" s="115">
        <f t="shared" si="17"/>
        <v>5549.07</v>
      </c>
    </row>
    <row r="143" spans="1:48" ht="24" customHeight="1">
      <c r="A143" s="130">
        <f t="shared" si="18"/>
        <v>86</v>
      </c>
      <c r="B143" s="120" t="s">
        <v>4010</v>
      </c>
      <c r="C143" s="137">
        <f>56.35*1000</f>
        <v>56350</v>
      </c>
      <c r="D143" s="132" t="s">
        <v>122</v>
      </c>
      <c r="E143" s="115">
        <v>5</v>
      </c>
      <c r="K143" s="123" t="s">
        <v>52</v>
      </c>
      <c r="N143" s="116"/>
      <c r="Q143" s="117"/>
      <c r="R143" s="123" t="s">
        <v>52</v>
      </c>
      <c r="AE143" s="129"/>
      <c r="AG143" s="120"/>
      <c r="AO143" s="116"/>
      <c r="AR143" s="117"/>
      <c r="AS143" s="123" t="s">
        <v>89</v>
      </c>
      <c r="AU143" s="115" t="e">
        <f t="shared" si="16"/>
        <v>#VALUE!</v>
      </c>
      <c r="AV143" s="115" t="e">
        <f t="shared" si="17"/>
        <v>#VALUE!</v>
      </c>
    </row>
    <row r="144" spans="1:48" ht="24" customHeight="1">
      <c r="A144" s="138"/>
      <c r="B144" s="132" t="s">
        <v>85</v>
      </c>
      <c r="C144" s="138"/>
      <c r="D144" s="138"/>
      <c r="H144" s="120" t="s">
        <v>390</v>
      </c>
      <c r="K144" s="127">
        <f>SUM(K138:K142)</f>
        <v>1678.12</v>
      </c>
      <c r="N144" s="116"/>
      <c r="O144" s="120" t="s">
        <v>155</v>
      </c>
      <c r="Q144" s="117"/>
      <c r="R144" s="129">
        <f>SUM(R140:R142)</f>
        <v>397.43</v>
      </c>
      <c r="AE144" s="129"/>
      <c r="AG144" s="120"/>
      <c r="AO144" s="116"/>
      <c r="AR144" s="117"/>
      <c r="AU144" s="115">
        <f t="shared" si="16"/>
        <v>0</v>
      </c>
      <c r="AV144" s="115">
        <f t="shared" si="17"/>
        <v>0</v>
      </c>
    </row>
    <row r="145" spans="1:48" ht="24" customHeight="1">
      <c r="A145" s="130">
        <f>(A143+1)</f>
        <v>87</v>
      </c>
      <c r="B145" s="132" t="s">
        <v>391</v>
      </c>
      <c r="C145" s="139">
        <v>7.5</v>
      </c>
      <c r="D145" s="132" t="s">
        <v>145</v>
      </c>
      <c r="K145" s="123" t="s">
        <v>52</v>
      </c>
      <c r="N145" s="116"/>
      <c r="O145" s="120" t="s">
        <v>4011</v>
      </c>
      <c r="Q145" s="117"/>
      <c r="R145" s="123" t="s">
        <v>52</v>
      </c>
      <c r="AE145" s="129"/>
      <c r="AG145" s="120"/>
      <c r="AO145" s="126" t="s">
        <v>483</v>
      </c>
      <c r="AP145" s="120" t="s">
        <v>590</v>
      </c>
      <c r="AR145" s="117"/>
      <c r="AU145" s="115">
        <f t="shared" si="16"/>
        <v>0</v>
      </c>
      <c r="AV145" s="115">
        <f t="shared" si="17"/>
        <v>0</v>
      </c>
    </row>
    <row r="146" spans="1:48" ht="24" customHeight="1">
      <c r="A146" s="138"/>
      <c r="B146" s="120" t="s">
        <v>4012</v>
      </c>
      <c r="C146" s="140">
        <v>15.5</v>
      </c>
      <c r="D146" s="138"/>
      <c r="F146" s="121" t="s">
        <v>392</v>
      </c>
      <c r="G146" s="126" t="s">
        <v>111</v>
      </c>
      <c r="H146" s="120" t="s">
        <v>4013</v>
      </c>
      <c r="AE146" s="129"/>
      <c r="AO146" s="116"/>
      <c r="AP146" s="123" t="s">
        <v>52</v>
      </c>
      <c r="AR146" s="117"/>
      <c r="AU146" s="115">
        <f t="shared" si="16"/>
        <v>0</v>
      </c>
      <c r="AV146" s="115">
        <f t="shared" si="17"/>
        <v>0</v>
      </c>
    </row>
    <row r="147" spans="1:48" ht="24" customHeight="1">
      <c r="A147" s="130">
        <f>(A145+1)</f>
        <v>88</v>
      </c>
      <c r="B147" s="132" t="s">
        <v>408</v>
      </c>
      <c r="C147" s="140">
        <v>15.25</v>
      </c>
      <c r="D147" s="132" t="s">
        <v>39</v>
      </c>
      <c r="H147" s="120" t="s">
        <v>394</v>
      </c>
      <c r="M147" s="121" t="s">
        <v>374</v>
      </c>
      <c r="N147" s="126" t="s">
        <v>111</v>
      </c>
      <c r="O147" s="120" t="s">
        <v>375</v>
      </c>
      <c r="Q147" s="117"/>
      <c r="AE147" s="129"/>
      <c r="AN147" s="129">
        <v>1.1000000000000001</v>
      </c>
      <c r="AO147" s="126" t="s">
        <v>132</v>
      </c>
      <c r="AP147" s="120" t="s">
        <v>593</v>
      </c>
      <c r="AQ147" s="129">
        <f>(AS142)</f>
        <v>7177.69</v>
      </c>
      <c r="AR147" s="120" t="s">
        <v>132</v>
      </c>
      <c r="AS147" s="129">
        <f>(AN147*AQ147)</f>
        <v>7895.46</v>
      </c>
      <c r="AU147" s="115">
        <f t="shared" si="16"/>
        <v>1791.48</v>
      </c>
      <c r="AV147" s="115">
        <f t="shared" si="17"/>
        <v>6103.98</v>
      </c>
    </row>
    <row r="148" spans="1:48" ht="24" customHeight="1">
      <c r="A148" s="130">
        <f>(A147+1)</f>
        <v>89</v>
      </c>
      <c r="B148" s="120" t="s">
        <v>4014</v>
      </c>
      <c r="C148" s="136">
        <v>145.19999999999999</v>
      </c>
      <c r="D148" s="132" t="s">
        <v>39</v>
      </c>
      <c r="H148" s="120" t="s">
        <v>395</v>
      </c>
      <c r="N148" s="116"/>
      <c r="O148" s="120" t="s">
        <v>4015</v>
      </c>
      <c r="Q148" s="117"/>
      <c r="AE148" s="129"/>
      <c r="AN148" s="129">
        <v>1</v>
      </c>
      <c r="AO148" s="126" t="s">
        <v>237</v>
      </c>
      <c r="AP148" s="120" t="s">
        <v>345</v>
      </c>
      <c r="AQ148" s="129">
        <f>AQ134</f>
        <v>1041.7</v>
      </c>
      <c r="AR148" s="120" t="s">
        <v>131</v>
      </c>
      <c r="AS148" s="129">
        <f>(AN148*AQ148)</f>
        <v>1041.7</v>
      </c>
      <c r="AU148" s="115">
        <f t="shared" si="16"/>
        <v>236.36</v>
      </c>
      <c r="AV148" s="115">
        <f t="shared" si="17"/>
        <v>805.34</v>
      </c>
    </row>
    <row r="149" spans="1:48" ht="24" customHeight="1">
      <c r="A149" s="138"/>
      <c r="B149" s="138" t="s">
        <v>4016</v>
      </c>
      <c r="C149" s="162">
        <v>43.2</v>
      </c>
      <c r="D149" s="138" t="s">
        <v>39</v>
      </c>
      <c r="H149" s="120" t="s">
        <v>396</v>
      </c>
      <c r="N149" s="116"/>
      <c r="O149" s="123" t="s">
        <v>52</v>
      </c>
      <c r="Q149" s="117"/>
      <c r="AE149" s="129"/>
      <c r="AO149" s="126" t="s">
        <v>145</v>
      </c>
      <c r="AP149" s="120" t="s">
        <v>146</v>
      </c>
      <c r="AQ149" s="120" t="s">
        <v>85</v>
      </c>
      <c r="AR149" s="120" t="s">
        <v>145</v>
      </c>
      <c r="AS149" s="129">
        <v>0</v>
      </c>
      <c r="AU149" s="115">
        <f t="shared" si="16"/>
        <v>0</v>
      </c>
      <c r="AV149" s="115">
        <f t="shared" si="17"/>
        <v>0</v>
      </c>
    </row>
    <row r="150" spans="1:48" ht="24" customHeight="1">
      <c r="A150" s="138"/>
      <c r="B150" s="138"/>
      <c r="C150" s="138"/>
      <c r="D150" s="138"/>
      <c r="H150" s="120" t="s">
        <v>397</v>
      </c>
      <c r="M150" s="129">
        <v>1</v>
      </c>
      <c r="N150" s="126" t="s">
        <v>132</v>
      </c>
      <c r="O150" s="120" t="s">
        <v>4017</v>
      </c>
      <c r="P150" s="129">
        <f>AC43</f>
        <v>304.39999999999998</v>
      </c>
      <c r="Q150" s="120" t="s">
        <v>132</v>
      </c>
      <c r="R150" s="129">
        <f>(M150*P150)</f>
        <v>304.39999999999998</v>
      </c>
      <c r="AE150" s="129"/>
      <c r="AO150" s="116"/>
      <c r="AR150" s="117"/>
      <c r="AS150" s="123" t="s">
        <v>52</v>
      </c>
      <c r="AU150" s="115" t="e">
        <f t="shared" si="16"/>
        <v>#VALUE!</v>
      </c>
      <c r="AV150" s="115" t="e">
        <f t="shared" si="17"/>
        <v>#VALUE!</v>
      </c>
    </row>
    <row r="151" spans="1:48" ht="24" customHeight="1">
      <c r="A151" s="138"/>
      <c r="B151" s="138"/>
      <c r="C151" s="138"/>
      <c r="D151" s="138"/>
      <c r="H151" s="123" t="s">
        <v>52</v>
      </c>
      <c r="M151" s="129">
        <v>1</v>
      </c>
      <c r="N151" s="126" t="s">
        <v>132</v>
      </c>
      <c r="O151" s="120" t="s">
        <v>218</v>
      </c>
      <c r="P151" s="129">
        <f>AE28</f>
        <v>40.65</v>
      </c>
      <c r="Q151" s="120" t="s">
        <v>132</v>
      </c>
      <c r="R151" s="129">
        <f>(M151*P151)</f>
        <v>40.65</v>
      </c>
      <c r="AE151" s="129"/>
      <c r="AO151" s="116"/>
      <c r="AP151" s="120" t="s">
        <v>495</v>
      </c>
      <c r="AR151" s="117"/>
      <c r="AS151" s="127">
        <f>SUM(AS147:AS149)</f>
        <v>8937.16</v>
      </c>
      <c r="AU151" s="115">
        <f t="shared" si="16"/>
        <v>2027.84</v>
      </c>
      <c r="AV151" s="115">
        <f t="shared" si="17"/>
        <v>6909.32</v>
      </c>
    </row>
    <row r="152" spans="1:48" ht="24" customHeight="1">
      <c r="A152" s="138"/>
      <c r="B152" s="138"/>
      <c r="C152" s="138"/>
      <c r="D152" s="138"/>
      <c r="F152" s="129">
        <v>0.7</v>
      </c>
      <c r="G152" s="126" t="s">
        <v>132</v>
      </c>
      <c r="H152" s="120" t="s">
        <v>200</v>
      </c>
      <c r="I152" s="129">
        <f>C79</f>
        <v>1642.42</v>
      </c>
      <c r="J152" s="120" t="s">
        <v>132</v>
      </c>
      <c r="K152" s="129">
        <f t="shared" ref="K152:K157" si="19">(F152*I152)</f>
        <v>1149.69</v>
      </c>
      <c r="N152" s="126" t="s">
        <v>145</v>
      </c>
      <c r="O152" s="120" t="s">
        <v>146</v>
      </c>
      <c r="P152" s="120" t="s">
        <v>85</v>
      </c>
      <c r="Q152" s="120" t="s">
        <v>145</v>
      </c>
      <c r="R152" s="129">
        <v>0</v>
      </c>
      <c r="AE152" s="129"/>
      <c r="AO152" s="116"/>
      <c r="AR152" s="117"/>
      <c r="AS152" s="123" t="s">
        <v>52</v>
      </c>
      <c r="AU152" s="115" t="e">
        <f t="shared" si="16"/>
        <v>#VALUE!</v>
      </c>
      <c r="AV152" s="115" t="e">
        <f t="shared" si="17"/>
        <v>#VALUE!</v>
      </c>
    </row>
    <row r="153" spans="1:48" ht="24" customHeight="1">
      <c r="A153" s="138"/>
      <c r="B153" s="138"/>
      <c r="C153" s="138"/>
      <c r="D153" s="138"/>
      <c r="F153" s="129">
        <v>0.7</v>
      </c>
      <c r="G153" s="126" t="s">
        <v>132</v>
      </c>
      <c r="H153" s="191" t="s">
        <v>398</v>
      </c>
      <c r="I153" s="194">
        <f>C812</f>
        <v>3.15</v>
      </c>
      <c r="J153" s="120" t="s">
        <v>132</v>
      </c>
      <c r="K153" s="129">
        <f t="shared" si="19"/>
        <v>2.21</v>
      </c>
      <c r="N153" s="116"/>
      <c r="Q153" s="117"/>
      <c r="R153" s="123" t="s">
        <v>52</v>
      </c>
      <c r="AE153" s="129"/>
      <c r="AO153" s="116"/>
      <c r="AP153" s="120" t="s">
        <v>460</v>
      </c>
      <c r="AR153" s="117"/>
      <c r="AS153" s="129">
        <f>(AS151/10)</f>
        <v>893.72</v>
      </c>
      <c r="AU153" s="115">
        <f t="shared" si="16"/>
        <v>202.79</v>
      </c>
      <c r="AV153" s="115">
        <f t="shared" si="17"/>
        <v>690.93</v>
      </c>
    </row>
    <row r="154" spans="1:48" ht="24" customHeight="1">
      <c r="A154" s="138"/>
      <c r="B154" s="138"/>
      <c r="C154" s="138"/>
      <c r="D154" s="138"/>
      <c r="F154" s="129">
        <v>0.72</v>
      </c>
      <c r="G154" s="126" t="s">
        <v>132</v>
      </c>
      <c r="H154" s="120" t="s">
        <v>399</v>
      </c>
      <c r="I154" s="129">
        <f>C35</f>
        <v>356.78</v>
      </c>
      <c r="J154" s="120" t="s">
        <v>132</v>
      </c>
      <c r="K154" s="129">
        <f t="shared" si="19"/>
        <v>256.88</v>
      </c>
      <c r="N154" s="116"/>
      <c r="O154" s="120" t="s">
        <v>155</v>
      </c>
      <c r="Q154" s="117"/>
      <c r="R154" s="129">
        <f>SUM(R150:R152)</f>
        <v>345.05</v>
      </c>
      <c r="AE154" s="129"/>
      <c r="AO154" s="116"/>
      <c r="AR154" s="117"/>
      <c r="AS154" s="123" t="s">
        <v>89</v>
      </c>
      <c r="AU154" s="115" t="e">
        <f t="shared" si="16"/>
        <v>#VALUE!</v>
      </c>
      <c r="AV154" s="115" t="e">
        <f t="shared" si="17"/>
        <v>#VALUE!</v>
      </c>
    </row>
    <row r="155" spans="1:48" ht="24" customHeight="1">
      <c r="A155" s="138"/>
      <c r="B155" s="138"/>
      <c r="C155" s="138"/>
      <c r="D155" s="138"/>
      <c r="F155" s="129">
        <v>0.72</v>
      </c>
      <c r="G155" s="126" t="s">
        <v>132</v>
      </c>
      <c r="H155" s="191" t="s">
        <v>398</v>
      </c>
      <c r="I155" s="194">
        <f>C812</f>
        <v>3.15</v>
      </c>
      <c r="J155" s="120" t="s">
        <v>132</v>
      </c>
      <c r="K155" s="129">
        <f t="shared" si="19"/>
        <v>2.27</v>
      </c>
      <c r="N155" s="116"/>
      <c r="O155" s="120" t="s">
        <v>4011</v>
      </c>
      <c r="Q155" s="117"/>
      <c r="R155" s="123" t="s">
        <v>52</v>
      </c>
      <c r="AE155" s="129"/>
      <c r="AO155" s="116"/>
      <c r="AP155" s="120" t="s">
        <v>53</v>
      </c>
      <c r="AR155" s="117">
        <f>AS155-AS153</f>
        <v>9.0500000000000007</v>
      </c>
      <c r="AS155" s="127">
        <f>(AS153+C19/10*AN147)</f>
        <v>902.77</v>
      </c>
      <c r="AT155" s="115">
        <f>AS153-AS155</f>
        <v>-9.0500000000000007</v>
      </c>
      <c r="AU155" s="115">
        <f t="shared" si="16"/>
        <v>204.84</v>
      </c>
      <c r="AV155" s="115">
        <f t="shared" si="17"/>
        <v>697.93</v>
      </c>
    </row>
    <row r="156" spans="1:48" ht="24" customHeight="1">
      <c r="A156" s="138"/>
      <c r="B156" s="138"/>
      <c r="C156" s="138"/>
      <c r="D156" s="138"/>
      <c r="F156" s="129">
        <v>1</v>
      </c>
      <c r="G156" s="126" t="s">
        <v>132</v>
      </c>
      <c r="H156" s="120" t="s">
        <v>211</v>
      </c>
      <c r="I156" s="129">
        <f>C18</f>
        <v>121</v>
      </c>
      <c r="J156" s="120" t="s">
        <v>132</v>
      </c>
      <c r="K156" s="129">
        <f t="shared" si="19"/>
        <v>121</v>
      </c>
      <c r="AE156" s="129"/>
      <c r="AO156" s="116"/>
      <c r="AP156" s="120" t="s">
        <v>54</v>
      </c>
      <c r="AR156" s="117">
        <f>AS156-AS155</f>
        <v>18.260000000000002</v>
      </c>
      <c r="AS156" s="127">
        <f>(AS155+C20/10*AN147)</f>
        <v>921.03</v>
      </c>
      <c r="AT156" s="115">
        <f>AS156-AS155</f>
        <v>18.260000000000002</v>
      </c>
      <c r="AU156" s="115">
        <f t="shared" si="16"/>
        <v>208.98</v>
      </c>
      <c r="AV156" s="115">
        <f t="shared" si="17"/>
        <v>712.05</v>
      </c>
    </row>
    <row r="157" spans="1:48" ht="24" customHeight="1">
      <c r="A157" s="138"/>
      <c r="B157" s="138"/>
      <c r="C157" s="138"/>
      <c r="D157" s="138"/>
      <c r="F157" s="129">
        <v>1</v>
      </c>
      <c r="G157" s="126" t="s">
        <v>132</v>
      </c>
      <c r="H157" s="191" t="s">
        <v>400</v>
      </c>
      <c r="I157" s="195">
        <f>C146</f>
        <v>15.5</v>
      </c>
      <c r="J157" s="120" t="s">
        <v>132</v>
      </c>
      <c r="K157" s="129">
        <f t="shared" si="19"/>
        <v>15.5</v>
      </c>
      <c r="AE157" s="129"/>
      <c r="AO157" s="116"/>
      <c r="AP157" s="120" t="s">
        <v>55</v>
      </c>
      <c r="AR157" s="117">
        <f>AS157-AS156</f>
        <v>18.260000000000002</v>
      </c>
      <c r="AS157" s="127">
        <f>(AS156+C21/10*AN147)</f>
        <v>939.29</v>
      </c>
      <c r="AU157" s="115">
        <f t="shared" si="16"/>
        <v>213.12</v>
      </c>
      <c r="AV157" s="115">
        <f t="shared" si="17"/>
        <v>726.17</v>
      </c>
    </row>
    <row r="158" spans="1:48" ht="24" customHeight="1">
      <c r="A158" s="138"/>
      <c r="B158" s="138"/>
      <c r="C158" s="138"/>
      <c r="D158" s="138"/>
      <c r="H158" s="120" t="s">
        <v>401</v>
      </c>
      <c r="AE158" s="129"/>
      <c r="AO158" s="116"/>
      <c r="AP158" s="120" t="s">
        <v>56</v>
      </c>
      <c r="AR158" s="117">
        <f>AS158-AS157</f>
        <v>18.260000000000002</v>
      </c>
      <c r="AS158" s="127">
        <f>(AS157+C21/10*AN147)</f>
        <v>957.55</v>
      </c>
      <c r="AU158" s="115">
        <f t="shared" si="16"/>
        <v>217.27</v>
      </c>
      <c r="AV158" s="115">
        <f t="shared" si="17"/>
        <v>740.28</v>
      </c>
    </row>
    <row r="159" spans="1:48" ht="24" customHeight="1">
      <c r="A159" s="138"/>
      <c r="B159" s="138"/>
      <c r="C159" s="138"/>
      <c r="D159" s="138"/>
      <c r="G159" s="126" t="s">
        <v>145</v>
      </c>
      <c r="H159" s="120" t="s">
        <v>146</v>
      </c>
      <c r="I159" s="120" t="s">
        <v>85</v>
      </c>
      <c r="J159" s="120" t="s">
        <v>145</v>
      </c>
      <c r="K159" s="129">
        <v>0</v>
      </c>
      <c r="AE159" s="129"/>
      <c r="AO159" s="116"/>
      <c r="AP159" s="120" t="s">
        <v>57</v>
      </c>
      <c r="AR159" s="117">
        <f>AS159-AS158</f>
        <v>18.260000000000002</v>
      </c>
      <c r="AS159" s="127">
        <f>(AS158+C21/10*AN147)</f>
        <v>975.81</v>
      </c>
      <c r="AU159" s="115">
        <f t="shared" si="16"/>
        <v>221.41</v>
      </c>
      <c r="AV159" s="115">
        <f t="shared" si="17"/>
        <v>754.4</v>
      </c>
    </row>
    <row r="160" spans="1:48" ht="24" customHeight="1">
      <c r="A160" s="138"/>
      <c r="B160" s="138"/>
      <c r="C160" s="138"/>
      <c r="D160" s="138"/>
      <c r="K160" s="123" t="s">
        <v>52</v>
      </c>
      <c r="M160" s="121" t="s">
        <v>415</v>
      </c>
      <c r="N160" s="126" t="s">
        <v>111</v>
      </c>
      <c r="O160" s="120" t="s">
        <v>4018</v>
      </c>
      <c r="Q160" s="117"/>
      <c r="AE160" s="129"/>
      <c r="AN160" s="198">
        <v>11</v>
      </c>
      <c r="AO160" s="199" t="s">
        <v>111</v>
      </c>
      <c r="AP160" s="122" t="s">
        <v>4019</v>
      </c>
      <c r="AQ160" s="114"/>
      <c r="AR160" s="178"/>
      <c r="AS160" s="114"/>
      <c r="AU160" s="115">
        <f t="shared" si="16"/>
        <v>0</v>
      </c>
      <c r="AV160" s="115">
        <f t="shared" si="17"/>
        <v>0</v>
      </c>
    </row>
    <row r="161" spans="1:48" ht="24" customHeight="1">
      <c r="A161" s="138"/>
      <c r="B161" s="138"/>
      <c r="C161" s="138"/>
      <c r="D161" s="138"/>
      <c r="H161" s="128" t="s">
        <v>390</v>
      </c>
      <c r="K161" s="127">
        <f>SUM(K152:K159)</f>
        <v>1547.55</v>
      </c>
      <c r="N161" s="116"/>
      <c r="O161" s="120" t="s">
        <v>418</v>
      </c>
      <c r="Q161" s="117"/>
      <c r="AE161" s="129"/>
      <c r="AN161" s="114"/>
      <c r="AO161" s="200"/>
      <c r="AP161" s="127" t="str">
        <f>AP61</f>
        <v>Bricks of size 23x11x7 cm</v>
      </c>
      <c r="AQ161" s="114"/>
      <c r="AR161" s="178"/>
      <c r="AS161" s="114"/>
      <c r="AU161" s="115">
        <f t="shared" si="16"/>
        <v>0</v>
      </c>
      <c r="AV161" s="115">
        <f t="shared" si="17"/>
        <v>0</v>
      </c>
    </row>
    <row r="162" spans="1:48" ht="24" customHeight="1">
      <c r="A162" s="138"/>
      <c r="B162" s="138"/>
      <c r="C162" s="138"/>
      <c r="D162" s="138"/>
      <c r="K162" s="123" t="s">
        <v>52</v>
      </c>
      <c r="N162" s="116"/>
      <c r="O162" s="123" t="s">
        <v>52</v>
      </c>
      <c r="Q162" s="117"/>
      <c r="AE162" s="129"/>
      <c r="AO162" s="116"/>
      <c r="AP162" s="123" t="s">
        <v>52</v>
      </c>
      <c r="AR162" s="117"/>
      <c r="AU162" s="115">
        <f t="shared" si="16"/>
        <v>0</v>
      </c>
      <c r="AV162" s="115">
        <f t="shared" si="17"/>
        <v>0</v>
      </c>
    </row>
    <row r="163" spans="1:48" ht="24" customHeight="1">
      <c r="A163" s="138"/>
      <c r="B163" s="138"/>
      <c r="C163" s="138"/>
      <c r="D163" s="138"/>
      <c r="H163" s="120" t="s">
        <v>85</v>
      </c>
      <c r="K163" s="120" t="s">
        <v>85</v>
      </c>
      <c r="M163" s="129">
        <v>9</v>
      </c>
      <c r="N163" s="126" t="s">
        <v>132</v>
      </c>
      <c r="O163" s="120" t="s">
        <v>421</v>
      </c>
      <c r="P163" s="129">
        <f>I195</f>
        <v>1316.98</v>
      </c>
      <c r="Q163" s="120" t="s">
        <v>132</v>
      </c>
      <c r="R163" s="129">
        <f>(M163*P163)</f>
        <v>11852.82</v>
      </c>
      <c r="AE163" s="129"/>
      <c r="AN163" s="129">
        <f>AN63</f>
        <v>1300</v>
      </c>
      <c r="AO163" s="126" t="s">
        <v>338</v>
      </c>
      <c r="AP163" s="129" t="str">
        <f>AP61</f>
        <v>Bricks of size 23x11x7 cm</v>
      </c>
      <c r="AQ163" s="129">
        <f>AC45</f>
        <v>6824.8</v>
      </c>
      <c r="AR163" s="120" t="s">
        <v>601</v>
      </c>
      <c r="AS163" s="129">
        <f>(AN163*AQ163)/1000</f>
        <v>8872.24</v>
      </c>
      <c r="AU163" s="115">
        <f t="shared" si="16"/>
        <v>2013.11</v>
      </c>
      <c r="AV163" s="115">
        <f t="shared" si="17"/>
        <v>6859.13</v>
      </c>
    </row>
    <row r="164" spans="1:48" ht="24" customHeight="1">
      <c r="A164" s="138"/>
      <c r="B164" s="138"/>
      <c r="C164" s="138"/>
      <c r="D164" s="138"/>
      <c r="K164" s="120" t="s">
        <v>85</v>
      </c>
      <c r="M164" s="129">
        <v>4.5</v>
      </c>
      <c r="N164" s="126" t="s">
        <v>132</v>
      </c>
      <c r="O164" s="120" t="s">
        <v>259</v>
      </c>
      <c r="P164" s="129">
        <f>K40</f>
        <v>3937.82</v>
      </c>
      <c r="Q164" s="120" t="s">
        <v>132</v>
      </c>
      <c r="R164" s="129">
        <f>(M164*P164)</f>
        <v>17720.189999999999</v>
      </c>
      <c r="AE164" s="129"/>
      <c r="AN164" s="142">
        <f>AN133</f>
        <v>0.70799999999999996</v>
      </c>
      <c r="AO164" s="126" t="s">
        <v>132</v>
      </c>
      <c r="AP164" s="120" t="s">
        <v>259</v>
      </c>
      <c r="AQ164" s="129">
        <f>AQ133</f>
        <v>3937.82</v>
      </c>
      <c r="AR164" s="120" t="s">
        <v>132</v>
      </c>
      <c r="AS164" s="129">
        <f>(AN164*AQ164)</f>
        <v>2787.98</v>
      </c>
      <c r="AU164" s="115">
        <f t="shared" ref="AU164:AU217" si="20">AS164*22.69/100</f>
        <v>632.59</v>
      </c>
      <c r="AV164" s="115">
        <f t="shared" ref="AV164:AV217" si="21">AS164-AU164</f>
        <v>2155.39</v>
      </c>
    </row>
    <row r="165" spans="1:48" ht="24" customHeight="1">
      <c r="A165" s="192">
        <v>2.2999999999999998</v>
      </c>
      <c r="B165" s="143" t="s">
        <v>402</v>
      </c>
      <c r="C165" s="193">
        <f>AC19+I168</f>
        <v>857.9</v>
      </c>
      <c r="D165" s="138"/>
      <c r="F165" s="167">
        <v>2.6</v>
      </c>
      <c r="G165" s="126" t="s">
        <v>111</v>
      </c>
      <c r="H165" s="120" t="s">
        <v>403</v>
      </c>
      <c r="M165" s="129">
        <v>1.8</v>
      </c>
      <c r="N165" s="126" t="s">
        <v>131</v>
      </c>
      <c r="O165" s="120" t="s">
        <v>302</v>
      </c>
      <c r="P165" s="129">
        <f>I197</f>
        <v>972.4</v>
      </c>
      <c r="Q165" s="120" t="s">
        <v>131</v>
      </c>
      <c r="R165" s="129">
        <f>(M165*P165)</f>
        <v>1750.32</v>
      </c>
      <c r="AE165" s="129"/>
      <c r="AN165" s="129">
        <v>1</v>
      </c>
      <c r="AO165" s="126" t="s">
        <v>131</v>
      </c>
      <c r="AP165" s="120" t="s">
        <v>345</v>
      </c>
      <c r="AQ165" s="129">
        <f>AQ134</f>
        <v>1041.7</v>
      </c>
      <c r="AR165" s="120" t="s">
        <v>131</v>
      </c>
      <c r="AS165" s="129">
        <f>(AN165*AQ165)</f>
        <v>1041.7</v>
      </c>
      <c r="AU165" s="115">
        <f t="shared" si="20"/>
        <v>236.36</v>
      </c>
      <c r="AV165" s="115">
        <f t="shared" si="21"/>
        <v>805.34</v>
      </c>
    </row>
    <row r="166" spans="1:48" ht="24" customHeight="1">
      <c r="A166" s="192">
        <v>2.4</v>
      </c>
      <c r="B166" s="143" t="s">
        <v>404</v>
      </c>
      <c r="C166" s="193">
        <f>AC20+I168</f>
        <v>938.9</v>
      </c>
      <c r="D166" s="138"/>
      <c r="H166" s="123" t="s">
        <v>52</v>
      </c>
      <c r="M166" s="129">
        <v>17.7</v>
      </c>
      <c r="N166" s="126" t="s">
        <v>131</v>
      </c>
      <c r="O166" s="120" t="s">
        <v>304</v>
      </c>
      <c r="P166" s="129">
        <f>I198</f>
        <v>679.8</v>
      </c>
      <c r="Q166" s="120" t="s">
        <v>131</v>
      </c>
      <c r="R166" s="129">
        <f>(M166*P166)</f>
        <v>12032.46</v>
      </c>
      <c r="AE166" s="129"/>
      <c r="AN166" s="129">
        <v>3</v>
      </c>
      <c r="AO166" s="126" t="s">
        <v>131</v>
      </c>
      <c r="AP166" s="120" t="s">
        <v>302</v>
      </c>
      <c r="AQ166" s="129">
        <f>AQ135</f>
        <v>972.4</v>
      </c>
      <c r="AR166" s="120" t="s">
        <v>131</v>
      </c>
      <c r="AS166" s="129">
        <f>(AN166*AQ166)</f>
        <v>2917.2</v>
      </c>
      <c r="AU166" s="115">
        <f t="shared" si="20"/>
        <v>661.91</v>
      </c>
      <c r="AV166" s="115">
        <f t="shared" si="21"/>
        <v>2255.29</v>
      </c>
    </row>
    <row r="167" spans="1:48" ht="24" customHeight="1">
      <c r="A167" s="138"/>
      <c r="B167" s="138"/>
      <c r="C167" s="138"/>
      <c r="D167" s="138"/>
      <c r="F167" s="129">
        <v>1</v>
      </c>
      <c r="G167" s="126" t="s">
        <v>132</v>
      </c>
      <c r="H167" s="120" t="s">
        <v>405</v>
      </c>
      <c r="I167" s="129">
        <f>AC15</f>
        <v>1316.98</v>
      </c>
      <c r="J167" s="120" t="s">
        <v>132</v>
      </c>
      <c r="K167" s="129">
        <f>(F167*I167)</f>
        <v>1316.98</v>
      </c>
      <c r="M167" s="129">
        <v>14.1</v>
      </c>
      <c r="N167" s="126" t="s">
        <v>131</v>
      </c>
      <c r="O167" s="120" t="s">
        <v>306</v>
      </c>
      <c r="P167" s="129">
        <f>I199</f>
        <v>557.70000000000005</v>
      </c>
      <c r="Q167" s="120" t="s">
        <v>131</v>
      </c>
      <c r="R167" s="129">
        <f>(M167*P167)</f>
        <v>7863.57</v>
      </c>
      <c r="AE167" s="129"/>
      <c r="AN167" s="129">
        <v>2</v>
      </c>
      <c r="AO167" s="126" t="s">
        <v>131</v>
      </c>
      <c r="AP167" s="120" t="s">
        <v>304</v>
      </c>
      <c r="AQ167" s="129">
        <f>AQ136</f>
        <v>679.8</v>
      </c>
      <c r="AR167" s="120" t="s">
        <v>131</v>
      </c>
      <c r="AS167" s="129">
        <f>(AN167*AQ167)</f>
        <v>1359.6</v>
      </c>
      <c r="AU167" s="115">
        <f t="shared" si="20"/>
        <v>308.49</v>
      </c>
      <c r="AV167" s="115">
        <f t="shared" si="21"/>
        <v>1051.1099999999999</v>
      </c>
    </row>
    <row r="168" spans="1:48" ht="24" customHeight="1">
      <c r="A168" s="138"/>
      <c r="B168" s="138"/>
      <c r="C168" s="138"/>
      <c r="D168" s="138"/>
      <c r="F168" s="129">
        <v>1</v>
      </c>
      <c r="G168" s="126" t="s">
        <v>132</v>
      </c>
      <c r="H168" s="120" t="s">
        <v>218</v>
      </c>
      <c r="I168" s="129">
        <f>C26</f>
        <v>40.65</v>
      </c>
      <c r="J168" s="120" t="s">
        <v>132</v>
      </c>
      <c r="K168" s="129">
        <f>(F168*I168)</f>
        <v>40.65</v>
      </c>
      <c r="N168" s="126" t="s">
        <v>145</v>
      </c>
      <c r="O168" s="120" t="s">
        <v>146</v>
      </c>
      <c r="Q168" s="120" t="s">
        <v>145</v>
      </c>
      <c r="R168" s="129">
        <v>0</v>
      </c>
      <c r="AE168" s="129"/>
      <c r="AN168" s="129">
        <v>6</v>
      </c>
      <c r="AO168" s="126" t="s">
        <v>131</v>
      </c>
      <c r="AP168" s="120" t="s">
        <v>306</v>
      </c>
      <c r="AQ168" s="129">
        <f>AQ137</f>
        <v>557.70000000000005</v>
      </c>
      <c r="AR168" s="120" t="s">
        <v>131</v>
      </c>
      <c r="AS168" s="129">
        <f>(AN168*AQ168)</f>
        <v>3346.2</v>
      </c>
      <c r="AU168" s="115">
        <f t="shared" si="20"/>
        <v>759.25</v>
      </c>
      <c r="AV168" s="115">
        <f t="shared" si="21"/>
        <v>2586.9499999999998</v>
      </c>
    </row>
    <row r="169" spans="1:48" ht="24" customHeight="1">
      <c r="A169" s="138"/>
      <c r="B169" s="138"/>
      <c r="C169" s="138"/>
      <c r="D169" s="138"/>
      <c r="G169" s="126" t="s">
        <v>145</v>
      </c>
      <c r="H169" s="120" t="s">
        <v>146</v>
      </c>
      <c r="I169" s="120" t="s">
        <v>85</v>
      </c>
      <c r="J169" s="120" t="s">
        <v>145</v>
      </c>
      <c r="K169" s="129">
        <v>0</v>
      </c>
      <c r="N169" s="116"/>
      <c r="Q169" s="117"/>
      <c r="R169" s="123" t="s">
        <v>52</v>
      </c>
      <c r="AE169" s="129"/>
      <c r="AO169" s="126" t="s">
        <v>145</v>
      </c>
      <c r="AP169" s="120" t="s">
        <v>146</v>
      </c>
      <c r="AQ169" s="120" t="s">
        <v>85</v>
      </c>
      <c r="AR169" s="120" t="s">
        <v>145</v>
      </c>
      <c r="AS169" s="129">
        <v>0</v>
      </c>
      <c r="AU169" s="115">
        <f t="shared" si="20"/>
        <v>0</v>
      </c>
      <c r="AV169" s="115">
        <f t="shared" si="21"/>
        <v>0</v>
      </c>
    </row>
    <row r="170" spans="1:48" ht="24" customHeight="1">
      <c r="A170" s="138"/>
      <c r="B170" s="138"/>
      <c r="C170" s="138"/>
      <c r="D170" s="138"/>
      <c r="K170" s="123" t="s">
        <v>52</v>
      </c>
      <c r="N170" s="116"/>
      <c r="Q170" s="117"/>
      <c r="R170" s="129">
        <f>SUM(R163:R168)</f>
        <v>51219.360000000001</v>
      </c>
      <c r="AE170" s="129"/>
      <c r="AO170" s="116"/>
      <c r="AR170" s="117"/>
      <c r="AS170" s="123" t="s">
        <v>52</v>
      </c>
      <c r="AU170" s="115" t="e">
        <f t="shared" si="20"/>
        <v>#VALUE!</v>
      </c>
      <c r="AV170" s="115" t="e">
        <f t="shared" si="21"/>
        <v>#VALUE!</v>
      </c>
    </row>
    <row r="171" spans="1:48" ht="24" customHeight="1">
      <c r="A171" s="138"/>
      <c r="B171" s="138"/>
      <c r="C171" s="138"/>
      <c r="D171" s="138"/>
      <c r="H171" s="128" t="s">
        <v>390</v>
      </c>
      <c r="K171" s="127">
        <f>SUM(K166:K169)</f>
        <v>1357.63</v>
      </c>
      <c r="N171" s="116"/>
      <c r="O171" s="121" t="s">
        <v>311</v>
      </c>
      <c r="Q171" s="117"/>
      <c r="R171" s="123" t="s">
        <v>52</v>
      </c>
      <c r="AE171" s="129"/>
      <c r="AO171" s="116"/>
      <c r="AP171" s="120" t="s">
        <v>311</v>
      </c>
      <c r="AR171" s="117"/>
      <c r="AS171" s="129">
        <f>SUM(AS163:AS169)</f>
        <v>20324.919999999998</v>
      </c>
      <c r="AU171" s="115">
        <f t="shared" si="20"/>
        <v>4611.72</v>
      </c>
      <c r="AV171" s="115">
        <f t="shared" si="21"/>
        <v>15713.2</v>
      </c>
    </row>
    <row r="172" spans="1:48" ht="24" customHeight="1">
      <c r="A172" s="138"/>
      <c r="B172" s="138"/>
      <c r="C172" s="138"/>
      <c r="D172" s="138"/>
      <c r="K172" s="123" t="s">
        <v>52</v>
      </c>
      <c r="N172" s="116"/>
      <c r="Q172" s="117"/>
      <c r="R172" s="127">
        <f>(R170/10)</f>
        <v>5121.9399999999996</v>
      </c>
      <c r="AE172" s="129"/>
      <c r="AO172" s="116"/>
      <c r="AR172" s="117"/>
      <c r="AS172" s="123" t="s">
        <v>52</v>
      </c>
      <c r="AU172" s="115" t="e">
        <f t="shared" si="20"/>
        <v>#VALUE!</v>
      </c>
      <c r="AV172" s="115" t="e">
        <f t="shared" si="21"/>
        <v>#VALUE!</v>
      </c>
    </row>
    <row r="173" spans="1:48" ht="24" customHeight="1">
      <c r="A173" s="138"/>
      <c r="B173" s="138"/>
      <c r="C173" s="138"/>
      <c r="D173" s="138"/>
      <c r="F173" s="167">
        <v>2.7</v>
      </c>
      <c r="G173" s="126" t="s">
        <v>111</v>
      </c>
      <c r="H173" s="120" t="s">
        <v>406</v>
      </c>
      <c r="N173" s="116"/>
      <c r="O173" s="128" t="s">
        <v>242</v>
      </c>
      <c r="Q173" s="117"/>
      <c r="R173" s="123" t="s">
        <v>89</v>
      </c>
      <c r="AE173" s="129"/>
      <c r="AO173" s="116"/>
      <c r="AP173" s="120" t="s">
        <v>242</v>
      </c>
      <c r="AR173" s="117"/>
      <c r="AS173" s="129">
        <f>(AS171/2.83168)</f>
        <v>7177.69</v>
      </c>
      <c r="AU173" s="115">
        <f t="shared" si="20"/>
        <v>1628.62</v>
      </c>
      <c r="AV173" s="115">
        <f t="shared" si="21"/>
        <v>5549.07</v>
      </c>
    </row>
    <row r="174" spans="1:48" ht="24" customHeight="1">
      <c r="A174" s="138"/>
      <c r="B174" s="138"/>
      <c r="C174" s="138"/>
      <c r="D174" s="138"/>
      <c r="H174" s="123" t="s">
        <v>52</v>
      </c>
      <c r="AE174" s="129"/>
      <c r="AO174" s="116"/>
      <c r="AR174" s="117"/>
      <c r="AS174" s="123" t="s">
        <v>89</v>
      </c>
      <c r="AU174" s="115" t="e">
        <f t="shared" si="20"/>
        <v>#VALUE!</v>
      </c>
      <c r="AV174" s="115" t="e">
        <f t="shared" si="21"/>
        <v>#VALUE!</v>
      </c>
    </row>
    <row r="175" spans="1:48" ht="24" customHeight="1">
      <c r="A175" s="138"/>
      <c r="B175" s="138"/>
      <c r="C175" s="138"/>
      <c r="D175" s="138"/>
      <c r="F175" s="129">
        <v>1</v>
      </c>
      <c r="G175" s="126" t="s">
        <v>132</v>
      </c>
      <c r="H175" s="120" t="s">
        <v>407</v>
      </c>
      <c r="I175" s="129">
        <f>AC14</f>
        <v>1729.98</v>
      </c>
      <c r="J175" s="120" t="s">
        <v>132</v>
      </c>
      <c r="K175" s="129">
        <f>(F175*I175)</f>
        <v>1729.98</v>
      </c>
      <c r="AE175" s="129"/>
      <c r="AN175" s="120" t="s">
        <v>88</v>
      </c>
      <c r="AO175" s="116"/>
      <c r="AR175" s="117"/>
      <c r="AU175" s="115">
        <f t="shared" si="20"/>
        <v>0</v>
      </c>
      <c r="AV175" s="115">
        <f t="shared" si="21"/>
        <v>0</v>
      </c>
    </row>
    <row r="176" spans="1:48" ht="24" customHeight="1">
      <c r="A176" s="138"/>
      <c r="B176" s="138"/>
      <c r="C176" s="138"/>
      <c r="D176" s="138"/>
      <c r="F176" s="129">
        <v>1</v>
      </c>
      <c r="G176" s="126" t="s">
        <v>132</v>
      </c>
      <c r="H176" s="120" t="s">
        <v>218</v>
      </c>
      <c r="I176" s="129">
        <f>C26</f>
        <v>40.65</v>
      </c>
      <c r="J176" s="120" t="s">
        <v>132</v>
      </c>
      <c r="K176" s="129">
        <f>(F176*I176)</f>
        <v>40.65</v>
      </c>
      <c r="AE176" s="129"/>
      <c r="AO176" s="116"/>
      <c r="AR176" s="117"/>
      <c r="AU176" s="115">
        <f t="shared" si="20"/>
        <v>0</v>
      </c>
      <c r="AV176" s="115">
        <f t="shared" si="21"/>
        <v>0</v>
      </c>
    </row>
    <row r="177" spans="1:48" ht="24" customHeight="1">
      <c r="A177" s="138"/>
      <c r="B177" s="138"/>
      <c r="C177" s="138"/>
      <c r="D177" s="138"/>
      <c r="G177" s="126" t="s">
        <v>145</v>
      </c>
      <c r="H177" s="120" t="s">
        <v>146</v>
      </c>
      <c r="I177" s="120" t="s">
        <v>85</v>
      </c>
      <c r="J177" s="120" t="s">
        <v>145</v>
      </c>
      <c r="K177" s="129">
        <v>0</v>
      </c>
      <c r="AE177" s="129"/>
      <c r="AO177" s="126" t="s">
        <v>607</v>
      </c>
      <c r="AP177" s="120" t="s">
        <v>608</v>
      </c>
      <c r="AR177" s="117"/>
      <c r="AU177" s="115">
        <f t="shared" si="20"/>
        <v>0</v>
      </c>
      <c r="AV177" s="115">
        <f t="shared" si="21"/>
        <v>0</v>
      </c>
    </row>
    <row r="178" spans="1:48" ht="24" customHeight="1">
      <c r="A178" s="138"/>
      <c r="B178" s="138"/>
      <c r="C178" s="138"/>
      <c r="D178" s="138"/>
      <c r="K178" s="123" t="s">
        <v>52</v>
      </c>
      <c r="AE178" s="129"/>
      <c r="AO178" s="116"/>
      <c r="AP178" s="123" t="s">
        <v>52</v>
      </c>
      <c r="AR178" s="117"/>
      <c r="AU178" s="115">
        <f t="shared" si="20"/>
        <v>0</v>
      </c>
      <c r="AV178" s="115">
        <f t="shared" si="21"/>
        <v>0</v>
      </c>
    </row>
    <row r="179" spans="1:48" ht="24" customHeight="1">
      <c r="A179" s="138"/>
      <c r="B179" s="138"/>
      <c r="C179" s="138"/>
      <c r="D179" s="138"/>
      <c r="H179" s="128" t="s">
        <v>390</v>
      </c>
      <c r="K179" s="127">
        <f>SUM(K174:K177)</f>
        <v>1770.63</v>
      </c>
      <c r="AE179" s="129"/>
      <c r="AN179" s="129">
        <v>0.7</v>
      </c>
      <c r="AO179" s="126" t="s">
        <v>132</v>
      </c>
      <c r="AP179" s="120" t="s">
        <v>488</v>
      </c>
      <c r="AQ179" s="129">
        <f>AQ147</f>
        <v>7177.69</v>
      </c>
      <c r="AR179" s="120" t="s">
        <v>131</v>
      </c>
      <c r="AS179" s="129">
        <f>(AN179*AQ179)</f>
        <v>5024.38</v>
      </c>
      <c r="AU179" s="115">
        <f t="shared" si="20"/>
        <v>1140.03</v>
      </c>
      <c r="AV179" s="115">
        <f t="shared" si="21"/>
        <v>3884.35</v>
      </c>
    </row>
    <row r="180" spans="1:48" ht="24" customHeight="1">
      <c r="K180" s="123" t="s">
        <v>52</v>
      </c>
      <c r="M180" s="129">
        <v>2.5</v>
      </c>
      <c r="N180" s="120" t="s">
        <v>132</v>
      </c>
      <c r="O180" s="120" t="s">
        <v>299</v>
      </c>
      <c r="P180" s="129">
        <f>(K58)</f>
        <v>3213.02</v>
      </c>
      <c r="Q180" s="120" t="s">
        <v>132</v>
      </c>
      <c r="R180" s="129">
        <f>(M180*P180)</f>
        <v>8032.55</v>
      </c>
      <c r="AE180" s="129"/>
      <c r="AG180" s="120"/>
      <c r="AN180" s="129">
        <v>1</v>
      </c>
      <c r="AO180" s="126" t="s">
        <v>237</v>
      </c>
      <c r="AP180" s="120" t="s">
        <v>345</v>
      </c>
      <c r="AQ180" s="129">
        <f>AQ165</f>
        <v>1041.7</v>
      </c>
      <c r="AR180" s="120" t="s">
        <v>131</v>
      </c>
      <c r="AS180" s="129">
        <f>(AN180*AQ180)</f>
        <v>1041.7</v>
      </c>
      <c r="AU180" s="115">
        <f t="shared" si="20"/>
        <v>236.36</v>
      </c>
      <c r="AV180" s="115">
        <f t="shared" si="21"/>
        <v>805.34</v>
      </c>
    </row>
    <row r="181" spans="1:48" ht="24" customHeight="1">
      <c r="H181" s="120" t="s">
        <v>85</v>
      </c>
      <c r="M181" s="129">
        <v>3.5</v>
      </c>
      <c r="N181" s="120" t="s">
        <v>131</v>
      </c>
      <c r="O181" s="120" t="s">
        <v>345</v>
      </c>
      <c r="P181" s="129">
        <f>(C10)</f>
        <v>1041.7</v>
      </c>
      <c r="Q181" s="120" t="s">
        <v>131</v>
      </c>
      <c r="R181" s="129">
        <f>(M181*P181)</f>
        <v>3645.95</v>
      </c>
      <c r="AE181" s="129"/>
      <c r="AG181" s="120"/>
      <c r="AO181" s="126" t="s">
        <v>145</v>
      </c>
      <c r="AP181" s="120" t="s">
        <v>146</v>
      </c>
      <c r="AQ181" s="120" t="s">
        <v>85</v>
      </c>
      <c r="AR181" s="120" t="s">
        <v>145</v>
      </c>
      <c r="AS181" s="129">
        <v>0</v>
      </c>
      <c r="AU181" s="115">
        <f t="shared" si="20"/>
        <v>0</v>
      </c>
      <c r="AV181" s="115">
        <f t="shared" si="21"/>
        <v>0</v>
      </c>
    </row>
    <row r="182" spans="1:48" ht="24" customHeight="1">
      <c r="F182" s="121" t="s">
        <v>410</v>
      </c>
      <c r="H182" s="120" t="s">
        <v>4020</v>
      </c>
      <c r="AE182" s="129"/>
      <c r="AO182" s="116"/>
      <c r="AR182" s="117"/>
      <c r="AS182" s="123" t="s">
        <v>52</v>
      </c>
      <c r="AU182" s="115" t="e">
        <f t="shared" si="20"/>
        <v>#VALUE!</v>
      </c>
      <c r="AV182" s="115" t="e">
        <f t="shared" si="21"/>
        <v>#VALUE!</v>
      </c>
    </row>
    <row r="183" spans="1:48" ht="24" customHeight="1">
      <c r="A183" s="138"/>
      <c r="B183" s="138"/>
      <c r="C183" s="138"/>
      <c r="D183" s="138"/>
      <c r="AE183" s="129"/>
      <c r="AO183" s="116"/>
      <c r="AP183" s="120" t="s">
        <v>495</v>
      </c>
      <c r="AR183" s="117"/>
      <c r="AS183" s="127">
        <f>SUM(AS179:AS181)</f>
        <v>6066.08</v>
      </c>
      <c r="AU183" s="115">
        <f t="shared" si="20"/>
        <v>1376.39</v>
      </c>
      <c r="AV183" s="115">
        <f t="shared" si="21"/>
        <v>4689.6899999999996</v>
      </c>
    </row>
    <row r="184" spans="1:48" ht="24" customHeight="1">
      <c r="A184" s="138"/>
      <c r="B184" s="138"/>
      <c r="C184" s="138"/>
      <c r="D184" s="138"/>
      <c r="F184" s="129">
        <v>1</v>
      </c>
      <c r="G184" s="126" t="s">
        <v>132</v>
      </c>
      <c r="H184" s="120" t="s">
        <v>412</v>
      </c>
      <c r="I184" s="129">
        <f>C35</f>
        <v>356.78</v>
      </c>
      <c r="J184" s="120" t="s">
        <v>132</v>
      </c>
      <c r="K184" s="129">
        <f>(F184*I184)</f>
        <v>356.78</v>
      </c>
      <c r="AE184" s="129"/>
      <c r="AO184" s="116"/>
      <c r="AR184" s="117"/>
      <c r="AS184" s="123" t="s">
        <v>52</v>
      </c>
      <c r="AU184" s="115" t="e">
        <f t="shared" si="20"/>
        <v>#VALUE!</v>
      </c>
      <c r="AV184" s="115" t="e">
        <f t="shared" si="21"/>
        <v>#VALUE!</v>
      </c>
    </row>
    <row r="185" spans="1:48" ht="24" customHeight="1">
      <c r="A185" s="138"/>
      <c r="B185" s="138"/>
      <c r="C185" s="138"/>
      <c r="D185" s="138"/>
      <c r="F185" s="129">
        <v>1</v>
      </c>
      <c r="G185" s="126" t="s">
        <v>132</v>
      </c>
      <c r="H185" s="120" t="s">
        <v>398</v>
      </c>
      <c r="I185" s="196">
        <f>C812</f>
        <v>3.15</v>
      </c>
      <c r="J185" s="120" t="s">
        <v>132</v>
      </c>
      <c r="K185" s="129">
        <f>(F185*I185)</f>
        <v>3.15</v>
      </c>
      <c r="AE185" s="129"/>
      <c r="AO185" s="116"/>
      <c r="AP185" s="120" t="s">
        <v>460</v>
      </c>
      <c r="AR185" s="117"/>
      <c r="AS185" s="129">
        <f>(AS183/10)</f>
        <v>606.61</v>
      </c>
      <c r="AU185" s="115">
        <f t="shared" si="20"/>
        <v>137.63999999999999</v>
      </c>
      <c r="AV185" s="115">
        <f t="shared" si="21"/>
        <v>468.97</v>
      </c>
    </row>
    <row r="186" spans="1:48" ht="24" customHeight="1">
      <c r="A186" s="138"/>
      <c r="B186" s="138"/>
      <c r="C186" s="138"/>
      <c r="D186" s="138"/>
      <c r="F186" s="129">
        <v>1</v>
      </c>
      <c r="G186" s="126" t="s">
        <v>132</v>
      </c>
      <c r="H186" s="120" t="s">
        <v>400</v>
      </c>
      <c r="I186" s="196">
        <f>C146</f>
        <v>15.5</v>
      </c>
      <c r="J186" s="120" t="s">
        <v>132</v>
      </c>
      <c r="K186" s="129">
        <f>(F186*I186)</f>
        <v>15.5</v>
      </c>
      <c r="AE186" s="129"/>
      <c r="AO186" s="116"/>
      <c r="AR186" s="117"/>
      <c r="AS186" s="123" t="s">
        <v>89</v>
      </c>
      <c r="AU186" s="115" t="e">
        <f t="shared" si="20"/>
        <v>#VALUE!</v>
      </c>
      <c r="AV186" s="115" t="e">
        <f t="shared" si="21"/>
        <v>#VALUE!</v>
      </c>
    </row>
    <row r="187" spans="1:48" ht="24" customHeight="1">
      <c r="A187" s="138"/>
      <c r="B187" s="138"/>
      <c r="C187" s="138"/>
      <c r="D187" s="138"/>
      <c r="H187" s="120" t="s">
        <v>401</v>
      </c>
      <c r="AE187" s="129"/>
      <c r="AO187" s="116"/>
      <c r="AP187" s="120" t="s">
        <v>53</v>
      </c>
      <c r="AR187" s="117">
        <f>AS187-AS185</f>
        <v>5.76</v>
      </c>
      <c r="AS187" s="127">
        <f>(AS185+C19/10*AN179)</f>
        <v>612.37</v>
      </c>
      <c r="AU187" s="115">
        <f t="shared" si="20"/>
        <v>138.94999999999999</v>
      </c>
      <c r="AV187" s="115">
        <f t="shared" si="21"/>
        <v>473.42</v>
      </c>
    </row>
    <row r="188" spans="1:48" ht="24" customHeight="1">
      <c r="A188" s="138"/>
      <c r="B188" s="138"/>
      <c r="C188" s="138"/>
      <c r="D188" s="138"/>
      <c r="K188" s="123" t="s">
        <v>52</v>
      </c>
      <c r="AE188" s="129"/>
      <c r="AO188" s="116"/>
      <c r="AP188" s="120" t="s">
        <v>54</v>
      </c>
      <c r="AR188" s="117">
        <f>AS188-AS187</f>
        <v>11.62</v>
      </c>
      <c r="AS188" s="127">
        <f>(AS187+C20/10*AN179)</f>
        <v>623.99</v>
      </c>
      <c r="AU188" s="115">
        <f t="shared" si="20"/>
        <v>141.58000000000001</v>
      </c>
      <c r="AV188" s="115">
        <f t="shared" si="21"/>
        <v>482.41</v>
      </c>
    </row>
    <row r="189" spans="1:48" ht="24" customHeight="1">
      <c r="A189" s="138"/>
      <c r="B189" s="138"/>
      <c r="C189" s="138"/>
      <c r="D189" s="138"/>
      <c r="H189" s="128" t="s">
        <v>390</v>
      </c>
      <c r="K189" s="127">
        <f>SUM(K182:K187)</f>
        <v>375.43</v>
      </c>
      <c r="AE189" s="129"/>
      <c r="AO189" s="116"/>
      <c r="AP189" s="120" t="s">
        <v>55</v>
      </c>
      <c r="AR189" s="117">
        <f>AS189-AS188</f>
        <v>11.62</v>
      </c>
      <c r="AS189" s="127">
        <f>(AS188+C21/10*AN179)</f>
        <v>635.61</v>
      </c>
      <c r="AU189" s="115">
        <f t="shared" si="20"/>
        <v>144.22</v>
      </c>
      <c r="AV189" s="115">
        <f t="shared" si="21"/>
        <v>491.39</v>
      </c>
    </row>
    <row r="190" spans="1:48" ht="24" customHeight="1">
      <c r="A190" s="138"/>
      <c r="B190" s="138"/>
      <c r="C190" s="138"/>
      <c r="D190" s="138"/>
      <c r="F190" s="120" t="s">
        <v>85</v>
      </c>
      <c r="K190" s="123" t="s">
        <v>52</v>
      </c>
      <c r="AE190" s="129"/>
      <c r="AO190" s="116"/>
      <c r="AP190" s="120" t="s">
        <v>56</v>
      </c>
      <c r="AR190" s="117">
        <f>AS190-AS189</f>
        <v>11.62</v>
      </c>
      <c r="AS190" s="127">
        <f>(AS189+C21/10*AN179)</f>
        <v>647.23</v>
      </c>
      <c r="AU190" s="115">
        <f t="shared" si="20"/>
        <v>146.86000000000001</v>
      </c>
      <c r="AV190" s="115">
        <f t="shared" si="21"/>
        <v>500.37</v>
      </c>
    </row>
    <row r="191" spans="1:48" ht="24" customHeight="1">
      <c r="A191" s="138"/>
      <c r="B191" s="138"/>
      <c r="C191" s="138"/>
      <c r="D191" s="138"/>
      <c r="K191" s="120" t="s">
        <v>85</v>
      </c>
      <c r="AE191" s="129"/>
      <c r="AO191" s="116"/>
      <c r="AP191" s="120" t="s">
        <v>622</v>
      </c>
      <c r="AR191" s="117">
        <f>AS191-AS190</f>
        <v>11.62</v>
      </c>
      <c r="AS191" s="127">
        <f>(AS190+C21/10*AN179)</f>
        <v>658.85</v>
      </c>
      <c r="AU191" s="115">
        <f t="shared" si="20"/>
        <v>149.49</v>
      </c>
      <c r="AV191" s="115">
        <f t="shared" si="21"/>
        <v>509.36</v>
      </c>
    </row>
    <row r="192" spans="1:48" ht="24" customHeight="1">
      <c r="A192" s="130">
        <f>(A148+1)</f>
        <v>90</v>
      </c>
      <c r="B192" s="132" t="s">
        <v>413</v>
      </c>
      <c r="C192" s="140">
        <v>65</v>
      </c>
      <c r="D192" s="132" t="s">
        <v>414</v>
      </c>
      <c r="F192" s="121" t="s">
        <v>415</v>
      </c>
      <c r="G192" s="126" t="s">
        <v>111</v>
      </c>
      <c r="H192" s="120" t="s">
        <v>416</v>
      </c>
      <c r="M192" s="121" t="s">
        <v>415</v>
      </c>
      <c r="N192" s="126" t="s">
        <v>111</v>
      </c>
      <c r="O192" s="120" t="s">
        <v>4021</v>
      </c>
      <c r="Q192" s="117"/>
      <c r="S192" s="121" t="s">
        <v>415</v>
      </c>
      <c r="T192" s="126" t="s">
        <v>111</v>
      </c>
      <c r="U192" s="120" t="s">
        <v>4021</v>
      </c>
      <c r="AE192" s="129"/>
      <c r="AG192" s="120"/>
      <c r="AP192" s="120"/>
      <c r="AR192" s="117"/>
      <c r="AS192" s="127"/>
      <c r="AU192" s="115">
        <f t="shared" si="20"/>
        <v>0</v>
      </c>
      <c r="AV192" s="115">
        <f t="shared" si="21"/>
        <v>0</v>
      </c>
    </row>
    <row r="193" spans="1:48" ht="24" customHeight="1">
      <c r="A193" s="130">
        <f t="shared" ref="A193:A208" si="22">(A192+1)</f>
        <v>91</v>
      </c>
      <c r="B193" s="132" t="s">
        <v>417</v>
      </c>
      <c r="C193" s="140">
        <v>25</v>
      </c>
      <c r="D193" s="132" t="s">
        <v>414</v>
      </c>
      <c r="H193" s="120" t="s">
        <v>418</v>
      </c>
      <c r="N193" s="116"/>
      <c r="O193" s="120" t="s">
        <v>320</v>
      </c>
      <c r="Q193" s="117"/>
      <c r="S193" s="115"/>
      <c r="T193" s="116"/>
      <c r="U193" s="120" t="s">
        <v>418</v>
      </c>
      <c r="AE193" s="129"/>
      <c r="AG193" s="120"/>
      <c r="AP193" s="120"/>
      <c r="AR193" s="117"/>
      <c r="AS193" s="127"/>
      <c r="AU193" s="115">
        <f t="shared" si="20"/>
        <v>0</v>
      </c>
      <c r="AV193" s="115">
        <f t="shared" si="21"/>
        <v>0</v>
      </c>
    </row>
    <row r="194" spans="1:48" ht="24" customHeight="1">
      <c r="A194" s="130">
        <f t="shared" si="22"/>
        <v>92</v>
      </c>
      <c r="B194" s="120" t="s">
        <v>4022</v>
      </c>
      <c r="C194" s="136">
        <v>271.2</v>
      </c>
      <c r="D194" s="132" t="s">
        <v>414</v>
      </c>
      <c r="H194" s="123" t="s">
        <v>52</v>
      </c>
      <c r="N194" s="116"/>
      <c r="O194" s="123" t="s">
        <v>52</v>
      </c>
      <c r="Q194" s="117"/>
      <c r="S194" s="115"/>
      <c r="T194" s="116"/>
      <c r="U194" s="123" t="s">
        <v>52</v>
      </c>
      <c r="AE194" s="129"/>
      <c r="AG194" s="120"/>
      <c r="AU194" s="115">
        <f t="shared" si="20"/>
        <v>0</v>
      </c>
      <c r="AV194" s="115">
        <f t="shared" si="21"/>
        <v>0</v>
      </c>
    </row>
    <row r="195" spans="1:48" ht="24" customHeight="1">
      <c r="A195" s="130">
        <f t="shared" si="22"/>
        <v>93</v>
      </c>
      <c r="B195" s="120" t="s">
        <v>4023</v>
      </c>
      <c r="C195" s="136">
        <v>238.9</v>
      </c>
      <c r="D195" s="140">
        <v>96.11</v>
      </c>
      <c r="F195" s="129">
        <v>9</v>
      </c>
      <c r="G195" s="126" t="s">
        <v>132</v>
      </c>
      <c r="H195" s="120" t="s">
        <v>421</v>
      </c>
      <c r="I195" s="129">
        <f>(C74)</f>
        <v>1316.98</v>
      </c>
      <c r="J195" s="120" t="s">
        <v>132</v>
      </c>
      <c r="K195" s="129">
        <f>(F195*I195)</f>
        <v>11852.82</v>
      </c>
      <c r="M195" s="129">
        <v>9</v>
      </c>
      <c r="N195" s="126" t="s">
        <v>132</v>
      </c>
      <c r="O195" s="120" t="s">
        <v>445</v>
      </c>
      <c r="P195" s="129">
        <f>(C73)</f>
        <v>1729.98</v>
      </c>
      <c r="Q195" s="120" t="s">
        <v>132</v>
      </c>
      <c r="R195" s="129">
        <f>(M195*P195)</f>
        <v>15569.82</v>
      </c>
      <c r="S195" s="129">
        <v>9</v>
      </c>
      <c r="T195" s="126" t="s">
        <v>132</v>
      </c>
      <c r="U195" s="120" t="s">
        <v>421</v>
      </c>
      <c r="V195" s="129">
        <f>(C74)</f>
        <v>1316.98</v>
      </c>
      <c r="W195" s="121" t="s">
        <v>132</v>
      </c>
      <c r="X195" s="129">
        <f>(S195*V195)</f>
        <v>11852.82</v>
      </c>
      <c r="AE195" s="129"/>
      <c r="AG195" s="120"/>
      <c r="AP195" s="120"/>
      <c r="AR195" s="117"/>
      <c r="AS195" s="127"/>
      <c r="AU195" s="115">
        <f t="shared" si="20"/>
        <v>0</v>
      </c>
      <c r="AV195" s="115">
        <f t="shared" si="21"/>
        <v>0</v>
      </c>
    </row>
    <row r="196" spans="1:48" ht="24" customHeight="1">
      <c r="A196" s="130">
        <f t="shared" si="22"/>
        <v>94</v>
      </c>
      <c r="B196" s="120" t="s">
        <v>4024</v>
      </c>
      <c r="C196" s="136">
        <v>147.5</v>
      </c>
      <c r="D196" s="132" t="s">
        <v>414</v>
      </c>
      <c r="F196" s="129">
        <v>4.5</v>
      </c>
      <c r="G196" s="126" t="s">
        <v>132</v>
      </c>
      <c r="H196" s="120" t="s">
        <v>283</v>
      </c>
      <c r="I196" s="129">
        <f>(K49)</f>
        <v>3502.94</v>
      </c>
      <c r="J196" s="120" t="s">
        <v>132</v>
      </c>
      <c r="K196" s="129">
        <f>(F196*I196)</f>
        <v>15763.23</v>
      </c>
      <c r="M196" s="129">
        <v>4.5</v>
      </c>
      <c r="N196" s="126" t="s">
        <v>132</v>
      </c>
      <c r="O196" s="120" t="s">
        <v>217</v>
      </c>
      <c r="P196" s="129">
        <f>K32</f>
        <v>4662.62</v>
      </c>
      <c r="Q196" s="120" t="s">
        <v>132</v>
      </c>
      <c r="R196" s="129">
        <f>(M196*P196)</f>
        <v>20981.79</v>
      </c>
      <c r="S196" s="129">
        <v>4.5</v>
      </c>
      <c r="T196" s="126" t="s">
        <v>132</v>
      </c>
      <c r="U196" s="120" t="s">
        <v>217</v>
      </c>
      <c r="V196" s="129">
        <f>P196</f>
        <v>4662.62</v>
      </c>
      <c r="W196" s="121" t="s">
        <v>132</v>
      </c>
      <c r="X196" s="129">
        <f>(S196*V196)</f>
        <v>20981.79</v>
      </c>
      <c r="AE196" s="129"/>
      <c r="AG196" s="120"/>
      <c r="AP196" s="120"/>
      <c r="AS196" s="127"/>
      <c r="AU196" s="115">
        <f t="shared" si="20"/>
        <v>0</v>
      </c>
      <c r="AV196" s="115">
        <f t="shared" si="21"/>
        <v>0</v>
      </c>
    </row>
    <row r="197" spans="1:48" ht="24" customHeight="1">
      <c r="A197" s="130">
        <f t="shared" si="22"/>
        <v>95</v>
      </c>
      <c r="B197" s="132" t="s">
        <v>423</v>
      </c>
      <c r="C197" s="140">
        <v>0.25</v>
      </c>
      <c r="D197" s="132" t="s">
        <v>131</v>
      </c>
      <c r="F197" s="129">
        <v>1.8</v>
      </c>
      <c r="G197" s="126" t="s">
        <v>131</v>
      </c>
      <c r="H197" s="120" t="s">
        <v>302</v>
      </c>
      <c r="I197" s="129">
        <f>(C11)</f>
        <v>972.4</v>
      </c>
      <c r="J197" s="120" t="s">
        <v>131</v>
      </c>
      <c r="K197" s="129">
        <f>(F197*I197)</f>
        <v>1750.32</v>
      </c>
      <c r="M197" s="129">
        <v>1.8</v>
      </c>
      <c r="N197" s="126" t="s">
        <v>131</v>
      </c>
      <c r="O197" s="120" t="s">
        <v>302</v>
      </c>
      <c r="P197" s="129">
        <f>I197</f>
        <v>972.4</v>
      </c>
      <c r="Q197" s="120" t="s">
        <v>131</v>
      </c>
      <c r="R197" s="129">
        <f>(M197*P197)</f>
        <v>1750.32</v>
      </c>
      <c r="S197" s="129">
        <v>1.8</v>
      </c>
      <c r="T197" s="126" t="s">
        <v>131</v>
      </c>
      <c r="U197" s="120" t="s">
        <v>302</v>
      </c>
      <c r="V197" s="129">
        <f>P197</f>
        <v>972.4</v>
      </c>
      <c r="W197" s="121" t="s">
        <v>131</v>
      </c>
      <c r="X197" s="129">
        <f>(S197*V197)</f>
        <v>1750.32</v>
      </c>
      <c r="AE197" s="129"/>
      <c r="AG197" s="120"/>
      <c r="AP197" s="120"/>
      <c r="AS197" s="127"/>
      <c r="AU197" s="115">
        <f t="shared" si="20"/>
        <v>0</v>
      </c>
      <c r="AV197" s="115">
        <f t="shared" si="21"/>
        <v>0</v>
      </c>
    </row>
    <row r="198" spans="1:48" ht="24" customHeight="1">
      <c r="A198" s="130">
        <f t="shared" si="22"/>
        <v>96</v>
      </c>
      <c r="B198" s="120" t="s">
        <v>4025</v>
      </c>
      <c r="C198" s="136">
        <v>40.65</v>
      </c>
      <c r="D198" s="120" t="s">
        <v>425</v>
      </c>
      <c r="F198" s="129">
        <v>17.7</v>
      </c>
      <c r="G198" s="126" t="s">
        <v>131</v>
      </c>
      <c r="H198" s="120" t="s">
        <v>304</v>
      </c>
      <c r="I198" s="129">
        <f>(C12)</f>
        <v>679.8</v>
      </c>
      <c r="J198" s="120" t="s">
        <v>131</v>
      </c>
      <c r="K198" s="129">
        <f>(F198*I198)</f>
        <v>12032.46</v>
      </c>
      <c r="M198" s="129">
        <v>17.7</v>
      </c>
      <c r="N198" s="126" t="s">
        <v>131</v>
      </c>
      <c r="O198" s="120" t="s">
        <v>304</v>
      </c>
      <c r="P198" s="129">
        <f>I198</f>
        <v>679.8</v>
      </c>
      <c r="Q198" s="120" t="s">
        <v>131</v>
      </c>
      <c r="R198" s="129">
        <f>(M198*P198)</f>
        <v>12032.46</v>
      </c>
      <c r="S198" s="129">
        <v>17.7</v>
      </c>
      <c r="T198" s="126" t="s">
        <v>131</v>
      </c>
      <c r="U198" s="120" t="s">
        <v>304</v>
      </c>
      <c r="V198" s="129">
        <f>P198</f>
        <v>679.8</v>
      </c>
      <c r="W198" s="121" t="s">
        <v>131</v>
      </c>
      <c r="X198" s="129">
        <f>(S198*V198)</f>
        <v>12032.46</v>
      </c>
      <c r="AE198" s="129"/>
      <c r="AG198" s="120"/>
      <c r="AP198" s="120"/>
      <c r="AS198" s="127"/>
      <c r="AU198" s="115">
        <f t="shared" si="20"/>
        <v>0</v>
      </c>
      <c r="AV198" s="115">
        <f t="shared" si="21"/>
        <v>0</v>
      </c>
    </row>
    <row r="199" spans="1:48" ht="24" customHeight="1">
      <c r="A199" s="130">
        <f t="shared" si="22"/>
        <v>97</v>
      </c>
      <c r="B199" s="120" t="s">
        <v>4026</v>
      </c>
      <c r="C199" s="136">
        <v>379.9</v>
      </c>
      <c r="D199" s="136">
        <v>116.55</v>
      </c>
      <c r="E199" s="132" t="s">
        <v>425</v>
      </c>
      <c r="F199" s="129">
        <v>14.1</v>
      </c>
      <c r="G199" s="126" t="s">
        <v>131</v>
      </c>
      <c r="H199" s="120" t="s">
        <v>306</v>
      </c>
      <c r="I199" s="129">
        <f>(C13)</f>
        <v>557.70000000000005</v>
      </c>
      <c r="J199" s="120" t="s">
        <v>131</v>
      </c>
      <c r="K199" s="129">
        <f>(F199*I199)</f>
        <v>7863.57</v>
      </c>
      <c r="M199" s="129">
        <v>14.1</v>
      </c>
      <c r="N199" s="126" t="s">
        <v>131</v>
      </c>
      <c r="O199" s="120" t="s">
        <v>306</v>
      </c>
      <c r="P199" s="129">
        <f>I199</f>
        <v>557.70000000000005</v>
      </c>
      <c r="Q199" s="120" t="s">
        <v>131</v>
      </c>
      <c r="R199" s="129">
        <f>(M199*P199)</f>
        <v>7863.57</v>
      </c>
      <c r="S199" s="129">
        <v>14.1</v>
      </c>
      <c r="T199" s="126" t="s">
        <v>131</v>
      </c>
      <c r="U199" s="120" t="s">
        <v>306</v>
      </c>
      <c r="V199" s="129">
        <f>P199</f>
        <v>557.70000000000005</v>
      </c>
      <c r="W199" s="121" t="s">
        <v>131</v>
      </c>
      <c r="X199" s="129">
        <f>(S199*V199)</f>
        <v>7863.57</v>
      </c>
      <c r="AE199" s="129"/>
      <c r="AG199" s="120"/>
      <c r="AP199" s="120"/>
      <c r="AS199" s="127"/>
      <c r="AU199" s="115">
        <f t="shared" si="20"/>
        <v>0</v>
      </c>
      <c r="AV199" s="115">
        <f t="shared" si="21"/>
        <v>0</v>
      </c>
    </row>
    <row r="200" spans="1:48" ht="24" customHeight="1">
      <c r="A200" s="130">
        <f t="shared" si="22"/>
        <v>98</v>
      </c>
      <c r="B200" s="120" t="s">
        <v>4027</v>
      </c>
      <c r="C200" s="136">
        <v>183.8</v>
      </c>
      <c r="D200" s="120" t="s">
        <v>237</v>
      </c>
      <c r="G200" s="126" t="s">
        <v>145</v>
      </c>
      <c r="H200" s="120" t="s">
        <v>146</v>
      </c>
      <c r="J200" s="120" t="s">
        <v>145</v>
      </c>
      <c r="K200" s="129">
        <v>0</v>
      </c>
      <c r="N200" s="126" t="s">
        <v>145</v>
      </c>
      <c r="O200" s="120" t="s">
        <v>146</v>
      </c>
      <c r="Q200" s="120" t="s">
        <v>145</v>
      </c>
      <c r="R200" s="129">
        <v>0</v>
      </c>
      <c r="S200" s="115"/>
      <c r="T200" s="126" t="s">
        <v>145</v>
      </c>
      <c r="U200" s="120" t="s">
        <v>146</v>
      </c>
      <c r="W200" s="121" t="s">
        <v>145</v>
      </c>
      <c r="X200" s="129">
        <v>0</v>
      </c>
      <c r="AE200" s="129"/>
      <c r="AG200" s="120"/>
      <c r="AU200" s="115">
        <f t="shared" si="20"/>
        <v>0</v>
      </c>
      <c r="AV200" s="115">
        <f t="shared" si="21"/>
        <v>0</v>
      </c>
    </row>
    <row r="201" spans="1:48" ht="24" customHeight="1">
      <c r="A201" s="130">
        <f t="shared" si="22"/>
        <v>99</v>
      </c>
      <c r="B201" s="120" t="s">
        <v>4028</v>
      </c>
      <c r="C201" s="136">
        <v>1201</v>
      </c>
      <c r="D201" s="120" t="s">
        <v>237</v>
      </c>
      <c r="K201" s="123" t="s">
        <v>52</v>
      </c>
      <c r="N201" s="116"/>
      <c r="Q201" s="117"/>
      <c r="R201" s="123" t="s">
        <v>52</v>
      </c>
      <c r="S201" s="115"/>
      <c r="T201" s="116"/>
      <c r="X201" s="123" t="s">
        <v>52</v>
      </c>
      <c r="AE201" s="129"/>
      <c r="AG201" s="120"/>
      <c r="AU201" s="115">
        <f t="shared" si="20"/>
        <v>0</v>
      </c>
      <c r="AV201" s="115">
        <f t="shared" si="21"/>
        <v>0</v>
      </c>
    </row>
    <row r="202" spans="1:48" ht="24" customHeight="1">
      <c r="A202" s="130">
        <f t="shared" si="22"/>
        <v>100</v>
      </c>
      <c r="B202" s="132" t="s">
        <v>429</v>
      </c>
      <c r="C202" s="139">
        <v>47.2</v>
      </c>
      <c r="D202" s="132" t="s">
        <v>237</v>
      </c>
      <c r="K202" s="129">
        <f>SUM(K195:K200)</f>
        <v>49262.400000000001</v>
      </c>
      <c r="N202" s="116"/>
      <c r="Q202" s="117"/>
      <c r="R202" s="129">
        <f>SUM(R195:R200)</f>
        <v>58197.96</v>
      </c>
      <c r="S202" s="115"/>
      <c r="T202" s="116"/>
      <c r="X202" s="129">
        <f>SUM(X195:X200)</f>
        <v>54480.959999999999</v>
      </c>
      <c r="AE202" s="129"/>
      <c r="AG202" s="120"/>
      <c r="AU202" s="115">
        <f t="shared" si="20"/>
        <v>0</v>
      </c>
      <c r="AV202" s="115">
        <f t="shared" si="21"/>
        <v>0</v>
      </c>
    </row>
    <row r="203" spans="1:48" ht="24" customHeight="1">
      <c r="A203" s="130">
        <f t="shared" si="22"/>
        <v>101</v>
      </c>
      <c r="B203" s="120" t="s">
        <v>4029</v>
      </c>
      <c r="C203" s="136">
        <v>128</v>
      </c>
      <c r="D203" s="132" t="s">
        <v>237</v>
      </c>
      <c r="E203" s="162">
        <v>166.15</v>
      </c>
      <c r="H203" s="121" t="s">
        <v>311</v>
      </c>
      <c r="K203" s="123" t="s">
        <v>52</v>
      </c>
      <c r="N203" s="116"/>
      <c r="O203" s="120" t="s">
        <v>311</v>
      </c>
      <c r="Q203" s="117"/>
      <c r="R203" s="123" t="s">
        <v>52</v>
      </c>
      <c r="S203" s="115"/>
      <c r="T203" s="116"/>
      <c r="U203" s="120" t="s">
        <v>311</v>
      </c>
      <c r="X203" s="123" t="s">
        <v>52</v>
      </c>
      <c r="AE203" s="129"/>
      <c r="AG203" s="120"/>
      <c r="AU203" s="115">
        <f t="shared" si="20"/>
        <v>0</v>
      </c>
      <c r="AV203" s="115">
        <f t="shared" si="21"/>
        <v>0</v>
      </c>
    </row>
    <row r="204" spans="1:48" ht="24" customHeight="1">
      <c r="A204" s="130">
        <f t="shared" si="22"/>
        <v>102</v>
      </c>
      <c r="B204" s="120" t="s">
        <v>4030</v>
      </c>
      <c r="C204" s="136">
        <v>63.4</v>
      </c>
      <c r="D204" s="132" t="s">
        <v>237</v>
      </c>
      <c r="K204" s="127">
        <f>(K202/10)</f>
        <v>4926.24</v>
      </c>
      <c r="N204" s="116"/>
      <c r="Q204" s="117"/>
      <c r="R204" s="129">
        <f>(R202/10)</f>
        <v>5819.8</v>
      </c>
      <c r="S204" s="115"/>
      <c r="T204" s="116"/>
      <c r="X204" s="129">
        <f>(X202/10)</f>
        <v>5448.1</v>
      </c>
      <c r="AE204" s="129"/>
      <c r="AU204" s="115">
        <f t="shared" si="20"/>
        <v>0</v>
      </c>
      <c r="AV204" s="115">
        <f t="shared" si="21"/>
        <v>0</v>
      </c>
    </row>
    <row r="205" spans="1:48" ht="24" customHeight="1">
      <c r="A205" s="130">
        <f t="shared" si="22"/>
        <v>103</v>
      </c>
      <c r="B205" s="120" t="s">
        <v>435</v>
      </c>
      <c r="C205" s="136">
        <v>102</v>
      </c>
      <c r="D205" s="132" t="s">
        <v>237</v>
      </c>
      <c r="H205" s="128" t="s">
        <v>242</v>
      </c>
      <c r="K205" s="123" t="s">
        <v>89</v>
      </c>
      <c r="N205" s="116"/>
      <c r="O205" s="120" t="s">
        <v>242</v>
      </c>
      <c r="Q205" s="117"/>
      <c r="R205" s="123" t="s">
        <v>89</v>
      </c>
      <c r="S205" s="115"/>
      <c r="T205" s="116"/>
      <c r="U205" s="120" t="s">
        <v>242</v>
      </c>
      <c r="X205" s="123" t="s">
        <v>89</v>
      </c>
      <c r="AE205" s="129"/>
      <c r="AU205" s="115">
        <f t="shared" si="20"/>
        <v>0</v>
      </c>
      <c r="AV205" s="115">
        <f t="shared" si="21"/>
        <v>0</v>
      </c>
    </row>
    <row r="206" spans="1:48" ht="24" customHeight="1">
      <c r="A206" s="130">
        <f t="shared" si="22"/>
        <v>104</v>
      </c>
      <c r="B206" s="120" t="s">
        <v>4031</v>
      </c>
      <c r="C206" s="136">
        <v>101.6</v>
      </c>
      <c r="D206" s="132" t="s">
        <v>237</v>
      </c>
      <c r="E206" s="162">
        <v>140.65</v>
      </c>
      <c r="AE206" s="129"/>
      <c r="AG206" s="120"/>
      <c r="AU206" s="115">
        <f t="shared" si="20"/>
        <v>0</v>
      </c>
      <c r="AV206" s="115">
        <f t="shared" si="21"/>
        <v>0</v>
      </c>
    </row>
    <row r="207" spans="1:48" ht="24" customHeight="1">
      <c r="A207" s="130">
        <f t="shared" si="22"/>
        <v>105</v>
      </c>
      <c r="B207" s="120" t="s">
        <v>4032</v>
      </c>
      <c r="C207" s="136">
        <v>227.6</v>
      </c>
      <c r="D207" s="132" t="s">
        <v>439</v>
      </c>
      <c r="F207" s="121" t="s">
        <v>440</v>
      </c>
      <c r="G207" s="126" t="s">
        <v>111</v>
      </c>
      <c r="H207" s="120" t="s">
        <v>4033</v>
      </c>
      <c r="AE207" s="129"/>
      <c r="AU207" s="115">
        <f t="shared" si="20"/>
        <v>0</v>
      </c>
      <c r="AV207" s="115">
        <f t="shared" si="21"/>
        <v>0</v>
      </c>
    </row>
    <row r="208" spans="1:48" ht="24" customHeight="1">
      <c r="A208" s="130">
        <f t="shared" si="22"/>
        <v>106</v>
      </c>
      <c r="B208" s="120" t="s">
        <v>4034</v>
      </c>
      <c r="C208" s="136">
        <v>166.15</v>
      </c>
      <c r="D208" s="132" t="s">
        <v>237</v>
      </c>
      <c r="H208" s="120" t="s">
        <v>320</v>
      </c>
      <c r="N208" s="120" t="s">
        <v>443</v>
      </c>
      <c r="O208" s="120" t="s">
        <v>444</v>
      </c>
      <c r="AE208" s="129"/>
      <c r="AU208" s="115">
        <f t="shared" si="20"/>
        <v>0</v>
      </c>
      <c r="AV208" s="115">
        <f t="shared" si="21"/>
        <v>0</v>
      </c>
    </row>
    <row r="209" spans="1:48" ht="24" customHeight="1">
      <c r="A209" s="138"/>
      <c r="B209" s="138"/>
      <c r="C209" s="138"/>
      <c r="D209" s="138"/>
      <c r="H209" s="123" t="s">
        <v>52</v>
      </c>
      <c r="O209" s="123" t="s">
        <v>52</v>
      </c>
      <c r="AE209" s="129"/>
      <c r="AU209" s="115">
        <f t="shared" si="20"/>
        <v>0</v>
      </c>
      <c r="AV209" s="115">
        <f t="shared" si="21"/>
        <v>0</v>
      </c>
    </row>
    <row r="210" spans="1:48" ht="24" customHeight="1">
      <c r="A210" s="138"/>
      <c r="B210" s="138"/>
      <c r="C210" s="138"/>
      <c r="D210" s="138"/>
      <c r="F210" s="129">
        <v>9</v>
      </c>
      <c r="G210" s="126" t="s">
        <v>132</v>
      </c>
      <c r="H210" s="120" t="s">
        <v>445</v>
      </c>
      <c r="I210" s="129">
        <f>C73</f>
        <v>1729.98</v>
      </c>
      <c r="J210" s="120" t="s">
        <v>132</v>
      </c>
      <c r="K210" s="129">
        <f>(F210*I210)</f>
        <v>15569.82</v>
      </c>
      <c r="M210" s="202">
        <v>1.153E-2</v>
      </c>
      <c r="N210" s="120" t="s">
        <v>132</v>
      </c>
      <c r="O210" s="120" t="s">
        <v>446</v>
      </c>
      <c r="P210" s="129">
        <f>C88</f>
        <v>111600</v>
      </c>
      <c r="Q210" s="120" t="s">
        <v>132</v>
      </c>
      <c r="R210" s="129">
        <f t="shared" ref="R210:R219" si="23">(M210*P210)</f>
        <v>1286.75</v>
      </c>
      <c r="AE210" s="129"/>
      <c r="AU210" s="115">
        <f t="shared" si="20"/>
        <v>0</v>
      </c>
      <c r="AV210" s="115">
        <f t="shared" si="21"/>
        <v>0</v>
      </c>
    </row>
    <row r="211" spans="1:48" ht="24" customHeight="1">
      <c r="A211" s="138"/>
      <c r="B211" s="138"/>
      <c r="C211" s="138"/>
      <c r="D211" s="138"/>
      <c r="F211" s="129">
        <v>4.5</v>
      </c>
      <c r="G211" s="126" t="s">
        <v>132</v>
      </c>
      <c r="H211" s="120" t="s">
        <v>164</v>
      </c>
      <c r="I211" s="129">
        <f>K23</f>
        <v>6112.22</v>
      </c>
      <c r="J211" s="120" t="s">
        <v>132</v>
      </c>
      <c r="K211" s="129">
        <f>(F211*I211)</f>
        <v>27504.99</v>
      </c>
      <c r="M211" s="202">
        <v>1.013E-2</v>
      </c>
      <c r="N211" s="120" t="s">
        <v>132</v>
      </c>
      <c r="O211" s="120" t="s">
        <v>447</v>
      </c>
      <c r="P211" s="129">
        <f>C89</f>
        <v>99400</v>
      </c>
      <c r="Q211" s="120" t="s">
        <v>132</v>
      </c>
      <c r="R211" s="129">
        <f t="shared" si="23"/>
        <v>1006.92</v>
      </c>
      <c r="AE211" s="129"/>
      <c r="AU211" s="115">
        <f t="shared" si="20"/>
        <v>0</v>
      </c>
      <c r="AV211" s="115">
        <f t="shared" si="21"/>
        <v>0</v>
      </c>
    </row>
    <row r="212" spans="1:48" ht="24" customHeight="1">
      <c r="A212" s="138"/>
      <c r="B212" s="138"/>
      <c r="C212" s="138"/>
      <c r="D212" s="138"/>
      <c r="F212" s="129">
        <v>1.8</v>
      </c>
      <c r="G212" s="126" t="s">
        <v>131</v>
      </c>
      <c r="H212" s="120" t="s">
        <v>302</v>
      </c>
      <c r="I212" s="129">
        <f>C11</f>
        <v>972.4</v>
      </c>
      <c r="J212" s="120" t="s">
        <v>131</v>
      </c>
      <c r="K212" s="129">
        <f>(F212*I212)</f>
        <v>1750.32</v>
      </c>
      <c r="M212" s="202">
        <v>0.77780000000000005</v>
      </c>
      <c r="N212" s="120" t="s">
        <v>425</v>
      </c>
      <c r="O212" s="120" t="s">
        <v>448</v>
      </c>
      <c r="P212" s="129">
        <f>C783</f>
        <v>387.4</v>
      </c>
      <c r="Q212" s="120" t="s">
        <v>425</v>
      </c>
      <c r="R212" s="129">
        <f t="shared" si="23"/>
        <v>301.32</v>
      </c>
      <c r="AE212" s="129"/>
      <c r="AU212" s="115">
        <f t="shared" si="20"/>
        <v>0</v>
      </c>
      <c r="AV212" s="115">
        <f t="shared" si="21"/>
        <v>0</v>
      </c>
    </row>
    <row r="213" spans="1:48" ht="24" customHeight="1">
      <c r="A213" s="138"/>
      <c r="B213" s="138"/>
      <c r="C213" s="138"/>
      <c r="D213" s="138"/>
      <c r="F213" s="129">
        <v>17.7</v>
      </c>
      <c r="G213" s="126" t="s">
        <v>131</v>
      </c>
      <c r="H213" s="120" t="s">
        <v>304</v>
      </c>
      <c r="I213" s="129">
        <f>C12</f>
        <v>679.8</v>
      </c>
      <c r="J213" s="120" t="s">
        <v>131</v>
      </c>
      <c r="K213" s="129">
        <f>(F213*I213)</f>
        <v>12032.46</v>
      </c>
      <c r="M213" s="202">
        <v>1.23</v>
      </c>
      <c r="N213" s="120" t="s">
        <v>425</v>
      </c>
      <c r="O213" s="120" t="s">
        <v>449</v>
      </c>
      <c r="P213" s="129">
        <f>D30</f>
        <v>1336.5</v>
      </c>
      <c r="Q213" s="120" t="s">
        <v>425</v>
      </c>
      <c r="R213" s="129">
        <f t="shared" si="23"/>
        <v>1643.9</v>
      </c>
      <c r="AE213" s="129"/>
      <c r="AU213" s="115">
        <f t="shared" si="20"/>
        <v>0</v>
      </c>
      <c r="AV213" s="115">
        <f t="shared" si="21"/>
        <v>0</v>
      </c>
    </row>
    <row r="214" spans="1:48" ht="24" customHeight="1">
      <c r="A214" s="138"/>
      <c r="B214" s="138"/>
      <c r="C214" s="138"/>
      <c r="D214" s="138"/>
      <c r="F214" s="129">
        <v>14.1</v>
      </c>
      <c r="G214" s="126" t="s">
        <v>131</v>
      </c>
      <c r="H214" s="120" t="s">
        <v>306</v>
      </c>
      <c r="I214" s="129">
        <f>C13</f>
        <v>557.70000000000005</v>
      </c>
      <c r="J214" s="120" t="s">
        <v>131</v>
      </c>
      <c r="K214" s="129">
        <f>(F214*I214)</f>
        <v>7863.57</v>
      </c>
      <c r="M214" s="129">
        <v>2</v>
      </c>
      <c r="N214" s="120" t="s">
        <v>131</v>
      </c>
      <c r="O214" s="120" t="s">
        <v>450</v>
      </c>
      <c r="P214" s="129">
        <f>C284</f>
        <v>64.8</v>
      </c>
      <c r="Q214" s="120" t="s">
        <v>131</v>
      </c>
      <c r="R214" s="129">
        <f t="shared" si="23"/>
        <v>129.6</v>
      </c>
      <c r="AE214" s="129"/>
      <c r="AU214" s="115">
        <f t="shared" si="20"/>
        <v>0</v>
      </c>
      <c r="AV214" s="115">
        <f t="shared" si="21"/>
        <v>0</v>
      </c>
    </row>
    <row r="215" spans="1:48" ht="24" customHeight="1">
      <c r="A215" s="138"/>
      <c r="B215" s="138"/>
      <c r="C215" s="138"/>
      <c r="D215" s="138"/>
      <c r="G215" s="126" t="s">
        <v>145</v>
      </c>
      <c r="H215" s="120" t="s">
        <v>146</v>
      </c>
      <c r="J215" s="120" t="s">
        <v>145</v>
      </c>
      <c r="K215" s="129">
        <v>5</v>
      </c>
      <c r="M215" s="129">
        <v>3</v>
      </c>
      <c r="N215" s="120" t="s">
        <v>131</v>
      </c>
      <c r="O215" s="120" t="s">
        <v>451</v>
      </c>
      <c r="P215" s="129">
        <f>C279</f>
        <v>89.6</v>
      </c>
      <c r="Q215" s="120" t="s">
        <v>131</v>
      </c>
      <c r="R215" s="129">
        <f t="shared" si="23"/>
        <v>268.8</v>
      </c>
      <c r="AE215" s="129"/>
      <c r="AU215" s="115">
        <f t="shared" si="20"/>
        <v>0</v>
      </c>
      <c r="AV215" s="115">
        <f t="shared" si="21"/>
        <v>0</v>
      </c>
    </row>
    <row r="216" spans="1:48" ht="24" customHeight="1">
      <c r="A216" s="138"/>
      <c r="B216" s="138"/>
      <c r="C216" s="138"/>
      <c r="D216" s="138"/>
      <c r="K216" s="123" t="s">
        <v>52</v>
      </c>
      <c r="M216" s="129">
        <v>1</v>
      </c>
      <c r="N216" s="120" t="s">
        <v>131</v>
      </c>
      <c r="O216" s="120" t="s">
        <v>452</v>
      </c>
      <c r="P216" s="129">
        <f>C286</f>
        <v>181</v>
      </c>
      <c r="Q216" s="120" t="s">
        <v>131</v>
      </c>
      <c r="R216" s="129">
        <f t="shared" si="23"/>
        <v>181</v>
      </c>
      <c r="T216" s="115">
        <v>0</v>
      </c>
      <c r="AE216" s="129"/>
      <c r="AU216" s="115">
        <f t="shared" si="20"/>
        <v>0</v>
      </c>
      <c r="AV216" s="115">
        <f t="shared" si="21"/>
        <v>0</v>
      </c>
    </row>
    <row r="217" spans="1:48" ht="24" customHeight="1">
      <c r="A217" s="138"/>
      <c r="B217" s="138"/>
      <c r="C217" s="138"/>
      <c r="D217" s="138"/>
      <c r="K217" s="129">
        <f>SUM(K210:K215)</f>
        <v>64726.16</v>
      </c>
      <c r="M217" s="129">
        <v>1</v>
      </c>
      <c r="N217" s="120" t="s">
        <v>131</v>
      </c>
      <c r="O217" s="120" t="s">
        <v>453</v>
      </c>
      <c r="P217" s="129">
        <f>C288</f>
        <v>7.3</v>
      </c>
      <c r="Q217" s="120" t="s">
        <v>131</v>
      </c>
      <c r="R217" s="129">
        <f t="shared" si="23"/>
        <v>7.3</v>
      </c>
      <c r="AE217" s="129"/>
      <c r="AU217" s="115">
        <f t="shared" si="20"/>
        <v>0</v>
      </c>
      <c r="AV217" s="115">
        <f t="shared" si="21"/>
        <v>0</v>
      </c>
    </row>
    <row r="218" spans="1:48" ht="24" customHeight="1">
      <c r="A218" s="138"/>
      <c r="B218" s="138"/>
      <c r="C218" s="138"/>
      <c r="D218" s="138"/>
      <c r="H218" s="120" t="s">
        <v>311</v>
      </c>
      <c r="K218" s="123" t="s">
        <v>52</v>
      </c>
      <c r="M218" s="129">
        <v>1</v>
      </c>
      <c r="N218" s="120" t="s">
        <v>131</v>
      </c>
      <c r="O218" s="120" t="s">
        <v>4035</v>
      </c>
      <c r="P218" s="129">
        <f>C598</f>
        <v>57.65</v>
      </c>
      <c r="Q218" s="120" t="s">
        <v>131</v>
      </c>
      <c r="R218" s="129">
        <f t="shared" si="23"/>
        <v>57.65</v>
      </c>
      <c r="AE218" s="129"/>
    </row>
    <row r="219" spans="1:48" ht="24" customHeight="1">
      <c r="A219" s="138"/>
      <c r="B219" s="138"/>
      <c r="C219" s="138"/>
      <c r="D219" s="138"/>
      <c r="K219" s="127">
        <f>(K217/10)</f>
        <v>6472.62</v>
      </c>
      <c r="M219" s="129">
        <v>1</v>
      </c>
      <c r="N219" s="120" t="s">
        <v>131</v>
      </c>
      <c r="O219" s="120" t="s">
        <v>455</v>
      </c>
      <c r="P219" s="129">
        <f>D598</f>
        <v>49.55</v>
      </c>
      <c r="Q219" s="120" t="s">
        <v>131</v>
      </c>
      <c r="R219" s="129">
        <f t="shared" si="23"/>
        <v>49.55</v>
      </c>
      <c r="AE219" s="129"/>
    </row>
    <row r="220" spans="1:48" ht="24" customHeight="1">
      <c r="A220" s="138"/>
      <c r="B220" s="138"/>
      <c r="C220" s="138"/>
      <c r="D220" s="138"/>
      <c r="H220" s="128" t="s">
        <v>242</v>
      </c>
      <c r="K220" s="123" t="s">
        <v>89</v>
      </c>
      <c r="R220" s="123" t="s">
        <v>52</v>
      </c>
      <c r="AE220" s="129"/>
    </row>
    <row r="221" spans="1:48" ht="24" customHeight="1">
      <c r="A221" s="138"/>
      <c r="B221" s="138"/>
      <c r="C221" s="138"/>
      <c r="D221" s="138"/>
      <c r="O221" s="121" t="s">
        <v>456</v>
      </c>
      <c r="R221" s="129">
        <f>SUM(R210:R219)</f>
        <v>4932.79</v>
      </c>
      <c r="AE221" s="129"/>
    </row>
    <row r="222" spans="1:48" ht="24" customHeight="1">
      <c r="A222" s="138"/>
      <c r="B222" s="138"/>
      <c r="C222" s="138"/>
      <c r="D222" s="138"/>
      <c r="F222" s="121" t="s">
        <v>457</v>
      </c>
      <c r="G222" s="126" t="s">
        <v>111</v>
      </c>
      <c r="H222" s="120" t="s">
        <v>4036</v>
      </c>
      <c r="N222" s="120" t="s">
        <v>85</v>
      </c>
      <c r="R222" s="123" t="s">
        <v>52</v>
      </c>
      <c r="AE222" s="129"/>
    </row>
    <row r="223" spans="1:48" ht="24" customHeight="1">
      <c r="A223" s="138"/>
      <c r="B223" s="138"/>
      <c r="C223" s="138"/>
      <c r="D223" s="138"/>
      <c r="H223" s="120" t="s">
        <v>459</v>
      </c>
      <c r="M223" s="120" t="s">
        <v>85</v>
      </c>
      <c r="AE223" s="129"/>
    </row>
    <row r="224" spans="1:48" ht="24" customHeight="1">
      <c r="A224" s="138"/>
      <c r="B224" s="138"/>
      <c r="C224" s="138"/>
      <c r="D224" s="138"/>
      <c r="H224" s="123" t="s">
        <v>52</v>
      </c>
      <c r="O224" s="121" t="s">
        <v>460</v>
      </c>
      <c r="R224" s="129">
        <f>R221/M213</f>
        <v>4010.4</v>
      </c>
      <c r="AE224" s="129"/>
    </row>
    <row r="225" spans="1:31" ht="24" customHeight="1">
      <c r="A225" s="138"/>
      <c r="B225" s="138"/>
      <c r="C225" s="138"/>
      <c r="D225" s="138"/>
      <c r="F225" s="129">
        <v>9</v>
      </c>
      <c r="G225" s="126" t="s">
        <v>132</v>
      </c>
      <c r="H225" s="120" t="s">
        <v>461</v>
      </c>
      <c r="I225" s="129">
        <f>AC20</f>
        <v>898.25</v>
      </c>
      <c r="J225" s="120" t="s">
        <v>132</v>
      </c>
      <c r="K225" s="129">
        <f>(F225*I225)</f>
        <v>8084.25</v>
      </c>
      <c r="M225" s="120" t="s">
        <v>307</v>
      </c>
      <c r="AE225" s="129"/>
    </row>
    <row r="226" spans="1:31" ht="24" customHeight="1">
      <c r="A226" s="138"/>
      <c r="B226" s="138"/>
      <c r="C226" s="138"/>
      <c r="D226" s="138"/>
      <c r="F226" s="129">
        <v>4.5</v>
      </c>
      <c r="G226" s="126" t="s">
        <v>132</v>
      </c>
      <c r="H226" s="120" t="s">
        <v>300</v>
      </c>
      <c r="I226" s="129">
        <f>K77</f>
        <v>2850.62</v>
      </c>
      <c r="J226" s="120" t="s">
        <v>132</v>
      </c>
      <c r="K226" s="129">
        <f>(F226*I226)</f>
        <v>12827.79</v>
      </c>
      <c r="AE226" s="129"/>
    </row>
    <row r="227" spans="1:31" ht="24" customHeight="1">
      <c r="A227" s="138"/>
      <c r="B227" s="138"/>
      <c r="C227" s="138"/>
      <c r="D227" s="138"/>
      <c r="F227" s="129">
        <v>1.8</v>
      </c>
      <c r="G227" s="126" t="s">
        <v>131</v>
      </c>
      <c r="H227" s="120" t="s">
        <v>302</v>
      </c>
      <c r="I227" s="129">
        <f>C11</f>
        <v>972.4</v>
      </c>
      <c r="J227" s="120" t="s">
        <v>131</v>
      </c>
      <c r="K227" s="129">
        <f>(F227*I227)</f>
        <v>1750.32</v>
      </c>
      <c r="AE227" s="129"/>
    </row>
    <row r="228" spans="1:31" ht="24" customHeight="1">
      <c r="A228" s="138"/>
      <c r="B228" s="138"/>
      <c r="C228" s="138"/>
      <c r="D228" s="138"/>
      <c r="F228" s="129">
        <v>17.7</v>
      </c>
      <c r="G228" s="126" t="s">
        <v>131</v>
      </c>
      <c r="H228" s="120" t="s">
        <v>304</v>
      </c>
      <c r="I228" s="129">
        <f>C12</f>
        <v>679.8</v>
      </c>
      <c r="J228" s="120" t="s">
        <v>131</v>
      </c>
      <c r="K228" s="129">
        <f>(F228*I228)</f>
        <v>12032.46</v>
      </c>
      <c r="M228" s="121" t="s">
        <v>457</v>
      </c>
      <c r="N228" s="126" t="s">
        <v>111</v>
      </c>
      <c r="O228" s="120" t="s">
        <v>4037</v>
      </c>
      <c r="Q228" s="117"/>
      <c r="AE228" s="129"/>
    </row>
    <row r="229" spans="1:31" ht="24" customHeight="1">
      <c r="A229" s="138"/>
      <c r="B229" s="138"/>
      <c r="C229" s="138"/>
      <c r="D229" s="138"/>
      <c r="F229" s="129">
        <v>14.1</v>
      </c>
      <c r="G229" s="126" t="s">
        <v>131</v>
      </c>
      <c r="H229" s="120" t="s">
        <v>306</v>
      </c>
      <c r="I229" s="129">
        <f>C13</f>
        <v>557.70000000000005</v>
      </c>
      <c r="J229" s="120" t="s">
        <v>131</v>
      </c>
      <c r="K229" s="129">
        <f>(F229*I229)</f>
        <v>7863.57</v>
      </c>
      <c r="N229" s="116"/>
      <c r="O229" s="120" t="s">
        <v>4038</v>
      </c>
      <c r="Q229" s="117"/>
      <c r="AE229" s="129"/>
    </row>
    <row r="230" spans="1:31" ht="24" customHeight="1">
      <c r="A230" s="138"/>
      <c r="B230" s="138"/>
      <c r="C230" s="138"/>
      <c r="D230" s="138"/>
      <c r="G230" s="126" t="s">
        <v>145</v>
      </c>
      <c r="H230" s="120" t="s">
        <v>146</v>
      </c>
      <c r="J230" s="120" t="s">
        <v>145</v>
      </c>
      <c r="K230" s="129">
        <v>0</v>
      </c>
      <c r="N230" s="116"/>
      <c r="O230" s="123" t="s">
        <v>52</v>
      </c>
      <c r="Q230" s="117"/>
      <c r="AE230" s="129"/>
    </row>
    <row r="231" spans="1:31" ht="24" customHeight="1">
      <c r="A231" s="138"/>
      <c r="B231" s="138"/>
      <c r="C231" s="138"/>
      <c r="D231" s="138"/>
      <c r="K231" s="123" t="s">
        <v>52</v>
      </c>
      <c r="M231" s="129">
        <v>9</v>
      </c>
      <c r="N231" s="126" t="s">
        <v>132</v>
      </c>
      <c r="O231" s="120" t="s">
        <v>4039</v>
      </c>
      <c r="P231" s="129">
        <f>AC15</f>
        <v>1316.98</v>
      </c>
      <c r="Q231" s="120" t="s">
        <v>132</v>
      </c>
      <c r="R231" s="129">
        <f>(M231*P231)</f>
        <v>11852.82</v>
      </c>
      <c r="AE231" s="129"/>
    </row>
    <row r="232" spans="1:31" ht="24" customHeight="1">
      <c r="A232" s="138"/>
      <c r="B232" s="138"/>
      <c r="C232" s="138"/>
      <c r="D232" s="138"/>
      <c r="K232" s="129">
        <f>SUM(K225:K230)</f>
        <v>42558.39</v>
      </c>
      <c r="M232" s="129">
        <v>4.5</v>
      </c>
      <c r="N232" s="126" t="s">
        <v>132</v>
      </c>
      <c r="O232" s="120" t="s">
        <v>259</v>
      </c>
      <c r="P232" s="129">
        <f>K40</f>
        <v>3937.82</v>
      </c>
      <c r="Q232" s="120" t="s">
        <v>132</v>
      </c>
      <c r="R232" s="129">
        <f>(M232*P232)</f>
        <v>17720.189999999999</v>
      </c>
      <c r="AE232" s="129"/>
    </row>
    <row r="233" spans="1:31" ht="24" customHeight="1">
      <c r="A233" s="138"/>
      <c r="B233" s="138"/>
      <c r="C233" s="138"/>
      <c r="D233" s="138"/>
      <c r="H233" s="120" t="s">
        <v>311</v>
      </c>
      <c r="K233" s="123" t="s">
        <v>52</v>
      </c>
      <c r="M233" s="129">
        <v>1.8</v>
      </c>
      <c r="N233" s="126" t="s">
        <v>131</v>
      </c>
      <c r="O233" s="120" t="s">
        <v>302</v>
      </c>
      <c r="P233" s="129">
        <f>I227</f>
        <v>972.4</v>
      </c>
      <c r="Q233" s="120" t="s">
        <v>131</v>
      </c>
      <c r="R233" s="129">
        <f>(M233*P233)</f>
        <v>1750.32</v>
      </c>
      <c r="AE233" s="129"/>
    </row>
    <row r="234" spans="1:31" ht="24" customHeight="1">
      <c r="A234" s="138"/>
      <c r="B234" s="138"/>
      <c r="C234" s="138"/>
      <c r="D234" s="138"/>
      <c r="K234" s="127">
        <f>(K232/10)</f>
        <v>4255.84</v>
      </c>
      <c r="M234" s="129">
        <v>17.7</v>
      </c>
      <c r="N234" s="126" t="s">
        <v>131</v>
      </c>
      <c r="O234" s="120" t="s">
        <v>304</v>
      </c>
      <c r="P234" s="129">
        <f>I228</f>
        <v>679.8</v>
      </c>
      <c r="Q234" s="120" t="s">
        <v>131</v>
      </c>
      <c r="R234" s="129">
        <f>(M234*P234)</f>
        <v>12032.46</v>
      </c>
      <c r="AE234" s="129"/>
    </row>
    <row r="235" spans="1:31" ht="24" customHeight="1">
      <c r="A235" s="138"/>
      <c r="B235" s="138"/>
      <c r="C235" s="138"/>
      <c r="D235" s="138"/>
      <c r="H235" s="128" t="s">
        <v>242</v>
      </c>
      <c r="K235" s="123" t="s">
        <v>89</v>
      </c>
      <c r="M235" s="129">
        <v>14.1</v>
      </c>
      <c r="N235" s="126" t="s">
        <v>131</v>
      </c>
      <c r="O235" s="120" t="s">
        <v>306</v>
      </c>
      <c r="P235" s="129">
        <f>I229</f>
        <v>557.70000000000005</v>
      </c>
      <c r="Q235" s="120" t="s">
        <v>131</v>
      </c>
      <c r="R235" s="129">
        <f>(M235*P235)</f>
        <v>7863.57</v>
      </c>
      <c r="AE235" s="129"/>
    </row>
    <row r="236" spans="1:31" ht="24" customHeight="1">
      <c r="A236" s="138"/>
      <c r="B236" s="138"/>
      <c r="C236" s="138"/>
      <c r="D236" s="138"/>
      <c r="N236" s="126" t="s">
        <v>145</v>
      </c>
      <c r="O236" s="120" t="s">
        <v>146</v>
      </c>
      <c r="Q236" s="120" t="s">
        <v>145</v>
      </c>
      <c r="R236" s="129">
        <v>0</v>
      </c>
      <c r="AE236" s="129"/>
    </row>
    <row r="237" spans="1:31" ht="24" customHeight="1">
      <c r="A237" s="138"/>
      <c r="B237" s="138"/>
      <c r="C237" s="138"/>
      <c r="D237" s="138"/>
      <c r="N237" s="116"/>
      <c r="Q237" s="117"/>
      <c r="R237" s="123" t="s">
        <v>52</v>
      </c>
      <c r="AE237" s="129"/>
    </row>
    <row r="238" spans="1:31" ht="24" customHeight="1">
      <c r="A238" s="138"/>
      <c r="B238" s="138"/>
      <c r="C238" s="138"/>
      <c r="D238" s="138"/>
      <c r="F238" s="167">
        <v>3.6</v>
      </c>
      <c r="H238" s="120" t="s">
        <v>4040</v>
      </c>
      <c r="N238" s="116"/>
      <c r="Q238" s="117"/>
      <c r="R238" s="129">
        <f>SUM(R231:R236)</f>
        <v>51219.360000000001</v>
      </c>
      <c r="AE238" s="129"/>
    </row>
    <row r="239" spans="1:31" ht="24" customHeight="1">
      <c r="A239" s="138"/>
      <c r="B239" s="138"/>
      <c r="C239" s="138"/>
      <c r="D239" s="138"/>
      <c r="H239" s="120" t="s">
        <v>463</v>
      </c>
      <c r="N239" s="116"/>
      <c r="O239" s="120" t="s">
        <v>311</v>
      </c>
      <c r="Q239" s="117"/>
      <c r="R239" s="123" t="s">
        <v>52</v>
      </c>
      <c r="AE239" s="129"/>
    </row>
    <row r="240" spans="1:31" ht="24" customHeight="1">
      <c r="A240" s="138"/>
      <c r="B240" s="138"/>
      <c r="C240" s="138"/>
      <c r="D240" s="138"/>
      <c r="H240" s="123" t="s">
        <v>89</v>
      </c>
      <c r="N240" s="116"/>
      <c r="Q240" s="117"/>
      <c r="R240" s="127">
        <f>(R238/10)</f>
        <v>5121.9399999999996</v>
      </c>
      <c r="AE240" s="129"/>
    </row>
    <row r="241" spans="1:31" ht="24" customHeight="1">
      <c r="A241" s="138"/>
      <c r="B241" s="138"/>
      <c r="C241" s="138"/>
      <c r="D241" s="138"/>
      <c r="F241" s="129">
        <v>1.25</v>
      </c>
      <c r="G241" s="126" t="s">
        <v>34</v>
      </c>
      <c r="H241" s="120" t="s">
        <v>464</v>
      </c>
      <c r="I241" s="196">
        <f>C812</f>
        <v>3.15</v>
      </c>
      <c r="J241" s="120" t="s">
        <v>34</v>
      </c>
      <c r="K241" s="129">
        <f>(F241*I241)</f>
        <v>3.94</v>
      </c>
      <c r="N241" s="116"/>
      <c r="O241" s="128" t="s">
        <v>242</v>
      </c>
      <c r="Q241" s="117"/>
      <c r="R241" s="123" t="s">
        <v>89</v>
      </c>
      <c r="AE241" s="129"/>
    </row>
    <row r="242" spans="1:31" ht="24" customHeight="1">
      <c r="A242" s="138"/>
      <c r="B242" s="138"/>
      <c r="C242" s="138"/>
      <c r="D242" s="138"/>
      <c r="F242" s="129">
        <v>0.75</v>
      </c>
      <c r="G242" s="126" t="s">
        <v>34</v>
      </c>
      <c r="H242" s="120" t="s">
        <v>4041</v>
      </c>
      <c r="I242" s="129">
        <f>AC37</f>
        <v>1164.98</v>
      </c>
      <c r="J242" s="120" t="s">
        <v>34</v>
      </c>
      <c r="K242" s="129">
        <f>(F242*I242)</f>
        <v>873.74</v>
      </c>
      <c r="AE242" s="129"/>
    </row>
    <row r="243" spans="1:31" ht="24" customHeight="1">
      <c r="A243" s="138"/>
      <c r="B243" s="138"/>
      <c r="C243" s="138"/>
      <c r="D243" s="138"/>
      <c r="F243" s="129">
        <v>0.5</v>
      </c>
      <c r="G243" s="126" t="s">
        <v>34</v>
      </c>
      <c r="H243" s="120" t="s">
        <v>466</v>
      </c>
      <c r="I243" s="129">
        <f>AC36</f>
        <v>1329.98</v>
      </c>
      <c r="J243" s="120" t="s">
        <v>34</v>
      </c>
      <c r="K243" s="129">
        <f>(F243*I243)</f>
        <v>664.99</v>
      </c>
      <c r="AE243" s="129"/>
    </row>
    <row r="244" spans="1:31" ht="24" customHeight="1">
      <c r="A244" s="138"/>
      <c r="B244" s="138"/>
      <c r="C244" s="138"/>
      <c r="D244" s="138"/>
      <c r="F244" s="129">
        <v>0.45</v>
      </c>
      <c r="G244" s="126" t="s">
        <v>34</v>
      </c>
      <c r="H244" s="120" t="s">
        <v>467</v>
      </c>
      <c r="I244" s="129">
        <f>AC38</f>
        <v>356.78</v>
      </c>
      <c r="J244" s="120" t="s">
        <v>34</v>
      </c>
      <c r="K244" s="129">
        <f>(F244*I244)</f>
        <v>160.55000000000001</v>
      </c>
      <c r="AE244" s="129"/>
    </row>
    <row r="245" spans="1:31" ht="24" customHeight="1">
      <c r="A245" s="138"/>
      <c r="B245" s="138"/>
      <c r="C245" s="138"/>
      <c r="D245" s="138"/>
      <c r="F245" s="129">
        <v>10</v>
      </c>
      <c r="G245" s="126" t="s">
        <v>468</v>
      </c>
      <c r="H245" s="120" t="s">
        <v>469</v>
      </c>
      <c r="I245" s="196">
        <v>17.82</v>
      </c>
      <c r="J245" s="120" t="s">
        <v>468</v>
      </c>
      <c r="K245" s="129">
        <f>(F245*I245)</f>
        <v>178.2</v>
      </c>
      <c r="AE245" s="129"/>
    </row>
    <row r="246" spans="1:31" ht="24" customHeight="1">
      <c r="A246" s="138"/>
      <c r="B246" s="138"/>
      <c r="C246" s="138"/>
      <c r="D246" s="138"/>
      <c r="H246" s="120" t="s">
        <v>470</v>
      </c>
      <c r="K246" s="123" t="s">
        <v>52</v>
      </c>
      <c r="AE246" s="129"/>
    </row>
    <row r="247" spans="1:31" ht="24" customHeight="1">
      <c r="A247" s="138"/>
      <c r="B247" s="138"/>
      <c r="C247" s="138"/>
      <c r="D247" s="138"/>
      <c r="H247" s="120" t="s">
        <v>471</v>
      </c>
      <c r="K247" s="129">
        <f>SUM(K241:K245)</f>
        <v>1881.42</v>
      </c>
      <c r="AE247" s="129"/>
    </row>
    <row r="248" spans="1:31" ht="24" customHeight="1">
      <c r="A248" s="138"/>
      <c r="B248" s="138"/>
      <c r="C248" s="138"/>
      <c r="D248" s="138"/>
      <c r="K248" s="123" t="s">
        <v>52</v>
      </c>
      <c r="AE248" s="129"/>
    </row>
    <row r="249" spans="1:31" ht="24" customHeight="1">
      <c r="A249" s="138"/>
      <c r="B249" s="138"/>
      <c r="C249" s="138"/>
      <c r="D249" s="138"/>
      <c r="H249" s="128" t="s">
        <v>472</v>
      </c>
      <c r="K249" s="127">
        <f>K247/10</f>
        <v>188.14</v>
      </c>
      <c r="AE249" s="129"/>
    </row>
    <row r="250" spans="1:31" ht="24" customHeight="1">
      <c r="A250" s="138"/>
      <c r="B250" s="138"/>
      <c r="C250" s="138"/>
      <c r="D250" s="138"/>
      <c r="K250" s="123" t="s">
        <v>89</v>
      </c>
      <c r="AE250" s="129"/>
    </row>
    <row r="251" spans="1:31" ht="24" customHeight="1">
      <c r="A251" s="138"/>
      <c r="B251" s="138"/>
      <c r="C251" s="138"/>
      <c r="D251" s="138"/>
      <c r="AE251" s="129"/>
    </row>
    <row r="252" spans="1:31" ht="24" customHeight="1">
      <c r="A252" s="138"/>
      <c r="B252" s="138"/>
      <c r="C252" s="138"/>
      <c r="D252" s="138"/>
      <c r="F252" s="167">
        <v>3.7</v>
      </c>
      <c r="H252" s="120" t="s">
        <v>4042</v>
      </c>
      <c r="AE252" s="129"/>
    </row>
    <row r="253" spans="1:31" ht="24" customHeight="1">
      <c r="A253" s="138"/>
      <c r="B253" s="138"/>
      <c r="C253" s="138"/>
      <c r="D253" s="138"/>
      <c r="H253" s="123" t="s">
        <v>52</v>
      </c>
      <c r="AE253" s="129"/>
    </row>
    <row r="254" spans="1:31" ht="24" customHeight="1">
      <c r="A254" s="138"/>
      <c r="B254" s="138"/>
      <c r="C254" s="138"/>
      <c r="D254" s="138"/>
      <c r="F254" s="129">
        <v>2.7</v>
      </c>
      <c r="G254" s="126" t="s">
        <v>34</v>
      </c>
      <c r="H254" s="120" t="s">
        <v>474</v>
      </c>
      <c r="I254" s="129">
        <f>AC35</f>
        <v>1209.98</v>
      </c>
      <c r="J254" s="120" t="s">
        <v>34</v>
      </c>
      <c r="K254" s="129">
        <f>(F254*I254)</f>
        <v>3266.95</v>
      </c>
      <c r="AE254" s="129"/>
    </row>
    <row r="255" spans="1:31" ht="24" customHeight="1">
      <c r="A255" s="138"/>
      <c r="B255" s="138"/>
      <c r="C255" s="138"/>
      <c r="D255" s="138"/>
      <c r="F255" s="201">
        <v>0.14499999999999999</v>
      </c>
      <c r="G255" s="126" t="s">
        <v>34</v>
      </c>
      <c r="H255" s="120" t="s">
        <v>475</v>
      </c>
      <c r="I255" s="129">
        <f>AC17</f>
        <v>1642.42</v>
      </c>
      <c r="J255" s="120" t="s">
        <v>34</v>
      </c>
      <c r="K255" s="129">
        <f>(F255*I255)</f>
        <v>238.15</v>
      </c>
      <c r="AE255" s="129"/>
    </row>
    <row r="256" spans="1:31" ht="24" customHeight="1">
      <c r="A256" s="138"/>
      <c r="B256" s="138"/>
      <c r="C256" s="138"/>
      <c r="D256" s="138"/>
      <c r="F256" s="129">
        <v>218.8</v>
      </c>
      <c r="G256" s="126" t="s">
        <v>476</v>
      </c>
      <c r="H256" s="120" t="s">
        <v>477</v>
      </c>
      <c r="I256" s="129">
        <f>C142</f>
        <v>43563.69</v>
      </c>
      <c r="J256" s="120" t="s">
        <v>476</v>
      </c>
      <c r="K256" s="129">
        <f>(F256*I256)/1000</f>
        <v>9531.74</v>
      </c>
      <c r="AE256" s="129"/>
    </row>
    <row r="257" spans="1:33" ht="24" customHeight="1">
      <c r="A257" s="138"/>
      <c r="B257" s="138"/>
      <c r="C257" s="138"/>
      <c r="D257" s="138"/>
      <c r="F257" s="129">
        <v>100</v>
      </c>
      <c r="G257" s="126" t="s">
        <v>468</v>
      </c>
      <c r="H257" s="120" t="s">
        <v>478</v>
      </c>
      <c r="I257" s="196">
        <v>14.3</v>
      </c>
      <c r="J257" s="120" t="s">
        <v>468</v>
      </c>
      <c r="K257" s="129">
        <f>(F257*I257)</f>
        <v>1430</v>
      </c>
      <c r="AE257" s="129"/>
    </row>
    <row r="258" spans="1:33" ht="24" customHeight="1">
      <c r="A258" s="138"/>
      <c r="B258" s="138"/>
      <c r="C258" s="138"/>
      <c r="D258" s="138"/>
      <c r="K258" s="123" t="s">
        <v>52</v>
      </c>
      <c r="AE258" s="129"/>
    </row>
    <row r="259" spans="1:33" ht="24" customHeight="1">
      <c r="A259" s="138"/>
      <c r="B259" s="138"/>
      <c r="C259" s="138"/>
      <c r="D259" s="138"/>
      <c r="H259" s="120" t="s">
        <v>479</v>
      </c>
      <c r="K259" s="129">
        <f>SUM(K254:K257)</f>
        <v>14466.84</v>
      </c>
      <c r="AE259" s="129"/>
    </row>
    <row r="260" spans="1:33" ht="24" customHeight="1">
      <c r="A260" s="138"/>
      <c r="B260" s="138"/>
      <c r="C260" s="138"/>
      <c r="D260" s="138"/>
      <c r="K260" s="123" t="s">
        <v>52</v>
      </c>
      <c r="AE260" s="129"/>
    </row>
    <row r="261" spans="1:33" ht="24" customHeight="1">
      <c r="A261" s="138"/>
      <c r="B261" s="138"/>
      <c r="C261" s="138"/>
      <c r="D261" s="138"/>
      <c r="H261" s="128" t="s">
        <v>472</v>
      </c>
      <c r="K261" s="127">
        <f>K259/100</f>
        <v>144.66999999999999</v>
      </c>
      <c r="AE261" s="129"/>
    </row>
    <row r="262" spans="1:33" ht="24" customHeight="1">
      <c r="A262" s="138"/>
      <c r="B262" s="138"/>
      <c r="C262" s="138"/>
      <c r="D262" s="138"/>
      <c r="F262" s="120" t="s">
        <v>85</v>
      </c>
      <c r="G262" s="126" t="s">
        <v>85</v>
      </c>
      <c r="K262" s="123" t="s">
        <v>89</v>
      </c>
      <c r="AE262" s="129"/>
    </row>
    <row r="263" spans="1:33" ht="24" customHeight="1">
      <c r="A263" s="138"/>
      <c r="B263" s="138"/>
      <c r="C263" s="138"/>
      <c r="D263" s="138"/>
      <c r="AE263" s="129"/>
    </row>
    <row r="264" spans="1:33" ht="24" customHeight="1">
      <c r="A264" s="138"/>
      <c r="B264" s="138"/>
      <c r="C264" s="138"/>
      <c r="D264" s="138"/>
      <c r="AE264" s="129"/>
    </row>
    <row r="265" spans="1:33" ht="24" customHeight="1">
      <c r="A265" s="130">
        <f>(A206+1)</f>
        <v>105</v>
      </c>
      <c r="B265" s="149" t="s">
        <v>4043</v>
      </c>
      <c r="C265" s="136">
        <v>140.65</v>
      </c>
      <c r="D265" s="132" t="s">
        <v>237</v>
      </c>
      <c r="F265" s="121" t="s">
        <v>481</v>
      </c>
      <c r="H265" s="120" t="s">
        <v>482</v>
      </c>
      <c r="N265" s="120" t="s">
        <v>483</v>
      </c>
      <c r="O265" s="120" t="s">
        <v>484</v>
      </c>
      <c r="AE265" s="129"/>
      <c r="AG265" s="120"/>
    </row>
    <row r="266" spans="1:33" ht="24" customHeight="1">
      <c r="A266" s="130">
        <f t="shared" ref="A266:A280" si="24">(A265+1)</f>
        <v>106</v>
      </c>
      <c r="B266" s="149" t="s">
        <v>4044</v>
      </c>
      <c r="C266" s="136">
        <v>170.35</v>
      </c>
      <c r="D266" s="132" t="s">
        <v>237</v>
      </c>
      <c r="H266" s="123" t="s">
        <v>89</v>
      </c>
      <c r="O266" s="123" t="s">
        <v>52</v>
      </c>
      <c r="AE266" s="129"/>
      <c r="AG266" s="120"/>
    </row>
    <row r="267" spans="1:33" ht="24" customHeight="1">
      <c r="A267" s="130">
        <f t="shared" si="24"/>
        <v>107</v>
      </c>
      <c r="B267" s="203" t="s">
        <v>4045</v>
      </c>
      <c r="C267" s="204">
        <v>63</v>
      </c>
      <c r="D267" s="136">
        <v>156</v>
      </c>
      <c r="E267" s="115" t="s">
        <v>4046</v>
      </c>
      <c r="G267" s="126" t="s">
        <v>111</v>
      </c>
      <c r="H267" s="120" t="s">
        <v>487</v>
      </c>
      <c r="M267" s="129">
        <v>1.1399999999999999</v>
      </c>
      <c r="N267" s="120" t="s">
        <v>132</v>
      </c>
      <c r="O267" s="120" t="s">
        <v>488</v>
      </c>
      <c r="P267" s="129">
        <f>(K420)</f>
        <v>6517.23</v>
      </c>
      <c r="Q267" s="120" t="s">
        <v>131</v>
      </c>
      <c r="R267" s="129">
        <f>(M267*P267)</f>
        <v>7429.64</v>
      </c>
      <c r="AE267" s="129"/>
      <c r="AG267" s="120"/>
    </row>
    <row r="268" spans="1:33" ht="39" customHeight="1">
      <c r="A268" s="130">
        <f t="shared" si="24"/>
        <v>108</v>
      </c>
      <c r="B268" s="176" t="s">
        <v>4047</v>
      </c>
      <c r="C268" s="136">
        <v>17600</v>
      </c>
      <c r="D268" s="132" t="s">
        <v>132</v>
      </c>
      <c r="H268" s="120" t="s">
        <v>490</v>
      </c>
      <c r="M268" s="129">
        <v>1</v>
      </c>
      <c r="N268" s="120" t="s">
        <v>237</v>
      </c>
      <c r="O268" s="120" t="s">
        <v>345</v>
      </c>
      <c r="P268" s="129">
        <f>(C10)</f>
        <v>1041.7</v>
      </c>
      <c r="Q268" s="120" t="s">
        <v>131</v>
      </c>
      <c r="R268" s="129">
        <f>(M268*P268)</f>
        <v>1041.7</v>
      </c>
      <c r="AE268" s="129"/>
      <c r="AG268" s="120"/>
    </row>
    <row r="269" spans="1:33" ht="24" customHeight="1">
      <c r="A269" s="130">
        <f t="shared" si="24"/>
        <v>109</v>
      </c>
      <c r="B269" s="120" t="s">
        <v>4048</v>
      </c>
      <c r="C269" s="136">
        <v>15500</v>
      </c>
      <c r="D269" s="132" t="s">
        <v>132</v>
      </c>
      <c r="H269" s="123" t="s">
        <v>52</v>
      </c>
      <c r="N269" s="120" t="s">
        <v>145</v>
      </c>
      <c r="O269" s="120" t="s">
        <v>146</v>
      </c>
      <c r="P269" s="120" t="s">
        <v>85</v>
      </c>
      <c r="Q269" s="120" t="s">
        <v>145</v>
      </c>
      <c r="R269" s="129">
        <v>0.05</v>
      </c>
      <c r="AE269" s="129"/>
      <c r="AG269" s="120"/>
    </row>
    <row r="270" spans="1:33" ht="24" customHeight="1">
      <c r="A270" s="130">
        <f t="shared" si="24"/>
        <v>110</v>
      </c>
      <c r="B270" s="120" t="s">
        <v>4049</v>
      </c>
      <c r="C270" s="136">
        <v>25.2</v>
      </c>
      <c r="D270" s="132" t="s">
        <v>237</v>
      </c>
      <c r="F270" s="129">
        <v>9</v>
      </c>
      <c r="G270" s="126" t="s">
        <v>132</v>
      </c>
      <c r="H270" s="120" t="s">
        <v>493</v>
      </c>
      <c r="I270" s="129">
        <f>(C73)</f>
        <v>1729.98</v>
      </c>
      <c r="J270" s="120" t="s">
        <v>132</v>
      </c>
      <c r="K270" s="129">
        <f t="shared" ref="K270:K275" si="25">(F270*I270)</f>
        <v>15569.82</v>
      </c>
      <c r="R270" s="123" t="s">
        <v>52</v>
      </c>
      <c r="AE270" s="129"/>
      <c r="AG270" s="120"/>
    </row>
    <row r="271" spans="1:33" ht="24" customHeight="1">
      <c r="A271" s="130">
        <f t="shared" si="24"/>
        <v>111</v>
      </c>
      <c r="B271" s="120" t="s">
        <v>4050</v>
      </c>
      <c r="C271" s="136">
        <v>49.85</v>
      </c>
      <c r="D271" s="132" t="s">
        <v>39</v>
      </c>
      <c r="E271" s="162">
        <v>158</v>
      </c>
      <c r="F271" s="142">
        <v>3.2309999999999999</v>
      </c>
      <c r="G271" s="126" t="s">
        <v>122</v>
      </c>
      <c r="H271" s="120" t="s">
        <v>123</v>
      </c>
      <c r="I271" s="129">
        <f>(C67)</f>
        <v>6040</v>
      </c>
      <c r="J271" s="120" t="s">
        <v>122</v>
      </c>
      <c r="K271" s="129">
        <f t="shared" si="25"/>
        <v>19515.240000000002</v>
      </c>
      <c r="O271" s="120" t="s">
        <v>495</v>
      </c>
      <c r="R271" s="129">
        <f>SUM(R267:R269)</f>
        <v>8471.39</v>
      </c>
      <c r="AE271" s="129"/>
      <c r="AG271" s="120"/>
    </row>
    <row r="272" spans="1:33" ht="24" customHeight="1">
      <c r="A272" s="130">
        <f t="shared" si="24"/>
        <v>112</v>
      </c>
      <c r="B272" s="120" t="s">
        <v>4051</v>
      </c>
      <c r="C272" s="136">
        <v>306.89999999999998</v>
      </c>
      <c r="D272" s="140">
        <v>452.09</v>
      </c>
      <c r="E272" s="205">
        <v>250</v>
      </c>
      <c r="F272" s="129">
        <v>4.5</v>
      </c>
      <c r="G272" s="126" t="s">
        <v>132</v>
      </c>
      <c r="H272" s="120" t="s">
        <v>133</v>
      </c>
      <c r="I272" s="129">
        <f>(C78)</f>
        <v>1642.42</v>
      </c>
      <c r="J272" s="120" t="s">
        <v>132</v>
      </c>
      <c r="K272" s="129">
        <f t="shared" si="25"/>
        <v>7390.89</v>
      </c>
      <c r="R272" s="123" t="s">
        <v>52</v>
      </c>
      <c r="AE272" s="129"/>
      <c r="AG272" s="120"/>
    </row>
    <row r="273" spans="1:33" ht="24" customHeight="1">
      <c r="A273" s="130">
        <f t="shared" si="24"/>
        <v>113</v>
      </c>
      <c r="B273" s="120" t="s">
        <v>4052</v>
      </c>
      <c r="C273" s="136">
        <v>144.1</v>
      </c>
      <c r="D273" s="132" t="s">
        <v>282</v>
      </c>
      <c r="F273" s="129">
        <v>3.5</v>
      </c>
      <c r="G273" s="126" t="s">
        <v>131</v>
      </c>
      <c r="H273" s="120" t="s">
        <v>302</v>
      </c>
      <c r="I273" s="129">
        <f>(C11)</f>
        <v>972.4</v>
      </c>
      <c r="J273" s="120" t="s">
        <v>131</v>
      </c>
      <c r="K273" s="129">
        <f t="shared" si="25"/>
        <v>3403.4</v>
      </c>
      <c r="O273" s="120" t="s">
        <v>460</v>
      </c>
      <c r="R273" s="129">
        <f>(R271/10)</f>
        <v>847.14</v>
      </c>
      <c r="AE273" s="129"/>
      <c r="AG273" s="120"/>
    </row>
    <row r="274" spans="1:33" ht="24" customHeight="1">
      <c r="A274" s="130">
        <f t="shared" si="24"/>
        <v>114</v>
      </c>
      <c r="B274" s="120" t="s">
        <v>4053</v>
      </c>
      <c r="C274" s="136">
        <v>52.3</v>
      </c>
      <c r="D274" s="132" t="s">
        <v>237</v>
      </c>
      <c r="F274" s="129">
        <v>21.2</v>
      </c>
      <c r="G274" s="126" t="s">
        <v>131</v>
      </c>
      <c r="H274" s="120" t="s">
        <v>304</v>
      </c>
      <c r="I274" s="129">
        <f>(C12)</f>
        <v>679.8</v>
      </c>
      <c r="J274" s="120" t="s">
        <v>131</v>
      </c>
      <c r="K274" s="129">
        <f t="shared" si="25"/>
        <v>14411.76</v>
      </c>
      <c r="R274" s="123" t="s">
        <v>89</v>
      </c>
      <c r="Y274" s="118"/>
      <c r="Z274" s="118"/>
      <c r="AE274" s="129"/>
      <c r="AG274" s="120"/>
    </row>
    <row r="275" spans="1:33" ht="24" customHeight="1">
      <c r="A275" s="130">
        <f t="shared" si="24"/>
        <v>115</v>
      </c>
      <c r="B275" s="120" t="s">
        <v>4054</v>
      </c>
      <c r="C275" s="136">
        <v>45.7</v>
      </c>
      <c r="D275" s="132" t="s">
        <v>237</v>
      </c>
      <c r="F275" s="129">
        <v>35.299999999999997</v>
      </c>
      <c r="G275" s="126" t="s">
        <v>131</v>
      </c>
      <c r="H275" s="120" t="s">
        <v>306</v>
      </c>
      <c r="I275" s="129">
        <f>(C13)</f>
        <v>557.70000000000005</v>
      </c>
      <c r="J275" s="120" t="s">
        <v>131</v>
      </c>
      <c r="K275" s="129">
        <f t="shared" si="25"/>
        <v>19686.810000000001</v>
      </c>
      <c r="N275" s="120" t="s">
        <v>500</v>
      </c>
      <c r="O275" s="120" t="s">
        <v>53</v>
      </c>
      <c r="R275" s="129">
        <f>(R273+C19/10*M267)</f>
        <v>856.52</v>
      </c>
      <c r="Y275" s="118"/>
      <c r="Z275" s="118"/>
      <c r="AE275" s="129"/>
      <c r="AG275" s="120"/>
    </row>
    <row r="276" spans="1:33" ht="24" customHeight="1">
      <c r="A276" s="130">
        <f t="shared" si="24"/>
        <v>116</v>
      </c>
      <c r="B276" s="132" t="s">
        <v>501</v>
      </c>
      <c r="C276" s="139">
        <v>16.440000000000001</v>
      </c>
      <c r="D276" s="132" t="s">
        <v>237</v>
      </c>
      <c r="G276" s="126" t="s">
        <v>145</v>
      </c>
      <c r="H276" s="120" t="s">
        <v>146</v>
      </c>
      <c r="I276" s="120" t="s">
        <v>85</v>
      </c>
      <c r="J276" s="120" t="s">
        <v>145</v>
      </c>
      <c r="K276" s="129">
        <v>0</v>
      </c>
      <c r="N276" s="120" t="s">
        <v>502</v>
      </c>
      <c r="O276" s="120" t="s">
        <v>54</v>
      </c>
      <c r="R276" s="129">
        <f>(R275+C20/10*M267)</f>
        <v>875.44</v>
      </c>
      <c r="Y276" s="118"/>
      <c r="Z276" s="118"/>
      <c r="AE276" s="129"/>
      <c r="AG276" s="120"/>
    </row>
    <row r="277" spans="1:33" ht="24" customHeight="1">
      <c r="A277" s="130">
        <f t="shared" si="24"/>
        <v>117</v>
      </c>
      <c r="B277" s="120" t="s">
        <v>4055</v>
      </c>
      <c r="C277" s="136">
        <v>32.1</v>
      </c>
      <c r="D277" s="206">
        <v>6.25</v>
      </c>
      <c r="K277" s="123" t="s">
        <v>52</v>
      </c>
      <c r="N277" s="120" t="s">
        <v>504</v>
      </c>
      <c r="O277" s="120" t="s">
        <v>55</v>
      </c>
      <c r="R277" s="129">
        <f>(R276+C21/10*M267)</f>
        <v>894.36</v>
      </c>
      <c r="Y277" s="118"/>
      <c r="Z277" s="118"/>
      <c r="AE277" s="129"/>
      <c r="AG277" s="120"/>
    </row>
    <row r="278" spans="1:33" ht="24" customHeight="1">
      <c r="A278" s="130">
        <f t="shared" si="24"/>
        <v>118</v>
      </c>
      <c r="B278" s="120" t="s">
        <v>4056</v>
      </c>
      <c r="C278" s="136">
        <v>364.6</v>
      </c>
      <c r="D278" s="132" t="s">
        <v>425</v>
      </c>
      <c r="H278" s="120" t="s">
        <v>506</v>
      </c>
      <c r="K278" s="129">
        <f>SUM(K270:K276)</f>
        <v>79977.919999999998</v>
      </c>
      <c r="N278" s="120" t="s">
        <v>507</v>
      </c>
      <c r="O278" s="120" t="s">
        <v>56</v>
      </c>
      <c r="R278" s="129">
        <f>(R277+C21/10*M267)</f>
        <v>913.28</v>
      </c>
      <c r="Y278" s="118"/>
      <c r="Z278" s="118"/>
      <c r="AE278" s="129"/>
      <c r="AG278" s="120"/>
    </row>
    <row r="279" spans="1:33" ht="24" customHeight="1">
      <c r="A279" s="130">
        <f t="shared" si="24"/>
        <v>119</v>
      </c>
      <c r="B279" s="120" t="s">
        <v>4057</v>
      </c>
      <c r="C279" s="136">
        <v>89.6</v>
      </c>
      <c r="D279" s="132" t="s">
        <v>237</v>
      </c>
      <c r="K279" s="123" t="s">
        <v>52</v>
      </c>
      <c r="Z279" s="118"/>
      <c r="AE279" s="129"/>
      <c r="AG279" s="120"/>
    </row>
    <row r="280" spans="1:33" ht="24" customHeight="1">
      <c r="A280" s="130">
        <f t="shared" si="24"/>
        <v>120</v>
      </c>
      <c r="B280" s="120" t="s">
        <v>4058</v>
      </c>
      <c r="C280" s="136">
        <v>71.900000000000006</v>
      </c>
      <c r="D280" s="132" t="s">
        <v>237</v>
      </c>
      <c r="H280" s="128" t="s">
        <v>242</v>
      </c>
      <c r="K280" s="127">
        <f>(K278/10)</f>
        <v>7997.79</v>
      </c>
      <c r="R280" s="120" t="s">
        <v>85</v>
      </c>
      <c r="AE280" s="129"/>
      <c r="AG280" s="120"/>
    </row>
    <row r="281" spans="1:33" ht="24" customHeight="1">
      <c r="A281" s="138"/>
      <c r="C281" s="162"/>
      <c r="D281" s="138"/>
      <c r="F281" s="120" t="s">
        <v>85</v>
      </c>
      <c r="N281" s="120" t="s">
        <v>483</v>
      </c>
      <c r="O281" s="120" t="s">
        <v>510</v>
      </c>
      <c r="AE281" s="129"/>
    </row>
    <row r="282" spans="1:33" ht="24" customHeight="1">
      <c r="A282" s="130">
        <f>(A280+1)</f>
        <v>121</v>
      </c>
      <c r="B282" s="120" t="s">
        <v>4059</v>
      </c>
      <c r="C282" s="136">
        <v>49.35</v>
      </c>
      <c r="D282" s="132" t="s">
        <v>237</v>
      </c>
      <c r="O282" s="120" t="s">
        <v>512</v>
      </c>
      <c r="AE282" s="129"/>
      <c r="AG282" s="120"/>
    </row>
    <row r="283" spans="1:33" ht="24" customHeight="1">
      <c r="A283" s="130">
        <f t="shared" ref="A283:A346" si="26">(A282+1)</f>
        <v>122</v>
      </c>
      <c r="B283" s="120" t="s">
        <v>4060</v>
      </c>
      <c r="C283" s="136">
        <v>39.85</v>
      </c>
      <c r="D283" s="132" t="s">
        <v>237</v>
      </c>
      <c r="F283" s="129">
        <v>1</v>
      </c>
      <c r="G283" s="126" t="s">
        <v>132</v>
      </c>
      <c r="H283" s="120" t="s">
        <v>514</v>
      </c>
      <c r="K283" s="129">
        <f>(C25)</f>
        <v>98.34</v>
      </c>
      <c r="O283" s="123" t="s">
        <v>52</v>
      </c>
      <c r="AE283" s="129"/>
      <c r="AG283" s="120"/>
    </row>
    <row r="284" spans="1:33" ht="24" customHeight="1">
      <c r="A284" s="130">
        <f t="shared" si="26"/>
        <v>123</v>
      </c>
      <c r="B284" s="120" t="s">
        <v>4061</v>
      </c>
      <c r="C284" s="136">
        <v>64.8</v>
      </c>
      <c r="D284" s="132" t="s">
        <v>237</v>
      </c>
      <c r="K284" s="123" t="s">
        <v>52</v>
      </c>
      <c r="M284" s="129">
        <v>10</v>
      </c>
      <c r="N284" s="120" t="s">
        <v>425</v>
      </c>
      <c r="O284" s="120" t="s">
        <v>516</v>
      </c>
      <c r="P284" s="129">
        <f>(K1241)</f>
        <v>1270.03</v>
      </c>
      <c r="Q284" s="120" t="s">
        <v>425</v>
      </c>
      <c r="R284" s="129">
        <f>(M284*P284)</f>
        <v>12700.3</v>
      </c>
      <c r="AE284" s="129"/>
      <c r="AG284" s="120"/>
    </row>
    <row r="285" spans="1:33" ht="24" customHeight="1">
      <c r="A285" s="130">
        <f t="shared" si="26"/>
        <v>124</v>
      </c>
      <c r="B285" s="120" t="s">
        <v>4062</v>
      </c>
      <c r="C285" s="136">
        <v>39.700000000000003</v>
      </c>
      <c r="D285" s="132" t="s">
        <v>237</v>
      </c>
      <c r="E285" s="162">
        <v>57</v>
      </c>
      <c r="H285" s="120" t="s">
        <v>518</v>
      </c>
      <c r="K285" s="127">
        <f>SUM(K280:K283)</f>
        <v>8096.13</v>
      </c>
      <c r="M285" s="129">
        <v>1.1000000000000001</v>
      </c>
      <c r="N285" s="120" t="s">
        <v>131</v>
      </c>
      <c r="O285" s="120" t="s">
        <v>302</v>
      </c>
      <c r="P285" s="129">
        <f>(C11)</f>
        <v>972.4</v>
      </c>
      <c r="Q285" s="120" t="s">
        <v>131</v>
      </c>
      <c r="R285" s="129">
        <f>(M285*P285)</f>
        <v>1069.6400000000001</v>
      </c>
      <c r="AE285" s="129"/>
      <c r="AG285" s="120"/>
    </row>
    <row r="286" spans="1:33" ht="24" customHeight="1">
      <c r="A286" s="130">
        <f t="shared" si="26"/>
        <v>125</v>
      </c>
      <c r="B286" s="120" t="s">
        <v>4063</v>
      </c>
      <c r="C286" s="136">
        <v>181</v>
      </c>
      <c r="D286" s="132" t="s">
        <v>237</v>
      </c>
      <c r="K286" s="123" t="s">
        <v>52</v>
      </c>
      <c r="M286" s="129">
        <v>1.1000000000000001</v>
      </c>
      <c r="N286" s="120" t="s">
        <v>131</v>
      </c>
      <c r="O286" s="120" t="s">
        <v>304</v>
      </c>
      <c r="P286" s="129">
        <f>(C12)</f>
        <v>679.8</v>
      </c>
      <c r="Q286" s="120" t="s">
        <v>131</v>
      </c>
      <c r="R286" s="129">
        <f>(M286*P286)</f>
        <v>747.78</v>
      </c>
      <c r="AE286" s="129"/>
      <c r="AG286" s="120"/>
    </row>
    <row r="287" spans="1:33" ht="24" customHeight="1">
      <c r="A287" s="130">
        <f t="shared" si="26"/>
        <v>126</v>
      </c>
      <c r="B287" s="120" t="s">
        <v>4064</v>
      </c>
      <c r="C287" s="136">
        <v>101.6</v>
      </c>
      <c r="D287" s="132" t="s">
        <v>237</v>
      </c>
      <c r="H287" s="120" t="s">
        <v>53</v>
      </c>
      <c r="K287" s="127">
        <f>(K285+C22)</f>
        <v>8221.09</v>
      </c>
      <c r="L287" s="115">
        <v>54</v>
      </c>
      <c r="M287" s="129">
        <v>1.1000000000000001</v>
      </c>
      <c r="N287" s="120" t="s">
        <v>131</v>
      </c>
      <c r="O287" s="120" t="s">
        <v>88</v>
      </c>
      <c r="P287" s="129">
        <f>(C13)</f>
        <v>557.70000000000005</v>
      </c>
      <c r="Q287" s="120" t="s">
        <v>131</v>
      </c>
      <c r="R287" s="129">
        <f>(M287*P287)</f>
        <v>613.47</v>
      </c>
      <c r="AE287" s="129"/>
      <c r="AG287" s="120"/>
    </row>
    <row r="288" spans="1:33" ht="24" customHeight="1">
      <c r="A288" s="130">
        <f t="shared" si="26"/>
        <v>127</v>
      </c>
      <c r="B288" s="132" t="s">
        <v>4065</v>
      </c>
      <c r="C288" s="140">
        <v>7.3</v>
      </c>
      <c r="D288" s="132" t="s">
        <v>237</v>
      </c>
      <c r="H288" s="120" t="s">
        <v>54</v>
      </c>
      <c r="K288" s="127">
        <f>(K287+C23)</f>
        <v>8467.27</v>
      </c>
      <c r="L288" s="115">
        <v>107</v>
      </c>
      <c r="R288" s="123" t="s">
        <v>52</v>
      </c>
      <c r="AE288" s="129"/>
      <c r="AG288" s="120"/>
    </row>
    <row r="289" spans="1:33" ht="24" customHeight="1">
      <c r="A289" s="130">
        <f t="shared" si="26"/>
        <v>128</v>
      </c>
      <c r="B289" s="132" t="s">
        <v>522</v>
      </c>
      <c r="C289" s="140">
        <v>7.3</v>
      </c>
      <c r="D289" s="132" t="s">
        <v>237</v>
      </c>
      <c r="H289" s="120" t="s">
        <v>55</v>
      </c>
      <c r="K289" s="127">
        <f>(K288+C24)</f>
        <v>8713.4500000000007</v>
      </c>
      <c r="O289" s="120" t="s">
        <v>495</v>
      </c>
      <c r="R289" s="129">
        <f>SUM(R284:R287)</f>
        <v>15131.19</v>
      </c>
      <c r="AE289" s="129"/>
      <c r="AG289" s="120"/>
    </row>
    <row r="290" spans="1:33" ht="24" customHeight="1">
      <c r="A290" s="130">
        <f t="shared" si="26"/>
        <v>129</v>
      </c>
      <c r="B290" s="132" t="s">
        <v>523</v>
      </c>
      <c r="C290" s="139">
        <v>2.9</v>
      </c>
      <c r="D290" s="132" t="s">
        <v>524</v>
      </c>
      <c r="H290" s="120" t="s">
        <v>56</v>
      </c>
      <c r="K290" s="127">
        <f>(K289+C24)</f>
        <v>8959.6299999999992</v>
      </c>
      <c r="R290" s="123" t="s">
        <v>52</v>
      </c>
      <c r="AE290" s="129"/>
      <c r="AG290" s="120"/>
    </row>
    <row r="291" spans="1:33" ht="24" customHeight="1">
      <c r="A291" s="130">
        <f t="shared" si="26"/>
        <v>130</v>
      </c>
      <c r="B291" s="132" t="s">
        <v>525</v>
      </c>
      <c r="C291" s="140">
        <v>11.8</v>
      </c>
      <c r="D291" s="132" t="s">
        <v>524</v>
      </c>
      <c r="H291" s="120" t="s">
        <v>526</v>
      </c>
      <c r="K291" s="127">
        <f>(K290+C24)</f>
        <v>9205.81</v>
      </c>
      <c r="O291" s="120" t="s">
        <v>460</v>
      </c>
      <c r="R291" s="129">
        <f>(R289/10)</f>
        <v>1513.12</v>
      </c>
      <c r="AE291" s="129"/>
      <c r="AG291" s="120"/>
    </row>
    <row r="292" spans="1:33" ht="24" customHeight="1">
      <c r="A292" s="130">
        <f t="shared" si="26"/>
        <v>131</v>
      </c>
      <c r="B292" s="132" t="s">
        <v>527</v>
      </c>
      <c r="C292" s="140">
        <v>8.9</v>
      </c>
      <c r="D292" s="132" t="s">
        <v>237</v>
      </c>
      <c r="R292" s="123" t="s">
        <v>89</v>
      </c>
      <c r="AE292" s="129"/>
      <c r="AG292" s="120"/>
    </row>
    <row r="293" spans="1:33" ht="24" customHeight="1">
      <c r="A293" s="130">
        <f t="shared" si="26"/>
        <v>132</v>
      </c>
      <c r="B293" s="132" t="s">
        <v>528</v>
      </c>
      <c r="C293" s="140">
        <v>6.1</v>
      </c>
      <c r="D293" s="132" t="s">
        <v>237</v>
      </c>
      <c r="F293" s="121" t="s">
        <v>151</v>
      </c>
      <c r="G293" s="126" t="s">
        <v>111</v>
      </c>
      <c r="H293" s="120" t="s">
        <v>529</v>
      </c>
      <c r="AE293" s="129"/>
      <c r="AG293" s="120"/>
    </row>
    <row r="294" spans="1:33" ht="24" customHeight="1">
      <c r="A294" s="130">
        <f t="shared" si="26"/>
        <v>133</v>
      </c>
      <c r="B294" s="132" t="s">
        <v>530</v>
      </c>
      <c r="C294" s="139">
        <v>5.75</v>
      </c>
      <c r="D294" s="132" t="s">
        <v>237</v>
      </c>
      <c r="H294" s="123" t="s">
        <v>89</v>
      </c>
      <c r="N294" s="120" t="s">
        <v>111</v>
      </c>
      <c r="O294" s="120" t="s">
        <v>531</v>
      </c>
      <c r="AE294" s="129"/>
      <c r="AG294" s="120"/>
    </row>
    <row r="295" spans="1:33" ht="24" customHeight="1">
      <c r="A295" s="130">
        <f t="shared" si="26"/>
        <v>134</v>
      </c>
      <c r="B295" s="132" t="s">
        <v>532</v>
      </c>
      <c r="C295" s="139">
        <v>8.5</v>
      </c>
      <c r="D295" s="132" t="s">
        <v>237</v>
      </c>
      <c r="F295" s="129">
        <v>10</v>
      </c>
      <c r="G295" s="126" t="s">
        <v>132</v>
      </c>
      <c r="H295" s="120" t="s">
        <v>126</v>
      </c>
      <c r="I295" s="129">
        <f>(C68)</f>
        <v>933.23</v>
      </c>
      <c r="J295" s="120" t="s">
        <v>132</v>
      </c>
      <c r="K295" s="129">
        <f t="shared" ref="K295:K301" si="27">(F295*I295)</f>
        <v>9332.2999999999993</v>
      </c>
      <c r="O295" s="123" t="s">
        <v>52</v>
      </c>
      <c r="AE295" s="129"/>
      <c r="AG295" s="120"/>
    </row>
    <row r="296" spans="1:33" ht="24" customHeight="1">
      <c r="A296" s="130">
        <f t="shared" si="26"/>
        <v>135</v>
      </c>
      <c r="B296" s="132" t="s">
        <v>533</v>
      </c>
      <c r="C296" s="139">
        <v>10</v>
      </c>
      <c r="D296" s="132" t="s">
        <v>237</v>
      </c>
      <c r="F296" s="129">
        <v>1</v>
      </c>
      <c r="G296" s="126" t="s">
        <v>132</v>
      </c>
      <c r="H296" s="120" t="s">
        <v>135</v>
      </c>
      <c r="I296" s="129">
        <f>(C69)</f>
        <v>1132.23</v>
      </c>
      <c r="J296" s="120" t="s">
        <v>132</v>
      </c>
      <c r="K296" s="129">
        <f t="shared" si="27"/>
        <v>1132.23</v>
      </c>
      <c r="M296" s="129">
        <v>0.14000000000000001</v>
      </c>
      <c r="N296" s="120" t="s">
        <v>132</v>
      </c>
      <c r="O296" s="120" t="s">
        <v>217</v>
      </c>
      <c r="P296" s="129">
        <f>(K32)</f>
        <v>4662.62</v>
      </c>
      <c r="Q296" s="120" t="s">
        <v>132</v>
      </c>
      <c r="R296" s="129">
        <f>(M296*P296)</f>
        <v>652.77</v>
      </c>
      <c r="AE296" s="129"/>
      <c r="AG296" s="120"/>
    </row>
    <row r="297" spans="1:33" ht="24" customHeight="1">
      <c r="A297" s="130">
        <f t="shared" si="26"/>
        <v>136</v>
      </c>
      <c r="B297" s="132" t="s">
        <v>534</v>
      </c>
      <c r="C297" s="140">
        <v>7</v>
      </c>
      <c r="D297" s="132" t="s">
        <v>237</v>
      </c>
      <c r="F297" s="129">
        <v>3.4</v>
      </c>
      <c r="G297" s="126" t="s">
        <v>132</v>
      </c>
      <c r="H297" s="120" t="s">
        <v>283</v>
      </c>
      <c r="I297" s="129">
        <f>(K49)</f>
        <v>3502.94</v>
      </c>
      <c r="J297" s="120" t="s">
        <v>132</v>
      </c>
      <c r="K297" s="129">
        <f t="shared" si="27"/>
        <v>11910</v>
      </c>
      <c r="M297" s="129">
        <v>1.1000000000000001</v>
      </c>
      <c r="N297" s="120" t="s">
        <v>131</v>
      </c>
      <c r="O297" s="120" t="s">
        <v>345</v>
      </c>
      <c r="P297" s="129">
        <f>(C10)</f>
        <v>1041.7</v>
      </c>
      <c r="Q297" s="120" t="s">
        <v>131</v>
      </c>
      <c r="R297" s="129">
        <f>(M297*P297)</f>
        <v>1145.8699999999999</v>
      </c>
      <c r="AE297" s="129"/>
      <c r="AG297" s="120"/>
    </row>
    <row r="298" spans="1:33" ht="24" customHeight="1">
      <c r="A298" s="130">
        <f t="shared" si="26"/>
        <v>137</v>
      </c>
      <c r="B298" s="132" t="s">
        <v>535</v>
      </c>
      <c r="C298" s="139">
        <v>2.2000000000000002</v>
      </c>
      <c r="D298" s="132" t="s">
        <v>237</v>
      </c>
      <c r="F298" s="129">
        <v>7.1</v>
      </c>
      <c r="G298" s="126" t="s">
        <v>131</v>
      </c>
      <c r="H298" s="120" t="s">
        <v>345</v>
      </c>
      <c r="I298" s="129">
        <f>(C10)</f>
        <v>1041.7</v>
      </c>
      <c r="J298" s="120" t="s">
        <v>131</v>
      </c>
      <c r="K298" s="129">
        <f t="shared" si="27"/>
        <v>7396.07</v>
      </c>
      <c r="M298" s="129">
        <v>0.5</v>
      </c>
      <c r="N298" s="120" t="s">
        <v>131</v>
      </c>
      <c r="O298" s="120" t="s">
        <v>304</v>
      </c>
      <c r="P298" s="129">
        <f>(C12)</f>
        <v>679.8</v>
      </c>
      <c r="Q298" s="120" t="s">
        <v>131</v>
      </c>
      <c r="R298" s="129">
        <f>(M298*P298)</f>
        <v>339.9</v>
      </c>
      <c r="AE298" s="129"/>
      <c r="AG298" s="120"/>
    </row>
    <row r="299" spans="1:33" ht="24" customHeight="1">
      <c r="A299" s="130">
        <f t="shared" si="26"/>
        <v>138</v>
      </c>
      <c r="B299" s="132" t="s">
        <v>536</v>
      </c>
      <c r="C299" s="139">
        <v>10.5</v>
      </c>
      <c r="D299" s="132" t="s">
        <v>237</v>
      </c>
      <c r="F299" s="129">
        <v>10.6</v>
      </c>
      <c r="G299" s="126" t="s">
        <v>131</v>
      </c>
      <c r="H299" s="120" t="s">
        <v>302</v>
      </c>
      <c r="I299" s="129">
        <f>(C11)</f>
        <v>972.4</v>
      </c>
      <c r="J299" s="120" t="s">
        <v>131</v>
      </c>
      <c r="K299" s="129">
        <f t="shared" si="27"/>
        <v>10307.44</v>
      </c>
      <c r="M299" s="129">
        <v>1.1000000000000001</v>
      </c>
      <c r="N299" s="120" t="s">
        <v>131</v>
      </c>
      <c r="O299" s="120" t="s">
        <v>306</v>
      </c>
      <c r="P299" s="129">
        <f>(C13)</f>
        <v>557.70000000000005</v>
      </c>
      <c r="Q299" s="120" t="s">
        <v>131</v>
      </c>
      <c r="R299" s="129">
        <f>(M299*P299)</f>
        <v>613.47</v>
      </c>
      <c r="AE299" s="129"/>
      <c r="AG299" s="120"/>
    </row>
    <row r="300" spans="1:33" ht="24" customHeight="1">
      <c r="A300" s="130">
        <f t="shared" si="26"/>
        <v>139</v>
      </c>
      <c r="B300" s="132" t="s">
        <v>537</v>
      </c>
      <c r="C300" s="139">
        <v>5.5</v>
      </c>
      <c r="D300" s="132" t="s">
        <v>237</v>
      </c>
      <c r="F300" s="129">
        <v>14.1</v>
      </c>
      <c r="G300" s="126" t="s">
        <v>131</v>
      </c>
      <c r="H300" s="120" t="s">
        <v>304</v>
      </c>
      <c r="I300" s="129">
        <f>(C12)</f>
        <v>679.8</v>
      </c>
      <c r="J300" s="120" t="s">
        <v>131</v>
      </c>
      <c r="K300" s="129">
        <f t="shared" si="27"/>
        <v>9585.18</v>
      </c>
      <c r="N300" s="120" t="s">
        <v>145</v>
      </c>
      <c r="O300" s="120" t="s">
        <v>146</v>
      </c>
      <c r="P300" s="120" t="s">
        <v>85</v>
      </c>
      <c r="Q300" s="120" t="s">
        <v>145</v>
      </c>
      <c r="R300" s="129">
        <v>0</v>
      </c>
      <c r="AE300" s="129"/>
      <c r="AG300" s="120"/>
    </row>
    <row r="301" spans="1:33" ht="24" customHeight="1">
      <c r="A301" s="130">
        <f t="shared" si="26"/>
        <v>140</v>
      </c>
      <c r="B301" s="132" t="s">
        <v>538</v>
      </c>
      <c r="C301" s="139">
        <v>21</v>
      </c>
      <c r="D301" s="132" t="s">
        <v>237</v>
      </c>
      <c r="F301" s="129">
        <v>14.1</v>
      </c>
      <c r="G301" s="126" t="s">
        <v>131</v>
      </c>
      <c r="H301" s="120" t="s">
        <v>306</v>
      </c>
      <c r="I301" s="129">
        <f>(C13)</f>
        <v>557.70000000000005</v>
      </c>
      <c r="J301" s="120" t="s">
        <v>131</v>
      </c>
      <c r="K301" s="129">
        <f t="shared" si="27"/>
        <v>7863.57</v>
      </c>
      <c r="R301" s="123" t="s">
        <v>52</v>
      </c>
      <c r="AE301" s="129"/>
      <c r="AG301" s="120"/>
    </row>
    <row r="302" spans="1:33" ht="24" customHeight="1">
      <c r="A302" s="130">
        <f t="shared" si="26"/>
        <v>141</v>
      </c>
      <c r="B302" s="132" t="s">
        <v>539</v>
      </c>
      <c r="C302" s="139">
        <v>10</v>
      </c>
      <c r="D302" s="132" t="s">
        <v>237</v>
      </c>
      <c r="G302" s="126" t="s">
        <v>145</v>
      </c>
      <c r="H302" s="120" t="s">
        <v>146</v>
      </c>
      <c r="J302" s="120" t="s">
        <v>145</v>
      </c>
      <c r="K302" s="129">
        <v>0</v>
      </c>
      <c r="O302" s="120" t="s">
        <v>85</v>
      </c>
      <c r="R302" s="129">
        <f>SUM(R296:R300)</f>
        <v>2752.01</v>
      </c>
      <c r="AE302" s="129"/>
      <c r="AG302" s="120"/>
    </row>
    <row r="303" spans="1:33" ht="24" customHeight="1">
      <c r="A303" s="130">
        <f t="shared" si="26"/>
        <v>142</v>
      </c>
      <c r="B303" s="132" t="s">
        <v>521</v>
      </c>
      <c r="C303" s="139">
        <v>4</v>
      </c>
      <c r="D303" s="132" t="s">
        <v>237</v>
      </c>
      <c r="K303" s="123" t="s">
        <v>52</v>
      </c>
      <c r="R303" s="123" t="s">
        <v>52</v>
      </c>
      <c r="AE303" s="129"/>
      <c r="AG303" s="120"/>
    </row>
    <row r="304" spans="1:33" ht="24" customHeight="1">
      <c r="A304" s="130">
        <f t="shared" si="26"/>
        <v>143</v>
      </c>
      <c r="B304" s="132" t="s">
        <v>522</v>
      </c>
      <c r="C304" s="139">
        <v>8</v>
      </c>
      <c r="D304" s="132" t="s">
        <v>131</v>
      </c>
      <c r="H304" s="120" t="s">
        <v>311</v>
      </c>
      <c r="K304" s="129">
        <f>SUM(K295:K302)</f>
        <v>57526.79</v>
      </c>
      <c r="O304" s="120" t="s">
        <v>460</v>
      </c>
      <c r="R304" s="129">
        <f>(R302/10)</f>
        <v>275.2</v>
      </c>
      <c r="AE304" s="129"/>
      <c r="AG304" s="120"/>
    </row>
    <row r="305" spans="1:33" ht="24" customHeight="1">
      <c r="A305" s="130">
        <f t="shared" si="26"/>
        <v>144</v>
      </c>
      <c r="B305" s="132" t="s">
        <v>523</v>
      </c>
      <c r="C305" s="139">
        <v>8.5</v>
      </c>
      <c r="D305" s="132" t="s">
        <v>237</v>
      </c>
      <c r="K305" s="123" t="s">
        <v>52</v>
      </c>
      <c r="N305" s="120" t="s">
        <v>111</v>
      </c>
      <c r="O305" s="120" t="s">
        <v>540</v>
      </c>
      <c r="R305" s="123" t="s">
        <v>89</v>
      </c>
      <c r="AE305" s="129"/>
      <c r="AG305" s="120"/>
    </row>
    <row r="306" spans="1:33" ht="24" customHeight="1">
      <c r="A306" s="130">
        <f t="shared" si="26"/>
        <v>145</v>
      </c>
      <c r="B306" s="132" t="s">
        <v>541</v>
      </c>
      <c r="C306" s="139">
        <v>2.8</v>
      </c>
      <c r="D306" s="132" t="s">
        <v>237</v>
      </c>
      <c r="H306" s="128" t="s">
        <v>242</v>
      </c>
      <c r="K306" s="127">
        <f>(K304/10)</f>
        <v>5752.68</v>
      </c>
      <c r="O306" s="123" t="s">
        <v>52</v>
      </c>
      <c r="AE306" s="129"/>
      <c r="AG306" s="120"/>
    </row>
    <row r="307" spans="1:33" ht="24" customHeight="1">
      <c r="A307" s="130">
        <f t="shared" si="26"/>
        <v>146</v>
      </c>
      <c r="B307" s="132" t="s">
        <v>542</v>
      </c>
      <c r="C307" s="139">
        <v>1.8</v>
      </c>
      <c r="D307" s="132" t="s">
        <v>237</v>
      </c>
      <c r="K307" s="123" t="s">
        <v>89</v>
      </c>
      <c r="M307" s="129">
        <v>0.14000000000000001</v>
      </c>
      <c r="N307" s="120" t="s">
        <v>132</v>
      </c>
      <c r="O307" s="120" t="s">
        <v>164</v>
      </c>
      <c r="P307" s="129">
        <f>(K23)</f>
        <v>6112.22</v>
      </c>
      <c r="Q307" s="120" t="s">
        <v>132</v>
      </c>
      <c r="R307" s="129">
        <f>(M307*P307)</f>
        <v>855.71</v>
      </c>
      <c r="AE307" s="129"/>
      <c r="AG307" s="120"/>
    </row>
    <row r="308" spans="1:33" ht="24" customHeight="1">
      <c r="A308" s="130">
        <f t="shared" si="26"/>
        <v>147</v>
      </c>
      <c r="B308" s="140" t="s">
        <v>4066</v>
      </c>
      <c r="C308" s="140">
        <v>3</v>
      </c>
      <c r="D308" s="132" t="s">
        <v>237</v>
      </c>
      <c r="F308" s="167">
        <v>6.5</v>
      </c>
      <c r="G308" s="126" t="s">
        <v>111</v>
      </c>
      <c r="H308" s="120" t="s">
        <v>4067</v>
      </c>
      <c r="M308" s="129">
        <v>1.1000000000000001</v>
      </c>
      <c r="N308" s="120" t="s">
        <v>131</v>
      </c>
      <c r="O308" s="120" t="s">
        <v>345</v>
      </c>
      <c r="P308" s="129">
        <f>(C10)</f>
        <v>1041.7</v>
      </c>
      <c r="Q308" s="120" t="s">
        <v>131</v>
      </c>
      <c r="R308" s="129">
        <f>(M308*P308)</f>
        <v>1145.8699999999999</v>
      </c>
      <c r="S308" s="118">
        <v>6.1</v>
      </c>
      <c r="T308" s="115" t="s">
        <v>111</v>
      </c>
      <c r="U308" s="115" t="s">
        <v>4068</v>
      </c>
      <c r="AB308" s="148">
        <v>6</v>
      </c>
      <c r="AC308" s="126" t="s">
        <v>111</v>
      </c>
      <c r="AD308" s="120" t="s">
        <v>4069</v>
      </c>
      <c r="AF308" s="117"/>
    </row>
    <row r="309" spans="1:33" ht="24" customHeight="1">
      <c r="A309" s="130">
        <f t="shared" si="26"/>
        <v>148</v>
      </c>
      <c r="B309" s="132" t="s">
        <v>545</v>
      </c>
      <c r="C309" s="207" t="s">
        <v>85</v>
      </c>
      <c r="D309" s="208"/>
      <c r="H309" s="120" t="s">
        <v>546</v>
      </c>
      <c r="M309" s="129">
        <v>0.5</v>
      </c>
      <c r="N309" s="120" t="s">
        <v>131</v>
      </c>
      <c r="O309" s="120" t="s">
        <v>304</v>
      </c>
      <c r="P309" s="129">
        <f>(C12)</f>
        <v>679.8</v>
      </c>
      <c r="Q309" s="120" t="s">
        <v>131</v>
      </c>
      <c r="R309" s="129">
        <f>(M309*P309)</f>
        <v>339.9</v>
      </c>
      <c r="U309" s="115" t="s">
        <v>4070</v>
      </c>
      <c r="AC309" s="116"/>
      <c r="AD309" s="120" t="s">
        <v>4071</v>
      </c>
      <c r="AF309" s="117"/>
    </row>
    <row r="310" spans="1:33" ht="24" customHeight="1">
      <c r="A310" s="130">
        <f t="shared" si="26"/>
        <v>149</v>
      </c>
      <c r="B310" s="132" t="s">
        <v>547</v>
      </c>
      <c r="C310" s="209">
        <v>66.44</v>
      </c>
      <c r="D310" s="210" t="s">
        <v>282</v>
      </c>
      <c r="H310" s="123" t="s">
        <v>52</v>
      </c>
      <c r="M310" s="129">
        <v>1.1000000000000001</v>
      </c>
      <c r="N310" s="120" t="s">
        <v>131</v>
      </c>
      <c r="O310" s="120" t="s">
        <v>306</v>
      </c>
      <c r="P310" s="129">
        <f>(C13)</f>
        <v>557.70000000000005</v>
      </c>
      <c r="Q310" s="120" t="s">
        <v>131</v>
      </c>
      <c r="R310" s="129">
        <f>(M310*P310)</f>
        <v>613.47</v>
      </c>
      <c r="U310" s="115" t="s">
        <v>52</v>
      </c>
      <c r="AC310" s="116"/>
      <c r="AD310" s="123" t="s">
        <v>52</v>
      </c>
      <c r="AF310" s="117"/>
    </row>
    <row r="311" spans="1:33" ht="24" customHeight="1">
      <c r="A311" s="130">
        <f t="shared" si="26"/>
        <v>150</v>
      </c>
      <c r="B311" s="132" t="s">
        <v>548</v>
      </c>
      <c r="C311" s="209">
        <v>83.5</v>
      </c>
      <c r="D311" s="210" t="s">
        <v>282</v>
      </c>
      <c r="F311" s="129">
        <v>4800</v>
      </c>
      <c r="G311" s="126" t="s">
        <v>338</v>
      </c>
      <c r="H311" s="129" t="str">
        <f>H309</f>
        <v>Bricks of size 22x11x7 cm</v>
      </c>
      <c r="I311" s="129">
        <f>C80</f>
        <v>5846.95</v>
      </c>
      <c r="J311" s="120" t="s">
        <v>339</v>
      </c>
      <c r="K311" s="129">
        <f>(F311*I311)/1000</f>
        <v>28065.360000000001</v>
      </c>
      <c r="N311" s="120" t="s">
        <v>145</v>
      </c>
      <c r="O311" s="120" t="s">
        <v>146</v>
      </c>
      <c r="P311" s="120" t="s">
        <v>85</v>
      </c>
      <c r="Q311" s="120" t="s">
        <v>145</v>
      </c>
      <c r="R311" s="129">
        <v>0</v>
      </c>
      <c r="S311" s="118">
        <v>4600</v>
      </c>
      <c r="T311" s="115" t="s">
        <v>338</v>
      </c>
      <c r="U311" s="115" t="s">
        <v>4070</v>
      </c>
      <c r="V311" s="213">
        <f>AC41</f>
        <v>6824.8</v>
      </c>
      <c r="W311" s="197" t="s">
        <v>4072</v>
      </c>
      <c r="X311" s="115">
        <f>(V311*S311)/1000</f>
        <v>31394.080000000002</v>
      </c>
      <c r="AB311" s="129">
        <v>4240</v>
      </c>
      <c r="AC311" s="126" t="s">
        <v>338</v>
      </c>
      <c r="AD311" s="129" t="str">
        <f>AD309</f>
        <v>Bricks of size 23x11.4x7.5 cm</v>
      </c>
      <c r="AE311" s="129">
        <f>AC42</f>
        <v>7024.8</v>
      </c>
      <c r="AF311" s="120" t="s">
        <v>339</v>
      </c>
      <c r="AG311" s="129">
        <f>(AB311*AE311)/1000</f>
        <v>29785.15</v>
      </c>
    </row>
    <row r="312" spans="1:33" ht="24" customHeight="1">
      <c r="A312" s="130">
        <f t="shared" si="26"/>
        <v>151</v>
      </c>
      <c r="B312" s="132" t="s">
        <v>549</v>
      </c>
      <c r="C312" s="209">
        <v>102.12</v>
      </c>
      <c r="D312" s="210" t="s">
        <v>282</v>
      </c>
      <c r="F312" s="129">
        <v>2.5</v>
      </c>
      <c r="G312" s="126" t="s">
        <v>132</v>
      </c>
      <c r="H312" s="120" t="s">
        <v>283</v>
      </c>
      <c r="I312" s="129">
        <f>K49</f>
        <v>3502.94</v>
      </c>
      <c r="J312" s="120" t="s">
        <v>132</v>
      </c>
      <c r="K312" s="129">
        <f>(F312*I312)</f>
        <v>8757.35</v>
      </c>
      <c r="R312" s="123" t="s">
        <v>52</v>
      </c>
      <c r="S312" s="118">
        <v>2.5</v>
      </c>
      <c r="T312" s="115" t="s">
        <v>132</v>
      </c>
      <c r="U312" s="115" t="s">
        <v>283</v>
      </c>
      <c r="V312" s="213">
        <f>K49</f>
        <v>3502.94</v>
      </c>
      <c r="W312" s="119" t="s">
        <v>132</v>
      </c>
      <c r="X312" s="115">
        <f>V312*S312</f>
        <v>8757.35</v>
      </c>
      <c r="AB312" s="129">
        <v>2</v>
      </c>
      <c r="AC312" s="126" t="s">
        <v>132</v>
      </c>
      <c r="AD312" s="120" t="s">
        <v>283</v>
      </c>
      <c r="AE312" s="129">
        <f>K49</f>
        <v>3502.94</v>
      </c>
      <c r="AF312" s="120" t="s">
        <v>132</v>
      </c>
      <c r="AG312" s="129">
        <f>(AB312*AE312)</f>
        <v>7005.88</v>
      </c>
    </row>
    <row r="313" spans="1:33" ht="24" customHeight="1">
      <c r="A313" s="130">
        <f t="shared" si="26"/>
        <v>152</v>
      </c>
      <c r="B313" s="132" t="s">
        <v>550</v>
      </c>
      <c r="C313" s="209">
        <v>182.52</v>
      </c>
      <c r="D313" s="210" t="s">
        <v>282</v>
      </c>
      <c r="F313" s="129">
        <v>3.5</v>
      </c>
      <c r="G313" s="126" t="s">
        <v>131</v>
      </c>
      <c r="H313" s="120" t="s">
        <v>345</v>
      </c>
      <c r="I313" s="129">
        <f>C10</f>
        <v>1041.7</v>
      </c>
      <c r="J313" s="120" t="s">
        <v>131</v>
      </c>
      <c r="K313" s="129">
        <f>(F313*I313)</f>
        <v>3645.95</v>
      </c>
      <c r="O313" s="120" t="s">
        <v>495</v>
      </c>
      <c r="R313" s="129">
        <f>SUM(R307:R311)</f>
        <v>2954.95</v>
      </c>
      <c r="S313" s="118">
        <v>3.5</v>
      </c>
      <c r="T313" s="115" t="s">
        <v>131</v>
      </c>
      <c r="U313" s="115" t="s">
        <v>345</v>
      </c>
      <c r="V313" s="213">
        <f>I313</f>
        <v>1041.7</v>
      </c>
      <c r="W313" s="119" t="s">
        <v>131</v>
      </c>
      <c r="X313" s="115">
        <f>V313*S313</f>
        <v>3645.95</v>
      </c>
      <c r="AB313" s="129">
        <v>3.5</v>
      </c>
      <c r="AC313" s="126" t="s">
        <v>131</v>
      </c>
      <c r="AD313" s="120" t="s">
        <v>345</v>
      </c>
      <c r="AE313" s="129">
        <f>V313</f>
        <v>1041.7</v>
      </c>
      <c r="AF313" s="120" t="s">
        <v>131</v>
      </c>
      <c r="AG313" s="129">
        <f>(AB313*AE313)</f>
        <v>3645.95</v>
      </c>
    </row>
    <row r="314" spans="1:33" ht="24" customHeight="1">
      <c r="A314" s="130">
        <f t="shared" si="26"/>
        <v>153</v>
      </c>
      <c r="B314" s="132" t="s">
        <v>551</v>
      </c>
      <c r="C314" s="211"/>
      <c r="D314" s="212"/>
      <c r="F314" s="129">
        <v>10.6</v>
      </c>
      <c r="G314" s="126" t="s">
        <v>131</v>
      </c>
      <c r="H314" s="120" t="s">
        <v>302</v>
      </c>
      <c r="I314" s="129">
        <f>C11</f>
        <v>972.4</v>
      </c>
      <c r="J314" s="120" t="s">
        <v>131</v>
      </c>
      <c r="K314" s="129">
        <f>(F314*I314)</f>
        <v>10307.44</v>
      </c>
      <c r="R314" s="123" t="s">
        <v>52</v>
      </c>
      <c r="S314" s="118">
        <v>10.6</v>
      </c>
      <c r="T314" s="115" t="s">
        <v>131</v>
      </c>
      <c r="U314" s="115" t="s">
        <v>302</v>
      </c>
      <c r="V314" s="213">
        <f>I314</f>
        <v>972.4</v>
      </c>
      <c r="W314" s="119" t="s">
        <v>131</v>
      </c>
      <c r="X314" s="115">
        <f>V314*S314</f>
        <v>10307.44</v>
      </c>
      <c r="AB314" s="129">
        <v>10.6</v>
      </c>
      <c r="AC314" s="126" t="s">
        <v>131</v>
      </c>
      <c r="AD314" s="120" t="s">
        <v>302</v>
      </c>
      <c r="AE314" s="129">
        <f>V314</f>
        <v>972.4</v>
      </c>
      <c r="AF314" s="120" t="s">
        <v>131</v>
      </c>
      <c r="AG314" s="129">
        <f>(AB314*AE314)</f>
        <v>10307.44</v>
      </c>
    </row>
    <row r="315" spans="1:33" ht="24" customHeight="1">
      <c r="A315" s="130">
        <f t="shared" si="26"/>
        <v>154</v>
      </c>
      <c r="B315" s="132" t="s">
        <v>547</v>
      </c>
      <c r="C315" s="209">
        <v>26.62</v>
      </c>
      <c r="D315" s="210" t="s">
        <v>237</v>
      </c>
      <c r="F315" s="129">
        <v>7.1</v>
      </c>
      <c r="G315" s="126" t="s">
        <v>131</v>
      </c>
      <c r="H315" s="120" t="s">
        <v>304</v>
      </c>
      <c r="I315" s="129">
        <f>C12</f>
        <v>679.8</v>
      </c>
      <c r="J315" s="120" t="s">
        <v>131</v>
      </c>
      <c r="K315" s="129">
        <f>(F315*I315)</f>
        <v>4826.58</v>
      </c>
      <c r="O315" s="120" t="s">
        <v>460</v>
      </c>
      <c r="R315" s="129">
        <f>(R313/10)</f>
        <v>295.5</v>
      </c>
      <c r="S315" s="118">
        <v>7.1</v>
      </c>
      <c r="T315" s="115" t="s">
        <v>131</v>
      </c>
      <c r="U315" s="115" t="s">
        <v>304</v>
      </c>
      <c r="V315" s="213">
        <f>I315</f>
        <v>679.8</v>
      </c>
      <c r="W315" s="119" t="s">
        <v>131</v>
      </c>
      <c r="X315" s="115">
        <f>V315*S315</f>
        <v>4826.58</v>
      </c>
      <c r="AB315" s="129">
        <v>7.1</v>
      </c>
      <c r="AC315" s="126" t="s">
        <v>131</v>
      </c>
      <c r="AD315" s="120" t="s">
        <v>304</v>
      </c>
      <c r="AE315" s="129">
        <f>V315</f>
        <v>679.8</v>
      </c>
      <c r="AF315" s="120" t="s">
        <v>131</v>
      </c>
      <c r="AG315" s="129">
        <f>(AB315*AE315)</f>
        <v>4826.58</v>
      </c>
    </row>
    <row r="316" spans="1:33" ht="24" customHeight="1">
      <c r="A316" s="130">
        <f t="shared" si="26"/>
        <v>155</v>
      </c>
      <c r="B316" s="132" t="s">
        <v>548</v>
      </c>
      <c r="C316" s="209">
        <v>34.869999999999997</v>
      </c>
      <c r="D316" s="210" t="s">
        <v>237</v>
      </c>
      <c r="F316" s="129">
        <v>21.2</v>
      </c>
      <c r="G316" s="126" t="s">
        <v>131</v>
      </c>
      <c r="H316" s="120" t="s">
        <v>306</v>
      </c>
      <c r="I316" s="129">
        <f>C13</f>
        <v>557.70000000000005</v>
      </c>
      <c r="J316" s="120" t="s">
        <v>131</v>
      </c>
      <c r="K316" s="129">
        <f>(F316*I316)</f>
        <v>11823.24</v>
      </c>
      <c r="R316" s="123" t="s">
        <v>89</v>
      </c>
      <c r="S316" s="118">
        <v>21.2</v>
      </c>
      <c r="T316" s="115" t="s">
        <v>131</v>
      </c>
      <c r="U316" s="115" t="s">
        <v>306</v>
      </c>
      <c r="V316" s="213">
        <f>I316</f>
        <v>557.70000000000005</v>
      </c>
      <c r="W316" s="119" t="s">
        <v>131</v>
      </c>
      <c r="X316" s="115">
        <f>V316*S316</f>
        <v>11823.24</v>
      </c>
      <c r="AB316" s="129">
        <v>21.2</v>
      </c>
      <c r="AC316" s="126" t="s">
        <v>131</v>
      </c>
      <c r="AD316" s="120" t="s">
        <v>306</v>
      </c>
      <c r="AE316" s="129">
        <f>V316</f>
        <v>557.70000000000005</v>
      </c>
      <c r="AF316" s="120" t="s">
        <v>131</v>
      </c>
      <c r="AG316" s="129">
        <f>(AB316*AE316)</f>
        <v>11823.24</v>
      </c>
    </row>
    <row r="317" spans="1:33" ht="24" customHeight="1">
      <c r="A317" s="130">
        <f t="shared" si="26"/>
        <v>156</v>
      </c>
      <c r="B317" s="132" t="s">
        <v>549</v>
      </c>
      <c r="C317" s="209">
        <v>45</v>
      </c>
      <c r="D317" s="210" t="s">
        <v>237</v>
      </c>
      <c r="G317" s="126" t="s">
        <v>145</v>
      </c>
      <c r="H317" s="120" t="s">
        <v>146</v>
      </c>
      <c r="J317" s="120" t="s">
        <v>145</v>
      </c>
      <c r="K317" s="129">
        <v>5</v>
      </c>
      <c r="N317" s="120" t="s">
        <v>111</v>
      </c>
      <c r="O317" s="120" t="s">
        <v>552</v>
      </c>
      <c r="T317" s="115" t="s">
        <v>145</v>
      </c>
      <c r="U317" s="115" t="s">
        <v>146</v>
      </c>
      <c r="W317" s="119" t="s">
        <v>145</v>
      </c>
      <c r="X317" s="115">
        <v>0</v>
      </c>
      <c r="AC317" s="126" t="s">
        <v>145</v>
      </c>
      <c r="AD317" s="120" t="s">
        <v>146</v>
      </c>
      <c r="AF317" s="120" t="s">
        <v>145</v>
      </c>
      <c r="AG317" s="129">
        <v>5</v>
      </c>
    </row>
    <row r="318" spans="1:33" ht="24" customHeight="1">
      <c r="A318" s="130">
        <f t="shared" si="26"/>
        <v>157</v>
      </c>
      <c r="B318" s="132" t="s">
        <v>550</v>
      </c>
      <c r="C318" s="209">
        <v>99.75</v>
      </c>
      <c r="D318" s="210" t="s">
        <v>237</v>
      </c>
      <c r="K318" s="123" t="s">
        <v>52</v>
      </c>
      <c r="O318" s="123" t="s">
        <v>52</v>
      </c>
      <c r="X318" s="115" t="s">
        <v>52</v>
      </c>
      <c r="AC318" s="116"/>
      <c r="AF318" s="117"/>
      <c r="AG318" s="123" t="s">
        <v>52</v>
      </c>
    </row>
    <row r="319" spans="1:33" ht="24" customHeight="1">
      <c r="A319" s="130">
        <f t="shared" si="26"/>
        <v>158</v>
      </c>
      <c r="B319" s="132" t="s">
        <v>553</v>
      </c>
      <c r="C319" s="211"/>
      <c r="D319" s="212"/>
      <c r="H319" s="120" t="s">
        <v>311</v>
      </c>
      <c r="K319" s="129">
        <f>SUM(K311:K317)</f>
        <v>67430.92</v>
      </c>
      <c r="M319" s="129">
        <v>0.1</v>
      </c>
      <c r="N319" s="120" t="s">
        <v>132</v>
      </c>
      <c r="O319" s="120" t="s">
        <v>164</v>
      </c>
      <c r="P319" s="129">
        <f>(K23)</f>
        <v>6112.22</v>
      </c>
      <c r="Q319" s="120" t="s">
        <v>132</v>
      </c>
      <c r="R319" s="129">
        <f>(M319*P319)</f>
        <v>611.22</v>
      </c>
      <c r="U319" s="115" t="s">
        <v>311</v>
      </c>
      <c r="X319" s="115">
        <f>SUM(X311:X318)</f>
        <v>70754.64</v>
      </c>
      <c r="AC319" s="116"/>
      <c r="AD319" s="120" t="s">
        <v>311</v>
      </c>
      <c r="AF319" s="117"/>
      <c r="AG319" s="129">
        <f>SUM(AG311:AG317)</f>
        <v>67399.240000000005</v>
      </c>
    </row>
    <row r="320" spans="1:33" ht="24" customHeight="1">
      <c r="A320" s="130">
        <f t="shared" si="26"/>
        <v>159</v>
      </c>
      <c r="B320" s="132" t="s">
        <v>547</v>
      </c>
      <c r="C320" s="209">
        <v>43.47</v>
      </c>
      <c r="D320" s="210" t="s">
        <v>237</v>
      </c>
      <c r="K320" s="123" t="s">
        <v>52</v>
      </c>
      <c r="M320" s="129">
        <v>1.1000000000000001</v>
      </c>
      <c r="N320" s="120" t="s">
        <v>131</v>
      </c>
      <c r="O320" s="120" t="s">
        <v>345</v>
      </c>
      <c r="P320" s="129">
        <f>(C10)</f>
        <v>1041.7</v>
      </c>
      <c r="Q320" s="120" t="s">
        <v>131</v>
      </c>
      <c r="R320" s="129">
        <f>(M320*P320)</f>
        <v>1145.8699999999999</v>
      </c>
      <c r="X320" s="115" t="s">
        <v>52</v>
      </c>
      <c r="AC320" s="116"/>
      <c r="AF320" s="117"/>
      <c r="AG320" s="123" t="s">
        <v>52</v>
      </c>
    </row>
    <row r="321" spans="1:34" ht="24" customHeight="1">
      <c r="A321" s="130">
        <f t="shared" si="26"/>
        <v>160</v>
      </c>
      <c r="B321" s="132" t="s">
        <v>548</v>
      </c>
      <c r="C321" s="209">
        <v>50.34</v>
      </c>
      <c r="D321" s="210" t="s">
        <v>237</v>
      </c>
      <c r="H321" s="128" t="s">
        <v>242</v>
      </c>
      <c r="K321" s="127">
        <f>(K319/10)</f>
        <v>6743.09</v>
      </c>
      <c r="M321" s="129">
        <v>1.1000000000000001</v>
      </c>
      <c r="N321" s="120" t="s">
        <v>131</v>
      </c>
      <c r="O321" s="120" t="s">
        <v>304</v>
      </c>
      <c r="P321" s="129">
        <f>(C12)</f>
        <v>679.8</v>
      </c>
      <c r="Q321" s="120" t="s">
        <v>131</v>
      </c>
      <c r="R321" s="129">
        <f>(M321*P321)</f>
        <v>747.78</v>
      </c>
      <c r="U321" s="115" t="s">
        <v>242</v>
      </c>
      <c r="X321" s="114">
        <f>X319/10</f>
        <v>7075.46</v>
      </c>
      <c r="AC321" s="116"/>
      <c r="AD321" s="128" t="s">
        <v>242</v>
      </c>
      <c r="AF321" s="117"/>
      <c r="AG321" s="127">
        <f>(AG319/10)</f>
        <v>6739.92</v>
      </c>
    </row>
    <row r="322" spans="1:34" ht="24" customHeight="1">
      <c r="A322" s="130">
        <f t="shared" si="26"/>
        <v>161</v>
      </c>
      <c r="B322" s="132" t="s">
        <v>549</v>
      </c>
      <c r="C322" s="209">
        <v>65.209999999999994</v>
      </c>
      <c r="D322" s="210" t="s">
        <v>237</v>
      </c>
      <c r="K322" s="123" t="s">
        <v>89</v>
      </c>
      <c r="M322" s="129">
        <v>1.1000000000000001</v>
      </c>
      <c r="N322" s="120" t="s">
        <v>131</v>
      </c>
      <c r="O322" s="120" t="s">
        <v>306</v>
      </c>
      <c r="P322" s="129">
        <f>(C13)</f>
        <v>557.70000000000005</v>
      </c>
      <c r="Q322" s="120" t="s">
        <v>131</v>
      </c>
      <c r="R322" s="129">
        <f>(M322*P322)</f>
        <v>613.47</v>
      </c>
      <c r="AC322" s="116"/>
      <c r="AF322" s="117"/>
      <c r="AG322" s="123" t="s">
        <v>89</v>
      </c>
    </row>
    <row r="323" spans="1:34" ht="24" customHeight="1">
      <c r="A323" s="130">
        <f t="shared" si="26"/>
        <v>162</v>
      </c>
      <c r="B323" s="132" t="s">
        <v>550</v>
      </c>
      <c r="C323" s="209">
        <v>145.29</v>
      </c>
      <c r="D323" s="210" t="s">
        <v>237</v>
      </c>
      <c r="H323" s="120" t="s">
        <v>53</v>
      </c>
      <c r="K323" s="129">
        <f>(K321+C19)</f>
        <v>6825.37</v>
      </c>
      <c r="L323" s="115">
        <f>K323-K321</f>
        <v>82.28</v>
      </c>
      <c r="N323" s="120" t="s">
        <v>145</v>
      </c>
      <c r="O323" s="120" t="s">
        <v>146</v>
      </c>
      <c r="P323" s="120" t="s">
        <v>85</v>
      </c>
      <c r="Q323" s="120" t="s">
        <v>145</v>
      </c>
      <c r="R323" s="129">
        <v>0</v>
      </c>
      <c r="U323" s="115" t="s">
        <v>53</v>
      </c>
      <c r="X323" s="115">
        <f>X321+C19</f>
        <v>7157.74</v>
      </c>
      <c r="Y323" s="115">
        <f>X323-X321</f>
        <v>82.28</v>
      </c>
      <c r="AC323" s="116"/>
      <c r="AD323" s="120" t="s">
        <v>53</v>
      </c>
      <c r="AF323" s="117"/>
      <c r="AG323" s="129">
        <f>AG321+C19</f>
        <v>6822.2</v>
      </c>
      <c r="AH323" s="115">
        <f>AG323-AG321</f>
        <v>82.28</v>
      </c>
    </row>
    <row r="324" spans="1:34" ht="24" customHeight="1">
      <c r="A324" s="130">
        <f t="shared" si="26"/>
        <v>163</v>
      </c>
      <c r="B324" s="132" t="s">
        <v>554</v>
      </c>
      <c r="C324" s="211"/>
      <c r="D324" s="212"/>
      <c r="H324" s="120" t="s">
        <v>54</v>
      </c>
      <c r="K324" s="129">
        <f>(K323+C20)</f>
        <v>6991.36</v>
      </c>
      <c r="L324" s="115">
        <f>K324-K323</f>
        <v>165.99</v>
      </c>
      <c r="R324" s="123" t="s">
        <v>52</v>
      </c>
      <c r="U324" s="115" t="s">
        <v>54</v>
      </c>
      <c r="X324" s="115">
        <f>X323+C20</f>
        <v>7323.73</v>
      </c>
      <c r="Y324" s="115">
        <f>X324-X323</f>
        <v>165.99</v>
      </c>
      <c r="AC324" s="116"/>
      <c r="AD324" s="120" t="s">
        <v>54</v>
      </c>
      <c r="AF324" s="117"/>
      <c r="AG324" s="129">
        <f>AG323+C20</f>
        <v>6988.19</v>
      </c>
      <c r="AH324" s="115">
        <f>AG324-AG323</f>
        <v>165.99</v>
      </c>
    </row>
    <row r="325" spans="1:34" ht="24" customHeight="1">
      <c r="A325" s="130">
        <f t="shared" si="26"/>
        <v>164</v>
      </c>
      <c r="B325" s="132" t="s">
        <v>547</v>
      </c>
      <c r="C325" s="209">
        <v>14.91</v>
      </c>
      <c r="D325" s="210" t="s">
        <v>282</v>
      </c>
      <c r="H325" s="120" t="s">
        <v>55</v>
      </c>
      <c r="K325" s="129">
        <f>(K324+C21)</f>
        <v>7157.35</v>
      </c>
      <c r="M325" s="115">
        <f>(K325+K324)/2</f>
        <v>7074.36</v>
      </c>
      <c r="O325" s="120" t="s">
        <v>495</v>
      </c>
      <c r="R325" s="129">
        <f>SUM(R319:R323)</f>
        <v>3118.34</v>
      </c>
      <c r="U325" s="115" t="s">
        <v>55</v>
      </c>
      <c r="X325" s="115">
        <f>X324+C20</f>
        <v>7489.72</v>
      </c>
      <c r="AC325" s="116"/>
      <c r="AD325" s="120" t="s">
        <v>55</v>
      </c>
      <c r="AF325" s="117"/>
      <c r="AG325" s="129">
        <f>AG324+C20</f>
        <v>7154.18</v>
      </c>
      <c r="AH325" s="115">
        <f>AG324-AG323</f>
        <v>165.99</v>
      </c>
    </row>
    <row r="326" spans="1:34" ht="24" customHeight="1">
      <c r="A326" s="130">
        <f t="shared" si="26"/>
        <v>165</v>
      </c>
      <c r="B326" s="132" t="s">
        <v>548</v>
      </c>
      <c r="C326" s="209">
        <v>19.41</v>
      </c>
      <c r="D326" s="210" t="s">
        <v>282</v>
      </c>
      <c r="H326" s="120" t="s">
        <v>56</v>
      </c>
      <c r="K326" s="129">
        <f>(K325+C21)</f>
        <v>7323.34</v>
      </c>
      <c r="R326" s="123" t="s">
        <v>52</v>
      </c>
      <c r="U326" s="115" t="s">
        <v>56</v>
      </c>
      <c r="X326" s="115">
        <f>X325+C20</f>
        <v>7655.71</v>
      </c>
      <c r="AC326" s="116"/>
      <c r="AD326" s="120" t="s">
        <v>56</v>
      </c>
      <c r="AF326" s="117"/>
      <c r="AG326" s="129">
        <f>AG325+C20</f>
        <v>7320.17</v>
      </c>
    </row>
    <row r="327" spans="1:34" ht="24" customHeight="1">
      <c r="A327" s="130">
        <f t="shared" si="26"/>
        <v>166</v>
      </c>
      <c r="B327" s="132" t="s">
        <v>549</v>
      </c>
      <c r="C327" s="209">
        <v>22.22</v>
      </c>
      <c r="D327" s="210" t="s">
        <v>282</v>
      </c>
      <c r="H327" s="120" t="s">
        <v>526</v>
      </c>
      <c r="K327" s="129">
        <f>(K326+C21)</f>
        <v>7489.33</v>
      </c>
      <c r="O327" s="120" t="s">
        <v>460</v>
      </c>
      <c r="R327" s="129">
        <f>(R325/10)</f>
        <v>311.83</v>
      </c>
      <c r="U327" s="115" t="s">
        <v>526</v>
      </c>
      <c r="X327" s="115">
        <f>X326+C20</f>
        <v>7821.7</v>
      </c>
      <c r="AC327" s="116"/>
      <c r="AD327" s="120" t="s">
        <v>526</v>
      </c>
      <c r="AF327" s="117"/>
      <c r="AG327" s="129">
        <f>AG326+C20</f>
        <v>7486.16</v>
      </c>
    </row>
    <row r="328" spans="1:34" ht="24" customHeight="1">
      <c r="A328" s="130"/>
      <c r="B328" s="132"/>
      <c r="C328" s="209"/>
      <c r="D328" s="210"/>
      <c r="H328" s="120"/>
      <c r="K328" s="129"/>
      <c r="O328" s="120"/>
      <c r="R328" s="129"/>
      <c r="AE328" s="137"/>
      <c r="AG328" s="120"/>
    </row>
    <row r="329" spans="1:34" ht="24" customHeight="1">
      <c r="A329" s="130"/>
      <c r="B329" s="132"/>
      <c r="C329" s="209"/>
      <c r="D329" s="210"/>
      <c r="F329" s="121" t="s">
        <v>555</v>
      </c>
      <c r="H329" s="120" t="s">
        <v>4073</v>
      </c>
      <c r="K329" s="214">
        <v>719</v>
      </c>
      <c r="L329" s="115" t="s">
        <v>4074</v>
      </c>
      <c r="O329" s="120"/>
      <c r="R329" s="129"/>
      <c r="AE329" s="137"/>
      <c r="AG329" s="120"/>
    </row>
    <row r="330" spans="1:34" ht="24" customHeight="1">
      <c r="A330" s="130"/>
      <c r="B330" s="132"/>
      <c r="C330" s="209"/>
      <c r="D330" s="210"/>
      <c r="H330" s="120" t="s">
        <v>4075</v>
      </c>
      <c r="K330" s="123" t="s">
        <v>89</v>
      </c>
      <c r="O330" s="120"/>
      <c r="R330" s="129"/>
      <c r="AE330" s="137"/>
      <c r="AG330" s="120"/>
    </row>
    <row r="331" spans="1:34" ht="24" customHeight="1">
      <c r="A331" s="130"/>
      <c r="B331" s="132"/>
      <c r="C331" s="209"/>
      <c r="D331" s="210"/>
      <c r="H331" s="120"/>
      <c r="K331" s="129"/>
      <c r="O331" s="120"/>
      <c r="R331" s="129"/>
      <c r="AE331" s="137"/>
      <c r="AG331" s="120"/>
    </row>
    <row r="332" spans="1:34" ht="24" customHeight="1">
      <c r="A332" s="130">
        <f>(A327+1)</f>
        <v>167</v>
      </c>
      <c r="B332" s="132" t="s">
        <v>550</v>
      </c>
      <c r="C332" s="209">
        <v>46.42</v>
      </c>
      <c r="D332" s="210" t="s">
        <v>282</v>
      </c>
      <c r="F332" s="148">
        <v>9</v>
      </c>
      <c r="G332" s="126" t="s">
        <v>111</v>
      </c>
      <c r="H332" s="120" t="s">
        <v>4076</v>
      </c>
      <c r="R332" s="123" t="s">
        <v>89</v>
      </c>
      <c r="S332" s="118">
        <v>9</v>
      </c>
      <c r="T332" s="115" t="s">
        <v>111</v>
      </c>
      <c r="U332" s="115" t="s">
        <v>4077</v>
      </c>
      <c r="AB332" s="148">
        <v>9</v>
      </c>
      <c r="AC332" s="126" t="s">
        <v>111</v>
      </c>
      <c r="AD332" s="120" t="s">
        <v>4078</v>
      </c>
      <c r="AF332" s="117"/>
    </row>
    <row r="333" spans="1:34" ht="24" customHeight="1">
      <c r="A333" s="130">
        <f t="shared" si="26"/>
        <v>168</v>
      </c>
      <c r="B333" s="132" t="s">
        <v>560</v>
      </c>
      <c r="C333" s="211"/>
      <c r="D333" s="212"/>
      <c r="H333" s="120" t="str">
        <f>H309</f>
        <v>Bricks of size 22x11x7 cm</v>
      </c>
      <c r="U333" s="115" t="s">
        <v>4070</v>
      </c>
      <c r="AC333" s="116"/>
      <c r="AD333" s="120" t="str">
        <f>AD309</f>
        <v>Bricks of size 23x11.4x7.5 cm</v>
      </c>
      <c r="AF333" s="117"/>
    </row>
    <row r="334" spans="1:34" ht="24" customHeight="1">
      <c r="A334" s="130">
        <f t="shared" si="26"/>
        <v>169</v>
      </c>
      <c r="B334" s="132" t="s">
        <v>547</v>
      </c>
      <c r="C334" s="209">
        <v>8.58</v>
      </c>
      <c r="D334" s="210" t="s">
        <v>237</v>
      </c>
      <c r="H334" s="123" t="s">
        <v>52</v>
      </c>
      <c r="N334" s="120" t="s">
        <v>111</v>
      </c>
      <c r="O334" s="120" t="s">
        <v>561</v>
      </c>
      <c r="U334" s="115" t="s">
        <v>52</v>
      </c>
      <c r="AC334" s="116"/>
      <c r="AD334" s="123" t="s">
        <v>52</v>
      </c>
      <c r="AF334" s="117"/>
    </row>
    <row r="335" spans="1:34" ht="24" customHeight="1">
      <c r="A335" s="130">
        <f t="shared" si="26"/>
        <v>170</v>
      </c>
      <c r="B335" s="132" t="s">
        <v>548</v>
      </c>
      <c r="C335" s="209">
        <v>12.26</v>
      </c>
      <c r="D335" s="210" t="s">
        <v>237</v>
      </c>
      <c r="F335" s="129">
        <f>F311</f>
        <v>4800</v>
      </c>
      <c r="G335" s="126" t="s">
        <v>338</v>
      </c>
      <c r="H335" s="129" t="str">
        <f>H309</f>
        <v>Bricks of size 22x11x7 cm</v>
      </c>
      <c r="I335" s="129">
        <f>C80</f>
        <v>5846.95</v>
      </c>
      <c r="J335" s="120" t="s">
        <v>339</v>
      </c>
      <c r="K335" s="129">
        <f>(F335*I335)/1000</f>
        <v>28065.360000000001</v>
      </c>
      <c r="O335" s="123" t="s">
        <v>52</v>
      </c>
      <c r="S335" s="118">
        <v>4600</v>
      </c>
      <c r="T335" s="115" t="s">
        <v>338</v>
      </c>
      <c r="U335" s="115" t="s">
        <v>4070</v>
      </c>
      <c r="V335" s="115">
        <f>AC41</f>
        <v>6824.8</v>
      </c>
      <c r="W335" s="119" t="s">
        <v>339</v>
      </c>
      <c r="X335" s="115">
        <f>V335*S335/1000</f>
        <v>31394.080000000002</v>
      </c>
      <c r="AB335" s="129">
        <f>AB311</f>
        <v>4240</v>
      </c>
      <c r="AC335" s="126" t="s">
        <v>338</v>
      </c>
      <c r="AD335" s="129" t="str">
        <f>AD309</f>
        <v>Bricks of size 23x11.4x7.5 cm</v>
      </c>
      <c r="AE335" s="129">
        <f>AC42</f>
        <v>7024.8</v>
      </c>
      <c r="AF335" s="120" t="s">
        <v>339</v>
      </c>
      <c r="AG335" s="129">
        <f>AE335*AB335/1000</f>
        <v>29785.15</v>
      </c>
    </row>
    <row r="336" spans="1:34" ht="24" customHeight="1">
      <c r="A336" s="130">
        <f t="shared" si="26"/>
        <v>171</v>
      </c>
      <c r="B336" s="132" t="s">
        <v>549</v>
      </c>
      <c r="C336" s="209">
        <v>13.89</v>
      </c>
      <c r="D336" s="210" t="s">
        <v>237</v>
      </c>
      <c r="F336" s="129">
        <f>F312</f>
        <v>2.5</v>
      </c>
      <c r="G336" s="126" t="s">
        <v>132</v>
      </c>
      <c r="H336" s="120" t="s">
        <v>299</v>
      </c>
      <c r="I336" s="129">
        <f>K58</f>
        <v>3213.02</v>
      </c>
      <c r="J336" s="120" t="s">
        <v>132</v>
      </c>
      <c r="K336" s="129">
        <f>(F336*I336)</f>
        <v>8032.55</v>
      </c>
      <c r="M336" s="129">
        <v>0.22</v>
      </c>
      <c r="N336" s="120" t="s">
        <v>132</v>
      </c>
      <c r="O336" s="120" t="s">
        <v>283</v>
      </c>
      <c r="P336" s="129">
        <f>(K49)</f>
        <v>3502.94</v>
      </c>
      <c r="Q336" s="120" t="s">
        <v>132</v>
      </c>
      <c r="R336" s="129">
        <f>(M336*P336)</f>
        <v>770.65</v>
      </c>
      <c r="S336" s="118">
        <v>2.5</v>
      </c>
      <c r="T336" s="115" t="s">
        <v>132</v>
      </c>
      <c r="U336" s="115" t="s">
        <v>299</v>
      </c>
      <c r="V336" s="115">
        <f>I336</f>
        <v>3213.02</v>
      </c>
      <c r="W336" s="119" t="s">
        <v>132</v>
      </c>
      <c r="X336" s="115">
        <f t="shared" ref="X336:X341" si="28">V336*S336</f>
        <v>8032.55</v>
      </c>
      <c r="AB336" s="129">
        <f>AB312</f>
        <v>2</v>
      </c>
      <c r="AC336" s="126" t="s">
        <v>132</v>
      </c>
      <c r="AD336" s="120" t="s">
        <v>299</v>
      </c>
      <c r="AE336" s="129">
        <f>V336</f>
        <v>3213.02</v>
      </c>
      <c r="AF336" s="120" t="s">
        <v>132</v>
      </c>
      <c r="AG336" s="129">
        <f>AE336*AB336</f>
        <v>6426.04</v>
      </c>
    </row>
    <row r="337" spans="1:33" ht="24" customHeight="1">
      <c r="A337" s="130">
        <f t="shared" si="26"/>
        <v>172</v>
      </c>
      <c r="B337" s="132" t="s">
        <v>550</v>
      </c>
      <c r="C337" s="209">
        <v>36.25</v>
      </c>
      <c r="D337" s="210" t="s">
        <v>237</v>
      </c>
      <c r="F337" s="129">
        <v>3.5</v>
      </c>
      <c r="G337" s="126" t="s">
        <v>131</v>
      </c>
      <c r="H337" s="120" t="s">
        <v>345</v>
      </c>
      <c r="I337" s="129">
        <f>C10</f>
        <v>1041.7</v>
      </c>
      <c r="J337" s="120" t="s">
        <v>131</v>
      </c>
      <c r="K337" s="129">
        <f>(F337*I337)</f>
        <v>3645.95</v>
      </c>
      <c r="M337" s="129">
        <v>2.2000000000000002</v>
      </c>
      <c r="N337" s="120" t="s">
        <v>131</v>
      </c>
      <c r="O337" s="120" t="s">
        <v>345</v>
      </c>
      <c r="P337" s="129">
        <f>(C10)</f>
        <v>1041.7</v>
      </c>
      <c r="Q337" s="120" t="s">
        <v>131</v>
      </c>
      <c r="R337" s="129">
        <f>(M337*P337)</f>
        <v>2291.7399999999998</v>
      </c>
      <c r="S337" s="118">
        <v>3.5</v>
      </c>
      <c r="T337" s="115" t="s">
        <v>131</v>
      </c>
      <c r="U337" s="115" t="s">
        <v>345</v>
      </c>
      <c r="V337" s="115">
        <f>I337</f>
        <v>1041.7</v>
      </c>
      <c r="W337" s="119" t="s">
        <v>131</v>
      </c>
      <c r="X337" s="115">
        <f t="shared" si="28"/>
        <v>3645.95</v>
      </c>
      <c r="AB337" s="129">
        <v>3.5</v>
      </c>
      <c r="AC337" s="126" t="s">
        <v>131</v>
      </c>
      <c r="AD337" s="120" t="s">
        <v>345</v>
      </c>
      <c r="AE337" s="129">
        <f>V337</f>
        <v>1041.7</v>
      </c>
      <c r="AF337" s="120" t="s">
        <v>131</v>
      </c>
      <c r="AG337" s="129">
        <f>AE337*AB337</f>
        <v>3645.95</v>
      </c>
    </row>
    <row r="338" spans="1:33" ht="24" customHeight="1">
      <c r="A338" s="130">
        <f t="shared" si="26"/>
        <v>173</v>
      </c>
      <c r="B338" s="132" t="s">
        <v>562</v>
      </c>
      <c r="C338" s="211"/>
      <c r="D338" s="212"/>
      <c r="F338" s="129">
        <v>10.6</v>
      </c>
      <c r="G338" s="126" t="s">
        <v>131</v>
      </c>
      <c r="H338" s="120" t="s">
        <v>302</v>
      </c>
      <c r="I338" s="129">
        <f>C11</f>
        <v>972.4</v>
      </c>
      <c r="J338" s="120" t="s">
        <v>131</v>
      </c>
      <c r="K338" s="129">
        <f>(F338*I338)</f>
        <v>10307.44</v>
      </c>
      <c r="M338" s="129">
        <v>0.5</v>
      </c>
      <c r="N338" s="120" t="s">
        <v>131</v>
      </c>
      <c r="O338" s="120" t="s">
        <v>304</v>
      </c>
      <c r="P338" s="129">
        <f>(C12)</f>
        <v>679.8</v>
      </c>
      <c r="Q338" s="120" t="s">
        <v>131</v>
      </c>
      <c r="R338" s="129">
        <f>(M338*P338)</f>
        <v>339.9</v>
      </c>
      <c r="S338" s="118">
        <v>10.6</v>
      </c>
      <c r="T338" s="115" t="s">
        <v>131</v>
      </c>
      <c r="U338" s="115" t="s">
        <v>302</v>
      </c>
      <c r="V338" s="115">
        <f>I338</f>
        <v>972.4</v>
      </c>
      <c r="W338" s="119" t="s">
        <v>131</v>
      </c>
      <c r="X338" s="115">
        <f t="shared" si="28"/>
        <v>10307.44</v>
      </c>
      <c r="AB338" s="129">
        <v>10.6</v>
      </c>
      <c r="AC338" s="126" t="s">
        <v>131</v>
      </c>
      <c r="AD338" s="120" t="s">
        <v>302</v>
      </c>
      <c r="AE338" s="129">
        <f>V338</f>
        <v>972.4</v>
      </c>
      <c r="AF338" s="120" t="s">
        <v>131</v>
      </c>
      <c r="AG338" s="129">
        <f>AE338*AB338</f>
        <v>10307.44</v>
      </c>
    </row>
    <row r="339" spans="1:33" ht="24" customHeight="1">
      <c r="A339" s="130">
        <f t="shared" si="26"/>
        <v>174</v>
      </c>
      <c r="B339" s="132" t="s">
        <v>547</v>
      </c>
      <c r="C339" s="209">
        <v>15.7</v>
      </c>
      <c r="D339" s="210" t="s">
        <v>237</v>
      </c>
      <c r="F339" s="129">
        <v>7.1</v>
      </c>
      <c r="G339" s="126" t="s">
        <v>131</v>
      </c>
      <c r="H339" s="120" t="s">
        <v>304</v>
      </c>
      <c r="I339" s="129">
        <f>C12</f>
        <v>679.8</v>
      </c>
      <c r="J339" s="120" t="s">
        <v>131</v>
      </c>
      <c r="K339" s="129">
        <f>(F339*I339)</f>
        <v>4826.58</v>
      </c>
      <c r="M339" s="129">
        <v>3.2</v>
      </c>
      <c r="N339" s="120" t="s">
        <v>131</v>
      </c>
      <c r="O339" s="120" t="s">
        <v>306</v>
      </c>
      <c r="P339" s="129">
        <f>(C13)</f>
        <v>557.70000000000005</v>
      </c>
      <c r="Q339" s="120" t="s">
        <v>131</v>
      </c>
      <c r="R339" s="129">
        <f>(M339*P339)</f>
        <v>1784.64</v>
      </c>
      <c r="S339" s="118">
        <v>7.1</v>
      </c>
      <c r="T339" s="115" t="s">
        <v>131</v>
      </c>
      <c r="U339" s="115" t="s">
        <v>304</v>
      </c>
      <c r="V339" s="115">
        <f>I339</f>
        <v>679.8</v>
      </c>
      <c r="W339" s="119" t="s">
        <v>131</v>
      </c>
      <c r="X339" s="115">
        <f t="shared" si="28"/>
        <v>4826.58</v>
      </c>
      <c r="AB339" s="129">
        <v>7.1</v>
      </c>
      <c r="AC339" s="126" t="s">
        <v>131</v>
      </c>
      <c r="AD339" s="120" t="s">
        <v>304</v>
      </c>
      <c r="AE339" s="129">
        <f>V339</f>
        <v>679.8</v>
      </c>
      <c r="AF339" s="120" t="s">
        <v>131</v>
      </c>
      <c r="AG339" s="129">
        <f>AE339*AB339</f>
        <v>4826.58</v>
      </c>
    </row>
    <row r="340" spans="1:33" ht="24" customHeight="1">
      <c r="A340" s="130">
        <f t="shared" si="26"/>
        <v>175</v>
      </c>
      <c r="B340" s="132" t="s">
        <v>548</v>
      </c>
      <c r="C340" s="209">
        <v>22.31</v>
      </c>
      <c r="D340" s="210" t="s">
        <v>237</v>
      </c>
      <c r="F340" s="129">
        <v>21.2</v>
      </c>
      <c r="G340" s="126" t="s">
        <v>131</v>
      </c>
      <c r="H340" s="120" t="s">
        <v>306</v>
      </c>
      <c r="I340" s="129">
        <f>C13</f>
        <v>557.70000000000005</v>
      </c>
      <c r="J340" s="120" t="s">
        <v>131</v>
      </c>
      <c r="K340" s="129">
        <f>(F340*I340)</f>
        <v>11823.24</v>
      </c>
      <c r="N340" s="120" t="s">
        <v>145</v>
      </c>
      <c r="O340" s="120" t="s">
        <v>146</v>
      </c>
      <c r="P340" s="120" t="s">
        <v>85</v>
      </c>
      <c r="Q340" s="120" t="s">
        <v>145</v>
      </c>
      <c r="R340" s="129">
        <v>0</v>
      </c>
      <c r="S340" s="118">
        <v>21.2</v>
      </c>
      <c r="T340" s="115" t="s">
        <v>131</v>
      </c>
      <c r="U340" s="115" t="s">
        <v>306</v>
      </c>
      <c r="V340" s="115">
        <f>I340</f>
        <v>557.70000000000005</v>
      </c>
      <c r="W340" s="119" t="s">
        <v>131</v>
      </c>
      <c r="X340" s="115">
        <f t="shared" si="28"/>
        <v>11823.24</v>
      </c>
      <c r="AB340" s="129">
        <v>21.2</v>
      </c>
      <c r="AC340" s="126" t="s">
        <v>131</v>
      </c>
      <c r="AD340" s="120" t="s">
        <v>306</v>
      </c>
      <c r="AE340" s="129">
        <f>V340</f>
        <v>557.70000000000005</v>
      </c>
      <c r="AF340" s="120" t="s">
        <v>131</v>
      </c>
      <c r="AG340" s="129">
        <f>AE340*AB340</f>
        <v>11823.24</v>
      </c>
    </row>
    <row r="341" spans="1:33" ht="24" customHeight="1">
      <c r="A341" s="130">
        <f t="shared" si="26"/>
        <v>176</v>
      </c>
      <c r="B341" s="132" t="s">
        <v>549</v>
      </c>
      <c r="C341" s="209">
        <v>25.24</v>
      </c>
      <c r="D341" s="210" t="s">
        <v>237</v>
      </c>
      <c r="G341" s="126" t="s">
        <v>145</v>
      </c>
      <c r="H341" s="120" t="s">
        <v>146</v>
      </c>
      <c r="J341" s="120" t="s">
        <v>145</v>
      </c>
      <c r="K341" s="129">
        <v>0</v>
      </c>
      <c r="R341" s="123" t="s">
        <v>52</v>
      </c>
      <c r="T341" s="115" t="s">
        <v>145</v>
      </c>
      <c r="U341" s="115" t="s">
        <v>146</v>
      </c>
      <c r="W341" s="119" t="s">
        <v>145</v>
      </c>
      <c r="X341" s="115">
        <f t="shared" si="28"/>
        <v>0</v>
      </c>
      <c r="AC341" s="126" t="s">
        <v>145</v>
      </c>
      <c r="AD341" s="120" t="s">
        <v>146</v>
      </c>
      <c r="AF341" s="120" t="s">
        <v>145</v>
      </c>
      <c r="AG341" s="129">
        <v>5</v>
      </c>
    </row>
    <row r="342" spans="1:33" ht="24" customHeight="1">
      <c r="A342" s="130">
        <f t="shared" si="26"/>
        <v>177</v>
      </c>
      <c r="B342" s="132" t="s">
        <v>550</v>
      </c>
      <c r="C342" s="209">
        <v>52.34</v>
      </c>
      <c r="D342" s="210" t="s">
        <v>237</v>
      </c>
      <c r="K342" s="123" t="s">
        <v>52</v>
      </c>
      <c r="O342" s="120" t="s">
        <v>495</v>
      </c>
      <c r="R342" s="129">
        <f>SUM(R336:R340)</f>
        <v>5186.93</v>
      </c>
      <c r="X342" s="123" t="s">
        <v>52</v>
      </c>
      <c r="AC342" s="116"/>
      <c r="AF342" s="117"/>
      <c r="AG342" s="123" t="s">
        <v>52</v>
      </c>
    </row>
    <row r="343" spans="1:33" ht="24" customHeight="1">
      <c r="A343" s="130">
        <f t="shared" si="26"/>
        <v>178</v>
      </c>
      <c r="B343" s="132" t="s">
        <v>563</v>
      </c>
      <c r="C343" s="211"/>
      <c r="D343" s="212"/>
      <c r="H343" s="120" t="s">
        <v>311</v>
      </c>
      <c r="K343" s="129">
        <f>SUM(K335:K341)</f>
        <v>66701.119999999995</v>
      </c>
      <c r="R343" s="123" t="s">
        <v>52</v>
      </c>
      <c r="U343" s="115" t="s">
        <v>311</v>
      </c>
      <c r="X343" s="115">
        <f>SUM(X335:X342)</f>
        <v>70029.84</v>
      </c>
      <c r="AC343" s="116"/>
      <c r="AD343" s="120" t="s">
        <v>311</v>
      </c>
      <c r="AF343" s="117"/>
      <c r="AG343" s="129">
        <f>SUM(AG335:AG341)</f>
        <v>66819.399999999994</v>
      </c>
    </row>
    <row r="344" spans="1:33" ht="24" customHeight="1">
      <c r="A344" s="130">
        <f t="shared" si="26"/>
        <v>179</v>
      </c>
      <c r="B344" s="132" t="s">
        <v>547</v>
      </c>
      <c r="C344" s="209">
        <v>13.73</v>
      </c>
      <c r="D344" s="210" t="s">
        <v>237</v>
      </c>
      <c r="K344" s="123" t="s">
        <v>52</v>
      </c>
      <c r="O344" s="120" t="s">
        <v>460</v>
      </c>
      <c r="R344" s="129">
        <f>(R342/10)</f>
        <v>518.69000000000005</v>
      </c>
      <c r="X344" s="123" t="s">
        <v>52</v>
      </c>
      <c r="AC344" s="116"/>
      <c r="AF344" s="117"/>
      <c r="AG344" s="123" t="s">
        <v>52</v>
      </c>
    </row>
    <row r="345" spans="1:33" ht="24" customHeight="1">
      <c r="A345" s="130">
        <f t="shared" si="26"/>
        <v>180</v>
      </c>
      <c r="B345" s="132" t="s">
        <v>548</v>
      </c>
      <c r="C345" s="209">
        <v>20.16</v>
      </c>
      <c r="D345" s="210" t="s">
        <v>237</v>
      </c>
      <c r="H345" s="121" t="s">
        <v>242</v>
      </c>
      <c r="K345" s="129">
        <f>(K343/10)</f>
        <v>6670.11</v>
      </c>
      <c r="R345" s="123" t="s">
        <v>89</v>
      </c>
      <c r="U345" s="115" t="s">
        <v>242</v>
      </c>
      <c r="X345" s="115">
        <f>X343/10</f>
        <v>7002.98</v>
      </c>
      <c r="AC345" s="116"/>
      <c r="AD345" s="121" t="s">
        <v>242</v>
      </c>
      <c r="AF345" s="117"/>
      <c r="AG345" s="129">
        <f>(AG343/10)</f>
        <v>6681.94</v>
      </c>
    </row>
    <row r="346" spans="1:33" ht="24" customHeight="1">
      <c r="A346" s="130">
        <f t="shared" si="26"/>
        <v>181</v>
      </c>
      <c r="B346" s="132" t="s">
        <v>549</v>
      </c>
      <c r="C346" s="209">
        <v>22.73</v>
      </c>
      <c r="D346" s="210" t="s">
        <v>237</v>
      </c>
      <c r="K346" s="123" t="s">
        <v>89</v>
      </c>
      <c r="N346" s="120" t="s">
        <v>111</v>
      </c>
      <c r="O346" s="120" t="s">
        <v>564</v>
      </c>
      <c r="X346" s="1167" t="s">
        <v>2125</v>
      </c>
      <c r="AC346" s="116"/>
      <c r="AF346" s="117"/>
      <c r="AG346" s="123" t="s">
        <v>89</v>
      </c>
    </row>
    <row r="347" spans="1:33" ht="24" customHeight="1">
      <c r="A347" s="130">
        <f t="shared" ref="A347:A410" si="29">(A346+1)</f>
        <v>182</v>
      </c>
      <c r="B347" s="132" t="s">
        <v>550</v>
      </c>
      <c r="C347" s="209">
        <v>46.98</v>
      </c>
      <c r="D347" s="210" t="s">
        <v>85</v>
      </c>
      <c r="H347" s="120" t="s">
        <v>53</v>
      </c>
      <c r="K347" s="127">
        <f>(K345+C19)</f>
        <v>6752.39</v>
      </c>
      <c r="L347" s="115">
        <f>K347-K345</f>
        <v>82.28</v>
      </c>
      <c r="O347" s="123" t="s">
        <v>52</v>
      </c>
      <c r="U347" s="114" t="s">
        <v>53</v>
      </c>
      <c r="X347" s="114">
        <f>X345+C19</f>
        <v>7085.26</v>
      </c>
      <c r="AC347" s="116"/>
      <c r="AD347" s="120" t="s">
        <v>53</v>
      </c>
      <c r="AF347" s="117"/>
      <c r="AG347" s="127">
        <f>(AG345+C19)</f>
        <v>6764.22</v>
      </c>
    </row>
    <row r="348" spans="1:33" ht="24" customHeight="1">
      <c r="A348" s="130">
        <f t="shared" si="29"/>
        <v>183</v>
      </c>
      <c r="B348" s="132" t="s">
        <v>565</v>
      </c>
      <c r="C348" s="211"/>
      <c r="D348" s="212"/>
      <c r="H348" s="120" t="s">
        <v>54</v>
      </c>
      <c r="K348" s="127">
        <f>(K347+C20)</f>
        <v>6918.38</v>
      </c>
      <c r="L348" s="115">
        <f>K348-K347</f>
        <v>165.99</v>
      </c>
      <c r="M348" s="129">
        <v>0.22</v>
      </c>
      <c r="N348" s="120" t="s">
        <v>132</v>
      </c>
      <c r="O348" s="120" t="s">
        <v>217</v>
      </c>
      <c r="P348" s="129">
        <f>(K32)</f>
        <v>4662.62</v>
      </c>
      <c r="Q348" s="120" t="s">
        <v>132</v>
      </c>
      <c r="R348" s="129">
        <f>(M348*P348)</f>
        <v>1025.78</v>
      </c>
      <c r="U348" s="114" t="s">
        <v>54</v>
      </c>
      <c r="X348" s="114">
        <f>X347+C20</f>
        <v>7251.25</v>
      </c>
      <c r="AC348" s="116"/>
      <c r="AD348" s="120" t="s">
        <v>54</v>
      </c>
      <c r="AF348" s="117"/>
      <c r="AG348" s="127">
        <f>(AG347+C20)</f>
        <v>6930.21</v>
      </c>
    </row>
    <row r="349" spans="1:33" ht="24" customHeight="1">
      <c r="A349" s="130">
        <f t="shared" si="29"/>
        <v>184</v>
      </c>
      <c r="B349" s="132" t="s">
        <v>547</v>
      </c>
      <c r="C349" s="209">
        <v>19.3</v>
      </c>
      <c r="D349" s="210" t="s">
        <v>237</v>
      </c>
      <c r="H349" s="120" t="s">
        <v>55</v>
      </c>
      <c r="K349" s="127">
        <f>(K348+C20)</f>
        <v>7084.37</v>
      </c>
      <c r="L349" s="115">
        <f>K349-K348</f>
        <v>165.99</v>
      </c>
      <c r="M349" s="129">
        <v>2.2000000000000002</v>
      </c>
      <c r="N349" s="120" t="s">
        <v>131</v>
      </c>
      <c r="O349" s="120" t="s">
        <v>345</v>
      </c>
      <c r="P349" s="129">
        <f>(C10)</f>
        <v>1041.7</v>
      </c>
      <c r="Q349" s="120" t="s">
        <v>131</v>
      </c>
      <c r="R349" s="129">
        <f>(M349*P349)</f>
        <v>2291.7399999999998</v>
      </c>
      <c r="U349" s="114" t="s">
        <v>55</v>
      </c>
      <c r="X349" s="114">
        <f>X348+C20</f>
        <v>7417.24</v>
      </c>
      <c r="AC349" s="116"/>
      <c r="AD349" s="120" t="s">
        <v>55</v>
      </c>
      <c r="AF349" s="117"/>
      <c r="AG349" s="127">
        <f>(AG348+C20)</f>
        <v>7096.2</v>
      </c>
    </row>
    <row r="350" spans="1:33" ht="24" customHeight="1">
      <c r="A350" s="130">
        <f t="shared" si="29"/>
        <v>185</v>
      </c>
      <c r="B350" s="132" t="s">
        <v>549</v>
      </c>
      <c r="C350" s="209">
        <v>33.46</v>
      </c>
      <c r="D350" s="210" t="s">
        <v>237</v>
      </c>
      <c r="H350" s="120" t="s">
        <v>56</v>
      </c>
      <c r="K350" s="127">
        <f>(K349+C21)</f>
        <v>7250.36</v>
      </c>
      <c r="M350" s="129">
        <v>0.5</v>
      </c>
      <c r="N350" s="120" t="s">
        <v>131</v>
      </c>
      <c r="O350" s="120" t="s">
        <v>304</v>
      </c>
      <c r="P350" s="129">
        <f>(C12)</f>
        <v>679.8</v>
      </c>
      <c r="Q350" s="120" t="s">
        <v>131</v>
      </c>
      <c r="R350" s="129">
        <f>(M350*P350)</f>
        <v>339.9</v>
      </c>
      <c r="U350" s="114" t="s">
        <v>56</v>
      </c>
      <c r="X350" s="114">
        <f>X349+C20</f>
        <v>7583.23</v>
      </c>
      <c r="AC350" s="116"/>
      <c r="AD350" s="120" t="s">
        <v>56</v>
      </c>
      <c r="AF350" s="117"/>
      <c r="AG350" s="127">
        <f>(AG349+C20)</f>
        <v>7262.19</v>
      </c>
    </row>
    <row r="351" spans="1:33" ht="24" customHeight="1">
      <c r="A351" s="130">
        <f t="shared" si="29"/>
        <v>186</v>
      </c>
      <c r="B351" s="132" t="s">
        <v>550</v>
      </c>
      <c r="C351" s="209">
        <v>53.62</v>
      </c>
      <c r="D351" s="210" t="s">
        <v>237</v>
      </c>
      <c r="F351" s="120" t="s">
        <v>85</v>
      </c>
      <c r="H351" s="120" t="s">
        <v>526</v>
      </c>
      <c r="K351" s="127">
        <f>(K350+C21)</f>
        <v>7416.35</v>
      </c>
      <c r="L351" s="115">
        <f>K351-K350</f>
        <v>165.99</v>
      </c>
      <c r="M351" s="129">
        <v>3.2</v>
      </c>
      <c r="N351" s="120" t="s">
        <v>131</v>
      </c>
      <c r="O351" s="120" t="s">
        <v>306</v>
      </c>
      <c r="P351" s="129">
        <f>(C13)</f>
        <v>557.70000000000005</v>
      </c>
      <c r="Q351" s="120" t="s">
        <v>131</v>
      </c>
      <c r="R351" s="129">
        <f>(M351*P351)</f>
        <v>1784.64</v>
      </c>
      <c r="S351" s="118" t="s">
        <v>85</v>
      </c>
      <c r="U351" s="114" t="s">
        <v>526</v>
      </c>
      <c r="X351" s="114">
        <f>X350+C20</f>
        <v>7749.22</v>
      </c>
      <c r="AB351" s="120" t="s">
        <v>85</v>
      </c>
      <c r="AC351" s="116"/>
      <c r="AD351" s="120" t="s">
        <v>526</v>
      </c>
      <c r="AF351" s="117"/>
      <c r="AG351" s="127">
        <f>(AG350+C20)</f>
        <v>7428.18</v>
      </c>
    </row>
    <row r="352" spans="1:33" ht="24" customHeight="1">
      <c r="A352" s="130">
        <f t="shared" si="29"/>
        <v>187</v>
      </c>
      <c r="B352" s="132" t="s">
        <v>566</v>
      </c>
      <c r="C352" s="211"/>
      <c r="D352" s="212"/>
      <c r="F352" s="148">
        <v>27</v>
      </c>
      <c r="G352" s="126" t="s">
        <v>111</v>
      </c>
      <c r="H352" s="120" t="s">
        <v>4079</v>
      </c>
      <c r="L352" s="115">
        <f>K351+L351</f>
        <v>7582.34</v>
      </c>
      <c r="N352" s="120" t="s">
        <v>145</v>
      </c>
      <c r="O352" s="120" t="s">
        <v>146</v>
      </c>
      <c r="P352" s="120" t="s">
        <v>85</v>
      </c>
      <c r="Q352" s="120" t="s">
        <v>145</v>
      </c>
      <c r="R352" s="129">
        <v>0</v>
      </c>
      <c r="S352" s="118">
        <v>27</v>
      </c>
      <c r="T352" s="115" t="s">
        <v>111</v>
      </c>
      <c r="U352" s="115" t="s">
        <v>4080</v>
      </c>
      <c r="AB352" s="120"/>
      <c r="AC352" s="116"/>
      <c r="AD352" s="120">
        <v>5</v>
      </c>
      <c r="AF352" s="117"/>
      <c r="AG352" s="127">
        <f>(AG351+C20)</f>
        <v>7594.17</v>
      </c>
    </row>
    <row r="353" spans="1:34" ht="24" customHeight="1">
      <c r="A353" s="130">
        <f t="shared" si="29"/>
        <v>188</v>
      </c>
      <c r="B353" s="132" t="s">
        <v>547</v>
      </c>
      <c r="C353" s="209">
        <v>13.73</v>
      </c>
      <c r="D353" s="210" t="s">
        <v>237</v>
      </c>
      <c r="H353" s="120" t="str">
        <f>H333</f>
        <v>Bricks of size 22x11x7 cm</v>
      </c>
      <c r="L353" s="115">
        <f>L352+L351</f>
        <v>7748.33</v>
      </c>
      <c r="R353" s="123" t="s">
        <v>52</v>
      </c>
      <c r="U353" s="115" t="s">
        <v>4070</v>
      </c>
      <c r="AB353" s="120"/>
      <c r="AC353" s="116"/>
      <c r="AD353" s="120">
        <v>6</v>
      </c>
      <c r="AF353" s="117"/>
      <c r="AG353" s="127">
        <f>(AG352+C20)</f>
        <v>7760.16</v>
      </c>
    </row>
    <row r="354" spans="1:34" ht="24" customHeight="1">
      <c r="A354" s="130">
        <f t="shared" si="29"/>
        <v>189</v>
      </c>
      <c r="B354" s="132" t="s">
        <v>548</v>
      </c>
      <c r="C354" s="209">
        <v>20.16</v>
      </c>
      <c r="D354" s="210" t="s">
        <v>237</v>
      </c>
      <c r="H354" s="123" t="s">
        <v>52</v>
      </c>
      <c r="O354" s="120" t="s">
        <v>495</v>
      </c>
      <c r="R354" s="129">
        <f>SUM(R348:R352)</f>
        <v>5442.06</v>
      </c>
      <c r="U354" s="115" t="s">
        <v>52</v>
      </c>
      <c r="AB354" s="120"/>
      <c r="AC354" s="116"/>
      <c r="AD354" s="120">
        <v>7</v>
      </c>
      <c r="AF354" s="117"/>
      <c r="AG354" s="127">
        <f>(AG353+C20)</f>
        <v>7926.15</v>
      </c>
    </row>
    <row r="355" spans="1:34" ht="24" customHeight="1">
      <c r="A355" s="130">
        <f t="shared" si="29"/>
        <v>190</v>
      </c>
      <c r="B355" s="132" t="s">
        <v>549</v>
      </c>
      <c r="C355" s="209">
        <v>22.73</v>
      </c>
      <c r="D355" s="210" t="s">
        <v>237</v>
      </c>
      <c r="F355" s="129">
        <v>4800</v>
      </c>
      <c r="G355" s="126" t="s">
        <v>338</v>
      </c>
      <c r="H355" s="129" t="str">
        <f>H309</f>
        <v>Bricks of size 22x11x7 cm</v>
      </c>
      <c r="I355" s="129">
        <f>C80</f>
        <v>5846.95</v>
      </c>
      <c r="J355" s="120" t="s">
        <v>339</v>
      </c>
      <c r="K355" s="129">
        <f>(F355*I355)/1000</f>
        <v>28065.360000000001</v>
      </c>
      <c r="R355" s="123" t="s">
        <v>52</v>
      </c>
      <c r="S355" s="118">
        <v>4600</v>
      </c>
      <c r="T355" s="115" t="s">
        <v>338</v>
      </c>
      <c r="U355" s="115" t="s">
        <v>4070</v>
      </c>
      <c r="V355" s="115">
        <f>AC41</f>
        <v>6824.8</v>
      </c>
      <c r="W355" s="119" t="s">
        <v>339</v>
      </c>
      <c r="X355" s="115">
        <f>V355*S355/1000</f>
        <v>31394.080000000002</v>
      </c>
      <c r="AB355" s="120"/>
      <c r="AC355" s="116"/>
      <c r="AD355" s="120">
        <v>8</v>
      </c>
      <c r="AF355" s="117"/>
      <c r="AG355" s="127">
        <f>(AG354+C20)</f>
        <v>8092.14</v>
      </c>
    </row>
    <row r="356" spans="1:34" ht="24" customHeight="1">
      <c r="A356" s="130">
        <f t="shared" si="29"/>
        <v>191</v>
      </c>
      <c r="B356" s="132" t="s">
        <v>550</v>
      </c>
      <c r="C356" s="209">
        <v>46.98</v>
      </c>
      <c r="D356" s="210" t="s">
        <v>237</v>
      </c>
      <c r="F356" s="129">
        <v>2.5</v>
      </c>
      <c r="G356" s="126" t="s">
        <v>132</v>
      </c>
      <c r="H356" s="120" t="s">
        <v>259</v>
      </c>
      <c r="I356" s="129">
        <f>K40</f>
        <v>3937.82</v>
      </c>
      <c r="J356" s="120" t="s">
        <v>132</v>
      </c>
      <c r="K356" s="129">
        <f>(F356*I356)</f>
        <v>9844.5499999999993</v>
      </c>
      <c r="O356" s="120" t="s">
        <v>460</v>
      </c>
      <c r="R356" s="129">
        <f>(R354/10)</f>
        <v>544.21</v>
      </c>
      <c r="S356" s="118">
        <v>2.5</v>
      </c>
      <c r="T356" s="115" t="s">
        <v>132</v>
      </c>
      <c r="U356" s="115" t="s">
        <v>259</v>
      </c>
      <c r="V356" s="115">
        <f>I356</f>
        <v>3937.82</v>
      </c>
      <c r="W356" s="119" t="s">
        <v>132</v>
      </c>
      <c r="X356" s="115">
        <f>V356*S356</f>
        <v>9844.5499999999993</v>
      </c>
      <c r="AB356" s="120"/>
      <c r="AC356" s="116"/>
      <c r="AD356" s="120">
        <v>9</v>
      </c>
      <c r="AF356" s="117"/>
      <c r="AG356" s="127">
        <f>(AG355+C20)</f>
        <v>8258.1299999999992</v>
      </c>
    </row>
    <row r="357" spans="1:34" ht="24" customHeight="1">
      <c r="A357" s="130">
        <f t="shared" si="29"/>
        <v>192</v>
      </c>
      <c r="B357" s="132" t="s">
        <v>568</v>
      </c>
      <c r="C357" s="211"/>
      <c r="D357" s="212"/>
      <c r="F357" s="129">
        <v>3.5</v>
      </c>
      <c r="G357" s="126" t="s">
        <v>131</v>
      </c>
      <c r="H357" s="120" t="s">
        <v>345</v>
      </c>
      <c r="I357" s="129">
        <f>(C10)</f>
        <v>1041.7</v>
      </c>
      <c r="J357" s="120" t="s">
        <v>131</v>
      </c>
      <c r="K357" s="129">
        <f>(F357*I357)</f>
        <v>3645.95</v>
      </c>
      <c r="R357" s="123" t="s">
        <v>89</v>
      </c>
      <c r="S357" s="118">
        <v>3.5</v>
      </c>
      <c r="T357" s="115" t="s">
        <v>131</v>
      </c>
      <c r="U357" s="115" t="s">
        <v>345</v>
      </c>
      <c r="V357" s="115">
        <f>I357</f>
        <v>1041.7</v>
      </c>
      <c r="W357" s="119" t="s">
        <v>131</v>
      </c>
      <c r="X357" s="115">
        <f>V357*S357</f>
        <v>3645.95</v>
      </c>
      <c r="AB357" s="120"/>
      <c r="AC357" s="116"/>
      <c r="AD357" s="120">
        <v>10</v>
      </c>
      <c r="AF357" s="117"/>
      <c r="AG357" s="127">
        <f>(AG356+C20)</f>
        <v>8424.1200000000008</v>
      </c>
    </row>
    <row r="358" spans="1:34" ht="24" customHeight="1">
      <c r="A358" s="130">
        <f t="shared" si="29"/>
        <v>193</v>
      </c>
      <c r="B358" s="132" t="s">
        <v>547</v>
      </c>
      <c r="C358" s="209">
        <v>19.3</v>
      </c>
      <c r="D358" s="210" t="s">
        <v>237</v>
      </c>
      <c r="F358" s="129">
        <v>10.6</v>
      </c>
      <c r="G358" s="126" t="s">
        <v>131</v>
      </c>
      <c r="H358" s="120" t="s">
        <v>302</v>
      </c>
      <c r="I358" s="129">
        <f>(C11)</f>
        <v>972.4</v>
      </c>
      <c r="J358" s="120" t="s">
        <v>131</v>
      </c>
      <c r="K358" s="129">
        <f>(F358*I358)</f>
        <v>10307.44</v>
      </c>
      <c r="N358" s="120" t="s">
        <v>111</v>
      </c>
      <c r="O358" s="120" t="s">
        <v>569</v>
      </c>
      <c r="S358" s="118">
        <v>10.6</v>
      </c>
      <c r="T358" s="115" t="s">
        <v>131</v>
      </c>
      <c r="U358" s="115" t="s">
        <v>302</v>
      </c>
      <c r="V358" s="115">
        <f>I358</f>
        <v>972.4</v>
      </c>
      <c r="W358" s="119" t="s">
        <v>131</v>
      </c>
      <c r="X358" s="115">
        <f>V358*S358</f>
        <v>10307.44</v>
      </c>
      <c r="AB358" s="120"/>
      <c r="AC358" s="116"/>
      <c r="AD358" s="120">
        <v>11</v>
      </c>
      <c r="AF358" s="117"/>
      <c r="AG358" s="127">
        <f>(AG357+C20)</f>
        <v>8590.11</v>
      </c>
    </row>
    <row r="359" spans="1:34" ht="24" customHeight="1">
      <c r="A359" s="130">
        <f t="shared" si="29"/>
        <v>194</v>
      </c>
      <c r="B359" s="132" t="s">
        <v>548</v>
      </c>
      <c r="C359" s="209">
        <v>25.74</v>
      </c>
      <c r="D359" s="210" t="s">
        <v>237</v>
      </c>
      <c r="F359" s="129">
        <v>7.1</v>
      </c>
      <c r="G359" s="126" t="s">
        <v>131</v>
      </c>
      <c r="H359" s="120" t="s">
        <v>304</v>
      </c>
      <c r="I359" s="129">
        <f>(C12)</f>
        <v>679.8</v>
      </c>
      <c r="J359" s="120" t="s">
        <v>131</v>
      </c>
      <c r="K359" s="129">
        <f>(F359*I359)</f>
        <v>4826.58</v>
      </c>
      <c r="O359" s="120" t="s">
        <v>570</v>
      </c>
      <c r="S359" s="118">
        <v>7.1</v>
      </c>
      <c r="T359" s="115" t="s">
        <v>131</v>
      </c>
      <c r="U359" s="115" t="s">
        <v>304</v>
      </c>
      <c r="V359" s="115">
        <f>I359</f>
        <v>679.8</v>
      </c>
      <c r="W359" s="119" t="s">
        <v>131</v>
      </c>
      <c r="X359" s="115">
        <f>V359*S359</f>
        <v>4826.58</v>
      </c>
      <c r="AB359" s="120"/>
      <c r="AC359" s="116"/>
      <c r="AD359" s="120">
        <v>12</v>
      </c>
      <c r="AF359" s="117"/>
      <c r="AG359" s="127">
        <f>(AG358+C20)</f>
        <v>8756.1</v>
      </c>
    </row>
    <row r="360" spans="1:34" ht="24" customHeight="1">
      <c r="A360" s="130">
        <f t="shared" si="29"/>
        <v>195</v>
      </c>
      <c r="B360" s="132" t="s">
        <v>549</v>
      </c>
      <c r="C360" s="209">
        <v>33.46</v>
      </c>
      <c r="D360" s="210" t="s">
        <v>237</v>
      </c>
      <c r="F360" s="129">
        <v>21.2</v>
      </c>
      <c r="G360" s="126" t="s">
        <v>131</v>
      </c>
      <c r="H360" s="120" t="s">
        <v>306</v>
      </c>
      <c r="I360" s="129">
        <f>(C13)</f>
        <v>557.70000000000005</v>
      </c>
      <c r="J360" s="120" t="s">
        <v>131</v>
      </c>
      <c r="K360" s="129">
        <f>(F360*I360)</f>
        <v>11823.24</v>
      </c>
      <c r="O360" s="120" t="s">
        <v>571</v>
      </c>
      <c r="S360" s="118">
        <v>21.2</v>
      </c>
      <c r="T360" s="115" t="s">
        <v>131</v>
      </c>
      <c r="U360" s="115" t="s">
        <v>306</v>
      </c>
      <c r="V360" s="115">
        <f>I360</f>
        <v>557.70000000000005</v>
      </c>
      <c r="W360" s="119" t="s">
        <v>131</v>
      </c>
      <c r="X360" s="115">
        <f>V360*S360</f>
        <v>11823.24</v>
      </c>
      <c r="AB360" s="120"/>
      <c r="AC360" s="116"/>
      <c r="AD360" s="120">
        <v>13</v>
      </c>
      <c r="AF360" s="117"/>
      <c r="AG360" s="127">
        <f>(AG359+C20)</f>
        <v>8922.09</v>
      </c>
    </row>
    <row r="361" spans="1:34" ht="24" customHeight="1">
      <c r="A361" s="130">
        <f t="shared" si="29"/>
        <v>196</v>
      </c>
      <c r="B361" s="132" t="s">
        <v>550</v>
      </c>
      <c r="C361" s="209">
        <v>53.62</v>
      </c>
      <c r="D361" s="210" t="s">
        <v>85</v>
      </c>
      <c r="G361" s="126" t="s">
        <v>145</v>
      </c>
      <c r="H361" s="120" t="s">
        <v>146</v>
      </c>
      <c r="J361" s="120" t="s">
        <v>145</v>
      </c>
      <c r="K361" s="129">
        <v>0</v>
      </c>
      <c r="O361" s="123" t="s">
        <v>52</v>
      </c>
      <c r="T361" s="115" t="s">
        <v>145</v>
      </c>
      <c r="U361" s="115" t="s">
        <v>146</v>
      </c>
      <c r="W361" s="119" t="s">
        <v>145</v>
      </c>
      <c r="X361" s="115">
        <v>0</v>
      </c>
      <c r="AB361" s="148">
        <v>27</v>
      </c>
      <c r="AC361" s="126" t="s">
        <v>111</v>
      </c>
      <c r="AD361" s="120" t="s">
        <v>4081</v>
      </c>
      <c r="AF361" s="117"/>
    </row>
    <row r="362" spans="1:34" ht="24" customHeight="1">
      <c r="A362" s="130">
        <f t="shared" si="29"/>
        <v>197</v>
      </c>
      <c r="B362" s="132" t="s">
        <v>572</v>
      </c>
      <c r="C362" s="211"/>
      <c r="D362" s="212"/>
      <c r="K362" s="123" t="s">
        <v>52</v>
      </c>
      <c r="M362" s="129">
        <v>0.22</v>
      </c>
      <c r="N362" s="120" t="s">
        <v>132</v>
      </c>
      <c r="O362" s="120" t="s">
        <v>259</v>
      </c>
      <c r="P362" s="129">
        <f>(K40)</f>
        <v>3937.82</v>
      </c>
      <c r="Q362" s="120" t="s">
        <v>132</v>
      </c>
      <c r="R362" s="129">
        <f t="shared" ref="R362:R367" si="30">(M362*P362)</f>
        <v>866.32</v>
      </c>
      <c r="X362" s="123" t="s">
        <v>52</v>
      </c>
      <c r="AC362" s="116"/>
      <c r="AD362" s="120" t="str">
        <f>AD333</f>
        <v>Bricks of size 23x11.4x7.5 cm</v>
      </c>
      <c r="AF362" s="117"/>
    </row>
    <row r="363" spans="1:34" ht="24" customHeight="1">
      <c r="A363" s="130">
        <f t="shared" si="29"/>
        <v>198</v>
      </c>
      <c r="B363" s="132" t="s">
        <v>547</v>
      </c>
      <c r="C363" s="209">
        <v>26.16</v>
      </c>
      <c r="D363" s="210" t="s">
        <v>237</v>
      </c>
      <c r="H363" s="120" t="s">
        <v>311</v>
      </c>
      <c r="K363" s="129">
        <f>SUM(K355:K361)</f>
        <v>68513.119999999995</v>
      </c>
      <c r="M363" s="129">
        <v>2.2000000000000002</v>
      </c>
      <c r="N363" s="120" t="s">
        <v>131</v>
      </c>
      <c r="O363" s="120" t="s">
        <v>345</v>
      </c>
      <c r="P363" s="129">
        <f>(C10)</f>
        <v>1041.7</v>
      </c>
      <c r="Q363" s="120" t="s">
        <v>131</v>
      </c>
      <c r="R363" s="129">
        <f t="shared" si="30"/>
        <v>2291.7399999999998</v>
      </c>
      <c r="U363" s="115" t="s">
        <v>311</v>
      </c>
      <c r="X363" s="115">
        <f>SUM(X355:X361)</f>
        <v>71841.84</v>
      </c>
      <c r="AC363" s="116"/>
      <c r="AD363" s="123" t="s">
        <v>52</v>
      </c>
      <c r="AF363" s="117"/>
    </row>
    <row r="364" spans="1:34" ht="24" customHeight="1">
      <c r="A364" s="130">
        <f t="shared" si="29"/>
        <v>199</v>
      </c>
      <c r="B364" s="132" t="s">
        <v>548</v>
      </c>
      <c r="C364" s="209">
        <v>34.32</v>
      </c>
      <c r="D364" s="210" t="s">
        <v>237</v>
      </c>
      <c r="K364" s="123" t="s">
        <v>52</v>
      </c>
      <c r="M364" s="129">
        <v>0.5</v>
      </c>
      <c r="N364" s="120" t="s">
        <v>131</v>
      </c>
      <c r="O364" s="120" t="s">
        <v>304</v>
      </c>
      <c r="P364" s="129">
        <f>(C12)</f>
        <v>679.8</v>
      </c>
      <c r="Q364" s="120" t="s">
        <v>131</v>
      </c>
      <c r="R364" s="129">
        <f t="shared" si="30"/>
        <v>339.9</v>
      </c>
      <c r="X364" s="123" t="s">
        <v>52</v>
      </c>
      <c r="AB364" s="129">
        <v>4240</v>
      </c>
      <c r="AC364" s="126" t="s">
        <v>338</v>
      </c>
      <c r="AD364" s="129" t="str">
        <f>AD309</f>
        <v>Bricks of size 23x11.4x7.5 cm</v>
      </c>
      <c r="AE364" s="129">
        <f>AC42</f>
        <v>7024.8</v>
      </c>
      <c r="AF364" s="120" t="s">
        <v>339</v>
      </c>
      <c r="AG364" s="129">
        <f>(AB364*AE364)/1000</f>
        <v>29785.15</v>
      </c>
    </row>
    <row r="365" spans="1:34" ht="24" customHeight="1">
      <c r="A365" s="130">
        <f t="shared" si="29"/>
        <v>200</v>
      </c>
      <c r="B365" s="132" t="s">
        <v>549</v>
      </c>
      <c r="C365" s="209">
        <v>40.33</v>
      </c>
      <c r="D365" s="210" t="s">
        <v>237</v>
      </c>
      <c r="H365" s="120" t="s">
        <v>242</v>
      </c>
      <c r="K365" s="129">
        <f>(K363/10)</f>
        <v>6851.31</v>
      </c>
      <c r="M365" s="129">
        <v>1.1000000000000001</v>
      </c>
      <c r="N365" s="120" t="s">
        <v>573</v>
      </c>
      <c r="O365" s="120" t="s">
        <v>574</v>
      </c>
      <c r="P365" s="129">
        <f>(C10)</f>
        <v>1041.7</v>
      </c>
      <c r="Q365" s="120" t="s">
        <v>131</v>
      </c>
      <c r="R365" s="129">
        <f t="shared" si="30"/>
        <v>1145.8699999999999</v>
      </c>
      <c r="U365" s="115" t="s">
        <v>242</v>
      </c>
      <c r="X365" s="115">
        <f>X363/10</f>
        <v>7184.18</v>
      </c>
      <c r="AB365" s="129">
        <v>2</v>
      </c>
      <c r="AC365" s="126" t="s">
        <v>132</v>
      </c>
      <c r="AD365" s="120" t="s">
        <v>259</v>
      </c>
      <c r="AE365" s="129">
        <f>V356</f>
        <v>3937.82</v>
      </c>
      <c r="AF365" s="120" t="s">
        <v>132</v>
      </c>
      <c r="AG365" s="129">
        <f>(AB365*AE365)</f>
        <v>7875.64</v>
      </c>
    </row>
    <row r="366" spans="1:34" ht="24" customHeight="1">
      <c r="A366" s="130">
        <f t="shared" si="29"/>
        <v>201</v>
      </c>
      <c r="B366" s="132" t="s">
        <v>575</v>
      </c>
      <c r="C366" s="211"/>
      <c r="D366" s="210" t="s">
        <v>85</v>
      </c>
      <c r="K366" s="123" t="s">
        <v>89</v>
      </c>
      <c r="M366" s="129">
        <v>3.2</v>
      </c>
      <c r="N366" s="120" t="s">
        <v>131</v>
      </c>
      <c r="O366" s="120" t="s">
        <v>306</v>
      </c>
      <c r="P366" s="129">
        <f>(C13)</f>
        <v>557.70000000000005</v>
      </c>
      <c r="Q366" s="120" t="s">
        <v>131</v>
      </c>
      <c r="R366" s="129">
        <f t="shared" si="30"/>
        <v>1784.64</v>
      </c>
      <c r="X366" s="1167" t="s">
        <v>2125</v>
      </c>
      <c r="AB366" s="129">
        <v>3.5</v>
      </c>
      <c r="AC366" s="126" t="s">
        <v>131</v>
      </c>
      <c r="AD366" s="120" t="s">
        <v>345</v>
      </c>
      <c r="AE366" s="129">
        <f>V357</f>
        <v>1041.7</v>
      </c>
      <c r="AF366" s="120" t="s">
        <v>131</v>
      </c>
      <c r="AG366" s="129">
        <f>(AB366*AE366)</f>
        <v>3645.95</v>
      </c>
    </row>
    <row r="367" spans="1:34" ht="24" customHeight="1">
      <c r="A367" s="130">
        <f t="shared" si="29"/>
        <v>202</v>
      </c>
      <c r="B367" s="132" t="s">
        <v>547</v>
      </c>
      <c r="C367" s="209">
        <v>20.329999999999998</v>
      </c>
      <c r="D367" s="210" t="s">
        <v>237</v>
      </c>
      <c r="H367" s="120" t="s">
        <v>53</v>
      </c>
      <c r="J367" s="117">
        <f>K367-K365</f>
        <v>82.28</v>
      </c>
      <c r="K367" s="129">
        <f>(K365+C19)</f>
        <v>6933.59</v>
      </c>
      <c r="M367" s="129">
        <v>9.8000000000000007</v>
      </c>
      <c r="N367" s="120" t="s">
        <v>39</v>
      </c>
      <c r="O367" s="120" t="s">
        <v>409</v>
      </c>
      <c r="P367" s="129">
        <f>(C148)</f>
        <v>145.19999999999999</v>
      </c>
      <c r="Q367" s="120" t="s">
        <v>39</v>
      </c>
      <c r="R367" s="129">
        <f t="shared" si="30"/>
        <v>1422.96</v>
      </c>
      <c r="U367" s="115" t="s">
        <v>53</v>
      </c>
      <c r="X367" s="115">
        <f>X365+C19</f>
        <v>7266.46</v>
      </c>
      <c r="Y367" s="115">
        <f>X365+X367+X368+X369+X370+X371</f>
        <v>45176.38</v>
      </c>
      <c r="Z367" s="115">
        <f>Y367/6</f>
        <v>7529.4</v>
      </c>
      <c r="AB367" s="129">
        <v>10.6</v>
      </c>
      <c r="AC367" s="126" t="s">
        <v>131</v>
      </c>
      <c r="AD367" s="120" t="s">
        <v>302</v>
      </c>
      <c r="AE367" s="129">
        <f>V358</f>
        <v>972.4</v>
      </c>
      <c r="AF367" s="120" t="s">
        <v>131</v>
      </c>
      <c r="AG367" s="129">
        <f>(AB367*AE367)</f>
        <v>10307.44</v>
      </c>
    </row>
    <row r="368" spans="1:34" ht="24" customHeight="1">
      <c r="A368" s="130">
        <f t="shared" si="29"/>
        <v>203</v>
      </c>
      <c r="B368" s="132" t="s">
        <v>548</v>
      </c>
      <c r="C368" s="209">
        <v>26.6</v>
      </c>
      <c r="D368" s="210" t="s">
        <v>237</v>
      </c>
      <c r="H368" s="120" t="s">
        <v>54</v>
      </c>
      <c r="J368" s="117">
        <f>K368-K367</f>
        <v>165.99</v>
      </c>
      <c r="K368" s="129">
        <f>(K367+C20)</f>
        <v>7099.58</v>
      </c>
      <c r="L368" s="115">
        <f>(K367+K368)/2</f>
        <v>7016.59</v>
      </c>
      <c r="N368" s="120" t="s">
        <v>145</v>
      </c>
      <c r="O368" s="120" t="s">
        <v>146</v>
      </c>
      <c r="P368" s="120" t="s">
        <v>85</v>
      </c>
      <c r="Q368" s="120" t="s">
        <v>145</v>
      </c>
      <c r="R368" s="129">
        <v>0</v>
      </c>
      <c r="U368" s="115" t="s">
        <v>54</v>
      </c>
      <c r="X368" s="115">
        <f>X367+C20</f>
        <v>7432.45</v>
      </c>
      <c r="Y368" s="115">
        <f>SUM(X367:X368)/2</f>
        <v>7349.46</v>
      </c>
      <c r="AB368" s="129">
        <v>7.1</v>
      </c>
      <c r="AC368" s="126" t="s">
        <v>131</v>
      </c>
      <c r="AD368" s="120" t="s">
        <v>304</v>
      </c>
      <c r="AE368" s="129">
        <f>V359</f>
        <v>679.8</v>
      </c>
      <c r="AF368" s="120" t="s">
        <v>131</v>
      </c>
      <c r="AG368" s="129">
        <f>(AB368*AE368)</f>
        <v>4826.58</v>
      </c>
      <c r="AH368" s="115">
        <f>(AG377+AG376)/2</f>
        <v>6992.18</v>
      </c>
    </row>
    <row r="369" spans="1:34" ht="24" customHeight="1">
      <c r="A369" s="130">
        <f t="shared" si="29"/>
        <v>204</v>
      </c>
      <c r="B369" s="132" t="s">
        <v>549</v>
      </c>
      <c r="C369" s="209">
        <v>33.89</v>
      </c>
      <c r="D369" s="210" t="s">
        <v>237</v>
      </c>
      <c r="H369" s="120" t="s">
        <v>55</v>
      </c>
      <c r="J369" s="117">
        <f>K369-K368</f>
        <v>165.99</v>
      </c>
      <c r="K369" s="129">
        <f>(K368+C21)</f>
        <v>7265.57</v>
      </c>
      <c r="L369" s="115">
        <f>SUM(K367:K369)/3</f>
        <v>7099.58</v>
      </c>
      <c r="R369" s="123" t="s">
        <v>52</v>
      </c>
      <c r="U369" s="115" t="s">
        <v>55</v>
      </c>
      <c r="X369" s="115">
        <f>X368+C20</f>
        <v>7598.44</v>
      </c>
      <c r="Y369" s="115">
        <f>SUM(X367:X369)/3</f>
        <v>7432.45</v>
      </c>
      <c r="AB369" s="129">
        <v>21.2</v>
      </c>
      <c r="AC369" s="126" t="s">
        <v>131</v>
      </c>
      <c r="AD369" s="120" t="s">
        <v>306</v>
      </c>
      <c r="AE369" s="129">
        <f>V360</f>
        <v>557.70000000000005</v>
      </c>
      <c r="AF369" s="120" t="s">
        <v>131</v>
      </c>
      <c r="AG369" s="129">
        <f>(AB369*AE369)</f>
        <v>11823.24</v>
      </c>
      <c r="AH369" s="115">
        <f>SUM(AG376:AG378)/3</f>
        <v>7075.17</v>
      </c>
    </row>
    <row r="370" spans="1:34" ht="24" customHeight="1">
      <c r="A370" s="130">
        <f t="shared" si="29"/>
        <v>205</v>
      </c>
      <c r="B370" s="132" t="s">
        <v>576</v>
      </c>
      <c r="C370" s="211"/>
      <c r="D370" s="212"/>
      <c r="H370" s="120" t="s">
        <v>56</v>
      </c>
      <c r="J370" s="117">
        <f>K370-K369</f>
        <v>165.99</v>
      </c>
      <c r="K370" s="129">
        <f>K369+C21</f>
        <v>7431.56</v>
      </c>
      <c r="O370" s="120" t="s">
        <v>495</v>
      </c>
      <c r="R370" s="129">
        <f>SUM(R362:R368)</f>
        <v>7851.43</v>
      </c>
      <c r="U370" s="115" t="s">
        <v>56</v>
      </c>
      <c r="X370" s="115">
        <f>X369+C20</f>
        <v>7764.43</v>
      </c>
      <c r="AC370" s="126" t="s">
        <v>145</v>
      </c>
      <c r="AD370" s="120" t="s">
        <v>146</v>
      </c>
      <c r="AF370" s="120" t="s">
        <v>145</v>
      </c>
      <c r="AG370" s="129">
        <v>5</v>
      </c>
    </row>
    <row r="371" spans="1:34" ht="24" customHeight="1">
      <c r="A371" s="130">
        <f t="shared" si="29"/>
        <v>206</v>
      </c>
      <c r="B371" s="132" t="s">
        <v>547</v>
      </c>
      <c r="C371" s="209">
        <v>13.29</v>
      </c>
      <c r="D371" s="210" t="s">
        <v>237</v>
      </c>
      <c r="H371" s="120" t="s">
        <v>526</v>
      </c>
      <c r="J371" s="117">
        <f>K371-K370</f>
        <v>165.99</v>
      </c>
      <c r="K371" s="129">
        <f>K370+C21</f>
        <v>7597.55</v>
      </c>
      <c r="R371" s="123" t="s">
        <v>52</v>
      </c>
      <c r="U371" s="115" t="s">
        <v>526</v>
      </c>
      <c r="X371" s="115">
        <f>X370+C20</f>
        <v>7930.42</v>
      </c>
      <c r="AC371" s="116"/>
      <c r="AF371" s="117"/>
      <c r="AG371" s="123" t="s">
        <v>52</v>
      </c>
    </row>
    <row r="372" spans="1:34" ht="24" customHeight="1">
      <c r="A372" s="130">
        <f t="shared" si="29"/>
        <v>207</v>
      </c>
      <c r="B372" s="132" t="s">
        <v>548</v>
      </c>
      <c r="C372" s="209">
        <v>18.02</v>
      </c>
      <c r="D372" s="210" t="s">
        <v>237</v>
      </c>
      <c r="H372" s="120" t="s">
        <v>577</v>
      </c>
      <c r="J372" s="117">
        <f>SUM(K367+K368+K369)/3</f>
        <v>7099.58</v>
      </c>
      <c r="K372" s="129">
        <f>(K367+K368+K369+K370)/4</f>
        <v>7182.58</v>
      </c>
      <c r="O372" s="120" t="s">
        <v>460</v>
      </c>
      <c r="R372" s="129">
        <f>(R370/10)</f>
        <v>785.14</v>
      </c>
      <c r="U372" s="115" t="s">
        <v>577</v>
      </c>
      <c r="W372" s="119">
        <v>2171.31</v>
      </c>
      <c r="X372" s="115">
        <f>SUM(X367:X370)/4</f>
        <v>7515.45</v>
      </c>
      <c r="AC372" s="116"/>
      <c r="AD372" s="120" t="s">
        <v>311</v>
      </c>
      <c r="AF372" s="117"/>
      <c r="AG372" s="129">
        <f>SUM(AG364:AG370)</f>
        <v>68269</v>
      </c>
    </row>
    <row r="373" spans="1:34" ht="24" customHeight="1">
      <c r="A373" s="130">
        <f t="shared" si="29"/>
        <v>208</v>
      </c>
      <c r="B373" s="132" t="s">
        <v>549</v>
      </c>
      <c r="C373" s="209">
        <v>23.17</v>
      </c>
      <c r="D373" s="210" t="s">
        <v>237</v>
      </c>
      <c r="R373" s="123" t="s">
        <v>89</v>
      </c>
      <c r="AC373" s="116"/>
      <c r="AF373" s="117"/>
      <c r="AG373" s="123" t="s">
        <v>52</v>
      </c>
    </row>
    <row r="374" spans="1:34" ht="24" customHeight="1">
      <c r="A374" s="130">
        <f t="shared" si="29"/>
        <v>209</v>
      </c>
      <c r="B374" s="132" t="s">
        <v>578</v>
      </c>
      <c r="C374" s="211"/>
      <c r="D374" s="210" t="s">
        <v>85</v>
      </c>
      <c r="H374" s="121" t="s">
        <v>579</v>
      </c>
      <c r="N374" s="120" t="s">
        <v>111</v>
      </c>
      <c r="O374" s="120" t="s">
        <v>580</v>
      </c>
      <c r="U374" s="115" t="s">
        <v>579</v>
      </c>
      <c r="AC374" s="116"/>
      <c r="AD374" s="120" t="s">
        <v>242</v>
      </c>
      <c r="AF374" s="117"/>
      <c r="AG374" s="129">
        <f>(AG372/10)</f>
        <v>6826.9</v>
      </c>
    </row>
    <row r="375" spans="1:34" ht="24" customHeight="1">
      <c r="A375" s="130">
        <f t="shared" si="29"/>
        <v>210</v>
      </c>
      <c r="B375" s="132" t="s">
        <v>547</v>
      </c>
      <c r="C375" s="209">
        <v>9</v>
      </c>
      <c r="D375" s="210" t="s">
        <v>237</v>
      </c>
      <c r="H375" s="123" t="s">
        <v>52</v>
      </c>
      <c r="O375" s="123" t="s">
        <v>52</v>
      </c>
      <c r="U375" s="115" t="s">
        <v>52</v>
      </c>
      <c r="AC375" s="116"/>
      <c r="AF375" s="117"/>
      <c r="AG375" s="123" t="s">
        <v>89</v>
      </c>
    </row>
    <row r="376" spans="1:34" ht="24" customHeight="1">
      <c r="A376" s="130">
        <f t="shared" si="29"/>
        <v>211</v>
      </c>
      <c r="B376" s="132" t="s">
        <v>548</v>
      </c>
      <c r="C376" s="209">
        <v>11.58</v>
      </c>
      <c r="D376" s="210" t="s">
        <v>237</v>
      </c>
      <c r="F376" s="148">
        <v>10</v>
      </c>
      <c r="G376" s="126" t="s">
        <v>111</v>
      </c>
      <c r="H376" s="120" t="s">
        <v>4082</v>
      </c>
      <c r="M376" s="129">
        <v>0.05</v>
      </c>
      <c r="N376" s="120" t="s">
        <v>132</v>
      </c>
      <c r="O376" s="120" t="s">
        <v>202</v>
      </c>
      <c r="P376" s="129">
        <f>(C84)</f>
        <v>1348</v>
      </c>
      <c r="Q376" s="120" t="s">
        <v>132</v>
      </c>
      <c r="R376" s="129">
        <f>(M376*P376)</f>
        <v>67.400000000000006</v>
      </c>
      <c r="S376" s="118">
        <v>10</v>
      </c>
      <c r="T376" s="115" t="s">
        <v>111</v>
      </c>
      <c r="U376" s="115" t="s">
        <v>4083</v>
      </c>
      <c r="AC376" s="116"/>
      <c r="AD376" s="120" t="s">
        <v>53</v>
      </c>
      <c r="AF376" s="117"/>
      <c r="AG376" s="129">
        <f>(AG374+C19)</f>
        <v>6909.18</v>
      </c>
    </row>
    <row r="377" spans="1:34" ht="24" customHeight="1">
      <c r="A377" s="130">
        <f t="shared" si="29"/>
        <v>212</v>
      </c>
      <c r="B377" s="132" t="s">
        <v>549</v>
      </c>
      <c r="C377" s="209">
        <v>14.15</v>
      </c>
      <c r="D377" s="210" t="s">
        <v>237</v>
      </c>
      <c r="H377" s="129" t="str">
        <f>H309</f>
        <v>Bricks of size 22x11x7 cm</v>
      </c>
      <c r="M377" s="129">
        <v>1.1000000000000001</v>
      </c>
      <c r="N377" s="120" t="s">
        <v>131</v>
      </c>
      <c r="O377" s="120" t="s">
        <v>302</v>
      </c>
      <c r="P377" s="129">
        <f>(C11)</f>
        <v>972.4</v>
      </c>
      <c r="Q377" s="120" t="s">
        <v>131</v>
      </c>
      <c r="R377" s="129">
        <f>(M377*P377)</f>
        <v>1069.6400000000001</v>
      </c>
      <c r="U377" s="115" t="s">
        <v>4070</v>
      </c>
      <c r="AC377" s="116"/>
      <c r="AD377" s="120" t="s">
        <v>54</v>
      </c>
      <c r="AF377" s="117"/>
      <c r="AG377" s="129">
        <f>(AG376+C20)</f>
        <v>7075.17</v>
      </c>
    </row>
    <row r="378" spans="1:34" ht="24" customHeight="1">
      <c r="A378" s="130">
        <f t="shared" si="29"/>
        <v>213</v>
      </c>
      <c r="B378" s="132" t="s">
        <v>581</v>
      </c>
      <c r="C378" s="211"/>
      <c r="D378" s="212"/>
      <c r="H378" s="123" t="s">
        <v>52</v>
      </c>
      <c r="M378" s="129">
        <v>0.3</v>
      </c>
      <c r="N378" s="120" t="s">
        <v>131</v>
      </c>
      <c r="O378" s="120" t="s">
        <v>304</v>
      </c>
      <c r="P378" s="129">
        <f>(C12)</f>
        <v>679.8</v>
      </c>
      <c r="Q378" s="120" t="s">
        <v>131</v>
      </c>
      <c r="R378" s="129">
        <f>(M378*P378)</f>
        <v>203.94</v>
      </c>
      <c r="U378" s="115" t="s">
        <v>52</v>
      </c>
      <c r="AC378" s="116"/>
      <c r="AD378" s="120" t="s">
        <v>55</v>
      </c>
      <c r="AF378" s="117"/>
      <c r="AG378" s="129">
        <f>(AG377+C20)</f>
        <v>7241.16</v>
      </c>
    </row>
    <row r="379" spans="1:34" ht="24" customHeight="1">
      <c r="A379" s="130">
        <f t="shared" si="29"/>
        <v>214</v>
      </c>
      <c r="B379" s="132" t="s">
        <v>547</v>
      </c>
      <c r="C379" s="209">
        <v>4.29</v>
      </c>
      <c r="D379" s="210" t="s">
        <v>237</v>
      </c>
      <c r="F379" s="129">
        <f>F311</f>
        <v>4800</v>
      </c>
      <c r="G379" s="126" t="s">
        <v>338</v>
      </c>
      <c r="H379" s="129" t="str">
        <f>H309</f>
        <v>Bricks of size 22x11x7 cm</v>
      </c>
      <c r="I379" s="129">
        <f>(C80)</f>
        <v>5846.95</v>
      </c>
      <c r="J379" s="120" t="s">
        <v>339</v>
      </c>
      <c r="K379" s="129">
        <f>(F379*I379)/1000</f>
        <v>28065.360000000001</v>
      </c>
      <c r="M379" s="129">
        <v>1.9</v>
      </c>
      <c r="N379" s="120" t="s">
        <v>131</v>
      </c>
      <c r="O379" s="120" t="s">
        <v>306</v>
      </c>
      <c r="P379" s="129">
        <f>(C13)</f>
        <v>557.70000000000005</v>
      </c>
      <c r="Q379" s="120" t="s">
        <v>131</v>
      </c>
      <c r="R379" s="129">
        <f>(M379*P379)</f>
        <v>1059.6300000000001</v>
      </c>
      <c r="S379" s="118">
        <v>4600</v>
      </c>
      <c r="T379" s="115" t="s">
        <v>338</v>
      </c>
      <c r="U379" s="115" t="s">
        <v>4070</v>
      </c>
      <c r="V379" s="115">
        <f>AC41</f>
        <v>6824.8</v>
      </c>
      <c r="W379" s="119" t="s">
        <v>339</v>
      </c>
      <c r="X379" s="115">
        <f>S379*V379/1000</f>
        <v>31394.080000000002</v>
      </c>
      <c r="AC379" s="116"/>
      <c r="AD379" s="120" t="s">
        <v>56</v>
      </c>
      <c r="AF379" s="117"/>
      <c r="AG379" s="129">
        <f>AG378+C20</f>
        <v>7407.15</v>
      </c>
    </row>
    <row r="380" spans="1:34" ht="24" customHeight="1">
      <c r="A380" s="130">
        <f t="shared" si="29"/>
        <v>215</v>
      </c>
      <c r="B380" s="132" t="s">
        <v>548</v>
      </c>
      <c r="C380" s="209">
        <v>6.01</v>
      </c>
      <c r="D380" s="210" t="s">
        <v>237</v>
      </c>
      <c r="F380" s="129">
        <v>1.59</v>
      </c>
      <c r="G380" s="126" t="s">
        <v>132</v>
      </c>
      <c r="H380" s="120" t="s">
        <v>259</v>
      </c>
      <c r="I380" s="129">
        <f>(K40)</f>
        <v>3937.82</v>
      </c>
      <c r="J380" s="120" t="s">
        <v>132</v>
      </c>
      <c r="K380" s="129">
        <f>(F380*I380)</f>
        <v>6261.13</v>
      </c>
      <c r="N380" s="120" t="s">
        <v>145</v>
      </c>
      <c r="O380" s="120" t="s">
        <v>582</v>
      </c>
      <c r="P380" s="120" t="s">
        <v>85</v>
      </c>
      <c r="Q380" s="120" t="s">
        <v>145</v>
      </c>
      <c r="R380" s="129">
        <v>1.46</v>
      </c>
      <c r="S380" s="118">
        <v>1.59</v>
      </c>
      <c r="T380" s="115" t="s">
        <v>132</v>
      </c>
      <c r="U380" s="115" t="s">
        <v>259</v>
      </c>
      <c r="V380" s="115">
        <f>I380</f>
        <v>3937.82</v>
      </c>
      <c r="W380" s="119" t="s">
        <v>132</v>
      </c>
      <c r="X380" s="115">
        <f>V380*S380</f>
        <v>6261.13</v>
      </c>
      <c r="AC380" s="116"/>
      <c r="AD380" s="120" t="s">
        <v>526</v>
      </c>
      <c r="AF380" s="117"/>
      <c r="AG380" s="129">
        <f>AG379+C20</f>
        <v>7573.14</v>
      </c>
    </row>
    <row r="381" spans="1:34" ht="24" customHeight="1">
      <c r="A381" s="130">
        <f t="shared" si="29"/>
        <v>216</v>
      </c>
      <c r="B381" s="132" t="s">
        <v>549</v>
      </c>
      <c r="C381" s="209">
        <v>6.86</v>
      </c>
      <c r="D381" s="210" t="s">
        <v>237</v>
      </c>
      <c r="F381" s="129">
        <v>7</v>
      </c>
      <c r="G381" s="126" t="s">
        <v>131</v>
      </c>
      <c r="H381" s="120" t="s">
        <v>345</v>
      </c>
      <c r="I381" s="129">
        <f>(C10)</f>
        <v>1041.7</v>
      </c>
      <c r="J381" s="120" t="s">
        <v>131</v>
      </c>
      <c r="K381" s="129">
        <f>(F381*I381)</f>
        <v>7291.9</v>
      </c>
      <c r="R381" s="123" t="s">
        <v>52</v>
      </c>
      <c r="S381" s="118">
        <v>7</v>
      </c>
      <c r="T381" s="115" t="s">
        <v>131</v>
      </c>
      <c r="U381" s="115" t="s">
        <v>345</v>
      </c>
      <c r="V381" s="115">
        <f>I381</f>
        <v>1041.7</v>
      </c>
      <c r="W381" s="119" t="s">
        <v>131</v>
      </c>
      <c r="X381" s="115">
        <f>V381*S381</f>
        <v>7291.9</v>
      </c>
      <c r="AC381" s="116"/>
      <c r="AD381" s="120" t="s">
        <v>577</v>
      </c>
      <c r="AF381" s="117"/>
      <c r="AG381" s="129">
        <f>(AG376+AG377+AG378+AG379)/4</f>
        <v>7158.17</v>
      </c>
    </row>
    <row r="382" spans="1:34" ht="24" customHeight="1">
      <c r="A382" s="130">
        <f t="shared" si="29"/>
        <v>217</v>
      </c>
      <c r="B382" s="132" t="s">
        <v>583</v>
      </c>
      <c r="C382" s="211"/>
      <c r="D382" s="210" t="s">
        <v>85</v>
      </c>
      <c r="F382" s="129">
        <v>7.1</v>
      </c>
      <c r="G382" s="126" t="s">
        <v>131</v>
      </c>
      <c r="H382" s="120" t="s">
        <v>302</v>
      </c>
      <c r="I382" s="129">
        <f>(C11)</f>
        <v>972.4</v>
      </c>
      <c r="J382" s="120" t="s">
        <v>131</v>
      </c>
      <c r="K382" s="129">
        <f>(F382*I382)</f>
        <v>6904.04</v>
      </c>
      <c r="O382" s="120" t="s">
        <v>584</v>
      </c>
      <c r="R382" s="129">
        <f>SUM(R375:R380)</f>
        <v>2402.0700000000002</v>
      </c>
      <c r="S382" s="118">
        <v>7.1</v>
      </c>
      <c r="T382" s="115" t="s">
        <v>131</v>
      </c>
      <c r="U382" s="115" t="s">
        <v>302</v>
      </c>
      <c r="V382" s="115">
        <f>I382</f>
        <v>972.4</v>
      </c>
      <c r="W382" s="119" t="s">
        <v>131</v>
      </c>
      <c r="X382" s="115">
        <f>V382*S382</f>
        <v>6904.04</v>
      </c>
      <c r="AC382" s="116"/>
      <c r="AF382" s="117"/>
    </row>
    <row r="383" spans="1:34" ht="24" customHeight="1">
      <c r="A383" s="130">
        <f t="shared" si="29"/>
        <v>218</v>
      </c>
      <c r="B383" s="132" t="s">
        <v>547</v>
      </c>
      <c r="C383" s="209">
        <v>14.91</v>
      </c>
      <c r="D383" s="210" t="s">
        <v>237</v>
      </c>
      <c r="F383" s="129">
        <v>7.1</v>
      </c>
      <c r="G383" s="126" t="s">
        <v>131</v>
      </c>
      <c r="H383" s="120" t="s">
        <v>304</v>
      </c>
      <c r="I383" s="129">
        <f>(C12)</f>
        <v>679.8</v>
      </c>
      <c r="J383" s="120" t="s">
        <v>131</v>
      </c>
      <c r="K383" s="129">
        <f>(F383*I383)</f>
        <v>4826.58</v>
      </c>
      <c r="R383" s="123" t="s">
        <v>52</v>
      </c>
      <c r="S383" s="118">
        <v>7.1</v>
      </c>
      <c r="T383" s="115" t="s">
        <v>131</v>
      </c>
      <c r="U383" s="115" t="s">
        <v>304</v>
      </c>
      <c r="V383" s="115">
        <f>I383</f>
        <v>679.8</v>
      </c>
      <c r="W383" s="119" t="s">
        <v>131</v>
      </c>
      <c r="X383" s="115">
        <f>V383*S383</f>
        <v>4826.58</v>
      </c>
      <c r="AC383" s="116"/>
      <c r="AD383" s="121" t="s">
        <v>579</v>
      </c>
      <c r="AF383" s="117"/>
    </row>
    <row r="384" spans="1:34" ht="24" customHeight="1">
      <c r="A384" s="130">
        <f t="shared" si="29"/>
        <v>219</v>
      </c>
      <c r="B384" s="132" t="s">
        <v>548</v>
      </c>
      <c r="C384" s="209">
        <v>17.579999999999998</v>
      </c>
      <c r="D384" s="210" t="s">
        <v>237</v>
      </c>
      <c r="F384" s="129">
        <v>21.2</v>
      </c>
      <c r="G384" s="126" t="s">
        <v>131</v>
      </c>
      <c r="H384" s="120" t="s">
        <v>306</v>
      </c>
      <c r="I384" s="129">
        <f>(C13)</f>
        <v>557.70000000000005</v>
      </c>
      <c r="J384" s="120" t="s">
        <v>131</v>
      </c>
      <c r="K384" s="129">
        <f>(F384*I384)</f>
        <v>11823.24</v>
      </c>
      <c r="O384" s="120" t="s">
        <v>460</v>
      </c>
      <c r="R384" s="129">
        <f>(R382/100)</f>
        <v>24.02</v>
      </c>
      <c r="S384" s="118">
        <v>21.2</v>
      </c>
      <c r="T384" s="115" t="s">
        <v>131</v>
      </c>
      <c r="U384" s="115" t="s">
        <v>306</v>
      </c>
      <c r="V384" s="115">
        <f>I384</f>
        <v>557.70000000000005</v>
      </c>
      <c r="W384" s="119" t="s">
        <v>131</v>
      </c>
      <c r="X384" s="115">
        <f>V384*S384</f>
        <v>11823.24</v>
      </c>
      <c r="AC384" s="116"/>
      <c r="AD384" s="123" t="s">
        <v>52</v>
      </c>
      <c r="AF384" s="117"/>
    </row>
    <row r="385" spans="1:45" ht="24" customHeight="1">
      <c r="A385" s="130">
        <f t="shared" si="29"/>
        <v>220</v>
      </c>
      <c r="B385" s="132" t="s">
        <v>549</v>
      </c>
      <c r="C385" s="209">
        <v>19.3</v>
      </c>
      <c r="D385" s="210" t="s">
        <v>237</v>
      </c>
      <c r="G385" s="126" t="s">
        <v>145</v>
      </c>
      <c r="H385" s="120" t="s">
        <v>146</v>
      </c>
      <c r="I385" s="120" t="s">
        <v>85</v>
      </c>
      <c r="J385" s="120" t="s">
        <v>145</v>
      </c>
      <c r="K385" s="129">
        <v>0</v>
      </c>
      <c r="R385" s="123" t="s">
        <v>89</v>
      </c>
      <c r="T385" s="115" t="s">
        <v>145</v>
      </c>
      <c r="U385" s="115" t="s">
        <v>146</v>
      </c>
      <c r="V385" s="115" t="s">
        <v>85</v>
      </c>
      <c r="W385" s="119" t="s">
        <v>145</v>
      </c>
      <c r="X385" s="115">
        <v>0</v>
      </c>
      <c r="AB385" s="148">
        <v>10</v>
      </c>
      <c r="AC385" s="126" t="s">
        <v>111</v>
      </c>
      <c r="AD385" s="120" t="s">
        <v>4084</v>
      </c>
      <c r="AF385" s="117"/>
      <c r="AN385" s="148"/>
      <c r="AO385" s="126" t="s">
        <v>111</v>
      </c>
      <c r="AP385" s="120" t="s">
        <v>4085</v>
      </c>
      <c r="AR385" s="117"/>
    </row>
    <row r="386" spans="1:45" ht="24" customHeight="1">
      <c r="A386" s="130">
        <f t="shared" si="29"/>
        <v>221</v>
      </c>
      <c r="B386" s="132" t="s">
        <v>585</v>
      </c>
      <c r="C386" s="211"/>
      <c r="D386" s="212"/>
      <c r="K386" s="123" t="s">
        <v>52</v>
      </c>
      <c r="X386" s="1167" t="s">
        <v>2121</v>
      </c>
      <c r="AC386" s="116"/>
      <c r="AD386" s="129" t="str">
        <f>AD309</f>
        <v>Bricks of size 23x11.4x7.5 cm</v>
      </c>
      <c r="AF386" s="117"/>
      <c r="AO386" s="116"/>
      <c r="AP386" s="129"/>
      <c r="AR386" s="117"/>
    </row>
    <row r="387" spans="1:45" ht="24" customHeight="1">
      <c r="A387" s="130">
        <f t="shared" si="29"/>
        <v>222</v>
      </c>
      <c r="B387" s="132" t="s">
        <v>547</v>
      </c>
      <c r="C387" s="209">
        <v>15.87</v>
      </c>
      <c r="D387" s="210" t="s">
        <v>237</v>
      </c>
      <c r="H387" s="120" t="s">
        <v>311</v>
      </c>
      <c r="K387" s="129">
        <f>SUM(K379:K385)</f>
        <v>65172.25</v>
      </c>
      <c r="U387" s="115" t="s">
        <v>311</v>
      </c>
      <c r="X387" s="115">
        <f>SUM(X379:X386)</f>
        <v>68500.97</v>
      </c>
      <c r="AC387" s="116"/>
      <c r="AD387" s="123" t="s">
        <v>52</v>
      </c>
      <c r="AF387" s="117"/>
      <c r="AO387" s="116"/>
      <c r="AP387" s="123" t="s">
        <v>52</v>
      </c>
      <c r="AR387" s="117"/>
    </row>
    <row r="388" spans="1:45" ht="35.25" customHeight="1">
      <c r="A388" s="130">
        <f t="shared" si="29"/>
        <v>223</v>
      </c>
      <c r="B388" s="132" t="s">
        <v>548</v>
      </c>
      <c r="C388" s="209">
        <v>20.16</v>
      </c>
      <c r="D388" s="210" t="s">
        <v>237</v>
      </c>
      <c r="K388" s="123" t="s">
        <v>52</v>
      </c>
      <c r="N388" s="120" t="s">
        <v>483</v>
      </c>
      <c r="O388" s="120" t="s">
        <v>586</v>
      </c>
      <c r="X388" s="1167" t="s">
        <v>2121</v>
      </c>
      <c r="AB388" s="129">
        <f>AB311</f>
        <v>4240</v>
      </c>
      <c r="AC388" s="126" t="s">
        <v>338</v>
      </c>
      <c r="AD388" s="129" t="str">
        <f>AD309</f>
        <v>Bricks of size 23x11.4x7.5 cm</v>
      </c>
      <c r="AE388" s="129">
        <f>AC42</f>
        <v>7024.8</v>
      </c>
      <c r="AF388" s="120" t="s">
        <v>339</v>
      </c>
      <c r="AG388" s="129">
        <f>(AB388*AE388)/1000</f>
        <v>29785.15</v>
      </c>
      <c r="AN388" s="129">
        <v>91</v>
      </c>
      <c r="AO388" s="126" t="s">
        <v>338</v>
      </c>
      <c r="AP388" s="219" t="s">
        <v>4086</v>
      </c>
      <c r="AQ388" s="136">
        <v>45.8</v>
      </c>
      <c r="AR388" s="120" t="s">
        <v>729</v>
      </c>
      <c r="AS388" s="129">
        <f>(AN388*AQ388)</f>
        <v>4167.8</v>
      </c>
    </row>
    <row r="389" spans="1:45" ht="24" customHeight="1">
      <c r="A389" s="130">
        <f t="shared" si="29"/>
        <v>224</v>
      </c>
      <c r="B389" s="132" t="s">
        <v>549</v>
      </c>
      <c r="C389" s="209">
        <v>22.31</v>
      </c>
      <c r="D389" s="210" t="s">
        <v>237</v>
      </c>
      <c r="H389" s="120" t="s">
        <v>242</v>
      </c>
      <c r="K389" s="129">
        <f>(K387/10)</f>
        <v>6517.23</v>
      </c>
      <c r="O389" s="123" t="s">
        <v>52</v>
      </c>
      <c r="U389" s="115" t="s">
        <v>242</v>
      </c>
      <c r="X389" s="115">
        <f>X387/10</f>
        <v>6850.1</v>
      </c>
      <c r="AB389" s="129">
        <v>1.27</v>
      </c>
      <c r="AC389" s="126" t="s">
        <v>132</v>
      </c>
      <c r="AD389" s="120" t="s">
        <v>259</v>
      </c>
      <c r="AE389" s="129">
        <f>V380</f>
        <v>3937.82</v>
      </c>
      <c r="AF389" s="120" t="s">
        <v>132</v>
      </c>
      <c r="AG389" s="129">
        <f>(AB389*AE389)</f>
        <v>5001.03</v>
      </c>
      <c r="AN389" s="129">
        <v>0.11</v>
      </c>
      <c r="AO389" s="126" t="s">
        <v>132</v>
      </c>
      <c r="AP389" s="120" t="s">
        <v>259</v>
      </c>
      <c r="AQ389" s="129">
        <f>AE389</f>
        <v>3937.82</v>
      </c>
      <c r="AR389" s="120" t="s">
        <v>132</v>
      </c>
      <c r="AS389" s="129">
        <f>(AN389*AQ389)</f>
        <v>433.16</v>
      </c>
    </row>
    <row r="390" spans="1:45" ht="24" customHeight="1">
      <c r="A390" s="130">
        <f t="shared" si="29"/>
        <v>225</v>
      </c>
      <c r="B390" s="132" t="s">
        <v>4087</v>
      </c>
      <c r="C390" s="208"/>
      <c r="D390" s="207" t="s">
        <v>85</v>
      </c>
      <c r="K390" s="123" t="s">
        <v>89</v>
      </c>
      <c r="M390" s="129">
        <v>7.0000000000000007E-2</v>
      </c>
      <c r="N390" s="120" t="s">
        <v>132</v>
      </c>
      <c r="O390" s="120" t="s">
        <v>202</v>
      </c>
      <c r="P390" s="129">
        <f>(C84)</f>
        <v>1348</v>
      </c>
      <c r="Q390" s="120" t="s">
        <v>132</v>
      </c>
      <c r="R390" s="129">
        <f>(M390*P390)</f>
        <v>94.36</v>
      </c>
      <c r="X390" s="1167" t="s">
        <v>1649</v>
      </c>
      <c r="AB390" s="129">
        <v>7</v>
      </c>
      <c r="AC390" s="126" t="s">
        <v>131</v>
      </c>
      <c r="AD390" s="120" t="s">
        <v>345</v>
      </c>
      <c r="AE390" s="129">
        <f>V381</f>
        <v>1041.7</v>
      </c>
      <c r="AF390" s="120" t="s">
        <v>131</v>
      </c>
      <c r="AG390" s="129">
        <f>(AB390*AE390)</f>
        <v>7291.9</v>
      </c>
      <c r="AN390" s="129">
        <v>1.25</v>
      </c>
      <c r="AO390" s="126" t="s">
        <v>131</v>
      </c>
      <c r="AP390" s="120" t="s">
        <v>345</v>
      </c>
      <c r="AQ390" s="129">
        <f>AE390</f>
        <v>1041.7</v>
      </c>
      <c r="AR390" s="120" t="s">
        <v>131</v>
      </c>
      <c r="AS390" s="129">
        <f>(AN390*AQ390)</f>
        <v>1302.1300000000001</v>
      </c>
    </row>
    <row r="391" spans="1:45" ht="24" customHeight="1">
      <c r="A391" s="130">
        <f t="shared" si="29"/>
        <v>226</v>
      </c>
      <c r="B391" s="120" t="s">
        <v>4088</v>
      </c>
      <c r="C391" s="136">
        <v>69.8</v>
      </c>
      <c r="D391" s="132" t="s">
        <v>282</v>
      </c>
      <c r="M391" s="129">
        <v>1.6</v>
      </c>
      <c r="N391" s="120" t="s">
        <v>131</v>
      </c>
      <c r="O391" s="120" t="s">
        <v>302</v>
      </c>
      <c r="P391" s="129">
        <f>(C11)</f>
        <v>972.4</v>
      </c>
      <c r="Q391" s="120" t="s">
        <v>131</v>
      </c>
      <c r="R391" s="129">
        <f>(M391*P391)</f>
        <v>1555.84</v>
      </c>
      <c r="AB391" s="129">
        <v>7.1</v>
      </c>
      <c r="AC391" s="126" t="s">
        <v>131</v>
      </c>
      <c r="AD391" s="120" t="s">
        <v>302</v>
      </c>
      <c r="AE391" s="129">
        <f>V382</f>
        <v>972.4</v>
      </c>
      <c r="AF391" s="120" t="s">
        <v>131</v>
      </c>
      <c r="AG391" s="129">
        <f>(AB391*AE391)</f>
        <v>6904.04</v>
      </c>
      <c r="AN391" s="129"/>
      <c r="AO391" s="126"/>
      <c r="AP391" s="120"/>
      <c r="AQ391" s="129"/>
      <c r="AR391" s="120"/>
      <c r="AS391" s="129"/>
    </row>
    <row r="392" spans="1:45" ht="24" customHeight="1">
      <c r="A392" s="130">
        <f t="shared" si="29"/>
        <v>227</v>
      </c>
      <c r="B392" s="132" t="s">
        <v>589</v>
      </c>
      <c r="C392" s="136">
        <v>98.6</v>
      </c>
      <c r="D392" s="132" t="s">
        <v>282</v>
      </c>
      <c r="G392" s="126" t="s">
        <v>483</v>
      </c>
      <c r="H392" s="120" t="s">
        <v>590</v>
      </c>
      <c r="M392" s="129">
        <v>0.5</v>
      </c>
      <c r="N392" s="120" t="s">
        <v>131</v>
      </c>
      <c r="O392" s="120" t="s">
        <v>304</v>
      </c>
      <c r="P392" s="129">
        <f>(C12)</f>
        <v>679.8</v>
      </c>
      <c r="Q392" s="120" t="s">
        <v>131</v>
      </c>
      <c r="R392" s="129">
        <f>(M392*P392)</f>
        <v>339.9</v>
      </c>
      <c r="T392" s="115" t="s">
        <v>483</v>
      </c>
      <c r="U392" s="115" t="s">
        <v>4089</v>
      </c>
      <c r="AB392" s="129">
        <v>7.1</v>
      </c>
      <c r="AC392" s="126" t="s">
        <v>131</v>
      </c>
      <c r="AD392" s="120" t="s">
        <v>304</v>
      </c>
      <c r="AE392" s="129">
        <f>V383</f>
        <v>679.8</v>
      </c>
      <c r="AF392" s="120" t="s">
        <v>131</v>
      </c>
      <c r="AG392" s="129">
        <f>(AB392*AE392)</f>
        <v>4826.58</v>
      </c>
      <c r="AN392" s="129">
        <v>0.88</v>
      </c>
      <c r="AO392" s="126" t="s">
        <v>131</v>
      </c>
      <c r="AP392" s="120" t="s">
        <v>304</v>
      </c>
      <c r="AQ392" s="129">
        <f>AE392</f>
        <v>679.8</v>
      </c>
      <c r="AR392" s="120" t="s">
        <v>131</v>
      </c>
      <c r="AS392" s="129">
        <f>(AN392*AQ392)</f>
        <v>598.22</v>
      </c>
    </row>
    <row r="393" spans="1:45" ht="24" customHeight="1">
      <c r="A393" s="130">
        <f t="shared" si="29"/>
        <v>228</v>
      </c>
      <c r="B393" s="132" t="s">
        <v>591</v>
      </c>
      <c r="C393" s="136">
        <v>128</v>
      </c>
      <c r="D393" s="132" t="s">
        <v>282</v>
      </c>
      <c r="H393" s="123" t="s">
        <v>52</v>
      </c>
      <c r="M393" s="129">
        <v>2.7</v>
      </c>
      <c r="N393" s="120" t="s">
        <v>131</v>
      </c>
      <c r="O393" s="120" t="s">
        <v>306</v>
      </c>
      <c r="P393" s="129">
        <f>(C13)</f>
        <v>557.70000000000005</v>
      </c>
      <c r="Q393" s="120" t="s">
        <v>131</v>
      </c>
      <c r="R393" s="129">
        <f>(M393*P393)</f>
        <v>1505.79</v>
      </c>
      <c r="U393" s="115" t="s">
        <v>52</v>
      </c>
      <c r="AB393" s="129">
        <v>21.2</v>
      </c>
      <c r="AC393" s="126" t="s">
        <v>131</v>
      </c>
      <c r="AD393" s="120" t="s">
        <v>306</v>
      </c>
      <c r="AE393" s="129">
        <f>V384</f>
        <v>557.70000000000005</v>
      </c>
      <c r="AF393" s="120" t="s">
        <v>131</v>
      </c>
      <c r="AG393" s="129">
        <f>(AB393*AE393)</f>
        <v>11823.24</v>
      </c>
      <c r="AN393" s="129">
        <v>0.88</v>
      </c>
      <c r="AO393" s="126" t="s">
        <v>131</v>
      </c>
      <c r="AP393" s="120" t="s">
        <v>306</v>
      </c>
      <c r="AQ393" s="129">
        <f>AE393</f>
        <v>557.70000000000005</v>
      </c>
      <c r="AR393" s="120" t="s">
        <v>131</v>
      </c>
      <c r="AS393" s="129">
        <f>(AN393*AQ393)</f>
        <v>490.78</v>
      </c>
    </row>
    <row r="394" spans="1:45" ht="24" customHeight="1">
      <c r="A394" s="130">
        <f t="shared" si="29"/>
        <v>229</v>
      </c>
      <c r="B394" s="132" t="s">
        <v>592</v>
      </c>
      <c r="C394" s="136">
        <v>151.4</v>
      </c>
      <c r="D394" s="132" t="s">
        <v>282</v>
      </c>
      <c r="F394" s="129">
        <v>1.1000000000000001</v>
      </c>
      <c r="G394" s="126" t="s">
        <v>132</v>
      </c>
      <c r="H394" s="120" t="s">
        <v>593</v>
      </c>
      <c r="I394" s="129">
        <f>(K389)</f>
        <v>6517.23</v>
      </c>
      <c r="J394" s="120" t="s">
        <v>132</v>
      </c>
      <c r="K394" s="129">
        <f>(F394*I394)</f>
        <v>7168.95</v>
      </c>
      <c r="N394" s="120" t="s">
        <v>145</v>
      </c>
      <c r="O394" s="120" t="s">
        <v>582</v>
      </c>
      <c r="P394" s="120" t="s">
        <v>85</v>
      </c>
      <c r="Q394" s="120" t="s">
        <v>145</v>
      </c>
      <c r="R394" s="129">
        <v>2.09</v>
      </c>
      <c r="S394" s="118">
        <v>1.1200000000000001</v>
      </c>
      <c r="T394" s="115" t="s">
        <v>132</v>
      </c>
      <c r="U394" s="115" t="s">
        <v>593</v>
      </c>
      <c r="V394" s="115">
        <f>X389</f>
        <v>6850.1</v>
      </c>
      <c r="W394" s="119" t="s">
        <v>132</v>
      </c>
      <c r="X394" s="115">
        <f>V394*S394</f>
        <v>7672.11</v>
      </c>
      <c r="AC394" s="126" t="s">
        <v>145</v>
      </c>
      <c r="AD394" s="120" t="s">
        <v>146</v>
      </c>
      <c r="AE394" s="120" t="s">
        <v>85</v>
      </c>
      <c r="AF394" s="120" t="s">
        <v>145</v>
      </c>
      <c r="AG394" s="129">
        <v>0</v>
      </c>
      <c r="AO394" s="126" t="s">
        <v>145</v>
      </c>
      <c r="AP394" s="120" t="s">
        <v>146</v>
      </c>
      <c r="AQ394" s="120" t="s">
        <v>85</v>
      </c>
      <c r="AR394" s="120" t="s">
        <v>145</v>
      </c>
      <c r="AS394" s="129">
        <v>0</v>
      </c>
    </row>
    <row r="395" spans="1:45" ht="24" customHeight="1">
      <c r="A395" s="130">
        <f t="shared" si="29"/>
        <v>230</v>
      </c>
      <c r="B395" s="132" t="s">
        <v>594</v>
      </c>
      <c r="C395" s="136">
        <v>163</v>
      </c>
      <c r="D395" s="132" t="s">
        <v>282</v>
      </c>
      <c r="F395" s="129">
        <v>1</v>
      </c>
      <c r="G395" s="126" t="s">
        <v>237</v>
      </c>
      <c r="H395" s="120" t="s">
        <v>345</v>
      </c>
      <c r="I395" s="129">
        <f>(C10)</f>
        <v>1041.7</v>
      </c>
      <c r="J395" s="120" t="s">
        <v>131</v>
      </c>
      <c r="K395" s="129">
        <f>(F395*I395)</f>
        <v>1041.7</v>
      </c>
      <c r="R395" s="123" t="s">
        <v>52</v>
      </c>
      <c r="S395" s="118">
        <v>1</v>
      </c>
      <c r="T395" s="115" t="s">
        <v>237</v>
      </c>
      <c r="U395" s="115" t="s">
        <v>345</v>
      </c>
      <c r="V395" s="115">
        <f>I395</f>
        <v>1041.7</v>
      </c>
      <c r="W395" s="119" t="s">
        <v>131</v>
      </c>
      <c r="X395" s="115">
        <f>V395*S395</f>
        <v>1041.7</v>
      </c>
      <c r="AC395" s="116"/>
      <c r="AF395" s="117"/>
      <c r="AG395" s="123" t="s">
        <v>52</v>
      </c>
      <c r="AO395" s="116"/>
      <c r="AR395" s="117"/>
      <c r="AS395" s="123" t="s">
        <v>52</v>
      </c>
    </row>
    <row r="396" spans="1:45" ht="24" customHeight="1">
      <c r="A396" s="130">
        <f t="shared" si="29"/>
        <v>231</v>
      </c>
      <c r="B396" s="132" t="s">
        <v>547</v>
      </c>
      <c r="C396" s="136">
        <v>209</v>
      </c>
      <c r="D396" s="132" t="s">
        <v>282</v>
      </c>
      <c r="G396" s="126" t="s">
        <v>145</v>
      </c>
      <c r="H396" s="120" t="s">
        <v>146</v>
      </c>
      <c r="I396" s="120" t="s">
        <v>85</v>
      </c>
      <c r="J396" s="120" t="s">
        <v>145</v>
      </c>
      <c r="K396" s="129">
        <v>0</v>
      </c>
      <c r="O396" s="120" t="s">
        <v>584</v>
      </c>
      <c r="R396" s="129">
        <f>SUM(R389:R394)</f>
        <v>3497.98</v>
      </c>
      <c r="T396" s="115" t="s">
        <v>145</v>
      </c>
      <c r="U396" s="115" t="s">
        <v>146</v>
      </c>
      <c r="V396" s="115" t="s">
        <v>85</v>
      </c>
      <c r="W396" s="119" t="s">
        <v>145</v>
      </c>
      <c r="X396" s="115">
        <v>0</v>
      </c>
      <c r="AC396" s="116"/>
      <c r="AD396" s="120" t="s">
        <v>311</v>
      </c>
      <c r="AF396" s="117"/>
      <c r="AG396" s="129">
        <f>SUM(AG388:AG394)</f>
        <v>65631.94</v>
      </c>
      <c r="AO396" s="116"/>
      <c r="AP396" s="120" t="s">
        <v>4090</v>
      </c>
      <c r="AR396" s="117"/>
      <c r="AS396" s="129">
        <f>SUM(AS388:AS394)</f>
        <v>6992.09</v>
      </c>
    </row>
    <row r="397" spans="1:45" ht="24" customHeight="1">
      <c r="A397" s="130">
        <f t="shared" si="29"/>
        <v>232</v>
      </c>
      <c r="B397" s="132" t="s">
        <v>4091</v>
      </c>
      <c r="C397" s="136">
        <v>244.4</v>
      </c>
      <c r="D397" s="132" t="s">
        <v>282</v>
      </c>
      <c r="K397" s="123" t="s">
        <v>52</v>
      </c>
      <c r="R397" s="123" t="s">
        <v>52</v>
      </c>
      <c r="X397" s="1167" t="s">
        <v>2121</v>
      </c>
      <c r="AC397" s="116"/>
      <c r="AF397" s="117"/>
      <c r="AG397" s="123" t="s">
        <v>52</v>
      </c>
      <c r="AO397" s="116"/>
      <c r="AR397" s="117"/>
      <c r="AS397" s="123" t="s">
        <v>52</v>
      </c>
    </row>
    <row r="398" spans="1:45" ht="24" customHeight="1">
      <c r="A398" s="130">
        <f t="shared" si="29"/>
        <v>233</v>
      </c>
      <c r="B398" s="120" t="s">
        <v>4092</v>
      </c>
      <c r="C398" s="138"/>
      <c r="D398" s="138"/>
      <c r="H398" s="120" t="s">
        <v>495</v>
      </c>
      <c r="K398" s="129">
        <f>SUM(K394:K396)</f>
        <v>8210.65</v>
      </c>
      <c r="O398" s="120" t="s">
        <v>460</v>
      </c>
      <c r="R398" s="129">
        <f>(R396/100)</f>
        <v>34.979999999999997</v>
      </c>
      <c r="U398" s="115" t="s">
        <v>495</v>
      </c>
      <c r="X398" s="115">
        <f>SUM(X394:X396)</f>
        <v>8713.81</v>
      </c>
      <c r="AC398" s="116"/>
      <c r="AD398" s="120" t="s">
        <v>242</v>
      </c>
      <c r="AF398" s="117"/>
      <c r="AG398" s="129">
        <f>(AG396/10)</f>
        <v>6563.19</v>
      </c>
      <c r="AO398" s="116"/>
      <c r="AP398" s="120" t="s">
        <v>460</v>
      </c>
      <c r="AR398" s="117"/>
      <c r="AS398" s="129">
        <f>(AS396/10.71)</f>
        <v>652.86</v>
      </c>
    </row>
    <row r="399" spans="1:45" ht="24" customHeight="1">
      <c r="A399" s="130">
        <f t="shared" si="29"/>
        <v>234</v>
      </c>
      <c r="B399" s="132" t="s">
        <v>588</v>
      </c>
      <c r="C399" s="136">
        <v>13.6</v>
      </c>
      <c r="D399" s="132" t="s">
        <v>131</v>
      </c>
      <c r="K399" s="123" t="s">
        <v>52</v>
      </c>
      <c r="R399" s="123" t="s">
        <v>89</v>
      </c>
      <c r="X399" s="1167" t="s">
        <v>2121</v>
      </c>
      <c r="AC399" s="116"/>
      <c r="AF399" s="117"/>
      <c r="AG399" s="123" t="s">
        <v>89</v>
      </c>
      <c r="AO399" s="116"/>
      <c r="AR399" s="117"/>
      <c r="AS399" s="123" t="s">
        <v>89</v>
      </c>
    </row>
    <row r="400" spans="1:45" ht="24" customHeight="1">
      <c r="A400" s="130">
        <f t="shared" si="29"/>
        <v>235</v>
      </c>
      <c r="B400" s="132" t="s">
        <v>589</v>
      </c>
      <c r="C400" s="136">
        <v>23.2</v>
      </c>
      <c r="D400" s="132" t="s">
        <v>131</v>
      </c>
      <c r="H400" s="120" t="s">
        <v>460</v>
      </c>
      <c r="K400" s="127">
        <f>(K398/10)</f>
        <v>821.07</v>
      </c>
      <c r="N400" s="120" t="s">
        <v>483</v>
      </c>
      <c r="O400" s="120" t="s">
        <v>597</v>
      </c>
      <c r="U400" s="115" t="s">
        <v>460</v>
      </c>
      <c r="X400" s="115">
        <f>X398/10</f>
        <v>871.38</v>
      </c>
      <c r="AC400" s="116"/>
      <c r="AF400" s="117"/>
      <c r="AP400" s="120" t="s">
        <v>53</v>
      </c>
      <c r="AR400" s="117">
        <f>AF411</f>
        <v>9.3800000000000008</v>
      </c>
      <c r="AS400" s="127">
        <f>AS398+AR400</f>
        <v>662.24</v>
      </c>
    </row>
    <row r="401" spans="1:45" ht="24" customHeight="1">
      <c r="A401" s="130">
        <f t="shared" si="29"/>
        <v>236</v>
      </c>
      <c r="B401" s="132" t="s">
        <v>591</v>
      </c>
      <c r="C401" s="136">
        <v>52</v>
      </c>
      <c r="D401" s="132" t="s">
        <v>131</v>
      </c>
      <c r="K401" s="123" t="s">
        <v>89</v>
      </c>
      <c r="O401" s="123" t="s">
        <v>52</v>
      </c>
      <c r="X401" s="1167" t="s">
        <v>1649</v>
      </c>
      <c r="AC401" s="126" t="s">
        <v>483</v>
      </c>
      <c r="AD401" s="120" t="s">
        <v>4093</v>
      </c>
      <c r="AF401" s="117"/>
      <c r="AP401" s="120" t="s">
        <v>54</v>
      </c>
      <c r="AR401" s="117">
        <f>AF412</f>
        <v>18.920000000000002</v>
      </c>
      <c r="AS401" s="127">
        <f t="shared" ref="AS401:AS406" si="31">AS400+AR401</f>
        <v>681.16</v>
      </c>
    </row>
    <row r="402" spans="1:45" ht="24" customHeight="1">
      <c r="A402" s="130">
        <f t="shared" si="29"/>
        <v>237</v>
      </c>
      <c r="B402" s="132" t="s">
        <v>592</v>
      </c>
      <c r="C402" s="136">
        <v>69.8</v>
      </c>
      <c r="D402" s="132" t="s">
        <v>131</v>
      </c>
      <c r="H402" s="120" t="s">
        <v>53</v>
      </c>
      <c r="J402" s="117">
        <f>K402-K400</f>
        <v>9.0500000000000007</v>
      </c>
      <c r="K402" s="127">
        <f>(K400+C19/10*F394)</f>
        <v>830.12</v>
      </c>
      <c r="M402" s="129">
        <v>10</v>
      </c>
      <c r="N402" s="120" t="s">
        <v>425</v>
      </c>
      <c r="O402" s="120" t="s">
        <v>586</v>
      </c>
      <c r="P402" s="129">
        <f>(R398)</f>
        <v>34.979999999999997</v>
      </c>
      <c r="Q402" s="120" t="s">
        <v>425</v>
      </c>
      <c r="R402" s="129">
        <f>(M402*P402)</f>
        <v>349.8</v>
      </c>
      <c r="U402" s="114" t="s">
        <v>53</v>
      </c>
      <c r="W402" s="119">
        <f>0.112*C19</f>
        <v>9.2200000000000006</v>
      </c>
      <c r="X402" s="114">
        <f>X400+W402</f>
        <v>880.6</v>
      </c>
      <c r="AC402" s="116"/>
      <c r="AD402" s="123" t="s">
        <v>52</v>
      </c>
      <c r="AF402" s="117"/>
      <c r="AP402" s="120" t="s">
        <v>55</v>
      </c>
      <c r="AR402" s="117">
        <f>AR401</f>
        <v>18.920000000000002</v>
      </c>
      <c r="AS402" s="127">
        <f t="shared" si="31"/>
        <v>700.08</v>
      </c>
    </row>
    <row r="403" spans="1:45" ht="24" customHeight="1">
      <c r="A403" s="130">
        <f t="shared" si="29"/>
        <v>238</v>
      </c>
      <c r="B403" s="132" t="s">
        <v>594</v>
      </c>
      <c r="C403" s="136">
        <v>87</v>
      </c>
      <c r="D403" s="132" t="s">
        <v>131</v>
      </c>
      <c r="H403" s="120" t="s">
        <v>54</v>
      </c>
      <c r="J403" s="117">
        <f>K403-K402</f>
        <v>18.260000000000002</v>
      </c>
      <c r="K403" s="127">
        <f>(K402+C20/10*F394)</f>
        <v>848.38</v>
      </c>
      <c r="M403" s="129">
        <v>10</v>
      </c>
      <c r="N403" s="120" t="s">
        <v>425</v>
      </c>
      <c r="O403" s="120" t="s">
        <v>598</v>
      </c>
      <c r="P403" s="129">
        <f>(R398/2)</f>
        <v>17.489999999999998</v>
      </c>
      <c r="Q403" s="120" t="s">
        <v>425</v>
      </c>
      <c r="R403" s="129">
        <f>(M403*P403)</f>
        <v>174.9</v>
      </c>
      <c r="U403" s="114" t="s">
        <v>54</v>
      </c>
      <c r="W403" s="119">
        <f>0.112*C20</f>
        <v>18.59</v>
      </c>
      <c r="X403" s="114">
        <f>X402+W403</f>
        <v>899.19</v>
      </c>
      <c r="AB403" s="129">
        <v>1.1399999999999999</v>
      </c>
      <c r="AC403" s="126" t="s">
        <v>132</v>
      </c>
      <c r="AD403" s="120" t="s">
        <v>593</v>
      </c>
      <c r="AE403" s="129">
        <f>(AG398)</f>
        <v>6563.19</v>
      </c>
      <c r="AF403" s="120" t="s">
        <v>132</v>
      </c>
      <c r="AG403" s="129">
        <f>(AB403*AE403)</f>
        <v>7482.04</v>
      </c>
      <c r="AP403" s="120" t="s">
        <v>56</v>
      </c>
      <c r="AR403" s="117">
        <f>AR402</f>
        <v>18.920000000000002</v>
      </c>
      <c r="AS403" s="127">
        <f t="shared" si="31"/>
        <v>719</v>
      </c>
    </row>
    <row r="404" spans="1:45" ht="24" customHeight="1">
      <c r="A404" s="130">
        <f t="shared" si="29"/>
        <v>239</v>
      </c>
      <c r="B404" s="132" t="s">
        <v>547</v>
      </c>
      <c r="C404" s="136">
        <v>116.3</v>
      </c>
      <c r="D404" s="132" t="s">
        <v>131</v>
      </c>
      <c r="H404" s="120" t="s">
        <v>55</v>
      </c>
      <c r="K404" s="127">
        <f>(K403+C21/10*F394)</f>
        <v>866.64</v>
      </c>
      <c r="O404" s="120" t="s">
        <v>599</v>
      </c>
      <c r="R404" s="123" t="s">
        <v>52</v>
      </c>
      <c r="U404" s="114" t="s">
        <v>55</v>
      </c>
      <c r="W404" s="119">
        <f>W403</f>
        <v>18.59</v>
      </c>
      <c r="X404" s="114">
        <f>X403+W404</f>
        <v>917.78</v>
      </c>
      <c r="AB404" s="129">
        <v>1</v>
      </c>
      <c r="AC404" s="126" t="s">
        <v>237</v>
      </c>
      <c r="AD404" s="120" t="s">
        <v>345</v>
      </c>
      <c r="AE404" s="129">
        <f>AE390</f>
        <v>1041.7</v>
      </c>
      <c r="AF404" s="120" t="s">
        <v>131</v>
      </c>
      <c r="AG404" s="129">
        <f>(AB404*AE404)</f>
        <v>1041.7</v>
      </c>
      <c r="AP404" s="120" t="s">
        <v>57</v>
      </c>
      <c r="AR404" s="117">
        <f>AR403</f>
        <v>18.920000000000002</v>
      </c>
      <c r="AS404" s="127">
        <f t="shared" si="31"/>
        <v>737.92</v>
      </c>
    </row>
    <row r="405" spans="1:45" ht="24" customHeight="1">
      <c r="A405" s="130">
        <f t="shared" si="29"/>
        <v>240</v>
      </c>
      <c r="B405" s="215" t="s">
        <v>4094</v>
      </c>
      <c r="C405" s="216">
        <v>242.55</v>
      </c>
      <c r="D405" s="217" t="s">
        <v>131</v>
      </c>
      <c r="H405" s="120" t="s">
        <v>56</v>
      </c>
      <c r="K405" s="127">
        <f>(K404+C21/10*F394)</f>
        <v>884.9</v>
      </c>
      <c r="R405" s="129">
        <f>SUM(R402:R403)</f>
        <v>524.70000000000005</v>
      </c>
      <c r="U405" s="114" t="s">
        <v>56</v>
      </c>
      <c r="W405" s="119">
        <f>W403</f>
        <v>18.59</v>
      </c>
      <c r="X405" s="114">
        <f>X404+W405</f>
        <v>936.37</v>
      </c>
      <c r="AC405" s="126" t="s">
        <v>145</v>
      </c>
      <c r="AD405" s="120" t="s">
        <v>146</v>
      </c>
      <c r="AE405" s="120" t="s">
        <v>85</v>
      </c>
      <c r="AF405" s="120" t="s">
        <v>145</v>
      </c>
      <c r="AG405" s="136">
        <v>5</v>
      </c>
      <c r="AP405" s="120" t="s">
        <v>4095</v>
      </c>
      <c r="AR405" s="117">
        <f>AR404</f>
        <v>18.920000000000002</v>
      </c>
      <c r="AS405" s="127">
        <f t="shared" si="31"/>
        <v>756.84</v>
      </c>
    </row>
    <row r="406" spans="1:45" ht="24" customHeight="1">
      <c r="A406" s="130">
        <f t="shared" si="29"/>
        <v>241</v>
      </c>
      <c r="B406" s="120" t="s">
        <v>4096</v>
      </c>
      <c r="C406" s="138"/>
      <c r="D406" s="132" t="s">
        <v>85</v>
      </c>
      <c r="H406" s="120" t="s">
        <v>57</v>
      </c>
      <c r="K406" s="127">
        <f>(K405+C21/10*F394)</f>
        <v>903.16</v>
      </c>
      <c r="L406" s="115">
        <f>K406-K405</f>
        <v>18.260000000000002</v>
      </c>
      <c r="O406" s="120" t="s">
        <v>495</v>
      </c>
      <c r="R406" s="123" t="s">
        <v>52</v>
      </c>
      <c r="U406" s="114" t="s">
        <v>57</v>
      </c>
      <c r="W406" s="119">
        <f>W405</f>
        <v>18.59</v>
      </c>
      <c r="X406" s="114">
        <f>X405+W406</f>
        <v>954.96</v>
      </c>
      <c r="AC406" s="116"/>
      <c r="AF406" s="117"/>
      <c r="AG406" s="123" t="s">
        <v>52</v>
      </c>
      <c r="AP406" s="120" t="s">
        <v>4097</v>
      </c>
      <c r="AR406" s="117">
        <f>AR405</f>
        <v>18.920000000000002</v>
      </c>
      <c r="AS406" s="127">
        <f t="shared" si="31"/>
        <v>775.76</v>
      </c>
    </row>
    <row r="407" spans="1:45" ht="24" customHeight="1">
      <c r="A407" s="130">
        <f t="shared" si="29"/>
        <v>242</v>
      </c>
      <c r="B407" s="132" t="s">
        <v>588</v>
      </c>
      <c r="C407" s="136">
        <v>13.6</v>
      </c>
      <c r="D407" s="132" t="s">
        <v>131</v>
      </c>
      <c r="F407" s="148">
        <v>11</v>
      </c>
      <c r="G407" s="126" t="s">
        <v>111</v>
      </c>
      <c r="H407" s="120" t="s">
        <v>4098</v>
      </c>
      <c r="L407" s="115">
        <f>K406+L406</f>
        <v>921.42</v>
      </c>
      <c r="R407" s="129">
        <f>(R405/10)</f>
        <v>52.47</v>
      </c>
      <c r="S407" s="118">
        <v>11</v>
      </c>
      <c r="T407" s="115" t="s">
        <v>111</v>
      </c>
      <c r="U407" s="115" t="s">
        <v>4098</v>
      </c>
      <c r="AC407" s="116"/>
      <c r="AD407" s="120" t="s">
        <v>495</v>
      </c>
      <c r="AF407" s="117"/>
      <c r="AG407" s="129">
        <f>SUM(AG403:AG405)</f>
        <v>8528.74</v>
      </c>
    </row>
    <row r="408" spans="1:45" ht="24" customHeight="1">
      <c r="A408" s="130">
        <f t="shared" si="29"/>
        <v>243</v>
      </c>
      <c r="B408" s="132" t="s">
        <v>589</v>
      </c>
      <c r="C408" s="136">
        <v>15.9</v>
      </c>
      <c r="D408" s="132" t="s">
        <v>131</v>
      </c>
      <c r="H408" s="129" t="str">
        <f>H309</f>
        <v>Bricks of size 22x11x7 cm</v>
      </c>
      <c r="O408" s="120" t="s">
        <v>460</v>
      </c>
      <c r="R408" s="123" t="s">
        <v>89</v>
      </c>
      <c r="U408" s="115" t="s">
        <v>4070</v>
      </c>
      <c r="AC408" s="116"/>
      <c r="AF408" s="117"/>
      <c r="AG408" s="123" t="s">
        <v>52</v>
      </c>
    </row>
    <row r="409" spans="1:45" ht="24" customHeight="1">
      <c r="A409" s="130">
        <f t="shared" si="29"/>
        <v>244</v>
      </c>
      <c r="B409" s="132" t="s">
        <v>591</v>
      </c>
      <c r="C409" s="136">
        <v>28.6</v>
      </c>
      <c r="D409" s="132" t="s">
        <v>131</v>
      </c>
      <c r="H409" s="123" t="s">
        <v>52</v>
      </c>
      <c r="U409" s="115" t="s">
        <v>52</v>
      </c>
      <c r="AC409" s="116"/>
      <c r="AD409" s="120" t="s">
        <v>460</v>
      </c>
      <c r="AF409" s="117"/>
      <c r="AG409" s="127">
        <f>(AG407/10)</f>
        <v>852.87</v>
      </c>
    </row>
    <row r="410" spans="1:45" ht="24" customHeight="1">
      <c r="A410" s="130">
        <f t="shared" si="29"/>
        <v>245</v>
      </c>
      <c r="B410" s="132" t="s">
        <v>592</v>
      </c>
      <c r="C410" s="136">
        <v>46.5</v>
      </c>
      <c r="D410" s="132" t="s">
        <v>131</v>
      </c>
      <c r="F410" s="129">
        <f>F311</f>
        <v>4800</v>
      </c>
      <c r="G410" s="126" t="s">
        <v>338</v>
      </c>
      <c r="H410" s="129" t="str">
        <f>H309</f>
        <v>Bricks of size 22x11x7 cm</v>
      </c>
      <c r="I410" s="129">
        <f>(C80)</f>
        <v>5846.95</v>
      </c>
      <c r="J410" s="120" t="s">
        <v>601</v>
      </c>
      <c r="K410" s="129">
        <f>(F410*I410)/1000</f>
        <v>28065.360000000001</v>
      </c>
      <c r="N410" s="120" t="s">
        <v>111</v>
      </c>
      <c r="O410" s="120" t="s">
        <v>602</v>
      </c>
      <c r="S410" s="118">
        <v>4600</v>
      </c>
      <c r="T410" s="115" t="s">
        <v>338</v>
      </c>
      <c r="U410" s="115" t="s">
        <v>4070</v>
      </c>
      <c r="V410" s="115">
        <f t="shared" ref="V410:V415" si="32">V379</f>
        <v>6824.8</v>
      </c>
      <c r="W410" s="119" t="s">
        <v>601</v>
      </c>
      <c r="X410" s="115">
        <f>V410*S410/1000</f>
        <v>31394.080000000002</v>
      </c>
      <c r="AC410" s="116"/>
      <c r="AF410" s="117"/>
      <c r="AG410" s="123" t="s">
        <v>89</v>
      </c>
    </row>
    <row r="411" spans="1:45" ht="24" customHeight="1">
      <c r="A411" s="130">
        <f t="shared" ref="A411:A421" si="33">(A410+1)</f>
        <v>246</v>
      </c>
      <c r="B411" s="132" t="s">
        <v>594</v>
      </c>
      <c r="C411" s="136">
        <v>58.1</v>
      </c>
      <c r="D411" s="132" t="s">
        <v>131</v>
      </c>
      <c r="F411" s="129">
        <f>F380</f>
        <v>1.59</v>
      </c>
      <c r="G411" s="126" t="s">
        <v>132</v>
      </c>
      <c r="H411" s="120" t="s">
        <v>259</v>
      </c>
      <c r="I411" s="129">
        <f>(K40)</f>
        <v>3937.82</v>
      </c>
      <c r="J411" s="120" t="s">
        <v>132</v>
      </c>
      <c r="K411" s="129">
        <f>(F411*I411)</f>
        <v>6261.13</v>
      </c>
      <c r="O411" s="120" t="s">
        <v>603</v>
      </c>
      <c r="S411" s="118">
        <v>1.59</v>
      </c>
      <c r="T411" s="115" t="s">
        <v>132</v>
      </c>
      <c r="U411" s="115" t="s">
        <v>259</v>
      </c>
      <c r="V411" s="115">
        <f t="shared" si="32"/>
        <v>3937.82</v>
      </c>
      <c r="W411" s="119" t="s">
        <v>132</v>
      </c>
      <c r="X411" s="115">
        <f t="shared" ref="X411:X416" si="34">V411*S411</f>
        <v>6261.13</v>
      </c>
      <c r="AC411" s="116"/>
      <c r="AD411" s="120" t="s">
        <v>53</v>
      </c>
      <c r="AF411" s="117">
        <f>C19*0.114</f>
        <v>9.3800000000000008</v>
      </c>
      <c r="AG411" s="127">
        <f>AG409+AF411</f>
        <v>862.25</v>
      </c>
    </row>
    <row r="412" spans="1:45" ht="24" customHeight="1">
      <c r="A412" s="130">
        <f t="shared" si="33"/>
        <v>247</v>
      </c>
      <c r="B412" s="132" t="s">
        <v>547</v>
      </c>
      <c r="C412" s="136">
        <v>69.8</v>
      </c>
      <c r="D412" s="132" t="s">
        <v>131</v>
      </c>
      <c r="F412" s="129">
        <v>7</v>
      </c>
      <c r="G412" s="126" t="s">
        <v>131</v>
      </c>
      <c r="H412" s="120" t="s">
        <v>345</v>
      </c>
      <c r="I412" s="129">
        <f>(C10)</f>
        <v>1041.7</v>
      </c>
      <c r="J412" s="120" t="s">
        <v>131</v>
      </c>
      <c r="K412" s="129">
        <f>(F412*I412)</f>
        <v>7291.9</v>
      </c>
      <c r="O412" s="123" t="s">
        <v>52</v>
      </c>
      <c r="S412" s="118">
        <v>7</v>
      </c>
      <c r="T412" s="115" t="s">
        <v>131</v>
      </c>
      <c r="U412" s="115" t="s">
        <v>345</v>
      </c>
      <c r="V412" s="115">
        <f t="shared" si="32"/>
        <v>1041.7</v>
      </c>
      <c r="W412" s="119" t="s">
        <v>131</v>
      </c>
      <c r="X412" s="115">
        <f t="shared" si="34"/>
        <v>7291.9</v>
      </c>
      <c r="AC412" s="116"/>
      <c r="AD412" s="120" t="s">
        <v>54</v>
      </c>
      <c r="AF412" s="117">
        <f>C20*0.114</f>
        <v>18.920000000000002</v>
      </c>
      <c r="AG412" s="127">
        <f t="shared" ref="AG412:AG422" si="35">AG411+AF412</f>
        <v>881.17</v>
      </c>
    </row>
    <row r="413" spans="1:45" ht="24" customHeight="1">
      <c r="A413" s="130">
        <f t="shared" si="33"/>
        <v>248</v>
      </c>
      <c r="B413" s="215" t="s">
        <v>4099</v>
      </c>
      <c r="C413" s="216">
        <v>207.9</v>
      </c>
      <c r="D413" s="217" t="s">
        <v>131</v>
      </c>
      <c r="F413" s="129">
        <v>7.1</v>
      </c>
      <c r="G413" s="126" t="s">
        <v>131</v>
      </c>
      <c r="H413" s="120" t="s">
        <v>302</v>
      </c>
      <c r="I413" s="129">
        <f>(C11)</f>
        <v>972.4</v>
      </c>
      <c r="J413" s="120" t="s">
        <v>131</v>
      </c>
      <c r="K413" s="129">
        <f>(F413*I413)</f>
        <v>6904.04</v>
      </c>
      <c r="M413" s="129">
        <v>10</v>
      </c>
      <c r="N413" s="120" t="s">
        <v>425</v>
      </c>
      <c r="O413" s="120" t="s">
        <v>580</v>
      </c>
      <c r="P413" s="129">
        <f>(R384)</f>
        <v>24.02</v>
      </c>
      <c r="Q413" s="120" t="s">
        <v>425</v>
      </c>
      <c r="R413" s="129">
        <f>(M413*P413)</f>
        <v>240.2</v>
      </c>
      <c r="S413" s="118">
        <v>7.1</v>
      </c>
      <c r="T413" s="115" t="s">
        <v>131</v>
      </c>
      <c r="U413" s="115" t="s">
        <v>302</v>
      </c>
      <c r="V413" s="115">
        <f t="shared" si="32"/>
        <v>972.4</v>
      </c>
      <c r="W413" s="119" t="s">
        <v>131</v>
      </c>
      <c r="X413" s="115">
        <f t="shared" si="34"/>
        <v>6904.04</v>
      </c>
      <c r="AC413" s="116"/>
      <c r="AD413" s="120" t="s">
        <v>55</v>
      </c>
      <c r="AF413" s="117">
        <f t="shared" ref="AF413:AF422" si="36">AF412</f>
        <v>18.920000000000002</v>
      </c>
      <c r="AG413" s="127">
        <f t="shared" si="35"/>
        <v>900.09</v>
      </c>
    </row>
    <row r="414" spans="1:45" ht="24" customHeight="1">
      <c r="A414" s="130">
        <f t="shared" si="33"/>
        <v>249</v>
      </c>
      <c r="B414" s="218" t="s">
        <v>4100</v>
      </c>
      <c r="C414" s="138"/>
      <c r="D414" s="132" t="s">
        <v>85</v>
      </c>
      <c r="F414" s="129">
        <v>7.1</v>
      </c>
      <c r="G414" s="126" t="s">
        <v>131</v>
      </c>
      <c r="H414" s="120" t="s">
        <v>304</v>
      </c>
      <c r="I414" s="129">
        <f>(C12)</f>
        <v>679.8</v>
      </c>
      <c r="J414" s="120" t="s">
        <v>131</v>
      </c>
      <c r="K414" s="129">
        <f>(F414*I414)</f>
        <v>4826.58</v>
      </c>
      <c r="M414" s="129">
        <v>10</v>
      </c>
      <c r="N414" s="120" t="s">
        <v>425</v>
      </c>
      <c r="O414" s="120" t="s">
        <v>597</v>
      </c>
      <c r="P414" s="129">
        <f>(R407)</f>
        <v>52.47</v>
      </c>
      <c r="Q414" s="120" t="s">
        <v>425</v>
      </c>
      <c r="R414" s="129">
        <f>(M414*P414)</f>
        <v>524.70000000000005</v>
      </c>
      <c r="S414" s="118">
        <v>7.1</v>
      </c>
      <c r="T414" s="115" t="s">
        <v>131</v>
      </c>
      <c r="U414" s="115" t="s">
        <v>304</v>
      </c>
      <c r="V414" s="115">
        <f t="shared" si="32"/>
        <v>679.8</v>
      </c>
      <c r="W414" s="119" t="s">
        <v>131</v>
      </c>
      <c r="X414" s="115">
        <f t="shared" si="34"/>
        <v>4826.58</v>
      </c>
      <c r="AC414" s="116"/>
      <c r="AD414" s="120" t="s">
        <v>56</v>
      </c>
      <c r="AF414" s="117">
        <f t="shared" si="36"/>
        <v>18.920000000000002</v>
      </c>
      <c r="AG414" s="127">
        <f t="shared" si="35"/>
        <v>919.01</v>
      </c>
    </row>
    <row r="415" spans="1:45" ht="24" customHeight="1">
      <c r="A415" s="130">
        <f t="shared" si="33"/>
        <v>250</v>
      </c>
      <c r="B415" s="132" t="s">
        <v>588</v>
      </c>
      <c r="C415" s="136">
        <v>15.9</v>
      </c>
      <c r="D415" s="132" t="s">
        <v>131</v>
      </c>
      <c r="F415" s="129">
        <v>21.2</v>
      </c>
      <c r="G415" s="126" t="s">
        <v>131</v>
      </c>
      <c r="H415" s="120" t="s">
        <v>306</v>
      </c>
      <c r="I415" s="129">
        <f>(C13)</f>
        <v>557.70000000000005</v>
      </c>
      <c r="J415" s="120" t="s">
        <v>131</v>
      </c>
      <c r="K415" s="129">
        <f>(F415*I415)</f>
        <v>11823.24</v>
      </c>
      <c r="O415" s="120" t="s">
        <v>85</v>
      </c>
      <c r="R415" s="123" t="s">
        <v>52</v>
      </c>
      <c r="S415" s="118">
        <v>21.2</v>
      </c>
      <c r="T415" s="115" t="s">
        <v>131</v>
      </c>
      <c r="U415" s="115" t="s">
        <v>306</v>
      </c>
      <c r="V415" s="115">
        <f t="shared" si="32"/>
        <v>557.70000000000005</v>
      </c>
      <c r="W415" s="119" t="s">
        <v>131</v>
      </c>
      <c r="X415" s="115">
        <f t="shared" si="34"/>
        <v>11823.24</v>
      </c>
      <c r="AC415" s="116"/>
      <c r="AD415" s="120" t="s">
        <v>57</v>
      </c>
      <c r="AF415" s="117">
        <f t="shared" si="36"/>
        <v>18.920000000000002</v>
      </c>
      <c r="AG415" s="127">
        <f t="shared" si="35"/>
        <v>937.93</v>
      </c>
    </row>
    <row r="416" spans="1:45" ht="24" customHeight="1">
      <c r="A416" s="130">
        <f t="shared" si="33"/>
        <v>251</v>
      </c>
      <c r="B416" s="132" t="s">
        <v>589</v>
      </c>
      <c r="C416" s="136">
        <v>25.4</v>
      </c>
      <c r="D416" s="132" t="s">
        <v>131</v>
      </c>
      <c r="G416" s="126" t="s">
        <v>145</v>
      </c>
      <c r="H416" s="120" t="s">
        <v>146</v>
      </c>
      <c r="I416" s="120" t="s">
        <v>85</v>
      </c>
      <c r="J416" s="120" t="s">
        <v>145</v>
      </c>
      <c r="K416" s="129">
        <v>0</v>
      </c>
      <c r="R416" s="129">
        <f>SUM(R413:R414)</f>
        <v>764.9</v>
      </c>
      <c r="T416" s="115" t="s">
        <v>145</v>
      </c>
      <c r="U416" s="115" t="s">
        <v>146</v>
      </c>
      <c r="V416" s="115" t="s">
        <v>85</v>
      </c>
      <c r="W416" s="119" t="s">
        <v>145</v>
      </c>
      <c r="X416" s="115" t="e">
        <f t="shared" si="34"/>
        <v>#VALUE!</v>
      </c>
      <c r="AC416" s="116"/>
      <c r="AD416" s="120" t="s">
        <v>4095</v>
      </c>
      <c r="AF416" s="117">
        <f t="shared" si="36"/>
        <v>18.920000000000002</v>
      </c>
      <c r="AG416" s="127">
        <f t="shared" si="35"/>
        <v>956.85</v>
      </c>
    </row>
    <row r="417" spans="1:35" ht="24" customHeight="1">
      <c r="A417" s="130">
        <f t="shared" si="33"/>
        <v>252</v>
      </c>
      <c r="B417" s="132" t="s">
        <v>591</v>
      </c>
      <c r="C417" s="136">
        <v>58.1</v>
      </c>
      <c r="D417" s="132" t="s">
        <v>131</v>
      </c>
      <c r="K417" s="123" t="s">
        <v>52</v>
      </c>
      <c r="O417" s="120" t="s">
        <v>495</v>
      </c>
      <c r="R417" s="123" t="s">
        <v>52</v>
      </c>
      <c r="X417" s="1167" t="s">
        <v>2121</v>
      </c>
      <c r="AC417" s="116"/>
      <c r="AD417" s="120" t="s">
        <v>4097</v>
      </c>
      <c r="AF417" s="117">
        <f t="shared" si="36"/>
        <v>18.920000000000002</v>
      </c>
      <c r="AG417" s="127">
        <f t="shared" si="35"/>
        <v>975.77</v>
      </c>
    </row>
    <row r="418" spans="1:35" ht="24" customHeight="1">
      <c r="A418" s="130">
        <f t="shared" si="33"/>
        <v>253</v>
      </c>
      <c r="B418" s="132" t="s">
        <v>592</v>
      </c>
      <c r="C418" s="136">
        <v>87</v>
      </c>
      <c r="D418" s="132" t="s">
        <v>131</v>
      </c>
      <c r="H418" s="120" t="s">
        <v>311</v>
      </c>
      <c r="K418" s="129">
        <f>SUM(K410:K416)</f>
        <v>65172.25</v>
      </c>
      <c r="R418" s="129">
        <f>(R416/10)</f>
        <v>76.489999999999995</v>
      </c>
      <c r="U418" s="115" t="s">
        <v>311</v>
      </c>
      <c r="X418" s="115" t="e">
        <f>SUM(X410:X416)</f>
        <v>#VALUE!</v>
      </c>
      <c r="AC418" s="116"/>
      <c r="AD418" s="120" t="s">
        <v>4101</v>
      </c>
      <c r="AF418" s="117">
        <f t="shared" si="36"/>
        <v>18.920000000000002</v>
      </c>
      <c r="AG418" s="127">
        <f t="shared" si="35"/>
        <v>994.69</v>
      </c>
    </row>
    <row r="419" spans="1:35" ht="24" customHeight="1">
      <c r="A419" s="130">
        <f t="shared" si="33"/>
        <v>254</v>
      </c>
      <c r="B419" s="132" t="s">
        <v>594</v>
      </c>
      <c r="C419" s="136">
        <v>98.6</v>
      </c>
      <c r="D419" s="132" t="s">
        <v>131</v>
      </c>
      <c r="K419" s="123" t="s">
        <v>52</v>
      </c>
      <c r="O419" s="120" t="s">
        <v>460</v>
      </c>
      <c r="R419" s="123" t="s">
        <v>89</v>
      </c>
      <c r="X419" s="1167" t="s">
        <v>2121</v>
      </c>
      <c r="AC419" s="116"/>
      <c r="AD419" s="120" t="s">
        <v>4102</v>
      </c>
      <c r="AF419" s="117">
        <f t="shared" si="36"/>
        <v>18.920000000000002</v>
      </c>
      <c r="AG419" s="127">
        <f t="shared" si="35"/>
        <v>1013.61</v>
      </c>
    </row>
    <row r="420" spans="1:35" ht="24" customHeight="1">
      <c r="A420" s="130">
        <f t="shared" si="33"/>
        <v>255</v>
      </c>
      <c r="B420" s="132" t="s">
        <v>547</v>
      </c>
      <c r="C420" s="136">
        <v>128</v>
      </c>
      <c r="D420" s="132" t="s">
        <v>131</v>
      </c>
      <c r="H420" s="120" t="s">
        <v>242</v>
      </c>
      <c r="K420" s="129">
        <f>(K418/10)</f>
        <v>6517.23</v>
      </c>
      <c r="U420" s="115" t="s">
        <v>242</v>
      </c>
      <c r="X420" s="115" t="e">
        <f>X418/10</f>
        <v>#VALUE!</v>
      </c>
      <c r="AC420" s="116"/>
      <c r="AD420" s="120" t="s">
        <v>4103</v>
      </c>
      <c r="AF420" s="117">
        <f t="shared" si="36"/>
        <v>18.920000000000002</v>
      </c>
      <c r="AG420" s="127">
        <f t="shared" si="35"/>
        <v>1032.53</v>
      </c>
    </row>
    <row r="421" spans="1:35" ht="24" customHeight="1">
      <c r="A421" s="130">
        <f t="shared" si="33"/>
        <v>256</v>
      </c>
      <c r="B421" s="217" t="s">
        <v>4104</v>
      </c>
      <c r="C421" s="216">
        <v>280</v>
      </c>
      <c r="D421" s="217" t="s">
        <v>131</v>
      </c>
      <c r="K421" s="123" t="s">
        <v>89</v>
      </c>
      <c r="X421" s="1167" t="s">
        <v>1649</v>
      </c>
      <c r="AB421" s="148">
        <v>11</v>
      </c>
      <c r="AC421" s="126" t="s">
        <v>111</v>
      </c>
      <c r="AD421" s="120" t="s">
        <v>4098</v>
      </c>
      <c r="AF421" s="117">
        <f t="shared" si="36"/>
        <v>18.920000000000002</v>
      </c>
      <c r="AG421" s="127">
        <f t="shared" si="35"/>
        <v>1051.45</v>
      </c>
    </row>
    <row r="422" spans="1:35" ht="24" customHeight="1">
      <c r="A422" s="138"/>
      <c r="B422" s="138"/>
      <c r="C422" s="138"/>
      <c r="D422" s="138"/>
      <c r="F422" s="120" t="s">
        <v>88</v>
      </c>
      <c r="S422" s="118" t="s">
        <v>88</v>
      </c>
      <c r="AC422" s="116"/>
      <c r="AD422" s="129">
        <f>AD307</f>
        <v>0</v>
      </c>
      <c r="AF422" s="117">
        <f t="shared" si="36"/>
        <v>18.920000000000002</v>
      </c>
      <c r="AG422" s="127">
        <f t="shared" si="35"/>
        <v>1070.3699999999999</v>
      </c>
      <c r="AH422" s="115" t="s">
        <v>4105</v>
      </c>
      <c r="AI422" s="115">
        <f>AG422+AF422</f>
        <v>1089.29</v>
      </c>
    </row>
    <row r="423" spans="1:35" ht="24" customHeight="1">
      <c r="A423" s="130">
        <f>(A421+1)</f>
        <v>257</v>
      </c>
      <c r="B423" s="218" t="s">
        <v>4106</v>
      </c>
      <c r="C423" s="138"/>
      <c r="D423" s="132" t="s">
        <v>85</v>
      </c>
      <c r="O423" s="121" t="s">
        <v>606</v>
      </c>
      <c r="AC423" s="116"/>
      <c r="AD423" s="123" t="s">
        <v>52</v>
      </c>
      <c r="AF423" s="117"/>
      <c r="AH423" s="115" t="s">
        <v>4107</v>
      </c>
      <c r="AI423" s="115">
        <f>AI422+AF422</f>
        <v>1108.21</v>
      </c>
    </row>
    <row r="424" spans="1:35" ht="24" customHeight="1">
      <c r="A424" s="130">
        <f t="shared" ref="A424:A487" si="37">(A423+1)</f>
        <v>258</v>
      </c>
      <c r="B424" s="132" t="s">
        <v>588</v>
      </c>
      <c r="C424" s="136">
        <v>58.1</v>
      </c>
      <c r="D424" s="132" t="s">
        <v>131</v>
      </c>
      <c r="G424" s="126" t="s">
        <v>607</v>
      </c>
      <c r="H424" s="120" t="s">
        <v>608</v>
      </c>
      <c r="O424" s="123" t="s">
        <v>52</v>
      </c>
      <c r="T424" s="115" t="s">
        <v>607</v>
      </c>
      <c r="U424" s="115" t="s">
        <v>608</v>
      </c>
      <c r="AB424" s="129">
        <f>AB311</f>
        <v>4240</v>
      </c>
      <c r="AC424" s="126" t="s">
        <v>338</v>
      </c>
      <c r="AD424" s="129" t="str">
        <f>AD311</f>
        <v>Bricks of size 23x11.4x7.5 cm</v>
      </c>
      <c r="AE424" s="129">
        <f t="shared" ref="AE424:AE429" si="38">AE388</f>
        <v>7024.8</v>
      </c>
      <c r="AF424" s="120" t="s">
        <v>601</v>
      </c>
      <c r="AG424" s="129">
        <f>(AB424*AE424)/1000</f>
        <v>29785.15</v>
      </c>
    </row>
    <row r="425" spans="1:35" ht="24" customHeight="1">
      <c r="A425" s="130">
        <f t="shared" si="37"/>
        <v>259</v>
      </c>
      <c r="B425" s="132" t="s">
        <v>589</v>
      </c>
      <c r="C425" s="136">
        <v>69.8</v>
      </c>
      <c r="D425" s="132" t="s">
        <v>131</v>
      </c>
      <c r="H425" s="123" t="s">
        <v>52</v>
      </c>
      <c r="N425" s="120" t="s">
        <v>111</v>
      </c>
      <c r="O425" s="120" t="s">
        <v>609</v>
      </c>
      <c r="U425" s="115" t="s">
        <v>52</v>
      </c>
      <c r="AB425" s="129">
        <v>1.27</v>
      </c>
      <c r="AC425" s="126" t="s">
        <v>132</v>
      </c>
      <c r="AD425" s="120" t="s">
        <v>259</v>
      </c>
      <c r="AE425" s="129">
        <f t="shared" si="38"/>
        <v>3937.82</v>
      </c>
      <c r="AF425" s="120" t="s">
        <v>132</v>
      </c>
      <c r="AG425" s="129">
        <f>(AB425*AE425)</f>
        <v>5001.03</v>
      </c>
    </row>
    <row r="426" spans="1:35" ht="24" customHeight="1">
      <c r="A426" s="130">
        <f t="shared" si="37"/>
        <v>260</v>
      </c>
      <c r="B426" s="132" t="s">
        <v>591</v>
      </c>
      <c r="C426" s="136">
        <v>98.6</v>
      </c>
      <c r="D426" s="132" t="s">
        <v>131</v>
      </c>
      <c r="F426" s="129">
        <v>0.7</v>
      </c>
      <c r="G426" s="126" t="s">
        <v>132</v>
      </c>
      <c r="H426" s="120" t="s">
        <v>488</v>
      </c>
      <c r="I426" s="129">
        <f>(K420)</f>
        <v>6517.23</v>
      </c>
      <c r="J426" s="120" t="s">
        <v>131</v>
      </c>
      <c r="K426" s="129">
        <f>(F426*I426)</f>
        <v>4562.0600000000004</v>
      </c>
      <c r="O426" s="120" t="s">
        <v>610</v>
      </c>
      <c r="S426" s="118">
        <v>0.7</v>
      </c>
      <c r="T426" s="115" t="s">
        <v>132</v>
      </c>
      <c r="U426" s="115" t="s">
        <v>488</v>
      </c>
      <c r="V426" s="115" t="e">
        <f>X420</f>
        <v>#VALUE!</v>
      </c>
      <c r="W426" s="119" t="s">
        <v>131</v>
      </c>
      <c r="X426" s="115" t="e">
        <f>V426*S426</f>
        <v>#VALUE!</v>
      </c>
      <c r="AB426" s="129">
        <v>7</v>
      </c>
      <c r="AC426" s="126" t="s">
        <v>131</v>
      </c>
      <c r="AD426" s="120" t="s">
        <v>345</v>
      </c>
      <c r="AE426" s="129">
        <f t="shared" si="38"/>
        <v>1041.7</v>
      </c>
      <c r="AF426" s="120" t="s">
        <v>131</v>
      </c>
      <c r="AG426" s="129">
        <f>(AB426*AE426)</f>
        <v>7291.9</v>
      </c>
    </row>
    <row r="427" spans="1:35" ht="24" customHeight="1">
      <c r="A427" s="130">
        <f t="shared" si="37"/>
        <v>261</v>
      </c>
      <c r="B427" s="132" t="s">
        <v>592</v>
      </c>
      <c r="C427" s="136">
        <v>127.5</v>
      </c>
      <c r="D427" s="132" t="s">
        <v>131</v>
      </c>
      <c r="F427" s="129">
        <v>1</v>
      </c>
      <c r="G427" s="126" t="s">
        <v>237</v>
      </c>
      <c r="H427" s="120" t="s">
        <v>345</v>
      </c>
      <c r="I427" s="129">
        <f>(C10)</f>
        <v>1041.7</v>
      </c>
      <c r="J427" s="120" t="s">
        <v>131</v>
      </c>
      <c r="K427" s="129">
        <f>(F427*I427)</f>
        <v>1041.7</v>
      </c>
      <c r="O427" s="120" t="s">
        <v>611</v>
      </c>
      <c r="S427" s="118">
        <v>1</v>
      </c>
      <c r="T427" s="115" t="s">
        <v>237</v>
      </c>
      <c r="U427" s="115" t="s">
        <v>345</v>
      </c>
      <c r="V427" s="115">
        <f>V395</f>
        <v>1041.7</v>
      </c>
      <c r="W427" s="119" t="s">
        <v>131</v>
      </c>
      <c r="X427" s="115">
        <f>V427*S427</f>
        <v>1041.7</v>
      </c>
      <c r="AB427" s="129">
        <v>7.1</v>
      </c>
      <c r="AC427" s="126" t="s">
        <v>131</v>
      </c>
      <c r="AD427" s="120" t="s">
        <v>302</v>
      </c>
      <c r="AE427" s="129">
        <f t="shared" si="38"/>
        <v>972.4</v>
      </c>
      <c r="AF427" s="120" t="s">
        <v>131</v>
      </c>
      <c r="AG427" s="129">
        <f>(AB427*AE427)</f>
        <v>6904.04</v>
      </c>
    </row>
    <row r="428" spans="1:35" ht="24" customHeight="1">
      <c r="A428" s="130">
        <f t="shared" si="37"/>
        <v>262</v>
      </c>
      <c r="B428" s="132" t="s">
        <v>594</v>
      </c>
      <c r="C428" s="136">
        <v>197.5</v>
      </c>
      <c r="D428" s="132" t="s">
        <v>131</v>
      </c>
      <c r="G428" s="126" t="s">
        <v>145</v>
      </c>
      <c r="H428" s="120" t="s">
        <v>146</v>
      </c>
      <c r="I428" s="120" t="s">
        <v>85</v>
      </c>
      <c r="J428" s="120" t="s">
        <v>145</v>
      </c>
      <c r="K428" s="129">
        <v>0</v>
      </c>
      <c r="O428" s="123" t="s">
        <v>52</v>
      </c>
      <c r="T428" s="115" t="s">
        <v>145</v>
      </c>
      <c r="U428" s="115" t="s">
        <v>146</v>
      </c>
      <c r="V428" s="115" t="s">
        <v>85</v>
      </c>
      <c r="W428" s="119" t="s">
        <v>145</v>
      </c>
      <c r="X428" s="115">
        <v>0</v>
      </c>
      <c r="AB428" s="129">
        <f>AB315</f>
        <v>7.1</v>
      </c>
      <c r="AC428" s="126" t="s">
        <v>131</v>
      </c>
      <c r="AD428" s="120" t="s">
        <v>304</v>
      </c>
      <c r="AE428" s="129">
        <f t="shared" si="38"/>
        <v>679.8</v>
      </c>
      <c r="AF428" s="120" t="s">
        <v>131</v>
      </c>
      <c r="AG428" s="129">
        <f>(AB428*AE428)</f>
        <v>4826.58</v>
      </c>
    </row>
    <row r="429" spans="1:35" ht="39" customHeight="1">
      <c r="A429" s="130">
        <f t="shared" si="37"/>
        <v>263</v>
      </c>
      <c r="B429" s="132" t="s">
        <v>547</v>
      </c>
      <c r="C429" s="136">
        <v>266.3</v>
      </c>
      <c r="D429" s="132" t="s">
        <v>131</v>
      </c>
      <c r="K429" s="123" t="s">
        <v>52</v>
      </c>
      <c r="N429" s="120" t="s">
        <v>612</v>
      </c>
      <c r="O429" s="121" t="s">
        <v>613</v>
      </c>
      <c r="X429" s="1167" t="s">
        <v>2121</v>
      </c>
      <c r="AB429" s="129">
        <f>AB316</f>
        <v>21.2</v>
      </c>
      <c r="AC429" s="126" t="s">
        <v>131</v>
      </c>
      <c r="AD429" s="120" t="s">
        <v>306</v>
      </c>
      <c r="AE429" s="129">
        <f t="shared" si="38"/>
        <v>557.70000000000005</v>
      </c>
      <c r="AF429" s="120" t="s">
        <v>131</v>
      </c>
      <c r="AG429" s="129">
        <f>(AB429*AE429)</f>
        <v>11823.24</v>
      </c>
    </row>
    <row r="430" spans="1:35" ht="34.5" customHeight="1">
      <c r="A430" s="130">
        <f t="shared" si="37"/>
        <v>264</v>
      </c>
      <c r="B430" s="217" t="s">
        <v>595</v>
      </c>
      <c r="C430" s="216">
        <v>551</v>
      </c>
      <c r="D430" s="217" t="s">
        <v>131</v>
      </c>
      <c r="H430" s="120" t="s">
        <v>495</v>
      </c>
      <c r="K430" s="129">
        <f>SUM(K426:K428)</f>
        <v>5603.76</v>
      </c>
      <c r="O430" s="123" t="s">
        <v>52</v>
      </c>
      <c r="U430" s="115" t="s">
        <v>495</v>
      </c>
      <c r="X430" s="115" t="e">
        <f>SUM(X426:X428)</f>
        <v>#VALUE!</v>
      </c>
      <c r="AB430" s="129">
        <f>AB317</f>
        <v>0</v>
      </c>
      <c r="AC430" s="126" t="s">
        <v>145</v>
      </c>
      <c r="AD430" s="120" t="s">
        <v>146</v>
      </c>
      <c r="AE430" s="120" t="s">
        <v>85</v>
      </c>
      <c r="AF430" s="120" t="s">
        <v>145</v>
      </c>
      <c r="AG430" s="129">
        <v>0</v>
      </c>
    </row>
    <row r="431" spans="1:35" ht="24" customHeight="1">
      <c r="A431" s="130">
        <f t="shared" si="37"/>
        <v>265</v>
      </c>
      <c r="B431" s="132" t="s">
        <v>614</v>
      </c>
      <c r="C431" s="138"/>
      <c r="D431" s="132" t="s">
        <v>85</v>
      </c>
      <c r="K431" s="123" t="s">
        <v>52</v>
      </c>
      <c r="M431" s="129">
        <v>8.1</v>
      </c>
      <c r="N431" s="120" t="s">
        <v>132</v>
      </c>
      <c r="O431" s="120" t="s">
        <v>615</v>
      </c>
      <c r="P431" s="129">
        <f>(C61)*2</f>
        <v>233.76</v>
      </c>
      <c r="Q431" s="120" t="s">
        <v>132</v>
      </c>
      <c r="R431" s="129">
        <f>(M431*P431)</f>
        <v>1893.46</v>
      </c>
      <c r="X431" s="1167" t="s">
        <v>2121</v>
      </c>
      <c r="AB431" s="129">
        <f>AB318</f>
        <v>0</v>
      </c>
      <c r="AC431" s="116"/>
      <c r="AF431" s="117"/>
      <c r="AG431" s="123" t="s">
        <v>52</v>
      </c>
    </row>
    <row r="432" spans="1:35" ht="30.75" customHeight="1">
      <c r="A432" s="130">
        <f t="shared" si="37"/>
        <v>266</v>
      </c>
      <c r="B432" s="132" t="s">
        <v>588</v>
      </c>
      <c r="C432" s="140">
        <v>1.8</v>
      </c>
      <c r="D432" s="132" t="s">
        <v>131</v>
      </c>
      <c r="H432" s="120" t="s">
        <v>460</v>
      </c>
      <c r="K432" s="129">
        <f>(K430/10)</f>
        <v>560.38</v>
      </c>
      <c r="M432" s="129">
        <v>8.1</v>
      </c>
      <c r="N432" s="120" t="s">
        <v>132</v>
      </c>
      <c r="O432" s="120" t="s">
        <v>616</v>
      </c>
      <c r="P432" s="129">
        <f>(C26)</f>
        <v>40.65</v>
      </c>
      <c r="Q432" s="120" t="s">
        <v>132</v>
      </c>
      <c r="R432" s="129">
        <f>(M432*P432)</f>
        <v>329.27</v>
      </c>
      <c r="U432" s="115" t="s">
        <v>460</v>
      </c>
      <c r="X432" s="115" t="e">
        <f>X430/10</f>
        <v>#VALUE!</v>
      </c>
      <c r="AB432" s="129">
        <f>AB319</f>
        <v>0</v>
      </c>
      <c r="AC432" s="116"/>
      <c r="AD432" s="120" t="s">
        <v>311</v>
      </c>
      <c r="AF432" s="117"/>
      <c r="AG432" s="129">
        <f>SUM(AG424:AG431)</f>
        <v>65631.94</v>
      </c>
    </row>
    <row r="433" spans="1:33" ht="42" customHeight="1">
      <c r="A433" s="130">
        <f t="shared" si="37"/>
        <v>267</v>
      </c>
      <c r="B433" s="132" t="s">
        <v>589</v>
      </c>
      <c r="C433" s="140">
        <v>2.9</v>
      </c>
      <c r="D433" s="132" t="s">
        <v>131</v>
      </c>
      <c r="K433" s="123" t="s">
        <v>89</v>
      </c>
      <c r="M433" s="129">
        <v>30</v>
      </c>
      <c r="N433" s="120" t="s">
        <v>282</v>
      </c>
      <c r="O433" s="120" t="s">
        <v>617</v>
      </c>
      <c r="P433" s="129">
        <f>(C42)</f>
        <v>5</v>
      </c>
      <c r="Q433" s="120" t="s">
        <v>282</v>
      </c>
      <c r="R433" s="129">
        <f>(M433*P433)</f>
        <v>150</v>
      </c>
      <c r="X433" s="1167" t="s">
        <v>1649</v>
      </c>
      <c r="AC433" s="116"/>
      <c r="AF433" s="117"/>
      <c r="AG433" s="123" t="s">
        <v>52</v>
      </c>
    </row>
    <row r="434" spans="1:33" ht="24" customHeight="1">
      <c r="A434" s="130">
        <f t="shared" si="37"/>
        <v>268</v>
      </c>
      <c r="B434" s="132" t="s">
        <v>591</v>
      </c>
      <c r="C434" s="140">
        <v>4</v>
      </c>
      <c r="D434" s="132" t="s">
        <v>131</v>
      </c>
      <c r="H434" s="120" t="s">
        <v>53</v>
      </c>
      <c r="K434" s="127">
        <f>(K432+C19/10*F426)</f>
        <v>566.14</v>
      </c>
      <c r="O434" s="120" t="s">
        <v>618</v>
      </c>
      <c r="U434" s="114" t="s">
        <v>53</v>
      </c>
      <c r="W434" s="119">
        <f>0.07*C19</f>
        <v>5.76</v>
      </c>
      <c r="X434" s="114" t="e">
        <f>X432+W434</f>
        <v>#VALUE!</v>
      </c>
      <c r="AC434" s="116"/>
      <c r="AD434" s="120" t="s">
        <v>242</v>
      </c>
      <c r="AF434" s="117"/>
      <c r="AG434" s="129">
        <f>(AG432/10)</f>
        <v>6563.19</v>
      </c>
    </row>
    <row r="435" spans="1:33" ht="24" customHeight="1">
      <c r="A435" s="130">
        <f t="shared" si="37"/>
        <v>269</v>
      </c>
      <c r="B435" s="132" t="s">
        <v>592</v>
      </c>
      <c r="C435" s="140">
        <v>6.86</v>
      </c>
      <c r="D435" s="132" t="s">
        <v>131</v>
      </c>
      <c r="H435" s="120" t="s">
        <v>54</v>
      </c>
      <c r="K435" s="127">
        <f>(K434+C20/10*F426)</f>
        <v>577.76</v>
      </c>
      <c r="O435" s="120" t="s">
        <v>619</v>
      </c>
      <c r="U435" s="114" t="s">
        <v>54</v>
      </c>
      <c r="W435" s="119">
        <f>0.07*C20</f>
        <v>11.62</v>
      </c>
      <c r="X435" s="114" t="e">
        <f>X434+W435</f>
        <v>#VALUE!</v>
      </c>
      <c r="AC435" s="116"/>
      <c r="AF435" s="117"/>
      <c r="AG435" s="123" t="s">
        <v>89</v>
      </c>
    </row>
    <row r="436" spans="1:33" ht="24" customHeight="1">
      <c r="A436" s="130">
        <f t="shared" si="37"/>
        <v>270</v>
      </c>
      <c r="B436" s="132" t="s">
        <v>594</v>
      </c>
      <c r="C436" s="140">
        <v>9.15</v>
      </c>
      <c r="D436" s="132" t="s">
        <v>131</v>
      </c>
      <c r="H436" s="120" t="s">
        <v>55</v>
      </c>
      <c r="K436" s="127">
        <f>(K435+C21/10*F426)</f>
        <v>589.38</v>
      </c>
      <c r="O436" s="120" t="s">
        <v>620</v>
      </c>
      <c r="U436" s="114" t="s">
        <v>55</v>
      </c>
      <c r="W436" s="119">
        <f>W435</f>
        <v>11.62</v>
      </c>
      <c r="X436" s="114" t="e">
        <f>X435+W436</f>
        <v>#VALUE!</v>
      </c>
      <c r="AB436" s="120" t="s">
        <v>88</v>
      </c>
      <c r="AC436" s="116"/>
      <c r="AF436" s="117"/>
    </row>
    <row r="437" spans="1:33" ht="24" customHeight="1">
      <c r="A437" s="130">
        <f t="shared" si="37"/>
        <v>271</v>
      </c>
      <c r="B437" s="132" t="s">
        <v>547</v>
      </c>
      <c r="C437" s="140">
        <v>14.59</v>
      </c>
      <c r="D437" s="132" t="s">
        <v>131</v>
      </c>
      <c r="H437" s="120" t="s">
        <v>56</v>
      </c>
      <c r="K437" s="127">
        <f>(K436+C21/10*F426)</f>
        <v>601</v>
      </c>
      <c r="O437" s="120" t="s">
        <v>621</v>
      </c>
      <c r="U437" s="114" t="s">
        <v>56</v>
      </c>
      <c r="W437" s="119">
        <f>W436</f>
        <v>11.62</v>
      </c>
      <c r="X437" s="114" t="e">
        <f>X436+W437</f>
        <v>#VALUE!</v>
      </c>
      <c r="AC437" s="116"/>
      <c r="AF437" s="117"/>
    </row>
    <row r="438" spans="1:33" ht="24" customHeight="1">
      <c r="A438" s="130"/>
      <c r="B438" s="132"/>
      <c r="C438" s="140"/>
      <c r="D438" s="132"/>
      <c r="H438" s="120" t="s">
        <v>622</v>
      </c>
      <c r="K438" s="127">
        <f>(K437+C20/10*F426)</f>
        <v>612.62</v>
      </c>
      <c r="O438" s="120"/>
      <c r="U438" s="114" t="s">
        <v>622</v>
      </c>
      <c r="W438" s="119">
        <f>W437</f>
        <v>11.62</v>
      </c>
      <c r="X438" s="114" t="e">
        <f>X437+W438</f>
        <v>#VALUE!</v>
      </c>
      <c r="AC438" s="126" t="s">
        <v>607</v>
      </c>
      <c r="AD438" s="120" t="s">
        <v>4108</v>
      </c>
      <c r="AF438" s="117"/>
    </row>
    <row r="439" spans="1:33" ht="24" customHeight="1">
      <c r="A439" s="130">
        <f>(A437+1)</f>
        <v>272</v>
      </c>
      <c r="B439" s="132" t="s">
        <v>595</v>
      </c>
      <c r="C439" s="140">
        <v>21.74</v>
      </c>
      <c r="D439" s="132" t="s">
        <v>131</v>
      </c>
      <c r="H439" s="121" t="s">
        <v>623</v>
      </c>
      <c r="M439" s="129">
        <v>8</v>
      </c>
      <c r="N439" s="120" t="s">
        <v>237</v>
      </c>
      <c r="O439" s="120" t="s">
        <v>624</v>
      </c>
      <c r="P439" s="129">
        <f>(C43)</f>
        <v>8.9</v>
      </c>
      <c r="Q439" s="120" t="s">
        <v>237</v>
      </c>
      <c r="R439" s="129">
        <f>(M439*P439)</f>
        <v>71.2</v>
      </c>
      <c r="AC439" s="116"/>
      <c r="AD439" s="123" t="s">
        <v>52</v>
      </c>
      <c r="AF439" s="117"/>
    </row>
    <row r="440" spans="1:33" ht="24" customHeight="1">
      <c r="A440" s="130">
        <f t="shared" si="37"/>
        <v>273</v>
      </c>
      <c r="B440" s="218" t="s">
        <v>4109</v>
      </c>
      <c r="C440" s="138"/>
      <c r="D440" s="132" t="s">
        <v>85</v>
      </c>
      <c r="H440" s="121" t="s">
        <v>626</v>
      </c>
      <c r="M440" s="129">
        <v>8</v>
      </c>
      <c r="N440" s="120" t="s">
        <v>237</v>
      </c>
      <c r="O440" s="120" t="s">
        <v>627</v>
      </c>
      <c r="P440" s="129">
        <f>(C50)</f>
        <v>12.65</v>
      </c>
      <c r="Q440" s="120" t="s">
        <v>237</v>
      </c>
      <c r="R440" s="129">
        <f>(M440*P440)</f>
        <v>101.2</v>
      </c>
      <c r="AB440" s="129">
        <v>0.75</v>
      </c>
      <c r="AC440" s="126" t="s">
        <v>132</v>
      </c>
      <c r="AD440" s="120" t="s">
        <v>488</v>
      </c>
      <c r="AE440" s="129">
        <f>AG434</f>
        <v>6563.19</v>
      </c>
      <c r="AF440" s="120" t="s">
        <v>131</v>
      </c>
      <c r="AG440" s="129">
        <f>(AB440*AE440)</f>
        <v>4922.3900000000003</v>
      </c>
    </row>
    <row r="441" spans="1:33" ht="38.25" customHeight="1">
      <c r="A441" s="130">
        <f t="shared" si="37"/>
        <v>274</v>
      </c>
      <c r="B441" s="132" t="s">
        <v>588</v>
      </c>
      <c r="C441" s="136">
        <v>28.6</v>
      </c>
      <c r="D441" s="132" t="s">
        <v>131</v>
      </c>
      <c r="F441" s="148">
        <v>12</v>
      </c>
      <c r="G441" s="126" t="s">
        <v>111</v>
      </c>
      <c r="H441" s="120" t="s">
        <v>628</v>
      </c>
      <c r="M441" s="129">
        <v>1</v>
      </c>
      <c r="N441" s="120" t="s">
        <v>145</v>
      </c>
      <c r="O441" s="120" t="s">
        <v>629</v>
      </c>
      <c r="P441" s="129">
        <f>(C56)</f>
        <v>12.1</v>
      </c>
      <c r="Q441" s="120" t="s">
        <v>145</v>
      </c>
      <c r="R441" s="129">
        <f>(M441*P441)</f>
        <v>12.1</v>
      </c>
      <c r="AB441" s="129">
        <v>1</v>
      </c>
      <c r="AC441" s="126" t="s">
        <v>237</v>
      </c>
      <c r="AD441" s="120" t="s">
        <v>345</v>
      </c>
      <c r="AE441" s="129">
        <f>AE426</f>
        <v>1041.7</v>
      </c>
      <c r="AF441" s="120" t="s">
        <v>131</v>
      </c>
      <c r="AG441" s="129">
        <f>(AB441*AE441)</f>
        <v>1041.7</v>
      </c>
    </row>
    <row r="442" spans="1:33" ht="24" customHeight="1">
      <c r="A442" s="130">
        <f t="shared" si="37"/>
        <v>275</v>
      </c>
      <c r="B442" s="132" t="s">
        <v>589</v>
      </c>
      <c r="C442" s="136">
        <v>34.700000000000003</v>
      </c>
      <c r="D442" s="132" t="s">
        <v>131</v>
      </c>
      <c r="H442" s="120" t="s">
        <v>335</v>
      </c>
      <c r="M442" s="129">
        <v>1</v>
      </c>
      <c r="N442" s="120" t="s">
        <v>145</v>
      </c>
      <c r="O442" s="120" t="s">
        <v>146</v>
      </c>
      <c r="Q442" s="120" t="s">
        <v>145</v>
      </c>
      <c r="R442" s="129">
        <v>0</v>
      </c>
      <c r="AC442" s="126" t="s">
        <v>145</v>
      </c>
      <c r="AD442" s="120" t="s">
        <v>146</v>
      </c>
      <c r="AE442" s="120" t="s">
        <v>85</v>
      </c>
      <c r="AF442" s="120" t="s">
        <v>145</v>
      </c>
      <c r="AG442" s="129">
        <v>5</v>
      </c>
    </row>
    <row r="443" spans="1:33" ht="24" customHeight="1">
      <c r="A443" s="130">
        <f t="shared" si="37"/>
        <v>276</v>
      </c>
      <c r="B443" s="132" t="s">
        <v>591</v>
      </c>
      <c r="C443" s="136">
        <v>81.400000000000006</v>
      </c>
      <c r="D443" s="132" t="s">
        <v>131</v>
      </c>
      <c r="H443" s="123" t="s">
        <v>52</v>
      </c>
      <c r="R443" s="123" t="s">
        <v>52</v>
      </c>
      <c r="AC443" s="116"/>
      <c r="AF443" s="117"/>
      <c r="AG443" s="123" t="s">
        <v>52</v>
      </c>
    </row>
    <row r="444" spans="1:33" ht="24" customHeight="1">
      <c r="A444" s="130">
        <f t="shared" si="37"/>
        <v>277</v>
      </c>
      <c r="B444" s="132" t="s">
        <v>592</v>
      </c>
      <c r="C444" s="136">
        <v>98.6</v>
      </c>
      <c r="D444" s="132" t="s">
        <v>131</v>
      </c>
      <c r="F444" s="129">
        <v>6570</v>
      </c>
      <c r="G444" s="126" t="s">
        <v>338</v>
      </c>
      <c r="H444" s="120" t="s">
        <v>630</v>
      </c>
      <c r="I444" s="129">
        <f>(C77)</f>
        <v>4436.95</v>
      </c>
      <c r="J444" s="120" t="s">
        <v>339</v>
      </c>
      <c r="K444" s="129">
        <f>(F444*I444)/1000</f>
        <v>29150.76</v>
      </c>
      <c r="O444" s="120" t="s">
        <v>631</v>
      </c>
      <c r="R444" s="129">
        <f>SUM(R431:R442)</f>
        <v>2557.23</v>
      </c>
      <c r="AC444" s="116"/>
      <c r="AD444" s="120" t="s">
        <v>495</v>
      </c>
      <c r="AF444" s="117"/>
      <c r="AG444" s="129">
        <f>SUM(AG440:AG442)</f>
        <v>5969.09</v>
      </c>
    </row>
    <row r="445" spans="1:33" ht="24" customHeight="1">
      <c r="A445" s="130">
        <f t="shared" si="37"/>
        <v>278</v>
      </c>
      <c r="B445" s="132" t="s">
        <v>594</v>
      </c>
      <c r="C445" s="136">
        <v>110.2</v>
      </c>
      <c r="D445" s="132" t="s">
        <v>131</v>
      </c>
      <c r="F445" s="129">
        <v>1.91</v>
      </c>
      <c r="G445" s="126" t="s">
        <v>132</v>
      </c>
      <c r="H445" s="120" t="s">
        <v>259</v>
      </c>
      <c r="I445" s="129">
        <f>(K40)</f>
        <v>3937.82</v>
      </c>
      <c r="J445" s="120" t="s">
        <v>132</v>
      </c>
      <c r="K445" s="129">
        <f>(F445*I445)</f>
        <v>7521.24</v>
      </c>
      <c r="R445" s="123" t="s">
        <v>52</v>
      </c>
      <c r="AC445" s="116"/>
      <c r="AF445" s="117"/>
      <c r="AG445" s="123" t="s">
        <v>52</v>
      </c>
    </row>
    <row r="446" spans="1:33" ht="24" customHeight="1">
      <c r="A446" s="130">
        <f t="shared" si="37"/>
        <v>279</v>
      </c>
      <c r="B446" s="132" t="s">
        <v>547</v>
      </c>
      <c r="C446" s="136">
        <v>139.80000000000001</v>
      </c>
      <c r="D446" s="132" t="s">
        <v>131</v>
      </c>
      <c r="F446" s="129">
        <v>7</v>
      </c>
      <c r="G446" s="126" t="s">
        <v>131</v>
      </c>
      <c r="H446" s="120" t="s">
        <v>345</v>
      </c>
      <c r="I446" s="129">
        <f>(C10)</f>
        <v>1041.7</v>
      </c>
      <c r="J446" s="120" t="s">
        <v>131</v>
      </c>
      <c r="K446" s="129">
        <f>(F446*I446)</f>
        <v>7291.9</v>
      </c>
      <c r="O446" s="120" t="s">
        <v>632</v>
      </c>
      <c r="R446" s="129">
        <f>(R444/30)</f>
        <v>85.24</v>
      </c>
      <c r="AC446" s="116"/>
      <c r="AD446" s="120" t="s">
        <v>460</v>
      </c>
      <c r="AF446" s="117"/>
      <c r="AG446" s="129">
        <f>(AG444/10)</f>
        <v>596.91</v>
      </c>
    </row>
    <row r="447" spans="1:33" ht="24" customHeight="1">
      <c r="A447" s="130">
        <f t="shared" si="37"/>
        <v>280</v>
      </c>
      <c r="B447" s="217" t="s">
        <v>4110</v>
      </c>
      <c r="C447" s="216">
        <v>363</v>
      </c>
      <c r="D447" s="217" t="s">
        <v>131</v>
      </c>
      <c r="F447" s="129">
        <v>3.6</v>
      </c>
      <c r="G447" s="126" t="s">
        <v>131</v>
      </c>
      <c r="H447" s="120" t="s">
        <v>302</v>
      </c>
      <c r="I447" s="129">
        <f>(C11)</f>
        <v>972.4</v>
      </c>
      <c r="J447" s="120" t="s">
        <v>131</v>
      </c>
      <c r="K447" s="129">
        <f>(F447*I447)</f>
        <v>3500.64</v>
      </c>
      <c r="R447" s="123" t="s">
        <v>52</v>
      </c>
      <c r="AC447" s="116"/>
      <c r="AF447" s="117"/>
      <c r="AG447" s="123" t="s">
        <v>89</v>
      </c>
    </row>
    <row r="448" spans="1:33" ht="24" customHeight="1">
      <c r="A448" s="130">
        <f t="shared" si="37"/>
        <v>281</v>
      </c>
      <c r="B448" s="218" t="s">
        <v>4111</v>
      </c>
      <c r="C448" s="138"/>
      <c r="D448" s="132" t="s">
        <v>85</v>
      </c>
      <c r="F448" s="129">
        <v>7.1</v>
      </c>
      <c r="G448" s="126" t="s">
        <v>131</v>
      </c>
      <c r="H448" s="120" t="s">
        <v>304</v>
      </c>
      <c r="I448" s="129">
        <f>(C12)</f>
        <v>679.8</v>
      </c>
      <c r="J448" s="120" t="s">
        <v>131</v>
      </c>
      <c r="K448" s="129">
        <f>(F448*I448)</f>
        <v>4826.58</v>
      </c>
      <c r="N448" s="120" t="s">
        <v>634</v>
      </c>
      <c r="O448" s="121" t="s">
        <v>635</v>
      </c>
      <c r="AC448" s="116"/>
      <c r="AD448" s="120" t="s">
        <v>53</v>
      </c>
      <c r="AF448" s="117">
        <f>C19*0.075</f>
        <v>6.17</v>
      </c>
      <c r="AG448" s="127">
        <f>AG446+AF448</f>
        <v>603.08000000000004</v>
      </c>
    </row>
    <row r="449" spans="1:36" ht="24" customHeight="1">
      <c r="A449" s="130">
        <f t="shared" si="37"/>
        <v>282</v>
      </c>
      <c r="B449" s="132" t="s">
        <v>588</v>
      </c>
      <c r="C449" s="136">
        <v>23.2</v>
      </c>
      <c r="D449" s="132" t="s">
        <v>131</v>
      </c>
      <c r="F449" s="129">
        <v>14.1</v>
      </c>
      <c r="G449" s="126" t="s">
        <v>131</v>
      </c>
      <c r="H449" s="120" t="s">
        <v>306</v>
      </c>
      <c r="I449" s="129">
        <f>(C13)</f>
        <v>557.70000000000005</v>
      </c>
      <c r="J449" s="120" t="s">
        <v>131</v>
      </c>
      <c r="K449" s="129">
        <f>(F449*I449)</f>
        <v>7863.57</v>
      </c>
      <c r="O449" s="123" t="s">
        <v>52</v>
      </c>
      <c r="AC449" s="116"/>
      <c r="AD449" s="120" t="s">
        <v>54</v>
      </c>
      <c r="AF449" s="117">
        <f>C20*0.075</f>
        <v>12.45</v>
      </c>
      <c r="AG449" s="127">
        <f t="shared" ref="AG449:AG463" si="39">AG448+AF449</f>
        <v>615.53</v>
      </c>
    </row>
    <row r="450" spans="1:36" ht="39" customHeight="1">
      <c r="A450" s="130">
        <f t="shared" si="37"/>
        <v>283</v>
      </c>
      <c r="B450" s="132" t="s">
        <v>589</v>
      </c>
      <c r="C450" s="136">
        <v>34.700000000000003</v>
      </c>
      <c r="D450" s="132" t="s">
        <v>131</v>
      </c>
      <c r="G450" s="126" t="s">
        <v>145</v>
      </c>
      <c r="H450" s="120" t="s">
        <v>146</v>
      </c>
      <c r="I450" s="120" t="s">
        <v>85</v>
      </c>
      <c r="J450" s="120" t="s">
        <v>145</v>
      </c>
      <c r="K450" s="129">
        <v>0</v>
      </c>
      <c r="M450" s="129">
        <v>8.1</v>
      </c>
      <c r="N450" s="120" t="s">
        <v>132</v>
      </c>
      <c r="O450" s="120" t="s">
        <v>615</v>
      </c>
      <c r="P450" s="129">
        <f>(C61)*2</f>
        <v>233.76</v>
      </c>
      <c r="Q450" s="120" t="s">
        <v>132</v>
      </c>
      <c r="R450" s="129">
        <f>(M450*P450)</f>
        <v>1893.46</v>
      </c>
      <c r="AC450" s="116"/>
      <c r="AD450" s="120" t="s">
        <v>55</v>
      </c>
      <c r="AF450" s="117">
        <f>C21*0.075</f>
        <v>12.45</v>
      </c>
      <c r="AG450" s="127">
        <f t="shared" si="39"/>
        <v>627.98</v>
      </c>
    </row>
    <row r="451" spans="1:36" ht="24" customHeight="1">
      <c r="A451" s="130">
        <f t="shared" si="37"/>
        <v>284</v>
      </c>
      <c r="B451" s="132" t="s">
        <v>591</v>
      </c>
      <c r="C451" s="136">
        <v>43.7</v>
      </c>
      <c r="D451" s="132" t="s">
        <v>131</v>
      </c>
      <c r="K451" s="123" t="s">
        <v>52</v>
      </c>
      <c r="M451" s="129">
        <v>8.1</v>
      </c>
      <c r="N451" s="120" t="s">
        <v>132</v>
      </c>
      <c r="O451" s="120" t="s">
        <v>616</v>
      </c>
      <c r="P451" s="129">
        <f>(C26)</f>
        <v>40.65</v>
      </c>
      <c r="Q451" s="120" t="s">
        <v>132</v>
      </c>
      <c r="R451" s="129">
        <f>(M451*P451)</f>
        <v>329.27</v>
      </c>
      <c r="AC451" s="116"/>
      <c r="AD451" s="120" t="s">
        <v>56</v>
      </c>
      <c r="AF451" s="117">
        <f t="shared" ref="AF451:AF463" si="40">AF450</f>
        <v>12.45</v>
      </c>
      <c r="AG451" s="127">
        <f t="shared" si="39"/>
        <v>640.42999999999995</v>
      </c>
    </row>
    <row r="452" spans="1:36" ht="24" customHeight="1">
      <c r="A452" s="130">
        <f t="shared" si="37"/>
        <v>285</v>
      </c>
      <c r="B452" s="132" t="s">
        <v>592</v>
      </c>
      <c r="C452" s="136">
        <v>58.1</v>
      </c>
      <c r="D452" s="132" t="s">
        <v>131</v>
      </c>
      <c r="H452" s="120" t="s">
        <v>311</v>
      </c>
      <c r="K452" s="129">
        <f>SUM(K444:K450)</f>
        <v>60154.69</v>
      </c>
      <c r="M452" s="129">
        <v>30</v>
      </c>
      <c r="N452" s="120" t="s">
        <v>282</v>
      </c>
      <c r="O452" s="120" t="s">
        <v>617</v>
      </c>
      <c r="P452" s="129">
        <f>(C42)</f>
        <v>5</v>
      </c>
      <c r="Q452" s="120" t="s">
        <v>282</v>
      </c>
      <c r="R452" s="129">
        <f>(M452*P452)</f>
        <v>150</v>
      </c>
      <c r="AC452" s="116"/>
      <c r="AD452" s="120" t="s">
        <v>622</v>
      </c>
      <c r="AF452" s="117">
        <f t="shared" si="40"/>
        <v>12.45</v>
      </c>
      <c r="AG452" s="127">
        <f t="shared" si="39"/>
        <v>652.88</v>
      </c>
      <c r="AJ452" s="115">
        <f>40.81*0.075</f>
        <v>3.06</v>
      </c>
    </row>
    <row r="453" spans="1:36" ht="24" customHeight="1">
      <c r="A453" s="130">
        <f t="shared" si="37"/>
        <v>286</v>
      </c>
      <c r="B453" s="132" t="s">
        <v>594</v>
      </c>
      <c r="C453" s="136">
        <v>69.8</v>
      </c>
      <c r="D453" s="132" t="s">
        <v>131</v>
      </c>
      <c r="K453" s="123" t="s">
        <v>52</v>
      </c>
      <c r="O453" s="120" t="s">
        <v>618</v>
      </c>
      <c r="AD453" s="120" t="s">
        <v>4095</v>
      </c>
      <c r="AE453" s="137">
        <f t="shared" ref="AE453:AE460" si="41">AG453</f>
        <v>665.33</v>
      </c>
      <c r="AF453" s="117">
        <f t="shared" si="40"/>
        <v>12.45</v>
      </c>
      <c r="AG453" s="127">
        <f t="shared" si="39"/>
        <v>665.33</v>
      </c>
    </row>
    <row r="454" spans="1:36" ht="24" customHeight="1">
      <c r="A454" s="130">
        <f t="shared" si="37"/>
        <v>287</v>
      </c>
      <c r="B454" s="132" t="s">
        <v>547</v>
      </c>
      <c r="C454" s="136">
        <v>87</v>
      </c>
      <c r="D454" s="132" t="s">
        <v>131</v>
      </c>
      <c r="H454" s="120" t="s">
        <v>242</v>
      </c>
      <c r="K454" s="129">
        <f>(K452/10)</f>
        <v>6015.47</v>
      </c>
      <c r="O454" s="120" t="s">
        <v>619</v>
      </c>
      <c r="AD454" s="120" t="s">
        <v>4097</v>
      </c>
      <c r="AE454" s="137">
        <f t="shared" si="41"/>
        <v>677.78</v>
      </c>
      <c r="AF454" s="117">
        <f t="shared" si="40"/>
        <v>12.45</v>
      </c>
      <c r="AG454" s="127">
        <f t="shared" si="39"/>
        <v>677.78</v>
      </c>
    </row>
    <row r="455" spans="1:36" ht="24" customHeight="1">
      <c r="A455" s="130">
        <f t="shared" si="37"/>
        <v>288</v>
      </c>
      <c r="B455" s="217" t="s">
        <v>4110</v>
      </c>
      <c r="C455" s="216">
        <v>18.600000000000001</v>
      </c>
      <c r="D455" s="217" t="s">
        <v>131</v>
      </c>
      <c r="K455" s="123" t="s">
        <v>89</v>
      </c>
      <c r="O455" s="120" t="s">
        <v>620</v>
      </c>
      <c r="AD455" s="120" t="s">
        <v>4101</v>
      </c>
      <c r="AE455" s="137">
        <f t="shared" si="41"/>
        <v>690.23</v>
      </c>
      <c r="AF455" s="117">
        <f t="shared" si="40"/>
        <v>12.45</v>
      </c>
      <c r="AG455" s="127">
        <f t="shared" si="39"/>
        <v>690.23</v>
      </c>
    </row>
    <row r="456" spans="1:36" ht="24" customHeight="1">
      <c r="A456" s="130">
        <f t="shared" si="37"/>
        <v>289</v>
      </c>
      <c r="B456" s="132" t="s">
        <v>636</v>
      </c>
      <c r="C456" s="138"/>
      <c r="D456" s="132" t="s">
        <v>85</v>
      </c>
      <c r="O456" s="120" t="s">
        <v>621</v>
      </c>
      <c r="AD456" s="120" t="s">
        <v>4102</v>
      </c>
      <c r="AE456" s="137">
        <f t="shared" si="41"/>
        <v>702.68</v>
      </c>
      <c r="AF456" s="117">
        <f t="shared" si="40"/>
        <v>12.45</v>
      </c>
      <c r="AG456" s="127">
        <f t="shared" si="39"/>
        <v>702.68</v>
      </c>
    </row>
    <row r="457" spans="1:36" ht="24" customHeight="1">
      <c r="A457" s="130">
        <f t="shared" si="37"/>
        <v>290</v>
      </c>
      <c r="B457" s="132" t="s">
        <v>588</v>
      </c>
      <c r="C457" s="220">
        <v>355.95</v>
      </c>
      <c r="D457" s="132" t="s">
        <v>131</v>
      </c>
      <c r="G457" s="126" t="s">
        <v>111</v>
      </c>
      <c r="H457" s="120" t="s">
        <v>637</v>
      </c>
      <c r="M457" s="129">
        <v>8</v>
      </c>
      <c r="N457" s="120" t="s">
        <v>237</v>
      </c>
      <c r="O457" s="120" t="s">
        <v>624</v>
      </c>
      <c r="P457" s="129">
        <f>(C44)</f>
        <v>8.9</v>
      </c>
      <c r="Q457" s="120" t="s">
        <v>237</v>
      </c>
      <c r="R457" s="129">
        <f>(M457*P457)</f>
        <v>71.2</v>
      </c>
      <c r="AD457" s="120" t="s">
        <v>4103</v>
      </c>
      <c r="AE457" s="137">
        <f t="shared" si="41"/>
        <v>715.13</v>
      </c>
      <c r="AF457" s="117">
        <f t="shared" si="40"/>
        <v>12.45</v>
      </c>
      <c r="AG457" s="127">
        <f t="shared" si="39"/>
        <v>715.13</v>
      </c>
    </row>
    <row r="458" spans="1:36" ht="24" customHeight="1">
      <c r="A458" s="130">
        <f t="shared" si="37"/>
        <v>291</v>
      </c>
      <c r="B458" s="132" t="s">
        <v>589</v>
      </c>
      <c r="C458" s="220">
        <v>536.54999999999995</v>
      </c>
      <c r="D458" s="132" t="s">
        <v>131</v>
      </c>
      <c r="H458" s="123" t="s">
        <v>52</v>
      </c>
      <c r="M458" s="129">
        <v>8</v>
      </c>
      <c r="N458" s="120" t="s">
        <v>237</v>
      </c>
      <c r="O458" s="120" t="s">
        <v>627</v>
      </c>
      <c r="P458" s="129">
        <f>(C51)</f>
        <v>12.85</v>
      </c>
      <c r="Q458" s="120" t="s">
        <v>237</v>
      </c>
      <c r="R458" s="129">
        <f>(M458*P458)</f>
        <v>102.8</v>
      </c>
      <c r="AE458" s="137">
        <f t="shared" si="41"/>
        <v>727.58</v>
      </c>
      <c r="AF458" s="117">
        <f t="shared" si="40"/>
        <v>12.45</v>
      </c>
      <c r="AG458" s="127">
        <f t="shared" si="39"/>
        <v>727.58</v>
      </c>
    </row>
    <row r="459" spans="1:36" ht="24" customHeight="1">
      <c r="A459" s="130">
        <f t="shared" si="37"/>
        <v>292</v>
      </c>
      <c r="B459" s="132" t="s">
        <v>591</v>
      </c>
      <c r="C459" s="221">
        <v>789.6</v>
      </c>
      <c r="D459" s="132" t="s">
        <v>85</v>
      </c>
      <c r="F459" s="129">
        <v>0.5</v>
      </c>
      <c r="G459" s="126" t="s">
        <v>132</v>
      </c>
      <c r="H459" s="120" t="s">
        <v>488</v>
      </c>
      <c r="I459" s="129">
        <f>(K454)</f>
        <v>6015.47</v>
      </c>
      <c r="J459" s="120" t="s">
        <v>131</v>
      </c>
      <c r="K459" s="129">
        <f>(F459*I459)</f>
        <v>3007.74</v>
      </c>
      <c r="M459" s="129">
        <v>1</v>
      </c>
      <c r="N459" s="120" t="s">
        <v>145</v>
      </c>
      <c r="O459" s="120" t="s">
        <v>629</v>
      </c>
      <c r="P459" s="129">
        <f>(C56)</f>
        <v>12.1</v>
      </c>
      <c r="Q459" s="120" t="s">
        <v>145</v>
      </c>
      <c r="R459" s="129">
        <f>(M459*P459)</f>
        <v>12.1</v>
      </c>
      <c r="U459" s="223" t="s">
        <v>4112</v>
      </c>
      <c r="Y459" s="118"/>
      <c r="AA459" s="223" t="s">
        <v>4113</v>
      </c>
      <c r="AE459" s="137">
        <f t="shared" si="41"/>
        <v>740.03</v>
      </c>
      <c r="AF459" s="117">
        <f t="shared" si="40"/>
        <v>12.45</v>
      </c>
      <c r="AG459" s="127">
        <f t="shared" si="39"/>
        <v>740.03</v>
      </c>
    </row>
    <row r="460" spans="1:36" ht="24" customHeight="1">
      <c r="A460" s="130">
        <f t="shared" si="37"/>
        <v>293</v>
      </c>
      <c r="B460" s="132" t="s">
        <v>4114</v>
      </c>
      <c r="C460" s="129">
        <f>AE49</f>
        <v>4.4000000000000004</v>
      </c>
      <c r="D460" s="132" t="s">
        <v>131</v>
      </c>
      <c r="F460" s="129">
        <v>1</v>
      </c>
      <c r="G460" s="126" t="s">
        <v>237</v>
      </c>
      <c r="H460" s="120" t="s">
        <v>345</v>
      </c>
      <c r="I460" s="129">
        <f>(C10)</f>
        <v>1041.7</v>
      </c>
      <c r="J460" s="120" t="s">
        <v>131</v>
      </c>
      <c r="K460" s="129">
        <f>(F460*I460)</f>
        <v>1041.7</v>
      </c>
      <c r="M460" s="129">
        <v>1</v>
      </c>
      <c r="N460" s="120" t="s">
        <v>145</v>
      </c>
      <c r="O460" s="120" t="s">
        <v>146</v>
      </c>
      <c r="Q460" s="120" t="s">
        <v>145</v>
      </c>
      <c r="R460" s="129">
        <v>0</v>
      </c>
      <c r="S460" s="121" t="s">
        <v>804</v>
      </c>
      <c r="T460" s="126" t="s">
        <v>111</v>
      </c>
      <c r="U460" s="120" t="s">
        <v>805</v>
      </c>
      <c r="Y460" s="121" t="s">
        <v>804</v>
      </c>
      <c r="Z460" s="126" t="s">
        <v>111</v>
      </c>
      <c r="AA460" s="120" t="s">
        <v>805</v>
      </c>
      <c r="AC460" s="117"/>
      <c r="AE460" s="137">
        <f t="shared" si="41"/>
        <v>752.48</v>
      </c>
      <c r="AF460" s="117">
        <f t="shared" si="40"/>
        <v>12.45</v>
      </c>
      <c r="AG460" s="127">
        <f t="shared" si="39"/>
        <v>752.48</v>
      </c>
    </row>
    <row r="461" spans="1:36" ht="24" customHeight="1">
      <c r="A461" s="130">
        <f t="shared" si="37"/>
        <v>294</v>
      </c>
      <c r="B461" s="132" t="s">
        <v>4115</v>
      </c>
      <c r="C461" s="129">
        <f>AE50</f>
        <v>5.5</v>
      </c>
      <c r="D461" s="132" t="s">
        <v>131</v>
      </c>
      <c r="G461" s="126" t="s">
        <v>145</v>
      </c>
      <c r="H461" s="120" t="s">
        <v>146</v>
      </c>
      <c r="I461" s="120" t="s">
        <v>85</v>
      </c>
      <c r="J461" s="120" t="s">
        <v>145</v>
      </c>
      <c r="K461" s="129">
        <v>0</v>
      </c>
      <c r="R461" s="123" t="s">
        <v>52</v>
      </c>
      <c r="S461" s="115"/>
      <c r="T461" s="116"/>
      <c r="U461" s="120" t="s">
        <v>808</v>
      </c>
      <c r="Z461" s="116"/>
      <c r="AA461" s="120" t="s">
        <v>808</v>
      </c>
      <c r="AC461" s="117"/>
      <c r="AE461" s="137">
        <f t="shared" ref="AE461:AE524" si="42">AG461</f>
        <v>764.93</v>
      </c>
      <c r="AF461" s="117">
        <f t="shared" si="40"/>
        <v>12.45</v>
      </c>
      <c r="AG461" s="127">
        <f t="shared" si="39"/>
        <v>764.93</v>
      </c>
    </row>
    <row r="462" spans="1:36" ht="24" customHeight="1">
      <c r="A462" s="130">
        <f t="shared" si="37"/>
        <v>295</v>
      </c>
      <c r="B462" s="132" t="s">
        <v>640</v>
      </c>
      <c r="C462" s="206">
        <v>350</v>
      </c>
      <c r="D462" s="206">
        <v>375</v>
      </c>
      <c r="K462" s="123" t="s">
        <v>52</v>
      </c>
      <c r="O462" s="120" t="s">
        <v>631</v>
      </c>
      <c r="R462" s="129">
        <f>SUM(R450:R460)</f>
        <v>2558.83</v>
      </c>
      <c r="S462" s="115"/>
      <c r="T462" s="116"/>
      <c r="U462" s="120" t="s">
        <v>4116</v>
      </c>
      <c r="Z462" s="116"/>
      <c r="AA462" s="120" t="s">
        <v>4116</v>
      </c>
      <c r="AC462" s="117"/>
      <c r="AE462" s="137">
        <f t="shared" si="42"/>
        <v>777.38</v>
      </c>
      <c r="AF462" s="117">
        <f t="shared" si="40"/>
        <v>12.45</v>
      </c>
      <c r="AG462" s="127">
        <f t="shared" si="39"/>
        <v>777.38</v>
      </c>
    </row>
    <row r="463" spans="1:36" ht="24" customHeight="1">
      <c r="A463" s="130">
        <f t="shared" si="37"/>
        <v>296</v>
      </c>
      <c r="B463" s="132" t="s">
        <v>641</v>
      </c>
      <c r="C463" s="206">
        <v>400</v>
      </c>
      <c r="D463" s="206">
        <v>425</v>
      </c>
      <c r="H463" s="120" t="s">
        <v>495</v>
      </c>
      <c r="K463" s="129">
        <f>SUM(K459:K461)</f>
        <v>4049.44</v>
      </c>
      <c r="R463" s="123" t="s">
        <v>52</v>
      </c>
      <c r="S463" s="115"/>
      <c r="T463" s="116"/>
      <c r="U463" s="123" t="s">
        <v>52</v>
      </c>
      <c r="Z463" s="116"/>
      <c r="AA463" s="123" t="s">
        <v>52</v>
      </c>
      <c r="AC463" s="117"/>
      <c r="AE463" s="137">
        <f t="shared" si="42"/>
        <v>789.83</v>
      </c>
      <c r="AF463" s="117">
        <f t="shared" si="40"/>
        <v>12.45</v>
      </c>
      <c r="AG463" s="127">
        <f t="shared" si="39"/>
        <v>789.83</v>
      </c>
    </row>
    <row r="464" spans="1:36" ht="60.75" customHeight="1">
      <c r="A464" s="130">
        <f t="shared" si="37"/>
        <v>297</v>
      </c>
      <c r="B464" s="132" t="s">
        <v>642</v>
      </c>
      <c r="C464" s="206">
        <v>450</v>
      </c>
      <c r="D464" s="206">
        <v>500</v>
      </c>
      <c r="K464" s="123" t="s">
        <v>52</v>
      </c>
      <c r="O464" s="120" t="s">
        <v>632</v>
      </c>
      <c r="R464" s="129">
        <f>(R462/30)</f>
        <v>85.29</v>
      </c>
      <c r="S464" s="129">
        <v>0.01</v>
      </c>
      <c r="T464" s="126" t="s">
        <v>132</v>
      </c>
      <c r="U464" s="176" t="s">
        <v>4117</v>
      </c>
      <c r="V464" s="129">
        <f>Z718</f>
        <v>7965.45</v>
      </c>
      <c r="W464" s="121" t="s">
        <v>132</v>
      </c>
      <c r="X464" s="129">
        <f>(S464*V464)</f>
        <v>79.650000000000006</v>
      </c>
      <c r="Y464" s="129">
        <v>0.01</v>
      </c>
      <c r="Z464" s="126" t="s">
        <v>132</v>
      </c>
      <c r="AA464" s="176" t="s">
        <v>4118</v>
      </c>
      <c r="AB464" s="129">
        <f>Y688</f>
        <v>8509.7199999999993</v>
      </c>
      <c r="AC464" s="120" t="s">
        <v>132</v>
      </c>
      <c r="AD464" s="129">
        <f>(Y464*AB464)</f>
        <v>85.1</v>
      </c>
      <c r="AE464" s="137" t="str">
        <f t="shared" si="42"/>
        <v>|</v>
      </c>
      <c r="AG464" s="120" t="s">
        <v>120</v>
      </c>
    </row>
    <row r="465" spans="1:33" ht="24" customHeight="1">
      <c r="A465" s="130">
        <f t="shared" si="37"/>
        <v>298</v>
      </c>
      <c r="B465" s="132" t="s">
        <v>643</v>
      </c>
      <c r="C465" s="206">
        <v>77.819999999999993</v>
      </c>
      <c r="D465" s="132" t="s">
        <v>131</v>
      </c>
      <c r="H465" s="120" t="s">
        <v>460</v>
      </c>
      <c r="K465" s="129">
        <f>(K463/10)</f>
        <v>404.94</v>
      </c>
      <c r="R465" s="123" t="s">
        <v>52</v>
      </c>
      <c r="S465" s="129">
        <v>0.01</v>
      </c>
      <c r="T465" s="126" t="s">
        <v>132</v>
      </c>
      <c r="U465" s="120" t="s">
        <v>818</v>
      </c>
      <c r="V465" s="129"/>
      <c r="W465" s="121" t="s">
        <v>145</v>
      </c>
      <c r="X465" s="129">
        <v>1.1499999999999999</v>
      </c>
      <c r="Y465" s="129">
        <v>0.01</v>
      </c>
      <c r="Z465" s="126" t="s">
        <v>132</v>
      </c>
      <c r="AA465" s="120" t="s">
        <v>818</v>
      </c>
      <c r="AB465" s="129"/>
      <c r="AC465" s="120" t="s">
        <v>145</v>
      </c>
      <c r="AD465" s="129">
        <v>1.1499999999999999</v>
      </c>
      <c r="AE465" s="137" t="str">
        <f t="shared" si="42"/>
        <v>|</v>
      </c>
      <c r="AG465" s="120" t="s">
        <v>120</v>
      </c>
    </row>
    <row r="466" spans="1:33" ht="24" customHeight="1">
      <c r="A466" s="130">
        <f t="shared" si="37"/>
        <v>299</v>
      </c>
      <c r="B466" s="132" t="s">
        <v>644</v>
      </c>
      <c r="C466" s="206">
        <v>99.74</v>
      </c>
      <c r="D466" s="132" t="s">
        <v>131</v>
      </c>
      <c r="K466" s="123" t="s">
        <v>89</v>
      </c>
      <c r="N466" s="120" t="s">
        <v>645</v>
      </c>
      <c r="O466" s="121" t="s">
        <v>646</v>
      </c>
      <c r="S466" s="115"/>
      <c r="T466" s="116"/>
      <c r="U466" s="120" t="s">
        <v>821</v>
      </c>
      <c r="V466" s="129"/>
      <c r="Z466" s="116"/>
      <c r="AA466" s="120" t="s">
        <v>821</v>
      </c>
      <c r="AB466" s="129"/>
      <c r="AC466" s="117"/>
      <c r="AE466" s="137" t="str">
        <f t="shared" si="42"/>
        <v>|</v>
      </c>
      <c r="AG466" s="120" t="s">
        <v>120</v>
      </c>
    </row>
    <row r="467" spans="1:33" ht="24" customHeight="1">
      <c r="A467" s="130">
        <f t="shared" si="37"/>
        <v>300</v>
      </c>
      <c r="B467" s="132" t="s">
        <v>591</v>
      </c>
      <c r="C467" s="206">
        <v>165</v>
      </c>
      <c r="D467" s="132" t="s">
        <v>131</v>
      </c>
      <c r="H467" s="120" t="s">
        <v>53</v>
      </c>
      <c r="K467" s="127">
        <f>(K465+C19/10*F459)</f>
        <v>409.05</v>
      </c>
      <c r="O467" s="123" t="s">
        <v>52</v>
      </c>
      <c r="S467" s="115"/>
      <c r="T467" s="116"/>
      <c r="V467" s="129"/>
      <c r="X467" s="123" t="s">
        <v>52</v>
      </c>
      <c r="Z467" s="116"/>
      <c r="AB467" s="129"/>
      <c r="AC467" s="117"/>
      <c r="AD467" s="123" t="s">
        <v>52</v>
      </c>
      <c r="AE467" s="137" t="str">
        <f t="shared" si="42"/>
        <v>|</v>
      </c>
      <c r="AG467" s="120" t="s">
        <v>120</v>
      </c>
    </row>
    <row r="468" spans="1:33" ht="24" customHeight="1">
      <c r="A468" s="130">
        <f t="shared" si="37"/>
        <v>301</v>
      </c>
      <c r="B468" s="132" t="s">
        <v>592</v>
      </c>
      <c r="C468" s="206">
        <v>258</v>
      </c>
      <c r="D468" s="132" t="s">
        <v>131</v>
      </c>
      <c r="H468" s="120" t="s">
        <v>54</v>
      </c>
      <c r="K468" s="127">
        <f>(K467+C20/10*F459)</f>
        <v>417.35</v>
      </c>
      <c r="M468" s="129">
        <v>8.1</v>
      </c>
      <c r="N468" s="120" t="s">
        <v>132</v>
      </c>
      <c r="O468" s="120" t="s">
        <v>615</v>
      </c>
      <c r="P468" s="129">
        <f>(C61)*2</f>
        <v>233.76</v>
      </c>
      <c r="Q468" s="120" t="s">
        <v>132</v>
      </c>
      <c r="R468" s="129">
        <f>(M468*P468)</f>
        <v>1893.46</v>
      </c>
      <c r="S468" s="115"/>
      <c r="T468" s="116"/>
      <c r="U468" s="120" t="s">
        <v>824</v>
      </c>
      <c r="V468" s="129"/>
      <c r="X468" s="129">
        <f>SUM(X464:X466)</f>
        <v>80.8</v>
      </c>
      <c r="Z468" s="116"/>
      <c r="AA468" s="120" t="s">
        <v>824</v>
      </c>
      <c r="AB468" s="129"/>
      <c r="AC468" s="117"/>
      <c r="AD468" s="129">
        <f>SUM(AD464:AD466)</f>
        <v>86.25</v>
      </c>
      <c r="AE468" s="137" t="str">
        <f t="shared" si="42"/>
        <v>|</v>
      </c>
      <c r="AG468" s="120" t="s">
        <v>120</v>
      </c>
    </row>
    <row r="469" spans="1:33" ht="24" customHeight="1">
      <c r="A469" s="130">
        <f t="shared" si="37"/>
        <v>302</v>
      </c>
      <c r="B469" s="132" t="s">
        <v>594</v>
      </c>
      <c r="C469" s="206">
        <v>298</v>
      </c>
      <c r="D469" s="132" t="s">
        <v>131</v>
      </c>
      <c r="H469" s="120" t="s">
        <v>55</v>
      </c>
      <c r="K469" s="127">
        <f>(K468+C21/10*F459)</f>
        <v>425.65</v>
      </c>
      <c r="M469" s="129">
        <v>8.1</v>
      </c>
      <c r="N469" s="120" t="s">
        <v>132</v>
      </c>
      <c r="O469" s="120" t="s">
        <v>616</v>
      </c>
      <c r="P469" s="129">
        <f>(C26)</f>
        <v>40.65</v>
      </c>
      <c r="Q469" s="120" t="s">
        <v>132</v>
      </c>
      <c r="R469" s="129">
        <f>(M469*P469)</f>
        <v>329.27</v>
      </c>
      <c r="S469" s="115"/>
      <c r="T469" s="116"/>
      <c r="V469" s="129"/>
      <c r="X469" s="123" t="s">
        <v>52</v>
      </c>
      <c r="Z469" s="116"/>
      <c r="AB469" s="129"/>
      <c r="AC469" s="117"/>
      <c r="AD469" s="123" t="s">
        <v>52</v>
      </c>
      <c r="AE469" s="137" t="str">
        <f t="shared" si="42"/>
        <v>|</v>
      </c>
      <c r="AG469" s="120" t="s">
        <v>120</v>
      </c>
    </row>
    <row r="470" spans="1:33" ht="24" customHeight="1">
      <c r="A470" s="130">
        <f t="shared" si="37"/>
        <v>303</v>
      </c>
      <c r="B470" s="132" t="s">
        <v>547</v>
      </c>
      <c r="C470" s="206">
        <v>398</v>
      </c>
      <c r="D470" s="132" t="s">
        <v>131</v>
      </c>
      <c r="H470" s="120" t="s">
        <v>56</v>
      </c>
      <c r="K470" s="127">
        <f>(K469+C21/10*F459)</f>
        <v>433.95</v>
      </c>
      <c r="L470" s="115">
        <f t="shared" ref="L470:L479" si="43">K470-K469</f>
        <v>8.3000000000000007</v>
      </c>
      <c r="M470" s="129">
        <v>30</v>
      </c>
      <c r="N470" s="120" t="s">
        <v>282</v>
      </c>
      <c r="O470" s="120" t="s">
        <v>617</v>
      </c>
      <c r="P470" s="129">
        <f>(C42)</f>
        <v>5</v>
      </c>
      <c r="Q470" s="120" t="s">
        <v>282</v>
      </c>
      <c r="R470" s="129">
        <f>(M470*P470)</f>
        <v>150</v>
      </c>
      <c r="S470" s="115"/>
      <c r="T470" s="116"/>
      <c r="U470" s="120" t="s">
        <v>242</v>
      </c>
      <c r="V470" s="129"/>
      <c r="X470" s="129">
        <f>ROUND(X468*100,0)</f>
        <v>8080</v>
      </c>
      <c r="Z470" s="116"/>
      <c r="AA470" s="120" t="s">
        <v>242</v>
      </c>
      <c r="AB470" s="129"/>
      <c r="AC470" s="117"/>
      <c r="AD470" s="129">
        <f>ROUND(AD468*100,0)</f>
        <v>8625</v>
      </c>
      <c r="AE470" s="137" t="str">
        <f t="shared" si="42"/>
        <v>|</v>
      </c>
      <c r="AG470" s="120" t="s">
        <v>120</v>
      </c>
    </row>
    <row r="471" spans="1:33" ht="15.75">
      <c r="A471" s="130">
        <f t="shared" si="37"/>
        <v>304</v>
      </c>
      <c r="B471" s="132" t="s">
        <v>595</v>
      </c>
      <c r="C471" s="174"/>
      <c r="D471" s="132" t="s">
        <v>131</v>
      </c>
      <c r="H471" s="120" t="s">
        <v>57</v>
      </c>
      <c r="K471" s="127">
        <f>(K470+C21/10*F459)</f>
        <v>442.25</v>
      </c>
      <c r="L471" s="115">
        <f t="shared" si="43"/>
        <v>8.3000000000000007</v>
      </c>
      <c r="O471" s="120" t="s">
        <v>618</v>
      </c>
      <c r="S471" s="120" t="s">
        <v>85</v>
      </c>
      <c r="T471" s="116"/>
      <c r="V471" s="129"/>
      <c r="Y471" s="120" t="s">
        <v>85</v>
      </c>
      <c r="Z471" s="116"/>
      <c r="AB471" s="129"/>
      <c r="AC471" s="117"/>
      <c r="AE471" s="137" t="str">
        <f t="shared" si="42"/>
        <v>|</v>
      </c>
      <c r="AG471" s="120" t="s">
        <v>120</v>
      </c>
    </row>
    <row r="472" spans="1:33" ht="15.75">
      <c r="A472" s="130"/>
      <c r="B472" s="132"/>
      <c r="C472" s="138"/>
      <c r="D472" s="132"/>
      <c r="H472" s="120">
        <v>5</v>
      </c>
      <c r="K472" s="127">
        <f>(K471+C21/10*F459)</f>
        <v>450.55</v>
      </c>
      <c r="L472" s="115">
        <f t="shared" si="43"/>
        <v>8.3000000000000007</v>
      </c>
      <c r="O472" s="120"/>
      <c r="S472" s="115"/>
      <c r="T472" s="116"/>
      <c r="V472" s="129"/>
      <c r="X472" s="123" t="s">
        <v>89</v>
      </c>
      <c r="Z472" s="116"/>
      <c r="AB472" s="129"/>
      <c r="AC472" s="117"/>
      <c r="AD472" s="123" t="s">
        <v>89</v>
      </c>
      <c r="AE472" s="137"/>
      <c r="AG472" s="120"/>
    </row>
    <row r="473" spans="1:33" ht="15.75">
      <c r="A473" s="130"/>
      <c r="B473" s="132"/>
      <c r="C473" s="138"/>
      <c r="D473" s="132"/>
      <c r="H473" s="120">
        <v>6</v>
      </c>
      <c r="K473" s="127">
        <f>(K472+C21/10*F459)</f>
        <v>458.85</v>
      </c>
      <c r="L473" s="115">
        <f t="shared" si="43"/>
        <v>8.3000000000000007</v>
      </c>
      <c r="O473" s="120"/>
      <c r="S473" s="115"/>
      <c r="T473" s="126" t="s">
        <v>483</v>
      </c>
      <c r="U473" s="120" t="s">
        <v>831</v>
      </c>
      <c r="V473" s="129"/>
      <c r="Z473" s="126" t="s">
        <v>483</v>
      </c>
      <c r="AA473" s="120" t="s">
        <v>831</v>
      </c>
      <c r="AB473" s="129"/>
      <c r="AC473" s="117"/>
      <c r="AE473" s="137"/>
      <c r="AG473" s="120"/>
    </row>
    <row r="474" spans="1:33" ht="15.75">
      <c r="A474" s="130"/>
      <c r="B474" s="132"/>
      <c r="C474" s="138"/>
      <c r="D474" s="132"/>
      <c r="H474" s="120">
        <v>7</v>
      </c>
      <c r="K474" s="127">
        <f>(K473+C21/10*F459)</f>
        <v>467.15</v>
      </c>
      <c r="L474" s="115">
        <f t="shared" si="43"/>
        <v>8.3000000000000007</v>
      </c>
      <c r="O474" s="120"/>
      <c r="S474" s="115"/>
      <c r="T474" s="116"/>
      <c r="U474" s="120" t="s">
        <v>833</v>
      </c>
      <c r="V474" s="129"/>
      <c r="Z474" s="116"/>
      <c r="AA474" s="120" t="s">
        <v>833</v>
      </c>
      <c r="AB474" s="129"/>
      <c r="AC474" s="117"/>
      <c r="AE474" s="137"/>
      <c r="AG474" s="120"/>
    </row>
    <row r="475" spans="1:33" ht="15.75">
      <c r="A475" s="130"/>
      <c r="B475" s="132"/>
      <c r="C475" s="138"/>
      <c r="D475" s="132"/>
      <c r="H475" s="120">
        <v>8</v>
      </c>
      <c r="K475" s="127">
        <f>(K474+C21/10*F459)</f>
        <v>475.45</v>
      </c>
      <c r="L475" s="115">
        <f t="shared" si="43"/>
        <v>8.3000000000000007</v>
      </c>
      <c r="O475" s="120"/>
      <c r="S475" s="115"/>
      <c r="T475" s="116"/>
      <c r="U475" s="123" t="s">
        <v>52</v>
      </c>
      <c r="V475" s="129"/>
      <c r="Z475" s="116"/>
      <c r="AA475" s="123" t="s">
        <v>52</v>
      </c>
      <c r="AB475" s="129"/>
      <c r="AC475" s="117"/>
      <c r="AE475" s="137"/>
      <c r="AG475" s="120"/>
    </row>
    <row r="476" spans="1:33" ht="15.75">
      <c r="A476" s="130"/>
      <c r="B476" s="132"/>
      <c r="C476" s="138"/>
      <c r="D476" s="132"/>
      <c r="H476" s="120">
        <v>9</v>
      </c>
      <c r="K476" s="127">
        <f>(K475+C21/10*F459)</f>
        <v>483.75</v>
      </c>
      <c r="L476" s="115">
        <f t="shared" si="43"/>
        <v>8.3000000000000007</v>
      </c>
      <c r="O476" s="120"/>
      <c r="S476" s="142">
        <v>1.4E-2</v>
      </c>
      <c r="T476" s="126" t="s">
        <v>132</v>
      </c>
      <c r="U476" s="120" t="s">
        <v>838</v>
      </c>
      <c r="V476" s="129">
        <f>X470</f>
        <v>8080</v>
      </c>
      <c r="W476" s="121" t="s">
        <v>132</v>
      </c>
      <c r="X476" s="129">
        <f>(S476*V476)</f>
        <v>113.12</v>
      </c>
      <c r="Y476" s="142">
        <v>1.4E-2</v>
      </c>
      <c r="Z476" s="126" t="s">
        <v>132</v>
      </c>
      <c r="AA476" s="120" t="s">
        <v>838</v>
      </c>
      <c r="AB476" s="129">
        <f>AD470</f>
        <v>8625</v>
      </c>
      <c r="AC476" s="120" t="s">
        <v>132</v>
      </c>
      <c r="AD476" s="129">
        <f>(Y476*AB476)</f>
        <v>120.75</v>
      </c>
      <c r="AE476" s="137"/>
      <c r="AG476" s="120"/>
    </row>
    <row r="477" spans="1:33" ht="15.75">
      <c r="A477" s="130"/>
      <c r="B477" s="132"/>
      <c r="C477" s="138"/>
      <c r="D477" s="132"/>
      <c r="H477" s="120">
        <v>10</v>
      </c>
      <c r="K477" s="127">
        <f>(K476+C21/10*F459)</f>
        <v>492.05</v>
      </c>
      <c r="L477" s="115">
        <f t="shared" si="43"/>
        <v>8.3000000000000007</v>
      </c>
      <c r="O477" s="120"/>
      <c r="S477" s="142"/>
      <c r="T477" s="116"/>
      <c r="U477" s="120" t="s">
        <v>841</v>
      </c>
      <c r="V477" s="129"/>
      <c r="X477" s="120" t="s">
        <v>85</v>
      </c>
      <c r="Y477" s="142"/>
      <c r="Z477" s="116"/>
      <c r="AA477" s="120" t="s">
        <v>841</v>
      </c>
      <c r="AB477" s="129"/>
      <c r="AC477" s="117"/>
      <c r="AD477" s="120" t="s">
        <v>85</v>
      </c>
      <c r="AE477" s="137"/>
      <c r="AG477" s="120"/>
    </row>
    <row r="478" spans="1:33" ht="15.75">
      <c r="A478" s="130"/>
      <c r="B478" s="132"/>
      <c r="C478" s="138"/>
      <c r="D478" s="132"/>
      <c r="H478" s="120"/>
      <c r="K478" s="127">
        <f>(K477+C21/10*F459)</f>
        <v>500.35</v>
      </c>
      <c r="L478" s="115">
        <f t="shared" si="43"/>
        <v>8.3000000000000007</v>
      </c>
      <c r="O478" s="120"/>
      <c r="S478" s="129">
        <v>0.5</v>
      </c>
      <c r="T478" s="126" t="s">
        <v>237</v>
      </c>
      <c r="U478" s="120" t="s">
        <v>345</v>
      </c>
      <c r="V478" s="129">
        <f>C10</f>
        <v>1041.7</v>
      </c>
      <c r="W478" s="121" t="s">
        <v>237</v>
      </c>
      <c r="X478" s="129">
        <f>(S478*V478)</f>
        <v>520.85</v>
      </c>
      <c r="Y478" s="129">
        <v>0.5</v>
      </c>
      <c r="Z478" s="126" t="s">
        <v>237</v>
      </c>
      <c r="AA478" s="120" t="s">
        <v>345</v>
      </c>
      <c r="AB478" s="129">
        <f>V478</f>
        <v>1041.7</v>
      </c>
      <c r="AC478" s="120" t="s">
        <v>237</v>
      </c>
      <c r="AD478" s="129">
        <f>(Y478*AB478)</f>
        <v>520.85</v>
      </c>
      <c r="AE478" s="137"/>
      <c r="AG478" s="120"/>
    </row>
    <row r="479" spans="1:33" ht="15.75">
      <c r="A479" s="130">
        <f>(A471+1)</f>
        <v>305</v>
      </c>
      <c r="B479" s="218" t="s">
        <v>4119</v>
      </c>
      <c r="C479" s="138"/>
      <c r="D479" s="132" t="s">
        <v>131</v>
      </c>
      <c r="F479" s="121" t="s">
        <v>648</v>
      </c>
      <c r="G479" s="126" t="s">
        <v>111</v>
      </c>
      <c r="H479" s="120" t="s">
        <v>649</v>
      </c>
      <c r="K479" s="127">
        <f>(K478+C21/10*F459)</f>
        <v>508.65</v>
      </c>
      <c r="L479" s="115">
        <f t="shared" si="43"/>
        <v>8.3000000000000007</v>
      </c>
      <c r="O479" s="120" t="s">
        <v>619</v>
      </c>
      <c r="S479" s="129">
        <v>0.75</v>
      </c>
      <c r="T479" s="126" t="s">
        <v>237</v>
      </c>
      <c r="U479" s="120" t="s">
        <v>304</v>
      </c>
      <c r="V479" s="129">
        <f>C12</f>
        <v>679.8</v>
      </c>
      <c r="W479" s="121" t="s">
        <v>237</v>
      </c>
      <c r="X479" s="129">
        <f>(S479*V479)</f>
        <v>509.85</v>
      </c>
      <c r="Y479" s="129">
        <v>0.75</v>
      </c>
      <c r="Z479" s="126" t="s">
        <v>237</v>
      </c>
      <c r="AA479" s="120" t="s">
        <v>304</v>
      </c>
      <c r="AB479" s="129">
        <f>V479</f>
        <v>679.8</v>
      </c>
      <c r="AC479" s="120" t="s">
        <v>237</v>
      </c>
      <c r="AD479" s="129">
        <f>(Y479*AB479)</f>
        <v>509.85</v>
      </c>
      <c r="AE479" s="137" t="str">
        <f t="shared" si="42"/>
        <v>|</v>
      </c>
      <c r="AG479" s="120" t="s">
        <v>120</v>
      </c>
    </row>
    <row r="480" spans="1:33" ht="50.25" customHeight="1">
      <c r="A480" s="130">
        <f t="shared" si="37"/>
        <v>306</v>
      </c>
      <c r="B480" s="132" t="s">
        <v>588</v>
      </c>
      <c r="C480" s="220">
        <v>168</v>
      </c>
      <c r="D480" s="132" t="s">
        <v>131</v>
      </c>
      <c r="H480" s="120" t="s">
        <v>650</v>
      </c>
      <c r="O480" s="120" t="s">
        <v>620</v>
      </c>
      <c r="S480" s="115"/>
      <c r="T480" s="126" t="s">
        <v>145</v>
      </c>
      <c r="U480" s="120" t="s">
        <v>146</v>
      </c>
      <c r="V480" s="129"/>
      <c r="W480" s="121" t="s">
        <v>145</v>
      </c>
      <c r="X480" s="129">
        <v>0</v>
      </c>
      <c r="Z480" s="126" t="s">
        <v>145</v>
      </c>
      <c r="AA480" s="120" t="s">
        <v>146</v>
      </c>
      <c r="AB480" s="129">
        <f>V480</f>
        <v>0</v>
      </c>
      <c r="AC480" s="120" t="s">
        <v>145</v>
      </c>
      <c r="AD480" s="129">
        <v>0</v>
      </c>
      <c r="AE480" s="137" t="str">
        <f t="shared" si="42"/>
        <v>|</v>
      </c>
      <c r="AG480" s="120" t="s">
        <v>120</v>
      </c>
    </row>
    <row r="481" spans="1:33" ht="30.75" customHeight="1">
      <c r="A481" s="130">
        <f t="shared" si="37"/>
        <v>307</v>
      </c>
      <c r="B481" s="132" t="s">
        <v>589</v>
      </c>
      <c r="C481" s="136">
        <v>350</v>
      </c>
      <c r="D481" s="132" t="s">
        <v>131</v>
      </c>
      <c r="H481" s="123" t="s">
        <v>52</v>
      </c>
      <c r="O481" s="120" t="s">
        <v>621</v>
      </c>
      <c r="S481" s="115"/>
      <c r="T481" s="116"/>
      <c r="V481" s="129"/>
      <c r="X481" s="123" t="s">
        <v>52</v>
      </c>
      <c r="Z481" s="116"/>
      <c r="AB481" s="129"/>
      <c r="AC481" s="117"/>
      <c r="AD481" s="123" t="s">
        <v>52</v>
      </c>
      <c r="AE481" s="137" t="str">
        <f t="shared" si="42"/>
        <v>|</v>
      </c>
      <c r="AG481" s="120" t="s">
        <v>120</v>
      </c>
    </row>
    <row r="482" spans="1:33" ht="24" customHeight="1">
      <c r="A482" s="130">
        <f t="shared" si="37"/>
        <v>308</v>
      </c>
      <c r="B482" s="132" t="s">
        <v>591</v>
      </c>
      <c r="C482" s="136">
        <v>592</v>
      </c>
      <c r="D482" s="132" t="s">
        <v>131</v>
      </c>
      <c r="F482" s="129">
        <v>1</v>
      </c>
      <c r="G482" s="126" t="s">
        <v>132</v>
      </c>
      <c r="H482" s="120" t="s">
        <v>651</v>
      </c>
      <c r="I482" s="129">
        <f>(C26)</f>
        <v>40.65</v>
      </c>
      <c r="J482" s="120" t="s">
        <v>132</v>
      </c>
      <c r="K482" s="127">
        <f>(F482*I482)</f>
        <v>40.65</v>
      </c>
      <c r="M482" s="129">
        <v>8</v>
      </c>
      <c r="N482" s="120" t="s">
        <v>237</v>
      </c>
      <c r="O482" s="120" t="s">
        <v>624</v>
      </c>
      <c r="P482" s="129">
        <f>(C45)</f>
        <v>10.65</v>
      </c>
      <c r="Q482" s="120" t="s">
        <v>237</v>
      </c>
      <c r="R482" s="129">
        <f>(M482*P482)</f>
        <v>85.2</v>
      </c>
      <c r="S482" s="115"/>
      <c r="T482" s="116"/>
      <c r="U482" s="120" t="s">
        <v>847</v>
      </c>
      <c r="V482" s="129"/>
      <c r="X482" s="129">
        <f>SUM(X476:X480)</f>
        <v>1143.82</v>
      </c>
      <c r="Z482" s="116"/>
      <c r="AA482" s="120" t="s">
        <v>847</v>
      </c>
      <c r="AB482" s="129"/>
      <c r="AC482" s="117"/>
      <c r="AD482" s="129">
        <f>SUM(AD476:AD480)</f>
        <v>1151.45</v>
      </c>
      <c r="AE482" s="137" t="str">
        <f t="shared" si="42"/>
        <v>|</v>
      </c>
      <c r="AG482" s="120" t="s">
        <v>120</v>
      </c>
    </row>
    <row r="483" spans="1:33" ht="24" customHeight="1">
      <c r="A483" s="130">
        <f t="shared" si="37"/>
        <v>309</v>
      </c>
      <c r="B483" s="132" t="s">
        <v>592</v>
      </c>
      <c r="C483" s="136">
        <v>760</v>
      </c>
      <c r="D483" s="132" t="s">
        <v>131</v>
      </c>
      <c r="K483" s="123" t="s">
        <v>89</v>
      </c>
      <c r="M483" s="129">
        <v>8</v>
      </c>
      <c r="N483" s="120" t="s">
        <v>237</v>
      </c>
      <c r="O483" s="120" t="s">
        <v>627</v>
      </c>
      <c r="P483" s="129">
        <f>(C52)</f>
        <v>26.6</v>
      </c>
      <c r="Q483" s="120" t="s">
        <v>237</v>
      </c>
      <c r="R483" s="129">
        <f>(M483*P483)</f>
        <v>212.8</v>
      </c>
      <c r="S483" s="115"/>
      <c r="T483" s="116"/>
      <c r="V483" s="129"/>
      <c r="X483" s="123" t="s">
        <v>52</v>
      </c>
      <c r="Z483" s="116"/>
      <c r="AB483" s="129"/>
      <c r="AC483" s="117"/>
      <c r="AD483" s="123" t="s">
        <v>52</v>
      </c>
      <c r="AE483" s="137" t="str">
        <f t="shared" si="42"/>
        <v>|</v>
      </c>
      <c r="AG483" s="120" t="s">
        <v>120</v>
      </c>
    </row>
    <row r="484" spans="1:33" ht="24" customHeight="1">
      <c r="A484" s="130">
        <f t="shared" si="37"/>
        <v>310</v>
      </c>
      <c r="B484" s="132" t="s">
        <v>594</v>
      </c>
      <c r="C484" s="136">
        <v>977</v>
      </c>
      <c r="D484" s="132" t="s">
        <v>131</v>
      </c>
      <c r="F484" s="167">
        <v>7.3</v>
      </c>
      <c r="G484" s="126" t="s">
        <v>111</v>
      </c>
      <c r="H484" s="120" t="s">
        <v>652</v>
      </c>
      <c r="M484" s="129">
        <v>1</v>
      </c>
      <c r="N484" s="120" t="s">
        <v>145</v>
      </c>
      <c r="O484" s="120" t="s">
        <v>629</v>
      </c>
      <c r="P484" s="129">
        <f>(C56)</f>
        <v>12.1</v>
      </c>
      <c r="Q484" s="120" t="s">
        <v>145</v>
      </c>
      <c r="R484" s="129">
        <f>(M484*P484)</f>
        <v>12.1</v>
      </c>
      <c r="S484" s="115"/>
      <c r="T484" s="116"/>
      <c r="U484" s="120" t="s">
        <v>460</v>
      </c>
      <c r="X484" s="129">
        <f>(X482/0.372)</f>
        <v>3074.78</v>
      </c>
      <c r="Z484" s="116"/>
      <c r="AA484" s="120" t="s">
        <v>460</v>
      </c>
      <c r="AC484" s="117"/>
      <c r="AD484" s="129">
        <f>(AD482/0.372)</f>
        <v>3095.3</v>
      </c>
      <c r="AE484" s="137" t="str">
        <f t="shared" si="42"/>
        <v>|</v>
      </c>
      <c r="AG484" s="120" t="s">
        <v>120</v>
      </c>
    </row>
    <row r="485" spans="1:33" ht="24" customHeight="1">
      <c r="A485" s="130">
        <f t="shared" si="37"/>
        <v>311</v>
      </c>
      <c r="B485" s="132" t="s">
        <v>547</v>
      </c>
      <c r="C485" s="136">
        <v>1241</v>
      </c>
      <c r="D485" s="132" t="s">
        <v>131</v>
      </c>
      <c r="F485" s="120" t="s">
        <v>85</v>
      </c>
      <c r="H485" s="120" t="s">
        <v>653</v>
      </c>
      <c r="M485" s="129">
        <v>1</v>
      </c>
      <c r="N485" s="120" t="s">
        <v>145</v>
      </c>
      <c r="O485" s="120" t="s">
        <v>146</v>
      </c>
      <c r="Q485" s="120" t="s">
        <v>145</v>
      </c>
      <c r="R485" s="129">
        <v>0</v>
      </c>
      <c r="S485" s="115"/>
      <c r="T485" s="116"/>
      <c r="X485" s="123" t="s">
        <v>89</v>
      </c>
      <c r="Z485" s="116"/>
      <c r="AC485" s="117"/>
      <c r="AD485" s="123" t="s">
        <v>89</v>
      </c>
      <c r="AE485" s="137" t="str">
        <f t="shared" si="42"/>
        <v>|</v>
      </c>
      <c r="AG485" s="120" t="s">
        <v>120</v>
      </c>
    </row>
    <row r="486" spans="1:33" ht="24" customHeight="1">
      <c r="A486" s="130">
        <f t="shared" si="37"/>
        <v>312</v>
      </c>
      <c r="B486" s="132" t="s">
        <v>595</v>
      </c>
      <c r="C486" s="162">
        <v>1523</v>
      </c>
      <c r="D486" s="132" t="s">
        <v>131</v>
      </c>
      <c r="F486" s="120" t="s">
        <v>85</v>
      </c>
      <c r="H486" s="123" t="s">
        <v>4120</v>
      </c>
      <c r="R486" s="123" t="s">
        <v>52</v>
      </c>
      <c r="S486" s="115"/>
      <c r="T486" s="116"/>
      <c r="U486" s="120" t="s">
        <v>53</v>
      </c>
      <c r="V486" s="115">
        <f>X484</f>
        <v>3074.78</v>
      </c>
      <c r="W486" s="119">
        <f>J659</f>
        <v>4.7</v>
      </c>
      <c r="X486" s="127">
        <f>V486+W486</f>
        <v>3079.48</v>
      </c>
      <c r="Z486" s="116"/>
      <c r="AA486" s="120" t="s">
        <v>53</v>
      </c>
      <c r="AB486" s="115">
        <f>AD484</f>
        <v>3095.3</v>
      </c>
      <c r="AC486" s="117">
        <f>W486</f>
        <v>4.7</v>
      </c>
      <c r="AD486" s="127">
        <f>AB486+AC486</f>
        <v>3100</v>
      </c>
      <c r="AE486" s="137" t="str">
        <f t="shared" si="42"/>
        <v>|</v>
      </c>
      <c r="AG486" s="120" t="s">
        <v>120</v>
      </c>
    </row>
    <row r="487" spans="1:33" ht="24" customHeight="1">
      <c r="A487" s="130">
        <f t="shared" si="37"/>
        <v>313</v>
      </c>
      <c r="B487" s="218" t="s">
        <v>4121</v>
      </c>
      <c r="C487" s="138"/>
      <c r="D487" s="132"/>
      <c r="F487" s="129">
        <v>0.13</v>
      </c>
      <c r="G487" s="126" t="s">
        <v>132</v>
      </c>
      <c r="H487" s="120" t="s">
        <v>259</v>
      </c>
      <c r="I487" s="129">
        <f>(K40)</f>
        <v>3937.82</v>
      </c>
      <c r="J487" s="120" t="s">
        <v>132</v>
      </c>
      <c r="K487" s="129">
        <f t="shared" ref="K487:K492" si="44">(F487*I487)</f>
        <v>511.92</v>
      </c>
      <c r="O487" s="120" t="s">
        <v>631</v>
      </c>
      <c r="R487" s="129">
        <f>SUM(R468:R485)</f>
        <v>2682.83</v>
      </c>
      <c r="S487" s="115"/>
      <c r="T487" s="116"/>
      <c r="U487" s="120" t="s">
        <v>54</v>
      </c>
      <c r="V487" s="115">
        <f>X486</f>
        <v>3079.48</v>
      </c>
      <c r="W487" s="119">
        <f>J662</f>
        <v>9.26</v>
      </c>
      <c r="X487" s="127">
        <f>V487+W487</f>
        <v>3088.74</v>
      </c>
      <c r="Z487" s="116"/>
      <c r="AA487" s="120" t="s">
        <v>54</v>
      </c>
      <c r="AB487" s="115">
        <f>AD486</f>
        <v>3100</v>
      </c>
      <c r="AC487" s="117">
        <f>W487</f>
        <v>9.26</v>
      </c>
      <c r="AD487" s="127">
        <f>AB487+AC487</f>
        <v>3109.26</v>
      </c>
      <c r="AE487" s="137" t="str">
        <f t="shared" si="42"/>
        <v>|</v>
      </c>
      <c r="AG487" s="120" t="s">
        <v>120</v>
      </c>
    </row>
    <row r="488" spans="1:33" ht="24" customHeight="1">
      <c r="A488" s="130">
        <f t="shared" ref="A488:A497" si="45">(A487+1)</f>
        <v>314</v>
      </c>
      <c r="B488" s="132" t="s">
        <v>588</v>
      </c>
      <c r="C488" s="136">
        <v>169</v>
      </c>
      <c r="D488" s="132" t="s">
        <v>131</v>
      </c>
      <c r="F488" s="129">
        <v>0.7</v>
      </c>
      <c r="G488" s="126" t="s">
        <v>237</v>
      </c>
      <c r="H488" s="120" t="s">
        <v>345</v>
      </c>
      <c r="I488" s="129">
        <f>(C10)</f>
        <v>1041.7</v>
      </c>
      <c r="J488" s="120" t="s">
        <v>237</v>
      </c>
      <c r="K488" s="129">
        <f t="shared" si="44"/>
        <v>729.19</v>
      </c>
      <c r="R488" s="123" t="s">
        <v>52</v>
      </c>
      <c r="S488" s="115"/>
      <c r="T488" s="116"/>
      <c r="U488" s="120" t="s">
        <v>55</v>
      </c>
      <c r="V488" s="115">
        <f>X487</f>
        <v>3088.74</v>
      </c>
      <c r="W488" s="119">
        <f>J663</f>
        <v>9.26</v>
      </c>
      <c r="X488" s="127">
        <f>V488+W488</f>
        <v>3098</v>
      </c>
      <c r="Z488" s="116"/>
      <c r="AA488" s="120" t="s">
        <v>55</v>
      </c>
      <c r="AB488" s="115">
        <f>AD487</f>
        <v>3109.26</v>
      </c>
      <c r="AC488" s="117">
        <f>W488</f>
        <v>9.26</v>
      </c>
      <c r="AD488" s="127">
        <f>AB488+AC488</f>
        <v>3118.52</v>
      </c>
      <c r="AE488" s="137" t="str">
        <f t="shared" si="42"/>
        <v>|</v>
      </c>
      <c r="AG488" s="120" t="s">
        <v>120</v>
      </c>
    </row>
    <row r="489" spans="1:33" ht="33.75" customHeight="1">
      <c r="A489" s="130">
        <f t="shared" si="45"/>
        <v>315</v>
      </c>
      <c r="B489" s="132" t="s">
        <v>589</v>
      </c>
      <c r="C489" s="136">
        <v>241</v>
      </c>
      <c r="D489" s="132" t="s">
        <v>131</v>
      </c>
      <c r="F489" s="129">
        <v>0.7</v>
      </c>
      <c r="G489" s="126" t="s">
        <v>237</v>
      </c>
      <c r="H489" s="120" t="s">
        <v>302</v>
      </c>
      <c r="I489" s="129">
        <f>(C11)</f>
        <v>972.4</v>
      </c>
      <c r="J489" s="120" t="s">
        <v>237</v>
      </c>
      <c r="K489" s="129">
        <f t="shared" si="44"/>
        <v>680.68</v>
      </c>
      <c r="O489" s="120" t="s">
        <v>632</v>
      </c>
      <c r="R489" s="129">
        <f>(R487/30)</f>
        <v>89.43</v>
      </c>
      <c r="S489" s="115"/>
      <c r="T489" s="116"/>
      <c r="U489" s="120" t="s">
        <v>56</v>
      </c>
      <c r="V489" s="115">
        <f>X488</f>
        <v>3098</v>
      </c>
      <c r="W489" s="119">
        <f>J664</f>
        <v>9.26</v>
      </c>
      <c r="X489" s="127">
        <f>V489+W489</f>
        <v>3107.26</v>
      </c>
      <c r="Z489" s="116"/>
      <c r="AA489" s="120" t="s">
        <v>56</v>
      </c>
      <c r="AB489" s="115">
        <f>AD488</f>
        <v>3118.52</v>
      </c>
      <c r="AC489" s="117">
        <f>W489</f>
        <v>9.26</v>
      </c>
      <c r="AD489" s="127">
        <f>AB489+AC489</f>
        <v>3127.78</v>
      </c>
      <c r="AE489" s="137" t="str">
        <f t="shared" si="42"/>
        <v>|</v>
      </c>
      <c r="AG489" s="120" t="s">
        <v>120</v>
      </c>
    </row>
    <row r="490" spans="1:33" ht="24" customHeight="1">
      <c r="A490" s="130">
        <f t="shared" si="45"/>
        <v>316</v>
      </c>
      <c r="B490" s="132" t="s">
        <v>591</v>
      </c>
      <c r="C490" s="136">
        <v>351</v>
      </c>
      <c r="D490" s="132" t="s">
        <v>131</v>
      </c>
      <c r="F490" s="129">
        <v>1.5</v>
      </c>
      <c r="G490" s="126" t="s">
        <v>237</v>
      </c>
      <c r="H490" s="120" t="s">
        <v>304</v>
      </c>
      <c r="I490" s="129">
        <f>(C12)</f>
        <v>679.8</v>
      </c>
      <c r="J490" s="120" t="s">
        <v>237</v>
      </c>
      <c r="K490" s="129">
        <f t="shared" si="44"/>
        <v>1019.7</v>
      </c>
      <c r="R490" s="123" t="s">
        <v>52</v>
      </c>
      <c r="S490" s="115"/>
      <c r="T490" s="116"/>
      <c r="U490" s="120" t="s">
        <v>747</v>
      </c>
      <c r="V490" s="115">
        <f>X489</f>
        <v>3107.26</v>
      </c>
      <c r="W490" s="119">
        <f>J665</f>
        <v>9.26</v>
      </c>
      <c r="X490" s="127">
        <f>V490+W490</f>
        <v>3116.52</v>
      </c>
      <c r="Z490" s="116"/>
      <c r="AA490" s="120" t="s">
        <v>747</v>
      </c>
      <c r="AB490" s="115">
        <f>AD489</f>
        <v>3127.78</v>
      </c>
      <c r="AC490" s="117">
        <f>W490</f>
        <v>9.26</v>
      </c>
      <c r="AD490" s="127">
        <f>AB490+AC490</f>
        <v>3137.04</v>
      </c>
      <c r="AE490" s="137" t="str">
        <f t="shared" si="42"/>
        <v>|</v>
      </c>
      <c r="AG490" s="120" t="s">
        <v>120</v>
      </c>
    </row>
    <row r="491" spans="1:33" ht="24" customHeight="1">
      <c r="A491" s="130">
        <f t="shared" si="45"/>
        <v>317</v>
      </c>
      <c r="B491" s="132" t="s">
        <v>592</v>
      </c>
      <c r="C491" s="136">
        <v>513</v>
      </c>
      <c r="D491" s="132" t="s">
        <v>131</v>
      </c>
      <c r="F491" s="129">
        <v>0.5</v>
      </c>
      <c r="G491" s="126" t="s">
        <v>237</v>
      </c>
      <c r="H491" s="120" t="s">
        <v>306</v>
      </c>
      <c r="I491" s="129">
        <f>(C13)</f>
        <v>557.70000000000005</v>
      </c>
      <c r="J491" s="120" t="s">
        <v>237</v>
      </c>
      <c r="K491" s="129">
        <f t="shared" si="44"/>
        <v>278.85000000000002</v>
      </c>
      <c r="M491" s="120" t="s">
        <v>85</v>
      </c>
      <c r="Y491" s="118"/>
      <c r="AA491" s="120" t="s">
        <v>4095</v>
      </c>
      <c r="AC491" s="117">
        <f t="shared" ref="AC491:AC497" si="46">AC490</f>
        <v>9.26</v>
      </c>
      <c r="AD491" s="127">
        <f t="shared" ref="AD491:AD497" si="47">AD490+AC491</f>
        <v>3146.3</v>
      </c>
      <c r="AE491" s="137" t="str">
        <f t="shared" si="42"/>
        <v>|</v>
      </c>
      <c r="AG491" s="120" t="s">
        <v>120</v>
      </c>
    </row>
    <row r="492" spans="1:33" ht="24" customHeight="1">
      <c r="A492" s="130">
        <f t="shared" si="45"/>
        <v>318</v>
      </c>
      <c r="B492" s="132" t="s">
        <v>594</v>
      </c>
      <c r="C492" s="136">
        <v>652</v>
      </c>
      <c r="D492" s="132" t="s">
        <v>131</v>
      </c>
      <c r="F492" s="129">
        <v>0.94</v>
      </c>
      <c r="G492" s="126" t="s">
        <v>39</v>
      </c>
      <c r="H492" s="120" t="s">
        <v>655</v>
      </c>
      <c r="I492" s="129">
        <f>C653</f>
        <v>42.7</v>
      </c>
      <c r="J492" s="120" t="s">
        <v>39</v>
      </c>
      <c r="K492" s="129">
        <f t="shared" si="44"/>
        <v>40.14</v>
      </c>
      <c r="N492" s="120" t="s">
        <v>111</v>
      </c>
      <c r="O492" s="120" t="s">
        <v>609</v>
      </c>
      <c r="Y492" s="118"/>
      <c r="AA492" s="120" t="s">
        <v>4097</v>
      </c>
      <c r="AC492" s="117">
        <f t="shared" si="46"/>
        <v>9.26</v>
      </c>
      <c r="AD492" s="127">
        <f t="shared" si="47"/>
        <v>3155.56</v>
      </c>
      <c r="AE492" s="137" t="str">
        <f t="shared" si="42"/>
        <v>|</v>
      </c>
      <c r="AG492" s="120" t="s">
        <v>120</v>
      </c>
    </row>
    <row r="493" spans="1:33" ht="24" customHeight="1">
      <c r="A493" s="130">
        <f t="shared" si="45"/>
        <v>319</v>
      </c>
      <c r="B493" s="132" t="s">
        <v>547</v>
      </c>
      <c r="C493" s="206">
        <v>584</v>
      </c>
      <c r="D493" s="132" t="s">
        <v>131</v>
      </c>
      <c r="H493" s="120" t="s">
        <v>146</v>
      </c>
      <c r="I493" s="120" t="s">
        <v>85</v>
      </c>
      <c r="J493" s="120" t="s">
        <v>145</v>
      </c>
      <c r="K493" s="129">
        <v>0</v>
      </c>
      <c r="O493" s="120" t="s">
        <v>610</v>
      </c>
      <c r="Y493" s="118"/>
      <c r="AA493" s="120" t="s">
        <v>4101</v>
      </c>
      <c r="AC493" s="117">
        <f t="shared" si="46"/>
        <v>9.26</v>
      </c>
      <c r="AD493" s="115">
        <f t="shared" si="47"/>
        <v>3164.82</v>
      </c>
      <c r="AE493" s="137" t="str">
        <f t="shared" si="42"/>
        <v>|</v>
      </c>
      <c r="AG493" s="120" t="s">
        <v>120</v>
      </c>
    </row>
    <row r="494" spans="1:33" ht="24" customHeight="1">
      <c r="A494" s="130">
        <f t="shared" si="45"/>
        <v>320</v>
      </c>
      <c r="B494" s="132" t="s">
        <v>595</v>
      </c>
      <c r="C494" s="138"/>
      <c r="D494" s="132" t="s">
        <v>131</v>
      </c>
      <c r="K494" s="123" t="s">
        <v>52</v>
      </c>
      <c r="O494" s="120" t="s">
        <v>656</v>
      </c>
      <c r="Y494" s="118"/>
      <c r="AA494" s="120" t="s">
        <v>4122</v>
      </c>
      <c r="AC494" s="117">
        <f t="shared" si="46"/>
        <v>9.26</v>
      </c>
      <c r="AD494" s="115">
        <f t="shared" si="47"/>
        <v>3174.08</v>
      </c>
      <c r="AE494" s="137" t="str">
        <f t="shared" si="42"/>
        <v>|</v>
      </c>
      <c r="AG494" s="120" t="s">
        <v>120</v>
      </c>
    </row>
    <row r="495" spans="1:33" ht="24" customHeight="1">
      <c r="A495" s="130">
        <f t="shared" si="45"/>
        <v>321</v>
      </c>
      <c r="B495" s="218" t="s">
        <v>4123</v>
      </c>
      <c r="C495" s="138"/>
      <c r="D495" s="132" t="s">
        <v>131</v>
      </c>
      <c r="H495" s="120" t="s">
        <v>495</v>
      </c>
      <c r="K495" s="129">
        <f>SUM(K486:K493)</f>
        <v>3260.48</v>
      </c>
      <c r="O495" s="123" t="s">
        <v>52</v>
      </c>
      <c r="Y495" s="118"/>
      <c r="AA495" s="120" t="s">
        <v>4103</v>
      </c>
      <c r="AC495" s="117">
        <f t="shared" si="46"/>
        <v>9.26</v>
      </c>
      <c r="AD495" s="127">
        <f t="shared" si="47"/>
        <v>3183.34</v>
      </c>
      <c r="AE495" s="137" t="str">
        <f t="shared" si="42"/>
        <v>|</v>
      </c>
      <c r="AG495" s="120" t="s">
        <v>120</v>
      </c>
    </row>
    <row r="496" spans="1:33" ht="24" customHeight="1">
      <c r="A496" s="130">
        <f t="shared" si="45"/>
        <v>322</v>
      </c>
      <c r="B496" s="132" t="s">
        <v>4124</v>
      </c>
      <c r="C496" s="136">
        <v>20.3</v>
      </c>
      <c r="D496" s="132" t="s">
        <v>131</v>
      </c>
      <c r="K496" s="123" t="s">
        <v>52</v>
      </c>
      <c r="N496" s="120" t="s">
        <v>612</v>
      </c>
      <c r="O496" s="121" t="s">
        <v>659</v>
      </c>
      <c r="Y496" s="118"/>
      <c r="AA496" s="120" t="s">
        <v>4125</v>
      </c>
      <c r="AC496" s="117">
        <f t="shared" si="46"/>
        <v>9.26</v>
      </c>
      <c r="AD496" s="127">
        <f t="shared" si="47"/>
        <v>3192.6</v>
      </c>
      <c r="AE496" s="137" t="str">
        <f t="shared" si="42"/>
        <v>|</v>
      </c>
      <c r="AG496" s="120" t="s">
        <v>120</v>
      </c>
    </row>
    <row r="497" spans="1:33" ht="33.75" customHeight="1">
      <c r="A497" s="130">
        <f t="shared" si="45"/>
        <v>323</v>
      </c>
      <c r="B497" s="132" t="s">
        <v>660</v>
      </c>
      <c r="C497" s="206">
        <v>11.5</v>
      </c>
      <c r="D497" s="132" t="s">
        <v>131</v>
      </c>
      <c r="H497" s="128" t="s">
        <v>460</v>
      </c>
      <c r="K497" s="127">
        <f>(K495/10)</f>
        <v>326.05</v>
      </c>
      <c r="O497" s="123" t="s">
        <v>52</v>
      </c>
      <c r="Y497" s="118"/>
      <c r="AA497" s="120" t="s">
        <v>4126</v>
      </c>
      <c r="AC497" s="117">
        <f t="shared" si="46"/>
        <v>9.26</v>
      </c>
      <c r="AD497" s="127">
        <f t="shared" si="47"/>
        <v>3201.86</v>
      </c>
      <c r="AE497" s="137" t="str">
        <f t="shared" si="42"/>
        <v>|</v>
      </c>
      <c r="AG497" s="120" t="s">
        <v>120</v>
      </c>
    </row>
    <row r="498" spans="1:33" ht="36" customHeight="1">
      <c r="A498" s="138"/>
      <c r="B498" s="138"/>
      <c r="C498" s="138"/>
      <c r="D498" s="138"/>
      <c r="F498" s="120" t="s">
        <v>85</v>
      </c>
      <c r="AD498" s="127">
        <f>AD497+AC497</f>
        <v>3211.12</v>
      </c>
      <c r="AE498" s="137" t="str">
        <f t="shared" si="42"/>
        <v>|</v>
      </c>
      <c r="AG498" s="120" t="s">
        <v>120</v>
      </c>
    </row>
    <row r="499" spans="1:33" ht="24" customHeight="1">
      <c r="A499" s="130">
        <f>(A497+1)</f>
        <v>324</v>
      </c>
      <c r="B499" s="132" t="s">
        <v>4127</v>
      </c>
      <c r="C499" s="136">
        <v>28.6</v>
      </c>
      <c r="D499" s="132" t="s">
        <v>131</v>
      </c>
      <c r="K499" s="123" t="s">
        <v>89</v>
      </c>
      <c r="M499" s="129">
        <v>30</v>
      </c>
      <c r="N499" s="120" t="s">
        <v>282</v>
      </c>
      <c r="O499" s="120" t="s">
        <v>662</v>
      </c>
      <c r="P499" s="129">
        <f>(C42)</f>
        <v>5</v>
      </c>
      <c r="Q499" s="120" t="s">
        <v>282</v>
      </c>
      <c r="R499" s="129">
        <f>(M499*P499)</f>
        <v>150</v>
      </c>
      <c r="AE499" s="137" t="str">
        <f t="shared" si="42"/>
        <v>|</v>
      </c>
      <c r="AG499" s="120" t="s">
        <v>120</v>
      </c>
    </row>
    <row r="500" spans="1:33" ht="24" customHeight="1">
      <c r="A500" s="130">
        <f t="shared" ref="A500:A562" si="48">(A499+1)</f>
        <v>325</v>
      </c>
      <c r="B500" s="132" t="s">
        <v>663</v>
      </c>
      <c r="C500" s="206">
        <v>56.74</v>
      </c>
      <c r="D500" s="132" t="s">
        <v>131</v>
      </c>
      <c r="F500" s="121"/>
      <c r="G500" s="126" t="s">
        <v>111</v>
      </c>
      <c r="H500" s="120" t="s">
        <v>664</v>
      </c>
      <c r="M500" s="120" t="s">
        <v>85</v>
      </c>
      <c r="O500" s="120" t="s">
        <v>665</v>
      </c>
      <c r="P500" s="120" t="s">
        <v>85</v>
      </c>
      <c r="R500" s="120" t="s">
        <v>85</v>
      </c>
      <c r="AE500" s="137" t="str">
        <f t="shared" si="42"/>
        <v>|</v>
      </c>
      <c r="AG500" s="120" t="s">
        <v>120</v>
      </c>
    </row>
    <row r="501" spans="1:33" ht="24" customHeight="1">
      <c r="A501" s="130">
        <f t="shared" si="48"/>
        <v>326</v>
      </c>
      <c r="B501" s="132" t="s">
        <v>666</v>
      </c>
      <c r="C501" s="206">
        <v>56.74</v>
      </c>
      <c r="D501" s="132" t="s">
        <v>131</v>
      </c>
      <c r="H501" s="120" t="s">
        <v>490</v>
      </c>
      <c r="M501" s="129">
        <v>8</v>
      </c>
      <c r="N501" s="120" t="s">
        <v>131</v>
      </c>
      <c r="O501" s="120" t="s">
        <v>624</v>
      </c>
      <c r="P501" s="129">
        <f>(C43)</f>
        <v>8.9</v>
      </c>
      <c r="Q501" s="120" t="s">
        <v>131</v>
      </c>
      <c r="R501" s="129">
        <f t="shared" ref="R501:R506" si="49">(M501*P501)</f>
        <v>71.2</v>
      </c>
      <c r="AE501" s="137" t="str">
        <f t="shared" si="42"/>
        <v>|</v>
      </c>
      <c r="AG501" s="120" t="s">
        <v>120</v>
      </c>
    </row>
    <row r="502" spans="1:33" ht="45.75" customHeight="1">
      <c r="A502" s="130">
        <f t="shared" si="48"/>
        <v>327</v>
      </c>
      <c r="B502" s="218" t="s">
        <v>4128</v>
      </c>
      <c r="C502" s="138"/>
      <c r="D502" s="132" t="s">
        <v>85</v>
      </c>
      <c r="H502" s="123" t="s">
        <v>52</v>
      </c>
      <c r="M502" s="129">
        <v>8</v>
      </c>
      <c r="N502" s="120" t="s">
        <v>131</v>
      </c>
      <c r="O502" s="120" t="s">
        <v>627</v>
      </c>
      <c r="P502" s="129">
        <f>(C50)</f>
        <v>12.65</v>
      </c>
      <c r="Q502" s="120" t="s">
        <v>131</v>
      </c>
      <c r="R502" s="129">
        <f t="shared" si="49"/>
        <v>101.2</v>
      </c>
      <c r="AE502" s="137" t="str">
        <f t="shared" si="42"/>
        <v>|</v>
      </c>
      <c r="AG502" s="120" t="s">
        <v>120</v>
      </c>
    </row>
    <row r="503" spans="1:33" ht="24" customHeight="1">
      <c r="A503" s="130">
        <f t="shared" si="48"/>
        <v>328</v>
      </c>
      <c r="B503" s="132" t="s">
        <v>658</v>
      </c>
      <c r="C503" s="136">
        <v>69.8</v>
      </c>
      <c r="D503" s="132" t="s">
        <v>131</v>
      </c>
      <c r="F503" s="129">
        <v>9</v>
      </c>
      <c r="G503" s="126" t="s">
        <v>132</v>
      </c>
      <c r="H503" s="120" t="s">
        <v>668</v>
      </c>
      <c r="I503" s="129">
        <f>(C70)</f>
        <v>1025.31</v>
      </c>
      <c r="J503" s="120" t="s">
        <v>132</v>
      </c>
      <c r="K503" s="129">
        <f t="shared" ref="K503:K508" si="50">(F503*I503)</f>
        <v>9227.7900000000009</v>
      </c>
      <c r="M503" s="129">
        <v>3</v>
      </c>
      <c r="N503" s="120" t="s">
        <v>131</v>
      </c>
      <c r="O503" s="120" t="s">
        <v>669</v>
      </c>
      <c r="P503" s="129">
        <f>(C41)</f>
        <v>770</v>
      </c>
      <c r="Q503" s="120" t="s">
        <v>131</v>
      </c>
      <c r="R503" s="129">
        <f t="shared" si="49"/>
        <v>2310</v>
      </c>
      <c r="AE503" s="137" t="str">
        <f t="shared" si="42"/>
        <v>|</v>
      </c>
      <c r="AG503" s="120" t="s">
        <v>120</v>
      </c>
    </row>
    <row r="504" spans="1:33" ht="24" customHeight="1">
      <c r="A504" s="130">
        <f t="shared" si="48"/>
        <v>329</v>
      </c>
      <c r="B504" s="132" t="s">
        <v>660</v>
      </c>
      <c r="C504" s="206">
        <v>15.6</v>
      </c>
      <c r="D504" s="132" t="s">
        <v>131</v>
      </c>
      <c r="F504" s="142">
        <v>3.2309999999999999</v>
      </c>
      <c r="G504" s="126" t="s">
        <v>122</v>
      </c>
      <c r="H504" s="120" t="s">
        <v>123</v>
      </c>
      <c r="I504" s="129">
        <f>(C67)</f>
        <v>6040</v>
      </c>
      <c r="J504" s="120" t="s">
        <v>122</v>
      </c>
      <c r="K504" s="129">
        <f t="shared" si="50"/>
        <v>19515.240000000002</v>
      </c>
      <c r="M504" s="129">
        <v>1</v>
      </c>
      <c r="N504" s="120" t="s">
        <v>131</v>
      </c>
      <c r="O504" s="120" t="s">
        <v>670</v>
      </c>
      <c r="P504" s="129">
        <f>(C10)</f>
        <v>1041.7</v>
      </c>
      <c r="Q504" s="120" t="s">
        <v>131</v>
      </c>
      <c r="R504" s="129">
        <f t="shared" si="49"/>
        <v>1041.7</v>
      </c>
      <c r="AE504" s="137" t="str">
        <f t="shared" si="42"/>
        <v>|</v>
      </c>
      <c r="AG504" s="120" t="s">
        <v>120</v>
      </c>
    </row>
    <row r="505" spans="1:33" ht="24" customHeight="1">
      <c r="A505" s="130">
        <f t="shared" si="48"/>
        <v>330</v>
      </c>
      <c r="B505" s="132" t="s">
        <v>661</v>
      </c>
      <c r="C505" s="136">
        <v>75.3</v>
      </c>
      <c r="D505" s="132" t="s">
        <v>131</v>
      </c>
      <c r="F505" s="129">
        <v>4.5</v>
      </c>
      <c r="G505" s="126" t="s">
        <v>132</v>
      </c>
      <c r="H505" s="120" t="s">
        <v>133</v>
      </c>
      <c r="I505" s="129">
        <f>(C78)</f>
        <v>1642.42</v>
      </c>
      <c r="J505" s="120" t="s">
        <v>132</v>
      </c>
      <c r="K505" s="129">
        <f t="shared" si="50"/>
        <v>7390.89</v>
      </c>
      <c r="M505" s="129">
        <v>2</v>
      </c>
      <c r="N505" s="120" t="s">
        <v>131</v>
      </c>
      <c r="O505" s="120" t="s">
        <v>304</v>
      </c>
      <c r="P505" s="129">
        <f>(C12)</f>
        <v>679.8</v>
      </c>
      <c r="Q505" s="120" t="s">
        <v>131</v>
      </c>
      <c r="R505" s="129">
        <f t="shared" si="49"/>
        <v>1359.6</v>
      </c>
      <c r="AE505" s="137" t="str">
        <f t="shared" si="42"/>
        <v>|</v>
      </c>
      <c r="AG505" s="120" t="s">
        <v>120</v>
      </c>
    </row>
    <row r="506" spans="1:33" ht="24" customHeight="1">
      <c r="A506" s="130">
        <f t="shared" si="48"/>
        <v>331</v>
      </c>
      <c r="B506" s="132" t="s">
        <v>663</v>
      </c>
      <c r="C506" s="206">
        <v>100.3</v>
      </c>
      <c r="D506" s="132" t="s">
        <v>131</v>
      </c>
      <c r="F506" s="129">
        <v>3.5</v>
      </c>
      <c r="G506" s="126" t="s">
        <v>131</v>
      </c>
      <c r="H506" s="120" t="s">
        <v>302</v>
      </c>
      <c r="I506" s="129">
        <f>(C11)</f>
        <v>972.4</v>
      </c>
      <c r="J506" s="120" t="s">
        <v>131</v>
      </c>
      <c r="K506" s="129">
        <f t="shared" si="50"/>
        <v>3403.4</v>
      </c>
      <c r="M506" s="129">
        <v>1</v>
      </c>
      <c r="N506" s="120" t="s">
        <v>131</v>
      </c>
      <c r="O506" s="120" t="s">
        <v>306</v>
      </c>
      <c r="P506" s="129">
        <f>(C13)</f>
        <v>557.70000000000005</v>
      </c>
      <c r="Q506" s="120" t="s">
        <v>131</v>
      </c>
      <c r="R506" s="129">
        <f t="shared" si="49"/>
        <v>557.70000000000005</v>
      </c>
      <c r="AE506" s="137" t="str">
        <f t="shared" si="42"/>
        <v>|</v>
      </c>
      <c r="AG506" s="120" t="s">
        <v>120</v>
      </c>
    </row>
    <row r="507" spans="1:33" ht="24" customHeight="1">
      <c r="A507" s="130">
        <f t="shared" si="48"/>
        <v>332</v>
      </c>
      <c r="B507" s="132" t="s">
        <v>666</v>
      </c>
      <c r="C507" s="206">
        <v>100.3</v>
      </c>
      <c r="D507" s="132" t="s">
        <v>131</v>
      </c>
      <c r="F507" s="129">
        <v>21.2</v>
      </c>
      <c r="G507" s="126" t="s">
        <v>131</v>
      </c>
      <c r="H507" s="120" t="s">
        <v>304</v>
      </c>
      <c r="I507" s="129">
        <f>(C12)</f>
        <v>679.8</v>
      </c>
      <c r="J507" s="120" t="s">
        <v>131</v>
      </c>
      <c r="K507" s="129">
        <f t="shared" si="50"/>
        <v>14411.76</v>
      </c>
      <c r="N507" s="120" t="s">
        <v>145</v>
      </c>
      <c r="O507" s="120" t="s">
        <v>671</v>
      </c>
      <c r="P507" s="120" t="s">
        <v>85</v>
      </c>
      <c r="Q507" s="120" t="s">
        <v>145</v>
      </c>
      <c r="R507" s="129">
        <f>(C56)</f>
        <v>12.1</v>
      </c>
      <c r="AE507" s="137" t="str">
        <f t="shared" si="42"/>
        <v>|</v>
      </c>
      <c r="AG507" s="120" t="s">
        <v>120</v>
      </c>
    </row>
    <row r="508" spans="1:33" ht="24" customHeight="1">
      <c r="A508" s="130">
        <f t="shared" si="48"/>
        <v>333</v>
      </c>
      <c r="B508" s="218" t="s">
        <v>4129</v>
      </c>
      <c r="C508" s="138"/>
      <c r="D508" s="132" t="s">
        <v>85</v>
      </c>
      <c r="F508" s="129">
        <v>35.299999999999997</v>
      </c>
      <c r="G508" s="126" t="s">
        <v>131</v>
      </c>
      <c r="H508" s="120" t="s">
        <v>306</v>
      </c>
      <c r="I508" s="129">
        <f>(C13)</f>
        <v>557.70000000000005</v>
      </c>
      <c r="J508" s="120" t="s">
        <v>131</v>
      </c>
      <c r="K508" s="129">
        <f t="shared" si="50"/>
        <v>19686.810000000001</v>
      </c>
      <c r="O508" s="120" t="s">
        <v>673</v>
      </c>
      <c r="P508" s="120" t="s">
        <v>85</v>
      </c>
      <c r="R508" s="120" t="s">
        <v>85</v>
      </c>
      <c r="AE508" s="137" t="str">
        <f t="shared" si="42"/>
        <v>|</v>
      </c>
      <c r="AG508" s="120" t="s">
        <v>120</v>
      </c>
    </row>
    <row r="509" spans="1:33" ht="24" customHeight="1">
      <c r="A509" s="130">
        <f t="shared" si="48"/>
        <v>334</v>
      </c>
      <c r="B509" s="132" t="s">
        <v>658</v>
      </c>
      <c r="C509" s="136">
        <v>40.4</v>
      </c>
      <c r="D509" s="132" t="s">
        <v>131</v>
      </c>
      <c r="G509" s="126" t="s">
        <v>145</v>
      </c>
      <c r="H509" s="120" t="s">
        <v>146</v>
      </c>
      <c r="I509" s="120" t="s">
        <v>85</v>
      </c>
      <c r="J509" s="120" t="s">
        <v>145</v>
      </c>
      <c r="K509" s="129">
        <v>0</v>
      </c>
      <c r="N509" s="120" t="s">
        <v>145</v>
      </c>
      <c r="O509" s="120" t="s">
        <v>146</v>
      </c>
      <c r="Q509" s="120" t="s">
        <v>145</v>
      </c>
      <c r="R509" s="129">
        <v>0</v>
      </c>
      <c r="AE509" s="137" t="str">
        <f t="shared" si="42"/>
        <v>|</v>
      </c>
      <c r="AG509" s="120" t="s">
        <v>120</v>
      </c>
    </row>
    <row r="510" spans="1:33" ht="24" customHeight="1">
      <c r="A510" s="130">
        <f t="shared" si="48"/>
        <v>335</v>
      </c>
      <c r="B510" s="132" t="s">
        <v>660</v>
      </c>
      <c r="C510" s="222">
        <v>47</v>
      </c>
      <c r="D510" s="132" t="s">
        <v>131</v>
      </c>
      <c r="K510" s="123" t="s">
        <v>52</v>
      </c>
      <c r="R510" s="123" t="s">
        <v>52</v>
      </c>
      <c r="AE510" s="137" t="str">
        <f t="shared" si="42"/>
        <v>|</v>
      </c>
      <c r="AG510" s="120" t="s">
        <v>120</v>
      </c>
    </row>
    <row r="511" spans="1:33" ht="24" customHeight="1">
      <c r="A511" s="130">
        <f t="shared" si="48"/>
        <v>336</v>
      </c>
      <c r="B511" s="132" t="s">
        <v>661</v>
      </c>
      <c r="C511" s="136">
        <v>52</v>
      </c>
      <c r="D511" s="132" t="s">
        <v>131</v>
      </c>
      <c r="H511" s="120" t="s">
        <v>506</v>
      </c>
      <c r="K511" s="129">
        <f>SUM(K503:K509)</f>
        <v>73635.89</v>
      </c>
      <c r="O511" s="120" t="s">
        <v>674</v>
      </c>
      <c r="R511" s="129">
        <f>SUM(R499:R509)</f>
        <v>5603.5</v>
      </c>
      <c r="AE511" s="137" t="str">
        <f t="shared" si="42"/>
        <v>|</v>
      </c>
      <c r="AG511" s="120" t="s">
        <v>120</v>
      </c>
    </row>
    <row r="512" spans="1:33" ht="24" customHeight="1">
      <c r="A512" s="130">
        <f t="shared" si="48"/>
        <v>337</v>
      </c>
      <c r="B512" s="132" t="s">
        <v>675</v>
      </c>
      <c r="C512" s="206">
        <v>36.61</v>
      </c>
      <c r="D512" s="132" t="s">
        <v>131</v>
      </c>
      <c r="K512" s="123" t="s">
        <v>52</v>
      </c>
      <c r="R512" s="123" t="s">
        <v>52</v>
      </c>
      <c r="AE512" s="137" t="str">
        <f t="shared" si="42"/>
        <v>|</v>
      </c>
      <c r="AG512" s="120" t="s">
        <v>120</v>
      </c>
    </row>
    <row r="513" spans="1:37" ht="24" customHeight="1">
      <c r="A513" s="130">
        <f t="shared" si="48"/>
        <v>338</v>
      </c>
      <c r="B513" s="132" t="s">
        <v>663</v>
      </c>
      <c r="C513" s="206">
        <v>78.709999999999994</v>
      </c>
      <c r="D513" s="132" t="s">
        <v>131</v>
      </c>
      <c r="H513" s="120" t="s">
        <v>242</v>
      </c>
      <c r="K513" s="129">
        <f>(K511/10)+0.01</f>
        <v>7363.6</v>
      </c>
      <c r="O513" s="120" t="s">
        <v>632</v>
      </c>
      <c r="R513" s="129">
        <f>(R511/30)</f>
        <v>186.78</v>
      </c>
      <c r="AE513" s="137" t="str">
        <f t="shared" si="42"/>
        <v>|</v>
      </c>
      <c r="AG513" s="120" t="s">
        <v>120</v>
      </c>
    </row>
    <row r="514" spans="1:37" ht="24" customHeight="1">
      <c r="A514" s="130">
        <f t="shared" si="48"/>
        <v>339</v>
      </c>
      <c r="B514" s="132" t="s">
        <v>666</v>
      </c>
      <c r="C514" s="206">
        <v>78.709999999999994</v>
      </c>
      <c r="D514" s="132" t="s">
        <v>131</v>
      </c>
      <c r="R514" s="123" t="s">
        <v>52</v>
      </c>
      <c r="AE514" s="137">
        <f t="shared" si="42"/>
        <v>0</v>
      </c>
    </row>
    <row r="515" spans="1:37" ht="24" customHeight="1">
      <c r="A515" s="130">
        <f t="shared" si="48"/>
        <v>340</v>
      </c>
      <c r="B515" s="132" t="s">
        <v>676</v>
      </c>
      <c r="C515" s="138"/>
      <c r="D515" s="132" t="s">
        <v>677</v>
      </c>
      <c r="F515" s="129">
        <v>1</v>
      </c>
      <c r="G515" s="126" t="s">
        <v>132</v>
      </c>
      <c r="H515" s="120" t="s">
        <v>514</v>
      </c>
      <c r="K515" s="129">
        <f>C25</f>
        <v>98.34</v>
      </c>
      <c r="N515" s="120" t="s">
        <v>634</v>
      </c>
      <c r="O515" s="121" t="s">
        <v>678</v>
      </c>
      <c r="AE515" s="137" t="str">
        <f t="shared" si="42"/>
        <v>|</v>
      </c>
      <c r="AG515" s="120" t="s">
        <v>120</v>
      </c>
    </row>
    <row r="516" spans="1:37" ht="24" customHeight="1">
      <c r="A516" s="130">
        <f t="shared" si="48"/>
        <v>341</v>
      </c>
      <c r="B516" s="132" t="s">
        <v>4130</v>
      </c>
      <c r="C516" s="140">
        <v>20.55</v>
      </c>
      <c r="D516" s="132" t="s">
        <v>282</v>
      </c>
      <c r="K516" s="123" t="s">
        <v>52</v>
      </c>
      <c r="O516" s="123" t="s">
        <v>52</v>
      </c>
      <c r="AE516" s="137" t="str">
        <f t="shared" si="42"/>
        <v>|</v>
      </c>
      <c r="AG516" s="120" t="s">
        <v>120</v>
      </c>
    </row>
    <row r="517" spans="1:37" ht="24" customHeight="1">
      <c r="A517" s="130">
        <f t="shared" si="48"/>
        <v>342</v>
      </c>
      <c r="B517" s="132" t="s">
        <v>4131</v>
      </c>
      <c r="C517" s="140">
        <v>26</v>
      </c>
      <c r="D517" s="132" t="s">
        <v>282</v>
      </c>
      <c r="E517" s="162">
        <v>98.6</v>
      </c>
      <c r="H517" s="120" t="s">
        <v>681</v>
      </c>
      <c r="K517" s="129">
        <f>SUM(K513:K515)</f>
        <v>7461.94</v>
      </c>
      <c r="M517" s="129">
        <v>30</v>
      </c>
      <c r="N517" s="120" t="s">
        <v>282</v>
      </c>
      <c r="O517" s="120" t="s">
        <v>662</v>
      </c>
      <c r="P517" s="129">
        <f>(C42)</f>
        <v>5</v>
      </c>
      <c r="Q517" s="120" t="s">
        <v>282</v>
      </c>
      <c r="R517" s="129">
        <f>(M517*P517)</f>
        <v>150</v>
      </c>
      <c r="AE517" s="137" t="str">
        <f t="shared" si="42"/>
        <v>|</v>
      </c>
      <c r="AG517" s="120" t="s">
        <v>120</v>
      </c>
    </row>
    <row r="518" spans="1:37" ht="24" customHeight="1">
      <c r="A518" s="130">
        <f t="shared" si="48"/>
        <v>343</v>
      </c>
      <c r="B518" s="132" t="s">
        <v>682</v>
      </c>
      <c r="C518" s="140">
        <v>35</v>
      </c>
      <c r="D518" s="132" t="s">
        <v>282</v>
      </c>
      <c r="K518" s="123" t="s">
        <v>52</v>
      </c>
      <c r="M518" s="120" t="s">
        <v>85</v>
      </c>
      <c r="O518" s="120" t="s">
        <v>665</v>
      </c>
      <c r="P518" s="120" t="s">
        <v>85</v>
      </c>
      <c r="R518" s="120" t="s">
        <v>85</v>
      </c>
      <c r="AE518" s="137" t="str">
        <f t="shared" si="42"/>
        <v>|</v>
      </c>
      <c r="AG518" s="120" t="s">
        <v>120</v>
      </c>
    </row>
    <row r="519" spans="1:37" ht="24" customHeight="1">
      <c r="A519" s="130">
        <f t="shared" si="48"/>
        <v>344</v>
      </c>
      <c r="B519" s="132" t="s">
        <v>683</v>
      </c>
      <c r="C519" s="140">
        <v>52</v>
      </c>
      <c r="D519" s="132" t="s">
        <v>282</v>
      </c>
      <c r="G519" s="126" t="s">
        <v>684</v>
      </c>
      <c r="H519" s="120" t="s">
        <v>53</v>
      </c>
      <c r="K519" s="129">
        <f>(K517+C22)</f>
        <v>7586.9</v>
      </c>
      <c r="L519" s="115">
        <f>K519-K517</f>
        <v>124.96</v>
      </c>
      <c r="M519" s="129">
        <v>8</v>
      </c>
      <c r="N519" s="120" t="s">
        <v>131</v>
      </c>
      <c r="O519" s="120" t="s">
        <v>624</v>
      </c>
      <c r="P519" s="129">
        <f>(C44)</f>
        <v>8.9</v>
      </c>
      <c r="Q519" s="120" t="s">
        <v>131</v>
      </c>
      <c r="R519" s="129">
        <f t="shared" ref="R519:R524" si="51">(M519*P519)</f>
        <v>71.2</v>
      </c>
      <c r="AE519" s="137" t="str">
        <f t="shared" si="42"/>
        <v>|</v>
      </c>
      <c r="AG519" s="120" t="s">
        <v>120</v>
      </c>
    </row>
    <row r="520" spans="1:37" ht="24" customHeight="1">
      <c r="A520" s="130">
        <f t="shared" si="48"/>
        <v>345</v>
      </c>
      <c r="B520" s="132" t="s">
        <v>685</v>
      </c>
      <c r="C520" s="140">
        <v>65</v>
      </c>
      <c r="D520" s="131">
        <v>21</v>
      </c>
      <c r="G520" s="126" t="s">
        <v>686</v>
      </c>
      <c r="H520" s="120" t="s">
        <v>54</v>
      </c>
      <c r="K520" s="129">
        <f>(K519+C23)</f>
        <v>7833.08</v>
      </c>
      <c r="M520" s="129">
        <v>8</v>
      </c>
      <c r="N520" s="120" t="s">
        <v>131</v>
      </c>
      <c r="O520" s="120" t="s">
        <v>627</v>
      </c>
      <c r="P520" s="129">
        <f>(C51)</f>
        <v>12.85</v>
      </c>
      <c r="Q520" s="120" t="s">
        <v>131</v>
      </c>
      <c r="R520" s="129">
        <f t="shared" si="51"/>
        <v>102.8</v>
      </c>
      <c r="AE520" s="137" t="str">
        <f t="shared" si="42"/>
        <v>|</v>
      </c>
      <c r="AG520" s="120" t="s">
        <v>120</v>
      </c>
    </row>
    <row r="521" spans="1:37" ht="24" customHeight="1">
      <c r="A521" s="130">
        <f t="shared" si="48"/>
        <v>346</v>
      </c>
      <c r="B521" s="132" t="s">
        <v>687</v>
      </c>
      <c r="C521" s="140">
        <v>82</v>
      </c>
      <c r="D521" s="131">
        <v>37.15</v>
      </c>
      <c r="G521" s="126" t="s">
        <v>688</v>
      </c>
      <c r="H521" s="120" t="s">
        <v>55</v>
      </c>
      <c r="K521" s="129">
        <f>(K520+C24)</f>
        <v>8079.26</v>
      </c>
      <c r="M521" s="129">
        <v>3</v>
      </c>
      <c r="N521" s="120" t="s">
        <v>131</v>
      </c>
      <c r="O521" s="120" t="s">
        <v>669</v>
      </c>
      <c r="P521" s="129">
        <f>(C41)</f>
        <v>770</v>
      </c>
      <c r="Q521" s="120" t="s">
        <v>131</v>
      </c>
      <c r="R521" s="129">
        <f t="shared" si="51"/>
        <v>2310</v>
      </c>
      <c r="AE521" s="137" t="str">
        <f t="shared" si="42"/>
        <v>|</v>
      </c>
      <c r="AG521" s="120" t="s">
        <v>120</v>
      </c>
    </row>
    <row r="522" spans="1:37" ht="24" customHeight="1">
      <c r="A522" s="130">
        <f t="shared" si="48"/>
        <v>347</v>
      </c>
      <c r="B522" s="132" t="s">
        <v>689</v>
      </c>
      <c r="C522" s="138"/>
      <c r="D522" s="132" t="s">
        <v>85</v>
      </c>
      <c r="G522" s="126" t="s">
        <v>690</v>
      </c>
      <c r="H522" s="120" t="s">
        <v>56</v>
      </c>
      <c r="K522" s="129">
        <f>(K521+C24)</f>
        <v>8325.44</v>
      </c>
      <c r="M522" s="129">
        <v>1</v>
      </c>
      <c r="N522" s="120" t="s">
        <v>131</v>
      </c>
      <c r="O522" s="120" t="s">
        <v>670</v>
      </c>
      <c r="P522" s="129">
        <f>(C10)</f>
        <v>1041.7</v>
      </c>
      <c r="Q522" s="120" t="s">
        <v>131</v>
      </c>
      <c r="R522" s="129">
        <f t="shared" si="51"/>
        <v>1041.7</v>
      </c>
      <c r="AE522" s="137" t="str">
        <f t="shared" si="42"/>
        <v>|::</v>
      </c>
      <c r="AG522" s="120" t="s">
        <v>307</v>
      </c>
    </row>
    <row r="523" spans="1:37" ht="24" customHeight="1">
      <c r="A523" s="130">
        <f t="shared" si="48"/>
        <v>348</v>
      </c>
      <c r="B523" s="132" t="s">
        <v>588</v>
      </c>
      <c r="C523" s="140">
        <v>4.1900000000000004</v>
      </c>
      <c r="D523" s="132" t="s">
        <v>131</v>
      </c>
      <c r="M523" s="129">
        <v>2</v>
      </c>
      <c r="N523" s="120" t="s">
        <v>131</v>
      </c>
      <c r="O523" s="120" t="s">
        <v>304</v>
      </c>
      <c r="P523" s="129">
        <f>(C12)</f>
        <v>679.8</v>
      </c>
      <c r="Q523" s="120" t="s">
        <v>131</v>
      </c>
      <c r="R523" s="129">
        <f t="shared" si="51"/>
        <v>1359.6</v>
      </c>
      <c r="AE523" s="137">
        <f t="shared" si="42"/>
        <v>0</v>
      </c>
    </row>
    <row r="524" spans="1:37" ht="24" customHeight="1">
      <c r="A524" s="130">
        <f t="shared" si="48"/>
        <v>349</v>
      </c>
      <c r="B524" s="132" t="s">
        <v>589</v>
      </c>
      <c r="C524" s="140">
        <v>5</v>
      </c>
      <c r="D524" s="132" t="s">
        <v>131</v>
      </c>
      <c r="F524" s="121" t="s">
        <v>691</v>
      </c>
      <c r="G524" s="126" t="s">
        <v>111</v>
      </c>
      <c r="H524" s="120" t="s">
        <v>692</v>
      </c>
      <c r="M524" s="129">
        <v>1</v>
      </c>
      <c r="N524" s="120" t="s">
        <v>131</v>
      </c>
      <c r="O524" s="120" t="s">
        <v>306</v>
      </c>
      <c r="P524" s="129">
        <f>(C13)</f>
        <v>557.70000000000005</v>
      </c>
      <c r="Q524" s="120" t="s">
        <v>131</v>
      </c>
      <c r="R524" s="129">
        <f t="shared" si="51"/>
        <v>557.70000000000005</v>
      </c>
      <c r="AE524" s="137">
        <f t="shared" si="42"/>
        <v>0</v>
      </c>
    </row>
    <row r="525" spans="1:37" ht="24" customHeight="1">
      <c r="A525" s="130">
        <f t="shared" si="48"/>
        <v>350</v>
      </c>
      <c r="B525" s="132" t="s">
        <v>591</v>
      </c>
      <c r="C525" s="140">
        <v>8.06</v>
      </c>
      <c r="D525" s="132" t="s">
        <v>131</v>
      </c>
      <c r="H525" s="123" t="s">
        <v>52</v>
      </c>
      <c r="N525" s="120" t="s">
        <v>145</v>
      </c>
      <c r="O525" s="120" t="s">
        <v>671</v>
      </c>
      <c r="P525" s="120" t="s">
        <v>85</v>
      </c>
      <c r="Q525" s="120" t="s">
        <v>145</v>
      </c>
      <c r="R525" s="129">
        <f>(C56)</f>
        <v>12.1</v>
      </c>
      <c r="U525" s="225" t="s">
        <v>4132</v>
      </c>
      <c r="AA525" s="225" t="s">
        <v>4133</v>
      </c>
      <c r="AE525" s="137">
        <f t="shared" ref="AE525:AE596" si="52">AG525</f>
        <v>0</v>
      </c>
      <c r="AH525" s="225" t="s">
        <v>4134</v>
      </c>
    </row>
    <row r="526" spans="1:37" ht="24" customHeight="1">
      <c r="A526" s="130">
        <f t="shared" si="48"/>
        <v>351</v>
      </c>
      <c r="B526" s="132" t="s">
        <v>592</v>
      </c>
      <c r="C526" s="140">
        <v>11.86</v>
      </c>
      <c r="D526" s="132" t="s">
        <v>131</v>
      </c>
      <c r="F526" s="142">
        <v>1.4999999999999999E-2</v>
      </c>
      <c r="G526" s="126" t="s">
        <v>132</v>
      </c>
      <c r="H526" s="120" t="s">
        <v>693</v>
      </c>
      <c r="I526" s="129">
        <f>(K513)</f>
        <v>7363.6</v>
      </c>
      <c r="J526" s="120" t="s">
        <v>132</v>
      </c>
      <c r="K526" s="129">
        <f>(F526*I526)</f>
        <v>110.45</v>
      </c>
      <c r="O526" s="120" t="s">
        <v>673</v>
      </c>
      <c r="P526" s="120" t="s">
        <v>85</v>
      </c>
      <c r="R526" s="120" t="s">
        <v>85</v>
      </c>
      <c r="S526" s="121" t="s">
        <v>691</v>
      </c>
      <c r="T526" s="126" t="s">
        <v>111</v>
      </c>
      <c r="U526" s="120" t="s">
        <v>4135</v>
      </c>
      <c r="Y526" s="121" t="s">
        <v>691</v>
      </c>
      <c r="Z526" s="126" t="s">
        <v>111</v>
      </c>
      <c r="AA526" s="120" t="s">
        <v>4136</v>
      </c>
      <c r="AC526" s="117"/>
      <c r="AE526" s="137" t="str">
        <f t="shared" si="52"/>
        <v>*</v>
      </c>
      <c r="AF526" s="121" t="s">
        <v>691</v>
      </c>
      <c r="AG526" s="126" t="s">
        <v>111</v>
      </c>
      <c r="AH526" s="120" t="s">
        <v>4137</v>
      </c>
      <c r="AJ526" s="117"/>
    </row>
    <row r="527" spans="1:37" ht="24" customHeight="1">
      <c r="A527" s="130">
        <f t="shared" si="48"/>
        <v>352</v>
      </c>
      <c r="B527" s="132" t="s">
        <v>594</v>
      </c>
      <c r="C527" s="140">
        <v>18.88</v>
      </c>
      <c r="D527" s="132" t="s">
        <v>131</v>
      </c>
      <c r="F527" s="129">
        <v>0.5</v>
      </c>
      <c r="G527" s="126" t="s">
        <v>237</v>
      </c>
      <c r="H527" s="120" t="s">
        <v>345</v>
      </c>
      <c r="I527" s="129">
        <f>(C10)</f>
        <v>1041.7</v>
      </c>
      <c r="J527" s="120" t="s">
        <v>237</v>
      </c>
      <c r="K527" s="129">
        <f>(F527*I527)</f>
        <v>520.85</v>
      </c>
      <c r="N527" s="120" t="s">
        <v>145</v>
      </c>
      <c r="O527" s="120" t="s">
        <v>146</v>
      </c>
      <c r="Q527" s="120" t="s">
        <v>145</v>
      </c>
      <c r="R527" s="129">
        <v>0</v>
      </c>
      <c r="S527" s="115"/>
      <c r="T527" s="116"/>
      <c r="U527" s="123" t="s">
        <v>52</v>
      </c>
      <c r="Z527" s="116"/>
      <c r="AA527" s="123" t="s">
        <v>52</v>
      </c>
      <c r="AC527" s="117"/>
      <c r="AE527" s="137">
        <f t="shared" si="52"/>
        <v>0</v>
      </c>
      <c r="AG527" s="116"/>
      <c r="AH527" s="123" t="s">
        <v>52</v>
      </c>
      <c r="AJ527" s="117"/>
    </row>
    <row r="528" spans="1:37" ht="24" customHeight="1">
      <c r="A528" s="130">
        <f t="shared" si="48"/>
        <v>353</v>
      </c>
      <c r="B528" s="132" t="s">
        <v>547</v>
      </c>
      <c r="C528" s="140">
        <v>26</v>
      </c>
      <c r="D528" s="132" t="s">
        <v>131</v>
      </c>
      <c r="F528" s="129">
        <v>0.75</v>
      </c>
      <c r="G528" s="126" t="s">
        <v>237</v>
      </c>
      <c r="H528" s="120" t="s">
        <v>304</v>
      </c>
      <c r="I528" s="129">
        <f>(C12)</f>
        <v>679.8</v>
      </c>
      <c r="J528" s="120" t="s">
        <v>237</v>
      </c>
      <c r="K528" s="129">
        <f>(F528*I528)</f>
        <v>509.85</v>
      </c>
      <c r="R528" s="123" t="s">
        <v>52</v>
      </c>
      <c r="S528" s="142">
        <v>1.4999999999999999E-2</v>
      </c>
      <c r="T528" s="126" t="s">
        <v>132</v>
      </c>
      <c r="U528" s="120" t="s">
        <v>693</v>
      </c>
      <c r="V528" s="129">
        <f>X657</f>
        <v>7472.34</v>
      </c>
      <c r="W528" s="121" t="s">
        <v>132</v>
      </c>
      <c r="X528" s="129">
        <f>(S528*V528)</f>
        <v>112.09</v>
      </c>
      <c r="Y528" s="142">
        <v>1.4999999999999999E-2</v>
      </c>
      <c r="Z528" s="126" t="s">
        <v>132</v>
      </c>
      <c r="AA528" s="120" t="s">
        <v>693</v>
      </c>
      <c r="AB528" s="129">
        <f>AF657</f>
        <v>8016.6</v>
      </c>
      <c r="AC528" s="120" t="s">
        <v>132</v>
      </c>
      <c r="AD528" s="129">
        <f>(Y528*AB528)</f>
        <v>120.25</v>
      </c>
      <c r="AE528" s="137" t="str">
        <f t="shared" si="52"/>
        <v>CUM</v>
      </c>
      <c r="AF528" s="142">
        <v>1.4999999999999999E-2</v>
      </c>
      <c r="AG528" s="126" t="s">
        <v>132</v>
      </c>
      <c r="AH528" s="120" t="s">
        <v>693</v>
      </c>
      <c r="AI528" s="129">
        <f>Y742</f>
        <v>8154.11</v>
      </c>
      <c r="AJ528" s="120" t="s">
        <v>132</v>
      </c>
      <c r="AK528" s="129">
        <f>(AF528*AI528)</f>
        <v>122.31</v>
      </c>
    </row>
    <row r="529" spans="1:37" ht="24" customHeight="1">
      <c r="A529" s="130">
        <f t="shared" si="48"/>
        <v>354</v>
      </c>
      <c r="B529" s="132" t="s">
        <v>694</v>
      </c>
      <c r="C529" s="205"/>
      <c r="D529" s="132" t="s">
        <v>85</v>
      </c>
      <c r="G529" s="126" t="s">
        <v>145</v>
      </c>
      <c r="H529" s="120" t="s">
        <v>146</v>
      </c>
      <c r="J529" s="120" t="s">
        <v>145</v>
      </c>
      <c r="K529" s="129">
        <v>0</v>
      </c>
      <c r="O529" s="120" t="s">
        <v>674</v>
      </c>
      <c r="R529" s="129">
        <f>SUM(R517:R527)</f>
        <v>5605.1</v>
      </c>
      <c r="S529" s="129">
        <v>0.5</v>
      </c>
      <c r="T529" s="126" t="s">
        <v>237</v>
      </c>
      <c r="U529" s="120" t="s">
        <v>345</v>
      </c>
      <c r="V529" s="129">
        <f>C10</f>
        <v>1041.7</v>
      </c>
      <c r="W529" s="121" t="s">
        <v>237</v>
      </c>
      <c r="X529" s="129">
        <f>(S529*V529)</f>
        <v>520.85</v>
      </c>
      <c r="Y529" s="129">
        <v>0.5</v>
      </c>
      <c r="Z529" s="126" t="s">
        <v>237</v>
      </c>
      <c r="AA529" s="120" t="s">
        <v>345</v>
      </c>
      <c r="AB529" s="129">
        <f>V529</f>
        <v>1041.7</v>
      </c>
      <c r="AC529" s="120" t="s">
        <v>237</v>
      </c>
      <c r="AD529" s="129">
        <f>(Y529*AB529)</f>
        <v>520.85</v>
      </c>
      <c r="AE529" s="137" t="str">
        <f t="shared" si="52"/>
        <v>NO</v>
      </c>
      <c r="AF529" s="129">
        <v>0.5</v>
      </c>
      <c r="AG529" s="126" t="s">
        <v>237</v>
      </c>
      <c r="AH529" s="120" t="s">
        <v>345</v>
      </c>
      <c r="AI529" s="129">
        <f>AB529</f>
        <v>1041.7</v>
      </c>
      <c r="AJ529" s="120" t="s">
        <v>237</v>
      </c>
      <c r="AK529" s="129">
        <f>(AF529*AI529)</f>
        <v>520.85</v>
      </c>
    </row>
    <row r="530" spans="1:37" ht="24" customHeight="1">
      <c r="A530" s="130">
        <f t="shared" si="48"/>
        <v>355</v>
      </c>
      <c r="B530" s="132" t="s">
        <v>588</v>
      </c>
      <c r="C530" s="140">
        <v>4.62</v>
      </c>
      <c r="D530" s="132" t="s">
        <v>131</v>
      </c>
      <c r="K530" s="123" t="s">
        <v>52</v>
      </c>
      <c r="R530" s="123" t="s">
        <v>52</v>
      </c>
      <c r="S530" s="129">
        <v>0.75</v>
      </c>
      <c r="T530" s="126" t="s">
        <v>237</v>
      </c>
      <c r="U530" s="120" t="s">
        <v>304</v>
      </c>
      <c r="V530" s="129">
        <f>C12</f>
        <v>679.8</v>
      </c>
      <c r="W530" s="121" t="s">
        <v>237</v>
      </c>
      <c r="X530" s="129">
        <f>(S530*V530)</f>
        <v>509.85</v>
      </c>
      <c r="Y530" s="129">
        <v>0.75</v>
      </c>
      <c r="Z530" s="126" t="s">
        <v>237</v>
      </c>
      <c r="AA530" s="120" t="s">
        <v>304</v>
      </c>
      <c r="AB530" s="129">
        <f>V530</f>
        <v>679.8</v>
      </c>
      <c r="AC530" s="120" t="s">
        <v>237</v>
      </c>
      <c r="AD530" s="129">
        <f>(Y530*AB530)</f>
        <v>509.85</v>
      </c>
      <c r="AE530" s="137" t="str">
        <f t="shared" si="52"/>
        <v>NO</v>
      </c>
      <c r="AF530" s="129">
        <v>0.75</v>
      </c>
      <c r="AG530" s="126" t="s">
        <v>237</v>
      </c>
      <c r="AH530" s="120" t="s">
        <v>304</v>
      </c>
      <c r="AI530" s="129">
        <f>AB530</f>
        <v>679.8</v>
      </c>
      <c r="AJ530" s="120" t="s">
        <v>237</v>
      </c>
      <c r="AK530" s="129">
        <f>(AF530*AI530)</f>
        <v>509.85</v>
      </c>
    </row>
    <row r="531" spans="1:37" ht="24" customHeight="1">
      <c r="A531" s="130">
        <f t="shared" si="48"/>
        <v>356</v>
      </c>
      <c r="B531" s="132" t="s">
        <v>589</v>
      </c>
      <c r="C531" s="140">
        <v>7.83</v>
      </c>
      <c r="D531" s="132" t="s">
        <v>131</v>
      </c>
      <c r="H531" s="120" t="s">
        <v>695</v>
      </c>
      <c r="K531" s="129">
        <f>SUM(K526:K529)</f>
        <v>1141.1500000000001</v>
      </c>
      <c r="O531" s="120" t="s">
        <v>632</v>
      </c>
      <c r="R531" s="129">
        <f>(R529/30)</f>
        <v>186.84</v>
      </c>
      <c r="S531" s="115"/>
      <c r="T531" s="126" t="s">
        <v>145</v>
      </c>
      <c r="U531" s="120" t="s">
        <v>146</v>
      </c>
      <c r="W531" s="121" t="s">
        <v>145</v>
      </c>
      <c r="X531" s="129">
        <v>0</v>
      </c>
      <c r="Z531" s="126" t="s">
        <v>145</v>
      </c>
      <c r="AA531" s="120" t="s">
        <v>146</v>
      </c>
      <c r="AB531" s="129">
        <f>V531</f>
        <v>0</v>
      </c>
      <c r="AC531" s="120" t="s">
        <v>145</v>
      </c>
      <c r="AD531" s="129">
        <v>0</v>
      </c>
      <c r="AE531" s="137" t="str">
        <f t="shared" si="52"/>
        <v>L.S</v>
      </c>
      <c r="AG531" s="126" t="s">
        <v>145</v>
      </c>
      <c r="AH531" s="120" t="s">
        <v>146</v>
      </c>
      <c r="AI531" s="129">
        <f>AB531</f>
        <v>0</v>
      </c>
      <c r="AJ531" s="120" t="s">
        <v>145</v>
      </c>
      <c r="AK531" s="129">
        <v>0</v>
      </c>
    </row>
    <row r="532" spans="1:37" ht="24" customHeight="1">
      <c r="A532" s="130">
        <f t="shared" si="48"/>
        <v>357</v>
      </c>
      <c r="B532" s="132" t="s">
        <v>591</v>
      </c>
      <c r="C532" s="140">
        <v>11.38</v>
      </c>
      <c r="D532" s="132" t="s">
        <v>131</v>
      </c>
      <c r="K532" s="123" t="s">
        <v>52</v>
      </c>
      <c r="R532" s="123" t="s">
        <v>52</v>
      </c>
      <c r="S532" s="115"/>
      <c r="T532" s="116"/>
      <c r="X532" s="123" t="s">
        <v>52</v>
      </c>
      <c r="Z532" s="116"/>
      <c r="AC532" s="117"/>
      <c r="AD532" s="123" t="s">
        <v>52</v>
      </c>
      <c r="AE532" s="137">
        <f t="shared" si="52"/>
        <v>0</v>
      </c>
      <c r="AG532" s="116"/>
      <c r="AJ532" s="117"/>
      <c r="AK532" s="123" t="s">
        <v>52</v>
      </c>
    </row>
    <row r="533" spans="1:37" ht="24" customHeight="1">
      <c r="A533" s="130">
        <f t="shared" si="48"/>
        <v>358</v>
      </c>
      <c r="B533" s="132" t="s">
        <v>592</v>
      </c>
      <c r="C533" s="140">
        <v>18.75</v>
      </c>
      <c r="D533" s="132" t="s">
        <v>131</v>
      </c>
      <c r="H533" s="120" t="s">
        <v>460</v>
      </c>
      <c r="K533" s="129">
        <f>(K531/0.743)</f>
        <v>1535.87</v>
      </c>
      <c r="S533" s="115"/>
      <c r="T533" s="116"/>
      <c r="U533" s="120" t="s">
        <v>695</v>
      </c>
      <c r="X533" s="129">
        <f>SUM(X528:X531)</f>
        <v>1142.79</v>
      </c>
      <c r="Z533" s="116"/>
      <c r="AA533" s="120" t="s">
        <v>695</v>
      </c>
      <c r="AC533" s="117"/>
      <c r="AD533" s="129">
        <f>SUM(AD528:AD531)</f>
        <v>1150.95</v>
      </c>
      <c r="AE533" s="137">
        <f t="shared" si="52"/>
        <v>0</v>
      </c>
      <c r="AG533" s="116"/>
      <c r="AH533" s="120" t="s">
        <v>695</v>
      </c>
      <c r="AJ533" s="117"/>
      <c r="AK533" s="129">
        <f>SUM(AK528:AK531)</f>
        <v>1153.01</v>
      </c>
    </row>
    <row r="534" spans="1:37" ht="24" customHeight="1">
      <c r="A534" s="130">
        <f t="shared" si="48"/>
        <v>359</v>
      </c>
      <c r="B534" s="132" t="s">
        <v>594</v>
      </c>
      <c r="C534" s="140">
        <v>35.1</v>
      </c>
      <c r="D534" s="132" t="s">
        <v>131</v>
      </c>
      <c r="K534" s="123" t="s">
        <v>89</v>
      </c>
      <c r="S534" s="115"/>
      <c r="T534" s="116"/>
      <c r="X534" s="123" t="s">
        <v>52</v>
      </c>
      <c r="Z534" s="116"/>
      <c r="AC534" s="117"/>
      <c r="AD534" s="123" t="s">
        <v>52</v>
      </c>
      <c r="AE534" s="137">
        <f t="shared" si="52"/>
        <v>0</v>
      </c>
      <c r="AG534" s="116"/>
      <c r="AJ534" s="117"/>
      <c r="AK534" s="123" t="s">
        <v>52</v>
      </c>
    </row>
    <row r="535" spans="1:37" ht="24" customHeight="1">
      <c r="A535" s="130">
        <f t="shared" si="48"/>
        <v>360</v>
      </c>
      <c r="B535" s="132" t="s">
        <v>547</v>
      </c>
      <c r="C535" s="140">
        <v>45.57</v>
      </c>
      <c r="D535" s="132" t="s">
        <v>131</v>
      </c>
      <c r="H535" s="120" t="s">
        <v>53</v>
      </c>
      <c r="I535" s="129">
        <f>K533</f>
        <v>1535.87</v>
      </c>
      <c r="J535" s="120">
        <f>C22*0.015/0.743</f>
        <v>2.52</v>
      </c>
      <c r="K535" s="127">
        <f>I535+J535</f>
        <v>1538.39</v>
      </c>
      <c r="N535" s="120" t="s">
        <v>645</v>
      </c>
      <c r="O535" s="121" t="s">
        <v>696</v>
      </c>
      <c r="S535" s="115"/>
      <c r="T535" s="116"/>
      <c r="U535" s="120" t="s">
        <v>460</v>
      </c>
      <c r="X535" s="129">
        <f>(X533/0.743)</f>
        <v>1538.08</v>
      </c>
      <c r="Z535" s="116"/>
      <c r="AA535" s="120" t="s">
        <v>460</v>
      </c>
      <c r="AC535" s="117"/>
      <c r="AD535" s="129">
        <f>(AD533/0.743)</f>
        <v>1549.06</v>
      </c>
      <c r="AE535" s="137">
        <f t="shared" si="52"/>
        <v>0</v>
      </c>
      <c r="AG535" s="116"/>
      <c r="AH535" s="120" t="s">
        <v>460</v>
      </c>
      <c r="AJ535" s="117"/>
      <c r="AK535" s="129">
        <f>(AK533/0.743)</f>
        <v>1551.83</v>
      </c>
    </row>
    <row r="536" spans="1:37" ht="24" customHeight="1">
      <c r="A536" s="130">
        <f t="shared" si="48"/>
        <v>361</v>
      </c>
      <c r="B536" s="132" t="s">
        <v>697</v>
      </c>
      <c r="C536" s="205"/>
      <c r="D536" s="132" t="s">
        <v>85</v>
      </c>
      <c r="H536" s="120" t="s">
        <v>54</v>
      </c>
      <c r="I536" s="129">
        <f>K535</f>
        <v>1538.39</v>
      </c>
      <c r="J536" s="120">
        <f>C23*0.015/0.743</f>
        <v>4.97</v>
      </c>
      <c r="K536" s="127">
        <f>I536+J536</f>
        <v>1543.36</v>
      </c>
      <c r="O536" s="123" t="s">
        <v>52</v>
      </c>
      <c r="S536" s="115"/>
      <c r="T536" s="116"/>
      <c r="X536" s="123" t="s">
        <v>89</v>
      </c>
      <c r="Z536" s="116"/>
      <c r="AC536" s="117"/>
      <c r="AD536" s="123" t="s">
        <v>89</v>
      </c>
      <c r="AE536" s="137">
        <f t="shared" si="52"/>
        <v>0</v>
      </c>
      <c r="AG536" s="116"/>
      <c r="AJ536" s="117"/>
      <c r="AK536" s="123" t="s">
        <v>89</v>
      </c>
    </row>
    <row r="537" spans="1:37" ht="24" customHeight="1">
      <c r="A537" s="130">
        <f t="shared" si="48"/>
        <v>362</v>
      </c>
      <c r="B537" s="132" t="s">
        <v>588</v>
      </c>
      <c r="C537" s="140">
        <v>7.8</v>
      </c>
      <c r="D537" s="132" t="s">
        <v>131</v>
      </c>
      <c r="H537" s="120" t="s">
        <v>55</v>
      </c>
      <c r="I537" s="129">
        <f>K536</f>
        <v>1543.36</v>
      </c>
      <c r="J537" s="120">
        <f>J536</f>
        <v>4.97</v>
      </c>
      <c r="K537" s="127">
        <f>I537+J537</f>
        <v>1548.33</v>
      </c>
      <c r="M537" s="129">
        <v>30</v>
      </c>
      <c r="N537" s="120" t="s">
        <v>282</v>
      </c>
      <c r="O537" s="120" t="s">
        <v>662</v>
      </c>
      <c r="P537" s="129">
        <f>(C42)</f>
        <v>5</v>
      </c>
      <c r="Q537" s="120" t="s">
        <v>282</v>
      </c>
      <c r="R537" s="129">
        <f>(M537*P537)</f>
        <v>150</v>
      </c>
      <c r="S537" s="115"/>
      <c r="T537" s="116"/>
      <c r="U537" s="120" t="s">
        <v>53</v>
      </c>
      <c r="V537" s="129">
        <f>X535</f>
        <v>1538.08</v>
      </c>
      <c r="W537" s="121">
        <f>J535</f>
        <v>2.52</v>
      </c>
      <c r="X537" s="127">
        <f>V537+W537</f>
        <v>1540.6</v>
      </c>
      <c r="Z537" s="116"/>
      <c r="AA537" s="120" t="s">
        <v>53</v>
      </c>
      <c r="AB537" s="129">
        <f>AD535</f>
        <v>1549.06</v>
      </c>
      <c r="AC537" s="120">
        <f>W537</f>
        <v>2.52</v>
      </c>
      <c r="AD537" s="127">
        <f>AB537+AC537</f>
        <v>1551.58</v>
      </c>
      <c r="AE537" s="137">
        <f t="shared" si="52"/>
        <v>0</v>
      </c>
      <c r="AG537" s="116"/>
      <c r="AH537" s="120" t="s">
        <v>53</v>
      </c>
      <c r="AI537" s="129">
        <f>AK535</f>
        <v>1551.83</v>
      </c>
      <c r="AJ537" s="120">
        <f>AC537</f>
        <v>2.52</v>
      </c>
      <c r="AK537" s="127">
        <f>AI537+AJ537</f>
        <v>1554.35</v>
      </c>
    </row>
    <row r="538" spans="1:37" ht="24" customHeight="1">
      <c r="A538" s="130">
        <f t="shared" si="48"/>
        <v>363</v>
      </c>
      <c r="B538" s="132" t="s">
        <v>589</v>
      </c>
      <c r="C538" s="140">
        <v>9.49</v>
      </c>
      <c r="D538" s="132" t="s">
        <v>131</v>
      </c>
      <c r="H538" s="120" t="s">
        <v>56</v>
      </c>
      <c r="I538" s="129">
        <f>K537</f>
        <v>1548.33</v>
      </c>
      <c r="J538" s="120">
        <f>J537</f>
        <v>4.97</v>
      </c>
      <c r="K538" s="127">
        <f>I538+J538</f>
        <v>1553.3</v>
      </c>
      <c r="M538" s="120" t="s">
        <v>85</v>
      </c>
      <c r="O538" s="120" t="s">
        <v>665</v>
      </c>
      <c r="P538" s="120" t="s">
        <v>85</v>
      </c>
      <c r="R538" s="120" t="s">
        <v>85</v>
      </c>
      <c r="S538" s="115"/>
      <c r="T538" s="116"/>
      <c r="U538" s="120" t="s">
        <v>54</v>
      </c>
      <c r="V538" s="129">
        <f>X537</f>
        <v>1540.6</v>
      </c>
      <c r="W538" s="121">
        <f t="shared" ref="W538:W549" si="53">J538</f>
        <v>4.97</v>
      </c>
      <c r="X538" s="127">
        <f>V538+W538</f>
        <v>1545.57</v>
      </c>
      <c r="Z538" s="116"/>
      <c r="AA538" s="120" t="s">
        <v>54</v>
      </c>
      <c r="AB538" s="129">
        <f>AD537</f>
        <v>1551.58</v>
      </c>
      <c r="AC538" s="120">
        <f t="shared" ref="AC538:AC549" si="54">W538</f>
        <v>4.97</v>
      </c>
      <c r="AD538" s="127">
        <f>AB538+AC538</f>
        <v>1556.55</v>
      </c>
      <c r="AE538" s="137">
        <f t="shared" si="52"/>
        <v>0</v>
      </c>
      <c r="AG538" s="116"/>
      <c r="AH538" s="120" t="s">
        <v>54</v>
      </c>
      <c r="AI538" s="129">
        <f>AK537</f>
        <v>1554.35</v>
      </c>
      <c r="AJ538" s="120">
        <f t="shared" ref="AJ538:AJ548" si="55">AC538</f>
        <v>4.97</v>
      </c>
      <c r="AK538" s="127">
        <f>AI538+AJ538</f>
        <v>1559.32</v>
      </c>
    </row>
    <row r="539" spans="1:37" ht="24" customHeight="1">
      <c r="A539" s="130">
        <f t="shared" si="48"/>
        <v>364</v>
      </c>
      <c r="B539" s="132" t="s">
        <v>591</v>
      </c>
      <c r="C539" s="140">
        <v>13.91</v>
      </c>
      <c r="D539" s="132" t="s">
        <v>131</v>
      </c>
      <c r="H539" s="120" t="s">
        <v>54</v>
      </c>
      <c r="I539" s="129">
        <f>K538</f>
        <v>1553.3</v>
      </c>
      <c r="J539" s="120">
        <f>J538</f>
        <v>4.97</v>
      </c>
      <c r="K539" s="127">
        <f>I539+J539</f>
        <v>1558.27</v>
      </c>
      <c r="M539" s="129">
        <v>8</v>
      </c>
      <c r="N539" s="120" t="s">
        <v>131</v>
      </c>
      <c r="O539" s="120" t="s">
        <v>624</v>
      </c>
      <c r="P539" s="129">
        <f>(C45)</f>
        <v>10.65</v>
      </c>
      <c r="Q539" s="120" t="s">
        <v>131</v>
      </c>
      <c r="R539" s="129">
        <f>(M539*P539)</f>
        <v>85.2</v>
      </c>
      <c r="S539" s="115"/>
      <c r="T539" s="116"/>
      <c r="U539" s="120" t="s">
        <v>55</v>
      </c>
      <c r="V539" s="129">
        <f>X538</f>
        <v>1545.57</v>
      </c>
      <c r="W539" s="121">
        <f t="shared" si="53"/>
        <v>4.97</v>
      </c>
      <c r="X539" s="127">
        <f>V539+W539</f>
        <v>1550.54</v>
      </c>
      <c r="Z539" s="116"/>
      <c r="AA539" s="120" t="s">
        <v>55</v>
      </c>
      <c r="AB539" s="129">
        <f>AD538</f>
        <v>1556.55</v>
      </c>
      <c r="AC539" s="120">
        <f t="shared" si="54"/>
        <v>4.97</v>
      </c>
      <c r="AD539" s="127">
        <f>AB539+AC539</f>
        <v>1561.52</v>
      </c>
      <c r="AE539" s="137">
        <f t="shared" si="52"/>
        <v>0</v>
      </c>
      <c r="AG539" s="116"/>
      <c r="AH539" s="120" t="s">
        <v>55</v>
      </c>
      <c r="AI539" s="129">
        <f>AK538</f>
        <v>1559.32</v>
      </c>
      <c r="AJ539" s="120">
        <f t="shared" si="55"/>
        <v>4.97</v>
      </c>
      <c r="AK539" s="127">
        <f>AI539+AJ539</f>
        <v>1564.29</v>
      </c>
    </row>
    <row r="540" spans="1:37" ht="24" customHeight="1">
      <c r="A540" s="130"/>
      <c r="B540" s="132"/>
      <c r="C540" s="131"/>
      <c r="D540" s="132"/>
      <c r="H540" s="120">
        <v>5</v>
      </c>
      <c r="I540" s="129">
        <f t="shared" ref="I540:I547" si="56">K539</f>
        <v>1558.27</v>
      </c>
      <c r="J540" s="120">
        <f t="shared" ref="J540:J547" si="57">J539</f>
        <v>4.97</v>
      </c>
      <c r="K540" s="127">
        <f t="shared" ref="K540:K547" si="58">I540+J540</f>
        <v>1563.24</v>
      </c>
      <c r="M540" s="129"/>
      <c r="N540" s="120"/>
      <c r="O540" s="120"/>
      <c r="P540" s="129"/>
      <c r="Q540" s="120"/>
      <c r="R540" s="129"/>
      <c r="S540" s="115"/>
      <c r="T540" s="116"/>
      <c r="U540" s="120" t="s">
        <v>56</v>
      </c>
      <c r="V540" s="129">
        <f>X539</f>
        <v>1550.54</v>
      </c>
      <c r="W540" s="121">
        <f t="shared" si="53"/>
        <v>4.97</v>
      </c>
      <c r="X540" s="127">
        <f>V540+W540</f>
        <v>1555.51</v>
      </c>
      <c r="Z540" s="116"/>
      <c r="AA540" s="120" t="s">
        <v>56</v>
      </c>
      <c r="AB540" s="129">
        <f>AD539</f>
        <v>1561.52</v>
      </c>
      <c r="AC540" s="120">
        <f t="shared" si="54"/>
        <v>4.97</v>
      </c>
      <c r="AD540" s="127">
        <f>AB540+AC540</f>
        <v>1566.49</v>
      </c>
      <c r="AE540" s="137"/>
      <c r="AG540" s="116"/>
      <c r="AH540" s="120" t="s">
        <v>56</v>
      </c>
      <c r="AI540" s="129">
        <f>AK539</f>
        <v>1564.29</v>
      </c>
      <c r="AJ540" s="120">
        <f t="shared" si="55"/>
        <v>4.97</v>
      </c>
      <c r="AK540" s="127">
        <f>AI540+AJ540</f>
        <v>1569.26</v>
      </c>
    </row>
    <row r="541" spans="1:37" ht="24" customHeight="1">
      <c r="A541" s="130"/>
      <c r="B541" s="132"/>
      <c r="C541" s="131"/>
      <c r="D541" s="132"/>
      <c r="H541" s="120">
        <v>6</v>
      </c>
      <c r="I541" s="129">
        <f t="shared" si="56"/>
        <v>1563.24</v>
      </c>
      <c r="J541" s="120">
        <f t="shared" si="57"/>
        <v>4.97</v>
      </c>
      <c r="K541" s="127">
        <f t="shared" si="58"/>
        <v>1568.21</v>
      </c>
      <c r="M541" s="129"/>
      <c r="N541" s="120"/>
      <c r="O541" s="120"/>
      <c r="P541" s="129"/>
      <c r="Q541" s="120"/>
      <c r="R541" s="129"/>
      <c r="S541" s="115"/>
      <c r="T541" s="116"/>
      <c r="U541" s="120" t="s">
        <v>54</v>
      </c>
      <c r="V541" s="129">
        <f>X540</f>
        <v>1555.51</v>
      </c>
      <c r="W541" s="121">
        <f t="shared" si="53"/>
        <v>4.97</v>
      </c>
      <c r="X541" s="127">
        <f>V541+W541</f>
        <v>1560.48</v>
      </c>
      <c r="Z541" s="116"/>
      <c r="AA541" s="120" t="s">
        <v>54</v>
      </c>
      <c r="AB541" s="129">
        <f>AD540</f>
        <v>1566.49</v>
      </c>
      <c r="AC541" s="120">
        <f t="shared" si="54"/>
        <v>4.97</v>
      </c>
      <c r="AD541" s="127">
        <f>AB541+AC541</f>
        <v>1571.46</v>
      </c>
      <c r="AE541" s="137"/>
      <c r="AG541" s="116"/>
      <c r="AH541" s="120" t="s">
        <v>54</v>
      </c>
      <c r="AI541" s="129">
        <f>AK540</f>
        <v>1569.26</v>
      </c>
      <c r="AJ541" s="120">
        <f t="shared" si="55"/>
        <v>4.97</v>
      </c>
      <c r="AK541" s="127">
        <f>AI541+AJ541</f>
        <v>1574.23</v>
      </c>
    </row>
    <row r="542" spans="1:37" ht="24" customHeight="1">
      <c r="A542" s="130"/>
      <c r="B542" s="132"/>
      <c r="C542" s="131"/>
      <c r="D542" s="132"/>
      <c r="H542" s="120">
        <v>7</v>
      </c>
      <c r="I542" s="129">
        <f t="shared" si="56"/>
        <v>1568.21</v>
      </c>
      <c r="J542" s="120">
        <f t="shared" si="57"/>
        <v>4.97</v>
      </c>
      <c r="K542" s="127">
        <f t="shared" si="58"/>
        <v>1573.18</v>
      </c>
      <c r="M542" s="129"/>
      <c r="N542" s="120"/>
      <c r="O542" s="120"/>
      <c r="P542" s="129"/>
      <c r="Q542" s="120"/>
      <c r="R542" s="129"/>
      <c r="S542" s="115"/>
      <c r="T542" s="116"/>
      <c r="U542" s="120">
        <v>5</v>
      </c>
      <c r="V542" s="129">
        <f t="shared" ref="V542:V549" si="59">X541</f>
        <v>1560.48</v>
      </c>
      <c r="W542" s="121">
        <f t="shared" si="53"/>
        <v>4.97</v>
      </c>
      <c r="X542" s="127">
        <f t="shared" ref="X542:X549" si="60">V542+W542</f>
        <v>1565.45</v>
      </c>
      <c r="Z542" s="116"/>
      <c r="AA542" s="120">
        <v>5</v>
      </c>
      <c r="AB542" s="129">
        <f t="shared" ref="AB542:AB549" si="61">AD541</f>
        <v>1571.46</v>
      </c>
      <c r="AC542" s="120">
        <f t="shared" si="54"/>
        <v>4.97</v>
      </c>
      <c r="AD542" s="127">
        <f t="shared" ref="AD542:AD549" si="62">AB542+AC542</f>
        <v>1576.43</v>
      </c>
      <c r="AE542" s="137"/>
      <c r="AG542" s="116"/>
      <c r="AH542" s="120">
        <v>5</v>
      </c>
      <c r="AI542" s="129">
        <f t="shared" ref="AI542:AI549" si="63">AK541</f>
        <v>1574.23</v>
      </c>
      <c r="AJ542" s="120">
        <f t="shared" si="55"/>
        <v>4.97</v>
      </c>
      <c r="AK542" s="127">
        <f t="shared" ref="AK542:AK549" si="64">AI542+AJ542</f>
        <v>1579.2</v>
      </c>
    </row>
    <row r="543" spans="1:37" ht="24" customHeight="1">
      <c r="A543" s="130"/>
      <c r="B543" s="132"/>
      <c r="C543" s="131"/>
      <c r="D543" s="132"/>
      <c r="H543" s="120">
        <v>8</v>
      </c>
      <c r="I543" s="129">
        <f t="shared" si="56"/>
        <v>1573.18</v>
      </c>
      <c r="J543" s="120">
        <f t="shared" si="57"/>
        <v>4.97</v>
      </c>
      <c r="K543" s="127">
        <f t="shared" si="58"/>
        <v>1578.15</v>
      </c>
      <c r="M543" s="129"/>
      <c r="N543" s="120"/>
      <c r="O543" s="120"/>
      <c r="P543" s="129"/>
      <c r="Q543" s="120"/>
      <c r="R543" s="129"/>
      <c r="S543" s="115"/>
      <c r="T543" s="116"/>
      <c r="U543" s="120">
        <v>6</v>
      </c>
      <c r="V543" s="129">
        <f t="shared" si="59"/>
        <v>1565.45</v>
      </c>
      <c r="W543" s="121">
        <f t="shared" si="53"/>
        <v>4.97</v>
      </c>
      <c r="X543" s="127">
        <f t="shared" si="60"/>
        <v>1570.42</v>
      </c>
      <c r="Z543" s="116"/>
      <c r="AA543" s="120">
        <v>6</v>
      </c>
      <c r="AB543" s="129">
        <f t="shared" si="61"/>
        <v>1576.43</v>
      </c>
      <c r="AC543" s="120">
        <f t="shared" si="54"/>
        <v>4.97</v>
      </c>
      <c r="AD543" s="127">
        <f t="shared" si="62"/>
        <v>1581.4</v>
      </c>
      <c r="AE543" s="137"/>
      <c r="AG543" s="116"/>
      <c r="AH543" s="120">
        <v>6</v>
      </c>
      <c r="AI543" s="129">
        <f t="shared" si="63"/>
        <v>1579.2</v>
      </c>
      <c r="AJ543" s="120">
        <f t="shared" si="55"/>
        <v>4.97</v>
      </c>
      <c r="AK543" s="127">
        <f t="shared" si="64"/>
        <v>1584.17</v>
      </c>
    </row>
    <row r="544" spans="1:37" ht="24" customHeight="1">
      <c r="A544" s="130"/>
      <c r="B544" s="132"/>
      <c r="C544" s="131"/>
      <c r="D544" s="132"/>
      <c r="H544" s="120">
        <v>9</v>
      </c>
      <c r="I544" s="129">
        <f t="shared" si="56"/>
        <v>1578.15</v>
      </c>
      <c r="J544" s="120">
        <f t="shared" si="57"/>
        <v>4.97</v>
      </c>
      <c r="K544" s="127">
        <f t="shared" si="58"/>
        <v>1583.12</v>
      </c>
      <c r="M544" s="129"/>
      <c r="N544" s="120"/>
      <c r="O544" s="120"/>
      <c r="P544" s="129"/>
      <c r="Q544" s="120"/>
      <c r="R544" s="129"/>
      <c r="S544" s="115"/>
      <c r="T544" s="116"/>
      <c r="U544" s="120">
        <v>7</v>
      </c>
      <c r="V544" s="129">
        <f t="shared" si="59"/>
        <v>1570.42</v>
      </c>
      <c r="W544" s="121">
        <f t="shared" si="53"/>
        <v>4.97</v>
      </c>
      <c r="X544" s="127">
        <f t="shared" si="60"/>
        <v>1575.39</v>
      </c>
      <c r="Z544" s="116"/>
      <c r="AA544" s="120">
        <v>7</v>
      </c>
      <c r="AB544" s="129">
        <f t="shared" si="61"/>
        <v>1581.4</v>
      </c>
      <c r="AC544" s="120">
        <f t="shared" si="54"/>
        <v>4.97</v>
      </c>
      <c r="AD544" s="127">
        <f t="shared" si="62"/>
        <v>1586.37</v>
      </c>
      <c r="AE544" s="137"/>
      <c r="AG544" s="116"/>
      <c r="AH544" s="120">
        <v>7</v>
      </c>
      <c r="AI544" s="129">
        <f t="shared" si="63"/>
        <v>1584.17</v>
      </c>
      <c r="AJ544" s="120">
        <f t="shared" si="55"/>
        <v>4.97</v>
      </c>
      <c r="AK544" s="127">
        <f t="shared" si="64"/>
        <v>1589.14</v>
      </c>
    </row>
    <row r="545" spans="1:37" ht="24" customHeight="1">
      <c r="A545" s="130"/>
      <c r="B545" s="132"/>
      <c r="C545" s="131"/>
      <c r="D545" s="132"/>
      <c r="H545" s="120">
        <v>10</v>
      </c>
      <c r="I545" s="129">
        <f t="shared" si="56"/>
        <v>1583.12</v>
      </c>
      <c r="J545" s="120">
        <f t="shared" si="57"/>
        <v>4.97</v>
      </c>
      <c r="K545" s="127">
        <f t="shared" si="58"/>
        <v>1588.09</v>
      </c>
      <c r="M545" s="129"/>
      <c r="N545" s="120"/>
      <c r="O545" s="120"/>
      <c r="P545" s="129"/>
      <c r="Q545" s="120"/>
      <c r="R545" s="129"/>
      <c r="S545" s="115"/>
      <c r="T545" s="116"/>
      <c r="U545" s="120">
        <v>8</v>
      </c>
      <c r="V545" s="129">
        <f t="shared" si="59"/>
        <v>1575.39</v>
      </c>
      <c r="W545" s="121">
        <f t="shared" si="53"/>
        <v>4.97</v>
      </c>
      <c r="X545" s="127">
        <f t="shared" si="60"/>
        <v>1580.36</v>
      </c>
      <c r="Z545" s="116"/>
      <c r="AA545" s="120">
        <v>8</v>
      </c>
      <c r="AB545" s="129">
        <f t="shared" si="61"/>
        <v>1586.37</v>
      </c>
      <c r="AC545" s="120">
        <f t="shared" si="54"/>
        <v>4.97</v>
      </c>
      <c r="AD545" s="127">
        <f t="shared" si="62"/>
        <v>1591.34</v>
      </c>
      <c r="AE545" s="137"/>
      <c r="AG545" s="116"/>
      <c r="AH545" s="120">
        <v>8</v>
      </c>
      <c r="AI545" s="129">
        <f t="shared" si="63"/>
        <v>1589.14</v>
      </c>
      <c r="AJ545" s="120">
        <f t="shared" si="55"/>
        <v>4.97</v>
      </c>
      <c r="AK545" s="127">
        <f t="shared" si="64"/>
        <v>1594.11</v>
      </c>
    </row>
    <row r="546" spans="1:37" ht="24" customHeight="1">
      <c r="A546" s="130"/>
      <c r="B546" s="132"/>
      <c r="C546" s="131"/>
      <c r="D546" s="132"/>
      <c r="H546" s="120">
        <v>11</v>
      </c>
      <c r="I546" s="129">
        <f t="shared" si="56"/>
        <v>1588.09</v>
      </c>
      <c r="J546" s="120">
        <f t="shared" si="57"/>
        <v>4.97</v>
      </c>
      <c r="K546" s="127">
        <f t="shared" si="58"/>
        <v>1593.06</v>
      </c>
      <c r="M546" s="129"/>
      <c r="N546" s="120"/>
      <c r="O546" s="120"/>
      <c r="P546" s="129"/>
      <c r="Q546" s="120"/>
      <c r="R546" s="129"/>
      <c r="S546" s="115"/>
      <c r="T546" s="116"/>
      <c r="U546" s="120">
        <v>9</v>
      </c>
      <c r="V546" s="129">
        <f t="shared" si="59"/>
        <v>1580.36</v>
      </c>
      <c r="W546" s="121">
        <f t="shared" si="53"/>
        <v>4.97</v>
      </c>
      <c r="X546" s="127">
        <f t="shared" si="60"/>
        <v>1585.33</v>
      </c>
      <c r="Z546" s="116"/>
      <c r="AA546" s="120">
        <v>9</v>
      </c>
      <c r="AB546" s="129">
        <f t="shared" si="61"/>
        <v>1591.34</v>
      </c>
      <c r="AC546" s="120">
        <f t="shared" si="54"/>
        <v>4.97</v>
      </c>
      <c r="AD546" s="127">
        <f t="shared" si="62"/>
        <v>1596.31</v>
      </c>
      <c r="AE546" s="137"/>
      <c r="AG546" s="116"/>
      <c r="AH546" s="120">
        <v>9</v>
      </c>
      <c r="AI546" s="129">
        <f t="shared" si="63"/>
        <v>1594.11</v>
      </c>
      <c r="AJ546" s="120">
        <f t="shared" si="55"/>
        <v>4.97</v>
      </c>
      <c r="AK546" s="127">
        <f t="shared" si="64"/>
        <v>1599.08</v>
      </c>
    </row>
    <row r="547" spans="1:37" ht="24" customHeight="1">
      <c r="A547" s="130"/>
      <c r="B547" s="132"/>
      <c r="C547" s="131"/>
      <c r="D547" s="132"/>
      <c r="H547" s="120">
        <v>12</v>
      </c>
      <c r="I547" s="129">
        <f t="shared" si="56"/>
        <v>1593.06</v>
      </c>
      <c r="J547" s="120">
        <f t="shared" si="57"/>
        <v>4.97</v>
      </c>
      <c r="K547" s="127">
        <f t="shared" si="58"/>
        <v>1598.03</v>
      </c>
      <c r="M547" s="129"/>
      <c r="N547" s="120"/>
      <c r="O547" s="120"/>
      <c r="P547" s="129"/>
      <c r="Q547" s="120"/>
      <c r="R547" s="129"/>
      <c r="S547" s="115"/>
      <c r="T547" s="116"/>
      <c r="U547" s="120">
        <v>10</v>
      </c>
      <c r="V547" s="129">
        <f t="shared" si="59"/>
        <v>1585.33</v>
      </c>
      <c r="W547" s="121">
        <f t="shared" si="53"/>
        <v>4.97</v>
      </c>
      <c r="X547" s="127">
        <f t="shared" si="60"/>
        <v>1590.3</v>
      </c>
      <c r="Z547" s="116"/>
      <c r="AA547" s="120">
        <v>10</v>
      </c>
      <c r="AB547" s="129">
        <f t="shared" si="61"/>
        <v>1596.31</v>
      </c>
      <c r="AC547" s="120">
        <f t="shared" si="54"/>
        <v>4.97</v>
      </c>
      <c r="AD547" s="127">
        <f t="shared" si="62"/>
        <v>1601.28</v>
      </c>
      <c r="AE547" s="137"/>
      <c r="AG547" s="116"/>
      <c r="AH547" s="120">
        <v>10</v>
      </c>
      <c r="AI547" s="129">
        <f t="shared" si="63"/>
        <v>1599.08</v>
      </c>
      <c r="AJ547" s="120">
        <f t="shared" si="55"/>
        <v>4.97</v>
      </c>
      <c r="AK547" s="127">
        <f t="shared" si="64"/>
        <v>1604.05</v>
      </c>
    </row>
    <row r="548" spans="1:37" ht="24" customHeight="1">
      <c r="A548" s="130">
        <f>(A539+1)</f>
        <v>365</v>
      </c>
      <c r="B548" s="132" t="s">
        <v>592</v>
      </c>
      <c r="C548" s="140">
        <v>26.59</v>
      </c>
      <c r="D548" s="132" t="s">
        <v>131</v>
      </c>
      <c r="F548" s="121" t="s">
        <v>698</v>
      </c>
      <c r="G548" s="126" t="s">
        <v>111</v>
      </c>
      <c r="H548" s="120" t="s">
        <v>699</v>
      </c>
      <c r="M548" s="129">
        <v>8</v>
      </c>
      <c r="N548" s="120" t="s">
        <v>131</v>
      </c>
      <c r="O548" s="120" t="s">
        <v>627</v>
      </c>
      <c r="P548" s="129">
        <f>(C52)</f>
        <v>26.6</v>
      </c>
      <c r="Q548" s="120" t="s">
        <v>131</v>
      </c>
      <c r="R548" s="129">
        <f>(M548*P548)</f>
        <v>212.8</v>
      </c>
      <c r="S548" s="115"/>
      <c r="T548" s="116"/>
      <c r="U548" s="120">
        <v>11</v>
      </c>
      <c r="V548" s="129">
        <f t="shared" si="59"/>
        <v>1590.3</v>
      </c>
      <c r="W548" s="121">
        <f t="shared" si="53"/>
        <v>0</v>
      </c>
      <c r="X548" s="127">
        <f t="shared" si="60"/>
        <v>1590.3</v>
      </c>
      <c r="Z548" s="116"/>
      <c r="AA548" s="120">
        <v>11</v>
      </c>
      <c r="AB548" s="129">
        <f t="shared" si="61"/>
        <v>1601.28</v>
      </c>
      <c r="AC548" s="120">
        <f t="shared" si="54"/>
        <v>0</v>
      </c>
      <c r="AD548" s="127">
        <f t="shared" si="62"/>
        <v>1601.28</v>
      </c>
      <c r="AE548" s="137">
        <f t="shared" si="52"/>
        <v>0</v>
      </c>
      <c r="AG548" s="116"/>
      <c r="AH548" s="120">
        <v>11</v>
      </c>
      <c r="AI548" s="129">
        <f t="shared" si="63"/>
        <v>1604.05</v>
      </c>
      <c r="AJ548" s="120">
        <f t="shared" si="55"/>
        <v>0</v>
      </c>
      <c r="AK548" s="127">
        <f t="shared" si="64"/>
        <v>1604.05</v>
      </c>
    </row>
    <row r="549" spans="1:37" ht="45.75" customHeight="1">
      <c r="A549" s="130">
        <f t="shared" si="48"/>
        <v>366</v>
      </c>
      <c r="B549" s="132" t="s">
        <v>594</v>
      </c>
      <c r="C549" s="140">
        <v>39.909999999999997</v>
      </c>
      <c r="D549" s="132" t="s">
        <v>131</v>
      </c>
      <c r="H549" s="123" t="s">
        <v>52</v>
      </c>
      <c r="M549" s="129">
        <v>3</v>
      </c>
      <c r="N549" s="120" t="s">
        <v>131</v>
      </c>
      <c r="O549" s="120" t="s">
        <v>669</v>
      </c>
      <c r="P549" s="129">
        <f>(C41)</f>
        <v>770</v>
      </c>
      <c r="Q549" s="120" t="s">
        <v>131</v>
      </c>
      <c r="R549" s="129">
        <f>(M549*P549)</f>
        <v>2310</v>
      </c>
      <c r="S549" s="115"/>
      <c r="T549" s="116"/>
      <c r="U549" s="120">
        <v>12</v>
      </c>
      <c r="V549" s="129">
        <f t="shared" si="59"/>
        <v>1590.3</v>
      </c>
      <c r="W549" s="121">
        <f t="shared" si="53"/>
        <v>0</v>
      </c>
      <c r="X549" s="127">
        <f t="shared" si="60"/>
        <v>1590.3</v>
      </c>
      <c r="Z549" s="116"/>
      <c r="AA549" s="120">
        <v>12</v>
      </c>
      <c r="AB549" s="129">
        <f t="shared" si="61"/>
        <v>1601.28</v>
      </c>
      <c r="AC549" s="120">
        <f t="shared" si="54"/>
        <v>0</v>
      </c>
      <c r="AD549" s="127">
        <f t="shared" si="62"/>
        <v>1601.28</v>
      </c>
      <c r="AE549" s="137">
        <f t="shared" si="52"/>
        <v>0</v>
      </c>
      <c r="AG549" s="116"/>
      <c r="AH549" s="120">
        <v>12</v>
      </c>
      <c r="AI549" s="129">
        <f t="shared" si="63"/>
        <v>1604.05</v>
      </c>
      <c r="AJ549" s="120">
        <f>AD549</f>
        <v>1601.28</v>
      </c>
      <c r="AK549" s="127">
        <f t="shared" si="64"/>
        <v>3205.33</v>
      </c>
    </row>
    <row r="550" spans="1:37" ht="52.5" customHeight="1">
      <c r="A550" s="130">
        <f t="shared" si="48"/>
        <v>367</v>
      </c>
      <c r="B550" s="132" t="s">
        <v>547</v>
      </c>
      <c r="C550" s="140">
        <v>66</v>
      </c>
      <c r="D550" s="132" t="s">
        <v>131</v>
      </c>
      <c r="F550" s="129">
        <v>0.03</v>
      </c>
      <c r="G550" s="126" t="s">
        <v>132</v>
      </c>
      <c r="H550" s="120" t="s">
        <v>693</v>
      </c>
      <c r="I550" s="129">
        <f>(K513)</f>
        <v>7363.6</v>
      </c>
      <c r="J550" s="120" t="s">
        <v>132</v>
      </c>
      <c r="K550" s="129">
        <f>(F550*I550)</f>
        <v>220.91</v>
      </c>
      <c r="M550" s="129">
        <v>1</v>
      </c>
      <c r="N550" s="120" t="s">
        <v>131</v>
      </c>
      <c r="O550" s="120" t="s">
        <v>670</v>
      </c>
      <c r="P550" s="129">
        <f>(C10)</f>
        <v>1041.7</v>
      </c>
      <c r="Q550" s="120" t="s">
        <v>131</v>
      </c>
      <c r="R550" s="129">
        <f>(M550*P550)</f>
        <v>1041.7</v>
      </c>
      <c r="S550" s="121" t="s">
        <v>698</v>
      </c>
      <c r="T550" s="126" t="s">
        <v>111</v>
      </c>
      <c r="U550" s="176" t="s">
        <v>4138</v>
      </c>
      <c r="W550" s="121"/>
      <c r="Y550" s="121" t="s">
        <v>698</v>
      </c>
      <c r="Z550" s="126" t="s">
        <v>111</v>
      </c>
      <c r="AA550" s="1811" t="s">
        <v>4139</v>
      </c>
      <c r="AB550" s="1811"/>
      <c r="AC550" s="120"/>
      <c r="AE550" s="137" t="str">
        <f t="shared" si="52"/>
        <v>*</v>
      </c>
      <c r="AF550" s="121" t="s">
        <v>698</v>
      </c>
      <c r="AG550" s="126" t="s">
        <v>111</v>
      </c>
      <c r="AH550" s="1811" t="s">
        <v>4140</v>
      </c>
      <c r="AI550" s="1811"/>
      <c r="AJ550" s="120"/>
    </row>
    <row r="551" spans="1:37" ht="24" customHeight="1">
      <c r="A551" s="130">
        <f t="shared" si="48"/>
        <v>368</v>
      </c>
      <c r="B551" s="132" t="s">
        <v>700</v>
      </c>
      <c r="C551" s="205"/>
      <c r="D551" s="132" t="s">
        <v>85</v>
      </c>
      <c r="F551" s="129">
        <v>0.5</v>
      </c>
      <c r="G551" s="126" t="s">
        <v>237</v>
      </c>
      <c r="H551" s="120" t="s">
        <v>345</v>
      </c>
      <c r="I551" s="129">
        <f>(C10)</f>
        <v>1041.7</v>
      </c>
      <c r="J551" s="120" t="s">
        <v>237</v>
      </c>
      <c r="K551" s="129">
        <f>(F551*I551)</f>
        <v>520.85</v>
      </c>
      <c r="M551" s="129">
        <v>2</v>
      </c>
      <c r="N551" s="120" t="s">
        <v>131</v>
      </c>
      <c r="O551" s="120" t="s">
        <v>304</v>
      </c>
      <c r="P551" s="129">
        <f>(C12)</f>
        <v>679.8</v>
      </c>
      <c r="Q551" s="120" t="s">
        <v>131</v>
      </c>
      <c r="R551" s="129">
        <f>(M551*P551)</f>
        <v>1359.6</v>
      </c>
      <c r="S551" s="115"/>
      <c r="T551" s="116"/>
      <c r="U551" s="123" t="s">
        <v>52</v>
      </c>
      <c r="Z551" s="116"/>
      <c r="AA551" s="123" t="s">
        <v>52</v>
      </c>
      <c r="AC551" s="117"/>
      <c r="AE551" s="137">
        <f t="shared" si="52"/>
        <v>0</v>
      </c>
      <c r="AG551" s="116"/>
      <c r="AH551" s="123" t="s">
        <v>52</v>
      </c>
      <c r="AJ551" s="117"/>
    </row>
    <row r="552" spans="1:37" ht="24" customHeight="1">
      <c r="A552" s="130">
        <f t="shared" si="48"/>
        <v>369</v>
      </c>
      <c r="B552" s="132" t="s">
        <v>658</v>
      </c>
      <c r="C552" s="140">
        <v>4.75</v>
      </c>
      <c r="D552" s="132" t="s">
        <v>131</v>
      </c>
      <c r="F552" s="129">
        <v>0.75</v>
      </c>
      <c r="G552" s="126" t="s">
        <v>237</v>
      </c>
      <c r="H552" s="120" t="s">
        <v>304</v>
      </c>
      <c r="I552" s="129">
        <f>(C12)</f>
        <v>679.8</v>
      </c>
      <c r="J552" s="120" t="s">
        <v>237</v>
      </c>
      <c r="K552" s="129">
        <f>(F552*I552)</f>
        <v>509.85</v>
      </c>
      <c r="M552" s="129">
        <v>1</v>
      </c>
      <c r="N552" s="120" t="s">
        <v>131</v>
      </c>
      <c r="O552" s="120" t="s">
        <v>306</v>
      </c>
      <c r="P552" s="129">
        <f>(C13)</f>
        <v>557.70000000000005</v>
      </c>
      <c r="Q552" s="120" t="s">
        <v>131</v>
      </c>
      <c r="R552" s="129">
        <f>(M552*P552)</f>
        <v>557.70000000000005</v>
      </c>
      <c r="S552" s="129">
        <v>0.03</v>
      </c>
      <c r="T552" s="126" t="s">
        <v>132</v>
      </c>
      <c r="U552" s="120" t="s">
        <v>4141</v>
      </c>
      <c r="V552" s="129">
        <f>V528</f>
        <v>7472.34</v>
      </c>
      <c r="W552" s="121" t="s">
        <v>132</v>
      </c>
      <c r="X552" s="129">
        <f>(S552*V552)</f>
        <v>224.17</v>
      </c>
      <c r="Y552" s="129">
        <v>0.03</v>
      </c>
      <c r="Z552" s="126" t="s">
        <v>132</v>
      </c>
      <c r="AA552" s="120" t="s">
        <v>4141</v>
      </c>
      <c r="AB552" s="129">
        <f>AB528</f>
        <v>8016.6</v>
      </c>
      <c r="AC552" s="120" t="s">
        <v>132</v>
      </c>
      <c r="AD552" s="129">
        <f>(Y552*AB552)</f>
        <v>240.5</v>
      </c>
      <c r="AE552" s="137" t="str">
        <f t="shared" si="52"/>
        <v>CUM</v>
      </c>
      <c r="AF552" s="129">
        <v>0.03</v>
      </c>
      <c r="AG552" s="126" t="s">
        <v>132</v>
      </c>
      <c r="AH552" s="120" t="s">
        <v>4141</v>
      </c>
      <c r="AI552" s="129">
        <f>AI528</f>
        <v>8154.11</v>
      </c>
      <c r="AJ552" s="120" t="s">
        <v>132</v>
      </c>
      <c r="AK552" s="129">
        <f>(AF552*AI552)</f>
        <v>244.62</v>
      </c>
    </row>
    <row r="553" spans="1:37" ht="24" customHeight="1">
      <c r="A553" s="130">
        <f t="shared" si="48"/>
        <v>370</v>
      </c>
      <c r="B553" s="132" t="s">
        <v>660</v>
      </c>
      <c r="C553" s="140">
        <v>6.89</v>
      </c>
      <c r="D553" s="132" t="s">
        <v>131</v>
      </c>
      <c r="E553" s="224">
        <f>0.03/40*75</f>
        <v>5.6300000000000003E-2</v>
      </c>
      <c r="G553" s="126" t="s">
        <v>145</v>
      </c>
      <c r="H553" s="120" t="s">
        <v>146</v>
      </c>
      <c r="J553" s="120" t="s">
        <v>145</v>
      </c>
      <c r="K553" s="129">
        <v>0</v>
      </c>
      <c r="N553" s="120" t="s">
        <v>145</v>
      </c>
      <c r="O553" s="120" t="s">
        <v>671</v>
      </c>
      <c r="P553" s="120" t="s">
        <v>85</v>
      </c>
      <c r="Q553" s="120" t="s">
        <v>145</v>
      </c>
      <c r="R553" s="129">
        <f>(C56)</f>
        <v>12.1</v>
      </c>
      <c r="S553" s="129">
        <v>0.5</v>
      </c>
      <c r="T553" s="126" t="s">
        <v>237</v>
      </c>
      <c r="U553" s="120" t="s">
        <v>345</v>
      </c>
      <c r="V553" s="129">
        <f>V529</f>
        <v>1041.7</v>
      </c>
      <c r="W553" s="121" t="s">
        <v>237</v>
      </c>
      <c r="X553" s="129">
        <f>(S553*V553)</f>
        <v>520.85</v>
      </c>
      <c r="Y553" s="129">
        <v>0.5</v>
      </c>
      <c r="Z553" s="126" t="s">
        <v>237</v>
      </c>
      <c r="AA553" s="120" t="s">
        <v>345</v>
      </c>
      <c r="AB553" s="129">
        <f>AB529</f>
        <v>1041.7</v>
      </c>
      <c r="AC553" s="120" t="s">
        <v>237</v>
      </c>
      <c r="AD553" s="129">
        <f>(Y553*AB553)</f>
        <v>520.85</v>
      </c>
      <c r="AE553" s="137" t="str">
        <f t="shared" si="52"/>
        <v>NO</v>
      </c>
      <c r="AF553" s="129">
        <v>0.5</v>
      </c>
      <c r="AG553" s="126" t="s">
        <v>237</v>
      </c>
      <c r="AH553" s="120" t="s">
        <v>345</v>
      </c>
      <c r="AI553" s="129">
        <f>AI529</f>
        <v>1041.7</v>
      </c>
      <c r="AJ553" s="120" t="s">
        <v>237</v>
      </c>
      <c r="AK553" s="129">
        <f>(AF553*AI553)</f>
        <v>520.85</v>
      </c>
    </row>
    <row r="554" spans="1:37" ht="24" customHeight="1">
      <c r="A554" s="130">
        <f t="shared" si="48"/>
        <v>371</v>
      </c>
      <c r="B554" s="132" t="s">
        <v>661</v>
      </c>
      <c r="C554" s="140">
        <v>6.18</v>
      </c>
      <c r="D554" s="132" t="s">
        <v>131</v>
      </c>
      <c r="K554" s="123" t="s">
        <v>52</v>
      </c>
      <c r="O554" s="120" t="s">
        <v>673</v>
      </c>
      <c r="P554" s="120" t="s">
        <v>85</v>
      </c>
      <c r="R554" s="120" t="s">
        <v>85</v>
      </c>
      <c r="S554" s="129">
        <v>0.75</v>
      </c>
      <c r="T554" s="126" t="s">
        <v>237</v>
      </c>
      <c r="U554" s="120" t="s">
        <v>304</v>
      </c>
      <c r="V554" s="129">
        <f>V530</f>
        <v>679.8</v>
      </c>
      <c r="W554" s="121" t="s">
        <v>237</v>
      </c>
      <c r="X554" s="129">
        <f>(S554*V554)</f>
        <v>509.85</v>
      </c>
      <c r="Y554" s="129">
        <v>0.75</v>
      </c>
      <c r="Z554" s="126" t="s">
        <v>237</v>
      </c>
      <c r="AA554" s="120" t="s">
        <v>304</v>
      </c>
      <c r="AB554" s="129">
        <f>AB530</f>
        <v>679.8</v>
      </c>
      <c r="AC554" s="120" t="s">
        <v>237</v>
      </c>
      <c r="AD554" s="129">
        <f>(Y554*AB554)</f>
        <v>509.85</v>
      </c>
      <c r="AE554" s="137" t="str">
        <f t="shared" si="52"/>
        <v>NO</v>
      </c>
      <c r="AF554" s="129">
        <v>0.75</v>
      </c>
      <c r="AG554" s="126" t="s">
        <v>237</v>
      </c>
      <c r="AH554" s="120" t="s">
        <v>304</v>
      </c>
      <c r="AI554" s="129">
        <f>AI530</f>
        <v>679.8</v>
      </c>
      <c r="AJ554" s="120" t="s">
        <v>237</v>
      </c>
      <c r="AK554" s="129">
        <f>(AF554*AI554)</f>
        <v>509.85</v>
      </c>
    </row>
    <row r="555" spans="1:37" ht="24" customHeight="1">
      <c r="A555" s="130">
        <f t="shared" si="48"/>
        <v>372</v>
      </c>
      <c r="B555" s="132" t="s">
        <v>701</v>
      </c>
      <c r="C555" s="140">
        <v>13.29</v>
      </c>
      <c r="D555" s="132" t="s">
        <v>131</v>
      </c>
      <c r="H555" s="120" t="s">
        <v>695</v>
      </c>
      <c r="K555" s="129">
        <f>SUM(K550:K553)</f>
        <v>1251.6099999999999</v>
      </c>
      <c r="N555" s="120" t="s">
        <v>145</v>
      </c>
      <c r="O555" s="120" t="s">
        <v>146</v>
      </c>
      <c r="Q555" s="120" t="s">
        <v>145</v>
      </c>
      <c r="R555" s="129">
        <v>0</v>
      </c>
      <c r="S555" s="115"/>
      <c r="T555" s="126" t="s">
        <v>145</v>
      </c>
      <c r="U555" s="120" t="s">
        <v>146</v>
      </c>
      <c r="V555" s="129">
        <f>V531</f>
        <v>0</v>
      </c>
      <c r="W555" s="121" t="s">
        <v>145</v>
      </c>
      <c r="X555" s="129">
        <v>0</v>
      </c>
      <c r="Z555" s="126" t="s">
        <v>145</v>
      </c>
      <c r="AA555" s="120" t="s">
        <v>146</v>
      </c>
      <c r="AB555" s="129">
        <f>AB531</f>
        <v>0</v>
      </c>
      <c r="AC555" s="120" t="s">
        <v>145</v>
      </c>
      <c r="AD555" s="129">
        <v>0</v>
      </c>
      <c r="AE555" s="137" t="str">
        <f t="shared" si="52"/>
        <v>L.S</v>
      </c>
      <c r="AG555" s="126" t="s">
        <v>145</v>
      </c>
      <c r="AH555" s="120" t="s">
        <v>146</v>
      </c>
      <c r="AI555" s="129">
        <f>AI531</f>
        <v>0</v>
      </c>
      <c r="AJ555" s="120" t="s">
        <v>145</v>
      </c>
      <c r="AK555" s="129">
        <v>0</v>
      </c>
    </row>
    <row r="556" spans="1:37" ht="24" customHeight="1">
      <c r="A556" s="130">
        <f t="shared" si="48"/>
        <v>373</v>
      </c>
      <c r="B556" s="132" t="s">
        <v>702</v>
      </c>
      <c r="C556" s="140">
        <v>14.11</v>
      </c>
      <c r="D556" s="132" t="s">
        <v>131</v>
      </c>
      <c r="K556" s="123" t="s">
        <v>52</v>
      </c>
      <c r="R556" s="123" t="s">
        <v>52</v>
      </c>
      <c r="S556" s="115"/>
      <c r="T556" s="116"/>
      <c r="X556" s="123" t="s">
        <v>52</v>
      </c>
      <c r="Z556" s="116"/>
      <c r="AC556" s="117"/>
      <c r="AD556" s="123" t="s">
        <v>52</v>
      </c>
      <c r="AE556" s="137">
        <f t="shared" si="52"/>
        <v>0</v>
      </c>
      <c r="AG556" s="116"/>
      <c r="AJ556" s="117"/>
      <c r="AK556" s="123" t="s">
        <v>52</v>
      </c>
    </row>
    <row r="557" spans="1:37" ht="24" customHeight="1">
      <c r="A557" s="130">
        <f t="shared" si="48"/>
        <v>374</v>
      </c>
      <c r="B557" s="132" t="s">
        <v>703</v>
      </c>
      <c r="C557" s="140">
        <v>14.69</v>
      </c>
      <c r="D557" s="132" t="s">
        <v>131</v>
      </c>
      <c r="H557" s="120" t="s">
        <v>460</v>
      </c>
      <c r="K557" s="129">
        <f>(K555/0.743)</f>
        <v>1684.54</v>
      </c>
      <c r="O557" s="120" t="s">
        <v>674</v>
      </c>
      <c r="R557" s="129">
        <f>SUM(R537:R555)</f>
        <v>5729.1</v>
      </c>
      <c r="S557" s="115"/>
      <c r="T557" s="116"/>
      <c r="U557" s="120" t="s">
        <v>695</v>
      </c>
      <c r="X557" s="129">
        <f>SUM(X552:X555)</f>
        <v>1254.8699999999999</v>
      </c>
      <c r="Z557" s="116"/>
      <c r="AA557" s="120" t="s">
        <v>695</v>
      </c>
      <c r="AC557" s="117"/>
      <c r="AD557" s="129">
        <f>SUM(AD552:AD555)</f>
        <v>1271.2</v>
      </c>
      <c r="AE557" s="137">
        <f t="shared" si="52"/>
        <v>0</v>
      </c>
      <c r="AG557" s="116"/>
      <c r="AH557" s="120" t="s">
        <v>695</v>
      </c>
      <c r="AJ557" s="117"/>
      <c r="AK557" s="129">
        <f>SUM(AK552:AK555)</f>
        <v>1275.32</v>
      </c>
    </row>
    <row r="558" spans="1:37" ht="24" customHeight="1">
      <c r="A558" s="130">
        <f t="shared" si="48"/>
        <v>375</v>
      </c>
      <c r="B558" s="132" t="s">
        <v>704</v>
      </c>
      <c r="C558" s="138"/>
      <c r="D558" s="132" t="s">
        <v>85</v>
      </c>
      <c r="K558" s="123" t="s">
        <v>89</v>
      </c>
      <c r="R558" s="123" t="s">
        <v>52</v>
      </c>
      <c r="S558" s="115"/>
      <c r="T558" s="116"/>
      <c r="X558" s="123" t="s">
        <v>52</v>
      </c>
      <c r="Z558" s="116"/>
      <c r="AC558" s="117"/>
      <c r="AD558" s="123" t="s">
        <v>52</v>
      </c>
      <c r="AE558" s="137">
        <f t="shared" si="52"/>
        <v>0</v>
      </c>
      <c r="AG558" s="116"/>
      <c r="AJ558" s="117"/>
      <c r="AK558" s="123" t="s">
        <v>52</v>
      </c>
    </row>
    <row r="559" spans="1:37" ht="24" customHeight="1">
      <c r="A559" s="130">
        <f t="shared" si="48"/>
        <v>376</v>
      </c>
      <c r="B559" s="132" t="s">
        <v>658</v>
      </c>
      <c r="C559" s="140">
        <v>10.3</v>
      </c>
      <c r="D559" s="132" t="s">
        <v>131</v>
      </c>
      <c r="H559" s="120" t="s">
        <v>53</v>
      </c>
      <c r="I559" s="129">
        <f>K557</f>
        <v>1684.54</v>
      </c>
      <c r="J559" s="120">
        <f>C22*0.03/0.743</f>
        <v>5.05</v>
      </c>
      <c r="K559" s="127">
        <f>I559+J559</f>
        <v>1689.59</v>
      </c>
      <c r="M559" s="115">
        <f>0.47*38.5</f>
        <v>18.100000000000001</v>
      </c>
      <c r="O559" s="120" t="s">
        <v>632</v>
      </c>
      <c r="R559" s="129">
        <f>(R557/30)</f>
        <v>190.97</v>
      </c>
      <c r="S559" s="115"/>
      <c r="T559" s="116"/>
      <c r="U559" s="120" t="s">
        <v>4142</v>
      </c>
      <c r="X559" s="127">
        <f>(X557/0.743)</f>
        <v>1688.92</v>
      </c>
      <c r="Z559" s="116"/>
      <c r="AA559" s="120" t="s">
        <v>4142</v>
      </c>
      <c r="AC559" s="117"/>
      <c r="AD559" s="127">
        <f>(AD557/0.743)</f>
        <v>1710.9</v>
      </c>
      <c r="AE559" s="137">
        <f t="shared" si="52"/>
        <v>0</v>
      </c>
      <c r="AG559" s="116"/>
      <c r="AH559" s="120" t="s">
        <v>4142</v>
      </c>
      <c r="AJ559" s="117"/>
      <c r="AK559" s="127">
        <f>(AK557/0.743)</f>
        <v>1716.45</v>
      </c>
    </row>
    <row r="560" spans="1:37" ht="24" customHeight="1">
      <c r="A560" s="130">
        <f t="shared" si="48"/>
        <v>377</v>
      </c>
      <c r="B560" s="132" t="s">
        <v>660</v>
      </c>
      <c r="C560" s="140">
        <v>19.05</v>
      </c>
      <c r="D560" s="132" t="s">
        <v>131</v>
      </c>
      <c r="H560" s="120" t="s">
        <v>54</v>
      </c>
      <c r="I560" s="129">
        <f>K559</f>
        <v>1689.59</v>
      </c>
      <c r="J560" s="120">
        <f>C23*0.03/0.743</f>
        <v>9.94</v>
      </c>
      <c r="K560" s="127">
        <f>I560+J560</f>
        <v>1699.53</v>
      </c>
      <c r="M560" s="115">
        <f>0.24*546</f>
        <v>131.04</v>
      </c>
      <c r="R560" s="123" t="s">
        <v>52</v>
      </c>
      <c r="S560" s="115"/>
      <c r="T560" s="116"/>
      <c r="X560" s="123" t="s">
        <v>89</v>
      </c>
      <c r="Z560" s="116"/>
      <c r="AC560" s="117"/>
      <c r="AD560" s="123" t="s">
        <v>89</v>
      </c>
      <c r="AE560" s="137">
        <f t="shared" si="52"/>
        <v>0</v>
      </c>
      <c r="AG560" s="116"/>
      <c r="AJ560" s="117"/>
      <c r="AK560" s="123" t="s">
        <v>89</v>
      </c>
    </row>
    <row r="561" spans="1:37" ht="24" customHeight="1">
      <c r="A561" s="130">
        <f t="shared" si="48"/>
        <v>378</v>
      </c>
      <c r="B561" s="132" t="s">
        <v>661</v>
      </c>
      <c r="C561" s="140">
        <v>15.34</v>
      </c>
      <c r="D561" s="132" t="s">
        <v>131</v>
      </c>
      <c r="H561" s="120" t="s">
        <v>55</v>
      </c>
      <c r="I561" s="129">
        <f>K560</f>
        <v>1699.53</v>
      </c>
      <c r="J561" s="120">
        <f>J560</f>
        <v>9.94</v>
      </c>
      <c r="K561" s="127">
        <f>I561+J561</f>
        <v>1709.47</v>
      </c>
      <c r="M561" s="115">
        <f>0.24*143.6</f>
        <v>34.46</v>
      </c>
      <c r="N561" s="120" t="s">
        <v>111</v>
      </c>
      <c r="O561" s="120" t="s">
        <v>609</v>
      </c>
      <c r="S561" s="115"/>
      <c r="T561" s="116"/>
      <c r="U561" s="120" t="s">
        <v>53</v>
      </c>
      <c r="V561" s="129">
        <f>X559</f>
        <v>1688.92</v>
      </c>
      <c r="W561" s="121">
        <f>J559</f>
        <v>5.05</v>
      </c>
      <c r="X561" s="127">
        <f>V561+W561</f>
        <v>1693.97</v>
      </c>
      <c r="Z561" s="116"/>
      <c r="AA561" s="120" t="s">
        <v>53</v>
      </c>
      <c r="AB561" s="129">
        <f>AD559</f>
        <v>1710.9</v>
      </c>
      <c r="AC561" s="120">
        <f t="shared" ref="AC561:AC566" si="65">W561</f>
        <v>5.05</v>
      </c>
      <c r="AD561" s="127">
        <f t="shared" ref="AD561:AD566" si="66">AB561+AC561</f>
        <v>1715.95</v>
      </c>
      <c r="AE561" s="137">
        <f t="shared" si="52"/>
        <v>0</v>
      </c>
      <c r="AG561" s="116"/>
      <c r="AH561" s="120" t="s">
        <v>53</v>
      </c>
      <c r="AI561" s="129">
        <f>AK559</f>
        <v>1716.45</v>
      </c>
      <c r="AJ561" s="120">
        <f t="shared" ref="AJ561:AJ566" si="67">AC561</f>
        <v>5.05</v>
      </c>
      <c r="AK561" s="127">
        <f t="shared" ref="AK561:AK566" si="68">AI561+AJ561</f>
        <v>1721.5</v>
      </c>
    </row>
    <row r="562" spans="1:37" ht="24" customHeight="1">
      <c r="A562" s="130">
        <f t="shared" si="48"/>
        <v>379</v>
      </c>
      <c r="B562" s="132" t="s">
        <v>705</v>
      </c>
      <c r="C562" s="140">
        <v>29.41</v>
      </c>
      <c r="D562" s="132" t="s">
        <v>131</v>
      </c>
      <c r="H562" s="120" t="s">
        <v>56</v>
      </c>
      <c r="I562" s="129">
        <f>K561</f>
        <v>1709.47</v>
      </c>
      <c r="J562" s="120">
        <f>J561</f>
        <v>9.94</v>
      </c>
      <c r="K562" s="127">
        <f>I562+J562</f>
        <v>1719.41</v>
      </c>
      <c r="M562" s="115">
        <f>0.79*328.9</f>
        <v>259.83</v>
      </c>
      <c r="O562" s="120" t="s">
        <v>706</v>
      </c>
      <c r="S562" s="115"/>
      <c r="T562" s="116"/>
      <c r="U562" s="120" t="s">
        <v>54</v>
      </c>
      <c r="V562" s="129">
        <f>X561</f>
        <v>1693.97</v>
      </c>
      <c r="W562" s="121">
        <f>J560</f>
        <v>9.94</v>
      </c>
      <c r="X562" s="127">
        <f>V562+W562</f>
        <v>1703.91</v>
      </c>
      <c r="Z562" s="116"/>
      <c r="AA562" s="120" t="s">
        <v>54</v>
      </c>
      <c r="AB562" s="129">
        <f>AD561</f>
        <v>1715.95</v>
      </c>
      <c r="AC562" s="120">
        <f t="shared" si="65"/>
        <v>9.94</v>
      </c>
      <c r="AD562" s="127">
        <f t="shared" si="66"/>
        <v>1725.89</v>
      </c>
      <c r="AE562" s="137">
        <f t="shared" si="52"/>
        <v>0</v>
      </c>
      <c r="AG562" s="116"/>
      <c r="AH562" s="120" t="s">
        <v>54</v>
      </c>
      <c r="AI562" s="129">
        <f>AK561</f>
        <v>1721.5</v>
      </c>
      <c r="AJ562" s="120">
        <f t="shared" si="67"/>
        <v>9.94</v>
      </c>
      <c r="AK562" s="127">
        <f t="shared" si="68"/>
        <v>1731.44</v>
      </c>
    </row>
    <row r="563" spans="1:37" ht="24" customHeight="1">
      <c r="A563" s="138"/>
      <c r="B563" s="138"/>
      <c r="C563" s="205"/>
      <c r="D563" s="138"/>
      <c r="F563" s="120" t="s">
        <v>85</v>
      </c>
      <c r="H563" s="120" t="s">
        <v>54</v>
      </c>
      <c r="I563" s="129">
        <f>K562</f>
        <v>1719.41</v>
      </c>
      <c r="J563" s="120">
        <f>J562</f>
        <v>9.94</v>
      </c>
      <c r="K563" s="127">
        <f>I563+J563</f>
        <v>1729.35</v>
      </c>
      <c r="M563" s="115">
        <f>SUM(M559:M562)</f>
        <v>443.43</v>
      </c>
      <c r="S563" s="115"/>
      <c r="T563" s="116"/>
      <c r="U563" s="120" t="s">
        <v>55</v>
      </c>
      <c r="V563" s="129">
        <f>X562</f>
        <v>1703.91</v>
      </c>
      <c r="W563" s="121">
        <f>J561</f>
        <v>9.94</v>
      </c>
      <c r="X563" s="127">
        <f>V563+W563</f>
        <v>1713.85</v>
      </c>
      <c r="Z563" s="116"/>
      <c r="AA563" s="120" t="s">
        <v>55</v>
      </c>
      <c r="AB563" s="129">
        <f>AD562</f>
        <v>1725.89</v>
      </c>
      <c r="AC563" s="120">
        <f t="shared" si="65"/>
        <v>9.94</v>
      </c>
      <c r="AD563" s="127">
        <f t="shared" si="66"/>
        <v>1735.83</v>
      </c>
      <c r="AE563" s="137">
        <f t="shared" si="52"/>
        <v>0</v>
      </c>
      <c r="AG563" s="116"/>
      <c r="AH563" s="120" t="s">
        <v>55</v>
      </c>
      <c r="AI563" s="129">
        <f>AK562</f>
        <v>1731.44</v>
      </c>
      <c r="AJ563" s="120">
        <f t="shared" si="67"/>
        <v>9.94</v>
      </c>
      <c r="AK563" s="127">
        <f t="shared" si="68"/>
        <v>1741.38</v>
      </c>
    </row>
    <row r="564" spans="1:37" ht="15.75">
      <c r="A564" s="130">
        <f>(A562+1)</f>
        <v>380</v>
      </c>
      <c r="B564" s="132" t="s">
        <v>702</v>
      </c>
      <c r="C564" s="140">
        <v>38.35</v>
      </c>
      <c r="D564" s="132" t="s">
        <v>131</v>
      </c>
      <c r="H564" s="120">
        <v>5</v>
      </c>
      <c r="I564" s="129">
        <f t="shared" ref="I564:I571" si="69">K563</f>
        <v>1729.35</v>
      </c>
      <c r="J564" s="120">
        <f t="shared" ref="J564:J571" si="70">J563</f>
        <v>9.94</v>
      </c>
      <c r="K564" s="127">
        <f t="shared" ref="K564:K571" si="71">I564+J564</f>
        <v>1739.29</v>
      </c>
      <c r="O564" s="120" t="s">
        <v>611</v>
      </c>
      <c r="S564" s="115"/>
      <c r="T564" s="116"/>
      <c r="U564" s="120" t="s">
        <v>56</v>
      </c>
      <c r="V564" s="129">
        <f>X563</f>
        <v>1713.85</v>
      </c>
      <c r="W564" s="121">
        <f>J562</f>
        <v>9.94</v>
      </c>
      <c r="X564" s="127">
        <f>V564+W564</f>
        <v>1723.79</v>
      </c>
      <c r="Z564" s="116"/>
      <c r="AA564" s="120" t="s">
        <v>56</v>
      </c>
      <c r="AB564" s="129">
        <f>AD563</f>
        <v>1735.83</v>
      </c>
      <c r="AC564" s="120">
        <f t="shared" si="65"/>
        <v>9.94</v>
      </c>
      <c r="AD564" s="127">
        <f t="shared" si="66"/>
        <v>1745.77</v>
      </c>
      <c r="AE564" s="137">
        <f t="shared" si="52"/>
        <v>0</v>
      </c>
      <c r="AG564" s="116"/>
      <c r="AH564" s="120" t="s">
        <v>56</v>
      </c>
      <c r="AI564" s="129">
        <f>AK563</f>
        <v>1741.38</v>
      </c>
      <c r="AJ564" s="120">
        <f t="shared" si="67"/>
        <v>9.94</v>
      </c>
      <c r="AK564" s="127">
        <f t="shared" si="68"/>
        <v>1751.32</v>
      </c>
    </row>
    <row r="565" spans="1:37" ht="15.75">
      <c r="A565" s="130"/>
      <c r="B565" s="132"/>
      <c r="C565" s="131"/>
      <c r="D565" s="132"/>
      <c r="H565" s="120">
        <v>6</v>
      </c>
      <c r="I565" s="129">
        <f t="shared" si="69"/>
        <v>1739.29</v>
      </c>
      <c r="J565" s="120">
        <f t="shared" si="70"/>
        <v>9.94</v>
      </c>
      <c r="K565" s="127">
        <f t="shared" si="71"/>
        <v>1749.23</v>
      </c>
      <c r="O565" s="120"/>
      <c r="S565" s="120" t="s">
        <v>85</v>
      </c>
      <c r="T565" s="116"/>
      <c r="U565" s="120" t="s">
        <v>4143</v>
      </c>
      <c r="V565" s="129">
        <f>X564</f>
        <v>1723.79</v>
      </c>
      <c r="W565" s="121">
        <f>J563</f>
        <v>9.94</v>
      </c>
      <c r="X565" s="127">
        <f>V565+W565</f>
        <v>1733.73</v>
      </c>
      <c r="AA565" s="120" t="s">
        <v>54</v>
      </c>
      <c r="AB565" s="129">
        <f>AD564</f>
        <v>1745.77</v>
      </c>
      <c r="AC565" s="120">
        <f t="shared" si="65"/>
        <v>9.94</v>
      </c>
      <c r="AD565" s="127">
        <f t="shared" si="66"/>
        <v>1755.71</v>
      </c>
      <c r="AE565" s="137"/>
      <c r="AH565" s="120" t="s">
        <v>54</v>
      </c>
      <c r="AI565" s="129">
        <f>AK564</f>
        <v>1751.32</v>
      </c>
      <c r="AJ565" s="120">
        <f t="shared" si="67"/>
        <v>9.94</v>
      </c>
      <c r="AK565" s="127">
        <f t="shared" si="68"/>
        <v>1761.26</v>
      </c>
    </row>
    <row r="566" spans="1:37" ht="15.75">
      <c r="A566" s="130"/>
      <c r="B566" s="132"/>
      <c r="C566" s="131"/>
      <c r="D566" s="132"/>
      <c r="H566" s="120">
        <v>7</v>
      </c>
      <c r="I566" s="129">
        <f t="shared" si="69"/>
        <v>1749.23</v>
      </c>
      <c r="J566" s="120">
        <f t="shared" si="70"/>
        <v>9.94</v>
      </c>
      <c r="K566" s="127">
        <f t="shared" si="71"/>
        <v>1759.17</v>
      </c>
      <c r="O566" s="120"/>
      <c r="AA566" s="120" t="s">
        <v>55</v>
      </c>
      <c r="AB566" s="129">
        <f>AD565</f>
        <v>1755.71</v>
      </c>
      <c r="AC566" s="120">
        <f t="shared" si="65"/>
        <v>0</v>
      </c>
      <c r="AD566" s="127">
        <f t="shared" si="66"/>
        <v>1755.71</v>
      </c>
      <c r="AE566" s="137"/>
      <c r="AH566" s="120" t="s">
        <v>55</v>
      </c>
      <c r="AI566" s="129">
        <f>AK565</f>
        <v>1761.26</v>
      </c>
      <c r="AJ566" s="120">
        <f t="shared" si="67"/>
        <v>0</v>
      </c>
      <c r="AK566" s="127">
        <f t="shared" si="68"/>
        <v>1761.26</v>
      </c>
    </row>
    <row r="567" spans="1:37" ht="15.75">
      <c r="A567" s="130"/>
      <c r="B567" s="132"/>
      <c r="C567" s="131"/>
      <c r="D567" s="132"/>
      <c r="H567" s="120">
        <v>8</v>
      </c>
      <c r="I567" s="129">
        <f t="shared" si="69"/>
        <v>1759.17</v>
      </c>
      <c r="J567" s="120">
        <f t="shared" si="70"/>
        <v>9.94</v>
      </c>
      <c r="K567" s="127">
        <f t="shared" si="71"/>
        <v>1769.11</v>
      </c>
      <c r="O567" s="120"/>
      <c r="AE567" s="137"/>
      <c r="AG567" s="120"/>
    </row>
    <row r="568" spans="1:37" ht="15.75">
      <c r="A568" s="130"/>
      <c r="B568" s="132"/>
      <c r="C568" s="131"/>
      <c r="D568" s="132"/>
      <c r="H568" s="120">
        <v>9</v>
      </c>
      <c r="I568" s="129">
        <f t="shared" si="69"/>
        <v>1769.11</v>
      </c>
      <c r="J568" s="120">
        <f t="shared" si="70"/>
        <v>9.94</v>
      </c>
      <c r="K568" s="127">
        <f t="shared" si="71"/>
        <v>1779.05</v>
      </c>
      <c r="O568" s="120"/>
      <c r="AE568" s="137"/>
      <c r="AG568" s="120"/>
    </row>
    <row r="569" spans="1:37" ht="15.75">
      <c r="A569" s="130"/>
      <c r="B569" s="132"/>
      <c r="C569" s="131"/>
      <c r="D569" s="132"/>
      <c r="H569" s="120">
        <v>10</v>
      </c>
      <c r="I569" s="129">
        <f t="shared" si="69"/>
        <v>1779.05</v>
      </c>
      <c r="J569" s="120">
        <f t="shared" si="70"/>
        <v>9.94</v>
      </c>
      <c r="K569" s="127">
        <f t="shared" si="71"/>
        <v>1788.99</v>
      </c>
      <c r="O569" s="120"/>
      <c r="AE569" s="137"/>
      <c r="AG569" s="120"/>
    </row>
    <row r="570" spans="1:37" ht="15.75">
      <c r="A570" s="130"/>
      <c r="B570" s="132"/>
      <c r="C570" s="131"/>
      <c r="D570" s="132"/>
      <c r="H570" s="120">
        <v>11</v>
      </c>
      <c r="I570" s="129">
        <f t="shared" si="69"/>
        <v>1788.99</v>
      </c>
      <c r="J570" s="120">
        <f t="shared" si="70"/>
        <v>9.94</v>
      </c>
      <c r="K570" s="127">
        <f t="shared" si="71"/>
        <v>1798.93</v>
      </c>
      <c r="O570" s="120"/>
      <c r="AE570" s="137"/>
      <c r="AG570" s="120"/>
    </row>
    <row r="571" spans="1:37" ht="15.75">
      <c r="A571" s="130"/>
      <c r="B571" s="132"/>
      <c r="C571" s="131"/>
      <c r="D571" s="132"/>
      <c r="H571" s="120">
        <v>12</v>
      </c>
      <c r="I571" s="129">
        <f t="shared" si="69"/>
        <v>1798.93</v>
      </c>
      <c r="J571" s="120">
        <f t="shared" si="70"/>
        <v>9.94</v>
      </c>
      <c r="K571" s="127">
        <f t="shared" si="71"/>
        <v>1808.87</v>
      </c>
      <c r="O571" s="120"/>
      <c r="AE571" s="137"/>
      <c r="AG571" s="120"/>
    </row>
    <row r="572" spans="1:37" ht="15.75">
      <c r="A572" s="130">
        <f>(A564+1)</f>
        <v>381</v>
      </c>
      <c r="B572" s="132" t="s">
        <v>703</v>
      </c>
      <c r="C572" s="140">
        <v>37.96</v>
      </c>
      <c r="D572" s="132" t="s">
        <v>131</v>
      </c>
      <c r="F572" s="167"/>
      <c r="G572" s="126" t="s">
        <v>85</v>
      </c>
      <c r="H572" s="120" t="s">
        <v>707</v>
      </c>
      <c r="O572" s="123" t="s">
        <v>52</v>
      </c>
      <c r="S572" s="185"/>
      <c r="T572" s="126" t="s">
        <v>85</v>
      </c>
      <c r="U572" s="120" t="s">
        <v>707</v>
      </c>
      <c r="AA572" s="120" t="s">
        <v>56</v>
      </c>
      <c r="AB572" s="129">
        <f>AD571</f>
        <v>0</v>
      </c>
      <c r="AC572" s="120">
        <f>W572</f>
        <v>0</v>
      </c>
      <c r="AD572" s="127">
        <f>AB572+AC572</f>
        <v>0</v>
      </c>
      <c r="AE572" s="137" t="str">
        <f t="shared" si="52"/>
        <v>|</v>
      </c>
      <c r="AG572" s="120" t="s">
        <v>120</v>
      </c>
    </row>
    <row r="573" spans="1:37" ht="24" customHeight="1">
      <c r="A573" s="130">
        <f t="shared" ref="A573:A588" si="72">(A572+1)</f>
        <v>382</v>
      </c>
      <c r="B573" s="132" t="s">
        <v>708</v>
      </c>
      <c r="C573" s="205"/>
      <c r="D573" s="132" t="s">
        <v>85</v>
      </c>
      <c r="H573" s="120" t="s">
        <v>709</v>
      </c>
      <c r="T573" s="116"/>
      <c r="U573" s="120" t="s">
        <v>709</v>
      </c>
      <c r="AE573" s="137" t="str">
        <f t="shared" si="52"/>
        <v>|</v>
      </c>
      <c r="AG573" s="120" t="s">
        <v>120</v>
      </c>
    </row>
    <row r="574" spans="1:37" ht="24" customHeight="1">
      <c r="A574" s="130">
        <f t="shared" si="72"/>
        <v>383</v>
      </c>
      <c r="B574" s="132" t="s">
        <v>658</v>
      </c>
      <c r="C574" s="140">
        <v>6.68</v>
      </c>
      <c r="D574" s="132" t="s">
        <v>131</v>
      </c>
      <c r="H574" s="120" t="s">
        <v>710</v>
      </c>
      <c r="N574" s="120" t="s">
        <v>612</v>
      </c>
      <c r="O574" s="120" t="s">
        <v>711</v>
      </c>
      <c r="T574" s="116"/>
      <c r="U574" s="120" t="s">
        <v>710</v>
      </c>
      <c r="AE574" s="137" t="str">
        <f t="shared" si="52"/>
        <v>|</v>
      </c>
      <c r="AG574" s="120" t="s">
        <v>120</v>
      </c>
    </row>
    <row r="575" spans="1:37" ht="24" customHeight="1">
      <c r="A575" s="130">
        <f t="shared" si="72"/>
        <v>384</v>
      </c>
      <c r="B575" s="132" t="s">
        <v>660</v>
      </c>
      <c r="C575" s="140">
        <v>9.4499999999999993</v>
      </c>
      <c r="D575" s="132" t="s">
        <v>131</v>
      </c>
      <c r="H575" s="120" t="s">
        <v>712</v>
      </c>
      <c r="O575" s="123" t="s">
        <v>52</v>
      </c>
      <c r="T575" s="116"/>
      <c r="U575" s="120" t="s">
        <v>712</v>
      </c>
      <c r="AE575" s="137" t="str">
        <f t="shared" si="52"/>
        <v>|</v>
      </c>
      <c r="AG575" s="120" t="s">
        <v>120</v>
      </c>
    </row>
    <row r="576" spans="1:37" ht="24" customHeight="1">
      <c r="A576" s="130">
        <f t="shared" si="72"/>
        <v>385</v>
      </c>
      <c r="B576" s="132" t="s">
        <v>661</v>
      </c>
      <c r="C576" s="140">
        <v>33.04</v>
      </c>
      <c r="D576" s="132" t="s">
        <v>131</v>
      </c>
      <c r="H576" s="120" t="s">
        <v>713</v>
      </c>
      <c r="M576" s="129">
        <v>8.1</v>
      </c>
      <c r="N576" s="120" t="s">
        <v>132</v>
      </c>
      <c r="O576" s="120" t="s">
        <v>615</v>
      </c>
      <c r="P576" s="129">
        <f>(C61)*2</f>
        <v>233.76</v>
      </c>
      <c r="Q576" s="120" t="s">
        <v>132</v>
      </c>
      <c r="R576" s="129">
        <f>(M576*P576)</f>
        <v>1893.46</v>
      </c>
      <c r="T576" s="116"/>
      <c r="U576" s="120" t="s">
        <v>713</v>
      </c>
      <c r="AE576" s="137" t="str">
        <f t="shared" si="52"/>
        <v>|</v>
      </c>
      <c r="AG576" s="120" t="s">
        <v>120</v>
      </c>
    </row>
    <row r="577" spans="1:33" ht="24" customHeight="1">
      <c r="A577" s="130">
        <f t="shared" si="72"/>
        <v>386</v>
      </c>
      <c r="B577" s="132" t="s">
        <v>705</v>
      </c>
      <c r="C577" s="140">
        <v>33.04</v>
      </c>
      <c r="D577" s="132" t="s">
        <v>131</v>
      </c>
      <c r="H577" s="120" t="s">
        <v>714</v>
      </c>
      <c r="M577" s="129">
        <v>8.1</v>
      </c>
      <c r="N577" s="120" t="s">
        <v>132</v>
      </c>
      <c r="O577" s="120" t="s">
        <v>616</v>
      </c>
      <c r="P577" s="129">
        <f>(C26)</f>
        <v>40.65</v>
      </c>
      <c r="Q577" s="120" t="s">
        <v>132</v>
      </c>
      <c r="R577" s="129">
        <f>(M577*P577)</f>
        <v>329.27</v>
      </c>
      <c r="T577" s="116"/>
      <c r="U577" s="120" t="s">
        <v>714</v>
      </c>
      <c r="AE577" s="137" t="str">
        <f t="shared" si="52"/>
        <v>|</v>
      </c>
      <c r="AG577" s="120" t="s">
        <v>120</v>
      </c>
    </row>
    <row r="578" spans="1:33" ht="24" customHeight="1">
      <c r="A578" s="130">
        <f t="shared" si="72"/>
        <v>387</v>
      </c>
      <c r="B578" s="132" t="s">
        <v>715</v>
      </c>
      <c r="C578" s="140">
        <v>33.04</v>
      </c>
      <c r="D578" s="132" t="s">
        <v>131</v>
      </c>
      <c r="H578" s="120" t="s">
        <v>4144</v>
      </c>
      <c r="M578" s="129">
        <v>30</v>
      </c>
      <c r="N578" s="120" t="s">
        <v>282</v>
      </c>
      <c r="O578" s="120" t="s">
        <v>617</v>
      </c>
      <c r="P578" s="129">
        <f>(C661)</f>
        <v>11.2</v>
      </c>
      <c r="Q578" s="120" t="s">
        <v>282</v>
      </c>
      <c r="R578" s="129">
        <f>(M578*P578)</f>
        <v>336</v>
      </c>
      <c r="T578" s="116"/>
      <c r="U578" s="120" t="s">
        <v>4144</v>
      </c>
      <c r="AE578" s="137" t="str">
        <f t="shared" si="52"/>
        <v>|</v>
      </c>
      <c r="AG578" s="120" t="s">
        <v>120</v>
      </c>
    </row>
    <row r="579" spans="1:33" ht="24" customHeight="1">
      <c r="A579" s="130">
        <f t="shared" si="72"/>
        <v>388</v>
      </c>
      <c r="B579" s="132" t="s">
        <v>717</v>
      </c>
      <c r="C579" s="140">
        <v>33.04</v>
      </c>
      <c r="D579" s="132" t="s">
        <v>131</v>
      </c>
      <c r="H579" s="123" t="s">
        <v>52</v>
      </c>
      <c r="I579" s="123" t="s">
        <v>52</v>
      </c>
      <c r="O579" s="120" t="s">
        <v>718</v>
      </c>
      <c r="T579" s="116"/>
      <c r="U579" s="123" t="s">
        <v>52</v>
      </c>
      <c r="V579" s="123" t="s">
        <v>52</v>
      </c>
      <c r="AE579" s="137" t="str">
        <f t="shared" si="52"/>
        <v>|</v>
      </c>
      <c r="AG579" s="120" t="s">
        <v>120</v>
      </c>
    </row>
    <row r="580" spans="1:33" ht="24" customHeight="1">
      <c r="A580" s="130">
        <f t="shared" si="72"/>
        <v>389</v>
      </c>
      <c r="B580" s="132" t="s">
        <v>719</v>
      </c>
      <c r="C580" s="140">
        <v>538</v>
      </c>
      <c r="D580" s="132" t="s">
        <v>131</v>
      </c>
      <c r="G580" s="126" t="s">
        <v>443</v>
      </c>
      <c r="H580" s="120" t="s">
        <v>720</v>
      </c>
      <c r="O580" s="120" t="s">
        <v>619</v>
      </c>
      <c r="T580" s="126" t="s">
        <v>443</v>
      </c>
      <c r="U580" s="120" t="s">
        <v>4145</v>
      </c>
      <c r="AE580" s="137" t="str">
        <f t="shared" si="52"/>
        <v>|</v>
      </c>
      <c r="AG580" s="120" t="s">
        <v>120</v>
      </c>
    </row>
    <row r="581" spans="1:33" ht="24" customHeight="1">
      <c r="A581" s="130">
        <f t="shared" si="72"/>
        <v>390</v>
      </c>
      <c r="B581" s="132" t="s">
        <v>721</v>
      </c>
      <c r="C581" s="140">
        <v>340</v>
      </c>
      <c r="D581" s="132" t="s">
        <v>131</v>
      </c>
      <c r="H581" s="120" t="s">
        <v>722</v>
      </c>
      <c r="O581" s="120" t="s">
        <v>620</v>
      </c>
      <c r="T581" s="116"/>
      <c r="U581" s="120" t="s">
        <v>722</v>
      </c>
      <c r="AE581" s="137" t="str">
        <f t="shared" si="52"/>
        <v>|</v>
      </c>
      <c r="AG581" s="120" t="s">
        <v>120</v>
      </c>
    </row>
    <row r="582" spans="1:33" ht="24" customHeight="1">
      <c r="A582" s="130">
        <f t="shared" si="72"/>
        <v>391</v>
      </c>
      <c r="B582" s="132" t="s">
        <v>723</v>
      </c>
      <c r="C582" s="140">
        <v>1039</v>
      </c>
      <c r="D582" s="132" t="s">
        <v>131</v>
      </c>
      <c r="F582" s="129">
        <v>10</v>
      </c>
      <c r="G582" s="126" t="s">
        <v>724</v>
      </c>
      <c r="H582" s="120" t="s">
        <v>725</v>
      </c>
      <c r="I582" s="129">
        <f>C751</f>
        <v>376.7</v>
      </c>
      <c r="J582" s="120" t="s">
        <v>724</v>
      </c>
      <c r="K582" s="129">
        <f>(F582*I582)</f>
        <v>3767</v>
      </c>
      <c r="O582" s="120" t="s">
        <v>621</v>
      </c>
      <c r="S582" s="142">
        <v>10</v>
      </c>
      <c r="T582" s="126" t="s">
        <v>724</v>
      </c>
      <c r="U582" s="120" t="s">
        <v>725</v>
      </c>
      <c r="V582" s="129">
        <f>I604</f>
        <v>408</v>
      </c>
      <c r="W582" s="121" t="s">
        <v>724</v>
      </c>
      <c r="X582" s="129">
        <f>(S582*V582)</f>
        <v>4080</v>
      </c>
      <c r="AE582" s="137" t="str">
        <f t="shared" si="52"/>
        <v>|</v>
      </c>
      <c r="AG582" s="120" t="s">
        <v>120</v>
      </c>
    </row>
    <row r="583" spans="1:33" ht="24" customHeight="1">
      <c r="A583" s="130">
        <f t="shared" si="72"/>
        <v>392</v>
      </c>
      <c r="B583" s="132" t="s">
        <v>4146</v>
      </c>
      <c r="C583" s="136">
        <v>230.2</v>
      </c>
      <c r="D583" s="132" t="s">
        <v>131</v>
      </c>
      <c r="F583" s="129">
        <v>1</v>
      </c>
      <c r="G583" s="126" t="s">
        <v>727</v>
      </c>
      <c r="H583" s="120" t="s">
        <v>728</v>
      </c>
      <c r="I583" s="129">
        <f>C10</f>
        <v>1041.7</v>
      </c>
      <c r="J583" s="120" t="s">
        <v>729</v>
      </c>
      <c r="K583" s="129">
        <f>(F583*I583)</f>
        <v>1041.7</v>
      </c>
      <c r="M583" s="129">
        <v>8</v>
      </c>
      <c r="N583" s="120" t="s">
        <v>237</v>
      </c>
      <c r="O583" s="120" t="s">
        <v>624</v>
      </c>
      <c r="P583" s="129">
        <v>10.199999999999999</v>
      </c>
      <c r="Q583" s="120" t="s">
        <v>237</v>
      </c>
      <c r="R583" s="129">
        <f>(M583*P583)</f>
        <v>81.599999999999994</v>
      </c>
      <c r="S583" s="142">
        <v>1</v>
      </c>
      <c r="T583" s="126" t="s">
        <v>727</v>
      </c>
      <c r="U583" s="120" t="s">
        <v>728</v>
      </c>
      <c r="V583" s="129">
        <f>I583</f>
        <v>1041.7</v>
      </c>
      <c r="W583" s="121" t="s">
        <v>729</v>
      </c>
      <c r="X583" s="129">
        <f>(S583*V583)</f>
        <v>1041.7</v>
      </c>
      <c r="AE583" s="137" t="str">
        <f t="shared" si="52"/>
        <v>|</v>
      </c>
      <c r="AG583" s="120" t="s">
        <v>120</v>
      </c>
    </row>
    <row r="584" spans="1:33" ht="24" customHeight="1">
      <c r="A584" s="130">
        <f t="shared" si="72"/>
        <v>393</v>
      </c>
      <c r="B584" s="132" t="s">
        <v>730</v>
      </c>
      <c r="C584" s="140">
        <v>31</v>
      </c>
      <c r="D584" s="132" t="s">
        <v>524</v>
      </c>
      <c r="F584" s="129">
        <v>1</v>
      </c>
      <c r="G584" s="126" t="s">
        <v>727</v>
      </c>
      <c r="H584" s="120" t="s">
        <v>731</v>
      </c>
      <c r="I584" s="129">
        <f>C12</f>
        <v>679.8</v>
      </c>
      <c r="J584" s="120" t="s">
        <v>729</v>
      </c>
      <c r="K584" s="129">
        <f>(F584*I584)</f>
        <v>679.8</v>
      </c>
      <c r="M584" s="129">
        <v>8</v>
      </c>
      <c r="N584" s="120" t="s">
        <v>237</v>
      </c>
      <c r="O584" s="120" t="s">
        <v>627</v>
      </c>
      <c r="P584" s="129">
        <v>28.5</v>
      </c>
      <c r="Q584" s="120" t="s">
        <v>237</v>
      </c>
      <c r="R584" s="129">
        <f>(M584*P584)</f>
        <v>228</v>
      </c>
      <c r="S584" s="142">
        <v>1</v>
      </c>
      <c r="T584" s="126" t="s">
        <v>727</v>
      </c>
      <c r="U584" s="120" t="s">
        <v>731</v>
      </c>
      <c r="V584" s="129">
        <f>I584</f>
        <v>679.8</v>
      </c>
      <c r="W584" s="121" t="s">
        <v>729</v>
      </c>
      <c r="X584" s="129">
        <f>(S584*V584)</f>
        <v>679.8</v>
      </c>
      <c r="AE584" s="137" t="str">
        <f t="shared" si="52"/>
        <v>|</v>
      </c>
      <c r="AG584" s="120" t="s">
        <v>120</v>
      </c>
    </row>
    <row r="585" spans="1:33" ht="24" customHeight="1">
      <c r="A585" s="130">
        <f t="shared" si="72"/>
        <v>394</v>
      </c>
      <c r="B585" s="120" t="s">
        <v>4147</v>
      </c>
      <c r="C585" s="136">
        <v>204</v>
      </c>
      <c r="D585" s="132" t="s">
        <v>131</v>
      </c>
      <c r="G585" s="126" t="s">
        <v>145</v>
      </c>
      <c r="H585" s="120" t="s">
        <v>733</v>
      </c>
      <c r="J585" s="120" t="s">
        <v>145</v>
      </c>
      <c r="K585" s="129">
        <v>120</v>
      </c>
      <c r="M585" s="129">
        <v>1</v>
      </c>
      <c r="N585" s="120" t="s">
        <v>145</v>
      </c>
      <c r="O585" s="120" t="s">
        <v>629</v>
      </c>
      <c r="P585" s="129">
        <f>(C673)</f>
        <v>4</v>
      </c>
      <c r="Q585" s="120" t="s">
        <v>145</v>
      </c>
      <c r="R585" s="129">
        <f>(M585*P585)</f>
        <v>4</v>
      </c>
      <c r="T585" s="126" t="s">
        <v>145</v>
      </c>
      <c r="U585" s="120" t="s">
        <v>733</v>
      </c>
      <c r="V585" s="129">
        <f>I585</f>
        <v>0</v>
      </c>
      <c r="W585" s="121" t="s">
        <v>145</v>
      </c>
      <c r="X585" s="129">
        <v>120</v>
      </c>
      <c r="AE585" s="137" t="str">
        <f t="shared" si="52"/>
        <v>|</v>
      </c>
      <c r="AG585" s="120" t="s">
        <v>120</v>
      </c>
    </row>
    <row r="586" spans="1:33" ht="24" customHeight="1">
      <c r="A586" s="130">
        <f t="shared" si="72"/>
        <v>395</v>
      </c>
      <c r="B586" s="132" t="s">
        <v>4148</v>
      </c>
      <c r="C586" s="136">
        <v>93.4</v>
      </c>
      <c r="D586" s="132" t="s">
        <v>131</v>
      </c>
      <c r="H586" s="120" t="s">
        <v>735</v>
      </c>
      <c r="K586" s="123" t="s">
        <v>52</v>
      </c>
      <c r="M586" s="129">
        <v>1</v>
      </c>
      <c r="N586" s="120" t="s">
        <v>145</v>
      </c>
      <c r="O586" s="120" t="s">
        <v>146</v>
      </c>
      <c r="Q586" s="120" t="s">
        <v>145</v>
      </c>
      <c r="R586" s="129">
        <v>0</v>
      </c>
      <c r="T586" s="116"/>
      <c r="U586" s="120" t="s">
        <v>735</v>
      </c>
      <c r="X586" s="123" t="s">
        <v>52</v>
      </c>
      <c r="AE586" s="137">
        <f t="shared" si="52"/>
        <v>0</v>
      </c>
    </row>
    <row r="587" spans="1:33" ht="24" customHeight="1">
      <c r="A587" s="130">
        <f t="shared" si="72"/>
        <v>396</v>
      </c>
      <c r="B587" s="132" t="s">
        <v>736</v>
      </c>
      <c r="C587" s="140">
        <v>57.51</v>
      </c>
      <c r="D587" s="132" t="s">
        <v>131</v>
      </c>
      <c r="H587" s="121" t="s">
        <v>737</v>
      </c>
      <c r="K587" s="129">
        <f>SUM(K582:K585)</f>
        <v>5608.5</v>
      </c>
      <c r="R587" s="123" t="s">
        <v>52</v>
      </c>
      <c r="T587" s="116"/>
      <c r="U587" s="121" t="s">
        <v>737</v>
      </c>
      <c r="X587" s="129">
        <f>SUM(X582:X585)</f>
        <v>5921.5</v>
      </c>
      <c r="AE587" s="137" t="str">
        <f t="shared" si="52"/>
        <v>|</v>
      </c>
      <c r="AG587" s="120" t="s">
        <v>120</v>
      </c>
    </row>
    <row r="588" spans="1:33" ht="24" customHeight="1">
      <c r="A588" s="130">
        <f t="shared" si="72"/>
        <v>397</v>
      </c>
      <c r="B588" s="132" t="s">
        <v>738</v>
      </c>
      <c r="C588" s="140">
        <v>30</v>
      </c>
      <c r="D588" s="132" t="s">
        <v>131</v>
      </c>
      <c r="K588" s="123" t="s">
        <v>52</v>
      </c>
      <c r="O588" s="120" t="s">
        <v>631</v>
      </c>
      <c r="R588" s="129">
        <f>SUM(R576:R586)</f>
        <v>2872.33</v>
      </c>
      <c r="T588" s="116"/>
      <c r="X588" s="123" t="s">
        <v>52</v>
      </c>
      <c r="AE588" s="137" t="str">
        <f t="shared" si="52"/>
        <v>|</v>
      </c>
      <c r="AG588" s="120" t="s">
        <v>120</v>
      </c>
    </row>
    <row r="589" spans="1:33" ht="24" customHeight="1">
      <c r="A589" s="130">
        <f t="shared" ref="A589:A636" si="73">(A588+1)</f>
        <v>398</v>
      </c>
      <c r="B589" s="132" t="s">
        <v>739</v>
      </c>
      <c r="C589" s="140">
        <v>57.51</v>
      </c>
      <c r="D589" s="132" t="s">
        <v>131</v>
      </c>
      <c r="H589" s="121" t="s">
        <v>740</v>
      </c>
      <c r="K589" s="129">
        <f>K587/10</f>
        <v>560.85</v>
      </c>
      <c r="R589" s="123" t="s">
        <v>52</v>
      </c>
      <c r="T589" s="116"/>
      <c r="U589" s="121" t="s">
        <v>740</v>
      </c>
      <c r="X589" s="129">
        <f>X587/10</f>
        <v>592.15</v>
      </c>
      <c r="AE589" s="137" t="str">
        <f t="shared" si="52"/>
        <v>|</v>
      </c>
      <c r="AG589" s="120" t="s">
        <v>120</v>
      </c>
    </row>
    <row r="590" spans="1:33" ht="24" customHeight="1">
      <c r="A590" s="130">
        <f t="shared" si="73"/>
        <v>399</v>
      </c>
      <c r="B590" s="132" t="s">
        <v>741</v>
      </c>
      <c r="C590" s="140">
        <v>20</v>
      </c>
      <c r="D590" s="132" t="s">
        <v>131</v>
      </c>
      <c r="H590" s="120" t="s">
        <v>53</v>
      </c>
      <c r="I590" s="129">
        <f t="shared" ref="I590:I599" si="74">K589</f>
        <v>560.85</v>
      </c>
      <c r="J590" s="120">
        <f>C22*0.02</f>
        <v>2.5</v>
      </c>
      <c r="K590" s="127">
        <f>I590+J590</f>
        <v>563.35</v>
      </c>
      <c r="O590" s="120" t="s">
        <v>632</v>
      </c>
      <c r="R590" s="129">
        <f>(R588/30)</f>
        <v>95.74</v>
      </c>
      <c r="T590" s="116"/>
      <c r="U590" s="120" t="s">
        <v>53</v>
      </c>
      <c r="V590" s="129">
        <f>J612</f>
        <v>5</v>
      </c>
      <c r="W590" s="121">
        <f>P22*0.02</f>
        <v>32.85</v>
      </c>
      <c r="X590" s="127">
        <f>X589+V590</f>
        <v>597.15</v>
      </c>
      <c r="Y590" s="115">
        <f>X595+V594</f>
        <v>656.25</v>
      </c>
      <c r="AE590" s="137" t="str">
        <f t="shared" si="52"/>
        <v>|</v>
      </c>
      <c r="AG590" s="120" t="s">
        <v>120</v>
      </c>
    </row>
    <row r="591" spans="1:33" ht="24" customHeight="1">
      <c r="A591" s="130">
        <f t="shared" si="73"/>
        <v>400</v>
      </c>
      <c r="B591" s="132" t="s">
        <v>742</v>
      </c>
      <c r="C591" s="140">
        <v>21.92</v>
      </c>
      <c r="D591" s="132" t="s">
        <v>131</v>
      </c>
      <c r="H591" s="120" t="s">
        <v>54</v>
      </c>
      <c r="I591" s="129">
        <f t="shared" si="74"/>
        <v>563.35</v>
      </c>
      <c r="J591" s="120">
        <f>C23*0.02</f>
        <v>4.92</v>
      </c>
      <c r="K591" s="127">
        <f>I591+J591</f>
        <v>568.27</v>
      </c>
      <c r="N591" s="120" t="s">
        <v>111</v>
      </c>
      <c r="O591" s="120" t="s">
        <v>743</v>
      </c>
      <c r="T591" s="116"/>
      <c r="U591" s="120" t="s">
        <v>54</v>
      </c>
      <c r="V591" s="129">
        <f>J613</f>
        <v>9.85</v>
      </c>
      <c r="W591" s="121">
        <f>P23*0.02</f>
        <v>20.329999999999998</v>
      </c>
      <c r="X591" s="127">
        <f>X590+V591</f>
        <v>607</v>
      </c>
      <c r="Y591" s="115">
        <f>Y590+V594</f>
        <v>666.1</v>
      </c>
      <c r="AE591" s="137" t="str">
        <f t="shared" si="52"/>
        <v>|</v>
      </c>
      <c r="AG591" s="120" t="s">
        <v>120</v>
      </c>
    </row>
    <row r="592" spans="1:33" ht="24" customHeight="1">
      <c r="A592" s="130">
        <f t="shared" si="73"/>
        <v>401</v>
      </c>
      <c r="B592" s="132" t="s">
        <v>4149</v>
      </c>
      <c r="C592" s="136">
        <f>145.15/2</f>
        <v>72.58</v>
      </c>
      <c r="D592" s="132" t="s">
        <v>131</v>
      </c>
      <c r="H592" s="120" t="s">
        <v>55</v>
      </c>
      <c r="I592" s="129">
        <f t="shared" si="74"/>
        <v>568.27</v>
      </c>
      <c r="J592" s="120">
        <f>C23*0.02</f>
        <v>4.92</v>
      </c>
      <c r="K592" s="127">
        <f>I592+J592</f>
        <v>573.19000000000005</v>
      </c>
      <c r="O592" s="120" t="s">
        <v>745</v>
      </c>
      <c r="T592" s="116"/>
      <c r="U592" s="120" t="s">
        <v>55</v>
      </c>
      <c r="V592" s="129">
        <f>J614</f>
        <v>9.85</v>
      </c>
      <c r="W592" s="121">
        <f>P23*0.02</f>
        <v>20.329999999999998</v>
      </c>
      <c r="X592" s="127">
        <f>X591+V592</f>
        <v>616.85</v>
      </c>
      <c r="Y592" s="115">
        <f>Y591+V594</f>
        <v>675.95</v>
      </c>
      <c r="AE592" s="137" t="str">
        <f t="shared" si="52"/>
        <v>|</v>
      </c>
      <c r="AG592" s="120" t="s">
        <v>120</v>
      </c>
    </row>
    <row r="593" spans="1:33" ht="24" customHeight="1">
      <c r="A593" s="130">
        <f t="shared" si="73"/>
        <v>402</v>
      </c>
      <c r="B593" s="132" t="s">
        <v>4150</v>
      </c>
      <c r="C593" s="136">
        <v>995</v>
      </c>
      <c r="D593" s="132" t="s">
        <v>131</v>
      </c>
      <c r="H593" s="120" t="s">
        <v>56</v>
      </c>
      <c r="I593" s="129">
        <f t="shared" si="74"/>
        <v>573.19000000000005</v>
      </c>
      <c r="J593" s="120">
        <f>C23*0.02</f>
        <v>4.92</v>
      </c>
      <c r="K593" s="127">
        <f>I593+J593</f>
        <v>578.11</v>
      </c>
      <c r="O593" s="123" t="s">
        <v>52</v>
      </c>
      <c r="T593" s="116"/>
      <c r="U593" s="120" t="s">
        <v>56</v>
      </c>
      <c r="V593" s="129">
        <f>J615</f>
        <v>9.85</v>
      </c>
      <c r="W593" s="121">
        <f>P23*0.02</f>
        <v>20.329999999999998</v>
      </c>
      <c r="X593" s="127">
        <f>X592+V593</f>
        <v>626.70000000000005</v>
      </c>
      <c r="Y593" s="115">
        <f>Y592+V594</f>
        <v>685.8</v>
      </c>
      <c r="AE593" s="137" t="str">
        <f t="shared" si="52"/>
        <v>|</v>
      </c>
      <c r="AG593" s="120" t="s">
        <v>120</v>
      </c>
    </row>
    <row r="594" spans="1:33" ht="24" customHeight="1">
      <c r="A594" s="130"/>
      <c r="B594" s="132"/>
      <c r="C594" s="131"/>
      <c r="D594" s="132"/>
      <c r="H594" s="120" t="s">
        <v>747</v>
      </c>
      <c r="I594" s="129">
        <f t="shared" si="74"/>
        <v>578.11</v>
      </c>
      <c r="J594" s="120">
        <f>C23*0.02</f>
        <v>4.92</v>
      </c>
      <c r="K594" s="127">
        <f t="shared" ref="K594:K599" si="75">I594+J594</f>
        <v>583.03</v>
      </c>
      <c r="O594" s="123"/>
      <c r="T594" s="116"/>
      <c r="U594" s="120" t="s">
        <v>747</v>
      </c>
      <c r="V594" s="129">
        <f>J616</f>
        <v>9.85</v>
      </c>
      <c r="W594" s="121">
        <f>P23*0.02</f>
        <v>20.329999999999998</v>
      </c>
      <c r="X594" s="127">
        <f>X593+V594</f>
        <v>636.54999999999995</v>
      </c>
      <c r="Y594" s="115">
        <f>Y593+V594</f>
        <v>695.65</v>
      </c>
      <c r="AE594" s="137" t="str">
        <f t="shared" si="52"/>
        <v>|::</v>
      </c>
      <c r="AG594" s="120" t="s">
        <v>307</v>
      </c>
    </row>
    <row r="595" spans="1:33" ht="24" customHeight="1">
      <c r="A595" s="130">
        <f>(A593+1)</f>
        <v>403</v>
      </c>
      <c r="B595" s="132" t="s">
        <v>748</v>
      </c>
      <c r="C595" s="140">
        <v>21</v>
      </c>
      <c r="D595" s="132" t="s">
        <v>131</v>
      </c>
      <c r="H595" s="120" t="s">
        <v>4095</v>
      </c>
      <c r="I595" s="129">
        <f t="shared" si="74"/>
        <v>583.03</v>
      </c>
      <c r="J595" s="120">
        <f>C23*0.02</f>
        <v>4.92</v>
      </c>
      <c r="K595" s="127">
        <f t="shared" si="75"/>
        <v>587.95000000000005</v>
      </c>
      <c r="M595" s="129">
        <v>1.08</v>
      </c>
      <c r="N595" s="120" t="s">
        <v>132</v>
      </c>
      <c r="O595" s="120" t="s">
        <v>750</v>
      </c>
      <c r="P595" s="129">
        <f>(K88)</f>
        <v>247.31</v>
      </c>
      <c r="Q595" s="120" t="s">
        <v>132</v>
      </c>
      <c r="R595" s="129">
        <f>(M595*P595)</f>
        <v>267.08999999999997</v>
      </c>
      <c r="S595" s="185">
        <v>15.2</v>
      </c>
      <c r="T595" s="126" t="s">
        <v>443</v>
      </c>
      <c r="U595" s="120" t="s">
        <v>749</v>
      </c>
      <c r="X595" s="127">
        <f>X594+V594</f>
        <v>646.4</v>
      </c>
      <c r="AE595" s="137">
        <f t="shared" si="52"/>
        <v>0</v>
      </c>
    </row>
    <row r="596" spans="1:33" ht="24" customHeight="1">
      <c r="A596" s="130">
        <f t="shared" si="73"/>
        <v>404</v>
      </c>
      <c r="B596" s="132" t="s">
        <v>751</v>
      </c>
      <c r="C596" s="140">
        <v>150</v>
      </c>
      <c r="D596" s="132" t="s">
        <v>131</v>
      </c>
      <c r="H596" s="120" t="s">
        <v>4097</v>
      </c>
      <c r="I596" s="129">
        <f t="shared" si="74"/>
        <v>587.95000000000005</v>
      </c>
      <c r="J596" s="120">
        <f>C23*0.02</f>
        <v>4.92</v>
      </c>
      <c r="K596" s="127">
        <f t="shared" si="75"/>
        <v>592.87</v>
      </c>
      <c r="M596" s="142">
        <v>0.216</v>
      </c>
      <c r="N596" s="120" t="s">
        <v>132</v>
      </c>
      <c r="O596" s="120" t="s">
        <v>752</v>
      </c>
      <c r="P596" s="129">
        <f>(R60)</f>
        <v>4182.9399999999996</v>
      </c>
      <c r="Q596" s="120" t="s">
        <v>132</v>
      </c>
      <c r="R596" s="129">
        <f>(M596*P596)</f>
        <v>903.52</v>
      </c>
      <c r="AE596" s="137">
        <f t="shared" si="52"/>
        <v>0</v>
      </c>
    </row>
    <row r="597" spans="1:33" ht="24" customHeight="1">
      <c r="A597" s="130">
        <f t="shared" si="73"/>
        <v>405</v>
      </c>
      <c r="B597" s="132" t="s">
        <v>4151</v>
      </c>
      <c r="C597" s="136">
        <v>21.6</v>
      </c>
      <c r="D597" s="132" t="s">
        <v>131</v>
      </c>
      <c r="H597" s="120" t="s">
        <v>4101</v>
      </c>
      <c r="I597" s="129">
        <f t="shared" si="74"/>
        <v>592.87</v>
      </c>
      <c r="J597" s="120">
        <f>C23*0.02</f>
        <v>4.92</v>
      </c>
      <c r="K597" s="127">
        <f t="shared" si="75"/>
        <v>597.79</v>
      </c>
      <c r="M597" s="142">
        <v>0.48699999999999999</v>
      </c>
      <c r="N597" s="120" t="s">
        <v>132</v>
      </c>
      <c r="O597" s="120" t="s">
        <v>754</v>
      </c>
      <c r="P597" s="129">
        <f>AG321</f>
        <v>6739.92</v>
      </c>
      <c r="Q597" s="120" t="s">
        <v>132</v>
      </c>
      <c r="R597" s="129">
        <f>(M597*P597)</f>
        <v>3282.34</v>
      </c>
      <c r="AE597" s="137" t="str">
        <f t="shared" ref="AE597:AE637" si="76">AG597</f>
        <v>|</v>
      </c>
      <c r="AG597" s="120" t="s">
        <v>120</v>
      </c>
    </row>
    <row r="598" spans="1:33" ht="24" customHeight="1">
      <c r="A598" s="130">
        <f t="shared" si="73"/>
        <v>406</v>
      </c>
      <c r="B598" s="132" t="s">
        <v>4152</v>
      </c>
      <c r="C598" s="136">
        <v>57.65</v>
      </c>
      <c r="D598" s="136">
        <v>49.55</v>
      </c>
      <c r="E598" s="115" t="s">
        <v>4153</v>
      </c>
      <c r="H598" s="120" t="s">
        <v>4122</v>
      </c>
      <c r="I598" s="129">
        <f t="shared" si="74"/>
        <v>597.79</v>
      </c>
      <c r="J598" s="120">
        <f>C23*0.02</f>
        <v>4.92</v>
      </c>
      <c r="K598" s="127">
        <f t="shared" si="75"/>
        <v>602.71</v>
      </c>
      <c r="M598" s="142">
        <v>5.36</v>
      </c>
      <c r="N598" s="120" t="s">
        <v>425</v>
      </c>
      <c r="O598" s="120" t="s">
        <v>756</v>
      </c>
      <c r="P598" s="129">
        <f>(R304)</f>
        <v>275.2</v>
      </c>
      <c r="Q598" s="120" t="s">
        <v>425</v>
      </c>
      <c r="R598" s="129">
        <f>(M598*P598)</f>
        <v>1475.07</v>
      </c>
      <c r="AE598" s="137" t="str">
        <f t="shared" si="76"/>
        <v>|</v>
      </c>
      <c r="AG598" s="120" t="s">
        <v>120</v>
      </c>
    </row>
    <row r="599" spans="1:33" ht="24" customHeight="1">
      <c r="A599" s="130">
        <f t="shared" si="73"/>
        <v>407</v>
      </c>
      <c r="B599" s="132" t="s">
        <v>757</v>
      </c>
      <c r="C599" s="140">
        <v>208.5</v>
      </c>
      <c r="D599" s="132" t="s">
        <v>131</v>
      </c>
      <c r="H599" s="120">
        <v>9</v>
      </c>
      <c r="I599" s="129">
        <f t="shared" si="74"/>
        <v>602.71</v>
      </c>
      <c r="J599" s="120">
        <f>C23*0.02</f>
        <v>4.92</v>
      </c>
      <c r="K599" s="127">
        <f t="shared" si="75"/>
        <v>607.63</v>
      </c>
      <c r="M599" s="142">
        <v>3.2000000000000001E-2</v>
      </c>
      <c r="N599" s="120" t="s">
        <v>132</v>
      </c>
      <c r="O599" s="120" t="s">
        <v>758</v>
      </c>
      <c r="P599" s="129">
        <f>(K643)</f>
        <v>8113</v>
      </c>
      <c r="Q599" s="120" t="s">
        <v>132</v>
      </c>
      <c r="R599" s="129">
        <f>(M599*P599)</f>
        <v>259.62</v>
      </c>
      <c r="AE599" s="137" t="str">
        <f t="shared" si="76"/>
        <v>|</v>
      </c>
      <c r="AG599" s="120" t="s">
        <v>120</v>
      </c>
    </row>
    <row r="600" spans="1:33" ht="24" customHeight="1">
      <c r="A600" s="130">
        <f t="shared" si="73"/>
        <v>408</v>
      </c>
      <c r="B600" s="203" t="s">
        <v>759</v>
      </c>
      <c r="C600" s="135">
        <v>172</v>
      </c>
      <c r="D600" s="132" t="s">
        <v>131</v>
      </c>
      <c r="H600" s="120"/>
      <c r="I600" s="129"/>
      <c r="J600" s="120"/>
      <c r="K600" s="127"/>
      <c r="O600" s="120" t="s">
        <v>761</v>
      </c>
      <c r="R600" s="120" t="s">
        <v>85</v>
      </c>
      <c r="AE600" s="137" t="str">
        <f t="shared" si="76"/>
        <v>|</v>
      </c>
      <c r="AG600" s="120" t="s">
        <v>120</v>
      </c>
    </row>
    <row r="601" spans="1:33" ht="47.25" customHeight="1">
      <c r="A601" s="130">
        <f t="shared" si="73"/>
        <v>409</v>
      </c>
      <c r="B601" s="226" t="s">
        <v>4154</v>
      </c>
      <c r="C601" s="158">
        <f>ROUND(35.15/0.093025,2)</f>
        <v>377.86</v>
      </c>
      <c r="D601" s="132" t="s">
        <v>425</v>
      </c>
      <c r="H601" s="120"/>
      <c r="I601" s="129"/>
      <c r="J601" s="120"/>
      <c r="K601" s="127"/>
      <c r="N601" s="120" t="s">
        <v>145</v>
      </c>
      <c r="O601" s="120" t="s">
        <v>763</v>
      </c>
      <c r="Q601" s="120" t="s">
        <v>145</v>
      </c>
      <c r="R601" s="129">
        <v>2.66</v>
      </c>
      <c r="AE601" s="137" t="str">
        <f t="shared" si="76"/>
        <v>|</v>
      </c>
      <c r="AG601" s="120" t="s">
        <v>120</v>
      </c>
    </row>
    <row r="602" spans="1:33" ht="31.5">
      <c r="A602" s="130">
        <f t="shared" si="73"/>
        <v>410</v>
      </c>
      <c r="B602" s="176" t="s">
        <v>4155</v>
      </c>
      <c r="C602" s="136">
        <f>8.3/0.02</f>
        <v>415</v>
      </c>
      <c r="D602" s="132" t="s">
        <v>425</v>
      </c>
      <c r="E602" s="227">
        <f>7.25/0.02</f>
        <v>362.5</v>
      </c>
      <c r="F602" s="167">
        <v>15.2</v>
      </c>
      <c r="G602" s="126" t="s">
        <v>443</v>
      </c>
      <c r="H602" s="120" t="s">
        <v>749</v>
      </c>
      <c r="K602" s="233">
        <f>K594+J594</f>
        <v>587.95000000000005</v>
      </c>
      <c r="R602" s="123" t="s">
        <v>52</v>
      </c>
      <c r="AE602" s="137" t="str">
        <f t="shared" si="76"/>
        <v>|</v>
      </c>
      <c r="AG602" s="120" t="s">
        <v>120</v>
      </c>
    </row>
    <row r="603" spans="1:33" ht="24" customHeight="1">
      <c r="A603" s="130">
        <f t="shared" si="73"/>
        <v>411</v>
      </c>
      <c r="B603" s="132" t="s">
        <v>765</v>
      </c>
      <c r="C603" s="140">
        <v>75</v>
      </c>
      <c r="D603" s="132" t="s">
        <v>131</v>
      </c>
      <c r="H603" s="120" t="s">
        <v>722</v>
      </c>
      <c r="O603" s="120" t="s">
        <v>767</v>
      </c>
      <c r="R603" s="129">
        <f>SUM(R595:R601)</f>
        <v>6190.3</v>
      </c>
      <c r="AE603" s="137" t="str">
        <f t="shared" si="76"/>
        <v>|</v>
      </c>
      <c r="AG603" s="120" t="s">
        <v>120</v>
      </c>
    </row>
    <row r="604" spans="1:33" ht="24" customHeight="1">
      <c r="A604" s="130">
        <f t="shared" si="73"/>
        <v>412</v>
      </c>
      <c r="B604" s="132" t="s">
        <v>768</v>
      </c>
      <c r="C604" s="140">
        <v>125</v>
      </c>
      <c r="D604" s="132" t="s">
        <v>131</v>
      </c>
      <c r="F604" s="129">
        <v>1</v>
      </c>
      <c r="G604" s="126" t="s">
        <v>724</v>
      </c>
      <c r="H604" s="120" t="s">
        <v>725</v>
      </c>
      <c r="I604" s="129">
        <f>D751</f>
        <v>408</v>
      </c>
      <c r="J604" s="120" t="s">
        <v>724</v>
      </c>
      <c r="K604" s="129">
        <f>(F604*I604)</f>
        <v>408</v>
      </c>
      <c r="R604" s="123" t="s">
        <v>52</v>
      </c>
      <c r="AE604" s="137" t="str">
        <f t="shared" si="76"/>
        <v>|</v>
      </c>
      <c r="AG604" s="120" t="s">
        <v>120</v>
      </c>
    </row>
    <row r="605" spans="1:33" ht="24" customHeight="1">
      <c r="A605" s="130">
        <f t="shared" si="73"/>
        <v>413</v>
      </c>
      <c r="B605" s="132" t="s">
        <v>769</v>
      </c>
      <c r="C605" s="140">
        <v>190</v>
      </c>
      <c r="D605" s="132" t="s">
        <v>131</v>
      </c>
      <c r="F605" s="129">
        <v>0.75</v>
      </c>
      <c r="G605" s="126" t="s">
        <v>727</v>
      </c>
      <c r="H605" s="120" t="s">
        <v>728</v>
      </c>
      <c r="I605" s="129">
        <f>C10</f>
        <v>1041.7</v>
      </c>
      <c r="J605" s="120" t="s">
        <v>729</v>
      </c>
      <c r="K605" s="129">
        <f>(F605*I605)</f>
        <v>781.28</v>
      </c>
      <c r="N605" s="120" t="s">
        <v>111</v>
      </c>
      <c r="O605" s="120" t="s">
        <v>743</v>
      </c>
      <c r="AE605" s="137" t="str">
        <f t="shared" si="76"/>
        <v>|</v>
      </c>
      <c r="AG605" s="120" t="s">
        <v>120</v>
      </c>
    </row>
    <row r="606" spans="1:33" ht="24" customHeight="1">
      <c r="A606" s="130">
        <f t="shared" si="73"/>
        <v>414</v>
      </c>
      <c r="B606" s="132" t="s">
        <v>770</v>
      </c>
      <c r="C606" s="140">
        <v>16</v>
      </c>
      <c r="D606" s="132" t="s">
        <v>131</v>
      </c>
      <c r="F606" s="129">
        <v>0.75</v>
      </c>
      <c r="G606" s="126" t="s">
        <v>727</v>
      </c>
      <c r="H606" s="120" t="s">
        <v>731</v>
      </c>
      <c r="I606" s="129">
        <f>C12</f>
        <v>679.8</v>
      </c>
      <c r="J606" s="120" t="s">
        <v>729</v>
      </c>
      <c r="K606" s="129">
        <f>(F606*I606)</f>
        <v>509.85</v>
      </c>
      <c r="O606" s="120" t="s">
        <v>771</v>
      </c>
      <c r="AE606" s="137" t="str">
        <f t="shared" si="76"/>
        <v>|</v>
      </c>
      <c r="AG606" s="120" t="s">
        <v>120</v>
      </c>
    </row>
    <row r="607" spans="1:33" ht="24" customHeight="1">
      <c r="A607" s="130">
        <f t="shared" si="73"/>
        <v>415</v>
      </c>
      <c r="B607" s="120" t="s">
        <v>4156</v>
      </c>
      <c r="C607" s="136">
        <v>11.8</v>
      </c>
      <c r="D607" s="132" t="s">
        <v>39</v>
      </c>
      <c r="F607" s="129">
        <v>0.5</v>
      </c>
      <c r="G607" s="126" t="s">
        <v>727</v>
      </c>
      <c r="H607" s="120" t="s">
        <v>760</v>
      </c>
      <c r="I607" s="129">
        <f>C41</f>
        <v>770</v>
      </c>
      <c r="J607" s="120" t="s">
        <v>729</v>
      </c>
      <c r="K607" s="129">
        <f>(F607*I607)</f>
        <v>385</v>
      </c>
      <c r="O607" s="123" t="s">
        <v>52</v>
      </c>
      <c r="AE607" s="137" t="str">
        <f t="shared" si="76"/>
        <v>|</v>
      </c>
      <c r="AG607" s="120" t="s">
        <v>120</v>
      </c>
    </row>
    <row r="608" spans="1:33" ht="24" customHeight="1">
      <c r="A608" s="130">
        <f t="shared" si="73"/>
        <v>416</v>
      </c>
      <c r="B608" s="120" t="s">
        <v>4157</v>
      </c>
      <c r="C608" s="136">
        <f>(22.6+27.25)/2</f>
        <v>24.93</v>
      </c>
      <c r="D608" s="132" t="s">
        <v>39</v>
      </c>
      <c r="G608" s="126" t="s">
        <v>145</v>
      </c>
      <c r="H608" s="120" t="s">
        <v>733</v>
      </c>
      <c r="J608" s="120" t="s">
        <v>145</v>
      </c>
      <c r="K608" s="129">
        <v>53.5</v>
      </c>
      <c r="M608" s="129">
        <v>1.3</v>
      </c>
      <c r="N608" s="120" t="s">
        <v>132</v>
      </c>
      <c r="O608" s="120" t="s">
        <v>750</v>
      </c>
      <c r="P608" s="129">
        <f>(K88)</f>
        <v>247.31</v>
      </c>
      <c r="Q608" s="120" t="s">
        <v>132</v>
      </c>
      <c r="R608" s="129">
        <f>(M608*P608)</f>
        <v>321.5</v>
      </c>
      <c r="AE608" s="137" t="str">
        <f t="shared" si="76"/>
        <v>|</v>
      </c>
      <c r="AG608" s="120" t="s">
        <v>120</v>
      </c>
    </row>
    <row r="609" spans="1:33" ht="24" customHeight="1">
      <c r="A609" s="130"/>
      <c r="B609" s="120" t="s">
        <v>4158</v>
      </c>
      <c r="C609" s="136">
        <v>22.6</v>
      </c>
      <c r="D609" s="132" t="s">
        <v>39</v>
      </c>
      <c r="H609" s="120" t="s">
        <v>735</v>
      </c>
      <c r="K609" s="123" t="s">
        <v>52</v>
      </c>
      <c r="M609" s="129"/>
      <c r="N609" s="120"/>
      <c r="O609" s="120"/>
      <c r="P609" s="129"/>
      <c r="Q609" s="120"/>
      <c r="R609" s="129"/>
      <c r="AE609" s="137" t="str">
        <f t="shared" si="76"/>
        <v>|</v>
      </c>
      <c r="AG609" s="120" t="s">
        <v>120</v>
      </c>
    </row>
    <row r="610" spans="1:33" ht="24" customHeight="1">
      <c r="A610" s="130">
        <f>(A608+1)</f>
        <v>417</v>
      </c>
      <c r="B610" s="120" t="s">
        <v>4159</v>
      </c>
      <c r="C610" s="136">
        <v>27.25</v>
      </c>
      <c r="D610" s="132" t="s">
        <v>39</v>
      </c>
      <c r="H610" s="121" t="s">
        <v>766</v>
      </c>
      <c r="K610" s="129">
        <f>SUM(K604:K608)</f>
        <v>2137.63</v>
      </c>
      <c r="M610" s="142">
        <v>0.216</v>
      </c>
      <c r="N610" s="120" t="s">
        <v>132</v>
      </c>
      <c r="O610" s="120" t="s">
        <v>752</v>
      </c>
      <c r="P610" s="129">
        <f>(R60)</f>
        <v>4182.9399999999996</v>
      </c>
      <c r="Q610" s="120" t="s">
        <v>132</v>
      </c>
      <c r="R610" s="129">
        <f>(M610*P610)</f>
        <v>903.52</v>
      </c>
      <c r="AE610" s="137">
        <f t="shared" si="76"/>
        <v>0</v>
      </c>
      <c r="AG610" s="120"/>
    </row>
    <row r="611" spans="1:33" ht="24" customHeight="1">
      <c r="A611" s="130">
        <f t="shared" si="73"/>
        <v>418</v>
      </c>
      <c r="B611" s="132" t="s">
        <v>4160</v>
      </c>
      <c r="C611" s="140">
        <v>7.5</v>
      </c>
      <c r="D611" s="132" t="s">
        <v>237</v>
      </c>
      <c r="K611" s="123" t="s">
        <v>52</v>
      </c>
      <c r="M611" s="142">
        <v>0.60099999999999998</v>
      </c>
      <c r="N611" s="120" t="s">
        <v>132</v>
      </c>
      <c r="O611" s="120" t="s">
        <v>754</v>
      </c>
      <c r="P611" s="129">
        <f>P597</f>
        <v>6739.92</v>
      </c>
      <c r="Q611" s="120" t="s">
        <v>132</v>
      </c>
      <c r="R611" s="129">
        <f>(M611*P611)</f>
        <v>4050.69</v>
      </c>
      <c r="AE611" s="137" t="str">
        <f t="shared" si="76"/>
        <v>|</v>
      </c>
      <c r="AG611" s="120" t="s">
        <v>120</v>
      </c>
    </row>
    <row r="612" spans="1:33" ht="24" customHeight="1">
      <c r="A612" s="130">
        <f t="shared" si="73"/>
        <v>419</v>
      </c>
      <c r="B612" s="132" t="s">
        <v>4161</v>
      </c>
      <c r="C612" s="140">
        <v>16</v>
      </c>
      <c r="D612" s="132" t="s">
        <v>237</v>
      </c>
      <c r="E612" s="115" t="s">
        <v>779</v>
      </c>
      <c r="H612" s="120" t="s">
        <v>53</v>
      </c>
      <c r="I612" s="129">
        <f>K610</f>
        <v>2137.63</v>
      </c>
      <c r="J612" s="120">
        <f>C22*0.04</f>
        <v>5</v>
      </c>
      <c r="K612" s="127">
        <f>(K610+C22*0.04)</f>
        <v>2142.63</v>
      </c>
      <c r="M612" s="142">
        <v>6.35</v>
      </c>
      <c r="N612" s="120" t="s">
        <v>425</v>
      </c>
      <c r="O612" s="120" t="s">
        <v>756</v>
      </c>
      <c r="P612" s="129">
        <f>(R304)</f>
        <v>275.2</v>
      </c>
      <c r="Q612" s="120" t="s">
        <v>425</v>
      </c>
      <c r="R612" s="129">
        <f>(M612*P612)</f>
        <v>1747.52</v>
      </c>
      <c r="AE612" s="137" t="str">
        <f t="shared" si="76"/>
        <v>|</v>
      </c>
      <c r="AG612" s="120" t="s">
        <v>120</v>
      </c>
    </row>
    <row r="613" spans="1:33" ht="24" customHeight="1">
      <c r="A613" s="130">
        <f t="shared" si="73"/>
        <v>420</v>
      </c>
      <c r="B613" s="120" t="s">
        <v>4162</v>
      </c>
      <c r="C613" s="136">
        <v>3090</v>
      </c>
      <c r="D613" s="132" t="s">
        <v>781</v>
      </c>
      <c r="E613" s="162">
        <v>3484</v>
      </c>
      <c r="H613" s="120" t="s">
        <v>54</v>
      </c>
      <c r="I613" s="129">
        <f>K612</f>
        <v>2142.63</v>
      </c>
      <c r="J613" s="120">
        <f>C23*0.04</f>
        <v>9.85</v>
      </c>
      <c r="K613" s="127">
        <f>(K612+C23*0.04)</f>
        <v>2152.48</v>
      </c>
      <c r="M613" s="142">
        <v>3.2000000000000001E-2</v>
      </c>
      <c r="N613" s="120" t="s">
        <v>132</v>
      </c>
      <c r="O613" s="120" t="s">
        <v>758</v>
      </c>
      <c r="P613" s="129">
        <f>(K643)</f>
        <v>8113</v>
      </c>
      <c r="Q613" s="120" t="s">
        <v>132</v>
      </c>
      <c r="R613" s="129">
        <f>(M613*P613)</f>
        <v>259.62</v>
      </c>
      <c r="AE613" s="137" t="str">
        <f t="shared" si="76"/>
        <v>|</v>
      </c>
      <c r="AG613" s="120" t="s">
        <v>120</v>
      </c>
    </row>
    <row r="614" spans="1:33" ht="24" customHeight="1">
      <c r="A614" s="130">
        <f t="shared" si="73"/>
        <v>421</v>
      </c>
      <c r="B614" s="132" t="s">
        <v>783</v>
      </c>
      <c r="C614" s="140">
        <v>805</v>
      </c>
      <c r="D614" s="132" t="s">
        <v>781</v>
      </c>
      <c r="H614" s="120" t="s">
        <v>55</v>
      </c>
      <c r="I614" s="129">
        <f>K613</f>
        <v>2152.48</v>
      </c>
      <c r="J614" s="120">
        <f>C23*0.04</f>
        <v>9.85</v>
      </c>
      <c r="K614" s="127">
        <f>(K613+C24*0.04)</f>
        <v>2162.33</v>
      </c>
      <c r="O614" s="120" t="s">
        <v>761</v>
      </c>
      <c r="R614" s="120" t="s">
        <v>85</v>
      </c>
      <c r="AE614" s="137" t="str">
        <f t="shared" si="76"/>
        <v>|</v>
      </c>
      <c r="AG614" s="120" t="s">
        <v>120</v>
      </c>
    </row>
    <row r="615" spans="1:33" ht="24" customHeight="1">
      <c r="A615" s="130">
        <f t="shared" si="73"/>
        <v>422</v>
      </c>
      <c r="B615" s="132" t="s">
        <v>784</v>
      </c>
      <c r="C615" s="140">
        <f>204+53</f>
        <v>257</v>
      </c>
      <c r="D615" s="132" t="s">
        <v>781</v>
      </c>
      <c r="H615" s="120" t="s">
        <v>56</v>
      </c>
      <c r="I615" s="129">
        <f>K614</f>
        <v>2162.33</v>
      </c>
      <c r="J615" s="120">
        <f>C23*0.04</f>
        <v>9.85</v>
      </c>
      <c r="K615" s="127">
        <f>(K614+C24*0.04)</f>
        <v>2172.1799999999998</v>
      </c>
      <c r="N615" s="120" t="s">
        <v>145</v>
      </c>
      <c r="O615" s="120" t="s">
        <v>763</v>
      </c>
      <c r="Q615" s="120" t="s">
        <v>145</v>
      </c>
      <c r="R615" s="129">
        <v>2</v>
      </c>
      <c r="AE615" s="137" t="str">
        <f t="shared" si="76"/>
        <v>|</v>
      </c>
      <c r="AG615" s="120" t="s">
        <v>120</v>
      </c>
    </row>
    <row r="616" spans="1:33" ht="24" customHeight="1">
      <c r="A616" s="130">
        <f t="shared" si="73"/>
        <v>423</v>
      </c>
      <c r="B616" s="132" t="s">
        <v>4163</v>
      </c>
      <c r="C616" s="140">
        <v>53</v>
      </c>
      <c r="D616" s="132" t="s">
        <v>237</v>
      </c>
      <c r="H616" s="120" t="s">
        <v>747</v>
      </c>
      <c r="I616" s="129">
        <f>K615</f>
        <v>2172.1799999999998</v>
      </c>
      <c r="J616" s="120">
        <f>C24*0.04</f>
        <v>9.85</v>
      </c>
      <c r="K616" s="127">
        <f>(K615+C24*0.04)</f>
        <v>2182.0300000000002</v>
      </c>
      <c r="R616" s="123" t="s">
        <v>52</v>
      </c>
      <c r="AE616" s="137" t="str">
        <f t="shared" si="76"/>
        <v>|</v>
      </c>
      <c r="AG616" s="120" t="s">
        <v>120</v>
      </c>
    </row>
    <row r="617" spans="1:33" ht="24" customHeight="1">
      <c r="A617" s="130">
        <f t="shared" si="73"/>
        <v>424</v>
      </c>
      <c r="B617" s="120" t="s">
        <v>4164</v>
      </c>
      <c r="C617" s="136">
        <v>1672</v>
      </c>
      <c r="D617" s="132" t="s">
        <v>237</v>
      </c>
      <c r="F617" s="189">
        <v>15.1</v>
      </c>
      <c r="G617" s="126" t="s">
        <v>775</v>
      </c>
      <c r="H617" s="120" t="s">
        <v>4165</v>
      </c>
      <c r="O617" s="120" t="s">
        <v>767</v>
      </c>
      <c r="R617" s="129">
        <f>SUM(R608:R615)</f>
        <v>7284.85</v>
      </c>
      <c r="AE617" s="137" t="str">
        <f t="shared" si="76"/>
        <v>|</v>
      </c>
      <c r="AG617" s="120" t="s">
        <v>120</v>
      </c>
    </row>
    <row r="618" spans="1:33" ht="24" customHeight="1">
      <c r="A618" s="130">
        <f t="shared" si="73"/>
        <v>425</v>
      </c>
      <c r="B618" s="132" t="s">
        <v>787</v>
      </c>
      <c r="C618" s="140">
        <v>196</v>
      </c>
      <c r="D618" s="132" t="s">
        <v>237</v>
      </c>
      <c r="H618" s="120" t="s">
        <v>722</v>
      </c>
      <c r="R618" s="123" t="s">
        <v>52</v>
      </c>
      <c r="AE618" s="137" t="str">
        <f t="shared" si="76"/>
        <v>|</v>
      </c>
      <c r="AG618" s="120" t="s">
        <v>120</v>
      </c>
    </row>
    <row r="619" spans="1:33" ht="24" customHeight="1">
      <c r="A619" s="130">
        <f t="shared" si="73"/>
        <v>426</v>
      </c>
      <c r="B619" s="120" t="s">
        <v>4166</v>
      </c>
      <c r="C619" s="136">
        <v>940</v>
      </c>
      <c r="D619" s="132" t="s">
        <v>237</v>
      </c>
      <c r="F619" s="129">
        <v>10</v>
      </c>
      <c r="G619" s="126" t="s">
        <v>724</v>
      </c>
      <c r="H619" s="120" t="s">
        <v>4167</v>
      </c>
      <c r="I619" s="129">
        <f>C751</f>
        <v>376.7</v>
      </c>
      <c r="J619" s="120" t="s">
        <v>724</v>
      </c>
      <c r="K619" s="129">
        <f>(F619*I619)</f>
        <v>3767</v>
      </c>
      <c r="N619" s="120" t="s">
        <v>111</v>
      </c>
      <c r="O619" s="120" t="s">
        <v>790</v>
      </c>
      <c r="AE619" s="137" t="str">
        <f t="shared" si="76"/>
        <v>|</v>
      </c>
      <c r="AG619" s="120" t="s">
        <v>120</v>
      </c>
    </row>
    <row r="620" spans="1:33" ht="24" customHeight="1">
      <c r="A620" s="130">
        <f t="shared" si="73"/>
        <v>427</v>
      </c>
      <c r="B620" s="132" t="s">
        <v>791</v>
      </c>
      <c r="C620" s="140">
        <v>193.05</v>
      </c>
      <c r="D620" s="203">
        <v>120.54</v>
      </c>
      <c r="F620" s="129">
        <v>0.12</v>
      </c>
      <c r="G620" s="126" t="s">
        <v>132</v>
      </c>
      <c r="H620" s="120" t="s">
        <v>782</v>
      </c>
      <c r="I620" s="129">
        <f>K32</f>
        <v>4662.62</v>
      </c>
      <c r="J620" s="120" t="s">
        <v>132</v>
      </c>
      <c r="K620" s="129">
        <f>(F620*I620)</f>
        <v>559.51</v>
      </c>
      <c r="O620" s="120" t="s">
        <v>793</v>
      </c>
      <c r="AE620" s="137" t="str">
        <f t="shared" si="76"/>
        <v>|</v>
      </c>
      <c r="AG620" s="120" t="s">
        <v>120</v>
      </c>
    </row>
    <row r="621" spans="1:33" ht="24" customHeight="1">
      <c r="A621" s="130">
        <f t="shared" si="73"/>
        <v>428</v>
      </c>
      <c r="B621" s="132" t="s">
        <v>794</v>
      </c>
      <c r="C621" s="228">
        <v>115.85</v>
      </c>
      <c r="D621" s="229" t="s">
        <v>282</v>
      </c>
      <c r="E621" s="230"/>
      <c r="F621" s="129">
        <v>1</v>
      </c>
      <c r="G621" s="126" t="s">
        <v>727</v>
      </c>
      <c r="H621" s="120" t="s">
        <v>728</v>
      </c>
      <c r="I621" s="129">
        <f>C10</f>
        <v>1041.7</v>
      </c>
      <c r="J621" s="120" t="s">
        <v>729</v>
      </c>
      <c r="K621" s="129">
        <f>(F621*I621)</f>
        <v>1041.7</v>
      </c>
      <c r="O621" s="123" t="s">
        <v>52</v>
      </c>
      <c r="AE621" s="137" t="str">
        <f t="shared" si="76"/>
        <v>|</v>
      </c>
      <c r="AG621" s="120" t="s">
        <v>120</v>
      </c>
    </row>
    <row r="622" spans="1:33" ht="24" customHeight="1">
      <c r="A622" s="130">
        <f t="shared" si="73"/>
        <v>429</v>
      </c>
      <c r="B622" s="132" t="s">
        <v>795</v>
      </c>
      <c r="C622" s="231"/>
      <c r="D622" s="229" t="s">
        <v>282</v>
      </c>
      <c r="E622" s="230"/>
      <c r="F622" s="129">
        <v>1</v>
      </c>
      <c r="G622" s="126" t="s">
        <v>727</v>
      </c>
      <c r="H622" s="120" t="s">
        <v>731</v>
      </c>
      <c r="I622" s="129">
        <f>C12</f>
        <v>679.8</v>
      </c>
      <c r="J622" s="120" t="s">
        <v>729</v>
      </c>
      <c r="K622" s="129">
        <f>(F622*I622)</f>
        <v>679.8</v>
      </c>
      <c r="M622" s="129">
        <v>10.37</v>
      </c>
      <c r="N622" s="120" t="s">
        <v>132</v>
      </c>
      <c r="O622" s="120" t="s">
        <v>796</v>
      </c>
      <c r="P622" s="129">
        <f>(C61*2)</f>
        <v>233.76</v>
      </c>
      <c r="Q622" s="120" t="s">
        <v>132</v>
      </c>
      <c r="R622" s="129">
        <f t="shared" ref="R622:R630" si="77">(M622*P622)</f>
        <v>2424.09</v>
      </c>
      <c r="AE622" s="137" t="str">
        <f t="shared" si="76"/>
        <v>|</v>
      </c>
      <c r="AG622" s="120" t="s">
        <v>120</v>
      </c>
    </row>
    <row r="623" spans="1:33" ht="24" customHeight="1">
      <c r="A623" s="130">
        <f t="shared" si="73"/>
        <v>430</v>
      </c>
      <c r="B623" s="132" t="s">
        <v>4168</v>
      </c>
      <c r="C623" s="228">
        <v>76</v>
      </c>
      <c r="D623" s="229" t="s">
        <v>131</v>
      </c>
      <c r="E623" s="230"/>
      <c r="G623" s="126" t="s">
        <v>145</v>
      </c>
      <c r="H623" s="120" t="s">
        <v>733</v>
      </c>
      <c r="J623" s="120" t="s">
        <v>145</v>
      </c>
      <c r="K623" s="129">
        <v>0.33</v>
      </c>
      <c r="M623" s="129">
        <v>0.65</v>
      </c>
      <c r="N623" s="120" t="s">
        <v>132</v>
      </c>
      <c r="O623" s="120" t="s">
        <v>798</v>
      </c>
      <c r="P623" s="129">
        <f>R60</f>
        <v>4182.9399999999996</v>
      </c>
      <c r="Q623" s="120" t="s">
        <v>132</v>
      </c>
      <c r="R623" s="129">
        <f t="shared" si="77"/>
        <v>2718.91</v>
      </c>
      <c r="AE623" s="137" t="str">
        <f t="shared" si="76"/>
        <v>|</v>
      </c>
      <c r="AG623" s="120" t="s">
        <v>120</v>
      </c>
    </row>
    <row r="624" spans="1:33" ht="24" customHeight="1">
      <c r="A624" s="130">
        <f t="shared" si="73"/>
        <v>431</v>
      </c>
      <c r="B624" s="132" t="s">
        <v>799</v>
      </c>
      <c r="C624" s="228">
        <v>45</v>
      </c>
      <c r="D624" s="229" t="s">
        <v>131</v>
      </c>
      <c r="E624" s="230"/>
      <c r="H624" s="120" t="s">
        <v>735</v>
      </c>
      <c r="K624" s="123" t="s">
        <v>52</v>
      </c>
      <c r="M624" s="129">
        <v>1.1399999999999999</v>
      </c>
      <c r="N624" s="120" t="s">
        <v>132</v>
      </c>
      <c r="O624" s="120" t="s">
        <v>800</v>
      </c>
      <c r="P624" s="129">
        <f>K321</f>
        <v>6743.09</v>
      </c>
      <c r="Q624" s="120" t="s">
        <v>132</v>
      </c>
      <c r="R624" s="129">
        <f t="shared" si="77"/>
        <v>7687.12</v>
      </c>
      <c r="AE624" s="137" t="str">
        <f t="shared" si="76"/>
        <v>|</v>
      </c>
      <c r="AG624" s="120" t="s">
        <v>120</v>
      </c>
    </row>
    <row r="625" spans="1:33" ht="24" customHeight="1">
      <c r="A625" s="130">
        <f t="shared" si="73"/>
        <v>432</v>
      </c>
      <c r="B625" s="132" t="s">
        <v>801</v>
      </c>
      <c r="C625" s="232">
        <v>34.299999999999997</v>
      </c>
      <c r="D625" s="132" t="s">
        <v>131</v>
      </c>
      <c r="H625" s="121" t="s">
        <v>788</v>
      </c>
      <c r="K625" s="129">
        <f>SUM(K619:K623)</f>
        <v>6048.34</v>
      </c>
      <c r="M625" s="129">
        <v>0.85</v>
      </c>
      <c r="N625" s="120" t="s">
        <v>132</v>
      </c>
      <c r="O625" s="120" t="s">
        <v>802</v>
      </c>
      <c r="P625" s="129">
        <f>K321-K312/10</f>
        <v>5867.36</v>
      </c>
      <c r="Q625" s="120" t="s">
        <v>132</v>
      </c>
      <c r="R625" s="129">
        <f t="shared" si="77"/>
        <v>4987.26</v>
      </c>
      <c r="AE625" s="137">
        <f t="shared" si="76"/>
        <v>0</v>
      </c>
      <c r="AG625" s="120"/>
    </row>
    <row r="626" spans="1:33" ht="24" customHeight="1">
      <c r="A626" s="130">
        <f t="shared" si="73"/>
        <v>433</v>
      </c>
      <c r="B626" s="120" t="s">
        <v>4169</v>
      </c>
      <c r="C626" s="136">
        <v>83.4</v>
      </c>
      <c r="D626" s="132" t="s">
        <v>131</v>
      </c>
      <c r="K626" s="123" t="s">
        <v>52</v>
      </c>
      <c r="M626" s="129">
        <v>0.98</v>
      </c>
      <c r="N626" s="120" t="s">
        <v>132</v>
      </c>
      <c r="O626" s="120" t="s">
        <v>806</v>
      </c>
      <c r="P626" s="129">
        <f>(C73)</f>
        <v>1729.98</v>
      </c>
      <c r="Q626" s="120" t="s">
        <v>132</v>
      </c>
      <c r="R626" s="129">
        <f t="shared" si="77"/>
        <v>1695.38</v>
      </c>
      <c r="AE626" s="137" t="str">
        <f t="shared" si="76"/>
        <v>|</v>
      </c>
      <c r="AG626" s="120" t="s">
        <v>120</v>
      </c>
    </row>
    <row r="627" spans="1:33" ht="24" customHeight="1">
      <c r="A627" s="130">
        <f t="shared" si="73"/>
        <v>434</v>
      </c>
      <c r="B627" s="132" t="s">
        <v>807</v>
      </c>
      <c r="C627" s="140">
        <v>36.520000000000003</v>
      </c>
      <c r="D627" s="132" t="s">
        <v>131</v>
      </c>
      <c r="H627" s="121" t="s">
        <v>792</v>
      </c>
      <c r="K627" s="129">
        <f>K625/10</f>
        <v>604.83000000000004</v>
      </c>
      <c r="M627" s="129">
        <v>2.68</v>
      </c>
      <c r="N627" s="120" t="s">
        <v>132</v>
      </c>
      <c r="O627" s="120" t="s">
        <v>173</v>
      </c>
      <c r="P627" s="129">
        <f>(C79)</f>
        <v>1642.42</v>
      </c>
      <c r="Q627" s="120" t="s">
        <v>132</v>
      </c>
      <c r="R627" s="129">
        <f t="shared" si="77"/>
        <v>4401.6899999999996</v>
      </c>
      <c r="AE627" s="137" t="str">
        <f t="shared" si="76"/>
        <v>|</v>
      </c>
      <c r="AG627" s="120" t="s">
        <v>120</v>
      </c>
    </row>
    <row r="628" spans="1:33" ht="24" customHeight="1">
      <c r="A628" s="130">
        <f t="shared" si="73"/>
        <v>435</v>
      </c>
      <c r="B628" s="132" t="s">
        <v>809</v>
      </c>
      <c r="C628" s="138"/>
      <c r="D628" s="132" t="s">
        <v>131</v>
      </c>
      <c r="H628" s="120" t="s">
        <v>53</v>
      </c>
      <c r="I628" s="115">
        <f>K627</f>
        <v>604.83000000000004</v>
      </c>
      <c r="J628" s="117">
        <f>C22*0.02</f>
        <v>2.5</v>
      </c>
      <c r="K628" s="127">
        <f>I628+J628</f>
        <v>607.33000000000004</v>
      </c>
      <c r="M628" s="129">
        <v>7.24</v>
      </c>
      <c r="N628" s="120" t="s">
        <v>425</v>
      </c>
      <c r="O628" s="120" t="s">
        <v>811</v>
      </c>
      <c r="P628" s="129">
        <f>(K1400)</f>
        <v>259.47000000000003</v>
      </c>
      <c r="Q628" s="120" t="s">
        <v>425</v>
      </c>
      <c r="R628" s="129">
        <f t="shared" si="77"/>
        <v>1878.56</v>
      </c>
      <c r="AE628" s="137" t="str">
        <f t="shared" si="76"/>
        <v>|</v>
      </c>
      <c r="AG628" s="120" t="s">
        <v>120</v>
      </c>
    </row>
    <row r="629" spans="1:33" ht="24" customHeight="1">
      <c r="A629" s="130">
        <f t="shared" si="73"/>
        <v>436</v>
      </c>
      <c r="B629" s="120" t="s">
        <v>4170</v>
      </c>
      <c r="C629" s="136">
        <v>104.1</v>
      </c>
      <c r="D629" s="131">
        <v>93.72</v>
      </c>
      <c r="H629" s="120" t="s">
        <v>54</v>
      </c>
      <c r="I629" s="115">
        <f>K628</f>
        <v>607.33000000000004</v>
      </c>
      <c r="J629" s="117">
        <f>C23*0.02</f>
        <v>4.92</v>
      </c>
      <c r="K629" s="127">
        <f>I629+J629</f>
        <v>612.25</v>
      </c>
      <c r="M629" s="129">
        <v>1</v>
      </c>
      <c r="N629" s="120" t="s">
        <v>131</v>
      </c>
      <c r="O629" s="120" t="s">
        <v>813</v>
      </c>
      <c r="P629" s="129">
        <f>(C203)</f>
        <v>128</v>
      </c>
      <c r="Q629" s="120" t="s">
        <v>131</v>
      </c>
      <c r="R629" s="129">
        <f t="shared" si="77"/>
        <v>128</v>
      </c>
      <c r="AE629" s="137" t="str">
        <f t="shared" si="76"/>
        <v>|</v>
      </c>
      <c r="AG629" s="120" t="s">
        <v>120</v>
      </c>
    </row>
    <row r="630" spans="1:33" ht="24" customHeight="1">
      <c r="A630" s="130">
        <f t="shared" si="73"/>
        <v>437</v>
      </c>
      <c r="B630" s="120" t="s">
        <v>814</v>
      </c>
      <c r="C630" s="136">
        <v>69.599999999999994</v>
      </c>
      <c r="D630" s="132" t="s">
        <v>131</v>
      </c>
      <c r="H630" s="120" t="s">
        <v>55</v>
      </c>
      <c r="I630" s="115">
        <f>K629</f>
        <v>612.25</v>
      </c>
      <c r="J630" s="117">
        <f>J629</f>
        <v>4.92</v>
      </c>
      <c r="K630" s="127">
        <f>I630+J630</f>
        <v>617.16999999999996</v>
      </c>
      <c r="M630" s="142">
        <v>0.13600000000000001</v>
      </c>
      <c r="N630" s="120" t="s">
        <v>132</v>
      </c>
      <c r="O630" s="120" t="s">
        <v>816</v>
      </c>
      <c r="P630" s="129">
        <f>(K643)</f>
        <v>8113</v>
      </c>
      <c r="Q630" s="120" t="s">
        <v>132</v>
      </c>
      <c r="R630" s="129">
        <f t="shared" si="77"/>
        <v>1103.3699999999999</v>
      </c>
      <c r="AE630" s="137" t="str">
        <f t="shared" si="76"/>
        <v>|</v>
      </c>
      <c r="AG630" s="120" t="s">
        <v>120</v>
      </c>
    </row>
    <row r="631" spans="1:33" ht="24" customHeight="1">
      <c r="A631" s="130">
        <f t="shared" si="73"/>
        <v>438</v>
      </c>
      <c r="B631" s="132" t="s">
        <v>817</v>
      </c>
      <c r="C631" s="232">
        <v>30.25</v>
      </c>
      <c r="D631" s="132" t="s">
        <v>131</v>
      </c>
      <c r="H631" s="120" t="s">
        <v>56</v>
      </c>
      <c r="I631" s="115">
        <f>K630</f>
        <v>617.16999999999996</v>
      </c>
      <c r="J631" s="117">
        <f>J630</f>
        <v>4.92</v>
      </c>
      <c r="K631" s="127">
        <f>I631+J631</f>
        <v>622.09</v>
      </c>
      <c r="O631" s="120" t="s">
        <v>819</v>
      </c>
      <c r="AE631" s="137" t="str">
        <f t="shared" si="76"/>
        <v>|</v>
      </c>
      <c r="AG631" s="120" t="s">
        <v>120</v>
      </c>
    </row>
    <row r="632" spans="1:33" ht="24" customHeight="1">
      <c r="A632" s="130">
        <f t="shared" si="73"/>
        <v>439</v>
      </c>
      <c r="B632" s="120" t="s">
        <v>4171</v>
      </c>
      <c r="C632" s="136">
        <v>167.1</v>
      </c>
      <c r="D632" s="132" t="s">
        <v>131</v>
      </c>
      <c r="H632" s="120" t="s">
        <v>747</v>
      </c>
      <c r="I632" s="115">
        <f>K631</f>
        <v>622.09</v>
      </c>
      <c r="J632" s="117">
        <f>J631</f>
        <v>4.92</v>
      </c>
      <c r="K632" s="127">
        <f>I632+J632</f>
        <v>627.01</v>
      </c>
      <c r="N632" s="120" t="s">
        <v>145</v>
      </c>
      <c r="O632" s="120" t="s">
        <v>763</v>
      </c>
      <c r="Q632" s="120" t="s">
        <v>145</v>
      </c>
      <c r="R632" s="129">
        <v>2.2400000000000002</v>
      </c>
      <c r="AE632" s="137" t="str">
        <f t="shared" si="76"/>
        <v>|</v>
      </c>
      <c r="AG632" s="120" t="s">
        <v>120</v>
      </c>
    </row>
    <row r="633" spans="1:33" ht="24" customHeight="1">
      <c r="A633" s="130">
        <f t="shared" si="73"/>
        <v>440</v>
      </c>
      <c r="B633" s="120" t="s">
        <v>822</v>
      </c>
      <c r="C633" s="136">
        <v>104.1</v>
      </c>
      <c r="D633" s="132" t="s">
        <v>131</v>
      </c>
      <c r="F633" s="121" t="s">
        <v>804</v>
      </c>
      <c r="G633" s="126" t="s">
        <v>111</v>
      </c>
      <c r="H633" s="120" t="s">
        <v>805</v>
      </c>
      <c r="R633" s="123" t="s">
        <v>52</v>
      </c>
      <c r="AE633" s="137" t="str">
        <f t="shared" si="76"/>
        <v>|</v>
      </c>
      <c r="AG633" s="120" t="s">
        <v>120</v>
      </c>
    </row>
    <row r="634" spans="1:33" ht="24" customHeight="1">
      <c r="A634" s="130">
        <f t="shared" si="73"/>
        <v>441</v>
      </c>
      <c r="B634" s="132" t="s">
        <v>823</v>
      </c>
      <c r="C634" s="138"/>
      <c r="D634" s="132" t="s">
        <v>131</v>
      </c>
      <c r="H634" s="120" t="s">
        <v>808</v>
      </c>
      <c r="O634" s="120" t="s">
        <v>767</v>
      </c>
      <c r="R634" s="129">
        <f>SUM(R622:R632)</f>
        <v>27026.62</v>
      </c>
      <c r="AE634" s="137" t="str">
        <f t="shared" si="76"/>
        <v>|</v>
      </c>
      <c r="AG634" s="120" t="s">
        <v>120</v>
      </c>
    </row>
    <row r="635" spans="1:33" ht="24" customHeight="1">
      <c r="A635" s="130">
        <f t="shared" si="73"/>
        <v>442</v>
      </c>
      <c r="B635" s="120" t="s">
        <v>4172</v>
      </c>
      <c r="C635" s="136">
        <v>195.2</v>
      </c>
      <c r="D635" s="132" t="s">
        <v>131</v>
      </c>
      <c r="H635" s="120" t="s">
        <v>810</v>
      </c>
      <c r="R635" s="123" t="s">
        <v>52</v>
      </c>
      <c r="AE635" s="137" t="str">
        <f t="shared" si="76"/>
        <v>|</v>
      </c>
      <c r="AG635" s="120" t="s">
        <v>120</v>
      </c>
    </row>
    <row r="636" spans="1:33" ht="24" customHeight="1">
      <c r="A636" s="130">
        <f t="shared" si="73"/>
        <v>443</v>
      </c>
      <c r="B636" s="120" t="s">
        <v>826</v>
      </c>
      <c r="C636" s="136">
        <v>125.2</v>
      </c>
      <c r="D636" s="132" t="s">
        <v>131</v>
      </c>
      <c r="H636" s="123" t="s">
        <v>52</v>
      </c>
      <c r="N636" s="120" t="s">
        <v>111</v>
      </c>
      <c r="O636" s="120" t="s">
        <v>827</v>
      </c>
      <c r="AE636" s="137" t="str">
        <f t="shared" si="76"/>
        <v>|</v>
      </c>
      <c r="AG636" s="120" t="s">
        <v>120</v>
      </c>
    </row>
    <row r="637" spans="1:33" ht="24" customHeight="1">
      <c r="A637" s="138"/>
      <c r="B637" s="138"/>
      <c r="C637" s="138"/>
      <c r="D637" s="138"/>
      <c r="F637" s="129">
        <v>0.01</v>
      </c>
      <c r="G637" s="126" t="s">
        <v>132</v>
      </c>
      <c r="H637" s="120" t="s">
        <v>815</v>
      </c>
      <c r="I637" s="129">
        <f>(K280)</f>
        <v>7997.79</v>
      </c>
      <c r="J637" s="120" t="s">
        <v>132</v>
      </c>
      <c r="K637" s="129">
        <f>(F637*I637)</f>
        <v>79.98</v>
      </c>
      <c r="AE637" s="137" t="str">
        <f t="shared" si="76"/>
        <v>|</v>
      </c>
      <c r="AG637" s="120" t="s">
        <v>120</v>
      </c>
    </row>
    <row r="638" spans="1:33" ht="24" customHeight="1">
      <c r="A638" s="130">
        <f>(A636+1)</f>
        <v>444</v>
      </c>
      <c r="B638" s="132" t="s">
        <v>828</v>
      </c>
      <c r="C638" s="138"/>
      <c r="D638" s="132" t="s">
        <v>131</v>
      </c>
      <c r="F638" s="129">
        <v>0.01</v>
      </c>
      <c r="G638" s="126" t="s">
        <v>132</v>
      </c>
      <c r="H638" s="120" t="s">
        <v>818</v>
      </c>
      <c r="J638" s="120" t="s">
        <v>145</v>
      </c>
      <c r="K638" s="129">
        <v>1.1499999999999999</v>
      </c>
      <c r="O638" s="120" t="s">
        <v>829</v>
      </c>
      <c r="S638" s="121" t="s">
        <v>1114</v>
      </c>
      <c r="T638" s="126" t="s">
        <v>111</v>
      </c>
      <c r="U638" s="122" t="s">
        <v>4132</v>
      </c>
      <c r="AA638" s="121" t="s">
        <v>1114</v>
      </c>
      <c r="AB638" s="126" t="s">
        <v>111</v>
      </c>
      <c r="AC638" s="122" t="s">
        <v>4133</v>
      </c>
      <c r="AE638" s="117"/>
    </row>
    <row r="639" spans="1:33" ht="24" customHeight="1">
      <c r="A639" s="130">
        <f t="shared" ref="A639:A703" si="78">(A638+1)</f>
        <v>445</v>
      </c>
      <c r="B639" s="120" t="s">
        <v>4173</v>
      </c>
      <c r="C639" s="136">
        <v>298.60000000000002</v>
      </c>
      <c r="D639" s="132" t="s">
        <v>131</v>
      </c>
      <c r="H639" s="120" t="s">
        <v>821</v>
      </c>
      <c r="O639" s="123" t="s">
        <v>52</v>
      </c>
      <c r="S639" s="115"/>
      <c r="T639" s="116"/>
      <c r="U639" s="120" t="s">
        <v>1118</v>
      </c>
      <c r="AB639" s="116"/>
      <c r="AC639" s="120" t="s">
        <v>1118</v>
      </c>
      <c r="AE639" s="117"/>
    </row>
    <row r="640" spans="1:33" ht="24" customHeight="1">
      <c r="A640" s="130">
        <f t="shared" si="78"/>
        <v>446</v>
      </c>
      <c r="B640" s="120" t="s">
        <v>832</v>
      </c>
      <c r="C640" s="136">
        <v>208.1</v>
      </c>
      <c r="D640" s="132" t="s">
        <v>131</v>
      </c>
      <c r="K640" s="123" t="s">
        <v>52</v>
      </c>
      <c r="M640" s="129">
        <v>3</v>
      </c>
      <c r="N640" s="120" t="s">
        <v>132</v>
      </c>
      <c r="O640" s="120" t="s">
        <v>834</v>
      </c>
      <c r="P640" s="129">
        <f>(C61*2)</f>
        <v>233.76</v>
      </c>
      <c r="Q640" s="120" t="s">
        <v>132</v>
      </c>
      <c r="R640" s="129">
        <f>(M640*P640)</f>
        <v>701.28</v>
      </c>
      <c r="S640" s="115"/>
      <c r="T640" s="116"/>
      <c r="U640" s="120" t="s">
        <v>1120</v>
      </c>
      <c r="AB640" s="116"/>
      <c r="AC640" s="120" t="s">
        <v>1120</v>
      </c>
      <c r="AE640" s="117"/>
    </row>
    <row r="641" spans="1:32" ht="24" customHeight="1">
      <c r="A641" s="130">
        <f t="shared" si="78"/>
        <v>447</v>
      </c>
      <c r="B641" s="132" t="s">
        <v>835</v>
      </c>
      <c r="C641" s="138"/>
      <c r="D641" s="132" t="s">
        <v>131</v>
      </c>
      <c r="H641" s="120" t="s">
        <v>824</v>
      </c>
      <c r="K641" s="129">
        <f>SUM(K637:K639)</f>
        <v>81.13</v>
      </c>
      <c r="M641" s="129">
        <v>2.4</v>
      </c>
      <c r="N641" s="120" t="s">
        <v>132</v>
      </c>
      <c r="O641" s="120" t="s">
        <v>836</v>
      </c>
      <c r="P641" s="129">
        <f>(C81)</f>
        <v>817.25</v>
      </c>
      <c r="Q641" s="120" t="s">
        <v>132</v>
      </c>
      <c r="R641" s="129">
        <f>(M641*P641)</f>
        <v>1961.4</v>
      </c>
      <c r="S641" s="115"/>
      <c r="T641" s="116"/>
      <c r="U641" s="123" t="s">
        <v>52</v>
      </c>
      <c r="AB641" s="116"/>
      <c r="AC641" s="123" t="s">
        <v>52</v>
      </c>
      <c r="AE641" s="117"/>
    </row>
    <row r="642" spans="1:32" ht="24" customHeight="1">
      <c r="A642" s="130">
        <f t="shared" si="78"/>
        <v>448</v>
      </c>
      <c r="B642" s="120" t="s">
        <v>4174</v>
      </c>
      <c r="C642" s="136">
        <v>159.9</v>
      </c>
      <c r="D642" s="132" t="s">
        <v>131</v>
      </c>
      <c r="K642" s="123" t="s">
        <v>52</v>
      </c>
      <c r="M642" s="129">
        <v>5</v>
      </c>
      <c r="N642" s="120" t="s">
        <v>131</v>
      </c>
      <c r="O642" s="120" t="s">
        <v>839</v>
      </c>
      <c r="P642" s="129">
        <f>(C204)</f>
        <v>63.4</v>
      </c>
      <c r="Q642" s="120" t="s">
        <v>131</v>
      </c>
      <c r="R642" s="129">
        <f>(M642*P642)</f>
        <v>317</v>
      </c>
      <c r="S642" s="142">
        <v>8.3000000000000007</v>
      </c>
      <c r="T642" s="126" t="s">
        <v>132</v>
      </c>
      <c r="U642" s="120" t="s">
        <v>4175</v>
      </c>
      <c r="V642" s="129">
        <f>AC11</f>
        <v>1025.31</v>
      </c>
      <c r="W642" s="121" t="s">
        <v>132</v>
      </c>
      <c r="X642" s="129">
        <f t="shared" ref="X642:X648" si="79">S642*V642</f>
        <v>8510.07</v>
      </c>
      <c r="AA642" s="142">
        <v>8.3000000000000007</v>
      </c>
      <c r="AB642" s="126" t="s">
        <v>132</v>
      </c>
      <c r="AC642" s="120" t="s">
        <v>4175</v>
      </c>
      <c r="AD642" s="129">
        <f>V642</f>
        <v>1025.31</v>
      </c>
      <c r="AE642" s="120" t="s">
        <v>132</v>
      </c>
      <c r="AF642" s="129">
        <f t="shared" ref="AF642:AF648" si="80">AA642*AD642</f>
        <v>8510.07</v>
      </c>
    </row>
    <row r="643" spans="1:32" ht="24" customHeight="1">
      <c r="A643" s="130">
        <f t="shared" si="78"/>
        <v>449</v>
      </c>
      <c r="B643" s="120" t="s">
        <v>840</v>
      </c>
      <c r="C643" s="136">
        <v>97.3</v>
      </c>
      <c r="D643" s="132" t="s">
        <v>131</v>
      </c>
      <c r="H643" s="120" t="s">
        <v>242</v>
      </c>
      <c r="K643" s="129">
        <f>ROUND(K641*100,0)</f>
        <v>8113</v>
      </c>
      <c r="O643" s="120" t="s">
        <v>146</v>
      </c>
      <c r="Q643" s="120" t="s">
        <v>145</v>
      </c>
      <c r="R643" s="129">
        <v>0.08</v>
      </c>
      <c r="S643" s="142">
        <v>3.25</v>
      </c>
      <c r="T643" s="126" t="s">
        <v>122</v>
      </c>
      <c r="U643" s="120" t="s">
        <v>123</v>
      </c>
      <c r="V643" s="129">
        <f>I808</f>
        <v>6040</v>
      </c>
      <c r="W643" s="121" t="s">
        <v>122</v>
      </c>
      <c r="X643" s="129">
        <f t="shared" si="79"/>
        <v>19630</v>
      </c>
      <c r="AA643" s="142">
        <v>4</v>
      </c>
      <c r="AB643" s="126" t="s">
        <v>122</v>
      </c>
      <c r="AC643" s="120" t="s">
        <v>123</v>
      </c>
      <c r="AD643" s="129">
        <f t="shared" ref="AD643:AD648" si="81">V643</f>
        <v>6040</v>
      </c>
      <c r="AE643" s="120" t="s">
        <v>122</v>
      </c>
      <c r="AF643" s="129">
        <f t="shared" si="80"/>
        <v>24160</v>
      </c>
    </row>
    <row r="644" spans="1:32" ht="24" customHeight="1">
      <c r="A644" s="130">
        <f t="shared" si="78"/>
        <v>450</v>
      </c>
      <c r="B644" s="132" t="s">
        <v>842</v>
      </c>
      <c r="C644" s="138"/>
      <c r="D644" s="132" t="s">
        <v>131</v>
      </c>
      <c r="F644" s="120" t="s">
        <v>85</v>
      </c>
      <c r="R644" s="123" t="s">
        <v>52</v>
      </c>
      <c r="S644" s="142">
        <v>4.79</v>
      </c>
      <c r="T644" s="126" t="s">
        <v>132</v>
      </c>
      <c r="U644" s="120" t="s">
        <v>133</v>
      </c>
      <c r="V644" s="129">
        <f>I809</f>
        <v>1642.42</v>
      </c>
      <c r="W644" s="121" t="s">
        <v>132</v>
      </c>
      <c r="X644" s="129">
        <f t="shared" si="79"/>
        <v>7867.19</v>
      </c>
      <c r="AA644" s="142">
        <v>4.79</v>
      </c>
      <c r="AB644" s="126" t="s">
        <v>132</v>
      </c>
      <c r="AC644" s="120" t="s">
        <v>133</v>
      </c>
      <c r="AD644" s="129">
        <f t="shared" si="81"/>
        <v>1642.42</v>
      </c>
      <c r="AE644" s="120" t="s">
        <v>132</v>
      </c>
      <c r="AF644" s="129">
        <f t="shared" si="80"/>
        <v>7867.19</v>
      </c>
    </row>
    <row r="645" spans="1:32" ht="24" customHeight="1">
      <c r="A645" s="130">
        <f t="shared" si="78"/>
        <v>451</v>
      </c>
      <c r="B645" s="120" t="s">
        <v>4176</v>
      </c>
      <c r="C645" s="136">
        <v>187.8</v>
      </c>
      <c r="D645" s="132" t="s">
        <v>131</v>
      </c>
      <c r="K645" s="123" t="s">
        <v>89</v>
      </c>
      <c r="O645" s="120" t="s">
        <v>767</v>
      </c>
      <c r="R645" s="129">
        <f>SUM(R640:R643)</f>
        <v>2979.76</v>
      </c>
      <c r="S645" s="142">
        <v>3.5</v>
      </c>
      <c r="T645" s="126" t="s">
        <v>131</v>
      </c>
      <c r="U645" s="120" t="s">
        <v>302</v>
      </c>
      <c r="V645" s="129">
        <f>C11</f>
        <v>972.4</v>
      </c>
      <c r="W645" s="121" t="s">
        <v>131</v>
      </c>
      <c r="X645" s="129">
        <f t="shared" si="79"/>
        <v>3403.4</v>
      </c>
      <c r="AA645" s="142">
        <v>3.5</v>
      </c>
      <c r="AB645" s="126" t="s">
        <v>131</v>
      </c>
      <c r="AC645" s="120" t="s">
        <v>302</v>
      </c>
      <c r="AD645" s="129">
        <f t="shared" si="81"/>
        <v>972.4</v>
      </c>
      <c r="AE645" s="120" t="s">
        <v>131</v>
      </c>
      <c r="AF645" s="129">
        <f t="shared" si="80"/>
        <v>3403.4</v>
      </c>
    </row>
    <row r="646" spans="1:32" ht="24" customHeight="1">
      <c r="A646" s="130">
        <f t="shared" si="78"/>
        <v>452</v>
      </c>
      <c r="B646" s="120" t="s">
        <v>844</v>
      </c>
      <c r="C646" s="136">
        <v>125.2</v>
      </c>
      <c r="D646" s="132" t="s">
        <v>131</v>
      </c>
      <c r="G646" s="126" t="s">
        <v>483</v>
      </c>
      <c r="H646" s="120" t="s">
        <v>831</v>
      </c>
      <c r="R646" s="123" t="s">
        <v>52</v>
      </c>
      <c r="S646" s="142">
        <v>21.2</v>
      </c>
      <c r="T646" s="126" t="s">
        <v>131</v>
      </c>
      <c r="U646" s="120" t="s">
        <v>304</v>
      </c>
      <c r="V646" s="129">
        <f>C12</f>
        <v>679.8</v>
      </c>
      <c r="W646" s="121" t="s">
        <v>131</v>
      </c>
      <c r="X646" s="129">
        <f t="shared" si="79"/>
        <v>14411.76</v>
      </c>
      <c r="AA646" s="142">
        <v>21.2</v>
      </c>
      <c r="AB646" s="126" t="s">
        <v>131</v>
      </c>
      <c r="AC646" s="120" t="s">
        <v>304</v>
      </c>
      <c r="AD646" s="129">
        <f t="shared" si="81"/>
        <v>679.8</v>
      </c>
      <c r="AE646" s="120" t="s">
        <v>131</v>
      </c>
      <c r="AF646" s="129">
        <f t="shared" si="80"/>
        <v>14411.76</v>
      </c>
    </row>
    <row r="647" spans="1:32" ht="24" customHeight="1">
      <c r="A647" s="130">
        <f t="shared" si="78"/>
        <v>453</v>
      </c>
      <c r="B647" s="132" t="s">
        <v>845</v>
      </c>
      <c r="C647" s="138"/>
      <c r="D647" s="132" t="s">
        <v>131</v>
      </c>
      <c r="H647" s="120" t="s">
        <v>833</v>
      </c>
      <c r="S647" s="142">
        <v>35.299999999999997</v>
      </c>
      <c r="T647" s="126" t="s">
        <v>131</v>
      </c>
      <c r="U647" s="120" t="s">
        <v>306</v>
      </c>
      <c r="V647" s="129">
        <f>C13</f>
        <v>557.70000000000005</v>
      </c>
      <c r="W647" s="121" t="s">
        <v>131</v>
      </c>
      <c r="X647" s="129">
        <f t="shared" si="79"/>
        <v>19686.810000000001</v>
      </c>
      <c r="AA647" s="142">
        <v>35.299999999999997</v>
      </c>
      <c r="AB647" s="126" t="s">
        <v>131</v>
      </c>
      <c r="AC647" s="120" t="s">
        <v>306</v>
      </c>
      <c r="AD647" s="129">
        <f t="shared" si="81"/>
        <v>557.70000000000005</v>
      </c>
      <c r="AE647" s="120" t="s">
        <v>131</v>
      </c>
      <c r="AF647" s="129">
        <f t="shared" si="80"/>
        <v>19686.810000000001</v>
      </c>
    </row>
    <row r="648" spans="1:32" ht="24" customHeight="1">
      <c r="A648" s="130">
        <f t="shared" si="78"/>
        <v>454</v>
      </c>
      <c r="B648" s="120" t="s">
        <v>4177</v>
      </c>
      <c r="C648" s="136">
        <v>82.3</v>
      </c>
      <c r="D648" s="132" t="s">
        <v>131</v>
      </c>
      <c r="H648" s="123" t="s">
        <v>52</v>
      </c>
      <c r="N648" s="120" t="s">
        <v>111</v>
      </c>
      <c r="O648" s="120" t="s">
        <v>848</v>
      </c>
      <c r="S648" s="240">
        <v>19.5</v>
      </c>
      <c r="T648" s="116"/>
      <c r="U648" s="120" t="s">
        <v>4178</v>
      </c>
      <c r="V648" s="162">
        <f>C149</f>
        <v>43.2</v>
      </c>
      <c r="W648" s="121" t="s">
        <v>145</v>
      </c>
      <c r="X648" s="129">
        <f t="shared" si="79"/>
        <v>842.4</v>
      </c>
      <c r="AA648" s="240">
        <v>40</v>
      </c>
      <c r="AB648" s="116"/>
      <c r="AC648" s="120" t="s">
        <v>4178</v>
      </c>
      <c r="AD648" s="129">
        <f t="shared" si="81"/>
        <v>43.2</v>
      </c>
      <c r="AE648" s="120" t="s">
        <v>145</v>
      </c>
      <c r="AF648" s="129">
        <f t="shared" si="80"/>
        <v>1728</v>
      </c>
    </row>
    <row r="649" spans="1:32" ht="24" customHeight="1">
      <c r="A649" s="130">
        <f t="shared" si="78"/>
        <v>455</v>
      </c>
      <c r="B649" s="120" t="s">
        <v>849</v>
      </c>
      <c r="C649" s="136">
        <v>55.5</v>
      </c>
      <c r="D649" s="132" t="s">
        <v>131</v>
      </c>
      <c r="F649" s="142">
        <v>1.4E-2</v>
      </c>
      <c r="G649" s="126" t="s">
        <v>132</v>
      </c>
      <c r="H649" s="120" t="s">
        <v>838</v>
      </c>
      <c r="I649" s="129">
        <f>(K643)</f>
        <v>8113</v>
      </c>
      <c r="J649" s="120" t="s">
        <v>132</v>
      </c>
      <c r="K649" s="129">
        <f>(F649*I649)</f>
        <v>113.58</v>
      </c>
      <c r="O649" s="120" t="s">
        <v>850</v>
      </c>
      <c r="S649" s="115"/>
      <c r="T649" s="116"/>
      <c r="X649" s="123" t="s">
        <v>52</v>
      </c>
      <c r="AB649" s="116"/>
      <c r="AE649" s="117"/>
      <c r="AF649" s="123" t="s">
        <v>52</v>
      </c>
    </row>
    <row r="650" spans="1:32" ht="24" customHeight="1">
      <c r="A650" s="130">
        <f t="shared" si="78"/>
        <v>456</v>
      </c>
      <c r="B650" s="120" t="s">
        <v>851</v>
      </c>
      <c r="C650" s="162">
        <v>34.4</v>
      </c>
      <c r="D650" s="132" t="s">
        <v>131</v>
      </c>
      <c r="F650" s="142"/>
      <c r="H650" s="120" t="s">
        <v>841</v>
      </c>
      <c r="K650" s="120" t="s">
        <v>85</v>
      </c>
      <c r="O650" s="120" t="s">
        <v>852</v>
      </c>
      <c r="S650" s="115"/>
      <c r="T650" s="116"/>
      <c r="U650" s="121" t="s">
        <v>311</v>
      </c>
      <c r="X650" s="129">
        <f>SUM(X642:X648)</f>
        <v>74351.63</v>
      </c>
      <c r="AB650" s="116"/>
      <c r="AC650" s="121" t="s">
        <v>311</v>
      </c>
      <c r="AE650" s="117"/>
      <c r="AF650" s="129">
        <f>SUM(AF642:AF648)</f>
        <v>79767.23</v>
      </c>
    </row>
    <row r="651" spans="1:32" ht="24" customHeight="1">
      <c r="A651" s="130">
        <f t="shared" si="78"/>
        <v>457</v>
      </c>
      <c r="B651" s="132" t="s">
        <v>853</v>
      </c>
      <c r="C651" s="140">
        <v>155.32</v>
      </c>
      <c r="D651" s="132" t="s">
        <v>131</v>
      </c>
      <c r="F651" s="129">
        <v>0.5</v>
      </c>
      <c r="G651" s="126" t="s">
        <v>237</v>
      </c>
      <c r="H651" s="120" t="s">
        <v>345</v>
      </c>
      <c r="I651" s="129">
        <f>(C10)</f>
        <v>1041.7</v>
      </c>
      <c r="J651" s="120" t="s">
        <v>237</v>
      </c>
      <c r="K651" s="129">
        <f>(F651*I651)</f>
        <v>520.85</v>
      </c>
      <c r="O651" s="123" t="s">
        <v>52</v>
      </c>
      <c r="S651" s="115"/>
      <c r="T651" s="116"/>
      <c r="X651" s="123" t="s">
        <v>89</v>
      </c>
      <c r="AB651" s="116"/>
      <c r="AE651" s="117"/>
      <c r="AF651" s="123" t="s">
        <v>89</v>
      </c>
    </row>
    <row r="652" spans="1:32" ht="24" customHeight="1">
      <c r="A652" s="130">
        <f t="shared" si="78"/>
        <v>458</v>
      </c>
      <c r="B652" s="132" t="s">
        <v>854</v>
      </c>
      <c r="C652" s="140">
        <v>91.08</v>
      </c>
      <c r="D652" s="132" t="s">
        <v>131</v>
      </c>
      <c r="F652" s="129">
        <v>0.75</v>
      </c>
      <c r="G652" s="126" t="s">
        <v>237</v>
      </c>
      <c r="H652" s="120" t="s">
        <v>304</v>
      </c>
      <c r="I652" s="129">
        <f>(C12)</f>
        <v>679.8</v>
      </c>
      <c r="J652" s="120" t="s">
        <v>237</v>
      </c>
      <c r="K652" s="129">
        <f>(F652*I652)</f>
        <v>509.85</v>
      </c>
      <c r="M652" s="129">
        <v>9.5</v>
      </c>
      <c r="N652" s="120" t="s">
        <v>132</v>
      </c>
      <c r="O652" s="120" t="s">
        <v>834</v>
      </c>
      <c r="P652" s="129">
        <f>(C61*2)</f>
        <v>233.76</v>
      </c>
      <c r="Q652" s="120" t="s">
        <v>132</v>
      </c>
      <c r="R652" s="129">
        <f t="shared" ref="R652:R660" si="82">(M652*P652)</f>
        <v>2220.7199999999998</v>
      </c>
      <c r="S652" s="115"/>
      <c r="T652" s="116"/>
      <c r="U652" s="120" t="s">
        <v>242</v>
      </c>
      <c r="X652" s="129">
        <f>X650/10</f>
        <v>7435.16</v>
      </c>
      <c r="AB652" s="116"/>
      <c r="AC652" s="120" t="s">
        <v>242</v>
      </c>
      <c r="AE652" s="117"/>
      <c r="AF652" s="129">
        <f>AF650/10</f>
        <v>7976.72</v>
      </c>
    </row>
    <row r="653" spans="1:32" ht="24" customHeight="1">
      <c r="A653" s="130">
        <f t="shared" si="78"/>
        <v>459</v>
      </c>
      <c r="B653" s="120" t="s">
        <v>4179</v>
      </c>
      <c r="C653" s="136">
        <v>42.7</v>
      </c>
      <c r="D653" s="132" t="s">
        <v>39</v>
      </c>
      <c r="G653" s="126" t="s">
        <v>145</v>
      </c>
      <c r="H653" s="120" t="s">
        <v>146</v>
      </c>
      <c r="J653" s="120" t="s">
        <v>145</v>
      </c>
      <c r="K653" s="129">
        <v>0</v>
      </c>
      <c r="M653" s="129">
        <v>0.47</v>
      </c>
      <c r="N653" s="120" t="s">
        <v>132</v>
      </c>
      <c r="O653" s="120" t="s">
        <v>856</v>
      </c>
      <c r="P653" s="129">
        <f>(R74)</f>
        <v>6472.12</v>
      </c>
      <c r="Q653" s="120" t="s">
        <v>132</v>
      </c>
      <c r="R653" s="129">
        <f t="shared" si="82"/>
        <v>3041.9</v>
      </c>
      <c r="S653" s="129">
        <v>1</v>
      </c>
      <c r="T653" s="126" t="s">
        <v>132</v>
      </c>
      <c r="U653" s="120" t="s">
        <v>514</v>
      </c>
      <c r="V653" s="129"/>
      <c r="X653" s="129"/>
      <c r="AA653" s="129">
        <v>1</v>
      </c>
      <c r="AB653" s="126" t="s">
        <v>132</v>
      </c>
      <c r="AC653" s="120" t="s">
        <v>514</v>
      </c>
      <c r="AD653" s="129"/>
      <c r="AE653" s="117"/>
      <c r="AF653" s="129"/>
    </row>
    <row r="654" spans="1:32" ht="24" customHeight="1">
      <c r="A654" s="130">
        <f t="shared" si="78"/>
        <v>460</v>
      </c>
      <c r="B654" s="132" t="s">
        <v>857</v>
      </c>
      <c r="C654" s="140">
        <v>0.3</v>
      </c>
      <c r="D654" s="132" t="s">
        <v>131</v>
      </c>
      <c r="K654" s="123" t="s">
        <v>52</v>
      </c>
      <c r="M654" s="129">
        <v>1.62</v>
      </c>
      <c r="N654" s="120" t="s">
        <v>132</v>
      </c>
      <c r="O654" s="120" t="s">
        <v>754</v>
      </c>
      <c r="P654" s="129">
        <f>(R89)</f>
        <v>7075.46</v>
      </c>
      <c r="Q654" s="120" t="s">
        <v>132</v>
      </c>
      <c r="R654" s="129">
        <f t="shared" si="82"/>
        <v>11462.25</v>
      </c>
      <c r="X654" s="115">
        <f>SUM(X652:X653)</f>
        <v>7435.16</v>
      </c>
      <c r="AA654" s="118"/>
      <c r="AF654" s="115">
        <f>SUM(AF652:AF653)</f>
        <v>7976.72</v>
      </c>
    </row>
    <row r="655" spans="1:32" ht="24" customHeight="1">
      <c r="A655" s="130">
        <f t="shared" si="78"/>
        <v>461</v>
      </c>
      <c r="B655" s="120" t="s">
        <v>4180</v>
      </c>
      <c r="C655" s="136">
        <v>189.65</v>
      </c>
      <c r="D655" s="132" t="s">
        <v>425</v>
      </c>
      <c r="H655" s="120" t="s">
        <v>847</v>
      </c>
      <c r="K655" s="129">
        <f>SUM(K649:K653)</f>
        <v>1144.28</v>
      </c>
      <c r="M655" s="129">
        <v>15.22</v>
      </c>
      <c r="N655" s="120" t="s">
        <v>425</v>
      </c>
      <c r="O655" s="120" t="s">
        <v>859</v>
      </c>
      <c r="P655" s="129">
        <f>(R304)</f>
        <v>275.2</v>
      </c>
      <c r="Q655" s="120" t="s">
        <v>425</v>
      </c>
      <c r="R655" s="129">
        <f t="shared" si="82"/>
        <v>4188.54</v>
      </c>
      <c r="S655" s="115"/>
      <c r="T655" s="116"/>
      <c r="U655" s="115" t="s">
        <v>4181</v>
      </c>
      <c r="X655" s="115">
        <f>X654*0.5%</f>
        <v>37.18</v>
      </c>
      <c r="AB655" s="116"/>
      <c r="AC655" s="115" t="s">
        <v>4181</v>
      </c>
      <c r="AF655" s="115">
        <f>AF654*0.5%</f>
        <v>39.880000000000003</v>
      </c>
    </row>
    <row r="656" spans="1:32" ht="24" customHeight="1">
      <c r="A656" s="130">
        <f t="shared" si="78"/>
        <v>462</v>
      </c>
      <c r="B656" s="132" t="s">
        <v>860</v>
      </c>
      <c r="C656" s="140">
        <v>97.31</v>
      </c>
      <c r="D656" s="132" t="s">
        <v>425</v>
      </c>
      <c r="K656" s="123" t="s">
        <v>52</v>
      </c>
      <c r="M656" s="129">
        <v>0.18</v>
      </c>
      <c r="N656" s="120" t="s">
        <v>132</v>
      </c>
      <c r="O656" s="120" t="s">
        <v>861</v>
      </c>
      <c r="P656" s="129">
        <f>(K280)</f>
        <v>7997.79</v>
      </c>
      <c r="Q656" s="120" t="s">
        <v>132</v>
      </c>
      <c r="R656" s="129">
        <f t="shared" si="82"/>
        <v>1439.6</v>
      </c>
      <c r="S656" s="115"/>
      <c r="T656" s="116"/>
      <c r="X656" s="123"/>
      <c r="AB656" s="116"/>
      <c r="AE656" s="117"/>
      <c r="AF656" s="123"/>
    </row>
    <row r="657" spans="1:32" ht="24" customHeight="1">
      <c r="A657" s="130">
        <f t="shared" si="78"/>
        <v>463</v>
      </c>
      <c r="B657" s="120" t="s">
        <v>4182</v>
      </c>
      <c r="C657" s="136">
        <v>196.45</v>
      </c>
      <c r="D657" s="120" t="s">
        <v>524</v>
      </c>
      <c r="H657" s="120" t="s">
        <v>460</v>
      </c>
      <c r="K657" s="129">
        <f>(K655/0.372)</f>
        <v>3076.02</v>
      </c>
      <c r="M657" s="129">
        <v>0.36</v>
      </c>
      <c r="N657" s="120" t="s">
        <v>425</v>
      </c>
      <c r="O657" s="120" t="s">
        <v>865</v>
      </c>
      <c r="P657" s="129">
        <f>(K467)</f>
        <v>409.05</v>
      </c>
      <c r="Q657" s="120" t="s">
        <v>425</v>
      </c>
      <c r="R657" s="129">
        <f t="shared" si="82"/>
        <v>147.26</v>
      </c>
      <c r="S657" s="115"/>
      <c r="T657" s="116"/>
      <c r="U657" s="115" t="s">
        <v>51</v>
      </c>
      <c r="X657" s="127">
        <f>SUM(X654:X656)</f>
        <v>7472.34</v>
      </c>
      <c r="AB657" s="116"/>
      <c r="AC657" s="115" t="s">
        <v>51</v>
      </c>
      <c r="AE657" s="117"/>
      <c r="AF657" s="127">
        <f>SUM(AF654:AF656)</f>
        <v>8016.6</v>
      </c>
    </row>
    <row r="658" spans="1:32" ht="24" customHeight="1">
      <c r="A658" s="130">
        <f t="shared" si="78"/>
        <v>464</v>
      </c>
      <c r="B658" s="120" t="s">
        <v>4183</v>
      </c>
      <c r="C658" s="136">
        <f>C657</f>
        <v>196.45</v>
      </c>
      <c r="D658" s="120" t="s">
        <v>524</v>
      </c>
      <c r="K658" s="123" t="s">
        <v>89</v>
      </c>
      <c r="M658" s="129">
        <v>1</v>
      </c>
      <c r="N658" s="120" t="s">
        <v>131</v>
      </c>
      <c r="O658" s="120" t="s">
        <v>868</v>
      </c>
      <c r="P658" s="129">
        <f>(C203)</f>
        <v>128</v>
      </c>
      <c r="Q658" s="120" t="s">
        <v>131</v>
      </c>
      <c r="R658" s="129">
        <f t="shared" si="82"/>
        <v>128</v>
      </c>
      <c r="S658" s="115"/>
      <c r="T658" s="116"/>
      <c r="X658" s="123" t="s">
        <v>52</v>
      </c>
      <c r="AB658" s="116"/>
      <c r="AE658" s="117"/>
      <c r="AF658" s="123" t="s">
        <v>52</v>
      </c>
    </row>
    <row r="659" spans="1:32" ht="24" customHeight="1">
      <c r="A659" s="130">
        <f t="shared" si="78"/>
        <v>465</v>
      </c>
      <c r="B659" s="120" t="s">
        <v>869</v>
      </c>
      <c r="C659" s="136">
        <v>3.91</v>
      </c>
      <c r="D659" s="120" t="s">
        <v>131</v>
      </c>
      <c r="E659" s="115" t="s">
        <v>870</v>
      </c>
      <c r="H659" s="120" t="s">
        <v>53</v>
      </c>
      <c r="I659" s="115">
        <f>K657</f>
        <v>3076.02</v>
      </c>
      <c r="J659" s="117">
        <f>C22*0.014/0.372</f>
        <v>4.7</v>
      </c>
      <c r="K659" s="127">
        <f>I659+J659</f>
        <v>3080.72</v>
      </c>
      <c r="M659" s="129">
        <v>1.8</v>
      </c>
      <c r="N659" s="120" t="s">
        <v>872</v>
      </c>
      <c r="O659" s="120" t="s">
        <v>873</v>
      </c>
      <c r="P659" s="129">
        <f>(C325)</f>
        <v>14.91</v>
      </c>
      <c r="Q659" s="120" t="s">
        <v>872</v>
      </c>
      <c r="R659" s="129">
        <f t="shared" si="82"/>
        <v>26.84</v>
      </c>
      <c r="S659" s="115"/>
      <c r="T659" s="116"/>
      <c r="U659" s="120" t="s">
        <v>53</v>
      </c>
      <c r="X659" s="127">
        <f>(X657+C23)</f>
        <v>7718.52</v>
      </c>
      <c r="AB659" s="116"/>
      <c r="AC659" s="120" t="s">
        <v>53</v>
      </c>
      <c r="AE659" s="117"/>
      <c r="AF659" s="127">
        <f>AF657+C23</f>
        <v>8262.7800000000007</v>
      </c>
    </row>
    <row r="660" spans="1:32" ht="24" customHeight="1">
      <c r="A660" s="130">
        <f t="shared" si="78"/>
        <v>466</v>
      </c>
      <c r="B660" s="120" t="s">
        <v>4184</v>
      </c>
      <c r="C660" s="136">
        <v>70.150000000000006</v>
      </c>
      <c r="D660" s="227">
        <v>69.599999999999994</v>
      </c>
      <c r="E660" s="115" t="s">
        <v>4185</v>
      </c>
      <c r="H660" s="120" t="s">
        <v>54</v>
      </c>
      <c r="I660" s="115">
        <f>K659</f>
        <v>3080.72</v>
      </c>
      <c r="J660" s="117">
        <f>C23*0.014/0.372</f>
        <v>9.26</v>
      </c>
      <c r="K660" s="127">
        <f>I660+J660</f>
        <v>3089.98</v>
      </c>
      <c r="M660" s="129">
        <v>1</v>
      </c>
      <c r="N660" s="120" t="s">
        <v>131</v>
      </c>
      <c r="O660" s="120" t="s">
        <v>876</v>
      </c>
      <c r="P660" s="129">
        <f>(C371)</f>
        <v>13.29</v>
      </c>
      <c r="Q660" s="120" t="s">
        <v>131</v>
      </c>
      <c r="R660" s="129">
        <f t="shared" si="82"/>
        <v>13.29</v>
      </c>
      <c r="S660" s="115"/>
      <c r="T660" s="116"/>
      <c r="U660" s="120" t="s">
        <v>54</v>
      </c>
      <c r="X660" s="127">
        <f>X659+C24</f>
        <v>7964.7</v>
      </c>
      <c r="AB660" s="116"/>
      <c r="AC660" s="120" t="s">
        <v>54</v>
      </c>
      <c r="AE660" s="117"/>
      <c r="AF660" s="127">
        <f>AF659+C24</f>
        <v>8508.9599999999991</v>
      </c>
    </row>
    <row r="661" spans="1:32" ht="32.25" customHeight="1">
      <c r="A661" s="130">
        <f t="shared" si="78"/>
        <v>467</v>
      </c>
      <c r="B661" s="234" t="s">
        <v>4186</v>
      </c>
      <c r="C661" s="216">
        <v>11.2</v>
      </c>
      <c r="D661" s="217" t="s">
        <v>282</v>
      </c>
      <c r="E661" s="235">
        <v>17.3</v>
      </c>
      <c r="H661" s="120" t="s">
        <v>55</v>
      </c>
      <c r="I661" s="115">
        <f>K660</f>
        <v>3089.98</v>
      </c>
      <c r="J661" s="117">
        <f>J660</f>
        <v>9.26</v>
      </c>
      <c r="K661" s="127">
        <f>I661+J661</f>
        <v>3099.24</v>
      </c>
      <c r="N661" s="120" t="s">
        <v>145</v>
      </c>
      <c r="O661" s="120" t="s">
        <v>763</v>
      </c>
      <c r="Q661" s="120" t="s">
        <v>145</v>
      </c>
      <c r="R661" s="129">
        <v>1.72</v>
      </c>
      <c r="S661" s="115"/>
      <c r="T661" s="116"/>
      <c r="U661" s="120" t="s">
        <v>55</v>
      </c>
      <c r="X661" s="127">
        <f>X660+C25</f>
        <v>8063.04</v>
      </c>
      <c r="AB661" s="116"/>
      <c r="AC661" s="120" t="s">
        <v>55</v>
      </c>
      <c r="AE661" s="117"/>
      <c r="AF661" s="127">
        <f>AF660+C25</f>
        <v>8607.2999999999993</v>
      </c>
    </row>
    <row r="662" spans="1:32" ht="24" customHeight="1">
      <c r="A662" s="130">
        <f t="shared" si="78"/>
        <v>468</v>
      </c>
      <c r="B662" s="236" t="s">
        <v>4187</v>
      </c>
      <c r="C662" s="216">
        <v>17.3</v>
      </c>
      <c r="D662" s="217" t="s">
        <v>282</v>
      </c>
      <c r="E662" s="235"/>
      <c r="H662" s="120" t="s">
        <v>56</v>
      </c>
      <c r="I662" s="115">
        <f>K661</f>
        <v>3099.24</v>
      </c>
      <c r="J662" s="117">
        <f>J661</f>
        <v>9.26</v>
      </c>
      <c r="K662" s="127">
        <f>I662+J662</f>
        <v>3108.5</v>
      </c>
      <c r="R662" s="120" t="s">
        <v>85</v>
      </c>
      <c r="S662" s="115"/>
      <c r="T662" s="116"/>
      <c r="U662" s="120" t="s">
        <v>56</v>
      </c>
      <c r="X662" s="127">
        <f>X661+C25</f>
        <v>8161.38</v>
      </c>
      <c r="AB662" s="116"/>
      <c r="AC662" s="120" t="s">
        <v>56</v>
      </c>
      <c r="AE662" s="117"/>
      <c r="AF662" s="127">
        <f>AF661+C25</f>
        <v>8705.64</v>
      </c>
    </row>
    <row r="663" spans="1:32" ht="24" customHeight="1">
      <c r="A663" s="130">
        <f t="shared" si="78"/>
        <v>469</v>
      </c>
      <c r="B663" s="120" t="s">
        <v>4188</v>
      </c>
      <c r="C663" s="237">
        <v>8.1</v>
      </c>
      <c r="D663" s="238">
        <v>9.6999999999999993</v>
      </c>
      <c r="E663" s="115">
        <v>2</v>
      </c>
      <c r="H663" s="120" t="s">
        <v>747</v>
      </c>
      <c r="I663" s="115">
        <f>K662</f>
        <v>3108.5</v>
      </c>
      <c r="J663" s="117">
        <f>J662</f>
        <v>9.26</v>
      </c>
      <c r="K663" s="127">
        <f>I663+J663</f>
        <v>3117.76</v>
      </c>
      <c r="R663" s="123" t="s">
        <v>52</v>
      </c>
      <c r="S663" s="115"/>
      <c r="T663" s="116"/>
      <c r="U663" s="120" t="s">
        <v>57</v>
      </c>
      <c r="X663" s="127">
        <f>X662+C25</f>
        <v>8259.7199999999993</v>
      </c>
      <c r="AB663" s="116"/>
      <c r="AC663" s="120" t="s">
        <v>57</v>
      </c>
      <c r="AE663" s="117"/>
      <c r="AF663" s="127">
        <f>AF662+K25</f>
        <v>8705.64</v>
      </c>
    </row>
    <row r="664" spans="1:32" ht="24" customHeight="1">
      <c r="A664" s="130"/>
      <c r="B664" s="132"/>
      <c r="C664" s="137"/>
      <c r="D664" s="141"/>
      <c r="H664" s="120">
        <v>5</v>
      </c>
      <c r="I664" s="115">
        <f t="shared" ref="I664:I670" si="83">K663</f>
        <v>3117.76</v>
      </c>
      <c r="J664" s="117">
        <f t="shared" ref="J664:J670" si="84">J663</f>
        <v>9.26</v>
      </c>
      <c r="K664" s="127">
        <f t="shared" ref="K664:K670" si="85">I664+J664</f>
        <v>3127.02</v>
      </c>
      <c r="R664" s="123"/>
      <c r="S664" s="115"/>
      <c r="T664" s="116"/>
      <c r="U664" s="120">
        <v>5</v>
      </c>
      <c r="X664" s="127">
        <f>X663+C25</f>
        <v>8358.06</v>
      </c>
      <c r="AB664" s="116"/>
      <c r="AC664" s="120">
        <v>5</v>
      </c>
      <c r="AE664" s="117"/>
      <c r="AF664" s="127">
        <f>AF663+K25</f>
        <v>8705.64</v>
      </c>
    </row>
    <row r="665" spans="1:32" ht="24" customHeight="1">
      <c r="A665" s="130"/>
      <c r="B665" s="132"/>
      <c r="C665" s="137"/>
      <c r="D665" s="141"/>
      <c r="H665" s="120">
        <v>6</v>
      </c>
      <c r="I665" s="115">
        <f t="shared" si="83"/>
        <v>3127.02</v>
      </c>
      <c r="J665" s="117">
        <f t="shared" si="84"/>
        <v>9.26</v>
      </c>
      <c r="K665" s="127">
        <f t="shared" si="85"/>
        <v>3136.28</v>
      </c>
      <c r="R665" s="123"/>
      <c r="AA665" s="118"/>
    </row>
    <row r="666" spans="1:32" ht="24" customHeight="1">
      <c r="A666" s="130"/>
      <c r="B666" s="132"/>
      <c r="C666" s="137"/>
      <c r="D666" s="141"/>
      <c r="H666" s="120">
        <v>7</v>
      </c>
      <c r="I666" s="115">
        <f t="shared" si="83"/>
        <v>3136.28</v>
      </c>
      <c r="J666" s="117">
        <f t="shared" si="84"/>
        <v>9.26</v>
      </c>
      <c r="K666" s="127">
        <f t="shared" si="85"/>
        <v>3145.54</v>
      </c>
      <c r="R666" s="123"/>
      <c r="AA666" s="118"/>
    </row>
    <row r="667" spans="1:32" ht="24" customHeight="1">
      <c r="A667" s="130"/>
      <c r="B667" s="132"/>
      <c r="C667" s="137"/>
      <c r="D667" s="141"/>
      <c r="H667" s="120">
        <v>8</v>
      </c>
      <c r="I667" s="115">
        <f t="shared" si="83"/>
        <v>3145.54</v>
      </c>
      <c r="J667" s="117">
        <f t="shared" si="84"/>
        <v>9.26</v>
      </c>
      <c r="K667" s="127">
        <f t="shared" si="85"/>
        <v>3154.8</v>
      </c>
      <c r="R667" s="123"/>
      <c r="AA667" s="118"/>
    </row>
    <row r="668" spans="1:32" ht="24" customHeight="1">
      <c r="A668" s="130"/>
      <c r="B668" s="132"/>
      <c r="C668" s="137"/>
      <c r="D668" s="141"/>
      <c r="H668" s="120">
        <v>9</v>
      </c>
      <c r="I668" s="115">
        <f t="shared" si="83"/>
        <v>3154.8</v>
      </c>
      <c r="J668" s="117">
        <f t="shared" si="84"/>
        <v>9.26</v>
      </c>
      <c r="K668" s="127">
        <f t="shared" si="85"/>
        <v>3164.06</v>
      </c>
      <c r="R668" s="123"/>
      <c r="AA668" s="118"/>
    </row>
    <row r="669" spans="1:32" ht="24" customHeight="1">
      <c r="A669" s="130"/>
      <c r="B669" s="132"/>
      <c r="C669" s="137"/>
      <c r="D669" s="141"/>
      <c r="H669" s="120">
        <v>10</v>
      </c>
      <c r="I669" s="115">
        <f t="shared" si="83"/>
        <v>3164.06</v>
      </c>
      <c r="J669" s="117">
        <f t="shared" si="84"/>
        <v>9.26</v>
      </c>
      <c r="K669" s="127">
        <f t="shared" si="85"/>
        <v>3173.32</v>
      </c>
      <c r="R669" s="123"/>
      <c r="AA669" s="118"/>
    </row>
    <row r="670" spans="1:32" ht="24" customHeight="1">
      <c r="A670" s="130"/>
      <c r="B670" s="132"/>
      <c r="C670" s="137"/>
      <c r="D670" s="141"/>
      <c r="H670" s="120">
        <v>11</v>
      </c>
      <c r="I670" s="115">
        <f t="shared" si="83"/>
        <v>3173.32</v>
      </c>
      <c r="J670" s="117">
        <f t="shared" si="84"/>
        <v>9.26</v>
      </c>
      <c r="K670" s="127">
        <f t="shared" si="85"/>
        <v>3182.58</v>
      </c>
      <c r="R670" s="123"/>
      <c r="AA670" s="118"/>
    </row>
    <row r="671" spans="1:32" ht="24" customHeight="1">
      <c r="A671" s="130"/>
      <c r="B671" s="132"/>
      <c r="C671" s="137"/>
      <c r="D671" s="141"/>
      <c r="H671" s="120"/>
      <c r="K671" s="127"/>
      <c r="R671" s="123"/>
      <c r="AA671" s="118"/>
    </row>
    <row r="672" spans="1:32" ht="28.5" customHeight="1">
      <c r="A672" s="130">
        <f>(A663+1)</f>
        <v>470</v>
      </c>
      <c r="B672" s="132" t="s">
        <v>883</v>
      </c>
      <c r="C672" s="237">
        <v>11.5</v>
      </c>
      <c r="D672" s="238">
        <v>11.7</v>
      </c>
      <c r="E672" s="115">
        <v>3.7</v>
      </c>
      <c r="F672" s="121" t="s">
        <v>863</v>
      </c>
      <c r="H672" s="120" t="s">
        <v>864</v>
      </c>
      <c r="O672" s="120" t="s">
        <v>767</v>
      </c>
      <c r="R672" s="129">
        <f>SUM(R652:R662)</f>
        <v>22670.12</v>
      </c>
      <c r="AA672" s="118"/>
    </row>
    <row r="673" spans="1:33" ht="24" customHeight="1">
      <c r="A673" s="130">
        <f t="shared" si="78"/>
        <v>471</v>
      </c>
      <c r="B673" s="132" t="s">
        <v>884</v>
      </c>
      <c r="C673" s="140">
        <v>4</v>
      </c>
      <c r="D673" s="132" t="s">
        <v>145</v>
      </c>
      <c r="H673" s="120" t="s">
        <v>867</v>
      </c>
      <c r="R673" s="123" t="s">
        <v>52</v>
      </c>
      <c r="AE673" s="137" t="str">
        <f t="shared" ref="AE673:AE680" si="86">AG673</f>
        <v>|</v>
      </c>
      <c r="AG673" s="120" t="s">
        <v>120</v>
      </c>
    </row>
    <row r="674" spans="1:33" ht="24" customHeight="1">
      <c r="A674" s="130">
        <f t="shared" si="78"/>
        <v>472</v>
      </c>
      <c r="B674" s="132" t="s">
        <v>886</v>
      </c>
      <c r="C674" s="140">
        <v>5</v>
      </c>
      <c r="D674" s="132" t="s">
        <v>145</v>
      </c>
      <c r="H674" s="120" t="s">
        <v>871</v>
      </c>
      <c r="O674" s="120" t="s">
        <v>888</v>
      </c>
      <c r="T674" s="114">
        <v>4.2</v>
      </c>
      <c r="U674" s="114" t="s">
        <v>66</v>
      </c>
      <c r="AE674" s="137" t="str">
        <f t="shared" si="86"/>
        <v>|</v>
      </c>
      <c r="AG674" s="120" t="s">
        <v>120</v>
      </c>
    </row>
    <row r="675" spans="1:33" ht="24" customHeight="1">
      <c r="A675" s="130">
        <f t="shared" si="78"/>
        <v>473</v>
      </c>
      <c r="B675" s="132" t="s">
        <v>889</v>
      </c>
      <c r="C675" s="140">
        <v>96</v>
      </c>
      <c r="D675" s="132" t="s">
        <v>131</v>
      </c>
      <c r="H675" s="120" t="s">
        <v>875</v>
      </c>
      <c r="N675" s="120" t="s">
        <v>111</v>
      </c>
      <c r="O675" s="120" t="s">
        <v>891</v>
      </c>
      <c r="S675" s="118">
        <v>5</v>
      </c>
      <c r="T675" s="115" t="s">
        <v>34</v>
      </c>
      <c r="U675" s="115" t="s">
        <v>35</v>
      </c>
      <c r="V675" s="115">
        <f>V705</f>
        <v>1729.98</v>
      </c>
      <c r="X675" s="115">
        <f>V675*S675</f>
        <v>8649.9</v>
      </c>
      <c r="AE675" s="137" t="str">
        <f t="shared" si="86"/>
        <v>|</v>
      </c>
      <c r="AG675" s="120" t="s">
        <v>120</v>
      </c>
    </row>
    <row r="676" spans="1:33" ht="24" customHeight="1">
      <c r="A676" s="130">
        <f t="shared" si="78"/>
        <v>474</v>
      </c>
      <c r="B676" s="132" t="s">
        <v>892</v>
      </c>
      <c r="C676" s="140">
        <v>75</v>
      </c>
      <c r="D676" s="132" t="s">
        <v>131</v>
      </c>
      <c r="H676" s="120" t="s">
        <v>878</v>
      </c>
      <c r="O676" s="120" t="s">
        <v>893</v>
      </c>
      <c r="S676" s="118">
        <v>3.3</v>
      </c>
      <c r="T676" s="115" t="s">
        <v>34</v>
      </c>
      <c r="U676" s="115" t="s">
        <v>36</v>
      </c>
      <c r="V676" s="115">
        <f t="shared" ref="V676:V685" si="87">V706</f>
        <v>1444.48</v>
      </c>
      <c r="X676" s="115">
        <f t="shared" ref="X676:X682" si="88">V676*S676</f>
        <v>4766.78</v>
      </c>
      <c r="AE676" s="137" t="str">
        <f t="shared" si="86"/>
        <v>|</v>
      </c>
      <c r="AG676" s="120" t="s">
        <v>120</v>
      </c>
    </row>
    <row r="677" spans="1:33" ht="24" customHeight="1">
      <c r="A677" s="130">
        <f t="shared" si="78"/>
        <v>475</v>
      </c>
      <c r="B677" s="132" t="s">
        <v>894</v>
      </c>
      <c r="C677" s="239">
        <v>24.2</v>
      </c>
      <c r="D677" s="239">
        <v>40.9</v>
      </c>
      <c r="E677" s="115">
        <v>3</v>
      </c>
      <c r="H677" s="120" t="s">
        <v>880</v>
      </c>
      <c r="O677" s="123" t="s">
        <v>52</v>
      </c>
      <c r="S677" s="118">
        <v>4.79</v>
      </c>
      <c r="T677" s="115" t="s">
        <v>34</v>
      </c>
      <c r="U677" s="115" t="s">
        <v>37</v>
      </c>
      <c r="V677" s="115">
        <f t="shared" si="87"/>
        <v>1642.42</v>
      </c>
      <c r="X677" s="115">
        <f t="shared" si="88"/>
        <v>7867.19</v>
      </c>
      <c r="AE677" s="137" t="str">
        <f t="shared" si="86"/>
        <v>|</v>
      </c>
      <c r="AG677" s="120" t="s">
        <v>120</v>
      </c>
    </row>
    <row r="678" spans="1:33" ht="24" customHeight="1">
      <c r="A678" s="130">
        <f t="shared" si="78"/>
        <v>476</v>
      </c>
      <c r="B678" s="132" t="s">
        <v>895</v>
      </c>
      <c r="C678" s="140">
        <v>80</v>
      </c>
      <c r="D678" s="132" t="s">
        <v>131</v>
      </c>
      <c r="H678" s="120" t="s">
        <v>882</v>
      </c>
      <c r="M678" s="129">
        <v>1</v>
      </c>
      <c r="N678" s="120" t="s">
        <v>131</v>
      </c>
      <c r="O678" s="120" t="s">
        <v>897</v>
      </c>
      <c r="P678" s="129">
        <f>(C383)</f>
        <v>14.91</v>
      </c>
      <c r="Q678" s="120" t="s">
        <v>131</v>
      </c>
      <c r="R678" s="129">
        <f>(M678*P678)</f>
        <v>14.91</v>
      </c>
      <c r="S678" s="118">
        <v>4</v>
      </c>
      <c r="T678" s="115" t="s">
        <v>11</v>
      </c>
      <c r="U678" s="115" t="s">
        <v>38</v>
      </c>
      <c r="V678" s="115">
        <f t="shared" si="87"/>
        <v>6040</v>
      </c>
      <c r="X678" s="115">
        <f t="shared" si="88"/>
        <v>24160</v>
      </c>
      <c r="AE678" s="137" t="str">
        <f t="shared" si="86"/>
        <v>|</v>
      </c>
      <c r="AG678" s="120" t="s">
        <v>120</v>
      </c>
    </row>
    <row r="679" spans="1:33" ht="24" customHeight="1">
      <c r="A679" s="130">
        <f t="shared" si="78"/>
        <v>477</v>
      </c>
      <c r="B679" s="132" t="s">
        <v>898</v>
      </c>
      <c r="C679" s="140">
        <v>64</v>
      </c>
      <c r="D679" s="132" t="s">
        <v>131</v>
      </c>
      <c r="H679" s="123" t="s">
        <v>52</v>
      </c>
      <c r="I679" s="123" t="s">
        <v>52</v>
      </c>
      <c r="N679" s="120" t="s">
        <v>145</v>
      </c>
      <c r="O679" s="120" t="s">
        <v>899</v>
      </c>
      <c r="Q679" s="120" t="s">
        <v>145</v>
      </c>
      <c r="R679" s="129">
        <v>2.09</v>
      </c>
      <c r="S679" s="118">
        <v>40</v>
      </c>
      <c r="T679" s="115" t="s">
        <v>39</v>
      </c>
      <c r="U679" s="115" t="s">
        <v>67</v>
      </c>
      <c r="V679" s="115">
        <f>V648</f>
        <v>43.2</v>
      </c>
      <c r="X679" s="115">
        <f t="shared" si="88"/>
        <v>1728</v>
      </c>
      <c r="AE679" s="137" t="str">
        <f t="shared" si="86"/>
        <v>|</v>
      </c>
      <c r="AG679" s="120" t="s">
        <v>120</v>
      </c>
    </row>
    <row r="680" spans="1:33" ht="24" customHeight="1">
      <c r="A680" s="130">
        <f t="shared" si="78"/>
        <v>478</v>
      </c>
      <c r="B680" s="132" t="s">
        <v>900</v>
      </c>
      <c r="C680" s="140">
        <v>40.5</v>
      </c>
      <c r="D680" s="132" t="s">
        <v>131</v>
      </c>
      <c r="F680" s="129">
        <v>1</v>
      </c>
      <c r="G680" s="126" t="s">
        <v>425</v>
      </c>
      <c r="H680" s="120" t="s">
        <v>885</v>
      </c>
      <c r="I680" s="129">
        <f>D76</f>
        <v>290</v>
      </c>
      <c r="J680" s="120" t="s">
        <v>425</v>
      </c>
      <c r="K680" s="129">
        <f>(F680*I680)</f>
        <v>290</v>
      </c>
      <c r="O680" s="120" t="s">
        <v>901</v>
      </c>
      <c r="R680" s="120" t="s">
        <v>85</v>
      </c>
      <c r="S680" s="118">
        <v>3.5</v>
      </c>
      <c r="T680" s="115" t="s">
        <v>41</v>
      </c>
      <c r="U680" s="115" t="s">
        <v>42</v>
      </c>
      <c r="V680" s="115">
        <f t="shared" si="87"/>
        <v>972.4</v>
      </c>
      <c r="X680" s="115">
        <f t="shared" si="88"/>
        <v>3403.4</v>
      </c>
      <c r="AE680" s="137" t="str">
        <f t="shared" si="86"/>
        <v>|</v>
      </c>
      <c r="AG680" s="120" t="s">
        <v>120</v>
      </c>
    </row>
    <row r="681" spans="1:33" ht="24" customHeight="1">
      <c r="A681" s="130">
        <f t="shared" si="78"/>
        <v>479</v>
      </c>
      <c r="B681" s="132" t="s">
        <v>902</v>
      </c>
      <c r="C681" s="140">
        <v>92</v>
      </c>
      <c r="D681" s="132" t="s">
        <v>131</v>
      </c>
      <c r="F681" s="129">
        <v>1</v>
      </c>
      <c r="G681" s="126" t="s">
        <v>425</v>
      </c>
      <c r="H681" s="120" t="s">
        <v>887</v>
      </c>
      <c r="I681" s="129">
        <f>C75</f>
        <v>175</v>
      </c>
      <c r="J681" s="120" t="s">
        <v>425</v>
      </c>
      <c r="K681" s="129">
        <f>(F681*I681)</f>
        <v>175</v>
      </c>
      <c r="R681" s="123" t="s">
        <v>52</v>
      </c>
      <c r="S681" s="118">
        <v>21.2</v>
      </c>
      <c r="T681" s="115" t="s">
        <v>41</v>
      </c>
      <c r="U681" s="115" t="s">
        <v>43</v>
      </c>
      <c r="V681" s="115">
        <f t="shared" si="87"/>
        <v>679.8</v>
      </c>
      <c r="X681" s="115">
        <f t="shared" si="88"/>
        <v>14411.76</v>
      </c>
      <c r="AE681" s="137">
        <f>32.32*100</f>
        <v>3232</v>
      </c>
      <c r="AG681" s="120" t="s">
        <v>120</v>
      </c>
    </row>
    <row r="682" spans="1:33" ht="24" customHeight="1">
      <c r="A682" s="130">
        <f t="shared" si="78"/>
        <v>480</v>
      </c>
      <c r="B682" s="132" t="s">
        <v>903</v>
      </c>
      <c r="C682" s="140">
        <v>60</v>
      </c>
      <c r="D682" s="132" t="s">
        <v>131</v>
      </c>
      <c r="F682" s="129">
        <v>1</v>
      </c>
      <c r="G682" s="126" t="s">
        <v>145</v>
      </c>
      <c r="H682" s="120" t="s">
        <v>890</v>
      </c>
      <c r="I682" s="196">
        <v>15</v>
      </c>
      <c r="J682" s="120" t="s">
        <v>145</v>
      </c>
      <c r="K682" s="129">
        <f>(F682*I682)</f>
        <v>15</v>
      </c>
      <c r="O682" s="120" t="s">
        <v>904</v>
      </c>
      <c r="R682" s="129">
        <f>SUM(R678:R680)</f>
        <v>17</v>
      </c>
      <c r="S682" s="118">
        <v>35.299999999999997</v>
      </c>
      <c r="T682" s="115" t="s">
        <v>41</v>
      </c>
      <c r="U682" s="115" t="s">
        <v>44</v>
      </c>
      <c r="V682" s="115">
        <f t="shared" si="87"/>
        <v>557.70000000000005</v>
      </c>
      <c r="X682" s="115">
        <f t="shared" si="88"/>
        <v>19686.810000000001</v>
      </c>
      <c r="AE682" s="137">
        <f>48.824*100</f>
        <v>4882.3999999999996</v>
      </c>
      <c r="AG682" s="120" t="s">
        <v>120</v>
      </c>
    </row>
    <row r="683" spans="1:33" ht="24" customHeight="1">
      <c r="A683" s="130">
        <f t="shared" si="78"/>
        <v>481</v>
      </c>
      <c r="B683" s="132" t="s">
        <v>905</v>
      </c>
      <c r="C683" s="140">
        <v>49.87</v>
      </c>
      <c r="D683" s="132" t="s">
        <v>131</v>
      </c>
      <c r="K683" s="123" t="s">
        <v>52</v>
      </c>
      <c r="R683" s="123" t="s">
        <v>52</v>
      </c>
      <c r="U683" s="114" t="s">
        <v>45</v>
      </c>
      <c r="X683" s="114">
        <f>SUM(X675:X682)</f>
        <v>84673.84</v>
      </c>
      <c r="AA683" s="118">
        <f>22.77+26.054</f>
        <v>48.823999999999998</v>
      </c>
      <c r="AE683" s="137">
        <f>0.52*100</f>
        <v>52</v>
      </c>
      <c r="AG683" s="120" t="s">
        <v>120</v>
      </c>
    </row>
    <row r="684" spans="1:33" ht="24" customHeight="1">
      <c r="A684" s="130">
        <f t="shared" si="78"/>
        <v>482</v>
      </c>
      <c r="B684" s="132" t="s">
        <v>906</v>
      </c>
      <c r="C684" s="140">
        <v>80</v>
      </c>
      <c r="D684" s="132" t="s">
        <v>131</v>
      </c>
      <c r="H684" s="120" t="s">
        <v>460</v>
      </c>
      <c r="K684" s="129">
        <f>SUM(K678:K682)</f>
        <v>480</v>
      </c>
      <c r="U684" s="114" t="s">
        <v>46</v>
      </c>
      <c r="X684" s="114">
        <f>X683/10</f>
        <v>8467.3799999999992</v>
      </c>
      <c r="Y684" s="115">
        <f>X684</f>
        <v>8467.3799999999992</v>
      </c>
      <c r="AC684" s="115">
        <f>26.19*0.02</f>
        <v>0.52</v>
      </c>
      <c r="AE684" s="137">
        <f>0.397*100</f>
        <v>39.700000000000003</v>
      </c>
      <c r="AF684" s="115">
        <f>AE681+AE682+AE683+AE684</f>
        <v>8206.1</v>
      </c>
      <c r="AG684" s="120" t="s">
        <v>120</v>
      </c>
    </row>
    <row r="685" spans="1:33" ht="24" customHeight="1">
      <c r="A685" s="130">
        <f t="shared" si="78"/>
        <v>483</v>
      </c>
      <c r="B685" s="132" t="s">
        <v>908</v>
      </c>
      <c r="C685" s="140">
        <v>52</v>
      </c>
      <c r="D685" s="132" t="s">
        <v>131</v>
      </c>
      <c r="H685" s="120" t="s">
        <v>896</v>
      </c>
      <c r="K685" s="123" t="s">
        <v>89</v>
      </c>
      <c r="N685" s="120" t="s">
        <v>111</v>
      </c>
      <c r="O685" s="120" t="s">
        <v>910</v>
      </c>
      <c r="S685" s="118">
        <v>1</v>
      </c>
      <c r="T685" s="115" t="s">
        <v>34</v>
      </c>
      <c r="U685" s="115" t="s">
        <v>47</v>
      </c>
      <c r="V685" s="115">
        <f t="shared" si="87"/>
        <v>98.34</v>
      </c>
      <c r="X685" s="115">
        <f>V685</f>
        <v>98.34</v>
      </c>
      <c r="AC685" s="118">
        <f>9.92*0.04</f>
        <v>0.39700000000000002</v>
      </c>
      <c r="AE685" s="137" t="str">
        <f t="shared" ref="AE685:AE748" si="89">AG685</f>
        <v>|</v>
      </c>
      <c r="AG685" s="120" t="s">
        <v>120</v>
      </c>
    </row>
    <row r="686" spans="1:33" ht="24" customHeight="1">
      <c r="A686" s="130">
        <f t="shared" si="78"/>
        <v>484</v>
      </c>
      <c r="B686" s="132" t="s">
        <v>911</v>
      </c>
      <c r="C686" s="140">
        <v>39</v>
      </c>
      <c r="D686" s="132" t="s">
        <v>131</v>
      </c>
      <c r="H686" s="120" t="s">
        <v>53</v>
      </c>
      <c r="I686" s="115">
        <f>K684</f>
        <v>480</v>
      </c>
      <c r="J686" s="117">
        <f>C19*0.05</f>
        <v>4.1100000000000003</v>
      </c>
      <c r="K686" s="127">
        <f>I686+J686</f>
        <v>484.11</v>
      </c>
      <c r="O686" s="120" t="s">
        <v>893</v>
      </c>
      <c r="U686" s="115" t="s">
        <v>48</v>
      </c>
      <c r="X686" s="114">
        <f>SUM(X684:X685)</f>
        <v>8565.7199999999993</v>
      </c>
      <c r="Y686" s="115">
        <f>SUM(Y684:Y685)</f>
        <v>8467.3799999999992</v>
      </c>
      <c r="AE686" s="137" t="str">
        <f t="shared" si="89"/>
        <v>|</v>
      </c>
      <c r="AF686" s="115">
        <f>SUM(AF684:AF685)</f>
        <v>8206.1</v>
      </c>
      <c r="AG686" s="120" t="s">
        <v>120</v>
      </c>
    </row>
    <row r="687" spans="1:33" ht="24" customHeight="1">
      <c r="A687" s="130">
        <f t="shared" si="78"/>
        <v>485</v>
      </c>
      <c r="B687" s="132" t="s">
        <v>912</v>
      </c>
      <c r="C687" s="140">
        <v>90</v>
      </c>
      <c r="D687" s="132" t="s">
        <v>131</v>
      </c>
      <c r="H687" s="120" t="s">
        <v>54</v>
      </c>
      <c r="I687" s="115">
        <f>K686</f>
        <v>484.11</v>
      </c>
      <c r="J687" s="117">
        <f>C20*0.05</f>
        <v>8.3000000000000007</v>
      </c>
      <c r="K687" s="127">
        <f>I687+J687</f>
        <v>492.41</v>
      </c>
      <c r="O687" s="123" t="s">
        <v>52</v>
      </c>
      <c r="S687" s="241" t="s">
        <v>49</v>
      </c>
      <c r="U687" s="115" t="s">
        <v>50</v>
      </c>
      <c r="V687" s="241" t="s">
        <v>49</v>
      </c>
      <c r="X687" s="115">
        <f>X686*0.5%</f>
        <v>42.83</v>
      </c>
      <c r="Y687" s="115">
        <f>Y686*0.5/100</f>
        <v>42.34</v>
      </c>
      <c r="AE687" s="137" t="str">
        <f t="shared" si="89"/>
        <v>|</v>
      </c>
      <c r="AF687" s="115">
        <f>AF686/185.82</f>
        <v>44.16</v>
      </c>
      <c r="AG687" s="120" t="s">
        <v>120</v>
      </c>
    </row>
    <row r="688" spans="1:33" ht="30.75" customHeight="1">
      <c r="A688" s="130">
        <f t="shared" si="78"/>
        <v>486</v>
      </c>
      <c r="B688" s="132" t="s">
        <v>913</v>
      </c>
      <c r="C688" s="140">
        <v>60</v>
      </c>
      <c r="D688" s="132" t="s">
        <v>131</v>
      </c>
      <c r="H688" s="120" t="s">
        <v>55</v>
      </c>
      <c r="I688" s="115">
        <f>K687</f>
        <v>492.41</v>
      </c>
      <c r="J688" s="117">
        <f>J687</f>
        <v>8.3000000000000007</v>
      </c>
      <c r="K688" s="127">
        <f>I688+J688</f>
        <v>500.71</v>
      </c>
      <c r="M688" s="129">
        <v>1</v>
      </c>
      <c r="N688" s="120" t="s">
        <v>131</v>
      </c>
      <c r="O688" s="120" t="s">
        <v>914</v>
      </c>
      <c r="P688" s="129">
        <f>(C384)</f>
        <v>17.579999999999998</v>
      </c>
      <c r="Q688" s="120" t="s">
        <v>131</v>
      </c>
      <c r="R688" s="129">
        <f>(M688*P688)</f>
        <v>17.579999999999998</v>
      </c>
      <c r="T688" s="116"/>
      <c r="U688" s="114" t="s">
        <v>51</v>
      </c>
      <c r="X688" s="127">
        <f>SUM(X686:X687)</f>
        <v>8608.5499999999993</v>
      </c>
      <c r="Y688" s="114">
        <f>SUM(Y686:Y687)</f>
        <v>8509.7199999999993</v>
      </c>
      <c r="Z688" s="242" t="s">
        <v>4189</v>
      </c>
      <c r="AE688" s="137" t="str">
        <f t="shared" si="89"/>
        <v>|</v>
      </c>
      <c r="AF688" s="115">
        <f>AF686/1000</f>
        <v>8.2100000000000009</v>
      </c>
      <c r="AG688" s="120" t="s">
        <v>120</v>
      </c>
    </row>
    <row r="689" spans="1:33" ht="17.25" customHeight="1">
      <c r="A689" s="130">
        <f t="shared" si="78"/>
        <v>487</v>
      </c>
      <c r="B689" s="132" t="s">
        <v>915</v>
      </c>
      <c r="C689" s="140">
        <v>43.5</v>
      </c>
      <c r="D689" s="132" t="s">
        <v>131</v>
      </c>
      <c r="H689" s="120" t="s">
        <v>56</v>
      </c>
      <c r="I689" s="115">
        <f>K688</f>
        <v>500.71</v>
      </c>
      <c r="J689" s="117">
        <f>J688</f>
        <v>8.3000000000000007</v>
      </c>
      <c r="K689" s="127">
        <f>I689+J689</f>
        <v>509.01</v>
      </c>
      <c r="N689" s="120" t="s">
        <v>145</v>
      </c>
      <c r="O689" s="120" t="s">
        <v>899</v>
      </c>
      <c r="Q689" s="120" t="s">
        <v>145</v>
      </c>
      <c r="R689" s="129">
        <v>2.09</v>
      </c>
      <c r="T689" s="116"/>
      <c r="X689" s="123" t="s">
        <v>52</v>
      </c>
      <c r="AE689" s="137" t="str">
        <f t="shared" si="89"/>
        <v>|</v>
      </c>
      <c r="AF689" s="115">
        <f>185.82*10.764</f>
        <v>2000.17</v>
      </c>
      <c r="AG689" s="120" t="s">
        <v>120</v>
      </c>
    </row>
    <row r="690" spans="1:33" ht="24" customHeight="1">
      <c r="A690" s="130">
        <f t="shared" si="78"/>
        <v>488</v>
      </c>
      <c r="B690" s="132" t="s">
        <v>916</v>
      </c>
      <c r="C690" s="140">
        <v>75</v>
      </c>
      <c r="D690" s="132" t="s">
        <v>131</v>
      </c>
      <c r="H690" s="120" t="s">
        <v>747</v>
      </c>
      <c r="I690" s="115">
        <f>K689</f>
        <v>509.01</v>
      </c>
      <c r="J690" s="117">
        <f>J689</f>
        <v>8.3000000000000007</v>
      </c>
      <c r="K690" s="127">
        <f>I690+J690</f>
        <v>517.30999999999995</v>
      </c>
      <c r="O690" s="120" t="s">
        <v>901</v>
      </c>
      <c r="R690" s="120" t="s">
        <v>85</v>
      </c>
      <c r="T690" s="116"/>
      <c r="U690" s="120" t="s">
        <v>53</v>
      </c>
      <c r="X690" s="127">
        <f>(X688+C22)</f>
        <v>8733.51</v>
      </c>
      <c r="AE690" s="137" t="str">
        <f t="shared" si="89"/>
        <v>|</v>
      </c>
      <c r="AF690" s="115">
        <f>AF686/AF689</f>
        <v>4.0999999999999996</v>
      </c>
      <c r="AG690" s="120" t="s">
        <v>120</v>
      </c>
    </row>
    <row r="691" spans="1:33" ht="24" customHeight="1">
      <c r="A691" s="130">
        <f t="shared" si="78"/>
        <v>489</v>
      </c>
      <c r="B691" s="132" t="s">
        <v>918</v>
      </c>
      <c r="C691" s="140">
        <v>52</v>
      </c>
      <c r="D691" s="132" t="s">
        <v>131</v>
      </c>
      <c r="F691" s="121" t="s">
        <v>907</v>
      </c>
      <c r="H691" s="120" t="s">
        <v>864</v>
      </c>
      <c r="R691" s="123" t="s">
        <v>52</v>
      </c>
      <c r="T691" s="116"/>
      <c r="U691" s="120" t="s">
        <v>54</v>
      </c>
      <c r="X691" s="127">
        <f>(X690+C24)</f>
        <v>8979.69</v>
      </c>
      <c r="AE691" s="137" t="str">
        <f t="shared" si="89"/>
        <v>|</v>
      </c>
      <c r="AF691" s="115">
        <f>924.2/8.21</f>
        <v>112.57</v>
      </c>
      <c r="AG691" s="120" t="s">
        <v>120</v>
      </c>
    </row>
    <row r="692" spans="1:33" ht="24" customHeight="1">
      <c r="A692" s="130">
        <f t="shared" si="78"/>
        <v>490</v>
      </c>
      <c r="B692" s="132" t="s">
        <v>911</v>
      </c>
      <c r="C692" s="140">
        <v>35.25</v>
      </c>
      <c r="D692" s="132" t="s">
        <v>131</v>
      </c>
      <c r="H692" s="120" t="s">
        <v>909</v>
      </c>
      <c r="O692" s="120" t="s">
        <v>904</v>
      </c>
      <c r="R692" s="129">
        <f>SUM(R688:R690)</f>
        <v>19.670000000000002</v>
      </c>
      <c r="T692" s="116"/>
      <c r="U692" s="120" t="s">
        <v>55</v>
      </c>
      <c r="X692" s="127">
        <f>(X691+C24)</f>
        <v>9225.8700000000008</v>
      </c>
      <c r="AE692" s="137" t="str">
        <f t="shared" si="89"/>
        <v>|</v>
      </c>
      <c r="AG692" s="120" t="s">
        <v>120</v>
      </c>
    </row>
    <row r="693" spans="1:33" ht="24" customHeight="1">
      <c r="A693" s="130">
        <f t="shared" si="78"/>
        <v>491</v>
      </c>
      <c r="B693" s="132" t="s">
        <v>920</v>
      </c>
      <c r="C693" s="140">
        <v>37.5</v>
      </c>
      <c r="D693" s="132" t="s">
        <v>131</v>
      </c>
      <c r="H693" s="120" t="s">
        <v>871</v>
      </c>
      <c r="R693" s="123" t="s">
        <v>52</v>
      </c>
      <c r="T693" s="116"/>
      <c r="U693" s="120" t="s">
        <v>56</v>
      </c>
      <c r="X693" s="127">
        <f>(X692+C24)</f>
        <v>9472.0499999999993</v>
      </c>
      <c r="AE693" s="137" t="str">
        <f t="shared" si="89"/>
        <v>|</v>
      </c>
      <c r="AG693" s="120" t="s">
        <v>120</v>
      </c>
    </row>
    <row r="694" spans="1:33" ht="24" customHeight="1">
      <c r="A694" s="130">
        <f t="shared" si="78"/>
        <v>492</v>
      </c>
      <c r="B694" s="132" t="s">
        <v>921</v>
      </c>
      <c r="C694" s="140">
        <v>24</v>
      </c>
      <c r="D694" s="132" t="s">
        <v>131</v>
      </c>
      <c r="H694" s="120" t="s">
        <v>875</v>
      </c>
      <c r="O694" s="115" t="s">
        <v>88</v>
      </c>
      <c r="T694" s="116"/>
      <c r="U694" s="120" t="s">
        <v>57</v>
      </c>
      <c r="X694" s="127">
        <f>(X693+C24)</f>
        <v>9718.23</v>
      </c>
      <c r="AE694" s="137" t="str">
        <f t="shared" si="89"/>
        <v>|</v>
      </c>
      <c r="AG694" s="120" t="s">
        <v>120</v>
      </c>
    </row>
    <row r="695" spans="1:33" ht="24" customHeight="1">
      <c r="A695" s="130">
        <f t="shared" si="78"/>
        <v>493</v>
      </c>
      <c r="B695" s="132" t="s">
        <v>922</v>
      </c>
      <c r="C695" s="140">
        <v>16</v>
      </c>
      <c r="D695" s="132" t="s">
        <v>131</v>
      </c>
      <c r="H695" s="120" t="s">
        <v>878</v>
      </c>
      <c r="N695" s="120" t="s">
        <v>111</v>
      </c>
      <c r="O695" s="120" t="s">
        <v>923</v>
      </c>
      <c r="X695" s="115">
        <f>X694+C24</f>
        <v>9964.41</v>
      </c>
      <c r="AE695" s="137" t="str">
        <f t="shared" si="89"/>
        <v>|</v>
      </c>
      <c r="AG695" s="120" t="s">
        <v>120</v>
      </c>
    </row>
    <row r="696" spans="1:33" ht="24" customHeight="1">
      <c r="A696" s="130">
        <f t="shared" si="78"/>
        <v>494</v>
      </c>
      <c r="B696" s="120" t="s">
        <v>4190</v>
      </c>
      <c r="C696" s="137">
        <v>32.1</v>
      </c>
      <c r="D696" s="132" t="s">
        <v>131</v>
      </c>
      <c r="H696" s="120" t="s">
        <v>880</v>
      </c>
      <c r="O696" s="120" t="s">
        <v>893</v>
      </c>
      <c r="X696" s="115">
        <f>X695+C24</f>
        <v>10210.59</v>
      </c>
      <c r="AE696" s="137" t="str">
        <f t="shared" si="89"/>
        <v>|</v>
      </c>
      <c r="AG696" s="120" t="s">
        <v>120</v>
      </c>
    </row>
    <row r="697" spans="1:33" ht="24" customHeight="1">
      <c r="A697" s="130">
        <f t="shared" si="78"/>
        <v>495</v>
      </c>
      <c r="B697" s="132" t="s">
        <v>4191</v>
      </c>
      <c r="C697" s="140">
        <v>6</v>
      </c>
      <c r="D697" s="132" t="s">
        <v>131</v>
      </c>
      <c r="H697" s="120" t="s">
        <v>917</v>
      </c>
      <c r="O697" s="123" t="s">
        <v>52</v>
      </c>
      <c r="X697" s="115">
        <f>X696+C24</f>
        <v>10456.77</v>
      </c>
      <c r="AE697" s="137" t="str">
        <f t="shared" si="89"/>
        <v>|</v>
      </c>
      <c r="AG697" s="120" t="s">
        <v>120</v>
      </c>
    </row>
    <row r="698" spans="1:33" ht="24" customHeight="1">
      <c r="A698" s="130">
        <f t="shared" si="78"/>
        <v>496</v>
      </c>
      <c r="B698" s="132" t="s">
        <v>4192</v>
      </c>
      <c r="C698" s="131">
        <v>152.5</v>
      </c>
      <c r="D698" s="132" t="s">
        <v>282</v>
      </c>
      <c r="E698" s="162">
        <v>98.6</v>
      </c>
      <c r="F698" s="115" t="s">
        <v>4193</v>
      </c>
      <c r="H698" s="123" t="s">
        <v>52</v>
      </c>
      <c r="I698" s="123" t="s">
        <v>52</v>
      </c>
      <c r="M698" s="129">
        <v>1</v>
      </c>
      <c r="N698" s="120" t="s">
        <v>131</v>
      </c>
      <c r="O698" s="120" t="s">
        <v>927</v>
      </c>
      <c r="P698" s="129">
        <f>(C385)</f>
        <v>19.3</v>
      </c>
      <c r="Q698" s="120" t="s">
        <v>131</v>
      </c>
      <c r="R698" s="129">
        <f>(M698*P698)</f>
        <v>19.3</v>
      </c>
      <c r="X698" s="115">
        <f>X697+C24</f>
        <v>10702.95</v>
      </c>
      <c r="AE698" s="137" t="str">
        <f t="shared" si="89"/>
        <v>|</v>
      </c>
      <c r="AG698" s="120" t="s">
        <v>120</v>
      </c>
    </row>
    <row r="699" spans="1:33" ht="24" customHeight="1">
      <c r="A699" s="130">
        <f t="shared" si="78"/>
        <v>497</v>
      </c>
      <c r="B699" s="120" t="s">
        <v>4194</v>
      </c>
      <c r="C699" s="239">
        <v>366</v>
      </c>
      <c r="D699" s="132" t="s">
        <v>131</v>
      </c>
      <c r="F699" s="129">
        <v>1</v>
      </c>
      <c r="G699" s="126" t="s">
        <v>425</v>
      </c>
      <c r="H699" s="120" t="s">
        <v>919</v>
      </c>
      <c r="I699" s="129">
        <f>C76</f>
        <v>460</v>
      </c>
      <c r="J699" s="120" t="s">
        <v>425</v>
      </c>
      <c r="K699" s="129">
        <f>(F699*I699)</f>
        <v>460</v>
      </c>
      <c r="N699" s="120" t="s">
        <v>145</v>
      </c>
      <c r="O699" s="120" t="s">
        <v>899</v>
      </c>
      <c r="Q699" s="120" t="s">
        <v>145</v>
      </c>
      <c r="R699" s="129">
        <v>2.09</v>
      </c>
      <c r="X699" s="115">
        <f>X698+C24</f>
        <v>10949.13</v>
      </c>
      <c r="AE699" s="137" t="str">
        <f t="shared" si="89"/>
        <v>|</v>
      </c>
      <c r="AG699" s="120" t="s">
        <v>120</v>
      </c>
    </row>
    <row r="700" spans="1:33" ht="24" customHeight="1">
      <c r="A700" s="130">
        <f t="shared" si="78"/>
        <v>498</v>
      </c>
      <c r="B700" s="120" t="s">
        <v>929</v>
      </c>
      <c r="C700" s="239">
        <v>256</v>
      </c>
      <c r="D700" s="132" t="s">
        <v>131</v>
      </c>
      <c r="F700" s="129">
        <v>1</v>
      </c>
      <c r="G700" s="126" t="s">
        <v>425</v>
      </c>
      <c r="H700" s="120" t="s">
        <v>887</v>
      </c>
      <c r="I700" s="129">
        <f>C75</f>
        <v>175</v>
      </c>
      <c r="J700" s="120" t="s">
        <v>425</v>
      </c>
      <c r="K700" s="129">
        <f>(F700*I700)</f>
        <v>175</v>
      </c>
      <c r="O700" s="120" t="s">
        <v>901</v>
      </c>
      <c r="R700" s="120" t="s">
        <v>85</v>
      </c>
      <c r="X700" s="115">
        <f>X699+C24</f>
        <v>11195.31</v>
      </c>
      <c r="AE700" s="137" t="str">
        <f t="shared" si="89"/>
        <v>|</v>
      </c>
      <c r="AG700" s="120" t="s">
        <v>120</v>
      </c>
    </row>
    <row r="701" spans="1:33" ht="24" customHeight="1">
      <c r="A701" s="130">
        <f t="shared" si="78"/>
        <v>499</v>
      </c>
      <c r="B701" s="120" t="s">
        <v>930</v>
      </c>
      <c r="C701" s="239">
        <v>768.6</v>
      </c>
      <c r="D701" s="132" t="s">
        <v>131</v>
      </c>
      <c r="F701" s="129">
        <v>1</v>
      </c>
      <c r="G701" s="126" t="s">
        <v>145</v>
      </c>
      <c r="H701" s="120" t="s">
        <v>890</v>
      </c>
      <c r="I701" s="196">
        <v>15</v>
      </c>
      <c r="J701" s="120" t="s">
        <v>145</v>
      </c>
      <c r="K701" s="129">
        <f>(F701*I701)</f>
        <v>15</v>
      </c>
      <c r="R701" s="123" t="s">
        <v>52</v>
      </c>
      <c r="X701" s="115">
        <f>X700+C24</f>
        <v>11441.49</v>
      </c>
      <c r="AE701" s="137" t="str">
        <f t="shared" si="89"/>
        <v>|</v>
      </c>
      <c r="AG701" s="120" t="s">
        <v>120</v>
      </c>
    </row>
    <row r="702" spans="1:33" ht="24" customHeight="1">
      <c r="A702" s="130">
        <f t="shared" si="78"/>
        <v>500</v>
      </c>
      <c r="B702" s="120" t="s">
        <v>931</v>
      </c>
      <c r="C702" s="239">
        <v>129</v>
      </c>
      <c r="D702" s="132" t="s">
        <v>131</v>
      </c>
      <c r="H702" s="120" t="s">
        <v>146</v>
      </c>
      <c r="J702" s="120" t="s">
        <v>145</v>
      </c>
      <c r="K702" s="129">
        <v>0</v>
      </c>
      <c r="O702" s="120" t="s">
        <v>904</v>
      </c>
      <c r="R702" s="129">
        <f>SUM(R698:R700)</f>
        <v>21.39</v>
      </c>
      <c r="X702" s="115">
        <f>X701+C24</f>
        <v>11687.67</v>
      </c>
      <c r="AE702" s="137" t="str">
        <f t="shared" si="89"/>
        <v>|</v>
      </c>
      <c r="AG702" s="120" t="s">
        <v>120</v>
      </c>
    </row>
    <row r="703" spans="1:33" ht="24" customHeight="1">
      <c r="A703" s="130">
        <f t="shared" si="78"/>
        <v>501</v>
      </c>
      <c r="B703" s="120" t="s">
        <v>932</v>
      </c>
      <c r="C703" s="239">
        <v>515.54999999999995</v>
      </c>
      <c r="D703" s="132" t="s">
        <v>131</v>
      </c>
      <c r="K703" s="123" t="s">
        <v>52</v>
      </c>
      <c r="R703" s="123" t="s">
        <v>52</v>
      </c>
      <c r="AE703" s="137" t="str">
        <f t="shared" si="89"/>
        <v>|</v>
      </c>
      <c r="AG703" s="120" t="s">
        <v>120</v>
      </c>
    </row>
    <row r="704" spans="1:33" ht="24" customHeight="1">
      <c r="A704" s="138"/>
      <c r="B704" s="115" t="s">
        <v>4195</v>
      </c>
      <c r="C704" s="162">
        <v>3325</v>
      </c>
      <c r="D704" s="138" t="s">
        <v>425</v>
      </c>
      <c r="H704" s="120" t="s">
        <v>460</v>
      </c>
      <c r="K704" s="129">
        <f>SUM(K699:K702)</f>
        <v>650</v>
      </c>
      <c r="U704" s="114" t="s">
        <v>33</v>
      </c>
      <c r="AE704" s="137" t="str">
        <f t="shared" si="89"/>
        <v>|</v>
      </c>
      <c r="AG704" s="120" t="s">
        <v>120</v>
      </c>
    </row>
    <row r="705" spans="1:33" ht="24" customHeight="1">
      <c r="A705" s="130">
        <f>(A703+1)</f>
        <v>502</v>
      </c>
      <c r="B705" s="120" t="s">
        <v>933</v>
      </c>
      <c r="C705" s="239">
        <v>254</v>
      </c>
      <c r="D705" s="132" t="s">
        <v>131</v>
      </c>
      <c r="H705" s="120" t="s">
        <v>896</v>
      </c>
      <c r="K705" s="123" t="s">
        <v>89</v>
      </c>
      <c r="S705" s="118">
        <v>5</v>
      </c>
      <c r="T705" s="115" t="s">
        <v>34</v>
      </c>
      <c r="U705" s="115" t="s">
        <v>35</v>
      </c>
      <c r="V705" s="115">
        <f>AC14</f>
        <v>1729.98</v>
      </c>
      <c r="X705" s="115">
        <f>V705*S705</f>
        <v>8649.9</v>
      </c>
      <c r="Z705" s="115">
        <f>X705</f>
        <v>8649.9</v>
      </c>
      <c r="AE705" s="137" t="str">
        <f t="shared" si="89"/>
        <v>|</v>
      </c>
      <c r="AG705" s="120" t="s">
        <v>120</v>
      </c>
    </row>
    <row r="706" spans="1:33" ht="24" customHeight="1">
      <c r="A706" s="130">
        <f t="shared" ref="A706:A763" si="90">(A705+1)</f>
        <v>503</v>
      </c>
      <c r="B706" s="120" t="s">
        <v>934</v>
      </c>
      <c r="C706" s="239">
        <v>315</v>
      </c>
      <c r="D706" s="132" t="s">
        <v>131</v>
      </c>
      <c r="H706" s="120" t="s">
        <v>53</v>
      </c>
      <c r="I706" s="115">
        <f>K704</f>
        <v>650</v>
      </c>
      <c r="J706" s="120">
        <f>C19*0.11</f>
        <v>9.0500000000000007</v>
      </c>
      <c r="K706" s="127">
        <f>I706+J706</f>
        <v>659.05</v>
      </c>
      <c r="N706" s="120" t="s">
        <v>111</v>
      </c>
      <c r="O706" s="120" t="s">
        <v>936</v>
      </c>
      <c r="S706" s="118">
        <v>3.3</v>
      </c>
      <c r="T706" s="115" t="s">
        <v>34</v>
      </c>
      <c r="U706" s="115" t="s">
        <v>36</v>
      </c>
      <c r="V706" s="115">
        <f>(AC12+AC13)/2</f>
        <v>1444.48</v>
      </c>
      <c r="X706" s="115">
        <f t="shared" ref="X706:X712" si="91">V706*S706</f>
        <v>4766.78</v>
      </c>
      <c r="Z706" s="115">
        <f t="shared" ref="Z706:Z714" si="92">X706</f>
        <v>4766.78</v>
      </c>
      <c r="AE706" s="137" t="str">
        <f t="shared" si="89"/>
        <v>|</v>
      </c>
      <c r="AG706" s="120" t="s">
        <v>120</v>
      </c>
    </row>
    <row r="707" spans="1:33" ht="24" customHeight="1">
      <c r="A707" s="130">
        <f t="shared" si="90"/>
        <v>504</v>
      </c>
      <c r="B707" s="120" t="s">
        <v>937</v>
      </c>
      <c r="C707" s="239">
        <v>306</v>
      </c>
      <c r="D707" s="132" t="s">
        <v>131</v>
      </c>
      <c r="H707" s="120" t="s">
        <v>54</v>
      </c>
      <c r="I707" s="115">
        <f>K706</f>
        <v>659.05</v>
      </c>
      <c r="J707" s="117">
        <f>C20*0.11</f>
        <v>18.260000000000002</v>
      </c>
      <c r="K707" s="127">
        <f>I707+J707</f>
        <v>677.31</v>
      </c>
      <c r="O707" s="120" t="s">
        <v>939</v>
      </c>
      <c r="S707" s="118">
        <v>4.79</v>
      </c>
      <c r="T707" s="115" t="s">
        <v>34</v>
      </c>
      <c r="U707" s="115" t="s">
        <v>37</v>
      </c>
      <c r="V707" s="115">
        <f>V644</f>
        <v>1642.42</v>
      </c>
      <c r="X707" s="115">
        <f t="shared" si="91"/>
        <v>7867.19</v>
      </c>
      <c r="Z707" s="115">
        <f t="shared" si="92"/>
        <v>7867.19</v>
      </c>
      <c r="AE707" s="137" t="str">
        <f t="shared" si="89"/>
        <v>|</v>
      </c>
      <c r="AG707" s="120" t="s">
        <v>120</v>
      </c>
    </row>
    <row r="708" spans="1:33" ht="24" customHeight="1">
      <c r="A708" s="130">
        <f t="shared" si="90"/>
        <v>505</v>
      </c>
      <c r="B708" s="120" t="s">
        <v>940</v>
      </c>
      <c r="C708" s="239">
        <v>274</v>
      </c>
      <c r="D708" s="132" t="s">
        <v>131</v>
      </c>
      <c r="H708" s="120" t="s">
        <v>55</v>
      </c>
      <c r="I708" s="115">
        <f>K707</f>
        <v>677.31</v>
      </c>
      <c r="J708" s="117">
        <f>J707</f>
        <v>18.260000000000002</v>
      </c>
      <c r="K708" s="127">
        <f>I708+J708</f>
        <v>695.57</v>
      </c>
      <c r="O708" s="123" t="s">
        <v>52</v>
      </c>
      <c r="S708" s="118">
        <v>3.25</v>
      </c>
      <c r="T708" s="115" t="s">
        <v>11</v>
      </c>
      <c r="U708" s="115" t="s">
        <v>38</v>
      </c>
      <c r="V708" s="115">
        <f>V643</f>
        <v>6040</v>
      </c>
      <c r="X708" s="115">
        <f t="shared" si="91"/>
        <v>19630</v>
      </c>
      <c r="Z708" s="115">
        <f t="shared" si="92"/>
        <v>19630</v>
      </c>
      <c r="AE708" s="137" t="str">
        <f t="shared" si="89"/>
        <v>|</v>
      </c>
      <c r="AG708" s="120" t="s">
        <v>120</v>
      </c>
    </row>
    <row r="709" spans="1:33" ht="30.75" customHeight="1">
      <c r="A709" s="130">
        <f t="shared" si="90"/>
        <v>506</v>
      </c>
      <c r="B709" s="120" t="s">
        <v>942</v>
      </c>
      <c r="C709" s="239">
        <v>266</v>
      </c>
      <c r="D709" s="132" t="s">
        <v>131</v>
      </c>
      <c r="H709" s="120" t="s">
        <v>56</v>
      </c>
      <c r="I709" s="115">
        <f>K708</f>
        <v>695.57</v>
      </c>
      <c r="J709" s="117">
        <f>J708</f>
        <v>18.260000000000002</v>
      </c>
      <c r="K709" s="127">
        <f>I709+J709</f>
        <v>713.83</v>
      </c>
      <c r="M709" s="129">
        <v>1</v>
      </c>
      <c r="N709" s="120" t="s">
        <v>131</v>
      </c>
      <c r="O709" s="120" t="s">
        <v>943</v>
      </c>
      <c r="P709" s="129">
        <f>(C393/1*0.3)</f>
        <v>38.4</v>
      </c>
      <c r="Q709" s="120" t="s">
        <v>131</v>
      </c>
      <c r="R709" s="129">
        <f>(M709*P709)</f>
        <v>38.4</v>
      </c>
      <c r="S709" s="118">
        <f>3250*0.6%</f>
        <v>19.5</v>
      </c>
      <c r="T709" s="115" t="s">
        <v>39</v>
      </c>
      <c r="U709" s="184" t="s">
        <v>40</v>
      </c>
      <c r="V709" s="115">
        <f>V648</f>
        <v>43.2</v>
      </c>
      <c r="X709" s="115">
        <f t="shared" si="91"/>
        <v>842.4</v>
      </c>
      <c r="Z709" s="115">
        <f t="shared" si="92"/>
        <v>842.4</v>
      </c>
      <c r="AE709" s="137" t="str">
        <f t="shared" si="89"/>
        <v>|</v>
      </c>
      <c r="AG709" s="120" t="s">
        <v>120</v>
      </c>
    </row>
    <row r="710" spans="1:33" ht="24" customHeight="1">
      <c r="A710" s="130">
        <f t="shared" si="90"/>
        <v>507</v>
      </c>
      <c r="B710" s="132" t="s">
        <v>944</v>
      </c>
      <c r="C710" s="140">
        <v>107.64</v>
      </c>
      <c r="D710" s="132" t="s">
        <v>425</v>
      </c>
      <c r="H710" s="120" t="s">
        <v>747</v>
      </c>
      <c r="I710" s="115">
        <f>K709</f>
        <v>713.83</v>
      </c>
      <c r="J710" s="117">
        <f>J709</f>
        <v>18.260000000000002</v>
      </c>
      <c r="K710" s="127">
        <f>I710+J710</f>
        <v>732.09</v>
      </c>
      <c r="N710" s="120" t="s">
        <v>145</v>
      </c>
      <c r="O710" s="120" t="s">
        <v>899</v>
      </c>
      <c r="Q710" s="120" t="s">
        <v>145</v>
      </c>
      <c r="R710" s="129">
        <v>1.65</v>
      </c>
      <c r="S710" s="118">
        <v>3.5</v>
      </c>
      <c r="T710" s="115" t="s">
        <v>41</v>
      </c>
      <c r="U710" s="115" t="s">
        <v>42</v>
      </c>
      <c r="V710" s="115">
        <f>C11</f>
        <v>972.4</v>
      </c>
      <c r="W710" s="119">
        <f>J719</f>
        <v>0</v>
      </c>
      <c r="X710" s="115">
        <f t="shared" si="91"/>
        <v>3403.4</v>
      </c>
      <c r="Z710" s="115">
        <f t="shared" si="92"/>
        <v>3403.4</v>
      </c>
      <c r="AE710" s="137" t="str">
        <f t="shared" si="89"/>
        <v>|</v>
      </c>
      <c r="AG710" s="120" t="s">
        <v>120</v>
      </c>
    </row>
    <row r="711" spans="1:33" ht="24" customHeight="1">
      <c r="A711" s="130">
        <f t="shared" si="90"/>
        <v>508</v>
      </c>
      <c r="B711" s="132" t="s">
        <v>946</v>
      </c>
      <c r="C711" s="138"/>
      <c r="D711" s="138"/>
      <c r="F711" s="120" t="s">
        <v>85</v>
      </c>
      <c r="O711" s="120" t="s">
        <v>901</v>
      </c>
      <c r="R711" s="120" t="s">
        <v>85</v>
      </c>
      <c r="S711" s="118">
        <v>21.2</v>
      </c>
      <c r="T711" s="115" t="s">
        <v>41</v>
      </c>
      <c r="U711" s="115" t="s">
        <v>43</v>
      </c>
      <c r="V711" s="115">
        <f>C12</f>
        <v>679.8</v>
      </c>
      <c r="X711" s="115">
        <f t="shared" si="91"/>
        <v>14411.76</v>
      </c>
      <c r="Z711" s="115">
        <f t="shared" si="92"/>
        <v>14411.76</v>
      </c>
      <c r="AE711" s="137" t="str">
        <f t="shared" si="89"/>
        <v>|</v>
      </c>
      <c r="AG711" s="120" t="s">
        <v>120</v>
      </c>
    </row>
    <row r="712" spans="1:33" ht="24" customHeight="1">
      <c r="A712" s="130">
        <f t="shared" si="90"/>
        <v>509</v>
      </c>
      <c r="B712" s="132" t="s">
        <v>948</v>
      </c>
      <c r="C712" s="140">
        <v>11.55</v>
      </c>
      <c r="D712" s="132" t="s">
        <v>131</v>
      </c>
      <c r="R712" s="123" t="s">
        <v>52</v>
      </c>
      <c r="S712" s="118">
        <v>35.299999999999997</v>
      </c>
      <c r="T712" s="115" t="s">
        <v>41</v>
      </c>
      <c r="U712" s="115" t="s">
        <v>44</v>
      </c>
      <c r="V712" s="115">
        <f>C13</f>
        <v>557.70000000000005</v>
      </c>
      <c r="X712" s="115">
        <f t="shared" si="91"/>
        <v>19686.810000000001</v>
      </c>
      <c r="Z712" s="115">
        <f t="shared" si="92"/>
        <v>19686.810000000001</v>
      </c>
      <c r="AE712" s="137" t="str">
        <f t="shared" si="89"/>
        <v>|</v>
      </c>
      <c r="AG712" s="120" t="s">
        <v>120</v>
      </c>
    </row>
    <row r="713" spans="1:33" ht="24" customHeight="1">
      <c r="A713" s="130">
        <f t="shared" si="90"/>
        <v>510</v>
      </c>
      <c r="B713" s="132" t="s">
        <v>589</v>
      </c>
      <c r="C713" s="140">
        <v>16.399999999999999</v>
      </c>
      <c r="D713" s="132" t="s">
        <v>131</v>
      </c>
      <c r="F713" s="121" t="s">
        <v>219</v>
      </c>
      <c r="H713" s="120" t="s">
        <v>935</v>
      </c>
      <c r="O713" s="120" t="s">
        <v>904</v>
      </c>
      <c r="R713" s="129">
        <f>SUM(R709:R711)</f>
        <v>40.049999999999997</v>
      </c>
      <c r="U713" s="115" t="s">
        <v>45</v>
      </c>
      <c r="V713" s="115">
        <f>V683</f>
        <v>0</v>
      </c>
      <c r="X713" s="114">
        <f>SUM(X705:X712)</f>
        <v>79258.240000000005</v>
      </c>
      <c r="Z713" s="115">
        <f t="shared" si="92"/>
        <v>79258.240000000005</v>
      </c>
      <c r="AE713" s="137" t="str">
        <f t="shared" si="89"/>
        <v>|</v>
      </c>
      <c r="AG713" s="120" t="s">
        <v>120</v>
      </c>
    </row>
    <row r="714" spans="1:33" ht="27" customHeight="1">
      <c r="A714" s="130">
        <f t="shared" si="90"/>
        <v>511</v>
      </c>
      <c r="B714" s="132" t="s">
        <v>591</v>
      </c>
      <c r="C714" s="140">
        <v>27.85</v>
      </c>
      <c r="D714" s="132" t="s">
        <v>131</v>
      </c>
      <c r="H714" s="120" t="s">
        <v>938</v>
      </c>
      <c r="R714" s="123" t="s">
        <v>52</v>
      </c>
      <c r="U714" s="115" t="s">
        <v>46</v>
      </c>
      <c r="V714" s="115">
        <f>V684</f>
        <v>0</v>
      </c>
      <c r="X714" s="114">
        <f>X713/10</f>
        <v>7925.82</v>
      </c>
      <c r="Z714" s="115">
        <f t="shared" si="92"/>
        <v>7925.82</v>
      </c>
      <c r="AE714" s="137" t="str">
        <f t="shared" si="89"/>
        <v>|</v>
      </c>
      <c r="AG714" s="120" t="s">
        <v>120</v>
      </c>
    </row>
    <row r="715" spans="1:33" ht="24" customHeight="1">
      <c r="A715" s="130">
        <f t="shared" si="90"/>
        <v>512</v>
      </c>
      <c r="B715" s="132" t="s">
        <v>592</v>
      </c>
      <c r="C715" s="140">
        <v>49.9</v>
      </c>
      <c r="D715" s="132" t="s">
        <v>131</v>
      </c>
      <c r="H715" s="120" t="s">
        <v>941</v>
      </c>
      <c r="O715" s="121" t="s">
        <v>952</v>
      </c>
      <c r="R715" s="120" t="s">
        <v>85</v>
      </c>
      <c r="S715" s="118">
        <v>1</v>
      </c>
      <c r="T715" s="115" t="s">
        <v>34</v>
      </c>
      <c r="U715" s="115" t="s">
        <v>47</v>
      </c>
      <c r="V715" s="115">
        <f>C25</f>
        <v>98.34</v>
      </c>
      <c r="X715" s="115">
        <f>V715*S715</f>
        <v>98.34</v>
      </c>
      <c r="AE715" s="137" t="str">
        <f t="shared" si="89"/>
        <v>|</v>
      </c>
      <c r="AG715" s="120" t="s">
        <v>120</v>
      </c>
    </row>
    <row r="716" spans="1:33" ht="24" customHeight="1">
      <c r="A716" s="130">
        <f t="shared" si="90"/>
        <v>513</v>
      </c>
      <c r="B716" s="132" t="s">
        <v>594</v>
      </c>
      <c r="C716" s="140">
        <v>69.25</v>
      </c>
      <c r="D716" s="132" t="s">
        <v>131</v>
      </c>
      <c r="H716" s="123" t="s">
        <v>52</v>
      </c>
      <c r="M716" s="201"/>
      <c r="O716" s="121" t="s">
        <v>954</v>
      </c>
      <c r="U716" s="115" t="s">
        <v>48</v>
      </c>
      <c r="V716" s="115">
        <f>V686</f>
        <v>0</v>
      </c>
      <c r="X716" s="114">
        <f>SUM(X714:X715)</f>
        <v>8024.16</v>
      </c>
      <c r="Z716" s="115">
        <f>Z714</f>
        <v>7925.82</v>
      </c>
      <c r="AE716" s="137" t="str">
        <f t="shared" si="89"/>
        <v>|</v>
      </c>
      <c r="AG716" s="120" t="s">
        <v>120</v>
      </c>
    </row>
    <row r="717" spans="1:33" ht="24" customHeight="1">
      <c r="A717" s="130">
        <f t="shared" si="90"/>
        <v>514</v>
      </c>
      <c r="B717" s="132" t="s">
        <v>955</v>
      </c>
      <c r="C717" s="138"/>
      <c r="D717" s="132" t="s">
        <v>85</v>
      </c>
      <c r="F717" s="129">
        <v>0.4</v>
      </c>
      <c r="G717" s="126" t="s">
        <v>132</v>
      </c>
      <c r="H717" s="120" t="s">
        <v>945</v>
      </c>
      <c r="I717" s="129">
        <f>(C268)</f>
        <v>17600</v>
      </c>
      <c r="J717" s="120" t="s">
        <v>132</v>
      </c>
      <c r="K717" s="129">
        <f>(F717*I717)</f>
        <v>7040</v>
      </c>
      <c r="M717" s="121" t="s">
        <v>607</v>
      </c>
      <c r="N717" s="120" t="s">
        <v>956</v>
      </c>
      <c r="O717" s="120" t="s">
        <v>4196</v>
      </c>
      <c r="S717" s="241" t="s">
        <v>49</v>
      </c>
      <c r="U717" s="115" t="s">
        <v>50</v>
      </c>
      <c r="V717" s="115" t="str">
        <f>V687</f>
        <v>LS</v>
      </c>
      <c r="X717" s="115">
        <f>X716*0.5%</f>
        <v>40.119999999999997</v>
      </c>
      <c r="Z717" s="115">
        <f>Z716*0.5/100</f>
        <v>39.630000000000003</v>
      </c>
      <c r="AE717" s="137" t="str">
        <f t="shared" si="89"/>
        <v>|::</v>
      </c>
      <c r="AG717" s="120" t="s">
        <v>307</v>
      </c>
    </row>
    <row r="718" spans="1:33" ht="24" customHeight="1">
      <c r="A718" s="130">
        <f t="shared" si="90"/>
        <v>515</v>
      </c>
      <c r="B718" s="132" t="s">
        <v>548</v>
      </c>
      <c r="C718" s="140">
        <v>20</v>
      </c>
      <c r="D718" s="132" t="s">
        <v>131</v>
      </c>
      <c r="F718" s="129">
        <v>0.12</v>
      </c>
      <c r="G718" s="126" t="s">
        <v>132</v>
      </c>
      <c r="H718" s="120" t="s">
        <v>947</v>
      </c>
      <c r="I718" s="129">
        <f>(C269)</f>
        <v>15500</v>
      </c>
      <c r="J718" s="120" t="s">
        <v>132</v>
      </c>
      <c r="K718" s="129">
        <f>(F718*I718)</f>
        <v>1860</v>
      </c>
      <c r="O718" s="123" t="s">
        <v>52</v>
      </c>
      <c r="T718" s="116"/>
      <c r="U718" s="114" t="s">
        <v>51</v>
      </c>
      <c r="X718" s="127">
        <f>SUM(X716:X717)</f>
        <v>8064.28</v>
      </c>
      <c r="Z718" s="114">
        <f>SUM(Z716:Z717)</f>
        <v>7965.45</v>
      </c>
      <c r="AE718" s="137">
        <f t="shared" si="89"/>
        <v>0</v>
      </c>
    </row>
    <row r="719" spans="1:33" ht="24" customHeight="1">
      <c r="A719" s="130">
        <f t="shared" si="90"/>
        <v>516</v>
      </c>
      <c r="B719" s="132" t="s">
        <v>959</v>
      </c>
      <c r="C719" s="140">
        <v>45</v>
      </c>
      <c r="D719" s="132" t="s">
        <v>131</v>
      </c>
      <c r="H719" s="120" t="s">
        <v>949</v>
      </c>
      <c r="I719" s="120" t="s">
        <v>85</v>
      </c>
      <c r="K719" s="120" t="s">
        <v>85</v>
      </c>
      <c r="M719" s="201">
        <v>2.69E-2</v>
      </c>
      <c r="N719" s="120" t="s">
        <v>132</v>
      </c>
      <c r="O719" s="191" t="s">
        <v>4197</v>
      </c>
      <c r="P719" s="129">
        <f>C86</f>
        <v>34300</v>
      </c>
      <c r="Q719" s="120" t="s">
        <v>132</v>
      </c>
      <c r="R719" s="129">
        <f t="shared" ref="R719:R725" si="93">M719*P719</f>
        <v>922.67</v>
      </c>
      <c r="T719" s="116"/>
      <c r="X719" s="123" t="s">
        <v>52</v>
      </c>
      <c r="AE719" s="137">
        <f t="shared" si="89"/>
        <v>0</v>
      </c>
    </row>
    <row r="720" spans="1:33" ht="24" customHeight="1">
      <c r="A720" s="130">
        <f t="shared" si="90"/>
        <v>517</v>
      </c>
      <c r="B720" s="132" t="s">
        <v>962</v>
      </c>
      <c r="C720" s="205"/>
      <c r="D720" s="132" t="s">
        <v>88</v>
      </c>
      <c r="F720" s="129">
        <v>98.5</v>
      </c>
      <c r="G720" s="126" t="s">
        <v>282</v>
      </c>
      <c r="H720" s="120" t="s">
        <v>950</v>
      </c>
      <c r="I720" s="129">
        <f>(C270)</f>
        <v>25.2</v>
      </c>
      <c r="J720" s="120" t="s">
        <v>282</v>
      </c>
      <c r="K720" s="129">
        <f>(F720*I720)</f>
        <v>2482.1999999999998</v>
      </c>
      <c r="M720" s="201">
        <v>1.2949999999999999</v>
      </c>
      <c r="N720" s="120" t="s">
        <v>425</v>
      </c>
      <c r="O720" s="120" t="s">
        <v>963</v>
      </c>
      <c r="P720" s="129">
        <f>C783</f>
        <v>387.4</v>
      </c>
      <c r="Q720" s="120" t="s">
        <v>425</v>
      </c>
      <c r="R720" s="129">
        <f t="shared" si="93"/>
        <v>501.68</v>
      </c>
      <c r="T720" s="116"/>
      <c r="U720" s="120" t="s">
        <v>53</v>
      </c>
      <c r="X720" s="127">
        <f>(X718+C22)</f>
        <v>8189.24</v>
      </c>
      <c r="AE720" s="137">
        <f t="shared" si="89"/>
        <v>0</v>
      </c>
    </row>
    <row r="721" spans="1:33" ht="24" customHeight="1">
      <c r="A721" s="130">
        <f t="shared" si="90"/>
        <v>518</v>
      </c>
      <c r="B721" s="132" t="s">
        <v>548</v>
      </c>
      <c r="C721" s="140">
        <v>19.09</v>
      </c>
      <c r="D721" s="132" t="s">
        <v>131</v>
      </c>
      <c r="H721" s="120" t="s">
        <v>951</v>
      </c>
      <c r="I721" s="120" t="s">
        <v>85</v>
      </c>
      <c r="K721" s="120" t="s">
        <v>88</v>
      </c>
      <c r="M721" s="201">
        <v>1.8149999999999999</v>
      </c>
      <c r="N721" s="120" t="s">
        <v>425</v>
      </c>
      <c r="O721" s="120" t="s">
        <v>449</v>
      </c>
      <c r="P721" s="129">
        <f>C31</f>
        <v>1602.7</v>
      </c>
      <c r="Q721" s="120" t="s">
        <v>425</v>
      </c>
      <c r="R721" s="129">
        <f t="shared" si="93"/>
        <v>2908.9</v>
      </c>
      <c r="T721" s="116"/>
      <c r="U721" s="120" t="s">
        <v>54</v>
      </c>
      <c r="X721" s="127">
        <f>(X720+C24)</f>
        <v>8435.42</v>
      </c>
      <c r="AE721" s="137" t="str">
        <f t="shared" si="89"/>
        <v>|</v>
      </c>
      <c r="AG721" s="120" t="s">
        <v>120</v>
      </c>
    </row>
    <row r="722" spans="1:33" ht="24" customHeight="1">
      <c r="A722" s="130">
        <f t="shared" si="90"/>
        <v>519</v>
      </c>
      <c r="B722" s="132" t="s">
        <v>959</v>
      </c>
      <c r="C722" s="140">
        <v>50.66</v>
      </c>
      <c r="D722" s="132" t="s">
        <v>131</v>
      </c>
      <c r="K722" s="123" t="s">
        <v>52</v>
      </c>
      <c r="M722" s="129">
        <v>2</v>
      </c>
      <c r="N722" s="120" t="s">
        <v>131</v>
      </c>
      <c r="O722" s="120" t="s">
        <v>965</v>
      </c>
      <c r="P722" s="129">
        <f>C299</f>
        <v>10.5</v>
      </c>
      <c r="Q722" s="120" t="s">
        <v>131</v>
      </c>
      <c r="R722" s="129">
        <f t="shared" si="93"/>
        <v>21</v>
      </c>
      <c r="T722" s="116"/>
      <c r="U722" s="120" t="s">
        <v>55</v>
      </c>
      <c r="X722" s="127">
        <f>(X721+C24)</f>
        <v>8681.6</v>
      </c>
      <c r="AE722" s="137" t="str">
        <f t="shared" si="89"/>
        <v>|</v>
      </c>
      <c r="AG722" s="120" t="s">
        <v>120</v>
      </c>
    </row>
    <row r="723" spans="1:33" ht="24" customHeight="1">
      <c r="A723" s="130">
        <f t="shared" si="90"/>
        <v>520</v>
      </c>
      <c r="B723" s="132" t="s">
        <v>966</v>
      </c>
      <c r="C723" s="140">
        <v>1183.82</v>
      </c>
      <c r="D723" s="132" t="s">
        <v>425</v>
      </c>
      <c r="H723" s="120" t="s">
        <v>953</v>
      </c>
      <c r="K723" s="129">
        <f>SUM(K717:K721)</f>
        <v>11382.2</v>
      </c>
      <c r="M723" s="129">
        <v>3</v>
      </c>
      <c r="N723" s="120" t="s">
        <v>131</v>
      </c>
      <c r="O723" s="120" t="s">
        <v>967</v>
      </c>
      <c r="P723" s="129">
        <f>C295</f>
        <v>8.5</v>
      </c>
      <c r="Q723" s="120" t="s">
        <v>131</v>
      </c>
      <c r="R723" s="129">
        <f t="shared" si="93"/>
        <v>25.5</v>
      </c>
      <c r="T723" s="116"/>
      <c r="U723" s="120" t="s">
        <v>56</v>
      </c>
      <c r="X723" s="127">
        <f>(X722+C24)</f>
        <v>8927.7800000000007</v>
      </c>
      <c r="AE723" s="137" t="str">
        <f t="shared" si="89"/>
        <v>|</v>
      </c>
      <c r="AG723" s="120" t="s">
        <v>120</v>
      </c>
    </row>
    <row r="724" spans="1:33" ht="24" customHeight="1">
      <c r="A724" s="130">
        <f t="shared" si="90"/>
        <v>521</v>
      </c>
      <c r="B724" s="132" t="s">
        <v>968</v>
      </c>
      <c r="C724" s="140">
        <v>1605</v>
      </c>
      <c r="D724" s="132" t="s">
        <v>425</v>
      </c>
      <c r="H724" s="120" t="s">
        <v>85</v>
      </c>
      <c r="K724" s="123" t="s">
        <v>52</v>
      </c>
      <c r="M724" s="129">
        <v>1</v>
      </c>
      <c r="N724" s="120" t="s">
        <v>131</v>
      </c>
      <c r="O724" s="120" t="s">
        <v>969</v>
      </c>
      <c r="P724" s="129">
        <f>C301</f>
        <v>21</v>
      </c>
      <c r="Q724" s="120" t="s">
        <v>131</v>
      </c>
      <c r="R724" s="129">
        <f t="shared" si="93"/>
        <v>21</v>
      </c>
      <c r="T724" s="116"/>
      <c r="U724" s="120" t="s">
        <v>57</v>
      </c>
      <c r="X724" s="127">
        <f>(X723+C24)</f>
        <v>9173.9599999999991</v>
      </c>
      <c r="AE724" s="137" t="str">
        <f t="shared" si="89"/>
        <v>|</v>
      </c>
      <c r="AG724" s="120" t="s">
        <v>120</v>
      </c>
    </row>
    <row r="725" spans="1:33" ht="24" customHeight="1">
      <c r="A725" s="130">
        <f t="shared" si="90"/>
        <v>522</v>
      </c>
      <c r="B725" s="120" t="s">
        <v>4198</v>
      </c>
      <c r="C725" s="158">
        <v>10.050000000000001</v>
      </c>
      <c r="D725" s="227" t="s">
        <v>2765</v>
      </c>
      <c r="F725" s="129">
        <v>10</v>
      </c>
      <c r="G725" s="126" t="s">
        <v>425</v>
      </c>
      <c r="H725" s="120" t="s">
        <v>958</v>
      </c>
      <c r="I725" s="129">
        <f>(K723/50)</f>
        <v>227.64</v>
      </c>
      <c r="J725" s="120" t="s">
        <v>425</v>
      </c>
      <c r="K725" s="129">
        <f>(F725*I725)</f>
        <v>2276.4</v>
      </c>
      <c r="M725" s="129">
        <v>1</v>
      </c>
      <c r="N725" s="120" t="s">
        <v>131</v>
      </c>
      <c r="O725" s="120" t="s">
        <v>453</v>
      </c>
      <c r="P725" s="129">
        <f>C303</f>
        <v>4</v>
      </c>
      <c r="Q725" s="120" t="s">
        <v>131</v>
      </c>
      <c r="R725" s="129">
        <f t="shared" si="93"/>
        <v>4</v>
      </c>
      <c r="AE725" s="137" t="str">
        <f t="shared" si="89"/>
        <v>|</v>
      </c>
      <c r="AG725" s="120" t="s">
        <v>120</v>
      </c>
    </row>
    <row r="726" spans="1:33" ht="24" customHeight="1">
      <c r="A726" s="130">
        <f t="shared" si="90"/>
        <v>523</v>
      </c>
      <c r="B726" s="132" t="s">
        <v>973</v>
      </c>
      <c r="C726" s="140">
        <v>147.6</v>
      </c>
      <c r="D726" s="132" t="s">
        <v>282</v>
      </c>
      <c r="F726" s="129">
        <v>3.8</v>
      </c>
      <c r="G726" s="126" t="s">
        <v>237</v>
      </c>
      <c r="H726" s="120" t="s">
        <v>960</v>
      </c>
      <c r="I726" s="129">
        <f>(C16)</f>
        <v>1018.6</v>
      </c>
      <c r="J726" s="120" t="s">
        <v>237</v>
      </c>
      <c r="K726" s="129">
        <f>(F726*I726)</f>
        <v>3870.68</v>
      </c>
      <c r="N726" s="120" t="s">
        <v>145</v>
      </c>
      <c r="O726" s="120" t="s">
        <v>146</v>
      </c>
      <c r="Q726" s="120" t="s">
        <v>145</v>
      </c>
      <c r="R726" s="129">
        <v>0</v>
      </c>
      <c r="AE726" s="137" t="str">
        <f t="shared" si="89"/>
        <v>|</v>
      </c>
      <c r="AG726" s="120" t="s">
        <v>120</v>
      </c>
    </row>
    <row r="727" spans="1:33" ht="24" customHeight="1">
      <c r="A727" s="130">
        <f t="shared" si="90"/>
        <v>524</v>
      </c>
      <c r="B727" s="132" t="s">
        <v>974</v>
      </c>
      <c r="C727" s="140">
        <v>147.6</v>
      </c>
      <c r="D727" s="132" t="s">
        <v>282</v>
      </c>
      <c r="F727" s="129">
        <v>5.4</v>
      </c>
      <c r="G727" s="126" t="s">
        <v>237</v>
      </c>
      <c r="H727" s="120" t="s">
        <v>304</v>
      </c>
      <c r="I727" s="129">
        <f>(C12)</f>
        <v>679.8</v>
      </c>
      <c r="J727" s="120" t="s">
        <v>237</v>
      </c>
      <c r="K727" s="129">
        <f>(F727*I727)</f>
        <v>3670.92</v>
      </c>
      <c r="R727" s="123" t="s">
        <v>52</v>
      </c>
      <c r="AE727" s="137" t="str">
        <f t="shared" si="89"/>
        <v>|</v>
      </c>
      <c r="AG727" s="120" t="s">
        <v>120</v>
      </c>
    </row>
    <row r="728" spans="1:33" ht="24" customHeight="1">
      <c r="A728" s="130">
        <f t="shared" si="90"/>
        <v>525</v>
      </c>
      <c r="B728" s="132" t="s">
        <v>975</v>
      </c>
      <c r="C728" s="140">
        <v>147.6</v>
      </c>
      <c r="D728" s="132" t="s">
        <v>282</v>
      </c>
      <c r="G728" s="126" t="s">
        <v>145</v>
      </c>
      <c r="H728" s="120" t="s">
        <v>964</v>
      </c>
      <c r="J728" s="120" t="s">
        <v>145</v>
      </c>
      <c r="K728" s="129">
        <v>5</v>
      </c>
      <c r="O728" s="121" t="s">
        <v>977</v>
      </c>
      <c r="R728" s="129">
        <f>SUM(R719:R726)</f>
        <v>4404.75</v>
      </c>
      <c r="T728" s="114">
        <v>4.2</v>
      </c>
      <c r="U728" s="114" t="s">
        <v>4199</v>
      </c>
      <c r="AE728" s="137" t="str">
        <f t="shared" si="89"/>
        <v>|</v>
      </c>
      <c r="AG728" s="120" t="s">
        <v>120</v>
      </c>
    </row>
    <row r="729" spans="1:33" ht="24" customHeight="1">
      <c r="A729" s="130">
        <f t="shared" si="90"/>
        <v>526</v>
      </c>
      <c r="B729" s="132" t="s">
        <v>978</v>
      </c>
      <c r="C729" s="140">
        <v>1250</v>
      </c>
      <c r="D729" s="132" t="s">
        <v>425</v>
      </c>
      <c r="K729" s="123" t="s">
        <v>52</v>
      </c>
      <c r="R729" s="123" t="s">
        <v>52</v>
      </c>
      <c r="S729" s="118">
        <v>5</v>
      </c>
      <c r="T729" s="115" t="s">
        <v>34</v>
      </c>
      <c r="U729" s="115" t="s">
        <v>35</v>
      </c>
      <c r="V729" s="115">
        <f>V675</f>
        <v>1729.98</v>
      </c>
      <c r="X729" s="115">
        <f t="shared" ref="X729:X736" si="94">V729*S729</f>
        <v>8649.9</v>
      </c>
      <c r="AE729" s="137" t="str">
        <f t="shared" si="89"/>
        <v>|</v>
      </c>
      <c r="AG729" s="120" t="s">
        <v>120</v>
      </c>
    </row>
    <row r="730" spans="1:33" ht="24" customHeight="1">
      <c r="A730" s="130">
        <f t="shared" si="90"/>
        <v>527</v>
      </c>
      <c r="B730" s="132" t="s">
        <v>980</v>
      </c>
      <c r="C730" s="140">
        <v>1250</v>
      </c>
      <c r="D730" s="132" t="s">
        <v>425</v>
      </c>
      <c r="H730" s="120" t="s">
        <v>495</v>
      </c>
      <c r="K730" s="129">
        <f>SUM(K725:K728)</f>
        <v>9823</v>
      </c>
      <c r="N730" s="120" t="s">
        <v>85</v>
      </c>
      <c r="O730" s="121" t="s">
        <v>460</v>
      </c>
      <c r="R730" s="129">
        <f>R728/M720</f>
        <v>3401.35</v>
      </c>
      <c r="S730" s="118">
        <v>3.3</v>
      </c>
      <c r="T730" s="115" t="s">
        <v>34</v>
      </c>
      <c r="U730" s="115" t="s">
        <v>36</v>
      </c>
      <c r="V730" s="115">
        <f t="shared" ref="V730:V739" si="95">V676</f>
        <v>1444.48</v>
      </c>
      <c r="X730" s="115">
        <f t="shared" si="94"/>
        <v>4766.78</v>
      </c>
      <c r="AE730" s="137" t="str">
        <f t="shared" si="89"/>
        <v>|</v>
      </c>
      <c r="AG730" s="120" t="s">
        <v>120</v>
      </c>
    </row>
    <row r="731" spans="1:33" ht="24" customHeight="1">
      <c r="A731" s="130">
        <f t="shared" si="90"/>
        <v>528</v>
      </c>
      <c r="B731" s="132" t="s">
        <v>982</v>
      </c>
      <c r="C731" s="140">
        <v>1250</v>
      </c>
      <c r="D731" s="132" t="s">
        <v>425</v>
      </c>
      <c r="K731" s="123" t="s">
        <v>52</v>
      </c>
      <c r="R731" s="123" t="s">
        <v>89</v>
      </c>
      <c r="S731" s="118">
        <v>4.79</v>
      </c>
      <c r="T731" s="115" t="s">
        <v>34</v>
      </c>
      <c r="U731" s="115" t="s">
        <v>37</v>
      </c>
      <c r="V731" s="115">
        <f t="shared" si="95"/>
        <v>1642.42</v>
      </c>
      <c r="X731" s="115">
        <f t="shared" si="94"/>
        <v>7867.19</v>
      </c>
      <c r="AE731" s="137" t="str">
        <f t="shared" si="89"/>
        <v>|</v>
      </c>
      <c r="AG731" s="120" t="s">
        <v>120</v>
      </c>
    </row>
    <row r="732" spans="1:33" ht="24" customHeight="1">
      <c r="A732" s="130">
        <f t="shared" si="90"/>
        <v>529</v>
      </c>
      <c r="B732" s="132" t="s">
        <v>984</v>
      </c>
      <c r="C732" s="140">
        <v>1250</v>
      </c>
      <c r="D732" s="132" t="s">
        <v>425</v>
      </c>
      <c r="H732" s="120" t="s">
        <v>460</v>
      </c>
      <c r="K732" s="129">
        <f>(K730/10)</f>
        <v>982.3</v>
      </c>
      <c r="M732" s="121" t="s">
        <v>607</v>
      </c>
      <c r="N732" s="120" t="s">
        <v>986</v>
      </c>
      <c r="O732" s="120" t="s">
        <v>987</v>
      </c>
      <c r="S732" s="118">
        <v>3.5</v>
      </c>
      <c r="T732" s="115" t="s">
        <v>11</v>
      </c>
      <c r="U732" s="115" t="s">
        <v>38</v>
      </c>
      <c r="V732" s="115">
        <f t="shared" si="95"/>
        <v>6040</v>
      </c>
      <c r="X732" s="115">
        <f t="shared" si="94"/>
        <v>21140</v>
      </c>
      <c r="AE732" s="137" t="str">
        <f t="shared" si="89"/>
        <v>|</v>
      </c>
      <c r="AG732" s="120" t="s">
        <v>120</v>
      </c>
    </row>
    <row r="733" spans="1:33" ht="24" customHeight="1">
      <c r="A733" s="130">
        <f t="shared" si="90"/>
        <v>530</v>
      </c>
      <c r="B733" s="132" t="s">
        <v>988</v>
      </c>
      <c r="C733" s="140">
        <v>1250</v>
      </c>
      <c r="D733" s="132" t="s">
        <v>425</v>
      </c>
      <c r="K733" s="123" t="s">
        <v>89</v>
      </c>
      <c r="O733" s="123" t="s">
        <v>52</v>
      </c>
      <c r="S733" s="118">
        <v>28</v>
      </c>
      <c r="T733" s="115" t="s">
        <v>39</v>
      </c>
      <c r="U733" s="115" t="s">
        <v>67</v>
      </c>
      <c r="V733" s="115">
        <f t="shared" si="95"/>
        <v>43.2</v>
      </c>
      <c r="X733" s="115">
        <f t="shared" si="94"/>
        <v>1209.5999999999999</v>
      </c>
      <c r="AE733" s="137" t="str">
        <f t="shared" si="89"/>
        <v>|</v>
      </c>
      <c r="AG733" s="120" t="s">
        <v>120</v>
      </c>
    </row>
    <row r="734" spans="1:33" ht="24" customHeight="1">
      <c r="A734" s="130">
        <f t="shared" si="90"/>
        <v>531</v>
      </c>
      <c r="B734" s="132" t="s">
        <v>990</v>
      </c>
      <c r="C734" s="140">
        <v>1250</v>
      </c>
      <c r="D734" s="132" t="s">
        <v>425</v>
      </c>
      <c r="M734" s="201">
        <v>2.5499999999999998E-2</v>
      </c>
      <c r="N734" s="120" t="s">
        <v>132</v>
      </c>
      <c r="O734" s="120" t="s">
        <v>961</v>
      </c>
      <c r="P734" s="129">
        <f>C86</f>
        <v>34300</v>
      </c>
      <c r="Q734" s="120" t="s">
        <v>132</v>
      </c>
      <c r="R734" s="129">
        <f t="shared" ref="R734:R740" si="96">M734*P734</f>
        <v>874.65</v>
      </c>
      <c r="S734" s="118">
        <v>3.5</v>
      </c>
      <c r="T734" s="115" t="s">
        <v>41</v>
      </c>
      <c r="U734" s="115" t="s">
        <v>42</v>
      </c>
      <c r="V734" s="115">
        <f t="shared" si="95"/>
        <v>972.4</v>
      </c>
      <c r="X734" s="115">
        <f t="shared" si="94"/>
        <v>3403.4</v>
      </c>
      <c r="AE734" s="137" t="str">
        <f t="shared" si="89"/>
        <v>|</v>
      </c>
      <c r="AG734" s="120" t="s">
        <v>120</v>
      </c>
    </row>
    <row r="735" spans="1:33" ht="24" customHeight="1">
      <c r="A735" s="130">
        <f t="shared" si="90"/>
        <v>532</v>
      </c>
      <c r="B735" s="132" t="s">
        <v>992</v>
      </c>
      <c r="C735" s="140">
        <v>1250</v>
      </c>
      <c r="D735" s="132" t="s">
        <v>425</v>
      </c>
      <c r="F735" s="121" t="s">
        <v>224</v>
      </c>
      <c r="G735" s="126" t="s">
        <v>111</v>
      </c>
      <c r="H735" s="120" t="s">
        <v>976</v>
      </c>
      <c r="M735" s="201">
        <v>1.1299999999999999</v>
      </c>
      <c r="N735" s="120" t="s">
        <v>425</v>
      </c>
      <c r="O735" s="120" t="s">
        <v>963</v>
      </c>
      <c r="P735" s="129">
        <f>C783</f>
        <v>387.4</v>
      </c>
      <c r="Q735" s="120" t="s">
        <v>425</v>
      </c>
      <c r="R735" s="129">
        <f t="shared" si="96"/>
        <v>437.76</v>
      </c>
      <c r="S735" s="118">
        <v>21.2</v>
      </c>
      <c r="T735" s="115" t="s">
        <v>41</v>
      </c>
      <c r="U735" s="115" t="s">
        <v>43</v>
      </c>
      <c r="V735" s="115">
        <f t="shared" si="95"/>
        <v>679.8</v>
      </c>
      <c r="X735" s="115">
        <f t="shared" si="94"/>
        <v>14411.76</v>
      </c>
      <c r="AE735" s="137" t="str">
        <f t="shared" si="89"/>
        <v>|</v>
      </c>
      <c r="AG735" s="120" t="s">
        <v>120</v>
      </c>
    </row>
    <row r="736" spans="1:33" ht="24" customHeight="1">
      <c r="A736" s="130">
        <f t="shared" si="90"/>
        <v>533</v>
      </c>
      <c r="B736" s="132" t="s">
        <v>993</v>
      </c>
      <c r="C736" s="140">
        <v>1250</v>
      </c>
      <c r="D736" s="132" t="s">
        <v>425</v>
      </c>
      <c r="H736" s="120" t="s">
        <v>979</v>
      </c>
      <c r="M736" s="201">
        <v>1.6191</v>
      </c>
      <c r="N736" s="120" t="s">
        <v>425</v>
      </c>
      <c r="O736" s="120" t="s">
        <v>449</v>
      </c>
      <c r="P736" s="129">
        <f>C31</f>
        <v>1602.7</v>
      </c>
      <c r="Q736" s="120" t="s">
        <v>425</v>
      </c>
      <c r="R736" s="129">
        <f t="shared" si="96"/>
        <v>2594.9299999999998</v>
      </c>
      <c r="S736" s="118">
        <v>35.299999999999997</v>
      </c>
      <c r="T736" s="115" t="s">
        <v>41</v>
      </c>
      <c r="U736" s="115" t="s">
        <v>44</v>
      </c>
      <c r="V736" s="115">
        <f t="shared" si="95"/>
        <v>557.70000000000005</v>
      </c>
      <c r="X736" s="115">
        <f t="shared" si="94"/>
        <v>19686.810000000001</v>
      </c>
      <c r="AE736" s="137" t="str">
        <f t="shared" si="89"/>
        <v>|</v>
      </c>
      <c r="AG736" s="120" t="s">
        <v>120</v>
      </c>
    </row>
    <row r="737" spans="1:33" ht="24" customHeight="1">
      <c r="A737" s="130">
        <f t="shared" si="90"/>
        <v>534</v>
      </c>
      <c r="B737" s="132" t="s">
        <v>996</v>
      </c>
      <c r="C737" s="140">
        <v>1250</v>
      </c>
      <c r="D737" s="132" t="s">
        <v>425</v>
      </c>
      <c r="H737" s="120" t="s">
        <v>981</v>
      </c>
      <c r="M737" s="129">
        <v>2</v>
      </c>
      <c r="N737" s="120" t="s">
        <v>131</v>
      </c>
      <c r="O737" s="120" t="s">
        <v>965</v>
      </c>
      <c r="P737" s="129">
        <f>C299</f>
        <v>10.5</v>
      </c>
      <c r="Q737" s="120" t="s">
        <v>131</v>
      </c>
      <c r="R737" s="129">
        <f t="shared" si="96"/>
        <v>21</v>
      </c>
      <c r="U737" s="114" t="s">
        <v>45</v>
      </c>
      <c r="V737" s="115">
        <f t="shared" si="95"/>
        <v>0</v>
      </c>
      <c r="X737" s="114">
        <f>SUM(X729:X736)</f>
        <v>81135.44</v>
      </c>
      <c r="AE737" s="137" t="str">
        <f t="shared" si="89"/>
        <v>|</v>
      </c>
      <c r="AG737" s="120" t="s">
        <v>120</v>
      </c>
    </row>
    <row r="738" spans="1:33" ht="24" customHeight="1">
      <c r="A738" s="130">
        <f t="shared" si="90"/>
        <v>535</v>
      </c>
      <c r="B738" s="132" t="s">
        <v>998</v>
      </c>
      <c r="C738" s="140">
        <v>1250</v>
      </c>
      <c r="D738" s="132" t="s">
        <v>425</v>
      </c>
      <c r="H738" s="120" t="s">
        <v>983</v>
      </c>
      <c r="M738" s="129">
        <v>3</v>
      </c>
      <c r="N738" s="120" t="s">
        <v>131</v>
      </c>
      <c r="O738" s="120" t="s">
        <v>967</v>
      </c>
      <c r="P738" s="129">
        <f>C295</f>
        <v>8.5</v>
      </c>
      <c r="Q738" s="120" t="s">
        <v>131</v>
      </c>
      <c r="R738" s="129">
        <f t="shared" si="96"/>
        <v>25.5</v>
      </c>
      <c r="U738" s="114" t="s">
        <v>46</v>
      </c>
      <c r="V738" s="115">
        <f t="shared" si="95"/>
        <v>0</v>
      </c>
      <c r="X738" s="114">
        <f>X737/10</f>
        <v>8113.54</v>
      </c>
      <c r="Y738" s="115">
        <f>X738</f>
        <v>8113.54</v>
      </c>
      <c r="AE738" s="137" t="str">
        <f t="shared" si="89"/>
        <v>|</v>
      </c>
      <c r="AG738" s="120" t="s">
        <v>120</v>
      </c>
    </row>
    <row r="739" spans="1:33" ht="24" customHeight="1">
      <c r="A739" s="130">
        <f t="shared" si="90"/>
        <v>536</v>
      </c>
      <c r="B739" s="132" t="s">
        <v>1000</v>
      </c>
      <c r="C739" s="140">
        <v>1250</v>
      </c>
      <c r="D739" s="132" t="s">
        <v>425</v>
      </c>
      <c r="H739" s="120" t="s">
        <v>985</v>
      </c>
      <c r="M739" s="129">
        <v>1</v>
      </c>
      <c r="N739" s="120" t="s">
        <v>131</v>
      </c>
      <c r="O739" s="120" t="s">
        <v>969</v>
      </c>
      <c r="P739" s="129">
        <f>C301</f>
        <v>21</v>
      </c>
      <c r="Q739" s="120" t="s">
        <v>131</v>
      </c>
      <c r="R739" s="129">
        <f t="shared" si="96"/>
        <v>21</v>
      </c>
      <c r="S739" s="118">
        <v>1</v>
      </c>
      <c r="T739" s="115" t="s">
        <v>34</v>
      </c>
      <c r="U739" s="115" t="s">
        <v>47</v>
      </c>
      <c r="V739" s="115">
        <f t="shared" si="95"/>
        <v>98.34</v>
      </c>
      <c r="X739" s="115">
        <f>V739</f>
        <v>98.34</v>
      </c>
      <c r="AE739" s="137" t="str">
        <f t="shared" si="89"/>
        <v>|</v>
      </c>
      <c r="AG739" s="120" t="s">
        <v>120</v>
      </c>
    </row>
    <row r="740" spans="1:33" ht="24" customHeight="1">
      <c r="A740" s="130">
        <f t="shared" si="90"/>
        <v>537</v>
      </c>
      <c r="B740" s="132" t="s">
        <v>992</v>
      </c>
      <c r="C740" s="140">
        <v>1250</v>
      </c>
      <c r="D740" s="132" t="s">
        <v>425</v>
      </c>
      <c r="H740" s="120" t="s">
        <v>989</v>
      </c>
      <c r="M740" s="129">
        <v>1</v>
      </c>
      <c r="N740" s="120" t="s">
        <v>131</v>
      </c>
      <c r="O740" s="120" t="s">
        <v>453</v>
      </c>
      <c r="P740" s="129">
        <f>C303</f>
        <v>4</v>
      </c>
      <c r="Q740" s="120" t="s">
        <v>131</v>
      </c>
      <c r="R740" s="129">
        <f t="shared" si="96"/>
        <v>4</v>
      </c>
      <c r="U740" s="115" t="s">
        <v>48</v>
      </c>
      <c r="X740" s="114">
        <f>SUM(X738:X739)</f>
        <v>8211.8799999999992</v>
      </c>
      <c r="Y740" s="115">
        <f>SUM(Y738:Y739)</f>
        <v>8113.54</v>
      </c>
      <c r="AE740" s="137" t="str">
        <f t="shared" si="89"/>
        <v>|</v>
      </c>
      <c r="AG740" s="120" t="s">
        <v>120</v>
      </c>
    </row>
    <row r="741" spans="1:33" ht="24" customHeight="1">
      <c r="A741" s="130">
        <f t="shared" si="90"/>
        <v>538</v>
      </c>
      <c r="B741" s="132" t="s">
        <v>1003</v>
      </c>
      <c r="C741" s="138"/>
      <c r="D741" s="132" t="s">
        <v>85</v>
      </c>
      <c r="H741" s="120" t="s">
        <v>991</v>
      </c>
      <c r="N741" s="120" t="s">
        <v>145</v>
      </c>
      <c r="O741" s="120" t="s">
        <v>146</v>
      </c>
      <c r="Q741" s="120" t="s">
        <v>145</v>
      </c>
      <c r="R741" s="129">
        <v>0</v>
      </c>
      <c r="S741" s="241" t="s">
        <v>49</v>
      </c>
      <c r="U741" s="115" t="s">
        <v>50</v>
      </c>
      <c r="V741" s="241" t="s">
        <v>49</v>
      </c>
      <c r="X741" s="115">
        <f>X740*0.5%</f>
        <v>41.06</v>
      </c>
      <c r="Y741" s="115">
        <f>Y740*0.5/100</f>
        <v>40.57</v>
      </c>
      <c r="AE741" s="137" t="str">
        <f t="shared" si="89"/>
        <v>|</v>
      </c>
      <c r="AG741" s="120" t="s">
        <v>120</v>
      </c>
    </row>
    <row r="742" spans="1:33" ht="24" customHeight="1">
      <c r="A742" s="130">
        <f t="shared" si="90"/>
        <v>539</v>
      </c>
      <c r="B742" s="132" t="s">
        <v>1005</v>
      </c>
      <c r="C742" s="140">
        <v>65</v>
      </c>
      <c r="D742" s="132" t="s">
        <v>972</v>
      </c>
      <c r="H742" s="123" t="s">
        <v>52</v>
      </c>
      <c r="I742" s="123" t="s">
        <v>52</v>
      </c>
      <c r="J742" s="120" t="s">
        <v>52</v>
      </c>
      <c r="R742" s="123" t="s">
        <v>52</v>
      </c>
      <c r="T742" s="116"/>
      <c r="U742" s="114" t="s">
        <v>51</v>
      </c>
      <c r="X742" s="127">
        <f>SUM(X740:X741)</f>
        <v>8252.94</v>
      </c>
      <c r="Y742" s="114">
        <f>SUM(Y740:Y741)</f>
        <v>8154.11</v>
      </c>
      <c r="AE742" s="137" t="str">
        <f t="shared" si="89"/>
        <v>|</v>
      </c>
      <c r="AG742" s="120" t="s">
        <v>120</v>
      </c>
    </row>
    <row r="743" spans="1:33" ht="24" customHeight="1">
      <c r="A743" s="130">
        <f t="shared" si="90"/>
        <v>540</v>
      </c>
      <c r="B743" s="120" t="s">
        <v>1007</v>
      </c>
      <c r="C743" s="136">
        <v>21.5</v>
      </c>
      <c r="D743" s="132" t="s">
        <v>972</v>
      </c>
      <c r="F743" s="129">
        <v>13.46</v>
      </c>
      <c r="G743" s="126" t="s">
        <v>994</v>
      </c>
      <c r="H743" s="120" t="s">
        <v>995</v>
      </c>
      <c r="I743" s="129">
        <f>C34/1000</f>
        <v>53</v>
      </c>
      <c r="J743" s="120" t="s">
        <v>994</v>
      </c>
      <c r="K743" s="129">
        <f>(F743*I743)</f>
        <v>713.38</v>
      </c>
      <c r="O743" s="121" t="s">
        <v>1008</v>
      </c>
      <c r="R743" s="129">
        <f>SUM(R734:R741)</f>
        <v>3978.84</v>
      </c>
      <c r="T743" s="116"/>
      <c r="X743" s="123" t="s">
        <v>52</v>
      </c>
      <c r="AE743" s="137" t="str">
        <f t="shared" si="89"/>
        <v>|</v>
      </c>
      <c r="AG743" s="120" t="s">
        <v>120</v>
      </c>
    </row>
    <row r="744" spans="1:33" ht="24" customHeight="1">
      <c r="A744" s="130">
        <f t="shared" si="90"/>
        <v>541</v>
      </c>
      <c r="B744" s="132" t="s">
        <v>1009</v>
      </c>
      <c r="C744" s="140">
        <v>110.95</v>
      </c>
      <c r="D744" s="132" t="s">
        <v>972</v>
      </c>
      <c r="H744" s="120" t="s">
        <v>997</v>
      </c>
      <c r="R744" s="123" t="s">
        <v>52</v>
      </c>
      <c r="T744" s="116"/>
      <c r="U744" s="120" t="s">
        <v>53</v>
      </c>
      <c r="X744" s="127">
        <f>(X742+C22)</f>
        <v>8377.9</v>
      </c>
      <c r="AE744" s="137" t="str">
        <f t="shared" si="89"/>
        <v>|</v>
      </c>
      <c r="AG744" s="120" t="s">
        <v>120</v>
      </c>
    </row>
    <row r="745" spans="1:33" ht="24" customHeight="1">
      <c r="A745" s="130">
        <f t="shared" si="90"/>
        <v>542</v>
      </c>
      <c r="B745" s="132" t="s">
        <v>1011</v>
      </c>
      <c r="C745" s="140">
        <v>399</v>
      </c>
      <c r="D745" s="132" t="s">
        <v>972</v>
      </c>
      <c r="F745" s="129">
        <v>4</v>
      </c>
      <c r="G745" s="126" t="s">
        <v>994</v>
      </c>
      <c r="H745" s="120" t="s">
        <v>999</v>
      </c>
      <c r="I745" s="129">
        <f>C34/1000</f>
        <v>53</v>
      </c>
      <c r="J745" s="120" t="s">
        <v>994</v>
      </c>
      <c r="K745" s="129">
        <f>(F745*I745)</f>
        <v>212</v>
      </c>
      <c r="O745" s="121" t="s">
        <v>460</v>
      </c>
      <c r="R745" s="129">
        <f>R743/M736</f>
        <v>2457.44</v>
      </c>
      <c r="T745" s="116"/>
      <c r="U745" s="120" t="s">
        <v>54</v>
      </c>
      <c r="X745" s="127">
        <f>(X744+C24)</f>
        <v>8624.08</v>
      </c>
      <c r="AE745" s="137" t="str">
        <f t="shared" si="89"/>
        <v>|</v>
      </c>
      <c r="AG745" s="120" t="s">
        <v>120</v>
      </c>
    </row>
    <row r="746" spans="1:33" ht="24" customHeight="1">
      <c r="A746" s="130">
        <f t="shared" si="90"/>
        <v>543</v>
      </c>
      <c r="B746" s="132" t="s">
        <v>1012</v>
      </c>
      <c r="C746" s="140">
        <v>92</v>
      </c>
      <c r="D746" s="132" t="s">
        <v>972</v>
      </c>
      <c r="H746" s="120" t="s">
        <v>1001</v>
      </c>
      <c r="R746" s="123" t="s">
        <v>89</v>
      </c>
      <c r="T746" s="116"/>
      <c r="U746" s="120" t="s">
        <v>55</v>
      </c>
      <c r="X746" s="127">
        <f>(X745+C24)</f>
        <v>8870.26</v>
      </c>
      <c r="Y746" s="115">
        <f>X746-X745</f>
        <v>246.18</v>
      </c>
      <c r="AE746" s="137" t="str">
        <f t="shared" si="89"/>
        <v>|</v>
      </c>
      <c r="AG746" s="120" t="s">
        <v>120</v>
      </c>
    </row>
    <row r="747" spans="1:33" ht="24" customHeight="1">
      <c r="A747" s="130">
        <f t="shared" si="90"/>
        <v>544</v>
      </c>
      <c r="B747" s="132" t="s">
        <v>1014</v>
      </c>
      <c r="C747" s="140">
        <v>174.24</v>
      </c>
      <c r="D747" s="132" t="s">
        <v>972</v>
      </c>
      <c r="F747" s="129"/>
      <c r="G747" s="126" t="s">
        <v>145</v>
      </c>
      <c r="H747" s="120" t="s">
        <v>1002</v>
      </c>
      <c r="J747" s="120" t="s">
        <v>145</v>
      </c>
      <c r="K747" s="220">
        <v>40</v>
      </c>
      <c r="T747" s="116"/>
      <c r="U747" s="120" t="s">
        <v>56</v>
      </c>
      <c r="X747" s="127">
        <f>(X746+C24)</f>
        <v>9116.44</v>
      </c>
      <c r="AE747" s="137" t="str">
        <f t="shared" si="89"/>
        <v>|</v>
      </c>
      <c r="AG747" s="120" t="s">
        <v>120</v>
      </c>
    </row>
    <row r="748" spans="1:33" ht="24" customHeight="1">
      <c r="A748" s="130">
        <f t="shared" si="90"/>
        <v>545</v>
      </c>
      <c r="B748" s="132" t="s">
        <v>1016</v>
      </c>
      <c r="C748" s="140">
        <v>215.06</v>
      </c>
      <c r="D748" s="132" t="s">
        <v>972</v>
      </c>
      <c r="H748" s="120" t="s">
        <v>1004</v>
      </c>
      <c r="K748" s="123" t="s">
        <v>52</v>
      </c>
      <c r="M748" s="121" t="s">
        <v>607</v>
      </c>
      <c r="N748" s="120" t="s">
        <v>1018</v>
      </c>
      <c r="O748" s="120" t="s">
        <v>1019</v>
      </c>
      <c r="T748" s="116"/>
      <c r="U748" s="120" t="s">
        <v>57</v>
      </c>
      <c r="X748" s="127">
        <f t="shared" ref="X748:X753" si="97">(X747+C24)</f>
        <v>9362.6200000000008</v>
      </c>
      <c r="Y748" s="115">
        <f>X748+Y746</f>
        <v>9608.7999999999993</v>
      </c>
      <c r="AE748" s="137" t="str">
        <f t="shared" si="89"/>
        <v>|</v>
      </c>
      <c r="AG748" s="120" t="s">
        <v>120</v>
      </c>
    </row>
    <row r="749" spans="1:33" ht="24" customHeight="1">
      <c r="A749" s="130">
        <f t="shared" si="90"/>
        <v>546</v>
      </c>
      <c r="B749" s="132" t="s">
        <v>1020</v>
      </c>
      <c r="C749" s="140">
        <v>97.24</v>
      </c>
      <c r="D749" s="132" t="s">
        <v>972</v>
      </c>
      <c r="H749" s="121" t="s">
        <v>4200</v>
      </c>
      <c r="K749" s="129">
        <f>SUM(K743:K747)</f>
        <v>965.38</v>
      </c>
      <c r="O749" s="123" t="s">
        <v>52</v>
      </c>
      <c r="X749" s="127">
        <f t="shared" si="97"/>
        <v>9460.9599999999991</v>
      </c>
      <c r="Y749" s="115">
        <f>Y748-X748</f>
        <v>246.18</v>
      </c>
      <c r="AE749" s="137" t="str">
        <f t="shared" ref="AE749:AE812" si="98">AG749</f>
        <v>|</v>
      </c>
      <c r="AG749" s="120" t="s">
        <v>120</v>
      </c>
    </row>
    <row r="750" spans="1:33" ht="24" customHeight="1">
      <c r="A750" s="130">
        <f t="shared" si="90"/>
        <v>547</v>
      </c>
      <c r="B750" s="132" t="s">
        <v>1021</v>
      </c>
      <c r="C750" s="140">
        <v>168.96</v>
      </c>
      <c r="D750" s="132" t="s">
        <v>972</v>
      </c>
      <c r="K750" s="123" t="s">
        <v>52</v>
      </c>
      <c r="M750" s="201">
        <v>2.35E-2</v>
      </c>
      <c r="N750" s="120" t="s">
        <v>132</v>
      </c>
      <c r="O750" s="120" t="s">
        <v>961</v>
      </c>
      <c r="P750" s="129">
        <f>C86</f>
        <v>34300</v>
      </c>
      <c r="Q750" s="120" t="s">
        <v>132</v>
      </c>
      <c r="R750" s="129">
        <f t="shared" ref="R750:R756" si="99">M750*P750</f>
        <v>806.05</v>
      </c>
      <c r="X750" s="127">
        <f t="shared" si="97"/>
        <v>9501.61</v>
      </c>
      <c r="AE750" s="137" t="str">
        <f t="shared" si="98"/>
        <v>|</v>
      </c>
      <c r="AG750" s="120" t="s">
        <v>120</v>
      </c>
    </row>
    <row r="751" spans="1:33" ht="24" customHeight="1">
      <c r="A751" s="130">
        <f t="shared" si="90"/>
        <v>548</v>
      </c>
      <c r="B751" s="120" t="s">
        <v>4201</v>
      </c>
      <c r="C751" s="136">
        <v>376.7</v>
      </c>
      <c r="D751" s="136">
        <v>408</v>
      </c>
      <c r="H751" s="121" t="s">
        <v>1010</v>
      </c>
      <c r="K751" s="129">
        <f>K749/40</f>
        <v>24.13</v>
      </c>
      <c r="M751" s="201">
        <v>0.872</v>
      </c>
      <c r="N751" s="120" t="s">
        <v>425</v>
      </c>
      <c r="O751" s="120" t="s">
        <v>963</v>
      </c>
      <c r="P751" s="129">
        <f>C783</f>
        <v>387.4</v>
      </c>
      <c r="Q751" s="120" t="s">
        <v>425</v>
      </c>
      <c r="R751" s="129">
        <f t="shared" si="99"/>
        <v>337.81</v>
      </c>
      <c r="X751" s="127">
        <f t="shared" si="97"/>
        <v>9537.31</v>
      </c>
      <c r="AE751" s="137" t="str">
        <f t="shared" si="98"/>
        <v>|</v>
      </c>
      <c r="AG751" s="120" t="s">
        <v>120</v>
      </c>
    </row>
    <row r="752" spans="1:33" ht="24" customHeight="1">
      <c r="A752" s="130">
        <f t="shared" si="90"/>
        <v>549</v>
      </c>
      <c r="B752" s="120" t="s">
        <v>4202</v>
      </c>
      <c r="C752" s="136">
        <v>769</v>
      </c>
      <c r="D752" s="132" t="s">
        <v>972</v>
      </c>
      <c r="K752" s="123" t="s">
        <v>52</v>
      </c>
      <c r="M752" s="201">
        <v>1.3247</v>
      </c>
      <c r="N752" s="120" t="s">
        <v>425</v>
      </c>
      <c r="O752" s="120" t="s">
        <v>449</v>
      </c>
      <c r="P752" s="129">
        <f>C31</f>
        <v>1602.7</v>
      </c>
      <c r="Q752" s="120" t="s">
        <v>425</v>
      </c>
      <c r="R752" s="129">
        <f t="shared" si="99"/>
        <v>2123.1</v>
      </c>
      <c r="X752" s="127">
        <f t="shared" si="97"/>
        <v>9623.7099999999991</v>
      </c>
      <c r="AE752" s="137" t="str">
        <f t="shared" si="98"/>
        <v>|</v>
      </c>
      <c r="AG752" s="120" t="s">
        <v>120</v>
      </c>
    </row>
    <row r="753" spans="1:33" ht="24" customHeight="1">
      <c r="A753" s="130">
        <f t="shared" si="90"/>
        <v>550</v>
      </c>
      <c r="B753" s="132" t="s">
        <v>1028</v>
      </c>
      <c r="C753" s="140">
        <v>210</v>
      </c>
      <c r="D753" s="132" t="s">
        <v>972</v>
      </c>
      <c r="H753" s="120" t="s">
        <v>1013</v>
      </c>
      <c r="M753" s="129">
        <v>1</v>
      </c>
      <c r="N753" s="120" t="s">
        <v>131</v>
      </c>
      <c r="O753" s="120" t="s">
        <v>965</v>
      </c>
      <c r="P753" s="129">
        <f>C299</f>
        <v>10.5</v>
      </c>
      <c r="Q753" s="120" t="s">
        <v>131</v>
      </c>
      <c r="R753" s="129">
        <f t="shared" si="99"/>
        <v>10.5</v>
      </c>
      <c r="X753" s="127">
        <f t="shared" si="97"/>
        <v>10425.61</v>
      </c>
      <c r="AE753" s="137" t="str">
        <f t="shared" si="98"/>
        <v>|</v>
      </c>
      <c r="AG753" s="120" t="s">
        <v>120</v>
      </c>
    </row>
    <row r="754" spans="1:33" ht="24" customHeight="1">
      <c r="A754" s="130">
        <f t="shared" si="90"/>
        <v>551</v>
      </c>
      <c r="B754" s="120" t="s">
        <v>4203</v>
      </c>
      <c r="C754" s="136">
        <v>1462</v>
      </c>
      <c r="D754" s="132" t="s">
        <v>425</v>
      </c>
      <c r="H754" s="120" t="s">
        <v>1015</v>
      </c>
      <c r="M754" s="129">
        <v>3</v>
      </c>
      <c r="N754" s="120" t="s">
        <v>131</v>
      </c>
      <c r="O754" s="120" t="s">
        <v>1032</v>
      </c>
      <c r="P754" s="129">
        <f>C294</f>
        <v>5.75</v>
      </c>
      <c r="Q754" s="120" t="s">
        <v>131</v>
      </c>
      <c r="R754" s="129">
        <f t="shared" si="99"/>
        <v>17.25</v>
      </c>
      <c r="AE754" s="137" t="str">
        <f t="shared" si="98"/>
        <v>|</v>
      </c>
      <c r="AG754" s="120" t="s">
        <v>120</v>
      </c>
    </row>
    <row r="755" spans="1:33" ht="24" customHeight="1">
      <c r="A755" s="130">
        <f t="shared" si="90"/>
        <v>552</v>
      </c>
      <c r="B755" s="132" t="s">
        <v>1033</v>
      </c>
      <c r="C755" s="138"/>
      <c r="D755" s="132" t="s">
        <v>85</v>
      </c>
      <c r="H755" s="120" t="s">
        <v>1017</v>
      </c>
      <c r="M755" s="129">
        <v>1</v>
      </c>
      <c r="N755" s="120" t="s">
        <v>131</v>
      </c>
      <c r="O755" s="120" t="s">
        <v>1036</v>
      </c>
      <c r="P755" s="129">
        <f>C302</f>
        <v>10</v>
      </c>
      <c r="Q755" s="120" t="s">
        <v>131</v>
      </c>
      <c r="R755" s="129">
        <f t="shared" si="99"/>
        <v>10</v>
      </c>
      <c r="AE755" s="137" t="str">
        <f t="shared" si="98"/>
        <v>|</v>
      </c>
      <c r="AG755" s="120" t="s">
        <v>120</v>
      </c>
    </row>
    <row r="756" spans="1:33" ht="24" customHeight="1">
      <c r="A756" s="130">
        <f t="shared" si="90"/>
        <v>553</v>
      </c>
      <c r="B756" s="132" t="s">
        <v>1037</v>
      </c>
      <c r="C756" s="138"/>
      <c r="D756" s="138"/>
      <c r="M756" s="129">
        <v>1</v>
      </c>
      <c r="N756" s="120" t="s">
        <v>131</v>
      </c>
      <c r="O756" s="120" t="s">
        <v>453</v>
      </c>
      <c r="P756" s="129">
        <f>C303</f>
        <v>4</v>
      </c>
      <c r="Q756" s="120" t="s">
        <v>131</v>
      </c>
      <c r="R756" s="129">
        <f t="shared" si="99"/>
        <v>4</v>
      </c>
      <c r="AE756" s="137" t="str">
        <f t="shared" si="98"/>
        <v>|</v>
      </c>
      <c r="AG756" s="120" t="s">
        <v>120</v>
      </c>
    </row>
    <row r="757" spans="1:33" ht="24" customHeight="1">
      <c r="A757" s="130">
        <f t="shared" si="90"/>
        <v>554</v>
      </c>
      <c r="B757" s="132" t="s">
        <v>1038</v>
      </c>
      <c r="C757" s="131">
        <v>300</v>
      </c>
      <c r="D757" s="132" t="s">
        <v>1039</v>
      </c>
      <c r="F757" s="129">
        <v>19</v>
      </c>
      <c r="G757" s="126" t="s">
        <v>41</v>
      </c>
      <c r="H757" s="120" t="s">
        <v>1022</v>
      </c>
      <c r="I757" s="142">
        <f>K751</f>
        <v>24.13</v>
      </c>
      <c r="J757" s="120" t="s">
        <v>1023</v>
      </c>
      <c r="K757" s="129">
        <f>(F757*I757)</f>
        <v>458.47</v>
      </c>
      <c r="N757" s="120" t="s">
        <v>145</v>
      </c>
      <c r="O757" s="120" t="s">
        <v>146</v>
      </c>
      <c r="Q757" s="120" t="s">
        <v>145</v>
      </c>
      <c r="R757" s="129">
        <v>0</v>
      </c>
      <c r="AE757" s="137" t="str">
        <f t="shared" si="98"/>
        <v>|</v>
      </c>
      <c r="AG757" s="120" t="s">
        <v>120</v>
      </c>
    </row>
    <row r="758" spans="1:33" ht="24" customHeight="1">
      <c r="A758" s="130">
        <f t="shared" si="90"/>
        <v>555</v>
      </c>
      <c r="B758" s="243" t="s">
        <v>1041</v>
      </c>
      <c r="C758" s="131">
        <v>302</v>
      </c>
      <c r="D758" s="132" t="s">
        <v>1039</v>
      </c>
      <c r="H758" s="120" t="s">
        <v>1025</v>
      </c>
      <c r="R758" s="123" t="s">
        <v>52</v>
      </c>
      <c r="AE758" s="137" t="str">
        <f t="shared" si="98"/>
        <v>|</v>
      </c>
      <c r="AG758" s="120" t="s">
        <v>120</v>
      </c>
    </row>
    <row r="759" spans="1:33" ht="24" customHeight="1">
      <c r="A759" s="130">
        <f t="shared" si="90"/>
        <v>556</v>
      </c>
      <c r="B759" s="132" t="s">
        <v>1043</v>
      </c>
      <c r="C759" s="131">
        <v>382</v>
      </c>
      <c r="D759" s="132" t="s">
        <v>1039</v>
      </c>
      <c r="F759" s="129">
        <v>0.12</v>
      </c>
      <c r="G759" s="126" t="s">
        <v>5</v>
      </c>
      <c r="H759" s="120" t="s">
        <v>4204</v>
      </c>
      <c r="I759" s="129">
        <f>C269/5</f>
        <v>3100</v>
      </c>
      <c r="J759" s="120" t="s">
        <v>1023</v>
      </c>
      <c r="K759" s="129">
        <f t="shared" ref="K759:K766" si="100">(F759*I759)</f>
        <v>372</v>
      </c>
      <c r="O759" s="121" t="s">
        <v>1045</v>
      </c>
      <c r="R759" s="129">
        <f>SUM(R750:R757)</f>
        <v>3308.71</v>
      </c>
      <c r="AE759" s="137" t="str">
        <f t="shared" si="98"/>
        <v>|</v>
      </c>
      <c r="AG759" s="120" t="s">
        <v>120</v>
      </c>
    </row>
    <row r="760" spans="1:33" ht="24" customHeight="1">
      <c r="A760" s="130">
        <f t="shared" si="90"/>
        <v>557</v>
      </c>
      <c r="B760" s="132" t="s">
        <v>1046</v>
      </c>
      <c r="C760" s="131">
        <v>140</v>
      </c>
      <c r="D760" s="132" t="s">
        <v>1039</v>
      </c>
      <c r="F760" s="129">
        <v>98.5</v>
      </c>
      <c r="G760" s="126" t="s">
        <v>13</v>
      </c>
      <c r="H760" s="120" t="s">
        <v>1029</v>
      </c>
      <c r="I760" s="129">
        <f>C270/5</f>
        <v>5.04</v>
      </c>
      <c r="J760" s="120" t="s">
        <v>1023</v>
      </c>
      <c r="K760" s="129">
        <f t="shared" si="100"/>
        <v>496.44</v>
      </c>
      <c r="R760" s="123" t="s">
        <v>52</v>
      </c>
      <c r="T760" s="114">
        <v>4.2</v>
      </c>
      <c r="U760" s="114" t="s">
        <v>4205</v>
      </c>
      <c r="AE760" s="137" t="str">
        <f t="shared" si="98"/>
        <v>|</v>
      </c>
      <c r="AG760" s="120" t="s">
        <v>120</v>
      </c>
    </row>
    <row r="761" spans="1:33" ht="24" customHeight="1">
      <c r="A761" s="130">
        <f t="shared" si="90"/>
        <v>558</v>
      </c>
      <c r="B761" s="132" t="s">
        <v>1048</v>
      </c>
      <c r="C761" s="131">
        <v>222</v>
      </c>
      <c r="D761" s="132" t="s">
        <v>1039</v>
      </c>
      <c r="F761" s="129">
        <v>1</v>
      </c>
      <c r="G761" s="126" t="s">
        <v>145</v>
      </c>
      <c r="H761" s="120" t="s">
        <v>1031</v>
      </c>
      <c r="I761" s="196">
        <v>11</v>
      </c>
      <c r="J761" s="120" t="s">
        <v>145</v>
      </c>
      <c r="K761" s="129">
        <f t="shared" si="100"/>
        <v>11</v>
      </c>
      <c r="O761" s="121" t="s">
        <v>460</v>
      </c>
      <c r="R761" s="129">
        <f>R759/1.3247</f>
        <v>2497.71</v>
      </c>
      <c r="S761" s="118">
        <v>5</v>
      </c>
      <c r="T761" s="115" t="s">
        <v>34</v>
      </c>
      <c r="U761" s="115" t="s">
        <v>35</v>
      </c>
      <c r="V761" s="115">
        <f>V675</f>
        <v>1729.98</v>
      </c>
      <c r="X761" s="115">
        <f t="shared" ref="X761:X768" si="101">V761*S761</f>
        <v>8649.9</v>
      </c>
      <c r="AE761" s="137" t="str">
        <f t="shared" si="98"/>
        <v>|</v>
      </c>
      <c r="AG761" s="120" t="s">
        <v>120</v>
      </c>
    </row>
    <row r="762" spans="1:33" ht="24" customHeight="1">
      <c r="A762" s="130">
        <f t="shared" si="90"/>
        <v>559</v>
      </c>
      <c r="B762" s="132" t="s">
        <v>1049</v>
      </c>
      <c r="C762" s="131">
        <v>505</v>
      </c>
      <c r="D762" s="132" t="s">
        <v>1039</v>
      </c>
      <c r="F762" s="129">
        <v>3.8</v>
      </c>
      <c r="G762" s="126" t="s">
        <v>1034</v>
      </c>
      <c r="H762" s="120" t="s">
        <v>1035</v>
      </c>
      <c r="I762" s="129">
        <f>C16</f>
        <v>1018.6</v>
      </c>
      <c r="J762" s="120" t="s">
        <v>729</v>
      </c>
      <c r="K762" s="129">
        <f t="shared" si="100"/>
        <v>3870.68</v>
      </c>
      <c r="R762" s="123" t="s">
        <v>89</v>
      </c>
      <c r="S762" s="118">
        <v>3.3</v>
      </c>
      <c r="T762" s="115" t="s">
        <v>34</v>
      </c>
      <c r="U762" s="115" t="s">
        <v>36</v>
      </c>
      <c r="V762" s="115">
        <f t="shared" ref="V762:V768" si="102">V676</f>
        <v>1444.48</v>
      </c>
      <c r="X762" s="115">
        <f t="shared" si="101"/>
        <v>4766.78</v>
      </c>
      <c r="AE762" s="137" t="str">
        <f t="shared" si="98"/>
        <v>|</v>
      </c>
      <c r="AG762" s="120" t="s">
        <v>120</v>
      </c>
    </row>
    <row r="763" spans="1:33" ht="24" customHeight="1">
      <c r="A763" s="130">
        <f t="shared" si="90"/>
        <v>560</v>
      </c>
      <c r="B763" s="132" t="s">
        <v>4206</v>
      </c>
      <c r="C763" s="129">
        <v>272.2</v>
      </c>
      <c r="D763" s="132" t="s">
        <v>972</v>
      </c>
      <c r="F763" s="129">
        <v>5.4</v>
      </c>
      <c r="G763" s="126" t="s">
        <v>1034</v>
      </c>
      <c r="H763" s="120" t="s">
        <v>731</v>
      </c>
      <c r="I763" s="129">
        <f>C12</f>
        <v>679.8</v>
      </c>
      <c r="J763" s="120" t="s">
        <v>729</v>
      </c>
      <c r="K763" s="129">
        <f t="shared" si="100"/>
        <v>3670.92</v>
      </c>
      <c r="N763" s="120" t="s">
        <v>111</v>
      </c>
      <c r="S763" s="118">
        <v>4.79</v>
      </c>
      <c r="T763" s="115" t="s">
        <v>34</v>
      </c>
      <c r="U763" s="115" t="s">
        <v>37</v>
      </c>
      <c r="V763" s="115">
        <f t="shared" si="102"/>
        <v>1642.42</v>
      </c>
      <c r="X763" s="115">
        <f t="shared" si="101"/>
        <v>7867.19</v>
      </c>
      <c r="AE763" s="137" t="str">
        <f t="shared" si="98"/>
        <v>|</v>
      </c>
      <c r="AG763" s="120" t="s">
        <v>120</v>
      </c>
    </row>
    <row r="764" spans="1:33" ht="24" customHeight="1">
      <c r="A764" s="138" t="s">
        <v>4207</v>
      </c>
      <c r="B764" s="132" t="s">
        <v>4208</v>
      </c>
      <c r="C764" s="136">
        <v>1020</v>
      </c>
      <c r="D764" s="132" t="s">
        <v>972</v>
      </c>
      <c r="F764" s="129">
        <v>1</v>
      </c>
      <c r="G764" s="126" t="s">
        <v>1034</v>
      </c>
      <c r="H764" s="120" t="s">
        <v>1040</v>
      </c>
      <c r="I764" s="129">
        <f>C66</f>
        <v>893.2</v>
      </c>
      <c r="J764" s="120" t="s">
        <v>729</v>
      </c>
      <c r="K764" s="129">
        <f t="shared" si="100"/>
        <v>893.2</v>
      </c>
      <c r="O764" s="120" t="s">
        <v>1051</v>
      </c>
      <c r="S764" s="118">
        <v>4.25</v>
      </c>
      <c r="T764" s="115" t="s">
        <v>11</v>
      </c>
      <c r="U764" s="115" t="s">
        <v>38</v>
      </c>
      <c r="V764" s="115">
        <f t="shared" si="102"/>
        <v>6040</v>
      </c>
      <c r="X764" s="115">
        <f t="shared" si="101"/>
        <v>25670</v>
      </c>
      <c r="AE764" s="137" t="str">
        <f t="shared" si="98"/>
        <v>|</v>
      </c>
      <c r="AG764" s="120" t="s">
        <v>120</v>
      </c>
    </row>
    <row r="765" spans="1:33" ht="24" customHeight="1">
      <c r="A765" s="130">
        <f>(A763+1)</f>
        <v>561</v>
      </c>
      <c r="B765" s="132" t="s">
        <v>1052</v>
      </c>
      <c r="C765" s="131">
        <v>43.3</v>
      </c>
      <c r="D765" s="132" t="s">
        <v>282</v>
      </c>
      <c r="F765" s="129">
        <v>1</v>
      </c>
      <c r="G765" s="126" t="s">
        <v>145</v>
      </c>
      <c r="H765" s="120" t="s">
        <v>1042</v>
      </c>
      <c r="I765" s="196">
        <v>10</v>
      </c>
      <c r="J765" s="120" t="s">
        <v>145</v>
      </c>
      <c r="K765" s="129">
        <f t="shared" si="100"/>
        <v>10</v>
      </c>
      <c r="O765" s="120" t="s">
        <v>1053</v>
      </c>
      <c r="S765" s="118">
        <v>40</v>
      </c>
      <c r="T765" s="115" t="s">
        <v>39</v>
      </c>
      <c r="U765" s="115" t="s">
        <v>67</v>
      </c>
      <c r="V765" s="115">
        <f t="shared" si="102"/>
        <v>43.2</v>
      </c>
      <c r="X765" s="115">
        <f t="shared" si="101"/>
        <v>1728</v>
      </c>
      <c r="AE765" s="137" t="str">
        <f t="shared" si="98"/>
        <v>|</v>
      </c>
      <c r="AG765" s="120" t="s">
        <v>120</v>
      </c>
    </row>
    <row r="766" spans="1:33" ht="24" customHeight="1">
      <c r="A766" s="130">
        <f t="shared" ref="A766:A783" si="103">(A765+1)</f>
        <v>562</v>
      </c>
      <c r="B766" s="132" t="s">
        <v>1054</v>
      </c>
      <c r="C766" s="131">
        <v>218</v>
      </c>
      <c r="D766" s="132" t="s">
        <v>972</v>
      </c>
      <c r="F766" s="129">
        <v>19</v>
      </c>
      <c r="G766" s="126" t="s">
        <v>41</v>
      </c>
      <c r="H766" s="120" t="s">
        <v>1044</v>
      </c>
      <c r="I766" s="196">
        <v>2</v>
      </c>
      <c r="J766" s="120" t="s">
        <v>41</v>
      </c>
      <c r="K766" s="129">
        <f t="shared" si="100"/>
        <v>38</v>
      </c>
      <c r="O766" s="120" t="s">
        <v>1056</v>
      </c>
      <c r="S766" s="118">
        <v>3.5</v>
      </c>
      <c r="T766" s="115" t="s">
        <v>41</v>
      </c>
      <c r="U766" s="115" t="s">
        <v>42</v>
      </c>
      <c r="V766" s="115">
        <f t="shared" si="102"/>
        <v>972.4</v>
      </c>
      <c r="X766" s="115">
        <f t="shared" si="101"/>
        <v>3403.4</v>
      </c>
      <c r="AE766" s="137" t="str">
        <f t="shared" si="98"/>
        <v>|</v>
      </c>
      <c r="AG766" s="120" t="s">
        <v>120</v>
      </c>
    </row>
    <row r="767" spans="1:33" ht="24" customHeight="1">
      <c r="A767" s="130">
        <f t="shared" si="103"/>
        <v>563</v>
      </c>
      <c r="B767" s="132" t="s">
        <v>1057</v>
      </c>
      <c r="C767" s="131">
        <v>926</v>
      </c>
      <c r="D767" s="132" t="s">
        <v>972</v>
      </c>
      <c r="H767" s="120" t="s">
        <v>1047</v>
      </c>
      <c r="K767" s="123" t="s">
        <v>52</v>
      </c>
      <c r="O767" s="120" t="s">
        <v>1059</v>
      </c>
      <c r="S767" s="118">
        <v>21.2</v>
      </c>
      <c r="T767" s="115" t="s">
        <v>41</v>
      </c>
      <c r="U767" s="115" t="s">
        <v>43</v>
      </c>
      <c r="V767" s="115">
        <f t="shared" si="102"/>
        <v>679.8</v>
      </c>
      <c r="X767" s="115">
        <f t="shared" si="101"/>
        <v>14411.76</v>
      </c>
      <c r="AE767" s="137" t="str">
        <f t="shared" si="98"/>
        <v>|</v>
      </c>
      <c r="AG767" s="120" t="s">
        <v>120</v>
      </c>
    </row>
    <row r="768" spans="1:33" ht="24" customHeight="1">
      <c r="A768" s="130">
        <f t="shared" si="103"/>
        <v>564</v>
      </c>
      <c r="B768" s="132" t="s">
        <v>1060</v>
      </c>
      <c r="C768" s="131">
        <v>5.15</v>
      </c>
      <c r="D768" s="132" t="s">
        <v>282</v>
      </c>
      <c r="H768" s="121" t="s">
        <v>495</v>
      </c>
      <c r="K768" s="129">
        <f>SUM(K757:K766)+0.07</f>
        <v>9820.7800000000007</v>
      </c>
      <c r="O768" s="123" t="s">
        <v>52</v>
      </c>
      <c r="S768" s="118">
        <v>35.299999999999997</v>
      </c>
      <c r="T768" s="115" t="s">
        <v>41</v>
      </c>
      <c r="U768" s="115" t="s">
        <v>44</v>
      </c>
      <c r="V768" s="115">
        <f t="shared" si="102"/>
        <v>557.70000000000005</v>
      </c>
      <c r="X768" s="115">
        <f t="shared" si="101"/>
        <v>19686.810000000001</v>
      </c>
      <c r="AE768" s="137" t="str">
        <f t="shared" si="98"/>
        <v>|</v>
      </c>
      <c r="AG768" s="120" t="s">
        <v>120</v>
      </c>
    </row>
    <row r="769" spans="1:33" ht="24" customHeight="1">
      <c r="A769" s="130">
        <f t="shared" si="103"/>
        <v>565</v>
      </c>
      <c r="B769" s="132" t="s">
        <v>1062</v>
      </c>
      <c r="C769" s="131">
        <v>550</v>
      </c>
      <c r="D769" s="132" t="s">
        <v>972</v>
      </c>
      <c r="K769" s="123" t="s">
        <v>52</v>
      </c>
      <c r="U769" s="114" t="s">
        <v>45</v>
      </c>
      <c r="X769" s="114">
        <f>SUM(X761:X768)</f>
        <v>86183.84</v>
      </c>
      <c r="AE769" s="137" t="str">
        <f t="shared" si="98"/>
        <v>|</v>
      </c>
      <c r="AG769" s="120" t="s">
        <v>120</v>
      </c>
    </row>
    <row r="770" spans="1:33" ht="24" customHeight="1">
      <c r="A770" s="130">
        <f t="shared" si="103"/>
        <v>566</v>
      </c>
      <c r="B770" s="132" t="s">
        <v>1063</v>
      </c>
      <c r="C770" s="131">
        <v>286</v>
      </c>
      <c r="D770" s="132" t="s">
        <v>972</v>
      </c>
      <c r="H770" s="121" t="s">
        <v>460</v>
      </c>
      <c r="K770" s="129">
        <f>(K768/10)</f>
        <v>982.08</v>
      </c>
      <c r="O770" s="120" t="s">
        <v>1065</v>
      </c>
      <c r="R770" s="129">
        <f>(C723)</f>
        <v>1183.82</v>
      </c>
      <c r="U770" s="114" t="s">
        <v>46</v>
      </c>
      <c r="X770" s="114">
        <f>X769/10</f>
        <v>8618.3799999999992</v>
      </c>
      <c r="AE770" s="137" t="str">
        <f t="shared" si="98"/>
        <v>|</v>
      </c>
      <c r="AG770" s="120" t="s">
        <v>120</v>
      </c>
    </row>
    <row r="771" spans="1:33" ht="24" customHeight="1">
      <c r="A771" s="130">
        <f t="shared" si="103"/>
        <v>567</v>
      </c>
      <c r="B771" s="132" t="s">
        <v>1066</v>
      </c>
      <c r="C771" s="131">
        <v>96.3</v>
      </c>
      <c r="D771" s="132" t="s">
        <v>282</v>
      </c>
      <c r="F771" s="120" t="s">
        <v>85</v>
      </c>
      <c r="R771" s="123" t="s">
        <v>89</v>
      </c>
      <c r="S771" s="118">
        <v>1</v>
      </c>
      <c r="T771" s="115" t="s">
        <v>34</v>
      </c>
      <c r="U771" s="115" t="s">
        <v>47</v>
      </c>
      <c r="V771" s="115">
        <f>V801</f>
        <v>1263.98</v>
      </c>
      <c r="X771" s="115">
        <f>V771</f>
        <v>1263.98</v>
      </c>
      <c r="AE771" s="137" t="str">
        <f t="shared" si="98"/>
        <v>|</v>
      </c>
      <c r="AG771" s="120" t="s">
        <v>120</v>
      </c>
    </row>
    <row r="772" spans="1:33" ht="24" customHeight="1">
      <c r="A772" s="130">
        <f t="shared" si="103"/>
        <v>568</v>
      </c>
      <c r="B772" s="132" t="s">
        <v>1068</v>
      </c>
      <c r="C772" s="131">
        <v>51</v>
      </c>
      <c r="D772" s="132" t="s">
        <v>972</v>
      </c>
      <c r="K772" s="123" t="s">
        <v>89</v>
      </c>
      <c r="U772" s="115" t="s">
        <v>48</v>
      </c>
      <c r="X772" s="114">
        <f>SUM(X770:X771)</f>
        <v>9882.36</v>
      </c>
      <c r="AE772" s="137" t="str">
        <f t="shared" si="98"/>
        <v>|</v>
      </c>
      <c r="AG772" s="120" t="s">
        <v>120</v>
      </c>
    </row>
    <row r="773" spans="1:33" ht="24" customHeight="1">
      <c r="A773" s="130">
        <f t="shared" si="103"/>
        <v>569</v>
      </c>
      <c r="B773" s="132" t="s">
        <v>1070</v>
      </c>
      <c r="C773" s="131">
        <v>181</v>
      </c>
      <c r="D773" s="132" t="s">
        <v>781</v>
      </c>
      <c r="F773" s="121" t="s">
        <v>228</v>
      </c>
      <c r="G773" s="126" t="s">
        <v>111</v>
      </c>
      <c r="H773" s="120" t="s">
        <v>1055</v>
      </c>
      <c r="N773" s="120" t="s">
        <v>111</v>
      </c>
      <c r="O773" s="120" t="s">
        <v>1072</v>
      </c>
      <c r="S773" s="241" t="s">
        <v>49</v>
      </c>
      <c r="U773" s="115" t="s">
        <v>50</v>
      </c>
      <c r="V773" s="241" t="s">
        <v>49</v>
      </c>
      <c r="X773" s="115">
        <f>X772*0.5%</f>
        <v>49.41</v>
      </c>
      <c r="AE773" s="137" t="str">
        <f t="shared" si="98"/>
        <v>|</v>
      </c>
      <c r="AG773" s="120" t="s">
        <v>120</v>
      </c>
    </row>
    <row r="774" spans="1:33" ht="24" customHeight="1">
      <c r="A774" s="130">
        <f t="shared" si="103"/>
        <v>570</v>
      </c>
      <c r="B774" s="132" t="s">
        <v>1073</v>
      </c>
      <c r="C774" s="131">
        <v>36.200000000000003</v>
      </c>
      <c r="D774" s="132" t="s">
        <v>282</v>
      </c>
      <c r="H774" s="120" t="s">
        <v>1058</v>
      </c>
      <c r="O774" s="123" t="s">
        <v>89</v>
      </c>
      <c r="P774" s="123" t="s">
        <v>89</v>
      </c>
      <c r="Q774" s="123" t="s">
        <v>89</v>
      </c>
      <c r="R774" s="120" t="s">
        <v>1075</v>
      </c>
      <c r="T774" s="116"/>
      <c r="U774" s="114" t="s">
        <v>51</v>
      </c>
      <c r="X774" s="127">
        <f>SUM(X772:X773)</f>
        <v>9931.77</v>
      </c>
      <c r="AE774" s="137" t="str">
        <f t="shared" si="98"/>
        <v>|</v>
      </c>
      <c r="AG774" s="120" t="s">
        <v>120</v>
      </c>
    </row>
    <row r="775" spans="1:33" ht="24" customHeight="1">
      <c r="A775" s="130">
        <f t="shared" si="103"/>
        <v>571</v>
      </c>
      <c r="B775" s="132" t="s">
        <v>1076</v>
      </c>
      <c r="C775" s="131">
        <v>98</v>
      </c>
      <c r="D775" s="132" t="s">
        <v>972</v>
      </c>
      <c r="H775" s="120" t="s">
        <v>1061</v>
      </c>
      <c r="O775" s="120" t="s">
        <v>1078</v>
      </c>
      <c r="Q775" s="121" t="s">
        <v>13</v>
      </c>
      <c r="R775" s="129">
        <f>(C726)</f>
        <v>147.6</v>
      </c>
      <c r="T775" s="116"/>
      <c r="X775" s="123" t="s">
        <v>52</v>
      </c>
      <c r="AE775" s="137" t="str">
        <f t="shared" si="98"/>
        <v>|</v>
      </c>
      <c r="AG775" s="120" t="s">
        <v>120</v>
      </c>
    </row>
    <row r="776" spans="1:33" ht="24" customHeight="1">
      <c r="A776" s="130">
        <f t="shared" si="103"/>
        <v>572</v>
      </c>
      <c r="B776" s="132" t="s">
        <v>1079</v>
      </c>
      <c r="C776" s="131">
        <v>92</v>
      </c>
      <c r="D776" s="132" t="s">
        <v>282</v>
      </c>
      <c r="H776" s="123" t="s">
        <v>52</v>
      </c>
      <c r="O776" s="120" t="s">
        <v>1080</v>
      </c>
      <c r="T776" s="116"/>
      <c r="U776" s="120" t="s">
        <v>53</v>
      </c>
      <c r="X776" s="127">
        <f>(X774+C22)</f>
        <v>10056.73</v>
      </c>
      <c r="AE776" s="137" t="str">
        <f t="shared" si="98"/>
        <v>|::</v>
      </c>
      <c r="AG776" s="120" t="s">
        <v>307</v>
      </c>
    </row>
    <row r="777" spans="1:33" ht="24" customHeight="1">
      <c r="A777" s="130">
        <f t="shared" si="103"/>
        <v>573</v>
      </c>
      <c r="B777" s="132" t="s">
        <v>1081</v>
      </c>
      <c r="C777" s="131">
        <v>49.42</v>
      </c>
      <c r="D777" s="132" t="s">
        <v>972</v>
      </c>
      <c r="F777" s="129">
        <v>10</v>
      </c>
      <c r="G777" s="126" t="s">
        <v>425</v>
      </c>
      <c r="H777" s="120" t="s">
        <v>1064</v>
      </c>
      <c r="I777" s="129">
        <f>(K757)*1.2</f>
        <v>550.16</v>
      </c>
      <c r="J777" s="120" t="s">
        <v>1023</v>
      </c>
      <c r="K777" s="129">
        <f>(F777*I777)/10</f>
        <v>550.16</v>
      </c>
      <c r="O777" s="120" t="s">
        <v>1082</v>
      </c>
      <c r="T777" s="116"/>
      <c r="U777" s="120" t="s">
        <v>54</v>
      </c>
      <c r="X777" s="127">
        <f>(X776+C24)</f>
        <v>10302.91</v>
      </c>
      <c r="AE777" s="137">
        <f t="shared" si="98"/>
        <v>0</v>
      </c>
    </row>
    <row r="778" spans="1:33" ht="24" customHeight="1">
      <c r="A778" s="130">
        <f t="shared" si="103"/>
        <v>574</v>
      </c>
      <c r="B778" s="132" t="s">
        <v>1083</v>
      </c>
      <c r="C778" s="131">
        <v>53.2</v>
      </c>
      <c r="D778" s="132" t="s">
        <v>972</v>
      </c>
      <c r="H778" s="120" t="s">
        <v>1067</v>
      </c>
      <c r="O778" s="120" t="s">
        <v>1084</v>
      </c>
      <c r="T778" s="116"/>
      <c r="U778" s="120" t="s">
        <v>55</v>
      </c>
      <c r="X778" s="127">
        <f>(X777+C24)</f>
        <v>10549.09</v>
      </c>
      <c r="AE778" s="137">
        <f t="shared" si="98"/>
        <v>0</v>
      </c>
    </row>
    <row r="779" spans="1:33" ht="24" customHeight="1">
      <c r="A779" s="130">
        <f t="shared" si="103"/>
        <v>575</v>
      </c>
      <c r="B779" s="132" t="s">
        <v>1085</v>
      </c>
      <c r="C779" s="131">
        <v>59</v>
      </c>
      <c r="D779" s="132" t="s">
        <v>972</v>
      </c>
      <c r="H779" s="120" t="s">
        <v>1069</v>
      </c>
      <c r="O779" s="120" t="s">
        <v>1086</v>
      </c>
      <c r="T779" s="116"/>
      <c r="U779" s="120" t="s">
        <v>56</v>
      </c>
      <c r="X779" s="127">
        <f>(X778+C24)</f>
        <v>10795.27</v>
      </c>
      <c r="AE779" s="137" t="str">
        <f t="shared" si="98"/>
        <v>|</v>
      </c>
      <c r="AG779" s="120" t="s">
        <v>120</v>
      </c>
    </row>
    <row r="780" spans="1:33" ht="24" customHeight="1">
      <c r="A780" s="130">
        <f t="shared" si="103"/>
        <v>576</v>
      </c>
      <c r="B780" s="132" t="s">
        <v>1087</v>
      </c>
      <c r="C780" s="131">
        <v>100</v>
      </c>
      <c r="D780" s="132" t="s">
        <v>972</v>
      </c>
      <c r="F780" s="129">
        <v>10</v>
      </c>
      <c r="G780" s="126" t="s">
        <v>425</v>
      </c>
      <c r="H780" s="120" t="s">
        <v>1071</v>
      </c>
      <c r="I780" s="129">
        <f>K759*1.2</f>
        <v>446.4</v>
      </c>
      <c r="J780" s="120" t="s">
        <v>1023</v>
      </c>
      <c r="K780" s="129">
        <f>(F780*I780)/10</f>
        <v>446.4</v>
      </c>
      <c r="O780" s="120" t="s">
        <v>1089</v>
      </c>
      <c r="R780" s="120" t="s">
        <v>85</v>
      </c>
      <c r="T780" s="116"/>
      <c r="U780" s="120" t="s">
        <v>57</v>
      </c>
      <c r="X780" s="127">
        <f>(X779+C$24)</f>
        <v>11041.45</v>
      </c>
      <c r="AE780" s="137">
        <f t="shared" si="98"/>
        <v>0</v>
      </c>
    </row>
    <row r="781" spans="1:33" ht="24" customHeight="1">
      <c r="A781" s="130">
        <f t="shared" si="103"/>
        <v>577</v>
      </c>
      <c r="B781" s="132" t="s">
        <v>1090</v>
      </c>
      <c r="C781" s="131">
        <v>49.52</v>
      </c>
      <c r="D781" s="132" t="s">
        <v>282</v>
      </c>
      <c r="H781" s="120" t="s">
        <v>1074</v>
      </c>
      <c r="O781" s="120" t="s">
        <v>85</v>
      </c>
      <c r="X781" s="127">
        <f>(X780+C$24)</f>
        <v>11287.63</v>
      </c>
      <c r="AE781" s="137" t="str">
        <f t="shared" si="98"/>
        <v>|</v>
      </c>
      <c r="AG781" s="120" t="s">
        <v>120</v>
      </c>
    </row>
    <row r="782" spans="1:33" ht="24" customHeight="1">
      <c r="A782" s="130">
        <f t="shared" si="103"/>
        <v>578</v>
      </c>
      <c r="B782" s="132" t="s">
        <v>1091</v>
      </c>
      <c r="C782" s="131">
        <v>1080</v>
      </c>
      <c r="D782" s="132" t="s">
        <v>972</v>
      </c>
      <c r="H782" s="120" t="s">
        <v>1077</v>
      </c>
      <c r="X782" s="127">
        <f>(X781+C$24)</f>
        <v>11533.81</v>
      </c>
      <c r="AE782" s="137" t="str">
        <f t="shared" si="98"/>
        <v>|</v>
      </c>
      <c r="AG782" s="120" t="s">
        <v>120</v>
      </c>
    </row>
    <row r="783" spans="1:33" ht="24" customHeight="1">
      <c r="A783" s="130">
        <f t="shared" si="103"/>
        <v>579</v>
      </c>
      <c r="B783" s="132" t="s">
        <v>4209</v>
      </c>
      <c r="C783" s="140">
        <v>387.4</v>
      </c>
      <c r="D783" s="132" t="s">
        <v>425</v>
      </c>
      <c r="F783" s="129">
        <v>98.5</v>
      </c>
      <c r="G783" s="126" t="s">
        <v>13</v>
      </c>
      <c r="H783" s="120" t="s">
        <v>1029</v>
      </c>
      <c r="I783" s="129">
        <f>C270/5</f>
        <v>5.04</v>
      </c>
      <c r="J783" s="120" t="s">
        <v>1023</v>
      </c>
      <c r="K783" s="129">
        <f t="shared" ref="K783:K789" si="104">(F783*I783)</f>
        <v>496.44</v>
      </c>
      <c r="N783" s="120" t="s">
        <v>111</v>
      </c>
      <c r="O783" s="120" t="s">
        <v>1095</v>
      </c>
      <c r="Q783" s="121" t="s">
        <v>724</v>
      </c>
      <c r="R783" s="129">
        <f>(C730)</f>
        <v>1250</v>
      </c>
      <c r="X783" s="127">
        <f>(X782+C$24)</f>
        <v>11779.99</v>
      </c>
      <c r="AE783" s="137" t="str">
        <f t="shared" si="98"/>
        <v>|</v>
      </c>
      <c r="AG783" s="120" t="s">
        <v>120</v>
      </c>
    </row>
    <row r="784" spans="1:33" ht="24" customHeight="1">
      <c r="A784" s="130" t="e">
        <f>(#REF!+1)</f>
        <v>#REF!</v>
      </c>
      <c r="B784" s="132" t="s">
        <v>1037</v>
      </c>
      <c r="C784" s="138"/>
      <c r="D784" s="138"/>
      <c r="F784" s="129">
        <v>3.8</v>
      </c>
      <c r="G784" s="126" t="s">
        <v>237</v>
      </c>
      <c r="H784" s="120" t="s">
        <v>960</v>
      </c>
      <c r="I784" s="129">
        <f>(C16)</f>
        <v>1018.6</v>
      </c>
      <c r="J784" s="120" t="s">
        <v>237</v>
      </c>
      <c r="K784" s="129">
        <f t="shared" si="104"/>
        <v>3870.68</v>
      </c>
      <c r="O784" s="120" t="s">
        <v>1096</v>
      </c>
      <c r="AE784" s="137" t="str">
        <f t="shared" si="98"/>
        <v>|</v>
      </c>
      <c r="AG784" s="120" t="s">
        <v>120</v>
      </c>
    </row>
    <row r="785" spans="1:33" ht="24" customHeight="1">
      <c r="A785" s="130"/>
      <c r="B785" s="132" t="s">
        <v>1038</v>
      </c>
      <c r="C785" s="131">
        <v>300</v>
      </c>
      <c r="D785" s="138"/>
      <c r="F785" s="129">
        <v>5.4</v>
      </c>
      <c r="G785" s="126" t="s">
        <v>237</v>
      </c>
      <c r="H785" s="120" t="s">
        <v>304</v>
      </c>
      <c r="I785" s="129">
        <f>(C12)</f>
        <v>679.8</v>
      </c>
      <c r="J785" s="120" t="s">
        <v>237</v>
      </c>
      <c r="K785" s="129">
        <f t="shared" si="104"/>
        <v>3670.92</v>
      </c>
      <c r="O785" s="120" t="s">
        <v>1097</v>
      </c>
      <c r="AE785" s="137" t="str">
        <f t="shared" si="98"/>
        <v>|</v>
      </c>
      <c r="AG785" s="120" t="s">
        <v>120</v>
      </c>
    </row>
    <row r="786" spans="1:33" ht="24" customHeight="1">
      <c r="A786" s="130"/>
      <c r="B786" s="243" t="s">
        <v>1041</v>
      </c>
      <c r="C786" s="131">
        <v>302</v>
      </c>
      <c r="D786" s="138"/>
      <c r="F786" s="129">
        <v>1</v>
      </c>
      <c r="G786" s="126" t="s">
        <v>237</v>
      </c>
      <c r="H786" s="120" t="s">
        <v>1040</v>
      </c>
      <c r="I786" s="129">
        <f>C66</f>
        <v>893.2</v>
      </c>
      <c r="J786" s="120" t="s">
        <v>729</v>
      </c>
      <c r="K786" s="129">
        <f t="shared" si="104"/>
        <v>893.2</v>
      </c>
      <c r="O786" s="120" t="s">
        <v>1098</v>
      </c>
      <c r="AE786" s="137" t="str">
        <f t="shared" si="98"/>
        <v>|</v>
      </c>
      <c r="AG786" s="120" t="s">
        <v>120</v>
      </c>
    </row>
    <row r="787" spans="1:33" ht="24" customHeight="1">
      <c r="A787" s="130"/>
      <c r="B787" s="132" t="s">
        <v>1099</v>
      </c>
      <c r="C787" s="131">
        <v>324</v>
      </c>
      <c r="D787" s="138"/>
      <c r="F787" s="129">
        <v>1</v>
      </c>
      <c r="G787" s="126" t="s">
        <v>145</v>
      </c>
      <c r="H787" s="120" t="s">
        <v>1088</v>
      </c>
      <c r="I787" s="129">
        <f>I761</f>
        <v>11</v>
      </c>
      <c r="J787" s="120" t="s">
        <v>729</v>
      </c>
      <c r="K787" s="129">
        <f t="shared" si="104"/>
        <v>11</v>
      </c>
      <c r="AE787" s="137" t="str">
        <f t="shared" si="98"/>
        <v>|</v>
      </c>
      <c r="AG787" s="120" t="s">
        <v>120</v>
      </c>
    </row>
    <row r="788" spans="1:33" ht="24" customHeight="1">
      <c r="A788" s="130"/>
      <c r="B788" s="132" t="s">
        <v>1043</v>
      </c>
      <c r="C788" s="131">
        <v>382</v>
      </c>
      <c r="D788" s="138"/>
      <c r="F788" s="129">
        <v>1</v>
      </c>
      <c r="G788" s="126" t="s">
        <v>145</v>
      </c>
      <c r="H788" s="120" t="s">
        <v>964</v>
      </c>
      <c r="I788" s="248">
        <v>10</v>
      </c>
      <c r="J788" s="120" t="s">
        <v>145</v>
      </c>
      <c r="K788" s="129">
        <f t="shared" si="104"/>
        <v>10</v>
      </c>
      <c r="N788" s="120" t="s">
        <v>111</v>
      </c>
      <c r="O788" s="120" t="s">
        <v>1100</v>
      </c>
      <c r="AE788" s="137" t="str">
        <f t="shared" si="98"/>
        <v>|</v>
      </c>
      <c r="AG788" s="120" t="s">
        <v>120</v>
      </c>
    </row>
    <row r="789" spans="1:33" ht="24" customHeight="1">
      <c r="A789" s="130"/>
      <c r="B789" s="132" t="s">
        <v>1049</v>
      </c>
      <c r="C789" s="131">
        <v>505</v>
      </c>
      <c r="D789" s="138"/>
      <c r="F789" s="129">
        <v>19</v>
      </c>
      <c r="G789" s="126" t="s">
        <v>41</v>
      </c>
      <c r="H789" s="120" t="s">
        <v>1092</v>
      </c>
      <c r="I789" s="248">
        <v>2</v>
      </c>
      <c r="J789" s="117" t="s">
        <v>41</v>
      </c>
      <c r="K789" s="129">
        <f t="shared" si="104"/>
        <v>38</v>
      </c>
      <c r="O789" s="120" t="s">
        <v>4210</v>
      </c>
      <c r="R789" s="120" t="s">
        <v>85</v>
      </c>
      <c r="AE789" s="137" t="str">
        <f t="shared" si="98"/>
        <v>|</v>
      </c>
      <c r="AG789" s="120" t="s">
        <v>120</v>
      </c>
    </row>
    <row r="790" spans="1:33" ht="24" customHeight="1">
      <c r="A790" s="130"/>
      <c r="B790" s="132" t="s">
        <v>1046</v>
      </c>
      <c r="C790" s="131">
        <v>140</v>
      </c>
      <c r="D790" s="138"/>
      <c r="H790" s="120" t="s">
        <v>1094</v>
      </c>
      <c r="O790" s="120" t="s">
        <v>1102</v>
      </c>
      <c r="AE790" s="137" t="str">
        <f t="shared" si="98"/>
        <v>|</v>
      </c>
      <c r="AG790" s="120" t="s">
        <v>120</v>
      </c>
    </row>
    <row r="791" spans="1:33" ht="24" customHeight="1">
      <c r="A791" s="130"/>
      <c r="B791" s="132" t="s">
        <v>1048</v>
      </c>
      <c r="C791" s="131">
        <v>222</v>
      </c>
      <c r="D791" s="138"/>
      <c r="K791" s="123" t="s">
        <v>52</v>
      </c>
      <c r="O791" s="123" t="s">
        <v>52</v>
      </c>
      <c r="AE791" s="137" t="str">
        <f t="shared" si="98"/>
        <v>|</v>
      </c>
      <c r="AG791" s="120" t="s">
        <v>120</v>
      </c>
    </row>
    <row r="792" spans="1:33" ht="24" customHeight="1">
      <c r="A792" s="130"/>
      <c r="B792" s="132" t="s">
        <v>1103</v>
      </c>
      <c r="C792" s="131">
        <v>100</v>
      </c>
      <c r="D792" s="138"/>
      <c r="H792" s="120" t="s">
        <v>495</v>
      </c>
      <c r="K792" s="129">
        <f>SUM(K777:K790)</f>
        <v>9986.7999999999993</v>
      </c>
      <c r="N792" s="120" t="s">
        <v>468</v>
      </c>
      <c r="O792" s="120" t="s">
        <v>4211</v>
      </c>
      <c r="P792" s="129">
        <f>(C272)</f>
        <v>306.89999999999998</v>
      </c>
      <c r="Q792" s="120" t="s">
        <v>468</v>
      </c>
      <c r="R792" s="129">
        <f>M792*P792</f>
        <v>0</v>
      </c>
      <c r="AE792" s="137" t="str">
        <f t="shared" si="98"/>
        <v>|</v>
      </c>
      <c r="AG792" s="120" t="s">
        <v>120</v>
      </c>
    </row>
    <row r="793" spans="1:33" ht="24" customHeight="1">
      <c r="A793" s="130"/>
      <c r="B793" s="132" t="s">
        <v>1106</v>
      </c>
      <c r="C793" s="131">
        <v>75</v>
      </c>
      <c r="D793" s="138"/>
      <c r="K793" s="123" t="s">
        <v>52</v>
      </c>
      <c r="R793" s="129"/>
      <c r="AE793" s="137" t="str">
        <f t="shared" si="98"/>
        <v>|</v>
      </c>
      <c r="AG793" s="120" t="s">
        <v>120</v>
      </c>
    </row>
    <row r="794" spans="1:33" ht="24" customHeight="1">
      <c r="A794" s="130"/>
      <c r="B794" s="132" t="s">
        <v>1107</v>
      </c>
      <c r="C794" s="131">
        <v>218</v>
      </c>
      <c r="D794" s="138"/>
      <c r="H794" s="120" t="s">
        <v>460</v>
      </c>
      <c r="K794" s="129">
        <f>(K792/10)</f>
        <v>998.68</v>
      </c>
      <c r="N794" s="120" t="s">
        <v>1109</v>
      </c>
      <c r="O794" s="120" t="s">
        <v>1110</v>
      </c>
      <c r="P794" s="129">
        <f>(C16)</f>
        <v>1018.6</v>
      </c>
      <c r="Q794" s="120" t="s">
        <v>1109</v>
      </c>
      <c r="R794" s="129">
        <f>M794*P794</f>
        <v>0</v>
      </c>
      <c r="AE794" s="137" t="str">
        <f t="shared" si="98"/>
        <v>|</v>
      </c>
      <c r="AG794" s="120" t="s">
        <v>120</v>
      </c>
    </row>
    <row r="795" spans="1:33" ht="24" customHeight="1">
      <c r="A795" s="130"/>
      <c r="B795" s="132" t="s">
        <v>1111</v>
      </c>
      <c r="C795" s="131">
        <v>1854</v>
      </c>
      <c r="D795" s="138"/>
      <c r="K795" s="123" t="s">
        <v>89</v>
      </c>
      <c r="R795" s="129"/>
      <c r="AE795" s="137" t="str">
        <f t="shared" si="98"/>
        <v>|</v>
      </c>
      <c r="AG795" s="120" t="s">
        <v>120</v>
      </c>
    </row>
    <row r="796" spans="1:33" ht="24" customHeight="1">
      <c r="A796" s="130"/>
      <c r="B796" s="132" t="s">
        <v>1113</v>
      </c>
      <c r="C796" s="131">
        <v>51</v>
      </c>
      <c r="D796" s="138"/>
      <c r="O796" s="120" t="s">
        <v>1116</v>
      </c>
      <c r="P796" s="240" t="s">
        <v>145</v>
      </c>
      <c r="R796" s="129">
        <v>0.64</v>
      </c>
      <c r="AE796" s="137" t="str">
        <f t="shared" si="98"/>
        <v>|</v>
      </c>
      <c r="AG796" s="120" t="s">
        <v>120</v>
      </c>
    </row>
    <row r="797" spans="1:33" ht="24" customHeight="1">
      <c r="A797" s="130"/>
      <c r="B797" s="132" t="s">
        <v>1117</v>
      </c>
      <c r="C797" s="131">
        <v>915</v>
      </c>
      <c r="D797" s="138"/>
      <c r="F797" s="121" t="s">
        <v>233</v>
      </c>
      <c r="G797" s="126" t="s">
        <v>111</v>
      </c>
      <c r="H797" s="120" t="s">
        <v>1055</v>
      </c>
      <c r="R797" s="123" t="s">
        <v>52</v>
      </c>
      <c r="AE797" s="137" t="str">
        <f t="shared" si="98"/>
        <v>|</v>
      </c>
      <c r="AG797" s="120" t="s">
        <v>120</v>
      </c>
    </row>
    <row r="798" spans="1:33" ht="24" customHeight="1">
      <c r="A798" s="130"/>
      <c r="B798" s="132" t="s">
        <v>1119</v>
      </c>
      <c r="C798" s="131">
        <v>890</v>
      </c>
      <c r="D798" s="138"/>
      <c r="H798" s="120" t="s">
        <v>1058</v>
      </c>
      <c r="O798" s="120" t="s">
        <v>1121</v>
      </c>
      <c r="R798" s="129">
        <f>SUM(R792:R796)</f>
        <v>0.64</v>
      </c>
      <c r="AE798" s="137" t="str">
        <f t="shared" si="98"/>
        <v>|</v>
      </c>
      <c r="AG798" s="120" t="s">
        <v>120</v>
      </c>
    </row>
    <row r="799" spans="1:33" ht="24" customHeight="1">
      <c r="A799" s="130"/>
      <c r="B799" s="132" t="s">
        <v>1122</v>
      </c>
      <c r="C799" s="131">
        <v>5.15</v>
      </c>
      <c r="D799" s="138"/>
      <c r="H799" s="120" t="s">
        <v>1104</v>
      </c>
      <c r="R799" s="123" t="s">
        <v>52</v>
      </c>
      <c r="U799" s="114" t="s">
        <v>4212</v>
      </c>
      <c r="AE799" s="137" t="str">
        <f t="shared" si="98"/>
        <v>|</v>
      </c>
      <c r="AG799" s="120" t="s">
        <v>120</v>
      </c>
    </row>
    <row r="800" spans="1:33" ht="24" customHeight="1">
      <c r="A800" s="130"/>
      <c r="B800" s="132" t="s">
        <v>1123</v>
      </c>
      <c r="C800" s="131">
        <v>43.3</v>
      </c>
      <c r="D800" s="138"/>
      <c r="H800" s="123" t="s">
        <v>52</v>
      </c>
      <c r="O800" s="120" t="s">
        <v>1125</v>
      </c>
      <c r="R800" s="129">
        <f>(R798/0.4)</f>
        <v>1.6</v>
      </c>
      <c r="S800" s="118">
        <v>0.443</v>
      </c>
      <c r="T800" s="115" t="s">
        <v>34</v>
      </c>
      <c r="U800" s="115" t="s">
        <v>4213</v>
      </c>
      <c r="V800" s="115">
        <f>AC14</f>
        <v>1729.98</v>
      </c>
      <c r="X800" s="115">
        <f>V800*S800</f>
        <v>766.38</v>
      </c>
      <c r="AE800" s="137" t="str">
        <f t="shared" si="98"/>
        <v>|</v>
      </c>
      <c r="AG800" s="120" t="s">
        <v>120</v>
      </c>
    </row>
    <row r="801" spans="1:33" ht="24" customHeight="1">
      <c r="A801" s="130"/>
      <c r="B801" s="132" t="s">
        <v>1126</v>
      </c>
      <c r="C801" s="131">
        <v>920</v>
      </c>
      <c r="D801" s="138"/>
      <c r="H801" s="120" t="s">
        <v>1108</v>
      </c>
      <c r="K801" s="129">
        <f>(K732/2)</f>
        <v>491.15</v>
      </c>
      <c r="R801" s="123" t="s">
        <v>89</v>
      </c>
      <c r="S801" s="118">
        <v>0.29499999999999998</v>
      </c>
      <c r="T801" s="115" t="s">
        <v>34</v>
      </c>
      <c r="U801" s="115" t="s">
        <v>4214</v>
      </c>
      <c r="V801" s="115">
        <f>AC12</f>
        <v>1263.98</v>
      </c>
      <c r="X801" s="115">
        <f t="shared" ref="X801:X807" si="105">V801*S801</f>
        <v>372.87</v>
      </c>
      <c r="AE801" s="137" t="str">
        <f t="shared" si="98"/>
        <v>|</v>
      </c>
      <c r="AG801" s="120" t="s">
        <v>120</v>
      </c>
    </row>
    <row r="802" spans="1:33" ht="24" customHeight="1">
      <c r="A802" s="130"/>
      <c r="B802" s="132" t="s">
        <v>1127</v>
      </c>
      <c r="C802" s="131">
        <v>98</v>
      </c>
      <c r="D802" s="138"/>
      <c r="H802" s="120" t="s">
        <v>1112</v>
      </c>
      <c r="K802" s="123" t="s">
        <v>89</v>
      </c>
      <c r="N802" s="143"/>
      <c r="O802" s="143"/>
      <c r="P802" s="205"/>
      <c r="Q802" s="205"/>
      <c r="R802" s="205"/>
      <c r="S802" s="118">
        <v>0.43</v>
      </c>
      <c r="T802" s="115" t="s">
        <v>34</v>
      </c>
      <c r="U802" s="115" t="s">
        <v>2811</v>
      </c>
      <c r="V802" s="115">
        <f>I809</f>
        <v>1642.42</v>
      </c>
      <c r="X802" s="115">
        <f t="shared" si="105"/>
        <v>706.24</v>
      </c>
      <c r="AE802" s="137" t="str">
        <f t="shared" si="98"/>
        <v>|</v>
      </c>
      <c r="AG802" s="120" t="s">
        <v>120</v>
      </c>
    </row>
    <row r="803" spans="1:33" ht="24" customHeight="1">
      <c r="A803" s="130"/>
      <c r="B803" s="132" t="s">
        <v>1129</v>
      </c>
      <c r="C803" s="131">
        <v>181</v>
      </c>
      <c r="D803" s="138"/>
      <c r="F803" s="121" t="s">
        <v>1114</v>
      </c>
      <c r="G803" s="126" t="s">
        <v>111</v>
      </c>
      <c r="H803" s="120" t="s">
        <v>1115</v>
      </c>
      <c r="N803" s="205"/>
      <c r="O803" s="143"/>
      <c r="P803" s="205"/>
      <c r="Q803" s="205"/>
      <c r="R803" s="205"/>
      <c r="S803" s="118">
        <v>0.39</v>
      </c>
      <c r="T803" s="115" t="s">
        <v>11</v>
      </c>
      <c r="U803" s="115" t="s">
        <v>38</v>
      </c>
      <c r="V803" s="115">
        <f>I808</f>
        <v>6040</v>
      </c>
      <c r="X803" s="115">
        <f t="shared" si="105"/>
        <v>2355.6</v>
      </c>
      <c r="AE803" s="137" t="str">
        <f t="shared" si="98"/>
        <v>|</v>
      </c>
      <c r="AG803" s="120" t="s">
        <v>120</v>
      </c>
    </row>
    <row r="804" spans="1:33" ht="24" customHeight="1">
      <c r="A804" s="130"/>
      <c r="B804" s="132" t="s">
        <v>1131</v>
      </c>
      <c r="C804" s="131">
        <v>1148.76</v>
      </c>
      <c r="D804" s="138"/>
      <c r="H804" s="120" t="s">
        <v>1118</v>
      </c>
      <c r="N804" s="205"/>
      <c r="O804" s="143"/>
      <c r="P804" s="205"/>
      <c r="Q804" s="205"/>
      <c r="R804" s="205"/>
      <c r="S804" s="118">
        <v>0.35</v>
      </c>
      <c r="T804" s="115" t="s">
        <v>41</v>
      </c>
      <c r="U804" s="115" t="s">
        <v>42</v>
      </c>
      <c r="V804" s="115">
        <f>I810</f>
        <v>972.4</v>
      </c>
      <c r="W804" s="119" t="str">
        <f>J810</f>
        <v>NO.</v>
      </c>
      <c r="X804" s="115">
        <f t="shared" si="105"/>
        <v>340.34</v>
      </c>
      <c r="AE804" s="137" t="str">
        <f t="shared" si="98"/>
        <v>|</v>
      </c>
      <c r="AG804" s="120" t="s">
        <v>120</v>
      </c>
    </row>
    <row r="805" spans="1:33" ht="24" customHeight="1">
      <c r="A805" s="130"/>
      <c r="B805" s="132" t="s">
        <v>1133</v>
      </c>
      <c r="C805" s="131">
        <v>967</v>
      </c>
      <c r="D805" s="138"/>
      <c r="H805" s="120" t="s">
        <v>1120</v>
      </c>
      <c r="N805" s="205"/>
      <c r="O805" s="249"/>
      <c r="P805" s="205"/>
      <c r="Q805" s="205"/>
      <c r="R805" s="205"/>
      <c r="S805" s="118">
        <v>2.12</v>
      </c>
      <c r="T805" s="115" t="s">
        <v>41</v>
      </c>
      <c r="U805" s="115" t="s">
        <v>43</v>
      </c>
      <c r="V805" s="115">
        <f>I811</f>
        <v>679.8</v>
      </c>
      <c r="X805" s="115">
        <f t="shared" si="105"/>
        <v>1441.18</v>
      </c>
      <c r="AE805" s="137" t="str">
        <f t="shared" si="98"/>
        <v>|</v>
      </c>
      <c r="AG805" s="120" t="s">
        <v>120</v>
      </c>
    </row>
    <row r="806" spans="1:33" ht="24" customHeight="1">
      <c r="A806" s="130"/>
      <c r="B806" s="132" t="s">
        <v>4215</v>
      </c>
      <c r="C806" s="244">
        <v>33.9</v>
      </c>
      <c r="D806" s="138"/>
      <c r="H806" s="123" t="s">
        <v>52</v>
      </c>
      <c r="N806" s="250"/>
      <c r="O806" s="143"/>
      <c r="P806" s="205"/>
      <c r="Q806" s="205"/>
      <c r="R806" s="205"/>
      <c r="S806" s="118">
        <v>3.53</v>
      </c>
      <c r="T806" s="115" t="s">
        <v>41</v>
      </c>
      <c r="U806" s="115" t="s">
        <v>44</v>
      </c>
      <c r="V806" s="115">
        <f>I812</f>
        <v>557.70000000000005</v>
      </c>
      <c r="X806" s="115">
        <f t="shared" si="105"/>
        <v>1968.68</v>
      </c>
      <c r="AE806" s="137" t="str">
        <f t="shared" si="98"/>
        <v>|</v>
      </c>
      <c r="AG806" s="120" t="s">
        <v>120</v>
      </c>
    </row>
    <row r="807" spans="1:33" ht="24" customHeight="1">
      <c r="A807" s="130"/>
      <c r="B807" s="132" t="s">
        <v>1136</v>
      </c>
      <c r="C807" s="131">
        <v>2107</v>
      </c>
      <c r="D807" s="138"/>
      <c r="F807" s="142">
        <v>9</v>
      </c>
      <c r="G807" s="126" t="s">
        <v>132</v>
      </c>
      <c r="H807" s="120" t="s">
        <v>1124</v>
      </c>
      <c r="I807" s="129">
        <f>C73</f>
        <v>1729.98</v>
      </c>
      <c r="J807" s="120" t="s">
        <v>132</v>
      </c>
      <c r="K807" s="129">
        <f t="shared" ref="K807:K812" si="106">F807*I807</f>
        <v>15569.82</v>
      </c>
      <c r="N807" s="205"/>
      <c r="O807" s="143"/>
      <c r="P807" s="205"/>
      <c r="Q807" s="205"/>
      <c r="R807" s="205"/>
      <c r="S807" s="118">
        <v>1</v>
      </c>
      <c r="T807" s="115" t="s">
        <v>34</v>
      </c>
      <c r="U807" s="115" t="s">
        <v>68</v>
      </c>
      <c r="V807" s="115">
        <f>K819</f>
        <v>98.34</v>
      </c>
      <c r="X807" s="115">
        <f t="shared" si="105"/>
        <v>98.34</v>
      </c>
      <c r="AE807" s="137" t="str">
        <f t="shared" si="98"/>
        <v>|</v>
      </c>
      <c r="AG807" s="120" t="s">
        <v>120</v>
      </c>
    </row>
    <row r="808" spans="1:33" ht="24" customHeight="1">
      <c r="A808" s="130"/>
      <c r="B808" s="132" t="s">
        <v>4216</v>
      </c>
      <c r="C808" s="137">
        <v>940</v>
      </c>
      <c r="D808" s="138"/>
      <c r="F808" s="142">
        <v>4.3079999999999998</v>
      </c>
      <c r="G808" s="126" t="s">
        <v>122</v>
      </c>
      <c r="H808" s="120" t="s">
        <v>123</v>
      </c>
      <c r="I808" s="129">
        <f>C67</f>
        <v>6040</v>
      </c>
      <c r="J808" s="120" t="s">
        <v>122</v>
      </c>
      <c r="K808" s="129">
        <f t="shared" si="106"/>
        <v>26020.32</v>
      </c>
      <c r="N808" s="143"/>
      <c r="O808" s="143"/>
      <c r="P808" s="140"/>
      <c r="Q808" s="205"/>
      <c r="R808" s="140"/>
      <c r="S808" s="241" t="s">
        <v>49</v>
      </c>
      <c r="U808" s="115" t="s">
        <v>4217</v>
      </c>
      <c r="V808" s="241" t="s">
        <v>49</v>
      </c>
      <c r="X808" s="115">
        <v>270</v>
      </c>
      <c r="AE808" s="137" t="str">
        <f t="shared" si="98"/>
        <v>|</v>
      </c>
      <c r="AG808" s="120" t="s">
        <v>120</v>
      </c>
    </row>
    <row r="809" spans="1:33" ht="24" customHeight="1">
      <c r="A809" s="130"/>
      <c r="B809" s="132" t="s">
        <v>4218</v>
      </c>
      <c r="C809" s="136">
        <v>783</v>
      </c>
      <c r="D809" s="138"/>
      <c r="F809" s="142">
        <v>4.5</v>
      </c>
      <c r="G809" s="126" t="s">
        <v>132</v>
      </c>
      <c r="H809" s="120" t="s">
        <v>133</v>
      </c>
      <c r="I809" s="129">
        <f>C78</f>
        <v>1642.42</v>
      </c>
      <c r="J809" s="120" t="s">
        <v>132</v>
      </c>
      <c r="K809" s="129">
        <f t="shared" si="106"/>
        <v>7390.89</v>
      </c>
      <c r="N809" s="205"/>
      <c r="O809" s="143"/>
      <c r="P809" s="205"/>
      <c r="Q809" s="205"/>
      <c r="R809" s="205"/>
      <c r="S809" s="241" t="s">
        <v>49</v>
      </c>
      <c r="U809" s="115" t="s">
        <v>4219</v>
      </c>
      <c r="V809" s="241" t="s">
        <v>49</v>
      </c>
      <c r="X809" s="115">
        <v>150</v>
      </c>
      <c r="AE809" s="137" t="str">
        <f t="shared" si="98"/>
        <v>|</v>
      </c>
      <c r="AG809" s="120" t="s">
        <v>120</v>
      </c>
    </row>
    <row r="810" spans="1:33" ht="24" customHeight="1">
      <c r="A810" s="130"/>
      <c r="B810" s="132" t="s">
        <v>4220</v>
      </c>
      <c r="C810" s="136">
        <v>611</v>
      </c>
      <c r="D810" s="138"/>
      <c r="F810" s="142">
        <v>3.5</v>
      </c>
      <c r="G810" s="126" t="s">
        <v>131</v>
      </c>
      <c r="H810" s="120" t="s">
        <v>302</v>
      </c>
      <c r="I810" s="129">
        <f>C11</f>
        <v>972.4</v>
      </c>
      <c r="J810" s="120" t="s">
        <v>131</v>
      </c>
      <c r="K810" s="129">
        <f t="shared" si="106"/>
        <v>3403.4</v>
      </c>
      <c r="N810" s="205"/>
      <c r="O810" s="143"/>
      <c r="P810" s="205"/>
      <c r="Q810" s="205"/>
      <c r="R810" s="205"/>
      <c r="S810" s="241" t="s">
        <v>49</v>
      </c>
      <c r="U810" s="115" t="s">
        <v>1557</v>
      </c>
      <c r="V810" s="241" t="s">
        <v>49</v>
      </c>
      <c r="X810" s="115">
        <v>0.06</v>
      </c>
      <c r="AE810" s="137" t="str">
        <f t="shared" si="98"/>
        <v>|</v>
      </c>
      <c r="AG810" s="120" t="s">
        <v>120</v>
      </c>
    </row>
    <row r="811" spans="1:33" ht="24" customHeight="1">
      <c r="A811" s="130"/>
      <c r="B811" s="138"/>
      <c r="C811" s="138"/>
      <c r="D811" s="138"/>
      <c r="F811" s="142">
        <v>21.2</v>
      </c>
      <c r="G811" s="126" t="s">
        <v>131</v>
      </c>
      <c r="H811" s="120" t="s">
        <v>304</v>
      </c>
      <c r="I811" s="129">
        <f>C12</f>
        <v>679.8</v>
      </c>
      <c r="J811" s="120" t="s">
        <v>131</v>
      </c>
      <c r="K811" s="129">
        <f t="shared" si="106"/>
        <v>14411.76</v>
      </c>
      <c r="N811" s="143"/>
      <c r="O811" s="143"/>
      <c r="P811" s="140"/>
      <c r="Q811" s="205"/>
      <c r="R811" s="140"/>
      <c r="X811" s="114">
        <f>SUM(X800:X810)</f>
        <v>8469.69</v>
      </c>
      <c r="Y811" s="115">
        <v>59.4</v>
      </c>
      <c r="Z811" s="115">
        <v>117</v>
      </c>
      <c r="AE811" s="137" t="str">
        <f t="shared" si="98"/>
        <v>|</v>
      </c>
      <c r="AG811" s="120" t="s">
        <v>120</v>
      </c>
    </row>
    <row r="812" spans="1:33" ht="24" customHeight="1">
      <c r="A812" s="130"/>
      <c r="B812" s="132" t="s">
        <v>4221</v>
      </c>
      <c r="C812" s="245">
        <v>3.15</v>
      </c>
      <c r="D812" s="138"/>
      <c r="F812" s="142">
        <v>35.299999999999997</v>
      </c>
      <c r="G812" s="126" t="s">
        <v>131</v>
      </c>
      <c r="H812" s="120" t="s">
        <v>306</v>
      </c>
      <c r="I812" s="129">
        <f>C13</f>
        <v>557.70000000000005</v>
      </c>
      <c r="J812" s="120" t="s">
        <v>131</v>
      </c>
      <c r="K812" s="129">
        <f t="shared" si="106"/>
        <v>19686.810000000001</v>
      </c>
      <c r="N812" s="143"/>
      <c r="O812" s="143"/>
      <c r="P812" s="140"/>
      <c r="Q812" s="205"/>
      <c r="R812" s="140"/>
      <c r="AE812" s="137" t="str">
        <f t="shared" si="98"/>
        <v>|</v>
      </c>
      <c r="AG812" s="120" t="s">
        <v>120</v>
      </c>
    </row>
    <row r="813" spans="1:33" ht="24" customHeight="1">
      <c r="A813" s="130"/>
      <c r="B813" s="138"/>
      <c r="C813" s="138"/>
      <c r="D813" s="138"/>
      <c r="F813" s="240" t="s">
        <v>145</v>
      </c>
      <c r="H813" s="120" t="s">
        <v>146</v>
      </c>
      <c r="J813" s="120" t="s">
        <v>145</v>
      </c>
      <c r="K813" s="129">
        <v>0</v>
      </c>
      <c r="N813" s="143"/>
      <c r="O813" s="143"/>
      <c r="P813" s="140"/>
      <c r="Q813" s="205"/>
      <c r="R813" s="140"/>
      <c r="AE813" s="137" t="str">
        <f t="shared" ref="AE813:AE876" si="107">AG813</f>
        <v>|</v>
      </c>
      <c r="AG813" s="120" t="s">
        <v>120</v>
      </c>
    </row>
    <row r="814" spans="1:33" ht="24" customHeight="1">
      <c r="A814" s="130"/>
      <c r="B814" s="132" t="s">
        <v>4222</v>
      </c>
      <c r="C814" s="246">
        <v>8.5</v>
      </c>
      <c r="D814" s="138"/>
      <c r="K814" s="123" t="s">
        <v>52</v>
      </c>
      <c r="N814" s="143"/>
      <c r="O814" s="143"/>
      <c r="P814" s="140"/>
      <c r="Q814" s="205"/>
      <c r="R814" s="140"/>
      <c r="U814" s="114" t="s">
        <v>4223</v>
      </c>
      <c r="AE814" s="137" t="str">
        <f t="shared" si="107"/>
        <v>|</v>
      </c>
      <c r="AG814" s="120" t="s">
        <v>120</v>
      </c>
    </row>
    <row r="815" spans="1:33" ht="24" customHeight="1">
      <c r="A815" s="130"/>
      <c r="B815" s="132" t="s">
        <v>4224</v>
      </c>
      <c r="C815" s="246">
        <v>21.1</v>
      </c>
      <c r="D815" s="138"/>
      <c r="H815" s="121" t="s">
        <v>311</v>
      </c>
      <c r="K815" s="129">
        <f>SUM(K807:K813)</f>
        <v>86483</v>
      </c>
      <c r="N815" s="143"/>
      <c r="O815" s="143"/>
      <c r="P815" s="140"/>
      <c r="Q815" s="205"/>
      <c r="R815" s="140"/>
      <c r="S815" s="118">
        <v>0.45300000000000001</v>
      </c>
      <c r="T815" s="115" t="s">
        <v>34</v>
      </c>
      <c r="U815" s="115" t="s">
        <v>4213</v>
      </c>
      <c r="V815" s="115">
        <f>V800</f>
        <v>1729.98</v>
      </c>
      <c r="X815" s="115">
        <f>V815*S815</f>
        <v>783.68</v>
      </c>
      <c r="Z815" s="115">
        <f>X826+Y811</f>
        <v>8450.9699999999993</v>
      </c>
      <c r="AE815" s="137" t="str">
        <f t="shared" si="107"/>
        <v>|</v>
      </c>
      <c r="AG815" s="120" t="s">
        <v>120</v>
      </c>
    </row>
    <row r="816" spans="1:33" ht="24" customHeight="1">
      <c r="A816" s="130"/>
      <c r="B816" s="138"/>
      <c r="C816" s="138" t="s">
        <v>4225</v>
      </c>
      <c r="D816" s="138"/>
      <c r="K816" s="123" t="s">
        <v>89</v>
      </c>
      <c r="N816" s="143"/>
      <c r="O816" s="143"/>
      <c r="P816" s="140"/>
      <c r="Q816" s="205"/>
      <c r="R816" s="140"/>
      <c r="S816" s="118">
        <v>0.30199999999999999</v>
      </c>
      <c r="T816" s="115" t="s">
        <v>34</v>
      </c>
      <c r="U816" s="115" t="s">
        <v>4214</v>
      </c>
      <c r="V816" s="115">
        <f t="shared" ref="V816:V825" si="108">V801</f>
        <v>1263.98</v>
      </c>
      <c r="X816" s="115">
        <f t="shared" ref="X816:X822" si="109">V816*S816</f>
        <v>381.72</v>
      </c>
      <c r="Z816" s="115">
        <f>Z815+Z811</f>
        <v>8567.9699999999993</v>
      </c>
      <c r="AE816" s="137" t="str">
        <f t="shared" si="107"/>
        <v>|</v>
      </c>
      <c r="AG816" s="120" t="s">
        <v>120</v>
      </c>
    </row>
    <row r="817" spans="1:33" ht="24" customHeight="1">
      <c r="A817" s="247"/>
      <c r="H817" s="120" t="s">
        <v>242</v>
      </c>
      <c r="K817" s="129">
        <f>K815/10</f>
        <v>8648.2999999999993</v>
      </c>
      <c r="N817" s="143"/>
      <c r="O817" s="143"/>
      <c r="P817" s="140"/>
      <c r="Q817" s="205"/>
      <c r="R817" s="140"/>
      <c r="S817" s="118">
        <v>0.44</v>
      </c>
      <c r="T817" s="115" t="s">
        <v>34</v>
      </c>
      <c r="U817" s="115" t="s">
        <v>2811</v>
      </c>
      <c r="V817" s="115">
        <f t="shared" si="108"/>
        <v>1642.42</v>
      </c>
      <c r="X817" s="115">
        <f t="shared" si="109"/>
        <v>722.66</v>
      </c>
      <c r="Z817" s="115">
        <f>Z816+Z811</f>
        <v>8684.9699999999993</v>
      </c>
      <c r="AE817" s="137" t="str">
        <f t="shared" si="107"/>
        <v>|</v>
      </c>
      <c r="AG817" s="120" t="s">
        <v>120</v>
      </c>
    </row>
    <row r="818" spans="1:33" ht="24" customHeight="1">
      <c r="A818" s="247"/>
      <c r="R818" s="129"/>
      <c r="S818" s="118">
        <v>0.37</v>
      </c>
      <c r="T818" s="115" t="s">
        <v>11</v>
      </c>
      <c r="U818" s="115" t="s">
        <v>38</v>
      </c>
      <c r="V818" s="115">
        <f t="shared" si="108"/>
        <v>6040</v>
      </c>
      <c r="X818" s="115">
        <f t="shared" si="109"/>
        <v>2234.8000000000002</v>
      </c>
      <c r="Z818" s="115">
        <f>Z817+Z811</f>
        <v>8801.9699999999993</v>
      </c>
      <c r="AE818" s="137" t="str">
        <f t="shared" si="107"/>
        <v>|</v>
      </c>
      <c r="AG818" s="120" t="s">
        <v>120</v>
      </c>
    </row>
    <row r="819" spans="1:33" ht="24" customHeight="1">
      <c r="A819" s="247"/>
      <c r="F819" s="129">
        <v>1</v>
      </c>
      <c r="G819" s="126" t="s">
        <v>132</v>
      </c>
      <c r="H819" s="120" t="s">
        <v>514</v>
      </c>
      <c r="I819" s="129">
        <f>C25</f>
        <v>98.34</v>
      </c>
      <c r="K819" s="129">
        <f>F819*I819</f>
        <v>98.34</v>
      </c>
      <c r="R819" s="123"/>
      <c r="S819" s="118">
        <v>0.35</v>
      </c>
      <c r="T819" s="115" t="s">
        <v>41</v>
      </c>
      <c r="U819" s="115" t="s">
        <v>42</v>
      </c>
      <c r="V819" s="115">
        <f t="shared" si="108"/>
        <v>972.4</v>
      </c>
      <c r="W819" s="119">
        <f>J825</f>
        <v>0</v>
      </c>
      <c r="X819" s="115">
        <f t="shared" si="109"/>
        <v>340.34</v>
      </c>
      <c r="Z819" s="115">
        <f>Z811+Z818</f>
        <v>8918.9699999999993</v>
      </c>
      <c r="AE819" s="137" t="str">
        <f t="shared" si="107"/>
        <v>|</v>
      </c>
      <c r="AG819" s="120" t="s">
        <v>120</v>
      </c>
    </row>
    <row r="820" spans="1:33" ht="24" customHeight="1">
      <c r="A820" s="247"/>
      <c r="K820" s="123" t="s">
        <v>52</v>
      </c>
      <c r="O820" s="121"/>
      <c r="R820" s="129"/>
      <c r="S820" s="118">
        <v>2.12</v>
      </c>
      <c r="T820" s="115" t="s">
        <v>41</v>
      </c>
      <c r="U820" s="115" t="s">
        <v>43</v>
      </c>
      <c r="V820" s="115">
        <f t="shared" si="108"/>
        <v>679.8</v>
      </c>
      <c r="X820" s="115">
        <f t="shared" si="109"/>
        <v>1441.18</v>
      </c>
      <c r="Z820" s="115">
        <f>Z811+Z819</f>
        <v>9035.9699999999993</v>
      </c>
      <c r="AE820" s="137" t="str">
        <f t="shared" si="107"/>
        <v>|</v>
      </c>
      <c r="AG820" s="120" t="s">
        <v>120</v>
      </c>
    </row>
    <row r="821" spans="1:33" ht="24" customHeight="1">
      <c r="K821" s="129">
        <f>SUM(K817:K819)</f>
        <v>8746.64</v>
      </c>
      <c r="S821" s="118">
        <v>3.53</v>
      </c>
      <c r="T821" s="115" t="s">
        <v>41</v>
      </c>
      <c r="U821" s="115" t="s">
        <v>44</v>
      </c>
      <c r="V821" s="115">
        <f t="shared" si="108"/>
        <v>557.70000000000005</v>
      </c>
      <c r="X821" s="115">
        <f t="shared" si="109"/>
        <v>1968.68</v>
      </c>
      <c r="Z821" s="115">
        <f>Z811+Z820</f>
        <v>9152.9699999999993</v>
      </c>
      <c r="AE821" s="137" t="str">
        <f t="shared" si="107"/>
        <v>|</v>
      </c>
      <c r="AG821" s="120" t="s">
        <v>120</v>
      </c>
    </row>
    <row r="822" spans="1:33" ht="24" customHeight="1">
      <c r="A822" s="247"/>
      <c r="K822" s="123" t="s">
        <v>52</v>
      </c>
      <c r="R822" s="123"/>
      <c r="S822" s="118">
        <v>1</v>
      </c>
      <c r="T822" s="115" t="s">
        <v>34</v>
      </c>
      <c r="U822" s="115" t="s">
        <v>68</v>
      </c>
      <c r="V822" s="115">
        <f t="shared" si="108"/>
        <v>98.34</v>
      </c>
      <c r="X822" s="115">
        <f t="shared" si="109"/>
        <v>98.34</v>
      </c>
      <c r="Z822" s="115">
        <f>Z811+Z821</f>
        <v>9269.9699999999993</v>
      </c>
      <c r="AE822" s="137" t="str">
        <f t="shared" si="107"/>
        <v>|</v>
      </c>
      <c r="AG822" s="120" t="s">
        <v>120</v>
      </c>
    </row>
    <row r="823" spans="1:33" ht="24" customHeight="1">
      <c r="A823" s="247"/>
      <c r="H823" s="120" t="s">
        <v>53</v>
      </c>
      <c r="K823" s="127">
        <f>(K821+C22)</f>
        <v>8871.6</v>
      </c>
      <c r="S823" s="241" t="s">
        <v>49</v>
      </c>
      <c r="U823" s="115" t="s">
        <v>4217</v>
      </c>
      <c r="V823" s="213" t="str">
        <f t="shared" si="108"/>
        <v>LS</v>
      </c>
      <c r="X823" s="115">
        <v>270</v>
      </c>
      <c r="Z823" s="115">
        <f>Z811+Z822</f>
        <v>9386.9699999999993</v>
      </c>
      <c r="AE823" s="137" t="str">
        <f t="shared" si="107"/>
        <v>|</v>
      </c>
      <c r="AG823" s="120" t="s">
        <v>120</v>
      </c>
    </row>
    <row r="824" spans="1:33" ht="24" customHeight="1">
      <c r="A824" s="247"/>
      <c r="H824" s="120" t="s">
        <v>54</v>
      </c>
      <c r="K824" s="127">
        <f>(K823+C23)</f>
        <v>9117.7800000000007</v>
      </c>
      <c r="N824" s="120"/>
      <c r="O824" s="120"/>
      <c r="S824" s="241" t="s">
        <v>49</v>
      </c>
      <c r="U824" s="115" t="s">
        <v>4219</v>
      </c>
      <c r="V824" s="213" t="str">
        <f t="shared" si="108"/>
        <v>LS</v>
      </c>
      <c r="X824" s="115">
        <v>150</v>
      </c>
      <c r="Z824" s="115">
        <f>Z811+Z823</f>
        <v>9503.9699999999993</v>
      </c>
      <c r="AE824" s="137" t="str">
        <f t="shared" si="107"/>
        <v>|</v>
      </c>
      <c r="AG824" s="120" t="s">
        <v>120</v>
      </c>
    </row>
    <row r="825" spans="1:33" ht="24" customHeight="1">
      <c r="A825" s="247"/>
      <c r="H825" s="120" t="s">
        <v>55</v>
      </c>
      <c r="K825" s="127">
        <f>(K824+C24)</f>
        <v>9363.9599999999991</v>
      </c>
      <c r="O825" s="120"/>
      <c r="S825" s="241" t="s">
        <v>49</v>
      </c>
      <c r="U825" s="115" t="s">
        <v>1557</v>
      </c>
      <c r="V825" s="213" t="str">
        <f t="shared" si="108"/>
        <v>LS</v>
      </c>
      <c r="X825" s="115">
        <v>0.17</v>
      </c>
      <c r="AE825" s="137" t="str">
        <f t="shared" si="107"/>
        <v>|</v>
      </c>
      <c r="AG825" s="120" t="s">
        <v>120</v>
      </c>
    </row>
    <row r="826" spans="1:33" ht="24" customHeight="1">
      <c r="A826" s="247"/>
      <c r="H826" s="120" t="s">
        <v>56</v>
      </c>
      <c r="K826" s="127">
        <f>(K825+C24)</f>
        <v>9610.14</v>
      </c>
      <c r="N826" s="120"/>
      <c r="O826" s="120"/>
      <c r="P826" s="129"/>
      <c r="R826" s="129"/>
      <c r="X826" s="114">
        <f>SUM(X815:X825)</f>
        <v>8391.57</v>
      </c>
      <c r="AE826" s="137" t="str">
        <f t="shared" si="107"/>
        <v>|</v>
      </c>
      <c r="AG826" s="120" t="s">
        <v>120</v>
      </c>
    </row>
    <row r="827" spans="1:33" ht="24" customHeight="1">
      <c r="H827" s="120" t="s">
        <v>57</v>
      </c>
      <c r="K827" s="127">
        <f>(K826+C24)</f>
        <v>9856.32</v>
      </c>
      <c r="O827" s="120"/>
      <c r="AE827" s="137" t="str">
        <f t="shared" si="107"/>
        <v>|</v>
      </c>
      <c r="AG827" s="120" t="s">
        <v>120</v>
      </c>
    </row>
    <row r="828" spans="1:33" ht="24" customHeight="1">
      <c r="H828" s="120">
        <v>5</v>
      </c>
      <c r="K828" s="127">
        <f>(K827+C24)</f>
        <v>10102.5</v>
      </c>
      <c r="O828" s="120"/>
      <c r="AE828" s="137">
        <f>SUM(AE681:AE685)</f>
        <v>8206.1</v>
      </c>
      <c r="AG828" s="120"/>
    </row>
    <row r="829" spans="1:33" ht="24" customHeight="1">
      <c r="H829" s="120">
        <v>6</v>
      </c>
      <c r="K829" s="127">
        <f>(K828+C24)</f>
        <v>10348.68</v>
      </c>
      <c r="O829" s="120"/>
      <c r="AE829" s="137"/>
      <c r="AG829" s="120"/>
    </row>
    <row r="830" spans="1:33" ht="24" customHeight="1">
      <c r="H830" s="120">
        <v>7</v>
      </c>
      <c r="K830" s="127">
        <f>(K829+C24)</f>
        <v>10594.86</v>
      </c>
      <c r="O830" s="120"/>
      <c r="AE830" s="137"/>
      <c r="AG830" s="120"/>
    </row>
    <row r="831" spans="1:33" ht="24" customHeight="1">
      <c r="H831" s="120">
        <v>8</v>
      </c>
      <c r="K831" s="127">
        <f>(K830+C24)</f>
        <v>10841.04</v>
      </c>
      <c r="O831" s="120"/>
      <c r="AE831" s="137"/>
      <c r="AG831" s="120"/>
    </row>
    <row r="832" spans="1:33" ht="24" customHeight="1">
      <c r="H832" s="120">
        <v>9</v>
      </c>
      <c r="K832" s="127">
        <f>(K831+C24)</f>
        <v>11087.22</v>
      </c>
      <c r="O832" s="120"/>
      <c r="AE832" s="137"/>
      <c r="AG832" s="120"/>
    </row>
    <row r="833" spans="6:33" ht="24" customHeight="1">
      <c r="H833" s="120">
        <v>10</v>
      </c>
      <c r="K833" s="127">
        <f>(K832+C24)</f>
        <v>11333.4</v>
      </c>
      <c r="O833" s="120"/>
      <c r="AE833" s="137"/>
      <c r="AG833" s="120"/>
    </row>
    <row r="834" spans="6:33" ht="24" customHeight="1">
      <c r="H834" s="120">
        <v>11</v>
      </c>
      <c r="K834" s="127">
        <f>(K833+C24)</f>
        <v>11579.58</v>
      </c>
      <c r="O834" s="120"/>
      <c r="AE834" s="137"/>
      <c r="AG834" s="120"/>
    </row>
    <row r="835" spans="6:33" ht="24" customHeight="1">
      <c r="H835" s="120">
        <v>12</v>
      </c>
      <c r="K835" s="127">
        <f>(K834+C24)</f>
        <v>11825.76</v>
      </c>
      <c r="O835" s="120"/>
      <c r="AE835" s="137"/>
      <c r="AG835" s="120"/>
    </row>
    <row r="836" spans="6:33" ht="24" customHeight="1">
      <c r="H836" s="120"/>
      <c r="K836" s="127"/>
      <c r="O836" s="120"/>
      <c r="AE836" s="137"/>
      <c r="AG836" s="120"/>
    </row>
    <row r="837" spans="6:33" ht="24" customHeight="1">
      <c r="F837" s="120" t="s">
        <v>85</v>
      </c>
      <c r="O837" s="120"/>
      <c r="AE837" s="137" t="str">
        <f t="shared" si="107"/>
        <v>|</v>
      </c>
      <c r="AG837" s="120" t="s">
        <v>120</v>
      </c>
    </row>
    <row r="838" spans="6:33" ht="24" customHeight="1">
      <c r="F838" s="120" t="s">
        <v>85</v>
      </c>
      <c r="G838" s="126" t="s">
        <v>111</v>
      </c>
      <c r="H838" s="121" t="s">
        <v>1159</v>
      </c>
      <c r="N838" s="120"/>
      <c r="O838" s="120"/>
      <c r="P838" s="129"/>
      <c r="R838" s="129"/>
      <c r="AE838" s="137" t="str">
        <f t="shared" si="107"/>
        <v>|</v>
      </c>
      <c r="AG838" s="120" t="s">
        <v>120</v>
      </c>
    </row>
    <row r="839" spans="6:33" ht="24" customHeight="1">
      <c r="H839" s="123" t="s">
        <v>89</v>
      </c>
      <c r="N839" s="120"/>
      <c r="O839" s="120"/>
      <c r="P839" s="129"/>
      <c r="R839" s="129"/>
      <c r="AE839" s="137" t="str">
        <f t="shared" si="107"/>
        <v>|</v>
      </c>
      <c r="AG839" s="120" t="s">
        <v>120</v>
      </c>
    </row>
    <row r="840" spans="6:33" ht="24" customHeight="1">
      <c r="N840" s="120"/>
      <c r="O840" s="120"/>
      <c r="P840" s="129"/>
      <c r="R840" s="129"/>
      <c r="AE840" s="137" t="str">
        <f t="shared" si="107"/>
        <v>|</v>
      </c>
      <c r="AG840" s="120" t="s">
        <v>120</v>
      </c>
    </row>
    <row r="841" spans="6:33" ht="24" customHeight="1">
      <c r="F841" s="121" t="s">
        <v>1164</v>
      </c>
      <c r="G841" s="126" t="s">
        <v>111</v>
      </c>
      <c r="H841" s="120" t="s">
        <v>1165</v>
      </c>
      <c r="N841" s="120"/>
      <c r="O841" s="120"/>
      <c r="P841" s="129"/>
      <c r="R841" s="129"/>
      <c r="AE841" s="137" t="str">
        <f t="shared" si="107"/>
        <v>|</v>
      </c>
      <c r="AG841" s="120" t="s">
        <v>120</v>
      </c>
    </row>
    <row r="842" spans="6:33" ht="24" customHeight="1">
      <c r="H842" s="120" t="s">
        <v>1167</v>
      </c>
      <c r="N842" s="120"/>
      <c r="O842" s="120"/>
      <c r="P842" s="129"/>
      <c r="R842" s="129"/>
      <c r="AE842" s="137" t="str">
        <f t="shared" si="107"/>
        <v>|</v>
      </c>
      <c r="AG842" s="120" t="s">
        <v>120</v>
      </c>
    </row>
    <row r="843" spans="6:33" ht="24" customHeight="1">
      <c r="H843" s="120" t="s">
        <v>1169</v>
      </c>
      <c r="N843" s="120"/>
      <c r="O843" s="120"/>
      <c r="P843" s="129"/>
      <c r="R843" s="129"/>
      <c r="AE843" s="137" t="str">
        <f t="shared" si="107"/>
        <v>|::</v>
      </c>
      <c r="AG843" s="120" t="s">
        <v>307</v>
      </c>
    </row>
    <row r="844" spans="6:33" ht="24" customHeight="1">
      <c r="H844" s="120" t="s">
        <v>1171</v>
      </c>
      <c r="N844" s="120"/>
      <c r="O844" s="120"/>
      <c r="P844" s="129"/>
      <c r="R844" s="129"/>
      <c r="AE844" s="137">
        <f t="shared" si="107"/>
        <v>0</v>
      </c>
    </row>
    <row r="845" spans="6:33" ht="24" customHeight="1">
      <c r="H845" s="120" t="s">
        <v>1173</v>
      </c>
      <c r="R845" s="129"/>
      <c r="AE845" s="137">
        <f t="shared" si="107"/>
        <v>0</v>
      </c>
    </row>
    <row r="846" spans="6:33" ht="24" customHeight="1">
      <c r="H846" s="120" t="s">
        <v>1175</v>
      </c>
      <c r="R846" s="123"/>
      <c r="AE846" s="137">
        <f t="shared" si="107"/>
        <v>0</v>
      </c>
    </row>
    <row r="847" spans="6:33" ht="24" customHeight="1">
      <c r="H847" s="120" t="s">
        <v>1178</v>
      </c>
      <c r="O847" s="121"/>
      <c r="R847" s="129"/>
      <c r="AE847" s="137" t="str">
        <f t="shared" si="107"/>
        <v>|</v>
      </c>
      <c r="AG847" s="120" t="s">
        <v>120</v>
      </c>
    </row>
    <row r="848" spans="6:33" ht="24" customHeight="1">
      <c r="H848" s="120" t="s">
        <v>1180</v>
      </c>
      <c r="R848" s="123"/>
      <c r="AE848" s="137" t="str">
        <f t="shared" si="107"/>
        <v>|</v>
      </c>
      <c r="AG848" s="120" t="s">
        <v>120</v>
      </c>
    </row>
    <row r="849" spans="6:33" ht="24" customHeight="1">
      <c r="H849" s="120" t="s">
        <v>1182</v>
      </c>
      <c r="O849" s="114" t="s">
        <v>4226</v>
      </c>
      <c r="R849" s="123"/>
      <c r="AE849" s="137" t="str">
        <f t="shared" si="107"/>
        <v>|</v>
      </c>
      <c r="AG849" s="120" t="s">
        <v>120</v>
      </c>
    </row>
    <row r="850" spans="6:33" ht="24" customHeight="1">
      <c r="H850" s="120" t="s">
        <v>1184</v>
      </c>
      <c r="O850" s="121" t="s">
        <v>4227</v>
      </c>
      <c r="R850" s="123"/>
      <c r="AE850" s="137" t="str">
        <f t="shared" si="107"/>
        <v>|</v>
      </c>
      <c r="AG850" s="120" t="s">
        <v>120</v>
      </c>
    </row>
    <row r="851" spans="6:33" ht="24" customHeight="1">
      <c r="H851" s="120" t="s">
        <v>1186</v>
      </c>
      <c r="R851" s="123"/>
      <c r="AE851" s="137" t="str">
        <f t="shared" si="107"/>
        <v>|</v>
      </c>
      <c r="AG851" s="120" t="s">
        <v>120</v>
      </c>
    </row>
    <row r="852" spans="6:33" ht="24" customHeight="1">
      <c r="H852" s="120" t="s">
        <v>1188</v>
      </c>
      <c r="M852" s="202">
        <v>6.5000000000000002E-2</v>
      </c>
      <c r="N852" s="126" t="s">
        <v>132</v>
      </c>
      <c r="O852" s="120" t="s">
        <v>1201</v>
      </c>
      <c r="P852" s="129">
        <f>I859</f>
        <v>8509.7199999999993</v>
      </c>
      <c r="Q852" s="120" t="s">
        <v>132</v>
      </c>
      <c r="R852" s="129">
        <f>P852*M852</f>
        <v>553.13</v>
      </c>
      <c r="AE852" s="137" t="str">
        <f t="shared" si="107"/>
        <v>|</v>
      </c>
      <c r="AG852" s="120" t="s">
        <v>120</v>
      </c>
    </row>
    <row r="853" spans="6:33" ht="24" customHeight="1">
      <c r="H853" s="120" t="s">
        <v>1190</v>
      </c>
      <c r="M853" s="201">
        <v>8.4499999999999993</v>
      </c>
      <c r="N853" s="126" t="s">
        <v>39</v>
      </c>
      <c r="O853" s="120" t="s">
        <v>1203</v>
      </c>
      <c r="P853" s="129">
        <f t="shared" ref="P853:P862" si="110">I860</f>
        <v>90172</v>
      </c>
      <c r="Q853" s="120" t="s">
        <v>122</v>
      </c>
      <c r="R853" s="129">
        <f>P853*M853/1000</f>
        <v>761.95</v>
      </c>
      <c r="AE853" s="137" t="str">
        <f t="shared" si="107"/>
        <v>|</v>
      </c>
      <c r="AG853" s="120" t="s">
        <v>120</v>
      </c>
    </row>
    <row r="854" spans="6:33" ht="24" customHeight="1">
      <c r="H854" s="120" t="s">
        <v>1192</v>
      </c>
      <c r="M854" s="129">
        <v>3</v>
      </c>
      <c r="N854" s="126" t="s">
        <v>131</v>
      </c>
      <c r="O854" s="120" t="s">
        <v>1205</v>
      </c>
      <c r="P854" s="129">
        <f t="shared" si="110"/>
        <v>14.8</v>
      </c>
      <c r="Q854" s="120" t="s">
        <v>131</v>
      </c>
      <c r="R854" s="129">
        <f t="shared" ref="R854:R861" si="111">P854*M854</f>
        <v>44.4</v>
      </c>
      <c r="AE854" s="137" t="str">
        <f t="shared" si="107"/>
        <v>|</v>
      </c>
      <c r="AG854" s="120" t="s">
        <v>120</v>
      </c>
    </row>
    <row r="855" spans="6:33" ht="24" customHeight="1">
      <c r="M855" s="129">
        <v>12</v>
      </c>
      <c r="N855" s="126" t="s">
        <v>131</v>
      </c>
      <c r="O855" s="120" t="s">
        <v>1207</v>
      </c>
      <c r="P855" s="129">
        <f t="shared" si="110"/>
        <v>2</v>
      </c>
      <c r="Q855" s="120" t="s">
        <v>131</v>
      </c>
      <c r="R855" s="129">
        <f t="shared" si="111"/>
        <v>24</v>
      </c>
      <c r="AE855" s="137" t="str">
        <f t="shared" si="107"/>
        <v>|</v>
      </c>
      <c r="AG855" s="120" t="s">
        <v>120</v>
      </c>
    </row>
    <row r="856" spans="6:33" ht="24" customHeight="1">
      <c r="M856" s="129">
        <v>2</v>
      </c>
      <c r="N856" s="126" t="s">
        <v>131</v>
      </c>
      <c r="O856" s="120" t="s">
        <v>1209</v>
      </c>
      <c r="P856" s="129">
        <f t="shared" si="110"/>
        <v>4.9000000000000004</v>
      </c>
      <c r="Q856" s="120" t="s">
        <v>131</v>
      </c>
      <c r="R856" s="129">
        <f t="shared" si="111"/>
        <v>9.8000000000000007</v>
      </c>
      <c r="AE856" s="137" t="str">
        <f t="shared" si="107"/>
        <v>|</v>
      </c>
      <c r="AG856" s="120" t="s">
        <v>120</v>
      </c>
    </row>
    <row r="857" spans="6:33" ht="24" customHeight="1">
      <c r="G857" s="126" t="s">
        <v>1018</v>
      </c>
      <c r="H857" s="121" t="s">
        <v>1197</v>
      </c>
      <c r="M857" s="129">
        <v>6</v>
      </c>
      <c r="N857" s="126" t="s">
        <v>131</v>
      </c>
      <c r="O857" s="120" t="s">
        <v>1211</v>
      </c>
      <c r="P857" s="129">
        <f t="shared" si="110"/>
        <v>4.45</v>
      </c>
      <c r="Q857" s="120" t="s">
        <v>131</v>
      </c>
      <c r="R857" s="129">
        <f t="shared" si="111"/>
        <v>26.7</v>
      </c>
      <c r="S857" s="115"/>
      <c r="T857" s="126" t="s">
        <v>1018</v>
      </c>
      <c r="U857" s="121" t="s">
        <v>4228</v>
      </c>
      <c r="AE857" s="137" t="str">
        <f t="shared" si="107"/>
        <v>|</v>
      </c>
      <c r="AG857" s="120" t="s">
        <v>120</v>
      </c>
    </row>
    <row r="858" spans="6:33" ht="24" customHeight="1">
      <c r="H858" s="121" t="s">
        <v>1199</v>
      </c>
      <c r="M858" s="129">
        <v>1</v>
      </c>
      <c r="N858" s="126" t="s">
        <v>131</v>
      </c>
      <c r="O858" s="120" t="s">
        <v>1213</v>
      </c>
      <c r="P858" s="129">
        <f t="shared" si="110"/>
        <v>1041.7</v>
      </c>
      <c r="Q858" s="120" t="s">
        <v>131</v>
      </c>
      <c r="R858" s="129">
        <f t="shared" si="111"/>
        <v>1041.7</v>
      </c>
      <c r="S858" s="115"/>
      <c r="T858" s="116"/>
      <c r="U858" s="121" t="s">
        <v>1199</v>
      </c>
      <c r="AE858" s="137" t="str">
        <f t="shared" si="107"/>
        <v>|</v>
      </c>
      <c r="AG858" s="120" t="s">
        <v>120</v>
      </c>
    </row>
    <row r="859" spans="6:33" ht="24" customHeight="1">
      <c r="F859" s="202">
        <v>3.8100000000000002E-2</v>
      </c>
      <c r="G859" s="126" t="s">
        <v>132</v>
      </c>
      <c r="H859" s="120" t="s">
        <v>1201</v>
      </c>
      <c r="I859" s="129">
        <f>I877</f>
        <v>8509.7199999999993</v>
      </c>
      <c r="J859" s="120" t="s">
        <v>132</v>
      </c>
      <c r="K859" s="129">
        <f>F859*I859</f>
        <v>324.22000000000003</v>
      </c>
      <c r="M859" s="129">
        <v>1</v>
      </c>
      <c r="N859" s="126" t="s">
        <v>131</v>
      </c>
      <c r="O859" s="120" t="s">
        <v>1215</v>
      </c>
      <c r="P859" s="129">
        <f t="shared" si="110"/>
        <v>679.8</v>
      </c>
      <c r="Q859" s="120" t="s">
        <v>131</v>
      </c>
      <c r="R859" s="129">
        <f t="shared" si="111"/>
        <v>679.8</v>
      </c>
      <c r="S859" s="202">
        <v>4.9500000000000002E-2</v>
      </c>
      <c r="T859" s="126" t="s">
        <v>132</v>
      </c>
      <c r="U859" s="120" t="s">
        <v>1201</v>
      </c>
      <c r="V859" s="129">
        <f>I859</f>
        <v>8509.7199999999993</v>
      </c>
      <c r="W859" s="121" t="s">
        <v>132</v>
      </c>
      <c r="X859" s="129">
        <f>S859*V859</f>
        <v>421.23</v>
      </c>
      <c r="AE859" s="137" t="str">
        <f t="shared" si="107"/>
        <v>|</v>
      </c>
      <c r="AG859" s="120" t="s">
        <v>120</v>
      </c>
    </row>
    <row r="860" spans="6:33" ht="24" customHeight="1">
      <c r="F860" s="129">
        <v>5.01</v>
      </c>
      <c r="G860" s="126" t="s">
        <v>39</v>
      </c>
      <c r="H860" s="120" t="s">
        <v>1203</v>
      </c>
      <c r="I860" s="129">
        <f>I878</f>
        <v>90172</v>
      </c>
      <c r="J860" s="120" t="s">
        <v>122</v>
      </c>
      <c r="K860" s="129">
        <f>F860*I860/1000</f>
        <v>451.76</v>
      </c>
      <c r="M860" s="129">
        <v>1</v>
      </c>
      <c r="N860" s="126" t="s">
        <v>131</v>
      </c>
      <c r="O860" s="120" t="s">
        <v>1217</v>
      </c>
      <c r="P860" s="129">
        <f t="shared" si="110"/>
        <v>25</v>
      </c>
      <c r="Q860" s="120" t="s">
        <v>131</v>
      </c>
      <c r="R860" s="129">
        <f t="shared" si="111"/>
        <v>25</v>
      </c>
      <c r="S860" s="129">
        <v>5.66</v>
      </c>
      <c r="T860" s="126" t="s">
        <v>39</v>
      </c>
      <c r="U860" s="120" t="s">
        <v>1203</v>
      </c>
      <c r="V860" s="129">
        <f t="shared" ref="V860:V868" si="112">I860</f>
        <v>90172</v>
      </c>
      <c r="W860" s="121" t="s">
        <v>122</v>
      </c>
      <c r="X860" s="129">
        <f>S860*V860/1000</f>
        <v>510.37</v>
      </c>
      <c r="AE860" s="137" t="str">
        <f t="shared" si="107"/>
        <v>|</v>
      </c>
      <c r="AG860" s="120" t="s">
        <v>120</v>
      </c>
    </row>
    <row r="861" spans="6:33" ht="24" customHeight="1">
      <c r="F861" s="129">
        <v>3</v>
      </c>
      <c r="G861" s="126" t="s">
        <v>131</v>
      </c>
      <c r="H861" s="120" t="s">
        <v>1205</v>
      </c>
      <c r="I861" s="196">
        <v>14.8</v>
      </c>
      <c r="J861" s="120" t="s">
        <v>131</v>
      </c>
      <c r="K861" s="129">
        <f t="shared" ref="K861:K868" si="113">F861*I861</f>
        <v>44.4</v>
      </c>
      <c r="M861" s="129">
        <v>0.5</v>
      </c>
      <c r="N861" s="126" t="s">
        <v>131</v>
      </c>
      <c r="O861" s="120" t="s">
        <v>1219</v>
      </c>
      <c r="P861" s="129">
        <f t="shared" si="110"/>
        <v>557.70000000000005</v>
      </c>
      <c r="Q861" s="120" t="s">
        <v>131</v>
      </c>
      <c r="R861" s="129">
        <f t="shared" si="111"/>
        <v>278.85000000000002</v>
      </c>
      <c r="S861" s="129">
        <v>3</v>
      </c>
      <c r="T861" s="126" t="s">
        <v>131</v>
      </c>
      <c r="U861" s="120" t="s">
        <v>1205</v>
      </c>
      <c r="V861" s="129">
        <f t="shared" si="112"/>
        <v>14.8</v>
      </c>
      <c r="W861" s="121" t="s">
        <v>131</v>
      </c>
      <c r="X861" s="129">
        <f t="shared" ref="X861:X868" si="114">S861*V861</f>
        <v>44.4</v>
      </c>
      <c r="AE861" s="137" t="str">
        <f t="shared" si="107"/>
        <v>|</v>
      </c>
      <c r="AG861" s="120" t="s">
        <v>120</v>
      </c>
    </row>
    <row r="862" spans="6:33" ht="24" customHeight="1">
      <c r="F862" s="129">
        <v>12</v>
      </c>
      <c r="G862" s="126" t="s">
        <v>131</v>
      </c>
      <c r="H862" s="120" t="s">
        <v>1207</v>
      </c>
      <c r="I862" s="196">
        <v>2</v>
      </c>
      <c r="J862" s="120" t="s">
        <v>131</v>
      </c>
      <c r="K862" s="129">
        <f t="shared" si="113"/>
        <v>24</v>
      </c>
      <c r="N862" s="126" t="s">
        <v>145</v>
      </c>
      <c r="O862" s="120" t="s">
        <v>1221</v>
      </c>
      <c r="P862" s="129">
        <f t="shared" si="110"/>
        <v>0</v>
      </c>
      <c r="Q862" s="120" t="s">
        <v>145</v>
      </c>
      <c r="R862" s="129">
        <v>2.1</v>
      </c>
      <c r="S862" s="129">
        <v>12</v>
      </c>
      <c r="T862" s="126" t="s">
        <v>131</v>
      </c>
      <c r="U862" s="120" t="s">
        <v>1207</v>
      </c>
      <c r="V862" s="129">
        <f t="shared" si="112"/>
        <v>2</v>
      </c>
      <c r="W862" s="121" t="s">
        <v>131</v>
      </c>
      <c r="X862" s="129">
        <f t="shared" si="114"/>
        <v>24</v>
      </c>
      <c r="AE862" s="137" t="str">
        <f t="shared" si="107"/>
        <v>|</v>
      </c>
      <c r="AG862" s="120" t="s">
        <v>120</v>
      </c>
    </row>
    <row r="863" spans="6:33" ht="24" customHeight="1">
      <c r="F863" s="129">
        <v>2</v>
      </c>
      <c r="G863" s="126" t="s">
        <v>131</v>
      </c>
      <c r="H863" s="120" t="s">
        <v>1209</v>
      </c>
      <c r="I863" s="196">
        <v>4.9000000000000004</v>
      </c>
      <c r="J863" s="120" t="s">
        <v>131</v>
      </c>
      <c r="K863" s="129">
        <f t="shared" si="113"/>
        <v>9.8000000000000007</v>
      </c>
      <c r="N863" s="116"/>
      <c r="Q863" s="117"/>
      <c r="R863" s="123" t="s">
        <v>52</v>
      </c>
      <c r="S863" s="129">
        <v>2</v>
      </c>
      <c r="T863" s="126" t="s">
        <v>131</v>
      </c>
      <c r="U863" s="120" t="s">
        <v>1209</v>
      </c>
      <c r="V863" s="129">
        <f t="shared" si="112"/>
        <v>4.9000000000000004</v>
      </c>
      <c r="W863" s="121" t="s">
        <v>131</v>
      </c>
      <c r="X863" s="129">
        <f t="shared" si="114"/>
        <v>9.8000000000000007</v>
      </c>
      <c r="AE863" s="137" t="str">
        <f t="shared" si="107"/>
        <v>|</v>
      </c>
      <c r="AG863" s="120" t="s">
        <v>120</v>
      </c>
    </row>
    <row r="864" spans="6:33" ht="24" customHeight="1">
      <c r="F864" s="129">
        <v>6</v>
      </c>
      <c r="G864" s="126" t="s">
        <v>131</v>
      </c>
      <c r="H864" s="120" t="s">
        <v>1211</v>
      </c>
      <c r="I864" s="196">
        <v>4.45</v>
      </c>
      <c r="J864" s="120" t="s">
        <v>131</v>
      </c>
      <c r="K864" s="129">
        <f t="shared" si="113"/>
        <v>26.7</v>
      </c>
      <c r="N864" s="116"/>
      <c r="O864" s="128" t="s">
        <v>1224</v>
      </c>
      <c r="Q864" s="117"/>
      <c r="R864" s="199">
        <f>SUM(R852:R862)</f>
        <v>3447.43</v>
      </c>
      <c r="S864" s="129">
        <v>6</v>
      </c>
      <c r="T864" s="126" t="s">
        <v>131</v>
      </c>
      <c r="U864" s="120" t="s">
        <v>1211</v>
      </c>
      <c r="V864" s="129">
        <f t="shared" si="112"/>
        <v>4.45</v>
      </c>
      <c r="W864" s="121" t="s">
        <v>131</v>
      </c>
      <c r="X864" s="129">
        <f t="shared" si="114"/>
        <v>26.7</v>
      </c>
      <c r="AE864" s="137" t="str">
        <f t="shared" si="107"/>
        <v>|</v>
      </c>
      <c r="AG864" s="120" t="s">
        <v>120</v>
      </c>
    </row>
    <row r="865" spans="2:33" ht="24" customHeight="1">
      <c r="F865" s="129">
        <v>1</v>
      </c>
      <c r="G865" s="126" t="s">
        <v>131</v>
      </c>
      <c r="H865" s="120" t="s">
        <v>1213</v>
      </c>
      <c r="I865" s="129">
        <f>C10</f>
        <v>1041.7</v>
      </c>
      <c r="J865" s="120" t="s">
        <v>131</v>
      </c>
      <c r="K865" s="129">
        <f t="shared" si="113"/>
        <v>1041.7</v>
      </c>
      <c r="N865" s="116"/>
      <c r="Q865" s="117"/>
      <c r="R865" s="123" t="s">
        <v>52</v>
      </c>
      <c r="S865" s="129">
        <v>1</v>
      </c>
      <c r="T865" s="126" t="s">
        <v>131</v>
      </c>
      <c r="U865" s="120" t="s">
        <v>1213</v>
      </c>
      <c r="V865" s="129">
        <f t="shared" si="112"/>
        <v>1041.7</v>
      </c>
      <c r="W865" s="121" t="s">
        <v>131</v>
      </c>
      <c r="X865" s="129">
        <f t="shared" si="114"/>
        <v>1041.7</v>
      </c>
      <c r="AE865" s="137">
        <f t="shared" si="107"/>
        <v>0</v>
      </c>
      <c r="AG865" s="120"/>
    </row>
    <row r="866" spans="2:33" ht="24" customHeight="1">
      <c r="F866" s="129">
        <v>1</v>
      </c>
      <c r="G866" s="126" t="s">
        <v>131</v>
      </c>
      <c r="H866" s="120" t="s">
        <v>1215</v>
      </c>
      <c r="I866" s="129">
        <f>C12</f>
        <v>679.8</v>
      </c>
      <c r="J866" s="120" t="s">
        <v>131</v>
      </c>
      <c r="K866" s="129">
        <f t="shared" si="113"/>
        <v>679.8</v>
      </c>
      <c r="S866" s="129">
        <v>1</v>
      </c>
      <c r="T866" s="126" t="s">
        <v>131</v>
      </c>
      <c r="U866" s="120" t="s">
        <v>1215</v>
      </c>
      <c r="V866" s="129">
        <f t="shared" si="112"/>
        <v>679.8</v>
      </c>
      <c r="W866" s="121" t="s">
        <v>131</v>
      </c>
      <c r="X866" s="129">
        <f t="shared" si="114"/>
        <v>679.8</v>
      </c>
      <c r="AE866" s="137">
        <f t="shared" si="107"/>
        <v>0</v>
      </c>
      <c r="AG866" s="120"/>
    </row>
    <row r="867" spans="2:33" ht="24" customHeight="1">
      <c r="F867" s="129">
        <v>1</v>
      </c>
      <c r="G867" s="126" t="s">
        <v>131</v>
      </c>
      <c r="H867" s="120" t="s">
        <v>1217</v>
      </c>
      <c r="I867" s="196">
        <v>25</v>
      </c>
      <c r="J867" s="120" t="s">
        <v>131</v>
      </c>
      <c r="K867" s="129">
        <f t="shared" si="113"/>
        <v>25</v>
      </c>
      <c r="R867" s="123"/>
      <c r="S867" s="129">
        <v>1</v>
      </c>
      <c r="T867" s="126" t="s">
        <v>131</v>
      </c>
      <c r="U867" s="120" t="s">
        <v>1217</v>
      </c>
      <c r="V867" s="129">
        <f t="shared" si="112"/>
        <v>25</v>
      </c>
      <c r="W867" s="121" t="s">
        <v>131</v>
      </c>
      <c r="X867" s="129">
        <f t="shared" si="114"/>
        <v>25</v>
      </c>
      <c r="AE867" s="137">
        <f t="shared" si="107"/>
        <v>0</v>
      </c>
      <c r="AG867" s="120"/>
    </row>
    <row r="868" spans="2:33" ht="24" customHeight="1">
      <c r="F868" s="129">
        <v>0.5</v>
      </c>
      <c r="G868" s="126" t="s">
        <v>131</v>
      </c>
      <c r="H868" s="120" t="s">
        <v>1219</v>
      </c>
      <c r="I868" s="129">
        <f>C13</f>
        <v>557.70000000000005</v>
      </c>
      <c r="J868" s="120" t="s">
        <v>131</v>
      </c>
      <c r="K868" s="129">
        <f t="shared" si="113"/>
        <v>278.85000000000002</v>
      </c>
      <c r="R868" s="120" t="s">
        <v>85</v>
      </c>
      <c r="S868" s="129">
        <v>0.5</v>
      </c>
      <c r="T868" s="126" t="s">
        <v>131</v>
      </c>
      <c r="U868" s="120" t="s">
        <v>1219</v>
      </c>
      <c r="V868" s="129">
        <f t="shared" si="112"/>
        <v>557.70000000000005</v>
      </c>
      <c r="W868" s="121" t="s">
        <v>131</v>
      </c>
      <c r="X868" s="129">
        <f t="shared" si="114"/>
        <v>278.85000000000002</v>
      </c>
      <c r="AE868" s="137">
        <f t="shared" si="107"/>
        <v>0</v>
      </c>
      <c r="AG868" s="120"/>
    </row>
    <row r="869" spans="2:33" ht="24" customHeight="1">
      <c r="G869" s="126" t="s">
        <v>145</v>
      </c>
      <c r="H869" s="120" t="s">
        <v>1221</v>
      </c>
      <c r="J869" s="120" t="s">
        <v>145</v>
      </c>
      <c r="K869" s="129">
        <v>1.1299999999999999</v>
      </c>
      <c r="N869" s="120"/>
      <c r="O869" s="120"/>
      <c r="S869" s="115"/>
      <c r="T869" s="126" t="s">
        <v>145</v>
      </c>
      <c r="U869" s="120" t="s">
        <v>1221</v>
      </c>
      <c r="W869" s="121" t="s">
        <v>145</v>
      </c>
      <c r="X869" s="129">
        <v>0.06</v>
      </c>
      <c r="AE869" s="137">
        <f t="shared" si="107"/>
        <v>0</v>
      </c>
      <c r="AG869" s="120"/>
    </row>
    <row r="870" spans="2:33" ht="24" customHeight="1">
      <c r="K870" s="123" t="s">
        <v>52</v>
      </c>
      <c r="O870" s="120"/>
      <c r="S870" s="115"/>
      <c r="T870" s="116"/>
      <c r="X870" s="123" t="s">
        <v>52</v>
      </c>
      <c r="AE870" s="137">
        <f t="shared" si="107"/>
        <v>0</v>
      </c>
      <c r="AG870" s="120"/>
    </row>
    <row r="871" spans="2:33" ht="24" customHeight="1">
      <c r="H871" s="128" t="s">
        <v>1224</v>
      </c>
      <c r="K871" s="127">
        <f>SUM(K859:K869)</f>
        <v>2907.36</v>
      </c>
      <c r="N871" s="120"/>
      <c r="O871" s="120"/>
      <c r="P871" s="129"/>
      <c r="R871" s="129"/>
      <c r="S871" s="115"/>
      <c r="T871" s="116"/>
      <c r="U871" s="128" t="s">
        <v>1224</v>
      </c>
      <c r="X871" s="127">
        <f>SUM(X859:X869)</f>
        <v>3061.91</v>
      </c>
      <c r="AE871" s="137">
        <f t="shared" si="107"/>
        <v>0</v>
      </c>
      <c r="AG871" s="120"/>
    </row>
    <row r="872" spans="2:33" ht="24" customHeight="1">
      <c r="K872" s="123" t="s">
        <v>52</v>
      </c>
      <c r="O872" s="120"/>
      <c r="AE872" s="137">
        <f t="shared" si="107"/>
        <v>0</v>
      </c>
      <c r="AG872" s="120"/>
    </row>
    <row r="873" spans="2:33" ht="24" customHeight="1">
      <c r="O873" s="120"/>
      <c r="AE873" s="137">
        <f t="shared" si="107"/>
        <v>0</v>
      </c>
      <c r="AG873" s="120"/>
    </row>
    <row r="874" spans="2:33" ht="24" customHeight="1">
      <c r="N874" s="120"/>
      <c r="O874" s="120"/>
      <c r="P874" s="129"/>
      <c r="R874" s="129"/>
      <c r="AE874" s="137">
        <f t="shared" si="107"/>
        <v>0</v>
      </c>
      <c r="AG874" s="120"/>
    </row>
    <row r="875" spans="2:33" ht="24" customHeight="1">
      <c r="G875" s="126" t="s">
        <v>956</v>
      </c>
      <c r="H875" s="121" t="s">
        <v>1227</v>
      </c>
      <c r="N875" s="120"/>
      <c r="O875" s="120"/>
      <c r="P875" s="129"/>
      <c r="R875" s="129"/>
      <c r="S875" s="115"/>
      <c r="T875" s="126" t="s">
        <v>1018</v>
      </c>
      <c r="U875" s="121" t="s">
        <v>4229</v>
      </c>
      <c r="AE875" s="137">
        <f t="shared" si="107"/>
        <v>0</v>
      </c>
      <c r="AG875" s="120"/>
    </row>
    <row r="876" spans="2:33" ht="24" customHeight="1">
      <c r="H876" s="121" t="s">
        <v>1199</v>
      </c>
      <c r="N876" s="120"/>
      <c r="O876" s="120"/>
      <c r="P876" s="129"/>
      <c r="R876" s="129"/>
      <c r="S876" s="115"/>
      <c r="T876" s="116"/>
      <c r="U876" s="121" t="s">
        <v>1199</v>
      </c>
      <c r="AE876" s="137">
        <f t="shared" si="107"/>
        <v>0</v>
      </c>
      <c r="AG876" s="120"/>
    </row>
    <row r="877" spans="2:33" ht="64.5" customHeight="1">
      <c r="B877" s="176" t="s">
        <v>4230</v>
      </c>
      <c r="C877" s="129">
        <f>Y688</f>
        <v>8509.7199999999993</v>
      </c>
      <c r="F877" s="202">
        <v>3.6799999999999999E-2</v>
      </c>
      <c r="G877" s="126" t="s">
        <v>132</v>
      </c>
      <c r="H877" s="176" t="s">
        <v>4230</v>
      </c>
      <c r="I877" s="129">
        <f>Y688</f>
        <v>8509.7199999999993</v>
      </c>
      <c r="J877" s="120" t="s">
        <v>132</v>
      </c>
      <c r="K877" s="129">
        <f>F877*I877</f>
        <v>313.16000000000003</v>
      </c>
      <c r="N877" s="120"/>
      <c r="O877" s="120"/>
      <c r="P877" s="129"/>
      <c r="R877" s="129"/>
      <c r="S877" s="202">
        <v>5.4699999999999999E-2</v>
      </c>
      <c r="T877" s="126" t="s">
        <v>132</v>
      </c>
      <c r="U877" s="120" t="s">
        <v>1201</v>
      </c>
      <c r="V877" s="129">
        <f>I877</f>
        <v>8509.7199999999993</v>
      </c>
      <c r="W877" s="121" t="s">
        <v>132</v>
      </c>
      <c r="X877" s="129">
        <f>S877*V877</f>
        <v>465.48</v>
      </c>
      <c r="AE877" s="137">
        <f t="shared" ref="AE877:AE949" si="115">AG877</f>
        <v>0</v>
      </c>
      <c r="AG877" s="120"/>
    </row>
    <row r="878" spans="2:33" ht="34.5" customHeight="1">
      <c r="B878" s="120" t="s">
        <v>1203</v>
      </c>
      <c r="C878" s="129">
        <f>R1609</f>
        <v>90322.8</v>
      </c>
      <c r="F878" s="129">
        <v>4.87</v>
      </c>
      <c r="G878" s="126" t="s">
        <v>39</v>
      </c>
      <c r="H878" s="120" t="s">
        <v>1203</v>
      </c>
      <c r="I878" s="129">
        <f>K1608</f>
        <v>90172</v>
      </c>
      <c r="J878" s="120" t="s">
        <v>122</v>
      </c>
      <c r="K878" s="129">
        <f>F878*I878/1000</f>
        <v>439.14</v>
      </c>
      <c r="N878" s="120"/>
      <c r="O878" s="120"/>
      <c r="P878" s="129"/>
      <c r="R878" s="129"/>
      <c r="S878" s="129">
        <v>6.16</v>
      </c>
      <c r="T878" s="126" t="s">
        <v>39</v>
      </c>
      <c r="U878" s="120" t="s">
        <v>1203</v>
      </c>
      <c r="V878" s="129">
        <f t="shared" ref="V878:V886" si="116">I878</f>
        <v>90172</v>
      </c>
      <c r="W878" s="121" t="s">
        <v>122</v>
      </c>
      <c r="X878" s="129">
        <f>S878*V878/1000</f>
        <v>555.46</v>
      </c>
      <c r="AE878" s="137">
        <f t="shared" si="115"/>
        <v>0</v>
      </c>
      <c r="AG878" s="120"/>
    </row>
    <row r="879" spans="2:33" ht="24" customHeight="1">
      <c r="F879" s="129">
        <v>3</v>
      </c>
      <c r="G879" s="126" t="s">
        <v>131</v>
      </c>
      <c r="H879" s="120" t="s">
        <v>1205</v>
      </c>
      <c r="I879" s="244">
        <f>I861</f>
        <v>14.8</v>
      </c>
      <c r="J879" s="120" t="s">
        <v>131</v>
      </c>
      <c r="K879" s="129">
        <f t="shared" ref="K879:K886" si="117">F879*I879</f>
        <v>44.4</v>
      </c>
      <c r="N879" s="120"/>
      <c r="O879" s="120"/>
      <c r="P879" s="129"/>
      <c r="R879" s="129"/>
      <c r="S879" s="129">
        <v>3</v>
      </c>
      <c r="T879" s="126" t="s">
        <v>131</v>
      </c>
      <c r="U879" s="120" t="s">
        <v>1205</v>
      </c>
      <c r="V879" s="129">
        <f t="shared" si="116"/>
        <v>14.8</v>
      </c>
      <c r="W879" s="121" t="s">
        <v>131</v>
      </c>
      <c r="X879" s="129">
        <f t="shared" ref="X879:X886" si="118">S879*V879</f>
        <v>44.4</v>
      </c>
      <c r="AE879" s="137">
        <f t="shared" si="115"/>
        <v>0</v>
      </c>
      <c r="AG879" s="120"/>
    </row>
    <row r="880" spans="2:33" ht="24" customHeight="1">
      <c r="F880" s="129">
        <v>12</v>
      </c>
      <c r="G880" s="126" t="s">
        <v>131</v>
      </c>
      <c r="H880" s="120" t="s">
        <v>1207</v>
      </c>
      <c r="I880" s="244">
        <f>I862</f>
        <v>2</v>
      </c>
      <c r="J880" s="120" t="s">
        <v>131</v>
      </c>
      <c r="K880" s="129">
        <f t="shared" si="117"/>
        <v>24</v>
      </c>
      <c r="N880" s="120"/>
      <c r="O880" s="120"/>
      <c r="P880" s="129"/>
      <c r="R880" s="129"/>
      <c r="S880" s="129">
        <v>12</v>
      </c>
      <c r="T880" s="126" t="s">
        <v>131</v>
      </c>
      <c r="U880" s="120" t="s">
        <v>1207</v>
      </c>
      <c r="V880" s="129">
        <f t="shared" si="116"/>
        <v>2</v>
      </c>
      <c r="W880" s="121" t="s">
        <v>131</v>
      </c>
      <c r="X880" s="129">
        <f t="shared" si="118"/>
        <v>24</v>
      </c>
      <c r="AE880" s="137">
        <f t="shared" si="115"/>
        <v>0</v>
      </c>
      <c r="AG880" s="120"/>
    </row>
    <row r="881" spans="6:33" ht="24" customHeight="1">
      <c r="F881" s="129">
        <v>2</v>
      </c>
      <c r="G881" s="126" t="s">
        <v>131</v>
      </c>
      <c r="H881" s="120" t="s">
        <v>1209</v>
      </c>
      <c r="I881" s="244">
        <f>I863</f>
        <v>4.9000000000000004</v>
      </c>
      <c r="J881" s="120" t="s">
        <v>131</v>
      </c>
      <c r="K881" s="129">
        <f t="shared" si="117"/>
        <v>9.8000000000000007</v>
      </c>
      <c r="R881" s="129"/>
      <c r="S881" s="129">
        <v>2</v>
      </c>
      <c r="T881" s="126" t="s">
        <v>131</v>
      </c>
      <c r="U881" s="120" t="s">
        <v>1209</v>
      </c>
      <c r="V881" s="129">
        <f t="shared" si="116"/>
        <v>4.9000000000000004</v>
      </c>
      <c r="W881" s="121" t="s">
        <v>131</v>
      </c>
      <c r="X881" s="129">
        <f t="shared" si="118"/>
        <v>9.8000000000000007</v>
      </c>
      <c r="AE881" s="137">
        <f t="shared" si="115"/>
        <v>0</v>
      </c>
      <c r="AG881" s="120"/>
    </row>
    <row r="882" spans="6:33" ht="24" customHeight="1">
      <c r="F882" s="129">
        <v>6</v>
      </c>
      <c r="G882" s="126" t="s">
        <v>131</v>
      </c>
      <c r="H882" s="120" t="s">
        <v>1211</v>
      </c>
      <c r="I882" s="244">
        <f>I864</f>
        <v>4.45</v>
      </c>
      <c r="J882" s="120" t="s">
        <v>131</v>
      </c>
      <c r="K882" s="129">
        <f t="shared" si="117"/>
        <v>26.7</v>
      </c>
      <c r="R882" s="123"/>
      <c r="S882" s="129">
        <v>6</v>
      </c>
      <c r="T882" s="126" t="s">
        <v>131</v>
      </c>
      <c r="U882" s="120" t="s">
        <v>1211</v>
      </c>
      <c r="V882" s="129">
        <f t="shared" si="116"/>
        <v>4.45</v>
      </c>
      <c r="W882" s="121" t="s">
        <v>131</v>
      </c>
      <c r="X882" s="129">
        <f t="shared" si="118"/>
        <v>26.7</v>
      </c>
      <c r="AE882" s="137">
        <f t="shared" si="115"/>
        <v>0</v>
      </c>
      <c r="AG882" s="120"/>
    </row>
    <row r="883" spans="6:33" ht="24" customHeight="1">
      <c r="F883" s="129">
        <v>1</v>
      </c>
      <c r="G883" s="126" t="s">
        <v>131</v>
      </c>
      <c r="H883" s="120" t="s">
        <v>1213</v>
      </c>
      <c r="I883" s="129">
        <f>C10</f>
        <v>1041.7</v>
      </c>
      <c r="J883" s="120" t="s">
        <v>131</v>
      </c>
      <c r="K883" s="129">
        <f t="shared" si="117"/>
        <v>1041.7</v>
      </c>
      <c r="O883" s="121"/>
      <c r="R883" s="129"/>
      <c r="S883" s="129">
        <v>1</v>
      </c>
      <c r="T883" s="126" t="s">
        <v>131</v>
      </c>
      <c r="U883" s="120" t="s">
        <v>1213</v>
      </c>
      <c r="V883" s="129">
        <f t="shared" si="116"/>
        <v>1041.7</v>
      </c>
      <c r="W883" s="121" t="s">
        <v>131</v>
      </c>
      <c r="X883" s="129">
        <f t="shared" si="118"/>
        <v>1041.7</v>
      </c>
      <c r="AE883" s="137">
        <f t="shared" si="115"/>
        <v>0</v>
      </c>
      <c r="AG883" s="120"/>
    </row>
    <row r="884" spans="6:33" ht="24" customHeight="1">
      <c r="F884" s="129">
        <v>1</v>
      </c>
      <c r="G884" s="126" t="s">
        <v>131</v>
      </c>
      <c r="H884" s="120" t="s">
        <v>1215</v>
      </c>
      <c r="I884" s="129">
        <f>C12</f>
        <v>679.8</v>
      </c>
      <c r="J884" s="120" t="s">
        <v>131</v>
      </c>
      <c r="K884" s="129">
        <f t="shared" si="117"/>
        <v>679.8</v>
      </c>
      <c r="R884" s="123"/>
      <c r="S884" s="129">
        <v>1</v>
      </c>
      <c r="T884" s="126" t="s">
        <v>131</v>
      </c>
      <c r="U884" s="120" t="s">
        <v>1215</v>
      </c>
      <c r="V884" s="129">
        <f t="shared" si="116"/>
        <v>679.8</v>
      </c>
      <c r="W884" s="121" t="s">
        <v>131</v>
      </c>
      <c r="X884" s="129">
        <f t="shared" si="118"/>
        <v>679.8</v>
      </c>
      <c r="AE884" s="137" t="str">
        <f t="shared" si="115"/>
        <v>|</v>
      </c>
      <c r="AG884" s="120" t="s">
        <v>120</v>
      </c>
    </row>
    <row r="885" spans="6:33" ht="24" customHeight="1">
      <c r="F885" s="129">
        <v>1</v>
      </c>
      <c r="G885" s="126" t="s">
        <v>131</v>
      </c>
      <c r="H885" s="120" t="s">
        <v>1217</v>
      </c>
      <c r="I885" s="251">
        <v>25</v>
      </c>
      <c r="J885" s="120" t="s">
        <v>131</v>
      </c>
      <c r="K885" s="129">
        <f t="shared" si="117"/>
        <v>25</v>
      </c>
      <c r="S885" s="129">
        <v>1</v>
      </c>
      <c r="T885" s="126" t="s">
        <v>131</v>
      </c>
      <c r="U885" s="120" t="s">
        <v>1217</v>
      </c>
      <c r="V885" s="129">
        <f t="shared" si="116"/>
        <v>25</v>
      </c>
      <c r="W885" s="121" t="s">
        <v>131</v>
      </c>
      <c r="X885" s="129">
        <f t="shared" si="118"/>
        <v>25</v>
      </c>
      <c r="AE885" s="137" t="str">
        <f t="shared" si="115"/>
        <v>|</v>
      </c>
      <c r="AG885" s="120" t="s">
        <v>120</v>
      </c>
    </row>
    <row r="886" spans="6:33" ht="24" customHeight="1">
      <c r="F886" s="129">
        <v>0.5</v>
      </c>
      <c r="G886" s="126" t="s">
        <v>131</v>
      </c>
      <c r="H886" s="120" t="s">
        <v>1219</v>
      </c>
      <c r="I886" s="129">
        <f>C13</f>
        <v>557.70000000000005</v>
      </c>
      <c r="J886" s="120" t="s">
        <v>131</v>
      </c>
      <c r="K886" s="129">
        <f t="shared" si="117"/>
        <v>278.85000000000002</v>
      </c>
      <c r="M886" s="121" t="s">
        <v>1247</v>
      </c>
      <c r="N886" s="120" t="s">
        <v>111</v>
      </c>
      <c r="O886" s="120" t="s">
        <v>1248</v>
      </c>
      <c r="S886" s="129">
        <v>0.5</v>
      </c>
      <c r="T886" s="126" t="s">
        <v>131</v>
      </c>
      <c r="U886" s="120" t="s">
        <v>1219</v>
      </c>
      <c r="V886" s="129">
        <f t="shared" si="116"/>
        <v>557.70000000000005</v>
      </c>
      <c r="W886" s="121" t="s">
        <v>131</v>
      </c>
      <c r="X886" s="129">
        <f t="shared" si="118"/>
        <v>278.85000000000002</v>
      </c>
      <c r="AE886" s="137" t="str">
        <f t="shared" si="115"/>
        <v>|</v>
      </c>
      <c r="AG886" s="120" t="s">
        <v>120</v>
      </c>
    </row>
    <row r="887" spans="6:33" ht="24" customHeight="1">
      <c r="G887" s="126" t="s">
        <v>145</v>
      </c>
      <c r="H887" s="120" t="s">
        <v>1221</v>
      </c>
      <c r="J887" s="120" t="s">
        <v>145</v>
      </c>
      <c r="K887" s="129">
        <v>1.98</v>
      </c>
      <c r="O887" s="120" t="s">
        <v>1250</v>
      </c>
      <c r="S887" s="115"/>
      <c r="T887" s="126" t="s">
        <v>145</v>
      </c>
      <c r="U887" s="120" t="s">
        <v>1221</v>
      </c>
      <c r="W887" s="121" t="s">
        <v>145</v>
      </c>
      <c r="X887" s="129">
        <v>0.27</v>
      </c>
      <c r="AE887" s="137" t="str">
        <f t="shared" si="115"/>
        <v>|</v>
      </c>
      <c r="AG887" s="120" t="s">
        <v>120</v>
      </c>
    </row>
    <row r="888" spans="6:33" ht="24" customHeight="1">
      <c r="K888" s="123" t="s">
        <v>52</v>
      </c>
      <c r="O888" s="123" t="s">
        <v>52</v>
      </c>
      <c r="P888" s="123" t="s">
        <v>52</v>
      </c>
      <c r="S888" s="115"/>
      <c r="T888" s="116"/>
      <c r="X888" s="123" t="s">
        <v>52</v>
      </c>
      <c r="AE888" s="137" t="str">
        <f t="shared" si="115"/>
        <v>|</v>
      </c>
      <c r="AG888" s="120" t="s">
        <v>120</v>
      </c>
    </row>
    <row r="889" spans="6:33" ht="24" customHeight="1">
      <c r="H889" s="128" t="s">
        <v>1224</v>
      </c>
      <c r="K889" s="127">
        <f>SUM(K877:K887)</f>
        <v>2884.53</v>
      </c>
      <c r="L889" s="115">
        <f>K889-1729</f>
        <v>1155.53</v>
      </c>
      <c r="O889" s="120" t="s">
        <v>1254</v>
      </c>
      <c r="S889" s="115"/>
      <c r="T889" s="116"/>
      <c r="U889" s="128" t="s">
        <v>1224</v>
      </c>
      <c r="X889" s="127">
        <f>SUM(X877:X887)</f>
        <v>3151.46</v>
      </c>
      <c r="AE889" s="137" t="str">
        <f t="shared" si="115"/>
        <v>|</v>
      </c>
      <c r="AG889" s="120" t="s">
        <v>120</v>
      </c>
    </row>
    <row r="890" spans="6:33" ht="24" customHeight="1">
      <c r="K890" s="123" t="s">
        <v>52</v>
      </c>
      <c r="M890" s="129">
        <v>0.5</v>
      </c>
      <c r="N890" s="121" t="s">
        <v>237</v>
      </c>
      <c r="O890" s="120" t="s">
        <v>188</v>
      </c>
      <c r="P890" s="129">
        <f>C16</f>
        <v>1018.6</v>
      </c>
      <c r="Q890" s="121" t="s">
        <v>972</v>
      </c>
      <c r="R890" s="129">
        <f>(M890*P890)</f>
        <v>509.3</v>
      </c>
      <c r="AE890" s="137" t="str">
        <f t="shared" si="115"/>
        <v>|</v>
      </c>
      <c r="AG890" s="120" t="s">
        <v>120</v>
      </c>
    </row>
    <row r="891" spans="6:33" ht="24" customHeight="1">
      <c r="F891" s="121"/>
      <c r="G891" s="126" t="s">
        <v>986</v>
      </c>
      <c r="H891" s="121" t="s">
        <v>1244</v>
      </c>
      <c r="K891" s="115">
        <f>K889-1800.2</f>
        <v>1084.33</v>
      </c>
      <c r="M891" s="129">
        <v>0.25</v>
      </c>
      <c r="N891" s="121" t="s">
        <v>237</v>
      </c>
      <c r="O891" s="120" t="s">
        <v>143</v>
      </c>
      <c r="P891" s="129">
        <f>C12</f>
        <v>679.8</v>
      </c>
      <c r="Q891" s="121" t="s">
        <v>972</v>
      </c>
      <c r="R891" s="129">
        <f>(M891*P891)</f>
        <v>169.95</v>
      </c>
      <c r="S891" s="115"/>
      <c r="T891" s="126" t="s">
        <v>1018</v>
      </c>
      <c r="U891" s="121" t="s">
        <v>4231</v>
      </c>
      <c r="AE891" s="137" t="str">
        <f t="shared" si="115"/>
        <v>|</v>
      </c>
      <c r="AG891" s="120" t="s">
        <v>120</v>
      </c>
    </row>
    <row r="892" spans="6:33" ht="24" customHeight="1">
      <c r="H892" s="121" t="s">
        <v>1199</v>
      </c>
      <c r="R892" s="123" t="s">
        <v>52</v>
      </c>
      <c r="S892" s="115"/>
      <c r="T892" s="116"/>
      <c r="U892" s="121" t="s">
        <v>1199</v>
      </c>
      <c r="AE892" s="137" t="str">
        <f t="shared" si="115"/>
        <v>|</v>
      </c>
      <c r="AG892" s="120" t="s">
        <v>120</v>
      </c>
    </row>
    <row r="893" spans="6:33" ht="24" customHeight="1">
      <c r="F893" s="202">
        <v>3.5299999999999998E-2</v>
      </c>
      <c r="G893" s="126" t="s">
        <v>132</v>
      </c>
      <c r="H893" s="120" t="s">
        <v>1201</v>
      </c>
      <c r="I893" s="129">
        <f t="shared" ref="I893:I898" si="119">I877</f>
        <v>8509.7199999999993</v>
      </c>
      <c r="J893" s="120" t="s">
        <v>132</v>
      </c>
      <c r="K893" s="129">
        <f>F893*I893</f>
        <v>300.39</v>
      </c>
      <c r="O893" s="121" t="s">
        <v>1259</v>
      </c>
      <c r="R893" s="129">
        <f>SUM(R890:R891)</f>
        <v>679.25</v>
      </c>
      <c r="S893" s="202">
        <v>5.91E-2</v>
      </c>
      <c r="T893" s="126" t="s">
        <v>132</v>
      </c>
      <c r="U893" s="120" t="s">
        <v>1201</v>
      </c>
      <c r="V893" s="129">
        <f>V877</f>
        <v>8509.7199999999993</v>
      </c>
      <c r="W893" s="121" t="s">
        <v>132</v>
      </c>
      <c r="X893" s="129">
        <f>S893*V893</f>
        <v>502.92</v>
      </c>
      <c r="AE893" s="137" t="str">
        <f t="shared" si="115"/>
        <v>|</v>
      </c>
      <c r="AG893" s="120" t="s">
        <v>120</v>
      </c>
    </row>
    <row r="894" spans="6:33" ht="24" customHeight="1">
      <c r="F894" s="129">
        <v>4.59</v>
      </c>
      <c r="G894" s="126" t="s">
        <v>39</v>
      </c>
      <c r="H894" s="120" t="s">
        <v>1203</v>
      </c>
      <c r="I894" s="129">
        <f t="shared" si="119"/>
        <v>90172</v>
      </c>
      <c r="J894" s="120" t="s">
        <v>122</v>
      </c>
      <c r="K894" s="129">
        <f>F894*I894/1000</f>
        <v>413.89</v>
      </c>
      <c r="R894" s="123" t="s">
        <v>52</v>
      </c>
      <c r="S894" s="129">
        <v>6.58</v>
      </c>
      <c r="T894" s="126" t="s">
        <v>39</v>
      </c>
      <c r="U894" s="120" t="s">
        <v>1203</v>
      </c>
      <c r="V894" s="129">
        <f t="shared" ref="V894:V902" si="120">V878</f>
        <v>90172</v>
      </c>
      <c r="W894" s="121" t="s">
        <v>122</v>
      </c>
      <c r="X894" s="129">
        <f>S894*V894/1000</f>
        <v>593.33000000000004</v>
      </c>
      <c r="AE894" s="137" t="str">
        <f t="shared" si="115"/>
        <v>|</v>
      </c>
      <c r="AG894" s="120" t="s">
        <v>120</v>
      </c>
    </row>
    <row r="895" spans="6:33" ht="24" customHeight="1">
      <c r="F895" s="129">
        <v>3</v>
      </c>
      <c r="G895" s="126" t="s">
        <v>131</v>
      </c>
      <c r="H895" s="120" t="s">
        <v>1205</v>
      </c>
      <c r="I895" s="244">
        <f t="shared" si="119"/>
        <v>14.8</v>
      </c>
      <c r="J895" s="120" t="s">
        <v>131</v>
      </c>
      <c r="K895" s="129">
        <f t="shared" ref="K895:K902" si="121">F895*I895</f>
        <v>44.4</v>
      </c>
      <c r="O895" s="121" t="s">
        <v>1262</v>
      </c>
      <c r="R895" s="129">
        <f>R893/0.0283</f>
        <v>24001.77</v>
      </c>
      <c r="S895" s="129">
        <v>3</v>
      </c>
      <c r="T895" s="126" t="s">
        <v>131</v>
      </c>
      <c r="U895" s="120" t="s">
        <v>1205</v>
      </c>
      <c r="V895" s="129">
        <f t="shared" si="120"/>
        <v>14.8</v>
      </c>
      <c r="W895" s="121" t="s">
        <v>131</v>
      </c>
      <c r="X895" s="129">
        <f t="shared" ref="X895:X902" si="122">S895*V895</f>
        <v>44.4</v>
      </c>
      <c r="AE895" s="137" t="str">
        <f t="shared" si="115"/>
        <v>|</v>
      </c>
      <c r="AG895" s="120" t="s">
        <v>120</v>
      </c>
    </row>
    <row r="896" spans="6:33" ht="24" customHeight="1">
      <c r="F896" s="129">
        <v>12</v>
      </c>
      <c r="G896" s="126" t="s">
        <v>131</v>
      </c>
      <c r="H896" s="120" t="s">
        <v>1207</v>
      </c>
      <c r="I896" s="244">
        <f t="shared" si="119"/>
        <v>2</v>
      </c>
      <c r="J896" s="120" t="s">
        <v>131</v>
      </c>
      <c r="K896" s="129">
        <f t="shared" si="121"/>
        <v>24</v>
      </c>
      <c r="R896" s="123" t="s">
        <v>52</v>
      </c>
      <c r="S896" s="129">
        <v>12</v>
      </c>
      <c r="T896" s="126" t="s">
        <v>131</v>
      </c>
      <c r="U896" s="120" t="s">
        <v>1207</v>
      </c>
      <c r="V896" s="129">
        <f t="shared" si="120"/>
        <v>2</v>
      </c>
      <c r="W896" s="121" t="s">
        <v>131</v>
      </c>
      <c r="X896" s="129">
        <f t="shared" si="122"/>
        <v>24</v>
      </c>
      <c r="AE896" s="137" t="str">
        <f t="shared" si="115"/>
        <v>|</v>
      </c>
      <c r="AG896" s="120" t="s">
        <v>120</v>
      </c>
    </row>
    <row r="897" spans="6:33" ht="24" customHeight="1">
      <c r="F897" s="129">
        <v>2</v>
      </c>
      <c r="G897" s="126" t="s">
        <v>131</v>
      </c>
      <c r="H897" s="129" t="str">
        <f>H881</f>
        <v>TOWER BOLT RECEIVER</v>
      </c>
      <c r="I897" s="244">
        <f t="shared" si="119"/>
        <v>4.9000000000000004</v>
      </c>
      <c r="J897" s="120" t="s">
        <v>131</v>
      </c>
      <c r="K897" s="129">
        <f t="shared" si="121"/>
        <v>9.8000000000000007</v>
      </c>
      <c r="S897" s="129">
        <v>2</v>
      </c>
      <c r="T897" s="126" t="s">
        <v>131</v>
      </c>
      <c r="U897" s="120" t="s">
        <v>1209</v>
      </c>
      <c r="V897" s="129">
        <f t="shared" si="120"/>
        <v>4.9000000000000004</v>
      </c>
      <c r="W897" s="121" t="s">
        <v>131</v>
      </c>
      <c r="X897" s="129">
        <f t="shared" si="122"/>
        <v>9.8000000000000007</v>
      </c>
      <c r="AE897" s="137" t="str">
        <f t="shared" si="115"/>
        <v>|</v>
      </c>
      <c r="AG897" s="120" t="s">
        <v>120</v>
      </c>
    </row>
    <row r="898" spans="6:33" ht="24" customHeight="1">
      <c r="F898" s="129">
        <v>6</v>
      </c>
      <c r="G898" s="126" t="s">
        <v>131</v>
      </c>
      <c r="H898" s="120" t="s">
        <v>1211</v>
      </c>
      <c r="I898" s="244">
        <f t="shared" si="119"/>
        <v>4.45</v>
      </c>
      <c r="J898" s="120" t="s">
        <v>131</v>
      </c>
      <c r="K898" s="129">
        <f t="shared" si="121"/>
        <v>26.7</v>
      </c>
      <c r="S898" s="129">
        <v>6</v>
      </c>
      <c r="T898" s="126" t="s">
        <v>131</v>
      </c>
      <c r="U898" s="120" t="s">
        <v>1211</v>
      </c>
      <c r="V898" s="129">
        <f t="shared" si="120"/>
        <v>4.45</v>
      </c>
      <c r="W898" s="121" t="s">
        <v>131</v>
      </c>
      <c r="X898" s="129">
        <f t="shared" si="122"/>
        <v>26.7</v>
      </c>
      <c r="AE898" s="137" t="str">
        <f t="shared" si="115"/>
        <v>|</v>
      </c>
      <c r="AG898" s="120" t="s">
        <v>120</v>
      </c>
    </row>
    <row r="899" spans="6:33" ht="24" customHeight="1">
      <c r="F899" s="129">
        <v>1</v>
      </c>
      <c r="G899" s="126" t="s">
        <v>131</v>
      </c>
      <c r="H899" s="120" t="s">
        <v>1213</v>
      </c>
      <c r="I899" s="129">
        <f>C10</f>
        <v>1041.7</v>
      </c>
      <c r="J899" s="120" t="s">
        <v>131</v>
      </c>
      <c r="K899" s="129">
        <f t="shared" si="121"/>
        <v>1041.7</v>
      </c>
      <c r="S899" s="129">
        <v>1</v>
      </c>
      <c r="T899" s="126" t="s">
        <v>131</v>
      </c>
      <c r="U899" s="120" t="s">
        <v>1213</v>
      </c>
      <c r="V899" s="129">
        <f t="shared" si="120"/>
        <v>1041.7</v>
      </c>
      <c r="W899" s="121" t="s">
        <v>131</v>
      </c>
      <c r="X899" s="129">
        <f t="shared" si="122"/>
        <v>1041.7</v>
      </c>
      <c r="AE899" s="137" t="str">
        <f t="shared" si="115"/>
        <v>|</v>
      </c>
      <c r="AG899" s="120" t="s">
        <v>120</v>
      </c>
    </row>
    <row r="900" spans="6:33" ht="24" customHeight="1">
      <c r="F900" s="129">
        <v>1</v>
      </c>
      <c r="G900" s="126" t="s">
        <v>131</v>
      </c>
      <c r="H900" s="120" t="s">
        <v>1215</v>
      </c>
      <c r="I900" s="129">
        <f>C12</f>
        <v>679.8</v>
      </c>
      <c r="J900" s="120" t="s">
        <v>131</v>
      </c>
      <c r="K900" s="129">
        <f t="shared" si="121"/>
        <v>679.8</v>
      </c>
      <c r="S900" s="129">
        <v>1</v>
      </c>
      <c r="T900" s="126" t="s">
        <v>131</v>
      </c>
      <c r="U900" s="120" t="s">
        <v>1215</v>
      </c>
      <c r="V900" s="129">
        <f t="shared" si="120"/>
        <v>679.8</v>
      </c>
      <c r="W900" s="121" t="s">
        <v>131</v>
      </c>
      <c r="X900" s="129">
        <f t="shared" si="122"/>
        <v>679.8</v>
      </c>
      <c r="AE900" s="137" t="str">
        <f t="shared" si="115"/>
        <v>|</v>
      </c>
      <c r="AG900" s="120" t="s">
        <v>120</v>
      </c>
    </row>
    <row r="901" spans="6:33" ht="101.25" customHeight="1">
      <c r="F901" s="129">
        <v>1</v>
      </c>
      <c r="G901" s="126" t="s">
        <v>131</v>
      </c>
      <c r="H901" s="129" t="str">
        <f>H885</f>
        <v>MOULDING CHARGES</v>
      </c>
      <c r="I901" s="196">
        <v>25</v>
      </c>
      <c r="J901" s="120" t="s">
        <v>131</v>
      </c>
      <c r="K901" s="129">
        <f t="shared" si="121"/>
        <v>25</v>
      </c>
      <c r="S901" s="129">
        <v>1</v>
      </c>
      <c r="T901" s="126" t="s">
        <v>131</v>
      </c>
      <c r="U901" s="120" t="s">
        <v>1217</v>
      </c>
      <c r="V901" s="129">
        <f t="shared" si="120"/>
        <v>25</v>
      </c>
      <c r="W901" s="121" t="s">
        <v>131</v>
      </c>
      <c r="X901" s="129">
        <f t="shared" si="122"/>
        <v>25</v>
      </c>
      <c r="AE901" s="137">
        <f t="shared" si="115"/>
        <v>0</v>
      </c>
    </row>
    <row r="902" spans="6:33" ht="44.25" customHeight="1">
      <c r="F902" s="129">
        <v>0.5</v>
      </c>
      <c r="G902" s="126" t="s">
        <v>131</v>
      </c>
      <c r="H902" s="120" t="s">
        <v>1219</v>
      </c>
      <c r="I902" s="129">
        <f>C13</f>
        <v>557.70000000000005</v>
      </c>
      <c r="J902" s="120" t="s">
        <v>131</v>
      </c>
      <c r="K902" s="129">
        <f t="shared" si="121"/>
        <v>278.85000000000002</v>
      </c>
      <c r="M902" s="129"/>
      <c r="N902" s="120"/>
      <c r="O902" s="120"/>
      <c r="P902" s="129"/>
      <c r="R902" s="129"/>
      <c r="S902" s="129">
        <v>0.5</v>
      </c>
      <c r="T902" s="126" t="s">
        <v>131</v>
      </c>
      <c r="U902" s="120" t="s">
        <v>1219</v>
      </c>
      <c r="V902" s="129">
        <f t="shared" si="120"/>
        <v>557.70000000000005</v>
      </c>
      <c r="W902" s="121" t="s">
        <v>131</v>
      </c>
      <c r="X902" s="129">
        <f t="shared" si="122"/>
        <v>278.85000000000002</v>
      </c>
      <c r="AE902" s="137">
        <f t="shared" si="115"/>
        <v>0</v>
      </c>
    </row>
    <row r="903" spans="6:33" ht="39.75" customHeight="1">
      <c r="G903" s="126" t="s">
        <v>145</v>
      </c>
      <c r="H903" s="120" t="s">
        <v>1221</v>
      </c>
      <c r="J903" s="120" t="s">
        <v>145</v>
      </c>
      <c r="K903" s="129">
        <v>1.39</v>
      </c>
      <c r="M903" s="201"/>
      <c r="N903" s="120"/>
      <c r="O903" s="120"/>
      <c r="P903" s="129"/>
      <c r="R903" s="129"/>
      <c r="S903" s="115"/>
      <c r="T903" s="126" t="s">
        <v>145</v>
      </c>
      <c r="U903" s="120" t="s">
        <v>1221</v>
      </c>
      <c r="W903" s="121" t="s">
        <v>145</v>
      </c>
      <c r="X903" s="129">
        <v>0.21</v>
      </c>
      <c r="AE903" s="137">
        <f t="shared" si="115"/>
        <v>0</v>
      </c>
    </row>
    <row r="904" spans="6:33" ht="24" customHeight="1">
      <c r="K904" s="123" t="s">
        <v>52</v>
      </c>
      <c r="M904" s="129"/>
      <c r="N904" s="120"/>
      <c r="O904" s="120"/>
      <c r="P904" s="129"/>
      <c r="R904" s="129"/>
      <c r="S904" s="115"/>
      <c r="T904" s="116"/>
      <c r="X904" s="123" t="s">
        <v>52</v>
      </c>
      <c r="AE904" s="137">
        <f t="shared" si="115"/>
        <v>0</v>
      </c>
    </row>
    <row r="905" spans="6:33" ht="24" customHeight="1">
      <c r="H905" s="128" t="s">
        <v>1224</v>
      </c>
      <c r="K905" s="127">
        <f>SUM(K893:K903)</f>
        <v>2845.92</v>
      </c>
      <c r="R905" s="129"/>
      <c r="S905" s="115"/>
      <c r="T905" s="116"/>
      <c r="U905" s="128" t="s">
        <v>1224</v>
      </c>
      <c r="X905" s="127">
        <f>SUM(X893:X903)</f>
        <v>3226.71</v>
      </c>
      <c r="AE905" s="137">
        <f t="shared" si="115"/>
        <v>0</v>
      </c>
    </row>
    <row r="906" spans="6:33" ht="24" customHeight="1">
      <c r="K906" s="123" t="s">
        <v>52</v>
      </c>
      <c r="AE906" s="137">
        <f t="shared" si="115"/>
        <v>0</v>
      </c>
    </row>
    <row r="907" spans="6:33" ht="24" customHeight="1">
      <c r="R907" s="123"/>
      <c r="AE907" s="137">
        <f t="shared" si="115"/>
        <v>0</v>
      </c>
    </row>
    <row r="908" spans="6:33" ht="55.5" customHeight="1">
      <c r="F908" s="252">
        <v>21.3</v>
      </c>
      <c r="G908" s="126" t="s">
        <v>111</v>
      </c>
      <c r="H908" s="253" t="s">
        <v>1270</v>
      </c>
      <c r="O908" s="121"/>
      <c r="R908" s="129"/>
      <c r="AE908" s="137">
        <f t="shared" si="115"/>
        <v>0</v>
      </c>
    </row>
    <row r="909" spans="6:33" ht="24" customHeight="1">
      <c r="H909" s="120" t="s">
        <v>1273</v>
      </c>
      <c r="AE909" s="137">
        <f t="shared" si="115"/>
        <v>0</v>
      </c>
    </row>
    <row r="910" spans="6:33" ht="24" customHeight="1">
      <c r="H910" s="123" t="s">
        <v>52</v>
      </c>
      <c r="J910" s="117" t="s">
        <v>4232</v>
      </c>
      <c r="AE910" s="137">
        <f t="shared" si="115"/>
        <v>0</v>
      </c>
    </row>
    <row r="911" spans="6:33" ht="24" customHeight="1">
      <c r="AE911" s="137">
        <f t="shared" si="115"/>
        <v>0</v>
      </c>
    </row>
    <row r="912" spans="6:33" ht="24" customHeight="1">
      <c r="H912" s="191" t="s">
        <v>4233</v>
      </c>
      <c r="J912" s="120" t="s">
        <v>425</v>
      </c>
      <c r="K912" s="133">
        <v>2135</v>
      </c>
      <c r="AE912" s="137">
        <f t="shared" si="115"/>
        <v>0</v>
      </c>
    </row>
    <row r="913" spans="6:33" ht="24" customHeight="1">
      <c r="F913" s="120" t="s">
        <v>85</v>
      </c>
      <c r="AE913" s="137">
        <f t="shared" si="115"/>
        <v>0</v>
      </c>
    </row>
    <row r="914" spans="6:33" ht="24" customHeight="1">
      <c r="H914" s="121" t="s">
        <v>1279</v>
      </c>
      <c r="K914" s="123" t="s">
        <v>89</v>
      </c>
      <c r="AE914" s="137">
        <f t="shared" si="115"/>
        <v>0</v>
      </c>
    </row>
    <row r="915" spans="6:33" ht="24" customHeight="1">
      <c r="H915" s="121" t="s">
        <v>1281</v>
      </c>
      <c r="AE915" s="137">
        <f t="shared" si="115"/>
        <v>0</v>
      </c>
    </row>
    <row r="916" spans="6:33" ht="24" customHeight="1">
      <c r="F916" s="189">
        <v>21.2</v>
      </c>
      <c r="H916" s="114" t="s">
        <v>1283</v>
      </c>
      <c r="AE916" s="137">
        <f t="shared" si="115"/>
        <v>0</v>
      </c>
    </row>
    <row r="917" spans="6:33" ht="24" customHeight="1">
      <c r="F917" s="189"/>
      <c r="H917" s="123" t="s">
        <v>52</v>
      </c>
      <c r="AE917" s="137" t="str">
        <f t="shared" si="115"/>
        <v>|</v>
      </c>
      <c r="AG917" s="120" t="s">
        <v>120</v>
      </c>
    </row>
    <row r="918" spans="6:33" ht="24" customHeight="1">
      <c r="G918" s="126" t="s">
        <v>612</v>
      </c>
      <c r="H918" s="120" t="s">
        <v>1286</v>
      </c>
      <c r="K918" s="120" t="s">
        <v>85</v>
      </c>
      <c r="AE918" s="137" t="str">
        <f t="shared" si="115"/>
        <v>|</v>
      </c>
      <c r="AG918" s="120" t="s">
        <v>120</v>
      </c>
    </row>
    <row r="919" spans="6:33" ht="24" customHeight="1">
      <c r="H919" s="123" t="s">
        <v>52</v>
      </c>
      <c r="K919" s="120" t="s">
        <v>85</v>
      </c>
      <c r="AE919" s="137" t="str">
        <f t="shared" si="115"/>
        <v>|</v>
      </c>
      <c r="AG919" s="120" t="s">
        <v>120</v>
      </c>
    </row>
    <row r="920" spans="6:33" ht="24" customHeight="1">
      <c r="F920" s="129">
        <v>1</v>
      </c>
      <c r="G920" s="126" t="s">
        <v>132</v>
      </c>
      <c r="H920" s="120" t="s">
        <v>1289</v>
      </c>
      <c r="I920" s="129">
        <f>C30</f>
        <v>14278</v>
      </c>
      <c r="J920" s="120" t="s">
        <v>132</v>
      </c>
      <c r="K920" s="129">
        <f>(F920*I920)</f>
        <v>14278</v>
      </c>
      <c r="AE920" s="137" t="str">
        <f t="shared" si="115"/>
        <v>|</v>
      </c>
      <c r="AG920" s="120" t="s">
        <v>120</v>
      </c>
    </row>
    <row r="921" spans="6:33" ht="24" customHeight="1">
      <c r="F921" s="129">
        <v>1</v>
      </c>
      <c r="G921" s="126" t="s">
        <v>132</v>
      </c>
      <c r="H921" s="120" t="s">
        <v>1286</v>
      </c>
      <c r="I921" s="129">
        <f>C88</f>
        <v>111600</v>
      </c>
      <c r="J921" s="120" t="s">
        <v>132</v>
      </c>
      <c r="K921" s="129">
        <f>(F921*I921)</f>
        <v>111600</v>
      </c>
      <c r="AE921" s="137" t="str">
        <f t="shared" si="115"/>
        <v>|</v>
      </c>
      <c r="AG921" s="120" t="s">
        <v>120</v>
      </c>
    </row>
    <row r="922" spans="6:33" ht="24" customHeight="1">
      <c r="K922" s="123" t="s">
        <v>89</v>
      </c>
      <c r="AE922" s="137">
        <f t="shared" si="115"/>
        <v>0</v>
      </c>
    </row>
    <row r="923" spans="6:33" ht="24" customHeight="1">
      <c r="H923" s="120" t="s">
        <v>1293</v>
      </c>
      <c r="K923" s="127">
        <f>SUM(K920:K921)</f>
        <v>125878</v>
      </c>
      <c r="AE923" s="137" t="str">
        <f t="shared" si="115"/>
        <v>|</v>
      </c>
      <c r="AG923" s="120" t="s">
        <v>120</v>
      </c>
    </row>
    <row r="924" spans="6:33" ht="24" customHeight="1">
      <c r="K924" s="123" t="s">
        <v>89</v>
      </c>
      <c r="AE924" s="137" t="str">
        <f t="shared" si="115"/>
        <v>|</v>
      </c>
      <c r="AG924" s="120" t="s">
        <v>120</v>
      </c>
    </row>
    <row r="925" spans="6:33" ht="24" customHeight="1">
      <c r="G925" s="126" t="s">
        <v>634</v>
      </c>
      <c r="H925" s="120" t="s">
        <v>1296</v>
      </c>
      <c r="K925" s="120" t="s">
        <v>85</v>
      </c>
      <c r="AE925" s="137" t="str">
        <f t="shared" si="115"/>
        <v>|</v>
      </c>
      <c r="AG925" s="120" t="s">
        <v>120</v>
      </c>
    </row>
    <row r="926" spans="6:33" ht="24" customHeight="1">
      <c r="H926" s="123" t="s">
        <v>52</v>
      </c>
      <c r="M926" s="121" t="s">
        <v>1306</v>
      </c>
      <c r="N926" s="126" t="s">
        <v>111</v>
      </c>
      <c r="O926" s="120" t="s">
        <v>4234</v>
      </c>
      <c r="Q926" s="117"/>
      <c r="AE926" s="137">
        <f t="shared" si="115"/>
        <v>0</v>
      </c>
      <c r="AG926" s="120"/>
    </row>
    <row r="927" spans="6:33" ht="24" customHeight="1">
      <c r="F927" s="129">
        <v>1</v>
      </c>
      <c r="G927" s="126" t="s">
        <v>132</v>
      </c>
      <c r="H927" s="120" t="s">
        <v>1289</v>
      </c>
      <c r="I927" s="129">
        <f>C30</f>
        <v>14278</v>
      </c>
      <c r="J927" s="120" t="s">
        <v>132</v>
      </c>
      <c r="K927" s="129">
        <f>(F927*I927)</f>
        <v>14278</v>
      </c>
      <c r="N927" s="116"/>
      <c r="O927" s="120" t="s">
        <v>1309</v>
      </c>
      <c r="Q927" s="117"/>
      <c r="AE927" s="137" t="str">
        <f t="shared" si="115"/>
        <v>|</v>
      </c>
      <c r="AG927" s="120" t="s">
        <v>120</v>
      </c>
    </row>
    <row r="928" spans="6:33" ht="24" customHeight="1">
      <c r="F928" s="129">
        <v>1</v>
      </c>
      <c r="G928" s="126" t="s">
        <v>132</v>
      </c>
      <c r="H928" s="120" t="s">
        <v>1286</v>
      </c>
      <c r="I928" s="129">
        <f>C89</f>
        <v>99400</v>
      </c>
      <c r="J928" s="120" t="s">
        <v>132</v>
      </c>
      <c r="K928" s="129">
        <f>(F928*I928)</f>
        <v>99400</v>
      </c>
      <c r="N928" s="116"/>
      <c r="O928" s="120" t="s">
        <v>1311</v>
      </c>
      <c r="Q928" s="117"/>
      <c r="AE928" s="137" t="str">
        <f t="shared" si="115"/>
        <v>|</v>
      </c>
      <c r="AG928" s="120" t="s">
        <v>120</v>
      </c>
    </row>
    <row r="929" spans="6:33" ht="24" customHeight="1">
      <c r="K929" s="123" t="s">
        <v>89</v>
      </c>
      <c r="N929" s="116"/>
      <c r="O929" s="123" t="s">
        <v>52</v>
      </c>
      <c r="Q929" s="117"/>
      <c r="AE929" s="137" t="str">
        <f t="shared" si="115"/>
        <v>|</v>
      </c>
      <c r="AG929" s="120" t="s">
        <v>120</v>
      </c>
    </row>
    <row r="930" spans="6:33" ht="24" customHeight="1">
      <c r="H930" s="120" t="s">
        <v>1302</v>
      </c>
      <c r="K930" s="127">
        <f>SUM(K927:K928)</f>
        <v>113678</v>
      </c>
      <c r="N930" s="116"/>
      <c r="O930" s="120" t="s">
        <v>1314</v>
      </c>
      <c r="Q930" s="117"/>
      <c r="AE930" s="137" t="str">
        <f t="shared" si="115"/>
        <v>|</v>
      </c>
      <c r="AG930" s="120" t="s">
        <v>120</v>
      </c>
    </row>
    <row r="931" spans="6:33" ht="24" customHeight="1">
      <c r="K931" s="123" t="s">
        <v>89</v>
      </c>
      <c r="N931" s="116"/>
      <c r="O931" s="120" t="s">
        <v>1316</v>
      </c>
      <c r="Q931" s="117"/>
      <c r="AE931" s="137" t="str">
        <f t="shared" si="115"/>
        <v>|</v>
      </c>
      <c r="AG931" s="120" t="s">
        <v>120</v>
      </c>
    </row>
    <row r="932" spans="6:33" ht="24" customHeight="1">
      <c r="N932" s="116"/>
      <c r="Q932" s="120" t="s">
        <v>52</v>
      </c>
      <c r="AE932" s="137" t="str">
        <f t="shared" si="115"/>
        <v>|</v>
      </c>
      <c r="AG932" s="120" t="s">
        <v>120</v>
      </c>
    </row>
    <row r="933" spans="6:33" ht="24" customHeight="1">
      <c r="F933" s="121" t="s">
        <v>1306</v>
      </c>
      <c r="G933" s="126" t="s">
        <v>111</v>
      </c>
      <c r="H933" s="120" t="s">
        <v>1307</v>
      </c>
      <c r="N933" s="116"/>
      <c r="O933" s="120" t="s">
        <v>1319</v>
      </c>
      <c r="Q933" s="117"/>
      <c r="AE933" s="137" t="str">
        <f t="shared" si="115"/>
        <v>|</v>
      </c>
      <c r="AG933" s="120" t="s">
        <v>120</v>
      </c>
    </row>
    <row r="934" spans="6:33" ht="24" customHeight="1">
      <c r="H934" s="120" t="s">
        <v>1309</v>
      </c>
      <c r="N934" s="116"/>
      <c r="O934" s="120" t="s">
        <v>1321</v>
      </c>
      <c r="Q934" s="117"/>
      <c r="R934" s="202">
        <v>2.4299999999999999E-2</v>
      </c>
      <c r="AE934" s="137" t="str">
        <f t="shared" si="115"/>
        <v>|</v>
      </c>
      <c r="AG934" s="120" t="s">
        <v>120</v>
      </c>
    </row>
    <row r="935" spans="6:33" ht="24" customHeight="1">
      <c r="H935" s="120" t="s">
        <v>1311</v>
      </c>
      <c r="N935" s="116"/>
      <c r="Q935" s="120" t="s">
        <v>85</v>
      </c>
      <c r="R935" s="123" t="s">
        <v>52</v>
      </c>
      <c r="AE935" s="137" t="str">
        <f t="shared" si="115"/>
        <v>|</v>
      </c>
      <c r="AG935" s="120" t="s">
        <v>120</v>
      </c>
    </row>
    <row r="936" spans="6:33" ht="24" customHeight="1">
      <c r="H936" s="123" t="s">
        <v>52</v>
      </c>
      <c r="N936" s="116"/>
      <c r="O936" s="120" t="s">
        <v>1324</v>
      </c>
      <c r="Q936" s="254" t="s">
        <v>85</v>
      </c>
      <c r="R936" s="202">
        <v>1.47E-2</v>
      </c>
      <c r="AE936" s="137" t="str">
        <f t="shared" si="115"/>
        <v>|</v>
      </c>
      <c r="AG936" s="120" t="s">
        <v>120</v>
      </c>
    </row>
    <row r="937" spans="6:33" ht="24" customHeight="1">
      <c r="H937" s="120" t="s">
        <v>1314</v>
      </c>
      <c r="N937" s="116"/>
      <c r="O937" s="120" t="s">
        <v>1326</v>
      </c>
      <c r="Q937" s="120" t="s">
        <v>85</v>
      </c>
      <c r="R937" s="202">
        <v>4.5999999999999999E-3</v>
      </c>
      <c r="AE937" s="137" t="str">
        <f t="shared" si="115"/>
        <v>|</v>
      </c>
      <c r="AG937" s="120" t="s">
        <v>120</v>
      </c>
    </row>
    <row r="938" spans="6:33" ht="24" customHeight="1">
      <c r="H938" s="120" t="s">
        <v>1316</v>
      </c>
      <c r="N938" s="116"/>
      <c r="Q938" s="117"/>
      <c r="R938" s="123" t="s">
        <v>52</v>
      </c>
      <c r="AE938" s="137" t="str">
        <f t="shared" si="115"/>
        <v>|</v>
      </c>
      <c r="AG938" s="120" t="s">
        <v>120</v>
      </c>
    </row>
    <row r="939" spans="6:33" ht="24" customHeight="1">
      <c r="J939" s="120" t="s">
        <v>52</v>
      </c>
      <c r="N939" s="116"/>
      <c r="Q939" s="117"/>
      <c r="R939" s="202">
        <v>1.9300000000000001E-2</v>
      </c>
      <c r="AE939" s="137" t="str">
        <f t="shared" si="115"/>
        <v>|</v>
      </c>
      <c r="AG939" s="120" t="s">
        <v>120</v>
      </c>
    </row>
    <row r="940" spans="6:33" ht="24" customHeight="1">
      <c r="H940" s="120" t="s">
        <v>1319</v>
      </c>
      <c r="N940" s="116"/>
      <c r="Q940" s="117"/>
      <c r="R940" s="123" t="s">
        <v>52</v>
      </c>
      <c r="AE940" s="137" t="str">
        <f t="shared" si="115"/>
        <v>|</v>
      </c>
      <c r="AG940" s="120" t="s">
        <v>120</v>
      </c>
    </row>
    <row r="941" spans="6:33" ht="24" customHeight="1">
      <c r="H941" s="120" t="s">
        <v>1321</v>
      </c>
      <c r="K941" s="202">
        <v>2.4299999999999999E-2</v>
      </c>
      <c r="N941" s="116"/>
      <c r="Q941" s="117"/>
      <c r="AE941" s="137" t="str">
        <f t="shared" si="115"/>
        <v>|</v>
      </c>
      <c r="AG941" s="120" t="s">
        <v>120</v>
      </c>
    </row>
    <row r="942" spans="6:33" ht="24" customHeight="1">
      <c r="J942" s="120" t="s">
        <v>85</v>
      </c>
      <c r="K942" s="123" t="s">
        <v>52</v>
      </c>
      <c r="N942" s="116"/>
      <c r="Q942" s="117"/>
      <c r="AE942" s="137" t="str">
        <f t="shared" si="115"/>
        <v>|</v>
      </c>
      <c r="AG942" s="120" t="s">
        <v>120</v>
      </c>
    </row>
    <row r="943" spans="6:33" ht="24" customHeight="1">
      <c r="H943" s="120" t="s">
        <v>1324</v>
      </c>
      <c r="J943" s="254" t="s">
        <v>85</v>
      </c>
      <c r="K943" s="202">
        <v>1.47E-2</v>
      </c>
      <c r="M943" s="202">
        <v>1.14E-2</v>
      </c>
      <c r="N943" s="126" t="s">
        <v>132</v>
      </c>
      <c r="O943" s="120" t="s">
        <v>4235</v>
      </c>
      <c r="P943" s="129">
        <f>C86</f>
        <v>34300</v>
      </c>
      <c r="Q943" s="120" t="s">
        <v>132</v>
      </c>
      <c r="R943" s="129">
        <f>(M943*P943)</f>
        <v>391.02</v>
      </c>
      <c r="AE943" s="137" t="str">
        <f t="shared" si="115"/>
        <v>|</v>
      </c>
      <c r="AG943" s="120" t="s">
        <v>120</v>
      </c>
    </row>
    <row r="944" spans="6:33" ht="24" customHeight="1">
      <c r="H944" s="120" t="s">
        <v>1326</v>
      </c>
      <c r="J944" s="120" t="s">
        <v>85</v>
      </c>
      <c r="K944" s="202">
        <v>4.5999999999999999E-3</v>
      </c>
      <c r="M944" s="202">
        <v>2.4299999999999999E-2</v>
      </c>
      <c r="N944" s="126" t="s">
        <v>132</v>
      </c>
      <c r="O944" s="120" t="s">
        <v>4236</v>
      </c>
      <c r="P944" s="129">
        <f>P943</f>
        <v>34300</v>
      </c>
      <c r="Q944" s="120" t="s">
        <v>132</v>
      </c>
      <c r="R944" s="129">
        <f>(M944*P944)</f>
        <v>833.49</v>
      </c>
      <c r="AE944" s="137" t="str">
        <f t="shared" si="115"/>
        <v>|</v>
      </c>
      <c r="AG944" s="120" t="s">
        <v>120</v>
      </c>
    </row>
    <row r="945" spans="6:33" ht="24" customHeight="1">
      <c r="K945" s="123" t="s">
        <v>52</v>
      </c>
      <c r="M945" s="202">
        <v>1.9300000000000001E-2</v>
      </c>
      <c r="N945" s="126" t="s">
        <v>132</v>
      </c>
      <c r="O945" s="120" t="s">
        <v>4237</v>
      </c>
      <c r="P945" s="129">
        <f>C87</f>
        <v>39400</v>
      </c>
      <c r="Q945" s="120" t="s">
        <v>132</v>
      </c>
      <c r="R945" s="129">
        <f>(M945*P945)</f>
        <v>760.42</v>
      </c>
      <c r="AE945" s="137" t="str">
        <f t="shared" si="115"/>
        <v>|</v>
      </c>
      <c r="AG945" s="120" t="s">
        <v>120</v>
      </c>
    </row>
    <row r="946" spans="6:33" ht="24" customHeight="1">
      <c r="K946" s="202">
        <v>1.9300000000000001E-2</v>
      </c>
      <c r="M946" s="201"/>
      <c r="N946" s="116"/>
      <c r="O946" s="120"/>
      <c r="P946" s="120" t="s">
        <v>85</v>
      </c>
      <c r="Q946" s="117"/>
      <c r="R946" s="120" t="s">
        <v>85</v>
      </c>
      <c r="AE946" s="137">
        <f t="shared" si="115"/>
        <v>0</v>
      </c>
    </row>
    <row r="947" spans="6:33" ht="24" customHeight="1">
      <c r="K947" s="123" t="s">
        <v>52</v>
      </c>
      <c r="M947" s="201">
        <v>1.823</v>
      </c>
      <c r="N947" s="126" t="s">
        <v>425</v>
      </c>
      <c r="O947" s="120" t="s">
        <v>1340</v>
      </c>
      <c r="P947" s="129">
        <f>I954</f>
        <v>1602.7</v>
      </c>
      <c r="Q947" s="120" t="s">
        <v>425</v>
      </c>
      <c r="R947" s="129">
        <f t="shared" ref="R947:R953" si="123">(M947*P947)</f>
        <v>2921.72</v>
      </c>
      <c r="AE947" s="137">
        <f t="shared" si="115"/>
        <v>0</v>
      </c>
    </row>
    <row r="948" spans="6:33" ht="24" customHeight="1">
      <c r="M948" s="129">
        <v>1</v>
      </c>
      <c r="N948" s="126" t="s">
        <v>237</v>
      </c>
      <c r="O948" s="120" t="s">
        <v>1342</v>
      </c>
      <c r="P948" s="129">
        <f t="shared" ref="P948:P953" si="124">I955</f>
        <v>57.65</v>
      </c>
      <c r="Q948" s="120" t="s">
        <v>131</v>
      </c>
      <c r="R948" s="129">
        <f t="shared" si="123"/>
        <v>57.65</v>
      </c>
      <c r="AE948" s="137">
        <f t="shared" si="115"/>
        <v>0</v>
      </c>
    </row>
    <row r="949" spans="6:33" ht="24" customHeight="1">
      <c r="M949" s="129">
        <v>3</v>
      </c>
      <c r="N949" s="126" t="s">
        <v>131</v>
      </c>
      <c r="O949" s="120" t="s">
        <v>1344</v>
      </c>
      <c r="P949" s="129">
        <f t="shared" si="124"/>
        <v>89.6</v>
      </c>
      <c r="Q949" s="120" t="s">
        <v>131</v>
      </c>
      <c r="R949" s="129">
        <f t="shared" si="123"/>
        <v>268.8</v>
      </c>
      <c r="AE949" s="137">
        <f t="shared" si="115"/>
        <v>0</v>
      </c>
    </row>
    <row r="950" spans="6:33" ht="24" customHeight="1">
      <c r="F950" s="202">
        <v>1.14E-2</v>
      </c>
      <c r="G950" s="126" t="s">
        <v>132</v>
      </c>
      <c r="H950" s="120" t="s">
        <v>1332</v>
      </c>
      <c r="I950" s="129">
        <f>C88</f>
        <v>111600</v>
      </c>
      <c r="J950" s="120" t="s">
        <v>132</v>
      </c>
      <c r="K950" s="129">
        <f>(F950*I950)</f>
        <v>1272.24</v>
      </c>
      <c r="M950" s="129">
        <v>2</v>
      </c>
      <c r="N950" s="126" t="s">
        <v>131</v>
      </c>
      <c r="O950" s="120" t="s">
        <v>1346</v>
      </c>
      <c r="P950" s="129">
        <f t="shared" si="124"/>
        <v>64.8</v>
      </c>
      <c r="Q950" s="120" t="s">
        <v>131</v>
      </c>
      <c r="R950" s="129">
        <f t="shared" si="123"/>
        <v>129.6</v>
      </c>
      <c r="AE950" s="137">
        <f t="shared" ref="AE950:AE1013" si="125">AG950</f>
        <v>0</v>
      </c>
    </row>
    <row r="951" spans="6:33" ht="24" customHeight="1">
      <c r="F951" s="202">
        <v>2.4299999999999999E-2</v>
      </c>
      <c r="G951" s="126" t="s">
        <v>132</v>
      </c>
      <c r="H951" s="120" t="s">
        <v>1334</v>
      </c>
      <c r="I951" s="129">
        <f>C89</f>
        <v>99400</v>
      </c>
      <c r="J951" s="120" t="s">
        <v>132</v>
      </c>
      <c r="K951" s="129">
        <f>(F951*I951)</f>
        <v>2415.42</v>
      </c>
      <c r="M951" s="129">
        <v>1</v>
      </c>
      <c r="N951" s="126" t="s">
        <v>131</v>
      </c>
      <c r="O951" s="120" t="s">
        <v>1348</v>
      </c>
      <c r="P951" s="129">
        <f t="shared" si="124"/>
        <v>181</v>
      </c>
      <c r="Q951" s="120" t="s">
        <v>131</v>
      </c>
      <c r="R951" s="129">
        <f t="shared" si="123"/>
        <v>181</v>
      </c>
      <c r="AE951" s="137">
        <f t="shared" si="125"/>
        <v>0</v>
      </c>
    </row>
    <row r="952" spans="6:33" ht="24" customHeight="1">
      <c r="F952" s="202">
        <v>1.9300000000000001E-2</v>
      </c>
      <c r="G952" s="126" t="s">
        <v>132</v>
      </c>
      <c r="H952" s="120" t="s">
        <v>1336</v>
      </c>
      <c r="I952" s="129">
        <f>C90</f>
        <v>95000</v>
      </c>
      <c r="J952" s="120" t="s">
        <v>132</v>
      </c>
      <c r="K952" s="129">
        <f>(F952*I952)</f>
        <v>1833.5</v>
      </c>
      <c r="M952" s="129">
        <v>1</v>
      </c>
      <c r="N952" s="126" t="s">
        <v>131</v>
      </c>
      <c r="O952" s="120" t="s">
        <v>1350</v>
      </c>
      <c r="P952" s="129">
        <f t="shared" si="124"/>
        <v>7.3</v>
      </c>
      <c r="Q952" s="120" t="s">
        <v>131</v>
      </c>
      <c r="R952" s="129">
        <f t="shared" si="123"/>
        <v>7.3</v>
      </c>
      <c r="AE952" s="137">
        <f t="shared" si="125"/>
        <v>0</v>
      </c>
    </row>
    <row r="953" spans="6:33" ht="24" customHeight="1">
      <c r="F953" s="201"/>
      <c r="H953" s="120" t="s">
        <v>1338</v>
      </c>
      <c r="I953" s="120" t="s">
        <v>85</v>
      </c>
      <c r="K953" s="120" t="s">
        <v>85</v>
      </c>
      <c r="M953" s="129">
        <v>1</v>
      </c>
      <c r="N953" s="126" t="s">
        <v>131</v>
      </c>
      <c r="O953" s="120" t="s">
        <v>455</v>
      </c>
      <c r="P953" s="129">
        <f t="shared" si="124"/>
        <v>49.55</v>
      </c>
      <c r="Q953" s="120" t="s">
        <v>131</v>
      </c>
      <c r="R953" s="129">
        <f t="shared" si="123"/>
        <v>49.55</v>
      </c>
      <c r="AE953" s="137">
        <f t="shared" si="125"/>
        <v>0</v>
      </c>
    </row>
    <row r="954" spans="6:33" ht="24" customHeight="1">
      <c r="F954" s="201">
        <v>1.823</v>
      </c>
      <c r="G954" s="126" t="s">
        <v>425</v>
      </c>
      <c r="H954" s="120" t="s">
        <v>1340</v>
      </c>
      <c r="I954" s="129">
        <f>C31</f>
        <v>1602.7</v>
      </c>
      <c r="J954" s="120" t="s">
        <v>425</v>
      </c>
      <c r="K954" s="129">
        <f t="shared" ref="K954:K961" si="126">(F954*I954)</f>
        <v>2921.72</v>
      </c>
      <c r="N954" s="116"/>
      <c r="Q954" s="117"/>
      <c r="R954" s="123" t="s">
        <v>52</v>
      </c>
      <c r="AE954" s="137">
        <f t="shared" si="125"/>
        <v>0</v>
      </c>
    </row>
    <row r="955" spans="6:33" ht="24" customHeight="1">
      <c r="F955" s="129">
        <v>1</v>
      </c>
      <c r="G955" s="126" t="s">
        <v>237</v>
      </c>
      <c r="H955" s="120" t="s">
        <v>4238</v>
      </c>
      <c r="I955" s="129">
        <f>C598</f>
        <v>57.65</v>
      </c>
      <c r="J955" s="120" t="s">
        <v>131</v>
      </c>
      <c r="K955" s="129">
        <f t="shared" si="126"/>
        <v>57.65</v>
      </c>
      <c r="N955" s="116"/>
      <c r="O955" s="120" t="s">
        <v>1354</v>
      </c>
      <c r="Q955" s="117"/>
      <c r="R955" s="129">
        <f>SUM(R943:R953)</f>
        <v>5600.55</v>
      </c>
      <c r="AE955" s="137">
        <f t="shared" si="125"/>
        <v>0</v>
      </c>
    </row>
    <row r="956" spans="6:33" ht="24" customHeight="1">
      <c r="F956" s="129">
        <v>3</v>
      </c>
      <c r="G956" s="126" t="s">
        <v>131</v>
      </c>
      <c r="H956" s="120" t="s">
        <v>1344</v>
      </c>
      <c r="I956" s="129">
        <f>C279</f>
        <v>89.6</v>
      </c>
      <c r="J956" s="120" t="s">
        <v>131</v>
      </c>
      <c r="K956" s="129">
        <f t="shared" si="126"/>
        <v>268.8</v>
      </c>
      <c r="N956" s="116"/>
      <c r="Q956" s="117"/>
      <c r="R956" s="123" t="s">
        <v>52</v>
      </c>
      <c r="AE956" s="137">
        <f t="shared" si="125"/>
        <v>0</v>
      </c>
    </row>
    <row r="957" spans="6:33" ht="24" customHeight="1">
      <c r="F957" s="129">
        <v>2</v>
      </c>
      <c r="G957" s="126" t="s">
        <v>131</v>
      </c>
      <c r="H957" s="120" t="s">
        <v>1346</v>
      </c>
      <c r="I957" s="129">
        <f>C284</f>
        <v>64.8</v>
      </c>
      <c r="J957" s="120" t="s">
        <v>131</v>
      </c>
      <c r="K957" s="129">
        <f t="shared" si="126"/>
        <v>129.6</v>
      </c>
      <c r="N957" s="116"/>
      <c r="O957" s="128" t="s">
        <v>460</v>
      </c>
      <c r="Q957" s="117"/>
      <c r="R957" s="127">
        <f>R955/M947</f>
        <v>3072.16</v>
      </c>
      <c r="AE957" s="137">
        <f t="shared" si="125"/>
        <v>0</v>
      </c>
    </row>
    <row r="958" spans="6:33" ht="24" customHeight="1">
      <c r="F958" s="129">
        <v>1</v>
      </c>
      <c r="G958" s="126" t="s">
        <v>131</v>
      </c>
      <c r="H958" s="120" t="s">
        <v>1348</v>
      </c>
      <c r="I958" s="129">
        <f>C286</f>
        <v>181</v>
      </c>
      <c r="J958" s="120" t="s">
        <v>131</v>
      </c>
      <c r="K958" s="129">
        <f t="shared" si="126"/>
        <v>181</v>
      </c>
      <c r="M958" s="120" t="s">
        <v>85</v>
      </c>
      <c r="N958" s="116"/>
      <c r="Q958" s="117"/>
      <c r="AE958" s="137">
        <f t="shared" si="125"/>
        <v>0</v>
      </c>
    </row>
    <row r="959" spans="6:33" ht="24" customHeight="1">
      <c r="F959" s="129">
        <v>1</v>
      </c>
      <c r="G959" s="126" t="s">
        <v>131</v>
      </c>
      <c r="H959" s="120" t="s">
        <v>1350</v>
      </c>
      <c r="I959" s="129">
        <f>C288</f>
        <v>7.3</v>
      </c>
      <c r="J959" s="120" t="s">
        <v>131</v>
      </c>
      <c r="K959" s="129">
        <f t="shared" si="126"/>
        <v>7.3</v>
      </c>
      <c r="N959" s="116"/>
      <c r="Q959" s="117"/>
      <c r="R959" s="123" t="s">
        <v>89</v>
      </c>
      <c r="AE959" s="137" t="str">
        <f t="shared" si="125"/>
        <v>|</v>
      </c>
      <c r="AG959" s="120" t="s">
        <v>120</v>
      </c>
    </row>
    <row r="960" spans="6:33" ht="24" customHeight="1">
      <c r="F960" s="129">
        <v>1</v>
      </c>
      <c r="G960" s="126" t="s">
        <v>131</v>
      </c>
      <c r="H960" s="120" t="s">
        <v>455</v>
      </c>
      <c r="I960" s="129">
        <f>D598</f>
        <v>49.55</v>
      </c>
      <c r="J960" s="120" t="s">
        <v>131</v>
      </c>
      <c r="K960" s="129">
        <f t="shared" si="126"/>
        <v>49.55</v>
      </c>
      <c r="AE960" s="137" t="str">
        <f t="shared" si="125"/>
        <v>|</v>
      </c>
      <c r="AG960" s="120" t="s">
        <v>120</v>
      </c>
    </row>
    <row r="961" spans="6:33" ht="24" customHeight="1">
      <c r="F961" s="129">
        <v>64</v>
      </c>
      <c r="G961" s="126" t="s">
        <v>3081</v>
      </c>
      <c r="H961" s="191" t="s">
        <v>4239</v>
      </c>
      <c r="I961" s="162">
        <v>2.41</v>
      </c>
      <c r="J961" s="117" t="s">
        <v>4240</v>
      </c>
      <c r="K961" s="129">
        <f t="shared" si="126"/>
        <v>154.24</v>
      </c>
      <c r="AE961" s="137" t="str">
        <f t="shared" si="125"/>
        <v>|</v>
      </c>
      <c r="AG961" s="120" t="s">
        <v>120</v>
      </c>
    </row>
    <row r="962" spans="6:33" ht="24" customHeight="1">
      <c r="H962" s="120" t="s">
        <v>1354</v>
      </c>
      <c r="K962" s="129">
        <f>SUM(K950:K961)</f>
        <v>9291.02</v>
      </c>
      <c r="AE962" s="137" t="str">
        <f t="shared" si="125"/>
        <v>|</v>
      </c>
      <c r="AG962" s="120" t="s">
        <v>120</v>
      </c>
    </row>
    <row r="963" spans="6:33" ht="24" customHeight="1">
      <c r="K963" s="123" t="s">
        <v>52</v>
      </c>
      <c r="AE963" s="137" t="str">
        <f t="shared" si="125"/>
        <v>|</v>
      </c>
      <c r="AG963" s="120" t="s">
        <v>120</v>
      </c>
    </row>
    <row r="964" spans="6:33" ht="24" customHeight="1">
      <c r="H964" s="128" t="s">
        <v>460</v>
      </c>
      <c r="K964" s="127">
        <f>K962/F954</f>
        <v>5096.5600000000004</v>
      </c>
      <c r="AE964" s="137" t="str">
        <f t="shared" si="125"/>
        <v>|</v>
      </c>
      <c r="AG964" s="120" t="s">
        <v>120</v>
      </c>
    </row>
    <row r="965" spans="6:33" ht="24" customHeight="1">
      <c r="F965" s="120" t="s">
        <v>85</v>
      </c>
      <c r="AE965" s="137" t="str">
        <f t="shared" si="125"/>
        <v>|</v>
      </c>
      <c r="AG965" s="120" t="s">
        <v>120</v>
      </c>
    </row>
    <row r="966" spans="6:33" ht="24" customHeight="1">
      <c r="K966" s="123" t="s">
        <v>89</v>
      </c>
      <c r="AE966" s="137" t="str">
        <f t="shared" si="125"/>
        <v>|</v>
      </c>
      <c r="AG966" s="120" t="s">
        <v>120</v>
      </c>
    </row>
    <row r="967" spans="6:33" ht="24" customHeight="1">
      <c r="AE967" s="137" t="str">
        <f t="shared" si="125"/>
        <v>|</v>
      </c>
      <c r="AG967" s="120" t="s">
        <v>120</v>
      </c>
    </row>
    <row r="968" spans="6:33" ht="24" customHeight="1">
      <c r="AE968" s="137" t="str">
        <f t="shared" si="125"/>
        <v>|</v>
      </c>
      <c r="AG968" s="120" t="s">
        <v>120</v>
      </c>
    </row>
    <row r="969" spans="6:33" ht="24" customHeight="1">
      <c r="F969" s="121" t="s">
        <v>1362</v>
      </c>
      <c r="G969" s="126" t="s">
        <v>111</v>
      </c>
      <c r="H969" s="120" t="s">
        <v>1307</v>
      </c>
      <c r="AE969" s="137" t="str">
        <f t="shared" si="125"/>
        <v>|</v>
      </c>
      <c r="AG969" s="120" t="s">
        <v>120</v>
      </c>
    </row>
    <row r="970" spans="6:33" ht="24" customHeight="1">
      <c r="H970" s="120" t="s">
        <v>1309</v>
      </c>
      <c r="AE970" s="137" t="str">
        <f t="shared" si="125"/>
        <v>|</v>
      </c>
      <c r="AG970" s="120" t="s">
        <v>120</v>
      </c>
    </row>
    <row r="971" spans="6:33" ht="24" customHeight="1">
      <c r="H971" s="120" t="s">
        <v>1365</v>
      </c>
      <c r="AE971" s="137" t="str">
        <f t="shared" si="125"/>
        <v>|</v>
      </c>
      <c r="AG971" s="120" t="s">
        <v>120</v>
      </c>
    </row>
    <row r="972" spans="6:33" ht="24" customHeight="1">
      <c r="H972" s="123" t="s">
        <v>52</v>
      </c>
      <c r="AE972" s="137" t="str">
        <f t="shared" si="125"/>
        <v>|</v>
      </c>
      <c r="AG972" s="120" t="s">
        <v>120</v>
      </c>
    </row>
    <row r="973" spans="6:33" ht="24" customHeight="1">
      <c r="AE973" s="137" t="str">
        <f t="shared" si="125"/>
        <v>|</v>
      </c>
      <c r="AG973" s="120" t="s">
        <v>120</v>
      </c>
    </row>
    <row r="974" spans="6:33" ht="24" customHeight="1">
      <c r="H974" s="120" t="s">
        <v>1369</v>
      </c>
      <c r="AE974" s="137">
        <f t="shared" si="125"/>
        <v>0</v>
      </c>
    </row>
    <row r="975" spans="6:33" ht="24" customHeight="1">
      <c r="H975" s="120" t="s">
        <v>1371</v>
      </c>
      <c r="AE975" s="137" t="str">
        <f t="shared" si="125"/>
        <v>|</v>
      </c>
      <c r="AG975" s="120" t="s">
        <v>120</v>
      </c>
    </row>
    <row r="976" spans="6:33" ht="24" customHeight="1">
      <c r="J976" s="120" t="s">
        <v>52</v>
      </c>
      <c r="AE976" s="137">
        <f t="shared" si="125"/>
        <v>0</v>
      </c>
    </row>
    <row r="977" spans="6:33" ht="24" customHeight="1">
      <c r="H977" s="120" t="s">
        <v>1374</v>
      </c>
      <c r="AE977" s="137">
        <f t="shared" si="125"/>
        <v>0</v>
      </c>
    </row>
    <row r="978" spans="6:33" ht="24" customHeight="1">
      <c r="H978" s="120" t="s">
        <v>1376</v>
      </c>
      <c r="K978" s="202">
        <v>2.1999999999999999E-2</v>
      </c>
      <c r="AE978" s="137" t="str">
        <f t="shared" si="125"/>
        <v>|</v>
      </c>
      <c r="AG978" s="120" t="s">
        <v>120</v>
      </c>
    </row>
    <row r="979" spans="6:33" ht="24" customHeight="1">
      <c r="J979" s="120" t="s">
        <v>85</v>
      </c>
      <c r="K979" s="123" t="s">
        <v>52</v>
      </c>
      <c r="AE979" s="137" t="str">
        <f t="shared" si="125"/>
        <v>|</v>
      </c>
      <c r="AG979" s="120" t="s">
        <v>120</v>
      </c>
    </row>
    <row r="980" spans="6:33" ht="24" customHeight="1">
      <c r="H980" s="120" t="s">
        <v>1379</v>
      </c>
      <c r="J980" s="254" t="s">
        <v>85</v>
      </c>
      <c r="K980" s="202">
        <v>1.3100000000000001E-2</v>
      </c>
      <c r="AE980" s="137" t="str">
        <f t="shared" si="125"/>
        <v>|</v>
      </c>
      <c r="AG980" s="120" t="s">
        <v>120</v>
      </c>
    </row>
    <row r="981" spans="6:33" ht="24" customHeight="1">
      <c r="H981" s="120" t="s">
        <v>1381</v>
      </c>
      <c r="J981" s="120" t="s">
        <v>85</v>
      </c>
      <c r="K981" s="202">
        <v>3.3999999999999998E-3</v>
      </c>
      <c r="AE981" s="137" t="str">
        <f t="shared" si="125"/>
        <v>|</v>
      </c>
      <c r="AG981" s="120" t="s">
        <v>120</v>
      </c>
    </row>
    <row r="982" spans="6:33" ht="24" customHeight="1">
      <c r="K982" s="123" t="s">
        <v>52</v>
      </c>
      <c r="AE982" s="137">
        <f t="shared" si="125"/>
        <v>0</v>
      </c>
    </row>
    <row r="983" spans="6:33" ht="24" customHeight="1">
      <c r="K983" s="202">
        <v>1.6500000000000001E-2</v>
      </c>
      <c r="AE983" s="137">
        <f t="shared" si="125"/>
        <v>0</v>
      </c>
    </row>
    <row r="984" spans="6:33" ht="24" customHeight="1">
      <c r="K984" s="123" t="s">
        <v>52</v>
      </c>
      <c r="O984" s="115" t="s">
        <v>4241</v>
      </c>
      <c r="AE984" s="137">
        <f t="shared" si="125"/>
        <v>0</v>
      </c>
    </row>
    <row r="985" spans="6:33" ht="24" customHeight="1">
      <c r="F985" s="202">
        <v>1.15E-2</v>
      </c>
      <c r="G985" s="126" t="s">
        <v>132</v>
      </c>
      <c r="H985" s="120" t="s">
        <v>1332</v>
      </c>
      <c r="I985" s="129">
        <f>C88</f>
        <v>111600</v>
      </c>
      <c r="J985" s="120" t="s">
        <v>132</v>
      </c>
      <c r="K985" s="129">
        <f>(F985*I985)</f>
        <v>1283.4000000000001</v>
      </c>
      <c r="M985" s="121" t="s">
        <v>1470</v>
      </c>
      <c r="N985" s="126"/>
      <c r="O985" s="120" t="s">
        <v>4242</v>
      </c>
      <c r="Q985" s="117"/>
      <c r="R985" s="120" t="s">
        <v>85</v>
      </c>
      <c r="AE985" s="137">
        <f t="shared" si="125"/>
        <v>0</v>
      </c>
    </row>
    <row r="986" spans="6:33" ht="24" customHeight="1">
      <c r="F986" s="202">
        <v>2.1999999999999999E-2</v>
      </c>
      <c r="G986" s="126" t="s">
        <v>132</v>
      </c>
      <c r="H986" s="120" t="s">
        <v>1334</v>
      </c>
      <c r="I986" s="129">
        <f>C89</f>
        <v>99400</v>
      </c>
      <c r="J986" s="120" t="s">
        <v>132</v>
      </c>
      <c r="K986" s="129">
        <f>(F986*I986)</f>
        <v>2186.8000000000002</v>
      </c>
      <c r="N986" s="116"/>
      <c r="O986" s="123" t="s">
        <v>52</v>
      </c>
      <c r="Q986" s="117"/>
      <c r="AE986" s="137">
        <f t="shared" si="125"/>
        <v>0</v>
      </c>
    </row>
    <row r="987" spans="6:33" ht="24" customHeight="1">
      <c r="F987" s="202">
        <v>1.6500000000000001E-2</v>
      </c>
      <c r="G987" s="126" t="s">
        <v>132</v>
      </c>
      <c r="H987" s="120" t="s">
        <v>1336</v>
      </c>
      <c r="I987" s="129">
        <f>C90</f>
        <v>95000</v>
      </c>
      <c r="J987" s="120" t="s">
        <v>132</v>
      </c>
      <c r="K987" s="129">
        <f>(F987*I987)</f>
        <v>1567.5</v>
      </c>
      <c r="L987" s="115" t="s">
        <v>4243</v>
      </c>
      <c r="M987" s="255">
        <v>1.153E-2</v>
      </c>
      <c r="N987" s="256" t="s">
        <v>132</v>
      </c>
      <c r="O987" s="257" t="s">
        <v>446</v>
      </c>
      <c r="P987" s="258">
        <f t="shared" ref="P987:P997" si="127">I1053</f>
        <v>111600</v>
      </c>
      <c r="Q987" s="257" t="s">
        <v>132</v>
      </c>
      <c r="R987" s="258">
        <f t="shared" ref="R987:R997" si="128">(M987*P987)</f>
        <v>1286.75</v>
      </c>
      <c r="AE987" s="137">
        <f t="shared" si="125"/>
        <v>0</v>
      </c>
    </row>
    <row r="988" spans="6:33" ht="24" customHeight="1">
      <c r="F988" s="202"/>
      <c r="H988" s="120" t="s">
        <v>1338</v>
      </c>
      <c r="I988" s="120" t="s">
        <v>85</v>
      </c>
      <c r="K988" s="120" t="s">
        <v>85</v>
      </c>
      <c r="M988" s="259">
        <v>1.013E-2</v>
      </c>
      <c r="N988" s="126" t="s">
        <v>132</v>
      </c>
      <c r="O988" s="120" t="s">
        <v>447</v>
      </c>
      <c r="P988" s="258">
        <f t="shared" si="127"/>
        <v>99400</v>
      </c>
      <c r="Q988" s="120" t="s">
        <v>132</v>
      </c>
      <c r="R988" s="129">
        <f t="shared" si="128"/>
        <v>1006.92</v>
      </c>
      <c r="AE988" s="137">
        <f t="shared" si="125"/>
        <v>0</v>
      </c>
    </row>
    <row r="989" spans="6:33" ht="24" customHeight="1">
      <c r="F989" s="202">
        <v>1.64</v>
      </c>
      <c r="G989" s="126" t="s">
        <v>425</v>
      </c>
      <c r="H989" s="120" t="s">
        <v>1340</v>
      </c>
      <c r="I989" s="129">
        <f>C31</f>
        <v>1602.7</v>
      </c>
      <c r="J989" s="120" t="s">
        <v>425</v>
      </c>
      <c r="K989" s="129">
        <f t="shared" ref="K989:K996" si="129">(F989*I989)</f>
        <v>2628.43</v>
      </c>
      <c r="M989" s="259">
        <v>0.77780000000000005</v>
      </c>
      <c r="N989" s="126" t="s">
        <v>425</v>
      </c>
      <c r="O989" s="120" t="s">
        <v>448</v>
      </c>
      <c r="P989" s="258">
        <f t="shared" si="127"/>
        <v>387.4</v>
      </c>
      <c r="Q989" s="120" t="s">
        <v>425</v>
      </c>
      <c r="R989" s="129">
        <f t="shared" si="128"/>
        <v>301.32</v>
      </c>
      <c r="AE989" s="137">
        <f t="shared" si="125"/>
        <v>0</v>
      </c>
    </row>
    <row r="990" spans="6:33" ht="24" customHeight="1">
      <c r="F990" s="129">
        <v>1</v>
      </c>
      <c r="G990" s="126" t="s">
        <v>237</v>
      </c>
      <c r="H990" s="120" t="s">
        <v>4238</v>
      </c>
      <c r="I990" s="129">
        <f>C598</f>
        <v>57.65</v>
      </c>
      <c r="J990" s="120" t="s">
        <v>131</v>
      </c>
      <c r="K990" s="129">
        <f t="shared" si="129"/>
        <v>57.65</v>
      </c>
      <c r="M990" s="259">
        <v>1.23</v>
      </c>
      <c r="N990" s="126" t="s">
        <v>425</v>
      </c>
      <c r="O990" s="120" t="s">
        <v>449</v>
      </c>
      <c r="P990" s="258">
        <f t="shared" si="127"/>
        <v>1336.5</v>
      </c>
      <c r="Q990" s="120" t="s">
        <v>425</v>
      </c>
      <c r="R990" s="129">
        <f t="shared" si="128"/>
        <v>1643.9</v>
      </c>
      <c r="AE990" s="137">
        <f t="shared" si="125"/>
        <v>0</v>
      </c>
    </row>
    <row r="991" spans="6:33" ht="24" customHeight="1">
      <c r="F991" s="129">
        <v>3</v>
      </c>
      <c r="G991" s="126" t="s">
        <v>131</v>
      </c>
      <c r="H991" s="120" t="s">
        <v>1344</v>
      </c>
      <c r="I991" s="129">
        <f>C279</f>
        <v>89.6</v>
      </c>
      <c r="J991" s="120" t="s">
        <v>131</v>
      </c>
      <c r="K991" s="129">
        <f t="shared" si="129"/>
        <v>268.8</v>
      </c>
      <c r="M991" s="129">
        <v>2</v>
      </c>
      <c r="N991" s="126" t="s">
        <v>131</v>
      </c>
      <c r="O991" s="120" t="s">
        <v>450</v>
      </c>
      <c r="P991" s="258">
        <f t="shared" si="127"/>
        <v>64.8</v>
      </c>
      <c r="Q991" s="120" t="s">
        <v>131</v>
      </c>
      <c r="R991" s="129">
        <f t="shared" si="128"/>
        <v>129.6</v>
      </c>
      <c r="AE991" s="137">
        <f t="shared" si="125"/>
        <v>0</v>
      </c>
    </row>
    <row r="992" spans="6:33" ht="24" customHeight="1">
      <c r="F992" s="129">
        <v>2</v>
      </c>
      <c r="G992" s="126" t="s">
        <v>131</v>
      </c>
      <c r="H992" s="120" t="s">
        <v>1346</v>
      </c>
      <c r="I992" s="129">
        <f>C284</f>
        <v>64.8</v>
      </c>
      <c r="J992" s="120" t="s">
        <v>131</v>
      </c>
      <c r="K992" s="129">
        <f t="shared" si="129"/>
        <v>129.6</v>
      </c>
      <c r="M992" s="129">
        <v>3</v>
      </c>
      <c r="N992" s="126" t="s">
        <v>131</v>
      </c>
      <c r="O992" s="120" t="s">
        <v>1479</v>
      </c>
      <c r="P992" s="258">
        <f t="shared" si="127"/>
        <v>89.6</v>
      </c>
      <c r="Q992" s="120" t="s">
        <v>131</v>
      </c>
      <c r="R992" s="129">
        <f t="shared" si="128"/>
        <v>268.8</v>
      </c>
      <c r="AE992" s="137">
        <f t="shared" si="125"/>
        <v>0</v>
      </c>
    </row>
    <row r="993" spans="6:33" ht="24" customHeight="1">
      <c r="F993" s="129">
        <v>1</v>
      </c>
      <c r="G993" s="126" t="s">
        <v>131</v>
      </c>
      <c r="H993" s="120" t="s">
        <v>1348</v>
      </c>
      <c r="I993" s="129">
        <f>C286</f>
        <v>181</v>
      </c>
      <c r="J993" s="120" t="s">
        <v>131</v>
      </c>
      <c r="K993" s="129">
        <f t="shared" si="129"/>
        <v>181</v>
      </c>
      <c r="M993" s="129">
        <v>1</v>
      </c>
      <c r="N993" s="126" t="s">
        <v>131</v>
      </c>
      <c r="O993" s="120" t="s">
        <v>452</v>
      </c>
      <c r="P993" s="258">
        <f t="shared" si="127"/>
        <v>181</v>
      </c>
      <c r="Q993" s="120" t="s">
        <v>131</v>
      </c>
      <c r="R993" s="129">
        <f t="shared" si="128"/>
        <v>181</v>
      </c>
      <c r="AE993" s="137">
        <f t="shared" si="125"/>
        <v>0</v>
      </c>
    </row>
    <row r="994" spans="6:33" ht="24" customHeight="1">
      <c r="F994" s="129">
        <v>1</v>
      </c>
      <c r="G994" s="126" t="s">
        <v>131</v>
      </c>
      <c r="H994" s="120" t="s">
        <v>1350</v>
      </c>
      <c r="I994" s="129">
        <f>C288</f>
        <v>7.3</v>
      </c>
      <c r="J994" s="120" t="s">
        <v>131</v>
      </c>
      <c r="K994" s="129">
        <f t="shared" si="129"/>
        <v>7.3</v>
      </c>
      <c r="M994" s="129">
        <v>1</v>
      </c>
      <c r="N994" s="126" t="s">
        <v>131</v>
      </c>
      <c r="O994" s="120" t="s">
        <v>453</v>
      </c>
      <c r="P994" s="258">
        <f t="shared" si="127"/>
        <v>7.3</v>
      </c>
      <c r="Q994" s="120" t="s">
        <v>131</v>
      </c>
      <c r="R994" s="129">
        <f t="shared" si="128"/>
        <v>7.3</v>
      </c>
      <c r="AE994" s="137" t="str">
        <f t="shared" si="125"/>
        <v>|</v>
      </c>
      <c r="AG994" s="120" t="s">
        <v>120</v>
      </c>
    </row>
    <row r="995" spans="6:33" ht="24" customHeight="1">
      <c r="F995" s="129">
        <v>1</v>
      </c>
      <c r="G995" s="126" t="s">
        <v>131</v>
      </c>
      <c r="H995" s="120" t="s">
        <v>455</v>
      </c>
      <c r="I995" s="129">
        <f>D598</f>
        <v>49.55</v>
      </c>
      <c r="J995" s="120" t="s">
        <v>131</v>
      </c>
      <c r="K995" s="129">
        <f t="shared" si="129"/>
        <v>49.55</v>
      </c>
      <c r="M995" s="129">
        <v>1</v>
      </c>
      <c r="N995" s="126" t="s">
        <v>131</v>
      </c>
      <c r="O995" s="120" t="s">
        <v>4244</v>
      </c>
      <c r="P995" s="258">
        <f t="shared" si="127"/>
        <v>57.65</v>
      </c>
      <c r="Q995" s="120" t="s">
        <v>131</v>
      </c>
      <c r="R995" s="129">
        <f t="shared" si="128"/>
        <v>57.65</v>
      </c>
      <c r="AE995" s="137" t="str">
        <f t="shared" si="125"/>
        <v>|</v>
      </c>
      <c r="AG995" s="120" t="s">
        <v>120</v>
      </c>
    </row>
    <row r="996" spans="6:33" ht="24" customHeight="1">
      <c r="F996" s="129">
        <v>10</v>
      </c>
      <c r="G996" s="126" t="s">
        <v>3081</v>
      </c>
      <c r="H996" s="120" t="s">
        <v>3121</v>
      </c>
      <c r="I996" s="129">
        <f>I961</f>
        <v>2.41</v>
      </c>
      <c r="J996" s="120" t="s">
        <v>131</v>
      </c>
      <c r="K996" s="129">
        <f t="shared" si="129"/>
        <v>24.1</v>
      </c>
      <c r="M996" s="129">
        <v>1</v>
      </c>
      <c r="N996" s="126" t="s">
        <v>131</v>
      </c>
      <c r="O996" s="120" t="s">
        <v>455</v>
      </c>
      <c r="P996" s="258">
        <f t="shared" si="127"/>
        <v>49.55</v>
      </c>
      <c r="Q996" s="120" t="s">
        <v>131</v>
      </c>
      <c r="R996" s="129">
        <f t="shared" si="128"/>
        <v>49.55</v>
      </c>
      <c r="AE996" s="137" t="str">
        <f t="shared" si="125"/>
        <v>|</v>
      </c>
      <c r="AG996" s="120" t="s">
        <v>120</v>
      </c>
    </row>
    <row r="997" spans="6:33" ht="24" customHeight="1">
      <c r="K997" s="123" t="s">
        <v>52</v>
      </c>
      <c r="M997" s="129">
        <v>58</v>
      </c>
      <c r="N997" s="116"/>
      <c r="O997" s="120" t="s">
        <v>4245</v>
      </c>
      <c r="P997" s="258">
        <f t="shared" si="127"/>
        <v>2.41</v>
      </c>
      <c r="Q997" s="117"/>
      <c r="R997" s="129">
        <f t="shared" si="128"/>
        <v>139.78</v>
      </c>
      <c r="AE997" s="137" t="str">
        <f t="shared" si="125"/>
        <v>|</v>
      </c>
      <c r="AG997" s="120" t="s">
        <v>120</v>
      </c>
    </row>
    <row r="998" spans="6:33" ht="24" customHeight="1">
      <c r="H998" s="120" t="s">
        <v>1398</v>
      </c>
      <c r="K998" s="129">
        <f>SUM(K985:K996)</f>
        <v>8384.1299999999992</v>
      </c>
      <c r="N998" s="116"/>
      <c r="O998" s="121" t="s">
        <v>456</v>
      </c>
      <c r="Q998" s="117"/>
      <c r="R998" s="129">
        <f>SUM(R987:R997)</f>
        <v>5072.57</v>
      </c>
      <c r="AE998" s="137" t="str">
        <f t="shared" si="125"/>
        <v>|</v>
      </c>
      <c r="AG998" s="120" t="s">
        <v>120</v>
      </c>
    </row>
    <row r="999" spans="6:33" ht="24" customHeight="1">
      <c r="K999" s="123" t="s">
        <v>52</v>
      </c>
      <c r="N999" s="126" t="s">
        <v>85</v>
      </c>
      <c r="Q999" s="117"/>
      <c r="R999" s="123" t="s">
        <v>52</v>
      </c>
      <c r="AE999" s="137" t="str">
        <f t="shared" si="125"/>
        <v>|</v>
      </c>
      <c r="AG999" s="120" t="s">
        <v>120</v>
      </c>
    </row>
    <row r="1000" spans="6:33" ht="24" customHeight="1">
      <c r="H1000" s="128" t="s">
        <v>4246</v>
      </c>
      <c r="K1000" s="127">
        <f>K998/F989</f>
        <v>5112.2700000000004</v>
      </c>
      <c r="N1000" s="116"/>
      <c r="O1000" s="128" t="s">
        <v>460</v>
      </c>
      <c r="Q1000" s="117"/>
      <c r="R1000" s="127">
        <f>R998/M990</f>
        <v>4124.04</v>
      </c>
      <c r="AE1000" s="137" t="str">
        <f t="shared" si="125"/>
        <v>|</v>
      </c>
      <c r="AG1000" s="120" t="s">
        <v>120</v>
      </c>
    </row>
    <row r="1001" spans="6:33" ht="24" customHeight="1">
      <c r="K1001" s="123" t="s">
        <v>89</v>
      </c>
      <c r="N1001" s="116"/>
      <c r="Q1001" s="117"/>
      <c r="R1001" s="123" t="s">
        <v>89</v>
      </c>
      <c r="AE1001" s="137" t="str">
        <f t="shared" si="125"/>
        <v>|::</v>
      </c>
      <c r="AG1001" s="120" t="s">
        <v>307</v>
      </c>
    </row>
    <row r="1002" spans="6:33" ht="24" customHeight="1">
      <c r="F1002" s="121" t="s">
        <v>1403</v>
      </c>
      <c r="G1002" s="126" t="s">
        <v>111</v>
      </c>
      <c r="H1002" s="120" t="s">
        <v>1307</v>
      </c>
      <c r="AE1002" s="137">
        <f t="shared" si="125"/>
        <v>0</v>
      </c>
    </row>
    <row r="1003" spans="6:33" ht="24" customHeight="1">
      <c r="H1003" s="120" t="s">
        <v>1309</v>
      </c>
      <c r="AE1003" s="137">
        <f t="shared" si="125"/>
        <v>0</v>
      </c>
    </row>
    <row r="1004" spans="6:33" ht="24" customHeight="1">
      <c r="H1004" s="120" t="s">
        <v>1406</v>
      </c>
      <c r="AE1004" s="137" t="str">
        <f t="shared" si="125"/>
        <v>|</v>
      </c>
      <c r="AG1004" s="120" t="s">
        <v>120</v>
      </c>
    </row>
    <row r="1005" spans="6:33" ht="24" customHeight="1">
      <c r="H1005" s="123" t="s">
        <v>52</v>
      </c>
      <c r="AE1005" s="137"/>
      <c r="AG1005" s="120"/>
    </row>
    <row r="1006" spans="6:33" ht="24" customHeight="1">
      <c r="H1006" s="120" t="s">
        <v>1409</v>
      </c>
      <c r="AE1006" s="137" t="str">
        <f t="shared" si="125"/>
        <v>|</v>
      </c>
      <c r="AG1006" s="120" t="s">
        <v>120</v>
      </c>
    </row>
    <row r="1007" spans="6:33" ht="24" customHeight="1">
      <c r="H1007" s="120" t="s">
        <v>1316</v>
      </c>
      <c r="AE1007" s="137" t="str">
        <f t="shared" si="125"/>
        <v>|</v>
      </c>
      <c r="AG1007" s="120" t="s">
        <v>120</v>
      </c>
    </row>
    <row r="1008" spans="6:33" ht="24" customHeight="1">
      <c r="J1008" s="120" t="s">
        <v>52</v>
      </c>
      <c r="AE1008" s="137" t="str">
        <f t="shared" si="125"/>
        <v>|</v>
      </c>
      <c r="AG1008" s="120" t="s">
        <v>120</v>
      </c>
    </row>
    <row r="1009" spans="6:33" ht="24" customHeight="1">
      <c r="H1009" s="120" t="s">
        <v>1413</v>
      </c>
      <c r="AE1009" s="137" t="str">
        <f t="shared" si="125"/>
        <v>|</v>
      </c>
      <c r="AG1009" s="120" t="s">
        <v>120</v>
      </c>
    </row>
    <row r="1010" spans="6:33" ht="24" customHeight="1">
      <c r="H1010" s="120" t="s">
        <v>1415</v>
      </c>
      <c r="K1010" s="202">
        <v>1.1900000000000001E-2</v>
      </c>
      <c r="AE1010" s="137" t="str">
        <f t="shared" si="125"/>
        <v>|</v>
      </c>
      <c r="AG1010" s="120" t="s">
        <v>120</v>
      </c>
    </row>
    <row r="1011" spans="6:33" ht="24" customHeight="1">
      <c r="J1011" s="120" t="s">
        <v>85</v>
      </c>
      <c r="K1011" s="123" t="s">
        <v>52</v>
      </c>
      <c r="AE1011" s="137">
        <f t="shared" si="125"/>
        <v>0</v>
      </c>
    </row>
    <row r="1012" spans="6:33" ht="24" customHeight="1">
      <c r="H1012" s="120" t="s">
        <v>1418</v>
      </c>
      <c r="J1012" s="254" t="s">
        <v>85</v>
      </c>
      <c r="K1012" s="202">
        <v>1.18E-2</v>
      </c>
      <c r="AE1012" s="137">
        <f t="shared" si="125"/>
        <v>0</v>
      </c>
    </row>
    <row r="1013" spans="6:33" ht="24" customHeight="1">
      <c r="H1013" s="120" t="s">
        <v>88</v>
      </c>
      <c r="J1013" s="120" t="s">
        <v>85</v>
      </c>
      <c r="K1013" s="260" t="s">
        <v>52</v>
      </c>
      <c r="AE1013" s="137">
        <f t="shared" si="125"/>
        <v>0</v>
      </c>
    </row>
    <row r="1014" spans="6:33" ht="24" customHeight="1">
      <c r="AE1014" s="137">
        <f t="shared" ref="AE1014:AE1034" si="130">AG1014</f>
        <v>0</v>
      </c>
    </row>
    <row r="1015" spans="6:33" ht="24" customHeight="1">
      <c r="F1015" s="202">
        <v>1.14E-2</v>
      </c>
      <c r="G1015" s="126" t="s">
        <v>132</v>
      </c>
      <c r="H1015" s="120" t="s">
        <v>1332</v>
      </c>
      <c r="I1015" s="129">
        <f>C88</f>
        <v>111600</v>
      </c>
      <c r="J1015" s="120" t="s">
        <v>132</v>
      </c>
      <c r="K1015" s="129">
        <f>(F1015*I1015)</f>
        <v>1272.24</v>
      </c>
      <c r="AE1015" s="137">
        <f t="shared" si="130"/>
        <v>0</v>
      </c>
    </row>
    <row r="1016" spans="6:33" ht="24" customHeight="1">
      <c r="F1016" s="202">
        <v>1.1900000000000001E-2</v>
      </c>
      <c r="G1016" s="126" t="s">
        <v>132</v>
      </c>
      <c r="H1016" s="120" t="s">
        <v>1334</v>
      </c>
      <c r="I1016" s="129">
        <f>C89</f>
        <v>99400</v>
      </c>
      <c r="J1016" s="120" t="s">
        <v>132</v>
      </c>
      <c r="K1016" s="129">
        <f>(F1016*I1016)</f>
        <v>1182.8599999999999</v>
      </c>
      <c r="AE1016" s="137">
        <f t="shared" si="130"/>
        <v>0</v>
      </c>
    </row>
    <row r="1017" spans="6:33" ht="24" customHeight="1">
      <c r="F1017" s="202">
        <v>1.18E-2</v>
      </c>
      <c r="G1017" s="126" t="s">
        <v>132</v>
      </c>
      <c r="H1017" s="120" t="s">
        <v>1336</v>
      </c>
      <c r="I1017" s="129">
        <f>C90</f>
        <v>95000</v>
      </c>
      <c r="J1017" s="120" t="s">
        <v>132</v>
      </c>
      <c r="K1017" s="129">
        <f>(F1017*I1017)</f>
        <v>1121</v>
      </c>
      <c r="AE1017" s="137">
        <f t="shared" si="130"/>
        <v>0</v>
      </c>
    </row>
    <row r="1018" spans="6:33" ht="24" customHeight="1">
      <c r="F1018" s="202"/>
      <c r="H1018" s="120" t="s">
        <v>1338</v>
      </c>
      <c r="I1018" s="120" t="s">
        <v>85</v>
      </c>
      <c r="K1018" s="120" t="s">
        <v>85</v>
      </c>
      <c r="AE1018" s="137">
        <f t="shared" si="130"/>
        <v>0</v>
      </c>
    </row>
    <row r="1019" spans="6:33" ht="24" customHeight="1">
      <c r="F1019" s="202">
        <v>1.2150000000000001</v>
      </c>
      <c r="G1019" s="126" t="s">
        <v>425</v>
      </c>
      <c r="H1019" s="120" t="s">
        <v>1340</v>
      </c>
      <c r="I1019" s="129">
        <f>C31</f>
        <v>1602.7</v>
      </c>
      <c r="J1019" s="120" t="s">
        <v>425</v>
      </c>
      <c r="K1019" s="129">
        <f t="shared" ref="K1019:K1026" si="131">(F1019*I1019)</f>
        <v>1947.28</v>
      </c>
      <c r="AE1019" s="137">
        <f t="shared" si="130"/>
        <v>0</v>
      </c>
    </row>
    <row r="1020" spans="6:33" ht="24" customHeight="1">
      <c r="F1020" s="129">
        <v>1</v>
      </c>
      <c r="G1020" s="126" t="s">
        <v>237</v>
      </c>
      <c r="H1020" s="120" t="s">
        <v>4238</v>
      </c>
      <c r="I1020" s="129">
        <f>C598</f>
        <v>57.65</v>
      </c>
      <c r="J1020" s="120" t="s">
        <v>131</v>
      </c>
      <c r="K1020" s="129">
        <f t="shared" si="131"/>
        <v>57.65</v>
      </c>
      <c r="AE1020" s="137">
        <f t="shared" si="130"/>
        <v>0</v>
      </c>
    </row>
    <row r="1021" spans="6:33" ht="24" customHeight="1">
      <c r="F1021" s="129">
        <v>3</v>
      </c>
      <c r="G1021" s="126" t="s">
        <v>131</v>
      </c>
      <c r="H1021" s="120" t="s">
        <v>1344</v>
      </c>
      <c r="I1021" s="129">
        <f>C279</f>
        <v>89.6</v>
      </c>
      <c r="J1021" s="120" t="s">
        <v>131</v>
      </c>
      <c r="K1021" s="129">
        <f t="shared" si="131"/>
        <v>268.8</v>
      </c>
      <c r="AE1021" s="137">
        <f t="shared" si="130"/>
        <v>0</v>
      </c>
    </row>
    <row r="1022" spans="6:33" ht="24" customHeight="1">
      <c r="F1022" s="129">
        <v>2</v>
      </c>
      <c r="G1022" s="126" t="s">
        <v>131</v>
      </c>
      <c r="H1022" s="120" t="s">
        <v>1346</v>
      </c>
      <c r="I1022" s="129">
        <f>C284</f>
        <v>64.8</v>
      </c>
      <c r="J1022" s="120" t="s">
        <v>131</v>
      </c>
      <c r="K1022" s="129">
        <f t="shared" si="131"/>
        <v>129.6</v>
      </c>
      <c r="AE1022" s="137">
        <f t="shared" si="130"/>
        <v>0</v>
      </c>
    </row>
    <row r="1023" spans="6:33" ht="24" customHeight="1">
      <c r="F1023" s="129">
        <v>1</v>
      </c>
      <c r="G1023" s="126" t="s">
        <v>131</v>
      </c>
      <c r="H1023" s="120" t="s">
        <v>1348</v>
      </c>
      <c r="I1023" s="129">
        <f>C286</f>
        <v>181</v>
      </c>
      <c r="J1023" s="120" t="s">
        <v>131</v>
      </c>
      <c r="K1023" s="129">
        <f t="shared" si="131"/>
        <v>181</v>
      </c>
      <c r="AE1023" s="137">
        <f t="shared" si="130"/>
        <v>0</v>
      </c>
    </row>
    <row r="1024" spans="6:33" ht="24" customHeight="1">
      <c r="F1024" s="129">
        <v>1</v>
      </c>
      <c r="G1024" s="126" t="s">
        <v>131</v>
      </c>
      <c r="H1024" s="120" t="s">
        <v>1350</v>
      </c>
      <c r="I1024" s="129">
        <f>C288</f>
        <v>7.3</v>
      </c>
      <c r="J1024" s="120" t="s">
        <v>131</v>
      </c>
      <c r="K1024" s="129">
        <f t="shared" si="131"/>
        <v>7.3</v>
      </c>
      <c r="AE1024" s="137">
        <f t="shared" si="130"/>
        <v>0</v>
      </c>
    </row>
    <row r="1025" spans="6:31" ht="24" customHeight="1">
      <c r="F1025" s="129">
        <v>1</v>
      </c>
      <c r="G1025" s="126" t="s">
        <v>131</v>
      </c>
      <c r="H1025" s="120" t="s">
        <v>455</v>
      </c>
      <c r="I1025" s="129">
        <f>D598</f>
        <v>49.55</v>
      </c>
      <c r="J1025" s="120" t="s">
        <v>131</v>
      </c>
      <c r="K1025" s="129">
        <f t="shared" si="131"/>
        <v>49.55</v>
      </c>
      <c r="AE1025" s="137">
        <f t="shared" si="130"/>
        <v>0</v>
      </c>
    </row>
    <row r="1026" spans="6:31" ht="24" customHeight="1">
      <c r="F1026" s="129">
        <v>10</v>
      </c>
      <c r="G1026" s="126" t="s">
        <v>3081</v>
      </c>
      <c r="H1026" s="120" t="s">
        <v>3121</v>
      </c>
      <c r="I1026" s="129">
        <f>I996</f>
        <v>2.41</v>
      </c>
      <c r="J1026" s="120" t="s">
        <v>131</v>
      </c>
      <c r="K1026" s="129">
        <f t="shared" si="131"/>
        <v>24.1</v>
      </c>
      <c r="M1026" s="121" t="s">
        <v>1440</v>
      </c>
      <c r="N1026" s="126" t="s">
        <v>111</v>
      </c>
      <c r="O1026" s="120" t="s">
        <v>1441</v>
      </c>
      <c r="Q1026" s="117"/>
      <c r="AE1026" s="137">
        <f t="shared" si="130"/>
        <v>0</v>
      </c>
    </row>
    <row r="1027" spans="6:31" ht="24" customHeight="1">
      <c r="K1027" s="123" t="s">
        <v>52</v>
      </c>
      <c r="N1027" s="116"/>
      <c r="O1027" s="120" t="s">
        <v>1443</v>
      </c>
      <c r="Q1027" s="117"/>
      <c r="AE1027" s="137">
        <f t="shared" si="130"/>
        <v>0</v>
      </c>
    </row>
    <row r="1028" spans="6:31" ht="24" customHeight="1">
      <c r="H1028" s="120" t="s">
        <v>1434</v>
      </c>
      <c r="K1028" s="129">
        <f>SUM(K1015:K1026)</f>
        <v>6241.38</v>
      </c>
      <c r="N1028" s="116"/>
      <c r="O1028" s="120" t="s">
        <v>1445</v>
      </c>
      <c r="Q1028" s="117"/>
      <c r="AE1028" s="137">
        <f t="shared" si="130"/>
        <v>0</v>
      </c>
    </row>
    <row r="1029" spans="6:31" ht="24" customHeight="1">
      <c r="K1029" s="123" t="s">
        <v>52</v>
      </c>
      <c r="N1029" s="116"/>
      <c r="O1029" s="120" t="s">
        <v>1447</v>
      </c>
      <c r="Q1029" s="117"/>
      <c r="AE1029" s="137">
        <f t="shared" si="130"/>
        <v>0</v>
      </c>
    </row>
    <row r="1030" spans="6:31" ht="24" customHeight="1">
      <c r="H1030" s="128" t="s">
        <v>460</v>
      </c>
      <c r="K1030" s="127">
        <f>K1028/F1019</f>
        <v>5136.9399999999996</v>
      </c>
      <c r="N1030" s="116"/>
      <c r="O1030" s="120" t="s">
        <v>1449</v>
      </c>
      <c r="Q1030" s="117"/>
      <c r="AE1030" s="137">
        <f t="shared" si="130"/>
        <v>0</v>
      </c>
    </row>
    <row r="1031" spans="6:31" ht="24" customHeight="1">
      <c r="K1031" s="123" t="s">
        <v>89</v>
      </c>
      <c r="N1031" s="116"/>
      <c r="O1031" s="120" t="s">
        <v>1451</v>
      </c>
      <c r="Q1031" s="117"/>
      <c r="AE1031" s="137">
        <f t="shared" si="130"/>
        <v>0</v>
      </c>
    </row>
    <row r="1032" spans="6:31" ht="24" customHeight="1">
      <c r="H1032" s="261" t="s">
        <v>4247</v>
      </c>
      <c r="I1032" s="262"/>
      <c r="J1032" s="263"/>
      <c r="K1032" s="261">
        <f>K912</f>
        <v>2135</v>
      </c>
      <c r="N1032" s="116"/>
      <c r="O1032" s="123" t="s">
        <v>52</v>
      </c>
      <c r="Q1032" s="117"/>
      <c r="AE1032" s="137">
        <f t="shared" si="130"/>
        <v>0</v>
      </c>
    </row>
    <row r="1033" spans="6:31" ht="24" customHeight="1">
      <c r="F1033" s="121" t="s">
        <v>1440</v>
      </c>
      <c r="G1033" s="126" t="s">
        <v>111</v>
      </c>
      <c r="H1033" s="120" t="s">
        <v>1441</v>
      </c>
      <c r="N1033" s="116"/>
      <c r="O1033" s="120" t="s">
        <v>1369</v>
      </c>
      <c r="Q1033" s="117"/>
      <c r="AE1033" s="137">
        <f t="shared" si="130"/>
        <v>0</v>
      </c>
    </row>
    <row r="1034" spans="6:31" ht="24" customHeight="1">
      <c r="H1034" s="120" t="s">
        <v>1443</v>
      </c>
      <c r="N1034" s="116"/>
      <c r="O1034" s="120" t="s">
        <v>1455</v>
      </c>
      <c r="Q1034" s="117"/>
      <c r="AE1034" s="137">
        <f t="shared" si="130"/>
        <v>0</v>
      </c>
    </row>
    <row r="1035" spans="6:31" ht="24" customHeight="1">
      <c r="H1035" s="120" t="s">
        <v>1445</v>
      </c>
      <c r="N1035" s="116"/>
      <c r="Q1035" s="120" t="s">
        <v>52</v>
      </c>
      <c r="AE1035" s="137"/>
    </row>
    <row r="1036" spans="6:31" ht="24" customHeight="1">
      <c r="H1036" s="120" t="s">
        <v>1447</v>
      </c>
      <c r="N1036" s="116"/>
      <c r="O1036" s="120" t="s">
        <v>1458</v>
      </c>
      <c r="Q1036" s="117"/>
      <c r="AE1036" s="137">
        <f t="shared" ref="AE1036:AE1041" si="132">AG1036</f>
        <v>0</v>
      </c>
    </row>
    <row r="1037" spans="6:31" ht="24" customHeight="1">
      <c r="H1037" s="120" t="s">
        <v>1449</v>
      </c>
      <c r="N1037" s="116"/>
      <c r="O1037" s="120" t="s">
        <v>85</v>
      </c>
      <c r="P1037" s="120" t="s">
        <v>85</v>
      </c>
      <c r="Q1037" s="117"/>
      <c r="R1037" s="254" t="s">
        <v>85</v>
      </c>
      <c r="AE1037" s="137">
        <f t="shared" si="132"/>
        <v>0</v>
      </c>
    </row>
    <row r="1038" spans="6:31" ht="24" customHeight="1">
      <c r="H1038" s="120" t="s">
        <v>1451</v>
      </c>
      <c r="N1038" s="116"/>
      <c r="Q1038" s="120" t="s">
        <v>85</v>
      </c>
      <c r="R1038" s="120" t="s">
        <v>85</v>
      </c>
      <c r="AE1038" s="137">
        <f t="shared" si="132"/>
        <v>0</v>
      </c>
    </row>
    <row r="1039" spans="6:31" ht="24" customHeight="1">
      <c r="H1039" s="123" t="s">
        <v>52</v>
      </c>
      <c r="N1039" s="116"/>
      <c r="O1039" s="120" t="s">
        <v>1462</v>
      </c>
      <c r="Q1039" s="254" t="s">
        <v>85</v>
      </c>
      <c r="R1039" s="254" t="s">
        <v>85</v>
      </c>
      <c r="AE1039" s="137">
        <f t="shared" si="132"/>
        <v>0</v>
      </c>
    </row>
    <row r="1040" spans="6:31" ht="24" customHeight="1">
      <c r="H1040" s="120" t="s">
        <v>1369</v>
      </c>
      <c r="N1040" s="116"/>
      <c r="O1040" s="120" t="s">
        <v>1464</v>
      </c>
      <c r="Q1040" s="117"/>
      <c r="R1040" s="254" t="s">
        <v>1465</v>
      </c>
      <c r="AE1040" s="137">
        <f t="shared" si="132"/>
        <v>0</v>
      </c>
    </row>
    <row r="1041" spans="6:33" ht="24" customHeight="1">
      <c r="H1041" s="120" t="s">
        <v>1455</v>
      </c>
      <c r="N1041" s="116"/>
      <c r="Q1041" s="117"/>
      <c r="R1041" s="120" t="s">
        <v>85</v>
      </c>
      <c r="AE1041" s="137">
        <f t="shared" si="132"/>
        <v>0</v>
      </c>
    </row>
    <row r="1042" spans="6:33" ht="24" customHeight="1">
      <c r="J1042" s="120" t="s">
        <v>52</v>
      </c>
      <c r="N1042" s="116"/>
      <c r="Q1042" s="117"/>
      <c r="R1042" s="254" t="s">
        <v>85</v>
      </c>
      <c r="AB1042" s="121" t="s">
        <v>1440</v>
      </c>
      <c r="AC1042" s="126" t="s">
        <v>111</v>
      </c>
      <c r="AD1042" s="120" t="s">
        <v>4248</v>
      </c>
      <c r="AF1042" s="117"/>
    </row>
    <row r="1043" spans="6:33" ht="24" customHeight="1">
      <c r="H1043" s="120" t="s">
        <v>1458</v>
      </c>
      <c r="N1043" s="116"/>
      <c r="Q1043" s="117"/>
      <c r="R1043" s="120" t="s">
        <v>85</v>
      </c>
      <c r="AC1043" s="116"/>
      <c r="AD1043" s="120" t="s">
        <v>1443</v>
      </c>
      <c r="AF1043" s="117"/>
    </row>
    <row r="1044" spans="6:33" ht="24" customHeight="1">
      <c r="H1044" s="120" t="s">
        <v>85</v>
      </c>
      <c r="I1044" s="120" t="s">
        <v>85</v>
      </c>
      <c r="K1044" s="254" t="s">
        <v>85</v>
      </c>
      <c r="M1044" s="121" t="s">
        <v>1470</v>
      </c>
      <c r="N1044" s="126"/>
      <c r="O1044" s="120" t="s">
        <v>1471</v>
      </c>
      <c r="Q1044" s="117"/>
      <c r="R1044" s="120" t="s">
        <v>85</v>
      </c>
      <c r="AC1044" s="116"/>
      <c r="AD1044" s="120" t="s">
        <v>1445</v>
      </c>
      <c r="AF1044" s="117"/>
    </row>
    <row r="1045" spans="6:33" ht="24" customHeight="1">
      <c r="J1045" s="120" t="s">
        <v>85</v>
      </c>
      <c r="K1045" s="120" t="s">
        <v>85</v>
      </c>
      <c r="N1045" s="116"/>
      <c r="O1045" s="123" t="s">
        <v>52</v>
      </c>
      <c r="Q1045" s="117"/>
      <c r="AC1045" s="116"/>
      <c r="AD1045" s="120" t="s">
        <v>1447</v>
      </c>
      <c r="AF1045" s="117"/>
    </row>
    <row r="1046" spans="6:33" s="113" customFormat="1" ht="24" customHeight="1">
      <c r="F1046" s="115"/>
      <c r="G1046" s="116"/>
      <c r="H1046" s="120" t="s">
        <v>1462</v>
      </c>
      <c r="I1046" s="115"/>
      <c r="J1046" s="254" t="s">
        <v>85</v>
      </c>
      <c r="K1046" s="254" t="s">
        <v>85</v>
      </c>
      <c r="M1046" s="255">
        <v>1.153E-2</v>
      </c>
      <c r="N1046" s="256" t="s">
        <v>132</v>
      </c>
      <c r="O1046" s="257" t="s">
        <v>4249</v>
      </c>
      <c r="P1046" s="258">
        <f>C86</f>
        <v>34300</v>
      </c>
      <c r="Q1046" s="257" t="s">
        <v>132</v>
      </c>
      <c r="R1046" s="258">
        <f t="shared" ref="R1046:R1055" si="133">(M1046*P1046)</f>
        <v>395.48</v>
      </c>
      <c r="S1046" s="264"/>
      <c r="W1046" s="265"/>
      <c r="AB1046" s="115"/>
      <c r="AC1046" s="116"/>
      <c r="AD1046" s="120" t="s">
        <v>1449</v>
      </c>
      <c r="AE1046" s="115"/>
      <c r="AF1046" s="117"/>
      <c r="AG1046" s="115"/>
    </row>
    <row r="1047" spans="6:33" ht="24" customHeight="1">
      <c r="H1047" s="120" t="s">
        <v>1464</v>
      </c>
      <c r="K1047" s="254" t="s">
        <v>1465</v>
      </c>
      <c r="M1047" s="259">
        <v>1.35E-2</v>
      </c>
      <c r="N1047" s="126" t="s">
        <v>132</v>
      </c>
      <c r="O1047" s="120" t="s">
        <v>4249</v>
      </c>
      <c r="P1047" s="129">
        <f>P1046</f>
        <v>34300</v>
      </c>
      <c r="Q1047" s="120" t="s">
        <v>132</v>
      </c>
      <c r="R1047" s="129">
        <f t="shared" si="133"/>
        <v>463.05</v>
      </c>
      <c r="S1047" s="142"/>
      <c r="AC1047" s="116"/>
      <c r="AD1047" s="120" t="s">
        <v>4250</v>
      </c>
      <c r="AF1047" s="117"/>
    </row>
    <row r="1048" spans="6:33" ht="24" customHeight="1">
      <c r="K1048" s="120" t="s">
        <v>85</v>
      </c>
      <c r="M1048" s="259">
        <v>1.016</v>
      </c>
      <c r="N1048" s="126" t="s">
        <v>425</v>
      </c>
      <c r="O1048" s="120" t="s">
        <v>448</v>
      </c>
      <c r="P1048" s="129">
        <f>I1055</f>
        <v>387.4</v>
      </c>
      <c r="Q1048" s="120" t="s">
        <v>425</v>
      </c>
      <c r="R1048" s="129">
        <f t="shared" si="133"/>
        <v>393.6</v>
      </c>
      <c r="S1048" s="142"/>
      <c r="AC1048" s="116"/>
      <c r="AD1048" s="123" t="s">
        <v>52</v>
      </c>
      <c r="AF1048" s="117"/>
    </row>
    <row r="1049" spans="6:33" ht="24" customHeight="1">
      <c r="K1049" s="254" t="s">
        <v>85</v>
      </c>
      <c r="M1049" s="259">
        <v>1.64</v>
      </c>
      <c r="N1049" s="126" t="s">
        <v>425</v>
      </c>
      <c r="O1049" s="120" t="s">
        <v>449</v>
      </c>
      <c r="P1049" s="129">
        <f t="shared" ref="P1049:P1054" si="134">I1056</f>
        <v>1336.5</v>
      </c>
      <c r="Q1049" s="120" t="s">
        <v>425</v>
      </c>
      <c r="R1049" s="129">
        <f t="shared" si="133"/>
        <v>2191.86</v>
      </c>
      <c r="S1049" s="142"/>
      <c r="AC1049" s="116"/>
      <c r="AD1049" s="120" t="s">
        <v>4251</v>
      </c>
      <c r="AF1049" s="117"/>
    </row>
    <row r="1050" spans="6:33" ht="24" customHeight="1">
      <c r="K1050" s="120" t="s">
        <v>85</v>
      </c>
      <c r="M1050" s="129">
        <v>2</v>
      </c>
      <c r="N1050" s="126" t="s">
        <v>131</v>
      </c>
      <c r="O1050" s="120" t="s">
        <v>450</v>
      </c>
      <c r="P1050" s="129">
        <f t="shared" si="134"/>
        <v>64.8</v>
      </c>
      <c r="Q1050" s="120" t="s">
        <v>131</v>
      </c>
      <c r="R1050" s="129">
        <f t="shared" si="133"/>
        <v>129.6</v>
      </c>
      <c r="S1050" s="142"/>
      <c r="AC1050" s="116"/>
      <c r="AD1050" s="120" t="s">
        <v>4252</v>
      </c>
      <c r="AF1050" s="117"/>
    </row>
    <row r="1051" spans="6:33" ht="24" customHeight="1">
      <c r="F1051" s="121" t="s">
        <v>1470</v>
      </c>
      <c r="G1051" s="126"/>
      <c r="H1051" s="120" t="s">
        <v>1471</v>
      </c>
      <c r="K1051" s="120" t="s">
        <v>85</v>
      </c>
      <c r="M1051" s="129">
        <v>3</v>
      </c>
      <c r="N1051" s="126" t="s">
        <v>131</v>
      </c>
      <c r="O1051" s="120" t="s">
        <v>1479</v>
      </c>
      <c r="P1051" s="129">
        <f t="shared" si="134"/>
        <v>89.6</v>
      </c>
      <c r="Q1051" s="120" t="s">
        <v>131</v>
      </c>
      <c r="R1051" s="129">
        <f t="shared" si="133"/>
        <v>268.8</v>
      </c>
      <c r="S1051" s="142"/>
      <c r="AC1051" s="116"/>
      <c r="AF1051" s="120" t="s">
        <v>52</v>
      </c>
    </row>
    <row r="1052" spans="6:33" ht="24" customHeight="1">
      <c r="H1052" s="123" t="s">
        <v>52</v>
      </c>
      <c r="M1052" s="129">
        <v>1</v>
      </c>
      <c r="N1052" s="126" t="s">
        <v>131</v>
      </c>
      <c r="O1052" s="120" t="s">
        <v>452</v>
      </c>
      <c r="P1052" s="129">
        <f t="shared" si="134"/>
        <v>181</v>
      </c>
      <c r="Q1052" s="120" t="s">
        <v>131</v>
      </c>
      <c r="R1052" s="129">
        <f t="shared" si="133"/>
        <v>181</v>
      </c>
      <c r="S1052" s="142"/>
      <c r="AC1052" s="116"/>
      <c r="AD1052" s="120" t="s">
        <v>4253</v>
      </c>
      <c r="AF1052" s="117"/>
    </row>
    <row r="1053" spans="6:33" ht="24" customHeight="1">
      <c r="F1053" s="255">
        <v>1.153E-2</v>
      </c>
      <c r="G1053" s="256" t="s">
        <v>132</v>
      </c>
      <c r="H1053" s="257" t="s">
        <v>446</v>
      </c>
      <c r="I1053" s="258">
        <f>C88</f>
        <v>111600</v>
      </c>
      <c r="J1053" s="257" t="s">
        <v>132</v>
      </c>
      <c r="K1053" s="258">
        <f t="shared" ref="K1053:K1063" si="135">(F1053*I1053)</f>
        <v>1286.75</v>
      </c>
      <c r="M1053" s="129">
        <v>1</v>
      </c>
      <c r="N1053" s="126" t="s">
        <v>131</v>
      </c>
      <c r="O1053" s="120" t="s">
        <v>453</v>
      </c>
      <c r="P1053" s="129">
        <f t="shared" si="134"/>
        <v>7.3</v>
      </c>
      <c r="Q1053" s="120" t="s">
        <v>131</v>
      </c>
      <c r="R1053" s="129">
        <f t="shared" si="133"/>
        <v>7.3</v>
      </c>
      <c r="S1053" s="142"/>
      <c r="AC1053" s="116"/>
      <c r="AD1053" s="120" t="s">
        <v>85</v>
      </c>
      <c r="AE1053" s="120" t="s">
        <v>85</v>
      </c>
      <c r="AF1053" s="117"/>
      <c r="AG1053" s="254" t="s">
        <v>85</v>
      </c>
    </row>
    <row r="1054" spans="6:33" ht="24" customHeight="1">
      <c r="F1054" s="259">
        <v>1.35E-2</v>
      </c>
      <c r="G1054" s="126" t="s">
        <v>132</v>
      </c>
      <c r="H1054" s="120" t="s">
        <v>447</v>
      </c>
      <c r="I1054" s="129">
        <f>C89</f>
        <v>99400</v>
      </c>
      <c r="J1054" s="120" t="s">
        <v>132</v>
      </c>
      <c r="K1054" s="129">
        <f t="shared" si="135"/>
        <v>1341.9</v>
      </c>
      <c r="M1054" s="129">
        <v>1</v>
      </c>
      <c r="N1054" s="126" t="s">
        <v>131</v>
      </c>
      <c r="O1054" s="120" t="s">
        <v>454</v>
      </c>
      <c r="P1054" s="129">
        <f t="shared" si="134"/>
        <v>57.65</v>
      </c>
      <c r="Q1054" s="120" t="s">
        <v>131</v>
      </c>
      <c r="R1054" s="129">
        <f t="shared" si="133"/>
        <v>57.65</v>
      </c>
      <c r="S1054" s="142"/>
      <c r="AC1054" s="116"/>
      <c r="AF1054" s="120" t="s">
        <v>85</v>
      </c>
      <c r="AG1054" s="120" t="s">
        <v>85</v>
      </c>
    </row>
    <row r="1055" spans="6:33" ht="24" customHeight="1">
      <c r="F1055" s="259">
        <v>1.016</v>
      </c>
      <c r="G1055" s="126" t="s">
        <v>425</v>
      </c>
      <c r="H1055" s="120" t="s">
        <v>448</v>
      </c>
      <c r="I1055" s="129">
        <f>C783</f>
        <v>387.4</v>
      </c>
      <c r="J1055" s="120" t="s">
        <v>425</v>
      </c>
      <c r="K1055" s="129">
        <f t="shared" si="135"/>
        <v>393.6</v>
      </c>
      <c r="M1055" s="129">
        <v>1</v>
      </c>
      <c r="N1055" s="126" t="s">
        <v>131</v>
      </c>
      <c r="O1055" s="120" t="s">
        <v>455</v>
      </c>
      <c r="P1055" s="129">
        <f>P953</f>
        <v>49.55</v>
      </c>
      <c r="Q1055" s="120" t="s">
        <v>131</v>
      </c>
      <c r="R1055" s="129">
        <f t="shared" si="133"/>
        <v>49.55</v>
      </c>
      <c r="S1055" s="142"/>
      <c r="AC1055" s="116"/>
      <c r="AD1055" s="120" t="s">
        <v>4254</v>
      </c>
      <c r="AF1055" s="254" t="s">
        <v>85</v>
      </c>
      <c r="AG1055" s="254" t="s">
        <v>85</v>
      </c>
    </row>
    <row r="1056" spans="6:33" ht="24" customHeight="1">
      <c r="F1056" s="259">
        <v>1.64</v>
      </c>
      <c r="G1056" s="126" t="s">
        <v>425</v>
      </c>
      <c r="H1056" s="120" t="s">
        <v>449</v>
      </c>
      <c r="I1056" s="129">
        <f>D30</f>
        <v>1336.5</v>
      </c>
      <c r="J1056" s="120" t="s">
        <v>425</v>
      </c>
      <c r="K1056" s="129">
        <f t="shared" si="135"/>
        <v>2191.86</v>
      </c>
      <c r="N1056" s="116"/>
      <c r="Q1056" s="117"/>
      <c r="R1056" s="123" t="s">
        <v>52</v>
      </c>
      <c r="S1056" s="266"/>
      <c r="AC1056" s="116"/>
      <c r="AD1056" s="120" t="s">
        <v>4255</v>
      </c>
      <c r="AF1056" s="117"/>
      <c r="AG1056" s="254" t="s">
        <v>4256</v>
      </c>
    </row>
    <row r="1057" spans="6:33" ht="24" customHeight="1">
      <c r="F1057" s="129">
        <v>2</v>
      </c>
      <c r="G1057" s="126" t="s">
        <v>131</v>
      </c>
      <c r="H1057" s="120" t="s">
        <v>450</v>
      </c>
      <c r="I1057" s="129">
        <f>C284</f>
        <v>64.8</v>
      </c>
      <c r="J1057" s="120" t="s">
        <v>131</v>
      </c>
      <c r="K1057" s="129">
        <f t="shared" si="135"/>
        <v>129.6</v>
      </c>
      <c r="N1057" s="116"/>
      <c r="O1057" s="121" t="s">
        <v>1486</v>
      </c>
      <c r="Q1057" s="117"/>
      <c r="R1057" s="129">
        <f>SUM(R1046:R1055)</f>
        <v>4137.8900000000003</v>
      </c>
      <c r="S1057" s="142"/>
      <c r="AC1057" s="116"/>
      <c r="AF1057" s="117"/>
      <c r="AG1057" s="120" t="s">
        <v>85</v>
      </c>
    </row>
    <row r="1058" spans="6:33" ht="24" customHeight="1">
      <c r="F1058" s="129">
        <v>3</v>
      </c>
      <c r="G1058" s="126" t="s">
        <v>131</v>
      </c>
      <c r="H1058" s="120" t="s">
        <v>1479</v>
      </c>
      <c r="I1058" s="129">
        <f>C279</f>
        <v>89.6</v>
      </c>
      <c r="J1058" s="120" t="s">
        <v>131</v>
      </c>
      <c r="K1058" s="129">
        <f t="shared" si="135"/>
        <v>268.8</v>
      </c>
      <c r="N1058" s="126" t="s">
        <v>85</v>
      </c>
      <c r="Q1058" s="117"/>
      <c r="R1058" s="123" t="s">
        <v>52</v>
      </c>
      <c r="S1058" s="266"/>
      <c r="AC1058" s="116"/>
      <c r="AF1058" s="117"/>
      <c r="AG1058" s="254" t="s">
        <v>85</v>
      </c>
    </row>
    <row r="1059" spans="6:33" ht="24" customHeight="1">
      <c r="F1059" s="129">
        <v>1</v>
      </c>
      <c r="G1059" s="126" t="s">
        <v>131</v>
      </c>
      <c r="H1059" s="120" t="s">
        <v>452</v>
      </c>
      <c r="I1059" s="129">
        <f>C286</f>
        <v>181</v>
      </c>
      <c r="J1059" s="120" t="s">
        <v>131</v>
      </c>
      <c r="K1059" s="129">
        <f t="shared" si="135"/>
        <v>181</v>
      </c>
      <c r="N1059" s="116"/>
      <c r="O1059" s="128" t="s">
        <v>460</v>
      </c>
      <c r="Q1059" s="117"/>
      <c r="R1059" s="127">
        <f>R1057/M1049</f>
        <v>2523.1</v>
      </c>
      <c r="S1059" s="142"/>
      <c r="AC1059" s="116"/>
      <c r="AF1059" s="117"/>
      <c r="AG1059" s="120" t="s">
        <v>85</v>
      </c>
    </row>
    <row r="1060" spans="6:33" ht="24" customHeight="1">
      <c r="F1060" s="129">
        <v>1</v>
      </c>
      <c r="G1060" s="126" t="s">
        <v>131</v>
      </c>
      <c r="H1060" s="120" t="s">
        <v>453</v>
      </c>
      <c r="I1060" s="129">
        <f>C288</f>
        <v>7.3</v>
      </c>
      <c r="J1060" s="120" t="s">
        <v>131</v>
      </c>
      <c r="K1060" s="129">
        <f t="shared" si="135"/>
        <v>7.3</v>
      </c>
      <c r="N1060" s="116"/>
      <c r="Q1060" s="117"/>
      <c r="R1060" s="123" t="s">
        <v>89</v>
      </c>
      <c r="S1060" s="266" t="s">
        <v>89</v>
      </c>
      <c r="AB1060" s="121" t="s">
        <v>1470</v>
      </c>
      <c r="AC1060" s="126"/>
      <c r="AD1060" s="120" t="s">
        <v>4257</v>
      </c>
      <c r="AF1060" s="117"/>
      <c r="AG1060" s="120" t="s">
        <v>85</v>
      </c>
    </row>
    <row r="1061" spans="6:33" ht="24" customHeight="1">
      <c r="F1061" s="129">
        <v>1</v>
      </c>
      <c r="G1061" s="126" t="s">
        <v>131</v>
      </c>
      <c r="H1061" s="120" t="s">
        <v>4244</v>
      </c>
      <c r="I1061" s="129">
        <f>C598</f>
        <v>57.65</v>
      </c>
      <c r="J1061" s="120" t="s">
        <v>131</v>
      </c>
      <c r="K1061" s="129">
        <f t="shared" si="135"/>
        <v>57.65</v>
      </c>
      <c r="M1061" s="121"/>
      <c r="N1061" s="126"/>
      <c r="O1061" s="120"/>
      <c r="Q1061" s="117"/>
      <c r="R1061" s="120" t="s">
        <v>85</v>
      </c>
      <c r="AC1061" s="116"/>
      <c r="AD1061" s="123" t="s">
        <v>52</v>
      </c>
      <c r="AF1061" s="117"/>
    </row>
    <row r="1062" spans="6:33" ht="24" customHeight="1">
      <c r="F1062" s="129">
        <v>1</v>
      </c>
      <c r="G1062" s="126" t="s">
        <v>131</v>
      </c>
      <c r="H1062" s="120" t="s">
        <v>455</v>
      </c>
      <c r="I1062" s="129">
        <f>D598</f>
        <v>49.55</v>
      </c>
      <c r="J1062" s="120" t="s">
        <v>131</v>
      </c>
      <c r="K1062" s="129">
        <f t="shared" si="135"/>
        <v>49.55</v>
      </c>
      <c r="M1062" s="121" t="s">
        <v>1470</v>
      </c>
      <c r="N1062" s="126"/>
      <c r="O1062" s="120" t="s">
        <v>2170</v>
      </c>
      <c r="Q1062" s="117"/>
      <c r="R1062" s="120" t="s">
        <v>85</v>
      </c>
      <c r="AB1062" s="255">
        <v>2.3060000000000001E-2</v>
      </c>
      <c r="AC1062" s="256" t="s">
        <v>132</v>
      </c>
      <c r="AD1062" s="257" t="s">
        <v>446</v>
      </c>
      <c r="AE1062" s="258">
        <f>I1053</f>
        <v>111600</v>
      </c>
      <c r="AF1062" s="257" t="s">
        <v>132</v>
      </c>
      <c r="AG1062" s="258">
        <f t="shared" ref="AG1062:AG1072" si="136">(AB1062*AE1062)</f>
        <v>2573.5</v>
      </c>
    </row>
    <row r="1063" spans="6:33" ht="24" customHeight="1">
      <c r="F1063" s="129">
        <v>58</v>
      </c>
      <c r="G1063" s="126" t="s">
        <v>3081</v>
      </c>
      <c r="H1063" s="120" t="s">
        <v>3121</v>
      </c>
      <c r="I1063" s="115">
        <f>I1026</f>
        <v>2.41</v>
      </c>
      <c r="J1063" s="120" t="s">
        <v>131</v>
      </c>
      <c r="K1063" s="129">
        <f t="shared" si="135"/>
        <v>139.78</v>
      </c>
      <c r="N1063" s="116"/>
      <c r="O1063" s="123" t="s">
        <v>52</v>
      </c>
      <c r="Q1063" s="117"/>
      <c r="AB1063" s="259">
        <v>1.856E-2</v>
      </c>
      <c r="AC1063" s="126" t="s">
        <v>132</v>
      </c>
      <c r="AD1063" s="120" t="s">
        <v>447</v>
      </c>
      <c r="AE1063" s="258">
        <f t="shared" ref="AE1063:AE1072" si="137">I1054</f>
        <v>99400</v>
      </c>
      <c r="AF1063" s="120" t="s">
        <v>132</v>
      </c>
      <c r="AG1063" s="129">
        <f t="shared" si="136"/>
        <v>1844.86</v>
      </c>
    </row>
    <row r="1064" spans="6:33" ht="24" customHeight="1">
      <c r="H1064" s="121" t="s">
        <v>1486</v>
      </c>
      <c r="K1064" s="129">
        <f>SUM(K1053:K1063)</f>
        <v>6047.79</v>
      </c>
      <c r="M1064" s="255">
        <v>1.153E-2</v>
      </c>
      <c r="N1064" s="256" t="s">
        <v>132</v>
      </c>
      <c r="O1064" s="257" t="s">
        <v>446</v>
      </c>
      <c r="P1064" s="258">
        <f>I1053</f>
        <v>111600</v>
      </c>
      <c r="Q1064" s="257" t="s">
        <v>132</v>
      </c>
      <c r="R1064" s="258">
        <f t="shared" ref="R1064:R1074" si="138">(M1064*P1064)</f>
        <v>1286.75</v>
      </c>
      <c r="AB1064" s="259">
        <v>1.4</v>
      </c>
      <c r="AC1064" s="126" t="s">
        <v>425</v>
      </c>
      <c r="AD1064" s="120" t="s">
        <v>448</v>
      </c>
      <c r="AE1064" s="258">
        <f t="shared" si="137"/>
        <v>387.4</v>
      </c>
      <c r="AF1064" s="120" t="s">
        <v>425</v>
      </c>
      <c r="AG1064" s="129">
        <f t="shared" si="136"/>
        <v>542.36</v>
      </c>
    </row>
    <row r="1065" spans="6:33" ht="24" customHeight="1">
      <c r="G1065" s="126" t="s">
        <v>85</v>
      </c>
      <c r="K1065" s="123" t="s">
        <v>52</v>
      </c>
      <c r="M1065" s="259">
        <v>1.52E-2</v>
      </c>
      <c r="N1065" s="126" t="s">
        <v>132</v>
      </c>
      <c r="O1065" s="120" t="s">
        <v>447</v>
      </c>
      <c r="P1065" s="258">
        <f t="shared" ref="P1065:P1073" si="139">I1054</f>
        <v>99400</v>
      </c>
      <c r="Q1065" s="120" t="s">
        <v>132</v>
      </c>
      <c r="R1065" s="129">
        <f t="shared" si="138"/>
        <v>1510.88</v>
      </c>
      <c r="AB1065" s="259">
        <v>2.2549999999999999</v>
      </c>
      <c r="AC1065" s="126" t="s">
        <v>425</v>
      </c>
      <c r="AD1065" s="120" t="s">
        <v>449</v>
      </c>
      <c r="AE1065" s="258">
        <f t="shared" si="137"/>
        <v>1336.5</v>
      </c>
      <c r="AF1065" s="120" t="s">
        <v>425</v>
      </c>
      <c r="AG1065" s="129">
        <f t="shared" si="136"/>
        <v>3013.81</v>
      </c>
    </row>
    <row r="1066" spans="6:33" ht="24" customHeight="1">
      <c r="H1066" s="128" t="s">
        <v>460</v>
      </c>
      <c r="K1066" s="127">
        <f>K1064/F1056</f>
        <v>3687.68</v>
      </c>
      <c r="M1066" s="259">
        <v>1.26</v>
      </c>
      <c r="N1066" s="126" t="s">
        <v>425</v>
      </c>
      <c r="O1066" s="120" t="s">
        <v>448</v>
      </c>
      <c r="P1066" s="258">
        <f t="shared" si="139"/>
        <v>387.4</v>
      </c>
      <c r="Q1066" s="120" t="s">
        <v>425</v>
      </c>
      <c r="R1066" s="129">
        <f t="shared" si="138"/>
        <v>488.12</v>
      </c>
      <c r="AB1066" s="129">
        <v>4</v>
      </c>
      <c r="AC1066" s="126" t="s">
        <v>131</v>
      </c>
      <c r="AD1066" s="120" t="s">
        <v>450</v>
      </c>
      <c r="AE1066" s="258">
        <f t="shared" si="137"/>
        <v>64.8</v>
      </c>
      <c r="AF1066" s="120" t="s">
        <v>131</v>
      </c>
      <c r="AG1066" s="129">
        <f t="shared" si="136"/>
        <v>259.2</v>
      </c>
    </row>
    <row r="1067" spans="6:33" ht="24" customHeight="1">
      <c r="K1067" s="123" t="s">
        <v>89</v>
      </c>
      <c r="M1067" s="259">
        <v>1.845</v>
      </c>
      <c r="N1067" s="126" t="s">
        <v>425</v>
      </c>
      <c r="O1067" s="120" t="s">
        <v>449</v>
      </c>
      <c r="P1067" s="258">
        <f t="shared" si="139"/>
        <v>1336.5</v>
      </c>
      <c r="Q1067" s="120" t="s">
        <v>425</v>
      </c>
      <c r="R1067" s="129">
        <f t="shared" si="138"/>
        <v>2465.84</v>
      </c>
      <c r="AB1067" s="129">
        <v>6</v>
      </c>
      <c r="AC1067" s="126" t="s">
        <v>131</v>
      </c>
      <c r="AD1067" s="120" t="s">
        <v>1479</v>
      </c>
      <c r="AE1067" s="258">
        <f t="shared" si="137"/>
        <v>89.6</v>
      </c>
      <c r="AF1067" s="120" t="s">
        <v>131</v>
      </c>
      <c r="AG1067" s="129">
        <f t="shared" si="136"/>
        <v>537.6</v>
      </c>
    </row>
    <row r="1068" spans="6:33" ht="24" customHeight="1">
      <c r="F1068" s="121" t="s">
        <v>1491</v>
      </c>
      <c r="H1068" s="120" t="s">
        <v>1492</v>
      </c>
      <c r="M1068" s="129">
        <v>2</v>
      </c>
      <c r="N1068" s="126" t="s">
        <v>131</v>
      </c>
      <c r="O1068" s="120" t="s">
        <v>450</v>
      </c>
      <c r="P1068" s="258">
        <f t="shared" si="139"/>
        <v>64.8</v>
      </c>
      <c r="Q1068" s="120" t="s">
        <v>131</v>
      </c>
      <c r="R1068" s="129">
        <f t="shared" si="138"/>
        <v>129.6</v>
      </c>
      <c r="AB1068" s="129">
        <v>1</v>
      </c>
      <c r="AC1068" s="126" t="s">
        <v>131</v>
      </c>
      <c r="AD1068" s="120" t="s">
        <v>452</v>
      </c>
      <c r="AE1068" s="258">
        <f t="shared" si="137"/>
        <v>181</v>
      </c>
      <c r="AF1068" s="120" t="s">
        <v>131</v>
      </c>
      <c r="AG1068" s="129">
        <f t="shared" si="136"/>
        <v>181</v>
      </c>
    </row>
    <row r="1069" spans="6:33" ht="24" customHeight="1">
      <c r="H1069" s="120" t="s">
        <v>1494</v>
      </c>
      <c r="M1069" s="129">
        <v>3</v>
      </c>
      <c r="N1069" s="126" t="s">
        <v>131</v>
      </c>
      <c r="O1069" s="120" t="s">
        <v>1479</v>
      </c>
      <c r="P1069" s="258">
        <f t="shared" si="139"/>
        <v>89.6</v>
      </c>
      <c r="Q1069" s="120" t="s">
        <v>131</v>
      </c>
      <c r="R1069" s="129">
        <f t="shared" si="138"/>
        <v>268.8</v>
      </c>
      <c r="AB1069" s="129">
        <v>2</v>
      </c>
      <c r="AC1069" s="126" t="s">
        <v>131</v>
      </c>
      <c r="AD1069" s="120" t="s">
        <v>453</v>
      </c>
      <c r="AE1069" s="258">
        <f t="shared" si="137"/>
        <v>7.3</v>
      </c>
      <c r="AF1069" s="120" t="s">
        <v>131</v>
      </c>
      <c r="AG1069" s="129">
        <f t="shared" si="136"/>
        <v>14.6</v>
      </c>
    </row>
    <row r="1070" spans="6:33" ht="24" customHeight="1">
      <c r="H1070" s="123" t="s">
        <v>52</v>
      </c>
      <c r="M1070" s="129">
        <v>1</v>
      </c>
      <c r="N1070" s="126" t="s">
        <v>131</v>
      </c>
      <c r="O1070" s="120" t="s">
        <v>452</v>
      </c>
      <c r="P1070" s="258">
        <f t="shared" si="139"/>
        <v>181</v>
      </c>
      <c r="Q1070" s="120" t="s">
        <v>131</v>
      </c>
      <c r="R1070" s="129">
        <f t="shared" si="138"/>
        <v>181</v>
      </c>
      <c r="AB1070" s="129">
        <v>2</v>
      </c>
      <c r="AC1070" s="126" t="s">
        <v>131</v>
      </c>
      <c r="AD1070" s="120" t="s">
        <v>4244</v>
      </c>
      <c r="AE1070" s="258">
        <f t="shared" si="137"/>
        <v>57.65</v>
      </c>
      <c r="AF1070" s="120" t="s">
        <v>131</v>
      </c>
      <c r="AG1070" s="129">
        <f t="shared" si="136"/>
        <v>115.3</v>
      </c>
    </row>
    <row r="1071" spans="6:33" ht="24" customHeight="1">
      <c r="F1071" s="259">
        <v>6.6499999999999997E-3</v>
      </c>
      <c r="G1071" s="126" t="s">
        <v>34</v>
      </c>
      <c r="H1071" s="120" t="s">
        <v>1497</v>
      </c>
      <c r="I1071" s="129">
        <f>C89</f>
        <v>99400</v>
      </c>
      <c r="J1071" s="120" t="s">
        <v>132</v>
      </c>
      <c r="K1071" s="129">
        <f t="shared" ref="K1071:K1078" si="140">(F1071*I1071)</f>
        <v>661.01</v>
      </c>
      <c r="M1071" s="129">
        <v>1</v>
      </c>
      <c r="N1071" s="126" t="s">
        <v>131</v>
      </c>
      <c r="O1071" s="120" t="s">
        <v>453</v>
      </c>
      <c r="P1071" s="258">
        <f t="shared" si="139"/>
        <v>7.3</v>
      </c>
      <c r="Q1071" s="120" t="s">
        <v>131</v>
      </c>
      <c r="R1071" s="129">
        <f t="shared" si="138"/>
        <v>7.3</v>
      </c>
      <c r="AB1071" s="129">
        <v>2</v>
      </c>
      <c r="AC1071" s="126" t="s">
        <v>131</v>
      </c>
      <c r="AD1071" s="120" t="s">
        <v>455</v>
      </c>
      <c r="AE1071" s="258">
        <f t="shared" si="137"/>
        <v>49.55</v>
      </c>
      <c r="AF1071" s="120" t="s">
        <v>131</v>
      </c>
      <c r="AG1071" s="129">
        <f t="shared" si="136"/>
        <v>99.1</v>
      </c>
    </row>
    <row r="1072" spans="6:33" ht="24" customHeight="1">
      <c r="F1072" s="259">
        <v>0.32346000000000003</v>
      </c>
      <c r="G1072" s="126" t="s">
        <v>425</v>
      </c>
      <c r="H1072" s="120" t="s">
        <v>4258</v>
      </c>
      <c r="I1072" s="204">
        <v>208.8</v>
      </c>
      <c r="J1072" s="120" t="s">
        <v>132</v>
      </c>
      <c r="K1072" s="129">
        <f t="shared" si="140"/>
        <v>67.540000000000006</v>
      </c>
      <c r="M1072" s="129">
        <v>1</v>
      </c>
      <c r="N1072" s="126" t="s">
        <v>131</v>
      </c>
      <c r="O1072" s="120" t="s">
        <v>4244</v>
      </c>
      <c r="P1072" s="258">
        <f t="shared" si="139"/>
        <v>57.65</v>
      </c>
      <c r="Q1072" s="120" t="s">
        <v>131</v>
      </c>
      <c r="R1072" s="129">
        <f t="shared" si="138"/>
        <v>57.65</v>
      </c>
      <c r="AB1072" s="129">
        <v>118</v>
      </c>
      <c r="AC1072" s="126" t="s">
        <v>131</v>
      </c>
      <c r="AD1072" s="120" t="s">
        <v>3121</v>
      </c>
      <c r="AE1072" s="258">
        <f t="shared" si="137"/>
        <v>2.41</v>
      </c>
      <c r="AF1072" s="117"/>
      <c r="AG1072" s="129">
        <f t="shared" si="136"/>
        <v>284.38</v>
      </c>
    </row>
    <row r="1073" spans="6:33" ht="24" customHeight="1">
      <c r="F1073" s="259">
        <v>0.47660000000000002</v>
      </c>
      <c r="G1073" s="126" t="s">
        <v>425</v>
      </c>
      <c r="H1073" s="120" t="s">
        <v>449</v>
      </c>
      <c r="I1073" s="129">
        <f>D31</f>
        <v>1498.2</v>
      </c>
      <c r="J1073" s="120" t="s">
        <v>425</v>
      </c>
      <c r="K1073" s="129">
        <f t="shared" si="140"/>
        <v>714.04</v>
      </c>
      <c r="M1073" s="129">
        <v>1</v>
      </c>
      <c r="N1073" s="126" t="s">
        <v>131</v>
      </c>
      <c r="O1073" s="120" t="s">
        <v>455</v>
      </c>
      <c r="P1073" s="258">
        <f t="shared" si="139"/>
        <v>49.55</v>
      </c>
      <c r="Q1073" s="120" t="s">
        <v>131</v>
      </c>
      <c r="R1073" s="129">
        <f t="shared" si="138"/>
        <v>49.55</v>
      </c>
      <c r="AC1073" s="116"/>
      <c r="AD1073" s="121" t="s">
        <v>4259</v>
      </c>
      <c r="AF1073" s="117"/>
      <c r="AG1073" s="129">
        <f>SUM(AG1062:AG1072)</f>
        <v>9465.7099999999991</v>
      </c>
    </row>
    <row r="1074" spans="6:33" ht="24" customHeight="1">
      <c r="F1074" s="129">
        <v>3</v>
      </c>
      <c r="G1074" s="126" t="s">
        <v>131</v>
      </c>
      <c r="H1074" s="120" t="s">
        <v>1502</v>
      </c>
      <c r="I1074" s="129">
        <f>C282</f>
        <v>49.35</v>
      </c>
      <c r="J1074" s="120" t="s">
        <v>131</v>
      </c>
      <c r="K1074" s="129">
        <f t="shared" si="140"/>
        <v>148.05000000000001</v>
      </c>
      <c r="M1074" s="129">
        <v>58</v>
      </c>
      <c r="N1074" s="116"/>
      <c r="O1074" s="120" t="s">
        <v>4245</v>
      </c>
      <c r="P1074" s="258">
        <f>I1078</f>
        <v>2.41</v>
      </c>
      <c r="Q1074" s="117"/>
      <c r="R1074" s="129">
        <f t="shared" si="138"/>
        <v>139.78</v>
      </c>
      <c r="AC1074" s="126" t="s">
        <v>85</v>
      </c>
      <c r="AF1074" s="117"/>
      <c r="AG1074" s="123" t="s">
        <v>52</v>
      </c>
    </row>
    <row r="1075" spans="6:33" ht="24" customHeight="1">
      <c r="F1075" s="129">
        <v>2</v>
      </c>
      <c r="G1075" s="126" t="s">
        <v>131</v>
      </c>
      <c r="H1075" s="120" t="s">
        <v>1504</v>
      </c>
      <c r="I1075" s="129">
        <f>C285</f>
        <v>39.700000000000003</v>
      </c>
      <c r="J1075" s="120" t="s">
        <v>131</v>
      </c>
      <c r="K1075" s="129">
        <f t="shared" si="140"/>
        <v>79.400000000000006</v>
      </c>
      <c r="N1075" s="116"/>
      <c r="O1075" s="121" t="s">
        <v>4260</v>
      </c>
      <c r="Q1075" s="117"/>
      <c r="R1075" s="129">
        <f>SUM(R1064:R1074)</f>
        <v>6585.27</v>
      </c>
      <c r="AC1075" s="116"/>
      <c r="AD1075" s="128" t="s">
        <v>460</v>
      </c>
      <c r="AF1075" s="117"/>
      <c r="AG1075" s="127">
        <f>AG1073/AB1065</f>
        <v>4197.6499999999996</v>
      </c>
    </row>
    <row r="1076" spans="6:33" ht="24" customHeight="1">
      <c r="F1076" s="129">
        <v>1</v>
      </c>
      <c r="G1076" s="126" t="s">
        <v>131</v>
      </c>
      <c r="H1076" s="120" t="s">
        <v>1506</v>
      </c>
      <c r="I1076" s="244">
        <f>I1060</f>
        <v>7.3</v>
      </c>
      <c r="J1076" s="120" t="s">
        <v>131</v>
      </c>
      <c r="K1076" s="129">
        <f t="shared" si="140"/>
        <v>7.3</v>
      </c>
      <c r="N1076" s="126" t="s">
        <v>85</v>
      </c>
      <c r="Q1076" s="117"/>
      <c r="R1076" s="123" t="s">
        <v>52</v>
      </c>
      <c r="AC1076" s="116"/>
      <c r="AF1076" s="117"/>
      <c r="AG1076" s="123" t="s">
        <v>89</v>
      </c>
    </row>
    <row r="1077" spans="6:33" ht="24" customHeight="1">
      <c r="F1077" s="129">
        <v>1</v>
      </c>
      <c r="G1077" s="126" t="s">
        <v>131</v>
      </c>
      <c r="H1077" s="120" t="s">
        <v>1508</v>
      </c>
      <c r="I1077" s="129">
        <f>C292</f>
        <v>8.9</v>
      </c>
      <c r="J1077" s="120" t="s">
        <v>131</v>
      </c>
      <c r="K1077" s="129">
        <f t="shared" si="140"/>
        <v>8.9</v>
      </c>
      <c r="N1077" s="116"/>
      <c r="O1077" s="128" t="s">
        <v>460</v>
      </c>
      <c r="Q1077" s="117"/>
      <c r="R1077" s="127">
        <f>R1075/M1067</f>
        <v>3569.25</v>
      </c>
      <c r="AE1077" s="137"/>
    </row>
    <row r="1078" spans="6:33" ht="24" customHeight="1">
      <c r="F1078" s="129">
        <v>24</v>
      </c>
      <c r="H1078" s="120" t="s">
        <v>3121</v>
      </c>
      <c r="I1078" s="115">
        <f>I1063</f>
        <v>2.41</v>
      </c>
      <c r="J1078" s="120" t="s">
        <v>131</v>
      </c>
      <c r="K1078" s="129">
        <f t="shared" si="140"/>
        <v>57.84</v>
      </c>
      <c r="N1078" s="116"/>
      <c r="Q1078" s="117"/>
      <c r="R1078" s="123" t="s">
        <v>89</v>
      </c>
      <c r="AE1078" s="137"/>
    </row>
    <row r="1079" spans="6:33" ht="24" customHeight="1">
      <c r="H1079" s="121" t="s">
        <v>1511</v>
      </c>
      <c r="K1079" s="129">
        <f>SUM(K1071:K1078)</f>
        <v>1744.08</v>
      </c>
      <c r="AE1079" s="137"/>
    </row>
    <row r="1080" spans="6:33" ht="24" customHeight="1">
      <c r="K1080" s="123" t="s">
        <v>52</v>
      </c>
      <c r="AE1080" s="137"/>
    </row>
    <row r="1081" spans="6:33" ht="24" customHeight="1">
      <c r="H1081" s="128" t="s">
        <v>460</v>
      </c>
      <c r="I1081" s="120" t="s">
        <v>85</v>
      </c>
      <c r="K1081" s="127">
        <f>K1079/F1073</f>
        <v>3659.42</v>
      </c>
      <c r="AE1081" s="137"/>
    </row>
    <row r="1082" spans="6:33" ht="24" customHeight="1">
      <c r="K1082" s="123" t="s">
        <v>89</v>
      </c>
      <c r="AE1082" s="137"/>
    </row>
    <row r="1083" spans="6:33" ht="24" customHeight="1">
      <c r="F1083" s="121" t="s">
        <v>1515</v>
      </c>
      <c r="G1083" s="126" t="s">
        <v>111</v>
      </c>
      <c r="H1083" s="120" t="s">
        <v>1492</v>
      </c>
      <c r="AE1083" s="137"/>
    </row>
    <row r="1084" spans="6:33" ht="24" customHeight="1">
      <c r="H1084" s="120" t="s">
        <v>1516</v>
      </c>
      <c r="N1084" s="120" t="s">
        <v>1307</v>
      </c>
      <c r="AE1084" s="137"/>
    </row>
    <row r="1085" spans="6:33" ht="24" customHeight="1">
      <c r="H1085" s="123" t="s">
        <v>52</v>
      </c>
      <c r="N1085" s="120" t="s">
        <v>1309</v>
      </c>
      <c r="AE1085" s="137"/>
    </row>
    <row r="1086" spans="6:33" ht="24" customHeight="1">
      <c r="F1086" s="259">
        <v>5.4000000000000003E-3</v>
      </c>
      <c r="G1086" s="126" t="s">
        <v>34</v>
      </c>
      <c r="H1086" s="120" t="s">
        <v>1497</v>
      </c>
      <c r="I1086" s="129">
        <f>C89</f>
        <v>99400</v>
      </c>
      <c r="J1086" s="120" t="s">
        <v>132</v>
      </c>
      <c r="K1086" s="129">
        <f t="shared" ref="K1086:K1093" si="141">(F1086*I1086)</f>
        <v>536.76</v>
      </c>
      <c r="N1086" s="120" t="s">
        <v>4261</v>
      </c>
      <c r="AE1086" s="137"/>
    </row>
    <row r="1087" spans="6:33" ht="24" customHeight="1">
      <c r="F1087" s="259">
        <v>0.23871000000000001</v>
      </c>
      <c r="G1087" s="126" t="s">
        <v>425</v>
      </c>
      <c r="H1087" s="191" t="str">
        <f>H1072</f>
        <v>frosted glass 4mmthick</v>
      </c>
      <c r="I1087" s="244">
        <f>I1072</f>
        <v>208.8</v>
      </c>
      <c r="J1087" s="120" t="s">
        <v>132</v>
      </c>
      <c r="K1087" s="129">
        <f t="shared" si="141"/>
        <v>49.84</v>
      </c>
      <c r="AE1087" s="137"/>
    </row>
    <row r="1088" spans="6:33" ht="24" customHeight="1">
      <c r="F1088" s="259">
        <v>0.36199999999999999</v>
      </c>
      <c r="G1088" s="126" t="s">
        <v>425</v>
      </c>
      <c r="H1088" s="120" t="s">
        <v>449</v>
      </c>
      <c r="I1088" s="129">
        <f>D31</f>
        <v>1498.2</v>
      </c>
      <c r="J1088" s="120" t="s">
        <v>425</v>
      </c>
      <c r="K1088" s="129">
        <f t="shared" si="141"/>
        <v>542.35</v>
      </c>
      <c r="AE1088" s="137"/>
    </row>
    <row r="1089" spans="6:31" ht="24" customHeight="1">
      <c r="F1089" s="129">
        <v>3</v>
      </c>
      <c r="G1089" s="126" t="s">
        <v>131</v>
      </c>
      <c r="H1089" s="120" t="s">
        <v>1502</v>
      </c>
      <c r="I1089" s="129">
        <f>C282</f>
        <v>49.35</v>
      </c>
      <c r="J1089" s="120" t="s">
        <v>131</v>
      </c>
      <c r="K1089" s="129">
        <f t="shared" si="141"/>
        <v>148.05000000000001</v>
      </c>
      <c r="M1089" s="202">
        <v>2.2800000000000001E-2</v>
      </c>
      <c r="N1089" s="126" t="s">
        <v>132</v>
      </c>
      <c r="O1089" s="120" t="s">
        <v>1332</v>
      </c>
      <c r="P1089" s="129">
        <f>I1053</f>
        <v>111600</v>
      </c>
      <c r="Q1089" s="120" t="s">
        <v>132</v>
      </c>
      <c r="R1089" s="129">
        <f>P1089*M1089</f>
        <v>2544.48</v>
      </c>
      <c r="AE1089" s="137"/>
    </row>
    <row r="1090" spans="6:31" ht="24" customHeight="1">
      <c r="F1090" s="129">
        <v>2</v>
      </c>
      <c r="G1090" s="126" t="s">
        <v>131</v>
      </c>
      <c r="H1090" s="120" t="s">
        <v>1504</v>
      </c>
      <c r="I1090" s="129">
        <f>C285</f>
        <v>39.700000000000003</v>
      </c>
      <c r="J1090" s="120" t="s">
        <v>131</v>
      </c>
      <c r="K1090" s="129">
        <f t="shared" si="141"/>
        <v>79.400000000000006</v>
      </c>
      <c r="M1090" s="202">
        <v>4.2999999999999997E-2</v>
      </c>
      <c r="N1090" s="126" t="s">
        <v>132</v>
      </c>
      <c r="O1090" s="120" t="s">
        <v>1334</v>
      </c>
      <c r="P1090" s="129">
        <f>I1054</f>
        <v>99400</v>
      </c>
      <c r="Q1090" s="120" t="s">
        <v>132</v>
      </c>
      <c r="R1090" s="129">
        <f t="shared" ref="R1090:R1100" si="142">P1090*M1090</f>
        <v>4274.2</v>
      </c>
      <c r="AE1090" s="137"/>
    </row>
    <row r="1091" spans="6:31" ht="24" customHeight="1">
      <c r="F1091" s="129">
        <v>1</v>
      </c>
      <c r="G1091" s="126" t="s">
        <v>131</v>
      </c>
      <c r="H1091" s="120" t="s">
        <v>1506</v>
      </c>
      <c r="I1091" s="244">
        <f>I1076</f>
        <v>7.3</v>
      </c>
      <c r="J1091" s="120" t="s">
        <v>131</v>
      </c>
      <c r="K1091" s="129">
        <f t="shared" si="141"/>
        <v>7.3</v>
      </c>
      <c r="M1091" s="202">
        <v>4.0800000000000003E-2</v>
      </c>
      <c r="N1091" s="126" t="s">
        <v>132</v>
      </c>
      <c r="O1091" s="120" t="s">
        <v>1336</v>
      </c>
      <c r="P1091" s="129">
        <f>I1017</f>
        <v>95000</v>
      </c>
      <c r="Q1091" s="120" t="s">
        <v>132</v>
      </c>
      <c r="R1091" s="129">
        <f t="shared" si="142"/>
        <v>3876</v>
      </c>
      <c r="AE1091" s="137"/>
    </row>
    <row r="1092" spans="6:31" ht="24" customHeight="1">
      <c r="F1092" s="129">
        <v>1</v>
      </c>
      <c r="G1092" s="126" t="s">
        <v>131</v>
      </c>
      <c r="H1092" s="120" t="s">
        <v>1508</v>
      </c>
      <c r="I1092" s="129">
        <f>C292</f>
        <v>8.9</v>
      </c>
      <c r="J1092" s="120" t="s">
        <v>131</v>
      </c>
      <c r="K1092" s="129">
        <f t="shared" si="141"/>
        <v>8.9</v>
      </c>
      <c r="M1092" s="202"/>
      <c r="N1092" s="116"/>
      <c r="O1092" s="120" t="s">
        <v>2180</v>
      </c>
      <c r="P1092" s="129"/>
      <c r="Q1092" s="117"/>
      <c r="R1092" s="129">
        <f t="shared" si="142"/>
        <v>0</v>
      </c>
      <c r="AE1092" s="137"/>
    </row>
    <row r="1093" spans="6:31" ht="24" customHeight="1">
      <c r="F1093" s="129">
        <v>10</v>
      </c>
      <c r="H1093" s="120" t="s">
        <v>3121</v>
      </c>
      <c r="I1093" s="129">
        <f>I1078</f>
        <v>2.41</v>
      </c>
      <c r="J1093" s="120" t="s">
        <v>131</v>
      </c>
      <c r="K1093" s="129">
        <f t="shared" si="141"/>
        <v>24.1</v>
      </c>
      <c r="M1093" s="202">
        <v>3.4424999999999999</v>
      </c>
      <c r="N1093" s="126" t="s">
        <v>425</v>
      </c>
      <c r="O1093" s="120" t="s">
        <v>1340</v>
      </c>
      <c r="P1093" s="129">
        <f>I1019</f>
        <v>1602.7</v>
      </c>
      <c r="Q1093" s="120" t="s">
        <v>425</v>
      </c>
      <c r="R1093" s="129">
        <f t="shared" si="142"/>
        <v>5517.29</v>
      </c>
      <c r="AE1093" s="137"/>
    </row>
    <row r="1094" spans="6:31" ht="24" customHeight="1">
      <c r="K1094" s="123" t="s">
        <v>52</v>
      </c>
      <c r="M1094" s="129">
        <v>2</v>
      </c>
      <c r="N1094" s="126" t="s">
        <v>237</v>
      </c>
      <c r="O1094" s="120" t="s">
        <v>4238</v>
      </c>
      <c r="P1094" s="129">
        <f t="shared" ref="P1094:P1099" si="143">I1020</f>
        <v>57.65</v>
      </c>
      <c r="Q1094" s="120" t="s">
        <v>131</v>
      </c>
      <c r="R1094" s="129">
        <f t="shared" si="142"/>
        <v>115.3</v>
      </c>
      <c r="AE1094" s="137"/>
    </row>
    <row r="1095" spans="6:31" ht="24" customHeight="1">
      <c r="H1095" s="121" t="s">
        <v>1517</v>
      </c>
      <c r="K1095" s="129">
        <f>SUM(K1082:K1093)</f>
        <v>1396.7</v>
      </c>
      <c r="M1095" s="129">
        <v>6</v>
      </c>
      <c r="N1095" s="126" t="s">
        <v>131</v>
      </c>
      <c r="O1095" s="120" t="s">
        <v>1344</v>
      </c>
      <c r="P1095" s="129">
        <f t="shared" si="143"/>
        <v>89.6</v>
      </c>
      <c r="Q1095" s="120" t="s">
        <v>131</v>
      </c>
      <c r="R1095" s="129">
        <f t="shared" si="142"/>
        <v>537.6</v>
      </c>
      <c r="AE1095" s="137"/>
    </row>
    <row r="1096" spans="6:31" ht="24" customHeight="1">
      <c r="K1096" s="123" t="s">
        <v>52</v>
      </c>
      <c r="M1096" s="129">
        <v>4</v>
      </c>
      <c r="N1096" s="126" t="s">
        <v>131</v>
      </c>
      <c r="O1096" s="120" t="s">
        <v>1346</v>
      </c>
      <c r="P1096" s="129">
        <f t="shared" si="143"/>
        <v>64.8</v>
      </c>
      <c r="Q1096" s="120" t="s">
        <v>131</v>
      </c>
      <c r="R1096" s="129">
        <f t="shared" si="142"/>
        <v>259.2</v>
      </c>
      <c r="AE1096" s="137"/>
    </row>
    <row r="1097" spans="6:31" ht="24" customHeight="1">
      <c r="H1097" s="128" t="s">
        <v>460</v>
      </c>
      <c r="I1097" s="120" t="s">
        <v>85</v>
      </c>
      <c r="K1097" s="127">
        <f>K1095/F1088</f>
        <v>3858.29</v>
      </c>
      <c r="M1097" s="129">
        <v>1</v>
      </c>
      <c r="N1097" s="126" t="s">
        <v>131</v>
      </c>
      <c r="O1097" s="120" t="s">
        <v>1348</v>
      </c>
      <c r="P1097" s="129">
        <f t="shared" si="143"/>
        <v>181</v>
      </c>
      <c r="Q1097" s="120" t="s">
        <v>131</v>
      </c>
      <c r="R1097" s="129">
        <f t="shared" si="142"/>
        <v>181</v>
      </c>
      <c r="AE1097" s="137"/>
    </row>
    <row r="1098" spans="6:31" ht="24" customHeight="1">
      <c r="K1098" s="123" t="s">
        <v>89</v>
      </c>
      <c r="M1098" s="129">
        <v>2</v>
      </c>
      <c r="N1098" s="126" t="s">
        <v>131</v>
      </c>
      <c r="O1098" s="120" t="s">
        <v>1350</v>
      </c>
      <c r="P1098" s="129">
        <f t="shared" si="143"/>
        <v>7.3</v>
      </c>
      <c r="Q1098" s="120" t="s">
        <v>131</v>
      </c>
      <c r="R1098" s="129">
        <f t="shared" si="142"/>
        <v>14.6</v>
      </c>
      <c r="AE1098" s="137"/>
    </row>
    <row r="1099" spans="6:31" ht="24" customHeight="1">
      <c r="F1099" s="121" t="s">
        <v>1518</v>
      </c>
      <c r="G1099" s="126" t="s">
        <v>111</v>
      </c>
      <c r="H1099" s="120" t="s">
        <v>1519</v>
      </c>
      <c r="M1099" s="129">
        <v>2</v>
      </c>
      <c r="N1099" s="126" t="s">
        <v>131</v>
      </c>
      <c r="O1099" s="120" t="s">
        <v>455</v>
      </c>
      <c r="P1099" s="129">
        <f t="shared" si="143"/>
        <v>49.55</v>
      </c>
      <c r="Q1099" s="120" t="s">
        <v>131</v>
      </c>
      <c r="R1099" s="129">
        <f t="shared" si="142"/>
        <v>99.1</v>
      </c>
      <c r="AE1099" s="137"/>
    </row>
    <row r="1100" spans="6:31" ht="24" customHeight="1">
      <c r="H1100" s="120" t="s">
        <v>1520</v>
      </c>
      <c r="M1100" s="129">
        <v>10</v>
      </c>
      <c r="N1100" s="116"/>
      <c r="O1100" s="120" t="s">
        <v>4245</v>
      </c>
      <c r="P1100" s="129">
        <f>P1074</f>
        <v>2.41</v>
      </c>
      <c r="Q1100" s="117"/>
      <c r="R1100" s="129">
        <f t="shared" si="142"/>
        <v>24.1</v>
      </c>
      <c r="AE1100" s="137"/>
    </row>
    <row r="1101" spans="6:31" ht="24" customHeight="1">
      <c r="H1101" s="123" t="s">
        <v>52</v>
      </c>
      <c r="N1101" s="116"/>
      <c r="O1101" s="120" t="s">
        <v>1398</v>
      </c>
      <c r="Q1101" s="117"/>
      <c r="R1101" s="129">
        <f>SUM(R1089:R1100)+0.31</f>
        <v>17443.18</v>
      </c>
      <c r="AE1101" s="137"/>
    </row>
    <row r="1102" spans="6:31" ht="24" customHeight="1">
      <c r="F1102" s="259">
        <v>5.3E-3</v>
      </c>
      <c r="G1102" s="126" t="s">
        <v>34</v>
      </c>
      <c r="H1102" s="120" t="s">
        <v>1497</v>
      </c>
      <c r="I1102" s="129">
        <f>C89</f>
        <v>99400</v>
      </c>
      <c r="J1102" s="120" t="s">
        <v>132</v>
      </c>
      <c r="K1102" s="129">
        <f t="shared" ref="K1102:K1108" si="144">(F1102*I1102)</f>
        <v>526.82000000000005</v>
      </c>
      <c r="N1102" s="116"/>
      <c r="Q1102" s="117"/>
      <c r="R1102" s="123" t="s">
        <v>52</v>
      </c>
      <c r="AE1102" s="137"/>
    </row>
    <row r="1103" spans="6:31" ht="24" customHeight="1">
      <c r="F1103" s="259">
        <v>0.27450000000000002</v>
      </c>
      <c r="G1103" s="126" t="s">
        <v>425</v>
      </c>
      <c r="H1103" s="120" t="str">
        <f>H1087</f>
        <v>frosted glass 4mmthick</v>
      </c>
      <c r="I1103" s="140">
        <f>I1072</f>
        <v>208.8</v>
      </c>
      <c r="J1103" s="120" t="s">
        <v>132</v>
      </c>
      <c r="K1103" s="129">
        <f t="shared" si="144"/>
        <v>57.32</v>
      </c>
      <c r="N1103" s="116"/>
      <c r="O1103" s="128" t="s">
        <v>460</v>
      </c>
      <c r="Q1103" s="117"/>
      <c r="R1103" s="127">
        <f>R1101/M1093</f>
        <v>5067.01</v>
      </c>
      <c r="AE1103" s="137"/>
    </row>
    <row r="1104" spans="6:31" ht="24" customHeight="1">
      <c r="F1104" s="259">
        <v>0.4</v>
      </c>
      <c r="G1104" s="126" t="s">
        <v>425</v>
      </c>
      <c r="H1104" s="120" t="s">
        <v>449</v>
      </c>
      <c r="I1104" s="129">
        <f>D32</f>
        <v>1248.5</v>
      </c>
      <c r="J1104" s="120" t="s">
        <v>425</v>
      </c>
      <c r="K1104" s="129">
        <f t="shared" si="144"/>
        <v>499.4</v>
      </c>
      <c r="N1104" s="116"/>
      <c r="Q1104" s="117"/>
      <c r="R1104" s="123" t="s">
        <v>89</v>
      </c>
      <c r="AE1104" s="137"/>
    </row>
    <row r="1105" spans="6:31" ht="24" customHeight="1">
      <c r="F1105" s="129">
        <v>2</v>
      </c>
      <c r="G1105" s="126" t="s">
        <v>1521</v>
      </c>
      <c r="H1105" s="120" t="s">
        <v>1522</v>
      </c>
      <c r="I1105" s="129">
        <f>C305</f>
        <v>8.5</v>
      </c>
      <c r="J1105" s="120" t="s">
        <v>1521</v>
      </c>
      <c r="K1105" s="129">
        <f t="shared" si="144"/>
        <v>17</v>
      </c>
      <c r="AE1105" s="137"/>
    </row>
    <row r="1106" spans="6:31" ht="24" customHeight="1">
      <c r="F1106" s="129">
        <v>1</v>
      </c>
      <c r="G1106" s="126" t="s">
        <v>131</v>
      </c>
      <c r="H1106" s="120" t="s">
        <v>1523</v>
      </c>
      <c r="I1106" s="129">
        <f>C293</f>
        <v>6.1</v>
      </c>
      <c r="J1106" s="120" t="s">
        <v>131</v>
      </c>
      <c r="K1106" s="129">
        <f t="shared" si="144"/>
        <v>6.1</v>
      </c>
      <c r="AE1106" s="137"/>
    </row>
    <row r="1107" spans="6:31" ht="24" customHeight="1">
      <c r="F1107" s="129">
        <v>1</v>
      </c>
      <c r="G1107" s="126" t="s">
        <v>131</v>
      </c>
      <c r="H1107" s="120" t="s">
        <v>1524</v>
      </c>
      <c r="I1107" s="140">
        <f>C291</f>
        <v>11.8</v>
      </c>
      <c r="J1107" s="120" t="s">
        <v>131</v>
      </c>
      <c r="K1107" s="129">
        <f t="shared" si="144"/>
        <v>11.8</v>
      </c>
      <c r="O1107" s="120" t="s">
        <v>3110</v>
      </c>
      <c r="AE1107" s="137"/>
    </row>
    <row r="1108" spans="6:31" ht="24" customHeight="1">
      <c r="F1108" s="129">
        <v>10</v>
      </c>
      <c r="H1108" s="120" t="s">
        <v>3121</v>
      </c>
      <c r="I1108" s="129">
        <f>I1093</f>
        <v>2.41</v>
      </c>
      <c r="J1108" s="120" t="s">
        <v>131</v>
      </c>
      <c r="K1108" s="129">
        <f t="shared" si="144"/>
        <v>24.1</v>
      </c>
      <c r="AE1108" s="137"/>
    </row>
    <row r="1109" spans="6:31" ht="24" customHeight="1">
      <c r="K1109" s="123" t="s">
        <v>52</v>
      </c>
      <c r="AE1109" s="137"/>
    </row>
    <row r="1110" spans="6:31" ht="24" customHeight="1">
      <c r="H1110" s="121" t="s">
        <v>4262</v>
      </c>
      <c r="K1110" s="129">
        <f>SUM(K1098:K1108)</f>
        <v>1142.54</v>
      </c>
      <c r="AE1110" s="137"/>
    </row>
    <row r="1111" spans="6:31" ht="24" customHeight="1">
      <c r="K1111" s="123" t="s">
        <v>52</v>
      </c>
      <c r="M1111" s="224">
        <v>2.2800000000000001E-2</v>
      </c>
      <c r="N1111" s="116" t="s">
        <v>132</v>
      </c>
      <c r="O1111" s="115" t="s">
        <v>3112</v>
      </c>
      <c r="P1111" s="115">
        <f>P1089</f>
        <v>111600</v>
      </c>
      <c r="Q1111" s="117" t="s">
        <v>132</v>
      </c>
      <c r="R1111" s="115">
        <f>P1111*M1111</f>
        <v>2544.48</v>
      </c>
      <c r="AE1111" s="137"/>
    </row>
    <row r="1112" spans="6:31" ht="24" customHeight="1">
      <c r="H1112" s="128" t="s">
        <v>460</v>
      </c>
      <c r="I1112" s="120" t="s">
        <v>85</v>
      </c>
      <c r="K1112" s="127">
        <f>K1110/F1104</f>
        <v>2856.35</v>
      </c>
      <c r="M1112" s="224">
        <v>3.5400000000000001E-2</v>
      </c>
      <c r="N1112" s="116" t="s">
        <v>132</v>
      </c>
      <c r="O1112" s="115" t="s">
        <v>3113</v>
      </c>
      <c r="P1112" s="115">
        <f>P1090</f>
        <v>99400</v>
      </c>
      <c r="Q1112" s="117" t="s">
        <v>132</v>
      </c>
      <c r="R1112" s="115">
        <f t="shared" ref="R1112:R1121" si="145">P1112*M1112</f>
        <v>3518.76</v>
      </c>
      <c r="AE1112" s="137"/>
    </row>
    <row r="1113" spans="6:31" ht="24" customHeight="1">
      <c r="F1113" s="120" t="s">
        <v>85</v>
      </c>
      <c r="M1113" s="267">
        <v>3.2300000000000002E-2</v>
      </c>
      <c r="N1113" s="116" t="s">
        <v>132</v>
      </c>
      <c r="O1113" s="115" t="s">
        <v>4263</v>
      </c>
      <c r="P1113" s="115">
        <f>P1091</f>
        <v>95000</v>
      </c>
      <c r="Q1113" s="117" t="s">
        <v>132</v>
      </c>
      <c r="R1113" s="115">
        <f t="shared" si="145"/>
        <v>3068.5</v>
      </c>
      <c r="AE1113" s="137"/>
    </row>
    <row r="1114" spans="6:31" ht="24" customHeight="1">
      <c r="K1114" s="123" t="s">
        <v>89</v>
      </c>
      <c r="M1114" s="118">
        <v>2.835</v>
      </c>
      <c r="N1114" s="116" t="s">
        <v>425</v>
      </c>
      <c r="O1114" s="115" t="s">
        <v>3115</v>
      </c>
      <c r="P1114" s="115">
        <f t="shared" ref="P1114:P1121" si="146">P1093</f>
        <v>1602.7</v>
      </c>
      <c r="Q1114" s="117" t="s">
        <v>425</v>
      </c>
      <c r="R1114" s="115">
        <f t="shared" si="145"/>
        <v>4543.6499999999996</v>
      </c>
      <c r="AE1114" s="137"/>
    </row>
    <row r="1115" spans="6:31" ht="24" customHeight="1">
      <c r="F1115" s="167">
        <v>22.3</v>
      </c>
      <c r="H1115" s="120" t="s">
        <v>1525</v>
      </c>
      <c r="L1115" s="120" t="s">
        <v>85</v>
      </c>
      <c r="M1115" s="115">
        <v>2</v>
      </c>
      <c r="N1115" s="116" t="s">
        <v>1572</v>
      </c>
      <c r="O1115" s="115" t="s">
        <v>4264</v>
      </c>
      <c r="P1115" s="115">
        <f t="shared" si="146"/>
        <v>57.65</v>
      </c>
      <c r="Q1115" s="117" t="s">
        <v>729</v>
      </c>
      <c r="R1115" s="115">
        <f t="shared" si="145"/>
        <v>115.3</v>
      </c>
      <c r="AE1115" s="137"/>
    </row>
    <row r="1116" spans="6:31" ht="24" customHeight="1">
      <c r="H1116" s="123" t="s">
        <v>52</v>
      </c>
      <c r="I1116" s="123" t="s">
        <v>52</v>
      </c>
      <c r="J1116" s="120" t="s">
        <v>52</v>
      </c>
      <c r="M1116" s="115">
        <v>6</v>
      </c>
      <c r="N1116" s="116" t="s">
        <v>1572</v>
      </c>
      <c r="O1116" s="115" t="s">
        <v>4265</v>
      </c>
      <c r="P1116" s="115">
        <f t="shared" si="146"/>
        <v>89.6</v>
      </c>
      <c r="Q1116" s="117" t="s">
        <v>729</v>
      </c>
      <c r="R1116" s="115">
        <f t="shared" si="145"/>
        <v>537.6</v>
      </c>
      <c r="AE1116" s="137"/>
    </row>
    <row r="1117" spans="6:31" ht="24" customHeight="1">
      <c r="M1117" s="115">
        <v>4</v>
      </c>
      <c r="N1117" s="116" t="s">
        <v>1572</v>
      </c>
      <c r="O1117" s="115" t="s">
        <v>4266</v>
      </c>
      <c r="P1117" s="115">
        <f t="shared" si="146"/>
        <v>64.8</v>
      </c>
      <c r="Q1117" s="117" t="s">
        <v>729</v>
      </c>
      <c r="R1117" s="115">
        <f t="shared" si="145"/>
        <v>259.2</v>
      </c>
      <c r="AE1117" s="137"/>
    </row>
    <row r="1118" spans="6:31" ht="24" customHeight="1">
      <c r="H1118" s="120" t="s">
        <v>1526</v>
      </c>
      <c r="M1118" s="115">
        <v>1</v>
      </c>
      <c r="N1118" s="116" t="s">
        <v>1572</v>
      </c>
      <c r="O1118" s="115" t="s">
        <v>4267</v>
      </c>
      <c r="P1118" s="115">
        <f t="shared" si="146"/>
        <v>181</v>
      </c>
      <c r="Q1118" s="117" t="s">
        <v>729</v>
      </c>
      <c r="R1118" s="115">
        <f t="shared" si="145"/>
        <v>181</v>
      </c>
      <c r="AE1118" s="137"/>
    </row>
    <row r="1119" spans="6:31" ht="24" customHeight="1">
      <c r="H1119" s="120" t="s">
        <v>1527</v>
      </c>
      <c r="M1119" s="115">
        <v>2</v>
      </c>
      <c r="N1119" s="116" t="s">
        <v>1572</v>
      </c>
      <c r="O1119" s="115" t="s">
        <v>453</v>
      </c>
      <c r="P1119" s="115">
        <f t="shared" si="146"/>
        <v>7.3</v>
      </c>
      <c r="Q1119" s="117" t="s">
        <v>729</v>
      </c>
      <c r="R1119" s="115">
        <f t="shared" si="145"/>
        <v>14.6</v>
      </c>
      <c r="AE1119" s="137"/>
    </row>
    <row r="1120" spans="6:31" ht="24" customHeight="1">
      <c r="H1120" s="120" t="s">
        <v>1528</v>
      </c>
      <c r="M1120" s="115">
        <v>2</v>
      </c>
      <c r="N1120" s="116" t="s">
        <v>1572</v>
      </c>
      <c r="O1120" s="115" t="s">
        <v>455</v>
      </c>
      <c r="P1120" s="115">
        <f t="shared" si="146"/>
        <v>49.55</v>
      </c>
      <c r="Q1120" s="117" t="s">
        <v>729</v>
      </c>
      <c r="R1120" s="115">
        <f t="shared" si="145"/>
        <v>99.1</v>
      </c>
      <c r="AE1120" s="137"/>
    </row>
    <row r="1121" spans="6:62" ht="24" customHeight="1">
      <c r="H1121" s="120" t="s">
        <v>1529</v>
      </c>
      <c r="M1121" s="129">
        <v>118</v>
      </c>
      <c r="N1121" s="116"/>
      <c r="O1121" s="120" t="s">
        <v>4245</v>
      </c>
      <c r="P1121" s="129">
        <f t="shared" si="146"/>
        <v>2.41</v>
      </c>
      <c r="Q1121" s="117"/>
      <c r="R1121" s="129">
        <f t="shared" si="145"/>
        <v>284.38</v>
      </c>
      <c r="AE1121" s="137"/>
    </row>
    <row r="1122" spans="6:62" ht="24" customHeight="1">
      <c r="H1122" s="120" t="s">
        <v>1530</v>
      </c>
      <c r="N1122" s="200"/>
      <c r="O1122" s="114" t="s">
        <v>460</v>
      </c>
      <c r="Q1122" s="117"/>
      <c r="R1122" s="114">
        <f>SUM(R1111:R1121)</f>
        <v>15166.57</v>
      </c>
      <c r="AE1122" s="137"/>
    </row>
    <row r="1123" spans="6:62" ht="24" customHeight="1">
      <c r="J1123" s="120" t="s">
        <v>85</v>
      </c>
      <c r="K1123" s="202">
        <v>3.32E-2</v>
      </c>
      <c r="N1123" s="200"/>
      <c r="O1123" s="114"/>
      <c r="Q1123" s="117"/>
      <c r="R1123" s="1167" t="s">
        <v>2163</v>
      </c>
      <c r="AE1123" s="137"/>
      <c r="BJ1123" s="115" t="s">
        <v>4268</v>
      </c>
    </row>
    <row r="1124" spans="6:62" ht="24" customHeight="1">
      <c r="H1124" s="120" t="s">
        <v>1531</v>
      </c>
      <c r="J1124" s="254" t="s">
        <v>85</v>
      </c>
      <c r="K1124" s="254" t="s">
        <v>85</v>
      </c>
      <c r="N1124" s="200"/>
      <c r="O1124" s="114" t="s">
        <v>3122</v>
      </c>
      <c r="Q1124" s="117"/>
      <c r="R1124" s="114">
        <f>R1122/2.835</f>
        <v>5349.76</v>
      </c>
      <c r="AE1124" s="137"/>
    </row>
    <row r="1125" spans="6:62" ht="24" customHeight="1">
      <c r="H1125" s="120" t="s">
        <v>1532</v>
      </c>
      <c r="K1125" s="254" t="s">
        <v>85</v>
      </c>
      <c r="N1125" s="200"/>
      <c r="Q1125" s="117"/>
      <c r="R1125" s="1167" t="s">
        <v>2163</v>
      </c>
      <c r="AE1125" s="137"/>
    </row>
    <row r="1126" spans="6:62" ht="24" customHeight="1">
      <c r="AE1126" s="137"/>
    </row>
    <row r="1127" spans="6:62" ht="24" customHeight="1">
      <c r="F1127" s="259">
        <v>1.18E-2</v>
      </c>
      <c r="G1127" s="126" t="s">
        <v>132</v>
      </c>
      <c r="H1127" s="120" t="s">
        <v>446</v>
      </c>
      <c r="I1127" s="129">
        <f>C88</f>
        <v>111600</v>
      </c>
      <c r="J1127" s="120" t="s">
        <v>132</v>
      </c>
      <c r="K1127" s="129">
        <f t="shared" ref="K1127:K1136" si="147">(F1127*I1127)</f>
        <v>1316.88</v>
      </c>
      <c r="AE1127" s="137"/>
    </row>
    <row r="1128" spans="6:62" ht="24" customHeight="1">
      <c r="F1128" s="259">
        <v>3.32E-2</v>
      </c>
      <c r="G1128" s="126" t="s">
        <v>132</v>
      </c>
      <c r="H1128" s="120" t="s">
        <v>447</v>
      </c>
      <c r="I1128" s="129">
        <f>C89</f>
        <v>99400</v>
      </c>
      <c r="J1128" s="120" t="s">
        <v>132</v>
      </c>
      <c r="K1128" s="129">
        <f t="shared" si="147"/>
        <v>3300.08</v>
      </c>
      <c r="AE1128" s="137"/>
    </row>
    <row r="1129" spans="6:62" ht="24" customHeight="1">
      <c r="F1129" s="259">
        <v>1.8550000000000001E-2</v>
      </c>
      <c r="G1129" s="126" t="s">
        <v>132</v>
      </c>
      <c r="H1129" s="120" t="s">
        <v>1533</v>
      </c>
      <c r="I1129" s="129">
        <f>C30</f>
        <v>14278</v>
      </c>
      <c r="J1129" s="120" t="s">
        <v>132</v>
      </c>
      <c r="K1129" s="129">
        <f t="shared" si="147"/>
        <v>264.86</v>
      </c>
      <c r="AE1129" s="137"/>
    </row>
    <row r="1130" spans="6:62" ht="24" customHeight="1">
      <c r="F1130" s="259">
        <v>1.46</v>
      </c>
      <c r="G1130" s="126" t="s">
        <v>425</v>
      </c>
      <c r="H1130" s="120" t="s">
        <v>1534</v>
      </c>
      <c r="I1130" s="268">
        <v>269.10000000000002</v>
      </c>
      <c r="J1130" s="120" t="s">
        <v>425</v>
      </c>
      <c r="K1130" s="129">
        <f t="shared" si="147"/>
        <v>392.89</v>
      </c>
      <c r="AE1130" s="137"/>
    </row>
    <row r="1131" spans="6:62" ht="24" customHeight="1">
      <c r="F1131" s="259">
        <v>2.0499999999999998</v>
      </c>
      <c r="G1131" s="126" t="s">
        <v>425</v>
      </c>
      <c r="H1131" s="120" t="s">
        <v>1535</v>
      </c>
      <c r="I1131" s="129">
        <f>D30</f>
        <v>1336.5</v>
      </c>
      <c r="J1131" s="120" t="s">
        <v>425</v>
      </c>
      <c r="K1131" s="129">
        <f t="shared" si="147"/>
        <v>2739.83</v>
      </c>
      <c r="AE1131" s="137"/>
    </row>
    <row r="1132" spans="6:62" ht="24" customHeight="1">
      <c r="F1132" s="129">
        <v>2</v>
      </c>
      <c r="G1132" s="126" t="s">
        <v>131</v>
      </c>
      <c r="H1132" s="120" t="s">
        <v>1536</v>
      </c>
      <c r="I1132" s="129">
        <f>C285</f>
        <v>39.700000000000003</v>
      </c>
      <c r="J1132" s="120" t="s">
        <v>131</v>
      </c>
      <c r="K1132" s="129">
        <f t="shared" si="147"/>
        <v>79.400000000000006</v>
      </c>
      <c r="AE1132" s="137"/>
    </row>
    <row r="1133" spans="6:62" ht="24" customHeight="1">
      <c r="F1133" s="129">
        <v>6</v>
      </c>
      <c r="G1133" s="126" t="s">
        <v>131</v>
      </c>
      <c r="H1133" s="120" t="s">
        <v>1502</v>
      </c>
      <c r="I1133" s="129">
        <f>C282</f>
        <v>49.35</v>
      </c>
      <c r="J1133" s="120" t="s">
        <v>131</v>
      </c>
      <c r="K1133" s="129">
        <f t="shared" si="147"/>
        <v>296.10000000000002</v>
      </c>
      <c r="AE1133" s="137"/>
    </row>
    <row r="1134" spans="6:62" ht="24" customHeight="1">
      <c r="F1134" s="129">
        <v>2</v>
      </c>
      <c r="G1134" s="126" t="s">
        <v>131</v>
      </c>
      <c r="H1134" s="120" t="s">
        <v>4269</v>
      </c>
      <c r="I1134" s="136">
        <v>60.9</v>
      </c>
      <c r="J1134" s="120" t="s">
        <v>131</v>
      </c>
      <c r="K1134" s="129">
        <f t="shared" si="147"/>
        <v>121.8</v>
      </c>
      <c r="AE1134" s="137"/>
    </row>
    <row r="1135" spans="6:62" ht="24" customHeight="1">
      <c r="F1135" s="129">
        <v>1</v>
      </c>
      <c r="G1135" s="126" t="s">
        <v>131</v>
      </c>
      <c r="H1135" s="228" t="s">
        <v>4270</v>
      </c>
      <c r="I1135" s="228">
        <v>63.2</v>
      </c>
      <c r="J1135" s="120" t="s">
        <v>131</v>
      </c>
      <c r="K1135" s="129">
        <f t="shared" si="147"/>
        <v>63.2</v>
      </c>
      <c r="AE1135" s="137"/>
    </row>
    <row r="1136" spans="6:62" ht="24" customHeight="1">
      <c r="F1136" s="129">
        <v>2.52</v>
      </c>
      <c r="G1136" s="126" t="s">
        <v>425</v>
      </c>
      <c r="H1136" s="120" t="s">
        <v>1539</v>
      </c>
      <c r="I1136" s="129">
        <f>K1167</f>
        <v>201.2</v>
      </c>
      <c r="J1136" s="120" t="s">
        <v>425</v>
      </c>
      <c r="K1136" s="129">
        <f t="shared" si="147"/>
        <v>507.02</v>
      </c>
      <c r="AE1136" s="137"/>
    </row>
    <row r="1137" spans="6:31" ht="24" customHeight="1">
      <c r="H1137" s="120" t="s">
        <v>1540</v>
      </c>
      <c r="I1137" s="121" t="s">
        <v>145</v>
      </c>
      <c r="K1137" s="129">
        <v>0.21</v>
      </c>
      <c r="AE1137" s="137"/>
    </row>
    <row r="1138" spans="6:31" ht="24" customHeight="1">
      <c r="K1138" s="123" t="s">
        <v>52</v>
      </c>
      <c r="AE1138" s="137"/>
    </row>
    <row r="1139" spans="6:31" ht="24" customHeight="1">
      <c r="H1139" s="121" t="s">
        <v>1541</v>
      </c>
      <c r="K1139" s="129">
        <f>SUM(K1127:K1137)</f>
        <v>9082.27</v>
      </c>
      <c r="M1139" s="199" t="s">
        <v>4271</v>
      </c>
      <c r="N1139" s="199"/>
      <c r="O1139" s="199"/>
      <c r="P1139" s="199"/>
      <c r="Q1139" s="199"/>
      <c r="R1139" s="199"/>
      <c r="S1139" s="199"/>
      <c r="AE1139" s="137"/>
    </row>
    <row r="1140" spans="6:31" ht="24" customHeight="1">
      <c r="G1140" s="126" t="s">
        <v>85</v>
      </c>
      <c r="K1140" s="123" t="s">
        <v>52</v>
      </c>
      <c r="O1140" s="123" t="s">
        <v>52</v>
      </c>
      <c r="Q1140" s="117"/>
      <c r="AE1140" s="137"/>
    </row>
    <row r="1141" spans="6:31" ht="24" customHeight="1">
      <c r="H1141" s="128" t="s">
        <v>460</v>
      </c>
      <c r="K1141" s="127">
        <f>K1139/2.52</f>
        <v>3604.08</v>
      </c>
      <c r="N1141" s="118">
        <v>0.45300000000000001</v>
      </c>
      <c r="O1141" s="120" t="s">
        <v>1124</v>
      </c>
      <c r="P1141" s="129">
        <f>C73</f>
        <v>1729.98</v>
      </c>
      <c r="Q1141" s="120" t="s">
        <v>132</v>
      </c>
      <c r="R1141" s="129">
        <f>P1141*N1141</f>
        <v>783.68</v>
      </c>
      <c r="AE1141" s="137"/>
    </row>
    <row r="1142" spans="6:31" ht="24" customHeight="1">
      <c r="K1142" s="123" t="s">
        <v>89</v>
      </c>
      <c r="N1142" s="118">
        <v>0.30199999999999999</v>
      </c>
      <c r="O1142" s="120" t="s">
        <v>4272</v>
      </c>
      <c r="P1142" s="129">
        <f>C71</f>
        <v>1263.98</v>
      </c>
      <c r="Q1142" s="120" t="str">
        <f>Q1141</f>
        <v>CUM</v>
      </c>
      <c r="R1142" s="129">
        <f t="shared" ref="R1142:R1147" si="148">P1142*N1142</f>
        <v>381.72</v>
      </c>
      <c r="AE1142" s="137"/>
    </row>
    <row r="1143" spans="6:31" ht="24" customHeight="1">
      <c r="G1143" s="126" t="s">
        <v>111</v>
      </c>
      <c r="H1143" s="120" t="s">
        <v>1542</v>
      </c>
      <c r="N1143" s="115">
        <v>0.44</v>
      </c>
      <c r="O1143" s="120" t="s">
        <v>133</v>
      </c>
      <c r="P1143" s="129">
        <f>C78</f>
        <v>1642.42</v>
      </c>
      <c r="Q1143" s="120" t="s">
        <v>132</v>
      </c>
      <c r="R1143" s="129">
        <f t="shared" si="148"/>
        <v>722.66</v>
      </c>
      <c r="AE1143" s="137"/>
    </row>
    <row r="1144" spans="6:31" ht="24" customHeight="1">
      <c r="H1144" s="123" t="s">
        <v>52</v>
      </c>
      <c r="I1144" s="123" t="s">
        <v>52</v>
      </c>
      <c r="N1144" s="115">
        <v>0.37</v>
      </c>
      <c r="O1144" s="120" t="s">
        <v>38</v>
      </c>
      <c r="P1144" s="129">
        <f>I808</f>
        <v>6040</v>
      </c>
      <c r="Q1144" s="120" t="s">
        <v>11</v>
      </c>
      <c r="R1144" s="129">
        <f t="shared" si="148"/>
        <v>2234.8000000000002</v>
      </c>
      <c r="AE1144" s="137"/>
    </row>
    <row r="1145" spans="6:31" ht="24" customHeight="1">
      <c r="F1145" s="129">
        <v>0.77</v>
      </c>
      <c r="G1145" s="126" t="s">
        <v>1543</v>
      </c>
      <c r="H1145" s="120" t="s">
        <v>1544</v>
      </c>
      <c r="I1145" s="129">
        <f>C194</f>
        <v>271.2</v>
      </c>
      <c r="J1145" s="120" t="s">
        <v>1543</v>
      </c>
      <c r="K1145" s="129">
        <f>(F1145*I1145)</f>
        <v>208.82</v>
      </c>
      <c r="N1145" s="115">
        <v>0.35</v>
      </c>
      <c r="O1145" s="120" t="s">
        <v>42</v>
      </c>
      <c r="P1145" s="129">
        <f>C11</f>
        <v>972.4</v>
      </c>
      <c r="Q1145" s="120" t="s">
        <v>131</v>
      </c>
      <c r="R1145" s="129">
        <f t="shared" si="148"/>
        <v>340.34</v>
      </c>
      <c r="AE1145" s="137"/>
    </row>
    <row r="1146" spans="6:31" ht="24" customHeight="1">
      <c r="F1146" s="129">
        <v>0.61</v>
      </c>
      <c r="G1146" s="126" t="s">
        <v>1543</v>
      </c>
      <c r="H1146" s="120" t="s">
        <v>1545</v>
      </c>
      <c r="I1146" s="129">
        <f>C193</f>
        <v>25</v>
      </c>
      <c r="J1146" s="120" t="s">
        <v>1543</v>
      </c>
      <c r="K1146" s="129">
        <f>(F1146*I1146)</f>
        <v>15.25</v>
      </c>
      <c r="N1146" s="115">
        <v>2.12</v>
      </c>
      <c r="O1146" s="120" t="s">
        <v>2199</v>
      </c>
      <c r="P1146" s="129">
        <f>C12</f>
        <v>679.8</v>
      </c>
      <c r="Q1146" s="120" t="s">
        <v>131</v>
      </c>
      <c r="R1146" s="129">
        <f t="shared" si="148"/>
        <v>1441.18</v>
      </c>
      <c r="AE1146" s="137"/>
    </row>
    <row r="1147" spans="6:31" ht="24" customHeight="1">
      <c r="F1147" s="129">
        <v>0.7</v>
      </c>
      <c r="G1147" s="126" t="s">
        <v>727</v>
      </c>
      <c r="H1147" s="120" t="s">
        <v>153</v>
      </c>
      <c r="I1147" s="129">
        <f>C14</f>
        <v>831.6</v>
      </c>
      <c r="J1147" s="120" t="s">
        <v>972</v>
      </c>
      <c r="K1147" s="129">
        <f>(F1147*I1147)</f>
        <v>582.12</v>
      </c>
      <c r="N1147" s="115">
        <v>3.53</v>
      </c>
      <c r="O1147" s="120" t="s">
        <v>2273</v>
      </c>
      <c r="P1147" s="129">
        <f>C13</f>
        <v>557.70000000000005</v>
      </c>
      <c r="Q1147" s="120" t="s">
        <v>131</v>
      </c>
      <c r="R1147" s="129">
        <f t="shared" si="148"/>
        <v>1968.68</v>
      </c>
      <c r="AE1147" s="137"/>
    </row>
    <row r="1148" spans="6:31" ht="24" customHeight="1">
      <c r="F1148" s="129"/>
      <c r="G1148" s="126"/>
      <c r="H1148" s="120"/>
      <c r="I1148" s="129"/>
      <c r="J1148" s="120"/>
      <c r="K1148" s="129"/>
      <c r="O1148" s="120" t="s">
        <v>514</v>
      </c>
      <c r="P1148" s="129"/>
      <c r="Q1148" s="117"/>
      <c r="R1148" s="240">
        <f>K819</f>
        <v>98.34</v>
      </c>
      <c r="AE1148" s="137"/>
    </row>
    <row r="1149" spans="6:31" ht="24" customHeight="1">
      <c r="F1149" s="129">
        <v>0.7</v>
      </c>
      <c r="G1149" s="126" t="s">
        <v>727</v>
      </c>
      <c r="H1149" s="120" t="s">
        <v>143</v>
      </c>
      <c r="I1149" s="129">
        <f>C12</f>
        <v>679.8</v>
      </c>
      <c r="J1149" s="120" t="s">
        <v>972</v>
      </c>
      <c r="K1149" s="129">
        <f>(F1149*I1149)</f>
        <v>475.86</v>
      </c>
      <c r="M1149" s="241" t="s">
        <v>49</v>
      </c>
      <c r="O1149" s="115" t="s">
        <v>4217</v>
      </c>
      <c r="P1149" s="213">
        <f>V1134</f>
        <v>0</v>
      </c>
      <c r="R1149" s="115">
        <v>270</v>
      </c>
      <c r="AE1149" s="137"/>
    </row>
    <row r="1150" spans="6:31" ht="43.5" customHeight="1">
      <c r="G1150" s="126" t="s">
        <v>145</v>
      </c>
      <c r="H1150" s="120" t="s">
        <v>1546</v>
      </c>
      <c r="J1150" s="120" t="s">
        <v>145</v>
      </c>
      <c r="K1150" s="129">
        <v>1.5</v>
      </c>
      <c r="M1150" s="241" t="s">
        <v>49</v>
      </c>
      <c r="O1150" s="115" t="s">
        <v>4219</v>
      </c>
      <c r="P1150" s="213">
        <f>V1135</f>
        <v>0</v>
      </c>
      <c r="R1150" s="115">
        <v>150</v>
      </c>
      <c r="AE1150" s="137"/>
    </row>
    <row r="1151" spans="6:31" ht="24" customHeight="1">
      <c r="K1151" s="123" t="s">
        <v>52</v>
      </c>
      <c r="M1151" s="241" t="s">
        <v>49</v>
      </c>
      <c r="O1151" s="115" t="s">
        <v>1557</v>
      </c>
      <c r="P1151" s="213">
        <f>V1136</f>
        <v>0</v>
      </c>
      <c r="R1151" s="115">
        <v>0.35</v>
      </c>
      <c r="AE1151" s="137"/>
    </row>
    <row r="1152" spans="6:31" ht="24" customHeight="1">
      <c r="H1152" s="121" t="s">
        <v>1547</v>
      </c>
      <c r="K1152" s="129">
        <f>SUM(K1145:K1150)</f>
        <v>1283.55</v>
      </c>
      <c r="Q1152" s="117"/>
      <c r="R1152" s="115">
        <f>SUM(R1141:R1151)</f>
        <v>8391.75</v>
      </c>
      <c r="AE1152" s="137"/>
    </row>
    <row r="1153" spans="6:31" ht="24" customHeight="1">
      <c r="K1153" s="123" t="s">
        <v>52</v>
      </c>
      <c r="X1153" s="114">
        <f>SUM(X1141:X1152)</f>
        <v>0</v>
      </c>
      <c r="AE1153" s="137"/>
    </row>
    <row r="1154" spans="6:31" ht="24" customHeight="1">
      <c r="H1154" s="128" t="s">
        <v>460</v>
      </c>
      <c r="K1154" s="127">
        <f>(K1152/10)</f>
        <v>128.36000000000001</v>
      </c>
      <c r="AE1154" s="137"/>
    </row>
    <row r="1155" spans="6:31" ht="24" customHeight="1">
      <c r="K1155" s="123" t="s">
        <v>89</v>
      </c>
      <c r="Q1155" s="117"/>
      <c r="R1155" s="240"/>
      <c r="AE1155" s="137"/>
    </row>
    <row r="1156" spans="6:31" ht="24" customHeight="1">
      <c r="O1156" s="115" t="s">
        <v>4273</v>
      </c>
      <c r="Q1156" s="117"/>
      <c r="R1156" s="129">
        <f>SUM(R1152:R1155)</f>
        <v>8391.75</v>
      </c>
      <c r="AE1156" s="137"/>
    </row>
    <row r="1157" spans="6:31" ht="24" customHeight="1">
      <c r="F1157" s="120" t="s">
        <v>85</v>
      </c>
      <c r="G1157" s="126" t="s">
        <v>111</v>
      </c>
      <c r="H1157" s="120" t="s">
        <v>1548</v>
      </c>
      <c r="Q1157" s="117"/>
      <c r="R1157" s="123" t="s">
        <v>52</v>
      </c>
      <c r="AE1157" s="137"/>
    </row>
    <row r="1158" spans="6:31" ht="24" customHeight="1">
      <c r="H1158" s="123" t="s">
        <v>52</v>
      </c>
      <c r="I1158" s="123" t="s">
        <v>52</v>
      </c>
      <c r="O1158" s="120" t="s">
        <v>53</v>
      </c>
      <c r="Q1158" s="117"/>
      <c r="R1158" s="127">
        <f>R1156+C22</f>
        <v>8516.7099999999991</v>
      </c>
      <c r="S1158" s="118">
        <f>C22</f>
        <v>124.96</v>
      </c>
      <c r="T1158" s="118">
        <f>C23</f>
        <v>246.18</v>
      </c>
      <c r="AE1158" s="137"/>
    </row>
    <row r="1159" spans="6:31" ht="24" customHeight="1">
      <c r="F1159" s="129">
        <v>1.2</v>
      </c>
      <c r="G1159" s="126" t="s">
        <v>1543</v>
      </c>
      <c r="H1159" s="120" t="s">
        <v>4274</v>
      </c>
      <c r="I1159" s="129">
        <f>C194</f>
        <v>271.2</v>
      </c>
      <c r="J1159" s="120" t="s">
        <v>1543</v>
      </c>
      <c r="K1159" s="129">
        <f>(F1159*I1159)</f>
        <v>325.44</v>
      </c>
      <c r="O1159" s="120" t="s">
        <v>54</v>
      </c>
      <c r="Q1159" s="117"/>
      <c r="R1159" s="127">
        <f>R1158+C23</f>
        <v>8762.89</v>
      </c>
      <c r="S1159" s="118">
        <f>R1156-5363.9</f>
        <v>3027.85</v>
      </c>
      <c r="AE1159" s="137"/>
    </row>
    <row r="1160" spans="6:31" ht="24" customHeight="1">
      <c r="F1160" s="129">
        <v>0.9</v>
      </c>
      <c r="G1160" s="126" t="s">
        <v>1543</v>
      </c>
      <c r="H1160" s="120" t="s">
        <v>1545</v>
      </c>
      <c r="I1160" s="129">
        <f>C193</f>
        <v>25</v>
      </c>
      <c r="J1160" s="120" t="s">
        <v>1543</v>
      </c>
      <c r="K1160" s="129">
        <f>(F1160*I1160)</f>
        <v>22.5</v>
      </c>
      <c r="O1160" s="120" t="s">
        <v>55</v>
      </c>
      <c r="Q1160" s="117"/>
      <c r="R1160" s="127">
        <f>R1159+C23</f>
        <v>9009.07</v>
      </c>
      <c r="AE1160" s="137"/>
    </row>
    <row r="1161" spans="6:31" ht="24" customHeight="1">
      <c r="F1161" s="129">
        <v>1.1000000000000001</v>
      </c>
      <c r="G1161" s="126" t="s">
        <v>727</v>
      </c>
      <c r="H1161" s="120" t="s">
        <v>153</v>
      </c>
      <c r="I1161" s="129">
        <f>C14</f>
        <v>831.6</v>
      </c>
      <c r="J1161" s="120" t="s">
        <v>972</v>
      </c>
      <c r="K1161" s="129">
        <f>(F1161*I1161)</f>
        <v>914.76</v>
      </c>
      <c r="O1161" s="120" t="s">
        <v>56</v>
      </c>
      <c r="Q1161" s="117"/>
      <c r="R1161" s="127">
        <f>R1160+C23</f>
        <v>9255.25</v>
      </c>
      <c r="AE1161" s="137"/>
    </row>
    <row r="1162" spans="6:31" ht="24" customHeight="1">
      <c r="F1162" s="129">
        <v>1.1000000000000001</v>
      </c>
      <c r="G1162" s="126" t="s">
        <v>727</v>
      </c>
      <c r="H1162" s="120" t="s">
        <v>143</v>
      </c>
      <c r="I1162" s="129">
        <f>C12</f>
        <v>679.8</v>
      </c>
      <c r="J1162" s="120" t="s">
        <v>972</v>
      </c>
      <c r="K1162" s="129">
        <f>(F1162*I1162)</f>
        <v>747.78</v>
      </c>
      <c r="O1162" s="120" t="s">
        <v>57</v>
      </c>
      <c r="Q1162" s="117"/>
      <c r="R1162" s="127">
        <f>R1161+C23</f>
        <v>9501.43</v>
      </c>
      <c r="AE1162" s="137"/>
    </row>
    <row r="1163" spans="6:31" ht="24" customHeight="1">
      <c r="G1163" s="126" t="s">
        <v>145</v>
      </c>
      <c r="H1163" s="120" t="s">
        <v>1546</v>
      </c>
      <c r="J1163" s="120" t="s">
        <v>145</v>
      </c>
      <c r="K1163" s="129">
        <v>1.5</v>
      </c>
      <c r="O1163" s="120" t="s">
        <v>4095</v>
      </c>
      <c r="R1163" s="127">
        <f>R1162+C23</f>
        <v>9747.61</v>
      </c>
      <c r="AE1163" s="137"/>
    </row>
    <row r="1164" spans="6:31" ht="24" customHeight="1">
      <c r="K1164" s="123" t="s">
        <v>52</v>
      </c>
      <c r="O1164" s="120" t="s">
        <v>4097</v>
      </c>
      <c r="R1164" s="127">
        <f>R1163+C23</f>
        <v>9993.7900000000009</v>
      </c>
      <c r="AE1164" s="137"/>
    </row>
    <row r="1165" spans="6:31" ht="24" customHeight="1">
      <c r="H1165" s="121" t="s">
        <v>1547</v>
      </c>
      <c r="K1165" s="129">
        <f>SUM(K1159:K1163)</f>
        <v>2011.98</v>
      </c>
      <c r="O1165" s="120" t="s">
        <v>4101</v>
      </c>
      <c r="R1165" s="127">
        <f>R1164+C23</f>
        <v>10239.969999999999</v>
      </c>
      <c r="AE1165" s="137"/>
    </row>
    <row r="1166" spans="6:31" ht="24" customHeight="1">
      <c r="K1166" s="123" t="s">
        <v>52</v>
      </c>
      <c r="O1166" s="120" t="s">
        <v>4122</v>
      </c>
      <c r="R1166" s="127">
        <f>R1165+C23</f>
        <v>10486.15</v>
      </c>
      <c r="AE1166" s="137"/>
    </row>
    <row r="1167" spans="6:31" ht="24" customHeight="1">
      <c r="H1167" s="128" t="s">
        <v>460</v>
      </c>
      <c r="K1167" s="127">
        <f>(K1165/10)</f>
        <v>201.2</v>
      </c>
      <c r="O1167" s="120" t="s">
        <v>4103</v>
      </c>
      <c r="R1167" s="127">
        <f>R1166+C23</f>
        <v>10732.33</v>
      </c>
      <c r="AE1167" s="137"/>
    </row>
    <row r="1168" spans="6:31" ht="24" customHeight="1">
      <c r="K1168" s="123" t="s">
        <v>89</v>
      </c>
      <c r="O1168" s="115" t="s">
        <v>4125</v>
      </c>
      <c r="R1168" s="127">
        <f>R1167+C23</f>
        <v>10978.51</v>
      </c>
      <c r="AE1168" s="137"/>
    </row>
    <row r="1169" spans="6:33" ht="24" customHeight="1">
      <c r="R1169" s="127">
        <f>R1168+C23</f>
        <v>11224.69</v>
      </c>
      <c r="AE1169" s="137"/>
    </row>
    <row r="1170" spans="6:33" ht="24" customHeight="1">
      <c r="F1170" s="189">
        <v>23.3</v>
      </c>
      <c r="H1170" s="205" t="s">
        <v>1549</v>
      </c>
      <c r="I1170" s="205" t="s">
        <v>3986</v>
      </c>
      <c r="K1170" s="270">
        <v>52</v>
      </c>
      <c r="R1170" s="127">
        <f>R1169+C23</f>
        <v>11470.87</v>
      </c>
      <c r="S1170" s="115"/>
      <c r="AE1170" s="137"/>
    </row>
    <row r="1171" spans="6:33" ht="24" customHeight="1">
      <c r="M1171" s="118"/>
      <c r="O1171" s="114" t="s">
        <v>4212</v>
      </c>
      <c r="R1171" s="127">
        <f>R1170+C23</f>
        <v>11717.05</v>
      </c>
      <c r="S1171" s="115"/>
      <c r="AE1171" s="137"/>
    </row>
    <row r="1172" spans="6:33" ht="24" customHeight="1">
      <c r="M1172" s="118">
        <v>0.443</v>
      </c>
      <c r="N1172" s="115" t="s">
        <v>34</v>
      </c>
      <c r="O1172" s="115" t="s">
        <v>4213</v>
      </c>
      <c r="P1172" s="115">
        <f t="shared" ref="P1172:P1178" si="149">P1141</f>
        <v>1729.98</v>
      </c>
      <c r="R1172" s="115">
        <f>P1172*M1172</f>
        <v>766.38</v>
      </c>
      <c r="S1172" s="115"/>
      <c r="AE1172" s="137"/>
    </row>
    <row r="1173" spans="6:33" ht="24" customHeight="1">
      <c r="F1173" s="121" t="s">
        <v>1550</v>
      </c>
      <c r="G1173" s="126" t="s">
        <v>111</v>
      </c>
      <c r="H1173" s="120" t="s">
        <v>4275</v>
      </c>
      <c r="M1173" s="118">
        <v>0.29499999999999998</v>
      </c>
      <c r="N1173" s="115" t="s">
        <v>34</v>
      </c>
      <c r="O1173" s="115" t="s">
        <v>4214</v>
      </c>
      <c r="P1173" s="115">
        <f t="shared" si="149"/>
        <v>1263.98</v>
      </c>
      <c r="R1173" s="115">
        <f t="shared" ref="R1173:R1179" si="150">P1173*M1173</f>
        <v>372.87</v>
      </c>
      <c r="S1173" s="115"/>
      <c r="AE1173" s="137"/>
    </row>
    <row r="1174" spans="6:33" ht="24" customHeight="1">
      <c r="H1174" s="120" t="s">
        <v>1552</v>
      </c>
      <c r="M1174" s="118">
        <v>0.43</v>
      </c>
      <c r="N1174" s="115" t="s">
        <v>34</v>
      </c>
      <c r="O1174" s="115" t="s">
        <v>2811</v>
      </c>
      <c r="P1174" s="115">
        <f t="shared" si="149"/>
        <v>1642.42</v>
      </c>
      <c r="R1174" s="115">
        <f t="shared" si="150"/>
        <v>706.24</v>
      </c>
      <c r="S1174" s="115"/>
      <c r="AE1174" s="137"/>
    </row>
    <row r="1175" spans="6:33" ht="24" customHeight="1">
      <c r="H1175" s="123" t="s">
        <v>52</v>
      </c>
      <c r="I1175" s="123" t="s">
        <v>52</v>
      </c>
      <c r="M1175" s="118">
        <v>0.39</v>
      </c>
      <c r="N1175" s="115" t="s">
        <v>11</v>
      </c>
      <c r="O1175" s="115" t="s">
        <v>38</v>
      </c>
      <c r="P1175" s="115">
        <f t="shared" si="149"/>
        <v>6040</v>
      </c>
      <c r="R1175" s="115">
        <f t="shared" si="150"/>
        <v>2355.6</v>
      </c>
      <c r="S1175" s="115"/>
      <c r="AE1175" s="137"/>
    </row>
    <row r="1176" spans="6:33" ht="24" customHeight="1">
      <c r="F1176" s="201">
        <v>0.53339999999999999</v>
      </c>
      <c r="G1176" s="126" t="s">
        <v>724</v>
      </c>
      <c r="H1176" s="191" t="s">
        <v>4276</v>
      </c>
      <c r="I1176" s="140">
        <v>208.8</v>
      </c>
      <c r="J1176" s="120" t="s">
        <v>724</v>
      </c>
      <c r="K1176" s="129">
        <f>(F1176*I1176)</f>
        <v>111.37</v>
      </c>
      <c r="M1176" s="118">
        <v>0.35</v>
      </c>
      <c r="N1176" s="115" t="s">
        <v>41</v>
      </c>
      <c r="O1176" s="115" t="s">
        <v>42</v>
      </c>
      <c r="P1176" s="115">
        <f t="shared" si="149"/>
        <v>972.4</v>
      </c>
      <c r="Q1176" s="115">
        <f>D1174</f>
        <v>0</v>
      </c>
      <c r="R1176" s="115">
        <f t="shared" si="150"/>
        <v>340.34</v>
      </c>
      <c r="S1176" s="115"/>
      <c r="AE1176" s="137"/>
    </row>
    <row r="1177" spans="6:33" ht="24" customHeight="1">
      <c r="F1177" s="129">
        <v>4.24</v>
      </c>
      <c r="G1177" s="126" t="s">
        <v>13</v>
      </c>
      <c r="H1177" s="269" t="s">
        <v>4277</v>
      </c>
      <c r="I1177" s="140">
        <v>35.61</v>
      </c>
      <c r="J1177" s="120" t="s">
        <v>13</v>
      </c>
      <c r="K1177" s="129">
        <f>(F1177*I1177)</f>
        <v>150.99</v>
      </c>
      <c r="M1177" s="118">
        <v>2.12</v>
      </c>
      <c r="N1177" s="115" t="s">
        <v>41</v>
      </c>
      <c r="O1177" s="115" t="s">
        <v>43</v>
      </c>
      <c r="P1177" s="115">
        <f t="shared" si="149"/>
        <v>679.8</v>
      </c>
      <c r="R1177" s="115">
        <f t="shared" si="150"/>
        <v>1441.18</v>
      </c>
      <c r="S1177" s="115"/>
      <c r="AE1177" s="137"/>
    </row>
    <row r="1178" spans="6:33" ht="24" customHeight="1">
      <c r="F1178" s="129">
        <v>16</v>
      </c>
      <c r="G1178" s="126" t="s">
        <v>727</v>
      </c>
      <c r="H1178" s="269" t="s">
        <v>4278</v>
      </c>
      <c r="I1178" s="140">
        <v>1</v>
      </c>
      <c r="J1178" s="120" t="s">
        <v>729</v>
      </c>
      <c r="K1178" s="129">
        <f>(F1178*I1178)</f>
        <v>16</v>
      </c>
      <c r="M1178" s="118">
        <v>3.53</v>
      </c>
      <c r="N1178" s="115" t="s">
        <v>41</v>
      </c>
      <c r="O1178" s="115" t="s">
        <v>44</v>
      </c>
      <c r="P1178" s="115">
        <f t="shared" si="149"/>
        <v>557.70000000000005</v>
      </c>
      <c r="R1178" s="115">
        <f t="shared" si="150"/>
        <v>1968.68</v>
      </c>
      <c r="S1178" s="115"/>
      <c r="AE1178" s="137"/>
    </row>
    <row r="1179" spans="6:33" ht="24" customHeight="1">
      <c r="F1179" s="201">
        <v>0.53339999999999999</v>
      </c>
      <c r="G1179" s="126" t="s">
        <v>724</v>
      </c>
      <c r="H1179" s="120" t="s">
        <v>1556</v>
      </c>
      <c r="I1179" s="129">
        <f>0.25/1.08*D16</f>
        <v>225.09</v>
      </c>
      <c r="J1179" s="120" t="s">
        <v>724</v>
      </c>
      <c r="K1179" s="129">
        <f>(F1179*I1179)</f>
        <v>120.06</v>
      </c>
      <c r="M1179" s="118">
        <v>1</v>
      </c>
      <c r="N1179" s="115" t="s">
        <v>34</v>
      </c>
      <c r="O1179" s="115" t="s">
        <v>68</v>
      </c>
      <c r="P1179" s="115">
        <f>R1148</f>
        <v>98.34</v>
      </c>
      <c r="R1179" s="115">
        <f t="shared" si="150"/>
        <v>98.34</v>
      </c>
      <c r="S1179" s="115"/>
      <c r="AE1179" s="137"/>
    </row>
    <row r="1180" spans="6:33" ht="24" customHeight="1">
      <c r="G1180" s="126" t="s">
        <v>145</v>
      </c>
      <c r="H1180" s="120" t="s">
        <v>1557</v>
      </c>
      <c r="J1180" s="120" t="s">
        <v>145</v>
      </c>
      <c r="K1180" s="129"/>
      <c r="M1180" s="241" t="s">
        <v>49</v>
      </c>
      <c r="O1180" s="115" t="s">
        <v>4217</v>
      </c>
      <c r="P1180" s="241" t="s">
        <v>49</v>
      </c>
      <c r="R1180" s="115">
        <v>270</v>
      </c>
      <c r="S1180" s="115"/>
      <c r="AE1180" s="137"/>
    </row>
    <row r="1181" spans="6:33" ht="24" customHeight="1">
      <c r="H1181" s="120" t="s">
        <v>1558</v>
      </c>
      <c r="M1181" s="241" t="s">
        <v>49</v>
      </c>
      <c r="O1181" s="115" t="s">
        <v>4219</v>
      </c>
      <c r="P1181" s="241" t="s">
        <v>49</v>
      </c>
      <c r="R1181" s="115">
        <v>150</v>
      </c>
      <c r="S1181" s="115"/>
      <c r="AE1181" s="137"/>
    </row>
    <row r="1182" spans="6:33" ht="24" customHeight="1">
      <c r="K1182" s="123" t="s">
        <v>52</v>
      </c>
      <c r="M1182" s="241" t="s">
        <v>49</v>
      </c>
      <c r="O1182" s="115" t="s">
        <v>1557</v>
      </c>
      <c r="P1182" s="241" t="s">
        <v>49</v>
      </c>
      <c r="R1182" s="115">
        <v>0.45</v>
      </c>
      <c r="S1182" s="115">
        <f>C22</f>
        <v>124.96</v>
      </c>
      <c r="T1182" s="115">
        <f>C23</f>
        <v>246.18</v>
      </c>
      <c r="AE1182" s="137"/>
      <c r="AG1182" s="120" t="s">
        <v>120</v>
      </c>
    </row>
    <row r="1183" spans="6:33" ht="24" customHeight="1">
      <c r="H1183" s="121" t="s">
        <v>1559</v>
      </c>
      <c r="K1183" s="129">
        <f>SUM(K1176:K1180)</f>
        <v>398.42</v>
      </c>
      <c r="M1183" s="118"/>
      <c r="O1183" s="115" t="s">
        <v>51</v>
      </c>
      <c r="R1183" s="114">
        <f>SUM(R1172:R1182)</f>
        <v>8470.08</v>
      </c>
      <c r="S1183" s="115"/>
      <c r="AE1183" s="137"/>
      <c r="AG1183" s="120" t="s">
        <v>120</v>
      </c>
    </row>
    <row r="1184" spans="6:33" ht="24" customHeight="1">
      <c r="K1184" s="123" t="s">
        <v>52</v>
      </c>
      <c r="M1184" s="118"/>
      <c r="O1184" s="115" t="s">
        <v>53</v>
      </c>
      <c r="R1184" s="115">
        <f>R1183+C22</f>
        <v>8595.0400000000009</v>
      </c>
      <c r="AE1184" s="137"/>
      <c r="AG1184" s="120" t="s">
        <v>120</v>
      </c>
    </row>
    <row r="1185" spans="6:37" ht="24" customHeight="1">
      <c r="H1185" s="121" t="s">
        <v>1560</v>
      </c>
      <c r="K1185" s="127">
        <f>ROUND(K1183/0.5334,1)+0.1</f>
        <v>747</v>
      </c>
      <c r="R1185" s="115">
        <f>R1184+C23</f>
        <v>8841.2199999999993</v>
      </c>
      <c r="AE1185" s="137"/>
      <c r="AG1185" s="120" t="s">
        <v>120</v>
      </c>
    </row>
    <row r="1186" spans="6:37" ht="24" customHeight="1">
      <c r="F1186" s="120" t="s">
        <v>85</v>
      </c>
      <c r="K1186" s="123" t="s">
        <v>89</v>
      </c>
      <c r="R1186" s="115">
        <f>R1185+C23</f>
        <v>9087.4</v>
      </c>
      <c r="Y1186" s="189">
        <v>15.1</v>
      </c>
      <c r="Z1186" s="126" t="s">
        <v>775</v>
      </c>
      <c r="AA1186" s="122" t="s">
        <v>4279</v>
      </c>
      <c r="AC1186" s="119"/>
      <c r="AE1186" s="137"/>
      <c r="AF1186" s="189">
        <v>15.1</v>
      </c>
      <c r="AG1186" s="126" t="s">
        <v>775</v>
      </c>
      <c r="AH1186" s="277" t="s">
        <v>4280</v>
      </c>
      <c r="AJ1186" s="119"/>
    </row>
    <row r="1187" spans="6:37" ht="24" customHeight="1">
      <c r="F1187" s="120" t="s">
        <v>85</v>
      </c>
      <c r="G1187" s="126" t="s">
        <v>85</v>
      </c>
      <c r="H1187" s="120" t="s">
        <v>85</v>
      </c>
      <c r="Z1187" s="116"/>
      <c r="AA1187" s="120" t="s">
        <v>722</v>
      </c>
      <c r="AC1187" s="119"/>
      <c r="AE1187" s="137"/>
      <c r="AG1187" s="116"/>
      <c r="AH1187" s="120" t="s">
        <v>722</v>
      </c>
      <c r="AJ1187" s="119"/>
    </row>
    <row r="1188" spans="6:37" ht="53.25" customHeight="1">
      <c r="F1188" s="121" t="s">
        <v>251</v>
      </c>
      <c r="G1188" s="126" t="s">
        <v>111</v>
      </c>
      <c r="H1188" s="120" t="s">
        <v>1561</v>
      </c>
      <c r="Y1188" s="129">
        <v>10</v>
      </c>
      <c r="Z1188" s="126" t="s">
        <v>724</v>
      </c>
      <c r="AA1188" s="176" t="s">
        <v>4281</v>
      </c>
      <c r="AB1188" s="136">
        <v>1737</v>
      </c>
      <c r="AC1188" s="121" t="s">
        <v>724</v>
      </c>
      <c r="AD1188" s="129">
        <f>(Y1188*AB1188)</f>
        <v>17370</v>
      </c>
      <c r="AE1188" s="137" t="str">
        <f>AG1188</f>
        <v>Sqm</v>
      </c>
      <c r="AF1188" s="129">
        <v>10</v>
      </c>
      <c r="AG1188" s="126" t="s">
        <v>724</v>
      </c>
      <c r="AH1188" s="176" t="s">
        <v>4282</v>
      </c>
      <c r="AI1188" s="136">
        <v>886</v>
      </c>
      <c r="AJ1188" s="121" t="s">
        <v>724</v>
      </c>
      <c r="AK1188" s="129">
        <f>(AF1188*AI1188)</f>
        <v>8860</v>
      </c>
    </row>
    <row r="1189" spans="6:37" ht="24" customHeight="1">
      <c r="H1189" s="120" t="s">
        <v>4283</v>
      </c>
      <c r="Y1189" s="129">
        <v>0.12</v>
      </c>
      <c r="Z1189" s="126" t="s">
        <v>132</v>
      </c>
      <c r="AA1189" s="120" t="s">
        <v>782</v>
      </c>
      <c r="AB1189" s="134">
        <f>P1333</f>
        <v>4662.62</v>
      </c>
      <c r="AC1189" s="121" t="s">
        <v>132</v>
      </c>
      <c r="AD1189" s="129">
        <f>(Y1189*AB1189)</f>
        <v>559.51</v>
      </c>
      <c r="AE1189" s="137" t="str">
        <f>AG1189</f>
        <v>CUM</v>
      </c>
      <c r="AF1189" s="129">
        <v>0.12</v>
      </c>
      <c r="AG1189" s="126" t="s">
        <v>132</v>
      </c>
      <c r="AH1189" s="120" t="s">
        <v>782</v>
      </c>
      <c r="AI1189" s="136">
        <f>AB1189</f>
        <v>4662.62</v>
      </c>
      <c r="AJ1189" s="121" t="s">
        <v>132</v>
      </c>
      <c r="AK1189" s="129">
        <f>(AF1189*AI1189)</f>
        <v>559.51</v>
      </c>
    </row>
    <row r="1190" spans="6:37" ht="24" customHeight="1">
      <c r="H1190" s="123" t="s">
        <v>52</v>
      </c>
      <c r="Y1190" s="129">
        <v>1</v>
      </c>
      <c r="Z1190" s="126" t="s">
        <v>727</v>
      </c>
      <c r="AA1190" s="120" t="s">
        <v>728</v>
      </c>
      <c r="AB1190" s="134">
        <f>P1334</f>
        <v>1041.7</v>
      </c>
      <c r="AC1190" s="121" t="s">
        <v>729</v>
      </c>
      <c r="AD1190" s="129">
        <f>(Y1190*AB1190)</f>
        <v>1041.7</v>
      </c>
      <c r="AE1190" s="137" t="str">
        <f>AG1190</f>
        <v>No.</v>
      </c>
      <c r="AF1190" s="129">
        <v>1</v>
      </c>
      <c r="AG1190" s="126" t="s">
        <v>727</v>
      </c>
      <c r="AH1190" s="120" t="s">
        <v>728</v>
      </c>
      <c r="AI1190" s="136">
        <f>AB1190</f>
        <v>1041.7</v>
      </c>
      <c r="AJ1190" s="121" t="s">
        <v>729</v>
      </c>
      <c r="AK1190" s="129">
        <f>(AF1190*AI1190)</f>
        <v>1041.7</v>
      </c>
    </row>
    <row r="1191" spans="6:37" ht="24" customHeight="1">
      <c r="F1191" s="129">
        <v>1</v>
      </c>
      <c r="G1191" s="126" t="s">
        <v>39</v>
      </c>
      <c r="H1191" s="120" t="s">
        <v>4284</v>
      </c>
      <c r="I1191" s="271">
        <f>D660</f>
        <v>69.599999999999994</v>
      </c>
      <c r="J1191" s="120" t="s">
        <v>39</v>
      </c>
      <c r="K1191" s="127">
        <f>(F1191*I1191)</f>
        <v>69.599999999999994</v>
      </c>
      <c r="Y1191" s="129">
        <v>1</v>
      </c>
      <c r="Z1191" s="126" t="s">
        <v>727</v>
      </c>
      <c r="AA1191" s="120" t="s">
        <v>4285</v>
      </c>
      <c r="AB1191" s="134">
        <f>P1335</f>
        <v>679.8</v>
      </c>
      <c r="AC1191" s="121" t="s">
        <v>729</v>
      </c>
      <c r="AD1191" s="129">
        <f>(Y1191*AB1191)</f>
        <v>679.8</v>
      </c>
      <c r="AE1191" s="137" t="str">
        <f>AG1191</f>
        <v>No.</v>
      </c>
      <c r="AF1191" s="129">
        <v>1</v>
      </c>
      <c r="AG1191" s="126" t="s">
        <v>727</v>
      </c>
      <c r="AH1191" s="120" t="s">
        <v>4286</v>
      </c>
      <c r="AI1191" s="136">
        <f>AB1191</f>
        <v>679.8</v>
      </c>
      <c r="AJ1191" s="121" t="s">
        <v>729</v>
      </c>
      <c r="AK1191" s="129">
        <f>(AF1191*AI1191)</f>
        <v>679.8</v>
      </c>
    </row>
    <row r="1192" spans="6:37" ht="24" customHeight="1">
      <c r="K1192" s="123" t="s">
        <v>89</v>
      </c>
      <c r="Y1192" s="129"/>
      <c r="Z1192" s="126" t="s">
        <v>145</v>
      </c>
      <c r="AA1192" s="120" t="s">
        <v>733</v>
      </c>
      <c r="AC1192" s="121" t="s">
        <v>145</v>
      </c>
      <c r="AD1192" s="129">
        <v>0.33</v>
      </c>
      <c r="AF1192" s="129"/>
      <c r="AG1192" s="126" t="s">
        <v>145</v>
      </c>
      <c r="AH1192" s="120" t="s">
        <v>733</v>
      </c>
      <c r="AJ1192" s="121" t="s">
        <v>145</v>
      </c>
      <c r="AK1192" s="129">
        <v>0.33</v>
      </c>
    </row>
    <row r="1193" spans="6:37" ht="24" customHeight="1">
      <c r="F1193" s="121">
        <v>39</v>
      </c>
      <c r="H1193" s="191" t="s">
        <v>4287</v>
      </c>
      <c r="I1193" s="271">
        <f>C660</f>
        <v>70.150000000000006</v>
      </c>
      <c r="J1193" s="120" t="s">
        <v>39</v>
      </c>
      <c r="K1193" s="272">
        <f>I1193</f>
        <v>70.150000000000006</v>
      </c>
      <c r="Y1193" s="129"/>
      <c r="Z1193" s="116"/>
      <c r="AA1193" s="120" t="s">
        <v>735</v>
      </c>
      <c r="AD1193" s="119"/>
      <c r="AE1193" s="123" t="s">
        <v>52</v>
      </c>
      <c r="AF1193" s="129"/>
      <c r="AG1193" s="116"/>
      <c r="AH1193" s="120" t="s">
        <v>735</v>
      </c>
      <c r="AK1193" s="119"/>
    </row>
    <row r="1194" spans="6:37" ht="24" customHeight="1">
      <c r="F1194" s="121" t="s">
        <v>255</v>
      </c>
      <c r="G1194" s="126" t="s">
        <v>111</v>
      </c>
      <c r="H1194" s="120" t="s">
        <v>4288</v>
      </c>
      <c r="I1194" s="120" t="s">
        <v>85</v>
      </c>
      <c r="J1194" s="120" t="s">
        <v>972</v>
      </c>
      <c r="K1194" s="273">
        <v>9.6</v>
      </c>
      <c r="Y1194" s="129"/>
      <c r="Z1194" s="116"/>
      <c r="AA1194" s="121" t="s">
        <v>788</v>
      </c>
      <c r="AC1194" s="119"/>
      <c r="AD1194" s="129">
        <f>SUM(AD1188:AD1193)</f>
        <v>19651.34</v>
      </c>
      <c r="AE1194" s="129">
        <f>SUM(AE1188:AE1192)</f>
        <v>0</v>
      </c>
      <c r="AF1194" s="129"/>
      <c r="AG1194" s="116"/>
      <c r="AH1194" s="121" t="s">
        <v>788</v>
      </c>
      <c r="AJ1194" s="119"/>
      <c r="AK1194" s="129">
        <f>SUM(AK1188:AK1193)</f>
        <v>11141.34</v>
      </c>
    </row>
    <row r="1195" spans="6:37" ht="24" customHeight="1">
      <c r="H1195" s="120" t="s">
        <v>1565</v>
      </c>
      <c r="K1195" s="123" t="s">
        <v>89</v>
      </c>
      <c r="Z1195" s="116"/>
      <c r="AC1195" s="119"/>
      <c r="AD1195" s="123" t="s">
        <v>52</v>
      </c>
      <c r="AE1195" s="123" t="s">
        <v>52</v>
      </c>
      <c r="AG1195" s="116"/>
      <c r="AJ1195" s="119"/>
      <c r="AK1195" s="123" t="s">
        <v>52</v>
      </c>
    </row>
    <row r="1196" spans="6:37" ht="24" customHeight="1">
      <c r="Z1196" s="116"/>
      <c r="AA1196" s="121" t="s">
        <v>792</v>
      </c>
      <c r="AD1196" s="127">
        <f>AD1194/10</f>
        <v>1965.13</v>
      </c>
      <c r="AG1196" s="116"/>
      <c r="AH1196" s="121" t="s">
        <v>792</v>
      </c>
      <c r="AK1196" s="127">
        <f>AK1194/10</f>
        <v>1114.1300000000001</v>
      </c>
    </row>
    <row r="1197" spans="6:37" ht="24" customHeight="1">
      <c r="F1197" s="121" t="s">
        <v>268</v>
      </c>
      <c r="G1197" s="126" t="s">
        <v>111</v>
      </c>
      <c r="H1197" s="120" t="s">
        <v>1566</v>
      </c>
      <c r="Z1197" s="116"/>
      <c r="AA1197" s="120" t="s">
        <v>53</v>
      </c>
      <c r="AC1197" s="119">
        <f>C22*0.02</f>
        <v>2.5</v>
      </c>
      <c r="AD1197" s="129">
        <f>AD1196+AC1197</f>
        <v>1967.63</v>
      </c>
      <c r="AG1197" s="116"/>
      <c r="AH1197" s="120" t="s">
        <v>53</v>
      </c>
      <c r="AJ1197" s="119">
        <f>C22*0.01</f>
        <v>1.25</v>
      </c>
      <c r="AK1197" s="129">
        <f>AK1196+AJ1197</f>
        <v>1115.3800000000001</v>
      </c>
    </row>
    <row r="1198" spans="6:37" ht="24" customHeight="1">
      <c r="H1198" s="120" t="s">
        <v>1567</v>
      </c>
      <c r="Z1198" s="116"/>
      <c r="AA1198" s="120" t="s">
        <v>54</v>
      </c>
      <c r="AC1198" s="119">
        <f>C23*0.02</f>
        <v>4.92</v>
      </c>
      <c r="AD1198" s="129">
        <f>AD1197+AC1198</f>
        <v>1972.55</v>
      </c>
      <c r="AG1198" s="116"/>
      <c r="AH1198" s="120" t="s">
        <v>54</v>
      </c>
      <c r="AJ1198" s="119">
        <f>C23*0.01</f>
        <v>2.46</v>
      </c>
      <c r="AK1198" s="129">
        <f>AK1197+AJ1198</f>
        <v>1117.8399999999999</v>
      </c>
    </row>
    <row r="1199" spans="6:37" ht="24" customHeight="1">
      <c r="H1199" s="123" t="s">
        <v>52</v>
      </c>
      <c r="Z1199" s="116"/>
      <c r="AA1199" s="120" t="s">
        <v>55</v>
      </c>
      <c r="AC1199" s="119">
        <f t="shared" ref="AC1199:AC1208" si="151">AC1198</f>
        <v>4.92</v>
      </c>
      <c r="AD1199" s="129">
        <f t="shared" ref="AD1199:AD1208" si="152">+AD1198+AC1199</f>
        <v>1977.47</v>
      </c>
      <c r="AG1199" s="116"/>
      <c r="AH1199" s="120" t="s">
        <v>55</v>
      </c>
      <c r="AJ1199" s="119">
        <f>C24*0.01</f>
        <v>2.46</v>
      </c>
      <c r="AK1199" s="129">
        <f t="shared" ref="AK1199:AK1206" si="153">+AK1198+AJ1199</f>
        <v>1120.3</v>
      </c>
    </row>
    <row r="1200" spans="6:37" ht="24" customHeight="1">
      <c r="F1200" s="129">
        <v>0.22</v>
      </c>
      <c r="G1200" s="126" t="s">
        <v>132</v>
      </c>
      <c r="H1200" s="120" t="s">
        <v>259</v>
      </c>
      <c r="I1200" s="129">
        <f>K40</f>
        <v>3937.82</v>
      </c>
      <c r="J1200" s="120" t="s">
        <v>132</v>
      </c>
      <c r="K1200" s="129">
        <f>(F1200*I1200)</f>
        <v>866.32</v>
      </c>
      <c r="Z1200" s="116"/>
      <c r="AA1200" s="120" t="s">
        <v>56</v>
      </c>
      <c r="AC1200" s="119">
        <f t="shared" si="151"/>
        <v>4.92</v>
      </c>
      <c r="AD1200" s="129">
        <f t="shared" si="152"/>
        <v>1982.39</v>
      </c>
      <c r="AG1200" s="116"/>
      <c r="AH1200" s="120" t="s">
        <v>56</v>
      </c>
      <c r="AJ1200" s="119">
        <v>1.95</v>
      </c>
      <c r="AK1200" s="129">
        <f t="shared" si="153"/>
        <v>1122.25</v>
      </c>
    </row>
    <row r="1201" spans="6:37" ht="24" customHeight="1">
      <c r="F1201" s="129">
        <v>2.2000000000000002</v>
      </c>
      <c r="G1201" s="126" t="s">
        <v>237</v>
      </c>
      <c r="H1201" s="120" t="s">
        <v>345</v>
      </c>
      <c r="I1201" s="129">
        <f>(C10)</f>
        <v>1041.7</v>
      </c>
      <c r="J1201" s="120" t="s">
        <v>237</v>
      </c>
      <c r="K1201" s="129">
        <f>(F1201*I1201)</f>
        <v>2291.7399999999998</v>
      </c>
      <c r="Z1201" s="116"/>
      <c r="AA1201" s="120" t="s">
        <v>747</v>
      </c>
      <c r="AC1201" s="119">
        <f t="shared" si="151"/>
        <v>4.92</v>
      </c>
      <c r="AD1201" s="129">
        <f t="shared" si="152"/>
        <v>1987.31</v>
      </c>
      <c r="AG1201" s="116"/>
      <c r="AH1201" s="120" t="s">
        <v>747</v>
      </c>
      <c r="AJ1201" s="119">
        <v>1.95</v>
      </c>
      <c r="AK1201" s="129">
        <f t="shared" si="153"/>
        <v>1124.2</v>
      </c>
    </row>
    <row r="1202" spans="6:37" ht="24" customHeight="1">
      <c r="F1202" s="129">
        <v>0.5</v>
      </c>
      <c r="G1202" s="126" t="s">
        <v>237</v>
      </c>
      <c r="H1202" s="120" t="s">
        <v>1568</v>
      </c>
      <c r="I1202" s="129">
        <f>(C12)</f>
        <v>679.8</v>
      </c>
      <c r="J1202" s="120" t="s">
        <v>237</v>
      </c>
      <c r="K1202" s="129">
        <f>(F1202*I1202)</f>
        <v>339.9</v>
      </c>
      <c r="Z1202" s="116"/>
      <c r="AA1202" s="115">
        <v>5</v>
      </c>
      <c r="AC1202" s="119">
        <f t="shared" si="151"/>
        <v>4.92</v>
      </c>
      <c r="AD1202" s="129">
        <f t="shared" si="152"/>
        <v>1992.23</v>
      </c>
      <c r="AE1202" s="137">
        <f>AG1202</f>
        <v>0</v>
      </c>
      <c r="AG1202" s="116"/>
      <c r="AH1202" s="115">
        <v>5</v>
      </c>
      <c r="AJ1202" s="119">
        <f>AC1202</f>
        <v>4.92</v>
      </c>
      <c r="AK1202" s="129">
        <f t="shared" si="153"/>
        <v>1129.1199999999999</v>
      </c>
    </row>
    <row r="1203" spans="6:37" ht="24" customHeight="1">
      <c r="F1203" s="129">
        <v>3.2</v>
      </c>
      <c r="G1203" s="126" t="s">
        <v>237</v>
      </c>
      <c r="H1203" s="120" t="s">
        <v>306</v>
      </c>
      <c r="I1203" s="129">
        <f>(C13)</f>
        <v>557.70000000000005</v>
      </c>
      <c r="J1203" s="120" t="s">
        <v>237</v>
      </c>
      <c r="K1203" s="129">
        <f>(F1203*I1203)</f>
        <v>1784.64</v>
      </c>
      <c r="AA1203" s="115">
        <v>6</v>
      </c>
      <c r="AC1203" s="119">
        <f t="shared" si="151"/>
        <v>4.92</v>
      </c>
      <c r="AD1203" s="129">
        <f t="shared" si="152"/>
        <v>1997.15</v>
      </c>
      <c r="AE1203" s="137">
        <f>AG1203</f>
        <v>0</v>
      </c>
      <c r="AH1203" s="115">
        <v>6</v>
      </c>
      <c r="AJ1203" s="119">
        <f>AC1203</f>
        <v>4.92</v>
      </c>
      <c r="AK1203" s="129">
        <f t="shared" si="153"/>
        <v>1134.04</v>
      </c>
    </row>
    <row r="1204" spans="6:37" ht="24" customHeight="1">
      <c r="F1204" s="129"/>
      <c r="G1204" s="126"/>
      <c r="H1204" s="120"/>
      <c r="I1204" s="129"/>
      <c r="J1204" s="120"/>
      <c r="K1204" s="129"/>
      <c r="AA1204" s="115">
        <v>7</v>
      </c>
      <c r="AC1204" s="119">
        <f t="shared" si="151"/>
        <v>4.92</v>
      </c>
      <c r="AD1204" s="129">
        <f t="shared" si="152"/>
        <v>2002.07</v>
      </c>
      <c r="AE1204" s="137"/>
      <c r="AH1204" s="115">
        <v>7</v>
      </c>
      <c r="AJ1204" s="119">
        <f>AC1204</f>
        <v>4.92</v>
      </c>
      <c r="AK1204" s="129">
        <f t="shared" si="153"/>
        <v>1138.96</v>
      </c>
    </row>
    <row r="1205" spans="6:37" ht="24" customHeight="1">
      <c r="F1205" s="129"/>
      <c r="G1205" s="126"/>
      <c r="H1205" s="120"/>
      <c r="I1205" s="129"/>
      <c r="J1205" s="120"/>
      <c r="K1205" s="129"/>
      <c r="AA1205" s="115">
        <v>8</v>
      </c>
      <c r="AC1205" s="119">
        <f t="shared" si="151"/>
        <v>4.92</v>
      </c>
      <c r="AD1205" s="129">
        <f t="shared" si="152"/>
        <v>2006.99</v>
      </c>
      <c r="AE1205" s="137"/>
      <c r="AH1205" s="115">
        <v>8</v>
      </c>
      <c r="AJ1205" s="119">
        <f>AC1205</f>
        <v>4.92</v>
      </c>
      <c r="AK1205" s="129">
        <f t="shared" si="153"/>
        <v>1143.8800000000001</v>
      </c>
    </row>
    <row r="1206" spans="6:37" ht="24" customHeight="1">
      <c r="F1206" s="129"/>
      <c r="G1206" s="126"/>
      <c r="H1206" s="120"/>
      <c r="I1206" s="129"/>
      <c r="J1206" s="120"/>
      <c r="K1206" s="129"/>
      <c r="AA1206" s="115">
        <v>9</v>
      </c>
      <c r="AC1206" s="119">
        <f t="shared" si="151"/>
        <v>4.92</v>
      </c>
      <c r="AD1206" s="129">
        <f t="shared" si="152"/>
        <v>2011.91</v>
      </c>
      <c r="AE1206" s="137"/>
      <c r="AF1206" s="115" t="s">
        <v>4289</v>
      </c>
      <c r="AH1206" s="115">
        <v>9</v>
      </c>
      <c r="AJ1206" s="119">
        <f>AC1206</f>
        <v>4.92</v>
      </c>
      <c r="AK1206" s="129">
        <f t="shared" si="153"/>
        <v>1148.8</v>
      </c>
    </row>
    <row r="1207" spans="6:37" ht="24" customHeight="1">
      <c r="F1207" s="129"/>
      <c r="G1207" s="126"/>
      <c r="H1207" s="120"/>
      <c r="I1207" s="129"/>
      <c r="J1207" s="120"/>
      <c r="K1207" s="129"/>
      <c r="AA1207" s="115">
        <v>10</v>
      </c>
      <c r="AC1207" s="119">
        <f t="shared" si="151"/>
        <v>4.92</v>
      </c>
      <c r="AD1207" s="129">
        <f t="shared" si="152"/>
        <v>2016.83</v>
      </c>
      <c r="AE1207" s="137"/>
      <c r="AG1207" s="120"/>
    </row>
    <row r="1208" spans="6:37" ht="24" customHeight="1">
      <c r="F1208" s="129"/>
      <c r="G1208" s="126"/>
      <c r="H1208" s="120"/>
      <c r="I1208" s="129"/>
      <c r="J1208" s="120"/>
      <c r="K1208" s="129"/>
      <c r="AA1208" s="115">
        <v>11</v>
      </c>
      <c r="AC1208" s="119">
        <f t="shared" si="151"/>
        <v>4.92</v>
      </c>
      <c r="AD1208" s="129">
        <f t="shared" si="152"/>
        <v>2021.75</v>
      </c>
      <c r="AE1208" s="137"/>
      <c r="AG1208" s="120"/>
    </row>
    <row r="1209" spans="6:37" ht="24" customHeight="1">
      <c r="G1209" s="126" t="s">
        <v>145</v>
      </c>
      <c r="H1209" s="120" t="s">
        <v>146</v>
      </c>
      <c r="I1209" s="120" t="s">
        <v>85</v>
      </c>
      <c r="J1209" s="120" t="s">
        <v>145</v>
      </c>
      <c r="K1209" s="129">
        <v>5</v>
      </c>
      <c r="N1209" s="116"/>
      <c r="Q1209" s="119"/>
      <c r="Y1209" s="167">
        <v>29.5</v>
      </c>
      <c r="Z1209" s="126" t="s">
        <v>111</v>
      </c>
      <c r="AA1209" s="122" t="s">
        <v>4290</v>
      </c>
      <c r="AE1209" s="137" t="str">
        <f t="shared" ref="AE1209:AE1277" si="154">AG1209</f>
        <v>|</v>
      </c>
      <c r="AG1209" s="120" t="s">
        <v>120</v>
      </c>
    </row>
    <row r="1210" spans="6:37" ht="24" customHeight="1">
      <c r="K1210" s="123" t="s">
        <v>52</v>
      </c>
      <c r="N1210" s="116"/>
      <c r="Q1210" s="119"/>
      <c r="Z1210" s="116"/>
      <c r="AA1210" s="122" t="s">
        <v>4291</v>
      </c>
      <c r="AE1210" s="137" t="str">
        <f t="shared" si="154"/>
        <v>|</v>
      </c>
      <c r="AG1210" s="120" t="s">
        <v>120</v>
      </c>
    </row>
    <row r="1211" spans="6:37" ht="24" customHeight="1">
      <c r="H1211" s="120" t="s">
        <v>495</v>
      </c>
      <c r="K1211" s="129">
        <f>SUM(K1200:K1209)</f>
        <v>5287.6</v>
      </c>
      <c r="N1211" s="116"/>
      <c r="Q1211" s="119"/>
      <c r="Z1211" s="116"/>
      <c r="AA1211" s="120"/>
      <c r="AE1211" s="137" t="str">
        <f t="shared" si="154"/>
        <v>|</v>
      </c>
      <c r="AG1211" s="120" t="s">
        <v>120</v>
      </c>
    </row>
    <row r="1212" spans="6:37" ht="36.75" customHeight="1">
      <c r="F1212" s="115" t="s">
        <v>85</v>
      </c>
      <c r="K1212" s="123" t="s">
        <v>52</v>
      </c>
      <c r="N1212" s="116"/>
      <c r="O1212" s="274" t="s">
        <v>4292</v>
      </c>
      <c r="Q1212" s="119"/>
      <c r="Z1212" s="116"/>
      <c r="AA1212" s="123" t="s">
        <v>52</v>
      </c>
      <c r="AB1212" s="123" t="s">
        <v>52</v>
      </c>
      <c r="AC1212" s="117">
        <f>54.96*10.764</f>
        <v>591.59</v>
      </c>
      <c r="AE1212" s="137" t="str">
        <f t="shared" si="154"/>
        <v>|</v>
      </c>
      <c r="AG1212" s="120" t="s">
        <v>120</v>
      </c>
    </row>
    <row r="1213" spans="6:37" ht="30" customHeight="1">
      <c r="H1213" s="128" t="s">
        <v>460</v>
      </c>
      <c r="K1213" s="127">
        <f>(K1211/10)</f>
        <v>528.76</v>
      </c>
      <c r="N1213" s="116"/>
      <c r="Q1213" s="119"/>
      <c r="Y1213" s="129">
        <v>10</v>
      </c>
      <c r="Z1213" s="126" t="s">
        <v>425</v>
      </c>
      <c r="AA1213" s="42" t="s">
        <v>4293</v>
      </c>
      <c r="AB1213" s="136">
        <v>1462</v>
      </c>
      <c r="AC1213" s="120" t="s">
        <v>425</v>
      </c>
      <c r="AD1213" s="129">
        <f>(Y1213*AB1213)</f>
        <v>14620</v>
      </c>
      <c r="AE1213" s="137" t="str">
        <f t="shared" si="154"/>
        <v>|</v>
      </c>
      <c r="AG1213" s="120" t="s">
        <v>120</v>
      </c>
    </row>
    <row r="1214" spans="6:37" ht="24" customHeight="1">
      <c r="K1214" s="123" t="s">
        <v>89</v>
      </c>
      <c r="N1214" s="116"/>
      <c r="Q1214" s="119"/>
      <c r="S1214" s="276" t="s">
        <v>4294</v>
      </c>
      <c r="Y1214" s="129">
        <v>0.21</v>
      </c>
      <c r="Z1214" s="126" t="s">
        <v>132</v>
      </c>
      <c r="AA1214" s="120" t="s">
        <v>1575</v>
      </c>
      <c r="AB1214" s="129">
        <f t="shared" ref="AB1214:AB1226" si="155">AB1242</f>
        <v>4662.62</v>
      </c>
      <c r="AC1214" s="120" t="s">
        <v>132</v>
      </c>
      <c r="AD1214" s="129">
        <f>(Y1214*AB1214)</f>
        <v>979.15</v>
      </c>
      <c r="AE1214" s="137" t="str">
        <f t="shared" si="154"/>
        <v>|</v>
      </c>
      <c r="AG1214" s="120" t="s">
        <v>120</v>
      </c>
    </row>
    <row r="1215" spans="6:37" ht="24" customHeight="1">
      <c r="F1215" s="121" t="s">
        <v>1569</v>
      </c>
      <c r="G1215" s="126" t="s">
        <v>111</v>
      </c>
      <c r="H1215" s="120" t="s">
        <v>1570</v>
      </c>
      <c r="M1215" s="129">
        <v>10</v>
      </c>
      <c r="N1215" s="126" t="s">
        <v>425</v>
      </c>
      <c r="O1215" s="191" t="s">
        <v>4295</v>
      </c>
      <c r="P1215" s="275">
        <v>653</v>
      </c>
      <c r="Q1215" s="121" t="s">
        <v>425</v>
      </c>
      <c r="R1215" s="129">
        <f>M1215*P1215</f>
        <v>6530</v>
      </c>
      <c r="S1215" s="118">
        <v>694.02</v>
      </c>
      <c r="T1215" s="115">
        <f>S1215*M1215</f>
        <v>6940.2</v>
      </c>
      <c r="Z1215" s="116"/>
      <c r="AA1215" s="120" t="s">
        <v>1576</v>
      </c>
      <c r="AB1215" s="129" t="str">
        <f t="shared" si="155"/>
        <v xml:space="preserve"> </v>
      </c>
      <c r="AC1215" s="117"/>
      <c r="AD1215" s="120" t="s">
        <v>85</v>
      </c>
      <c r="AE1215" s="137" t="str">
        <f t="shared" si="154"/>
        <v>|</v>
      </c>
      <c r="AG1215" s="120" t="s">
        <v>120</v>
      </c>
    </row>
    <row r="1216" spans="6:37" ht="24" customHeight="1">
      <c r="H1216" s="120" t="s">
        <v>1571</v>
      </c>
      <c r="M1216" s="129">
        <v>0.21</v>
      </c>
      <c r="N1216" s="126" t="s">
        <v>132</v>
      </c>
      <c r="O1216" s="120" t="s">
        <v>1575</v>
      </c>
      <c r="P1216" s="129">
        <f>I1220</f>
        <v>4662.62</v>
      </c>
      <c r="Q1216" s="121" t="s">
        <v>132</v>
      </c>
      <c r="R1216" s="129">
        <f t="shared" ref="R1216:R1225" si="156">(M1216*P1216)</f>
        <v>979.15</v>
      </c>
      <c r="T1216" s="115">
        <f>R1216</f>
        <v>979.15</v>
      </c>
      <c r="Y1216" s="129">
        <v>1.1000000000000001</v>
      </c>
      <c r="Z1216" s="126" t="s">
        <v>237</v>
      </c>
      <c r="AA1216" s="120" t="s">
        <v>345</v>
      </c>
      <c r="AB1216" s="129">
        <f t="shared" si="155"/>
        <v>1041.7</v>
      </c>
      <c r="AC1216" s="120" t="s">
        <v>237</v>
      </c>
      <c r="AD1216" s="129">
        <f>(Y1216*AB1216)</f>
        <v>1145.8699999999999</v>
      </c>
      <c r="AE1216" s="137" t="str">
        <f t="shared" si="154"/>
        <v>|</v>
      </c>
      <c r="AG1216" s="120" t="s">
        <v>120</v>
      </c>
    </row>
    <row r="1217" spans="6:33" ht="24" customHeight="1">
      <c r="H1217" s="123" t="s">
        <v>52</v>
      </c>
      <c r="M1217" s="129">
        <v>1.1000000000000001</v>
      </c>
      <c r="N1217" s="126" t="s">
        <v>237</v>
      </c>
      <c r="O1217" s="120" t="s">
        <v>345</v>
      </c>
      <c r="P1217" s="129">
        <f>I1222</f>
        <v>1041.7</v>
      </c>
      <c r="Q1217" s="121" t="s">
        <v>237</v>
      </c>
      <c r="R1217" s="129">
        <f t="shared" si="156"/>
        <v>1145.8699999999999</v>
      </c>
      <c r="T1217" s="115">
        <f t="shared" ref="T1217:T1225" si="157">R1217</f>
        <v>1145.8699999999999</v>
      </c>
      <c r="Y1217" s="129">
        <v>1.1000000000000001</v>
      </c>
      <c r="Z1217" s="126" t="s">
        <v>237</v>
      </c>
      <c r="AA1217" s="120" t="s">
        <v>302</v>
      </c>
      <c r="AB1217" s="129">
        <f t="shared" si="155"/>
        <v>972.4</v>
      </c>
      <c r="AC1217" s="120" t="s">
        <v>237</v>
      </c>
      <c r="AD1217" s="129">
        <f>(Y1217*AB1217)</f>
        <v>1069.6400000000001</v>
      </c>
      <c r="AE1217" s="137" t="str">
        <f t="shared" si="154"/>
        <v>|</v>
      </c>
      <c r="AG1217" s="120" t="s">
        <v>120</v>
      </c>
    </row>
    <row r="1218" spans="6:33" ht="24" customHeight="1">
      <c r="F1218" s="129">
        <v>160</v>
      </c>
      <c r="G1218" s="126" t="s">
        <v>1572</v>
      </c>
      <c r="H1218" s="120" t="s">
        <v>1573</v>
      </c>
      <c r="I1218" s="129">
        <f>(C137)</f>
        <v>11907</v>
      </c>
      <c r="J1218" s="120" t="s">
        <v>341</v>
      </c>
      <c r="K1218" s="129">
        <f>(F1218*I1218)/1000</f>
        <v>1905.12</v>
      </c>
      <c r="M1218" s="129">
        <v>1.1000000000000001</v>
      </c>
      <c r="N1218" s="126" t="s">
        <v>237</v>
      </c>
      <c r="O1218" s="120" t="s">
        <v>302</v>
      </c>
      <c r="P1218" s="129">
        <f>I1223</f>
        <v>972.4</v>
      </c>
      <c r="Q1218" s="121" t="s">
        <v>237</v>
      </c>
      <c r="R1218" s="129">
        <f t="shared" si="156"/>
        <v>1069.6400000000001</v>
      </c>
      <c r="T1218" s="115">
        <f t="shared" si="157"/>
        <v>1069.6400000000001</v>
      </c>
      <c r="Y1218" s="129">
        <v>2.2000000000000002</v>
      </c>
      <c r="Z1218" s="126" t="s">
        <v>237</v>
      </c>
      <c r="AA1218" s="120" t="s">
        <v>304</v>
      </c>
      <c r="AB1218" s="129">
        <f t="shared" si="155"/>
        <v>679.8</v>
      </c>
      <c r="AC1218" s="120" t="s">
        <v>237</v>
      </c>
      <c r="AD1218" s="129">
        <f>(Y1218*AB1218)</f>
        <v>1495.56</v>
      </c>
      <c r="AE1218" s="137" t="str">
        <f t="shared" si="154"/>
        <v>|</v>
      </c>
      <c r="AG1218" s="120" t="s">
        <v>120</v>
      </c>
    </row>
    <row r="1219" spans="6:33" ht="24" customHeight="1">
      <c r="H1219" s="120" t="s">
        <v>1574</v>
      </c>
      <c r="I1219" s="120" t="s">
        <v>85</v>
      </c>
      <c r="K1219" s="120" t="s">
        <v>85</v>
      </c>
      <c r="M1219" s="129">
        <v>2.2000000000000002</v>
      </c>
      <c r="N1219" s="126" t="s">
        <v>237</v>
      </c>
      <c r="O1219" s="120" t="s">
        <v>304</v>
      </c>
      <c r="P1219" s="129">
        <f>I1224</f>
        <v>679.8</v>
      </c>
      <c r="Q1219" s="121" t="s">
        <v>237</v>
      </c>
      <c r="R1219" s="129">
        <f t="shared" si="156"/>
        <v>1495.56</v>
      </c>
      <c r="T1219" s="115">
        <f t="shared" si="157"/>
        <v>1495.56</v>
      </c>
      <c r="Y1219" s="129">
        <v>2.2000000000000002</v>
      </c>
      <c r="Z1219" s="126" t="s">
        <v>237</v>
      </c>
      <c r="AA1219" s="120" t="s">
        <v>306</v>
      </c>
      <c r="AB1219" s="129">
        <f t="shared" si="155"/>
        <v>557.70000000000005</v>
      </c>
      <c r="AC1219" s="120" t="s">
        <v>237</v>
      </c>
      <c r="AD1219" s="129">
        <f>(Y1219*AB1219)</f>
        <v>1226.94</v>
      </c>
      <c r="AE1219" s="137" t="str">
        <f t="shared" si="154"/>
        <v>|</v>
      </c>
      <c r="AG1219" s="120" t="s">
        <v>120</v>
      </c>
    </row>
    <row r="1220" spans="6:33" ht="24" customHeight="1">
      <c r="F1220" s="129">
        <v>0.21</v>
      </c>
      <c r="G1220" s="126" t="s">
        <v>132</v>
      </c>
      <c r="H1220" s="120" t="s">
        <v>1575</v>
      </c>
      <c r="I1220" s="129">
        <f>(K32)</f>
        <v>4662.62</v>
      </c>
      <c r="J1220" s="120" t="s">
        <v>132</v>
      </c>
      <c r="K1220" s="129">
        <f>(F1220*I1220)</f>
        <v>979.15</v>
      </c>
      <c r="M1220" s="129">
        <v>2.2000000000000002</v>
      </c>
      <c r="N1220" s="126" t="s">
        <v>237</v>
      </c>
      <c r="O1220" s="120" t="s">
        <v>306</v>
      </c>
      <c r="P1220" s="129">
        <f>I1225</f>
        <v>557.70000000000005</v>
      </c>
      <c r="Q1220" s="121" t="s">
        <v>237</v>
      </c>
      <c r="R1220" s="129">
        <f t="shared" si="156"/>
        <v>1226.94</v>
      </c>
      <c r="T1220" s="115">
        <f t="shared" si="157"/>
        <v>1226.94</v>
      </c>
      <c r="Y1220" s="142">
        <v>20</v>
      </c>
      <c r="Z1220" s="126" t="s">
        <v>39</v>
      </c>
      <c r="AA1220" s="120" t="s">
        <v>123</v>
      </c>
      <c r="AB1220" s="129">
        <f t="shared" si="155"/>
        <v>6040</v>
      </c>
      <c r="AC1220" s="120" t="s">
        <v>122</v>
      </c>
      <c r="AD1220" s="129">
        <f>(Y1220*AB1220)/1000</f>
        <v>120.8</v>
      </c>
      <c r="AE1220" s="137" t="str">
        <f t="shared" si="154"/>
        <v>|</v>
      </c>
      <c r="AG1220" s="120" t="s">
        <v>120</v>
      </c>
    </row>
    <row r="1221" spans="6:33" ht="24" customHeight="1">
      <c r="H1221" s="120" t="s">
        <v>1576</v>
      </c>
      <c r="I1221" s="120" t="s">
        <v>85</v>
      </c>
      <c r="K1221" s="120" t="s">
        <v>85</v>
      </c>
      <c r="M1221" s="142">
        <v>20</v>
      </c>
      <c r="N1221" s="126" t="s">
        <v>39</v>
      </c>
      <c r="O1221" s="120" t="s">
        <v>123</v>
      </c>
      <c r="P1221" s="129">
        <f>I1226</f>
        <v>6040</v>
      </c>
      <c r="Q1221" s="121" t="s">
        <v>122</v>
      </c>
      <c r="R1221" s="129">
        <f>(M1221*P1221)/1000</f>
        <v>120.8</v>
      </c>
      <c r="T1221" s="115">
        <f t="shared" si="157"/>
        <v>120.8</v>
      </c>
      <c r="Y1221" s="142">
        <v>2</v>
      </c>
      <c r="Z1221" s="126" t="s">
        <v>39</v>
      </c>
      <c r="AA1221" s="120" t="s">
        <v>4296</v>
      </c>
      <c r="AB1221" s="129">
        <f t="shared" si="155"/>
        <v>36.1</v>
      </c>
      <c r="AC1221" s="120" t="s">
        <v>39</v>
      </c>
      <c r="AD1221" s="129">
        <f>(Y1221*AB1221)</f>
        <v>72.2</v>
      </c>
      <c r="AE1221" s="137" t="str">
        <f t="shared" si="154"/>
        <v>|</v>
      </c>
      <c r="AG1221" s="120" t="s">
        <v>120</v>
      </c>
    </row>
    <row r="1222" spans="6:33" ht="24" customHeight="1">
      <c r="F1222" s="129">
        <v>1.1000000000000001</v>
      </c>
      <c r="G1222" s="126" t="s">
        <v>237</v>
      </c>
      <c r="H1222" s="120" t="s">
        <v>345</v>
      </c>
      <c r="I1222" s="129">
        <f>(C10)</f>
        <v>1041.7</v>
      </c>
      <c r="J1222" s="120" t="s">
        <v>237</v>
      </c>
      <c r="K1222" s="129">
        <f>(F1222*I1222)</f>
        <v>1145.8699999999999</v>
      </c>
      <c r="M1222" s="142">
        <v>2</v>
      </c>
      <c r="N1222" s="126" t="s">
        <v>39</v>
      </c>
      <c r="O1222" s="191" t="s">
        <v>4297</v>
      </c>
      <c r="P1222" s="129">
        <f>C608</f>
        <v>24.93</v>
      </c>
      <c r="Q1222" s="121" t="s">
        <v>39</v>
      </c>
      <c r="R1222" s="129">
        <f t="shared" si="156"/>
        <v>49.86</v>
      </c>
      <c r="T1222" s="115">
        <f t="shared" si="157"/>
        <v>49.86</v>
      </c>
      <c r="Y1222" s="129">
        <v>1.6</v>
      </c>
      <c r="Z1222" s="126" t="s">
        <v>237</v>
      </c>
      <c r="AA1222" s="120" t="s">
        <v>302</v>
      </c>
      <c r="AB1222" s="129">
        <f t="shared" si="155"/>
        <v>972.4</v>
      </c>
      <c r="AC1222" s="120" t="s">
        <v>237</v>
      </c>
      <c r="AD1222" s="129">
        <f>(Y1222*AB1222)</f>
        <v>1555.84</v>
      </c>
      <c r="AE1222" s="137" t="str">
        <f t="shared" si="154"/>
        <v>|</v>
      </c>
      <c r="AG1222" s="120" t="s">
        <v>120</v>
      </c>
    </row>
    <row r="1223" spans="6:33" ht="24" customHeight="1">
      <c r="F1223" s="129">
        <v>1.1000000000000001</v>
      </c>
      <c r="G1223" s="126" t="s">
        <v>237</v>
      </c>
      <c r="H1223" s="120" t="s">
        <v>302</v>
      </c>
      <c r="I1223" s="129">
        <f>(C11)</f>
        <v>972.4</v>
      </c>
      <c r="J1223" s="120" t="s">
        <v>237</v>
      </c>
      <c r="K1223" s="129">
        <f>(F1223*I1223)</f>
        <v>1069.6400000000001</v>
      </c>
      <c r="M1223" s="129">
        <v>1.6</v>
      </c>
      <c r="N1223" s="126" t="s">
        <v>237</v>
      </c>
      <c r="O1223" s="120" t="s">
        <v>302</v>
      </c>
      <c r="P1223" s="129">
        <f>P1218</f>
        <v>972.4</v>
      </c>
      <c r="Q1223" s="121" t="s">
        <v>237</v>
      </c>
      <c r="R1223" s="129">
        <f t="shared" si="156"/>
        <v>1555.84</v>
      </c>
      <c r="T1223" s="115">
        <f t="shared" si="157"/>
        <v>1555.84</v>
      </c>
      <c r="Y1223" s="129">
        <v>0.5</v>
      </c>
      <c r="Z1223" s="126" t="s">
        <v>237</v>
      </c>
      <c r="AA1223" s="120" t="s">
        <v>304</v>
      </c>
      <c r="AB1223" s="129">
        <f t="shared" si="155"/>
        <v>679.8</v>
      </c>
      <c r="AC1223" s="120" t="s">
        <v>237</v>
      </c>
      <c r="AD1223" s="129">
        <f>(Y1223*AB1223)</f>
        <v>339.9</v>
      </c>
      <c r="AE1223" s="137" t="str">
        <f t="shared" si="154"/>
        <v>|</v>
      </c>
      <c r="AG1223" s="120" t="s">
        <v>120</v>
      </c>
    </row>
    <row r="1224" spans="6:33" ht="24" customHeight="1">
      <c r="F1224" s="129">
        <v>2.2000000000000002</v>
      </c>
      <c r="G1224" s="126" t="s">
        <v>237</v>
      </c>
      <c r="H1224" s="120" t="s">
        <v>304</v>
      </c>
      <c r="I1224" s="129">
        <f>(C12)</f>
        <v>679.8</v>
      </c>
      <c r="J1224" s="120" t="s">
        <v>237</v>
      </c>
      <c r="K1224" s="129">
        <f>(F1224*I1224)</f>
        <v>1495.56</v>
      </c>
      <c r="M1224" s="129">
        <v>0.5</v>
      </c>
      <c r="N1224" s="126" t="s">
        <v>237</v>
      </c>
      <c r="O1224" s="120" t="s">
        <v>304</v>
      </c>
      <c r="P1224" s="129">
        <f>P1219</f>
        <v>679.8</v>
      </c>
      <c r="Q1224" s="121" t="s">
        <v>237</v>
      </c>
      <c r="R1224" s="129">
        <f t="shared" si="156"/>
        <v>339.9</v>
      </c>
      <c r="T1224" s="115">
        <f t="shared" si="157"/>
        <v>339.9</v>
      </c>
      <c r="Y1224" s="129">
        <v>1.1000000000000001</v>
      </c>
      <c r="Z1224" s="126" t="s">
        <v>237</v>
      </c>
      <c r="AA1224" s="120" t="s">
        <v>306</v>
      </c>
      <c r="AB1224" s="129">
        <f t="shared" si="155"/>
        <v>557.70000000000005</v>
      </c>
      <c r="AC1224" s="120" t="s">
        <v>237</v>
      </c>
      <c r="AD1224" s="129">
        <f>(Y1224*AB1224)</f>
        <v>613.47</v>
      </c>
      <c r="AE1224" s="137" t="str">
        <f t="shared" si="154"/>
        <v>|</v>
      </c>
      <c r="AG1224" s="120" t="s">
        <v>120</v>
      </c>
    </row>
    <row r="1225" spans="6:33" ht="24" customHeight="1">
      <c r="F1225" s="129">
        <v>2.2000000000000002</v>
      </c>
      <c r="G1225" s="126" t="s">
        <v>237</v>
      </c>
      <c r="H1225" s="120" t="s">
        <v>306</v>
      </c>
      <c r="I1225" s="129">
        <f>(C13)</f>
        <v>557.70000000000005</v>
      </c>
      <c r="J1225" s="120" t="s">
        <v>237</v>
      </c>
      <c r="K1225" s="129">
        <f>(F1225*I1225)</f>
        <v>1226.94</v>
      </c>
      <c r="M1225" s="129">
        <v>1.1000000000000001</v>
      </c>
      <c r="N1225" s="126" t="s">
        <v>237</v>
      </c>
      <c r="O1225" s="120" t="s">
        <v>306</v>
      </c>
      <c r="P1225" s="129">
        <f>P1220</f>
        <v>557.70000000000005</v>
      </c>
      <c r="Q1225" s="121" t="s">
        <v>237</v>
      </c>
      <c r="R1225" s="129">
        <f t="shared" si="156"/>
        <v>613.47</v>
      </c>
      <c r="T1225" s="115">
        <f t="shared" si="157"/>
        <v>613.47</v>
      </c>
      <c r="Z1225" s="126" t="s">
        <v>145</v>
      </c>
      <c r="AA1225" s="120" t="s">
        <v>146</v>
      </c>
      <c r="AB1225" s="129">
        <f t="shared" si="155"/>
        <v>0</v>
      </c>
      <c r="AC1225" s="120" t="s">
        <v>145</v>
      </c>
      <c r="AD1225" s="129">
        <v>0</v>
      </c>
      <c r="AE1225" s="137" t="str">
        <f t="shared" si="154"/>
        <v>|</v>
      </c>
      <c r="AG1225" s="120" t="s">
        <v>120</v>
      </c>
    </row>
    <row r="1226" spans="6:33" ht="24" customHeight="1">
      <c r="F1226" s="142">
        <v>22</v>
      </c>
      <c r="G1226" s="126" t="s">
        <v>39</v>
      </c>
      <c r="H1226" s="120" t="s">
        <v>123</v>
      </c>
      <c r="I1226" s="129">
        <f>(C67)</f>
        <v>6040</v>
      </c>
      <c r="J1226" s="120" t="s">
        <v>122</v>
      </c>
      <c r="K1226" s="129">
        <f>(F1226*I1226)/1000</f>
        <v>132.88</v>
      </c>
      <c r="N1226" s="126" t="s">
        <v>145</v>
      </c>
      <c r="O1226" s="120" t="s">
        <v>146</v>
      </c>
      <c r="Q1226" s="121" t="s">
        <v>145</v>
      </c>
      <c r="R1226" s="129">
        <v>4.5999999999999996</v>
      </c>
      <c r="S1226" s="118">
        <f>3.27-0.52</f>
        <v>2.75</v>
      </c>
      <c r="T1226" s="115">
        <v>2.74</v>
      </c>
      <c r="Z1226" s="116"/>
      <c r="AB1226" s="129">
        <f t="shared" si="155"/>
        <v>0</v>
      </c>
      <c r="AC1226" s="117"/>
      <c r="AD1226" s="123" t="s">
        <v>52</v>
      </c>
      <c r="AE1226" s="137" t="str">
        <f t="shared" si="154"/>
        <v>|</v>
      </c>
      <c r="AG1226" s="120" t="s">
        <v>120</v>
      </c>
    </row>
    <row r="1227" spans="6:33" ht="24" customHeight="1">
      <c r="F1227" s="129">
        <v>1.6</v>
      </c>
      <c r="G1227" s="126" t="s">
        <v>237</v>
      </c>
      <c r="H1227" s="120" t="s">
        <v>302</v>
      </c>
      <c r="I1227" s="129">
        <f>(C11)</f>
        <v>972.4</v>
      </c>
      <c r="J1227" s="120" t="s">
        <v>237</v>
      </c>
      <c r="K1227" s="129">
        <f>(F1227*I1227)</f>
        <v>1555.84</v>
      </c>
      <c r="N1227" s="116"/>
      <c r="Q1227" s="119"/>
      <c r="R1227" s="123" t="s">
        <v>52</v>
      </c>
      <c r="Z1227" s="116"/>
      <c r="AA1227" s="120" t="s">
        <v>495</v>
      </c>
      <c r="AC1227" s="117"/>
      <c r="AD1227" s="129">
        <f>SUM(AD1213:AD1225)</f>
        <v>23239.37</v>
      </c>
      <c r="AE1227" s="137" t="str">
        <f t="shared" si="154"/>
        <v>|::</v>
      </c>
      <c r="AG1227" s="120" t="s">
        <v>307</v>
      </c>
    </row>
    <row r="1228" spans="6:33" ht="24" customHeight="1">
      <c r="F1228" s="129">
        <v>0.5</v>
      </c>
      <c r="G1228" s="126" t="s">
        <v>237</v>
      </c>
      <c r="H1228" s="120" t="s">
        <v>304</v>
      </c>
      <c r="I1228" s="129">
        <f>(C12)</f>
        <v>679.8</v>
      </c>
      <c r="J1228" s="120" t="s">
        <v>237</v>
      </c>
      <c r="K1228" s="129">
        <f>(F1228*I1228)</f>
        <v>339.9</v>
      </c>
      <c r="N1228" s="116"/>
      <c r="O1228" s="120" t="s">
        <v>495</v>
      </c>
      <c r="Q1228" s="119"/>
      <c r="R1228" s="129">
        <f>SUM(R1215:R1226)</f>
        <v>15131.63</v>
      </c>
      <c r="T1228" s="129">
        <f>SUM(T1215:T1227)</f>
        <v>15539.97</v>
      </c>
      <c r="Z1228" s="116"/>
      <c r="AC1228" s="117"/>
      <c r="AD1228" s="123" t="s">
        <v>52</v>
      </c>
      <c r="AE1228" s="137">
        <f t="shared" si="154"/>
        <v>0</v>
      </c>
    </row>
    <row r="1229" spans="6:33" ht="24" customHeight="1">
      <c r="F1229" s="129">
        <v>1.1000000000000001</v>
      </c>
      <c r="G1229" s="126" t="s">
        <v>237</v>
      </c>
      <c r="H1229" s="120" t="s">
        <v>306</v>
      </c>
      <c r="I1229" s="129">
        <f>(C13)</f>
        <v>557.70000000000005</v>
      </c>
      <c r="J1229" s="120" t="s">
        <v>237</v>
      </c>
      <c r="K1229" s="129">
        <f>(F1229*I1229)</f>
        <v>613.47</v>
      </c>
      <c r="N1229" s="116"/>
      <c r="Q1229" s="119"/>
      <c r="R1229" s="123" t="s">
        <v>52</v>
      </c>
      <c r="Z1229" s="116"/>
      <c r="AA1229" s="128" t="s">
        <v>460</v>
      </c>
      <c r="AC1229" s="117"/>
      <c r="AD1229" s="127">
        <f>(AD1227/10)</f>
        <v>2323.94</v>
      </c>
      <c r="AE1229" s="137">
        <f t="shared" si="154"/>
        <v>0</v>
      </c>
    </row>
    <row r="1230" spans="6:33" ht="24" customHeight="1">
      <c r="F1230" s="120" t="s">
        <v>88</v>
      </c>
      <c r="H1230" s="120" t="s">
        <v>1577</v>
      </c>
      <c r="I1230" s="120" t="s">
        <v>85</v>
      </c>
      <c r="K1230" s="120" t="s">
        <v>85</v>
      </c>
      <c r="N1230" s="116"/>
      <c r="O1230" s="122" t="s">
        <v>460</v>
      </c>
      <c r="Q1230" s="119"/>
      <c r="R1230" s="127">
        <f>(R1228/10)</f>
        <v>1513.16</v>
      </c>
      <c r="S1230" s="118">
        <f>R1230-975.62</f>
        <v>537.54</v>
      </c>
      <c r="T1230" s="127">
        <f>(T1228/10)</f>
        <v>1554</v>
      </c>
      <c r="Z1230" s="116"/>
      <c r="AC1230" s="117"/>
      <c r="AD1230" s="123" t="s">
        <v>89</v>
      </c>
      <c r="AE1230" s="137" t="str">
        <f t="shared" si="154"/>
        <v>|</v>
      </c>
      <c r="AG1230" s="120" t="s">
        <v>120</v>
      </c>
    </row>
    <row r="1231" spans="6:33" ht="24" customHeight="1">
      <c r="F1231" s="129">
        <v>1</v>
      </c>
      <c r="G1231" s="126" t="s">
        <v>145</v>
      </c>
      <c r="H1231" s="120" t="s">
        <v>1578</v>
      </c>
      <c r="I1231" s="129">
        <f>(C57)</f>
        <v>28.58</v>
      </c>
      <c r="J1231" s="120" t="s">
        <v>145</v>
      </c>
      <c r="K1231" s="129">
        <f>(F1231*I1231)</f>
        <v>28.58</v>
      </c>
      <c r="N1231" s="116"/>
      <c r="O1231" s="274" t="s">
        <v>4298</v>
      </c>
      <c r="P1231" s="114"/>
      <c r="Q1231" s="119"/>
      <c r="AE1231" s="137" t="str">
        <f t="shared" si="154"/>
        <v>|</v>
      </c>
      <c r="AG1231" s="120" t="s">
        <v>120</v>
      </c>
    </row>
    <row r="1232" spans="6:33" ht="24" customHeight="1">
      <c r="F1232" s="129">
        <v>1</v>
      </c>
      <c r="G1232" s="126" t="s">
        <v>145</v>
      </c>
      <c r="H1232" s="120" t="s">
        <v>1579</v>
      </c>
      <c r="I1232" s="129">
        <f>(C58)</f>
        <v>11.9</v>
      </c>
      <c r="J1232" s="120" t="s">
        <v>145</v>
      </c>
      <c r="K1232" s="129">
        <f>(F1232*I1232)</f>
        <v>11.9</v>
      </c>
      <c r="N1232" s="116"/>
      <c r="Q1232" s="119"/>
      <c r="AE1232" s="137" t="str">
        <f t="shared" si="154"/>
        <v>|</v>
      </c>
      <c r="AG1232" s="120" t="s">
        <v>120</v>
      </c>
    </row>
    <row r="1233" spans="6:33" ht="24" customHeight="1">
      <c r="F1233" s="129">
        <v>1</v>
      </c>
      <c r="G1233" s="126" t="s">
        <v>145</v>
      </c>
      <c r="H1233" s="120" t="s">
        <v>1580</v>
      </c>
      <c r="I1233" s="129">
        <f>(C28)</f>
        <v>86.4</v>
      </c>
      <c r="J1233" s="120" t="s">
        <v>145</v>
      </c>
      <c r="K1233" s="129">
        <f>(F1233*I1233)</f>
        <v>86.4</v>
      </c>
      <c r="M1233" s="278"/>
      <c r="N1233" s="279"/>
      <c r="O1233" s="278"/>
      <c r="P1233" s="278"/>
      <c r="Q1233" s="119"/>
      <c r="AE1233" s="137" t="str">
        <f t="shared" si="154"/>
        <v>|</v>
      </c>
      <c r="AG1233" s="120" t="s">
        <v>120</v>
      </c>
    </row>
    <row r="1234" spans="6:33" ht="24" customHeight="1">
      <c r="F1234" s="129">
        <v>1.1000000000000001</v>
      </c>
      <c r="G1234" s="126" t="s">
        <v>237</v>
      </c>
      <c r="H1234" s="120" t="s">
        <v>1581</v>
      </c>
      <c r="I1234" s="129">
        <f>(C29)</f>
        <v>801.9</v>
      </c>
      <c r="J1234" s="120" t="s">
        <v>237</v>
      </c>
      <c r="K1234" s="129">
        <f>(F1234*I1234)</f>
        <v>882.09</v>
      </c>
      <c r="M1234" s="129">
        <v>10</v>
      </c>
      <c r="N1234" s="126" t="s">
        <v>425</v>
      </c>
      <c r="O1234" s="120" t="s">
        <v>4299</v>
      </c>
      <c r="P1234" s="136">
        <v>658</v>
      </c>
      <c r="Q1234" s="121" t="s">
        <v>425</v>
      </c>
      <c r="R1234" s="129">
        <f>M1234*P1234</f>
        <v>6580</v>
      </c>
      <c r="T1234" s="116"/>
      <c r="U1234" s="274" t="s">
        <v>4300</v>
      </c>
      <c r="AE1234" s="137" t="str">
        <f t="shared" si="154"/>
        <v>|</v>
      </c>
      <c r="AG1234" s="120" t="s">
        <v>120</v>
      </c>
    </row>
    <row r="1235" spans="6:33" ht="24" customHeight="1">
      <c r="F1235" s="129">
        <v>2.2000000000000002</v>
      </c>
      <c r="G1235" s="126" t="s">
        <v>237</v>
      </c>
      <c r="H1235" s="120" t="s">
        <v>1582</v>
      </c>
      <c r="I1235" s="129">
        <f>(C13)</f>
        <v>557.70000000000005</v>
      </c>
      <c r="J1235" s="120" t="s">
        <v>237</v>
      </c>
      <c r="K1235" s="129">
        <f>(F1235*I1235)</f>
        <v>1226.94</v>
      </c>
      <c r="M1235" s="129">
        <v>0.21</v>
      </c>
      <c r="N1235" s="126" t="s">
        <v>132</v>
      </c>
      <c r="O1235" s="120" t="s">
        <v>1575</v>
      </c>
      <c r="P1235" s="129">
        <f>P1258</f>
        <v>4662.62</v>
      </c>
      <c r="Q1235" s="121" t="s">
        <v>132</v>
      </c>
      <c r="R1235" s="129">
        <f>(M1235*P1235)</f>
        <v>979.15</v>
      </c>
      <c r="T1235" s="116"/>
      <c r="AE1235" s="137" t="str">
        <f t="shared" si="154"/>
        <v>|</v>
      </c>
      <c r="AG1235" s="120" t="s">
        <v>120</v>
      </c>
    </row>
    <row r="1236" spans="6:33" ht="24" customHeight="1">
      <c r="G1236" s="126" t="s">
        <v>145</v>
      </c>
      <c r="H1236" s="120" t="s">
        <v>146</v>
      </c>
      <c r="J1236" s="120" t="s">
        <v>145</v>
      </c>
      <c r="K1236" s="129">
        <v>0</v>
      </c>
      <c r="M1236" s="129">
        <v>1.1000000000000001</v>
      </c>
      <c r="N1236" s="126" t="s">
        <v>237</v>
      </c>
      <c r="O1236" s="120" t="s">
        <v>345</v>
      </c>
      <c r="P1236" s="129">
        <f t="shared" ref="P1236:P1244" si="158">P1259</f>
        <v>1041.7</v>
      </c>
      <c r="Q1236" s="121" t="s">
        <v>237</v>
      </c>
      <c r="R1236" s="129">
        <f>(M1236*P1236)</f>
        <v>1145.8699999999999</v>
      </c>
      <c r="T1236" s="116"/>
      <c r="AE1236" s="137" t="str">
        <f t="shared" si="154"/>
        <v>|</v>
      </c>
      <c r="AG1236" s="120" t="s">
        <v>120</v>
      </c>
    </row>
    <row r="1237" spans="6:33" ht="24" customHeight="1">
      <c r="K1237" s="123" t="s">
        <v>52</v>
      </c>
      <c r="M1237" s="129">
        <v>1.1000000000000001</v>
      </c>
      <c r="N1237" s="126" t="s">
        <v>237</v>
      </c>
      <c r="O1237" s="120" t="s">
        <v>302</v>
      </c>
      <c r="P1237" s="129">
        <f t="shared" si="158"/>
        <v>972.4</v>
      </c>
      <c r="Q1237" s="121" t="s">
        <v>237</v>
      </c>
      <c r="R1237" s="129">
        <f>(M1237*P1237)</f>
        <v>1069.6400000000001</v>
      </c>
      <c r="S1237" s="142">
        <v>10</v>
      </c>
      <c r="T1237" s="126" t="s">
        <v>425</v>
      </c>
      <c r="U1237" s="120" t="s">
        <v>4301</v>
      </c>
      <c r="V1237" s="250">
        <v>700</v>
      </c>
      <c r="W1237" s="121" t="s">
        <v>425</v>
      </c>
      <c r="X1237" s="129">
        <f>S1237*V1237</f>
        <v>7000</v>
      </c>
      <c r="Y1237" s="167">
        <v>29.5</v>
      </c>
      <c r="Z1237" s="126" t="s">
        <v>111</v>
      </c>
      <c r="AA1237" s="122" t="s">
        <v>4302</v>
      </c>
      <c r="AE1237" s="137" t="str">
        <f t="shared" si="154"/>
        <v>|</v>
      </c>
      <c r="AG1237" s="120" t="s">
        <v>120</v>
      </c>
    </row>
    <row r="1238" spans="6:33" ht="24" customHeight="1">
      <c r="H1238" s="120" t="s">
        <v>495</v>
      </c>
      <c r="K1238" s="129">
        <f>SUM(K1218:K1236)</f>
        <v>12700.28</v>
      </c>
      <c r="M1238" s="129">
        <v>2.2000000000000002</v>
      </c>
      <c r="N1238" s="126" t="s">
        <v>237</v>
      </c>
      <c r="O1238" s="120" t="s">
        <v>304</v>
      </c>
      <c r="P1238" s="129">
        <f t="shared" si="158"/>
        <v>679.8</v>
      </c>
      <c r="Q1238" s="121" t="s">
        <v>237</v>
      </c>
      <c r="R1238" s="129">
        <f>(M1238*P1238)</f>
        <v>1495.56</v>
      </c>
      <c r="S1238" s="142">
        <v>0.21</v>
      </c>
      <c r="T1238" s="126" t="s">
        <v>132</v>
      </c>
      <c r="U1238" s="120" t="s">
        <v>1575</v>
      </c>
      <c r="V1238" s="129">
        <f t="shared" ref="V1238:V1247" si="159">P1258</f>
        <v>4662.62</v>
      </c>
      <c r="W1238" s="121" t="s">
        <v>132</v>
      </c>
      <c r="X1238" s="129">
        <f>(S1238*V1238)</f>
        <v>979.15</v>
      </c>
      <c r="Z1238" s="116"/>
      <c r="AA1238" s="120"/>
      <c r="AE1238" s="137" t="str">
        <f t="shared" si="154"/>
        <v>|</v>
      </c>
      <c r="AG1238" s="120" t="s">
        <v>120</v>
      </c>
    </row>
    <row r="1239" spans="6:33" ht="24" customHeight="1">
      <c r="K1239" s="123" t="s">
        <v>52</v>
      </c>
      <c r="M1239" s="129">
        <v>2.2000000000000002</v>
      </c>
      <c r="N1239" s="126" t="s">
        <v>237</v>
      </c>
      <c r="O1239" s="120" t="s">
        <v>306</v>
      </c>
      <c r="P1239" s="129">
        <f t="shared" si="158"/>
        <v>557.70000000000005</v>
      </c>
      <c r="Q1239" s="121" t="s">
        <v>237</v>
      </c>
      <c r="R1239" s="129">
        <f>(M1239*P1239)</f>
        <v>1226.94</v>
      </c>
      <c r="S1239" s="142">
        <v>1.1000000000000001</v>
      </c>
      <c r="T1239" s="126" t="s">
        <v>237</v>
      </c>
      <c r="U1239" s="120" t="s">
        <v>345</v>
      </c>
      <c r="V1239" s="129">
        <f t="shared" si="159"/>
        <v>1041.7</v>
      </c>
      <c r="W1239" s="121" t="s">
        <v>237</v>
      </c>
      <c r="X1239" s="129">
        <f>(S1239*V1239)</f>
        <v>1145.8699999999999</v>
      </c>
      <c r="Z1239" s="116"/>
      <c r="AA1239" s="120"/>
      <c r="AE1239" s="137" t="str">
        <f t="shared" si="154"/>
        <v>|</v>
      </c>
      <c r="AG1239" s="120" t="s">
        <v>120</v>
      </c>
    </row>
    <row r="1240" spans="6:33" ht="24" customHeight="1">
      <c r="F1240" s="120" t="s">
        <v>85</v>
      </c>
      <c r="M1240" s="142">
        <v>20</v>
      </c>
      <c r="N1240" s="126" t="s">
        <v>39</v>
      </c>
      <c r="O1240" s="120" t="s">
        <v>123</v>
      </c>
      <c r="P1240" s="129">
        <f t="shared" si="158"/>
        <v>6040</v>
      </c>
      <c r="Q1240" s="121" t="s">
        <v>122</v>
      </c>
      <c r="R1240" s="129">
        <f>(M1240*P1240)/1000</f>
        <v>120.8</v>
      </c>
      <c r="S1240" s="142">
        <v>1.1000000000000001</v>
      </c>
      <c r="T1240" s="126" t="s">
        <v>237</v>
      </c>
      <c r="U1240" s="120" t="s">
        <v>302</v>
      </c>
      <c r="V1240" s="129">
        <f t="shared" si="159"/>
        <v>972.4</v>
      </c>
      <c r="W1240" s="121" t="s">
        <v>237</v>
      </c>
      <c r="X1240" s="129">
        <f>(S1240*V1240)</f>
        <v>1069.6400000000001</v>
      </c>
      <c r="Z1240" s="116"/>
      <c r="AA1240" s="123" t="s">
        <v>52</v>
      </c>
      <c r="AB1240" s="123" t="s">
        <v>52</v>
      </c>
      <c r="AC1240" s="117"/>
      <c r="AE1240" s="137" t="str">
        <f t="shared" si="154"/>
        <v>|</v>
      </c>
      <c r="AG1240" s="120" t="s">
        <v>120</v>
      </c>
    </row>
    <row r="1241" spans="6:33" ht="45.75" customHeight="1">
      <c r="H1241" s="128" t="s">
        <v>460</v>
      </c>
      <c r="K1241" s="127">
        <f>(K1238/10)</f>
        <v>1270.03</v>
      </c>
      <c r="M1241" s="142">
        <v>2</v>
      </c>
      <c r="N1241" s="126" t="s">
        <v>39</v>
      </c>
      <c r="O1241" s="120" t="s">
        <v>4303</v>
      </c>
      <c r="P1241" s="129">
        <f t="shared" si="158"/>
        <v>36.1</v>
      </c>
      <c r="Q1241" s="121" t="s">
        <v>39</v>
      </c>
      <c r="R1241" s="129">
        <f>(M1241*P1241)</f>
        <v>72.2</v>
      </c>
      <c r="S1241" s="142">
        <v>2.2000000000000002</v>
      </c>
      <c r="T1241" s="126" t="s">
        <v>237</v>
      </c>
      <c r="U1241" s="120" t="s">
        <v>304</v>
      </c>
      <c r="V1241" s="129">
        <f t="shared" si="159"/>
        <v>679.8</v>
      </c>
      <c r="W1241" s="121" t="s">
        <v>237</v>
      </c>
      <c r="X1241" s="129">
        <f>(S1241*V1241)</f>
        <v>1495.56</v>
      </c>
      <c r="Y1241" s="129">
        <v>10</v>
      </c>
      <c r="Z1241" s="126" t="s">
        <v>425</v>
      </c>
      <c r="AA1241" s="42" t="s">
        <v>4304</v>
      </c>
      <c r="AB1241" s="136">
        <v>793</v>
      </c>
      <c r="AC1241" s="120" t="s">
        <v>425</v>
      </c>
      <c r="AD1241" s="129">
        <f>(Y1241*AB1241)</f>
        <v>7930</v>
      </c>
      <c r="AE1241" s="137" t="str">
        <f t="shared" si="154"/>
        <v>|</v>
      </c>
      <c r="AG1241" s="120" t="s">
        <v>120</v>
      </c>
    </row>
    <row r="1242" spans="6:33" ht="24" customHeight="1">
      <c r="F1242" s="120" t="s">
        <v>85</v>
      </c>
      <c r="M1242" s="129">
        <v>1.6</v>
      </c>
      <c r="N1242" s="126" t="s">
        <v>237</v>
      </c>
      <c r="O1242" s="120" t="s">
        <v>302</v>
      </c>
      <c r="P1242" s="129">
        <f t="shared" si="158"/>
        <v>972.4</v>
      </c>
      <c r="Q1242" s="121" t="s">
        <v>237</v>
      </c>
      <c r="R1242" s="129">
        <f>(M1242*P1242)</f>
        <v>1555.84</v>
      </c>
      <c r="S1242" s="142">
        <v>2.2000000000000002</v>
      </c>
      <c r="T1242" s="126" t="s">
        <v>237</v>
      </c>
      <c r="U1242" s="120" t="s">
        <v>306</v>
      </c>
      <c r="V1242" s="129">
        <f t="shared" si="159"/>
        <v>557.70000000000005</v>
      </c>
      <c r="W1242" s="121" t="s">
        <v>237</v>
      </c>
      <c r="X1242" s="129">
        <f>(S1242*V1242)</f>
        <v>1226.94</v>
      </c>
      <c r="Y1242" s="129">
        <v>0.21</v>
      </c>
      <c r="Z1242" s="126" t="s">
        <v>132</v>
      </c>
      <c r="AA1242" s="120" t="s">
        <v>1575</v>
      </c>
      <c r="AB1242" s="129">
        <f>V1238</f>
        <v>4662.62</v>
      </c>
      <c r="AC1242" s="120" t="s">
        <v>132</v>
      </c>
      <c r="AD1242" s="129">
        <f>(Y1242*AB1242)</f>
        <v>979.15</v>
      </c>
      <c r="AE1242" s="137" t="str">
        <f t="shared" si="154"/>
        <v>|</v>
      </c>
      <c r="AG1242" s="120" t="s">
        <v>120</v>
      </c>
    </row>
    <row r="1243" spans="6:33" ht="24" customHeight="1">
      <c r="K1243" s="123" t="s">
        <v>89</v>
      </c>
      <c r="M1243" s="129">
        <v>0.5</v>
      </c>
      <c r="N1243" s="126" t="s">
        <v>237</v>
      </c>
      <c r="O1243" s="120" t="s">
        <v>304</v>
      </c>
      <c r="P1243" s="129">
        <f t="shared" si="158"/>
        <v>679.8</v>
      </c>
      <c r="Q1243" s="121" t="s">
        <v>237</v>
      </c>
      <c r="R1243" s="129">
        <f>(M1243*P1243)</f>
        <v>339.9</v>
      </c>
      <c r="S1243" s="142">
        <v>20</v>
      </c>
      <c r="T1243" s="126" t="s">
        <v>39</v>
      </c>
      <c r="U1243" s="120" t="s">
        <v>123</v>
      </c>
      <c r="V1243" s="129">
        <f t="shared" si="159"/>
        <v>6040</v>
      </c>
      <c r="W1243" s="121" t="s">
        <v>122</v>
      </c>
      <c r="X1243" s="129">
        <f>(S1243*V1243)/1000</f>
        <v>120.8</v>
      </c>
      <c r="Z1243" s="116"/>
      <c r="AA1243" s="120" t="s">
        <v>1576</v>
      </c>
      <c r="AB1243" s="120" t="s">
        <v>85</v>
      </c>
      <c r="AC1243" s="117"/>
      <c r="AD1243" s="120" t="s">
        <v>85</v>
      </c>
      <c r="AE1243" s="137" t="str">
        <f t="shared" si="154"/>
        <v>|</v>
      </c>
      <c r="AG1243" s="120" t="s">
        <v>120</v>
      </c>
    </row>
    <row r="1244" spans="6:33" ht="24" customHeight="1">
      <c r="F1244" s="167">
        <v>29.5</v>
      </c>
      <c r="G1244" s="126" t="s">
        <v>111</v>
      </c>
      <c r="H1244" s="120" t="s">
        <v>1583</v>
      </c>
      <c r="M1244" s="129">
        <v>1.1000000000000001</v>
      </c>
      <c r="N1244" s="126" t="s">
        <v>237</v>
      </c>
      <c r="O1244" s="120" t="s">
        <v>306</v>
      </c>
      <c r="P1244" s="129">
        <f t="shared" si="158"/>
        <v>557.70000000000005</v>
      </c>
      <c r="Q1244" s="121" t="s">
        <v>237</v>
      </c>
      <c r="R1244" s="129">
        <f>(M1244*P1244)</f>
        <v>613.47</v>
      </c>
      <c r="S1244" s="142">
        <v>2</v>
      </c>
      <c r="T1244" s="126" t="s">
        <v>39</v>
      </c>
      <c r="U1244" s="120" t="s">
        <v>4303</v>
      </c>
      <c r="V1244" s="129">
        <f t="shared" si="159"/>
        <v>36.1</v>
      </c>
      <c r="W1244" s="121" t="s">
        <v>39</v>
      </c>
      <c r="X1244" s="129">
        <f>(S1244*V1244)</f>
        <v>72.2</v>
      </c>
      <c r="Y1244" s="129">
        <v>1.1000000000000001</v>
      </c>
      <c r="Z1244" s="126" t="s">
        <v>237</v>
      </c>
      <c r="AA1244" s="120" t="s">
        <v>345</v>
      </c>
      <c r="AB1244" s="129">
        <f>V1239</f>
        <v>1041.7</v>
      </c>
      <c r="AC1244" s="120" t="s">
        <v>237</v>
      </c>
      <c r="AD1244" s="129">
        <f>(Y1244*AB1244)</f>
        <v>1145.8699999999999</v>
      </c>
      <c r="AE1244" s="137" t="str">
        <f t="shared" si="154"/>
        <v>|</v>
      </c>
      <c r="AG1244" s="120" t="s">
        <v>120</v>
      </c>
    </row>
    <row r="1245" spans="6:33" ht="24" customHeight="1">
      <c r="H1245" s="120" t="s">
        <v>1584</v>
      </c>
      <c r="N1245" s="126" t="s">
        <v>145</v>
      </c>
      <c r="O1245" s="120" t="s">
        <v>146</v>
      </c>
      <c r="Q1245" s="121" t="s">
        <v>145</v>
      </c>
      <c r="R1245" s="129">
        <v>0</v>
      </c>
      <c r="S1245" s="142">
        <v>1.6</v>
      </c>
      <c r="T1245" s="126" t="s">
        <v>237</v>
      </c>
      <c r="U1245" s="120" t="s">
        <v>302</v>
      </c>
      <c r="V1245" s="129">
        <f t="shared" si="159"/>
        <v>972.4</v>
      </c>
      <c r="W1245" s="121" t="s">
        <v>237</v>
      </c>
      <c r="X1245" s="129">
        <f>(S1245*V1245)</f>
        <v>1555.84</v>
      </c>
      <c r="Y1245" s="129">
        <v>1.1000000000000001</v>
      </c>
      <c r="Z1245" s="126" t="s">
        <v>237</v>
      </c>
      <c r="AA1245" s="120" t="s">
        <v>302</v>
      </c>
      <c r="AB1245" s="129">
        <f>V1240</f>
        <v>972.4</v>
      </c>
      <c r="AC1245" s="120" t="s">
        <v>237</v>
      </c>
      <c r="AD1245" s="129">
        <f>(Y1245*AB1245)</f>
        <v>1069.6400000000001</v>
      </c>
      <c r="AE1245" s="137" t="str">
        <f t="shared" si="154"/>
        <v>|</v>
      </c>
      <c r="AG1245" s="120" t="s">
        <v>120</v>
      </c>
    </row>
    <row r="1246" spans="6:33" ht="24" customHeight="1">
      <c r="H1246" s="120" t="s">
        <v>1585</v>
      </c>
      <c r="N1246" s="116"/>
      <c r="Q1246" s="119"/>
      <c r="R1246" s="123"/>
      <c r="S1246" s="142">
        <v>0.5</v>
      </c>
      <c r="T1246" s="126" t="s">
        <v>237</v>
      </c>
      <c r="U1246" s="120" t="s">
        <v>304</v>
      </c>
      <c r="V1246" s="129">
        <f t="shared" si="159"/>
        <v>679.8</v>
      </c>
      <c r="W1246" s="121" t="s">
        <v>237</v>
      </c>
      <c r="X1246" s="129">
        <f>(S1246*V1246)</f>
        <v>339.9</v>
      </c>
      <c r="Y1246" s="129">
        <v>2.2000000000000002</v>
      </c>
      <c r="Z1246" s="126" t="s">
        <v>237</v>
      </c>
      <c r="AA1246" s="120" t="s">
        <v>304</v>
      </c>
      <c r="AB1246" s="129">
        <f>V1241</f>
        <v>679.8</v>
      </c>
      <c r="AC1246" s="120" t="s">
        <v>237</v>
      </c>
      <c r="AD1246" s="129">
        <f>(Y1246*AB1246)</f>
        <v>1495.56</v>
      </c>
      <c r="AE1246" s="137" t="str">
        <f t="shared" si="154"/>
        <v>|</v>
      </c>
      <c r="AG1246" s="120" t="s">
        <v>120</v>
      </c>
    </row>
    <row r="1247" spans="6:33" ht="24" customHeight="1">
      <c r="H1247" s="123" t="s">
        <v>52</v>
      </c>
      <c r="I1247" s="123" t="s">
        <v>52</v>
      </c>
      <c r="N1247" s="116"/>
      <c r="O1247" s="120" t="s">
        <v>495</v>
      </c>
      <c r="Q1247" s="119"/>
      <c r="R1247" s="129">
        <f>SUM(R1234:R1245)</f>
        <v>15199.37</v>
      </c>
      <c r="S1247" s="142">
        <v>1.1000000000000001</v>
      </c>
      <c r="T1247" s="126" t="s">
        <v>237</v>
      </c>
      <c r="U1247" s="120" t="s">
        <v>306</v>
      </c>
      <c r="V1247" s="129">
        <f t="shared" si="159"/>
        <v>557.70000000000005</v>
      </c>
      <c r="W1247" s="121" t="s">
        <v>237</v>
      </c>
      <c r="X1247" s="129">
        <f>(S1247*V1247)</f>
        <v>613.47</v>
      </c>
      <c r="Y1247" s="129">
        <v>2.2000000000000002</v>
      </c>
      <c r="Z1247" s="126" t="s">
        <v>237</v>
      </c>
      <c r="AA1247" s="120" t="s">
        <v>306</v>
      </c>
      <c r="AB1247" s="129">
        <f>V1242</f>
        <v>557.70000000000005</v>
      </c>
      <c r="AC1247" s="120" t="s">
        <v>237</v>
      </c>
      <c r="AD1247" s="129">
        <f>(Y1247*AB1247)</f>
        <v>1226.94</v>
      </c>
      <c r="AE1247" s="137" t="str">
        <f t="shared" si="154"/>
        <v>|</v>
      </c>
      <c r="AG1247" s="120" t="s">
        <v>120</v>
      </c>
    </row>
    <row r="1248" spans="6:33" ht="24" customHeight="1">
      <c r="F1248" s="129">
        <v>10</v>
      </c>
      <c r="G1248" s="126" t="s">
        <v>425</v>
      </c>
      <c r="H1248" s="120" t="s">
        <v>1586</v>
      </c>
      <c r="I1248" s="129">
        <f>C601</f>
        <v>377.86</v>
      </c>
      <c r="J1248" s="120" t="s">
        <v>425</v>
      </c>
      <c r="K1248" s="129">
        <f>(F1248*I1248)</f>
        <v>3778.6</v>
      </c>
      <c r="N1248" s="116"/>
      <c r="Q1248" s="119"/>
      <c r="R1248" s="123" t="s">
        <v>52</v>
      </c>
      <c r="T1248" s="126" t="s">
        <v>145</v>
      </c>
      <c r="U1248" s="120" t="s">
        <v>146</v>
      </c>
      <c r="W1248" s="121" t="s">
        <v>145</v>
      </c>
      <c r="X1248" s="129">
        <v>0.18</v>
      </c>
      <c r="Y1248" s="142">
        <v>20</v>
      </c>
      <c r="Z1248" s="126" t="s">
        <v>39</v>
      </c>
      <c r="AA1248" s="120" t="s">
        <v>123</v>
      </c>
      <c r="AB1248" s="129">
        <f>V1243</f>
        <v>6040</v>
      </c>
      <c r="AC1248" s="120" t="s">
        <v>122</v>
      </c>
      <c r="AD1248" s="129">
        <f>(Y1248*AB1248)/1000</f>
        <v>120.8</v>
      </c>
      <c r="AE1248" s="137" t="str">
        <f t="shared" si="154"/>
        <v>|</v>
      </c>
      <c r="AG1248" s="120" t="s">
        <v>120</v>
      </c>
    </row>
    <row r="1249" spans="6:33" ht="24" customHeight="1">
      <c r="F1249" s="129">
        <v>0.21</v>
      </c>
      <c r="G1249" s="126" t="s">
        <v>132</v>
      </c>
      <c r="H1249" s="120" t="s">
        <v>1575</v>
      </c>
      <c r="I1249" s="129">
        <f>(K32)</f>
        <v>4662.62</v>
      </c>
      <c r="J1249" s="120" t="s">
        <v>132</v>
      </c>
      <c r="K1249" s="129">
        <f>(F1249*I1249)</f>
        <v>979.15</v>
      </c>
      <c r="N1249" s="116"/>
      <c r="O1249" s="122" t="s">
        <v>460</v>
      </c>
      <c r="Q1249" s="119"/>
      <c r="R1249" s="127">
        <f>(R1247/10)</f>
        <v>1519.94</v>
      </c>
      <c r="T1249" s="116"/>
      <c r="X1249" s="123" t="s">
        <v>52</v>
      </c>
      <c r="Y1249" s="142">
        <v>2</v>
      </c>
      <c r="Z1249" s="126" t="s">
        <v>39</v>
      </c>
      <c r="AA1249" s="120" t="s">
        <v>4296</v>
      </c>
      <c r="AB1249" s="140">
        <v>36.1</v>
      </c>
      <c r="AC1249" s="120" t="s">
        <v>39</v>
      </c>
      <c r="AD1249" s="129">
        <f>(Y1249*AB1249)</f>
        <v>72.2</v>
      </c>
      <c r="AE1249" s="137">
        <f t="shared" si="154"/>
        <v>0</v>
      </c>
    </row>
    <row r="1250" spans="6:33" ht="24" customHeight="1">
      <c r="H1250" s="120" t="s">
        <v>1576</v>
      </c>
      <c r="I1250" s="120" t="s">
        <v>85</v>
      </c>
      <c r="K1250" s="120" t="s">
        <v>85</v>
      </c>
      <c r="N1250" s="116"/>
      <c r="Q1250" s="119"/>
      <c r="R1250" s="123"/>
      <c r="T1250" s="116"/>
      <c r="U1250" s="120" t="s">
        <v>495</v>
      </c>
      <c r="X1250" s="129">
        <f>SUM(X1237:X1248)</f>
        <v>15619.55</v>
      </c>
      <c r="Y1250" s="129">
        <v>1.6</v>
      </c>
      <c r="Z1250" s="126" t="s">
        <v>237</v>
      </c>
      <c r="AA1250" s="120" t="s">
        <v>302</v>
      </c>
      <c r="AB1250" s="129">
        <f>V1245</f>
        <v>972.4</v>
      </c>
      <c r="AC1250" s="120" t="s">
        <v>237</v>
      </c>
      <c r="AD1250" s="129">
        <f>(Y1250*AB1250)</f>
        <v>1555.84</v>
      </c>
      <c r="AE1250" s="137" t="str">
        <f t="shared" si="154"/>
        <v>|</v>
      </c>
      <c r="AG1250" s="120" t="s">
        <v>120</v>
      </c>
    </row>
    <row r="1251" spans="6:33" ht="24" customHeight="1">
      <c r="F1251" s="129">
        <v>1.1000000000000001</v>
      </c>
      <c r="G1251" s="126" t="s">
        <v>237</v>
      </c>
      <c r="H1251" s="120" t="s">
        <v>345</v>
      </c>
      <c r="I1251" s="129">
        <f>(C10)</f>
        <v>1041.7</v>
      </c>
      <c r="J1251" s="120" t="s">
        <v>237</v>
      </c>
      <c r="K1251" s="129">
        <f>(F1251*I1251)</f>
        <v>1145.8699999999999</v>
      </c>
      <c r="N1251" s="116"/>
      <c r="Q1251" s="119"/>
      <c r="R1251" s="123"/>
      <c r="T1251" s="116"/>
      <c r="X1251" s="123" t="s">
        <v>52</v>
      </c>
      <c r="Y1251" s="129">
        <v>0.5</v>
      </c>
      <c r="Z1251" s="126" t="s">
        <v>237</v>
      </c>
      <c r="AA1251" s="120" t="s">
        <v>304</v>
      </c>
      <c r="AB1251" s="129">
        <f>V1246</f>
        <v>679.8</v>
      </c>
      <c r="AC1251" s="120" t="s">
        <v>237</v>
      </c>
      <c r="AD1251" s="129">
        <f>(Y1251*AB1251)</f>
        <v>339.9</v>
      </c>
      <c r="AE1251" s="137">
        <f t="shared" si="154"/>
        <v>0</v>
      </c>
    </row>
    <row r="1252" spans="6:33" ht="24" customHeight="1">
      <c r="F1252" s="129">
        <v>1.1000000000000001</v>
      </c>
      <c r="G1252" s="126" t="s">
        <v>237</v>
      </c>
      <c r="H1252" s="120" t="s">
        <v>302</v>
      </c>
      <c r="I1252" s="129">
        <f>(C11)</f>
        <v>972.4</v>
      </c>
      <c r="J1252" s="120" t="s">
        <v>237</v>
      </c>
      <c r="K1252" s="129">
        <f>(F1252*I1252)</f>
        <v>1069.6400000000001</v>
      </c>
      <c r="N1252" s="116"/>
      <c r="Q1252" s="119"/>
      <c r="R1252" s="123"/>
      <c r="T1252" s="116"/>
      <c r="U1252" s="122" t="s">
        <v>460</v>
      </c>
      <c r="X1252" s="127">
        <f>(X1250/10)</f>
        <v>1561.96</v>
      </c>
      <c r="Y1252" s="129">
        <v>1.1000000000000001</v>
      </c>
      <c r="Z1252" s="126" t="s">
        <v>237</v>
      </c>
      <c r="AA1252" s="120" t="s">
        <v>306</v>
      </c>
      <c r="AB1252" s="129">
        <f>V1247</f>
        <v>557.70000000000005</v>
      </c>
      <c r="AC1252" s="120" t="s">
        <v>237</v>
      </c>
      <c r="AD1252" s="129">
        <f>(Y1252*AB1252)</f>
        <v>613.47</v>
      </c>
      <c r="AE1252" s="137" t="str">
        <f t="shared" si="154"/>
        <v>|</v>
      </c>
      <c r="AG1252" s="120" t="s">
        <v>120</v>
      </c>
    </row>
    <row r="1253" spans="6:33" ht="24" customHeight="1">
      <c r="F1253" s="129">
        <v>2.2000000000000002</v>
      </c>
      <c r="G1253" s="126" t="s">
        <v>237</v>
      </c>
      <c r="H1253" s="120" t="s">
        <v>304</v>
      </c>
      <c r="I1253" s="129">
        <f>(C12)</f>
        <v>679.8</v>
      </c>
      <c r="J1253" s="120" t="s">
        <v>237</v>
      </c>
      <c r="K1253" s="129">
        <f>(F1253*I1253)</f>
        <v>1495.56</v>
      </c>
      <c r="N1253" s="116"/>
      <c r="Q1253" s="119"/>
      <c r="R1253" s="123"/>
      <c r="Z1253" s="126" t="s">
        <v>145</v>
      </c>
      <c r="AA1253" s="120" t="s">
        <v>146</v>
      </c>
      <c r="AB1253" s="129">
        <f>V1248</f>
        <v>0</v>
      </c>
      <c r="AC1253" s="120" t="s">
        <v>145</v>
      </c>
      <c r="AD1253" s="129">
        <v>0</v>
      </c>
      <c r="AE1253" s="137" t="str">
        <f t="shared" si="154"/>
        <v>|</v>
      </c>
      <c r="AG1253" s="120" t="s">
        <v>120</v>
      </c>
    </row>
    <row r="1254" spans="6:33" ht="24" customHeight="1">
      <c r="F1254" s="129">
        <v>2.2000000000000002</v>
      </c>
      <c r="G1254" s="126" t="s">
        <v>237</v>
      </c>
      <c r="H1254" s="120" t="s">
        <v>306</v>
      </c>
      <c r="I1254" s="129">
        <f>(C13)</f>
        <v>557.70000000000005</v>
      </c>
      <c r="J1254" s="120" t="s">
        <v>237</v>
      </c>
      <c r="K1254" s="129">
        <f>(F1254*I1254)</f>
        <v>1226.94</v>
      </c>
      <c r="M1254" s="280"/>
      <c r="N1254" s="281"/>
      <c r="O1254" s="282" t="s">
        <v>4305</v>
      </c>
      <c r="P1254" s="280"/>
      <c r="Q1254" s="294" t="s">
        <v>4306</v>
      </c>
      <c r="R1254" s="280"/>
      <c r="Z1254" s="116"/>
      <c r="AC1254" s="117"/>
      <c r="AD1254" s="123" t="s">
        <v>52</v>
      </c>
      <c r="AE1254" s="137" t="str">
        <f t="shared" si="154"/>
        <v>|</v>
      </c>
      <c r="AG1254" s="120" t="s">
        <v>120</v>
      </c>
    </row>
    <row r="1255" spans="6:33" ht="24" customHeight="1">
      <c r="F1255" s="142">
        <v>20</v>
      </c>
      <c r="G1255" s="126" t="s">
        <v>39</v>
      </c>
      <c r="H1255" s="120" t="s">
        <v>123</v>
      </c>
      <c r="I1255" s="129">
        <f>(C67)</f>
        <v>6040</v>
      </c>
      <c r="J1255" s="120" t="s">
        <v>122</v>
      </c>
      <c r="K1255" s="129">
        <f>(F1255*I1255)/1000</f>
        <v>120.8</v>
      </c>
      <c r="M1255" s="280"/>
      <c r="N1255" s="281"/>
      <c r="O1255" s="280"/>
      <c r="P1255" s="280"/>
      <c r="Q1255" s="294"/>
      <c r="R1255" s="280"/>
      <c r="Z1255" s="116"/>
      <c r="AA1255" s="120" t="s">
        <v>495</v>
      </c>
      <c r="AC1255" s="117"/>
      <c r="AD1255" s="129">
        <f>SUM(AD1241:AD1253)</f>
        <v>16549.37</v>
      </c>
      <c r="AE1255" s="137" t="str">
        <f t="shared" si="154"/>
        <v>|</v>
      </c>
      <c r="AG1255" s="120" t="s">
        <v>120</v>
      </c>
    </row>
    <row r="1256" spans="6:33" ht="24" customHeight="1">
      <c r="F1256" s="142">
        <v>2</v>
      </c>
      <c r="G1256" s="126" t="s">
        <v>39</v>
      </c>
      <c r="H1256" s="143" t="s">
        <v>4307</v>
      </c>
      <c r="I1256" s="228">
        <v>36.1</v>
      </c>
      <c r="J1256" s="120" t="s">
        <v>39</v>
      </c>
      <c r="K1256" s="129">
        <f>(F1256*I1256)</f>
        <v>72.2</v>
      </c>
      <c r="M1256" s="283"/>
      <c r="N1256" s="284"/>
      <c r="O1256" s="283"/>
      <c r="P1256" s="283"/>
      <c r="Q1256" s="294"/>
      <c r="R1256" s="280"/>
      <c r="Z1256" s="116"/>
      <c r="AC1256" s="117"/>
      <c r="AD1256" s="123" t="s">
        <v>52</v>
      </c>
      <c r="AE1256" s="137" t="str">
        <f t="shared" si="154"/>
        <v>|</v>
      </c>
      <c r="AG1256" s="120" t="s">
        <v>120</v>
      </c>
    </row>
    <row r="1257" spans="6:33" ht="24" customHeight="1">
      <c r="F1257" s="129">
        <v>1.6</v>
      </c>
      <c r="G1257" s="126" t="s">
        <v>237</v>
      </c>
      <c r="H1257" s="120" t="s">
        <v>302</v>
      </c>
      <c r="I1257" s="129">
        <f>(C11)</f>
        <v>972.4</v>
      </c>
      <c r="J1257" s="120" t="s">
        <v>237</v>
      </c>
      <c r="K1257" s="129">
        <f>(F1257*I1257)</f>
        <v>1555.84</v>
      </c>
      <c r="M1257" s="285">
        <v>10</v>
      </c>
      <c r="N1257" s="286" t="s">
        <v>425</v>
      </c>
      <c r="O1257" s="287" t="s">
        <v>4308</v>
      </c>
      <c r="P1257" s="288">
        <v>421.3</v>
      </c>
      <c r="Q1257" s="295" t="s">
        <v>425</v>
      </c>
      <c r="R1257" s="289">
        <f>M1257*P1257</f>
        <v>4213</v>
      </c>
      <c r="Z1257" s="116"/>
      <c r="AA1257" s="128" t="s">
        <v>460</v>
      </c>
      <c r="AC1257" s="117"/>
      <c r="AD1257" s="127">
        <f>(AD1255/10)</f>
        <v>1654.94</v>
      </c>
      <c r="AE1257" s="298" t="s">
        <v>4309</v>
      </c>
      <c r="AG1257" s="120" t="s">
        <v>120</v>
      </c>
    </row>
    <row r="1258" spans="6:33" ht="24" customHeight="1">
      <c r="F1258" s="129">
        <v>0.5</v>
      </c>
      <c r="G1258" s="126" t="s">
        <v>237</v>
      </c>
      <c r="H1258" s="120" t="s">
        <v>304</v>
      </c>
      <c r="I1258" s="129">
        <f>(C12)</f>
        <v>679.8</v>
      </c>
      <c r="J1258" s="120" t="s">
        <v>237</v>
      </c>
      <c r="K1258" s="129">
        <f>(F1258*I1258)</f>
        <v>339.9</v>
      </c>
      <c r="M1258" s="289">
        <v>0.21</v>
      </c>
      <c r="N1258" s="290" t="s">
        <v>132</v>
      </c>
      <c r="O1258" s="291" t="s">
        <v>1575</v>
      </c>
      <c r="P1258" s="289">
        <f t="shared" ref="P1258:P1263" si="160">P1216</f>
        <v>4662.62</v>
      </c>
      <c r="Q1258" s="295" t="s">
        <v>132</v>
      </c>
      <c r="R1258" s="289">
        <f t="shared" ref="R1258:R1267" si="161">(M1258*P1258)</f>
        <v>979.15</v>
      </c>
      <c r="Z1258" s="116"/>
      <c r="AC1258" s="117"/>
      <c r="AD1258" s="123" t="s">
        <v>89</v>
      </c>
      <c r="AE1258" s="137" t="str">
        <f t="shared" si="154"/>
        <v>|</v>
      </c>
      <c r="AG1258" s="120" t="s">
        <v>120</v>
      </c>
    </row>
    <row r="1259" spans="6:33" ht="24" customHeight="1">
      <c r="F1259" s="129">
        <v>1.1000000000000001</v>
      </c>
      <c r="G1259" s="126" t="s">
        <v>237</v>
      </c>
      <c r="H1259" s="120" t="s">
        <v>306</v>
      </c>
      <c r="I1259" s="129">
        <f>(C13)</f>
        <v>557.70000000000005</v>
      </c>
      <c r="J1259" s="120" t="s">
        <v>237</v>
      </c>
      <c r="K1259" s="129">
        <f>(F1259*I1259)</f>
        <v>613.47</v>
      </c>
      <c r="M1259" s="289">
        <v>1.1000000000000001</v>
      </c>
      <c r="N1259" s="290" t="s">
        <v>237</v>
      </c>
      <c r="O1259" s="291" t="s">
        <v>345</v>
      </c>
      <c r="P1259" s="289">
        <f t="shared" si="160"/>
        <v>1041.7</v>
      </c>
      <c r="Q1259" s="295" t="s">
        <v>237</v>
      </c>
      <c r="R1259" s="289">
        <f t="shared" si="161"/>
        <v>1145.8699999999999</v>
      </c>
      <c r="Y1259" s="167">
        <v>29.4</v>
      </c>
      <c r="Z1259" s="126" t="s">
        <v>111</v>
      </c>
      <c r="AA1259" s="120" t="s">
        <v>4310</v>
      </c>
      <c r="AE1259" s="137" t="str">
        <f t="shared" si="154"/>
        <v>|</v>
      </c>
      <c r="AG1259" s="120" t="s">
        <v>120</v>
      </c>
    </row>
    <row r="1260" spans="6:33" ht="24" customHeight="1">
      <c r="G1260" s="126" t="s">
        <v>145</v>
      </c>
      <c r="H1260" s="120" t="s">
        <v>146</v>
      </c>
      <c r="J1260" s="120" t="s">
        <v>145</v>
      </c>
      <c r="K1260" s="129">
        <v>0</v>
      </c>
      <c r="M1260" s="289">
        <v>1.1000000000000001</v>
      </c>
      <c r="N1260" s="290" t="s">
        <v>237</v>
      </c>
      <c r="O1260" s="291" t="s">
        <v>302</v>
      </c>
      <c r="P1260" s="289">
        <f t="shared" si="160"/>
        <v>972.4</v>
      </c>
      <c r="Q1260" s="295" t="s">
        <v>237</v>
      </c>
      <c r="R1260" s="289">
        <f t="shared" si="161"/>
        <v>1069.6400000000001</v>
      </c>
      <c r="Z1260" s="116"/>
      <c r="AA1260" s="120" t="s">
        <v>4311</v>
      </c>
      <c r="AE1260" s="137" t="str">
        <f t="shared" si="154"/>
        <v>|</v>
      </c>
      <c r="AG1260" s="120" t="s">
        <v>120</v>
      </c>
    </row>
    <row r="1261" spans="6:33" ht="24" customHeight="1">
      <c r="K1261" s="123" t="s">
        <v>52</v>
      </c>
      <c r="M1261" s="289">
        <v>2.2000000000000002</v>
      </c>
      <c r="N1261" s="290" t="s">
        <v>237</v>
      </c>
      <c r="O1261" s="291" t="s">
        <v>304</v>
      </c>
      <c r="P1261" s="289">
        <f t="shared" si="160"/>
        <v>679.8</v>
      </c>
      <c r="Q1261" s="295" t="s">
        <v>237</v>
      </c>
      <c r="R1261" s="289">
        <f t="shared" si="161"/>
        <v>1495.56</v>
      </c>
      <c r="Z1261" s="116"/>
      <c r="AA1261" s="123" t="s">
        <v>52</v>
      </c>
      <c r="AE1261" s="137" t="str">
        <f t="shared" si="154"/>
        <v>|</v>
      </c>
      <c r="AG1261" s="120" t="s">
        <v>120</v>
      </c>
    </row>
    <row r="1262" spans="6:33" ht="24" customHeight="1">
      <c r="H1262" s="120" t="s">
        <v>495</v>
      </c>
      <c r="K1262" s="129">
        <f>SUM(K1248:K1260)</f>
        <v>12397.97</v>
      </c>
      <c r="M1262" s="289">
        <v>2.2000000000000002</v>
      </c>
      <c r="N1262" s="290" t="s">
        <v>237</v>
      </c>
      <c r="O1262" s="291" t="s">
        <v>306</v>
      </c>
      <c r="P1262" s="289">
        <f t="shared" si="160"/>
        <v>557.70000000000005</v>
      </c>
      <c r="Q1262" s="295" t="s">
        <v>237</v>
      </c>
      <c r="R1262" s="289">
        <f t="shared" si="161"/>
        <v>1226.94</v>
      </c>
      <c r="Y1262" s="129">
        <v>1.86</v>
      </c>
      <c r="Z1262" s="126" t="s">
        <v>425</v>
      </c>
      <c r="AA1262" s="120" t="s">
        <v>4312</v>
      </c>
      <c r="AB1262" s="129">
        <f>AB1241</f>
        <v>793</v>
      </c>
      <c r="AC1262" s="120" t="str">
        <f>J1269</f>
        <v>SQM</v>
      </c>
      <c r="AD1262" s="129">
        <f t="shared" ref="AD1262:AD1267" si="162">(Y1262*AB1262)</f>
        <v>1474.98</v>
      </c>
      <c r="AE1262" s="137" t="str">
        <f t="shared" si="154"/>
        <v>|</v>
      </c>
      <c r="AG1262" s="120" t="s">
        <v>120</v>
      </c>
    </row>
    <row r="1263" spans="6:33" ht="24" customHeight="1">
      <c r="K1263" s="123" t="s">
        <v>52</v>
      </c>
      <c r="M1263" s="292">
        <v>20</v>
      </c>
      <c r="N1263" s="290" t="s">
        <v>39</v>
      </c>
      <c r="O1263" s="291" t="s">
        <v>123</v>
      </c>
      <c r="P1263" s="289">
        <f t="shared" si="160"/>
        <v>6040</v>
      </c>
      <c r="Q1263" s="295" t="s">
        <v>122</v>
      </c>
      <c r="R1263" s="289">
        <f>(M1263*P1263)/1000</f>
        <v>120.8</v>
      </c>
      <c r="Y1263" s="129">
        <v>0.4</v>
      </c>
      <c r="Z1263" s="126" t="s">
        <v>39</v>
      </c>
      <c r="AA1263" s="120" t="s">
        <v>4296</v>
      </c>
      <c r="AB1263" s="204">
        <f>AB1249</f>
        <v>36.1</v>
      </c>
      <c r="AC1263" s="120" t="str">
        <f>J1270</f>
        <v>Kg</v>
      </c>
      <c r="AD1263" s="129">
        <f t="shared" si="162"/>
        <v>14.44</v>
      </c>
      <c r="AE1263" s="137">
        <f t="shared" si="154"/>
        <v>0</v>
      </c>
    </row>
    <row r="1264" spans="6:33" ht="24" customHeight="1">
      <c r="H1264" s="128" t="s">
        <v>460</v>
      </c>
      <c r="K1264" s="127">
        <f>(K1262/10)</f>
        <v>1239.8</v>
      </c>
      <c r="M1264" s="292">
        <v>2</v>
      </c>
      <c r="N1264" s="290" t="s">
        <v>39</v>
      </c>
      <c r="O1264" s="291" t="s">
        <v>4303</v>
      </c>
      <c r="P1264" s="289">
        <f>I1256</f>
        <v>36.1</v>
      </c>
      <c r="Q1264" s="295" t="s">
        <v>39</v>
      </c>
      <c r="R1264" s="289">
        <f t="shared" si="161"/>
        <v>72.2</v>
      </c>
      <c r="Y1264" s="129">
        <v>0.02</v>
      </c>
      <c r="Z1264" s="126" t="s">
        <v>132</v>
      </c>
      <c r="AA1264" s="120" t="s">
        <v>1592</v>
      </c>
      <c r="AB1264" s="129">
        <f>I1271</f>
        <v>6112.22</v>
      </c>
      <c r="AC1264" s="120" t="str">
        <f>J1271</f>
        <v>CUM</v>
      </c>
      <c r="AD1264" s="129">
        <f t="shared" si="162"/>
        <v>122.24</v>
      </c>
      <c r="AE1264" s="137">
        <f t="shared" si="154"/>
        <v>0</v>
      </c>
    </row>
    <row r="1265" spans="6:33" ht="24" customHeight="1">
      <c r="K1265" s="123" t="s">
        <v>89</v>
      </c>
      <c r="M1265" s="289">
        <v>1.6</v>
      </c>
      <c r="N1265" s="290" t="s">
        <v>237</v>
      </c>
      <c r="O1265" s="291" t="s">
        <v>302</v>
      </c>
      <c r="P1265" s="289">
        <f>P1223</f>
        <v>972.4</v>
      </c>
      <c r="Q1265" s="295" t="s">
        <v>237</v>
      </c>
      <c r="R1265" s="289">
        <f t="shared" si="161"/>
        <v>1555.84</v>
      </c>
      <c r="Y1265" s="129">
        <v>1</v>
      </c>
      <c r="Z1265" s="126" t="s">
        <v>237</v>
      </c>
      <c r="AA1265" s="120" t="s">
        <v>345</v>
      </c>
      <c r="AB1265" s="129">
        <f>I1272</f>
        <v>1041.7</v>
      </c>
      <c r="AC1265" s="120" t="str">
        <f>J1272</f>
        <v>NO</v>
      </c>
      <c r="AD1265" s="129">
        <f t="shared" si="162"/>
        <v>1041.7</v>
      </c>
      <c r="AE1265" s="137" t="str">
        <f t="shared" si="154"/>
        <v xml:space="preserve"> </v>
      </c>
      <c r="AG1265" s="120" t="s">
        <v>85</v>
      </c>
    </row>
    <row r="1266" spans="6:33" ht="24" customHeight="1">
      <c r="F1266" s="167">
        <v>29.4</v>
      </c>
      <c r="G1266" s="126" t="s">
        <v>111</v>
      </c>
      <c r="H1266" s="120" t="s">
        <v>1588</v>
      </c>
      <c r="M1266" s="289">
        <v>0.5</v>
      </c>
      <c r="N1266" s="290" t="s">
        <v>237</v>
      </c>
      <c r="O1266" s="291" t="s">
        <v>304</v>
      </c>
      <c r="P1266" s="289">
        <f>P1224</f>
        <v>679.8</v>
      </c>
      <c r="Q1266" s="295" t="s">
        <v>237</v>
      </c>
      <c r="R1266" s="289">
        <f t="shared" si="161"/>
        <v>339.9</v>
      </c>
      <c r="Y1266" s="129">
        <v>1</v>
      </c>
      <c r="Z1266" s="126" t="s">
        <v>237</v>
      </c>
      <c r="AA1266" s="120" t="s">
        <v>1593</v>
      </c>
      <c r="AB1266" s="129">
        <f>I1273</f>
        <v>679.8</v>
      </c>
      <c r="AC1266" s="120" t="str">
        <f>J1273</f>
        <v>NO</v>
      </c>
      <c r="AD1266" s="129">
        <f t="shared" si="162"/>
        <v>679.8</v>
      </c>
      <c r="AE1266" s="137">
        <f t="shared" si="154"/>
        <v>0</v>
      </c>
    </row>
    <row r="1267" spans="6:33" ht="24" customHeight="1">
      <c r="H1267" s="120" t="s">
        <v>1589</v>
      </c>
      <c r="M1267" s="289">
        <v>1.1000000000000001</v>
      </c>
      <c r="N1267" s="290" t="s">
        <v>237</v>
      </c>
      <c r="O1267" s="291" t="s">
        <v>306</v>
      </c>
      <c r="P1267" s="289">
        <f>P1225</f>
        <v>557.70000000000005</v>
      </c>
      <c r="Q1267" s="295" t="s">
        <v>237</v>
      </c>
      <c r="R1267" s="289">
        <f t="shared" si="161"/>
        <v>613.47</v>
      </c>
      <c r="Z1267" s="126" t="s">
        <v>145</v>
      </c>
      <c r="AA1267" s="120" t="s">
        <v>146</v>
      </c>
      <c r="AC1267" s="120" t="s">
        <v>145</v>
      </c>
      <c r="AD1267" s="129">
        <f t="shared" si="162"/>
        <v>0</v>
      </c>
      <c r="AE1267" s="137">
        <f t="shared" si="154"/>
        <v>0</v>
      </c>
    </row>
    <row r="1268" spans="6:33" ht="24" customHeight="1">
      <c r="H1268" s="123" t="s">
        <v>52</v>
      </c>
      <c r="M1268" s="280"/>
      <c r="N1268" s="290" t="s">
        <v>145</v>
      </c>
      <c r="O1268" s="291" t="s">
        <v>146</v>
      </c>
      <c r="P1268" s="280"/>
      <c r="Q1268" s="295" t="s">
        <v>145</v>
      </c>
      <c r="R1268" s="289">
        <v>0</v>
      </c>
      <c r="Z1268" s="116"/>
      <c r="AC1268" s="117"/>
      <c r="AD1268" s="123" t="s">
        <v>52</v>
      </c>
      <c r="AE1268" s="137">
        <f t="shared" si="154"/>
        <v>0</v>
      </c>
    </row>
    <row r="1269" spans="6:33" ht="24" customHeight="1">
      <c r="F1269" s="129">
        <v>1.86</v>
      </c>
      <c r="G1269" s="126" t="s">
        <v>425</v>
      </c>
      <c r="H1269" s="120" t="s">
        <v>1590</v>
      </c>
      <c r="I1269" s="129">
        <f>C602</f>
        <v>415</v>
      </c>
      <c r="J1269" s="120" t="s">
        <v>425</v>
      </c>
      <c r="K1269" s="129">
        <f>(F1269*I1269)</f>
        <v>771.9</v>
      </c>
      <c r="M1269" s="280">
        <f>9.3/0.02</f>
        <v>465</v>
      </c>
      <c r="N1269" s="281"/>
      <c r="O1269" s="280"/>
      <c r="P1269" s="280"/>
      <c r="Q1269" s="294"/>
      <c r="R1269" s="296"/>
      <c r="Z1269" s="116"/>
      <c r="AA1269" s="120" t="s">
        <v>1594</v>
      </c>
      <c r="AC1269" s="117"/>
      <c r="AD1269" s="129">
        <f>SUM(AD1262:AD1267)</f>
        <v>3333.16</v>
      </c>
      <c r="AE1269" s="137">
        <f t="shared" si="154"/>
        <v>0</v>
      </c>
    </row>
    <row r="1270" spans="6:33" ht="24" customHeight="1">
      <c r="F1270" s="129">
        <v>0.4</v>
      </c>
      <c r="G1270" s="126" t="s">
        <v>39</v>
      </c>
      <c r="H1270" s="120" t="s">
        <v>4296</v>
      </c>
      <c r="I1270" s="244">
        <f>I1256</f>
        <v>36.1</v>
      </c>
      <c r="J1270" s="120" t="s">
        <v>39</v>
      </c>
      <c r="K1270" s="129">
        <f>(F1270*I1270)</f>
        <v>14.44</v>
      </c>
      <c r="M1270" s="280"/>
      <c r="N1270" s="281"/>
      <c r="O1270" s="291" t="s">
        <v>495</v>
      </c>
      <c r="P1270" s="280"/>
      <c r="Q1270" s="294"/>
      <c r="R1270" s="289">
        <f>SUM(R1257:R1268)</f>
        <v>12832.37</v>
      </c>
      <c r="Z1270" s="116"/>
      <c r="AC1270" s="117"/>
      <c r="AD1270" s="123" t="s">
        <v>52</v>
      </c>
      <c r="AE1270" s="137">
        <f t="shared" si="154"/>
        <v>0</v>
      </c>
    </row>
    <row r="1271" spans="6:33" ht="24" customHeight="1">
      <c r="F1271" s="129">
        <v>0.02</v>
      </c>
      <c r="G1271" s="126" t="s">
        <v>132</v>
      </c>
      <c r="H1271" s="120" t="s">
        <v>1592</v>
      </c>
      <c r="I1271" s="129">
        <f>K23</f>
        <v>6112.22</v>
      </c>
      <c r="J1271" s="120" t="s">
        <v>132</v>
      </c>
      <c r="K1271" s="129">
        <f>(F1271*I1271)</f>
        <v>122.24</v>
      </c>
      <c r="M1271" s="280"/>
      <c r="N1271" s="281"/>
      <c r="O1271" s="280"/>
      <c r="P1271" s="280"/>
      <c r="Q1271" s="294"/>
      <c r="R1271" s="296" t="s">
        <v>52</v>
      </c>
      <c r="Z1271" s="116"/>
      <c r="AA1271" s="128" t="s">
        <v>460</v>
      </c>
      <c r="AC1271" s="117"/>
      <c r="AD1271" s="127">
        <f>(AD1269/1.86)</f>
        <v>1792.02</v>
      </c>
      <c r="AE1271" s="137">
        <f t="shared" si="154"/>
        <v>0</v>
      </c>
    </row>
    <row r="1272" spans="6:33" ht="24" customHeight="1">
      <c r="F1272" s="129">
        <v>1</v>
      </c>
      <c r="G1272" s="126" t="s">
        <v>237</v>
      </c>
      <c r="H1272" s="120" t="s">
        <v>345</v>
      </c>
      <c r="I1272" s="129">
        <f>C10</f>
        <v>1041.7</v>
      </c>
      <c r="J1272" s="120" t="s">
        <v>237</v>
      </c>
      <c r="K1272" s="129">
        <f>(F1272*I1272)</f>
        <v>1041.7</v>
      </c>
      <c r="M1272" s="280"/>
      <c r="N1272" s="281"/>
      <c r="O1272" s="293" t="s">
        <v>460</v>
      </c>
      <c r="P1272" s="280"/>
      <c r="Q1272" s="294"/>
      <c r="R1272" s="297">
        <f>(R1270/10)</f>
        <v>1283.24</v>
      </c>
      <c r="Z1272" s="116"/>
      <c r="AC1272" s="117"/>
      <c r="AD1272" s="123" t="s">
        <v>89</v>
      </c>
      <c r="AE1272" s="137">
        <f t="shared" si="154"/>
        <v>0</v>
      </c>
    </row>
    <row r="1273" spans="6:33" ht="24" customHeight="1">
      <c r="F1273" s="129">
        <v>1</v>
      </c>
      <c r="G1273" s="126" t="s">
        <v>237</v>
      </c>
      <c r="H1273" s="120" t="s">
        <v>1593</v>
      </c>
      <c r="I1273" s="129">
        <f>C12</f>
        <v>679.8</v>
      </c>
      <c r="J1273" s="120" t="s">
        <v>237</v>
      </c>
      <c r="K1273" s="129">
        <f>(F1273*I1273)</f>
        <v>679.8</v>
      </c>
      <c r="S1273" s="167">
        <v>29.5</v>
      </c>
      <c r="T1273" s="126" t="s">
        <v>111</v>
      </c>
      <c r="U1273" s="120" t="s">
        <v>4313</v>
      </c>
      <c r="AE1273" s="137">
        <f t="shared" si="154"/>
        <v>0</v>
      </c>
    </row>
    <row r="1274" spans="6:33" ht="24" customHeight="1">
      <c r="G1274" s="126" t="s">
        <v>145</v>
      </c>
      <c r="H1274" s="120" t="s">
        <v>146</v>
      </c>
      <c r="J1274" s="120" t="s">
        <v>145</v>
      </c>
      <c r="K1274" s="129"/>
      <c r="S1274" s="115"/>
      <c r="T1274" s="116"/>
      <c r="U1274" s="120"/>
      <c r="AE1274" s="137">
        <f t="shared" si="154"/>
        <v>0</v>
      </c>
    </row>
    <row r="1275" spans="6:33" ht="24" customHeight="1">
      <c r="K1275" s="123" t="s">
        <v>52</v>
      </c>
      <c r="S1275" s="115"/>
      <c r="T1275" s="116"/>
      <c r="U1275" s="120"/>
      <c r="AC1275" s="117"/>
      <c r="AE1275" s="137">
        <f t="shared" si="154"/>
        <v>0</v>
      </c>
    </row>
    <row r="1276" spans="6:33" ht="24" customHeight="1">
      <c r="H1276" s="120" t="s">
        <v>1594</v>
      </c>
      <c r="K1276" s="129">
        <f>SUM(K1269:K1274)</f>
        <v>2630.08</v>
      </c>
      <c r="S1276" s="115"/>
      <c r="T1276" s="116"/>
      <c r="U1276" s="123" t="s">
        <v>52</v>
      </c>
      <c r="V1276" s="123" t="s">
        <v>52</v>
      </c>
      <c r="AC1276" s="117"/>
      <c r="AE1276" s="137">
        <f t="shared" si="154"/>
        <v>0</v>
      </c>
    </row>
    <row r="1277" spans="6:33" ht="40.5" customHeight="1">
      <c r="K1277" s="123" t="s">
        <v>52</v>
      </c>
      <c r="S1277" s="129">
        <v>10</v>
      </c>
      <c r="T1277" s="126" t="s">
        <v>425</v>
      </c>
      <c r="U1277" s="42" t="s">
        <v>4314</v>
      </c>
      <c r="V1277" s="140">
        <v>538.21</v>
      </c>
      <c r="W1277" s="121" t="s">
        <v>425</v>
      </c>
      <c r="X1277" s="129">
        <f>(S1277*V1277)</f>
        <v>5382.1</v>
      </c>
      <c r="AC1277" s="117"/>
      <c r="AE1277" s="137">
        <f t="shared" si="154"/>
        <v>0</v>
      </c>
    </row>
    <row r="1278" spans="6:33" ht="24" customHeight="1">
      <c r="H1278" s="128" t="s">
        <v>460</v>
      </c>
      <c r="K1278" s="127">
        <f>(K1276/1.86)</f>
        <v>1414.02</v>
      </c>
      <c r="S1278" s="129">
        <v>0.21</v>
      </c>
      <c r="T1278" s="126" t="s">
        <v>132</v>
      </c>
      <c r="U1278" s="120" t="s">
        <v>1575</v>
      </c>
      <c r="V1278" s="129">
        <f t="shared" ref="V1278:V1288" si="163">I1249</f>
        <v>4662.62</v>
      </c>
      <c r="W1278" s="121" t="s">
        <v>132</v>
      </c>
      <c r="X1278" s="129">
        <f>(S1278*V1278)</f>
        <v>979.15</v>
      </c>
      <c r="AE1278" s="137">
        <f t="shared" ref="AE1278:AE1341" si="164">AG1278</f>
        <v>0</v>
      </c>
    </row>
    <row r="1279" spans="6:33" ht="24" customHeight="1">
      <c r="K1279" s="123" t="s">
        <v>89</v>
      </c>
      <c r="S1279" s="115"/>
      <c r="T1279" s="116"/>
      <c r="U1279" s="120" t="s">
        <v>1576</v>
      </c>
      <c r="V1279" s="129" t="str">
        <f t="shared" si="163"/>
        <v xml:space="preserve"> </v>
      </c>
      <c r="X1279" s="120" t="s">
        <v>85</v>
      </c>
      <c r="AE1279" s="137">
        <f t="shared" si="164"/>
        <v>0</v>
      </c>
    </row>
    <row r="1280" spans="6:33" ht="24" customHeight="1">
      <c r="F1280" s="167"/>
      <c r="G1280" s="126" t="s">
        <v>111</v>
      </c>
      <c r="H1280" s="120" t="s">
        <v>4315</v>
      </c>
      <c r="S1280" s="129">
        <v>1.1000000000000001</v>
      </c>
      <c r="T1280" s="126" t="s">
        <v>237</v>
      </c>
      <c r="U1280" s="120" t="s">
        <v>345</v>
      </c>
      <c r="V1280" s="129">
        <f t="shared" si="163"/>
        <v>1041.7</v>
      </c>
      <c r="W1280" s="121" t="s">
        <v>237</v>
      </c>
      <c r="X1280" s="129">
        <f>(S1280*V1280)</f>
        <v>1145.8699999999999</v>
      </c>
      <c r="AE1280" s="137">
        <f t="shared" si="164"/>
        <v>0</v>
      </c>
    </row>
    <row r="1281" spans="6:31" ht="24" customHeight="1">
      <c r="H1281" s="120"/>
      <c r="S1281" s="129">
        <v>1.1000000000000001</v>
      </c>
      <c r="T1281" s="126" t="s">
        <v>237</v>
      </c>
      <c r="U1281" s="120" t="s">
        <v>302</v>
      </c>
      <c r="V1281" s="129">
        <f t="shared" si="163"/>
        <v>972.4</v>
      </c>
      <c r="W1281" s="121" t="s">
        <v>237</v>
      </c>
      <c r="X1281" s="129">
        <f>(S1281*V1281)</f>
        <v>1069.6400000000001</v>
      </c>
      <c r="AE1281" s="137">
        <f t="shared" si="164"/>
        <v>0</v>
      </c>
    </row>
    <row r="1282" spans="6:31" ht="24" customHeight="1">
      <c r="H1282" s="123" t="s">
        <v>52</v>
      </c>
      <c r="S1282" s="129">
        <v>2.2000000000000002</v>
      </c>
      <c r="T1282" s="126" t="s">
        <v>237</v>
      </c>
      <c r="U1282" s="120" t="s">
        <v>304</v>
      </c>
      <c r="V1282" s="129">
        <f t="shared" si="163"/>
        <v>679.8</v>
      </c>
      <c r="W1282" s="121" t="s">
        <v>237</v>
      </c>
      <c r="X1282" s="129">
        <f>(S1282*V1282)</f>
        <v>1495.56</v>
      </c>
      <c r="AE1282" s="137">
        <f t="shared" si="164"/>
        <v>0</v>
      </c>
    </row>
    <row r="1283" spans="6:31" ht="24" customHeight="1">
      <c r="F1283" s="129">
        <v>1.86</v>
      </c>
      <c r="G1283" s="126" t="s">
        <v>425</v>
      </c>
      <c r="H1283" s="120" t="s">
        <v>4316</v>
      </c>
      <c r="I1283" s="140">
        <v>699.4</v>
      </c>
      <c r="J1283" s="120" t="s">
        <v>425</v>
      </c>
      <c r="K1283" s="129">
        <f>(F1283*I1283)</f>
        <v>1300.8800000000001</v>
      </c>
      <c r="S1283" s="129">
        <v>2.2000000000000002</v>
      </c>
      <c r="T1283" s="126" t="s">
        <v>237</v>
      </c>
      <c r="U1283" s="120" t="s">
        <v>306</v>
      </c>
      <c r="V1283" s="129">
        <f t="shared" si="163"/>
        <v>557.70000000000005</v>
      </c>
      <c r="W1283" s="121" t="s">
        <v>237</v>
      </c>
      <c r="X1283" s="129">
        <f>(S1283*V1283)</f>
        <v>1226.94</v>
      </c>
      <c r="AE1283" s="137">
        <f t="shared" si="164"/>
        <v>0</v>
      </c>
    </row>
    <row r="1284" spans="6:31" ht="24" customHeight="1">
      <c r="F1284" s="129">
        <v>0.4</v>
      </c>
      <c r="G1284" s="126" t="s">
        <v>39</v>
      </c>
      <c r="H1284" s="120" t="s">
        <v>38</v>
      </c>
      <c r="I1284" s="299">
        <f>C67</f>
        <v>6040</v>
      </c>
      <c r="J1284" s="120" t="s">
        <v>39</v>
      </c>
      <c r="K1284" s="129">
        <f>(F1284*I1284)</f>
        <v>2416</v>
      </c>
      <c r="S1284" s="142">
        <v>20</v>
      </c>
      <c r="T1284" s="126" t="s">
        <v>39</v>
      </c>
      <c r="U1284" s="120" t="s">
        <v>123</v>
      </c>
      <c r="V1284" s="129">
        <f t="shared" si="163"/>
        <v>6040</v>
      </c>
      <c r="W1284" s="121" t="s">
        <v>122</v>
      </c>
      <c r="X1284" s="129">
        <f>(S1284*V1284)/1000</f>
        <v>120.8</v>
      </c>
      <c r="AE1284" s="137">
        <f t="shared" si="164"/>
        <v>0</v>
      </c>
    </row>
    <row r="1285" spans="6:31" ht="24" customHeight="1">
      <c r="F1285" s="129">
        <v>0.02</v>
      </c>
      <c r="G1285" s="126" t="s">
        <v>132</v>
      </c>
      <c r="H1285" s="120" t="s">
        <v>1592</v>
      </c>
      <c r="I1285" s="129">
        <f>I1271</f>
        <v>6112.22</v>
      </c>
      <c r="J1285" s="120" t="s">
        <v>132</v>
      </c>
      <c r="K1285" s="129">
        <f>(F1285*I1285)</f>
        <v>122.24</v>
      </c>
      <c r="S1285" s="142">
        <v>2</v>
      </c>
      <c r="T1285" s="126" t="s">
        <v>39</v>
      </c>
      <c r="U1285" s="120" t="s">
        <v>4296</v>
      </c>
      <c r="V1285" s="129">
        <f t="shared" si="163"/>
        <v>36.1</v>
      </c>
      <c r="W1285" s="121" t="s">
        <v>39</v>
      </c>
      <c r="X1285" s="129">
        <f>(S1285*V1285)</f>
        <v>72.2</v>
      </c>
      <c r="AE1285" s="137">
        <f t="shared" si="164"/>
        <v>0</v>
      </c>
    </row>
    <row r="1286" spans="6:31" ht="24" customHeight="1">
      <c r="F1286" s="129">
        <v>1</v>
      </c>
      <c r="G1286" s="126" t="s">
        <v>237</v>
      </c>
      <c r="H1286" s="120" t="s">
        <v>345</v>
      </c>
      <c r="I1286" s="129">
        <f>I1272</f>
        <v>1041.7</v>
      </c>
      <c r="J1286" s="120" t="s">
        <v>237</v>
      </c>
      <c r="K1286" s="129">
        <f>(F1286*I1286)</f>
        <v>1041.7</v>
      </c>
      <c r="S1286" s="129">
        <v>1.6</v>
      </c>
      <c r="T1286" s="126" t="s">
        <v>237</v>
      </c>
      <c r="U1286" s="120" t="s">
        <v>302</v>
      </c>
      <c r="V1286" s="129">
        <f t="shared" si="163"/>
        <v>972.4</v>
      </c>
      <c r="W1286" s="121" t="s">
        <v>237</v>
      </c>
      <c r="X1286" s="129">
        <f>(S1286*V1286)</f>
        <v>1555.84</v>
      </c>
      <c r="AE1286" s="137">
        <f t="shared" si="164"/>
        <v>0</v>
      </c>
    </row>
    <row r="1287" spans="6:31" ht="24" customHeight="1">
      <c r="F1287" s="129">
        <v>1</v>
      </c>
      <c r="G1287" s="126" t="s">
        <v>237</v>
      </c>
      <c r="H1287" s="120" t="s">
        <v>1593</v>
      </c>
      <c r="I1287" s="129">
        <f>I1273</f>
        <v>679.8</v>
      </c>
      <c r="J1287" s="120" t="s">
        <v>237</v>
      </c>
      <c r="K1287" s="129">
        <f>(F1287*I1287)</f>
        <v>679.8</v>
      </c>
      <c r="S1287" s="129">
        <v>0.5</v>
      </c>
      <c r="T1287" s="126" t="s">
        <v>237</v>
      </c>
      <c r="U1287" s="120" t="s">
        <v>304</v>
      </c>
      <c r="V1287" s="129">
        <f t="shared" si="163"/>
        <v>679.8</v>
      </c>
      <c r="W1287" s="121" t="s">
        <v>237</v>
      </c>
      <c r="X1287" s="129">
        <f>(S1287*V1287)</f>
        <v>339.9</v>
      </c>
      <c r="AE1287" s="137">
        <f t="shared" si="164"/>
        <v>0</v>
      </c>
    </row>
    <row r="1288" spans="6:31" ht="24" customHeight="1">
      <c r="G1288" s="126" t="s">
        <v>145</v>
      </c>
      <c r="H1288" s="120" t="s">
        <v>146</v>
      </c>
      <c r="J1288" s="120" t="s">
        <v>145</v>
      </c>
      <c r="K1288" s="129"/>
      <c r="S1288" s="129">
        <v>1.1000000000000001</v>
      </c>
      <c r="T1288" s="126" t="s">
        <v>237</v>
      </c>
      <c r="U1288" s="120" t="s">
        <v>306</v>
      </c>
      <c r="V1288" s="129">
        <f t="shared" si="163"/>
        <v>557.70000000000005</v>
      </c>
      <c r="W1288" s="121" t="s">
        <v>237</v>
      </c>
      <c r="X1288" s="129">
        <f>(S1288*V1288)</f>
        <v>613.47</v>
      </c>
      <c r="AE1288" s="137">
        <f t="shared" si="164"/>
        <v>0</v>
      </c>
    </row>
    <row r="1289" spans="6:31" ht="24" customHeight="1">
      <c r="K1289" s="123" t="s">
        <v>52</v>
      </c>
      <c r="S1289" s="115"/>
      <c r="T1289" s="126" t="s">
        <v>145</v>
      </c>
      <c r="U1289" s="120" t="s">
        <v>146</v>
      </c>
      <c r="W1289" s="121" t="s">
        <v>145</v>
      </c>
      <c r="X1289" s="129">
        <v>0</v>
      </c>
      <c r="AE1289" s="137">
        <f t="shared" si="164"/>
        <v>0</v>
      </c>
    </row>
    <row r="1290" spans="6:31" ht="24" customHeight="1">
      <c r="H1290" s="120" t="s">
        <v>1594</v>
      </c>
      <c r="K1290" s="129">
        <f>SUM(K1283:K1288)</f>
        <v>5560.62</v>
      </c>
      <c r="S1290" s="115"/>
      <c r="T1290" s="116"/>
      <c r="X1290" s="123" t="s">
        <v>52</v>
      </c>
      <c r="AE1290" s="137">
        <f t="shared" si="164"/>
        <v>0</v>
      </c>
    </row>
    <row r="1291" spans="6:31" ht="24" customHeight="1">
      <c r="K1291" s="123" t="s">
        <v>52</v>
      </c>
      <c r="S1291" s="115"/>
      <c r="T1291" s="116"/>
      <c r="U1291" s="120" t="s">
        <v>495</v>
      </c>
      <c r="X1291" s="129">
        <f>SUM(X1277:X1289)</f>
        <v>14001.47</v>
      </c>
      <c r="AE1291" s="137">
        <f t="shared" si="164"/>
        <v>0</v>
      </c>
    </row>
    <row r="1292" spans="6:31" ht="24" customHeight="1">
      <c r="H1292" s="128" t="s">
        <v>460</v>
      </c>
      <c r="K1292" s="127">
        <f>(K1290/1.86)</f>
        <v>2989.58</v>
      </c>
      <c r="S1292" s="115"/>
      <c r="T1292" s="116"/>
      <c r="X1292" s="123" t="s">
        <v>52</v>
      </c>
      <c r="AE1292" s="137">
        <f t="shared" si="164"/>
        <v>0</v>
      </c>
    </row>
    <row r="1293" spans="6:31" ht="24" customHeight="1">
      <c r="K1293" s="123" t="s">
        <v>89</v>
      </c>
      <c r="U1293" s="128" t="s">
        <v>460</v>
      </c>
      <c r="X1293" s="127">
        <f>(X1291/10)</f>
        <v>1400.15</v>
      </c>
      <c r="AE1293" s="137">
        <f t="shared" si="164"/>
        <v>0</v>
      </c>
    </row>
    <row r="1294" spans="6:31" ht="24" customHeight="1">
      <c r="K1294" s="123"/>
      <c r="X1294" s="123" t="s">
        <v>89</v>
      </c>
      <c r="AE1294" s="137">
        <f t="shared" si="164"/>
        <v>0</v>
      </c>
    </row>
    <row r="1295" spans="6:31" ht="24" customHeight="1">
      <c r="K1295" s="123"/>
      <c r="AE1295" s="137">
        <f t="shared" si="164"/>
        <v>0</v>
      </c>
    </row>
    <row r="1296" spans="6:31" ht="24" customHeight="1">
      <c r="K1296" s="123"/>
      <c r="M1296" s="121"/>
      <c r="N1296" s="126" t="s">
        <v>111</v>
      </c>
      <c r="O1296" s="120" t="s">
        <v>4317</v>
      </c>
      <c r="Q1296" s="119"/>
      <c r="S1296" s="189">
        <v>15.1</v>
      </c>
      <c r="T1296" s="126" t="s">
        <v>775</v>
      </c>
      <c r="U1296" s="120" t="s">
        <v>4318</v>
      </c>
      <c r="AE1296" s="137">
        <f t="shared" si="164"/>
        <v>0</v>
      </c>
    </row>
    <row r="1297" spans="6:31" ht="24" customHeight="1">
      <c r="K1297" s="123"/>
      <c r="N1297" s="116"/>
      <c r="O1297" s="120" t="s">
        <v>4319</v>
      </c>
      <c r="Q1297" s="119"/>
      <c r="S1297" s="115"/>
      <c r="T1297" s="116"/>
      <c r="U1297" s="120" t="s">
        <v>722</v>
      </c>
      <c r="AE1297" s="137">
        <f t="shared" si="164"/>
        <v>0</v>
      </c>
    </row>
    <row r="1298" spans="6:31" ht="24" customHeight="1">
      <c r="F1298" s="121" t="s">
        <v>275</v>
      </c>
      <c r="G1298" s="126" t="s">
        <v>111</v>
      </c>
      <c r="H1298" s="120" t="s">
        <v>1566</v>
      </c>
      <c r="N1298" s="116"/>
      <c r="O1298" s="122" t="s">
        <v>4320</v>
      </c>
      <c r="Q1298" s="119"/>
      <c r="S1298" s="129">
        <v>10</v>
      </c>
      <c r="T1298" s="126" t="s">
        <v>724</v>
      </c>
      <c r="U1298" s="120" t="s">
        <v>4321</v>
      </c>
      <c r="V1298" s="136">
        <v>1610</v>
      </c>
      <c r="W1298" s="121" t="s">
        <v>724</v>
      </c>
      <c r="X1298" s="129">
        <f t="shared" ref="X1298:X1304" si="165">(S1298*V1298)</f>
        <v>16100</v>
      </c>
      <c r="AE1298" s="137">
        <f t="shared" si="164"/>
        <v>0</v>
      </c>
    </row>
    <row r="1299" spans="6:31" ht="24" customHeight="1">
      <c r="H1299" s="120" t="s">
        <v>4322</v>
      </c>
      <c r="N1299" s="116"/>
      <c r="O1299" s="123" t="s">
        <v>52</v>
      </c>
      <c r="Q1299" s="119"/>
      <c r="S1299" s="129">
        <v>0.21</v>
      </c>
      <c r="T1299" s="126" t="s">
        <v>132</v>
      </c>
      <c r="U1299" s="120" t="s">
        <v>782</v>
      </c>
      <c r="V1299" s="240">
        <f>P1333</f>
        <v>4662.62</v>
      </c>
      <c r="W1299" s="121" t="s">
        <v>132</v>
      </c>
      <c r="X1299" s="129">
        <f t="shared" si="165"/>
        <v>979.15</v>
      </c>
      <c r="AE1299" s="137">
        <f t="shared" si="164"/>
        <v>0</v>
      </c>
    </row>
    <row r="1300" spans="6:31" ht="24" customHeight="1">
      <c r="H1300" s="120" t="s">
        <v>1595</v>
      </c>
      <c r="M1300" s="129">
        <v>3.2</v>
      </c>
      <c r="N1300" s="126" t="s">
        <v>39</v>
      </c>
      <c r="O1300" s="191" t="s">
        <v>4323</v>
      </c>
      <c r="P1300" s="140">
        <v>225</v>
      </c>
      <c r="Q1300" s="121" t="s">
        <v>39</v>
      </c>
      <c r="R1300" s="129">
        <f>(M1300*P1300)</f>
        <v>720</v>
      </c>
      <c r="S1300" s="129">
        <v>1.1000000000000001</v>
      </c>
      <c r="T1300" s="126" t="s">
        <v>727</v>
      </c>
      <c r="U1300" s="120" t="s">
        <v>728</v>
      </c>
      <c r="V1300" s="240">
        <f>P1334</f>
        <v>1041.7</v>
      </c>
      <c r="W1300" s="121" t="s">
        <v>729</v>
      </c>
      <c r="X1300" s="129">
        <f t="shared" si="165"/>
        <v>1145.8699999999999</v>
      </c>
      <c r="AE1300" s="137">
        <f t="shared" si="164"/>
        <v>0</v>
      </c>
    </row>
    <row r="1301" spans="6:31" ht="24" customHeight="1">
      <c r="H1301" s="120" t="s">
        <v>4324</v>
      </c>
      <c r="M1301" s="129">
        <v>0.98</v>
      </c>
      <c r="N1301" s="126" t="s">
        <v>1658</v>
      </c>
      <c r="O1301" s="120" t="s">
        <v>4325</v>
      </c>
      <c r="P1301" s="129">
        <f>P1320</f>
        <v>147.5</v>
      </c>
      <c r="Q1301" s="121" t="s">
        <v>1658</v>
      </c>
      <c r="R1301" s="129">
        <f t="shared" ref="R1301:R1306" si="166">(M1301*P1301)</f>
        <v>144.55000000000001</v>
      </c>
      <c r="S1301" s="129">
        <v>1.1000000000000001</v>
      </c>
      <c r="T1301" s="126" t="s">
        <v>727</v>
      </c>
      <c r="U1301" s="120" t="s">
        <v>4326</v>
      </c>
      <c r="V1301" s="240">
        <f>P1260</f>
        <v>972.4</v>
      </c>
      <c r="W1301" s="121" t="s">
        <v>729</v>
      </c>
      <c r="X1301" s="129">
        <f t="shared" si="165"/>
        <v>1069.6400000000001</v>
      </c>
      <c r="AE1301" s="137">
        <f t="shared" si="164"/>
        <v>0</v>
      </c>
    </row>
    <row r="1302" spans="6:31" ht="24" customHeight="1">
      <c r="H1302" s="123" t="s">
        <v>52</v>
      </c>
      <c r="M1302" s="129">
        <v>0.5</v>
      </c>
      <c r="N1302" s="126" t="s">
        <v>237</v>
      </c>
      <c r="O1302" s="120" t="s">
        <v>1660</v>
      </c>
      <c r="P1302" s="129">
        <f>AE13</f>
        <v>831.6</v>
      </c>
      <c r="Q1302" s="126" t="s">
        <v>237</v>
      </c>
      <c r="R1302" s="129">
        <f t="shared" si="166"/>
        <v>415.8</v>
      </c>
      <c r="S1302" s="129">
        <v>2.2000000000000002</v>
      </c>
      <c r="T1302" s="126" t="s">
        <v>727</v>
      </c>
      <c r="U1302" s="120" t="s">
        <v>731</v>
      </c>
      <c r="V1302" s="240">
        <f>P1335</f>
        <v>679.8</v>
      </c>
      <c r="W1302" s="121" t="s">
        <v>729</v>
      </c>
      <c r="X1302" s="129">
        <f t="shared" si="165"/>
        <v>1495.56</v>
      </c>
      <c r="AE1302" s="137">
        <f t="shared" si="164"/>
        <v>0</v>
      </c>
    </row>
    <row r="1303" spans="6:31" ht="24" customHeight="1">
      <c r="F1303" s="129">
        <v>0.24</v>
      </c>
      <c r="G1303" s="126" t="s">
        <v>132</v>
      </c>
      <c r="H1303" s="120" t="s">
        <v>1597</v>
      </c>
      <c r="I1303" s="129">
        <f>(C70)</f>
        <v>1025.31</v>
      </c>
      <c r="J1303" s="120" t="s">
        <v>132</v>
      </c>
      <c r="K1303" s="129">
        <f>(F1303*I1303)</f>
        <v>246.07</v>
      </c>
      <c r="M1303" s="129">
        <v>0.7</v>
      </c>
      <c r="N1303" s="126" t="s">
        <v>237</v>
      </c>
      <c r="O1303" s="120" t="s">
        <v>4327</v>
      </c>
      <c r="P1303" s="129">
        <f>AE14</f>
        <v>805.2</v>
      </c>
      <c r="Q1303" s="126" t="s">
        <v>237</v>
      </c>
      <c r="R1303" s="129">
        <f t="shared" si="166"/>
        <v>563.64</v>
      </c>
      <c r="S1303" s="129">
        <v>2.2000000000000002</v>
      </c>
      <c r="T1303" s="126" t="s">
        <v>727</v>
      </c>
      <c r="U1303" s="120" t="s">
        <v>4328</v>
      </c>
      <c r="V1303" s="240">
        <f>P1305</f>
        <v>557.70000000000005</v>
      </c>
      <c r="W1303" s="121" t="s">
        <v>729</v>
      </c>
      <c r="X1303" s="129">
        <f t="shared" si="165"/>
        <v>1226.94</v>
      </c>
      <c r="AE1303" s="137">
        <f t="shared" si="164"/>
        <v>0</v>
      </c>
    </row>
    <row r="1304" spans="6:31" ht="24" customHeight="1">
      <c r="F1304" s="142">
        <v>0.11700000000000001</v>
      </c>
      <c r="G1304" s="126" t="s">
        <v>122</v>
      </c>
      <c r="H1304" s="120" t="s">
        <v>123</v>
      </c>
      <c r="I1304" s="129">
        <f>(C67)</f>
        <v>6040</v>
      </c>
      <c r="J1304" s="120" t="s">
        <v>122</v>
      </c>
      <c r="K1304" s="129">
        <f>(F1304*I1304)</f>
        <v>706.68</v>
      </c>
      <c r="M1304" s="129">
        <v>0.5</v>
      </c>
      <c r="N1304" s="126" t="s">
        <v>237</v>
      </c>
      <c r="O1304" s="120" t="s">
        <v>304</v>
      </c>
      <c r="P1304" s="129">
        <f>I1306</f>
        <v>679.8</v>
      </c>
      <c r="Q1304" s="126" t="s">
        <v>237</v>
      </c>
      <c r="R1304" s="129">
        <f t="shared" si="166"/>
        <v>339.9</v>
      </c>
      <c r="S1304" s="129">
        <v>10</v>
      </c>
      <c r="T1304" s="126" t="s">
        <v>145</v>
      </c>
      <c r="U1304" s="120" t="s">
        <v>4329</v>
      </c>
      <c r="V1304" s="240">
        <v>153.47</v>
      </c>
      <c r="W1304" s="121" t="s">
        <v>145</v>
      </c>
      <c r="X1304" s="129">
        <f t="shared" si="165"/>
        <v>1534.7</v>
      </c>
      <c r="AE1304" s="137">
        <f t="shared" si="164"/>
        <v>0</v>
      </c>
    </row>
    <row r="1305" spans="6:31" ht="24" customHeight="1">
      <c r="F1305" s="129">
        <v>0.5</v>
      </c>
      <c r="G1305" s="126" t="s">
        <v>237</v>
      </c>
      <c r="H1305" s="120" t="s">
        <v>345</v>
      </c>
      <c r="I1305" s="129">
        <f>(C10)</f>
        <v>1041.7</v>
      </c>
      <c r="J1305" s="120" t="s">
        <v>237</v>
      </c>
      <c r="K1305" s="129">
        <f>(F1305*I1305)</f>
        <v>520.85</v>
      </c>
      <c r="M1305" s="129">
        <v>0.8</v>
      </c>
      <c r="N1305" s="126" t="s">
        <v>237</v>
      </c>
      <c r="O1305" s="120" t="s">
        <v>306</v>
      </c>
      <c r="P1305" s="129">
        <f>I1307</f>
        <v>557.70000000000005</v>
      </c>
      <c r="Q1305" s="126" t="s">
        <v>237</v>
      </c>
      <c r="R1305" s="129">
        <f t="shared" si="166"/>
        <v>446.16</v>
      </c>
      <c r="S1305" s="115"/>
      <c r="T1305" s="116"/>
      <c r="U1305" s="120"/>
      <c r="V1305" s="240">
        <f>P1337</f>
        <v>0</v>
      </c>
      <c r="X1305" s="123" t="s">
        <v>52</v>
      </c>
      <c r="AE1305" s="137">
        <f t="shared" si="164"/>
        <v>0</v>
      </c>
    </row>
    <row r="1306" spans="6:31" ht="24" customHeight="1">
      <c r="F1306" s="129">
        <v>1.1000000000000001</v>
      </c>
      <c r="G1306" s="126" t="s">
        <v>237</v>
      </c>
      <c r="H1306" s="120" t="s">
        <v>1568</v>
      </c>
      <c r="I1306" s="129">
        <f>(C12)</f>
        <v>679.8</v>
      </c>
      <c r="J1306" s="120" t="s">
        <v>237</v>
      </c>
      <c r="K1306" s="129">
        <f>(F1306*I1306)</f>
        <v>747.78</v>
      </c>
      <c r="M1306" s="129">
        <v>10</v>
      </c>
      <c r="N1306" s="126" t="s">
        <v>724</v>
      </c>
      <c r="O1306" s="120" t="s">
        <v>4330</v>
      </c>
      <c r="P1306" s="129">
        <f>C460</f>
        <v>4.4000000000000004</v>
      </c>
      <c r="Q1306" s="126" t="s">
        <v>724</v>
      </c>
      <c r="R1306" s="129">
        <f t="shared" si="166"/>
        <v>44</v>
      </c>
      <c r="S1306" s="115"/>
      <c r="T1306" s="116"/>
      <c r="U1306" s="121" t="s">
        <v>788</v>
      </c>
      <c r="V1306" s="240"/>
      <c r="X1306" s="129">
        <f>SUM(X1298:X1304)</f>
        <v>23551.86</v>
      </c>
      <c r="AE1306" s="137">
        <f t="shared" si="164"/>
        <v>0</v>
      </c>
    </row>
    <row r="1307" spans="6:31" ht="24" customHeight="1">
      <c r="F1307" s="129">
        <v>4.3</v>
      </c>
      <c r="G1307" s="126" t="s">
        <v>237</v>
      </c>
      <c r="H1307" s="120" t="s">
        <v>306</v>
      </c>
      <c r="I1307" s="129">
        <f>(C13)</f>
        <v>557.70000000000005</v>
      </c>
      <c r="J1307" s="120" t="s">
        <v>237</v>
      </c>
      <c r="K1307" s="129">
        <f>(F1307*I1307)</f>
        <v>2398.11</v>
      </c>
      <c r="N1307" s="126" t="s">
        <v>145</v>
      </c>
      <c r="O1307" s="120" t="s">
        <v>1546</v>
      </c>
      <c r="P1307" s="120" t="s">
        <v>85</v>
      </c>
      <c r="Q1307" s="121" t="s">
        <v>145</v>
      </c>
      <c r="R1307" s="129">
        <v>0</v>
      </c>
      <c r="S1307" s="115"/>
      <c r="T1307" s="116"/>
      <c r="X1307" s="123" t="s">
        <v>52</v>
      </c>
      <c r="AE1307" s="137">
        <f t="shared" si="164"/>
        <v>0</v>
      </c>
    </row>
    <row r="1308" spans="6:31" ht="24" customHeight="1">
      <c r="G1308" s="126" t="s">
        <v>145</v>
      </c>
      <c r="H1308" s="120" t="s">
        <v>146</v>
      </c>
      <c r="J1308" s="120" t="s">
        <v>145</v>
      </c>
      <c r="K1308" s="129">
        <v>0</v>
      </c>
      <c r="N1308" s="116"/>
      <c r="Q1308" s="119"/>
      <c r="R1308" s="123" t="s">
        <v>52</v>
      </c>
      <c r="S1308" s="115"/>
      <c r="T1308" s="116"/>
      <c r="U1308" s="121" t="s">
        <v>792</v>
      </c>
      <c r="X1308" s="127">
        <f>X1306/10</f>
        <v>2355.19</v>
      </c>
      <c r="AE1308" s="137">
        <f t="shared" si="164"/>
        <v>0</v>
      </c>
    </row>
    <row r="1309" spans="6:31" ht="24" customHeight="1">
      <c r="K1309" s="123" t="s">
        <v>52</v>
      </c>
      <c r="N1309" s="116"/>
      <c r="O1309" s="120" t="s">
        <v>495</v>
      </c>
      <c r="Q1309" s="119"/>
      <c r="R1309" s="129">
        <f>SUM(R1300:R1307)</f>
        <v>2674.05</v>
      </c>
      <c r="S1309" s="115"/>
      <c r="T1309" s="116"/>
      <c r="U1309" s="120" t="s">
        <v>53</v>
      </c>
      <c r="W1309" s="119">
        <f>X1313+Y1308</f>
        <v>2357.41</v>
      </c>
      <c r="X1309" s="129">
        <f>X1308+Y1306</f>
        <v>2355.19</v>
      </c>
      <c r="AE1309" s="137">
        <f t="shared" si="164"/>
        <v>0</v>
      </c>
    </row>
    <row r="1310" spans="6:31" ht="24" customHeight="1">
      <c r="H1310" s="120" t="s">
        <v>495</v>
      </c>
      <c r="K1310" s="129">
        <f>SUM(K1303:K1308)</f>
        <v>4619.49</v>
      </c>
      <c r="N1310" s="116"/>
      <c r="Q1310" s="119"/>
      <c r="R1310" s="123" t="s">
        <v>52</v>
      </c>
      <c r="S1310" s="115"/>
      <c r="T1310" s="116"/>
      <c r="U1310" s="120" t="s">
        <v>54</v>
      </c>
      <c r="W1310" s="119">
        <f>W1309+Y1308</f>
        <v>2357.41</v>
      </c>
      <c r="X1310" s="129">
        <f>X1309+1.11</f>
        <v>2356.3000000000002</v>
      </c>
      <c r="AE1310" s="137">
        <f t="shared" si="164"/>
        <v>0</v>
      </c>
    </row>
    <row r="1311" spans="6:31" ht="24" customHeight="1">
      <c r="K1311" s="123" t="s">
        <v>52</v>
      </c>
      <c r="N1311" s="116"/>
      <c r="O1311" s="122" t="s">
        <v>460</v>
      </c>
      <c r="Q1311" s="119"/>
      <c r="R1311" s="127">
        <f>(R1309/10)</f>
        <v>267.41000000000003</v>
      </c>
      <c r="S1311" s="115"/>
      <c r="T1311" s="116"/>
      <c r="U1311" s="120" t="s">
        <v>55</v>
      </c>
      <c r="X1311" s="129">
        <f>X1310+1.11</f>
        <v>2357.41</v>
      </c>
      <c r="AE1311" s="137">
        <f t="shared" si="164"/>
        <v>0</v>
      </c>
    </row>
    <row r="1312" spans="6:31" ht="24" customHeight="1">
      <c r="H1312" s="128" t="s">
        <v>460</v>
      </c>
      <c r="K1312" s="127">
        <f>(K1310/10)</f>
        <v>461.95</v>
      </c>
      <c r="M1312" s="120" t="s">
        <v>85</v>
      </c>
      <c r="N1312" s="116"/>
      <c r="Q1312" s="119"/>
      <c r="S1312" s="115"/>
      <c r="T1312" s="116"/>
      <c r="U1312" s="120" t="s">
        <v>56</v>
      </c>
      <c r="X1312" s="129">
        <f>X1311+Y1308</f>
        <v>2357.41</v>
      </c>
      <c r="AE1312" s="137">
        <f t="shared" si="164"/>
        <v>0</v>
      </c>
    </row>
    <row r="1313" spans="6:31" ht="24" customHeight="1">
      <c r="F1313" s="120" t="s">
        <v>85</v>
      </c>
      <c r="N1313" s="116"/>
      <c r="Q1313" s="119"/>
      <c r="R1313" s="123" t="s">
        <v>89</v>
      </c>
      <c r="S1313" s="115"/>
      <c r="T1313" s="116"/>
      <c r="U1313" s="120" t="s">
        <v>747</v>
      </c>
      <c r="X1313" s="129">
        <f>X1312+Y1308</f>
        <v>2357.41</v>
      </c>
      <c r="AE1313" s="137">
        <f t="shared" si="164"/>
        <v>0</v>
      </c>
    </row>
    <row r="1314" spans="6:31" ht="24" customHeight="1">
      <c r="K1314" s="123" t="s">
        <v>89</v>
      </c>
      <c r="N1314" s="116"/>
      <c r="Q1314" s="119"/>
      <c r="S1314" s="115"/>
      <c r="T1314" s="116"/>
      <c r="AE1314" s="137">
        <f t="shared" si="164"/>
        <v>0</v>
      </c>
    </row>
    <row r="1315" spans="6:31" ht="24" customHeight="1">
      <c r="F1315" s="121" t="s">
        <v>1598</v>
      </c>
      <c r="G1315" s="126" t="s">
        <v>111</v>
      </c>
      <c r="H1315" s="122" t="s">
        <v>4331</v>
      </c>
      <c r="M1315" s="121" t="s">
        <v>1654</v>
      </c>
      <c r="N1315" s="126" t="s">
        <v>111</v>
      </c>
      <c r="O1315" s="120" t="s">
        <v>4332</v>
      </c>
      <c r="Q1315" s="119"/>
      <c r="AE1315" s="137">
        <f t="shared" si="164"/>
        <v>0</v>
      </c>
    </row>
    <row r="1316" spans="6:31" ht="24" customHeight="1">
      <c r="H1316" s="120" t="s">
        <v>1600</v>
      </c>
      <c r="N1316" s="116"/>
      <c r="O1316" s="120" t="s">
        <v>4319</v>
      </c>
      <c r="Q1316" s="119"/>
      <c r="S1316" s="189">
        <v>15.1</v>
      </c>
      <c r="T1316" s="126" t="s">
        <v>775</v>
      </c>
      <c r="U1316" s="120" t="s">
        <v>4333</v>
      </c>
      <c r="AE1316" s="137">
        <f t="shared" si="164"/>
        <v>0</v>
      </c>
    </row>
    <row r="1317" spans="6:31" ht="24" customHeight="1">
      <c r="H1317" s="120" t="s">
        <v>1601</v>
      </c>
      <c r="N1317" s="116"/>
      <c r="O1317" s="122" t="s">
        <v>4334</v>
      </c>
      <c r="Q1317" s="119"/>
      <c r="S1317" s="115"/>
      <c r="T1317" s="116"/>
      <c r="U1317" s="120" t="s">
        <v>722</v>
      </c>
      <c r="AE1317" s="137">
        <f t="shared" si="164"/>
        <v>0</v>
      </c>
    </row>
    <row r="1318" spans="6:31" ht="24" customHeight="1">
      <c r="H1318" s="120" t="s">
        <v>1602</v>
      </c>
      <c r="N1318" s="116"/>
      <c r="O1318" s="123" t="s">
        <v>52</v>
      </c>
      <c r="Q1318" s="119"/>
      <c r="S1318" s="129">
        <v>10</v>
      </c>
      <c r="T1318" s="126" t="s">
        <v>724</v>
      </c>
      <c r="U1318" s="120" t="s">
        <v>4335</v>
      </c>
      <c r="V1318" s="136">
        <f>AB1188</f>
        <v>1737</v>
      </c>
      <c r="W1318" s="121" t="s">
        <v>724</v>
      </c>
      <c r="X1318" s="129">
        <f>(S1318*V1318)</f>
        <v>17370</v>
      </c>
      <c r="AE1318" s="137">
        <f t="shared" si="164"/>
        <v>0</v>
      </c>
    </row>
    <row r="1319" spans="6:31" ht="24" customHeight="1">
      <c r="H1319" s="120" t="s">
        <v>1603</v>
      </c>
      <c r="M1319" s="129">
        <v>1.4</v>
      </c>
      <c r="N1319" s="126" t="s">
        <v>1658</v>
      </c>
      <c r="O1319" s="300" t="s">
        <v>4336</v>
      </c>
      <c r="P1319" s="275">
        <v>295.60000000000002</v>
      </c>
      <c r="Q1319" s="121" t="s">
        <v>1658</v>
      </c>
      <c r="R1319" s="129">
        <f>P1319*M1319</f>
        <v>413.84</v>
      </c>
      <c r="S1319" s="129">
        <v>0.21</v>
      </c>
      <c r="T1319" s="126" t="s">
        <v>132</v>
      </c>
      <c r="U1319" s="120" t="s">
        <v>782</v>
      </c>
      <c r="V1319" s="240">
        <f>V1299</f>
        <v>4662.62</v>
      </c>
      <c r="W1319" s="121" t="s">
        <v>132</v>
      </c>
      <c r="X1319" s="129">
        <f t="shared" ref="X1319:X1324" si="167">(S1319*V1319)</f>
        <v>979.15</v>
      </c>
      <c r="AE1319" s="137">
        <f t="shared" si="164"/>
        <v>0</v>
      </c>
    </row>
    <row r="1320" spans="6:31" ht="24" customHeight="1">
      <c r="H1320" s="123" t="s">
        <v>52</v>
      </c>
      <c r="M1320" s="129">
        <v>0.98</v>
      </c>
      <c r="N1320" s="126" t="s">
        <v>1658</v>
      </c>
      <c r="O1320" s="191" t="s">
        <v>4337</v>
      </c>
      <c r="P1320" s="129">
        <f>C196</f>
        <v>147.5</v>
      </c>
      <c r="Q1320" s="121" t="s">
        <v>1658</v>
      </c>
      <c r="R1320" s="129">
        <f>(M1320*P1320)</f>
        <v>144.55000000000001</v>
      </c>
      <c r="S1320" s="129">
        <v>1.1000000000000001</v>
      </c>
      <c r="T1320" s="126" t="s">
        <v>727</v>
      </c>
      <c r="U1320" s="120" t="s">
        <v>728</v>
      </c>
      <c r="V1320" s="136">
        <f t="shared" ref="V1320:V1325" si="168">V1300</f>
        <v>1041.7</v>
      </c>
      <c r="W1320" s="121" t="s">
        <v>729</v>
      </c>
      <c r="X1320" s="129">
        <f t="shared" si="167"/>
        <v>1145.8699999999999</v>
      </c>
      <c r="AE1320" s="137">
        <f t="shared" si="164"/>
        <v>0</v>
      </c>
    </row>
    <row r="1321" spans="6:31" ht="24" customHeight="1">
      <c r="F1321" s="129">
        <v>12.8</v>
      </c>
      <c r="G1321" s="126" t="s">
        <v>132</v>
      </c>
      <c r="H1321" s="120" t="s">
        <v>1604</v>
      </c>
      <c r="I1321" s="129">
        <f>(C82)</f>
        <v>898.25</v>
      </c>
      <c r="J1321" s="120" t="s">
        <v>132</v>
      </c>
      <c r="K1321" s="129">
        <f>(F1321*I1321)</f>
        <v>11497.6</v>
      </c>
      <c r="M1321" s="129">
        <v>2.2000000000000002</v>
      </c>
      <c r="N1321" s="126" t="s">
        <v>237</v>
      </c>
      <c r="O1321" s="120" t="s">
        <v>1660</v>
      </c>
      <c r="P1321" s="129">
        <f>P1302</f>
        <v>831.6</v>
      </c>
      <c r="Q1321" s="121" t="s">
        <v>237</v>
      </c>
      <c r="R1321" s="129">
        <f>(M1321*P1321)</f>
        <v>1829.52</v>
      </c>
      <c r="S1321" s="129">
        <v>1.1000000000000001</v>
      </c>
      <c r="T1321" s="126" t="s">
        <v>727</v>
      </c>
      <c r="U1321" s="120" t="s">
        <v>4326</v>
      </c>
      <c r="V1321" s="136">
        <f t="shared" si="168"/>
        <v>972.4</v>
      </c>
      <c r="W1321" s="121" t="s">
        <v>729</v>
      </c>
      <c r="X1321" s="129">
        <f t="shared" si="167"/>
        <v>1069.6400000000001</v>
      </c>
      <c r="AE1321" s="137">
        <f t="shared" si="164"/>
        <v>0</v>
      </c>
    </row>
    <row r="1322" spans="6:31" ht="24" customHeight="1">
      <c r="F1322" s="129">
        <v>5</v>
      </c>
      <c r="G1322" s="126" t="s">
        <v>132</v>
      </c>
      <c r="H1322" s="120" t="s">
        <v>1605</v>
      </c>
      <c r="I1322" s="129">
        <f>AC23</f>
        <v>1016.58</v>
      </c>
      <c r="J1322" s="120" t="s">
        <v>132</v>
      </c>
      <c r="K1322" s="129">
        <f>(F1322*I1322)</f>
        <v>5082.8999999999996</v>
      </c>
      <c r="N1322" s="126" t="s">
        <v>145</v>
      </c>
      <c r="O1322" s="120" t="s">
        <v>1546</v>
      </c>
      <c r="P1322" s="120" t="s">
        <v>85</v>
      </c>
      <c r="Q1322" s="121" t="s">
        <v>145</v>
      </c>
      <c r="R1322" s="129">
        <v>2.5499999999999998</v>
      </c>
      <c r="S1322" s="129">
        <v>2.2000000000000002</v>
      </c>
      <c r="T1322" s="126" t="s">
        <v>727</v>
      </c>
      <c r="U1322" s="120" t="s">
        <v>731</v>
      </c>
      <c r="V1322" s="136">
        <f t="shared" si="168"/>
        <v>679.8</v>
      </c>
      <c r="W1322" s="121" t="s">
        <v>729</v>
      </c>
      <c r="X1322" s="129">
        <f t="shared" si="167"/>
        <v>1495.56</v>
      </c>
      <c r="AE1322" s="137">
        <f t="shared" si="164"/>
        <v>0</v>
      </c>
    </row>
    <row r="1323" spans="6:31" ht="24" customHeight="1">
      <c r="F1323" s="129">
        <v>1.8</v>
      </c>
      <c r="G1323" s="126" t="s">
        <v>237</v>
      </c>
      <c r="H1323" s="120" t="s">
        <v>345</v>
      </c>
      <c r="I1323" s="129">
        <f>(C10)</f>
        <v>1041.7</v>
      </c>
      <c r="J1323" s="120" t="s">
        <v>237</v>
      </c>
      <c r="K1323" s="129">
        <f>(F1323*I1323)</f>
        <v>1875.06</v>
      </c>
      <c r="N1323" s="116"/>
      <c r="Q1323" s="119"/>
      <c r="R1323" s="123"/>
      <c r="S1323" s="129">
        <v>2.2000000000000002</v>
      </c>
      <c r="T1323" s="126" t="s">
        <v>727</v>
      </c>
      <c r="U1323" s="120" t="s">
        <v>4328</v>
      </c>
      <c r="V1323" s="136">
        <f t="shared" si="168"/>
        <v>557.70000000000005</v>
      </c>
      <c r="W1323" s="121" t="s">
        <v>729</v>
      </c>
      <c r="X1323" s="129">
        <f t="shared" si="167"/>
        <v>1226.94</v>
      </c>
      <c r="AE1323" s="137">
        <f t="shared" si="164"/>
        <v>0</v>
      </c>
    </row>
    <row r="1324" spans="6:31" ht="24" customHeight="1">
      <c r="F1324" s="129">
        <v>17.7</v>
      </c>
      <c r="G1324" s="126" t="s">
        <v>237</v>
      </c>
      <c r="H1324" s="120" t="s">
        <v>1568</v>
      </c>
      <c r="I1324" s="129">
        <f>(C12)</f>
        <v>679.8</v>
      </c>
      <c r="J1324" s="120" t="s">
        <v>237</v>
      </c>
      <c r="K1324" s="129">
        <f>(F1324*I1324)</f>
        <v>12032.46</v>
      </c>
      <c r="N1324" s="116"/>
      <c r="O1324" s="120" t="s">
        <v>495</v>
      </c>
      <c r="Q1324" s="119"/>
      <c r="R1324" s="129">
        <f>SUM(R1319:R1322)</f>
        <v>2390.46</v>
      </c>
      <c r="S1324" s="129">
        <v>10</v>
      </c>
      <c r="T1324" s="126" t="s">
        <v>145</v>
      </c>
      <c r="U1324" s="120" t="s">
        <v>4329</v>
      </c>
      <c r="V1324" s="136">
        <f t="shared" si="168"/>
        <v>153.47</v>
      </c>
      <c r="W1324" s="121" t="s">
        <v>145</v>
      </c>
      <c r="X1324" s="129">
        <f t="shared" si="167"/>
        <v>1534.7</v>
      </c>
      <c r="AE1324" s="137">
        <f t="shared" si="164"/>
        <v>0</v>
      </c>
    </row>
    <row r="1325" spans="6:31" ht="24" customHeight="1">
      <c r="F1325" s="129">
        <v>14.1</v>
      </c>
      <c r="G1325" s="126" t="s">
        <v>237</v>
      </c>
      <c r="H1325" s="120" t="s">
        <v>306</v>
      </c>
      <c r="I1325" s="129">
        <f>(C13)</f>
        <v>557.70000000000005</v>
      </c>
      <c r="J1325" s="120" t="s">
        <v>237</v>
      </c>
      <c r="K1325" s="129">
        <f>(F1325*I1325)</f>
        <v>7863.57</v>
      </c>
      <c r="N1325" s="116"/>
      <c r="Q1325" s="119"/>
      <c r="R1325" s="123" t="s">
        <v>52</v>
      </c>
      <c r="S1325" s="115"/>
      <c r="T1325" s="116"/>
      <c r="U1325" s="120"/>
      <c r="V1325" s="136">
        <f t="shared" si="168"/>
        <v>0</v>
      </c>
      <c r="X1325" s="123" t="s">
        <v>52</v>
      </c>
      <c r="AE1325" s="137">
        <f t="shared" si="164"/>
        <v>0</v>
      </c>
    </row>
    <row r="1326" spans="6:31" ht="24" customHeight="1">
      <c r="G1326" s="126" t="s">
        <v>145</v>
      </c>
      <c r="H1326" s="120" t="s">
        <v>146</v>
      </c>
      <c r="J1326" s="120" t="s">
        <v>145</v>
      </c>
      <c r="K1326" s="129">
        <v>0</v>
      </c>
      <c r="N1326" s="116"/>
      <c r="O1326" s="120" t="s">
        <v>460</v>
      </c>
      <c r="Q1326" s="119"/>
      <c r="R1326" s="127">
        <f>(R1324/10)</f>
        <v>239.05</v>
      </c>
      <c r="S1326" s="115">
        <f>R1326-157</f>
        <v>82.05</v>
      </c>
      <c r="T1326" s="116"/>
      <c r="U1326" s="121" t="s">
        <v>788</v>
      </c>
      <c r="X1326" s="129">
        <f>SUM(X1318:X1324)</f>
        <v>24821.86</v>
      </c>
      <c r="AE1326" s="137">
        <f t="shared" si="164"/>
        <v>0</v>
      </c>
    </row>
    <row r="1327" spans="6:31" ht="24" customHeight="1">
      <c r="K1327" s="123" t="s">
        <v>52</v>
      </c>
      <c r="M1327" s="120" t="s">
        <v>85</v>
      </c>
      <c r="N1327" s="116"/>
      <c r="Q1327" s="119"/>
      <c r="S1327" s="115"/>
      <c r="T1327" s="116"/>
      <c r="X1327" s="123" t="s">
        <v>52</v>
      </c>
      <c r="AE1327" s="137">
        <f t="shared" si="164"/>
        <v>0</v>
      </c>
    </row>
    <row r="1328" spans="6:31" ht="24" customHeight="1">
      <c r="H1328" s="120" t="s">
        <v>311</v>
      </c>
      <c r="K1328" s="129">
        <f>SUM(K1321:K1327)</f>
        <v>38351.589999999997</v>
      </c>
      <c r="N1328" s="116"/>
      <c r="Q1328" s="119"/>
      <c r="R1328" s="123" t="s">
        <v>89</v>
      </c>
      <c r="S1328" s="115"/>
      <c r="T1328" s="116"/>
      <c r="U1328" s="121" t="s">
        <v>792</v>
      </c>
      <c r="X1328" s="127">
        <f>X1326/10</f>
        <v>2482.19</v>
      </c>
      <c r="AE1328" s="137">
        <f t="shared" si="164"/>
        <v>0</v>
      </c>
    </row>
    <row r="1329" spans="6:31" ht="24" customHeight="1">
      <c r="K1329" s="123" t="s">
        <v>52</v>
      </c>
      <c r="N1329" s="116"/>
      <c r="Q1329" s="119"/>
      <c r="AE1329" s="137">
        <f t="shared" si="164"/>
        <v>0</v>
      </c>
    </row>
    <row r="1330" spans="6:31" ht="24" customHeight="1">
      <c r="H1330" s="128" t="s">
        <v>242</v>
      </c>
      <c r="K1330" s="127">
        <f>(K1328/10)</f>
        <v>3835.16</v>
      </c>
      <c r="M1330" s="189">
        <v>15.1</v>
      </c>
      <c r="N1330" s="126" t="s">
        <v>775</v>
      </c>
      <c r="O1330" s="120" t="s">
        <v>4333</v>
      </c>
      <c r="Q1330" s="119"/>
      <c r="T1330" s="122" t="s">
        <v>4338</v>
      </c>
      <c r="AE1330" s="137">
        <f t="shared" si="164"/>
        <v>0</v>
      </c>
    </row>
    <row r="1331" spans="6:31" ht="24" customHeight="1">
      <c r="K1331" s="123" t="s">
        <v>89</v>
      </c>
      <c r="N1331" s="116"/>
      <c r="O1331" s="120" t="s">
        <v>722</v>
      </c>
      <c r="Q1331" s="119"/>
      <c r="S1331" s="129">
        <v>10</v>
      </c>
      <c r="T1331" s="126" t="s">
        <v>425</v>
      </c>
      <c r="U1331" s="120" t="s">
        <v>4339</v>
      </c>
      <c r="V1331" s="136">
        <v>506</v>
      </c>
      <c r="W1331" s="121" t="s">
        <v>425</v>
      </c>
      <c r="X1331" s="129">
        <f>(S1331*V1331)</f>
        <v>5060</v>
      </c>
      <c r="Z1331" s="115">
        <v>9</v>
      </c>
      <c r="AA1331" s="115" t="s">
        <v>4340</v>
      </c>
      <c r="AB1331" s="115">
        <f>AC44</f>
        <v>1101.98</v>
      </c>
      <c r="AC1331" s="115">
        <f>AB1331*Z1331</f>
        <v>9917.82</v>
      </c>
      <c r="AE1331" s="137">
        <f t="shared" si="164"/>
        <v>0</v>
      </c>
    </row>
    <row r="1332" spans="6:31" ht="38.25" customHeight="1">
      <c r="M1332" s="129">
        <v>10</v>
      </c>
      <c r="N1332" s="126" t="s">
        <v>724</v>
      </c>
      <c r="O1332" s="301" t="s">
        <v>4341</v>
      </c>
      <c r="P1332" s="136">
        <v>1626</v>
      </c>
      <c r="Q1332" s="121" t="s">
        <v>724</v>
      </c>
      <c r="R1332" s="129">
        <f>(M1332*P1332)</f>
        <v>16260</v>
      </c>
      <c r="S1332" s="129">
        <v>0.21</v>
      </c>
      <c r="T1332" s="126" t="s">
        <v>132</v>
      </c>
      <c r="U1332" s="120" t="s">
        <v>1575</v>
      </c>
      <c r="V1332" s="129">
        <f>P1333</f>
        <v>4662.62</v>
      </c>
      <c r="W1332" s="121" t="s">
        <v>132</v>
      </c>
      <c r="X1332" s="129">
        <f>(S1332*V1332)</f>
        <v>979.15</v>
      </c>
      <c r="Z1332" s="115">
        <v>4.5</v>
      </c>
      <c r="AA1332" s="120" t="s">
        <v>1592</v>
      </c>
      <c r="AB1332" s="115">
        <f>K23</f>
        <v>6112.22</v>
      </c>
      <c r="AC1332" s="115">
        <f>AB1332*Z1332</f>
        <v>27504.99</v>
      </c>
      <c r="AE1332" s="137">
        <f t="shared" si="164"/>
        <v>0</v>
      </c>
    </row>
    <row r="1333" spans="6:31" ht="24" customHeight="1">
      <c r="G1333" s="126" t="s">
        <v>483</v>
      </c>
      <c r="H1333" s="120" t="s">
        <v>1606</v>
      </c>
      <c r="M1333" s="129">
        <v>0.12</v>
      </c>
      <c r="N1333" s="126" t="s">
        <v>132</v>
      </c>
      <c r="O1333" s="120" t="s">
        <v>782</v>
      </c>
      <c r="P1333" s="129">
        <f>K32</f>
        <v>4662.62</v>
      </c>
      <c r="Q1333" s="121" t="s">
        <v>132</v>
      </c>
      <c r="R1333" s="129">
        <f>(M1333*P1333)</f>
        <v>559.51</v>
      </c>
      <c r="S1333" s="115">
        <v>10</v>
      </c>
      <c r="T1333" s="116"/>
      <c r="U1333" s="120" t="s">
        <v>4342</v>
      </c>
      <c r="V1333" s="240">
        <f>K1344</f>
        <v>327.92</v>
      </c>
      <c r="X1333" s="129">
        <f>(S1333*V1333)</f>
        <v>3279.2</v>
      </c>
      <c r="Z1333" s="115">
        <v>1.8</v>
      </c>
      <c r="AA1333" s="120" t="s">
        <v>302</v>
      </c>
      <c r="AB1333" s="115">
        <f>V1335</f>
        <v>972.4</v>
      </c>
      <c r="AC1333" s="115">
        <f>AB1333*Z1333</f>
        <v>1750.32</v>
      </c>
      <c r="AE1333" s="137">
        <f t="shared" si="164"/>
        <v>0</v>
      </c>
    </row>
    <row r="1334" spans="6:31" ht="31.5" customHeight="1">
      <c r="H1334" s="120" t="s">
        <v>1607</v>
      </c>
      <c r="M1334" s="129">
        <v>1</v>
      </c>
      <c r="N1334" s="126" t="s">
        <v>727</v>
      </c>
      <c r="O1334" s="120" t="s">
        <v>728</v>
      </c>
      <c r="P1334" s="129">
        <f>I1305</f>
        <v>1041.7</v>
      </c>
      <c r="Q1334" s="121" t="s">
        <v>729</v>
      </c>
      <c r="R1334" s="129">
        <f>(M1334*P1334)</f>
        <v>1041.7</v>
      </c>
      <c r="S1334" s="129">
        <v>1.1000000000000001</v>
      </c>
      <c r="T1334" s="302" t="s">
        <v>237</v>
      </c>
      <c r="U1334" s="120" t="s">
        <v>345</v>
      </c>
      <c r="V1334" s="129">
        <f>AE9</f>
        <v>1041.7</v>
      </c>
      <c r="W1334" s="121" t="s">
        <v>237</v>
      </c>
      <c r="X1334" s="129">
        <f t="shared" ref="X1334:X1340" si="169">S1334*V1334</f>
        <v>1145.8699999999999</v>
      </c>
      <c r="Z1334" s="115">
        <v>17.7</v>
      </c>
      <c r="AA1334" s="120" t="s">
        <v>304</v>
      </c>
      <c r="AB1334" s="115">
        <f>V1336</f>
        <v>679.8</v>
      </c>
      <c r="AC1334" s="115">
        <f>AB1334*Z1334</f>
        <v>12032.46</v>
      </c>
      <c r="AE1334" s="137">
        <f t="shared" si="164"/>
        <v>0</v>
      </c>
    </row>
    <row r="1335" spans="6:31" ht="38.25" customHeight="1">
      <c r="H1335" s="123" t="s">
        <v>52</v>
      </c>
      <c r="L1335" s="115">
        <f>SUM(K1355:K1360)</f>
        <v>8641.9</v>
      </c>
      <c r="M1335" s="129">
        <v>1</v>
      </c>
      <c r="N1335" s="126" t="s">
        <v>727</v>
      </c>
      <c r="O1335" s="120" t="s">
        <v>731</v>
      </c>
      <c r="P1335" s="129">
        <f>I1306</f>
        <v>679.8</v>
      </c>
      <c r="Q1335" s="121" t="s">
        <v>729</v>
      </c>
      <c r="R1335" s="129">
        <f>(M1335*P1335)</f>
        <v>679.8</v>
      </c>
      <c r="S1335" s="129">
        <v>2.1</v>
      </c>
      <c r="T1335" s="302" t="s">
        <v>237</v>
      </c>
      <c r="U1335" s="120" t="s">
        <v>302</v>
      </c>
      <c r="V1335" s="129">
        <f>AE10</f>
        <v>972.4</v>
      </c>
      <c r="W1335" s="121" t="s">
        <v>237</v>
      </c>
      <c r="X1335" s="129">
        <f t="shared" si="169"/>
        <v>2042.04</v>
      </c>
      <c r="Z1335" s="115">
        <v>14.1</v>
      </c>
      <c r="AA1335" s="120" t="s">
        <v>306</v>
      </c>
      <c r="AB1335" s="115">
        <f>V1337</f>
        <v>557.70000000000005</v>
      </c>
      <c r="AC1335" s="115">
        <f>AB1335*Z1335</f>
        <v>7863.57</v>
      </c>
      <c r="AE1335" s="137">
        <f t="shared" si="164"/>
        <v>0</v>
      </c>
    </row>
    <row r="1336" spans="6:31" ht="24" customHeight="1">
      <c r="F1336" s="129">
        <v>0.04</v>
      </c>
      <c r="G1336" s="126" t="s">
        <v>132</v>
      </c>
      <c r="H1336" s="120" t="s">
        <v>1608</v>
      </c>
      <c r="I1336" s="129">
        <f>(K32)</f>
        <v>4662.62</v>
      </c>
      <c r="J1336" s="120" t="s">
        <v>132</v>
      </c>
      <c r="K1336" s="129">
        <f>(F1336*I1336)</f>
        <v>186.5</v>
      </c>
      <c r="N1336" s="126" t="s">
        <v>145</v>
      </c>
      <c r="O1336" s="120" t="s">
        <v>733</v>
      </c>
      <c r="Q1336" s="121" t="s">
        <v>145</v>
      </c>
      <c r="R1336" s="129">
        <v>0.33</v>
      </c>
      <c r="S1336" s="129">
        <v>2.2000000000000002</v>
      </c>
      <c r="T1336" s="302" t="s">
        <v>237</v>
      </c>
      <c r="U1336" s="120" t="s">
        <v>304</v>
      </c>
      <c r="V1336" s="129">
        <f>AE11</f>
        <v>679.8</v>
      </c>
      <c r="W1336" s="121" t="s">
        <v>237</v>
      </c>
      <c r="X1336" s="129">
        <f t="shared" si="169"/>
        <v>1495.56</v>
      </c>
      <c r="AC1336" s="115">
        <f>SUM(AC1331:AC1335)</f>
        <v>59069.16</v>
      </c>
      <c r="AE1336" s="137">
        <f t="shared" si="164"/>
        <v>0</v>
      </c>
    </row>
    <row r="1337" spans="6:31" ht="24" customHeight="1">
      <c r="F1337" s="129">
        <v>2.2000000000000002</v>
      </c>
      <c r="G1337" s="126" t="s">
        <v>237</v>
      </c>
      <c r="H1337" s="120" t="s">
        <v>302</v>
      </c>
      <c r="I1337" s="129">
        <f>(C11)</f>
        <v>972.4</v>
      </c>
      <c r="J1337" s="120" t="s">
        <v>237</v>
      </c>
      <c r="K1337" s="129">
        <f>(F1337*I1337)</f>
        <v>2139.2800000000002</v>
      </c>
      <c r="L1337" s="115">
        <f>SUM(K1355:K1360)</f>
        <v>8641.9</v>
      </c>
      <c r="N1337" s="116"/>
      <c r="O1337" s="120" t="s">
        <v>735</v>
      </c>
      <c r="Q1337" s="119"/>
      <c r="R1337" s="123" t="s">
        <v>52</v>
      </c>
      <c r="S1337" s="129">
        <v>1.1000000000000001</v>
      </c>
      <c r="T1337" s="302" t="s">
        <v>237</v>
      </c>
      <c r="U1337" s="120" t="s">
        <v>306</v>
      </c>
      <c r="V1337" s="129">
        <f>AE12</f>
        <v>557.70000000000005</v>
      </c>
      <c r="W1337" s="121" t="s">
        <v>237</v>
      </c>
      <c r="X1337" s="129">
        <f t="shared" si="169"/>
        <v>613.47</v>
      </c>
      <c r="AC1337" s="115">
        <f>AC1336/10</f>
        <v>5906.92</v>
      </c>
      <c r="AE1337" s="137">
        <f t="shared" si="164"/>
        <v>0</v>
      </c>
    </row>
    <row r="1338" spans="6:31" ht="24" customHeight="1">
      <c r="F1338" s="129">
        <v>0.5</v>
      </c>
      <c r="G1338" s="126" t="s">
        <v>237</v>
      </c>
      <c r="H1338" s="120" t="s">
        <v>304</v>
      </c>
      <c r="I1338" s="129">
        <f>(C12)</f>
        <v>679.8</v>
      </c>
      <c r="J1338" s="120" t="s">
        <v>237</v>
      </c>
      <c r="K1338" s="129">
        <f>(F1338*I1338)</f>
        <v>339.9</v>
      </c>
      <c r="N1338" s="116"/>
      <c r="O1338" s="121" t="s">
        <v>788</v>
      </c>
      <c r="Q1338" s="119"/>
      <c r="R1338" s="129">
        <f>SUM(R1332:R1336)</f>
        <v>18541.34</v>
      </c>
      <c r="S1338" s="142">
        <v>6.5</v>
      </c>
      <c r="T1338" s="302" t="s">
        <v>39</v>
      </c>
      <c r="U1338" s="120" t="s">
        <v>4343</v>
      </c>
      <c r="V1338" s="140">
        <v>17.18</v>
      </c>
      <c r="W1338" s="121" t="s">
        <v>122</v>
      </c>
      <c r="X1338" s="129">
        <f t="shared" si="169"/>
        <v>111.67</v>
      </c>
      <c r="AE1338" s="137">
        <f t="shared" si="164"/>
        <v>0</v>
      </c>
    </row>
    <row r="1339" spans="6:31" ht="24" customHeight="1">
      <c r="F1339" s="129">
        <v>1.1000000000000001</v>
      </c>
      <c r="G1339" s="126" t="s">
        <v>237</v>
      </c>
      <c r="H1339" s="120" t="s">
        <v>306</v>
      </c>
      <c r="I1339" s="129">
        <f>(C13)</f>
        <v>557.70000000000005</v>
      </c>
      <c r="J1339" s="120" t="s">
        <v>237</v>
      </c>
      <c r="K1339" s="129">
        <f>(F1339*I1339)</f>
        <v>613.47</v>
      </c>
      <c r="N1339" s="116"/>
      <c r="Q1339" s="119"/>
      <c r="R1339" s="123" t="s">
        <v>52</v>
      </c>
      <c r="S1339" s="142">
        <v>3</v>
      </c>
      <c r="T1339" s="302" t="s">
        <v>39</v>
      </c>
      <c r="U1339" s="120" t="s">
        <v>4344</v>
      </c>
      <c r="V1339" s="136">
        <f>C610</f>
        <v>27.25</v>
      </c>
      <c r="W1339" s="121" t="s">
        <v>39</v>
      </c>
      <c r="X1339" s="129">
        <f t="shared" si="169"/>
        <v>81.75</v>
      </c>
      <c r="AE1339" s="137">
        <f t="shared" si="164"/>
        <v>0</v>
      </c>
    </row>
    <row r="1340" spans="6:31" ht="24" customHeight="1">
      <c r="G1340" s="126" t="s">
        <v>145</v>
      </c>
      <c r="H1340" s="120" t="s">
        <v>146</v>
      </c>
      <c r="J1340" s="120" t="s">
        <v>145</v>
      </c>
      <c r="K1340" s="129">
        <v>0</v>
      </c>
      <c r="N1340" s="116"/>
      <c r="O1340" s="121" t="s">
        <v>792</v>
      </c>
      <c r="Q1340" s="119"/>
      <c r="R1340" s="127">
        <f>R1338/10</f>
        <v>1854.13</v>
      </c>
      <c r="S1340" s="129">
        <v>2.15</v>
      </c>
      <c r="T1340" s="302" t="s">
        <v>237</v>
      </c>
      <c r="U1340" s="120" t="s">
        <v>4345</v>
      </c>
      <c r="V1340" s="140">
        <v>45.8</v>
      </c>
      <c r="W1340" s="121" t="s">
        <v>237</v>
      </c>
      <c r="X1340" s="129">
        <f t="shared" si="169"/>
        <v>98.47</v>
      </c>
      <c r="AE1340" s="137">
        <f t="shared" si="164"/>
        <v>0</v>
      </c>
    </row>
    <row r="1341" spans="6:31" ht="24" customHeight="1">
      <c r="K1341" s="123" t="s">
        <v>52</v>
      </c>
      <c r="N1341" s="116"/>
      <c r="O1341" s="120" t="s">
        <v>53</v>
      </c>
      <c r="Q1341" s="119">
        <f>R1345+S1302</f>
        <v>1863.16</v>
      </c>
      <c r="R1341" s="129">
        <f>R1340+S1299</f>
        <v>1854.34</v>
      </c>
      <c r="S1341" s="129">
        <v>0.4</v>
      </c>
      <c r="T1341" s="302" t="s">
        <v>237</v>
      </c>
      <c r="U1341" s="120" t="s">
        <v>4346</v>
      </c>
      <c r="V1341" s="129">
        <f>AC1337</f>
        <v>5906.92</v>
      </c>
      <c r="W1341" s="121" t="s">
        <v>237</v>
      </c>
      <c r="X1341" s="129"/>
      <c r="AE1341" s="137">
        <f t="shared" si="164"/>
        <v>0</v>
      </c>
    </row>
    <row r="1342" spans="6:31" ht="24" customHeight="1">
      <c r="H1342" s="120" t="s">
        <v>495</v>
      </c>
      <c r="K1342" s="129">
        <f>SUM(K1336:K1340)</f>
        <v>3279.15</v>
      </c>
      <c r="N1342" s="116"/>
      <c r="O1342" s="120" t="s">
        <v>54</v>
      </c>
      <c r="Q1342" s="119">
        <f>Q1341+S1302</f>
        <v>1865.36</v>
      </c>
      <c r="R1342" s="129">
        <f>R1341+1.11</f>
        <v>1855.45</v>
      </c>
      <c r="S1342" s="129"/>
      <c r="T1342" s="302"/>
      <c r="U1342" s="120"/>
      <c r="V1342" s="129"/>
      <c r="W1342" s="121" t="s">
        <v>237</v>
      </c>
      <c r="X1342" s="129">
        <f>(S1342*V1342)</f>
        <v>0</v>
      </c>
      <c r="AE1342" s="137">
        <f t="shared" ref="AE1342:AE1405" si="170">AG1342</f>
        <v>0</v>
      </c>
    </row>
    <row r="1343" spans="6:31" ht="24" customHeight="1">
      <c r="K1343" s="123" t="s">
        <v>52</v>
      </c>
      <c r="N1343" s="116"/>
      <c r="O1343" s="120" t="s">
        <v>55</v>
      </c>
      <c r="Q1343" s="119"/>
      <c r="R1343" s="129">
        <f>R1342+1.11</f>
        <v>1856.56</v>
      </c>
      <c r="S1343" s="115"/>
      <c r="T1343" s="302" t="s">
        <v>145</v>
      </c>
      <c r="U1343" s="120" t="s">
        <v>146</v>
      </c>
      <c r="V1343" s="129"/>
      <c r="W1343" s="121" t="s">
        <v>145</v>
      </c>
      <c r="X1343" s="129">
        <v>0.8</v>
      </c>
      <c r="AE1343" s="137">
        <f t="shared" si="170"/>
        <v>0</v>
      </c>
    </row>
    <row r="1344" spans="6:31" ht="24" customHeight="1">
      <c r="H1344" s="128" t="s">
        <v>460</v>
      </c>
      <c r="K1344" s="127">
        <f>(K1342/10)</f>
        <v>327.92</v>
      </c>
      <c r="N1344" s="116"/>
      <c r="O1344" s="120" t="s">
        <v>56</v>
      </c>
      <c r="Q1344" s="119"/>
      <c r="R1344" s="129">
        <f>R1343+S1302</f>
        <v>1858.76</v>
      </c>
      <c r="S1344" s="115"/>
      <c r="T1344" s="303"/>
      <c r="X1344" s="123" t="s">
        <v>52</v>
      </c>
      <c r="AE1344" s="137">
        <f t="shared" si="170"/>
        <v>0</v>
      </c>
    </row>
    <row r="1345" spans="6:31" ht="24" customHeight="1">
      <c r="K1345" s="123" t="s">
        <v>89</v>
      </c>
      <c r="N1345" s="116"/>
      <c r="O1345" s="120" t="s">
        <v>747</v>
      </c>
      <c r="Q1345" s="119"/>
      <c r="R1345" s="129">
        <f>R1344+S1302</f>
        <v>1860.96</v>
      </c>
      <c r="S1345" s="115"/>
      <c r="T1345" s="303"/>
      <c r="U1345" s="120" t="s">
        <v>495</v>
      </c>
      <c r="X1345" s="129">
        <f>SUM(X1331:X1344)</f>
        <v>14907.98</v>
      </c>
      <c r="AE1345" s="137">
        <f t="shared" si="170"/>
        <v>0</v>
      </c>
    </row>
    <row r="1346" spans="6:31" ht="24" customHeight="1">
      <c r="N1346" s="116"/>
      <c r="Q1346" s="119"/>
      <c r="S1346" s="115"/>
      <c r="T1346" s="303"/>
      <c r="X1346" s="123" t="s">
        <v>52</v>
      </c>
      <c r="AE1346" s="137">
        <f t="shared" si="170"/>
        <v>0</v>
      </c>
    </row>
    <row r="1347" spans="6:31" ht="24" customHeight="1">
      <c r="F1347" s="167">
        <v>32.1</v>
      </c>
      <c r="G1347" s="126" t="s">
        <v>111</v>
      </c>
      <c r="H1347" s="120" t="s">
        <v>1609</v>
      </c>
      <c r="N1347" s="116"/>
      <c r="Q1347" s="117"/>
      <c r="S1347" s="115"/>
      <c r="T1347" s="303"/>
      <c r="U1347" s="120" t="s">
        <v>460</v>
      </c>
      <c r="X1347" s="127">
        <f>(X1345/10)</f>
        <v>1490.8</v>
      </c>
      <c r="Y1347" s="115">
        <f>0.8-0.77</f>
        <v>0.03</v>
      </c>
      <c r="AE1347" s="137">
        <f t="shared" si="170"/>
        <v>0</v>
      </c>
    </row>
    <row r="1348" spans="6:31" ht="24" customHeight="1">
      <c r="H1348" s="120" t="s">
        <v>1610</v>
      </c>
      <c r="N1348" s="116"/>
      <c r="Q1348" s="117"/>
      <c r="S1348" s="115"/>
      <c r="T1348" s="303"/>
      <c r="X1348" s="123" t="s">
        <v>89</v>
      </c>
      <c r="AE1348" s="137">
        <f t="shared" si="170"/>
        <v>0</v>
      </c>
    </row>
    <row r="1349" spans="6:31" ht="24" customHeight="1">
      <c r="H1349" s="120" t="s">
        <v>1611</v>
      </c>
      <c r="N1349" s="116"/>
      <c r="Q1349" s="117"/>
      <c r="AE1349" s="137">
        <f t="shared" si="170"/>
        <v>0</v>
      </c>
    </row>
    <row r="1350" spans="6:31" ht="24" customHeight="1">
      <c r="H1350" s="120" t="s">
        <v>4347</v>
      </c>
      <c r="N1350" s="116"/>
      <c r="Q1350" s="117"/>
      <c r="Y1350" s="201">
        <v>3.02</v>
      </c>
      <c r="Z1350" s="126" t="s">
        <v>476</v>
      </c>
      <c r="AA1350" s="120" t="s">
        <v>3124</v>
      </c>
      <c r="AB1350" s="129">
        <f t="shared" ref="AB1350:AB1361" si="171">V1352</f>
        <v>325</v>
      </c>
      <c r="AC1350" s="126" t="s">
        <v>476</v>
      </c>
      <c r="AD1350" s="129">
        <f t="shared" ref="AD1350:AD1361" si="172">AB1350*Y1350</f>
        <v>981.5</v>
      </c>
      <c r="AE1350" s="137">
        <f t="shared" si="170"/>
        <v>0</v>
      </c>
    </row>
    <row r="1351" spans="6:31" ht="24" customHeight="1">
      <c r="H1351" s="120" t="s">
        <v>1613</v>
      </c>
      <c r="N1351" s="116"/>
      <c r="O1351" s="115" t="s">
        <v>4348</v>
      </c>
      <c r="Q1351" s="119"/>
      <c r="T1351" s="116"/>
      <c r="U1351" s="274" t="s">
        <v>4349</v>
      </c>
      <c r="Y1351" s="201">
        <v>2.19</v>
      </c>
      <c r="Z1351" s="126" t="s">
        <v>476</v>
      </c>
      <c r="AA1351" s="120" t="s">
        <v>3124</v>
      </c>
      <c r="AB1351" s="129">
        <f t="shared" si="171"/>
        <v>325</v>
      </c>
      <c r="AC1351" s="126" t="s">
        <v>476</v>
      </c>
      <c r="AD1351" s="129">
        <f t="shared" si="172"/>
        <v>711.75</v>
      </c>
      <c r="AE1351" s="137">
        <f t="shared" si="170"/>
        <v>0</v>
      </c>
    </row>
    <row r="1352" spans="6:31" ht="24" customHeight="1">
      <c r="H1352" s="123" t="s">
        <v>52</v>
      </c>
      <c r="N1352" s="116"/>
      <c r="Q1352" s="119"/>
      <c r="S1352" s="142">
        <v>3.72</v>
      </c>
      <c r="T1352" s="126" t="s">
        <v>476</v>
      </c>
      <c r="U1352" s="120" t="s">
        <v>3124</v>
      </c>
      <c r="V1352" s="129">
        <f>P1391</f>
        <v>325</v>
      </c>
      <c r="W1352" s="121" t="s">
        <v>476</v>
      </c>
      <c r="X1352" s="129">
        <f>V1352*S1352</f>
        <v>1209</v>
      </c>
      <c r="Y1352" s="201">
        <v>4.96</v>
      </c>
      <c r="Z1352" s="126" t="s">
        <v>476</v>
      </c>
      <c r="AA1352" s="120" t="s">
        <v>3124</v>
      </c>
      <c r="AB1352" s="129">
        <f t="shared" si="171"/>
        <v>325</v>
      </c>
      <c r="AC1352" s="126" t="s">
        <v>476</v>
      </c>
      <c r="AD1352" s="129">
        <f t="shared" si="172"/>
        <v>1612</v>
      </c>
      <c r="AE1352" s="137">
        <f t="shared" si="170"/>
        <v>0</v>
      </c>
    </row>
    <row r="1353" spans="6:31" ht="24" customHeight="1">
      <c r="F1353" s="129">
        <v>190</v>
      </c>
      <c r="G1353" s="126" t="s">
        <v>1572</v>
      </c>
      <c r="H1353" s="120" t="s">
        <v>4350</v>
      </c>
      <c r="I1353" s="129">
        <f>(C83)</f>
        <v>16106</v>
      </c>
      <c r="J1353" s="120" t="s">
        <v>341</v>
      </c>
      <c r="K1353" s="129">
        <f>(F1353*I1353)/1000</f>
        <v>3060.14</v>
      </c>
      <c r="M1353" s="115">
        <v>70</v>
      </c>
      <c r="N1353" s="116" t="s">
        <v>13</v>
      </c>
      <c r="O1353" s="304" t="s">
        <v>4351</v>
      </c>
      <c r="P1353" s="162">
        <v>33</v>
      </c>
      <c r="Q1353" s="119" t="s">
        <v>13</v>
      </c>
      <c r="R1353" s="115">
        <f>P1353*M1353</f>
        <v>2310</v>
      </c>
      <c r="S1353" s="142">
        <v>3.87</v>
      </c>
      <c r="T1353" s="126" t="s">
        <v>476</v>
      </c>
      <c r="U1353" s="120" t="s">
        <v>3124</v>
      </c>
      <c r="V1353" s="129">
        <f t="shared" ref="V1353:V1363" si="173">P1392</f>
        <v>325</v>
      </c>
      <c r="W1353" s="121" t="s">
        <v>476</v>
      </c>
      <c r="X1353" s="129">
        <f t="shared" ref="X1353:X1363" si="174">V1353*S1353</f>
        <v>1257.75</v>
      </c>
      <c r="Y1353" s="201">
        <v>0.85</v>
      </c>
      <c r="Z1353" s="126" t="s">
        <v>476</v>
      </c>
      <c r="AA1353" s="120" t="s">
        <v>3124</v>
      </c>
      <c r="AB1353" s="129">
        <f t="shared" si="171"/>
        <v>325</v>
      </c>
      <c r="AC1353" s="126" t="s">
        <v>476</v>
      </c>
      <c r="AD1353" s="129">
        <f t="shared" si="172"/>
        <v>276.25</v>
      </c>
      <c r="AE1353" s="137">
        <f t="shared" si="170"/>
        <v>0</v>
      </c>
    </row>
    <row r="1354" spans="6:31" ht="24" customHeight="1">
      <c r="F1354" s="129">
        <v>0.12</v>
      </c>
      <c r="G1354" s="126" t="s">
        <v>132</v>
      </c>
      <c r="H1354" s="120" t="s">
        <v>1575</v>
      </c>
      <c r="I1354" s="129">
        <f>(K32)</f>
        <v>4662.62</v>
      </c>
      <c r="J1354" s="120" t="s">
        <v>132</v>
      </c>
      <c r="K1354" s="126">
        <f t="shared" ref="K1354:K1360" si="175">(F1354*I1354)</f>
        <v>559.51</v>
      </c>
      <c r="N1354" s="116"/>
      <c r="Q1354" s="119"/>
      <c r="S1354" s="142">
        <v>7.46</v>
      </c>
      <c r="T1354" s="126" t="s">
        <v>476</v>
      </c>
      <c r="U1354" s="120" t="s">
        <v>3124</v>
      </c>
      <c r="V1354" s="129">
        <f t="shared" si="173"/>
        <v>325</v>
      </c>
      <c r="W1354" s="121" t="s">
        <v>476</v>
      </c>
      <c r="X1354" s="129">
        <f t="shared" si="174"/>
        <v>2424.5</v>
      </c>
      <c r="Y1354" s="201">
        <v>0.73199999999999998</v>
      </c>
      <c r="Z1354" s="126" t="s">
        <v>468</v>
      </c>
      <c r="AA1354" s="120" t="s">
        <v>3154</v>
      </c>
      <c r="AB1354" s="129">
        <f t="shared" si="171"/>
        <v>306.89999999999998</v>
      </c>
      <c r="AC1354" s="126" t="s">
        <v>468</v>
      </c>
      <c r="AD1354" s="129">
        <f t="shared" si="172"/>
        <v>224.65</v>
      </c>
      <c r="AE1354" s="137">
        <f t="shared" si="170"/>
        <v>0</v>
      </c>
    </row>
    <row r="1355" spans="6:31" ht="24" customHeight="1">
      <c r="F1355" s="129">
        <v>10</v>
      </c>
      <c r="G1355" s="126" t="s">
        <v>425</v>
      </c>
      <c r="H1355" s="120" t="s">
        <v>1614</v>
      </c>
      <c r="I1355" s="129">
        <f>(K1344)</f>
        <v>327.92</v>
      </c>
      <c r="J1355" s="120" t="s">
        <v>425</v>
      </c>
      <c r="K1355" s="126">
        <f t="shared" si="175"/>
        <v>3279.2</v>
      </c>
      <c r="M1355" s="115">
        <v>0.3</v>
      </c>
      <c r="N1355" s="116" t="s">
        <v>5</v>
      </c>
      <c r="O1355" s="304" t="s">
        <v>4352</v>
      </c>
      <c r="P1355" s="162">
        <v>17600</v>
      </c>
      <c r="Q1355" s="119" t="s">
        <v>5</v>
      </c>
      <c r="R1355" s="115">
        <f>P1355*M1355</f>
        <v>5280</v>
      </c>
      <c r="S1355" s="142">
        <v>1.28</v>
      </c>
      <c r="T1355" s="126" t="s">
        <v>476</v>
      </c>
      <c r="U1355" s="120" t="s">
        <v>3124</v>
      </c>
      <c r="V1355" s="129">
        <f t="shared" si="173"/>
        <v>325</v>
      </c>
      <c r="W1355" s="121" t="s">
        <v>476</v>
      </c>
      <c r="X1355" s="129">
        <f t="shared" si="174"/>
        <v>416</v>
      </c>
      <c r="Y1355" s="201">
        <v>6.8719999999999999</v>
      </c>
      <c r="Z1355" s="126" t="s">
        <v>13</v>
      </c>
      <c r="AA1355" s="120" t="s">
        <v>3155</v>
      </c>
      <c r="AB1355" s="129">
        <f t="shared" si="171"/>
        <v>29.05</v>
      </c>
      <c r="AC1355" s="126" t="s">
        <v>13</v>
      </c>
      <c r="AD1355" s="129">
        <f t="shared" si="172"/>
        <v>199.63</v>
      </c>
      <c r="AE1355" s="137">
        <f t="shared" si="170"/>
        <v>0</v>
      </c>
    </row>
    <row r="1356" spans="6:31" ht="24" customHeight="1">
      <c r="F1356" s="142">
        <v>1.54</v>
      </c>
      <c r="G1356" s="126" t="s">
        <v>39</v>
      </c>
      <c r="H1356" s="120" t="s">
        <v>1615</v>
      </c>
      <c r="I1356" s="129">
        <f>C653</f>
        <v>42.7</v>
      </c>
      <c r="J1356" s="120" t="s">
        <v>39</v>
      </c>
      <c r="K1356" s="129">
        <f t="shared" si="175"/>
        <v>65.760000000000005</v>
      </c>
      <c r="N1356" s="116"/>
      <c r="Q1356" s="119"/>
      <c r="S1356" s="142">
        <v>1.107</v>
      </c>
      <c r="T1356" s="126" t="s">
        <v>468</v>
      </c>
      <c r="U1356" s="120" t="s">
        <v>3154</v>
      </c>
      <c r="V1356" s="129">
        <f t="shared" si="173"/>
        <v>306.89999999999998</v>
      </c>
      <c r="W1356" s="121" t="s">
        <v>468</v>
      </c>
      <c r="X1356" s="129">
        <f t="shared" si="174"/>
        <v>339.74</v>
      </c>
      <c r="Y1356" s="201">
        <v>8</v>
      </c>
      <c r="Z1356" s="126" t="s">
        <v>237</v>
      </c>
      <c r="AA1356" s="120" t="s">
        <v>4353</v>
      </c>
      <c r="AB1356" s="129">
        <f t="shared" si="171"/>
        <v>71.900000000000006</v>
      </c>
      <c r="AC1356" s="126" t="s">
        <v>237</v>
      </c>
      <c r="AD1356" s="129">
        <f t="shared" si="172"/>
        <v>575.20000000000005</v>
      </c>
      <c r="AE1356" s="137">
        <f t="shared" si="170"/>
        <v>0</v>
      </c>
    </row>
    <row r="1357" spans="6:31" ht="24" customHeight="1">
      <c r="F1357" s="129">
        <v>1.1000000000000001</v>
      </c>
      <c r="G1357" s="126" t="s">
        <v>237</v>
      </c>
      <c r="H1357" s="120" t="s">
        <v>345</v>
      </c>
      <c r="I1357" s="129">
        <f>(C10)</f>
        <v>1041.7</v>
      </c>
      <c r="J1357" s="120" t="s">
        <v>237</v>
      </c>
      <c r="K1357" s="129">
        <f t="shared" si="175"/>
        <v>1145.8699999999999</v>
      </c>
      <c r="N1357" s="116"/>
      <c r="O1357" s="115" t="s">
        <v>4354</v>
      </c>
      <c r="Q1357" s="119"/>
      <c r="R1357" s="115">
        <f>SUM(R1353:R1355)</f>
        <v>7590</v>
      </c>
      <c r="S1357" s="142">
        <v>10.343999999999999</v>
      </c>
      <c r="T1357" s="126" t="s">
        <v>13</v>
      </c>
      <c r="U1357" s="120" t="s">
        <v>3155</v>
      </c>
      <c r="V1357" s="129">
        <f t="shared" si="173"/>
        <v>29.05</v>
      </c>
      <c r="W1357" s="121" t="s">
        <v>13</v>
      </c>
      <c r="X1357" s="129">
        <f t="shared" si="174"/>
        <v>300.49</v>
      </c>
      <c r="Y1357" s="201">
        <v>4</v>
      </c>
      <c r="Z1357" s="126" t="s">
        <v>237</v>
      </c>
      <c r="AA1357" s="120" t="s">
        <v>4355</v>
      </c>
      <c r="AB1357" s="129">
        <f t="shared" si="171"/>
        <v>57.65</v>
      </c>
      <c r="AC1357" s="126" t="s">
        <v>237</v>
      </c>
      <c r="AD1357" s="129">
        <f t="shared" si="172"/>
        <v>230.6</v>
      </c>
      <c r="AE1357" s="137">
        <f t="shared" si="170"/>
        <v>0</v>
      </c>
    </row>
    <row r="1358" spans="6:31" ht="24" customHeight="1">
      <c r="F1358" s="129">
        <v>2.1</v>
      </c>
      <c r="G1358" s="126" t="s">
        <v>237</v>
      </c>
      <c r="H1358" s="120" t="s">
        <v>302</v>
      </c>
      <c r="I1358" s="129">
        <f>(C11)</f>
        <v>972.4</v>
      </c>
      <c r="J1358" s="120" t="s">
        <v>237</v>
      </c>
      <c r="K1358" s="129">
        <f t="shared" si="175"/>
        <v>2042.04</v>
      </c>
      <c r="N1358" s="116"/>
      <c r="O1358" s="305" t="s">
        <v>4356</v>
      </c>
      <c r="Q1358" s="119"/>
      <c r="R1358" s="114">
        <f>R1357/10</f>
        <v>759</v>
      </c>
      <c r="S1358" s="142">
        <v>12</v>
      </c>
      <c r="T1358" s="126" t="s">
        <v>237</v>
      </c>
      <c r="U1358" s="120" t="s">
        <v>4357</v>
      </c>
      <c r="V1358" s="129">
        <f t="shared" si="173"/>
        <v>71.900000000000006</v>
      </c>
      <c r="W1358" s="121" t="s">
        <v>237</v>
      </c>
      <c r="X1358" s="129">
        <f t="shared" si="174"/>
        <v>862.8</v>
      </c>
      <c r="Y1358" s="201">
        <v>4</v>
      </c>
      <c r="Z1358" s="126" t="s">
        <v>237</v>
      </c>
      <c r="AA1358" s="120" t="s">
        <v>4358</v>
      </c>
      <c r="AB1358" s="129">
        <f t="shared" si="171"/>
        <v>30</v>
      </c>
      <c r="AC1358" s="126" t="s">
        <v>237</v>
      </c>
      <c r="AD1358" s="129">
        <f t="shared" si="172"/>
        <v>120</v>
      </c>
      <c r="AE1358" s="137">
        <f t="shared" si="170"/>
        <v>0</v>
      </c>
    </row>
    <row r="1359" spans="6:31" ht="24" customHeight="1">
      <c r="F1359" s="129">
        <v>2.2000000000000002</v>
      </c>
      <c r="G1359" s="126" t="s">
        <v>237</v>
      </c>
      <c r="H1359" s="120" t="s">
        <v>304</v>
      </c>
      <c r="I1359" s="129">
        <f>(C12)</f>
        <v>679.8</v>
      </c>
      <c r="J1359" s="120" t="s">
        <v>237</v>
      </c>
      <c r="K1359" s="129">
        <f t="shared" si="175"/>
        <v>1495.56</v>
      </c>
      <c r="N1359" s="116"/>
      <c r="Q1359" s="119"/>
      <c r="S1359" s="142">
        <v>6</v>
      </c>
      <c r="T1359" s="126" t="s">
        <v>237</v>
      </c>
      <c r="U1359" s="120" t="s">
        <v>4355</v>
      </c>
      <c r="V1359" s="129">
        <f t="shared" si="173"/>
        <v>57.65</v>
      </c>
      <c r="W1359" s="121" t="s">
        <v>237</v>
      </c>
      <c r="X1359" s="129">
        <f t="shared" si="174"/>
        <v>345.9</v>
      </c>
      <c r="Y1359" s="201">
        <v>4</v>
      </c>
      <c r="Z1359" s="126" t="s">
        <v>237</v>
      </c>
      <c r="AA1359" s="120" t="s">
        <v>4359</v>
      </c>
      <c r="AB1359" s="129">
        <f t="shared" si="171"/>
        <v>20</v>
      </c>
      <c r="AC1359" s="126" t="s">
        <v>237</v>
      </c>
      <c r="AD1359" s="129">
        <f t="shared" si="172"/>
        <v>80</v>
      </c>
      <c r="AE1359" s="137">
        <f t="shared" si="170"/>
        <v>0</v>
      </c>
    </row>
    <row r="1360" spans="6:31" ht="24" customHeight="1">
      <c r="F1360" s="129">
        <v>1.1000000000000001</v>
      </c>
      <c r="G1360" s="126" t="s">
        <v>237</v>
      </c>
      <c r="H1360" s="120" t="s">
        <v>306</v>
      </c>
      <c r="I1360" s="129">
        <f>(C13)</f>
        <v>557.70000000000005</v>
      </c>
      <c r="J1360" s="120" t="s">
        <v>237</v>
      </c>
      <c r="K1360" s="129">
        <f t="shared" si="175"/>
        <v>613.47</v>
      </c>
      <c r="M1360" s="115">
        <v>2</v>
      </c>
      <c r="N1360" s="116" t="s">
        <v>41</v>
      </c>
      <c r="O1360" s="115" t="s">
        <v>2199</v>
      </c>
      <c r="P1360" s="115">
        <f>C12</f>
        <v>679.8</v>
      </c>
      <c r="Q1360" s="119" t="s">
        <v>2847</v>
      </c>
      <c r="R1360" s="115">
        <f>P1360*M1360</f>
        <v>1359.6</v>
      </c>
      <c r="S1360" s="142">
        <v>6</v>
      </c>
      <c r="T1360" s="126" t="s">
        <v>237</v>
      </c>
      <c r="U1360" s="120" t="s">
        <v>4358</v>
      </c>
      <c r="V1360" s="129">
        <f t="shared" si="173"/>
        <v>30</v>
      </c>
      <c r="W1360" s="121" t="s">
        <v>237</v>
      </c>
      <c r="X1360" s="129">
        <f t="shared" si="174"/>
        <v>180</v>
      </c>
      <c r="Y1360" s="201">
        <v>4</v>
      </c>
      <c r="Z1360" s="126" t="s">
        <v>237</v>
      </c>
      <c r="AA1360" s="120" t="s">
        <v>3219</v>
      </c>
      <c r="AB1360" s="129">
        <f t="shared" si="171"/>
        <v>15</v>
      </c>
      <c r="AC1360" s="126" t="s">
        <v>237</v>
      </c>
      <c r="AD1360" s="129">
        <f t="shared" si="172"/>
        <v>60</v>
      </c>
      <c r="AE1360" s="137">
        <f t="shared" si="170"/>
        <v>0</v>
      </c>
    </row>
    <row r="1361" spans="6:31" ht="24" customHeight="1">
      <c r="G1361" s="126" t="s">
        <v>145</v>
      </c>
      <c r="H1361" s="120" t="s">
        <v>146</v>
      </c>
      <c r="J1361" s="120" t="s">
        <v>145</v>
      </c>
      <c r="K1361" s="129">
        <v>0</v>
      </c>
      <c r="N1361" s="116"/>
      <c r="Q1361" s="119"/>
      <c r="S1361" s="142">
        <v>6</v>
      </c>
      <c r="T1361" s="126" t="s">
        <v>237</v>
      </c>
      <c r="U1361" s="120" t="s">
        <v>4359</v>
      </c>
      <c r="V1361" s="129">
        <f t="shared" si="173"/>
        <v>20</v>
      </c>
      <c r="W1361" s="121" t="s">
        <v>237</v>
      </c>
      <c r="X1361" s="129">
        <f t="shared" si="174"/>
        <v>120</v>
      </c>
      <c r="Y1361" s="201">
        <v>0.94499999999999995</v>
      </c>
      <c r="Z1361" s="126" t="s">
        <v>724</v>
      </c>
      <c r="AA1361" s="120" t="s">
        <v>3158</v>
      </c>
      <c r="AB1361" s="129">
        <f t="shared" si="171"/>
        <v>2085.6</v>
      </c>
      <c r="AC1361" s="126" t="s">
        <v>724</v>
      </c>
      <c r="AD1361" s="129">
        <f t="shared" si="172"/>
        <v>1970.89</v>
      </c>
      <c r="AE1361" s="137">
        <f t="shared" si="170"/>
        <v>0</v>
      </c>
    </row>
    <row r="1362" spans="6:31" ht="24" customHeight="1">
      <c r="K1362" s="123" t="s">
        <v>52</v>
      </c>
      <c r="N1362" s="116"/>
      <c r="O1362" s="115" t="s">
        <v>4360</v>
      </c>
      <c r="P1362" s="115" t="s">
        <v>49</v>
      </c>
      <c r="Q1362" s="119"/>
      <c r="R1362" s="115">
        <v>11.5</v>
      </c>
      <c r="S1362" s="142">
        <v>4</v>
      </c>
      <c r="T1362" s="126" t="s">
        <v>237</v>
      </c>
      <c r="U1362" s="120" t="s">
        <v>3219</v>
      </c>
      <c r="V1362" s="129">
        <f t="shared" si="173"/>
        <v>15</v>
      </c>
      <c r="W1362" s="121" t="s">
        <v>237</v>
      </c>
      <c r="X1362" s="129">
        <f t="shared" si="174"/>
        <v>60</v>
      </c>
      <c r="Z1362" s="116"/>
      <c r="AA1362" s="120" t="s">
        <v>3159</v>
      </c>
      <c r="AC1362" s="119"/>
      <c r="AD1362" s="129">
        <v>0.81</v>
      </c>
      <c r="AE1362" s="137">
        <f t="shared" si="170"/>
        <v>0</v>
      </c>
    </row>
    <row r="1363" spans="6:31" ht="24" customHeight="1">
      <c r="H1363" s="120" t="s">
        <v>495</v>
      </c>
      <c r="K1363" s="129">
        <f>SUM(K1353:K1361)</f>
        <v>12261.55</v>
      </c>
      <c r="N1363" s="116"/>
      <c r="O1363" s="305" t="s">
        <v>4361</v>
      </c>
      <c r="Q1363" s="119"/>
      <c r="R1363" s="115">
        <f>SUM(R1358:R1362)</f>
        <v>2130.1</v>
      </c>
      <c r="S1363" s="142">
        <v>1.4179999999999999</v>
      </c>
      <c r="T1363" s="126" t="s">
        <v>724</v>
      </c>
      <c r="U1363" s="120" t="s">
        <v>3158</v>
      </c>
      <c r="V1363" s="129">
        <f t="shared" si="173"/>
        <v>2085.6</v>
      </c>
      <c r="W1363" s="121" t="s">
        <v>724</v>
      </c>
      <c r="X1363" s="129">
        <f t="shared" si="174"/>
        <v>2957.38</v>
      </c>
      <c r="AA1363" s="125" t="s">
        <v>3220</v>
      </c>
      <c r="AD1363" s="127">
        <f>SUM(AD1350:AD1362)</f>
        <v>7043.28</v>
      </c>
      <c r="AE1363" s="137">
        <f t="shared" si="170"/>
        <v>0</v>
      </c>
    </row>
    <row r="1364" spans="6:31" ht="24" customHeight="1">
      <c r="K1364" s="123" t="s">
        <v>52</v>
      </c>
      <c r="N1364" s="116"/>
      <c r="Q1364" s="119"/>
      <c r="T1364" s="116"/>
      <c r="U1364" s="120" t="s">
        <v>3159</v>
      </c>
      <c r="X1364" s="129"/>
      <c r="AE1364" s="137">
        <f t="shared" si="170"/>
        <v>0</v>
      </c>
    </row>
    <row r="1365" spans="6:31" ht="24" customHeight="1">
      <c r="H1365" s="128" t="s">
        <v>460</v>
      </c>
      <c r="K1365" s="127">
        <f>(K1363/10)</f>
        <v>1226.1600000000001</v>
      </c>
      <c r="N1365" s="116"/>
      <c r="O1365" s="305" t="s">
        <v>4362</v>
      </c>
      <c r="Q1365" s="119"/>
      <c r="R1365" s="114">
        <f>R1363/6</f>
        <v>355.02</v>
      </c>
      <c r="U1365" s="125" t="s">
        <v>3220</v>
      </c>
      <c r="X1365" s="127">
        <f>SUM(X1352:X1364)</f>
        <v>10473.56</v>
      </c>
      <c r="AE1365" s="137">
        <f t="shared" si="170"/>
        <v>0</v>
      </c>
    </row>
    <row r="1366" spans="6:31" ht="24" customHeight="1">
      <c r="K1366" s="123" t="s">
        <v>89</v>
      </c>
      <c r="N1366" s="116"/>
      <c r="Q1366" s="119"/>
      <c r="Z1366" s="116"/>
      <c r="AA1366" s="274" t="s">
        <v>4363</v>
      </c>
      <c r="AC1366" s="117"/>
      <c r="AE1366" s="137">
        <f t="shared" si="170"/>
        <v>0</v>
      </c>
    </row>
    <row r="1367" spans="6:31" ht="24" customHeight="1">
      <c r="K1367" s="123"/>
      <c r="N1367" s="116"/>
      <c r="Q1367" s="117"/>
      <c r="Y1367" s="201">
        <v>3.72</v>
      </c>
      <c r="Z1367" s="126" t="s">
        <v>476</v>
      </c>
      <c r="AA1367" s="120" t="s">
        <v>3124</v>
      </c>
      <c r="AB1367" s="129">
        <f>AB1350</f>
        <v>325</v>
      </c>
      <c r="AC1367" s="126" t="s">
        <v>476</v>
      </c>
      <c r="AD1367" s="129">
        <f t="shared" ref="AD1367:AD1378" si="176">AB1367*Y1367</f>
        <v>1209</v>
      </c>
      <c r="AE1367" s="137">
        <f t="shared" si="170"/>
        <v>0</v>
      </c>
    </row>
    <row r="1368" spans="6:31" ht="24" customHeight="1">
      <c r="K1368" s="123"/>
      <c r="M1368" s="167">
        <v>29.5</v>
      </c>
      <c r="N1368" s="126" t="s">
        <v>111</v>
      </c>
      <c r="O1368" s="120" t="s">
        <v>4364</v>
      </c>
      <c r="Q1368" s="119"/>
      <c r="T1368" s="116"/>
      <c r="U1368" s="274" t="s">
        <v>4365</v>
      </c>
      <c r="Y1368" s="201">
        <v>2.69</v>
      </c>
      <c r="Z1368" s="126" t="s">
        <v>476</v>
      </c>
      <c r="AA1368" s="120" t="s">
        <v>3124</v>
      </c>
      <c r="AB1368" s="129">
        <f t="shared" ref="AB1368:AB1378" si="177">AB1351</f>
        <v>325</v>
      </c>
      <c r="AC1368" s="126" t="s">
        <v>476</v>
      </c>
      <c r="AD1368" s="129">
        <f t="shared" si="176"/>
        <v>874.25</v>
      </c>
      <c r="AE1368" s="137">
        <f t="shared" si="170"/>
        <v>0</v>
      </c>
    </row>
    <row r="1369" spans="6:31" ht="24" customHeight="1">
      <c r="F1369" s="167">
        <v>32.200000000000003</v>
      </c>
      <c r="G1369" s="126" t="s">
        <v>111</v>
      </c>
      <c r="H1369" s="120" t="s">
        <v>1609</v>
      </c>
      <c r="K1369" s="123"/>
      <c r="N1369" s="116"/>
      <c r="O1369" s="120" t="s">
        <v>1584</v>
      </c>
      <c r="Q1369" s="119"/>
      <c r="S1369" s="142">
        <v>3.49</v>
      </c>
      <c r="T1369" s="126" t="s">
        <v>476</v>
      </c>
      <c r="U1369" s="120" t="s">
        <v>3124</v>
      </c>
      <c r="V1369" s="129">
        <f>P1408</f>
        <v>325</v>
      </c>
      <c r="W1369" s="121" t="s">
        <v>476</v>
      </c>
      <c r="X1369" s="129">
        <f>V1369*S1369</f>
        <v>1134.25</v>
      </c>
      <c r="Y1369" s="201">
        <v>6.15</v>
      </c>
      <c r="Z1369" s="126" t="s">
        <v>476</v>
      </c>
      <c r="AA1369" s="120" t="s">
        <v>3124</v>
      </c>
      <c r="AB1369" s="129">
        <f t="shared" si="177"/>
        <v>325</v>
      </c>
      <c r="AC1369" s="126" t="s">
        <v>476</v>
      </c>
      <c r="AD1369" s="129">
        <f t="shared" si="176"/>
        <v>1998.75</v>
      </c>
      <c r="AE1369" s="137">
        <f t="shared" si="170"/>
        <v>0</v>
      </c>
    </row>
    <row r="1370" spans="6:31" ht="24" customHeight="1">
      <c r="H1370" s="120" t="s">
        <v>1610</v>
      </c>
      <c r="K1370" s="123"/>
      <c r="N1370" s="116"/>
      <c r="O1370" s="120" t="s">
        <v>1585</v>
      </c>
      <c r="Q1370" s="119"/>
      <c r="S1370" s="142">
        <v>2.5299999999999998</v>
      </c>
      <c r="T1370" s="126" t="s">
        <v>476</v>
      </c>
      <c r="U1370" s="120" t="s">
        <v>3124</v>
      </c>
      <c r="V1370" s="129">
        <f t="shared" ref="V1370:V1380" si="178">P1409</f>
        <v>325</v>
      </c>
      <c r="W1370" s="121" t="s">
        <v>476</v>
      </c>
      <c r="X1370" s="129">
        <f t="shared" ref="X1370:X1380" si="179">V1370*S1370</f>
        <v>822.25</v>
      </c>
      <c r="Y1370" s="201">
        <v>1.07</v>
      </c>
      <c r="Z1370" s="126" t="s">
        <v>476</v>
      </c>
      <c r="AA1370" s="120" t="s">
        <v>3124</v>
      </c>
      <c r="AB1370" s="129">
        <f t="shared" si="177"/>
        <v>325</v>
      </c>
      <c r="AC1370" s="126" t="s">
        <v>476</v>
      </c>
      <c r="AD1370" s="129">
        <f t="shared" si="176"/>
        <v>347.75</v>
      </c>
      <c r="AE1370" s="137">
        <f t="shared" si="170"/>
        <v>0</v>
      </c>
    </row>
    <row r="1371" spans="6:31" ht="24" customHeight="1">
      <c r="H1371" s="120" t="s">
        <v>1611</v>
      </c>
      <c r="K1371" s="123"/>
      <c r="N1371" s="116"/>
      <c r="O1371" s="123" t="s">
        <v>52</v>
      </c>
      <c r="P1371" s="123" t="s">
        <v>52</v>
      </c>
      <c r="Q1371" s="119"/>
      <c r="R1371" s="129"/>
      <c r="S1371" s="142">
        <v>5.75</v>
      </c>
      <c r="T1371" s="126" t="s">
        <v>476</v>
      </c>
      <c r="U1371" s="120" t="s">
        <v>3124</v>
      </c>
      <c r="V1371" s="129">
        <f t="shared" si="178"/>
        <v>325</v>
      </c>
      <c r="W1371" s="121" t="s">
        <v>476</v>
      </c>
      <c r="X1371" s="129">
        <f t="shared" si="179"/>
        <v>1868.75</v>
      </c>
      <c r="Y1371" s="201">
        <v>1.153</v>
      </c>
      <c r="Z1371" s="126" t="s">
        <v>468</v>
      </c>
      <c r="AA1371" s="120" t="s">
        <v>3154</v>
      </c>
      <c r="AB1371" s="129">
        <f t="shared" si="177"/>
        <v>306.89999999999998</v>
      </c>
      <c r="AC1371" s="126" t="s">
        <v>468</v>
      </c>
      <c r="AD1371" s="129">
        <f t="shared" si="176"/>
        <v>353.86</v>
      </c>
      <c r="AE1371" s="137">
        <f t="shared" si="170"/>
        <v>0</v>
      </c>
    </row>
    <row r="1372" spans="6:31" ht="24" customHeight="1">
      <c r="H1372" s="120" t="s">
        <v>4347</v>
      </c>
      <c r="K1372" s="123"/>
      <c r="M1372" s="129">
        <v>10</v>
      </c>
      <c r="N1372" s="126" t="s">
        <v>425</v>
      </c>
      <c r="O1372" s="120" t="s">
        <v>4366</v>
      </c>
      <c r="P1372" s="240">
        <f>P1332</f>
        <v>1626</v>
      </c>
      <c r="Q1372" s="121" t="s">
        <v>425</v>
      </c>
      <c r="R1372" s="129">
        <f>M1372*P1372</f>
        <v>16260</v>
      </c>
      <c r="S1372" s="142">
        <v>1</v>
      </c>
      <c r="T1372" s="126" t="s">
        <v>476</v>
      </c>
      <c r="U1372" s="120" t="s">
        <v>3124</v>
      </c>
      <c r="V1372" s="129">
        <f t="shared" si="178"/>
        <v>325</v>
      </c>
      <c r="W1372" s="121" t="s">
        <v>476</v>
      </c>
      <c r="X1372" s="129">
        <f t="shared" si="179"/>
        <v>325</v>
      </c>
      <c r="Y1372" s="201">
        <v>8.6720000000000006</v>
      </c>
      <c r="Z1372" s="126" t="s">
        <v>13</v>
      </c>
      <c r="AA1372" s="120" t="s">
        <v>3155</v>
      </c>
      <c r="AB1372" s="129">
        <f t="shared" si="177"/>
        <v>29.05</v>
      </c>
      <c r="AC1372" s="126" t="s">
        <v>13</v>
      </c>
      <c r="AD1372" s="129">
        <f t="shared" si="176"/>
        <v>251.92</v>
      </c>
      <c r="AE1372" s="137">
        <f t="shared" si="170"/>
        <v>0</v>
      </c>
    </row>
    <row r="1373" spans="6:31" ht="24" customHeight="1">
      <c r="H1373" s="120" t="s">
        <v>1613</v>
      </c>
      <c r="K1373" s="123"/>
      <c r="M1373" s="129">
        <v>0.21</v>
      </c>
      <c r="N1373" s="126" t="s">
        <v>132</v>
      </c>
      <c r="O1373" s="120" t="s">
        <v>1575</v>
      </c>
      <c r="P1373" s="129">
        <f>P1333</f>
        <v>4662.62</v>
      </c>
      <c r="Q1373" s="121" t="s">
        <v>132</v>
      </c>
      <c r="R1373" s="129">
        <f>(M1373*P1373)</f>
        <v>979.15</v>
      </c>
      <c r="S1373" s="142">
        <v>0.96699999999999997</v>
      </c>
      <c r="T1373" s="126" t="s">
        <v>468</v>
      </c>
      <c r="U1373" s="120" t="s">
        <v>3154</v>
      </c>
      <c r="V1373" s="129">
        <f t="shared" si="178"/>
        <v>306.89999999999998</v>
      </c>
      <c r="W1373" s="121" t="s">
        <v>468</v>
      </c>
      <c r="X1373" s="129">
        <f t="shared" si="179"/>
        <v>296.77</v>
      </c>
      <c r="Y1373" s="201">
        <v>8</v>
      </c>
      <c r="Z1373" s="126" t="s">
        <v>237</v>
      </c>
      <c r="AA1373" s="120" t="s">
        <v>4353</v>
      </c>
      <c r="AB1373" s="129">
        <f t="shared" si="177"/>
        <v>71.900000000000006</v>
      </c>
      <c r="AC1373" s="126" t="s">
        <v>237</v>
      </c>
      <c r="AD1373" s="129">
        <f t="shared" si="176"/>
        <v>575.20000000000005</v>
      </c>
      <c r="AE1373" s="137">
        <f t="shared" si="170"/>
        <v>0</v>
      </c>
    </row>
    <row r="1374" spans="6:31" ht="24" customHeight="1">
      <c r="H1374" s="123" t="s">
        <v>52</v>
      </c>
      <c r="K1374" s="123"/>
      <c r="N1374" s="116"/>
      <c r="O1374" s="120" t="s">
        <v>1576</v>
      </c>
      <c r="P1374" s="120" t="s">
        <v>85</v>
      </c>
      <c r="Q1374" s="119"/>
      <c r="R1374" s="120" t="s">
        <v>85</v>
      </c>
      <c r="S1374" s="142">
        <v>8.0719999999999992</v>
      </c>
      <c r="T1374" s="126" t="s">
        <v>13</v>
      </c>
      <c r="U1374" s="120" t="s">
        <v>3155</v>
      </c>
      <c r="V1374" s="129">
        <f t="shared" si="178"/>
        <v>29.05</v>
      </c>
      <c r="W1374" s="121" t="s">
        <v>13</v>
      </c>
      <c r="X1374" s="129">
        <f t="shared" si="179"/>
        <v>234.49</v>
      </c>
      <c r="Y1374" s="201">
        <v>4</v>
      </c>
      <c r="Z1374" s="126" t="s">
        <v>237</v>
      </c>
      <c r="AA1374" s="120" t="s">
        <v>4355</v>
      </c>
      <c r="AB1374" s="129">
        <f t="shared" si="177"/>
        <v>57.65</v>
      </c>
      <c r="AC1374" s="126" t="s">
        <v>237</v>
      </c>
      <c r="AD1374" s="129">
        <f t="shared" si="176"/>
        <v>230.6</v>
      </c>
      <c r="AE1374" s="137">
        <f t="shared" si="170"/>
        <v>0</v>
      </c>
    </row>
    <row r="1375" spans="6:31" ht="24" customHeight="1">
      <c r="F1375" s="129">
        <v>190</v>
      </c>
      <c r="G1375" s="126" t="s">
        <v>1572</v>
      </c>
      <c r="H1375" s="120" t="s">
        <v>1616</v>
      </c>
      <c r="I1375" s="115">
        <f>C83</f>
        <v>16106</v>
      </c>
      <c r="J1375" s="120" t="s">
        <v>341</v>
      </c>
      <c r="K1375" s="129">
        <f>(F1375*I1375)/1000</f>
        <v>3060.14</v>
      </c>
      <c r="M1375" s="129">
        <v>1.1000000000000001</v>
      </c>
      <c r="N1375" s="126" t="s">
        <v>237</v>
      </c>
      <c r="O1375" s="120" t="s">
        <v>345</v>
      </c>
      <c r="P1375" s="129">
        <f>AE9</f>
        <v>1041.7</v>
      </c>
      <c r="Q1375" s="121" t="s">
        <v>237</v>
      </c>
      <c r="R1375" s="129">
        <f>(M1375*P1375)</f>
        <v>1145.8699999999999</v>
      </c>
      <c r="S1375" s="142">
        <v>8</v>
      </c>
      <c r="T1375" s="126" t="s">
        <v>237</v>
      </c>
      <c r="U1375" s="120" t="s">
        <v>4353</v>
      </c>
      <c r="V1375" s="129">
        <f t="shared" si="178"/>
        <v>71.900000000000006</v>
      </c>
      <c r="W1375" s="121" t="s">
        <v>237</v>
      </c>
      <c r="X1375" s="129">
        <f t="shared" si="179"/>
        <v>575.20000000000005</v>
      </c>
      <c r="Y1375" s="201">
        <v>4</v>
      </c>
      <c r="Z1375" s="126" t="s">
        <v>237</v>
      </c>
      <c r="AA1375" s="120" t="s">
        <v>4358</v>
      </c>
      <c r="AB1375" s="129">
        <f t="shared" si="177"/>
        <v>30</v>
      </c>
      <c r="AC1375" s="126" t="s">
        <v>237</v>
      </c>
      <c r="AD1375" s="129">
        <f t="shared" si="176"/>
        <v>120</v>
      </c>
      <c r="AE1375" s="137">
        <f t="shared" si="170"/>
        <v>0</v>
      </c>
    </row>
    <row r="1376" spans="6:31" ht="24" customHeight="1">
      <c r="F1376" s="129">
        <v>0.12</v>
      </c>
      <c r="G1376" s="126" t="s">
        <v>132</v>
      </c>
      <c r="H1376" s="120" t="s">
        <v>1575</v>
      </c>
      <c r="I1376" s="115">
        <f>K32</f>
        <v>4662.62</v>
      </c>
      <c r="J1376" s="120" t="s">
        <v>132</v>
      </c>
      <c r="K1376" s="129">
        <f t="shared" ref="K1376:K1382" si="180">(F1376*I1376)</f>
        <v>559.51</v>
      </c>
      <c r="M1376" s="129">
        <v>1.1000000000000001</v>
      </c>
      <c r="N1376" s="126" t="s">
        <v>237</v>
      </c>
      <c r="O1376" s="120" t="s">
        <v>302</v>
      </c>
      <c r="P1376" s="129">
        <f>AE10</f>
        <v>972.4</v>
      </c>
      <c r="Q1376" s="121" t="s">
        <v>237</v>
      </c>
      <c r="R1376" s="129">
        <f>(M1376*P1376)</f>
        <v>1069.6400000000001</v>
      </c>
      <c r="S1376" s="142">
        <v>4</v>
      </c>
      <c r="T1376" s="126" t="s">
        <v>237</v>
      </c>
      <c r="U1376" s="120" t="s">
        <v>4355</v>
      </c>
      <c r="V1376" s="129">
        <f t="shared" si="178"/>
        <v>57.65</v>
      </c>
      <c r="W1376" s="121" t="s">
        <v>237</v>
      </c>
      <c r="X1376" s="129">
        <f t="shared" si="179"/>
        <v>230.6</v>
      </c>
      <c r="Y1376" s="201">
        <v>4</v>
      </c>
      <c r="Z1376" s="126" t="s">
        <v>237</v>
      </c>
      <c r="AA1376" s="120" t="s">
        <v>4359</v>
      </c>
      <c r="AB1376" s="129">
        <f t="shared" si="177"/>
        <v>20</v>
      </c>
      <c r="AC1376" s="126" t="s">
        <v>237</v>
      </c>
      <c r="AD1376" s="129">
        <f t="shared" si="176"/>
        <v>80</v>
      </c>
      <c r="AE1376" s="137">
        <f t="shared" si="170"/>
        <v>0</v>
      </c>
    </row>
    <row r="1377" spans="6:31" ht="24" customHeight="1">
      <c r="F1377" s="129">
        <v>10</v>
      </c>
      <c r="G1377" s="126" t="s">
        <v>425</v>
      </c>
      <c r="H1377" s="120" t="s">
        <v>1614</v>
      </c>
      <c r="I1377" s="115">
        <f>K1344</f>
        <v>327.92</v>
      </c>
      <c r="J1377" s="120" t="s">
        <v>425</v>
      </c>
      <c r="K1377" s="129">
        <f t="shared" si="180"/>
        <v>3279.2</v>
      </c>
      <c r="M1377" s="129">
        <v>2.2000000000000002</v>
      </c>
      <c r="N1377" s="126" t="s">
        <v>237</v>
      </c>
      <c r="O1377" s="120" t="s">
        <v>304</v>
      </c>
      <c r="P1377" s="129">
        <f>AE11</f>
        <v>679.8</v>
      </c>
      <c r="Q1377" s="121" t="s">
        <v>237</v>
      </c>
      <c r="R1377" s="129">
        <f>(M1377*P1377)</f>
        <v>1495.56</v>
      </c>
      <c r="S1377" s="142">
        <v>4</v>
      </c>
      <c r="T1377" s="126" t="s">
        <v>237</v>
      </c>
      <c r="U1377" s="120" t="s">
        <v>4358</v>
      </c>
      <c r="V1377" s="129">
        <f t="shared" si="178"/>
        <v>30</v>
      </c>
      <c r="W1377" s="121" t="s">
        <v>237</v>
      </c>
      <c r="X1377" s="129">
        <f t="shared" si="179"/>
        <v>120</v>
      </c>
      <c r="Y1377" s="201">
        <v>4</v>
      </c>
      <c r="Z1377" s="126" t="s">
        <v>237</v>
      </c>
      <c r="AA1377" s="120" t="s">
        <v>3219</v>
      </c>
      <c r="AB1377" s="129">
        <f t="shared" si="177"/>
        <v>15</v>
      </c>
      <c r="AC1377" s="126" t="s">
        <v>237</v>
      </c>
      <c r="AD1377" s="129">
        <f t="shared" si="176"/>
        <v>60</v>
      </c>
      <c r="AE1377" s="137">
        <f t="shared" si="170"/>
        <v>0</v>
      </c>
    </row>
    <row r="1378" spans="6:31" ht="24" customHeight="1">
      <c r="F1378" s="129">
        <v>5.8</v>
      </c>
      <c r="G1378" s="126" t="s">
        <v>39</v>
      </c>
      <c r="H1378" s="120" t="s">
        <v>1615</v>
      </c>
      <c r="I1378" s="115">
        <f>C653</f>
        <v>42.7</v>
      </c>
      <c r="J1378" s="120" t="s">
        <v>39</v>
      </c>
      <c r="K1378" s="129">
        <f t="shared" si="180"/>
        <v>247.66</v>
      </c>
      <c r="M1378" s="129">
        <v>2.2000000000000002</v>
      </c>
      <c r="N1378" s="126" t="s">
        <v>237</v>
      </c>
      <c r="O1378" s="120" t="s">
        <v>306</v>
      </c>
      <c r="P1378" s="129">
        <f>AE12</f>
        <v>557.70000000000005</v>
      </c>
      <c r="Q1378" s="121" t="s">
        <v>237</v>
      </c>
      <c r="R1378" s="129">
        <f>(M1378*P1378)</f>
        <v>1226.94</v>
      </c>
      <c r="S1378" s="142">
        <v>4</v>
      </c>
      <c r="T1378" s="126" t="s">
        <v>237</v>
      </c>
      <c r="U1378" s="120" t="s">
        <v>4359</v>
      </c>
      <c r="V1378" s="129">
        <f t="shared" si="178"/>
        <v>20</v>
      </c>
      <c r="W1378" s="121" t="s">
        <v>237</v>
      </c>
      <c r="X1378" s="129">
        <f t="shared" si="179"/>
        <v>80</v>
      </c>
      <c r="Y1378" s="201">
        <v>1.42</v>
      </c>
      <c r="Z1378" s="126" t="s">
        <v>724</v>
      </c>
      <c r="AA1378" s="120" t="s">
        <v>3158</v>
      </c>
      <c r="AB1378" s="129">
        <f t="shared" si="177"/>
        <v>2085.6</v>
      </c>
      <c r="AC1378" s="126" t="s">
        <v>724</v>
      </c>
      <c r="AD1378" s="129">
        <f t="shared" si="176"/>
        <v>2961.55</v>
      </c>
      <c r="AE1378" s="137">
        <f t="shared" si="170"/>
        <v>0</v>
      </c>
    </row>
    <row r="1379" spans="6:31" ht="24" customHeight="1">
      <c r="F1379" s="129">
        <v>1.1000000000000001</v>
      </c>
      <c r="G1379" s="126" t="s">
        <v>237</v>
      </c>
      <c r="H1379" s="120" t="s">
        <v>345</v>
      </c>
      <c r="I1379" s="115">
        <f>C10</f>
        <v>1041.7</v>
      </c>
      <c r="J1379" s="120" t="s">
        <v>237</v>
      </c>
      <c r="K1379" s="129">
        <f t="shared" si="180"/>
        <v>1145.8699999999999</v>
      </c>
      <c r="M1379" s="142">
        <v>20</v>
      </c>
      <c r="N1379" s="126" t="s">
        <v>39</v>
      </c>
      <c r="O1379" s="120" t="s">
        <v>123</v>
      </c>
      <c r="P1379" s="129">
        <f>AC31</f>
        <v>6040</v>
      </c>
      <c r="Q1379" s="121" t="s">
        <v>122</v>
      </c>
      <c r="R1379" s="129">
        <f>(M1379*P1379)/1000</f>
        <v>120.8</v>
      </c>
      <c r="S1379" s="142">
        <v>4</v>
      </c>
      <c r="T1379" s="126" t="s">
        <v>237</v>
      </c>
      <c r="U1379" s="120" t="s">
        <v>3219</v>
      </c>
      <c r="V1379" s="129">
        <f t="shared" si="178"/>
        <v>15</v>
      </c>
      <c r="W1379" s="121" t="s">
        <v>237</v>
      </c>
      <c r="X1379" s="129">
        <f t="shared" si="179"/>
        <v>60</v>
      </c>
      <c r="Z1379" s="116"/>
      <c r="AA1379" s="120" t="s">
        <v>3159</v>
      </c>
      <c r="AC1379" s="119"/>
      <c r="AD1379" s="129">
        <v>0.85</v>
      </c>
      <c r="AE1379" s="137">
        <f t="shared" si="170"/>
        <v>0</v>
      </c>
    </row>
    <row r="1380" spans="6:31" ht="24" customHeight="1">
      <c r="F1380" s="129">
        <v>2.1</v>
      </c>
      <c r="G1380" s="126" t="s">
        <v>237</v>
      </c>
      <c r="H1380" s="120" t="s">
        <v>302</v>
      </c>
      <c r="I1380" s="115">
        <f>C11</f>
        <v>972.4</v>
      </c>
      <c r="J1380" s="120" t="s">
        <v>237</v>
      </c>
      <c r="K1380" s="129">
        <f t="shared" si="180"/>
        <v>2042.04</v>
      </c>
      <c r="M1380" s="142">
        <v>2</v>
      </c>
      <c r="N1380" s="126" t="s">
        <v>39</v>
      </c>
      <c r="O1380" s="120" t="s">
        <v>4296</v>
      </c>
      <c r="P1380" s="135">
        <f>P1264</f>
        <v>36.1</v>
      </c>
      <c r="Q1380" s="121" t="s">
        <v>39</v>
      </c>
      <c r="R1380" s="129">
        <f>(M1380*P1380)</f>
        <v>72.2</v>
      </c>
      <c r="S1380" s="142">
        <v>1.2150000000000001</v>
      </c>
      <c r="T1380" s="126" t="s">
        <v>724</v>
      </c>
      <c r="U1380" s="120" t="s">
        <v>3158</v>
      </c>
      <c r="V1380" s="129">
        <f t="shared" si="178"/>
        <v>2085.6</v>
      </c>
      <c r="W1380" s="121" t="s">
        <v>724</v>
      </c>
      <c r="X1380" s="129">
        <f t="shared" si="179"/>
        <v>2534</v>
      </c>
      <c r="AA1380" s="125" t="s">
        <v>3220</v>
      </c>
      <c r="AD1380" s="127">
        <f>SUM(AD1367:AD1379)</f>
        <v>9063.73</v>
      </c>
      <c r="AE1380" s="137">
        <f t="shared" si="170"/>
        <v>0</v>
      </c>
    </row>
    <row r="1381" spans="6:31" ht="24" customHeight="1">
      <c r="F1381" s="129">
        <v>2.2000000000000002</v>
      </c>
      <c r="G1381" s="126" t="s">
        <v>237</v>
      </c>
      <c r="H1381" s="120" t="s">
        <v>304</v>
      </c>
      <c r="I1381" s="115">
        <f>C12</f>
        <v>679.8</v>
      </c>
      <c r="J1381" s="120" t="s">
        <v>237</v>
      </c>
      <c r="K1381" s="129">
        <f t="shared" si="180"/>
        <v>1495.56</v>
      </c>
      <c r="M1381" s="129">
        <v>1.6</v>
      </c>
      <c r="N1381" s="126" t="s">
        <v>237</v>
      </c>
      <c r="O1381" s="120" t="s">
        <v>302</v>
      </c>
      <c r="P1381" s="129">
        <f>P1265</f>
        <v>972.4</v>
      </c>
      <c r="Q1381" s="121" t="s">
        <v>237</v>
      </c>
      <c r="R1381" s="129">
        <f>(M1381*P1381)</f>
        <v>1555.84</v>
      </c>
      <c r="T1381" s="116"/>
      <c r="U1381" s="120" t="s">
        <v>3159</v>
      </c>
      <c r="X1381" s="129">
        <v>0.23</v>
      </c>
      <c r="AE1381" s="137">
        <f t="shared" si="170"/>
        <v>0</v>
      </c>
    </row>
    <row r="1382" spans="6:31" ht="24" customHeight="1">
      <c r="F1382" s="129">
        <v>1.1000000000000001</v>
      </c>
      <c r="G1382" s="126" t="s">
        <v>237</v>
      </c>
      <c r="H1382" s="120" t="s">
        <v>306</v>
      </c>
      <c r="I1382" s="115">
        <f>C13</f>
        <v>557.70000000000005</v>
      </c>
      <c r="J1382" s="120" t="s">
        <v>237</v>
      </c>
      <c r="K1382" s="129">
        <f t="shared" si="180"/>
        <v>613.47</v>
      </c>
      <c r="M1382" s="129">
        <v>0.5</v>
      </c>
      <c r="N1382" s="126" t="s">
        <v>237</v>
      </c>
      <c r="O1382" s="120" t="s">
        <v>304</v>
      </c>
      <c r="P1382" s="129">
        <f>P1266</f>
        <v>679.8</v>
      </c>
      <c r="Q1382" s="121" t="s">
        <v>237</v>
      </c>
      <c r="R1382" s="129">
        <f>(M1382*P1382)</f>
        <v>339.9</v>
      </c>
      <c r="U1382" s="125" t="s">
        <v>3220</v>
      </c>
      <c r="X1382" s="127">
        <f>SUM(X1369:X1381)</f>
        <v>8281.5400000000009</v>
      </c>
      <c r="AE1382" s="137">
        <f t="shared" si="170"/>
        <v>0</v>
      </c>
    </row>
    <row r="1383" spans="6:31" ht="24" customHeight="1">
      <c r="G1383" s="126" t="s">
        <v>145</v>
      </c>
      <c r="H1383" s="120" t="s">
        <v>146</v>
      </c>
      <c r="J1383" s="120" t="s">
        <v>145</v>
      </c>
      <c r="K1383" s="129">
        <v>0</v>
      </c>
      <c r="M1383" s="129">
        <v>1.1000000000000001</v>
      </c>
      <c r="N1383" s="126" t="s">
        <v>237</v>
      </c>
      <c r="O1383" s="120" t="s">
        <v>306</v>
      </c>
      <c r="P1383" s="129">
        <f>P1267</f>
        <v>557.70000000000005</v>
      </c>
      <c r="Q1383" s="121" t="s">
        <v>237</v>
      </c>
      <c r="R1383" s="129">
        <f>(M1383*P1383)</f>
        <v>613.47</v>
      </c>
      <c r="Z1383" s="116"/>
      <c r="AA1383" s="274" t="s">
        <v>4367</v>
      </c>
      <c r="AC1383" s="117"/>
      <c r="AE1383" s="137">
        <f t="shared" si="170"/>
        <v>0</v>
      </c>
    </row>
    <row r="1384" spans="6:31" ht="24" customHeight="1">
      <c r="K1384" s="123" t="s">
        <v>52</v>
      </c>
      <c r="N1384" s="126" t="s">
        <v>145</v>
      </c>
      <c r="O1384" s="120" t="s">
        <v>146</v>
      </c>
      <c r="P1384" s="129"/>
      <c r="Q1384" s="121" t="s">
        <v>145</v>
      </c>
      <c r="R1384" s="129">
        <v>0.28000000000000003</v>
      </c>
      <c r="Y1384" s="201">
        <v>2.87</v>
      </c>
      <c r="Z1384" s="126" t="s">
        <v>476</v>
      </c>
      <c r="AA1384" s="120" t="s">
        <v>3124</v>
      </c>
      <c r="AB1384" s="129">
        <f>AB1367</f>
        <v>325</v>
      </c>
      <c r="AC1384" s="126" t="s">
        <v>476</v>
      </c>
      <c r="AD1384" s="129">
        <f t="shared" ref="AD1384:AD1395" si="181">AB1384*Y1384</f>
        <v>932.75</v>
      </c>
      <c r="AE1384" s="137">
        <f t="shared" si="170"/>
        <v>0</v>
      </c>
    </row>
    <row r="1385" spans="6:31" ht="24" customHeight="1">
      <c r="H1385" s="120" t="s">
        <v>495</v>
      </c>
      <c r="K1385" s="129">
        <f>SUM(K1375:K1383)</f>
        <v>12443.45</v>
      </c>
      <c r="N1385" s="116"/>
      <c r="Q1385" s="119"/>
      <c r="R1385" s="123" t="s">
        <v>52</v>
      </c>
      <c r="T1385" s="116"/>
      <c r="U1385" s="274" t="s">
        <v>4368</v>
      </c>
      <c r="Y1385" s="201">
        <v>0.56000000000000005</v>
      </c>
      <c r="Z1385" s="126" t="s">
        <v>476</v>
      </c>
      <c r="AA1385" s="120" t="s">
        <v>3124</v>
      </c>
      <c r="AB1385" s="129">
        <f t="shared" ref="AB1385:AB1395" si="182">AB1368</f>
        <v>325</v>
      </c>
      <c r="AC1385" s="126" t="s">
        <v>476</v>
      </c>
      <c r="AD1385" s="129">
        <f t="shared" si="181"/>
        <v>182</v>
      </c>
      <c r="AE1385" s="137">
        <f t="shared" si="170"/>
        <v>0</v>
      </c>
    </row>
    <row r="1386" spans="6:31" ht="24" customHeight="1">
      <c r="K1386" s="123" t="s">
        <v>52</v>
      </c>
      <c r="N1386" s="116"/>
      <c r="O1386" s="120" t="s">
        <v>495</v>
      </c>
      <c r="Q1386" s="119"/>
      <c r="R1386" s="129">
        <f>SUM(R1372:R1384)</f>
        <v>24879.65</v>
      </c>
      <c r="S1386" s="142">
        <v>4.88</v>
      </c>
      <c r="T1386" s="126" t="s">
        <v>476</v>
      </c>
      <c r="U1386" s="120" t="s">
        <v>3124</v>
      </c>
      <c r="V1386" s="129">
        <f>V1369</f>
        <v>325</v>
      </c>
      <c r="W1386" s="121" t="s">
        <v>476</v>
      </c>
      <c r="X1386" s="129">
        <f>V1386*S1386</f>
        <v>1586</v>
      </c>
      <c r="Y1386" s="201">
        <v>2.98</v>
      </c>
      <c r="Z1386" s="126" t="s">
        <v>476</v>
      </c>
      <c r="AA1386" s="120" t="s">
        <v>3124</v>
      </c>
      <c r="AB1386" s="129">
        <f t="shared" si="182"/>
        <v>325</v>
      </c>
      <c r="AC1386" s="126" t="s">
        <v>476</v>
      </c>
      <c r="AD1386" s="129">
        <f t="shared" si="181"/>
        <v>968.5</v>
      </c>
      <c r="AE1386" s="137">
        <f t="shared" si="170"/>
        <v>0</v>
      </c>
    </row>
    <row r="1387" spans="6:31" ht="24" customHeight="1">
      <c r="H1387" s="128" t="s">
        <v>460</v>
      </c>
      <c r="K1387" s="127">
        <f>(K1385/10)</f>
        <v>1244.3499999999999</v>
      </c>
      <c r="N1387" s="116"/>
      <c r="Q1387" s="119"/>
      <c r="R1387" s="123" t="s">
        <v>52</v>
      </c>
      <c r="S1387" s="142">
        <v>6.57</v>
      </c>
      <c r="T1387" s="126" t="s">
        <v>476</v>
      </c>
      <c r="U1387" s="120" t="s">
        <v>3124</v>
      </c>
      <c r="V1387" s="129">
        <f t="shared" ref="V1387:V1397" si="183">V1370</f>
        <v>325</v>
      </c>
      <c r="W1387" s="121" t="s">
        <v>476</v>
      </c>
      <c r="X1387" s="129">
        <f t="shared" ref="X1387:X1397" si="184">V1387*S1387</f>
        <v>2135.25</v>
      </c>
      <c r="Y1387" s="201">
        <v>0.52</v>
      </c>
      <c r="Z1387" s="126" t="s">
        <v>476</v>
      </c>
      <c r="AA1387" s="120" t="s">
        <v>3124</v>
      </c>
      <c r="AB1387" s="129">
        <f t="shared" si="182"/>
        <v>325</v>
      </c>
      <c r="AC1387" s="126" t="s">
        <v>476</v>
      </c>
      <c r="AD1387" s="129">
        <f t="shared" si="181"/>
        <v>169</v>
      </c>
      <c r="AE1387" s="137">
        <f t="shared" si="170"/>
        <v>0</v>
      </c>
    </row>
    <row r="1388" spans="6:31" ht="24" customHeight="1">
      <c r="K1388" s="123" t="s">
        <v>89</v>
      </c>
      <c r="N1388" s="116"/>
      <c r="O1388" s="120" t="s">
        <v>460</v>
      </c>
      <c r="Q1388" s="119"/>
      <c r="R1388" s="129">
        <f>(R1386/10)</f>
        <v>2487.9699999999998</v>
      </c>
      <c r="S1388" s="142">
        <v>11.56</v>
      </c>
      <c r="T1388" s="126" t="s">
        <v>476</v>
      </c>
      <c r="U1388" s="120" t="s">
        <v>3124</v>
      </c>
      <c r="V1388" s="129">
        <f t="shared" si="183"/>
        <v>325</v>
      </c>
      <c r="W1388" s="121" t="s">
        <v>476</v>
      </c>
      <c r="X1388" s="129">
        <f t="shared" si="184"/>
        <v>3757</v>
      </c>
      <c r="Y1388" s="201">
        <v>0.53300000000000003</v>
      </c>
      <c r="Z1388" s="126" t="s">
        <v>468</v>
      </c>
      <c r="AA1388" s="120" t="s">
        <v>3154</v>
      </c>
      <c r="AB1388" s="129">
        <f t="shared" si="182"/>
        <v>306.89999999999998</v>
      </c>
      <c r="AC1388" s="126" t="s">
        <v>468</v>
      </c>
      <c r="AD1388" s="129">
        <f t="shared" si="181"/>
        <v>163.58000000000001</v>
      </c>
      <c r="AE1388" s="137">
        <f t="shared" si="170"/>
        <v>0</v>
      </c>
    </row>
    <row r="1389" spans="6:31" ht="24" customHeight="1">
      <c r="K1389" s="123"/>
      <c r="N1389" s="116"/>
      <c r="Q1389" s="119"/>
      <c r="R1389" s="123" t="s">
        <v>89</v>
      </c>
      <c r="S1389" s="142">
        <v>2.0099999999999998</v>
      </c>
      <c r="T1389" s="126" t="s">
        <v>476</v>
      </c>
      <c r="U1389" s="120" t="s">
        <v>3124</v>
      </c>
      <c r="V1389" s="129">
        <f t="shared" si="183"/>
        <v>325</v>
      </c>
      <c r="W1389" s="121" t="s">
        <v>476</v>
      </c>
      <c r="X1389" s="129">
        <f t="shared" si="184"/>
        <v>653.25</v>
      </c>
      <c r="Y1389" s="201">
        <v>4.1959999999999997</v>
      </c>
      <c r="Z1389" s="126" t="s">
        <v>13</v>
      </c>
      <c r="AA1389" s="120" t="s">
        <v>3155</v>
      </c>
      <c r="AB1389" s="129">
        <f t="shared" si="182"/>
        <v>29.05</v>
      </c>
      <c r="AC1389" s="126" t="s">
        <v>13</v>
      </c>
      <c r="AD1389" s="129">
        <f t="shared" si="181"/>
        <v>121.89</v>
      </c>
      <c r="AE1389" s="137">
        <f t="shared" si="170"/>
        <v>0</v>
      </c>
    </row>
    <row r="1390" spans="6:31" ht="24" customHeight="1">
      <c r="F1390" s="121" t="s">
        <v>1617</v>
      </c>
      <c r="G1390" s="126" t="s">
        <v>111</v>
      </c>
      <c r="H1390" s="120" t="s">
        <v>1618</v>
      </c>
      <c r="N1390" s="116"/>
      <c r="O1390" s="274" t="s">
        <v>4369</v>
      </c>
      <c r="Q1390" s="117"/>
      <c r="S1390" s="142">
        <v>1.96</v>
      </c>
      <c r="T1390" s="126" t="s">
        <v>468</v>
      </c>
      <c r="U1390" s="120" t="s">
        <v>3154</v>
      </c>
      <c r="V1390" s="129">
        <f t="shared" si="183"/>
        <v>306.89999999999998</v>
      </c>
      <c r="W1390" s="121" t="s">
        <v>468</v>
      </c>
      <c r="X1390" s="129">
        <f t="shared" si="184"/>
        <v>601.52</v>
      </c>
      <c r="Y1390" s="201">
        <v>4</v>
      </c>
      <c r="Z1390" s="126" t="s">
        <v>237</v>
      </c>
      <c r="AA1390" s="120" t="s">
        <v>4353</v>
      </c>
      <c r="AB1390" s="129">
        <f t="shared" si="182"/>
        <v>71.900000000000006</v>
      </c>
      <c r="AC1390" s="126" t="s">
        <v>237</v>
      </c>
      <c r="AD1390" s="129">
        <f t="shared" si="181"/>
        <v>287.60000000000002</v>
      </c>
      <c r="AE1390" s="137">
        <f t="shared" si="170"/>
        <v>0</v>
      </c>
    </row>
    <row r="1391" spans="6:31" ht="24" customHeight="1">
      <c r="H1391" s="123" t="s">
        <v>52</v>
      </c>
      <c r="M1391" s="201">
        <v>4.1849999999999996</v>
      </c>
      <c r="N1391" s="126" t="s">
        <v>476</v>
      </c>
      <c r="O1391" s="191" t="s">
        <v>4370</v>
      </c>
      <c r="P1391" s="136">
        <v>325</v>
      </c>
      <c r="Q1391" s="126" t="s">
        <v>476</v>
      </c>
      <c r="R1391" s="129">
        <f>P1391*M1391</f>
        <v>1360.13</v>
      </c>
      <c r="S1391" s="142">
        <v>16.224</v>
      </c>
      <c r="T1391" s="126" t="s">
        <v>13</v>
      </c>
      <c r="U1391" s="120" t="s">
        <v>3155</v>
      </c>
      <c r="V1391" s="129">
        <f t="shared" si="183"/>
        <v>29.05</v>
      </c>
      <c r="W1391" s="121" t="s">
        <v>13</v>
      </c>
      <c r="X1391" s="129">
        <f t="shared" si="184"/>
        <v>471.31</v>
      </c>
      <c r="Y1391" s="201">
        <v>2</v>
      </c>
      <c r="Z1391" s="126" t="s">
        <v>237</v>
      </c>
      <c r="AA1391" s="120" t="s">
        <v>4355</v>
      </c>
      <c r="AB1391" s="129">
        <f t="shared" si="182"/>
        <v>57.65</v>
      </c>
      <c r="AC1391" s="126" t="s">
        <v>237</v>
      </c>
      <c r="AD1391" s="129">
        <f t="shared" si="181"/>
        <v>115.3</v>
      </c>
      <c r="AE1391" s="137">
        <f t="shared" si="170"/>
        <v>0</v>
      </c>
    </row>
    <row r="1392" spans="6:31" ht="24" customHeight="1">
      <c r="F1392" s="129">
        <v>0.14000000000000001</v>
      </c>
      <c r="G1392" s="126" t="s">
        <v>132</v>
      </c>
      <c r="H1392" s="120" t="s">
        <v>283</v>
      </c>
      <c r="I1392" s="129">
        <f>(K49)</f>
        <v>3502.94</v>
      </c>
      <c r="J1392" s="120" t="s">
        <v>132</v>
      </c>
      <c r="K1392" s="129">
        <f>(F1392*I1392)</f>
        <v>490.41</v>
      </c>
      <c r="M1392" s="201">
        <v>4.55</v>
      </c>
      <c r="N1392" s="126" t="s">
        <v>476</v>
      </c>
      <c r="O1392" s="120" t="s">
        <v>3124</v>
      </c>
      <c r="P1392" s="129">
        <f>P1391</f>
        <v>325</v>
      </c>
      <c r="Q1392" s="126" t="s">
        <v>476</v>
      </c>
      <c r="R1392" s="129">
        <f t="shared" ref="R1392:R1402" si="185">P1392*M1392</f>
        <v>1478.75</v>
      </c>
      <c r="S1392" s="142">
        <v>16</v>
      </c>
      <c r="T1392" s="126" t="s">
        <v>237</v>
      </c>
      <c r="U1392" s="120" t="s">
        <v>4353</v>
      </c>
      <c r="V1392" s="129">
        <f t="shared" si="183"/>
        <v>71.900000000000006</v>
      </c>
      <c r="W1392" s="121" t="s">
        <v>237</v>
      </c>
      <c r="X1392" s="129">
        <f t="shared" si="184"/>
        <v>1150.4000000000001</v>
      </c>
      <c r="Y1392" s="201">
        <v>2</v>
      </c>
      <c r="Z1392" s="126" t="s">
        <v>237</v>
      </c>
      <c r="AA1392" s="120" t="s">
        <v>4358</v>
      </c>
      <c r="AB1392" s="129">
        <f t="shared" si="182"/>
        <v>30</v>
      </c>
      <c r="AC1392" s="126" t="s">
        <v>237</v>
      </c>
      <c r="AD1392" s="129">
        <f t="shared" si="181"/>
        <v>60</v>
      </c>
      <c r="AE1392" s="137">
        <f t="shared" si="170"/>
        <v>0</v>
      </c>
    </row>
    <row r="1393" spans="6:31" ht="24" customHeight="1">
      <c r="F1393" s="129">
        <v>1.1000000000000001</v>
      </c>
      <c r="G1393" s="126" t="s">
        <v>131</v>
      </c>
      <c r="H1393" s="120" t="s">
        <v>345</v>
      </c>
      <c r="I1393" s="129">
        <f>(C10)</f>
        <v>1041.7</v>
      </c>
      <c r="J1393" s="120" t="s">
        <v>131</v>
      </c>
      <c r="K1393" s="129">
        <f>(F1393*I1393)</f>
        <v>1145.8699999999999</v>
      </c>
      <c r="M1393" s="201">
        <v>8.66</v>
      </c>
      <c r="N1393" s="126" t="s">
        <v>476</v>
      </c>
      <c r="O1393" s="120" t="s">
        <v>3124</v>
      </c>
      <c r="P1393" s="129">
        <f>P1391</f>
        <v>325</v>
      </c>
      <c r="Q1393" s="126" t="s">
        <v>476</v>
      </c>
      <c r="R1393" s="129">
        <f t="shared" si="185"/>
        <v>2814.5</v>
      </c>
      <c r="S1393" s="142">
        <v>8</v>
      </c>
      <c r="T1393" s="126" t="s">
        <v>237</v>
      </c>
      <c r="U1393" s="120" t="s">
        <v>4355</v>
      </c>
      <c r="V1393" s="129">
        <f t="shared" si="183"/>
        <v>57.65</v>
      </c>
      <c r="W1393" s="121" t="s">
        <v>237</v>
      </c>
      <c r="X1393" s="129">
        <f t="shared" si="184"/>
        <v>461.2</v>
      </c>
      <c r="Y1393" s="201">
        <v>2</v>
      </c>
      <c r="Z1393" s="126" t="s">
        <v>237</v>
      </c>
      <c r="AA1393" s="120" t="s">
        <v>4359</v>
      </c>
      <c r="AB1393" s="129">
        <f t="shared" si="182"/>
        <v>20</v>
      </c>
      <c r="AC1393" s="126" t="s">
        <v>237</v>
      </c>
      <c r="AD1393" s="129">
        <f t="shared" si="181"/>
        <v>40</v>
      </c>
      <c r="AE1393" s="137">
        <f t="shared" si="170"/>
        <v>0</v>
      </c>
    </row>
    <row r="1394" spans="6:31" ht="24" customHeight="1">
      <c r="F1394" s="129">
        <v>0.5</v>
      </c>
      <c r="G1394" s="126" t="s">
        <v>131</v>
      </c>
      <c r="H1394" s="120" t="s">
        <v>304</v>
      </c>
      <c r="I1394" s="129">
        <f>(C12)</f>
        <v>679.8</v>
      </c>
      <c r="J1394" s="120" t="s">
        <v>131</v>
      </c>
      <c r="K1394" s="129">
        <f>(F1394*I1394)</f>
        <v>339.9</v>
      </c>
      <c r="M1394" s="201">
        <v>1.51</v>
      </c>
      <c r="N1394" s="126" t="s">
        <v>476</v>
      </c>
      <c r="O1394" s="120" t="s">
        <v>3124</v>
      </c>
      <c r="P1394" s="129">
        <f>P1391</f>
        <v>325</v>
      </c>
      <c r="Q1394" s="126" t="s">
        <v>476</v>
      </c>
      <c r="R1394" s="129">
        <f t="shared" si="185"/>
        <v>490.75</v>
      </c>
      <c r="S1394" s="142">
        <v>8</v>
      </c>
      <c r="T1394" s="126" t="s">
        <v>237</v>
      </c>
      <c r="U1394" s="120" t="s">
        <v>4358</v>
      </c>
      <c r="V1394" s="129">
        <f t="shared" si="183"/>
        <v>30</v>
      </c>
      <c r="W1394" s="121" t="s">
        <v>237</v>
      </c>
      <c r="X1394" s="129">
        <f t="shared" si="184"/>
        <v>240</v>
      </c>
      <c r="Y1394" s="201">
        <v>4</v>
      </c>
      <c r="Z1394" s="126" t="s">
        <v>237</v>
      </c>
      <c r="AA1394" s="120" t="s">
        <v>3219</v>
      </c>
      <c r="AB1394" s="129">
        <f t="shared" si="182"/>
        <v>15</v>
      </c>
      <c r="AC1394" s="126" t="s">
        <v>237</v>
      </c>
      <c r="AD1394" s="129">
        <f t="shared" si="181"/>
        <v>60</v>
      </c>
      <c r="AE1394" s="137">
        <f t="shared" si="170"/>
        <v>0</v>
      </c>
    </row>
    <row r="1395" spans="6:31" ht="24" customHeight="1">
      <c r="F1395" s="129">
        <v>1.1000000000000001</v>
      </c>
      <c r="G1395" s="126" t="s">
        <v>131</v>
      </c>
      <c r="H1395" s="120" t="s">
        <v>306</v>
      </c>
      <c r="I1395" s="129">
        <f>(C13)</f>
        <v>557.70000000000005</v>
      </c>
      <c r="J1395" s="120" t="s">
        <v>131</v>
      </c>
      <c r="K1395" s="129">
        <f>(F1395*I1395)</f>
        <v>613.47</v>
      </c>
      <c r="M1395" s="201">
        <v>1.462</v>
      </c>
      <c r="N1395" s="126" t="s">
        <v>468</v>
      </c>
      <c r="O1395" s="191" t="s">
        <v>3154</v>
      </c>
      <c r="P1395" s="136">
        <v>306.89999999999998</v>
      </c>
      <c r="Q1395" s="126" t="s">
        <v>468</v>
      </c>
      <c r="R1395" s="129">
        <f t="shared" si="185"/>
        <v>448.69</v>
      </c>
      <c r="S1395" s="142">
        <v>8</v>
      </c>
      <c r="T1395" s="126" t="s">
        <v>237</v>
      </c>
      <c r="U1395" s="120" t="s">
        <v>4359</v>
      </c>
      <c r="V1395" s="129">
        <f t="shared" si="183"/>
        <v>20</v>
      </c>
      <c r="W1395" s="121" t="s">
        <v>237</v>
      </c>
      <c r="X1395" s="129">
        <f t="shared" si="184"/>
        <v>160</v>
      </c>
      <c r="Y1395" s="201">
        <v>0.67500000000000004</v>
      </c>
      <c r="Z1395" s="126" t="s">
        <v>724</v>
      </c>
      <c r="AA1395" s="120" t="s">
        <v>3158</v>
      </c>
      <c r="AB1395" s="129">
        <f t="shared" si="182"/>
        <v>2085.6</v>
      </c>
      <c r="AC1395" s="126" t="s">
        <v>724</v>
      </c>
      <c r="AD1395" s="129">
        <f t="shared" si="181"/>
        <v>1407.78</v>
      </c>
      <c r="AE1395" s="137">
        <f t="shared" si="170"/>
        <v>0</v>
      </c>
    </row>
    <row r="1396" spans="6:31" ht="24" customHeight="1">
      <c r="G1396" s="126" t="s">
        <v>145</v>
      </c>
      <c r="H1396" s="120" t="s">
        <v>146</v>
      </c>
      <c r="I1396" s="120" t="s">
        <v>85</v>
      </c>
      <c r="J1396" s="120" t="s">
        <v>145</v>
      </c>
      <c r="K1396" s="129">
        <v>5</v>
      </c>
      <c r="M1396" s="201">
        <v>12.144</v>
      </c>
      <c r="N1396" s="126" t="s">
        <v>13</v>
      </c>
      <c r="O1396" s="191" t="s">
        <v>4371</v>
      </c>
      <c r="P1396" s="136">
        <v>29.05</v>
      </c>
      <c r="Q1396" s="126" t="s">
        <v>13</v>
      </c>
      <c r="R1396" s="129">
        <f t="shared" si="185"/>
        <v>352.78</v>
      </c>
      <c r="S1396" s="142">
        <v>4</v>
      </c>
      <c r="T1396" s="126" t="s">
        <v>237</v>
      </c>
      <c r="U1396" s="120" t="s">
        <v>3219</v>
      </c>
      <c r="V1396" s="129">
        <f t="shared" si="183"/>
        <v>15</v>
      </c>
      <c r="W1396" s="121" t="s">
        <v>237</v>
      </c>
      <c r="X1396" s="129">
        <f t="shared" si="184"/>
        <v>60</v>
      </c>
      <c r="Z1396" s="116"/>
      <c r="AA1396" s="120" t="s">
        <v>3159</v>
      </c>
      <c r="AC1396" s="119"/>
      <c r="AD1396" s="129">
        <v>0.39</v>
      </c>
      <c r="AE1396" s="137">
        <f t="shared" si="170"/>
        <v>0</v>
      </c>
    </row>
    <row r="1397" spans="6:31" ht="24" customHeight="1">
      <c r="K1397" s="123" t="s">
        <v>52</v>
      </c>
      <c r="M1397" s="201">
        <v>12</v>
      </c>
      <c r="N1397" s="126" t="s">
        <v>237</v>
      </c>
      <c r="O1397" s="191" t="s">
        <v>4372</v>
      </c>
      <c r="P1397" s="136">
        <v>71.900000000000006</v>
      </c>
      <c r="Q1397" s="126" t="s">
        <v>237</v>
      </c>
      <c r="R1397" s="129">
        <f t="shared" si="185"/>
        <v>862.8</v>
      </c>
      <c r="S1397" s="142">
        <v>2.4300000000000002</v>
      </c>
      <c r="T1397" s="126" t="s">
        <v>724</v>
      </c>
      <c r="U1397" s="120" t="s">
        <v>3158</v>
      </c>
      <c r="V1397" s="129">
        <f t="shared" si="183"/>
        <v>2085.6</v>
      </c>
      <c r="W1397" s="121" t="s">
        <v>724</v>
      </c>
      <c r="X1397" s="129">
        <f t="shared" si="184"/>
        <v>5068.01</v>
      </c>
      <c r="AA1397" s="125" t="s">
        <v>3220</v>
      </c>
      <c r="AD1397" s="127">
        <f>SUM(AD1384:AD1396)</f>
        <v>4508.79</v>
      </c>
      <c r="AE1397" s="137">
        <f t="shared" si="170"/>
        <v>0</v>
      </c>
    </row>
    <row r="1398" spans="6:31" ht="24" customHeight="1">
      <c r="H1398" s="120" t="s">
        <v>495</v>
      </c>
      <c r="K1398" s="129">
        <f>SUM(K1392:K1397)</f>
        <v>2594.65</v>
      </c>
      <c r="M1398" s="201">
        <v>6</v>
      </c>
      <c r="N1398" s="126" t="s">
        <v>237</v>
      </c>
      <c r="O1398" s="191" t="s">
        <v>4373</v>
      </c>
      <c r="P1398" s="129">
        <f>P1094</f>
        <v>57.65</v>
      </c>
      <c r="Q1398" s="126" t="s">
        <v>237</v>
      </c>
      <c r="R1398" s="129">
        <f t="shared" si="185"/>
        <v>345.9</v>
      </c>
      <c r="T1398" s="116"/>
      <c r="U1398" s="120" t="s">
        <v>3159</v>
      </c>
      <c r="X1398" s="129"/>
      <c r="AE1398" s="137">
        <f t="shared" si="170"/>
        <v>0</v>
      </c>
    </row>
    <row r="1399" spans="6:31" ht="24" customHeight="1">
      <c r="K1399" s="123" t="s">
        <v>52</v>
      </c>
      <c r="M1399" s="201">
        <v>6</v>
      </c>
      <c r="N1399" s="126" t="s">
        <v>237</v>
      </c>
      <c r="O1399" s="120" t="s">
        <v>4374</v>
      </c>
      <c r="P1399" s="135">
        <v>30</v>
      </c>
      <c r="Q1399" s="126" t="s">
        <v>237</v>
      </c>
      <c r="R1399" s="129">
        <f t="shared" si="185"/>
        <v>180</v>
      </c>
      <c r="U1399" s="125" t="s">
        <v>3220</v>
      </c>
      <c r="X1399" s="127">
        <f>SUM(X1386:X1398)</f>
        <v>16343.94</v>
      </c>
      <c r="Z1399" s="116"/>
      <c r="AA1399" s="274" t="s">
        <v>4375</v>
      </c>
      <c r="AC1399" s="117"/>
      <c r="AE1399" s="137">
        <f t="shared" si="170"/>
        <v>0</v>
      </c>
    </row>
    <row r="1400" spans="6:31" ht="24" customHeight="1">
      <c r="H1400" s="128" t="s">
        <v>460</v>
      </c>
      <c r="K1400" s="127">
        <f>(K1398/10)</f>
        <v>259.47000000000003</v>
      </c>
      <c r="M1400" s="201">
        <v>6</v>
      </c>
      <c r="N1400" s="126" t="s">
        <v>237</v>
      </c>
      <c r="O1400" s="120" t="s">
        <v>4359</v>
      </c>
      <c r="P1400" s="140">
        <v>20</v>
      </c>
      <c r="Q1400" s="126" t="s">
        <v>237</v>
      </c>
      <c r="R1400" s="129">
        <f t="shared" si="185"/>
        <v>120</v>
      </c>
      <c r="Y1400" s="201">
        <v>2.33</v>
      </c>
      <c r="Z1400" s="126" t="s">
        <v>476</v>
      </c>
      <c r="AA1400" s="120" t="s">
        <v>3124</v>
      </c>
      <c r="AB1400" s="129">
        <f t="shared" ref="AB1400:AB1411" si="186">V1402</f>
        <v>325</v>
      </c>
      <c r="AC1400" s="126" t="s">
        <v>476</v>
      </c>
      <c r="AD1400" s="129">
        <f t="shared" ref="AD1400:AD1411" si="187">AB1400*Y1400</f>
        <v>757.25</v>
      </c>
      <c r="AE1400" s="137">
        <f t="shared" si="170"/>
        <v>0</v>
      </c>
    </row>
    <row r="1401" spans="6:31" ht="24" customHeight="1">
      <c r="F1401" s="120" t="s">
        <v>85</v>
      </c>
      <c r="M1401" s="201">
        <v>4</v>
      </c>
      <c r="N1401" s="126" t="s">
        <v>237</v>
      </c>
      <c r="O1401" s="120" t="s">
        <v>3219</v>
      </c>
      <c r="P1401" s="140">
        <v>15</v>
      </c>
      <c r="Q1401" s="126" t="s">
        <v>237</v>
      </c>
      <c r="R1401" s="129">
        <f t="shared" si="185"/>
        <v>60</v>
      </c>
      <c r="T1401" s="116"/>
      <c r="U1401" s="274" t="s">
        <v>4376</v>
      </c>
      <c r="Y1401" s="201">
        <v>0.67</v>
      </c>
      <c r="Z1401" s="126" t="s">
        <v>476</v>
      </c>
      <c r="AA1401" s="120" t="s">
        <v>3124</v>
      </c>
      <c r="AB1401" s="129">
        <f t="shared" si="186"/>
        <v>325</v>
      </c>
      <c r="AC1401" s="126" t="s">
        <v>476</v>
      </c>
      <c r="AD1401" s="129">
        <f t="shared" si="187"/>
        <v>217.75</v>
      </c>
      <c r="AE1401" s="137">
        <f t="shared" si="170"/>
        <v>0</v>
      </c>
    </row>
    <row r="1402" spans="6:31" ht="24" customHeight="1">
      <c r="K1402" s="123" t="s">
        <v>89</v>
      </c>
      <c r="M1402" s="201">
        <v>1.823</v>
      </c>
      <c r="N1402" s="126" t="s">
        <v>724</v>
      </c>
      <c r="O1402" s="120" t="s">
        <v>3158</v>
      </c>
      <c r="P1402" s="115">
        <f>ROUND(AE17+AE11+(AE20*0.5),2)</f>
        <v>2085.6</v>
      </c>
      <c r="Q1402" s="126" t="s">
        <v>724</v>
      </c>
      <c r="R1402" s="129">
        <f t="shared" si="185"/>
        <v>3802.05</v>
      </c>
      <c r="S1402" s="142">
        <f>8*0.775</f>
        <v>6.2</v>
      </c>
      <c r="T1402" s="126" t="s">
        <v>476</v>
      </c>
      <c r="U1402" s="120" t="s">
        <v>3124</v>
      </c>
      <c r="V1402" s="129">
        <f>V1386</f>
        <v>325</v>
      </c>
      <c r="W1402" s="121" t="s">
        <v>476</v>
      </c>
      <c r="X1402" s="129">
        <f>V1402*S1402</f>
        <v>2015</v>
      </c>
      <c r="Y1402" s="201">
        <v>2.65</v>
      </c>
      <c r="Z1402" s="126" t="s">
        <v>476</v>
      </c>
      <c r="AA1402" s="120" t="s">
        <v>3124</v>
      </c>
      <c r="AB1402" s="129">
        <f t="shared" si="186"/>
        <v>325</v>
      </c>
      <c r="AC1402" s="126" t="s">
        <v>476</v>
      </c>
      <c r="AD1402" s="129">
        <f t="shared" si="187"/>
        <v>861.25</v>
      </c>
      <c r="AE1402" s="137">
        <f t="shared" si="170"/>
        <v>0</v>
      </c>
    </row>
    <row r="1403" spans="6:31" ht="24" customHeight="1">
      <c r="F1403" s="121" t="s">
        <v>1619</v>
      </c>
      <c r="G1403" s="126" t="s">
        <v>111</v>
      </c>
      <c r="H1403" s="120" t="s">
        <v>1620</v>
      </c>
      <c r="N1403" s="116"/>
      <c r="O1403" s="120" t="s">
        <v>3159</v>
      </c>
      <c r="Q1403" s="119"/>
      <c r="R1403" s="129">
        <v>0.51</v>
      </c>
      <c r="S1403" s="142">
        <f>8.4*1.123</f>
        <v>9.4329999999999998</v>
      </c>
      <c r="T1403" s="126" t="s">
        <v>476</v>
      </c>
      <c r="U1403" s="120" t="s">
        <v>3124</v>
      </c>
      <c r="V1403" s="129">
        <f t="shared" ref="V1403:V1413" si="188">V1387</f>
        <v>325</v>
      </c>
      <c r="W1403" s="121" t="s">
        <v>476</v>
      </c>
      <c r="X1403" s="129">
        <f t="shared" ref="X1403:X1413" si="189">V1403*S1403</f>
        <v>3065.73</v>
      </c>
      <c r="Y1403" s="201">
        <v>0.46</v>
      </c>
      <c r="Z1403" s="126" t="s">
        <v>476</v>
      </c>
      <c r="AA1403" s="120" t="s">
        <v>3124</v>
      </c>
      <c r="AB1403" s="129">
        <f t="shared" si="186"/>
        <v>325</v>
      </c>
      <c r="AC1403" s="126" t="s">
        <v>476</v>
      </c>
      <c r="AD1403" s="129">
        <f t="shared" si="187"/>
        <v>149.5</v>
      </c>
      <c r="AE1403" s="137">
        <f t="shared" si="170"/>
        <v>0</v>
      </c>
    </row>
    <row r="1404" spans="6:31" ht="24" customHeight="1">
      <c r="H1404" s="123" t="s">
        <v>52</v>
      </c>
      <c r="L1404" s="115">
        <f>5.85*1.123</f>
        <v>6.57</v>
      </c>
      <c r="R1404" s="127">
        <f>SUM(R1391:R1403)</f>
        <v>12316.86</v>
      </c>
      <c r="S1404" s="142">
        <f>24.24*0.663</f>
        <v>16.071000000000002</v>
      </c>
      <c r="T1404" s="126" t="s">
        <v>476</v>
      </c>
      <c r="U1404" s="120" t="s">
        <v>3124</v>
      </c>
      <c r="V1404" s="129">
        <f t="shared" si="188"/>
        <v>325</v>
      </c>
      <c r="W1404" s="121" t="s">
        <v>476</v>
      </c>
      <c r="X1404" s="129">
        <f t="shared" si="189"/>
        <v>5223.08</v>
      </c>
      <c r="Y1404" s="201">
        <v>0.41699999999999998</v>
      </c>
      <c r="Z1404" s="126" t="s">
        <v>468</v>
      </c>
      <c r="AA1404" s="120" t="s">
        <v>3154</v>
      </c>
      <c r="AB1404" s="129">
        <f t="shared" si="186"/>
        <v>306.89999999999998</v>
      </c>
      <c r="AC1404" s="126" t="s">
        <v>468</v>
      </c>
      <c r="AD1404" s="129">
        <f t="shared" si="187"/>
        <v>127.98</v>
      </c>
      <c r="AE1404" s="137">
        <f t="shared" si="170"/>
        <v>0</v>
      </c>
    </row>
    <row r="1405" spans="6:31" ht="24" customHeight="1">
      <c r="F1405" s="129">
        <v>0.14000000000000001</v>
      </c>
      <c r="G1405" s="126" t="s">
        <v>132</v>
      </c>
      <c r="H1405" s="120" t="s">
        <v>259</v>
      </c>
      <c r="I1405" s="129">
        <f>(K40)</f>
        <v>3937.82</v>
      </c>
      <c r="J1405" s="120" t="s">
        <v>132</v>
      </c>
      <c r="K1405" s="129">
        <f>(F1405*I1405)</f>
        <v>551.29</v>
      </c>
      <c r="O1405" s="112"/>
      <c r="S1405" s="142">
        <f>23.02*0.124</f>
        <v>2.8540000000000001</v>
      </c>
      <c r="T1405" s="126" t="s">
        <v>476</v>
      </c>
      <c r="U1405" s="120" t="s">
        <v>3124</v>
      </c>
      <c r="V1405" s="129">
        <f t="shared" si="188"/>
        <v>325</v>
      </c>
      <c r="W1405" s="121" t="s">
        <v>476</v>
      </c>
      <c r="X1405" s="129">
        <f t="shared" si="189"/>
        <v>927.55</v>
      </c>
      <c r="Y1405" s="201">
        <v>3.6960000000000002</v>
      </c>
      <c r="Z1405" s="126" t="s">
        <v>13</v>
      </c>
      <c r="AA1405" s="120" t="s">
        <v>3155</v>
      </c>
      <c r="AB1405" s="129">
        <f t="shared" si="186"/>
        <v>29.05</v>
      </c>
      <c r="AC1405" s="126" t="s">
        <v>13</v>
      </c>
      <c r="AD1405" s="129">
        <f t="shared" si="187"/>
        <v>107.37</v>
      </c>
      <c r="AE1405" s="137">
        <f t="shared" si="170"/>
        <v>0</v>
      </c>
    </row>
    <row r="1406" spans="6:31" ht="24" customHeight="1">
      <c r="F1406" s="129">
        <v>1.1000000000000001</v>
      </c>
      <c r="G1406" s="126" t="s">
        <v>131</v>
      </c>
      <c r="H1406" s="120" t="s">
        <v>345</v>
      </c>
      <c r="I1406" s="129">
        <f>(C10)</f>
        <v>1041.7</v>
      </c>
      <c r="J1406" s="120" t="s">
        <v>131</v>
      </c>
      <c r="K1406" s="129">
        <f>(F1406*I1406)</f>
        <v>1145.8699999999999</v>
      </c>
      <c r="S1406" s="142">
        <f>3.31</f>
        <v>3.31</v>
      </c>
      <c r="T1406" s="126" t="s">
        <v>468</v>
      </c>
      <c r="U1406" s="120" t="s">
        <v>3154</v>
      </c>
      <c r="V1406" s="129">
        <f t="shared" si="188"/>
        <v>306.89999999999998</v>
      </c>
      <c r="W1406" s="121" t="s">
        <v>468</v>
      </c>
      <c r="X1406" s="129">
        <f t="shared" si="189"/>
        <v>1015.84</v>
      </c>
      <c r="Y1406" s="201">
        <v>4</v>
      </c>
      <c r="Z1406" s="126" t="s">
        <v>237</v>
      </c>
      <c r="AA1406" s="120" t="s">
        <v>4353</v>
      </c>
      <c r="AB1406" s="129">
        <f t="shared" si="186"/>
        <v>71.900000000000006</v>
      </c>
      <c r="AC1406" s="126" t="s">
        <v>237</v>
      </c>
      <c r="AD1406" s="129">
        <f t="shared" si="187"/>
        <v>287.60000000000002</v>
      </c>
      <c r="AE1406" s="137">
        <f t="shared" ref="AE1406:AE1469" si="190">AG1406</f>
        <v>0</v>
      </c>
    </row>
    <row r="1407" spans="6:31" ht="24" customHeight="1">
      <c r="F1407" s="129">
        <v>0.5</v>
      </c>
      <c r="G1407" s="126" t="s">
        <v>131</v>
      </c>
      <c r="H1407" s="120" t="s">
        <v>304</v>
      </c>
      <c r="I1407" s="129">
        <f>(C12)</f>
        <v>679.8</v>
      </c>
      <c r="J1407" s="120" t="s">
        <v>131</v>
      </c>
      <c r="K1407" s="129">
        <f>(F1407*I1407)</f>
        <v>339.9</v>
      </c>
      <c r="N1407" s="116"/>
      <c r="O1407" s="274" t="s">
        <v>4377</v>
      </c>
      <c r="Q1407" s="117"/>
      <c r="S1407" s="142">
        <v>23.02</v>
      </c>
      <c r="T1407" s="126" t="s">
        <v>13</v>
      </c>
      <c r="U1407" s="120" t="s">
        <v>3155</v>
      </c>
      <c r="V1407" s="129">
        <f t="shared" si="188"/>
        <v>29.05</v>
      </c>
      <c r="W1407" s="121" t="s">
        <v>13</v>
      </c>
      <c r="X1407" s="129">
        <f t="shared" si="189"/>
        <v>668.73</v>
      </c>
      <c r="Y1407" s="201">
        <v>2</v>
      </c>
      <c r="Z1407" s="126" t="s">
        <v>237</v>
      </c>
      <c r="AA1407" s="120" t="s">
        <v>4355</v>
      </c>
      <c r="AB1407" s="129">
        <f t="shared" si="186"/>
        <v>57.65</v>
      </c>
      <c r="AC1407" s="126" t="s">
        <v>237</v>
      </c>
      <c r="AD1407" s="129">
        <f t="shared" si="187"/>
        <v>115.3</v>
      </c>
      <c r="AE1407" s="137">
        <f t="shared" si="190"/>
        <v>0</v>
      </c>
    </row>
    <row r="1408" spans="6:31" ht="24" customHeight="1">
      <c r="F1408" s="129">
        <v>1.1000000000000001</v>
      </c>
      <c r="G1408" s="126" t="s">
        <v>131</v>
      </c>
      <c r="H1408" s="120" t="s">
        <v>306</v>
      </c>
      <c r="I1408" s="129">
        <f>(C13)</f>
        <v>557.70000000000005</v>
      </c>
      <c r="J1408" s="120" t="s">
        <v>131</v>
      </c>
      <c r="K1408" s="129">
        <f>(F1408*I1408)</f>
        <v>613.47</v>
      </c>
      <c r="M1408" s="201">
        <v>3.95</v>
      </c>
      <c r="N1408" s="126" t="s">
        <v>476</v>
      </c>
      <c r="O1408" s="191" t="s">
        <v>4378</v>
      </c>
      <c r="P1408" s="129">
        <f>P1391</f>
        <v>325</v>
      </c>
      <c r="Q1408" s="126" t="s">
        <v>476</v>
      </c>
      <c r="R1408" s="129">
        <f>P1408*M1408</f>
        <v>1283.75</v>
      </c>
      <c r="S1408" s="142">
        <v>16</v>
      </c>
      <c r="T1408" s="126" t="s">
        <v>237</v>
      </c>
      <c r="U1408" s="120" t="s">
        <v>4353</v>
      </c>
      <c r="V1408" s="129">
        <f t="shared" si="188"/>
        <v>71.900000000000006</v>
      </c>
      <c r="W1408" s="121" t="s">
        <v>237</v>
      </c>
      <c r="X1408" s="129">
        <f t="shared" si="189"/>
        <v>1150.4000000000001</v>
      </c>
      <c r="Y1408" s="201">
        <v>2</v>
      </c>
      <c r="Z1408" s="126" t="s">
        <v>237</v>
      </c>
      <c r="AA1408" s="120" t="s">
        <v>4358</v>
      </c>
      <c r="AB1408" s="129">
        <f t="shared" si="186"/>
        <v>30</v>
      </c>
      <c r="AC1408" s="126" t="s">
        <v>237</v>
      </c>
      <c r="AD1408" s="129">
        <f t="shared" si="187"/>
        <v>60</v>
      </c>
      <c r="AE1408" s="137">
        <f t="shared" si="190"/>
        <v>0</v>
      </c>
    </row>
    <row r="1409" spans="6:31" ht="24" customHeight="1">
      <c r="G1409" s="126" t="s">
        <v>145</v>
      </c>
      <c r="H1409" s="120" t="s">
        <v>146</v>
      </c>
      <c r="I1409" s="120" t="s">
        <v>85</v>
      </c>
      <c r="J1409" s="120" t="s">
        <v>145</v>
      </c>
      <c r="K1409" s="129">
        <v>5</v>
      </c>
      <c r="M1409" s="201">
        <v>2.86</v>
      </c>
      <c r="N1409" s="126" t="s">
        <v>476</v>
      </c>
      <c r="O1409" s="120" t="s">
        <v>3124</v>
      </c>
      <c r="P1409" s="129">
        <f t="shared" ref="P1409:P1419" si="191">P1392</f>
        <v>325</v>
      </c>
      <c r="Q1409" s="126" t="s">
        <v>476</v>
      </c>
      <c r="R1409" s="129">
        <f t="shared" ref="R1409:R1419" si="192">P1409*M1409</f>
        <v>929.5</v>
      </c>
      <c r="S1409" s="142">
        <v>8</v>
      </c>
      <c r="T1409" s="126" t="s">
        <v>237</v>
      </c>
      <c r="U1409" s="120" t="s">
        <v>4355</v>
      </c>
      <c r="V1409" s="129">
        <f t="shared" si="188"/>
        <v>57.65</v>
      </c>
      <c r="W1409" s="121" t="s">
        <v>237</v>
      </c>
      <c r="X1409" s="129">
        <f t="shared" si="189"/>
        <v>461.2</v>
      </c>
      <c r="Y1409" s="201">
        <v>2</v>
      </c>
      <c r="Z1409" s="126" t="s">
        <v>237</v>
      </c>
      <c r="AA1409" s="120" t="s">
        <v>4359</v>
      </c>
      <c r="AB1409" s="129">
        <f t="shared" si="186"/>
        <v>20</v>
      </c>
      <c r="AC1409" s="126" t="s">
        <v>237</v>
      </c>
      <c r="AD1409" s="129">
        <f t="shared" si="187"/>
        <v>40</v>
      </c>
      <c r="AE1409" s="137">
        <f t="shared" si="190"/>
        <v>0</v>
      </c>
    </row>
    <row r="1410" spans="6:31" ht="24" customHeight="1">
      <c r="G1410" s="126"/>
      <c r="H1410" s="120"/>
      <c r="I1410" s="120"/>
      <c r="J1410" s="120"/>
      <c r="K1410" s="129"/>
      <c r="M1410" s="201">
        <v>6.55</v>
      </c>
      <c r="N1410" s="126" t="s">
        <v>476</v>
      </c>
      <c r="O1410" s="120" t="s">
        <v>3124</v>
      </c>
      <c r="P1410" s="129">
        <f t="shared" si="191"/>
        <v>325</v>
      </c>
      <c r="Q1410" s="126" t="s">
        <v>476</v>
      </c>
      <c r="R1410" s="129">
        <f t="shared" si="192"/>
        <v>2128.75</v>
      </c>
      <c r="S1410" s="142">
        <v>8</v>
      </c>
      <c r="T1410" s="126" t="s">
        <v>237</v>
      </c>
      <c r="U1410" s="120" t="s">
        <v>4358</v>
      </c>
      <c r="V1410" s="129">
        <f t="shared" si="188"/>
        <v>30</v>
      </c>
      <c r="W1410" s="121" t="s">
        <v>237</v>
      </c>
      <c r="X1410" s="129">
        <f t="shared" si="189"/>
        <v>240</v>
      </c>
      <c r="Y1410" s="201">
        <v>2</v>
      </c>
      <c r="Z1410" s="126" t="s">
        <v>237</v>
      </c>
      <c r="AA1410" s="120" t="s">
        <v>3219</v>
      </c>
      <c r="AB1410" s="129">
        <f t="shared" si="186"/>
        <v>15</v>
      </c>
      <c r="AC1410" s="126" t="s">
        <v>237</v>
      </c>
      <c r="AD1410" s="129">
        <f t="shared" si="187"/>
        <v>30</v>
      </c>
      <c r="AE1410" s="137">
        <f t="shared" si="190"/>
        <v>0</v>
      </c>
    </row>
    <row r="1411" spans="6:31" ht="24" customHeight="1">
      <c r="K1411" s="123" t="s">
        <v>52</v>
      </c>
      <c r="M1411" s="201">
        <v>1.1499999999999999</v>
      </c>
      <c r="N1411" s="126" t="s">
        <v>476</v>
      </c>
      <c r="O1411" s="120" t="s">
        <v>3124</v>
      </c>
      <c r="P1411" s="129">
        <f t="shared" si="191"/>
        <v>325</v>
      </c>
      <c r="Q1411" s="126" t="s">
        <v>476</v>
      </c>
      <c r="R1411" s="129">
        <f t="shared" si="192"/>
        <v>373.75</v>
      </c>
      <c r="S1411" s="142">
        <v>8</v>
      </c>
      <c r="T1411" s="126" t="s">
        <v>237</v>
      </c>
      <c r="U1411" s="120" t="s">
        <v>4359</v>
      </c>
      <c r="V1411" s="129">
        <f t="shared" si="188"/>
        <v>20</v>
      </c>
      <c r="W1411" s="121" t="s">
        <v>237</v>
      </c>
      <c r="X1411" s="129">
        <f t="shared" si="189"/>
        <v>160</v>
      </c>
      <c r="Y1411" s="201">
        <v>0.54</v>
      </c>
      <c r="Z1411" s="126" t="s">
        <v>724</v>
      </c>
      <c r="AA1411" s="120" t="s">
        <v>3158</v>
      </c>
      <c r="AB1411" s="129">
        <f t="shared" si="186"/>
        <v>2085.6</v>
      </c>
      <c r="AC1411" s="126" t="s">
        <v>724</v>
      </c>
      <c r="AD1411" s="129">
        <f t="shared" si="187"/>
        <v>1126.22</v>
      </c>
      <c r="AE1411" s="137">
        <f t="shared" si="190"/>
        <v>0</v>
      </c>
    </row>
    <row r="1412" spans="6:31" ht="24" customHeight="1">
      <c r="H1412" s="120" t="s">
        <v>495</v>
      </c>
      <c r="K1412" s="129">
        <f>SUM(K1405:K1409)</f>
        <v>2655.53</v>
      </c>
      <c r="L1412" s="115">
        <f>SUM(K1433:K1436)</f>
        <v>2752.01</v>
      </c>
      <c r="M1412" s="201">
        <v>1.3380000000000001</v>
      </c>
      <c r="N1412" s="126" t="s">
        <v>468</v>
      </c>
      <c r="O1412" s="120" t="s">
        <v>3154</v>
      </c>
      <c r="P1412" s="129">
        <f t="shared" si="191"/>
        <v>306.89999999999998</v>
      </c>
      <c r="Q1412" s="126" t="s">
        <v>468</v>
      </c>
      <c r="R1412" s="129">
        <f t="shared" si="192"/>
        <v>410.63</v>
      </c>
      <c r="S1412" s="142">
        <v>4</v>
      </c>
      <c r="T1412" s="126" t="s">
        <v>237</v>
      </c>
      <c r="U1412" s="120" t="s">
        <v>3219</v>
      </c>
      <c r="V1412" s="129">
        <f t="shared" si="188"/>
        <v>15</v>
      </c>
      <c r="W1412" s="121" t="s">
        <v>237</v>
      </c>
      <c r="X1412" s="129">
        <f t="shared" si="189"/>
        <v>60</v>
      </c>
      <c r="Z1412" s="116"/>
      <c r="AA1412" s="120" t="s">
        <v>3159</v>
      </c>
      <c r="AC1412" s="119"/>
      <c r="AD1412" s="129">
        <v>0.7</v>
      </c>
      <c r="AE1412" s="137">
        <f t="shared" si="190"/>
        <v>0</v>
      </c>
    </row>
    <row r="1413" spans="6:31" ht="24" customHeight="1">
      <c r="K1413" s="123" t="s">
        <v>52</v>
      </c>
      <c r="M1413" s="201">
        <v>9.2720000000000002</v>
      </c>
      <c r="N1413" s="126" t="s">
        <v>13</v>
      </c>
      <c r="O1413" s="191" t="s">
        <v>4379</v>
      </c>
      <c r="P1413" s="129">
        <f t="shared" si="191"/>
        <v>29.05</v>
      </c>
      <c r="Q1413" s="126" t="s">
        <v>13</v>
      </c>
      <c r="R1413" s="129">
        <f t="shared" si="192"/>
        <v>269.35000000000002</v>
      </c>
      <c r="S1413" s="142">
        <v>3.96</v>
      </c>
      <c r="T1413" s="126" t="s">
        <v>724</v>
      </c>
      <c r="U1413" s="120" t="s">
        <v>3158</v>
      </c>
      <c r="V1413" s="129">
        <f t="shared" si="188"/>
        <v>2085.6</v>
      </c>
      <c r="W1413" s="121" t="s">
        <v>724</v>
      </c>
      <c r="X1413" s="129">
        <f t="shared" si="189"/>
        <v>8258.98</v>
      </c>
      <c r="AA1413" s="125" t="s">
        <v>3220</v>
      </c>
      <c r="AD1413" s="127">
        <f>SUM(AD1400:AD1412)</f>
        <v>3880.92</v>
      </c>
      <c r="AE1413" s="137">
        <f t="shared" si="190"/>
        <v>0</v>
      </c>
    </row>
    <row r="1414" spans="6:31" ht="24" customHeight="1">
      <c r="H1414" s="128" t="s">
        <v>460</v>
      </c>
      <c r="K1414" s="127">
        <f>(K1412/10)</f>
        <v>265.55</v>
      </c>
      <c r="M1414" s="201">
        <v>8</v>
      </c>
      <c r="N1414" s="126" t="s">
        <v>237</v>
      </c>
      <c r="O1414" s="191" t="s">
        <v>4380</v>
      </c>
      <c r="P1414" s="129">
        <f t="shared" si="191"/>
        <v>71.900000000000006</v>
      </c>
      <c r="Q1414" s="126" t="s">
        <v>237</v>
      </c>
      <c r="R1414" s="129">
        <f t="shared" si="192"/>
        <v>575.20000000000005</v>
      </c>
      <c r="T1414" s="116"/>
      <c r="U1414" s="120" t="s">
        <v>3159</v>
      </c>
      <c r="X1414" s="129">
        <v>0.09</v>
      </c>
      <c r="AE1414" s="137">
        <f t="shared" si="190"/>
        <v>0</v>
      </c>
    </row>
    <row r="1415" spans="6:31" ht="24" customHeight="1">
      <c r="K1415" s="123" t="s">
        <v>89</v>
      </c>
      <c r="M1415" s="201">
        <v>4</v>
      </c>
      <c r="N1415" s="126" t="s">
        <v>237</v>
      </c>
      <c r="O1415" s="191" t="s">
        <v>4373</v>
      </c>
      <c r="P1415" s="129">
        <f t="shared" si="191"/>
        <v>57.65</v>
      </c>
      <c r="Q1415" s="126" t="s">
        <v>237</v>
      </c>
      <c r="R1415" s="129">
        <f t="shared" si="192"/>
        <v>230.6</v>
      </c>
      <c r="U1415" s="125" t="s">
        <v>3220</v>
      </c>
      <c r="X1415" s="127">
        <f>SUM(X1402:X1414)</f>
        <v>23246.6</v>
      </c>
      <c r="AE1415" s="137">
        <f t="shared" si="190"/>
        <v>0</v>
      </c>
    </row>
    <row r="1416" spans="6:31" ht="24" customHeight="1">
      <c r="F1416" s="121" t="s">
        <v>1621</v>
      </c>
      <c r="G1416" s="126" t="s">
        <v>111</v>
      </c>
      <c r="H1416" s="120" t="s">
        <v>1622</v>
      </c>
      <c r="M1416" s="201">
        <v>4</v>
      </c>
      <c r="N1416" s="126" t="s">
        <v>237</v>
      </c>
      <c r="O1416" s="120" t="s">
        <v>4358</v>
      </c>
      <c r="P1416" s="129">
        <f t="shared" si="191"/>
        <v>30</v>
      </c>
      <c r="Q1416" s="126" t="s">
        <v>237</v>
      </c>
      <c r="R1416" s="129">
        <f t="shared" si="192"/>
        <v>120</v>
      </c>
      <c r="Z1416" s="116"/>
      <c r="AA1416" s="274" t="s">
        <v>4381</v>
      </c>
      <c r="AC1416" s="117"/>
      <c r="AE1416" s="137">
        <f t="shared" si="190"/>
        <v>0</v>
      </c>
    </row>
    <row r="1417" spans="6:31" ht="24" customHeight="1">
      <c r="H1417" s="123" t="s">
        <v>52</v>
      </c>
      <c r="M1417" s="201">
        <v>4</v>
      </c>
      <c r="N1417" s="126" t="s">
        <v>237</v>
      </c>
      <c r="O1417" s="120" t="s">
        <v>4359</v>
      </c>
      <c r="P1417" s="129">
        <f t="shared" si="191"/>
        <v>20</v>
      </c>
      <c r="Q1417" s="126" t="s">
        <v>237</v>
      </c>
      <c r="R1417" s="129">
        <f t="shared" si="192"/>
        <v>80</v>
      </c>
      <c r="Y1417" s="201">
        <f>4.2*0.775</f>
        <v>3.2549999999999999</v>
      </c>
      <c r="Z1417" s="126" t="s">
        <v>476</v>
      </c>
      <c r="AA1417" s="120" t="s">
        <v>3124</v>
      </c>
      <c r="AB1417" s="129">
        <f>AB1400</f>
        <v>325</v>
      </c>
      <c r="AC1417" s="126" t="s">
        <v>476</v>
      </c>
      <c r="AD1417" s="129">
        <f t="shared" ref="AD1417:AD1428" si="193">AB1417*Y1417</f>
        <v>1057.8800000000001</v>
      </c>
      <c r="AE1417" s="137">
        <f t="shared" si="190"/>
        <v>0</v>
      </c>
    </row>
    <row r="1418" spans="6:31" ht="24" customHeight="1">
      <c r="F1418" s="129">
        <v>0.1</v>
      </c>
      <c r="G1418" s="126" t="s">
        <v>132</v>
      </c>
      <c r="H1418" s="120" t="s">
        <v>217</v>
      </c>
      <c r="I1418" s="129">
        <f>(K32)</f>
        <v>4662.62</v>
      </c>
      <c r="J1418" s="120" t="s">
        <v>132</v>
      </c>
      <c r="K1418" s="129">
        <f>(F1418*I1418)</f>
        <v>466.26</v>
      </c>
      <c r="M1418" s="201">
        <v>4</v>
      </c>
      <c r="N1418" s="126" t="s">
        <v>237</v>
      </c>
      <c r="O1418" s="120" t="s">
        <v>3219</v>
      </c>
      <c r="P1418" s="129">
        <f t="shared" si="191"/>
        <v>15</v>
      </c>
      <c r="Q1418" s="126" t="s">
        <v>237</v>
      </c>
      <c r="R1418" s="129">
        <f t="shared" si="192"/>
        <v>60</v>
      </c>
      <c r="U1418" s="114" t="s">
        <v>4382</v>
      </c>
      <c r="Y1418" s="201">
        <v>2.3580000000000001</v>
      </c>
      <c r="Z1418" s="126" t="s">
        <v>476</v>
      </c>
      <c r="AA1418" s="120" t="s">
        <v>3124</v>
      </c>
      <c r="AB1418" s="129">
        <f t="shared" ref="AB1418:AB1428" si="194">AB1401</f>
        <v>325</v>
      </c>
      <c r="AC1418" s="126" t="s">
        <v>476</v>
      </c>
      <c r="AD1418" s="129">
        <f t="shared" si="193"/>
        <v>766.35</v>
      </c>
      <c r="AE1418" s="137">
        <f t="shared" si="190"/>
        <v>0</v>
      </c>
    </row>
    <row r="1419" spans="6:31" ht="24" customHeight="1">
      <c r="F1419" s="129">
        <v>1.1000000000000001</v>
      </c>
      <c r="G1419" s="126" t="s">
        <v>131</v>
      </c>
      <c r="H1419" s="120" t="s">
        <v>345</v>
      </c>
      <c r="I1419" s="129">
        <f>(C10)</f>
        <v>1041.7</v>
      </c>
      <c r="J1419" s="120" t="s">
        <v>131</v>
      </c>
      <c r="K1419" s="129">
        <f>(F1419*I1419)</f>
        <v>1145.8699999999999</v>
      </c>
      <c r="L1419" s="115">
        <f>M1458+M1459+M1460</f>
        <v>11.74</v>
      </c>
      <c r="M1419" s="201">
        <v>1.62</v>
      </c>
      <c r="N1419" s="126" t="s">
        <v>724</v>
      </c>
      <c r="O1419" s="120" t="s">
        <v>3158</v>
      </c>
      <c r="P1419" s="129">
        <f t="shared" si="191"/>
        <v>2085.6</v>
      </c>
      <c r="Q1419" s="126" t="s">
        <v>724</v>
      </c>
      <c r="R1419" s="129">
        <f t="shared" si="192"/>
        <v>3378.67</v>
      </c>
      <c r="S1419" s="142">
        <v>4.42</v>
      </c>
      <c r="T1419" s="126" t="s">
        <v>476</v>
      </c>
      <c r="U1419" s="120" t="s">
        <v>3124</v>
      </c>
      <c r="V1419" s="129">
        <f>P1458</f>
        <v>325</v>
      </c>
      <c r="W1419" s="121" t="s">
        <v>476</v>
      </c>
      <c r="X1419" s="137">
        <f>V1419*S1419</f>
        <v>1436.5</v>
      </c>
      <c r="Y1419" s="201">
        <f>8.08*0.663</f>
        <v>5.3570000000000002</v>
      </c>
      <c r="Z1419" s="126" t="s">
        <v>476</v>
      </c>
      <c r="AA1419" s="120" t="s">
        <v>3124</v>
      </c>
      <c r="AB1419" s="129">
        <f t="shared" si="194"/>
        <v>325</v>
      </c>
      <c r="AC1419" s="126" t="s">
        <v>476</v>
      </c>
      <c r="AD1419" s="129">
        <f t="shared" si="193"/>
        <v>1741.03</v>
      </c>
      <c r="AE1419" s="137">
        <f t="shared" si="190"/>
        <v>0</v>
      </c>
    </row>
    <row r="1420" spans="6:31" ht="24" customHeight="1">
      <c r="F1420" s="129">
        <v>1.1000000000000001</v>
      </c>
      <c r="G1420" s="126" t="s">
        <v>131</v>
      </c>
      <c r="H1420" s="120" t="s">
        <v>304</v>
      </c>
      <c r="I1420" s="129">
        <f>(C12)</f>
        <v>679.8</v>
      </c>
      <c r="J1420" s="120" t="s">
        <v>131</v>
      </c>
      <c r="K1420" s="129">
        <f>(F1420*I1420)</f>
        <v>747.78</v>
      </c>
      <c r="N1420" s="116"/>
      <c r="O1420" s="120" t="s">
        <v>3159</v>
      </c>
      <c r="Q1420" s="119"/>
      <c r="R1420" s="129">
        <v>0.25</v>
      </c>
      <c r="S1420" s="142">
        <v>4.72</v>
      </c>
      <c r="T1420" s="126" t="s">
        <v>476</v>
      </c>
      <c r="U1420" s="120" t="s">
        <v>3124</v>
      </c>
      <c r="V1420" s="129">
        <f>P1459</f>
        <v>325</v>
      </c>
      <c r="W1420" s="121" t="s">
        <v>476</v>
      </c>
      <c r="X1420" s="137">
        <f t="shared" ref="X1420:X1430" si="195">V1420*S1420</f>
        <v>1534</v>
      </c>
      <c r="Y1420" s="201">
        <v>0.92600000000000005</v>
      </c>
      <c r="Z1420" s="126" t="s">
        <v>476</v>
      </c>
      <c r="AA1420" s="120" t="s">
        <v>3124</v>
      </c>
      <c r="AB1420" s="129">
        <f t="shared" si="194"/>
        <v>325</v>
      </c>
      <c r="AC1420" s="126" t="s">
        <v>476</v>
      </c>
      <c r="AD1420" s="129">
        <f t="shared" si="193"/>
        <v>300.95</v>
      </c>
      <c r="AE1420" s="137">
        <f t="shared" si="190"/>
        <v>0</v>
      </c>
    </row>
    <row r="1421" spans="6:31" ht="24" customHeight="1">
      <c r="F1421" s="129">
        <v>1.1000000000000001</v>
      </c>
      <c r="G1421" s="126" t="s">
        <v>131</v>
      </c>
      <c r="H1421" s="120" t="s">
        <v>306</v>
      </c>
      <c r="I1421" s="129">
        <f>(C13)</f>
        <v>557.70000000000005</v>
      </c>
      <c r="J1421" s="120" t="s">
        <v>131</v>
      </c>
      <c r="K1421" s="129">
        <f>(F1421*I1421)</f>
        <v>613.47</v>
      </c>
      <c r="R1421" s="127">
        <f>SUM(R1408:R1420)</f>
        <v>9840.4500000000007</v>
      </c>
      <c r="S1421" s="142">
        <v>9.06</v>
      </c>
      <c r="T1421" s="126" t="s">
        <v>476</v>
      </c>
      <c r="U1421" s="120" t="s">
        <v>3124</v>
      </c>
      <c r="V1421" s="129">
        <f>P1460</f>
        <v>325</v>
      </c>
      <c r="W1421" s="121" t="s">
        <v>476</v>
      </c>
      <c r="X1421" s="137">
        <f t="shared" si="195"/>
        <v>2944.5</v>
      </c>
      <c r="Y1421" s="201">
        <v>0.85</v>
      </c>
      <c r="Z1421" s="126" t="s">
        <v>468</v>
      </c>
      <c r="AA1421" s="120" t="s">
        <v>3154</v>
      </c>
      <c r="AB1421" s="129">
        <f t="shared" si="194"/>
        <v>306.89999999999998</v>
      </c>
      <c r="AC1421" s="126" t="s">
        <v>468</v>
      </c>
      <c r="AD1421" s="129">
        <f t="shared" si="193"/>
        <v>260.87</v>
      </c>
      <c r="AE1421" s="137">
        <f t="shared" si="190"/>
        <v>0</v>
      </c>
    </row>
    <row r="1422" spans="6:31" ht="24" customHeight="1">
      <c r="G1422" s="126" t="s">
        <v>145</v>
      </c>
      <c r="H1422" s="120" t="s">
        <v>146</v>
      </c>
      <c r="I1422" s="120" t="s">
        <v>85</v>
      </c>
      <c r="J1422" s="120" t="s">
        <v>145</v>
      </c>
      <c r="K1422" s="129">
        <v>5</v>
      </c>
      <c r="M1422" s="129"/>
      <c r="N1422" s="126"/>
      <c r="O1422" s="120"/>
      <c r="P1422" s="129"/>
      <c r="Q1422" s="121"/>
      <c r="R1422" s="129"/>
      <c r="S1422" s="142">
        <v>1.58</v>
      </c>
      <c r="T1422" s="126" t="s">
        <v>476</v>
      </c>
      <c r="U1422" s="120" t="s">
        <v>3124</v>
      </c>
      <c r="V1422" s="129">
        <f>P1461</f>
        <v>325</v>
      </c>
      <c r="W1422" s="121" t="s">
        <v>476</v>
      </c>
      <c r="X1422" s="137">
        <f t="shared" si="195"/>
        <v>513.5</v>
      </c>
      <c r="Y1422" s="201">
        <v>7.4720000000000004</v>
      </c>
      <c r="Z1422" s="126" t="s">
        <v>13</v>
      </c>
      <c r="AA1422" s="120" t="s">
        <v>3155</v>
      </c>
      <c r="AB1422" s="129">
        <f t="shared" si="194"/>
        <v>29.05</v>
      </c>
      <c r="AC1422" s="126" t="s">
        <v>13</v>
      </c>
      <c r="AD1422" s="129">
        <f t="shared" si="193"/>
        <v>217.06</v>
      </c>
      <c r="AE1422" s="137">
        <f t="shared" si="190"/>
        <v>0</v>
      </c>
    </row>
    <row r="1423" spans="6:31" ht="24" customHeight="1">
      <c r="K1423" s="123" t="s">
        <v>52</v>
      </c>
      <c r="M1423" s="129"/>
      <c r="N1423" s="126"/>
      <c r="O1423" s="120"/>
      <c r="P1423" s="129"/>
      <c r="Q1423" s="121"/>
      <c r="R1423" s="129"/>
      <c r="S1423" s="142">
        <v>1.65</v>
      </c>
      <c r="T1423" s="126" t="s">
        <v>468</v>
      </c>
      <c r="U1423" s="120" t="s">
        <v>3154</v>
      </c>
      <c r="V1423" s="129">
        <f>P1429</f>
        <v>306.89999999999998</v>
      </c>
      <c r="W1423" s="121" t="s">
        <v>468</v>
      </c>
      <c r="X1423" s="137">
        <f t="shared" si="195"/>
        <v>506.39</v>
      </c>
      <c r="Y1423" s="201">
        <v>8</v>
      </c>
      <c r="Z1423" s="126" t="s">
        <v>237</v>
      </c>
      <c r="AA1423" s="120" t="s">
        <v>4353</v>
      </c>
      <c r="AB1423" s="129">
        <f t="shared" si="194"/>
        <v>71.900000000000006</v>
      </c>
      <c r="AC1423" s="126" t="s">
        <v>237</v>
      </c>
      <c r="AD1423" s="129">
        <f t="shared" si="193"/>
        <v>575.20000000000005</v>
      </c>
      <c r="AE1423" s="137">
        <f t="shared" si="190"/>
        <v>0</v>
      </c>
    </row>
    <row r="1424" spans="6:31" ht="24" customHeight="1">
      <c r="H1424" s="120" t="s">
        <v>495</v>
      </c>
      <c r="K1424" s="129">
        <f>SUM(K1418:K1422)</f>
        <v>2978.38</v>
      </c>
      <c r="N1424" s="116"/>
      <c r="O1424" s="274" t="s">
        <v>4383</v>
      </c>
      <c r="Q1424" s="117"/>
      <c r="S1424" s="142">
        <v>12.74</v>
      </c>
      <c r="T1424" s="126" t="s">
        <v>13</v>
      </c>
      <c r="U1424" s="120" t="s">
        <v>3155</v>
      </c>
      <c r="V1424" s="129">
        <f>P1463</f>
        <v>29.05</v>
      </c>
      <c r="W1424" s="121" t="s">
        <v>13</v>
      </c>
      <c r="X1424" s="137">
        <f t="shared" si="195"/>
        <v>370.1</v>
      </c>
      <c r="Y1424" s="201">
        <v>4</v>
      </c>
      <c r="Z1424" s="126" t="s">
        <v>237</v>
      </c>
      <c r="AA1424" s="120" t="s">
        <v>4355</v>
      </c>
      <c r="AB1424" s="129">
        <f t="shared" si="194"/>
        <v>57.65</v>
      </c>
      <c r="AC1424" s="126" t="s">
        <v>237</v>
      </c>
      <c r="AD1424" s="129">
        <f t="shared" si="193"/>
        <v>230.6</v>
      </c>
      <c r="AE1424" s="137">
        <f t="shared" si="190"/>
        <v>0</v>
      </c>
    </row>
    <row r="1425" spans="6:31" ht="24" customHeight="1">
      <c r="H1425" s="119"/>
      <c r="K1425" s="123" t="s">
        <v>52</v>
      </c>
      <c r="M1425" s="201">
        <v>2.79</v>
      </c>
      <c r="N1425" s="126" t="s">
        <v>476</v>
      </c>
      <c r="O1425" s="191" t="s">
        <v>4378</v>
      </c>
      <c r="P1425" s="129">
        <f>P1408</f>
        <v>325</v>
      </c>
      <c r="Q1425" s="126" t="s">
        <v>476</v>
      </c>
      <c r="R1425" s="129">
        <f>P1425*M1425</f>
        <v>906.75</v>
      </c>
      <c r="S1425" s="142">
        <v>12</v>
      </c>
      <c r="T1425" s="126" t="s">
        <v>237</v>
      </c>
      <c r="U1425" s="120" t="s">
        <v>4353</v>
      </c>
      <c r="V1425" s="129">
        <f>P1464</f>
        <v>71.900000000000006</v>
      </c>
      <c r="W1425" s="121" t="s">
        <v>237</v>
      </c>
      <c r="X1425" s="137">
        <f t="shared" si="195"/>
        <v>862.8</v>
      </c>
      <c r="Y1425" s="201">
        <v>4</v>
      </c>
      <c r="Z1425" s="126" t="s">
        <v>237</v>
      </c>
      <c r="AA1425" s="120" t="s">
        <v>4358</v>
      </c>
      <c r="AB1425" s="129">
        <f t="shared" si="194"/>
        <v>30</v>
      </c>
      <c r="AC1425" s="126" t="s">
        <v>237</v>
      </c>
      <c r="AD1425" s="129">
        <f t="shared" si="193"/>
        <v>120</v>
      </c>
      <c r="AE1425" s="137">
        <f t="shared" si="190"/>
        <v>0</v>
      </c>
    </row>
    <row r="1426" spans="6:31" ht="24" customHeight="1">
      <c r="H1426" s="128" t="s">
        <v>460</v>
      </c>
      <c r="I1426" s="114"/>
      <c r="J1426" s="178"/>
      <c r="K1426" s="127">
        <f>(K1424/10)</f>
        <v>297.83999999999997</v>
      </c>
      <c r="M1426" s="201">
        <v>0.5</v>
      </c>
      <c r="N1426" s="126" t="s">
        <v>476</v>
      </c>
      <c r="O1426" s="120" t="s">
        <v>3124</v>
      </c>
      <c r="P1426" s="129">
        <f t="shared" ref="P1426:P1436" si="196">P1409</f>
        <v>325</v>
      </c>
      <c r="Q1426" s="126" t="s">
        <v>476</v>
      </c>
      <c r="R1426" s="129">
        <f t="shared" ref="R1426:R1436" si="197">P1426*M1426</f>
        <v>162.5</v>
      </c>
      <c r="S1426" s="142">
        <v>6</v>
      </c>
      <c r="T1426" s="126" t="s">
        <v>237</v>
      </c>
      <c r="U1426" s="120" t="s">
        <v>4355</v>
      </c>
      <c r="V1426" s="129">
        <f>P1465</f>
        <v>57.65</v>
      </c>
      <c r="W1426" s="121" t="s">
        <v>237</v>
      </c>
      <c r="X1426" s="137">
        <f t="shared" si="195"/>
        <v>345.9</v>
      </c>
      <c r="Y1426" s="201">
        <v>4</v>
      </c>
      <c r="Z1426" s="126" t="s">
        <v>237</v>
      </c>
      <c r="AA1426" s="120" t="s">
        <v>4359</v>
      </c>
      <c r="AB1426" s="129">
        <f t="shared" si="194"/>
        <v>20</v>
      </c>
      <c r="AC1426" s="126" t="s">
        <v>237</v>
      </c>
      <c r="AD1426" s="129">
        <f t="shared" si="193"/>
        <v>80</v>
      </c>
      <c r="AE1426" s="137">
        <f t="shared" si="190"/>
        <v>0</v>
      </c>
    </row>
    <row r="1427" spans="6:31" ht="24" customHeight="1">
      <c r="K1427" s="123" t="s">
        <v>89</v>
      </c>
      <c r="M1427" s="201">
        <v>2.85</v>
      </c>
      <c r="N1427" s="126" t="s">
        <v>476</v>
      </c>
      <c r="O1427" s="120" t="s">
        <v>3124</v>
      </c>
      <c r="P1427" s="129">
        <f t="shared" si="196"/>
        <v>325</v>
      </c>
      <c r="Q1427" s="126" t="s">
        <v>476</v>
      </c>
      <c r="R1427" s="129">
        <f t="shared" si="197"/>
        <v>926.25</v>
      </c>
      <c r="S1427" s="142">
        <v>6</v>
      </c>
      <c r="T1427" s="126" t="s">
        <v>237</v>
      </c>
      <c r="U1427" s="120" t="s">
        <v>4358</v>
      </c>
      <c r="V1427" s="140">
        <v>30</v>
      </c>
      <c r="W1427" s="121" t="s">
        <v>237</v>
      </c>
      <c r="X1427" s="137">
        <f t="shared" si="195"/>
        <v>180</v>
      </c>
      <c r="Y1427" s="201">
        <v>4</v>
      </c>
      <c r="Z1427" s="126" t="s">
        <v>237</v>
      </c>
      <c r="AA1427" s="120" t="s">
        <v>3219</v>
      </c>
      <c r="AB1427" s="129">
        <f t="shared" si="194"/>
        <v>15</v>
      </c>
      <c r="AC1427" s="126" t="s">
        <v>237</v>
      </c>
      <c r="AD1427" s="129">
        <f t="shared" si="193"/>
        <v>60</v>
      </c>
      <c r="AE1427" s="137">
        <f t="shared" si="190"/>
        <v>0</v>
      </c>
    </row>
    <row r="1428" spans="6:31" ht="24" customHeight="1">
      <c r="M1428" s="201">
        <v>0.5</v>
      </c>
      <c r="N1428" s="126" t="s">
        <v>476</v>
      </c>
      <c r="O1428" s="120" t="s">
        <v>3124</v>
      </c>
      <c r="P1428" s="129">
        <f t="shared" si="196"/>
        <v>325</v>
      </c>
      <c r="Q1428" s="126" t="s">
        <v>476</v>
      </c>
      <c r="R1428" s="129">
        <f t="shared" si="197"/>
        <v>162.5</v>
      </c>
      <c r="S1428" s="142">
        <v>6</v>
      </c>
      <c r="T1428" s="126" t="s">
        <v>237</v>
      </c>
      <c r="U1428" s="120" t="s">
        <v>4359</v>
      </c>
      <c r="V1428" s="140">
        <v>20</v>
      </c>
      <c r="W1428" s="121" t="s">
        <v>237</v>
      </c>
      <c r="X1428" s="137">
        <f t="shared" si="195"/>
        <v>120</v>
      </c>
      <c r="Y1428" s="201">
        <v>1.08</v>
      </c>
      <c r="Z1428" s="126" t="s">
        <v>724</v>
      </c>
      <c r="AA1428" s="120" t="s">
        <v>3158</v>
      </c>
      <c r="AB1428" s="129">
        <f t="shared" si="194"/>
        <v>2085.6</v>
      </c>
      <c r="AC1428" s="126" t="s">
        <v>724</v>
      </c>
      <c r="AD1428" s="129">
        <f t="shared" si="193"/>
        <v>2252.4499999999998</v>
      </c>
      <c r="AE1428" s="137">
        <f t="shared" si="190"/>
        <v>0</v>
      </c>
    </row>
    <row r="1429" spans="6:31" ht="24" customHeight="1">
      <c r="G1429" s="126" t="s">
        <v>111</v>
      </c>
      <c r="H1429" s="120" t="s">
        <v>1623</v>
      </c>
      <c r="M1429" s="201">
        <v>0.47099999999999997</v>
      </c>
      <c r="N1429" s="126" t="s">
        <v>468</v>
      </c>
      <c r="O1429" s="120" t="s">
        <v>3154</v>
      </c>
      <c r="P1429" s="140">
        <f t="shared" si="196"/>
        <v>306.89999999999998</v>
      </c>
      <c r="Q1429" s="126" t="s">
        <v>468</v>
      </c>
      <c r="R1429" s="129">
        <f t="shared" si="197"/>
        <v>144.55000000000001</v>
      </c>
      <c r="S1429" s="142">
        <v>4</v>
      </c>
      <c r="T1429" s="126" t="s">
        <v>237</v>
      </c>
      <c r="U1429" s="120" t="s">
        <v>3219</v>
      </c>
      <c r="V1429" s="140">
        <v>15</v>
      </c>
      <c r="W1429" s="121" t="s">
        <v>237</v>
      </c>
      <c r="X1429" s="137">
        <f t="shared" si="195"/>
        <v>60</v>
      </c>
      <c r="Z1429" s="116"/>
      <c r="AA1429" s="120" t="s">
        <v>3159</v>
      </c>
      <c r="AC1429" s="119"/>
      <c r="AD1429" s="129">
        <v>0.96</v>
      </c>
      <c r="AE1429" s="137">
        <f t="shared" si="190"/>
        <v>0</v>
      </c>
    </row>
    <row r="1430" spans="6:31" ht="24" customHeight="1">
      <c r="H1430" s="120" t="s">
        <v>1624</v>
      </c>
      <c r="M1430" s="201">
        <v>3.996</v>
      </c>
      <c r="N1430" s="126" t="s">
        <v>13</v>
      </c>
      <c r="O1430" s="191" t="s">
        <v>4379</v>
      </c>
      <c r="P1430" s="129">
        <f t="shared" si="196"/>
        <v>29.05</v>
      </c>
      <c r="Q1430" s="126" t="s">
        <v>13</v>
      </c>
      <c r="R1430" s="129">
        <f t="shared" si="197"/>
        <v>116.08</v>
      </c>
      <c r="S1430" s="142">
        <f>1.5*1.35</f>
        <v>2.0249999999999999</v>
      </c>
      <c r="T1430" s="126" t="s">
        <v>724</v>
      </c>
      <c r="U1430" s="120" t="s">
        <v>3158</v>
      </c>
      <c r="V1430" s="129">
        <f>P1469</f>
        <v>2085.6</v>
      </c>
      <c r="W1430" s="121" t="s">
        <v>724</v>
      </c>
      <c r="X1430" s="129">
        <f t="shared" si="195"/>
        <v>4223.34</v>
      </c>
      <c r="AA1430" s="125" t="s">
        <v>3220</v>
      </c>
      <c r="AD1430" s="127">
        <f>SUM(AD1417:AD1429)</f>
        <v>7663.35</v>
      </c>
      <c r="AE1430" s="137">
        <f t="shared" si="190"/>
        <v>0</v>
      </c>
    </row>
    <row r="1431" spans="6:31" ht="24" customHeight="1">
      <c r="H1431" s="120" t="s">
        <v>1625</v>
      </c>
      <c r="M1431" s="201">
        <v>4</v>
      </c>
      <c r="N1431" s="126" t="s">
        <v>237</v>
      </c>
      <c r="O1431" s="191" t="s">
        <v>4380</v>
      </c>
      <c r="P1431" s="129">
        <f t="shared" si="196"/>
        <v>71.900000000000006</v>
      </c>
      <c r="Q1431" s="126" t="s">
        <v>237</v>
      </c>
      <c r="R1431" s="129">
        <f t="shared" si="197"/>
        <v>287.60000000000002</v>
      </c>
      <c r="T1431" s="116"/>
      <c r="U1431" s="120" t="s">
        <v>3159</v>
      </c>
      <c r="X1431" s="129">
        <v>0.31</v>
      </c>
      <c r="AE1431" s="137">
        <f t="shared" si="190"/>
        <v>0</v>
      </c>
    </row>
    <row r="1432" spans="6:31" ht="24" customHeight="1">
      <c r="H1432" s="123" t="s">
        <v>52</v>
      </c>
      <c r="M1432" s="201">
        <v>2</v>
      </c>
      <c r="N1432" s="126" t="s">
        <v>237</v>
      </c>
      <c r="O1432" s="191" t="s">
        <v>4373</v>
      </c>
      <c r="P1432" s="129">
        <f t="shared" si="196"/>
        <v>57.65</v>
      </c>
      <c r="Q1432" s="126" t="s">
        <v>237</v>
      </c>
      <c r="R1432" s="129">
        <f t="shared" si="197"/>
        <v>115.3</v>
      </c>
      <c r="U1432" s="125" t="s">
        <v>3220</v>
      </c>
      <c r="X1432" s="127">
        <f>SUM(X1419:X1431)</f>
        <v>13097.34</v>
      </c>
      <c r="AE1432" s="137">
        <f t="shared" si="190"/>
        <v>0</v>
      </c>
    </row>
    <row r="1433" spans="6:31" ht="24" customHeight="1">
      <c r="F1433" s="129">
        <v>0.14000000000000001</v>
      </c>
      <c r="G1433" s="126" t="s">
        <v>132</v>
      </c>
      <c r="H1433" s="120" t="s">
        <v>217</v>
      </c>
      <c r="I1433" s="129">
        <f>(K32)</f>
        <v>4662.62</v>
      </c>
      <c r="J1433" s="120" t="s">
        <v>132</v>
      </c>
      <c r="K1433" s="129">
        <f>(F1433*I1433)</f>
        <v>652.77</v>
      </c>
      <c r="M1433" s="201">
        <v>2</v>
      </c>
      <c r="N1433" s="126" t="s">
        <v>237</v>
      </c>
      <c r="O1433" s="120" t="s">
        <v>4358</v>
      </c>
      <c r="P1433" s="129">
        <f t="shared" si="196"/>
        <v>30</v>
      </c>
      <c r="Q1433" s="126" t="s">
        <v>237</v>
      </c>
      <c r="R1433" s="129">
        <f t="shared" si="197"/>
        <v>60</v>
      </c>
      <c r="U1433" s="115">
        <f>2.025</f>
        <v>2.0299999999999998</v>
      </c>
      <c r="Y1433" s="118"/>
      <c r="Z1433" s="116"/>
      <c r="AA1433" s="274" t="s">
        <v>4384</v>
      </c>
      <c r="AB1433" s="200" t="s">
        <v>4385</v>
      </c>
      <c r="AC1433" s="200"/>
      <c r="AD1433" s="200"/>
      <c r="AE1433" s="137">
        <f t="shared" si="190"/>
        <v>0</v>
      </c>
    </row>
    <row r="1434" spans="6:31" ht="24" customHeight="1">
      <c r="F1434" s="129">
        <v>1.1000000000000001</v>
      </c>
      <c r="G1434" s="126" t="s">
        <v>131</v>
      </c>
      <c r="H1434" s="120" t="s">
        <v>345</v>
      </c>
      <c r="I1434" s="129">
        <f>(C10)</f>
        <v>1041.7</v>
      </c>
      <c r="J1434" s="120" t="s">
        <v>131</v>
      </c>
      <c r="K1434" s="129">
        <f>(F1434*I1434)</f>
        <v>1145.8699999999999</v>
      </c>
      <c r="M1434" s="201">
        <v>2</v>
      </c>
      <c r="N1434" s="126" t="s">
        <v>237</v>
      </c>
      <c r="O1434" s="120" t="s">
        <v>4359</v>
      </c>
      <c r="P1434" s="129">
        <f t="shared" si="196"/>
        <v>20</v>
      </c>
      <c r="Q1434" s="126" t="s">
        <v>237</v>
      </c>
      <c r="R1434" s="129">
        <f t="shared" si="197"/>
        <v>40</v>
      </c>
      <c r="Y1434" s="142">
        <v>4.21</v>
      </c>
      <c r="Z1434" s="126" t="s">
        <v>476</v>
      </c>
      <c r="AA1434" s="120" t="s">
        <v>3124</v>
      </c>
      <c r="AB1434" s="129">
        <f>V1436</f>
        <v>325</v>
      </c>
      <c r="AC1434" s="126" t="s">
        <v>476</v>
      </c>
      <c r="AD1434" s="129">
        <f>AB1434*Y1434</f>
        <v>1368.25</v>
      </c>
      <c r="AE1434" s="137">
        <f t="shared" si="190"/>
        <v>0</v>
      </c>
    </row>
    <row r="1435" spans="6:31" ht="24" customHeight="1">
      <c r="F1435" s="129">
        <v>0.5</v>
      </c>
      <c r="G1435" s="126" t="s">
        <v>131</v>
      </c>
      <c r="H1435" s="120" t="s">
        <v>304</v>
      </c>
      <c r="I1435" s="129">
        <f>(C12)</f>
        <v>679.8</v>
      </c>
      <c r="J1435" s="120" t="s">
        <v>131</v>
      </c>
      <c r="K1435" s="129">
        <f>(F1435*I1435)</f>
        <v>339.9</v>
      </c>
      <c r="M1435" s="201">
        <v>4</v>
      </c>
      <c r="N1435" s="126" t="s">
        <v>237</v>
      </c>
      <c r="O1435" s="120" t="s">
        <v>3219</v>
      </c>
      <c r="P1435" s="129">
        <f t="shared" si="196"/>
        <v>15</v>
      </c>
      <c r="Q1435" s="126" t="s">
        <v>237</v>
      </c>
      <c r="R1435" s="129">
        <f t="shared" si="197"/>
        <v>60</v>
      </c>
      <c r="T1435" s="116"/>
      <c r="U1435" s="274" t="s">
        <v>4386</v>
      </c>
      <c r="V1435" s="200" t="s">
        <v>4385</v>
      </c>
      <c r="W1435" s="166"/>
      <c r="X1435" s="200"/>
      <c r="Y1435" s="142">
        <v>0.40500000000000003</v>
      </c>
      <c r="Z1435" s="126" t="s">
        <v>468</v>
      </c>
      <c r="AA1435" s="120" t="s">
        <v>3154</v>
      </c>
      <c r="AB1435" s="129">
        <f>V1437</f>
        <v>306.89999999999998</v>
      </c>
      <c r="AC1435" s="126" t="s">
        <v>476</v>
      </c>
      <c r="AD1435" s="129">
        <f>AB1435*Y1435</f>
        <v>124.29</v>
      </c>
      <c r="AE1435" s="137">
        <f t="shared" si="190"/>
        <v>0</v>
      </c>
    </row>
    <row r="1436" spans="6:31" ht="24" customHeight="1">
      <c r="F1436" s="129">
        <v>1.1000000000000001</v>
      </c>
      <c r="G1436" s="126" t="s">
        <v>131</v>
      </c>
      <c r="H1436" s="120" t="s">
        <v>306</v>
      </c>
      <c r="I1436" s="129">
        <f>(C13)</f>
        <v>557.70000000000005</v>
      </c>
      <c r="J1436" s="120" t="s">
        <v>131</v>
      </c>
      <c r="K1436" s="129">
        <f>(F1436*I1436)</f>
        <v>613.47</v>
      </c>
      <c r="M1436" s="201">
        <v>0.60799999999999998</v>
      </c>
      <c r="N1436" s="126" t="s">
        <v>724</v>
      </c>
      <c r="O1436" s="120" t="s">
        <v>3158</v>
      </c>
      <c r="P1436" s="129">
        <f t="shared" si="196"/>
        <v>2085.6</v>
      </c>
      <c r="Q1436" s="126" t="s">
        <v>724</v>
      </c>
      <c r="R1436" s="129">
        <f t="shared" si="197"/>
        <v>1268.04</v>
      </c>
      <c r="S1436" s="142">
        <v>3.7389999999999999</v>
      </c>
      <c r="T1436" s="126" t="s">
        <v>476</v>
      </c>
      <c r="U1436" s="120" t="s">
        <v>3124</v>
      </c>
      <c r="V1436" s="129">
        <f>P1475</f>
        <v>325</v>
      </c>
      <c r="W1436" s="121" t="s">
        <v>476</v>
      </c>
      <c r="X1436" s="129">
        <f>V1436*S1436</f>
        <v>1215.18</v>
      </c>
      <c r="Y1436" s="142">
        <v>0.40500000000000003</v>
      </c>
      <c r="Z1436" s="126" t="s">
        <v>468</v>
      </c>
      <c r="AA1436" s="120" t="s">
        <v>3158</v>
      </c>
      <c r="AB1436" s="129">
        <f>V1438</f>
        <v>2085.6</v>
      </c>
      <c r="AC1436" s="126" t="s">
        <v>476</v>
      </c>
      <c r="AD1436" s="129">
        <f>AB1436*Y1436</f>
        <v>844.67</v>
      </c>
      <c r="AE1436" s="137">
        <f t="shared" si="190"/>
        <v>0</v>
      </c>
    </row>
    <row r="1437" spans="6:31" ht="24" customHeight="1">
      <c r="F1437" s="129">
        <v>2</v>
      </c>
      <c r="G1437" s="126" t="s">
        <v>39</v>
      </c>
      <c r="H1437" s="120" t="s">
        <v>1626</v>
      </c>
      <c r="I1437" s="129">
        <f>(C653)</f>
        <v>42.7</v>
      </c>
      <c r="J1437" s="120" t="s">
        <v>39</v>
      </c>
      <c r="K1437" s="129">
        <f>(F1437*I1437)</f>
        <v>85.4</v>
      </c>
      <c r="N1437" s="116"/>
      <c r="O1437" s="120" t="s">
        <v>3159</v>
      </c>
      <c r="Q1437" s="119"/>
      <c r="R1437" s="129">
        <v>0.57999999999999996</v>
      </c>
      <c r="S1437" s="142">
        <v>0.36</v>
      </c>
      <c r="T1437" s="126" t="s">
        <v>468</v>
      </c>
      <c r="U1437" s="120" t="s">
        <v>3154</v>
      </c>
      <c r="V1437" s="129">
        <f>P1476</f>
        <v>306.89999999999998</v>
      </c>
      <c r="W1437" s="121" t="s">
        <v>476</v>
      </c>
      <c r="X1437" s="129">
        <f>V1437*S1437</f>
        <v>110.48</v>
      </c>
      <c r="Y1437" s="142"/>
      <c r="Z1437" s="126"/>
      <c r="AA1437" s="120"/>
      <c r="AB1437" s="129"/>
      <c r="AC1437" s="126"/>
      <c r="AD1437" s="129">
        <f>SUM(AD1434:AD1436)</f>
        <v>2337.21</v>
      </c>
      <c r="AE1437" s="137">
        <f t="shared" si="190"/>
        <v>0</v>
      </c>
    </row>
    <row r="1438" spans="6:31" ht="24" customHeight="1">
      <c r="G1438" s="126" t="s">
        <v>145</v>
      </c>
      <c r="H1438" s="120" t="s">
        <v>146</v>
      </c>
      <c r="I1438" s="120" t="s">
        <v>85</v>
      </c>
      <c r="J1438" s="120" t="s">
        <v>145</v>
      </c>
      <c r="K1438" s="129"/>
      <c r="R1438" s="127">
        <f>SUM(R1425:R1437)</f>
        <v>4250.1499999999996</v>
      </c>
      <c r="S1438" s="142">
        <v>0.36</v>
      </c>
      <c r="T1438" s="126" t="s">
        <v>468</v>
      </c>
      <c r="U1438" s="120" t="s">
        <v>3158</v>
      </c>
      <c r="V1438" s="129">
        <f>P1477</f>
        <v>2085.6</v>
      </c>
      <c r="W1438" s="121" t="s">
        <v>476</v>
      </c>
      <c r="X1438" s="129">
        <f>V1438*S1438</f>
        <v>750.82</v>
      </c>
      <c r="Y1438" s="142"/>
      <c r="Z1438" s="126"/>
      <c r="AA1438" s="125" t="s">
        <v>4387</v>
      </c>
      <c r="AB1438" s="129"/>
      <c r="AC1438" s="126"/>
      <c r="AD1438" s="127">
        <f>AD1437/Y1436</f>
        <v>5770.89</v>
      </c>
      <c r="AE1438" s="137">
        <f t="shared" si="190"/>
        <v>0</v>
      </c>
    </row>
    <row r="1439" spans="6:31" ht="24" customHeight="1">
      <c r="K1439" s="123" t="s">
        <v>52</v>
      </c>
      <c r="M1439" s="129"/>
      <c r="N1439" s="126"/>
      <c r="O1439" s="120"/>
      <c r="P1439" s="129"/>
      <c r="Q1439" s="121"/>
      <c r="R1439" s="129"/>
      <c r="S1439" s="142"/>
      <c r="T1439" s="126"/>
      <c r="U1439" s="120"/>
      <c r="V1439" s="129"/>
      <c r="W1439" s="121"/>
      <c r="X1439" s="129">
        <f>SUM(X1436:X1438)</f>
        <v>2076.48</v>
      </c>
      <c r="AE1439" s="137">
        <f t="shared" si="190"/>
        <v>0</v>
      </c>
    </row>
    <row r="1440" spans="6:31" ht="24" customHeight="1">
      <c r="F1440" s="120" t="s">
        <v>85</v>
      </c>
      <c r="H1440" s="120" t="s">
        <v>495</v>
      </c>
      <c r="K1440" s="129">
        <f>SUM(K1433:K1438)</f>
        <v>2837.41</v>
      </c>
      <c r="N1440" s="116"/>
      <c r="O1440" s="274" t="s">
        <v>4388</v>
      </c>
      <c r="Q1440" s="117"/>
      <c r="S1440" s="142"/>
      <c r="T1440" s="126"/>
      <c r="U1440" s="125" t="s">
        <v>4387</v>
      </c>
      <c r="V1440" s="129"/>
      <c r="W1440" s="121"/>
      <c r="X1440" s="127">
        <f>X1439/S1438</f>
        <v>5768</v>
      </c>
      <c r="AE1440" s="137">
        <f t="shared" si="190"/>
        <v>0</v>
      </c>
    </row>
    <row r="1441" spans="6:31" ht="24" customHeight="1">
      <c r="H1441" s="114"/>
      <c r="I1441" s="114"/>
      <c r="J1441" s="178"/>
      <c r="K1441" s="179" t="s">
        <v>52</v>
      </c>
      <c r="M1441" s="201">
        <v>5.35</v>
      </c>
      <c r="N1441" s="126" t="s">
        <v>476</v>
      </c>
      <c r="O1441" s="191" t="s">
        <v>4378</v>
      </c>
      <c r="P1441" s="129">
        <f>P1425</f>
        <v>325</v>
      </c>
      <c r="Q1441" s="126" t="s">
        <v>476</v>
      </c>
      <c r="R1441" s="129">
        <f>P1441*M1441</f>
        <v>1738.75</v>
      </c>
      <c r="AE1441" s="137">
        <f t="shared" si="190"/>
        <v>0</v>
      </c>
    </row>
    <row r="1442" spans="6:31" ht="24" customHeight="1">
      <c r="H1442" s="128" t="s">
        <v>460</v>
      </c>
      <c r="I1442" s="114"/>
      <c r="J1442" s="178"/>
      <c r="K1442" s="127">
        <f>(K1440/10)</f>
        <v>283.74</v>
      </c>
      <c r="M1442" s="201">
        <v>7.58</v>
      </c>
      <c r="N1442" s="126" t="s">
        <v>476</v>
      </c>
      <c r="O1442" s="120" t="s">
        <v>3124</v>
      </c>
      <c r="P1442" s="129">
        <f t="shared" ref="P1442:P1452" si="198">P1426</f>
        <v>325</v>
      </c>
      <c r="Q1442" s="126" t="s">
        <v>476</v>
      </c>
      <c r="R1442" s="129">
        <f t="shared" ref="R1442:R1452" si="199">P1442*M1442</f>
        <v>2463.5</v>
      </c>
      <c r="T1442" s="116"/>
      <c r="U1442" s="274" t="s">
        <v>4389</v>
      </c>
      <c r="V1442" s="200" t="s">
        <v>4385</v>
      </c>
      <c r="AE1442" s="137">
        <f t="shared" si="190"/>
        <v>0</v>
      </c>
    </row>
    <row r="1443" spans="6:31" ht="24" customHeight="1">
      <c r="K1443" s="123" t="s">
        <v>89</v>
      </c>
      <c r="M1443" s="201">
        <v>13.15</v>
      </c>
      <c r="N1443" s="126" t="s">
        <v>476</v>
      </c>
      <c r="O1443" s="120" t="s">
        <v>3124</v>
      </c>
      <c r="P1443" s="129">
        <f t="shared" si="198"/>
        <v>325</v>
      </c>
      <c r="Q1443" s="126" t="s">
        <v>476</v>
      </c>
      <c r="R1443" s="129">
        <f t="shared" si="199"/>
        <v>4273.75</v>
      </c>
      <c r="S1443" s="142">
        <v>4.21</v>
      </c>
      <c r="T1443" s="126" t="s">
        <v>476</v>
      </c>
      <c r="U1443" s="120" t="s">
        <v>3124</v>
      </c>
      <c r="V1443" s="129">
        <f>P1482</f>
        <v>325</v>
      </c>
      <c r="W1443" s="121" t="s">
        <v>476</v>
      </c>
      <c r="X1443" s="129">
        <f>V1443*S1443</f>
        <v>1368.25</v>
      </c>
      <c r="AE1443" s="137">
        <f t="shared" si="190"/>
        <v>0</v>
      </c>
    </row>
    <row r="1444" spans="6:31" ht="24" customHeight="1">
      <c r="H1444" s="120" t="s">
        <v>85</v>
      </c>
      <c r="M1444" s="201">
        <v>2.31</v>
      </c>
      <c r="N1444" s="126" t="s">
        <v>476</v>
      </c>
      <c r="O1444" s="120" t="s">
        <v>3124</v>
      </c>
      <c r="P1444" s="129">
        <f t="shared" si="198"/>
        <v>325</v>
      </c>
      <c r="Q1444" s="126" t="s">
        <v>476</v>
      </c>
      <c r="R1444" s="129">
        <f t="shared" si="199"/>
        <v>750.75</v>
      </c>
      <c r="S1444" s="142">
        <v>0.45</v>
      </c>
      <c r="T1444" s="126" t="s">
        <v>468</v>
      </c>
      <c r="U1444" s="120" t="s">
        <v>3154</v>
      </c>
      <c r="V1444" s="129">
        <f>P1483</f>
        <v>306.89999999999998</v>
      </c>
      <c r="W1444" s="121" t="s">
        <v>476</v>
      </c>
      <c r="X1444" s="129">
        <f>V1444*S1444</f>
        <v>138.11000000000001</v>
      </c>
      <c r="AE1444" s="137">
        <f t="shared" si="190"/>
        <v>0</v>
      </c>
    </row>
    <row r="1445" spans="6:31" ht="24" customHeight="1">
      <c r="M1445" s="201">
        <v>2.44</v>
      </c>
      <c r="N1445" s="126" t="s">
        <v>468</v>
      </c>
      <c r="O1445" s="120" t="s">
        <v>3154</v>
      </c>
      <c r="P1445" s="140">
        <f t="shared" si="198"/>
        <v>306.89999999999998</v>
      </c>
      <c r="Q1445" s="126" t="s">
        <v>468</v>
      </c>
      <c r="R1445" s="129">
        <f t="shared" si="199"/>
        <v>748.84</v>
      </c>
      <c r="S1445" s="142">
        <v>0.45</v>
      </c>
      <c r="T1445" s="126" t="s">
        <v>468</v>
      </c>
      <c r="U1445" s="120" t="s">
        <v>3158</v>
      </c>
      <c r="V1445" s="129">
        <f>P1484</f>
        <v>2085.6</v>
      </c>
      <c r="W1445" s="121" t="s">
        <v>476</v>
      </c>
      <c r="X1445" s="129">
        <f>V1445*S1445</f>
        <v>938.52</v>
      </c>
      <c r="AE1445" s="137">
        <f t="shared" si="190"/>
        <v>0</v>
      </c>
    </row>
    <row r="1446" spans="6:31" ht="24" customHeight="1">
      <c r="F1446" s="121" t="s">
        <v>1627</v>
      </c>
      <c r="G1446" s="126" t="s">
        <v>111</v>
      </c>
      <c r="H1446" s="120" t="s">
        <v>1628</v>
      </c>
      <c r="M1446" s="201">
        <v>18.62</v>
      </c>
      <c r="N1446" s="126" t="s">
        <v>13</v>
      </c>
      <c r="O1446" s="191" t="s">
        <v>4379</v>
      </c>
      <c r="P1446" s="129">
        <f t="shared" si="198"/>
        <v>29.05</v>
      </c>
      <c r="Q1446" s="126" t="s">
        <v>13</v>
      </c>
      <c r="R1446" s="129">
        <f t="shared" si="199"/>
        <v>540.91</v>
      </c>
      <c r="S1446" s="142">
        <f>R1485-2967</f>
        <v>1249.8599999999999</v>
      </c>
      <c r="T1446" s="126"/>
      <c r="U1446" s="120"/>
      <c r="V1446" s="129"/>
      <c r="W1446" s="121"/>
      <c r="X1446" s="129">
        <f>SUM(X1443:X1445)</f>
        <v>2444.88</v>
      </c>
      <c r="AE1446" s="137">
        <f t="shared" si="190"/>
        <v>0</v>
      </c>
    </row>
    <row r="1447" spans="6:31" ht="24" customHeight="1">
      <c r="H1447" s="120" t="s">
        <v>1629</v>
      </c>
      <c r="M1447" s="201">
        <v>16</v>
      </c>
      <c r="N1447" s="126" t="s">
        <v>237</v>
      </c>
      <c r="O1447" s="191" t="s">
        <v>4380</v>
      </c>
      <c r="P1447" s="129">
        <f t="shared" si="198"/>
        <v>71.900000000000006</v>
      </c>
      <c r="Q1447" s="126" t="s">
        <v>237</v>
      </c>
      <c r="R1447" s="129">
        <f t="shared" si="199"/>
        <v>1150.4000000000001</v>
      </c>
      <c r="S1447" s="142"/>
      <c r="T1447" s="126"/>
      <c r="U1447" s="125" t="s">
        <v>4387</v>
      </c>
      <c r="V1447" s="129"/>
      <c r="W1447" s="121"/>
      <c r="X1447" s="127">
        <f>X1446/S1445</f>
        <v>5433.07</v>
      </c>
      <c r="Y1447" s="118"/>
      <c r="Z1447" s="116"/>
      <c r="AA1447" s="274" t="s">
        <v>4390</v>
      </c>
      <c r="AC1447" s="117"/>
      <c r="AE1447" s="137">
        <f t="shared" si="190"/>
        <v>0</v>
      </c>
    </row>
    <row r="1448" spans="6:31" ht="24" customHeight="1">
      <c r="H1448" s="120" t="s">
        <v>1630</v>
      </c>
      <c r="M1448" s="201">
        <v>8</v>
      </c>
      <c r="N1448" s="126" t="s">
        <v>237</v>
      </c>
      <c r="O1448" s="191" t="s">
        <v>4373</v>
      </c>
      <c r="P1448" s="129">
        <f t="shared" si="198"/>
        <v>57.65</v>
      </c>
      <c r="Q1448" s="126" t="s">
        <v>237</v>
      </c>
      <c r="R1448" s="129">
        <f t="shared" si="199"/>
        <v>461.2</v>
      </c>
      <c r="Y1448" s="142">
        <v>3.26</v>
      </c>
      <c r="Z1448" s="126" t="s">
        <v>476</v>
      </c>
      <c r="AA1448" s="120" t="s">
        <v>3124</v>
      </c>
      <c r="AB1448" s="129">
        <f t="shared" ref="AB1448:AB1459" si="200">V1450</f>
        <v>325</v>
      </c>
      <c r="AC1448" s="126" t="s">
        <v>476</v>
      </c>
      <c r="AD1448" s="129">
        <f t="shared" ref="AD1448:AD1459" si="201">AB1448*Y1448</f>
        <v>1059.5</v>
      </c>
      <c r="AE1448" s="137">
        <f t="shared" si="190"/>
        <v>0</v>
      </c>
    </row>
    <row r="1449" spans="6:31" ht="24" customHeight="1">
      <c r="H1449" s="120" t="s">
        <v>1631</v>
      </c>
      <c r="M1449" s="201">
        <v>8</v>
      </c>
      <c r="N1449" s="126" t="s">
        <v>237</v>
      </c>
      <c r="O1449" s="120" t="s">
        <v>4358</v>
      </c>
      <c r="P1449" s="129">
        <f t="shared" si="198"/>
        <v>30</v>
      </c>
      <c r="Q1449" s="126" t="s">
        <v>237</v>
      </c>
      <c r="R1449" s="129">
        <f t="shared" si="199"/>
        <v>240</v>
      </c>
      <c r="T1449" s="116"/>
      <c r="U1449" s="274" t="s">
        <v>4391</v>
      </c>
      <c r="Y1449" s="142">
        <v>0.84</v>
      </c>
      <c r="Z1449" s="126" t="s">
        <v>476</v>
      </c>
      <c r="AA1449" s="120" t="s">
        <v>3124</v>
      </c>
      <c r="AB1449" s="129">
        <f t="shared" si="200"/>
        <v>325</v>
      </c>
      <c r="AC1449" s="126" t="s">
        <v>476</v>
      </c>
      <c r="AD1449" s="129">
        <f t="shared" si="201"/>
        <v>273</v>
      </c>
      <c r="AE1449" s="137">
        <f t="shared" si="190"/>
        <v>0</v>
      </c>
    </row>
    <row r="1450" spans="6:31" ht="24" customHeight="1">
      <c r="H1450" s="123" t="s">
        <v>52</v>
      </c>
      <c r="I1450" s="123" t="s">
        <v>52</v>
      </c>
      <c r="M1450" s="201">
        <v>8</v>
      </c>
      <c r="N1450" s="126" t="s">
        <v>237</v>
      </c>
      <c r="O1450" s="120" t="s">
        <v>4359</v>
      </c>
      <c r="P1450" s="129">
        <f t="shared" si="198"/>
        <v>20</v>
      </c>
      <c r="Q1450" s="126" t="s">
        <v>237</v>
      </c>
      <c r="R1450" s="129">
        <f t="shared" si="199"/>
        <v>160</v>
      </c>
      <c r="S1450" s="142">
        <v>3.49</v>
      </c>
      <c r="T1450" s="126" t="s">
        <v>476</v>
      </c>
      <c r="U1450" s="120" t="s">
        <v>3124</v>
      </c>
      <c r="V1450" s="129">
        <f>P1489</f>
        <v>325</v>
      </c>
      <c r="W1450" s="121" t="s">
        <v>476</v>
      </c>
      <c r="X1450" s="129">
        <f>V1450*S1450</f>
        <v>1134.25</v>
      </c>
      <c r="Y1450" s="142">
        <v>3.65</v>
      </c>
      <c r="Z1450" s="126" t="s">
        <v>476</v>
      </c>
      <c r="AA1450" s="120" t="s">
        <v>3124</v>
      </c>
      <c r="AB1450" s="129">
        <f t="shared" si="200"/>
        <v>325</v>
      </c>
      <c r="AC1450" s="126" t="s">
        <v>476</v>
      </c>
      <c r="AD1450" s="129">
        <f t="shared" si="201"/>
        <v>1186.25</v>
      </c>
      <c r="AE1450" s="137">
        <f t="shared" si="190"/>
        <v>0</v>
      </c>
    </row>
    <row r="1451" spans="6:31" ht="24" customHeight="1">
      <c r="G1451" s="126" t="s">
        <v>956</v>
      </c>
      <c r="H1451" s="120" t="s">
        <v>1632</v>
      </c>
      <c r="M1451" s="201">
        <v>4</v>
      </c>
      <c r="N1451" s="126" t="s">
        <v>237</v>
      </c>
      <c r="O1451" s="120" t="s">
        <v>3219</v>
      </c>
      <c r="P1451" s="129">
        <f t="shared" si="198"/>
        <v>15</v>
      </c>
      <c r="Q1451" s="126" t="s">
        <v>237</v>
      </c>
      <c r="R1451" s="129">
        <f t="shared" si="199"/>
        <v>60</v>
      </c>
      <c r="S1451" s="142">
        <v>2.5299999999999998</v>
      </c>
      <c r="T1451" s="126" t="s">
        <v>476</v>
      </c>
      <c r="U1451" s="120" t="s">
        <v>3124</v>
      </c>
      <c r="V1451" s="129">
        <f t="shared" ref="V1451:V1461" si="202">P1490</f>
        <v>325</v>
      </c>
      <c r="W1451" s="121" t="s">
        <v>476</v>
      </c>
      <c r="X1451" s="129">
        <f t="shared" ref="X1451:X1461" si="203">V1451*S1451</f>
        <v>822.25</v>
      </c>
      <c r="Y1451" s="142">
        <v>0.64</v>
      </c>
      <c r="Z1451" s="126" t="s">
        <v>476</v>
      </c>
      <c r="AA1451" s="120" t="s">
        <v>3124</v>
      </c>
      <c r="AB1451" s="129">
        <f t="shared" si="200"/>
        <v>325</v>
      </c>
      <c r="AC1451" s="126" t="s">
        <v>476</v>
      </c>
      <c r="AD1451" s="129">
        <f t="shared" si="201"/>
        <v>208</v>
      </c>
      <c r="AE1451" s="137">
        <f t="shared" si="190"/>
        <v>0</v>
      </c>
    </row>
    <row r="1452" spans="6:31" ht="24" customHeight="1">
      <c r="G1452" s="126" t="s">
        <v>52</v>
      </c>
      <c r="H1452" s="123" t="s">
        <v>52</v>
      </c>
      <c r="M1452" s="201">
        <f>1.8*1.65</f>
        <v>2.97</v>
      </c>
      <c r="N1452" s="126" t="s">
        <v>724</v>
      </c>
      <c r="O1452" s="120" t="s">
        <v>3158</v>
      </c>
      <c r="P1452" s="129">
        <f t="shared" si="198"/>
        <v>2085.6</v>
      </c>
      <c r="Q1452" s="126" t="s">
        <v>724</v>
      </c>
      <c r="R1452" s="129">
        <f t="shared" si="199"/>
        <v>6194.23</v>
      </c>
      <c r="S1452" s="142">
        <v>5.7549999999999999</v>
      </c>
      <c r="T1452" s="126" t="s">
        <v>476</v>
      </c>
      <c r="U1452" s="120" t="s">
        <v>3124</v>
      </c>
      <c r="V1452" s="129">
        <f t="shared" si="202"/>
        <v>325</v>
      </c>
      <c r="W1452" s="121" t="s">
        <v>476</v>
      </c>
      <c r="X1452" s="129">
        <f t="shared" si="203"/>
        <v>1870.38</v>
      </c>
      <c r="Y1452" s="142">
        <v>0.84099999999999997</v>
      </c>
      <c r="Z1452" s="126" t="s">
        <v>468</v>
      </c>
      <c r="AA1452" s="120" t="s">
        <v>3154</v>
      </c>
      <c r="AB1452" s="129">
        <f t="shared" si="200"/>
        <v>306.89999999999998</v>
      </c>
      <c r="AC1452" s="126" t="s">
        <v>468</v>
      </c>
      <c r="AD1452" s="129">
        <f t="shared" si="201"/>
        <v>258.10000000000002</v>
      </c>
      <c r="AE1452" s="137">
        <f t="shared" si="190"/>
        <v>0</v>
      </c>
    </row>
    <row r="1453" spans="6:31" ht="24" customHeight="1">
      <c r="F1453" s="201">
        <v>1.4E-2</v>
      </c>
      <c r="G1453" s="126" t="s">
        <v>5</v>
      </c>
      <c r="H1453" s="120" t="s">
        <v>1633</v>
      </c>
      <c r="I1453" s="129">
        <f>K49</f>
        <v>3502.94</v>
      </c>
      <c r="J1453" s="120" t="s">
        <v>5</v>
      </c>
      <c r="K1453" s="129">
        <f>(F1453*I1453)</f>
        <v>49.04</v>
      </c>
      <c r="N1453" s="116"/>
      <c r="O1453" s="120" t="s">
        <v>3159</v>
      </c>
      <c r="Q1453" s="119"/>
      <c r="R1453" s="129">
        <v>0.78</v>
      </c>
      <c r="S1453" s="142">
        <v>1.0009999999999999</v>
      </c>
      <c r="T1453" s="126" t="s">
        <v>476</v>
      </c>
      <c r="U1453" s="120" t="s">
        <v>3124</v>
      </c>
      <c r="V1453" s="129">
        <f t="shared" si="202"/>
        <v>325</v>
      </c>
      <c r="W1453" s="121" t="s">
        <v>476</v>
      </c>
      <c r="X1453" s="129">
        <f t="shared" si="203"/>
        <v>325.33</v>
      </c>
      <c r="Y1453" s="142">
        <v>5.1959999999999997</v>
      </c>
      <c r="Z1453" s="126" t="s">
        <v>13</v>
      </c>
      <c r="AA1453" s="120" t="s">
        <v>3155</v>
      </c>
      <c r="AB1453" s="129">
        <f t="shared" si="200"/>
        <v>29.05</v>
      </c>
      <c r="AC1453" s="126" t="s">
        <v>13</v>
      </c>
      <c r="AD1453" s="129">
        <f t="shared" si="201"/>
        <v>150.94</v>
      </c>
      <c r="AE1453" s="137">
        <f t="shared" si="190"/>
        <v>0</v>
      </c>
    </row>
    <row r="1454" spans="6:31" ht="24" customHeight="1">
      <c r="F1454" s="129">
        <v>0.3</v>
      </c>
      <c r="G1454" s="126" t="s">
        <v>727</v>
      </c>
      <c r="H1454" s="120" t="s">
        <v>1634</v>
      </c>
      <c r="I1454" s="129">
        <f>C10</f>
        <v>1041.7</v>
      </c>
      <c r="J1454" s="120" t="s">
        <v>727</v>
      </c>
      <c r="K1454" s="129">
        <f>(F1454*I1454)</f>
        <v>312.51</v>
      </c>
      <c r="R1454" s="127">
        <f>SUM(R1441:R1453)</f>
        <v>18783.11</v>
      </c>
      <c r="S1454" s="142">
        <f>1.012</f>
        <v>1.012</v>
      </c>
      <c r="T1454" s="126" t="s">
        <v>468</v>
      </c>
      <c r="U1454" s="120" t="s">
        <v>3154</v>
      </c>
      <c r="V1454" s="129">
        <f t="shared" si="202"/>
        <v>306.89999999999998</v>
      </c>
      <c r="W1454" s="121" t="s">
        <v>468</v>
      </c>
      <c r="X1454" s="129">
        <f t="shared" si="203"/>
        <v>310.58</v>
      </c>
      <c r="Y1454" s="142">
        <v>4</v>
      </c>
      <c r="Z1454" s="126" t="s">
        <v>237</v>
      </c>
      <c r="AA1454" s="120" t="s">
        <v>4353</v>
      </c>
      <c r="AB1454" s="129">
        <f t="shared" si="200"/>
        <v>71.900000000000006</v>
      </c>
      <c r="AC1454" s="126" t="s">
        <v>237</v>
      </c>
      <c r="AD1454" s="129">
        <f t="shared" si="201"/>
        <v>287.60000000000002</v>
      </c>
      <c r="AE1454" s="137">
        <f t="shared" si="190"/>
        <v>0</v>
      </c>
    </row>
    <row r="1455" spans="6:31" ht="24" customHeight="1">
      <c r="F1455" s="129">
        <v>0.3</v>
      </c>
      <c r="G1455" s="126" t="s">
        <v>727</v>
      </c>
      <c r="H1455" s="120" t="s">
        <v>731</v>
      </c>
      <c r="I1455" s="129">
        <f>C12</f>
        <v>679.8</v>
      </c>
      <c r="J1455" s="120" t="s">
        <v>727</v>
      </c>
      <c r="K1455" s="129">
        <f>(F1455*I1455)</f>
        <v>203.94</v>
      </c>
      <c r="R1455" s="115">
        <f>R1454/M1452</f>
        <v>6324.28</v>
      </c>
      <c r="S1455" s="142" t="s">
        <v>724</v>
      </c>
      <c r="T1455" s="126" t="s">
        <v>13</v>
      </c>
      <c r="U1455" s="120" t="s">
        <v>3155</v>
      </c>
      <c r="V1455" s="129">
        <f t="shared" si="202"/>
        <v>29.05</v>
      </c>
      <c r="W1455" s="121" t="s">
        <v>13</v>
      </c>
      <c r="X1455" s="129" t="e">
        <f t="shared" si="203"/>
        <v>#VALUE!</v>
      </c>
      <c r="Y1455" s="142">
        <v>2</v>
      </c>
      <c r="Z1455" s="126" t="s">
        <v>237</v>
      </c>
      <c r="AA1455" s="120" t="s">
        <v>4355</v>
      </c>
      <c r="AB1455" s="129">
        <f t="shared" si="200"/>
        <v>57.65</v>
      </c>
      <c r="AC1455" s="126" t="s">
        <v>237</v>
      </c>
      <c r="AD1455" s="129">
        <f t="shared" si="201"/>
        <v>115.3</v>
      </c>
      <c r="AE1455" s="137">
        <f t="shared" si="190"/>
        <v>0</v>
      </c>
    </row>
    <row r="1456" spans="6:31" ht="24" customHeight="1">
      <c r="G1456" s="126" t="s">
        <v>145</v>
      </c>
      <c r="H1456" s="120" t="s">
        <v>1557</v>
      </c>
      <c r="J1456" s="120" t="s">
        <v>145</v>
      </c>
      <c r="K1456" s="115">
        <v>5</v>
      </c>
      <c r="S1456" s="142">
        <v>8</v>
      </c>
      <c r="T1456" s="126" t="s">
        <v>237</v>
      </c>
      <c r="U1456" s="120" t="s">
        <v>4353</v>
      </c>
      <c r="V1456" s="129">
        <f t="shared" si="202"/>
        <v>71.900000000000006</v>
      </c>
      <c r="W1456" s="121" t="s">
        <v>237</v>
      </c>
      <c r="X1456" s="129">
        <f t="shared" si="203"/>
        <v>575.20000000000005</v>
      </c>
      <c r="Y1456" s="142">
        <v>2</v>
      </c>
      <c r="Z1456" s="126" t="s">
        <v>237</v>
      </c>
      <c r="AA1456" s="120" t="s">
        <v>4358</v>
      </c>
      <c r="AB1456" s="129">
        <f t="shared" si="200"/>
        <v>30</v>
      </c>
      <c r="AC1456" s="126" t="s">
        <v>237</v>
      </c>
      <c r="AD1456" s="129">
        <f t="shared" si="201"/>
        <v>60</v>
      </c>
      <c r="AE1456" s="137">
        <f t="shared" si="190"/>
        <v>0</v>
      </c>
    </row>
    <row r="1457" spans="6:31" ht="24" customHeight="1">
      <c r="K1457" s="123" t="s">
        <v>52</v>
      </c>
      <c r="N1457" s="116"/>
      <c r="O1457" s="274" t="s">
        <v>4392</v>
      </c>
      <c r="Q1457" s="117"/>
      <c r="S1457" s="142">
        <v>4</v>
      </c>
      <c r="T1457" s="126" t="s">
        <v>237</v>
      </c>
      <c r="U1457" s="120" t="s">
        <v>4355</v>
      </c>
      <c r="V1457" s="129">
        <f t="shared" si="202"/>
        <v>57.65</v>
      </c>
      <c r="W1457" s="121" t="s">
        <v>237</v>
      </c>
      <c r="X1457" s="129">
        <f t="shared" si="203"/>
        <v>230.6</v>
      </c>
      <c r="Y1457" s="142">
        <v>2</v>
      </c>
      <c r="Z1457" s="126" t="s">
        <v>237</v>
      </c>
      <c r="AA1457" s="120" t="s">
        <v>4359</v>
      </c>
      <c r="AB1457" s="129">
        <f t="shared" si="200"/>
        <v>20</v>
      </c>
      <c r="AC1457" s="126" t="s">
        <v>237</v>
      </c>
      <c r="AD1457" s="129">
        <f t="shared" si="201"/>
        <v>40</v>
      </c>
      <c r="AE1457" s="137">
        <f t="shared" si="190"/>
        <v>0</v>
      </c>
    </row>
    <row r="1458" spans="6:31" ht="24" customHeight="1">
      <c r="H1458" s="121" t="s">
        <v>1635</v>
      </c>
      <c r="K1458" s="129">
        <f>SUM(K1453:K1456)</f>
        <v>570.49</v>
      </c>
      <c r="M1458" s="201">
        <v>10.75</v>
      </c>
      <c r="N1458" s="126" t="s">
        <v>476</v>
      </c>
      <c r="O1458" s="191" t="s">
        <v>4378</v>
      </c>
      <c r="P1458" s="129">
        <f>P1441</f>
        <v>325</v>
      </c>
      <c r="Q1458" s="126" t="s">
        <v>476</v>
      </c>
      <c r="R1458" s="129">
        <f>P1458*M1458</f>
        <v>3493.75</v>
      </c>
      <c r="S1458" s="142">
        <v>4</v>
      </c>
      <c r="T1458" s="126" t="s">
        <v>237</v>
      </c>
      <c r="U1458" s="120" t="s">
        <v>4358</v>
      </c>
      <c r="V1458" s="129">
        <f t="shared" si="202"/>
        <v>30</v>
      </c>
      <c r="W1458" s="121" t="s">
        <v>237</v>
      </c>
      <c r="X1458" s="129">
        <f t="shared" si="203"/>
        <v>120</v>
      </c>
      <c r="Y1458" s="142">
        <v>4</v>
      </c>
      <c r="Z1458" s="126" t="s">
        <v>237</v>
      </c>
      <c r="AA1458" s="120" t="s">
        <v>3219</v>
      </c>
      <c r="AB1458" s="129">
        <f t="shared" si="200"/>
        <v>15</v>
      </c>
      <c r="AC1458" s="126" t="s">
        <v>237</v>
      </c>
      <c r="AD1458" s="129">
        <f t="shared" si="201"/>
        <v>60</v>
      </c>
      <c r="AE1458" s="137">
        <f t="shared" si="190"/>
        <v>0</v>
      </c>
    </row>
    <row r="1459" spans="6:31" ht="24" customHeight="1">
      <c r="K1459" s="123" t="s">
        <v>52</v>
      </c>
      <c r="M1459" s="201">
        <v>0.99199999999999999</v>
      </c>
      <c r="N1459" s="126" t="s">
        <v>476</v>
      </c>
      <c r="O1459" s="120" t="s">
        <v>3124</v>
      </c>
      <c r="P1459" s="129">
        <f t="shared" ref="P1459:P1469" si="204">P1442</f>
        <v>325</v>
      </c>
      <c r="Q1459" s="126" t="s">
        <v>476</v>
      </c>
      <c r="R1459" s="129">
        <f t="shared" ref="R1459:R1469" si="205">P1459*M1459</f>
        <v>322.39999999999998</v>
      </c>
      <c r="S1459" s="142">
        <v>4</v>
      </c>
      <c r="T1459" s="126" t="s">
        <v>237</v>
      </c>
      <c r="U1459" s="120" t="s">
        <v>4359</v>
      </c>
      <c r="V1459" s="129">
        <f t="shared" si="202"/>
        <v>20</v>
      </c>
      <c r="W1459" s="121" t="s">
        <v>237</v>
      </c>
      <c r="X1459" s="129">
        <f t="shared" si="203"/>
        <v>80</v>
      </c>
      <c r="Y1459" s="142">
        <v>1.01</v>
      </c>
      <c r="Z1459" s="126" t="s">
        <v>724</v>
      </c>
      <c r="AA1459" s="120" t="s">
        <v>3158</v>
      </c>
      <c r="AB1459" s="129">
        <f t="shared" si="200"/>
        <v>2085.6</v>
      </c>
      <c r="AC1459" s="126" t="s">
        <v>724</v>
      </c>
      <c r="AD1459" s="129">
        <f t="shared" si="201"/>
        <v>2106.46</v>
      </c>
      <c r="AE1459" s="137">
        <f t="shared" si="190"/>
        <v>0</v>
      </c>
    </row>
    <row r="1460" spans="6:31" ht="24" customHeight="1">
      <c r="H1460" s="128" t="s">
        <v>1636</v>
      </c>
      <c r="I1460" s="114"/>
      <c r="J1460" s="178"/>
      <c r="K1460" s="127">
        <f>K1458/6.77</f>
        <v>84.27</v>
      </c>
      <c r="M1460" s="201">
        <v>0</v>
      </c>
      <c r="N1460" s="126" t="s">
        <v>476</v>
      </c>
      <c r="O1460" s="120" t="s">
        <v>3124</v>
      </c>
      <c r="P1460" s="129">
        <f t="shared" si="204"/>
        <v>325</v>
      </c>
      <c r="Q1460" s="126" t="s">
        <v>476</v>
      </c>
      <c r="R1460" s="129">
        <f t="shared" si="205"/>
        <v>0</v>
      </c>
      <c r="S1460" s="142">
        <v>4</v>
      </c>
      <c r="T1460" s="126" t="s">
        <v>237</v>
      </c>
      <c r="U1460" s="120" t="s">
        <v>3219</v>
      </c>
      <c r="V1460" s="129">
        <f t="shared" si="202"/>
        <v>15</v>
      </c>
      <c r="W1460" s="121" t="s">
        <v>237</v>
      </c>
      <c r="X1460" s="129">
        <f t="shared" si="203"/>
        <v>60</v>
      </c>
      <c r="Y1460" s="118"/>
      <c r="Z1460" s="116"/>
      <c r="AA1460" s="120" t="s">
        <v>3159</v>
      </c>
      <c r="AC1460" s="119"/>
      <c r="AD1460" s="129">
        <v>0.84</v>
      </c>
      <c r="AE1460" s="137">
        <f t="shared" si="190"/>
        <v>0</v>
      </c>
    </row>
    <row r="1461" spans="6:31" ht="24" customHeight="1">
      <c r="F1461" s="120" t="s">
        <v>85</v>
      </c>
      <c r="M1461" s="201">
        <v>0</v>
      </c>
      <c r="N1461" s="126" t="s">
        <v>476</v>
      </c>
      <c r="O1461" s="120" t="s">
        <v>3124</v>
      </c>
      <c r="P1461" s="129">
        <f t="shared" si="204"/>
        <v>325</v>
      </c>
      <c r="Q1461" s="126" t="s">
        <v>476</v>
      </c>
      <c r="R1461" s="129">
        <f t="shared" si="205"/>
        <v>0</v>
      </c>
      <c r="S1461" s="142">
        <v>1.26</v>
      </c>
      <c r="T1461" s="126" t="s">
        <v>724</v>
      </c>
      <c r="U1461" s="120" t="s">
        <v>3158</v>
      </c>
      <c r="V1461" s="129">
        <f t="shared" si="202"/>
        <v>2085.6</v>
      </c>
      <c r="W1461" s="121" t="s">
        <v>724</v>
      </c>
      <c r="X1461" s="129">
        <f t="shared" si="203"/>
        <v>2627.86</v>
      </c>
      <c r="Y1461" s="118"/>
      <c r="AA1461" s="125" t="s">
        <v>3220</v>
      </c>
      <c r="AD1461" s="127">
        <f>SUM(AD1448:AD1460)</f>
        <v>5805.99</v>
      </c>
      <c r="AE1461" s="137">
        <f t="shared" si="190"/>
        <v>0</v>
      </c>
    </row>
    <row r="1462" spans="6:31" ht="24" customHeight="1">
      <c r="K1462" s="123" t="s">
        <v>89</v>
      </c>
      <c r="M1462" s="201">
        <v>1.89</v>
      </c>
      <c r="N1462" s="126" t="s">
        <v>468</v>
      </c>
      <c r="O1462" s="120" t="s">
        <v>3154</v>
      </c>
      <c r="P1462" s="140">
        <f t="shared" si="204"/>
        <v>306.89999999999998</v>
      </c>
      <c r="Q1462" s="126" t="s">
        <v>468</v>
      </c>
      <c r="R1462" s="129">
        <f t="shared" si="205"/>
        <v>580.04</v>
      </c>
      <c r="T1462" s="116"/>
      <c r="U1462" s="120" t="s">
        <v>3159</v>
      </c>
      <c r="X1462" s="129">
        <v>0.14000000000000001</v>
      </c>
      <c r="AE1462" s="137">
        <f t="shared" si="190"/>
        <v>0</v>
      </c>
    </row>
    <row r="1463" spans="6:31" ht="24" customHeight="1">
      <c r="G1463" s="126" t="s">
        <v>986</v>
      </c>
      <c r="H1463" s="120" t="s">
        <v>1637</v>
      </c>
      <c r="M1463" s="201">
        <v>8</v>
      </c>
      <c r="N1463" s="126" t="s">
        <v>13</v>
      </c>
      <c r="O1463" s="191" t="s">
        <v>4379</v>
      </c>
      <c r="P1463" s="129">
        <f t="shared" si="204"/>
        <v>29.05</v>
      </c>
      <c r="Q1463" s="126" t="s">
        <v>13</v>
      </c>
      <c r="R1463" s="129">
        <f t="shared" si="205"/>
        <v>232.4</v>
      </c>
      <c r="U1463" s="125" t="s">
        <v>3220</v>
      </c>
      <c r="X1463" s="127" t="e">
        <f>SUM(X1450:X1462)</f>
        <v>#VALUE!</v>
      </c>
      <c r="AE1463" s="137">
        <f t="shared" si="190"/>
        <v>0</v>
      </c>
    </row>
    <row r="1464" spans="6:31" ht="24" customHeight="1">
      <c r="G1464" s="126" t="s">
        <v>52</v>
      </c>
      <c r="H1464" s="123" t="s">
        <v>52</v>
      </c>
      <c r="M1464" s="201">
        <v>0</v>
      </c>
      <c r="N1464" s="126" t="s">
        <v>237</v>
      </c>
      <c r="O1464" s="191" t="s">
        <v>4380</v>
      </c>
      <c r="P1464" s="129">
        <f t="shared" si="204"/>
        <v>71.900000000000006</v>
      </c>
      <c r="Q1464" s="126" t="s">
        <v>237</v>
      </c>
      <c r="R1464" s="129">
        <f t="shared" si="205"/>
        <v>0</v>
      </c>
      <c r="AE1464" s="137">
        <f t="shared" si="190"/>
        <v>0</v>
      </c>
    </row>
    <row r="1465" spans="6:31" ht="24" customHeight="1">
      <c r="F1465" s="201">
        <v>7.0000000000000001E-3</v>
      </c>
      <c r="G1465" s="126" t="s">
        <v>5</v>
      </c>
      <c r="H1465" s="120" t="s">
        <v>1633</v>
      </c>
      <c r="I1465" s="129">
        <f>K49</f>
        <v>3502.94</v>
      </c>
      <c r="J1465" s="120" t="s">
        <v>5</v>
      </c>
      <c r="K1465" s="129">
        <f>(F1465*I1465)</f>
        <v>24.52</v>
      </c>
      <c r="M1465" s="201">
        <v>0</v>
      </c>
      <c r="N1465" s="126" t="s">
        <v>237</v>
      </c>
      <c r="O1465" s="191" t="s">
        <v>4373</v>
      </c>
      <c r="P1465" s="129">
        <f t="shared" si="204"/>
        <v>57.65</v>
      </c>
      <c r="Q1465" s="126" t="s">
        <v>237</v>
      </c>
      <c r="R1465" s="129">
        <f t="shared" si="205"/>
        <v>0</v>
      </c>
      <c r="AE1465" s="137">
        <f t="shared" si="190"/>
        <v>0</v>
      </c>
    </row>
    <row r="1466" spans="6:31" ht="24" customHeight="1">
      <c r="F1466" s="129">
        <v>0.2</v>
      </c>
      <c r="G1466" s="126" t="s">
        <v>727</v>
      </c>
      <c r="H1466" s="120" t="s">
        <v>1634</v>
      </c>
      <c r="I1466" s="129">
        <f>C10</f>
        <v>1041.7</v>
      </c>
      <c r="J1466" s="120" t="s">
        <v>727</v>
      </c>
      <c r="K1466" s="129">
        <f>(F1466*I1466)</f>
        <v>208.34</v>
      </c>
      <c r="M1466" s="201">
        <v>0</v>
      </c>
      <c r="N1466" s="126" t="s">
        <v>237</v>
      </c>
      <c r="O1466" s="120" t="s">
        <v>4358</v>
      </c>
      <c r="P1466" s="129">
        <f t="shared" si="204"/>
        <v>30</v>
      </c>
      <c r="Q1466" s="126" t="s">
        <v>237</v>
      </c>
      <c r="R1466" s="129">
        <f t="shared" si="205"/>
        <v>0</v>
      </c>
      <c r="T1466" s="116"/>
      <c r="U1466" s="274" t="s">
        <v>4393</v>
      </c>
      <c r="V1466" s="200" t="s">
        <v>4385</v>
      </c>
      <c r="AE1466" s="137">
        <f t="shared" si="190"/>
        <v>0</v>
      </c>
    </row>
    <row r="1467" spans="6:31" ht="24" customHeight="1">
      <c r="F1467" s="129">
        <v>0.2</v>
      </c>
      <c r="G1467" s="126" t="s">
        <v>727</v>
      </c>
      <c r="H1467" s="120" t="s">
        <v>731</v>
      </c>
      <c r="I1467" s="129">
        <f>C12</f>
        <v>679.8</v>
      </c>
      <c r="J1467" s="120" t="s">
        <v>727</v>
      </c>
      <c r="K1467" s="129">
        <f>(F1467*I1467)</f>
        <v>135.96</v>
      </c>
      <c r="M1467" s="201">
        <v>0</v>
      </c>
      <c r="N1467" s="126" t="s">
        <v>237</v>
      </c>
      <c r="O1467" s="120" t="s">
        <v>4359</v>
      </c>
      <c r="P1467" s="129">
        <f t="shared" si="204"/>
        <v>20</v>
      </c>
      <c r="Q1467" s="126" t="s">
        <v>237</v>
      </c>
      <c r="R1467" s="129">
        <f t="shared" si="205"/>
        <v>0</v>
      </c>
      <c r="S1467" s="142">
        <v>6.81</v>
      </c>
      <c r="T1467" s="126" t="s">
        <v>476</v>
      </c>
      <c r="U1467" s="120" t="s">
        <v>3124</v>
      </c>
      <c r="V1467" s="129">
        <f>V1443</f>
        <v>325</v>
      </c>
      <c r="W1467" s="121" t="s">
        <v>476</v>
      </c>
      <c r="X1467" s="129">
        <f>V1467*S1467</f>
        <v>2213.25</v>
      </c>
      <c r="AE1467" s="137">
        <f t="shared" si="190"/>
        <v>0</v>
      </c>
    </row>
    <row r="1468" spans="6:31" ht="24" customHeight="1">
      <c r="H1468" s="120" t="s">
        <v>1557</v>
      </c>
      <c r="K1468" s="115">
        <v>5</v>
      </c>
      <c r="M1468" s="201">
        <v>0</v>
      </c>
      <c r="N1468" s="126" t="s">
        <v>237</v>
      </c>
      <c r="O1468" s="120" t="s">
        <v>3219</v>
      </c>
      <c r="P1468" s="129">
        <f t="shared" si="204"/>
        <v>15</v>
      </c>
      <c r="Q1468" s="126" t="s">
        <v>237</v>
      </c>
      <c r="R1468" s="129">
        <f t="shared" si="205"/>
        <v>0</v>
      </c>
      <c r="S1468" s="142">
        <v>0.77100000000000002</v>
      </c>
      <c r="T1468" s="126" t="s">
        <v>468</v>
      </c>
      <c r="U1468" s="120" t="s">
        <v>3154</v>
      </c>
      <c r="V1468" s="129">
        <f>V1444</f>
        <v>306.89999999999998</v>
      </c>
      <c r="W1468" s="121" t="s">
        <v>476</v>
      </c>
      <c r="X1468" s="129">
        <f>V1468*S1468</f>
        <v>236.62</v>
      </c>
      <c r="AE1468" s="137">
        <f t="shared" si="190"/>
        <v>0</v>
      </c>
    </row>
    <row r="1469" spans="6:31" ht="24" customHeight="1">
      <c r="K1469" s="123" t="s">
        <v>52</v>
      </c>
      <c r="M1469" s="201">
        <v>1.89</v>
      </c>
      <c r="N1469" s="126" t="s">
        <v>724</v>
      </c>
      <c r="O1469" s="120" t="s">
        <v>3158</v>
      </c>
      <c r="P1469" s="129">
        <f t="shared" si="204"/>
        <v>2085.6</v>
      </c>
      <c r="Q1469" s="126" t="s">
        <v>724</v>
      </c>
      <c r="R1469" s="129">
        <f t="shared" si="205"/>
        <v>3941.78</v>
      </c>
      <c r="S1469" s="142">
        <v>0.77100000000000002</v>
      </c>
      <c r="T1469" s="126" t="s">
        <v>468</v>
      </c>
      <c r="U1469" s="120" t="s">
        <v>3158</v>
      </c>
      <c r="V1469" s="129">
        <f>V1445</f>
        <v>2085.6</v>
      </c>
      <c r="W1469" s="121" t="s">
        <v>476</v>
      </c>
      <c r="X1469" s="129">
        <f>V1469*S1469</f>
        <v>1608</v>
      </c>
      <c r="AE1469" s="137">
        <f t="shared" si="190"/>
        <v>0</v>
      </c>
    </row>
    <row r="1470" spans="6:31" ht="24" customHeight="1">
      <c r="H1470" s="121" t="s">
        <v>1635</v>
      </c>
      <c r="K1470" s="129">
        <f>SUM(K1465:K1468)</f>
        <v>373.82</v>
      </c>
      <c r="N1470" s="116"/>
      <c r="O1470" s="120" t="s">
        <v>3159</v>
      </c>
      <c r="Q1470" s="119"/>
      <c r="R1470" s="129">
        <v>0.28000000000000003</v>
      </c>
      <c r="S1470" s="142"/>
      <c r="T1470" s="126"/>
      <c r="U1470" s="120"/>
      <c r="V1470" s="129"/>
      <c r="W1470" s="121"/>
      <c r="X1470" s="129">
        <f>SUM(X1467:X1469)</f>
        <v>4057.87</v>
      </c>
      <c r="AE1470" s="137">
        <f t="shared" ref="AE1470:AE1533" si="206">AG1470</f>
        <v>0</v>
      </c>
    </row>
    <row r="1471" spans="6:31" ht="24" customHeight="1">
      <c r="K1471" s="123" t="s">
        <v>52</v>
      </c>
      <c r="R1471" s="127">
        <f>SUM(R1458:R1470)</f>
        <v>8570.65</v>
      </c>
      <c r="S1471" s="142"/>
      <c r="T1471" s="126"/>
      <c r="U1471" s="125" t="s">
        <v>4387</v>
      </c>
      <c r="V1471" s="129"/>
      <c r="W1471" s="121"/>
      <c r="X1471" s="127">
        <f>X1470/S1469</f>
        <v>5263.13</v>
      </c>
      <c r="AE1471" s="137">
        <f t="shared" si="206"/>
        <v>0</v>
      </c>
    </row>
    <row r="1472" spans="6:31" ht="24" customHeight="1">
      <c r="H1472" s="128" t="s">
        <v>1636</v>
      </c>
      <c r="I1472" s="114"/>
      <c r="J1472" s="178"/>
      <c r="K1472" s="127">
        <f>K1470/6.77</f>
        <v>55.22</v>
      </c>
      <c r="AE1472" s="137">
        <f t="shared" si="206"/>
        <v>0</v>
      </c>
    </row>
    <row r="1473" spans="6:31" ht="24" customHeight="1">
      <c r="K1473" s="123" t="s">
        <v>89</v>
      </c>
      <c r="AE1473" s="137">
        <f t="shared" si="206"/>
        <v>0</v>
      </c>
    </row>
    <row r="1474" spans="6:31" ht="24" customHeight="1">
      <c r="K1474" s="123"/>
      <c r="N1474" s="116"/>
      <c r="O1474" s="274" t="s">
        <v>4394</v>
      </c>
      <c r="P1474" s="1812" t="s">
        <v>4385</v>
      </c>
      <c r="Q1474" s="1812"/>
      <c r="R1474" s="1812"/>
      <c r="S1474" s="1813"/>
      <c r="T1474" s="1813"/>
      <c r="U1474" s="1813"/>
      <c r="V1474" s="315"/>
      <c r="W1474" s="315"/>
      <c r="AE1474" s="137">
        <f t="shared" si="206"/>
        <v>0</v>
      </c>
    </row>
    <row r="1475" spans="6:31" ht="24" customHeight="1">
      <c r="K1475" s="123"/>
      <c r="M1475" s="201">
        <v>4.67</v>
      </c>
      <c r="N1475" s="126" t="s">
        <v>476</v>
      </c>
      <c r="O1475" s="191" t="s">
        <v>4378</v>
      </c>
      <c r="P1475" s="129">
        <f>P1458</f>
        <v>325</v>
      </c>
      <c r="Q1475" s="126" t="s">
        <v>476</v>
      </c>
      <c r="R1475" s="129">
        <f>P1475*M1475</f>
        <v>1517.75</v>
      </c>
      <c r="S1475" s="201"/>
      <c r="T1475" s="126"/>
      <c r="U1475" s="120"/>
      <c r="V1475" s="129"/>
      <c r="W1475" s="121"/>
      <c r="X1475" s="129"/>
      <c r="AE1475" s="137">
        <f t="shared" si="206"/>
        <v>0</v>
      </c>
    </row>
    <row r="1476" spans="6:31" ht="24" customHeight="1">
      <c r="G1476" s="126" t="s">
        <v>1018</v>
      </c>
      <c r="H1476" s="120" t="s">
        <v>1638</v>
      </c>
      <c r="K1476" s="123"/>
      <c r="M1476" s="201">
        <v>0.54</v>
      </c>
      <c r="N1476" s="126" t="s">
        <v>468</v>
      </c>
      <c r="O1476" s="120" t="s">
        <v>3154</v>
      </c>
      <c r="P1476" s="140">
        <f>P1462</f>
        <v>306.89999999999998</v>
      </c>
      <c r="Q1476" s="126" t="s">
        <v>476</v>
      </c>
      <c r="R1476" s="129">
        <f>P1476*M1476</f>
        <v>165.73</v>
      </c>
      <c r="S1476" s="201"/>
      <c r="T1476" s="126"/>
      <c r="U1476" s="120"/>
      <c r="V1476" s="129"/>
      <c r="W1476" s="121"/>
      <c r="X1476" s="129"/>
      <c r="AE1476" s="137">
        <f t="shared" si="206"/>
        <v>0</v>
      </c>
    </row>
    <row r="1477" spans="6:31" ht="24" customHeight="1">
      <c r="G1477" s="126" t="s">
        <v>52</v>
      </c>
      <c r="H1477" s="123" t="s">
        <v>52</v>
      </c>
      <c r="K1477" s="123"/>
      <c r="M1477" s="201">
        <v>0.54</v>
      </c>
      <c r="N1477" s="126" t="s">
        <v>468</v>
      </c>
      <c r="O1477" s="120" t="s">
        <v>3158</v>
      </c>
      <c r="P1477" s="129">
        <f>P1469</f>
        <v>2085.6</v>
      </c>
      <c r="Q1477" s="126" t="s">
        <v>476</v>
      </c>
      <c r="R1477" s="129">
        <f>P1477*M1477</f>
        <v>1126.22</v>
      </c>
      <c r="S1477" s="201"/>
      <c r="T1477" s="126"/>
      <c r="U1477" s="120"/>
      <c r="V1477" s="129"/>
      <c r="W1477" s="121"/>
      <c r="X1477" s="129"/>
      <c r="AE1477" s="137">
        <f t="shared" si="206"/>
        <v>0</v>
      </c>
    </row>
    <row r="1478" spans="6:31" ht="24" customHeight="1">
      <c r="F1478" s="201">
        <v>4.7000000000000002E-3</v>
      </c>
      <c r="G1478" s="126" t="s">
        <v>5</v>
      </c>
      <c r="H1478" s="120" t="s">
        <v>1633</v>
      </c>
      <c r="I1478" s="115">
        <f>K49</f>
        <v>3502.94</v>
      </c>
      <c r="J1478" s="120" t="s">
        <v>5</v>
      </c>
      <c r="K1478" s="129">
        <f>(F1478*I1478)</f>
        <v>16.46</v>
      </c>
      <c r="M1478" s="201"/>
      <c r="N1478" s="126"/>
      <c r="O1478" s="120"/>
      <c r="P1478" s="129"/>
      <c r="Q1478" s="126"/>
      <c r="R1478" s="129">
        <f>SUM(R1475:R1477)</f>
        <v>2809.7</v>
      </c>
      <c r="S1478" s="201"/>
      <c r="T1478" s="126"/>
      <c r="U1478" s="120"/>
      <c r="X1478" s="129"/>
      <c r="AE1478" s="137">
        <f t="shared" si="206"/>
        <v>0</v>
      </c>
    </row>
    <row r="1479" spans="6:31" ht="24" customHeight="1">
      <c r="F1479" s="129">
        <v>0.15</v>
      </c>
      <c r="G1479" s="126" t="s">
        <v>727</v>
      </c>
      <c r="H1479" s="120" t="s">
        <v>1634</v>
      </c>
      <c r="I1479" s="115">
        <f>C10</f>
        <v>1041.7</v>
      </c>
      <c r="J1479" s="120" t="s">
        <v>727</v>
      </c>
      <c r="K1479" s="129">
        <f>(F1479*I1479)</f>
        <v>156.26</v>
      </c>
      <c r="M1479" s="201"/>
      <c r="N1479" s="126"/>
      <c r="O1479" s="125" t="s">
        <v>4387</v>
      </c>
      <c r="P1479" s="129"/>
      <c r="Q1479" s="126"/>
      <c r="R1479" s="127">
        <f>R1478/M1477</f>
        <v>5203.1499999999996</v>
      </c>
      <c r="S1479" s="201"/>
      <c r="T1479" s="126"/>
      <c r="U1479" s="120"/>
      <c r="V1479" s="129"/>
      <c r="W1479" s="121"/>
      <c r="X1479" s="127"/>
      <c r="AE1479" s="137">
        <f t="shared" si="206"/>
        <v>0</v>
      </c>
    </row>
    <row r="1480" spans="6:31" ht="24" customHeight="1">
      <c r="F1480" s="129">
        <v>0.15</v>
      </c>
      <c r="G1480" s="126" t="s">
        <v>727</v>
      </c>
      <c r="H1480" s="120" t="s">
        <v>731</v>
      </c>
      <c r="I1480" s="115">
        <f>C12</f>
        <v>679.8</v>
      </c>
      <c r="J1480" s="120" t="s">
        <v>727</v>
      </c>
      <c r="K1480" s="129">
        <f>(F1480*I1480)</f>
        <v>101.97</v>
      </c>
      <c r="M1480" s="201"/>
      <c r="N1480" s="126"/>
      <c r="O1480" s="120"/>
      <c r="P1480" s="129"/>
      <c r="Q1480" s="126"/>
      <c r="R1480" s="129"/>
      <c r="AE1480" s="137">
        <f t="shared" si="206"/>
        <v>0</v>
      </c>
    </row>
    <row r="1481" spans="6:31" ht="24" customHeight="1">
      <c r="H1481" s="120" t="s">
        <v>1557</v>
      </c>
      <c r="K1481" s="115">
        <v>5</v>
      </c>
      <c r="N1481" s="116"/>
      <c r="O1481" s="274" t="s">
        <v>4395</v>
      </c>
      <c r="P1481" s="200" t="s">
        <v>4385</v>
      </c>
      <c r="Q1481" s="117"/>
      <c r="AE1481" s="137">
        <f t="shared" si="206"/>
        <v>0</v>
      </c>
    </row>
    <row r="1482" spans="6:31" ht="24" customHeight="1">
      <c r="K1482" s="123" t="s">
        <v>52</v>
      </c>
      <c r="M1482" s="201">
        <v>7.01</v>
      </c>
      <c r="N1482" s="126" t="s">
        <v>476</v>
      </c>
      <c r="O1482" s="191" t="s">
        <v>4378</v>
      </c>
      <c r="P1482" s="129">
        <f>P1475</f>
        <v>325</v>
      </c>
      <c r="Q1482" s="126" t="s">
        <v>476</v>
      </c>
      <c r="R1482" s="129">
        <f>P1482*M1482</f>
        <v>2278.25</v>
      </c>
      <c r="S1482" s="118">
        <f>0.3028*0.3028</f>
        <v>9.1999999999999998E-2</v>
      </c>
      <c r="T1482" s="115">
        <f>60*S1482</f>
        <v>5.52</v>
      </c>
      <c r="U1482" s="115">
        <f>4.58/10</f>
        <v>0.46</v>
      </c>
      <c r="AE1482" s="137">
        <f t="shared" si="206"/>
        <v>0</v>
      </c>
    </row>
    <row r="1483" spans="6:31" ht="24" customHeight="1">
      <c r="H1483" s="121" t="s">
        <v>1635</v>
      </c>
      <c r="K1483" s="129">
        <f>SUM(K1478:K1481)</f>
        <v>279.69</v>
      </c>
      <c r="M1483" s="201">
        <v>0.81</v>
      </c>
      <c r="N1483" s="126" t="s">
        <v>468</v>
      </c>
      <c r="O1483" s="120" t="s">
        <v>3154</v>
      </c>
      <c r="P1483" s="140">
        <f>P1476</f>
        <v>306.89999999999998</v>
      </c>
      <c r="Q1483" s="126" t="s">
        <v>476</v>
      </c>
      <c r="R1483" s="129">
        <f>P1483*M1483</f>
        <v>248.59</v>
      </c>
      <c r="AE1483" s="137">
        <f t="shared" si="206"/>
        <v>0</v>
      </c>
    </row>
    <row r="1484" spans="6:31" ht="24" customHeight="1">
      <c r="K1484" s="123" t="s">
        <v>52</v>
      </c>
      <c r="M1484" s="201">
        <v>0.81</v>
      </c>
      <c r="N1484" s="126" t="s">
        <v>468</v>
      </c>
      <c r="O1484" s="120" t="s">
        <v>3158</v>
      </c>
      <c r="P1484" s="129">
        <f>P1477</f>
        <v>2085.6</v>
      </c>
      <c r="Q1484" s="126" t="s">
        <v>476</v>
      </c>
      <c r="R1484" s="129">
        <f>P1484*M1484</f>
        <v>1689.34</v>
      </c>
      <c r="AE1484" s="137">
        <f t="shared" si="206"/>
        <v>0</v>
      </c>
    </row>
    <row r="1485" spans="6:31" ht="24" customHeight="1">
      <c r="H1485" s="128" t="s">
        <v>1636</v>
      </c>
      <c r="I1485" s="114"/>
      <c r="J1485" s="178"/>
      <c r="K1485" s="127">
        <f>K1483/6.77</f>
        <v>41.31</v>
      </c>
      <c r="M1485" s="201"/>
      <c r="N1485" s="126"/>
      <c r="O1485" s="120"/>
      <c r="P1485" s="129"/>
      <c r="Q1485" s="126"/>
      <c r="R1485" s="129">
        <f>SUM(R1482:R1484)+0.68</f>
        <v>4216.8599999999997</v>
      </c>
      <c r="AE1485" s="137">
        <f t="shared" si="206"/>
        <v>0</v>
      </c>
    </row>
    <row r="1486" spans="6:31" ht="24" customHeight="1">
      <c r="K1486" s="123" t="s">
        <v>89</v>
      </c>
      <c r="M1486" s="201"/>
      <c r="N1486" s="126"/>
      <c r="O1486" s="125" t="s">
        <v>4387</v>
      </c>
      <c r="P1486" s="129"/>
      <c r="Q1486" s="126"/>
      <c r="R1486" s="127">
        <f>R1485/M1484</f>
        <v>5206</v>
      </c>
      <c r="AE1486" s="137">
        <f t="shared" si="206"/>
        <v>0</v>
      </c>
    </row>
    <row r="1487" spans="6:31" ht="24" customHeight="1">
      <c r="K1487" s="123"/>
      <c r="N1487" s="116"/>
      <c r="O1487" s="120"/>
      <c r="Q1487" s="119"/>
      <c r="R1487" s="129"/>
      <c r="AE1487" s="137">
        <f t="shared" si="206"/>
        <v>0</v>
      </c>
    </row>
    <row r="1488" spans="6:31" ht="24" customHeight="1">
      <c r="F1488" s="167">
        <v>37.1</v>
      </c>
      <c r="G1488" s="126" t="s">
        <v>111</v>
      </c>
      <c r="H1488" s="120" t="s">
        <v>1639</v>
      </c>
      <c r="N1488" s="116"/>
      <c r="O1488" s="274" t="s">
        <v>4396</v>
      </c>
      <c r="Q1488" s="117"/>
      <c r="AE1488" s="137">
        <f t="shared" si="206"/>
        <v>0</v>
      </c>
    </row>
    <row r="1489" spans="6:31" ht="24" customHeight="1">
      <c r="H1489" s="123" t="s">
        <v>52</v>
      </c>
      <c r="M1489" s="201">
        <v>4.42</v>
      </c>
      <c r="N1489" s="126" t="s">
        <v>476</v>
      </c>
      <c r="O1489" s="191" t="s">
        <v>4378</v>
      </c>
      <c r="P1489" s="129">
        <f>P1458</f>
        <v>325</v>
      </c>
      <c r="Q1489" s="126" t="s">
        <v>476</v>
      </c>
      <c r="R1489" s="129">
        <f>P1489*M1489</f>
        <v>1436.5</v>
      </c>
      <c r="AE1489" s="137">
        <f t="shared" si="206"/>
        <v>0</v>
      </c>
    </row>
    <row r="1490" spans="6:31" ht="24" customHeight="1">
      <c r="F1490" s="129">
        <v>0.09</v>
      </c>
      <c r="G1490" s="126" t="s">
        <v>132</v>
      </c>
      <c r="H1490" s="120" t="s">
        <v>202</v>
      </c>
      <c r="I1490" s="129">
        <f>(C84)</f>
        <v>1348</v>
      </c>
      <c r="J1490" s="120" t="s">
        <v>132</v>
      </c>
      <c r="K1490" s="129">
        <f>(F1490*I1490)</f>
        <v>121.32</v>
      </c>
      <c r="M1490" s="201">
        <v>4.72</v>
      </c>
      <c r="N1490" s="126" t="s">
        <v>476</v>
      </c>
      <c r="O1490" s="191" t="s">
        <v>4378</v>
      </c>
      <c r="P1490" s="129">
        <f t="shared" ref="P1490:P1500" si="207">P1459</f>
        <v>325</v>
      </c>
      <c r="Q1490" s="126" t="s">
        <v>476</v>
      </c>
      <c r="R1490" s="129">
        <f t="shared" ref="R1490:R1500" si="208">P1490*M1490</f>
        <v>1534</v>
      </c>
      <c r="AE1490" s="137">
        <f t="shared" si="206"/>
        <v>0</v>
      </c>
    </row>
    <row r="1491" spans="6:31" ht="24" customHeight="1">
      <c r="F1491" s="129">
        <v>2.2000000000000002</v>
      </c>
      <c r="G1491" s="126" t="s">
        <v>131</v>
      </c>
      <c r="H1491" s="120" t="s">
        <v>302</v>
      </c>
      <c r="I1491" s="129">
        <f>(C11)</f>
        <v>972.4</v>
      </c>
      <c r="J1491" s="120" t="s">
        <v>131</v>
      </c>
      <c r="K1491" s="129">
        <f>(F1491*I1491)</f>
        <v>2139.2800000000002</v>
      </c>
      <c r="M1491" s="201">
        <v>9.06</v>
      </c>
      <c r="N1491" s="126" t="s">
        <v>476</v>
      </c>
      <c r="O1491" s="120" t="s">
        <v>3124</v>
      </c>
      <c r="P1491" s="129">
        <f t="shared" si="207"/>
        <v>325</v>
      </c>
      <c r="Q1491" s="126" t="s">
        <v>476</v>
      </c>
      <c r="R1491" s="129">
        <f t="shared" si="208"/>
        <v>2944.5</v>
      </c>
      <c r="AE1491" s="137">
        <f t="shared" si="206"/>
        <v>0</v>
      </c>
    </row>
    <row r="1492" spans="6:31" ht="24" customHeight="1">
      <c r="F1492" s="129">
        <v>0.5</v>
      </c>
      <c r="G1492" s="126" t="s">
        <v>131</v>
      </c>
      <c r="H1492" s="120" t="s">
        <v>304</v>
      </c>
      <c r="I1492" s="129">
        <f>(C12)</f>
        <v>679.8</v>
      </c>
      <c r="J1492" s="120" t="s">
        <v>131</v>
      </c>
      <c r="K1492" s="129">
        <f>(F1492*I1492)</f>
        <v>339.9</v>
      </c>
      <c r="M1492" s="201">
        <v>1.58</v>
      </c>
      <c r="N1492" s="126" t="s">
        <v>476</v>
      </c>
      <c r="O1492" s="120" t="s">
        <v>3124</v>
      </c>
      <c r="P1492" s="129">
        <f t="shared" si="207"/>
        <v>325</v>
      </c>
      <c r="Q1492" s="126" t="s">
        <v>476</v>
      </c>
      <c r="R1492" s="129">
        <f t="shared" si="208"/>
        <v>513.5</v>
      </c>
      <c r="AE1492" s="137">
        <f t="shared" si="206"/>
        <v>0</v>
      </c>
    </row>
    <row r="1493" spans="6:31" ht="24" customHeight="1">
      <c r="F1493" s="129">
        <v>3.8</v>
      </c>
      <c r="G1493" s="126" t="s">
        <v>131</v>
      </c>
      <c r="H1493" s="120" t="s">
        <v>306</v>
      </c>
      <c r="I1493" s="129">
        <f>(C13)</f>
        <v>557.70000000000005</v>
      </c>
      <c r="J1493" s="120" t="s">
        <v>131</v>
      </c>
      <c r="K1493" s="129">
        <f>(F1493*I1493)</f>
        <v>2119.2600000000002</v>
      </c>
      <c r="M1493" s="201">
        <v>1.65</v>
      </c>
      <c r="N1493" s="126" t="s">
        <v>468</v>
      </c>
      <c r="O1493" s="120" t="s">
        <v>3154</v>
      </c>
      <c r="P1493" s="129">
        <f t="shared" si="207"/>
        <v>306.89999999999998</v>
      </c>
      <c r="Q1493" s="126" t="s">
        <v>468</v>
      </c>
      <c r="R1493" s="129">
        <f t="shared" si="208"/>
        <v>506.39</v>
      </c>
      <c r="AE1493" s="137">
        <f t="shared" si="206"/>
        <v>0</v>
      </c>
    </row>
    <row r="1494" spans="6:31" ht="24" customHeight="1">
      <c r="G1494" s="126" t="s">
        <v>145</v>
      </c>
      <c r="H1494" s="120" t="s">
        <v>1640</v>
      </c>
      <c r="I1494" s="120" t="s">
        <v>85</v>
      </c>
      <c r="J1494" s="120" t="s">
        <v>145</v>
      </c>
      <c r="K1494" s="129">
        <v>1.5</v>
      </c>
      <c r="M1494" s="201">
        <v>12.74</v>
      </c>
      <c r="N1494" s="126" t="s">
        <v>13</v>
      </c>
      <c r="O1494" s="120" t="str">
        <f>O1463</f>
        <v>rubber beeding P-41/64</v>
      </c>
      <c r="P1494" s="129">
        <f t="shared" si="207"/>
        <v>29.05</v>
      </c>
      <c r="Q1494" s="126" t="s">
        <v>13</v>
      </c>
      <c r="R1494" s="129">
        <f t="shared" si="208"/>
        <v>370.1</v>
      </c>
      <c r="AE1494" s="137">
        <f t="shared" si="206"/>
        <v>0</v>
      </c>
    </row>
    <row r="1495" spans="6:31" ht="24" customHeight="1">
      <c r="K1495" s="123" t="s">
        <v>52</v>
      </c>
      <c r="M1495" s="201">
        <v>12</v>
      </c>
      <c r="N1495" s="126" t="s">
        <v>237</v>
      </c>
      <c r="O1495" s="120" t="str">
        <f>O1464</f>
        <v>hinges 75mm x 30 mm P-41/77 b</v>
      </c>
      <c r="P1495" s="129">
        <f t="shared" si="207"/>
        <v>71.900000000000006</v>
      </c>
      <c r="Q1495" s="126" t="s">
        <v>237</v>
      </c>
      <c r="R1495" s="129">
        <f t="shared" si="208"/>
        <v>862.8</v>
      </c>
      <c r="AE1495" s="137">
        <f t="shared" si="206"/>
        <v>0</v>
      </c>
    </row>
    <row r="1496" spans="6:31" ht="24" customHeight="1">
      <c r="H1496" s="120" t="s">
        <v>584</v>
      </c>
      <c r="K1496" s="129">
        <f>SUM(K1489:K1494)</f>
        <v>4721.26</v>
      </c>
      <c r="M1496" s="201">
        <v>6</v>
      </c>
      <c r="N1496" s="126" t="s">
        <v>237</v>
      </c>
      <c r="O1496" s="120" t="str">
        <f>O1465</f>
        <v>handle 150 mm long p-42 /80b</v>
      </c>
      <c r="P1496" s="129">
        <f t="shared" si="207"/>
        <v>57.65</v>
      </c>
      <c r="Q1496" s="126" t="s">
        <v>237</v>
      </c>
      <c r="R1496" s="129">
        <f t="shared" si="208"/>
        <v>345.9</v>
      </c>
      <c r="AE1496" s="137">
        <f t="shared" si="206"/>
        <v>0</v>
      </c>
    </row>
    <row r="1497" spans="6:31" ht="24" customHeight="1">
      <c r="K1497" s="123" t="s">
        <v>52</v>
      </c>
      <c r="M1497" s="201">
        <v>6</v>
      </c>
      <c r="N1497" s="126" t="s">
        <v>237</v>
      </c>
      <c r="O1497" s="120" t="s">
        <v>4358</v>
      </c>
      <c r="P1497" s="129">
        <f t="shared" si="207"/>
        <v>30</v>
      </c>
      <c r="Q1497" s="126" t="s">
        <v>237</v>
      </c>
      <c r="R1497" s="129">
        <f t="shared" si="208"/>
        <v>180</v>
      </c>
      <c r="AE1497" s="137">
        <f t="shared" si="206"/>
        <v>0</v>
      </c>
    </row>
    <row r="1498" spans="6:31" ht="24" customHeight="1">
      <c r="H1498" s="128" t="s">
        <v>460</v>
      </c>
      <c r="I1498" s="114"/>
      <c r="J1498" s="178"/>
      <c r="K1498" s="127">
        <f>(K1496/100)</f>
        <v>47.21</v>
      </c>
      <c r="M1498" s="201">
        <v>6</v>
      </c>
      <c r="N1498" s="126" t="s">
        <v>237</v>
      </c>
      <c r="O1498" s="120" t="s">
        <v>4359</v>
      </c>
      <c r="P1498" s="129">
        <f t="shared" si="207"/>
        <v>20</v>
      </c>
      <c r="Q1498" s="126" t="s">
        <v>237</v>
      </c>
      <c r="R1498" s="129">
        <f t="shared" si="208"/>
        <v>120</v>
      </c>
      <c r="AE1498" s="137">
        <f t="shared" si="206"/>
        <v>0</v>
      </c>
    </row>
    <row r="1499" spans="6:31" ht="24" customHeight="1">
      <c r="K1499" s="123" t="s">
        <v>89</v>
      </c>
      <c r="M1499" s="201">
        <v>4</v>
      </c>
      <c r="N1499" s="126" t="s">
        <v>237</v>
      </c>
      <c r="O1499" s="120" t="s">
        <v>3219</v>
      </c>
      <c r="P1499" s="129">
        <f t="shared" si="207"/>
        <v>15</v>
      </c>
      <c r="Q1499" s="126" t="s">
        <v>237</v>
      </c>
      <c r="R1499" s="129">
        <f t="shared" si="208"/>
        <v>60</v>
      </c>
      <c r="AE1499" s="137">
        <f t="shared" si="206"/>
        <v>0</v>
      </c>
    </row>
    <row r="1500" spans="6:31" ht="24" customHeight="1">
      <c r="F1500" s="121" t="s">
        <v>1641</v>
      </c>
      <c r="G1500" s="126" t="s">
        <v>111</v>
      </c>
      <c r="H1500" s="120" t="s">
        <v>1642</v>
      </c>
      <c r="M1500" s="201">
        <f>1.5*1.35</f>
        <v>2.0249999999999999</v>
      </c>
      <c r="N1500" s="126" t="s">
        <v>724</v>
      </c>
      <c r="O1500" s="120" t="s">
        <v>3158</v>
      </c>
      <c r="P1500" s="129">
        <f t="shared" si="207"/>
        <v>2085.6</v>
      </c>
      <c r="Q1500" s="126" t="s">
        <v>724</v>
      </c>
      <c r="R1500" s="129">
        <f t="shared" si="208"/>
        <v>4223.34</v>
      </c>
      <c r="AE1500" s="137">
        <f t="shared" si="206"/>
        <v>0</v>
      </c>
    </row>
    <row r="1501" spans="6:31" ht="24" customHeight="1">
      <c r="H1501" s="120" t="s">
        <v>1643</v>
      </c>
      <c r="N1501" s="116"/>
      <c r="O1501" s="120" t="s">
        <v>3159</v>
      </c>
      <c r="Q1501" s="119"/>
      <c r="R1501" s="129">
        <v>0.31</v>
      </c>
      <c r="AE1501" s="137">
        <f t="shared" si="206"/>
        <v>0</v>
      </c>
    </row>
    <row r="1502" spans="6:31" ht="24" customHeight="1">
      <c r="H1502" s="120" t="s">
        <v>1644</v>
      </c>
      <c r="R1502" s="127">
        <f>SUM(R1489:R1501)</f>
        <v>13097.34</v>
      </c>
      <c r="AE1502" s="137">
        <f t="shared" si="206"/>
        <v>0</v>
      </c>
    </row>
    <row r="1503" spans="6:31" ht="24" customHeight="1">
      <c r="H1503" s="120" t="s">
        <v>1645</v>
      </c>
      <c r="AE1503" s="137">
        <f t="shared" si="206"/>
        <v>0</v>
      </c>
    </row>
    <row r="1504" spans="6:31" ht="24" customHeight="1">
      <c r="H1504" s="123" t="s">
        <v>52</v>
      </c>
      <c r="AE1504" s="137">
        <f t="shared" si="206"/>
        <v>0</v>
      </c>
    </row>
    <row r="1505" spans="6:31" ht="24" customHeight="1">
      <c r="F1505" s="129">
        <v>4.8</v>
      </c>
      <c r="G1505" s="126" t="s">
        <v>39</v>
      </c>
      <c r="H1505" s="120" t="s">
        <v>494</v>
      </c>
      <c r="I1505" s="129">
        <f>(C271)</f>
        <v>49.85</v>
      </c>
      <c r="J1505" s="120" t="s">
        <v>39</v>
      </c>
      <c r="K1505" s="129">
        <f>(F1505*I1505)</f>
        <v>239.28</v>
      </c>
      <c r="AE1505" s="137">
        <f t="shared" si="206"/>
        <v>0</v>
      </c>
    </row>
    <row r="1506" spans="6:31" ht="24" customHeight="1">
      <c r="F1506" s="129">
        <v>0.75</v>
      </c>
      <c r="G1506" s="126" t="s">
        <v>131</v>
      </c>
      <c r="H1506" s="120" t="s">
        <v>1646</v>
      </c>
      <c r="I1506" s="129">
        <f>(C14)</f>
        <v>831.6</v>
      </c>
      <c r="J1506" s="120" t="s">
        <v>131</v>
      </c>
      <c r="K1506" s="129">
        <f>(F1506*I1506)</f>
        <v>623.70000000000005</v>
      </c>
      <c r="AE1506" s="137">
        <f t="shared" si="206"/>
        <v>0</v>
      </c>
    </row>
    <row r="1507" spans="6:31" ht="24" customHeight="1">
      <c r="F1507" s="129">
        <v>0.75</v>
      </c>
      <c r="G1507" s="126" t="s">
        <v>131</v>
      </c>
      <c r="H1507" s="120" t="s">
        <v>1568</v>
      </c>
      <c r="I1507" s="129">
        <f>(C12)</f>
        <v>679.8</v>
      </c>
      <c r="J1507" s="120" t="s">
        <v>131</v>
      </c>
      <c r="K1507" s="129">
        <f>(F1507*I1507)</f>
        <v>509.85</v>
      </c>
      <c r="AE1507" s="137">
        <f t="shared" si="206"/>
        <v>0</v>
      </c>
    </row>
    <row r="1508" spans="6:31" ht="24" customHeight="1">
      <c r="F1508" s="129">
        <v>1.2</v>
      </c>
      <c r="G1508" s="126" t="s">
        <v>131</v>
      </c>
      <c r="H1508" s="120" t="s">
        <v>306</v>
      </c>
      <c r="I1508" s="129">
        <f>(C13)</f>
        <v>557.70000000000005</v>
      </c>
      <c r="J1508" s="120" t="s">
        <v>131</v>
      </c>
      <c r="K1508" s="129">
        <f>(F1508*I1508)</f>
        <v>669.24</v>
      </c>
      <c r="AE1508" s="137">
        <f t="shared" si="206"/>
        <v>0</v>
      </c>
    </row>
    <row r="1509" spans="6:31" ht="24" customHeight="1">
      <c r="G1509" s="126" t="s">
        <v>145</v>
      </c>
      <c r="H1509" s="120" t="s">
        <v>582</v>
      </c>
      <c r="I1509" s="120" t="s">
        <v>85</v>
      </c>
      <c r="J1509" s="120" t="s">
        <v>145</v>
      </c>
      <c r="K1509" s="129">
        <v>1.5</v>
      </c>
      <c r="AE1509" s="137">
        <f t="shared" si="206"/>
        <v>0</v>
      </c>
    </row>
    <row r="1510" spans="6:31" ht="24" customHeight="1">
      <c r="K1510" s="123" t="s">
        <v>52</v>
      </c>
      <c r="AE1510" s="137">
        <f t="shared" si="206"/>
        <v>0</v>
      </c>
    </row>
    <row r="1511" spans="6:31" ht="24" customHeight="1">
      <c r="H1511" s="120" t="s">
        <v>495</v>
      </c>
      <c r="K1511" s="129">
        <f>SUM(K1505:K1509)</f>
        <v>2043.57</v>
      </c>
      <c r="AE1511" s="137">
        <f t="shared" si="206"/>
        <v>0</v>
      </c>
    </row>
    <row r="1512" spans="6:31" ht="24" customHeight="1">
      <c r="K1512" s="123" t="s">
        <v>52</v>
      </c>
      <c r="AE1512" s="137">
        <f t="shared" si="206"/>
        <v>0</v>
      </c>
    </row>
    <row r="1513" spans="6:31" ht="24" customHeight="1">
      <c r="H1513" s="128" t="s">
        <v>460</v>
      </c>
      <c r="I1513" s="114"/>
      <c r="J1513" s="178"/>
      <c r="K1513" s="127">
        <f>(K1511/10)</f>
        <v>204.36</v>
      </c>
      <c r="AE1513" s="137">
        <f t="shared" si="206"/>
        <v>0</v>
      </c>
    </row>
    <row r="1514" spans="6:31" ht="24" customHeight="1">
      <c r="K1514" s="123" t="s">
        <v>89</v>
      </c>
      <c r="AE1514" s="137">
        <f t="shared" si="206"/>
        <v>0</v>
      </c>
    </row>
    <row r="1515" spans="6:31" ht="24" customHeight="1">
      <c r="F1515" s="121" t="s">
        <v>1647</v>
      </c>
      <c r="G1515" s="126" t="s">
        <v>111</v>
      </c>
      <c r="H1515" s="121" t="s">
        <v>4397</v>
      </c>
      <c r="AE1515" s="137">
        <f t="shared" si="206"/>
        <v>0</v>
      </c>
    </row>
    <row r="1516" spans="6:31" ht="24" customHeight="1">
      <c r="H1516" s="121" t="s">
        <v>1649</v>
      </c>
      <c r="M1516" s="121"/>
      <c r="N1516" s="126" t="s">
        <v>111</v>
      </c>
      <c r="O1516" s="120" t="s">
        <v>4398</v>
      </c>
      <c r="Q1516" s="117"/>
      <c r="AE1516" s="137">
        <f t="shared" si="206"/>
        <v>0</v>
      </c>
    </row>
    <row r="1517" spans="6:31" ht="24" customHeight="1">
      <c r="F1517" s="129">
        <v>3.08</v>
      </c>
      <c r="G1517" s="126" t="s">
        <v>1650</v>
      </c>
      <c r="H1517" s="120" t="s">
        <v>1648</v>
      </c>
      <c r="I1517" s="129">
        <f>E271</f>
        <v>158</v>
      </c>
      <c r="J1517" s="120" t="s">
        <v>1650</v>
      </c>
      <c r="K1517" s="129">
        <f>(F1517*I1517)</f>
        <v>486.64</v>
      </c>
      <c r="N1517" s="116"/>
      <c r="O1517" s="120" t="s">
        <v>1643</v>
      </c>
      <c r="Q1517" s="117"/>
      <c r="AE1517" s="137">
        <f t="shared" si="206"/>
        <v>0</v>
      </c>
    </row>
    <row r="1518" spans="6:31" ht="24" customHeight="1">
      <c r="F1518" s="129">
        <v>0.5</v>
      </c>
      <c r="G1518" s="126" t="s">
        <v>727</v>
      </c>
      <c r="H1518" s="120" t="s">
        <v>1651</v>
      </c>
      <c r="I1518" s="129">
        <f>C14</f>
        <v>831.6</v>
      </c>
      <c r="J1518" s="120" t="s">
        <v>727</v>
      </c>
      <c r="K1518" s="129">
        <f>(F1518*I1518)</f>
        <v>415.8</v>
      </c>
      <c r="N1518" s="116"/>
      <c r="O1518" s="120" t="s">
        <v>1644</v>
      </c>
      <c r="Q1518" s="117"/>
      <c r="AE1518" s="137">
        <f t="shared" si="206"/>
        <v>0</v>
      </c>
    </row>
    <row r="1519" spans="6:31" ht="24" customHeight="1">
      <c r="F1519" s="129">
        <v>0.5</v>
      </c>
      <c r="G1519" s="126" t="s">
        <v>727</v>
      </c>
      <c r="H1519" s="120" t="s">
        <v>731</v>
      </c>
      <c r="I1519" s="129">
        <f>C12</f>
        <v>679.8</v>
      </c>
      <c r="J1519" s="120" t="s">
        <v>727</v>
      </c>
      <c r="K1519" s="129">
        <f>(F1519*I1519)</f>
        <v>339.9</v>
      </c>
      <c r="N1519" s="116"/>
      <c r="O1519" s="120" t="s">
        <v>1645</v>
      </c>
      <c r="Q1519" s="117"/>
      <c r="AE1519" s="137">
        <f t="shared" si="206"/>
        <v>0</v>
      </c>
    </row>
    <row r="1520" spans="6:31" ht="24" customHeight="1">
      <c r="F1520" s="129">
        <v>0.8</v>
      </c>
      <c r="G1520" s="126" t="s">
        <v>727</v>
      </c>
      <c r="H1520" s="120" t="s">
        <v>1652</v>
      </c>
      <c r="I1520" s="129">
        <f>C13</f>
        <v>557.70000000000005</v>
      </c>
      <c r="J1520" s="120" t="s">
        <v>727</v>
      </c>
      <c r="K1520" s="129">
        <f>(F1520*I1520)</f>
        <v>446.16</v>
      </c>
      <c r="N1520" s="116"/>
      <c r="O1520" s="123" t="s">
        <v>52</v>
      </c>
      <c r="Q1520" s="117"/>
      <c r="AE1520" s="137">
        <f t="shared" si="206"/>
        <v>0</v>
      </c>
    </row>
    <row r="1521" spans="6:31" ht="24" customHeight="1">
      <c r="G1521" s="126" t="s">
        <v>145</v>
      </c>
      <c r="H1521" s="120" t="s">
        <v>582</v>
      </c>
      <c r="J1521" s="120" t="s">
        <v>145</v>
      </c>
      <c r="K1521" s="129">
        <v>1.5</v>
      </c>
      <c r="M1521" s="129">
        <v>2.1800000000000002</v>
      </c>
      <c r="N1521" s="126" t="s">
        <v>39</v>
      </c>
      <c r="O1521" s="120" t="s">
        <v>4399</v>
      </c>
      <c r="P1521" s="140">
        <v>70</v>
      </c>
      <c r="Q1521" s="120" t="s">
        <v>39</v>
      </c>
      <c r="R1521" s="129">
        <f>M1521*P1521</f>
        <v>152.6</v>
      </c>
      <c r="AE1521" s="137">
        <f t="shared" si="206"/>
        <v>0</v>
      </c>
    </row>
    <row r="1522" spans="6:31" ht="24" customHeight="1">
      <c r="M1522" s="129">
        <v>0.75</v>
      </c>
      <c r="N1522" s="126" t="s">
        <v>131</v>
      </c>
      <c r="O1522" s="120" t="s">
        <v>1646</v>
      </c>
      <c r="P1522" s="129">
        <f>C14</f>
        <v>831.6</v>
      </c>
      <c r="Q1522" s="120" t="s">
        <v>131</v>
      </c>
      <c r="R1522" s="129">
        <f>M1522*P1522</f>
        <v>623.70000000000005</v>
      </c>
      <c r="AE1522" s="137">
        <f t="shared" si="206"/>
        <v>0</v>
      </c>
    </row>
    <row r="1523" spans="6:31" ht="24" customHeight="1">
      <c r="K1523" s="123" t="s">
        <v>52</v>
      </c>
      <c r="M1523" s="129">
        <v>0.75</v>
      </c>
      <c r="N1523" s="126" t="s">
        <v>131</v>
      </c>
      <c r="O1523" s="120" t="s">
        <v>1568</v>
      </c>
      <c r="P1523" s="129">
        <f>C12</f>
        <v>679.8</v>
      </c>
      <c r="Q1523" s="120" t="s">
        <v>131</v>
      </c>
      <c r="R1523" s="129">
        <f>M1523*P1523</f>
        <v>509.85</v>
      </c>
      <c r="AE1523" s="137">
        <f t="shared" si="206"/>
        <v>0</v>
      </c>
    </row>
    <row r="1524" spans="6:31" ht="24" customHeight="1">
      <c r="H1524" s="121" t="s">
        <v>1653</v>
      </c>
      <c r="K1524" s="129">
        <f>SUM(K1517:K1521)</f>
        <v>1690</v>
      </c>
      <c r="M1524" s="129">
        <v>1.2</v>
      </c>
      <c r="N1524" s="126" t="s">
        <v>131</v>
      </c>
      <c r="O1524" s="120" t="s">
        <v>306</v>
      </c>
      <c r="P1524" s="129">
        <f>C13</f>
        <v>557.70000000000005</v>
      </c>
      <c r="Q1524" s="120" t="s">
        <v>131</v>
      </c>
      <c r="R1524" s="129">
        <f>M1524*P1524</f>
        <v>669.24</v>
      </c>
      <c r="AE1524" s="137">
        <f t="shared" si="206"/>
        <v>0</v>
      </c>
    </row>
    <row r="1525" spans="6:31" ht="24" customHeight="1">
      <c r="K1525" s="123" t="s">
        <v>52</v>
      </c>
      <c r="N1525" s="126" t="s">
        <v>145</v>
      </c>
      <c r="O1525" s="120" t="s">
        <v>582</v>
      </c>
      <c r="P1525" s="120" t="s">
        <v>85</v>
      </c>
      <c r="Q1525" s="120" t="s">
        <v>145</v>
      </c>
      <c r="R1525" s="129">
        <v>1.5</v>
      </c>
      <c r="AE1525" s="137">
        <f t="shared" si="206"/>
        <v>0</v>
      </c>
    </row>
    <row r="1526" spans="6:31" ht="24" customHeight="1">
      <c r="F1526" s="120" t="s">
        <v>85</v>
      </c>
      <c r="G1526" s="126" t="s">
        <v>85</v>
      </c>
      <c r="H1526" s="128" t="s">
        <v>1560</v>
      </c>
      <c r="I1526" s="122" t="s">
        <v>85</v>
      </c>
      <c r="J1526" s="122" t="s">
        <v>85</v>
      </c>
      <c r="K1526" s="127">
        <f>K1524/10</f>
        <v>169</v>
      </c>
      <c r="N1526" s="116"/>
      <c r="Q1526" s="117"/>
      <c r="R1526" s="123" t="s">
        <v>52</v>
      </c>
      <c r="AE1526" s="137">
        <f t="shared" si="206"/>
        <v>0</v>
      </c>
    </row>
    <row r="1527" spans="6:31" ht="24" customHeight="1">
      <c r="K1527" s="123" t="s">
        <v>89</v>
      </c>
      <c r="N1527" s="116"/>
      <c r="O1527" s="120" t="s">
        <v>495</v>
      </c>
      <c r="Q1527" s="117"/>
      <c r="R1527" s="129">
        <f>SUM(R1521:R1525)</f>
        <v>1956.89</v>
      </c>
      <c r="AE1527" s="137">
        <f t="shared" si="206"/>
        <v>0</v>
      </c>
    </row>
    <row r="1528" spans="6:31" ht="24" customHeight="1">
      <c r="F1528" s="121" t="s">
        <v>1654</v>
      </c>
      <c r="G1528" s="126" t="s">
        <v>111</v>
      </c>
      <c r="H1528" s="120" t="s">
        <v>4400</v>
      </c>
      <c r="N1528" s="116"/>
      <c r="Q1528" s="117"/>
      <c r="R1528" s="123" t="s">
        <v>52</v>
      </c>
      <c r="AE1528" s="137">
        <f t="shared" si="206"/>
        <v>0</v>
      </c>
    </row>
    <row r="1529" spans="6:31" ht="24" customHeight="1">
      <c r="H1529" s="120" t="s">
        <v>1656</v>
      </c>
      <c r="N1529" s="116"/>
      <c r="O1529" s="120" t="s">
        <v>460</v>
      </c>
      <c r="Q1529" s="117"/>
      <c r="R1529" s="129">
        <f>(R1527/10)</f>
        <v>195.69</v>
      </c>
      <c r="AE1529" s="137">
        <f t="shared" si="206"/>
        <v>0</v>
      </c>
    </row>
    <row r="1530" spans="6:31" ht="24" customHeight="1">
      <c r="H1530" s="120" t="s">
        <v>4401</v>
      </c>
      <c r="N1530" s="116"/>
      <c r="Q1530" s="117"/>
      <c r="R1530" s="123" t="s">
        <v>89</v>
      </c>
      <c r="AE1530" s="137">
        <f t="shared" si="206"/>
        <v>0</v>
      </c>
    </row>
    <row r="1531" spans="6:31" ht="24" customHeight="1">
      <c r="H1531" s="123" t="s">
        <v>52</v>
      </c>
      <c r="L1531" s="306"/>
      <c r="M1531" s="307"/>
      <c r="N1531" s="1808" t="s">
        <v>4402</v>
      </c>
      <c r="O1531" s="1808"/>
      <c r="P1531" s="1808"/>
      <c r="Q1531" s="1808"/>
      <c r="R1531" s="1808"/>
      <c r="AE1531" s="137">
        <f t="shared" si="206"/>
        <v>0</v>
      </c>
    </row>
    <row r="1532" spans="6:31" ht="24" customHeight="1">
      <c r="F1532" s="129">
        <v>1.44</v>
      </c>
      <c r="G1532" s="126" t="s">
        <v>1658</v>
      </c>
      <c r="H1532" s="120" t="s">
        <v>1659</v>
      </c>
      <c r="I1532" s="129">
        <f>(C196)</f>
        <v>147.5</v>
      </c>
      <c r="J1532" s="120" t="s">
        <v>1658</v>
      </c>
      <c r="K1532" s="129">
        <f>(F1532*I1532)</f>
        <v>212.4</v>
      </c>
      <c r="L1532" s="309"/>
      <c r="M1532" s="310"/>
      <c r="N1532" s="311"/>
      <c r="O1532" s="312" t="s">
        <v>4403</v>
      </c>
      <c r="P1532" s="313"/>
      <c r="Q1532" s="311"/>
      <c r="R1532" s="313"/>
      <c r="AE1532" s="137">
        <f t="shared" si="206"/>
        <v>0</v>
      </c>
    </row>
    <row r="1533" spans="6:31" ht="24" customHeight="1">
      <c r="F1533" s="129">
        <v>0.7</v>
      </c>
      <c r="G1533" s="126" t="s">
        <v>237</v>
      </c>
      <c r="H1533" s="120" t="s">
        <v>1660</v>
      </c>
      <c r="I1533" s="129">
        <f>(C14)</f>
        <v>831.6</v>
      </c>
      <c r="J1533" s="120" t="s">
        <v>237</v>
      </c>
      <c r="K1533" s="129">
        <f>(F1533*I1533)</f>
        <v>582.12</v>
      </c>
      <c r="L1533" s="309"/>
      <c r="M1533" s="310"/>
      <c r="N1533" s="311"/>
      <c r="O1533" s="314"/>
      <c r="P1533" s="313"/>
      <c r="Q1533" s="311"/>
      <c r="R1533" s="313"/>
      <c r="AE1533" s="137">
        <f t="shared" si="206"/>
        <v>0</v>
      </c>
    </row>
    <row r="1534" spans="6:31" ht="24" customHeight="1">
      <c r="F1534" s="129">
        <v>2.5499999999999998</v>
      </c>
      <c r="G1534" s="126" t="s">
        <v>1658</v>
      </c>
      <c r="H1534" s="120" t="s">
        <v>1661</v>
      </c>
      <c r="I1534" s="129">
        <f>(C195)</f>
        <v>238.9</v>
      </c>
      <c r="J1534" s="120" t="s">
        <v>1658</v>
      </c>
      <c r="K1534" s="129">
        <f>(F1534*I1534)</f>
        <v>609.20000000000005</v>
      </c>
      <c r="L1534" s="309"/>
      <c r="M1534" s="310"/>
      <c r="N1534" s="311"/>
      <c r="O1534" s="314"/>
      <c r="P1534" s="313"/>
      <c r="Q1534" s="311"/>
      <c r="R1534" s="313"/>
      <c r="AE1534" s="137">
        <f t="shared" ref="AE1534:AE1597" si="209">AG1534</f>
        <v>0</v>
      </c>
    </row>
    <row r="1535" spans="6:31" ht="24" customHeight="1">
      <c r="F1535" s="129">
        <v>1.2</v>
      </c>
      <c r="G1535" s="126" t="s">
        <v>237</v>
      </c>
      <c r="H1535" s="120" t="s">
        <v>1660</v>
      </c>
      <c r="I1535" s="129">
        <f>(C14)</f>
        <v>831.6</v>
      </c>
      <c r="J1535" s="120" t="s">
        <v>237</v>
      </c>
      <c r="K1535" s="129">
        <f>(F1535*I1535)</f>
        <v>997.92</v>
      </c>
      <c r="L1535" s="309"/>
      <c r="M1535" s="310">
        <v>19.13</v>
      </c>
      <c r="N1535" s="311" t="s">
        <v>476</v>
      </c>
      <c r="O1535" s="314" t="s">
        <v>3143</v>
      </c>
      <c r="P1535" s="313">
        <f>P1489</f>
        <v>325</v>
      </c>
      <c r="Q1535" s="311" t="s">
        <v>476</v>
      </c>
      <c r="R1535" s="313">
        <f>P1535*M1535</f>
        <v>6217.25</v>
      </c>
      <c r="AE1535" s="137">
        <f t="shared" si="209"/>
        <v>0</v>
      </c>
    </row>
    <row r="1536" spans="6:31" ht="24" customHeight="1">
      <c r="G1536" s="126" t="s">
        <v>145</v>
      </c>
      <c r="H1536" s="120" t="s">
        <v>1546</v>
      </c>
      <c r="I1536" s="120" t="s">
        <v>85</v>
      </c>
      <c r="J1536" s="120" t="s">
        <v>145</v>
      </c>
      <c r="K1536" s="129">
        <v>1.5</v>
      </c>
      <c r="L1536" s="309"/>
      <c r="M1536" s="310">
        <v>2.97</v>
      </c>
      <c r="N1536" s="311" t="s">
        <v>468</v>
      </c>
      <c r="O1536" s="314" t="s">
        <v>3126</v>
      </c>
      <c r="P1536" s="313">
        <f>P1493</f>
        <v>306.89999999999998</v>
      </c>
      <c r="Q1536" s="311" t="s">
        <v>468</v>
      </c>
      <c r="R1536" s="313">
        <f t="shared" ref="R1536:R1541" si="210">P1536*M1536</f>
        <v>911.49</v>
      </c>
      <c r="AE1536" s="137">
        <f t="shared" si="209"/>
        <v>0</v>
      </c>
    </row>
    <row r="1537" spans="6:31" ht="24" customHeight="1">
      <c r="K1537" s="123" t="s">
        <v>52</v>
      </c>
      <c r="L1537" s="309"/>
      <c r="M1537" s="310">
        <v>15.3</v>
      </c>
      <c r="N1537" s="311" t="s">
        <v>13</v>
      </c>
      <c r="O1537" s="314" t="s">
        <v>3125</v>
      </c>
      <c r="P1537" s="313">
        <f>P1494</f>
        <v>29.05</v>
      </c>
      <c r="Q1537" s="311" t="s">
        <v>13</v>
      </c>
      <c r="R1537" s="313">
        <f t="shared" si="210"/>
        <v>444.47</v>
      </c>
      <c r="AE1537" s="137">
        <f t="shared" si="209"/>
        <v>0</v>
      </c>
    </row>
    <row r="1538" spans="6:31" ht="24" customHeight="1">
      <c r="H1538" s="120" t="s">
        <v>495</v>
      </c>
      <c r="K1538" s="129">
        <f>SUM(K1532:K1536)</f>
        <v>2403.14</v>
      </c>
      <c r="L1538" s="309"/>
      <c r="M1538" s="310">
        <v>3</v>
      </c>
      <c r="N1538" s="311" t="s">
        <v>3135</v>
      </c>
      <c r="O1538" s="314" t="s">
        <v>3150</v>
      </c>
      <c r="P1538" s="313">
        <f>I4009</f>
        <v>350</v>
      </c>
      <c r="Q1538" s="311" t="s">
        <v>237</v>
      </c>
      <c r="R1538" s="313">
        <f t="shared" si="210"/>
        <v>1050</v>
      </c>
      <c r="AE1538" s="137">
        <f t="shared" si="209"/>
        <v>0</v>
      </c>
    </row>
    <row r="1539" spans="6:31" ht="24" customHeight="1">
      <c r="K1539" s="123" t="s">
        <v>52</v>
      </c>
      <c r="L1539" s="309"/>
      <c r="M1539" s="310">
        <v>3</v>
      </c>
      <c r="N1539" s="311" t="s">
        <v>237</v>
      </c>
      <c r="O1539" s="314" t="s">
        <v>3127</v>
      </c>
      <c r="P1539" s="313">
        <f>I4010</f>
        <v>57.65</v>
      </c>
      <c r="Q1539" s="311" t="s">
        <v>237</v>
      </c>
      <c r="R1539" s="313">
        <f t="shared" si="210"/>
        <v>172.95</v>
      </c>
      <c r="AE1539" s="137">
        <f t="shared" si="209"/>
        <v>0</v>
      </c>
    </row>
    <row r="1540" spans="6:31" ht="24" customHeight="1">
      <c r="H1540" s="128" t="s">
        <v>460</v>
      </c>
      <c r="I1540" s="114"/>
      <c r="J1540" s="178"/>
      <c r="K1540" s="127">
        <f>(K1538/10)</f>
        <v>240.31</v>
      </c>
      <c r="L1540" s="309"/>
      <c r="M1540" s="310">
        <v>6</v>
      </c>
      <c r="N1540" s="311" t="s">
        <v>237</v>
      </c>
      <c r="O1540" s="314" t="s">
        <v>3129</v>
      </c>
      <c r="P1540" s="313">
        <f>I3995</f>
        <v>15</v>
      </c>
      <c r="Q1540" s="311" t="s">
        <v>237</v>
      </c>
      <c r="R1540" s="313">
        <f t="shared" si="210"/>
        <v>90</v>
      </c>
      <c r="AE1540" s="137">
        <f t="shared" si="209"/>
        <v>0</v>
      </c>
    </row>
    <row r="1541" spans="6:31" ht="24" customHeight="1">
      <c r="F1541" s="120" t="s">
        <v>85</v>
      </c>
      <c r="L1541" s="309"/>
      <c r="M1541" s="310">
        <v>2.97</v>
      </c>
      <c r="N1541" s="311" t="s">
        <v>724</v>
      </c>
      <c r="O1541" s="314" t="s">
        <v>3130</v>
      </c>
      <c r="P1541" s="313">
        <f>R1552</f>
        <v>2085.6</v>
      </c>
      <c r="Q1541" s="311" t="s">
        <v>724</v>
      </c>
      <c r="R1541" s="313">
        <f t="shared" si="210"/>
        <v>6194.23</v>
      </c>
      <c r="AE1541" s="137">
        <f t="shared" si="209"/>
        <v>0</v>
      </c>
    </row>
    <row r="1542" spans="6:31" ht="24" customHeight="1">
      <c r="K1542" s="123" t="s">
        <v>89</v>
      </c>
      <c r="L1542" s="309"/>
      <c r="M1542" s="310"/>
      <c r="N1542" s="311"/>
      <c r="O1542" s="314" t="s">
        <v>1557</v>
      </c>
      <c r="P1542" s="307"/>
      <c r="Q1542" s="352"/>
      <c r="R1542" s="313">
        <v>3.5</v>
      </c>
      <c r="AE1542" s="137">
        <f t="shared" si="209"/>
        <v>0</v>
      </c>
    </row>
    <row r="1543" spans="6:31" ht="24" customHeight="1">
      <c r="F1543" s="148">
        <v>41</v>
      </c>
      <c r="G1543" s="126" t="s">
        <v>111</v>
      </c>
      <c r="H1543" s="120" t="s">
        <v>1655</v>
      </c>
      <c r="L1543" s="309"/>
      <c r="M1543" s="307"/>
      <c r="N1543" s="334"/>
      <c r="O1543" s="120" t="s">
        <v>4404</v>
      </c>
      <c r="P1543" s="307"/>
      <c r="Q1543" s="307"/>
      <c r="R1543" s="353">
        <f>SUM(R1535:R1542)</f>
        <v>15083.89</v>
      </c>
      <c r="AE1543" s="137">
        <f t="shared" si="209"/>
        <v>0</v>
      </c>
    </row>
    <row r="1544" spans="6:31" ht="24" customHeight="1">
      <c r="H1544" s="120" t="s">
        <v>1662</v>
      </c>
      <c r="L1544" s="335"/>
      <c r="M1544" s="307"/>
      <c r="N1544" s="307"/>
      <c r="AE1544" s="137">
        <f t="shared" si="209"/>
        <v>0</v>
      </c>
    </row>
    <row r="1545" spans="6:31" ht="24" customHeight="1">
      <c r="H1545" s="120" t="s">
        <v>1657</v>
      </c>
      <c r="L1545" s="306"/>
      <c r="M1545" s="307"/>
      <c r="N1545" s="307"/>
      <c r="O1545" s="120" t="s">
        <v>460</v>
      </c>
      <c r="P1545" s="307"/>
      <c r="Q1545" s="307"/>
      <c r="R1545" s="354">
        <f>R1543/2.97</f>
        <v>5078.75</v>
      </c>
      <c r="S1545" s="118">
        <f>R1545-3740</f>
        <v>1338.75</v>
      </c>
      <c r="AE1545" s="137">
        <f t="shared" si="209"/>
        <v>0</v>
      </c>
    </row>
    <row r="1546" spans="6:31" ht="24" customHeight="1">
      <c r="H1546" s="123" t="s">
        <v>52</v>
      </c>
      <c r="L1546" s="309"/>
      <c r="M1546" s="307"/>
      <c r="N1546" s="307"/>
      <c r="O1546" s="336"/>
      <c r="P1546" s="307"/>
      <c r="Q1546" s="307"/>
      <c r="R1546" s="307"/>
      <c r="AE1546" s="137">
        <f t="shared" si="209"/>
        <v>0</v>
      </c>
    </row>
    <row r="1547" spans="6:31" ht="24" customHeight="1">
      <c r="F1547" s="129">
        <v>2.2200000000000002</v>
      </c>
      <c r="G1547" s="126" t="s">
        <v>1658</v>
      </c>
      <c r="H1547" s="120" t="s">
        <v>1661</v>
      </c>
      <c r="I1547" s="129">
        <f>(C207)</f>
        <v>227.6</v>
      </c>
      <c r="J1547" s="120" t="s">
        <v>1658</v>
      </c>
      <c r="K1547" s="129">
        <f>(F1547*I1547)</f>
        <v>505.27</v>
      </c>
      <c r="L1547" s="309"/>
      <c r="M1547" s="313">
        <v>1</v>
      </c>
      <c r="N1547" s="311" t="s">
        <v>131</v>
      </c>
      <c r="O1547" s="314" t="s">
        <v>4405</v>
      </c>
      <c r="P1547" s="313">
        <f>AE17</f>
        <v>919.6</v>
      </c>
      <c r="Q1547" s="314" t="s">
        <v>131</v>
      </c>
      <c r="R1547" s="313">
        <f>P1547*M1547</f>
        <v>919.6</v>
      </c>
      <c r="AE1547" s="137">
        <f t="shared" si="209"/>
        <v>0</v>
      </c>
    </row>
    <row r="1548" spans="6:31" ht="24" customHeight="1">
      <c r="F1548" s="129">
        <v>1.1000000000000001</v>
      </c>
      <c r="G1548" s="126" t="s">
        <v>237</v>
      </c>
      <c r="H1548" s="120" t="s">
        <v>1660</v>
      </c>
      <c r="I1548" s="129">
        <f>(C14)</f>
        <v>831.6</v>
      </c>
      <c r="J1548" s="120" t="s">
        <v>237</v>
      </c>
      <c r="K1548" s="129">
        <f>(F1548*I1548)</f>
        <v>914.76</v>
      </c>
      <c r="L1548" s="309"/>
      <c r="M1548" s="313">
        <v>1</v>
      </c>
      <c r="N1548" s="311" t="s">
        <v>131</v>
      </c>
      <c r="O1548" s="314" t="s">
        <v>4406</v>
      </c>
      <c r="P1548" s="313">
        <f>AE11</f>
        <v>679.8</v>
      </c>
      <c r="Q1548" s="314" t="s">
        <v>131</v>
      </c>
      <c r="R1548" s="313">
        <f>P1548*M1548</f>
        <v>679.8</v>
      </c>
      <c r="AE1548" s="137">
        <f t="shared" si="209"/>
        <v>0</v>
      </c>
    </row>
    <row r="1549" spans="6:31" ht="24" customHeight="1">
      <c r="G1549" s="126" t="s">
        <v>145</v>
      </c>
      <c r="H1549" s="120" t="s">
        <v>1546</v>
      </c>
      <c r="I1549" s="120" t="s">
        <v>85</v>
      </c>
      <c r="J1549" s="120" t="s">
        <v>145</v>
      </c>
      <c r="K1549" s="129">
        <v>1.5</v>
      </c>
      <c r="L1549" s="309"/>
      <c r="M1549" s="313">
        <v>0.5</v>
      </c>
      <c r="N1549" s="311" t="s">
        <v>131</v>
      </c>
      <c r="O1549" s="314" t="s">
        <v>4407</v>
      </c>
      <c r="P1549" s="313">
        <f>AE20</f>
        <v>972.4</v>
      </c>
      <c r="Q1549" s="314" t="s">
        <v>131</v>
      </c>
      <c r="R1549" s="313">
        <f>P1549*M1549</f>
        <v>486.2</v>
      </c>
      <c r="AE1549" s="137">
        <f t="shared" si="209"/>
        <v>0</v>
      </c>
    </row>
    <row r="1550" spans="6:31" ht="24" customHeight="1">
      <c r="K1550" s="123" t="s">
        <v>52</v>
      </c>
      <c r="L1550" s="309"/>
      <c r="M1550" s="307"/>
      <c r="N1550" s="334"/>
      <c r="O1550" s="307"/>
      <c r="P1550" s="307"/>
      <c r="Q1550" s="355"/>
      <c r="R1550" s="313"/>
      <c r="AE1550" s="137">
        <f t="shared" si="209"/>
        <v>0</v>
      </c>
    </row>
    <row r="1551" spans="6:31" ht="24" customHeight="1">
      <c r="H1551" s="120" t="s">
        <v>495</v>
      </c>
      <c r="K1551" s="129">
        <f>SUM(K1547:K1549)</f>
        <v>1421.53</v>
      </c>
      <c r="L1551" s="309"/>
      <c r="M1551" s="307"/>
      <c r="N1551" s="334"/>
      <c r="O1551" s="314" t="s">
        <v>3140</v>
      </c>
      <c r="P1551" s="307"/>
      <c r="Q1551" s="355"/>
      <c r="R1551" s="356" t="s">
        <v>52</v>
      </c>
      <c r="AE1551" s="137">
        <f t="shared" si="209"/>
        <v>0</v>
      </c>
    </row>
    <row r="1552" spans="6:31" ht="24" customHeight="1">
      <c r="K1552" s="123" t="s">
        <v>52</v>
      </c>
      <c r="L1552" s="309"/>
      <c r="M1552" s="307"/>
      <c r="N1552" s="334"/>
      <c r="O1552" s="307"/>
      <c r="P1552" s="307"/>
      <c r="Q1552" s="355"/>
      <c r="R1552" s="353">
        <f>SUM(R1547:R1551)</f>
        <v>2085.6</v>
      </c>
      <c r="AE1552" s="137">
        <f t="shared" si="209"/>
        <v>0</v>
      </c>
    </row>
    <row r="1553" spans="6:31" ht="24" customHeight="1">
      <c r="H1553" s="128" t="s">
        <v>460</v>
      </c>
      <c r="I1553" s="114"/>
      <c r="J1553" s="178"/>
      <c r="K1553" s="127">
        <f>(K1551/10)</f>
        <v>142.15</v>
      </c>
      <c r="L1553" s="309"/>
      <c r="AE1553" s="137">
        <f t="shared" si="209"/>
        <v>0</v>
      </c>
    </row>
    <row r="1554" spans="6:31" ht="24" customHeight="1">
      <c r="H1554" s="120"/>
      <c r="K1554" s="129"/>
      <c r="L1554" s="309"/>
      <c r="AE1554" s="137">
        <f t="shared" si="209"/>
        <v>0</v>
      </c>
    </row>
    <row r="1555" spans="6:31" ht="24" customHeight="1">
      <c r="H1555" s="120"/>
      <c r="K1555" s="129"/>
      <c r="L1555" s="309"/>
      <c r="AE1555" s="137">
        <f t="shared" si="209"/>
        <v>0</v>
      </c>
    </row>
    <row r="1556" spans="6:31" ht="24" customHeight="1">
      <c r="F1556" s="316">
        <v>238</v>
      </c>
      <c r="G1556" s="317" t="s">
        <v>111</v>
      </c>
      <c r="H1556" s="318" t="s">
        <v>1663</v>
      </c>
      <c r="I1556" s="337"/>
      <c r="J1556" s="338"/>
      <c r="K1556" s="337"/>
      <c r="L1556" s="309"/>
      <c r="AE1556" s="137">
        <f t="shared" si="209"/>
        <v>0</v>
      </c>
    </row>
    <row r="1557" spans="6:31" ht="24" customHeight="1">
      <c r="F1557" s="319"/>
      <c r="G1557" s="320"/>
      <c r="H1557" s="321" t="s">
        <v>4408</v>
      </c>
      <c r="I1557" s="325"/>
      <c r="J1557" s="339"/>
      <c r="K1557" s="325"/>
      <c r="L1557" s="335"/>
      <c r="AE1557" s="137">
        <f t="shared" si="209"/>
        <v>0</v>
      </c>
    </row>
    <row r="1558" spans="6:31" ht="24" customHeight="1">
      <c r="F1558" s="319"/>
      <c r="G1558" s="320"/>
      <c r="H1558" s="322" t="s">
        <v>52</v>
      </c>
      <c r="I1558" s="325"/>
      <c r="J1558" s="339"/>
      <c r="K1558" s="325"/>
      <c r="AE1558" s="137">
        <f t="shared" si="209"/>
        <v>0</v>
      </c>
    </row>
    <row r="1559" spans="6:31" ht="24" customHeight="1">
      <c r="F1559" s="323">
        <v>20</v>
      </c>
      <c r="G1559" s="324" t="s">
        <v>1658</v>
      </c>
      <c r="H1559" s="321" t="s">
        <v>4409</v>
      </c>
      <c r="I1559" s="340">
        <f>D40</f>
        <v>116.2</v>
      </c>
      <c r="J1559" s="321" t="s">
        <v>1658</v>
      </c>
      <c r="K1559" s="341">
        <f>(F1559*I1559)</f>
        <v>2324</v>
      </c>
      <c r="AE1559" s="137">
        <f t="shared" si="209"/>
        <v>0</v>
      </c>
    </row>
    <row r="1560" spans="6:31" ht="24" customHeight="1">
      <c r="F1560" s="319"/>
      <c r="G1560" s="320"/>
      <c r="H1560" s="321" t="s">
        <v>1666</v>
      </c>
      <c r="I1560" s="325"/>
      <c r="J1560" s="339"/>
      <c r="K1560" s="321" t="s">
        <v>85</v>
      </c>
      <c r="AE1560" s="137">
        <f t="shared" si="209"/>
        <v>0</v>
      </c>
    </row>
    <row r="1561" spans="6:31" ht="24" customHeight="1">
      <c r="F1561" s="323">
        <v>50</v>
      </c>
      <c r="G1561" s="324" t="s">
        <v>39</v>
      </c>
      <c r="H1561" s="321" t="s">
        <v>123</v>
      </c>
      <c r="I1561" s="341">
        <f>C67/1000</f>
        <v>6.04</v>
      </c>
      <c r="J1561" s="321" t="s">
        <v>39</v>
      </c>
      <c r="K1561" s="341">
        <f>(F1561*I1561)</f>
        <v>302</v>
      </c>
      <c r="AE1561" s="137">
        <f t="shared" si="209"/>
        <v>0</v>
      </c>
    </row>
    <row r="1562" spans="6:31" ht="24" customHeight="1">
      <c r="F1562" s="323">
        <v>1</v>
      </c>
      <c r="G1562" s="324" t="s">
        <v>145</v>
      </c>
      <c r="H1562" s="321" t="s">
        <v>1667</v>
      </c>
      <c r="I1562" s="342">
        <v>75</v>
      </c>
      <c r="J1562" s="321" t="s">
        <v>145</v>
      </c>
      <c r="K1562" s="341">
        <f>(F1562*I1562)</f>
        <v>75</v>
      </c>
      <c r="AE1562" s="137">
        <f t="shared" si="209"/>
        <v>0</v>
      </c>
    </row>
    <row r="1563" spans="6:31" ht="24" customHeight="1">
      <c r="F1563" s="323">
        <v>1</v>
      </c>
      <c r="G1563" s="324" t="s">
        <v>145</v>
      </c>
      <c r="H1563" s="321" t="s">
        <v>1668</v>
      </c>
      <c r="I1563" s="341">
        <f>C38</f>
        <v>40</v>
      </c>
      <c r="J1563" s="321" t="s">
        <v>145</v>
      </c>
      <c r="K1563" s="341">
        <f>(F1563*I1563)</f>
        <v>40</v>
      </c>
      <c r="AE1563" s="137">
        <f t="shared" si="209"/>
        <v>0</v>
      </c>
    </row>
    <row r="1564" spans="6:31" ht="24" customHeight="1">
      <c r="F1564" s="323">
        <v>2.5</v>
      </c>
      <c r="G1564" s="324" t="s">
        <v>145</v>
      </c>
      <c r="H1564" s="321" t="s">
        <v>1669</v>
      </c>
      <c r="I1564" s="341">
        <f>D14</f>
        <v>805.2</v>
      </c>
      <c r="J1564" s="321" t="s">
        <v>145</v>
      </c>
      <c r="K1564" s="341">
        <f>(F1564*I1564)</f>
        <v>2013</v>
      </c>
      <c r="AE1564" s="137">
        <f t="shared" si="209"/>
        <v>0</v>
      </c>
    </row>
    <row r="1565" spans="6:31" ht="24" customHeight="1">
      <c r="F1565" s="319"/>
      <c r="G1565" s="324" t="s">
        <v>145</v>
      </c>
      <c r="H1565" s="321" t="s">
        <v>1670</v>
      </c>
      <c r="I1565" s="325"/>
      <c r="J1565" s="321" t="s">
        <v>145</v>
      </c>
      <c r="K1565" s="343">
        <v>1.5</v>
      </c>
      <c r="AE1565" s="137">
        <f t="shared" si="209"/>
        <v>0</v>
      </c>
    </row>
    <row r="1566" spans="6:31" ht="24" customHeight="1">
      <c r="F1566" s="319"/>
      <c r="G1566" s="320"/>
      <c r="H1566" s="325"/>
      <c r="I1566" s="325"/>
      <c r="J1566" s="339"/>
      <c r="K1566" s="322" t="s">
        <v>52</v>
      </c>
      <c r="AE1566" s="137">
        <f t="shared" si="209"/>
        <v>0</v>
      </c>
    </row>
    <row r="1567" spans="6:31" ht="24" customHeight="1">
      <c r="F1567" s="319"/>
      <c r="G1567" s="320"/>
      <c r="H1567" s="326" t="s">
        <v>1671</v>
      </c>
      <c r="I1567" s="344"/>
      <c r="J1567" s="345"/>
      <c r="K1567" s="346">
        <f>SUM(K1559:K1565)</f>
        <v>4755.5</v>
      </c>
      <c r="AE1567" s="137">
        <f t="shared" si="209"/>
        <v>0</v>
      </c>
    </row>
    <row r="1568" spans="6:31" ht="24" customHeight="1">
      <c r="F1568" s="319"/>
      <c r="G1568" s="320"/>
      <c r="H1568" s="321"/>
      <c r="I1568" s="325"/>
      <c r="J1568" s="339"/>
      <c r="K1568" s="322" t="s">
        <v>52</v>
      </c>
      <c r="AE1568" s="137">
        <f t="shared" si="209"/>
        <v>0</v>
      </c>
    </row>
    <row r="1569" spans="6:31" ht="24" customHeight="1">
      <c r="F1569" s="327"/>
      <c r="G1569" s="328"/>
      <c r="H1569" s="329"/>
      <c r="I1569" s="329"/>
      <c r="J1569" s="347"/>
      <c r="K1569" s="348"/>
      <c r="AE1569" s="137">
        <f t="shared" si="209"/>
        <v>0</v>
      </c>
    </row>
    <row r="1570" spans="6:31" ht="24" customHeight="1">
      <c r="F1570" s="330" t="s">
        <v>1672</v>
      </c>
      <c r="G1570" s="317" t="s">
        <v>111</v>
      </c>
      <c r="H1570" s="318" t="s">
        <v>1673</v>
      </c>
      <c r="I1570" s="337"/>
      <c r="J1570" s="338"/>
      <c r="K1570" s="337"/>
      <c r="AE1570" s="137">
        <f t="shared" si="209"/>
        <v>0</v>
      </c>
    </row>
    <row r="1571" spans="6:31" ht="24" customHeight="1">
      <c r="F1571" s="319"/>
      <c r="G1571" s="320"/>
      <c r="H1571" s="321" t="s">
        <v>1674</v>
      </c>
      <c r="I1571" s="325"/>
      <c r="J1571" s="339"/>
      <c r="K1571" s="325"/>
      <c r="AE1571" s="137">
        <f t="shared" si="209"/>
        <v>0</v>
      </c>
    </row>
    <row r="1572" spans="6:31" ht="24" customHeight="1">
      <c r="F1572" s="319"/>
      <c r="G1572" s="320"/>
      <c r="H1572" s="322" t="s">
        <v>52</v>
      </c>
      <c r="I1572" s="325"/>
      <c r="J1572" s="339"/>
      <c r="K1572" s="325"/>
      <c r="AE1572" s="137">
        <f t="shared" si="209"/>
        <v>0</v>
      </c>
    </row>
    <row r="1573" spans="6:31" ht="24" customHeight="1">
      <c r="F1573" s="323">
        <v>1</v>
      </c>
      <c r="G1573" s="324" t="s">
        <v>1675</v>
      </c>
      <c r="H1573" s="321" t="s">
        <v>1676</v>
      </c>
      <c r="I1573" s="341">
        <f>(C139)</f>
        <v>58000</v>
      </c>
      <c r="J1573" s="321" t="s">
        <v>11</v>
      </c>
      <c r="K1573" s="341">
        <f>(F1573*I1573)/10</f>
        <v>5800</v>
      </c>
      <c r="AE1573" s="137">
        <f t="shared" si="209"/>
        <v>0</v>
      </c>
    </row>
    <row r="1574" spans="6:31" ht="24" customHeight="1">
      <c r="F1574" s="331">
        <v>0.01</v>
      </c>
      <c r="G1574" s="324" t="s">
        <v>1675</v>
      </c>
      <c r="H1574" s="321" t="s">
        <v>389</v>
      </c>
      <c r="I1574" s="341">
        <f>(C143)</f>
        <v>56350</v>
      </c>
      <c r="J1574" s="321" t="s">
        <v>11</v>
      </c>
      <c r="K1574" s="341">
        <f>(F1574*I1574)/10</f>
        <v>56.35</v>
      </c>
      <c r="AE1574" s="137">
        <f t="shared" si="209"/>
        <v>0</v>
      </c>
    </row>
    <row r="1575" spans="6:31" ht="24" customHeight="1">
      <c r="F1575" s="331">
        <v>3.5</v>
      </c>
      <c r="G1575" s="324" t="s">
        <v>237</v>
      </c>
      <c r="H1575" s="321" t="s">
        <v>1677</v>
      </c>
      <c r="I1575" s="341">
        <f>AE38</f>
        <v>903.1</v>
      </c>
      <c r="J1575" s="321" t="s">
        <v>729</v>
      </c>
      <c r="K1575" s="341">
        <f>(F1575*I1575)</f>
        <v>3160.85</v>
      </c>
      <c r="AE1575" s="137">
        <f t="shared" si="209"/>
        <v>0</v>
      </c>
    </row>
    <row r="1576" spans="6:31" ht="24" customHeight="1">
      <c r="F1576" s="323">
        <v>1.3</v>
      </c>
      <c r="G1576" s="324" t="s">
        <v>39</v>
      </c>
      <c r="H1576" s="321" t="s">
        <v>1678</v>
      </c>
      <c r="I1576" s="341">
        <f>C67/1000</f>
        <v>6.04</v>
      </c>
      <c r="J1576" s="321" t="s">
        <v>39</v>
      </c>
      <c r="K1576" s="341">
        <f>(F1576*I1576)</f>
        <v>7.85</v>
      </c>
      <c r="AE1576" s="137">
        <f t="shared" si="209"/>
        <v>0</v>
      </c>
    </row>
    <row r="1577" spans="6:31" ht="24" customHeight="1">
      <c r="F1577" s="323">
        <v>0.25</v>
      </c>
      <c r="G1577" s="324" t="s">
        <v>237</v>
      </c>
      <c r="H1577" s="321" t="s">
        <v>1679</v>
      </c>
      <c r="I1577" s="341">
        <f>D14</f>
        <v>805.2</v>
      </c>
      <c r="J1577" s="321" t="s">
        <v>729</v>
      </c>
      <c r="K1577" s="341">
        <f>(F1577*I1577)</f>
        <v>201.3</v>
      </c>
      <c r="AE1577" s="137">
        <f t="shared" si="209"/>
        <v>0</v>
      </c>
    </row>
    <row r="1578" spans="6:31" ht="24" customHeight="1">
      <c r="F1578" s="331"/>
      <c r="G1578" s="324" t="s">
        <v>145</v>
      </c>
      <c r="H1578" s="321" t="s">
        <v>146</v>
      </c>
      <c r="I1578" s="325"/>
      <c r="J1578" s="321" t="s">
        <v>145</v>
      </c>
      <c r="K1578" s="341">
        <f>(F1578*I1578)</f>
        <v>0</v>
      </c>
      <c r="AE1578" s="137">
        <f t="shared" si="209"/>
        <v>0</v>
      </c>
    </row>
    <row r="1579" spans="6:31" ht="24" customHeight="1">
      <c r="F1579" s="331"/>
      <c r="G1579" s="320"/>
      <c r="H1579" s="325"/>
      <c r="I1579" s="325"/>
      <c r="J1579" s="339"/>
      <c r="K1579" s="322" t="s">
        <v>52</v>
      </c>
      <c r="AE1579" s="137">
        <f t="shared" si="209"/>
        <v>0</v>
      </c>
    </row>
    <row r="1580" spans="6:31" ht="24" customHeight="1">
      <c r="F1580" s="331"/>
      <c r="G1580" s="320"/>
      <c r="H1580" s="321" t="s">
        <v>1680</v>
      </c>
      <c r="I1580" s="325"/>
      <c r="J1580" s="339"/>
      <c r="K1580" s="341">
        <f>SUM(K1573:K1578)</f>
        <v>9226.35</v>
      </c>
      <c r="AE1580" s="137">
        <f t="shared" si="209"/>
        <v>0</v>
      </c>
    </row>
    <row r="1581" spans="6:31" ht="24" customHeight="1">
      <c r="F1581" s="331"/>
      <c r="G1581" s="320"/>
      <c r="H1581" s="325"/>
      <c r="I1581" s="325"/>
      <c r="J1581" s="339"/>
      <c r="K1581" s="322" t="s">
        <v>52</v>
      </c>
      <c r="AE1581" s="137">
        <f t="shared" si="209"/>
        <v>0</v>
      </c>
    </row>
    <row r="1582" spans="6:31" ht="24" customHeight="1">
      <c r="F1582" s="332"/>
      <c r="G1582" s="328"/>
      <c r="H1582" s="333" t="s">
        <v>1681</v>
      </c>
      <c r="I1582" s="349"/>
      <c r="J1582" s="350"/>
      <c r="K1582" s="351">
        <f>(K1580*10)</f>
        <v>92263.5</v>
      </c>
      <c r="AE1582" s="137">
        <f t="shared" si="209"/>
        <v>0</v>
      </c>
    </row>
    <row r="1583" spans="6:31" ht="24" customHeight="1">
      <c r="F1583" s="142"/>
      <c r="K1583" s="123"/>
      <c r="AE1583" s="137">
        <f t="shared" si="209"/>
        <v>0</v>
      </c>
    </row>
    <row r="1584" spans="6:31" ht="24" customHeight="1">
      <c r="F1584" s="142"/>
      <c r="K1584" s="123"/>
      <c r="AE1584" s="137">
        <f t="shared" si="209"/>
        <v>0</v>
      </c>
    </row>
    <row r="1585" spans="6:31" ht="24" customHeight="1">
      <c r="F1585" s="142"/>
      <c r="H1585" s="114" t="s">
        <v>1682</v>
      </c>
      <c r="K1585" s="123"/>
      <c r="AE1585" s="137">
        <f t="shared" si="209"/>
        <v>0</v>
      </c>
    </row>
    <row r="1586" spans="6:31" ht="24" customHeight="1">
      <c r="F1586" s="129">
        <v>1</v>
      </c>
      <c r="G1586" s="126" t="s">
        <v>1675</v>
      </c>
      <c r="H1586" s="120" t="s">
        <v>1683</v>
      </c>
      <c r="I1586" s="115">
        <f>C138</f>
        <v>58000</v>
      </c>
      <c r="J1586" s="120" t="s">
        <v>11</v>
      </c>
      <c r="K1586" s="129">
        <f>(F1586*I1586)/10</f>
        <v>5800</v>
      </c>
      <c r="AE1586" s="137">
        <f t="shared" si="209"/>
        <v>0</v>
      </c>
    </row>
    <row r="1587" spans="6:31" ht="24" customHeight="1">
      <c r="F1587" s="142">
        <v>0.01</v>
      </c>
      <c r="G1587" s="126" t="s">
        <v>1675</v>
      </c>
      <c r="H1587" s="120" t="s">
        <v>389</v>
      </c>
      <c r="I1587" s="115">
        <f>C143</f>
        <v>56350</v>
      </c>
      <c r="J1587" s="120" t="s">
        <v>11</v>
      </c>
      <c r="K1587" s="129">
        <f>(F1587*I1587)/10</f>
        <v>56.35</v>
      </c>
      <c r="AE1587" s="137">
        <f t="shared" si="209"/>
        <v>0</v>
      </c>
    </row>
    <row r="1588" spans="6:31" ht="24" customHeight="1">
      <c r="F1588" s="142">
        <v>3.5</v>
      </c>
      <c r="G1588" s="126" t="s">
        <v>237</v>
      </c>
      <c r="H1588" s="120" t="s">
        <v>1677</v>
      </c>
      <c r="I1588" s="115">
        <f>I1575</f>
        <v>903.1</v>
      </c>
      <c r="J1588" s="120" t="s">
        <v>729</v>
      </c>
      <c r="K1588" s="129">
        <f>(F1588*I1588)</f>
        <v>3160.85</v>
      </c>
      <c r="AE1588" s="137">
        <f t="shared" si="209"/>
        <v>0</v>
      </c>
    </row>
    <row r="1589" spans="6:31" ht="24" customHeight="1">
      <c r="F1589" s="129">
        <v>1.3</v>
      </c>
      <c r="G1589" s="126" t="s">
        <v>39</v>
      </c>
      <c r="H1589" s="120" t="s">
        <v>1678</v>
      </c>
      <c r="I1589" s="115">
        <f>C67/1000</f>
        <v>6.04</v>
      </c>
      <c r="J1589" s="120" t="s">
        <v>39</v>
      </c>
      <c r="K1589" s="129">
        <f>(F1589*I1589)</f>
        <v>7.85</v>
      </c>
      <c r="AE1589" s="137">
        <f t="shared" si="209"/>
        <v>0</v>
      </c>
    </row>
    <row r="1590" spans="6:31" ht="24" customHeight="1">
      <c r="F1590" s="129">
        <v>0.25</v>
      </c>
      <c r="G1590" s="126" t="s">
        <v>237</v>
      </c>
      <c r="H1590" s="120" t="s">
        <v>1679</v>
      </c>
      <c r="I1590" s="115">
        <f>D14</f>
        <v>805.2</v>
      </c>
      <c r="J1590" s="120" t="s">
        <v>729</v>
      </c>
      <c r="K1590" s="129">
        <f>(F1590*I1590)</f>
        <v>201.3</v>
      </c>
      <c r="AE1590" s="137">
        <f t="shared" si="209"/>
        <v>0</v>
      </c>
    </row>
    <row r="1591" spans="6:31" ht="24" customHeight="1">
      <c r="F1591" s="142"/>
      <c r="G1591" s="126" t="s">
        <v>145</v>
      </c>
      <c r="H1591" s="120" t="s">
        <v>146</v>
      </c>
      <c r="J1591" s="120" t="s">
        <v>145</v>
      </c>
      <c r="K1591" s="129">
        <f>(F1591*I1591)</f>
        <v>0</v>
      </c>
      <c r="AE1591" s="137">
        <f t="shared" si="209"/>
        <v>0</v>
      </c>
    </row>
    <row r="1592" spans="6:31" ht="24" customHeight="1">
      <c r="F1592" s="142"/>
      <c r="K1592" s="123" t="s">
        <v>52</v>
      </c>
      <c r="AE1592" s="137">
        <f t="shared" si="209"/>
        <v>0</v>
      </c>
    </row>
    <row r="1593" spans="6:31" ht="24" customHeight="1">
      <c r="F1593" s="142"/>
      <c r="H1593" s="120" t="s">
        <v>1680</v>
      </c>
      <c r="K1593" s="129">
        <f>SUM(K1586:K1591)</f>
        <v>9226.35</v>
      </c>
      <c r="AE1593" s="137">
        <f t="shared" si="209"/>
        <v>0</v>
      </c>
    </row>
    <row r="1594" spans="6:31" ht="24" customHeight="1">
      <c r="F1594" s="142"/>
      <c r="K1594" s="123" t="s">
        <v>52</v>
      </c>
      <c r="AE1594" s="137">
        <f t="shared" si="209"/>
        <v>0</v>
      </c>
    </row>
    <row r="1595" spans="6:31" ht="24" customHeight="1">
      <c r="F1595" s="142" t="s">
        <v>85</v>
      </c>
      <c r="H1595" s="128" t="s">
        <v>1681</v>
      </c>
      <c r="I1595" s="114"/>
      <c r="J1595" s="178"/>
      <c r="K1595" s="127">
        <f>(K1593*10)</f>
        <v>92263.5</v>
      </c>
      <c r="AE1595" s="137">
        <f t="shared" si="209"/>
        <v>0</v>
      </c>
    </row>
    <row r="1596" spans="6:31" ht="24" customHeight="1">
      <c r="F1596" s="142"/>
      <c r="K1596" s="123" t="s">
        <v>89</v>
      </c>
      <c r="AE1596" s="137">
        <f t="shared" si="209"/>
        <v>0</v>
      </c>
    </row>
    <row r="1597" spans="6:31" ht="24" customHeight="1">
      <c r="F1597" s="142"/>
      <c r="H1597" s="120" t="s">
        <v>85</v>
      </c>
      <c r="K1597" s="120" t="s">
        <v>85</v>
      </c>
      <c r="AE1597" s="137">
        <f t="shared" si="209"/>
        <v>0</v>
      </c>
    </row>
    <row r="1598" spans="6:31" ht="24" customHeight="1">
      <c r="F1598" s="185" t="s">
        <v>1684</v>
      </c>
      <c r="G1598" s="126" t="s">
        <v>956</v>
      </c>
      <c r="H1598" s="120" t="s">
        <v>1673</v>
      </c>
      <c r="O1598" s="114" t="s">
        <v>4410</v>
      </c>
      <c r="AE1598" s="137">
        <f t="shared" ref="AE1598:AE1661" si="211">AG1598</f>
        <v>0</v>
      </c>
    </row>
    <row r="1599" spans="6:31" ht="24" customHeight="1">
      <c r="F1599" s="142"/>
      <c r="H1599" s="120" t="s">
        <v>1685</v>
      </c>
      <c r="M1599" s="185" t="s">
        <v>1684</v>
      </c>
      <c r="N1599" s="126" t="s">
        <v>956</v>
      </c>
      <c r="O1599" s="120" t="s">
        <v>1673</v>
      </c>
      <c r="Q1599" s="117"/>
      <c r="AE1599" s="137">
        <f t="shared" si="211"/>
        <v>0</v>
      </c>
    </row>
    <row r="1600" spans="6:31" ht="24" customHeight="1">
      <c r="F1600" s="142"/>
      <c r="H1600" s="123" t="s">
        <v>52</v>
      </c>
      <c r="M1600" s="142"/>
      <c r="N1600" s="116"/>
      <c r="O1600" s="120" t="s">
        <v>1685</v>
      </c>
      <c r="Q1600" s="117"/>
      <c r="AE1600" s="137">
        <f t="shared" si="211"/>
        <v>0</v>
      </c>
    </row>
    <row r="1601" spans="6:31" ht="24" customHeight="1">
      <c r="F1601" s="129">
        <v>1</v>
      </c>
      <c r="G1601" s="126" t="s">
        <v>1675</v>
      </c>
      <c r="H1601" s="120" t="s">
        <v>1676</v>
      </c>
      <c r="I1601" s="129">
        <f>(C139)</f>
        <v>58000</v>
      </c>
      <c r="J1601" s="120" t="s">
        <v>11</v>
      </c>
      <c r="K1601" s="129">
        <f>(F1601*I1601)/10</f>
        <v>5800</v>
      </c>
      <c r="L1601" s="115">
        <f>K1626+K1630</f>
        <v>393.72</v>
      </c>
      <c r="M1601" s="142"/>
      <c r="N1601" s="116"/>
      <c r="O1601" s="123" t="s">
        <v>52</v>
      </c>
      <c r="Q1601" s="117"/>
      <c r="AE1601" s="137">
        <f t="shared" si="211"/>
        <v>0</v>
      </c>
    </row>
    <row r="1602" spans="6:31" ht="24" customHeight="1">
      <c r="F1602" s="142">
        <v>0.01</v>
      </c>
      <c r="G1602" s="126" t="s">
        <v>1675</v>
      </c>
      <c r="H1602" s="120" t="s">
        <v>389</v>
      </c>
      <c r="I1602" s="129">
        <f>I1587</f>
        <v>56350</v>
      </c>
      <c r="J1602" s="120" t="s">
        <v>11</v>
      </c>
      <c r="K1602" s="129">
        <f>(F1602*I1602)/10</f>
        <v>56.35</v>
      </c>
      <c r="L1602" s="115">
        <f>L1601/3</f>
        <v>131.24</v>
      </c>
      <c r="M1602" s="129">
        <v>1</v>
      </c>
      <c r="N1602" s="126" t="s">
        <v>1675</v>
      </c>
      <c r="O1602" s="120" t="s">
        <v>1676</v>
      </c>
      <c r="P1602" s="129">
        <f>I1601</f>
        <v>58000</v>
      </c>
      <c r="Q1602" s="120" t="s">
        <v>11</v>
      </c>
      <c r="R1602" s="129">
        <f>(M1602*P1602)/10</f>
        <v>5800</v>
      </c>
      <c r="AE1602" s="137">
        <f t="shared" si="211"/>
        <v>0</v>
      </c>
    </row>
    <row r="1603" spans="6:31" ht="24" customHeight="1">
      <c r="F1603" s="142">
        <v>3.5</v>
      </c>
      <c r="G1603" s="126" t="s">
        <v>237</v>
      </c>
      <c r="H1603" s="120" t="s">
        <v>1677</v>
      </c>
      <c r="I1603" s="129">
        <f>AE38</f>
        <v>903.1</v>
      </c>
      <c r="J1603" s="120" t="s">
        <v>237</v>
      </c>
      <c r="K1603" s="129">
        <f>(F1603*I1603)</f>
        <v>3160.85</v>
      </c>
      <c r="M1603" s="142">
        <v>0.01</v>
      </c>
      <c r="N1603" s="126" t="s">
        <v>1675</v>
      </c>
      <c r="O1603" s="122" t="s">
        <v>4411</v>
      </c>
      <c r="P1603" s="273">
        <f>80000/112*100</f>
        <v>71428.570000000007</v>
      </c>
      <c r="Q1603" s="120" t="s">
        <v>11</v>
      </c>
      <c r="R1603" s="129">
        <f>(M1603*P1603)/10</f>
        <v>71.430000000000007</v>
      </c>
      <c r="AE1603" s="137">
        <f t="shared" si="211"/>
        <v>0</v>
      </c>
    </row>
    <row r="1604" spans="6:31" ht="24" customHeight="1">
      <c r="F1604" s="142"/>
      <c r="G1604" s="126" t="s">
        <v>145</v>
      </c>
      <c r="H1604" s="120" t="s">
        <v>146</v>
      </c>
      <c r="J1604" s="120" t="s">
        <v>145</v>
      </c>
      <c r="K1604" s="129">
        <v>0</v>
      </c>
      <c r="M1604" s="142">
        <v>3.5</v>
      </c>
      <c r="N1604" s="126" t="s">
        <v>237</v>
      </c>
      <c r="O1604" s="120" t="s">
        <v>1677</v>
      </c>
      <c r="P1604" s="129">
        <f>I1603</f>
        <v>903.1</v>
      </c>
      <c r="Q1604" s="120" t="s">
        <v>237</v>
      </c>
      <c r="R1604" s="129">
        <f>(M1604*P1604)</f>
        <v>3160.85</v>
      </c>
      <c r="AE1604" s="137">
        <f t="shared" si="211"/>
        <v>0</v>
      </c>
    </row>
    <row r="1605" spans="6:31" ht="24" customHeight="1">
      <c r="K1605" s="123" t="s">
        <v>52</v>
      </c>
      <c r="M1605" s="142"/>
      <c r="N1605" s="126" t="s">
        <v>145</v>
      </c>
      <c r="O1605" s="120" t="s">
        <v>146</v>
      </c>
      <c r="Q1605" s="120" t="s">
        <v>145</v>
      </c>
      <c r="R1605" s="129">
        <v>0</v>
      </c>
      <c r="AE1605" s="137">
        <f t="shared" si="211"/>
        <v>0</v>
      </c>
    </row>
    <row r="1606" spans="6:31" ht="24" customHeight="1">
      <c r="H1606" s="120" t="s">
        <v>1680</v>
      </c>
      <c r="K1606" s="129">
        <f>SUM(K1601:K1604)</f>
        <v>9017.2000000000007</v>
      </c>
      <c r="N1606" s="116"/>
      <c r="Q1606" s="117"/>
      <c r="R1606" s="123" t="s">
        <v>52</v>
      </c>
      <c r="AE1606" s="137">
        <f t="shared" si="211"/>
        <v>0</v>
      </c>
    </row>
    <row r="1607" spans="6:31" ht="24" customHeight="1">
      <c r="K1607" s="123" t="s">
        <v>52</v>
      </c>
      <c r="N1607" s="116"/>
      <c r="O1607" s="120" t="s">
        <v>1680</v>
      </c>
      <c r="Q1607" s="117"/>
      <c r="R1607" s="129">
        <f>SUM(R1602:R1605)</f>
        <v>9032.2800000000007</v>
      </c>
      <c r="AE1607" s="137">
        <f t="shared" si="211"/>
        <v>0</v>
      </c>
    </row>
    <row r="1608" spans="6:31" ht="24" customHeight="1">
      <c r="H1608" s="128" t="s">
        <v>1681</v>
      </c>
      <c r="I1608" s="114"/>
      <c r="J1608" s="178"/>
      <c r="K1608" s="127">
        <f>(K1606*10)</f>
        <v>90172</v>
      </c>
      <c r="N1608" s="116"/>
      <c r="Q1608" s="117"/>
      <c r="R1608" s="123" t="s">
        <v>52</v>
      </c>
      <c r="AE1608" s="137">
        <f t="shared" si="211"/>
        <v>0</v>
      </c>
    </row>
    <row r="1609" spans="6:31" ht="24" customHeight="1">
      <c r="H1609" s="120" t="s">
        <v>85</v>
      </c>
      <c r="K1609" s="120" t="s">
        <v>85</v>
      </c>
      <c r="N1609" s="116"/>
      <c r="O1609" s="128" t="s">
        <v>1681</v>
      </c>
      <c r="P1609" s="114"/>
      <c r="Q1609" s="178"/>
      <c r="R1609" s="127">
        <f>(R1607*10)</f>
        <v>90322.8</v>
      </c>
      <c r="AE1609" s="137">
        <f t="shared" si="211"/>
        <v>0</v>
      </c>
    </row>
    <row r="1610" spans="6:31" ht="24" customHeight="1">
      <c r="G1610" s="116" t="s">
        <v>986</v>
      </c>
      <c r="H1610" s="120" t="s">
        <v>1673</v>
      </c>
      <c r="K1610" s="120"/>
      <c r="AE1610" s="137">
        <f t="shared" si="211"/>
        <v>0</v>
      </c>
    </row>
    <row r="1611" spans="6:31" ht="24" customHeight="1">
      <c r="H1611" s="120" t="s">
        <v>1686</v>
      </c>
      <c r="K1611" s="120"/>
      <c r="N1611" s="116" t="s">
        <v>986</v>
      </c>
      <c r="O1611" s="120" t="s">
        <v>1673</v>
      </c>
      <c r="Q1611" s="117"/>
      <c r="R1611" s="120"/>
      <c r="AE1611" s="137">
        <f t="shared" si="211"/>
        <v>0</v>
      </c>
    </row>
    <row r="1612" spans="6:31" ht="24" customHeight="1">
      <c r="F1612" s="142"/>
      <c r="H1612" s="123" t="s">
        <v>52</v>
      </c>
      <c r="K1612" s="120"/>
      <c r="N1612" s="116"/>
      <c r="O1612" s="120" t="s">
        <v>1686</v>
      </c>
      <c r="Q1612" s="117"/>
      <c r="R1612" s="120"/>
      <c r="AE1612" s="137">
        <f t="shared" si="211"/>
        <v>0</v>
      </c>
    </row>
    <row r="1613" spans="6:31" ht="24" customHeight="1">
      <c r="F1613" s="129">
        <v>1</v>
      </c>
      <c r="G1613" s="126" t="s">
        <v>1675</v>
      </c>
      <c r="H1613" s="120" t="s">
        <v>1683</v>
      </c>
      <c r="I1613" s="115">
        <f>C138</f>
        <v>58000</v>
      </c>
      <c r="J1613" s="120" t="s">
        <v>11</v>
      </c>
      <c r="K1613" s="129">
        <f>(F1613*I1613)/10</f>
        <v>5800</v>
      </c>
      <c r="M1613" s="142"/>
      <c r="N1613" s="116"/>
      <c r="O1613" s="123" t="s">
        <v>52</v>
      </c>
      <c r="Q1613" s="117"/>
      <c r="R1613" s="120"/>
      <c r="AE1613" s="137">
        <f t="shared" si="211"/>
        <v>0</v>
      </c>
    </row>
    <row r="1614" spans="6:31" ht="24" customHeight="1">
      <c r="F1614" s="142">
        <v>0.01</v>
      </c>
      <c r="G1614" s="126" t="s">
        <v>1675</v>
      </c>
      <c r="H1614" s="120" t="s">
        <v>389</v>
      </c>
      <c r="I1614" s="115">
        <f>C143</f>
        <v>56350</v>
      </c>
      <c r="J1614" s="120" t="s">
        <v>11</v>
      </c>
      <c r="K1614" s="129">
        <f>(F1614*I1614)/10</f>
        <v>56.35</v>
      </c>
      <c r="M1614" s="129">
        <v>1</v>
      </c>
      <c r="N1614" s="126" t="s">
        <v>1675</v>
      </c>
      <c r="O1614" s="120" t="s">
        <v>1683</v>
      </c>
      <c r="P1614" s="115">
        <f>I1613</f>
        <v>58000</v>
      </c>
      <c r="Q1614" s="120" t="s">
        <v>11</v>
      </c>
      <c r="R1614" s="129">
        <f>(M1614*P1614)/10</f>
        <v>5800</v>
      </c>
      <c r="AE1614" s="137">
        <f t="shared" si="211"/>
        <v>0</v>
      </c>
    </row>
    <row r="1615" spans="6:31" ht="24" customHeight="1">
      <c r="F1615" s="142">
        <v>3.5</v>
      </c>
      <c r="G1615" s="126" t="s">
        <v>237</v>
      </c>
      <c r="H1615" s="120" t="s">
        <v>1677</v>
      </c>
      <c r="I1615" s="115">
        <f>I1603</f>
        <v>903.1</v>
      </c>
      <c r="J1615" s="120" t="s">
        <v>237</v>
      </c>
      <c r="K1615" s="129">
        <f>(F1615*I1615)</f>
        <v>3160.85</v>
      </c>
      <c r="M1615" s="142">
        <v>0.01</v>
      </c>
      <c r="N1615" s="126" t="s">
        <v>1675</v>
      </c>
      <c r="O1615" s="122" t="str">
        <f>O1603</f>
        <v>BINDING WIRE insulated with PVC as per circular</v>
      </c>
      <c r="P1615" s="115">
        <f>P1603</f>
        <v>71428.570000000007</v>
      </c>
      <c r="Q1615" s="120" t="s">
        <v>11</v>
      </c>
      <c r="R1615" s="129">
        <f>(M1615*P1615)/10</f>
        <v>71.430000000000007</v>
      </c>
      <c r="AE1615" s="137">
        <f t="shared" si="211"/>
        <v>0</v>
      </c>
    </row>
    <row r="1616" spans="6:31" ht="24" customHeight="1">
      <c r="F1616" s="142"/>
      <c r="G1616" s="126" t="s">
        <v>145</v>
      </c>
      <c r="H1616" s="120" t="s">
        <v>146</v>
      </c>
      <c r="J1616" s="120" t="s">
        <v>145</v>
      </c>
      <c r="K1616" s="129">
        <v>0</v>
      </c>
      <c r="M1616" s="142">
        <v>3.5</v>
      </c>
      <c r="N1616" s="126" t="s">
        <v>1675</v>
      </c>
      <c r="O1616" s="120" t="s">
        <v>1677</v>
      </c>
      <c r="P1616" s="115">
        <f>I1615</f>
        <v>903.1</v>
      </c>
      <c r="Q1616" s="120" t="s">
        <v>237</v>
      </c>
      <c r="R1616" s="129">
        <f>(M1616*P1616)</f>
        <v>3160.85</v>
      </c>
      <c r="AE1616" s="137">
        <f t="shared" si="211"/>
        <v>0</v>
      </c>
    </row>
    <row r="1617" spans="6:31" ht="24" customHeight="1">
      <c r="K1617" s="123" t="s">
        <v>52</v>
      </c>
      <c r="M1617" s="142"/>
      <c r="N1617" s="126" t="s">
        <v>1675</v>
      </c>
      <c r="O1617" s="120" t="s">
        <v>146</v>
      </c>
      <c r="Q1617" s="120" t="s">
        <v>145</v>
      </c>
      <c r="R1617" s="129">
        <v>0</v>
      </c>
      <c r="AE1617" s="137">
        <f t="shared" si="211"/>
        <v>0</v>
      </c>
    </row>
    <row r="1618" spans="6:31" ht="24" customHeight="1">
      <c r="H1618" s="120" t="s">
        <v>1680</v>
      </c>
      <c r="K1618" s="129">
        <f>SUM(K1613:K1616)</f>
        <v>9017.2000000000007</v>
      </c>
      <c r="N1618" s="116"/>
      <c r="Q1618" s="117"/>
      <c r="R1618" s="123" t="s">
        <v>52</v>
      </c>
      <c r="AE1618" s="137">
        <f t="shared" si="211"/>
        <v>0</v>
      </c>
    </row>
    <row r="1619" spans="6:31" ht="24" customHeight="1">
      <c r="K1619" s="123" t="s">
        <v>52</v>
      </c>
      <c r="N1619" s="116"/>
      <c r="O1619" s="120" t="s">
        <v>1680</v>
      </c>
      <c r="Q1619" s="117"/>
      <c r="R1619" s="129">
        <f>SUM(R1614:R1617)</f>
        <v>9032.2800000000007</v>
      </c>
      <c r="AE1619" s="137">
        <f t="shared" si="211"/>
        <v>0</v>
      </c>
    </row>
    <row r="1620" spans="6:31" ht="24" customHeight="1">
      <c r="H1620" s="128" t="s">
        <v>1681</v>
      </c>
      <c r="I1620" s="114"/>
      <c r="J1620" s="178"/>
      <c r="K1620" s="127">
        <f>(K1618*10)</f>
        <v>90172</v>
      </c>
      <c r="N1620" s="116"/>
      <c r="Q1620" s="117"/>
      <c r="R1620" s="123" t="s">
        <v>52</v>
      </c>
      <c r="AE1620" s="137">
        <f t="shared" si="211"/>
        <v>0</v>
      </c>
    </row>
    <row r="1621" spans="6:31" ht="24" customHeight="1">
      <c r="H1621" s="120" t="s">
        <v>85</v>
      </c>
      <c r="N1621" s="116"/>
      <c r="O1621" s="128" t="s">
        <v>1681</v>
      </c>
      <c r="P1621" s="114"/>
      <c r="Q1621" s="178"/>
      <c r="R1621" s="127">
        <f>(R1619*10)</f>
        <v>90322.8</v>
      </c>
      <c r="AE1621" s="137">
        <f t="shared" si="211"/>
        <v>0</v>
      </c>
    </row>
    <row r="1622" spans="6:31" ht="24" customHeight="1">
      <c r="F1622" s="167">
        <v>44.1</v>
      </c>
      <c r="G1622" s="126" t="s">
        <v>111</v>
      </c>
      <c r="H1622" s="120" t="s">
        <v>1687</v>
      </c>
      <c r="AE1622" s="137">
        <f t="shared" si="211"/>
        <v>0</v>
      </c>
    </row>
    <row r="1623" spans="6:31" ht="24" customHeight="1">
      <c r="H1623" s="120" t="s">
        <v>1688</v>
      </c>
      <c r="R1623" s="115" t="s">
        <v>88</v>
      </c>
      <c r="AE1623" s="137">
        <f t="shared" si="211"/>
        <v>0</v>
      </c>
    </row>
    <row r="1624" spans="6:31" ht="24" customHeight="1">
      <c r="H1624" s="120" t="s">
        <v>4412</v>
      </c>
      <c r="M1624" s="167">
        <v>44.1</v>
      </c>
      <c r="N1624" s="126" t="s">
        <v>111</v>
      </c>
      <c r="O1624" s="120" t="s">
        <v>1687</v>
      </c>
      <c r="AE1624" s="137">
        <f t="shared" si="211"/>
        <v>0</v>
      </c>
    </row>
    <row r="1625" spans="6:31" ht="24" customHeight="1">
      <c r="H1625" s="123" t="s">
        <v>52</v>
      </c>
      <c r="N1625" s="116"/>
      <c r="O1625" s="120" t="s">
        <v>1688</v>
      </c>
      <c r="AE1625" s="137">
        <f t="shared" si="211"/>
        <v>0</v>
      </c>
    </row>
    <row r="1626" spans="6:31" ht="24" customHeight="1">
      <c r="F1626" s="129">
        <v>3</v>
      </c>
      <c r="G1626" s="126" t="s">
        <v>282</v>
      </c>
      <c r="H1626" s="120" t="s">
        <v>1690</v>
      </c>
      <c r="I1626" s="129">
        <f>D620</f>
        <v>120.54</v>
      </c>
      <c r="J1626" s="120" t="s">
        <v>282</v>
      </c>
      <c r="K1626" s="129">
        <f t="shared" ref="K1626:K1631" si="212">(F1626*I1626)</f>
        <v>361.62</v>
      </c>
      <c r="N1626" s="116"/>
      <c r="O1626" s="120" t="s">
        <v>4412</v>
      </c>
      <c r="AE1626" s="137">
        <f t="shared" si="211"/>
        <v>0</v>
      </c>
    </row>
    <row r="1627" spans="6:31" ht="24" customHeight="1">
      <c r="F1627" s="129">
        <v>1</v>
      </c>
      <c r="G1627" s="126" t="s">
        <v>131</v>
      </c>
      <c r="H1627" s="120" t="s">
        <v>1691</v>
      </c>
      <c r="I1627" s="228">
        <f>(C623)</f>
        <v>76</v>
      </c>
      <c r="J1627" s="120" t="s">
        <v>131</v>
      </c>
      <c r="K1627" s="129">
        <f t="shared" si="212"/>
        <v>76</v>
      </c>
      <c r="N1627" s="116"/>
      <c r="O1627" s="123" t="s">
        <v>52</v>
      </c>
      <c r="AE1627" s="137">
        <f t="shared" si="211"/>
        <v>0</v>
      </c>
    </row>
    <row r="1628" spans="6:31" ht="24" customHeight="1">
      <c r="F1628" s="129">
        <v>1</v>
      </c>
      <c r="G1628" s="126" t="s">
        <v>131</v>
      </c>
      <c r="H1628" s="120" t="s">
        <v>1692</v>
      </c>
      <c r="I1628" s="129">
        <f>(C626)</f>
        <v>83.4</v>
      </c>
      <c r="J1628" s="120" t="s">
        <v>131</v>
      </c>
      <c r="K1628" s="129">
        <f t="shared" si="212"/>
        <v>83.4</v>
      </c>
      <c r="M1628" s="129">
        <v>3</v>
      </c>
      <c r="N1628" s="126" t="s">
        <v>282</v>
      </c>
      <c r="O1628" s="120" t="s">
        <v>1690</v>
      </c>
      <c r="P1628" s="115">
        <f>I1626</f>
        <v>120.54</v>
      </c>
      <c r="Q1628" s="115" t="str">
        <f>J1628</f>
        <v>NO.</v>
      </c>
      <c r="R1628" s="115">
        <f t="shared" ref="R1628:R1633" si="213">P1628*M1628</f>
        <v>361.62</v>
      </c>
      <c r="AE1628" s="137">
        <f t="shared" si="211"/>
        <v>0</v>
      </c>
    </row>
    <row r="1629" spans="6:31" ht="24" customHeight="1">
      <c r="F1629" s="129">
        <v>2</v>
      </c>
      <c r="G1629" s="126" t="s">
        <v>131</v>
      </c>
      <c r="H1629" s="120" t="s">
        <v>1693</v>
      </c>
      <c r="I1629" s="129">
        <f>C597</f>
        <v>21.6</v>
      </c>
      <c r="J1629" s="120" t="s">
        <v>131</v>
      </c>
      <c r="K1629" s="129">
        <f t="shared" si="212"/>
        <v>43.2</v>
      </c>
      <c r="M1629" s="129">
        <v>1</v>
      </c>
      <c r="N1629" s="126" t="s">
        <v>131</v>
      </c>
      <c r="O1629" s="120" t="s">
        <v>1691</v>
      </c>
      <c r="P1629" s="205">
        <v>76.78</v>
      </c>
      <c r="Q1629" s="115" t="str">
        <f>J1629</f>
        <v>NO.</v>
      </c>
      <c r="R1629" s="115">
        <f t="shared" si="213"/>
        <v>76.78</v>
      </c>
      <c r="AE1629" s="137">
        <f t="shared" si="211"/>
        <v>0</v>
      </c>
    </row>
    <row r="1630" spans="6:31" ht="24" customHeight="1">
      <c r="F1630" s="129">
        <v>1</v>
      </c>
      <c r="G1630" s="126" t="s">
        <v>131</v>
      </c>
      <c r="H1630" s="120" t="s">
        <v>1694</v>
      </c>
      <c r="I1630" s="129">
        <f>(C696)</f>
        <v>32.1</v>
      </c>
      <c r="J1630" s="120" t="s">
        <v>131</v>
      </c>
      <c r="K1630" s="129">
        <f t="shared" si="212"/>
        <v>32.1</v>
      </c>
      <c r="M1630" s="129">
        <v>1</v>
      </c>
      <c r="N1630" s="126" t="s">
        <v>131</v>
      </c>
      <c r="O1630" s="120" t="s">
        <v>1692</v>
      </c>
      <c r="P1630" s="115">
        <f>I1628</f>
        <v>83.4</v>
      </c>
      <c r="Q1630" s="115" t="str">
        <f>J1630</f>
        <v>NO.</v>
      </c>
      <c r="R1630" s="115">
        <f t="shared" si="213"/>
        <v>83.4</v>
      </c>
      <c r="AE1630" s="137">
        <f t="shared" si="211"/>
        <v>0</v>
      </c>
    </row>
    <row r="1631" spans="6:31" ht="24" customHeight="1">
      <c r="F1631" s="129">
        <v>0.5</v>
      </c>
      <c r="G1631" s="126" t="s">
        <v>131</v>
      </c>
      <c r="H1631" s="120" t="s">
        <v>1695</v>
      </c>
      <c r="I1631" s="129">
        <f>(C15)</f>
        <v>903.1</v>
      </c>
      <c r="J1631" s="120" t="s">
        <v>131</v>
      </c>
      <c r="K1631" s="129">
        <f t="shared" si="212"/>
        <v>451.55</v>
      </c>
      <c r="M1631" s="127">
        <v>2</v>
      </c>
      <c r="N1631" s="199" t="s">
        <v>3081</v>
      </c>
      <c r="O1631" s="357" t="s">
        <v>4413</v>
      </c>
      <c r="P1631" s="205">
        <v>12</v>
      </c>
      <c r="Q1631" s="115" t="str">
        <f>J1631</f>
        <v>NO.</v>
      </c>
      <c r="R1631" s="115">
        <f t="shared" si="213"/>
        <v>24</v>
      </c>
      <c r="AE1631" s="137">
        <f t="shared" si="211"/>
        <v>0</v>
      </c>
    </row>
    <row r="1632" spans="6:31" ht="24" customHeight="1">
      <c r="G1632" s="126" t="s">
        <v>145</v>
      </c>
      <c r="H1632" s="120" t="s">
        <v>1696</v>
      </c>
      <c r="J1632" s="120" t="s">
        <v>145</v>
      </c>
      <c r="K1632" s="129"/>
      <c r="M1632" s="129">
        <v>1</v>
      </c>
      <c r="N1632" s="126" t="s">
        <v>3081</v>
      </c>
      <c r="O1632" s="120" t="s">
        <v>1694</v>
      </c>
      <c r="P1632" s="115">
        <f>I1630</f>
        <v>32.1</v>
      </c>
      <c r="Q1632" s="115" t="str">
        <f>J1632</f>
        <v>L.S</v>
      </c>
      <c r="R1632" s="115">
        <f t="shared" si="213"/>
        <v>32.1</v>
      </c>
      <c r="AE1632" s="137">
        <f t="shared" si="211"/>
        <v>0</v>
      </c>
    </row>
    <row r="1633" spans="6:31" ht="24" customHeight="1">
      <c r="H1633" s="120" t="s">
        <v>1697</v>
      </c>
      <c r="M1633" s="129">
        <v>0.5</v>
      </c>
      <c r="N1633" s="126" t="s">
        <v>3081</v>
      </c>
      <c r="O1633" s="120" t="s">
        <v>1695</v>
      </c>
      <c r="P1633" s="115">
        <f>I1631</f>
        <v>903.1</v>
      </c>
      <c r="R1633" s="115">
        <f t="shared" si="213"/>
        <v>451.55</v>
      </c>
      <c r="AE1633" s="137">
        <f t="shared" si="211"/>
        <v>0</v>
      </c>
    </row>
    <row r="1634" spans="6:31" ht="24" customHeight="1">
      <c r="K1634" s="123" t="s">
        <v>52</v>
      </c>
      <c r="N1634" s="126" t="s">
        <v>3081</v>
      </c>
      <c r="O1634" s="120" t="s">
        <v>1696</v>
      </c>
      <c r="P1634" s="115">
        <f>I1634</f>
        <v>0</v>
      </c>
      <c r="AE1634" s="137">
        <f t="shared" si="211"/>
        <v>0</v>
      </c>
    </row>
    <row r="1635" spans="6:31" ht="24" customHeight="1">
      <c r="H1635" s="120" t="s">
        <v>1698</v>
      </c>
      <c r="K1635" s="129">
        <f>SUM(K1626:K1632)</f>
        <v>1047.8699999999999</v>
      </c>
      <c r="O1635" s="120" t="s">
        <v>1697</v>
      </c>
      <c r="R1635" s="115">
        <f>26.98+4.7</f>
        <v>31.68</v>
      </c>
      <c r="AE1635" s="137">
        <f t="shared" si="211"/>
        <v>0</v>
      </c>
    </row>
    <row r="1636" spans="6:31" ht="24" customHeight="1">
      <c r="F1636" s="120" t="s">
        <v>85</v>
      </c>
      <c r="AE1636" s="137">
        <f t="shared" si="211"/>
        <v>0</v>
      </c>
    </row>
    <row r="1637" spans="6:31" ht="24" customHeight="1">
      <c r="K1637" s="123" t="s">
        <v>52</v>
      </c>
      <c r="O1637" s="120" t="s">
        <v>1698</v>
      </c>
      <c r="R1637" s="114">
        <f>SUM(R1628:R1636)</f>
        <v>1061.1300000000001</v>
      </c>
      <c r="AE1637" s="137">
        <f t="shared" si="211"/>
        <v>0</v>
      </c>
    </row>
    <row r="1638" spans="6:31" ht="24" customHeight="1">
      <c r="H1638" s="128" t="s">
        <v>632</v>
      </c>
      <c r="I1638" s="114"/>
      <c r="J1638" s="178"/>
      <c r="K1638" s="127">
        <f>(K1635/3)</f>
        <v>349.29</v>
      </c>
      <c r="AE1638" s="137">
        <f t="shared" si="211"/>
        <v>0</v>
      </c>
    </row>
    <row r="1639" spans="6:31" ht="24" customHeight="1">
      <c r="H1639" s="120"/>
      <c r="K1639" s="123" t="s">
        <v>89</v>
      </c>
      <c r="N1639" s="116"/>
      <c r="Q1639" s="117"/>
      <c r="R1639" s="123" t="s">
        <v>52</v>
      </c>
      <c r="AE1639" s="137">
        <f t="shared" si="211"/>
        <v>0</v>
      </c>
    </row>
    <row r="1640" spans="6:31" ht="24" customHeight="1">
      <c r="F1640" s="121" t="s">
        <v>1699</v>
      </c>
      <c r="H1640" s="120" t="s">
        <v>1700</v>
      </c>
      <c r="N1640" s="116"/>
      <c r="O1640" s="128" t="s">
        <v>632</v>
      </c>
      <c r="P1640" s="114"/>
      <c r="Q1640" s="178"/>
      <c r="R1640" s="127">
        <f>(R1637/3)</f>
        <v>353.71</v>
      </c>
      <c r="S1640" s="118">
        <f>310*3</f>
        <v>930</v>
      </c>
      <c r="T1640" s="115">
        <f>S1640-R1637</f>
        <v>-131.13</v>
      </c>
      <c r="AE1640" s="137">
        <f t="shared" si="211"/>
        <v>0</v>
      </c>
    </row>
    <row r="1641" spans="6:31" ht="24" customHeight="1">
      <c r="H1641" s="120" t="s">
        <v>1701</v>
      </c>
      <c r="N1641" s="116"/>
      <c r="O1641" s="120"/>
      <c r="Q1641" s="117"/>
      <c r="R1641" s="123" t="s">
        <v>89</v>
      </c>
      <c r="AE1641" s="137">
        <f t="shared" si="211"/>
        <v>0</v>
      </c>
    </row>
    <row r="1642" spans="6:31" ht="24" customHeight="1">
      <c r="H1642" s="120" t="s">
        <v>1702</v>
      </c>
      <c r="AE1642" s="137">
        <f t="shared" si="211"/>
        <v>0</v>
      </c>
    </row>
    <row r="1643" spans="6:31" ht="24" customHeight="1">
      <c r="H1643" s="123" t="s">
        <v>52</v>
      </c>
      <c r="AE1643" s="137">
        <f t="shared" si="211"/>
        <v>0</v>
      </c>
    </row>
    <row r="1644" spans="6:31" ht="24" customHeight="1">
      <c r="F1644" s="129">
        <v>0.15</v>
      </c>
      <c r="G1644" s="126" t="s">
        <v>132</v>
      </c>
      <c r="H1644" s="120" t="s">
        <v>1703</v>
      </c>
      <c r="I1644" s="129">
        <f>(C70)</f>
        <v>1025.31</v>
      </c>
      <c r="J1644" s="120" t="s">
        <v>132</v>
      </c>
      <c r="K1644" s="129">
        <f>(F1644*I1644)</f>
        <v>153.80000000000001</v>
      </c>
      <c r="AE1644" s="137">
        <f t="shared" si="211"/>
        <v>0</v>
      </c>
    </row>
    <row r="1645" spans="6:31" ht="24" customHeight="1">
      <c r="F1645" s="201">
        <v>8.6499999999999994E-2</v>
      </c>
      <c r="G1645" s="126" t="s">
        <v>122</v>
      </c>
      <c r="H1645" s="120" t="s">
        <v>123</v>
      </c>
      <c r="I1645" s="129">
        <f>(C67)</f>
        <v>6040</v>
      </c>
      <c r="J1645" s="120" t="s">
        <v>122</v>
      </c>
      <c r="K1645" s="129">
        <f>(F1645*I1645)</f>
        <v>522.46</v>
      </c>
      <c r="AE1645" s="137">
        <f t="shared" si="211"/>
        <v>0</v>
      </c>
    </row>
    <row r="1646" spans="6:31" ht="24" customHeight="1">
      <c r="F1646" s="129">
        <v>1.6</v>
      </c>
      <c r="G1646" s="126" t="s">
        <v>237</v>
      </c>
      <c r="H1646" s="120" t="s">
        <v>345</v>
      </c>
      <c r="I1646" s="129">
        <f>(C10)</f>
        <v>1041.7</v>
      </c>
      <c r="J1646" s="120" t="s">
        <v>237</v>
      </c>
      <c r="K1646" s="129">
        <f>(F1646*I1646)</f>
        <v>1666.72</v>
      </c>
      <c r="AE1646" s="137">
        <f t="shared" si="211"/>
        <v>0</v>
      </c>
    </row>
    <row r="1647" spans="6:31" ht="24" customHeight="1">
      <c r="F1647" s="129">
        <v>0.5</v>
      </c>
      <c r="G1647" s="126" t="s">
        <v>237</v>
      </c>
      <c r="H1647" s="120" t="s">
        <v>304</v>
      </c>
      <c r="I1647" s="129">
        <f>(C12)</f>
        <v>679.8</v>
      </c>
      <c r="J1647" s="120" t="s">
        <v>237</v>
      </c>
      <c r="K1647" s="129">
        <f>(F1647*I1647)</f>
        <v>339.9</v>
      </c>
      <c r="AE1647" s="137">
        <f t="shared" si="211"/>
        <v>0</v>
      </c>
    </row>
    <row r="1648" spans="6:31" ht="24" customHeight="1">
      <c r="F1648" s="129">
        <v>1.1000000000000001</v>
      </c>
      <c r="G1648" s="126" t="s">
        <v>237</v>
      </c>
      <c r="H1648" s="120" t="s">
        <v>306</v>
      </c>
      <c r="I1648" s="129">
        <f>(C13)</f>
        <v>557.70000000000005</v>
      </c>
      <c r="J1648" s="120" t="s">
        <v>237</v>
      </c>
      <c r="K1648" s="129">
        <f>(F1648*I1648)</f>
        <v>613.47</v>
      </c>
      <c r="AE1648" s="137">
        <f t="shared" si="211"/>
        <v>0</v>
      </c>
    </row>
    <row r="1649" spans="6:31" ht="24" customHeight="1">
      <c r="G1649" s="126" t="s">
        <v>145</v>
      </c>
      <c r="H1649" s="120" t="s">
        <v>146</v>
      </c>
      <c r="I1649" s="120" t="s">
        <v>85</v>
      </c>
      <c r="J1649" s="120" t="s">
        <v>145</v>
      </c>
      <c r="K1649" s="129">
        <v>0</v>
      </c>
      <c r="AE1649" s="137">
        <f t="shared" si="211"/>
        <v>0</v>
      </c>
    </row>
    <row r="1650" spans="6:31" ht="24" customHeight="1">
      <c r="K1650" s="123" t="s">
        <v>52</v>
      </c>
      <c r="AE1650" s="137">
        <f t="shared" si="211"/>
        <v>0</v>
      </c>
    </row>
    <row r="1651" spans="6:31" ht="24" customHeight="1">
      <c r="H1651" s="120" t="s">
        <v>495</v>
      </c>
      <c r="K1651" s="129">
        <f>SUM(K1644:K1649)</f>
        <v>3296.35</v>
      </c>
      <c r="AE1651" s="137">
        <f t="shared" si="211"/>
        <v>0</v>
      </c>
    </row>
    <row r="1652" spans="6:31" ht="24" customHeight="1">
      <c r="K1652" s="123" t="s">
        <v>52</v>
      </c>
      <c r="AE1652" s="137">
        <f t="shared" si="211"/>
        <v>0</v>
      </c>
    </row>
    <row r="1653" spans="6:31" ht="24" customHeight="1">
      <c r="H1653" s="128" t="s">
        <v>460</v>
      </c>
      <c r="I1653" s="114"/>
      <c r="J1653" s="178"/>
      <c r="K1653" s="127">
        <f>(K1651/10)</f>
        <v>329.64</v>
      </c>
      <c r="AE1653" s="137">
        <f t="shared" si="211"/>
        <v>0</v>
      </c>
    </row>
    <row r="1654" spans="6:31" ht="24" customHeight="1">
      <c r="K1654" s="123" t="s">
        <v>89</v>
      </c>
      <c r="AE1654" s="137">
        <f t="shared" si="211"/>
        <v>0</v>
      </c>
    </row>
    <row r="1655" spans="6:31" ht="24" customHeight="1">
      <c r="F1655" s="121" t="s">
        <v>1704</v>
      </c>
      <c r="G1655" s="126" t="s">
        <v>111</v>
      </c>
      <c r="H1655" s="120" t="s">
        <v>1705</v>
      </c>
      <c r="AE1655" s="137">
        <f t="shared" si="211"/>
        <v>0</v>
      </c>
    </row>
    <row r="1656" spans="6:31" ht="24" customHeight="1">
      <c r="H1656" s="120" t="s">
        <v>1706</v>
      </c>
      <c r="AE1656" s="137">
        <f t="shared" si="211"/>
        <v>0</v>
      </c>
    </row>
    <row r="1657" spans="6:31" ht="24" customHeight="1">
      <c r="H1657" s="120" t="s">
        <v>1707</v>
      </c>
      <c r="J1657" s="120" t="s">
        <v>85</v>
      </c>
      <c r="AE1657" s="137">
        <f t="shared" si="211"/>
        <v>0</v>
      </c>
    </row>
    <row r="1658" spans="6:31" ht="24" customHeight="1">
      <c r="H1658" s="120" t="s">
        <v>1708</v>
      </c>
      <c r="AE1658" s="137">
        <f t="shared" si="211"/>
        <v>0</v>
      </c>
    </row>
    <row r="1659" spans="6:31" ht="24" customHeight="1">
      <c r="H1659" s="120" t="s">
        <v>1709</v>
      </c>
      <c r="AE1659" s="137">
        <f t="shared" si="211"/>
        <v>0</v>
      </c>
    </row>
    <row r="1660" spans="6:31" ht="24" customHeight="1">
      <c r="H1660" s="120" t="s">
        <v>1710</v>
      </c>
      <c r="AE1660" s="137">
        <f t="shared" si="211"/>
        <v>0</v>
      </c>
    </row>
    <row r="1661" spans="6:31" ht="24" customHeight="1">
      <c r="H1661" s="120" t="s">
        <v>1711</v>
      </c>
      <c r="AE1661" s="137">
        <f t="shared" si="211"/>
        <v>0</v>
      </c>
    </row>
    <row r="1662" spans="6:31" ht="24" customHeight="1">
      <c r="H1662" s="120" t="s">
        <v>1712</v>
      </c>
      <c r="AE1662" s="137">
        <f t="shared" ref="AE1662:AE1695" si="214">AG1662</f>
        <v>0</v>
      </c>
    </row>
    <row r="1663" spans="6:31" ht="24" customHeight="1">
      <c r="H1663" s="120" t="s">
        <v>1713</v>
      </c>
      <c r="AE1663" s="137">
        <f t="shared" si="214"/>
        <v>0</v>
      </c>
    </row>
    <row r="1664" spans="6:31" ht="24" customHeight="1">
      <c r="H1664" s="123" t="s">
        <v>89</v>
      </c>
      <c r="AE1664" s="137">
        <f t="shared" si="214"/>
        <v>0</v>
      </c>
    </row>
    <row r="1665" spans="6:31" ht="24" customHeight="1">
      <c r="AE1665" s="137">
        <f t="shared" si="214"/>
        <v>0</v>
      </c>
    </row>
    <row r="1666" spans="6:31" ht="24" customHeight="1">
      <c r="F1666" s="129">
        <v>1</v>
      </c>
      <c r="G1666" s="126" t="s">
        <v>13</v>
      </c>
      <c r="H1666" s="120" t="s">
        <v>4414</v>
      </c>
      <c r="I1666" s="244">
        <v>45.72</v>
      </c>
      <c r="J1666" s="120" t="s">
        <v>13</v>
      </c>
      <c r="K1666" s="129">
        <f>(F1666*I1666)</f>
        <v>45.72</v>
      </c>
      <c r="AE1666" s="137">
        <f t="shared" si="214"/>
        <v>0</v>
      </c>
    </row>
    <row r="1667" spans="6:31" ht="24" customHeight="1">
      <c r="F1667" s="129">
        <v>1</v>
      </c>
      <c r="G1667" s="126" t="s">
        <v>1715</v>
      </c>
      <c r="H1667" s="120" t="s">
        <v>1716</v>
      </c>
      <c r="I1667" s="244">
        <v>5</v>
      </c>
      <c r="J1667" s="120" t="s">
        <v>1715</v>
      </c>
      <c r="K1667" s="129">
        <f>(F1667*I1667)</f>
        <v>5</v>
      </c>
      <c r="AE1667" s="137">
        <f t="shared" si="214"/>
        <v>0</v>
      </c>
    </row>
    <row r="1668" spans="6:31" ht="24" customHeight="1">
      <c r="G1668" s="126" t="s">
        <v>145</v>
      </c>
      <c r="H1668" s="120" t="s">
        <v>1717</v>
      </c>
      <c r="J1668" s="120" t="s">
        <v>145</v>
      </c>
      <c r="K1668" s="129">
        <v>7.28</v>
      </c>
      <c r="AE1668" s="137">
        <f t="shared" si="214"/>
        <v>0</v>
      </c>
    </row>
    <row r="1669" spans="6:31" ht="24" customHeight="1">
      <c r="K1669" s="123" t="s">
        <v>52</v>
      </c>
      <c r="AE1669" s="137">
        <f t="shared" si="214"/>
        <v>0</v>
      </c>
    </row>
    <row r="1670" spans="6:31" ht="24" customHeight="1">
      <c r="H1670" s="121" t="s">
        <v>16</v>
      </c>
      <c r="K1670" s="129">
        <f>SUM(K1666:K1668)</f>
        <v>58</v>
      </c>
      <c r="AE1670" s="137">
        <f t="shared" si="214"/>
        <v>0</v>
      </c>
    </row>
    <row r="1671" spans="6:31" ht="24" customHeight="1">
      <c r="K1671" s="123" t="s">
        <v>89</v>
      </c>
      <c r="AE1671" s="137">
        <f t="shared" si="214"/>
        <v>0</v>
      </c>
    </row>
    <row r="1672" spans="6:31" ht="24" customHeight="1">
      <c r="F1672" s="121" t="s">
        <v>1718</v>
      </c>
      <c r="G1672" s="126" t="s">
        <v>111</v>
      </c>
      <c r="H1672" s="120" t="s">
        <v>4415</v>
      </c>
      <c r="AE1672" s="137">
        <f t="shared" si="214"/>
        <v>0</v>
      </c>
    </row>
    <row r="1673" spans="6:31" ht="24" customHeight="1">
      <c r="H1673" s="120" t="s">
        <v>1720</v>
      </c>
      <c r="AE1673" s="137">
        <f t="shared" si="214"/>
        <v>0</v>
      </c>
    </row>
    <row r="1674" spans="6:31" ht="24" customHeight="1">
      <c r="H1674" s="120" t="s">
        <v>1721</v>
      </c>
      <c r="AE1674" s="137">
        <f t="shared" si="214"/>
        <v>0</v>
      </c>
    </row>
    <row r="1675" spans="6:31" ht="24" customHeight="1">
      <c r="H1675" s="120" t="s">
        <v>1722</v>
      </c>
      <c r="AE1675" s="137">
        <f t="shared" si="214"/>
        <v>0</v>
      </c>
    </row>
    <row r="1676" spans="6:31" ht="24" customHeight="1">
      <c r="H1676" s="120" t="s">
        <v>1723</v>
      </c>
      <c r="AE1676" s="137">
        <f t="shared" si="214"/>
        <v>0</v>
      </c>
    </row>
    <row r="1677" spans="6:31" ht="24" customHeight="1">
      <c r="H1677" s="123" t="s">
        <v>52</v>
      </c>
      <c r="I1677" s="123" t="s">
        <v>52</v>
      </c>
      <c r="AE1677" s="137">
        <f t="shared" si="214"/>
        <v>0</v>
      </c>
    </row>
    <row r="1678" spans="6:31" ht="24" customHeight="1">
      <c r="F1678" s="129">
        <v>1</v>
      </c>
      <c r="G1678" s="126" t="s">
        <v>1724</v>
      </c>
      <c r="H1678" s="120" t="s">
        <v>1725</v>
      </c>
      <c r="I1678" s="244">
        <v>85</v>
      </c>
      <c r="J1678" s="120" t="s">
        <v>729</v>
      </c>
      <c r="K1678" s="129">
        <f>(F1678*I1678)</f>
        <v>85</v>
      </c>
      <c r="AE1678" s="137">
        <f t="shared" si="214"/>
        <v>0</v>
      </c>
    </row>
    <row r="1679" spans="6:31" ht="24" customHeight="1">
      <c r="G1679" s="126" t="s">
        <v>145</v>
      </c>
      <c r="H1679" s="120" t="s">
        <v>1726</v>
      </c>
      <c r="J1679" s="120" t="s">
        <v>145</v>
      </c>
      <c r="K1679" s="129">
        <v>7.5</v>
      </c>
      <c r="AE1679" s="137">
        <f t="shared" si="214"/>
        <v>0</v>
      </c>
    </row>
    <row r="1680" spans="6:31" ht="24" customHeight="1">
      <c r="G1680" s="126" t="s">
        <v>145</v>
      </c>
      <c r="H1680" s="120" t="s">
        <v>1727</v>
      </c>
      <c r="J1680" s="120" t="s">
        <v>145</v>
      </c>
      <c r="K1680" s="129">
        <f>1.75+0.75</f>
        <v>2.5</v>
      </c>
      <c r="AE1680" s="137">
        <f t="shared" si="214"/>
        <v>0</v>
      </c>
    </row>
    <row r="1681" spans="6:31" ht="24" customHeight="1">
      <c r="H1681" s="120" t="s">
        <v>1728</v>
      </c>
      <c r="K1681" s="123" t="s">
        <v>52</v>
      </c>
      <c r="AE1681" s="137">
        <f t="shared" si="214"/>
        <v>0</v>
      </c>
    </row>
    <row r="1682" spans="6:31" ht="24" customHeight="1">
      <c r="H1682" s="121" t="s">
        <v>16</v>
      </c>
      <c r="K1682" s="129">
        <f>SUM(K1678:K1680)</f>
        <v>95</v>
      </c>
      <c r="AE1682" s="137">
        <f t="shared" si="214"/>
        <v>0</v>
      </c>
    </row>
    <row r="1683" spans="6:31" ht="24" customHeight="1">
      <c r="K1683" s="123" t="s">
        <v>89</v>
      </c>
      <c r="AE1683" s="137">
        <f t="shared" si="214"/>
        <v>0</v>
      </c>
    </row>
    <row r="1684" spans="6:31" ht="24" customHeight="1">
      <c r="F1684" s="121" t="s">
        <v>1729</v>
      </c>
      <c r="G1684" s="126" t="s">
        <v>111</v>
      </c>
      <c r="H1684" s="120" t="s">
        <v>4416</v>
      </c>
      <c r="AE1684" s="137">
        <f t="shared" si="214"/>
        <v>0</v>
      </c>
    </row>
    <row r="1685" spans="6:31" ht="24" customHeight="1">
      <c r="H1685" s="120" t="s">
        <v>1731</v>
      </c>
      <c r="K1685" s="120" t="s">
        <v>85</v>
      </c>
      <c r="AE1685" s="137">
        <f t="shared" si="214"/>
        <v>0</v>
      </c>
    </row>
    <row r="1686" spans="6:31" ht="24" customHeight="1">
      <c r="H1686" s="123" t="s">
        <v>52</v>
      </c>
      <c r="AE1686" s="137">
        <f t="shared" si="214"/>
        <v>0</v>
      </c>
    </row>
    <row r="1687" spans="6:31" ht="24" customHeight="1">
      <c r="F1687" s="129">
        <v>1</v>
      </c>
      <c r="G1687" s="126" t="s">
        <v>1724</v>
      </c>
      <c r="H1687" s="120" t="s">
        <v>1732</v>
      </c>
      <c r="I1687" s="244">
        <v>50</v>
      </c>
      <c r="J1687" s="120" t="s">
        <v>729</v>
      </c>
      <c r="K1687" s="129">
        <f>(F1687*I1687)</f>
        <v>50</v>
      </c>
      <c r="AE1687" s="137">
        <f t="shared" si="214"/>
        <v>0</v>
      </c>
    </row>
    <row r="1688" spans="6:31" ht="24" customHeight="1">
      <c r="G1688" s="126" t="s">
        <v>145</v>
      </c>
      <c r="H1688" s="120" t="s">
        <v>1733</v>
      </c>
      <c r="J1688" s="120" t="s">
        <v>145</v>
      </c>
      <c r="K1688" s="129">
        <v>5</v>
      </c>
      <c r="AE1688" s="137">
        <f t="shared" si="214"/>
        <v>0</v>
      </c>
    </row>
    <row r="1689" spans="6:31" ht="24" customHeight="1">
      <c r="K1689" s="123" t="s">
        <v>52</v>
      </c>
      <c r="AE1689" s="137">
        <f t="shared" si="214"/>
        <v>0</v>
      </c>
    </row>
    <row r="1690" spans="6:31" ht="24" customHeight="1">
      <c r="H1690" s="121" t="s">
        <v>1734</v>
      </c>
      <c r="K1690" s="129">
        <f>SUM(K1686:K1688)</f>
        <v>55</v>
      </c>
      <c r="AE1690" s="137">
        <f t="shared" si="214"/>
        <v>0</v>
      </c>
    </row>
    <row r="1691" spans="6:31" ht="24" customHeight="1">
      <c r="K1691" s="123" t="s">
        <v>89</v>
      </c>
      <c r="AE1691" s="137">
        <f t="shared" si="214"/>
        <v>0</v>
      </c>
    </row>
    <row r="1692" spans="6:31" ht="24" customHeight="1">
      <c r="F1692" s="121" t="s">
        <v>1735</v>
      </c>
      <c r="G1692" s="126" t="s">
        <v>111</v>
      </c>
      <c r="H1692" s="120" t="s">
        <v>4417</v>
      </c>
      <c r="AE1692" s="137">
        <f t="shared" si="214"/>
        <v>0</v>
      </c>
    </row>
    <row r="1693" spans="6:31" ht="24" customHeight="1">
      <c r="H1693" s="123" t="s">
        <v>52</v>
      </c>
      <c r="I1693" s="123" t="s">
        <v>52</v>
      </c>
      <c r="AE1693" s="137">
        <f t="shared" si="214"/>
        <v>0</v>
      </c>
    </row>
    <row r="1694" spans="6:31" ht="24" customHeight="1">
      <c r="F1694" s="129">
        <v>1</v>
      </c>
      <c r="G1694" s="126" t="s">
        <v>1724</v>
      </c>
      <c r="H1694" s="120" t="s">
        <v>1737</v>
      </c>
      <c r="I1694" s="244">
        <v>1.2</v>
      </c>
      <c r="J1694" s="120" t="s">
        <v>729</v>
      </c>
      <c r="K1694" s="129">
        <f>(F1694*I1694)</f>
        <v>1.2</v>
      </c>
      <c r="AE1694" s="137">
        <f t="shared" si="214"/>
        <v>0</v>
      </c>
    </row>
    <row r="1695" spans="6:31" ht="24" customHeight="1">
      <c r="G1695" s="126" t="s">
        <v>145</v>
      </c>
      <c r="H1695" s="120" t="s">
        <v>1733</v>
      </c>
      <c r="J1695" s="120" t="s">
        <v>145</v>
      </c>
      <c r="K1695" s="129">
        <f>K1694*0.25</f>
        <v>0.3</v>
      </c>
      <c r="AE1695" s="137">
        <f t="shared" si="214"/>
        <v>0</v>
      </c>
    </row>
    <row r="1696" spans="6:31" ht="24" customHeight="1">
      <c r="K1696" s="123" t="s">
        <v>52</v>
      </c>
    </row>
    <row r="1697" spans="6:11" ht="24" customHeight="1">
      <c r="H1697" s="121" t="s">
        <v>1734</v>
      </c>
      <c r="K1697" s="129">
        <f>SUM(K1692:K1695)</f>
        <v>1.5</v>
      </c>
    </row>
    <row r="1698" spans="6:11" ht="24" customHeight="1">
      <c r="F1698" s="120" t="s">
        <v>85</v>
      </c>
      <c r="K1698" s="123" t="s">
        <v>52</v>
      </c>
    </row>
    <row r="1699" spans="6:11" ht="24" customHeight="1">
      <c r="F1699" s="167">
        <v>50.1</v>
      </c>
      <c r="G1699" s="126" t="s">
        <v>111</v>
      </c>
      <c r="H1699" s="120" t="s">
        <v>1738</v>
      </c>
    </row>
    <row r="1700" spans="6:11" ht="24" customHeight="1">
      <c r="H1700" s="120" t="s">
        <v>1739</v>
      </c>
    </row>
    <row r="1701" spans="6:11" ht="24" customHeight="1">
      <c r="H1701" s="120" t="s">
        <v>1740</v>
      </c>
    </row>
    <row r="1702" spans="6:11" ht="24" customHeight="1">
      <c r="H1702" s="120" t="s">
        <v>1741</v>
      </c>
    </row>
    <row r="1703" spans="6:11" ht="24" customHeight="1">
      <c r="H1703" s="120" t="s">
        <v>1742</v>
      </c>
    </row>
    <row r="1704" spans="6:11" ht="24" customHeight="1">
      <c r="H1704" s="123" t="s">
        <v>52</v>
      </c>
      <c r="I1704" s="123" t="s">
        <v>52</v>
      </c>
    </row>
    <row r="1705" spans="6:11" ht="24" customHeight="1">
      <c r="F1705" s="129">
        <v>9</v>
      </c>
      <c r="G1705" s="126" t="s">
        <v>5</v>
      </c>
      <c r="H1705" s="120" t="s">
        <v>1743</v>
      </c>
      <c r="I1705" s="129">
        <f>C73</f>
        <v>1729.98</v>
      </c>
      <c r="J1705" s="120" t="s">
        <v>5</v>
      </c>
      <c r="K1705" s="129">
        <f>(F1705*I1705)</f>
        <v>15569.82</v>
      </c>
    </row>
    <row r="1706" spans="6:11" ht="24" customHeight="1">
      <c r="F1706" s="129">
        <v>4.5</v>
      </c>
      <c r="G1706" s="126" t="s">
        <v>5</v>
      </c>
      <c r="H1706" s="120" t="s">
        <v>1744</v>
      </c>
      <c r="I1706" s="129">
        <f>K32</f>
        <v>4662.62</v>
      </c>
      <c r="J1706" s="120" t="s">
        <v>5</v>
      </c>
      <c r="K1706" s="129">
        <f>(F1706*I1706)</f>
        <v>20981.79</v>
      </c>
    </row>
    <row r="1707" spans="6:11" ht="24" customHeight="1">
      <c r="F1707" s="129">
        <v>1.8</v>
      </c>
      <c r="G1707" s="126" t="s">
        <v>727</v>
      </c>
      <c r="H1707" s="120" t="s">
        <v>1745</v>
      </c>
      <c r="I1707" s="129">
        <f>C11</f>
        <v>972.4</v>
      </c>
      <c r="J1707" s="120" t="s">
        <v>729</v>
      </c>
      <c r="K1707" s="129">
        <f>(F1707*I1707)</f>
        <v>1750.32</v>
      </c>
    </row>
    <row r="1708" spans="6:11" ht="24" customHeight="1">
      <c r="F1708" s="129">
        <v>17.7</v>
      </c>
      <c r="G1708" s="126" t="s">
        <v>727</v>
      </c>
      <c r="H1708" s="120" t="s">
        <v>731</v>
      </c>
      <c r="I1708" s="129">
        <f>C12</f>
        <v>679.8</v>
      </c>
      <c r="J1708" s="120" t="s">
        <v>729</v>
      </c>
      <c r="K1708" s="129">
        <f>(F1708*I1708)</f>
        <v>12032.46</v>
      </c>
    </row>
    <row r="1709" spans="6:11" ht="24" customHeight="1">
      <c r="F1709" s="129">
        <v>14.1</v>
      </c>
      <c r="G1709" s="126" t="s">
        <v>727</v>
      </c>
      <c r="H1709" s="120" t="s">
        <v>1652</v>
      </c>
      <c r="I1709" s="129">
        <f>C13</f>
        <v>557.70000000000005</v>
      </c>
      <c r="J1709" s="120" t="s">
        <v>729</v>
      </c>
      <c r="K1709" s="129">
        <f>(F1709*I1709)</f>
        <v>7863.57</v>
      </c>
    </row>
    <row r="1710" spans="6:11" ht="24" customHeight="1">
      <c r="K1710" s="123" t="s">
        <v>52</v>
      </c>
    </row>
    <row r="1711" spans="6:11" ht="24" customHeight="1">
      <c r="H1711" s="121" t="s">
        <v>1746</v>
      </c>
      <c r="K1711" s="129">
        <f>SUM(K1705:K1709)</f>
        <v>58197.96</v>
      </c>
    </row>
    <row r="1712" spans="6:11" ht="24" customHeight="1">
      <c r="K1712" s="123" t="s">
        <v>52</v>
      </c>
    </row>
    <row r="1713" spans="6:11" ht="24" customHeight="1">
      <c r="H1713" s="121" t="s">
        <v>1747</v>
      </c>
      <c r="K1713" s="127">
        <f>(K1711/10)</f>
        <v>5819.8</v>
      </c>
    </row>
    <row r="1714" spans="6:11" ht="24" customHeight="1">
      <c r="K1714" s="123" t="s">
        <v>89</v>
      </c>
    </row>
    <row r="1716" spans="6:11" ht="24" customHeight="1">
      <c r="G1716" s="126" t="s">
        <v>483</v>
      </c>
      <c r="H1716" s="120" t="s">
        <v>1748</v>
      </c>
    </row>
    <row r="1717" spans="6:11" ht="24" customHeight="1">
      <c r="H1717" s="120" t="s">
        <v>4418</v>
      </c>
    </row>
    <row r="1718" spans="6:11" ht="24" customHeight="1">
      <c r="H1718" s="123" t="s">
        <v>52</v>
      </c>
      <c r="I1718" s="123" t="s">
        <v>52</v>
      </c>
    </row>
    <row r="1720" spans="6:11" ht="24" customHeight="1">
      <c r="F1720" s="142">
        <v>0.314</v>
      </c>
      <c r="G1720" s="126" t="s">
        <v>5</v>
      </c>
      <c r="H1720" s="120" t="s">
        <v>1750</v>
      </c>
      <c r="I1720" s="129">
        <f>K1713</f>
        <v>5819.8</v>
      </c>
      <c r="J1720" s="120" t="s">
        <v>5</v>
      </c>
      <c r="K1720" s="129">
        <f>(F1720*I1720)</f>
        <v>1827.42</v>
      </c>
    </row>
    <row r="1721" spans="6:11" ht="24" customHeight="1">
      <c r="F1721" s="129">
        <v>18</v>
      </c>
      <c r="G1721" s="126" t="s">
        <v>727</v>
      </c>
      <c r="H1721" s="143" t="s">
        <v>4419</v>
      </c>
      <c r="I1721" s="228">
        <v>41.87</v>
      </c>
      <c r="J1721" s="120" t="s">
        <v>729</v>
      </c>
      <c r="K1721" s="129">
        <f>(F1721*I1721)</f>
        <v>753.66</v>
      </c>
    </row>
    <row r="1722" spans="6:11" ht="24" customHeight="1">
      <c r="F1722" s="129">
        <v>18</v>
      </c>
      <c r="G1722" s="126" t="s">
        <v>727</v>
      </c>
      <c r="H1722" s="120" t="s">
        <v>1752</v>
      </c>
      <c r="I1722" s="129">
        <v>1</v>
      </c>
      <c r="J1722" s="120" t="s">
        <v>729</v>
      </c>
      <c r="K1722" s="129">
        <f>(F1722*I1722)</f>
        <v>18</v>
      </c>
    </row>
    <row r="1723" spans="6:11" ht="24" customHeight="1">
      <c r="F1723" s="129">
        <v>18</v>
      </c>
      <c r="G1723" s="126" t="s">
        <v>727</v>
      </c>
      <c r="H1723" s="120" t="s">
        <v>1753</v>
      </c>
      <c r="I1723" s="129">
        <v>2</v>
      </c>
      <c r="J1723" s="120" t="s">
        <v>729</v>
      </c>
      <c r="K1723" s="129">
        <f>(F1723*I1723)</f>
        <v>36</v>
      </c>
    </row>
    <row r="1724" spans="6:11" ht="24" customHeight="1">
      <c r="K1724" s="123" t="s">
        <v>52</v>
      </c>
    </row>
    <row r="1725" spans="6:11" ht="24" customHeight="1">
      <c r="H1725" s="121" t="s">
        <v>1754</v>
      </c>
      <c r="K1725" s="129">
        <f>SUM(K1719:K1723)</f>
        <v>2635.08</v>
      </c>
    </row>
    <row r="1726" spans="6:11" ht="24" customHeight="1">
      <c r="K1726" s="123" t="s">
        <v>52</v>
      </c>
    </row>
    <row r="1727" spans="6:11" ht="24" customHeight="1">
      <c r="H1727" s="121" t="s">
        <v>1755</v>
      </c>
      <c r="K1727" s="127">
        <f>(K1725/6.28)</f>
        <v>419.6</v>
      </c>
    </row>
    <row r="1728" spans="6:11" ht="24" customHeight="1">
      <c r="K1728" s="123" t="s">
        <v>89</v>
      </c>
    </row>
    <row r="1729" spans="6:11" ht="24" customHeight="1">
      <c r="F1729" s="120" t="s">
        <v>85</v>
      </c>
      <c r="H1729" s="120" t="s">
        <v>1756</v>
      </c>
    </row>
    <row r="1730" spans="6:11" ht="24" customHeight="1">
      <c r="H1730" s="123" t="s">
        <v>52</v>
      </c>
    </row>
    <row r="1731" spans="6:11" ht="24" customHeight="1">
      <c r="F1731" s="142">
        <v>0.01</v>
      </c>
      <c r="G1731" s="126" t="s">
        <v>5</v>
      </c>
      <c r="H1731" s="120" t="s">
        <v>1750</v>
      </c>
      <c r="I1731" s="129">
        <f>K1713</f>
        <v>5819.8</v>
      </c>
      <c r="J1731" s="120" t="s">
        <v>5</v>
      </c>
      <c r="K1731" s="129">
        <f>ROUND(F1731*I1731,2)</f>
        <v>58.2</v>
      </c>
    </row>
    <row r="1732" spans="6:11" ht="24" customHeight="1">
      <c r="F1732" s="129">
        <v>0.01</v>
      </c>
      <c r="G1732" s="126" t="s">
        <v>34</v>
      </c>
      <c r="H1732" s="120" t="s">
        <v>1757</v>
      </c>
      <c r="I1732" s="240" t="s">
        <v>49</v>
      </c>
      <c r="K1732" s="129">
        <v>1.2</v>
      </c>
    </row>
    <row r="1733" spans="6:11" ht="24" customHeight="1">
      <c r="I1733" s="213"/>
      <c r="K1733" s="123" t="s">
        <v>52</v>
      </c>
    </row>
    <row r="1734" spans="6:11" ht="24" customHeight="1">
      <c r="H1734" s="121" t="s">
        <v>1758</v>
      </c>
      <c r="K1734" s="129">
        <f>SUM(K1728:K1732)</f>
        <v>59.4</v>
      </c>
    </row>
    <row r="1735" spans="6:11" ht="24" customHeight="1">
      <c r="K1735" s="123" t="s">
        <v>52</v>
      </c>
    </row>
    <row r="1736" spans="6:11" ht="24" customHeight="1">
      <c r="H1736" s="121" t="s">
        <v>1759</v>
      </c>
      <c r="K1736" s="129">
        <f>K1734/0.01</f>
        <v>5940</v>
      </c>
    </row>
    <row r="1737" spans="6:11" ht="24" customHeight="1">
      <c r="K1737" s="123" t="s">
        <v>89</v>
      </c>
    </row>
    <row r="1738" spans="6:11" ht="24" customHeight="1">
      <c r="F1738" s="121" t="s">
        <v>1760</v>
      </c>
      <c r="G1738" s="126" t="s">
        <v>483</v>
      </c>
      <c r="H1738" s="120" t="s">
        <v>1748</v>
      </c>
    </row>
    <row r="1739" spans="6:11" ht="24" customHeight="1">
      <c r="H1739" s="122" t="s">
        <v>4420</v>
      </c>
    </row>
    <row r="1740" spans="6:11" ht="24" customHeight="1">
      <c r="H1740" s="123" t="s">
        <v>52</v>
      </c>
      <c r="I1740" s="123" t="s">
        <v>52</v>
      </c>
    </row>
    <row r="1741" spans="6:11" ht="24" customHeight="1">
      <c r="F1741" s="142">
        <v>0.40500000000000003</v>
      </c>
      <c r="G1741" s="126" t="s">
        <v>5</v>
      </c>
      <c r="H1741" s="120" t="s">
        <v>1750</v>
      </c>
      <c r="I1741" s="129">
        <f>K1736</f>
        <v>5940</v>
      </c>
      <c r="J1741" s="120" t="s">
        <v>5</v>
      </c>
      <c r="K1741" s="129">
        <f>(F1741*I1741)</f>
        <v>2405.6999999999998</v>
      </c>
    </row>
    <row r="1742" spans="6:11" ht="24" customHeight="1">
      <c r="F1742" s="120" t="s">
        <v>85</v>
      </c>
      <c r="G1742" s="126" t="s">
        <v>85</v>
      </c>
      <c r="H1742" s="120" t="s">
        <v>1762</v>
      </c>
      <c r="I1742" s="240" t="s">
        <v>49</v>
      </c>
      <c r="K1742" s="120" t="s">
        <v>85</v>
      </c>
    </row>
    <row r="1743" spans="6:11" ht="24" customHeight="1">
      <c r="K1743" s="123" t="s">
        <v>52</v>
      </c>
    </row>
    <row r="1744" spans="6:11" ht="24" customHeight="1">
      <c r="H1744" s="121" t="s">
        <v>1763</v>
      </c>
      <c r="K1744" s="129">
        <f>SUM(K1738:K1742)</f>
        <v>2405.6999999999998</v>
      </c>
    </row>
    <row r="1745" spans="6:11" ht="24" customHeight="1">
      <c r="K1745" s="123" t="s">
        <v>52</v>
      </c>
    </row>
    <row r="1746" spans="6:11" ht="24" customHeight="1">
      <c r="H1746" s="121" t="s">
        <v>1764</v>
      </c>
      <c r="K1746" s="127">
        <f>K1744/9</f>
        <v>267.3</v>
      </c>
    </row>
    <row r="1747" spans="6:11" ht="24" customHeight="1">
      <c r="K1747" s="123" t="s">
        <v>89</v>
      </c>
    </row>
    <row r="1748" spans="6:11" ht="24" customHeight="1">
      <c r="F1748" s="121" t="s">
        <v>1765</v>
      </c>
      <c r="H1748" s="120" t="s">
        <v>1766</v>
      </c>
    </row>
    <row r="1749" spans="6:11" ht="24" customHeight="1">
      <c r="H1749" s="123" t="s">
        <v>52</v>
      </c>
    </row>
    <row r="1750" spans="6:11" ht="24" customHeight="1">
      <c r="F1750" s="129">
        <v>4.32</v>
      </c>
      <c r="G1750" s="126" t="s">
        <v>132</v>
      </c>
      <c r="H1750" s="120" t="s">
        <v>1767</v>
      </c>
      <c r="I1750" s="129">
        <f>C61</f>
        <v>116.88</v>
      </c>
      <c r="J1750" s="120" t="s">
        <v>132</v>
      </c>
      <c r="K1750" s="129">
        <f t="shared" ref="K1750:K1757" si="215">(F1750*I1750)</f>
        <v>504.92</v>
      </c>
    </row>
    <row r="1751" spans="6:11" ht="24" customHeight="1">
      <c r="F1751" s="129">
        <v>1.44</v>
      </c>
      <c r="G1751" s="126" t="s">
        <v>132</v>
      </c>
      <c r="H1751" s="120" t="s">
        <v>1768</v>
      </c>
      <c r="I1751" s="244">
        <v>69.099999999999994</v>
      </c>
      <c r="J1751" s="120" t="s">
        <v>132</v>
      </c>
      <c r="K1751" s="129">
        <f t="shared" si="215"/>
        <v>99.5</v>
      </c>
    </row>
    <row r="1752" spans="6:11" ht="24" customHeight="1">
      <c r="F1752" s="129">
        <v>1.44</v>
      </c>
      <c r="G1752" s="126" t="s">
        <v>132</v>
      </c>
      <c r="H1752" s="120" t="s">
        <v>1769</v>
      </c>
      <c r="I1752" s="129">
        <f>C35</f>
        <v>356.78</v>
      </c>
      <c r="J1752" s="120" t="s">
        <v>132</v>
      </c>
      <c r="K1752" s="129">
        <f t="shared" si="215"/>
        <v>513.76</v>
      </c>
    </row>
    <row r="1753" spans="6:11" ht="24" customHeight="1">
      <c r="F1753" s="129">
        <v>1.44</v>
      </c>
      <c r="G1753" s="126" t="s">
        <v>132</v>
      </c>
      <c r="H1753" s="120" t="s">
        <v>1770</v>
      </c>
      <c r="I1753" s="129">
        <f>C78</f>
        <v>1642.42</v>
      </c>
      <c r="J1753" s="120" t="s">
        <v>132</v>
      </c>
      <c r="K1753" s="129">
        <f t="shared" si="215"/>
        <v>2365.08</v>
      </c>
    </row>
    <row r="1754" spans="6:11" ht="24" customHeight="1">
      <c r="F1754" s="129">
        <v>2.88</v>
      </c>
      <c r="G1754" s="126" t="s">
        <v>132</v>
      </c>
      <c r="H1754" s="120" t="s">
        <v>1771</v>
      </c>
      <c r="I1754" s="228">
        <v>10</v>
      </c>
      <c r="J1754" s="120" t="s">
        <v>132</v>
      </c>
      <c r="K1754" s="129">
        <f t="shared" si="215"/>
        <v>28.8</v>
      </c>
    </row>
    <row r="1755" spans="6:11" ht="24" customHeight="1">
      <c r="F1755" s="129">
        <v>20</v>
      </c>
      <c r="G1755" s="126" t="s">
        <v>1772</v>
      </c>
      <c r="H1755" s="120" t="s">
        <v>1773</v>
      </c>
      <c r="I1755" s="244">
        <v>46.1</v>
      </c>
      <c r="J1755" s="120" t="s">
        <v>1772</v>
      </c>
      <c r="K1755" s="129">
        <f t="shared" si="215"/>
        <v>922</v>
      </c>
    </row>
    <row r="1756" spans="6:11" ht="24" customHeight="1">
      <c r="F1756" s="129">
        <v>42</v>
      </c>
      <c r="G1756" s="126" t="s">
        <v>1774</v>
      </c>
      <c r="H1756" s="120" t="s">
        <v>4421</v>
      </c>
      <c r="I1756" s="137">
        <v>17.5</v>
      </c>
      <c r="J1756" s="120" t="s">
        <v>1774</v>
      </c>
      <c r="K1756" s="129">
        <f t="shared" si="215"/>
        <v>735</v>
      </c>
    </row>
    <row r="1757" spans="6:11" ht="24" customHeight="1">
      <c r="F1757" s="129">
        <v>4.32</v>
      </c>
      <c r="G1757" s="126" t="s">
        <v>132</v>
      </c>
      <c r="H1757" s="120" t="s">
        <v>1776</v>
      </c>
      <c r="I1757" s="129">
        <f>C26</f>
        <v>40.65</v>
      </c>
      <c r="J1757" s="120" t="s">
        <v>132</v>
      </c>
      <c r="K1757" s="129">
        <f t="shared" si="215"/>
        <v>175.61</v>
      </c>
    </row>
    <row r="1758" spans="6:11" ht="24" customHeight="1">
      <c r="F1758" s="121" t="s">
        <v>1777</v>
      </c>
      <c r="H1758" s="120" t="s">
        <v>1778</v>
      </c>
      <c r="K1758" s="129">
        <v>2000</v>
      </c>
    </row>
    <row r="1759" spans="6:11" ht="24" customHeight="1">
      <c r="K1759" s="123" t="s">
        <v>52</v>
      </c>
    </row>
    <row r="1760" spans="6:11" ht="24" customHeight="1">
      <c r="H1760" s="120" t="s">
        <v>1779</v>
      </c>
      <c r="K1760" s="129">
        <f>SUM(K1750:K1758)</f>
        <v>7344.67</v>
      </c>
    </row>
    <row r="1761" spans="6:12" ht="24" customHeight="1">
      <c r="K1761" s="123" t="s">
        <v>52</v>
      </c>
    </row>
    <row r="1762" spans="6:12" ht="24" customHeight="1">
      <c r="H1762" s="120" t="s">
        <v>1780</v>
      </c>
      <c r="K1762" s="127">
        <f>K1760/20</f>
        <v>367.23</v>
      </c>
    </row>
    <row r="1763" spans="6:12" ht="24" customHeight="1">
      <c r="K1763" s="123" t="s">
        <v>89</v>
      </c>
    </row>
    <row r="1765" spans="6:12" ht="24" customHeight="1">
      <c r="F1765" s="121" t="s">
        <v>1781</v>
      </c>
      <c r="H1765" s="120" t="s">
        <v>1782</v>
      </c>
    </row>
    <row r="1766" spans="6:12" ht="24" customHeight="1">
      <c r="H1766" s="123" t="s">
        <v>52</v>
      </c>
    </row>
    <row r="1767" spans="6:12" ht="24" customHeight="1">
      <c r="F1767" s="129">
        <v>0.1</v>
      </c>
      <c r="G1767" s="126" t="s">
        <v>132</v>
      </c>
      <c r="H1767" s="120" t="s">
        <v>1767</v>
      </c>
      <c r="I1767" s="129">
        <f>K90</f>
        <v>233.76</v>
      </c>
      <c r="J1767" s="120" t="s">
        <v>132</v>
      </c>
      <c r="K1767" s="129">
        <f t="shared" ref="K1767:K1772" si="216">(F1767*I1767)</f>
        <v>23.38</v>
      </c>
    </row>
    <row r="1768" spans="6:12" ht="24" customHeight="1">
      <c r="F1768" s="129">
        <v>6.3</v>
      </c>
      <c r="G1768" s="126" t="s">
        <v>1774</v>
      </c>
      <c r="H1768" s="120" t="s">
        <v>4422</v>
      </c>
      <c r="I1768" s="137">
        <v>34.6</v>
      </c>
      <c r="J1768" s="120" t="s">
        <v>1774</v>
      </c>
      <c r="K1768" s="129">
        <f t="shared" si="216"/>
        <v>217.98</v>
      </c>
    </row>
    <row r="1769" spans="6:12" ht="24" customHeight="1">
      <c r="F1769" s="129">
        <v>6.3</v>
      </c>
      <c r="G1769" s="126" t="s">
        <v>1774</v>
      </c>
      <c r="H1769" s="120" t="s">
        <v>4423</v>
      </c>
      <c r="I1769" s="129">
        <f>I1756</f>
        <v>17.5</v>
      </c>
      <c r="J1769" s="120" t="s">
        <v>1774</v>
      </c>
      <c r="K1769" s="129">
        <f t="shared" si="216"/>
        <v>110.25</v>
      </c>
    </row>
    <row r="1770" spans="6:12" ht="24" customHeight="1">
      <c r="F1770" s="129">
        <v>3.15</v>
      </c>
      <c r="G1770" s="126" t="s">
        <v>468</v>
      </c>
      <c r="H1770" s="120" t="s">
        <v>1784</v>
      </c>
      <c r="I1770" s="129">
        <f>C198</f>
        <v>40.65</v>
      </c>
      <c r="J1770" s="120" t="s">
        <v>468</v>
      </c>
      <c r="K1770" s="129">
        <f t="shared" si="216"/>
        <v>128.05000000000001</v>
      </c>
      <c r="L1770" s="115" t="s">
        <v>1543</v>
      </c>
    </row>
    <row r="1771" spans="6:12" ht="24" customHeight="1">
      <c r="F1771" s="129">
        <v>0.25</v>
      </c>
      <c r="G1771" s="126" t="s">
        <v>1724</v>
      </c>
      <c r="H1771" s="120" t="s">
        <v>1785</v>
      </c>
      <c r="I1771" s="129">
        <f>D16</f>
        <v>972.4</v>
      </c>
      <c r="J1771" s="120" t="s">
        <v>1724</v>
      </c>
      <c r="K1771" s="129">
        <f t="shared" si="216"/>
        <v>243.1</v>
      </c>
    </row>
    <row r="1772" spans="6:12" ht="24" customHeight="1">
      <c r="F1772" s="129">
        <v>0.2</v>
      </c>
      <c r="G1772" s="126" t="s">
        <v>1724</v>
      </c>
      <c r="H1772" s="120" t="s">
        <v>1786</v>
      </c>
      <c r="I1772" s="129">
        <f>AE38</f>
        <v>903.1</v>
      </c>
      <c r="J1772" s="120" t="s">
        <v>1724</v>
      </c>
      <c r="K1772" s="129">
        <f t="shared" si="216"/>
        <v>180.62</v>
      </c>
    </row>
    <row r="1773" spans="6:12" ht="24" customHeight="1">
      <c r="H1773" s="120" t="s">
        <v>1787</v>
      </c>
      <c r="I1773" s="120" t="s">
        <v>85</v>
      </c>
      <c r="J1773" s="120" t="s">
        <v>85</v>
      </c>
      <c r="K1773" s="129">
        <v>0</v>
      </c>
    </row>
    <row r="1774" spans="6:12" ht="24" customHeight="1">
      <c r="J1774" s="120" t="s">
        <v>85</v>
      </c>
      <c r="K1774" s="123" t="s">
        <v>52</v>
      </c>
    </row>
    <row r="1775" spans="6:12" ht="24" customHeight="1">
      <c r="F1775" s="120" t="s">
        <v>85</v>
      </c>
      <c r="G1775" s="126" t="s">
        <v>85</v>
      </c>
      <c r="H1775" s="120" t="s">
        <v>1780</v>
      </c>
      <c r="K1775" s="127">
        <f>SUM(K1767:K1774)</f>
        <v>903.38</v>
      </c>
    </row>
    <row r="1776" spans="6:12" ht="24" customHeight="1">
      <c r="H1776" s="120" t="s">
        <v>85</v>
      </c>
      <c r="K1776" s="123" t="s">
        <v>52</v>
      </c>
    </row>
    <row r="1777" spans="6:11" ht="24" customHeight="1">
      <c r="K1777" s="123"/>
    </row>
    <row r="1778" spans="6:11" ht="24" customHeight="1">
      <c r="F1778" s="121" t="s">
        <v>1788</v>
      </c>
      <c r="H1778" s="120" t="s">
        <v>1789</v>
      </c>
    </row>
    <row r="1779" spans="6:11" ht="24" customHeight="1">
      <c r="H1779" s="123" t="s">
        <v>52</v>
      </c>
    </row>
    <row r="1780" spans="6:11" ht="24" customHeight="1">
      <c r="F1780" s="201">
        <v>0.48599999999999999</v>
      </c>
      <c r="G1780" s="126" t="s">
        <v>34</v>
      </c>
      <c r="H1780" s="120" t="s">
        <v>1767</v>
      </c>
      <c r="I1780" s="129">
        <f>C61</f>
        <v>116.88</v>
      </c>
      <c r="J1780" s="120" t="s">
        <v>34</v>
      </c>
      <c r="K1780" s="129">
        <f t="shared" ref="K1780:K1786" si="217">(F1780*I1780)</f>
        <v>56.8</v>
      </c>
    </row>
    <row r="1781" spans="6:11" ht="24" customHeight="1">
      <c r="F1781" s="201">
        <v>0.48599999999999999</v>
      </c>
      <c r="G1781" s="126" t="s">
        <v>34</v>
      </c>
      <c r="H1781" s="120" t="s">
        <v>1790</v>
      </c>
      <c r="I1781" s="129">
        <f>K204</f>
        <v>4926.24</v>
      </c>
      <c r="J1781" s="120" t="s">
        <v>34</v>
      </c>
      <c r="K1781" s="129">
        <f t="shared" si="217"/>
        <v>2394.15</v>
      </c>
    </row>
    <row r="1782" spans="6:11" ht="24" customHeight="1">
      <c r="F1782" s="129">
        <v>81.75</v>
      </c>
      <c r="G1782" s="126" t="s">
        <v>1791</v>
      </c>
      <c r="H1782" s="120" t="s">
        <v>1792</v>
      </c>
      <c r="I1782" s="129">
        <f>I745</f>
        <v>53</v>
      </c>
      <c r="J1782" s="120" t="s">
        <v>1791</v>
      </c>
      <c r="K1782" s="129">
        <f t="shared" si="217"/>
        <v>4332.75</v>
      </c>
    </row>
    <row r="1783" spans="6:11" ht="24" customHeight="1">
      <c r="F1783" s="129">
        <v>7.2</v>
      </c>
      <c r="G1783" s="126" t="s">
        <v>1791</v>
      </c>
      <c r="H1783" s="120" t="s">
        <v>1793</v>
      </c>
      <c r="I1783" s="129">
        <f>I745</f>
        <v>53</v>
      </c>
      <c r="J1783" s="120" t="s">
        <v>1791</v>
      </c>
      <c r="K1783" s="129">
        <f t="shared" si="217"/>
        <v>381.6</v>
      </c>
    </row>
    <row r="1784" spans="6:11" ht="24" customHeight="1">
      <c r="F1784" s="129">
        <v>43.68</v>
      </c>
      <c r="G1784" s="126" t="s">
        <v>1791</v>
      </c>
      <c r="H1784" s="120" t="s">
        <v>1794</v>
      </c>
      <c r="I1784" s="129">
        <f>I743</f>
        <v>53</v>
      </c>
      <c r="J1784" s="120" t="s">
        <v>1791</v>
      </c>
      <c r="K1784" s="129">
        <f t="shared" si="217"/>
        <v>2315.04</v>
      </c>
    </row>
    <row r="1785" spans="6:11" ht="24" customHeight="1">
      <c r="F1785" s="129">
        <v>132.63</v>
      </c>
      <c r="G1785" s="126" t="s">
        <v>1791</v>
      </c>
      <c r="H1785" s="120" t="s">
        <v>1795</v>
      </c>
      <c r="I1785" s="129">
        <f>C37</f>
        <v>57.75</v>
      </c>
      <c r="J1785" s="120" t="s">
        <v>1791</v>
      </c>
      <c r="K1785" s="129">
        <f t="shared" si="217"/>
        <v>7659.38</v>
      </c>
    </row>
    <row r="1786" spans="6:11" ht="24" customHeight="1">
      <c r="F1786" s="129">
        <v>2.2000000000000002</v>
      </c>
      <c r="G1786" s="126" t="s">
        <v>468</v>
      </c>
      <c r="H1786" s="120" t="s">
        <v>4424</v>
      </c>
      <c r="I1786" s="228">
        <v>970</v>
      </c>
      <c r="J1786" s="120" t="s">
        <v>468</v>
      </c>
      <c r="K1786" s="129">
        <f t="shared" si="217"/>
        <v>2134</v>
      </c>
    </row>
    <row r="1787" spans="6:11" ht="24" customHeight="1">
      <c r="F1787" s="240" t="s">
        <v>49</v>
      </c>
      <c r="H1787" s="120" t="s">
        <v>1797</v>
      </c>
      <c r="I1787" s="240" t="s">
        <v>49</v>
      </c>
      <c r="K1787" s="129">
        <v>250</v>
      </c>
    </row>
    <row r="1788" spans="6:11" ht="24" customHeight="1">
      <c r="F1788" s="240" t="s">
        <v>49</v>
      </c>
      <c r="H1788" s="120" t="s">
        <v>1798</v>
      </c>
      <c r="I1788" s="240" t="s">
        <v>49</v>
      </c>
      <c r="K1788" s="129">
        <v>20.47</v>
      </c>
    </row>
    <row r="1789" spans="6:11" ht="24" customHeight="1">
      <c r="K1789" s="123" t="s">
        <v>52</v>
      </c>
    </row>
    <row r="1790" spans="6:11" ht="24" customHeight="1">
      <c r="K1790" s="129">
        <f>SUM(K1780:K1789)</f>
        <v>19544.189999999999</v>
      </c>
    </row>
    <row r="1791" spans="6:11" ht="24" customHeight="1">
      <c r="K1791" s="123" t="s">
        <v>52</v>
      </c>
    </row>
    <row r="1792" spans="6:11" ht="24" customHeight="1">
      <c r="K1792" s="123"/>
    </row>
    <row r="1793" spans="6:13" ht="24" customHeight="1">
      <c r="F1793" s="148">
        <v>86</v>
      </c>
      <c r="H1793" s="120" t="s">
        <v>1134</v>
      </c>
      <c r="K1793" s="140">
        <f>C806</f>
        <v>33.9</v>
      </c>
    </row>
    <row r="1794" spans="6:13" ht="24" customHeight="1">
      <c r="F1794" s="167"/>
      <c r="H1794" s="120"/>
      <c r="K1794" s="129"/>
    </row>
    <row r="1795" spans="6:13" ht="24" customHeight="1">
      <c r="F1795" s="121" t="s">
        <v>1799</v>
      </c>
      <c r="H1795" s="120" t="s">
        <v>4425</v>
      </c>
      <c r="K1795" s="158">
        <v>10.050000000000001</v>
      </c>
    </row>
    <row r="1796" spans="6:13" ht="24" customHeight="1">
      <c r="H1796" s="120" t="s">
        <v>1801</v>
      </c>
      <c r="K1796" s="115">
        <f>700*K1795</f>
        <v>7035</v>
      </c>
    </row>
    <row r="1797" spans="6:13" ht="24" customHeight="1">
      <c r="F1797" s="120" t="s">
        <v>85</v>
      </c>
      <c r="H1797" s="120" t="s">
        <v>4426</v>
      </c>
      <c r="K1797" s="115">
        <f>200*K1795</f>
        <v>2010</v>
      </c>
      <c r="L1797" s="115">
        <f>K1795*1000</f>
        <v>10050</v>
      </c>
      <c r="M1797" s="115">
        <f>K1795*1500</f>
        <v>15075</v>
      </c>
    </row>
    <row r="1798" spans="6:13" ht="24" customHeight="1">
      <c r="F1798" s="167"/>
      <c r="G1798" s="126" t="s">
        <v>111</v>
      </c>
      <c r="H1798" s="120" t="s">
        <v>609</v>
      </c>
    </row>
    <row r="1799" spans="6:13" ht="24" customHeight="1">
      <c r="H1799" s="120" t="s">
        <v>1802</v>
      </c>
    </row>
    <row r="1800" spans="6:13" ht="24" customHeight="1">
      <c r="H1800" s="120" t="s">
        <v>656</v>
      </c>
    </row>
    <row r="1801" spans="6:13" ht="24" customHeight="1">
      <c r="H1801" s="123" t="s">
        <v>52</v>
      </c>
    </row>
    <row r="1802" spans="6:13" ht="24" customHeight="1">
      <c r="G1802" s="126" t="s">
        <v>1803</v>
      </c>
      <c r="H1802" s="120" t="s">
        <v>656</v>
      </c>
      <c r="K1802" s="120" t="s">
        <v>1804</v>
      </c>
    </row>
    <row r="1803" spans="6:13" ht="24" customHeight="1">
      <c r="H1803" s="123" t="s">
        <v>52</v>
      </c>
      <c r="K1803" s="123" t="s">
        <v>89</v>
      </c>
    </row>
    <row r="1804" spans="6:13" ht="24" customHeight="1">
      <c r="F1804" s="129">
        <v>30</v>
      </c>
      <c r="G1804" s="126" t="s">
        <v>282</v>
      </c>
      <c r="H1804" s="120" t="s">
        <v>662</v>
      </c>
      <c r="I1804" s="129">
        <f>(C661)</f>
        <v>11.2</v>
      </c>
      <c r="J1804" s="120" t="s">
        <v>282</v>
      </c>
      <c r="K1804" s="129">
        <f>(F1804*I1804)</f>
        <v>336</v>
      </c>
    </row>
    <row r="1805" spans="6:13" ht="24" customHeight="1">
      <c r="F1805" s="120" t="s">
        <v>85</v>
      </c>
      <c r="H1805" s="120" t="s">
        <v>665</v>
      </c>
      <c r="I1805" s="120" t="s">
        <v>85</v>
      </c>
      <c r="K1805" s="120" t="s">
        <v>85</v>
      </c>
    </row>
    <row r="1806" spans="6:13" ht="24" customHeight="1">
      <c r="F1806" s="129">
        <v>8</v>
      </c>
      <c r="G1806" s="126" t="s">
        <v>131</v>
      </c>
      <c r="H1806" s="120" t="s">
        <v>624</v>
      </c>
      <c r="I1806" s="129">
        <f>(C663)</f>
        <v>8.1</v>
      </c>
      <c r="J1806" s="120" t="s">
        <v>131</v>
      </c>
      <c r="K1806" s="129">
        <f t="shared" ref="K1806:K1812" si="218">(F1806*I1806)</f>
        <v>64.8</v>
      </c>
    </row>
    <row r="1807" spans="6:13" ht="24" customHeight="1">
      <c r="F1807" s="129">
        <v>8</v>
      </c>
      <c r="G1807" s="126" t="s">
        <v>131</v>
      </c>
      <c r="H1807" s="120" t="s">
        <v>627</v>
      </c>
      <c r="I1807" s="129">
        <f>(C672)</f>
        <v>11.5</v>
      </c>
      <c r="J1807" s="120" t="s">
        <v>131</v>
      </c>
      <c r="K1807" s="129">
        <f t="shared" si="218"/>
        <v>92</v>
      </c>
    </row>
    <row r="1808" spans="6:13" ht="24" customHeight="1">
      <c r="F1808" s="129">
        <v>3</v>
      </c>
      <c r="G1808" s="126" t="s">
        <v>131</v>
      </c>
      <c r="H1808" s="120" t="s">
        <v>669</v>
      </c>
      <c r="I1808" s="129">
        <f>(C41)</f>
        <v>770</v>
      </c>
      <c r="J1808" s="120" t="s">
        <v>131</v>
      </c>
      <c r="K1808" s="129">
        <f t="shared" si="218"/>
        <v>2310</v>
      </c>
    </row>
    <row r="1809" spans="6:11" ht="24" customHeight="1">
      <c r="F1809" s="129">
        <v>1</v>
      </c>
      <c r="G1809" s="126" t="s">
        <v>131</v>
      </c>
      <c r="H1809" s="120" t="s">
        <v>1805</v>
      </c>
      <c r="I1809" s="129">
        <f>(C10)</f>
        <v>1041.7</v>
      </c>
      <c r="J1809" s="120" t="s">
        <v>131</v>
      </c>
      <c r="K1809" s="129">
        <f t="shared" si="218"/>
        <v>1041.7</v>
      </c>
    </row>
    <row r="1810" spans="6:11" ht="24" customHeight="1">
      <c r="F1810" s="129">
        <v>2</v>
      </c>
      <c r="G1810" s="126" t="s">
        <v>131</v>
      </c>
      <c r="H1810" s="120" t="s">
        <v>304</v>
      </c>
      <c r="I1810" s="129">
        <f>(C12)</f>
        <v>679.8</v>
      </c>
      <c r="J1810" s="120" t="s">
        <v>131</v>
      </c>
      <c r="K1810" s="129">
        <f t="shared" si="218"/>
        <v>1359.6</v>
      </c>
    </row>
    <row r="1811" spans="6:11" ht="24" customHeight="1">
      <c r="F1811" s="129">
        <v>1</v>
      </c>
      <c r="G1811" s="126" t="s">
        <v>131</v>
      </c>
      <c r="H1811" s="120" t="s">
        <v>306</v>
      </c>
      <c r="I1811" s="129">
        <f>(C13)</f>
        <v>557.70000000000005</v>
      </c>
      <c r="J1811" s="120" t="s">
        <v>131</v>
      </c>
      <c r="K1811" s="129">
        <f t="shared" si="218"/>
        <v>557.70000000000005</v>
      </c>
    </row>
    <row r="1812" spans="6:11" ht="24" customHeight="1">
      <c r="F1812" s="129">
        <v>1</v>
      </c>
      <c r="G1812" s="126" t="s">
        <v>131</v>
      </c>
      <c r="H1812" s="120" t="s">
        <v>1806</v>
      </c>
      <c r="I1812" s="240">
        <v>5</v>
      </c>
      <c r="J1812" s="120" t="s">
        <v>729</v>
      </c>
      <c r="K1812" s="129">
        <f t="shared" si="218"/>
        <v>5</v>
      </c>
    </row>
    <row r="1813" spans="6:11" ht="24" customHeight="1">
      <c r="H1813" s="120" t="s">
        <v>1807</v>
      </c>
      <c r="I1813" s="120" t="s">
        <v>85</v>
      </c>
      <c r="K1813" s="120" t="s">
        <v>85</v>
      </c>
    </row>
    <row r="1814" spans="6:11" ht="24" customHeight="1">
      <c r="G1814" s="126" t="s">
        <v>145</v>
      </c>
      <c r="H1814" s="120" t="s">
        <v>146</v>
      </c>
      <c r="J1814" s="120" t="s">
        <v>145</v>
      </c>
      <c r="K1814" s="129">
        <v>0</v>
      </c>
    </row>
    <row r="1815" spans="6:11" ht="24" customHeight="1">
      <c r="K1815" s="123" t="s">
        <v>52</v>
      </c>
    </row>
    <row r="1816" spans="6:11" ht="24" customHeight="1">
      <c r="H1816" s="120" t="s">
        <v>674</v>
      </c>
      <c r="K1816" s="129">
        <f>SUM(K1804:K1814)</f>
        <v>5766.8</v>
      </c>
    </row>
    <row r="1817" spans="6:11" ht="24" customHeight="1">
      <c r="K1817" s="123" t="s">
        <v>52</v>
      </c>
    </row>
    <row r="1818" spans="6:11" ht="24" customHeight="1">
      <c r="H1818" s="120" t="s">
        <v>632</v>
      </c>
      <c r="K1818" s="129">
        <f>(K1816/30)</f>
        <v>192.23</v>
      </c>
    </row>
    <row r="1819" spans="6:11" ht="24" customHeight="1">
      <c r="K1819" s="123" t="s">
        <v>52</v>
      </c>
    </row>
    <row r="1820" spans="6:11" ht="24" customHeight="1">
      <c r="G1820" s="126" t="s">
        <v>986</v>
      </c>
      <c r="H1820" s="120" t="s">
        <v>656</v>
      </c>
      <c r="K1820" s="120" t="s">
        <v>1808</v>
      </c>
    </row>
    <row r="1821" spans="6:11" ht="24" customHeight="1">
      <c r="H1821" s="123" t="s">
        <v>52</v>
      </c>
      <c r="K1821" s="123" t="s">
        <v>89</v>
      </c>
    </row>
    <row r="1822" spans="6:11" ht="24" customHeight="1">
      <c r="F1822" s="129">
        <v>30</v>
      </c>
      <c r="G1822" s="126" t="s">
        <v>282</v>
      </c>
      <c r="H1822" s="120" t="s">
        <v>662</v>
      </c>
      <c r="I1822" s="129">
        <f>(C661)</f>
        <v>11.2</v>
      </c>
      <c r="J1822" s="120" t="s">
        <v>282</v>
      </c>
      <c r="K1822" s="129">
        <f>(F1822*I1822)</f>
        <v>336</v>
      </c>
    </row>
    <row r="1823" spans="6:11" ht="24" customHeight="1">
      <c r="F1823" s="120" t="s">
        <v>85</v>
      </c>
      <c r="H1823" s="120" t="s">
        <v>665</v>
      </c>
      <c r="I1823" s="120" t="s">
        <v>85</v>
      </c>
      <c r="K1823" s="120" t="s">
        <v>85</v>
      </c>
    </row>
    <row r="1824" spans="6:11" ht="24" customHeight="1">
      <c r="F1824" s="129">
        <v>8</v>
      </c>
      <c r="G1824" s="126" t="s">
        <v>131</v>
      </c>
      <c r="H1824" s="120" t="s">
        <v>624</v>
      </c>
      <c r="I1824" s="129">
        <f>(C663)</f>
        <v>8.1</v>
      </c>
      <c r="J1824" s="120" t="s">
        <v>131</v>
      </c>
      <c r="K1824" s="129">
        <f t="shared" ref="K1824:K1830" si="219">(F1824*I1824)</f>
        <v>64.8</v>
      </c>
    </row>
    <row r="1825" spans="6:11" ht="24" customHeight="1">
      <c r="F1825" s="129">
        <v>8</v>
      </c>
      <c r="G1825" s="126" t="s">
        <v>131</v>
      </c>
      <c r="H1825" s="120" t="s">
        <v>627</v>
      </c>
      <c r="I1825" s="129">
        <f>D672</f>
        <v>11.7</v>
      </c>
      <c r="J1825" s="120" t="s">
        <v>131</v>
      </c>
      <c r="K1825" s="129">
        <f t="shared" si="219"/>
        <v>93.6</v>
      </c>
    </row>
    <row r="1826" spans="6:11" ht="24" customHeight="1">
      <c r="F1826" s="129">
        <v>3</v>
      </c>
      <c r="G1826" s="126" t="s">
        <v>131</v>
      </c>
      <c r="H1826" s="120" t="s">
        <v>669</v>
      </c>
      <c r="I1826" s="129">
        <f>(C41)</f>
        <v>770</v>
      </c>
      <c r="J1826" s="120" t="s">
        <v>131</v>
      </c>
      <c r="K1826" s="129">
        <f t="shared" si="219"/>
        <v>2310</v>
      </c>
    </row>
    <row r="1827" spans="6:11" ht="24" customHeight="1">
      <c r="F1827" s="129">
        <v>1</v>
      </c>
      <c r="G1827" s="126" t="s">
        <v>131</v>
      </c>
      <c r="H1827" s="120" t="s">
        <v>1805</v>
      </c>
      <c r="I1827" s="129">
        <f>(C10)</f>
        <v>1041.7</v>
      </c>
      <c r="J1827" s="120" t="s">
        <v>131</v>
      </c>
      <c r="K1827" s="129">
        <f t="shared" si="219"/>
        <v>1041.7</v>
      </c>
    </row>
    <row r="1828" spans="6:11" ht="24" customHeight="1">
      <c r="F1828" s="129">
        <v>2</v>
      </c>
      <c r="G1828" s="126" t="s">
        <v>131</v>
      </c>
      <c r="H1828" s="120" t="s">
        <v>304</v>
      </c>
      <c r="I1828" s="129">
        <f>(C12)</f>
        <v>679.8</v>
      </c>
      <c r="J1828" s="120" t="s">
        <v>131</v>
      </c>
      <c r="K1828" s="129">
        <f t="shared" si="219"/>
        <v>1359.6</v>
      </c>
    </row>
    <row r="1829" spans="6:11" ht="24" customHeight="1">
      <c r="F1829" s="129">
        <v>1</v>
      </c>
      <c r="G1829" s="126" t="s">
        <v>131</v>
      </c>
      <c r="H1829" s="120" t="s">
        <v>306</v>
      </c>
      <c r="I1829" s="129">
        <f>(C13)</f>
        <v>557.70000000000005</v>
      </c>
      <c r="J1829" s="120" t="s">
        <v>131</v>
      </c>
      <c r="K1829" s="129">
        <f t="shared" si="219"/>
        <v>557.70000000000005</v>
      </c>
    </row>
    <row r="1830" spans="6:11" ht="24" customHeight="1">
      <c r="F1830" s="129">
        <v>1</v>
      </c>
      <c r="G1830" s="126" t="s">
        <v>131</v>
      </c>
      <c r="H1830" s="120" t="s">
        <v>1806</v>
      </c>
      <c r="I1830" s="240">
        <v>3</v>
      </c>
      <c r="J1830" s="120" t="s">
        <v>131</v>
      </c>
      <c r="K1830" s="129">
        <f t="shared" si="219"/>
        <v>3</v>
      </c>
    </row>
    <row r="1831" spans="6:11" ht="24" customHeight="1">
      <c r="H1831" s="120" t="s">
        <v>1807</v>
      </c>
      <c r="I1831" s="120" t="s">
        <v>85</v>
      </c>
      <c r="K1831" s="120" t="s">
        <v>85</v>
      </c>
    </row>
    <row r="1832" spans="6:11" ht="24" customHeight="1">
      <c r="G1832" s="126" t="s">
        <v>145</v>
      </c>
      <c r="H1832" s="120" t="s">
        <v>146</v>
      </c>
      <c r="J1832" s="120" t="s">
        <v>145</v>
      </c>
      <c r="K1832" s="129">
        <v>0</v>
      </c>
    </row>
    <row r="1833" spans="6:11" ht="24" customHeight="1">
      <c r="K1833" s="123" t="s">
        <v>52</v>
      </c>
    </row>
    <row r="1834" spans="6:11" ht="24" customHeight="1">
      <c r="H1834" s="120" t="s">
        <v>674</v>
      </c>
      <c r="K1834" s="129">
        <f>SUM(K1822:K1832)</f>
        <v>5766.4</v>
      </c>
    </row>
    <row r="1835" spans="6:11" ht="24" customHeight="1">
      <c r="K1835" s="123" t="s">
        <v>52</v>
      </c>
    </row>
    <row r="1836" spans="6:11" ht="24" customHeight="1">
      <c r="H1836" s="120" t="s">
        <v>632</v>
      </c>
      <c r="K1836" s="129">
        <f>(K1834/30)</f>
        <v>192.21</v>
      </c>
    </row>
    <row r="1837" spans="6:11" ht="24" customHeight="1">
      <c r="K1837" s="123" t="s">
        <v>52</v>
      </c>
    </row>
    <row r="1838" spans="6:11" ht="24" customHeight="1">
      <c r="G1838" s="126" t="s">
        <v>956</v>
      </c>
      <c r="H1838" s="120" t="s">
        <v>656</v>
      </c>
      <c r="K1838" s="120" t="s">
        <v>1809</v>
      </c>
    </row>
    <row r="1839" spans="6:11" ht="24" customHeight="1">
      <c r="H1839" s="123" t="s">
        <v>52</v>
      </c>
      <c r="K1839" s="123" t="s">
        <v>89</v>
      </c>
    </row>
    <row r="1840" spans="6:11" ht="24" customHeight="1">
      <c r="F1840" s="129">
        <v>30</v>
      </c>
      <c r="G1840" s="126" t="s">
        <v>282</v>
      </c>
      <c r="H1840" s="120" t="s">
        <v>662</v>
      </c>
      <c r="I1840" s="129">
        <f>(C661)</f>
        <v>11.2</v>
      </c>
      <c r="J1840" s="120" t="s">
        <v>282</v>
      </c>
      <c r="K1840" s="129">
        <f>(F1840*I1840)</f>
        <v>336</v>
      </c>
    </row>
    <row r="1841" spans="6:18" ht="24" customHeight="1">
      <c r="F1841" s="120" t="s">
        <v>85</v>
      </c>
      <c r="H1841" s="120" t="s">
        <v>665</v>
      </c>
      <c r="I1841" s="120" t="s">
        <v>85</v>
      </c>
      <c r="K1841" s="120" t="s">
        <v>85</v>
      </c>
    </row>
    <row r="1842" spans="6:18" ht="24" customHeight="1">
      <c r="F1842" s="129">
        <v>8</v>
      </c>
      <c r="G1842" s="126" t="s">
        <v>131</v>
      </c>
      <c r="H1842" s="120" t="s">
        <v>624</v>
      </c>
      <c r="I1842" s="129">
        <f>D663</f>
        <v>9.6999999999999993</v>
      </c>
      <c r="J1842" s="120" t="s">
        <v>131</v>
      </c>
      <c r="K1842" s="129">
        <f t="shared" ref="K1842:K1848" si="220">(F1842*I1842)</f>
        <v>77.599999999999994</v>
      </c>
    </row>
    <row r="1843" spans="6:18" ht="24" customHeight="1">
      <c r="F1843" s="129">
        <v>8</v>
      </c>
      <c r="G1843" s="126" t="s">
        <v>131</v>
      </c>
      <c r="H1843" s="120" t="s">
        <v>627</v>
      </c>
      <c r="I1843" s="129">
        <f>C677</f>
        <v>24.2</v>
      </c>
      <c r="J1843" s="120" t="s">
        <v>131</v>
      </c>
      <c r="K1843" s="129">
        <f t="shared" si="220"/>
        <v>193.6</v>
      </c>
    </row>
    <row r="1844" spans="6:18" ht="24" customHeight="1">
      <c r="F1844" s="129">
        <v>3</v>
      </c>
      <c r="G1844" s="126" t="s">
        <v>131</v>
      </c>
      <c r="H1844" s="120" t="s">
        <v>669</v>
      </c>
      <c r="I1844" s="129">
        <f>(C41)</f>
        <v>770</v>
      </c>
      <c r="J1844" s="120" t="s">
        <v>131</v>
      </c>
      <c r="K1844" s="129">
        <f t="shared" si="220"/>
        <v>2310</v>
      </c>
    </row>
    <row r="1845" spans="6:18" ht="24" customHeight="1">
      <c r="F1845" s="129">
        <v>1</v>
      </c>
      <c r="G1845" s="126" t="s">
        <v>131</v>
      </c>
      <c r="H1845" s="120" t="s">
        <v>1805</v>
      </c>
      <c r="I1845" s="129">
        <f>(C10)</f>
        <v>1041.7</v>
      </c>
      <c r="J1845" s="120" t="s">
        <v>131</v>
      </c>
      <c r="K1845" s="129">
        <f t="shared" si="220"/>
        <v>1041.7</v>
      </c>
    </row>
    <row r="1846" spans="6:18" ht="24" customHeight="1">
      <c r="F1846" s="129">
        <v>2</v>
      </c>
      <c r="G1846" s="126" t="s">
        <v>131</v>
      </c>
      <c r="H1846" s="120" t="s">
        <v>304</v>
      </c>
      <c r="I1846" s="129">
        <f>(C12)</f>
        <v>679.8</v>
      </c>
      <c r="J1846" s="120" t="s">
        <v>131</v>
      </c>
      <c r="K1846" s="129">
        <f t="shared" si="220"/>
        <v>1359.6</v>
      </c>
    </row>
    <row r="1847" spans="6:18" ht="24" customHeight="1">
      <c r="F1847" s="129">
        <v>1</v>
      </c>
      <c r="G1847" s="126" t="s">
        <v>131</v>
      </c>
      <c r="H1847" s="120" t="s">
        <v>306</v>
      </c>
      <c r="I1847" s="129">
        <f>(C13)</f>
        <v>557.70000000000005</v>
      </c>
      <c r="J1847" s="120" t="s">
        <v>131</v>
      </c>
      <c r="K1847" s="129">
        <f t="shared" si="220"/>
        <v>557.70000000000005</v>
      </c>
    </row>
    <row r="1848" spans="6:18" ht="24" customHeight="1">
      <c r="F1848" s="129">
        <v>1</v>
      </c>
      <c r="G1848" s="126" t="s">
        <v>131</v>
      </c>
      <c r="H1848" s="120" t="s">
        <v>1806</v>
      </c>
      <c r="I1848" s="240">
        <v>5.26</v>
      </c>
      <c r="J1848" s="120" t="s">
        <v>131</v>
      </c>
      <c r="K1848" s="129">
        <f t="shared" si="220"/>
        <v>5.26</v>
      </c>
    </row>
    <row r="1849" spans="6:18" ht="24" customHeight="1">
      <c r="H1849" s="120" t="s">
        <v>1807</v>
      </c>
      <c r="I1849" s="120" t="s">
        <v>85</v>
      </c>
      <c r="K1849" s="120" t="s">
        <v>85</v>
      </c>
    </row>
    <row r="1850" spans="6:18" ht="24" customHeight="1">
      <c r="G1850" s="126" t="s">
        <v>145</v>
      </c>
      <c r="H1850" s="120" t="s">
        <v>146</v>
      </c>
      <c r="J1850" s="120" t="s">
        <v>145</v>
      </c>
      <c r="K1850" s="129">
        <v>0</v>
      </c>
    </row>
    <row r="1851" spans="6:18" ht="24" customHeight="1">
      <c r="K1851" s="123" t="s">
        <v>52</v>
      </c>
    </row>
    <row r="1852" spans="6:18" ht="24" customHeight="1">
      <c r="H1852" s="120" t="s">
        <v>674</v>
      </c>
      <c r="K1852" s="129">
        <f>SUM(K1840:K1850)</f>
        <v>5881.46</v>
      </c>
    </row>
    <row r="1853" spans="6:18" ht="24" customHeight="1">
      <c r="K1853" s="123" t="s">
        <v>52</v>
      </c>
    </row>
    <row r="1854" spans="6:18" ht="24" customHeight="1">
      <c r="H1854" s="120" t="s">
        <v>632</v>
      </c>
      <c r="K1854" s="129">
        <f>(K1852/30)</f>
        <v>196.05</v>
      </c>
      <c r="N1854" s="126" t="s">
        <v>956</v>
      </c>
      <c r="O1854" s="120" t="s">
        <v>656</v>
      </c>
      <c r="Q1854" s="117"/>
      <c r="R1854" s="120" t="s">
        <v>4427</v>
      </c>
    </row>
    <row r="1855" spans="6:18" ht="24" customHeight="1">
      <c r="K1855" s="123" t="s">
        <v>52</v>
      </c>
      <c r="N1855" s="116"/>
      <c r="O1855" s="123" t="s">
        <v>52</v>
      </c>
      <c r="Q1855" s="117"/>
      <c r="R1855" s="123" t="s">
        <v>89</v>
      </c>
    </row>
    <row r="1856" spans="6:18" ht="24" customHeight="1">
      <c r="M1856" s="129">
        <v>30</v>
      </c>
      <c r="N1856" s="126" t="s">
        <v>282</v>
      </c>
      <c r="O1856" s="120" t="s">
        <v>662</v>
      </c>
      <c r="P1856" s="129">
        <f>I1840</f>
        <v>11.2</v>
      </c>
      <c r="Q1856" s="120" t="s">
        <v>282</v>
      </c>
      <c r="R1856" s="129">
        <f>(M1856*P1856)</f>
        <v>336</v>
      </c>
    </row>
    <row r="1857" spans="6:18" ht="24" customHeight="1">
      <c r="F1857" s="358">
        <v>52</v>
      </c>
      <c r="G1857" s="126" t="s">
        <v>111</v>
      </c>
      <c r="H1857" s="120" t="s">
        <v>1810</v>
      </c>
      <c r="M1857" s="120" t="s">
        <v>85</v>
      </c>
      <c r="N1857" s="116"/>
      <c r="O1857" s="120" t="s">
        <v>665</v>
      </c>
      <c r="P1857" s="129" t="str">
        <f t="shared" ref="P1857:P1866" si="221">I1841</f>
        <v xml:space="preserve"> </v>
      </c>
      <c r="Q1857" s="117"/>
      <c r="R1857" s="120" t="s">
        <v>85</v>
      </c>
    </row>
    <row r="1858" spans="6:18" ht="24" customHeight="1">
      <c r="H1858" s="120" t="s">
        <v>1811</v>
      </c>
      <c r="M1858" s="129">
        <v>8</v>
      </c>
      <c r="N1858" s="126" t="s">
        <v>131</v>
      </c>
      <c r="O1858" s="191" t="s">
        <v>4428</v>
      </c>
      <c r="P1858" s="129">
        <f>C46</f>
        <v>12.85</v>
      </c>
      <c r="Q1858" s="120" t="s">
        <v>131</v>
      </c>
      <c r="R1858" s="129">
        <f t="shared" ref="R1858:R1863" si="222">(M1858*P1858)</f>
        <v>102.8</v>
      </c>
    </row>
    <row r="1859" spans="6:18" ht="24" customHeight="1">
      <c r="H1859" s="120" t="s">
        <v>1812</v>
      </c>
      <c r="M1859" s="129">
        <v>8</v>
      </c>
      <c r="N1859" s="126" t="s">
        <v>131</v>
      </c>
      <c r="O1859" s="191" t="s">
        <v>4429</v>
      </c>
      <c r="P1859" s="129">
        <f>C53</f>
        <v>35.9</v>
      </c>
      <c r="Q1859" s="120" t="s">
        <v>131</v>
      </c>
      <c r="R1859" s="129">
        <f t="shared" si="222"/>
        <v>287.2</v>
      </c>
    </row>
    <row r="1860" spans="6:18" ht="24" customHeight="1">
      <c r="H1860" s="120" t="s">
        <v>1813</v>
      </c>
      <c r="M1860" s="129">
        <v>3</v>
      </c>
      <c r="N1860" s="126" t="s">
        <v>131</v>
      </c>
      <c r="O1860" s="120" t="s">
        <v>669</v>
      </c>
      <c r="P1860" s="129">
        <f t="shared" si="221"/>
        <v>770</v>
      </c>
      <c r="Q1860" s="120" t="s">
        <v>131</v>
      </c>
      <c r="R1860" s="129">
        <f t="shared" si="222"/>
        <v>2310</v>
      </c>
    </row>
    <row r="1861" spans="6:18" ht="24" customHeight="1">
      <c r="H1861" s="120" t="s">
        <v>1814</v>
      </c>
      <c r="M1861" s="129">
        <v>1</v>
      </c>
      <c r="N1861" s="126" t="s">
        <v>131</v>
      </c>
      <c r="O1861" s="120" t="s">
        <v>1805</v>
      </c>
      <c r="P1861" s="129">
        <f t="shared" si="221"/>
        <v>1041.7</v>
      </c>
      <c r="Q1861" s="120" t="s">
        <v>131</v>
      </c>
      <c r="R1861" s="129">
        <f t="shared" si="222"/>
        <v>1041.7</v>
      </c>
    </row>
    <row r="1862" spans="6:18" ht="24" customHeight="1">
      <c r="H1862" s="120" t="s">
        <v>1815</v>
      </c>
      <c r="M1862" s="129">
        <v>2</v>
      </c>
      <c r="N1862" s="126" t="s">
        <v>131</v>
      </c>
      <c r="O1862" s="120" t="s">
        <v>304</v>
      </c>
      <c r="P1862" s="129">
        <f t="shared" si="221"/>
        <v>679.8</v>
      </c>
      <c r="Q1862" s="120" t="s">
        <v>131</v>
      </c>
      <c r="R1862" s="129">
        <f t="shared" si="222"/>
        <v>1359.6</v>
      </c>
    </row>
    <row r="1863" spans="6:18" ht="24" customHeight="1">
      <c r="H1863" s="120" t="s">
        <v>1816</v>
      </c>
      <c r="M1863" s="129">
        <v>1</v>
      </c>
      <c r="N1863" s="126" t="s">
        <v>131</v>
      </c>
      <c r="O1863" s="120" t="s">
        <v>306</v>
      </c>
      <c r="P1863" s="129">
        <f t="shared" si="221"/>
        <v>557.70000000000005</v>
      </c>
      <c r="Q1863" s="120" t="s">
        <v>131</v>
      </c>
      <c r="R1863" s="129">
        <f t="shared" si="222"/>
        <v>557.70000000000005</v>
      </c>
    </row>
    <row r="1864" spans="6:18" ht="24" customHeight="1">
      <c r="H1864" s="120" t="s">
        <v>1817</v>
      </c>
      <c r="N1864" s="126" t="s">
        <v>145</v>
      </c>
      <c r="O1864" s="120" t="s">
        <v>1806</v>
      </c>
      <c r="P1864" s="129">
        <f t="shared" si="221"/>
        <v>5.26</v>
      </c>
      <c r="Q1864" s="120" t="s">
        <v>145</v>
      </c>
      <c r="R1864" s="129">
        <v>5</v>
      </c>
    </row>
    <row r="1865" spans="6:18" ht="24" customHeight="1">
      <c r="H1865" s="123" t="s">
        <v>89</v>
      </c>
      <c r="I1865" s="123" t="s">
        <v>89</v>
      </c>
      <c r="N1865" s="116"/>
      <c r="O1865" s="120" t="s">
        <v>1807</v>
      </c>
      <c r="P1865" s="129" t="str">
        <f t="shared" si="221"/>
        <v xml:space="preserve"> </v>
      </c>
      <c r="Q1865" s="117"/>
      <c r="R1865" s="120" t="s">
        <v>85</v>
      </c>
    </row>
    <row r="1866" spans="6:18" ht="24" customHeight="1">
      <c r="G1866" s="126" t="s">
        <v>111</v>
      </c>
      <c r="H1866" s="120" t="s">
        <v>1818</v>
      </c>
      <c r="N1866" s="126" t="s">
        <v>145</v>
      </c>
      <c r="O1866" s="120" t="s">
        <v>146</v>
      </c>
      <c r="P1866" s="129">
        <f t="shared" si="221"/>
        <v>0</v>
      </c>
      <c r="Q1866" s="120" t="s">
        <v>145</v>
      </c>
      <c r="R1866" s="129">
        <v>0</v>
      </c>
    </row>
    <row r="1867" spans="6:18" ht="24" customHeight="1">
      <c r="H1867" s="120" t="s">
        <v>1819</v>
      </c>
      <c r="N1867" s="116"/>
      <c r="Q1867" s="117"/>
      <c r="R1867" s="123" t="s">
        <v>52</v>
      </c>
    </row>
    <row r="1868" spans="6:18" ht="24" customHeight="1">
      <c r="G1868" s="126" t="s">
        <v>1018</v>
      </c>
      <c r="H1868" s="120" t="s">
        <v>1820</v>
      </c>
      <c r="N1868" s="116"/>
      <c r="O1868" s="120" t="s">
        <v>674</v>
      </c>
      <c r="Q1868" s="117"/>
      <c r="R1868" s="129">
        <f>SUM(R1856:R1866)</f>
        <v>6000</v>
      </c>
    </row>
    <row r="1869" spans="6:18" ht="24" customHeight="1">
      <c r="H1869" s="123" t="s">
        <v>52</v>
      </c>
      <c r="N1869" s="116"/>
      <c r="Q1869" s="117"/>
      <c r="R1869" s="123" t="s">
        <v>52</v>
      </c>
    </row>
    <row r="1870" spans="6:18" ht="24" customHeight="1">
      <c r="F1870" s="129">
        <v>1</v>
      </c>
      <c r="G1870" s="126" t="s">
        <v>13</v>
      </c>
      <c r="H1870" s="120" t="s">
        <v>1821</v>
      </c>
      <c r="I1870" s="129">
        <f>C517</f>
        <v>26</v>
      </c>
      <c r="J1870" s="120" t="s">
        <v>13</v>
      </c>
      <c r="K1870" s="129">
        <f>(F1870*I1870)</f>
        <v>26</v>
      </c>
      <c r="N1870" s="116"/>
      <c r="O1870" s="120" t="s">
        <v>632</v>
      </c>
      <c r="Q1870" s="117"/>
      <c r="R1870" s="129">
        <f>(R1868/30)</f>
        <v>200</v>
      </c>
    </row>
    <row r="1871" spans="6:18" ht="24" customHeight="1">
      <c r="F1871" s="129">
        <v>1</v>
      </c>
      <c r="G1871" s="126" t="s">
        <v>145</v>
      </c>
      <c r="H1871" s="120" t="s">
        <v>1822</v>
      </c>
      <c r="I1871" s="129">
        <f>I1870*0.7</f>
        <v>18.2</v>
      </c>
      <c r="J1871" s="120" t="s">
        <v>145</v>
      </c>
      <c r="K1871" s="129">
        <f>(F1871*I1871)</f>
        <v>18.2</v>
      </c>
      <c r="N1871" s="116"/>
      <c r="Q1871" s="117"/>
      <c r="R1871" s="123" t="s">
        <v>52</v>
      </c>
    </row>
    <row r="1872" spans="6:18" ht="24" customHeight="1">
      <c r="F1872" s="129">
        <v>1</v>
      </c>
      <c r="G1872" s="126" t="s">
        <v>13</v>
      </c>
      <c r="H1872" s="120" t="s">
        <v>1823</v>
      </c>
      <c r="I1872" s="129">
        <f>K1818</f>
        <v>192.23</v>
      </c>
      <c r="J1872" s="120" t="s">
        <v>13</v>
      </c>
      <c r="K1872" s="129">
        <f>(F1872*I1872)</f>
        <v>192.23</v>
      </c>
    </row>
    <row r="1873" spans="6:18" ht="24" customHeight="1">
      <c r="I1873" s="120" t="s">
        <v>85</v>
      </c>
      <c r="K1873" s="123" t="s">
        <v>52</v>
      </c>
    </row>
    <row r="1874" spans="6:18" ht="24" customHeight="1">
      <c r="H1874" s="120" t="s">
        <v>1824</v>
      </c>
      <c r="K1874" s="127">
        <f>SUM(K1870:K1872)</f>
        <v>236.43</v>
      </c>
    </row>
    <row r="1875" spans="6:18" ht="24" customHeight="1">
      <c r="H1875" s="120" t="s">
        <v>85</v>
      </c>
      <c r="I1875" s="120" t="s">
        <v>85</v>
      </c>
      <c r="K1875" s="123" t="s">
        <v>89</v>
      </c>
      <c r="N1875" s="126" t="s">
        <v>956</v>
      </c>
      <c r="O1875" s="120" t="s">
        <v>4430</v>
      </c>
      <c r="Q1875" s="117"/>
    </row>
    <row r="1876" spans="6:18" ht="24" customHeight="1">
      <c r="G1876" s="126" t="s">
        <v>986</v>
      </c>
      <c r="H1876" s="120" t="s">
        <v>1825</v>
      </c>
      <c r="N1876" s="116"/>
      <c r="O1876" s="123" t="s">
        <v>52</v>
      </c>
      <c r="Q1876" s="117"/>
    </row>
    <row r="1877" spans="6:18" ht="24" customHeight="1">
      <c r="H1877" s="123" t="s">
        <v>52</v>
      </c>
      <c r="M1877" s="129">
        <v>1</v>
      </c>
      <c r="N1877" s="126" t="s">
        <v>13</v>
      </c>
      <c r="O1877" s="120" t="s">
        <v>4431</v>
      </c>
      <c r="P1877" s="136">
        <v>133.69999999999999</v>
      </c>
      <c r="Q1877" s="120" t="s">
        <v>13</v>
      </c>
      <c r="R1877" s="129">
        <f>(M1877*P1877)</f>
        <v>133.69999999999999</v>
      </c>
    </row>
    <row r="1878" spans="6:18" ht="24" customHeight="1">
      <c r="F1878" s="129">
        <v>1</v>
      </c>
      <c r="G1878" s="126" t="s">
        <v>13</v>
      </c>
      <c r="H1878" s="120" t="s">
        <v>1826</v>
      </c>
      <c r="I1878" s="129">
        <f>C518</f>
        <v>35</v>
      </c>
      <c r="J1878" s="120" t="s">
        <v>13</v>
      </c>
      <c r="K1878" s="129">
        <f>(F1878*I1878)</f>
        <v>35</v>
      </c>
      <c r="M1878" s="129">
        <v>1</v>
      </c>
      <c r="N1878" s="126" t="s">
        <v>145</v>
      </c>
      <c r="O1878" s="120" t="s">
        <v>1830</v>
      </c>
      <c r="P1878" s="129">
        <f>P1877*0.2</f>
        <v>26.74</v>
      </c>
      <c r="Q1878" s="120" t="s">
        <v>145</v>
      </c>
      <c r="R1878" s="129">
        <f>(M1878*P1878)</f>
        <v>26.74</v>
      </c>
    </row>
    <row r="1879" spans="6:18" ht="24" customHeight="1">
      <c r="F1879" s="129">
        <v>1</v>
      </c>
      <c r="G1879" s="126" t="s">
        <v>145</v>
      </c>
      <c r="H1879" s="120" t="s">
        <v>1827</v>
      </c>
      <c r="I1879" s="129">
        <f>I1878*0.4</f>
        <v>14</v>
      </c>
      <c r="J1879" s="120" t="s">
        <v>145</v>
      </c>
      <c r="K1879" s="129">
        <f>(F1879*I1879)</f>
        <v>14</v>
      </c>
      <c r="M1879" s="129">
        <v>1</v>
      </c>
      <c r="N1879" s="126" t="s">
        <v>13</v>
      </c>
      <c r="O1879" s="120" t="s">
        <v>1823</v>
      </c>
      <c r="P1879" s="129">
        <f>R1870</f>
        <v>200</v>
      </c>
      <c r="Q1879" s="120" t="s">
        <v>13</v>
      </c>
      <c r="R1879" s="129">
        <f>(M1879*P1879)</f>
        <v>200</v>
      </c>
    </row>
    <row r="1880" spans="6:18" ht="24" customHeight="1">
      <c r="F1880" s="129">
        <v>1</v>
      </c>
      <c r="G1880" s="126" t="s">
        <v>13</v>
      </c>
      <c r="H1880" s="120" t="s">
        <v>1823</v>
      </c>
      <c r="I1880" s="129">
        <f>K1836</f>
        <v>192.21</v>
      </c>
      <c r="J1880" s="120" t="s">
        <v>13</v>
      </c>
      <c r="K1880" s="129">
        <f>(F1880*I1880)</f>
        <v>192.21</v>
      </c>
      <c r="N1880" s="116"/>
      <c r="P1880" s="120" t="s">
        <v>85</v>
      </c>
      <c r="Q1880" s="117"/>
      <c r="R1880" s="123" t="s">
        <v>52</v>
      </c>
    </row>
    <row r="1881" spans="6:18" ht="24" customHeight="1">
      <c r="I1881" s="120" t="s">
        <v>85</v>
      </c>
      <c r="K1881" s="123" t="s">
        <v>52</v>
      </c>
      <c r="N1881" s="116"/>
      <c r="O1881" s="120" t="s">
        <v>1824</v>
      </c>
      <c r="Q1881" s="117"/>
      <c r="R1881" s="127">
        <f>SUM(R1877:R1879)</f>
        <v>360.44</v>
      </c>
    </row>
    <row r="1882" spans="6:18" ht="24" customHeight="1">
      <c r="H1882" s="120" t="s">
        <v>1824</v>
      </c>
      <c r="K1882" s="127">
        <f>SUM(K1878:K1880)</f>
        <v>241.21</v>
      </c>
      <c r="N1882" s="116"/>
      <c r="P1882" s="120" t="s">
        <v>85</v>
      </c>
      <c r="Q1882" s="117"/>
      <c r="R1882" s="123" t="s">
        <v>89</v>
      </c>
    </row>
    <row r="1883" spans="6:18" ht="24" customHeight="1">
      <c r="I1883" s="120" t="s">
        <v>85</v>
      </c>
      <c r="K1883" s="123" t="s">
        <v>89</v>
      </c>
    </row>
    <row r="1884" spans="6:18" ht="49.5" customHeight="1">
      <c r="G1884" s="126" t="s">
        <v>956</v>
      </c>
      <c r="H1884" s="120" t="s">
        <v>1828</v>
      </c>
    </row>
    <row r="1885" spans="6:18" ht="24" customHeight="1">
      <c r="H1885" s="123" t="s">
        <v>52</v>
      </c>
      <c r="N1885" s="126" t="s">
        <v>956</v>
      </c>
      <c r="O1885" s="120" t="s">
        <v>656</v>
      </c>
      <c r="Q1885" s="117"/>
      <c r="R1885" s="120" t="s">
        <v>4432</v>
      </c>
    </row>
    <row r="1886" spans="6:18" ht="24" customHeight="1">
      <c r="F1886" s="129">
        <v>1</v>
      </c>
      <c r="G1886" s="126" t="s">
        <v>13</v>
      </c>
      <c r="H1886" s="120" t="s">
        <v>1829</v>
      </c>
      <c r="I1886" s="129">
        <v>52</v>
      </c>
      <c r="J1886" s="120" t="s">
        <v>13</v>
      </c>
      <c r="K1886" s="129">
        <f>(F1886*I1886)</f>
        <v>52</v>
      </c>
      <c r="N1886" s="116"/>
      <c r="O1886" s="123" t="s">
        <v>52</v>
      </c>
      <c r="Q1886" s="117"/>
      <c r="R1886" s="123" t="s">
        <v>89</v>
      </c>
    </row>
    <row r="1887" spans="6:18" ht="24" customHeight="1">
      <c r="F1887" s="129">
        <v>1</v>
      </c>
      <c r="G1887" s="126" t="s">
        <v>145</v>
      </c>
      <c r="H1887" s="120" t="s">
        <v>1830</v>
      </c>
      <c r="I1887" s="129">
        <f>I1886*0.2</f>
        <v>10.4</v>
      </c>
      <c r="J1887" s="120" t="s">
        <v>145</v>
      </c>
      <c r="K1887" s="129">
        <f>(F1887*I1887)</f>
        <v>10.4</v>
      </c>
      <c r="M1887" s="129">
        <v>30</v>
      </c>
      <c r="N1887" s="126" t="s">
        <v>282</v>
      </c>
      <c r="O1887" s="120" t="s">
        <v>4433</v>
      </c>
      <c r="P1887" s="361">
        <v>15.43</v>
      </c>
      <c r="Q1887" s="120" t="s">
        <v>282</v>
      </c>
      <c r="R1887" s="129">
        <f>(M1887*P1887)</f>
        <v>462.9</v>
      </c>
    </row>
    <row r="1888" spans="6:18" ht="24" customHeight="1">
      <c r="F1888" s="129">
        <v>1</v>
      </c>
      <c r="G1888" s="126" t="s">
        <v>13</v>
      </c>
      <c r="H1888" s="120" t="s">
        <v>1823</v>
      </c>
      <c r="I1888" s="129">
        <f>K1854</f>
        <v>196.05</v>
      </c>
      <c r="J1888" s="120" t="s">
        <v>13</v>
      </c>
      <c r="K1888" s="129">
        <f>(F1888*I1888)</f>
        <v>196.05</v>
      </c>
      <c r="M1888" s="120" t="s">
        <v>85</v>
      </c>
      <c r="N1888" s="116"/>
      <c r="O1888" s="120" t="s">
        <v>4434</v>
      </c>
      <c r="P1888" s="129" t="str">
        <f t="shared" ref="P1888:P1896" si="223">P1857</f>
        <v xml:space="preserve"> </v>
      </c>
      <c r="Q1888" s="117"/>
      <c r="R1888" s="120" t="s">
        <v>85</v>
      </c>
    </row>
    <row r="1889" spans="6:18" ht="24" customHeight="1">
      <c r="I1889" s="120" t="s">
        <v>85</v>
      </c>
      <c r="K1889" s="123" t="s">
        <v>52</v>
      </c>
      <c r="M1889" s="129">
        <v>8</v>
      </c>
      <c r="N1889" s="126" t="s">
        <v>131</v>
      </c>
      <c r="O1889" s="120" t="s">
        <v>4435</v>
      </c>
      <c r="P1889" s="129">
        <f>C47</f>
        <v>17.350000000000001</v>
      </c>
      <c r="Q1889" s="120" t="s">
        <v>131</v>
      </c>
      <c r="R1889" s="129">
        <f t="shared" ref="R1889:R1894" si="224">(M1889*P1889)</f>
        <v>138.80000000000001</v>
      </c>
    </row>
    <row r="1890" spans="6:18" ht="24" customHeight="1">
      <c r="H1890" s="120" t="s">
        <v>1824</v>
      </c>
      <c r="K1890" s="127">
        <f>SUM(K1886:K1888)</f>
        <v>258.45</v>
      </c>
      <c r="M1890" s="129">
        <v>8</v>
      </c>
      <c r="N1890" s="126" t="s">
        <v>131</v>
      </c>
      <c r="O1890" s="120" t="s">
        <v>4436</v>
      </c>
      <c r="P1890" s="129">
        <f>C54</f>
        <v>40.450000000000003</v>
      </c>
      <c r="Q1890" s="120" t="s">
        <v>131</v>
      </c>
      <c r="R1890" s="129">
        <f t="shared" si="224"/>
        <v>323.60000000000002</v>
      </c>
    </row>
    <row r="1891" spans="6:18" ht="36.75" customHeight="1">
      <c r="I1891" s="120" t="s">
        <v>85</v>
      </c>
      <c r="K1891" s="123" t="s">
        <v>89</v>
      </c>
      <c r="M1891" s="129">
        <v>3</v>
      </c>
      <c r="N1891" s="126" t="s">
        <v>131</v>
      </c>
      <c r="O1891" s="120" t="s">
        <v>669</v>
      </c>
      <c r="P1891" s="129">
        <f t="shared" si="223"/>
        <v>770</v>
      </c>
      <c r="Q1891" s="120" t="s">
        <v>131</v>
      </c>
      <c r="R1891" s="129">
        <f t="shared" si="224"/>
        <v>2310</v>
      </c>
    </row>
    <row r="1892" spans="6:18" ht="24" customHeight="1">
      <c r="I1892" s="120"/>
      <c r="K1892" s="123"/>
      <c r="M1892" s="129">
        <v>1</v>
      </c>
      <c r="N1892" s="126" t="s">
        <v>131</v>
      </c>
      <c r="O1892" s="120" t="s">
        <v>1805</v>
      </c>
      <c r="P1892" s="129">
        <f t="shared" si="223"/>
        <v>1041.7</v>
      </c>
      <c r="Q1892" s="120" t="s">
        <v>131</v>
      </c>
      <c r="R1892" s="129">
        <f t="shared" si="224"/>
        <v>1041.7</v>
      </c>
    </row>
    <row r="1893" spans="6:18" ht="24" customHeight="1">
      <c r="G1893" s="126" t="s">
        <v>956</v>
      </c>
      <c r="H1893" s="120" t="s">
        <v>4437</v>
      </c>
      <c r="M1893" s="129">
        <v>2</v>
      </c>
      <c r="N1893" s="126" t="s">
        <v>131</v>
      </c>
      <c r="O1893" s="120" t="s">
        <v>304</v>
      </c>
      <c r="P1893" s="129">
        <f t="shared" si="223"/>
        <v>679.8</v>
      </c>
      <c r="Q1893" s="120" t="s">
        <v>131</v>
      </c>
      <c r="R1893" s="129">
        <f t="shared" si="224"/>
        <v>1359.6</v>
      </c>
    </row>
    <row r="1894" spans="6:18" ht="24" customHeight="1">
      <c r="H1894" s="123" t="s">
        <v>52</v>
      </c>
      <c r="M1894" s="129">
        <v>1</v>
      </c>
      <c r="N1894" s="126" t="s">
        <v>131</v>
      </c>
      <c r="O1894" s="120" t="s">
        <v>306</v>
      </c>
      <c r="P1894" s="129">
        <f t="shared" si="223"/>
        <v>557.70000000000005</v>
      </c>
      <c r="Q1894" s="120" t="s">
        <v>131</v>
      </c>
      <c r="R1894" s="129">
        <f t="shared" si="224"/>
        <v>557.70000000000005</v>
      </c>
    </row>
    <row r="1895" spans="6:18" ht="24" customHeight="1">
      <c r="F1895" s="129">
        <v>1</v>
      </c>
      <c r="G1895" s="126" t="s">
        <v>13</v>
      </c>
      <c r="H1895" s="120" t="s">
        <v>4438</v>
      </c>
      <c r="I1895" s="129">
        <f>C521</f>
        <v>82</v>
      </c>
      <c r="J1895" s="120" t="s">
        <v>13</v>
      </c>
      <c r="K1895" s="129">
        <f>(F1895*I1895)</f>
        <v>82</v>
      </c>
      <c r="N1895" s="126" t="s">
        <v>145</v>
      </c>
      <c r="O1895" s="120" t="s">
        <v>1806</v>
      </c>
      <c r="P1895" s="129">
        <f t="shared" si="223"/>
        <v>5.26</v>
      </c>
      <c r="Q1895" s="120" t="s">
        <v>145</v>
      </c>
      <c r="R1895" s="129">
        <v>5</v>
      </c>
    </row>
    <row r="1896" spans="6:18" ht="24" customHeight="1">
      <c r="F1896" s="129">
        <v>1</v>
      </c>
      <c r="G1896" s="126" t="s">
        <v>145</v>
      </c>
      <c r="H1896" s="120" t="s">
        <v>1830</v>
      </c>
      <c r="I1896" s="129">
        <f>I1895*0.2</f>
        <v>16.399999999999999</v>
      </c>
      <c r="J1896" s="120" t="s">
        <v>145</v>
      </c>
      <c r="K1896" s="129">
        <f>(F1896*I1896)</f>
        <v>16.399999999999999</v>
      </c>
      <c r="N1896" s="116"/>
      <c r="O1896" s="120" t="s">
        <v>1807</v>
      </c>
      <c r="P1896" s="129" t="str">
        <f t="shared" si="223"/>
        <v xml:space="preserve"> </v>
      </c>
      <c r="Q1896" s="117"/>
      <c r="R1896" s="120" t="s">
        <v>85</v>
      </c>
    </row>
    <row r="1897" spans="6:18" ht="24" customHeight="1">
      <c r="F1897" s="129">
        <v>1</v>
      </c>
      <c r="G1897" s="126" t="s">
        <v>13</v>
      </c>
      <c r="H1897" s="120" t="s">
        <v>1823</v>
      </c>
      <c r="I1897" s="129">
        <f>I1888</f>
        <v>196.05</v>
      </c>
      <c r="J1897" s="120" t="s">
        <v>13</v>
      </c>
      <c r="K1897" s="129">
        <f>(F1897*I1897)</f>
        <v>196.05</v>
      </c>
      <c r="N1897" s="126" t="s">
        <v>145</v>
      </c>
      <c r="O1897" s="120" t="s">
        <v>146</v>
      </c>
      <c r="P1897" s="129" t="str">
        <f>I1881</f>
        <v xml:space="preserve"> </v>
      </c>
      <c r="Q1897" s="120" t="s">
        <v>145</v>
      </c>
      <c r="R1897" s="129">
        <v>0</v>
      </c>
    </row>
    <row r="1898" spans="6:18" ht="24" customHeight="1">
      <c r="I1898" s="120" t="s">
        <v>85</v>
      </c>
      <c r="K1898" s="123" t="s">
        <v>52</v>
      </c>
      <c r="N1898" s="116"/>
      <c r="Q1898" s="117"/>
      <c r="R1898" s="123" t="s">
        <v>52</v>
      </c>
    </row>
    <row r="1899" spans="6:18" ht="24" customHeight="1">
      <c r="H1899" s="120" t="s">
        <v>1824</v>
      </c>
      <c r="K1899" s="127">
        <f>SUM(K1895:K1897)</f>
        <v>294.45</v>
      </c>
      <c r="N1899" s="116"/>
      <c r="O1899" s="120" t="s">
        <v>674</v>
      </c>
      <c r="Q1899" s="117"/>
      <c r="R1899" s="129">
        <f>SUM(R1887:R1897)</f>
        <v>6199.3</v>
      </c>
    </row>
    <row r="1900" spans="6:18" ht="24" customHeight="1">
      <c r="I1900" s="120" t="s">
        <v>85</v>
      </c>
      <c r="K1900" s="123" t="s">
        <v>89</v>
      </c>
      <c r="N1900" s="116"/>
      <c r="Q1900" s="117"/>
      <c r="R1900" s="123" t="s">
        <v>52</v>
      </c>
    </row>
    <row r="1901" spans="6:18" ht="24" customHeight="1">
      <c r="I1901" s="120"/>
      <c r="K1901" s="123"/>
      <c r="N1901" s="116"/>
      <c r="O1901" s="120" t="s">
        <v>632</v>
      </c>
      <c r="Q1901" s="117"/>
      <c r="R1901" s="129">
        <f>(R1899/30)</f>
        <v>206.64</v>
      </c>
    </row>
    <row r="1902" spans="6:18" ht="39" customHeight="1">
      <c r="F1902" s="359">
        <v>52.1</v>
      </c>
      <c r="H1902" s="360" t="s">
        <v>1831</v>
      </c>
      <c r="I1902" s="120"/>
      <c r="K1902" s="123"/>
      <c r="N1902" s="116"/>
      <c r="Q1902" s="117"/>
      <c r="R1902" s="123" t="s">
        <v>52</v>
      </c>
    </row>
    <row r="1903" spans="6:18" ht="24" customHeight="1">
      <c r="I1903" s="120"/>
      <c r="K1903" s="123"/>
    </row>
    <row r="1904" spans="6:18" ht="24" customHeight="1">
      <c r="F1904" s="121"/>
      <c r="G1904" s="126"/>
      <c r="H1904" s="120" t="s">
        <v>609</v>
      </c>
      <c r="I1904" s="120"/>
      <c r="K1904" s="123"/>
    </row>
    <row r="1905" spans="6:18" ht="24" customHeight="1">
      <c r="G1905" s="126"/>
      <c r="H1905" s="120" t="s">
        <v>1832</v>
      </c>
      <c r="I1905" s="120"/>
      <c r="K1905" s="123"/>
    </row>
    <row r="1906" spans="6:18" ht="24" customHeight="1">
      <c r="H1906" s="123" t="s">
        <v>52</v>
      </c>
      <c r="I1906" s="120"/>
      <c r="K1906" s="123"/>
      <c r="N1906" s="126" t="s">
        <v>956</v>
      </c>
      <c r="O1906" s="120" t="s">
        <v>4437</v>
      </c>
      <c r="Q1906" s="117"/>
    </row>
    <row r="1907" spans="6:18" ht="24" customHeight="1">
      <c r="F1907" s="129">
        <v>30</v>
      </c>
      <c r="G1907" s="126" t="s">
        <v>282</v>
      </c>
      <c r="H1907" s="120" t="s">
        <v>1833</v>
      </c>
      <c r="I1907" s="240">
        <f>E661</f>
        <v>17.3</v>
      </c>
      <c r="J1907" s="120" t="s">
        <v>282</v>
      </c>
      <c r="K1907" s="129">
        <f>(F1907*I1907)</f>
        <v>519</v>
      </c>
      <c r="N1907" s="116"/>
      <c r="O1907" s="123" t="s">
        <v>52</v>
      </c>
      <c r="Q1907" s="117"/>
    </row>
    <row r="1908" spans="6:18" ht="24" customHeight="1">
      <c r="F1908" s="129">
        <v>8</v>
      </c>
      <c r="G1908" s="126" t="s">
        <v>131</v>
      </c>
      <c r="H1908" s="120" t="s">
        <v>624</v>
      </c>
      <c r="I1908" s="240">
        <f>C663</f>
        <v>8.1</v>
      </c>
      <c r="J1908" s="120" t="s">
        <v>131</v>
      </c>
      <c r="K1908" s="129">
        <f t="shared" ref="K1908:K1913" si="225">(F1908*I1908)</f>
        <v>64.8</v>
      </c>
      <c r="M1908" s="129">
        <v>1</v>
      </c>
      <c r="N1908" s="126" t="s">
        <v>13</v>
      </c>
      <c r="O1908" s="120" t="s">
        <v>4439</v>
      </c>
      <c r="P1908" s="136">
        <v>101.4</v>
      </c>
      <c r="Q1908" s="120" t="s">
        <v>13</v>
      </c>
      <c r="R1908" s="129">
        <f>(M1908*P1908)</f>
        <v>101.4</v>
      </c>
    </row>
    <row r="1909" spans="6:18" ht="24" customHeight="1">
      <c r="F1909" s="129">
        <v>8</v>
      </c>
      <c r="G1909" s="126" t="s">
        <v>131</v>
      </c>
      <c r="H1909" s="120" t="s">
        <v>627</v>
      </c>
      <c r="I1909" s="240">
        <f>D672</f>
        <v>11.7</v>
      </c>
      <c r="J1909" s="120" t="s">
        <v>131</v>
      </c>
      <c r="K1909" s="129">
        <f t="shared" si="225"/>
        <v>93.6</v>
      </c>
      <c r="M1909" s="129">
        <v>1</v>
      </c>
      <c r="N1909" s="126" t="s">
        <v>145</v>
      </c>
      <c r="O1909" s="120" t="s">
        <v>1830</v>
      </c>
      <c r="P1909" s="129">
        <f>P1908*0.2</f>
        <v>20.28</v>
      </c>
      <c r="Q1909" s="120" t="s">
        <v>145</v>
      </c>
      <c r="R1909" s="129">
        <f>(M1909*P1909)</f>
        <v>20.28</v>
      </c>
    </row>
    <row r="1910" spans="6:18" ht="24" customHeight="1">
      <c r="F1910" s="129">
        <v>3</v>
      </c>
      <c r="G1910" s="126" t="s">
        <v>131</v>
      </c>
      <c r="H1910" s="120" t="s">
        <v>669</v>
      </c>
      <c r="I1910" s="240">
        <f>C41</f>
        <v>770</v>
      </c>
      <c r="J1910" s="120" t="s">
        <v>131</v>
      </c>
      <c r="K1910" s="129">
        <f t="shared" si="225"/>
        <v>2310</v>
      </c>
      <c r="M1910" s="129">
        <v>1</v>
      </c>
      <c r="N1910" s="126" t="s">
        <v>13</v>
      </c>
      <c r="O1910" s="120" t="s">
        <v>1823</v>
      </c>
      <c r="P1910" s="129">
        <f>R1901</f>
        <v>206.64</v>
      </c>
      <c r="Q1910" s="120" t="s">
        <v>13</v>
      </c>
      <c r="R1910" s="129">
        <f>(M1910*P1910)</f>
        <v>206.64</v>
      </c>
    </row>
    <row r="1911" spans="6:18" ht="24" customHeight="1">
      <c r="F1911" s="129">
        <v>1</v>
      </c>
      <c r="G1911" s="126" t="s">
        <v>131</v>
      </c>
      <c r="H1911" s="120" t="s">
        <v>1805</v>
      </c>
      <c r="I1911" s="240">
        <f>C10</f>
        <v>1041.7</v>
      </c>
      <c r="J1911" s="120" t="s">
        <v>131</v>
      </c>
      <c r="K1911" s="129">
        <f t="shared" si="225"/>
        <v>1041.7</v>
      </c>
      <c r="N1911" s="116"/>
      <c r="P1911" s="120" t="s">
        <v>85</v>
      </c>
      <c r="Q1911" s="117"/>
      <c r="R1911" s="123" t="s">
        <v>52</v>
      </c>
    </row>
    <row r="1912" spans="6:18" ht="24" customHeight="1">
      <c r="F1912" s="129">
        <v>2</v>
      </c>
      <c r="G1912" s="126" t="s">
        <v>131</v>
      </c>
      <c r="H1912" s="120" t="s">
        <v>304</v>
      </c>
      <c r="I1912" s="240">
        <f>C12</f>
        <v>679.8</v>
      </c>
      <c r="J1912" s="120" t="s">
        <v>131</v>
      </c>
      <c r="K1912" s="129">
        <f t="shared" si="225"/>
        <v>1359.6</v>
      </c>
      <c r="N1912" s="116"/>
      <c r="O1912" s="120" t="s">
        <v>1824</v>
      </c>
      <c r="Q1912" s="117"/>
      <c r="R1912" s="127">
        <f>SUM(R1908:R1910)</f>
        <v>328.32</v>
      </c>
    </row>
    <row r="1913" spans="6:18" ht="24" customHeight="1">
      <c r="F1913" s="129">
        <v>1</v>
      </c>
      <c r="G1913" s="126" t="s">
        <v>131</v>
      </c>
      <c r="H1913" s="120" t="s">
        <v>306</v>
      </c>
      <c r="I1913" s="240">
        <f>C13</f>
        <v>557.70000000000005</v>
      </c>
      <c r="J1913" s="120" t="s">
        <v>131</v>
      </c>
      <c r="K1913" s="129">
        <f t="shared" si="225"/>
        <v>557.70000000000005</v>
      </c>
      <c r="N1913" s="116"/>
      <c r="P1913" s="120" t="s">
        <v>85</v>
      </c>
      <c r="Q1913" s="117"/>
      <c r="R1913" s="123" t="s">
        <v>89</v>
      </c>
    </row>
    <row r="1914" spans="6:18" ht="24" customHeight="1">
      <c r="K1914" s="123" t="s">
        <v>52</v>
      </c>
    </row>
    <row r="1915" spans="6:18" ht="24" customHeight="1">
      <c r="H1915" s="120" t="s">
        <v>674</v>
      </c>
      <c r="K1915" s="129">
        <f>SUM(K1907:K1913)</f>
        <v>5946.4</v>
      </c>
    </row>
    <row r="1916" spans="6:18" ht="24" customHeight="1">
      <c r="K1916" s="123" t="s">
        <v>52</v>
      </c>
    </row>
    <row r="1917" spans="6:18" ht="24" customHeight="1">
      <c r="H1917" s="120" t="s">
        <v>632</v>
      </c>
      <c r="K1917" s="129">
        <f>(K1915/30)</f>
        <v>198.21</v>
      </c>
    </row>
    <row r="1918" spans="6:18" ht="24" customHeight="1">
      <c r="K1918" s="123" t="s">
        <v>52</v>
      </c>
    </row>
    <row r="1919" spans="6:18" ht="24" customHeight="1">
      <c r="I1919" s="120"/>
      <c r="K1919" s="123"/>
    </row>
    <row r="1920" spans="6:18" ht="24" customHeight="1">
      <c r="H1920" s="115" t="s">
        <v>1834</v>
      </c>
      <c r="I1920" s="120"/>
      <c r="K1920" s="123"/>
    </row>
    <row r="1921" spans="6:11" ht="24" customHeight="1">
      <c r="H1921" s="123" t="s">
        <v>52</v>
      </c>
      <c r="I1921" s="120"/>
      <c r="K1921" s="123"/>
    </row>
    <row r="1922" spans="6:11" ht="24" customHeight="1">
      <c r="F1922" s="129">
        <v>1</v>
      </c>
      <c r="G1922" s="126" t="s">
        <v>13</v>
      </c>
      <c r="H1922" s="120" t="s">
        <v>1835</v>
      </c>
      <c r="I1922" s="240">
        <f>E698</f>
        <v>98.6</v>
      </c>
      <c r="J1922" s="120" t="s">
        <v>13</v>
      </c>
      <c r="K1922" s="129">
        <f>(F1922*I1922)</f>
        <v>98.6</v>
      </c>
    </row>
    <row r="1923" spans="6:11" ht="24" customHeight="1">
      <c r="F1923" s="129">
        <v>1</v>
      </c>
      <c r="G1923" s="126" t="s">
        <v>145</v>
      </c>
      <c r="H1923" s="120" t="s">
        <v>1836</v>
      </c>
      <c r="I1923" s="240">
        <f>I1922*0.2</f>
        <v>19.72</v>
      </c>
      <c r="J1923" s="120" t="s">
        <v>145</v>
      </c>
      <c r="K1923" s="129">
        <f>(F1923*I1923)</f>
        <v>19.72</v>
      </c>
    </row>
    <row r="1924" spans="6:11" ht="24" customHeight="1">
      <c r="F1924" s="129">
        <v>1</v>
      </c>
      <c r="G1924" s="126" t="s">
        <v>13</v>
      </c>
      <c r="H1924" s="120" t="s">
        <v>1823</v>
      </c>
      <c r="I1924" s="240">
        <f>K1917</f>
        <v>198.21</v>
      </c>
      <c r="J1924" s="120" t="s">
        <v>13</v>
      </c>
      <c r="K1924" s="129">
        <f>(F1924*I1924)</f>
        <v>198.21</v>
      </c>
    </row>
    <row r="1925" spans="6:11" ht="24" customHeight="1">
      <c r="F1925" s="129"/>
      <c r="G1925" s="126"/>
      <c r="H1925" s="176" t="s">
        <v>1837</v>
      </c>
      <c r="I1925" s="240"/>
      <c r="J1925" s="120" t="s">
        <v>145</v>
      </c>
      <c r="K1925" s="129">
        <f>1.25+0.47</f>
        <v>1.72</v>
      </c>
    </row>
    <row r="1926" spans="6:11" ht="24" customHeight="1">
      <c r="I1926" s="120"/>
      <c r="K1926" s="123" t="s">
        <v>52</v>
      </c>
    </row>
    <row r="1927" spans="6:11" ht="24" customHeight="1">
      <c r="H1927" s="120" t="s">
        <v>1824</v>
      </c>
      <c r="I1927" s="120"/>
      <c r="K1927" s="127">
        <f>SUM(K1922:K1925)</f>
        <v>318.25</v>
      </c>
    </row>
    <row r="1928" spans="6:11" ht="24" customHeight="1">
      <c r="I1928" s="120"/>
      <c r="K1928" s="123" t="s">
        <v>89</v>
      </c>
    </row>
    <row r="1929" spans="6:11" ht="24" customHeight="1">
      <c r="I1929" s="120"/>
      <c r="K1929" s="123"/>
    </row>
    <row r="1930" spans="6:11" ht="24" customHeight="1">
      <c r="I1930" s="120"/>
      <c r="K1930" s="123"/>
    </row>
    <row r="1931" spans="6:11" ht="24" customHeight="1">
      <c r="F1931" s="167">
        <v>53.1</v>
      </c>
      <c r="G1931" s="126" t="s">
        <v>111</v>
      </c>
      <c r="H1931" s="120" t="s">
        <v>1838</v>
      </c>
    </row>
    <row r="1932" spans="6:11" ht="24" customHeight="1">
      <c r="H1932" s="122" t="s">
        <v>4440</v>
      </c>
    </row>
    <row r="1933" spans="6:11" ht="24" customHeight="1">
      <c r="H1933" s="120" t="s">
        <v>1840</v>
      </c>
    </row>
    <row r="1934" spans="6:11" ht="24" customHeight="1">
      <c r="H1934" s="120" t="s">
        <v>1841</v>
      </c>
    </row>
    <row r="1935" spans="6:11" ht="24" customHeight="1">
      <c r="H1935" s="123" t="s">
        <v>52</v>
      </c>
    </row>
    <row r="1936" spans="6:11" ht="85.5" customHeight="1">
      <c r="F1936" s="362">
        <v>1</v>
      </c>
      <c r="G1936" s="362" t="s">
        <v>131</v>
      </c>
      <c r="H1936" s="176" t="s">
        <v>4441</v>
      </c>
      <c r="I1936" s="363">
        <v>1672</v>
      </c>
      <c r="J1936" s="364" t="s">
        <v>131</v>
      </c>
      <c r="K1936" s="362">
        <f>(F1936*I1936)</f>
        <v>1672</v>
      </c>
    </row>
    <row r="1937" spans="6:22" ht="24" customHeight="1">
      <c r="F1937" s="129"/>
      <c r="G1937" s="126"/>
      <c r="H1937" s="120"/>
      <c r="I1937" s="129"/>
      <c r="J1937" s="120"/>
      <c r="K1937" s="129"/>
    </row>
    <row r="1938" spans="6:22" ht="24" customHeight="1">
      <c r="F1938" s="129"/>
      <c r="G1938" s="126"/>
      <c r="H1938" s="120"/>
      <c r="I1938" s="129"/>
      <c r="J1938" s="121"/>
      <c r="K1938" s="129"/>
    </row>
    <row r="1939" spans="6:22" ht="24" customHeight="1">
      <c r="F1939" s="362">
        <v>1</v>
      </c>
      <c r="G1939" s="362" t="s">
        <v>131</v>
      </c>
      <c r="H1939" s="120" t="s">
        <v>4442</v>
      </c>
      <c r="I1939" s="365">
        <v>-169</v>
      </c>
      <c r="J1939" s="120" t="s">
        <v>131</v>
      </c>
      <c r="K1939" s="362">
        <f>(F1939*I1939)</f>
        <v>-169</v>
      </c>
    </row>
    <row r="1940" spans="6:22" ht="24" customHeight="1">
      <c r="F1940" s="129"/>
      <c r="G1940" s="126"/>
      <c r="H1940" s="120"/>
      <c r="I1940" s="129"/>
      <c r="J1940" s="121"/>
      <c r="K1940" s="129"/>
    </row>
    <row r="1941" spans="6:22" ht="24" customHeight="1">
      <c r="F1941" s="129">
        <v>1</v>
      </c>
      <c r="G1941" s="126" t="s">
        <v>131</v>
      </c>
      <c r="H1941" s="120" t="s">
        <v>4443</v>
      </c>
      <c r="I1941" s="366">
        <v>250</v>
      </c>
      <c r="J1941" s="120" t="s">
        <v>131</v>
      </c>
      <c r="K1941" s="367">
        <f>(F1941*I1941)</f>
        <v>250</v>
      </c>
    </row>
    <row r="1942" spans="6:22" ht="24" customHeight="1">
      <c r="F1942" s="129"/>
      <c r="G1942" s="126"/>
      <c r="H1942" s="120"/>
      <c r="I1942" s="129"/>
      <c r="J1942" s="120"/>
      <c r="K1942" s="129"/>
    </row>
    <row r="1943" spans="6:22" ht="24" customHeight="1">
      <c r="F1943" s="129">
        <v>0.5</v>
      </c>
      <c r="G1943" s="126" t="s">
        <v>131</v>
      </c>
      <c r="H1943" s="120" t="s">
        <v>1695</v>
      </c>
      <c r="I1943" s="129">
        <f>(C15)</f>
        <v>903.1</v>
      </c>
      <c r="J1943" s="120" t="s">
        <v>131</v>
      </c>
      <c r="K1943" s="129">
        <f>(F1943*I1943)</f>
        <v>451.55</v>
      </c>
      <c r="N1943" s="115">
        <f>7635</f>
        <v>7635</v>
      </c>
    </row>
    <row r="1944" spans="6:22" ht="24" customHeight="1">
      <c r="F1944" s="129">
        <v>1</v>
      </c>
      <c r="G1944" s="126" t="s">
        <v>131</v>
      </c>
      <c r="H1944" s="120" t="s">
        <v>304</v>
      </c>
      <c r="I1944" s="129">
        <f>(C12)</f>
        <v>679.8</v>
      </c>
      <c r="J1944" s="120" t="s">
        <v>131</v>
      </c>
      <c r="K1944" s="129">
        <f>(F1944*I1944)</f>
        <v>679.8</v>
      </c>
      <c r="N1944" s="115">
        <f>N1943*4%</f>
        <v>305.39999999999998</v>
      </c>
    </row>
    <row r="1945" spans="6:22" ht="24" customHeight="1">
      <c r="F1945" s="129">
        <v>0.5</v>
      </c>
      <c r="G1945" s="126" t="s">
        <v>131</v>
      </c>
      <c r="H1945" s="120" t="s">
        <v>345</v>
      </c>
      <c r="I1945" s="129">
        <f>(C10)</f>
        <v>1041.7</v>
      </c>
      <c r="J1945" s="120" t="s">
        <v>131</v>
      </c>
      <c r="K1945" s="129">
        <f>(F1945*I1945)</f>
        <v>520.85</v>
      </c>
      <c r="N1945" s="115">
        <f>SUM(N1943:N1944)</f>
        <v>7940.4</v>
      </c>
    </row>
    <row r="1946" spans="6:22" ht="24" customHeight="1">
      <c r="G1946" s="126" t="s">
        <v>145</v>
      </c>
      <c r="H1946" s="120" t="s">
        <v>1843</v>
      </c>
      <c r="J1946" s="120" t="s">
        <v>145</v>
      </c>
      <c r="K1946" s="129">
        <v>0.82</v>
      </c>
    </row>
    <row r="1947" spans="6:22" ht="24" customHeight="1">
      <c r="K1947" s="123" t="s">
        <v>52</v>
      </c>
    </row>
    <row r="1948" spans="6:22" ht="24" customHeight="1">
      <c r="H1948" s="120" t="s">
        <v>767</v>
      </c>
      <c r="K1948" s="129">
        <f>SUM(K1936:K1946)</f>
        <v>3406.02</v>
      </c>
    </row>
    <row r="1949" spans="6:22" ht="24" customHeight="1">
      <c r="K1949" s="123" t="s">
        <v>52</v>
      </c>
    </row>
    <row r="1950" spans="6:22" ht="24" customHeight="1">
      <c r="F1950" s="121" t="s">
        <v>1844</v>
      </c>
      <c r="H1950" s="120" t="s">
        <v>1845</v>
      </c>
      <c r="J1950" s="120" t="s">
        <v>729</v>
      </c>
      <c r="K1950" s="368">
        <v>967.5</v>
      </c>
      <c r="V1950" s="120" t="s">
        <v>1804</v>
      </c>
    </row>
    <row r="1951" spans="6:22" ht="24" customHeight="1">
      <c r="H1951" s="120" t="s">
        <v>4444</v>
      </c>
      <c r="J1951" s="120" t="s">
        <v>729</v>
      </c>
      <c r="K1951" s="369">
        <v>1864</v>
      </c>
    </row>
    <row r="1952" spans="6:22" ht="24" customHeight="1">
      <c r="F1952" s="121" t="s">
        <v>1847</v>
      </c>
      <c r="H1952" s="120" t="s">
        <v>4445</v>
      </c>
      <c r="J1952" s="120" t="s">
        <v>729</v>
      </c>
      <c r="K1952" s="368">
        <v>30</v>
      </c>
    </row>
    <row r="1953" spans="6:18" ht="24" customHeight="1">
      <c r="F1953" s="121"/>
      <c r="H1953" s="120"/>
      <c r="K1953" s="120"/>
    </row>
    <row r="1954" spans="6:18" ht="24" customHeight="1">
      <c r="F1954" s="148">
        <v>54</v>
      </c>
      <c r="G1954" s="126" t="s">
        <v>111</v>
      </c>
      <c r="H1954" s="120" t="s">
        <v>4446</v>
      </c>
      <c r="J1954" s="120" t="s">
        <v>729</v>
      </c>
      <c r="K1954" s="370">
        <v>206</v>
      </c>
    </row>
    <row r="1955" spans="6:18" ht="24" customHeight="1">
      <c r="K1955" s="123" t="s">
        <v>89</v>
      </c>
    </row>
    <row r="1957" spans="6:18" ht="24" customHeight="1">
      <c r="F1957" s="167">
        <v>54.1</v>
      </c>
      <c r="G1957" s="126" t="s">
        <v>111</v>
      </c>
      <c r="H1957" s="120" t="s">
        <v>1851</v>
      </c>
      <c r="J1957" s="120" t="s">
        <v>729</v>
      </c>
      <c r="K1957" s="244">
        <v>300</v>
      </c>
    </row>
    <row r="1958" spans="6:18" ht="24" customHeight="1">
      <c r="K1958" s="123" t="s">
        <v>89</v>
      </c>
    </row>
    <row r="1960" spans="6:18" ht="24" customHeight="1">
      <c r="F1960" s="167">
        <v>54.2</v>
      </c>
      <c r="G1960" s="126" t="s">
        <v>111</v>
      </c>
      <c r="H1960" s="120" t="s">
        <v>1852</v>
      </c>
      <c r="J1960" s="120" t="s">
        <v>729</v>
      </c>
      <c r="K1960" s="244">
        <v>250</v>
      </c>
    </row>
    <row r="1961" spans="6:18" ht="24" customHeight="1">
      <c r="K1961" s="123" t="s">
        <v>89</v>
      </c>
    </row>
    <row r="1963" spans="6:18" ht="24" customHeight="1">
      <c r="F1963" s="121" t="s">
        <v>1853</v>
      </c>
      <c r="G1963" s="126" t="s">
        <v>111</v>
      </c>
      <c r="H1963" s="120" t="s">
        <v>1854</v>
      </c>
      <c r="M1963" s="121" t="s">
        <v>1853</v>
      </c>
      <c r="N1963" s="126" t="s">
        <v>111</v>
      </c>
      <c r="O1963" s="120" t="s">
        <v>1854</v>
      </c>
      <c r="Q1963" s="117"/>
    </row>
    <row r="1964" spans="6:18" ht="24" customHeight="1">
      <c r="H1964" s="120" t="s">
        <v>1855</v>
      </c>
      <c r="N1964" s="116"/>
      <c r="O1964" s="120" t="s">
        <v>1855</v>
      </c>
      <c r="Q1964" s="117"/>
    </row>
    <row r="1965" spans="6:18" ht="24" customHeight="1">
      <c r="H1965" s="120" t="s">
        <v>1856</v>
      </c>
      <c r="N1965" s="116"/>
      <c r="O1965" s="120" t="s">
        <v>1856</v>
      </c>
      <c r="Q1965" s="117"/>
    </row>
    <row r="1966" spans="6:18" ht="24" customHeight="1">
      <c r="H1966" s="120" t="s">
        <v>1857</v>
      </c>
      <c r="N1966" s="116"/>
      <c r="O1966" s="120" t="s">
        <v>1857</v>
      </c>
      <c r="Q1966" s="117"/>
    </row>
    <row r="1967" spans="6:18" ht="24" customHeight="1">
      <c r="H1967" s="123" t="s">
        <v>52</v>
      </c>
      <c r="N1967" s="116"/>
      <c r="O1967" s="123" t="s">
        <v>52</v>
      </c>
      <c r="Q1967" s="117"/>
    </row>
    <row r="1968" spans="6:18" ht="24" customHeight="1">
      <c r="F1968" s="129">
        <v>1</v>
      </c>
      <c r="G1968" s="126" t="s">
        <v>131</v>
      </c>
      <c r="H1968" s="120" t="s">
        <v>1858</v>
      </c>
      <c r="I1968" s="129">
        <f>(C201)</f>
        <v>1201</v>
      </c>
      <c r="J1968" s="120" t="s">
        <v>131</v>
      </c>
      <c r="K1968" s="129">
        <f t="shared" ref="K1968:K1974" si="226">(F1968*I1968)</f>
        <v>1201</v>
      </c>
      <c r="M1968" s="129">
        <v>1</v>
      </c>
      <c r="N1968" s="126" t="s">
        <v>131</v>
      </c>
      <c r="O1968" s="120" t="s">
        <v>1858</v>
      </c>
      <c r="P1968" s="129">
        <f>I1968</f>
        <v>1201</v>
      </c>
      <c r="Q1968" s="120" t="s">
        <v>131</v>
      </c>
      <c r="R1968" s="129">
        <f t="shared" ref="R1968:R1974" si="227">(M1968*P1968)</f>
        <v>1201</v>
      </c>
    </row>
    <row r="1969" spans="6:18" ht="24" customHeight="1">
      <c r="F1969" s="129">
        <v>0.65</v>
      </c>
      <c r="G1969" s="126" t="s">
        <v>132</v>
      </c>
      <c r="H1969" s="120" t="s">
        <v>1859</v>
      </c>
      <c r="I1969" s="129">
        <f>(C61*2)</f>
        <v>233.76</v>
      </c>
      <c r="J1969" s="120" t="s">
        <v>132</v>
      </c>
      <c r="K1969" s="129">
        <f t="shared" si="226"/>
        <v>151.94</v>
      </c>
      <c r="M1969" s="129">
        <v>0.65</v>
      </c>
      <c r="N1969" s="126" t="s">
        <v>132</v>
      </c>
      <c r="O1969" s="120" t="s">
        <v>1859</v>
      </c>
      <c r="P1969" s="129">
        <f t="shared" ref="P1969:P1975" si="228">I1969</f>
        <v>233.76</v>
      </c>
      <c r="Q1969" s="120" t="s">
        <v>132</v>
      </c>
      <c r="R1969" s="129">
        <f t="shared" si="227"/>
        <v>151.94</v>
      </c>
    </row>
    <row r="1970" spans="6:18" ht="24" customHeight="1">
      <c r="F1970" s="129">
        <v>0.56999999999999995</v>
      </c>
      <c r="G1970" s="126" t="s">
        <v>132</v>
      </c>
      <c r="H1970" s="120" t="s">
        <v>1860</v>
      </c>
      <c r="I1970" s="129">
        <f>(C26)</f>
        <v>40.65</v>
      </c>
      <c r="J1970" s="120" t="s">
        <v>132</v>
      </c>
      <c r="K1970" s="129">
        <f t="shared" si="226"/>
        <v>23.17</v>
      </c>
      <c r="M1970" s="129">
        <v>0.56999999999999995</v>
      </c>
      <c r="N1970" s="126" t="s">
        <v>132</v>
      </c>
      <c r="O1970" s="120" t="s">
        <v>1860</v>
      </c>
      <c r="P1970" s="129">
        <f t="shared" si="228"/>
        <v>40.65</v>
      </c>
      <c r="Q1970" s="120" t="s">
        <v>132</v>
      </c>
      <c r="R1970" s="129">
        <f t="shared" si="227"/>
        <v>23.17</v>
      </c>
    </row>
    <row r="1971" spans="6:18" ht="24" customHeight="1">
      <c r="F1971" s="142">
        <v>8.1000000000000003E-2</v>
      </c>
      <c r="G1971" s="126" t="s">
        <v>132</v>
      </c>
      <c r="H1971" s="120" t="s">
        <v>1861</v>
      </c>
      <c r="I1971" s="129">
        <f>(R60)</f>
        <v>4182.9399999999996</v>
      </c>
      <c r="J1971" s="120" t="s">
        <v>132</v>
      </c>
      <c r="K1971" s="129">
        <f t="shared" si="226"/>
        <v>338.82</v>
      </c>
      <c r="M1971" s="142">
        <v>8.1000000000000003E-2</v>
      </c>
      <c r="N1971" s="126" t="s">
        <v>132</v>
      </c>
      <c r="O1971" s="120" t="s">
        <v>1861</v>
      </c>
      <c r="P1971" s="129">
        <f t="shared" si="228"/>
        <v>4182.9399999999996</v>
      </c>
      <c r="Q1971" s="120" t="s">
        <v>132</v>
      </c>
      <c r="R1971" s="129">
        <f t="shared" si="227"/>
        <v>338.82</v>
      </c>
    </row>
    <row r="1972" spans="6:18" ht="24" customHeight="1">
      <c r="F1972" s="129">
        <v>1</v>
      </c>
      <c r="G1972" s="126" t="s">
        <v>131</v>
      </c>
      <c r="H1972" s="120" t="s">
        <v>1695</v>
      </c>
      <c r="I1972" s="129">
        <f>(C15)</f>
        <v>903.1</v>
      </c>
      <c r="J1972" s="120" t="s">
        <v>131</v>
      </c>
      <c r="K1972" s="129">
        <f t="shared" si="226"/>
        <v>903.1</v>
      </c>
      <c r="M1972" s="129">
        <v>1</v>
      </c>
      <c r="N1972" s="126" t="s">
        <v>131</v>
      </c>
      <c r="O1972" s="120" t="s">
        <v>1695</v>
      </c>
      <c r="P1972" s="129">
        <f t="shared" si="228"/>
        <v>903.1</v>
      </c>
      <c r="Q1972" s="120" t="s">
        <v>131</v>
      </c>
      <c r="R1972" s="129">
        <f t="shared" si="227"/>
        <v>903.1</v>
      </c>
    </row>
    <row r="1973" spans="6:18" ht="24" customHeight="1">
      <c r="F1973" s="129">
        <v>0.5</v>
      </c>
      <c r="G1973" s="126" t="s">
        <v>131</v>
      </c>
      <c r="H1973" s="120" t="s">
        <v>302</v>
      </c>
      <c r="I1973" s="129">
        <f>(C11)</f>
        <v>972.4</v>
      </c>
      <c r="J1973" s="120" t="s">
        <v>131</v>
      </c>
      <c r="K1973" s="129">
        <f t="shared" si="226"/>
        <v>486.2</v>
      </c>
      <c r="M1973" s="129">
        <v>0.5</v>
      </c>
      <c r="N1973" s="126" t="s">
        <v>131</v>
      </c>
      <c r="O1973" s="120" t="s">
        <v>302</v>
      </c>
      <c r="P1973" s="129">
        <f t="shared" si="228"/>
        <v>972.4</v>
      </c>
      <c r="Q1973" s="120" t="s">
        <v>131</v>
      </c>
      <c r="R1973" s="129">
        <f t="shared" si="227"/>
        <v>486.2</v>
      </c>
    </row>
    <row r="1974" spans="6:18" ht="24" customHeight="1">
      <c r="F1974" s="129">
        <v>0.5</v>
      </c>
      <c r="G1974" s="126" t="s">
        <v>131</v>
      </c>
      <c r="H1974" s="120" t="s">
        <v>304</v>
      </c>
      <c r="I1974" s="129">
        <f>(C12)</f>
        <v>679.8</v>
      </c>
      <c r="J1974" s="120" t="s">
        <v>131</v>
      </c>
      <c r="K1974" s="129">
        <f t="shared" si="226"/>
        <v>339.9</v>
      </c>
      <c r="M1974" s="129">
        <v>0.5</v>
      </c>
      <c r="N1974" s="126" t="s">
        <v>131</v>
      </c>
      <c r="O1974" s="120" t="s">
        <v>304</v>
      </c>
      <c r="P1974" s="129">
        <f t="shared" si="228"/>
        <v>679.8</v>
      </c>
      <c r="Q1974" s="120" t="s">
        <v>131</v>
      </c>
      <c r="R1974" s="129">
        <f t="shared" si="227"/>
        <v>339.9</v>
      </c>
    </row>
    <row r="1975" spans="6:18" ht="24" customHeight="1">
      <c r="G1975" s="126" t="s">
        <v>145</v>
      </c>
      <c r="H1975" s="120" t="s">
        <v>146</v>
      </c>
      <c r="I1975" s="120" t="s">
        <v>85</v>
      </c>
      <c r="J1975" s="120" t="s">
        <v>145</v>
      </c>
      <c r="K1975" s="129">
        <v>1.25</v>
      </c>
      <c r="N1975" s="126"/>
      <c r="O1975" s="122" t="s">
        <v>4447</v>
      </c>
      <c r="P1975" s="129" t="str">
        <f t="shared" si="228"/>
        <v xml:space="preserve"> </v>
      </c>
      <c r="Q1975" s="120"/>
      <c r="R1975" s="371">
        <v>-164</v>
      </c>
    </row>
    <row r="1976" spans="6:18" ht="24" customHeight="1">
      <c r="K1976" s="123" t="s">
        <v>52</v>
      </c>
      <c r="O1976" s="122" t="s">
        <v>4448</v>
      </c>
      <c r="P1976" s="129"/>
      <c r="Q1976" s="120"/>
      <c r="R1976" s="371">
        <v>134.1</v>
      </c>
    </row>
    <row r="1977" spans="6:18" ht="24" customHeight="1">
      <c r="H1977" s="120" t="s">
        <v>767</v>
      </c>
      <c r="K1977" s="129">
        <f>SUM(K1968:K1975)</f>
        <v>3445.38</v>
      </c>
      <c r="N1977" s="116" t="s">
        <v>49</v>
      </c>
      <c r="O1977" s="122" t="s">
        <v>1557</v>
      </c>
      <c r="Q1977" s="117"/>
      <c r="R1977" s="129">
        <v>0.39</v>
      </c>
    </row>
    <row r="1978" spans="6:18" ht="24" customHeight="1">
      <c r="K1978" s="123" t="s">
        <v>89</v>
      </c>
      <c r="N1978" s="116"/>
      <c r="O1978" s="120" t="s">
        <v>767</v>
      </c>
      <c r="Q1978" s="117"/>
      <c r="R1978" s="372">
        <f>SUM(R1968:R1977)</f>
        <v>3414.62</v>
      </c>
    </row>
    <row r="1979" spans="6:18" ht="24" customHeight="1">
      <c r="G1979" s="126" t="s">
        <v>85</v>
      </c>
      <c r="H1979" s="120" t="s">
        <v>85</v>
      </c>
      <c r="K1979" s="120" t="s">
        <v>85</v>
      </c>
      <c r="N1979" s="116"/>
      <c r="Q1979" s="117"/>
      <c r="R1979" s="373"/>
    </row>
    <row r="1980" spans="6:18" ht="24" customHeight="1">
      <c r="J1980" s="120" t="s">
        <v>85</v>
      </c>
      <c r="K1980" s="120" t="s">
        <v>85</v>
      </c>
    </row>
    <row r="1981" spans="6:18" ht="24" customHeight="1">
      <c r="F1981" s="121" t="s">
        <v>1862</v>
      </c>
      <c r="G1981" s="126" t="s">
        <v>111</v>
      </c>
      <c r="H1981" s="120" t="s">
        <v>1854</v>
      </c>
      <c r="M1981" s="121" t="s">
        <v>1862</v>
      </c>
      <c r="N1981" s="126" t="s">
        <v>111</v>
      </c>
      <c r="O1981" s="120" t="s">
        <v>1854</v>
      </c>
      <c r="Q1981" s="117"/>
    </row>
    <row r="1982" spans="6:18" ht="24" customHeight="1">
      <c r="H1982" s="120" t="s">
        <v>1855</v>
      </c>
      <c r="N1982" s="116"/>
      <c r="O1982" s="120" t="s">
        <v>1855</v>
      </c>
      <c r="Q1982" s="117"/>
    </row>
    <row r="1983" spans="6:18" ht="24" customHeight="1">
      <c r="H1983" s="120" t="s">
        <v>1856</v>
      </c>
      <c r="N1983" s="116"/>
      <c r="O1983" s="120" t="s">
        <v>1856</v>
      </c>
      <c r="Q1983" s="117"/>
    </row>
    <row r="1984" spans="6:18" ht="24" customHeight="1">
      <c r="H1984" s="120" t="s">
        <v>1863</v>
      </c>
      <c r="N1984" s="116"/>
      <c r="O1984" s="120" t="s">
        <v>1863</v>
      </c>
      <c r="Q1984" s="117"/>
    </row>
    <row r="1985" spans="6:18" ht="24" customHeight="1">
      <c r="H1985" s="123" t="s">
        <v>52</v>
      </c>
      <c r="N1985" s="116"/>
      <c r="O1985" s="123" t="s">
        <v>52</v>
      </c>
      <c r="Q1985" s="117"/>
    </row>
    <row r="1986" spans="6:18" ht="24" customHeight="1">
      <c r="F1986" s="129">
        <v>1</v>
      </c>
      <c r="G1986" s="126" t="s">
        <v>131</v>
      </c>
      <c r="H1986" s="120" t="s">
        <v>1858</v>
      </c>
      <c r="I1986" s="129">
        <f>(C201)</f>
        <v>1201</v>
      </c>
      <c r="J1986" s="120" t="s">
        <v>131</v>
      </c>
      <c r="K1986" s="129">
        <f>(F1986*I1986)</f>
        <v>1201</v>
      </c>
      <c r="M1986" s="129">
        <v>1</v>
      </c>
      <c r="N1986" s="126" t="s">
        <v>131</v>
      </c>
      <c r="O1986" s="120" t="s">
        <v>1858</v>
      </c>
      <c r="P1986" s="129">
        <f>I1986</f>
        <v>1201</v>
      </c>
      <c r="Q1986" s="120" t="s">
        <v>131</v>
      </c>
      <c r="R1986" s="129">
        <f>(M1986*P1986)</f>
        <v>1201</v>
      </c>
    </row>
    <row r="1987" spans="6:18" ht="24" customHeight="1">
      <c r="F1987" s="142">
        <v>0.40500000000000003</v>
      </c>
      <c r="G1987" s="126" t="s">
        <v>132</v>
      </c>
      <c r="H1987" s="120" t="s">
        <v>4449</v>
      </c>
      <c r="I1987" s="129">
        <f>(K1330)</f>
        <v>3835.16</v>
      </c>
      <c r="J1987" s="120" t="s">
        <v>132</v>
      </c>
      <c r="K1987" s="129">
        <f>(F1987*I1987)</f>
        <v>1553.24</v>
      </c>
      <c r="M1987" s="142">
        <v>0.40500000000000003</v>
      </c>
      <c r="N1987" s="126" t="s">
        <v>132</v>
      </c>
      <c r="O1987" s="120" t="s">
        <v>4449</v>
      </c>
      <c r="P1987" s="129">
        <f t="shared" ref="P1987:P1996" si="229">I1987</f>
        <v>3835.16</v>
      </c>
      <c r="Q1987" s="120" t="s">
        <v>132</v>
      </c>
      <c r="R1987" s="129">
        <f>(M1987*P1987)</f>
        <v>1553.24</v>
      </c>
    </row>
    <row r="1988" spans="6:18" ht="24" customHeight="1">
      <c r="H1988" s="120" t="s">
        <v>1865</v>
      </c>
      <c r="I1988" s="120" t="s">
        <v>85</v>
      </c>
      <c r="K1988" s="120" t="s">
        <v>85</v>
      </c>
      <c r="N1988" s="116"/>
      <c r="O1988" s="120" t="s">
        <v>1865</v>
      </c>
      <c r="P1988" s="129" t="str">
        <f t="shared" si="229"/>
        <v xml:space="preserve"> </v>
      </c>
      <c r="Q1988" s="117"/>
      <c r="R1988" s="120" t="s">
        <v>85</v>
      </c>
    </row>
    <row r="1989" spans="6:18" ht="24" customHeight="1">
      <c r="F1989" s="129">
        <v>1.89</v>
      </c>
      <c r="G1989" s="126" t="s">
        <v>425</v>
      </c>
      <c r="H1989" s="120" t="s">
        <v>1866</v>
      </c>
      <c r="I1989" s="129">
        <f>(K1442)</f>
        <v>283.74</v>
      </c>
      <c r="J1989" s="120" t="s">
        <v>425</v>
      </c>
      <c r="K1989" s="129">
        <f>(F1989*I1989)</f>
        <v>536.27</v>
      </c>
      <c r="M1989" s="129">
        <v>1.89</v>
      </c>
      <c r="N1989" s="126" t="s">
        <v>425</v>
      </c>
      <c r="O1989" s="120" t="s">
        <v>1866</v>
      </c>
      <c r="P1989" s="129">
        <f t="shared" si="229"/>
        <v>283.74</v>
      </c>
      <c r="Q1989" s="120" t="s">
        <v>425</v>
      </c>
      <c r="R1989" s="129">
        <f>(M1989*P1989)</f>
        <v>536.27</v>
      </c>
    </row>
    <row r="1990" spans="6:18" ht="24" customHeight="1">
      <c r="H1990" s="120" t="s">
        <v>1867</v>
      </c>
      <c r="I1990" s="120" t="s">
        <v>85</v>
      </c>
      <c r="K1990" s="120" t="s">
        <v>85</v>
      </c>
      <c r="N1990" s="116"/>
      <c r="O1990" s="120" t="s">
        <v>1867</v>
      </c>
      <c r="P1990" s="129" t="str">
        <f t="shared" si="229"/>
        <v xml:space="preserve"> </v>
      </c>
      <c r="Q1990" s="117"/>
      <c r="R1990" s="120" t="s">
        <v>85</v>
      </c>
    </row>
    <row r="1991" spans="6:18" ht="24" customHeight="1">
      <c r="F1991" s="142">
        <v>8.1000000000000003E-2</v>
      </c>
      <c r="G1991" s="126" t="s">
        <v>132</v>
      </c>
      <c r="H1991" s="120" t="s">
        <v>1868</v>
      </c>
      <c r="I1991" s="129">
        <f>(R60)</f>
        <v>4182.9399999999996</v>
      </c>
      <c r="J1991" s="120" t="s">
        <v>132</v>
      </c>
      <c r="K1991" s="129">
        <f>(F1991*I1991)</f>
        <v>338.82</v>
      </c>
      <c r="M1991" s="142">
        <v>8.1000000000000003E-2</v>
      </c>
      <c r="N1991" s="126" t="s">
        <v>132</v>
      </c>
      <c r="O1991" s="120" t="s">
        <v>1868</v>
      </c>
      <c r="P1991" s="129">
        <f t="shared" si="229"/>
        <v>4182.9399999999996</v>
      </c>
      <c r="Q1991" s="120" t="s">
        <v>132</v>
      </c>
      <c r="R1991" s="129">
        <f>(M1991*P1991)</f>
        <v>338.82</v>
      </c>
    </row>
    <row r="1992" spans="6:18" ht="24" customHeight="1">
      <c r="H1992" s="120" t="s">
        <v>1869</v>
      </c>
      <c r="N1992" s="116"/>
      <c r="O1992" s="120" t="s">
        <v>1869</v>
      </c>
      <c r="P1992" s="129"/>
      <c r="Q1992" s="117"/>
    </row>
    <row r="1993" spans="6:18" ht="24" customHeight="1">
      <c r="F1993" s="129">
        <v>1</v>
      </c>
      <c r="G1993" s="126" t="s">
        <v>237</v>
      </c>
      <c r="H1993" s="120" t="s">
        <v>1695</v>
      </c>
      <c r="I1993" s="129">
        <f>(C15)</f>
        <v>903.1</v>
      </c>
      <c r="J1993" s="120" t="s">
        <v>237</v>
      </c>
      <c r="K1993" s="129">
        <f>(F1993*I1993)</f>
        <v>903.1</v>
      </c>
      <c r="M1993" s="129">
        <v>1</v>
      </c>
      <c r="N1993" s="126" t="s">
        <v>237</v>
      </c>
      <c r="O1993" s="120" t="s">
        <v>1695</v>
      </c>
      <c r="P1993" s="129">
        <f t="shared" si="229"/>
        <v>903.1</v>
      </c>
      <c r="Q1993" s="120" t="s">
        <v>237</v>
      </c>
      <c r="R1993" s="129">
        <f>(M1993*P1993)</f>
        <v>903.1</v>
      </c>
    </row>
    <row r="1994" spans="6:18" ht="24" customHeight="1">
      <c r="F1994" s="129">
        <v>0.5</v>
      </c>
      <c r="G1994" s="126" t="s">
        <v>131</v>
      </c>
      <c r="H1994" s="120" t="s">
        <v>302</v>
      </c>
      <c r="I1994" s="129">
        <f>(C11)</f>
        <v>972.4</v>
      </c>
      <c r="J1994" s="120" t="s">
        <v>131</v>
      </c>
      <c r="K1994" s="129">
        <f>(F1994*I1994)</f>
        <v>486.2</v>
      </c>
      <c r="M1994" s="129">
        <v>0.5</v>
      </c>
      <c r="N1994" s="126" t="s">
        <v>131</v>
      </c>
      <c r="O1994" s="120" t="s">
        <v>302</v>
      </c>
      <c r="P1994" s="129">
        <f t="shared" si="229"/>
        <v>972.4</v>
      </c>
      <c r="Q1994" s="120" t="s">
        <v>131</v>
      </c>
      <c r="R1994" s="371">
        <f>(M1994*P1994)</f>
        <v>486.2</v>
      </c>
    </row>
    <row r="1995" spans="6:18" ht="24" customHeight="1">
      <c r="F1995" s="129">
        <v>0.5</v>
      </c>
      <c r="G1995" s="126" t="s">
        <v>131</v>
      </c>
      <c r="H1995" s="120" t="s">
        <v>304</v>
      </c>
      <c r="I1995" s="129">
        <f>(C12)</f>
        <v>679.8</v>
      </c>
      <c r="J1995" s="120" t="s">
        <v>131</v>
      </c>
      <c r="K1995" s="129">
        <f>(F1995*I1995)</f>
        <v>339.9</v>
      </c>
      <c r="M1995" s="129">
        <v>0.5</v>
      </c>
      <c r="N1995" s="126" t="s">
        <v>131</v>
      </c>
      <c r="O1995" s="120" t="s">
        <v>304</v>
      </c>
      <c r="P1995" s="129">
        <f t="shared" si="229"/>
        <v>679.8</v>
      </c>
      <c r="Q1995" s="120" t="s">
        <v>131</v>
      </c>
      <c r="R1995" s="371">
        <f>(M1995*P1995)</f>
        <v>339.9</v>
      </c>
    </row>
    <row r="1996" spans="6:18" ht="24" customHeight="1">
      <c r="G1996" s="126" t="s">
        <v>145</v>
      </c>
      <c r="H1996" s="120" t="s">
        <v>146</v>
      </c>
      <c r="I1996" s="120" t="s">
        <v>85</v>
      </c>
      <c r="J1996" s="120" t="s">
        <v>145</v>
      </c>
      <c r="K1996" s="129">
        <v>1.03</v>
      </c>
      <c r="N1996" s="126"/>
      <c r="O1996" s="122" t="s">
        <v>4447</v>
      </c>
      <c r="P1996" s="129" t="str">
        <f t="shared" si="229"/>
        <v xml:space="preserve"> </v>
      </c>
      <c r="Q1996" s="120"/>
      <c r="R1996" s="371">
        <v>-164</v>
      </c>
    </row>
    <row r="1997" spans="6:18" ht="24" customHeight="1">
      <c r="H1997" s="120" t="s">
        <v>85</v>
      </c>
      <c r="K1997" s="123" t="s">
        <v>52</v>
      </c>
      <c r="O1997" s="122" t="s">
        <v>4448</v>
      </c>
      <c r="P1997" s="129"/>
      <c r="Q1997" s="120"/>
      <c r="R1997" s="371">
        <v>134.1</v>
      </c>
    </row>
    <row r="1998" spans="6:18" ht="24" customHeight="1">
      <c r="H1998" s="120" t="s">
        <v>767</v>
      </c>
      <c r="K1998" s="129">
        <f>SUM(K1986:K1996)</f>
        <v>5359.56</v>
      </c>
      <c r="N1998" s="116" t="s">
        <v>49</v>
      </c>
      <c r="O1998" s="122" t="s">
        <v>1557</v>
      </c>
      <c r="Q1998" s="117"/>
      <c r="R1998" s="371">
        <v>0.47</v>
      </c>
    </row>
    <row r="1999" spans="6:18" ht="24" customHeight="1">
      <c r="K1999" s="123" t="s">
        <v>89</v>
      </c>
      <c r="N1999" s="116"/>
      <c r="O1999" s="120" t="s">
        <v>767</v>
      </c>
      <c r="Q1999" s="117"/>
      <c r="R1999" s="372">
        <f>SUM(R1986:R1998)</f>
        <v>5329.1</v>
      </c>
    </row>
    <row r="2000" spans="6:18" ht="24" customHeight="1">
      <c r="G2000" s="126" t="s">
        <v>85</v>
      </c>
      <c r="H2000" s="120" t="s">
        <v>85</v>
      </c>
      <c r="K2000" s="120" t="s">
        <v>85</v>
      </c>
      <c r="N2000" s="116"/>
      <c r="Q2000" s="117"/>
      <c r="R2000" s="373"/>
    </row>
    <row r="2001" spans="6:19" ht="24" customHeight="1">
      <c r="F2001" s="148">
        <v>57</v>
      </c>
      <c r="G2001" s="126" t="s">
        <v>111</v>
      </c>
      <c r="H2001" s="120" t="s">
        <v>4450</v>
      </c>
    </row>
    <row r="2002" spans="6:19" ht="24" customHeight="1">
      <c r="H2002" s="120" t="s">
        <v>1871</v>
      </c>
      <c r="M2002" s="148">
        <v>57</v>
      </c>
      <c r="N2002" s="126" t="s">
        <v>111</v>
      </c>
      <c r="O2002" s="120" t="s">
        <v>4450</v>
      </c>
      <c r="Q2002" s="117"/>
      <c r="S2002" s="115"/>
    </row>
    <row r="2003" spans="6:19" ht="24" customHeight="1">
      <c r="H2003" s="120" t="s">
        <v>1872</v>
      </c>
      <c r="N2003" s="116"/>
      <c r="O2003" s="120" t="s">
        <v>1871</v>
      </c>
      <c r="Q2003" s="117"/>
      <c r="S2003" s="115"/>
    </row>
    <row r="2004" spans="6:19" ht="24" customHeight="1">
      <c r="H2004" s="123" t="s">
        <v>52</v>
      </c>
      <c r="N2004" s="116"/>
      <c r="O2004" s="120" t="s">
        <v>1872</v>
      </c>
      <c r="Q2004" s="117"/>
      <c r="S2004" s="115"/>
    </row>
    <row r="2005" spans="6:19" ht="60.75" customHeight="1">
      <c r="F2005" s="362">
        <v>1</v>
      </c>
      <c r="G2005" s="362" t="s">
        <v>781</v>
      </c>
      <c r="H2005" s="42" t="s">
        <v>4451</v>
      </c>
      <c r="I2005" s="362">
        <f>C613</f>
        <v>3090</v>
      </c>
      <c r="J2005" s="364" t="s">
        <v>781</v>
      </c>
      <c r="K2005" s="362">
        <f>(F2005*I2005)</f>
        <v>3090</v>
      </c>
      <c r="N2005" s="116"/>
      <c r="O2005" s="123" t="s">
        <v>52</v>
      </c>
      <c r="Q2005" s="117"/>
      <c r="S2005" s="115"/>
    </row>
    <row r="2006" spans="6:19" ht="48.75" customHeight="1">
      <c r="F2006" s="129"/>
      <c r="G2006" s="126"/>
      <c r="H2006" s="122" t="s">
        <v>1874</v>
      </c>
      <c r="I2006" s="129"/>
      <c r="J2006" s="120"/>
      <c r="K2006" s="129"/>
      <c r="M2006" s="362">
        <v>1</v>
      </c>
      <c r="N2006" s="362" t="s">
        <v>781</v>
      </c>
      <c r="O2006" s="42" t="s">
        <v>1873</v>
      </c>
      <c r="P2006" s="362">
        <f>I2005</f>
        <v>3090</v>
      </c>
      <c r="Q2006" s="364" t="s">
        <v>781</v>
      </c>
      <c r="R2006" s="362">
        <f>(M2006*P2006)</f>
        <v>3090</v>
      </c>
      <c r="S2006" s="115"/>
    </row>
    <row r="2007" spans="6:19" ht="36" customHeight="1">
      <c r="F2007" s="129">
        <v>1</v>
      </c>
      <c r="G2007" s="126" t="s">
        <v>131</v>
      </c>
      <c r="H2007" s="120" t="s">
        <v>345</v>
      </c>
      <c r="I2007" s="129">
        <f>(C10)</f>
        <v>1041.7</v>
      </c>
      <c r="J2007" s="120" t="s">
        <v>131</v>
      </c>
      <c r="K2007" s="129">
        <f>(F2007*I2007)</f>
        <v>1041.7</v>
      </c>
      <c r="M2007" s="129"/>
      <c r="N2007" s="126"/>
      <c r="O2007" s="122" t="s">
        <v>1874</v>
      </c>
      <c r="P2007" s="129"/>
      <c r="Q2007" s="120"/>
      <c r="R2007" s="129"/>
      <c r="S2007" s="115"/>
    </row>
    <row r="2008" spans="6:19" ht="24" customHeight="1">
      <c r="F2008" s="129">
        <v>2</v>
      </c>
      <c r="G2008" s="126" t="s">
        <v>131</v>
      </c>
      <c r="H2008" s="120" t="s">
        <v>1695</v>
      </c>
      <c r="I2008" s="129">
        <f>(C15)</f>
        <v>903.1</v>
      </c>
      <c r="J2008" s="120" t="s">
        <v>131</v>
      </c>
      <c r="K2008" s="129">
        <f>(F2008*I2008)</f>
        <v>1806.2</v>
      </c>
      <c r="M2008" s="129">
        <v>1</v>
      </c>
      <c r="N2008" s="126" t="s">
        <v>131</v>
      </c>
      <c r="O2008" s="120" t="s">
        <v>345</v>
      </c>
      <c r="P2008" s="129">
        <f t="shared" ref="P2008:P2013" si="230">I2007</f>
        <v>1041.7</v>
      </c>
      <c r="Q2008" s="120" t="s">
        <v>131</v>
      </c>
      <c r="R2008" s="129">
        <f>(M2008*P2008)</f>
        <v>1041.7</v>
      </c>
      <c r="S2008" s="115"/>
    </row>
    <row r="2009" spans="6:19" ht="24" customHeight="1">
      <c r="F2009" s="129">
        <v>1</v>
      </c>
      <c r="G2009" s="126" t="s">
        <v>131</v>
      </c>
      <c r="H2009" s="120" t="s">
        <v>306</v>
      </c>
      <c r="I2009" s="129">
        <f>(C13)</f>
        <v>557.70000000000005</v>
      </c>
      <c r="J2009" s="120" t="s">
        <v>131</v>
      </c>
      <c r="K2009" s="129">
        <f>(F2009*I2009)</f>
        <v>557.70000000000005</v>
      </c>
      <c r="M2009" s="129">
        <v>2</v>
      </c>
      <c r="N2009" s="126" t="s">
        <v>131</v>
      </c>
      <c r="O2009" s="120" t="s">
        <v>1695</v>
      </c>
      <c r="P2009" s="129">
        <f t="shared" si="230"/>
        <v>903.1</v>
      </c>
      <c r="Q2009" s="120" t="s">
        <v>131</v>
      </c>
      <c r="R2009" s="129">
        <f>(M2009*P2009)</f>
        <v>1806.2</v>
      </c>
      <c r="S2009" s="115"/>
    </row>
    <row r="2010" spans="6:19" ht="24" customHeight="1">
      <c r="F2010" s="129"/>
      <c r="G2010" s="126"/>
      <c r="H2010" s="122" t="s">
        <v>1875</v>
      </c>
      <c r="I2010" s="129"/>
      <c r="J2010" s="120"/>
      <c r="K2010" s="129"/>
      <c r="M2010" s="129">
        <v>1</v>
      </c>
      <c r="N2010" s="126" t="s">
        <v>131</v>
      </c>
      <c r="O2010" s="120" t="s">
        <v>306</v>
      </c>
      <c r="P2010" s="129">
        <f t="shared" si="230"/>
        <v>557.70000000000005</v>
      </c>
      <c r="Q2010" s="120" t="s">
        <v>131</v>
      </c>
      <c r="R2010" s="129">
        <f>(M2010*P2010)</f>
        <v>557.70000000000005</v>
      </c>
      <c r="S2010" s="115"/>
    </row>
    <row r="2011" spans="6:19" ht="24" customHeight="1">
      <c r="F2011" s="129">
        <v>0.5</v>
      </c>
      <c r="G2011" s="126" t="s">
        <v>131</v>
      </c>
      <c r="H2011" s="120" t="s">
        <v>1695</v>
      </c>
      <c r="I2011" s="129">
        <f>(C15)</f>
        <v>903.1</v>
      </c>
      <c r="J2011" s="120" t="s">
        <v>131</v>
      </c>
      <c r="K2011" s="129">
        <f>(F2011*I2011)</f>
        <v>451.55</v>
      </c>
      <c r="M2011" s="129"/>
      <c r="N2011" s="126"/>
      <c r="O2011" s="122" t="s">
        <v>1875</v>
      </c>
      <c r="P2011" s="129"/>
      <c r="Q2011" s="120"/>
      <c r="R2011" s="129"/>
      <c r="S2011" s="115"/>
    </row>
    <row r="2012" spans="6:19" ht="24" customHeight="1">
      <c r="F2012" s="129">
        <v>0.5</v>
      </c>
      <c r="G2012" s="126" t="s">
        <v>131</v>
      </c>
      <c r="H2012" s="120" t="s">
        <v>304</v>
      </c>
      <c r="I2012" s="129">
        <f>(C12)</f>
        <v>679.8</v>
      </c>
      <c r="J2012" s="120" t="s">
        <v>131</v>
      </c>
      <c r="K2012" s="129">
        <f>(F2012*I2012)</f>
        <v>339.9</v>
      </c>
      <c r="M2012" s="129">
        <v>0.5</v>
      </c>
      <c r="N2012" s="126" t="s">
        <v>131</v>
      </c>
      <c r="O2012" s="120" t="s">
        <v>1695</v>
      </c>
      <c r="P2012" s="129">
        <f t="shared" si="230"/>
        <v>903.1</v>
      </c>
      <c r="Q2012" s="120" t="s">
        <v>131</v>
      </c>
      <c r="R2012" s="129">
        <f>(M2012*P2012)</f>
        <v>451.55</v>
      </c>
      <c r="S2012" s="115"/>
    </row>
    <row r="2013" spans="6:19" ht="24" customHeight="1">
      <c r="G2013" s="126" t="s">
        <v>145</v>
      </c>
      <c r="H2013" s="120" t="s">
        <v>146</v>
      </c>
      <c r="J2013" s="120" t="s">
        <v>145</v>
      </c>
      <c r="K2013" s="129">
        <v>0.7</v>
      </c>
      <c r="M2013" s="129">
        <v>0.5</v>
      </c>
      <c r="N2013" s="126" t="s">
        <v>131</v>
      </c>
      <c r="O2013" s="120" t="s">
        <v>304</v>
      </c>
      <c r="P2013" s="129">
        <f t="shared" si="230"/>
        <v>679.8</v>
      </c>
      <c r="Q2013" s="120" t="s">
        <v>131</v>
      </c>
      <c r="R2013" s="129">
        <f>(M2013*P2013)</f>
        <v>339.9</v>
      </c>
      <c r="S2013" s="115"/>
    </row>
    <row r="2014" spans="6:19" ht="24" customHeight="1">
      <c r="K2014" s="123" t="s">
        <v>52</v>
      </c>
      <c r="M2014" s="129"/>
      <c r="N2014" s="126"/>
      <c r="O2014" s="122" t="s">
        <v>4447</v>
      </c>
      <c r="P2014" s="129">
        <f>I2014</f>
        <v>0</v>
      </c>
      <c r="Q2014" s="120"/>
      <c r="R2014" s="140">
        <v>-164</v>
      </c>
      <c r="S2014" s="115"/>
    </row>
    <row r="2015" spans="6:19" ht="24" customHeight="1">
      <c r="H2015" s="120" t="s">
        <v>767</v>
      </c>
      <c r="K2015" s="129">
        <f>SUM(K2005:K2013)</f>
        <v>7287.75</v>
      </c>
      <c r="M2015" s="129"/>
      <c r="N2015" s="126"/>
      <c r="O2015" s="122" t="s">
        <v>4448</v>
      </c>
      <c r="P2015" s="129"/>
      <c r="Q2015" s="120"/>
      <c r="R2015" s="140">
        <v>134.1</v>
      </c>
      <c r="S2015" s="115"/>
    </row>
    <row r="2016" spans="6:19" ht="24" customHeight="1">
      <c r="F2016" s="120" t="s">
        <v>85</v>
      </c>
      <c r="N2016" s="126" t="s">
        <v>145</v>
      </c>
      <c r="O2016" s="120" t="s">
        <v>146</v>
      </c>
      <c r="Q2016" s="120" t="s">
        <v>145</v>
      </c>
      <c r="R2016" s="129">
        <v>0.7</v>
      </c>
      <c r="S2016" s="115"/>
    </row>
    <row r="2017" spans="6:19" ht="24" customHeight="1">
      <c r="K2017" s="123" t="s">
        <v>52</v>
      </c>
      <c r="N2017" s="116"/>
      <c r="O2017" s="120" t="s">
        <v>767</v>
      </c>
      <c r="Q2017" s="117"/>
      <c r="R2017" s="129"/>
      <c r="S2017" s="115"/>
    </row>
    <row r="2018" spans="6:19" ht="24" customHeight="1">
      <c r="G2018" s="126" t="s">
        <v>85</v>
      </c>
      <c r="H2018" s="120" t="s">
        <v>85</v>
      </c>
      <c r="K2018" s="120" t="s">
        <v>85</v>
      </c>
      <c r="N2018" s="116"/>
      <c r="Q2018" s="117"/>
      <c r="R2018" s="114">
        <f>SUM(R2006:R2017)</f>
        <v>7257.85</v>
      </c>
      <c r="S2018" s="115"/>
    </row>
    <row r="2019" spans="6:19" ht="24" customHeight="1">
      <c r="H2019" s="120" t="s">
        <v>85</v>
      </c>
      <c r="M2019" s="120" t="s">
        <v>85</v>
      </c>
      <c r="N2019" s="116"/>
      <c r="S2019" s="115"/>
    </row>
    <row r="2020" spans="6:19" ht="24" customHeight="1">
      <c r="F2020" s="167">
        <v>57.1</v>
      </c>
      <c r="G2020" s="126" t="s">
        <v>111</v>
      </c>
      <c r="H2020" s="120" t="s">
        <v>4452</v>
      </c>
      <c r="M2020" s="148">
        <v>57</v>
      </c>
      <c r="N2020" s="126" t="s">
        <v>111</v>
      </c>
      <c r="O2020" s="120" t="s">
        <v>4452</v>
      </c>
      <c r="Q2020" s="117"/>
      <c r="S2020" s="115"/>
    </row>
    <row r="2021" spans="6:19" ht="24" customHeight="1">
      <c r="H2021" s="120" t="s">
        <v>1871</v>
      </c>
      <c r="N2021" s="116"/>
      <c r="O2021" s="120" t="s">
        <v>1871</v>
      </c>
      <c r="Q2021" s="117"/>
    </row>
    <row r="2022" spans="6:19" ht="24" customHeight="1">
      <c r="H2022" s="120" t="s">
        <v>1872</v>
      </c>
      <c r="N2022" s="116"/>
      <c r="O2022" s="120" t="s">
        <v>1872</v>
      </c>
      <c r="Q2022" s="117"/>
    </row>
    <row r="2023" spans="6:19" ht="24" customHeight="1">
      <c r="H2023" s="123" t="s">
        <v>52</v>
      </c>
      <c r="N2023" s="116"/>
      <c r="O2023" s="123" t="s">
        <v>52</v>
      </c>
      <c r="Q2023" s="117"/>
    </row>
    <row r="2024" spans="6:19" ht="62.25" customHeight="1">
      <c r="F2024" s="362">
        <v>1</v>
      </c>
      <c r="G2024" s="362" t="s">
        <v>781</v>
      </c>
      <c r="H2024" s="176" t="s">
        <v>1873</v>
      </c>
      <c r="I2024" s="115">
        <f>E613</f>
        <v>3484</v>
      </c>
      <c r="J2024" s="364" t="s">
        <v>781</v>
      </c>
      <c r="K2024" s="362">
        <f>(F2024*I2024)</f>
        <v>3484</v>
      </c>
      <c r="M2024" s="362">
        <v>1</v>
      </c>
      <c r="N2024" s="362" t="s">
        <v>781</v>
      </c>
      <c r="O2024" s="42" t="s">
        <v>1873</v>
      </c>
      <c r="P2024" s="362">
        <f>I2024</f>
        <v>3484</v>
      </c>
      <c r="Q2024" s="364" t="s">
        <v>781</v>
      </c>
      <c r="R2024" s="362">
        <f>(M2024*P2024)</f>
        <v>3484</v>
      </c>
    </row>
    <row r="2025" spans="6:19" ht="54.75" customHeight="1">
      <c r="F2025" s="129"/>
      <c r="G2025" s="126"/>
      <c r="H2025" s="122" t="s">
        <v>1874</v>
      </c>
      <c r="J2025" s="120"/>
      <c r="K2025" s="129"/>
      <c r="M2025" s="129"/>
      <c r="N2025" s="126"/>
      <c r="O2025" s="122" t="s">
        <v>1874</v>
      </c>
      <c r="P2025" s="129"/>
      <c r="Q2025" s="120"/>
      <c r="R2025" s="362"/>
    </row>
    <row r="2026" spans="6:19" ht="24" customHeight="1">
      <c r="F2026" s="129">
        <v>1</v>
      </c>
      <c r="G2026" s="126" t="s">
        <v>131</v>
      </c>
      <c r="H2026" s="120" t="s">
        <v>345</v>
      </c>
      <c r="I2026" s="115">
        <f>C10</f>
        <v>1041.7</v>
      </c>
      <c r="J2026" s="120" t="s">
        <v>131</v>
      </c>
      <c r="K2026" s="129">
        <f>(F2026*I2026)</f>
        <v>1041.7</v>
      </c>
      <c r="M2026" s="129">
        <v>1</v>
      </c>
      <c r="N2026" s="126" t="s">
        <v>131</v>
      </c>
      <c r="O2026" s="120" t="s">
        <v>345</v>
      </c>
      <c r="P2026" s="129">
        <f>I2026</f>
        <v>1041.7</v>
      </c>
      <c r="Q2026" s="120" t="s">
        <v>131</v>
      </c>
      <c r="R2026" s="362">
        <f>(M2026*P2026)</f>
        <v>1041.7</v>
      </c>
    </row>
    <row r="2027" spans="6:19" ht="24" customHeight="1">
      <c r="F2027" s="129">
        <v>2</v>
      </c>
      <c r="G2027" s="126" t="s">
        <v>131</v>
      </c>
      <c r="H2027" s="120" t="s">
        <v>1695</v>
      </c>
      <c r="I2027" s="115">
        <f>C15</f>
        <v>903.1</v>
      </c>
      <c r="J2027" s="120" t="s">
        <v>131</v>
      </c>
      <c r="K2027" s="129">
        <f>(F2027*I2027)</f>
        <v>1806.2</v>
      </c>
      <c r="M2027" s="129">
        <v>2</v>
      </c>
      <c r="N2027" s="126" t="s">
        <v>131</v>
      </c>
      <c r="O2027" s="120" t="s">
        <v>1695</v>
      </c>
      <c r="P2027" s="129">
        <f>I2027</f>
        <v>903.1</v>
      </c>
      <c r="Q2027" s="120" t="s">
        <v>131</v>
      </c>
      <c r="R2027" s="362">
        <f>(M2027*P2027)</f>
        <v>1806.2</v>
      </c>
    </row>
    <row r="2028" spans="6:19" ht="24" customHeight="1">
      <c r="F2028" s="129">
        <v>1</v>
      </c>
      <c r="G2028" s="126" t="s">
        <v>131</v>
      </c>
      <c r="H2028" s="120" t="s">
        <v>306</v>
      </c>
      <c r="I2028" s="115">
        <f>C13</f>
        <v>557.70000000000005</v>
      </c>
      <c r="J2028" s="120" t="s">
        <v>131</v>
      </c>
      <c r="K2028" s="129">
        <f>(F2028*I2028)</f>
        <v>557.70000000000005</v>
      </c>
      <c r="M2028" s="129">
        <v>1</v>
      </c>
      <c r="N2028" s="126" t="s">
        <v>131</v>
      </c>
      <c r="O2028" s="120" t="s">
        <v>306</v>
      </c>
      <c r="P2028" s="129">
        <f>I2028</f>
        <v>557.70000000000005</v>
      </c>
      <c r="Q2028" s="120" t="s">
        <v>131</v>
      </c>
      <c r="R2028" s="362">
        <f>(M2028*P2028)</f>
        <v>557.70000000000005</v>
      </c>
    </row>
    <row r="2029" spans="6:19" ht="24" customHeight="1">
      <c r="F2029" s="129"/>
      <c r="G2029" s="126"/>
      <c r="H2029" s="122" t="s">
        <v>1875</v>
      </c>
      <c r="J2029" s="120"/>
      <c r="K2029" s="129"/>
      <c r="M2029" s="129"/>
      <c r="N2029" s="126"/>
      <c r="O2029" s="122" t="s">
        <v>1875</v>
      </c>
      <c r="Q2029" s="120"/>
      <c r="R2029" s="129"/>
    </row>
    <row r="2030" spans="6:19" ht="24" customHeight="1">
      <c r="F2030" s="129">
        <v>0.5</v>
      </c>
      <c r="G2030" s="126" t="s">
        <v>131</v>
      </c>
      <c r="H2030" s="120" t="s">
        <v>1695</v>
      </c>
      <c r="I2030" s="115">
        <f>C15</f>
        <v>903.1</v>
      </c>
      <c r="J2030" s="120" t="s">
        <v>131</v>
      </c>
      <c r="K2030" s="129">
        <f>(F2030*I2030)</f>
        <v>451.55</v>
      </c>
      <c r="M2030" s="129">
        <v>0.5</v>
      </c>
      <c r="N2030" s="126" t="s">
        <v>131</v>
      </c>
      <c r="O2030" s="120" t="s">
        <v>1695</v>
      </c>
      <c r="P2030" s="129">
        <f>I2030</f>
        <v>903.1</v>
      </c>
      <c r="Q2030" s="120" t="s">
        <v>131</v>
      </c>
      <c r="R2030" s="129">
        <f>(M2030*P2030)</f>
        <v>451.55</v>
      </c>
    </row>
    <row r="2031" spans="6:19" ht="24" customHeight="1">
      <c r="F2031" s="129">
        <v>0.5</v>
      </c>
      <c r="G2031" s="126" t="s">
        <v>131</v>
      </c>
      <c r="H2031" s="120" t="s">
        <v>304</v>
      </c>
      <c r="I2031" s="115">
        <f>C12</f>
        <v>679.8</v>
      </c>
      <c r="J2031" s="120" t="s">
        <v>131</v>
      </c>
      <c r="K2031" s="129">
        <f>(F2031*I2031)</f>
        <v>339.9</v>
      </c>
      <c r="M2031" s="129">
        <v>0.5</v>
      </c>
      <c r="N2031" s="126" t="s">
        <v>131</v>
      </c>
      <c r="O2031" s="120" t="s">
        <v>304</v>
      </c>
      <c r="P2031" s="129">
        <f>I2031</f>
        <v>679.8</v>
      </c>
      <c r="Q2031" s="120" t="s">
        <v>131</v>
      </c>
      <c r="R2031" s="129">
        <f>(M2031*P2031)</f>
        <v>339.9</v>
      </c>
    </row>
    <row r="2032" spans="6:19" ht="24" customHeight="1">
      <c r="G2032" s="126" t="s">
        <v>145</v>
      </c>
      <c r="H2032" s="120" t="s">
        <v>146</v>
      </c>
      <c r="J2032" s="120" t="s">
        <v>145</v>
      </c>
      <c r="K2032" s="129">
        <v>0.7</v>
      </c>
      <c r="M2032" s="129"/>
      <c r="N2032" s="126"/>
      <c r="O2032" s="122" t="s">
        <v>4447</v>
      </c>
      <c r="P2032" s="129">
        <f>I2032</f>
        <v>0</v>
      </c>
      <c r="Q2032" s="120"/>
      <c r="R2032" s="140">
        <v>-164</v>
      </c>
    </row>
    <row r="2033" spans="6:18" ht="24" customHeight="1">
      <c r="K2033" s="123" t="s">
        <v>52</v>
      </c>
      <c r="M2033" s="129"/>
      <c r="N2033" s="126"/>
      <c r="O2033" s="122" t="s">
        <v>4448</v>
      </c>
      <c r="P2033" s="129"/>
      <c r="Q2033" s="120"/>
      <c r="R2033" s="140">
        <v>134.1</v>
      </c>
    </row>
    <row r="2034" spans="6:18" ht="24" customHeight="1">
      <c r="H2034" s="120" t="s">
        <v>767</v>
      </c>
      <c r="K2034" s="129">
        <f>SUM(K2024:K2032)</f>
        <v>7681.75</v>
      </c>
      <c r="N2034" s="126" t="s">
        <v>145</v>
      </c>
      <c r="O2034" s="120" t="s">
        <v>146</v>
      </c>
      <c r="Q2034" s="120" t="s">
        <v>145</v>
      </c>
      <c r="R2034" s="129">
        <v>0.7</v>
      </c>
    </row>
    <row r="2035" spans="6:18" ht="24" customHeight="1">
      <c r="H2035" s="120"/>
      <c r="N2035" s="116"/>
      <c r="Q2035" s="117"/>
      <c r="R2035" s="123" t="s">
        <v>52</v>
      </c>
    </row>
    <row r="2036" spans="6:18" ht="24" customHeight="1">
      <c r="H2036" s="120"/>
      <c r="K2036" s="123" t="s">
        <v>52</v>
      </c>
      <c r="N2036" s="116"/>
      <c r="O2036" s="120" t="s">
        <v>767</v>
      </c>
      <c r="Q2036" s="117"/>
      <c r="R2036" s="129"/>
    </row>
    <row r="2037" spans="6:18" ht="24" customHeight="1">
      <c r="H2037" s="120"/>
      <c r="M2037" s="120" t="s">
        <v>85</v>
      </c>
      <c r="N2037" s="116"/>
      <c r="Q2037" s="117"/>
      <c r="R2037" s="114">
        <f>SUM(R2024:R2036)</f>
        <v>7651.85</v>
      </c>
    </row>
    <row r="2038" spans="6:18" ht="24" customHeight="1">
      <c r="F2038" s="121" t="s">
        <v>1877</v>
      </c>
      <c r="G2038" s="126" t="s">
        <v>111</v>
      </c>
      <c r="H2038" s="120" t="s">
        <v>1878</v>
      </c>
      <c r="N2038" s="116"/>
      <c r="Q2038" s="117"/>
      <c r="R2038" s="123" t="s">
        <v>52</v>
      </c>
    </row>
    <row r="2039" spans="6:18" ht="24" customHeight="1">
      <c r="H2039" s="120" t="s">
        <v>1879</v>
      </c>
    </row>
    <row r="2040" spans="6:18" ht="24" customHeight="1">
      <c r="H2040" s="123" t="s">
        <v>52</v>
      </c>
    </row>
    <row r="2041" spans="6:18" ht="24" customHeight="1">
      <c r="G2041" s="126" t="s">
        <v>443</v>
      </c>
      <c r="H2041" s="120" t="s">
        <v>1880</v>
      </c>
    </row>
    <row r="2042" spans="6:18" ht="24" customHeight="1">
      <c r="H2042" s="120" t="s">
        <v>4453</v>
      </c>
    </row>
    <row r="2043" spans="6:18" ht="24" customHeight="1">
      <c r="H2043" s="120" t="s">
        <v>1882</v>
      </c>
      <c r="M2043" s="374"/>
      <c r="N2043" s="375"/>
      <c r="O2043" s="376" t="s">
        <v>1525</v>
      </c>
      <c r="P2043" s="377"/>
      <c r="Q2043" s="380"/>
      <c r="R2043" s="377"/>
    </row>
    <row r="2044" spans="6:18" ht="24" customHeight="1">
      <c r="H2044" s="120" t="s">
        <v>1883</v>
      </c>
      <c r="M2044" s="374"/>
      <c r="N2044" s="375"/>
      <c r="O2044" s="376" t="s">
        <v>4454</v>
      </c>
      <c r="P2044" s="377"/>
      <c r="Q2044" s="380"/>
      <c r="R2044" s="377"/>
    </row>
    <row r="2045" spans="6:18" ht="24" customHeight="1">
      <c r="H2045" s="120" t="s">
        <v>1884</v>
      </c>
      <c r="M2045" s="377"/>
      <c r="N2045" s="375"/>
      <c r="O2045" s="378" t="s">
        <v>52</v>
      </c>
      <c r="P2045" s="378" t="s">
        <v>52</v>
      </c>
      <c r="Q2045" s="376" t="s">
        <v>52</v>
      </c>
      <c r="R2045" s="377"/>
    </row>
    <row r="2046" spans="6:18" ht="24" customHeight="1">
      <c r="H2046" s="120" t="s">
        <v>1885</v>
      </c>
      <c r="M2046" s="377"/>
      <c r="N2046" s="375"/>
      <c r="O2046" s="377"/>
      <c r="P2046" s="377"/>
      <c r="Q2046" s="380"/>
      <c r="R2046" s="377"/>
    </row>
    <row r="2047" spans="6:18" ht="24" customHeight="1">
      <c r="H2047" s="120" t="s">
        <v>4455</v>
      </c>
      <c r="M2047" s="377"/>
      <c r="N2047" s="375"/>
      <c r="O2047" s="379" t="s">
        <v>4456</v>
      </c>
      <c r="P2047" s="377">
        <f>3.93*2.1</f>
        <v>8.25</v>
      </c>
      <c r="Q2047" s="380" t="s">
        <v>5</v>
      </c>
      <c r="R2047" s="377"/>
    </row>
    <row r="2048" spans="6:18" ht="24" customHeight="1">
      <c r="H2048" s="123" t="s">
        <v>52</v>
      </c>
      <c r="M2048" s="377"/>
      <c r="N2048" s="375"/>
      <c r="O2048" s="376" t="s">
        <v>4457</v>
      </c>
      <c r="P2048" s="377"/>
      <c r="Q2048" s="380"/>
      <c r="R2048" s="377"/>
    </row>
    <row r="2049" spans="6:18" ht="24" customHeight="1">
      <c r="F2049" s="129">
        <v>3</v>
      </c>
      <c r="G2049" s="126" t="s">
        <v>282</v>
      </c>
      <c r="H2049" s="120" t="s">
        <v>1887</v>
      </c>
      <c r="I2049" s="228">
        <f>(C620)</f>
        <v>193.05</v>
      </c>
      <c r="J2049" s="120" t="s">
        <v>282</v>
      </c>
      <c r="K2049" s="129">
        <f t="shared" ref="K2049:K2055" si="231">(F2049*I2049)</f>
        <v>579.15</v>
      </c>
      <c r="M2049" s="377"/>
      <c r="N2049" s="375"/>
      <c r="O2049" s="376" t="s">
        <v>4458</v>
      </c>
      <c r="P2049" s="381">
        <f>1*7*2.1*0.075*0.0375</f>
        <v>4.1000000000000002E-2</v>
      </c>
      <c r="Q2049" s="380"/>
      <c r="R2049" s="377"/>
    </row>
    <row r="2050" spans="6:18" ht="24" customHeight="1">
      <c r="F2050" s="129">
        <v>1</v>
      </c>
      <c r="G2050" s="126" t="s">
        <v>237</v>
      </c>
      <c r="H2050" s="120" t="s">
        <v>1888</v>
      </c>
      <c r="I2050" s="140">
        <v>76</v>
      </c>
      <c r="J2050" s="120" t="s">
        <v>972</v>
      </c>
      <c r="K2050" s="129">
        <f t="shared" si="231"/>
        <v>76</v>
      </c>
      <c r="M2050" s="377"/>
      <c r="N2050" s="375"/>
      <c r="O2050" s="376" t="s">
        <v>4459</v>
      </c>
      <c r="P2050" s="381">
        <f>5*3.93*0.075*0.0375</f>
        <v>5.5E-2</v>
      </c>
      <c r="Q2050" s="380"/>
      <c r="R2050" s="377"/>
    </row>
    <row r="2051" spans="6:18" ht="24" customHeight="1">
      <c r="F2051" s="129">
        <v>1</v>
      </c>
      <c r="G2051" s="126" t="s">
        <v>237</v>
      </c>
      <c r="H2051" s="120" t="s">
        <v>1889</v>
      </c>
      <c r="I2051" s="129">
        <f>C648</f>
        <v>82.3</v>
      </c>
      <c r="J2051" s="120" t="s">
        <v>972</v>
      </c>
      <c r="K2051" s="129">
        <f t="shared" si="231"/>
        <v>82.3</v>
      </c>
      <c r="M2051" s="377"/>
      <c r="N2051" s="375"/>
      <c r="O2051" s="376"/>
      <c r="P2051" s="382">
        <f>SUM(P2049:P2050)</f>
        <v>9.6000000000000002E-2</v>
      </c>
      <c r="Q2051" s="380" t="s">
        <v>5</v>
      </c>
      <c r="R2051" s="377"/>
    </row>
    <row r="2052" spans="6:18" ht="24" customHeight="1">
      <c r="F2052" s="129">
        <v>1</v>
      </c>
      <c r="G2052" s="126" t="s">
        <v>237</v>
      </c>
      <c r="H2052" s="120" t="s">
        <v>4460</v>
      </c>
      <c r="I2052" s="129">
        <f>C645</f>
        <v>187.8</v>
      </c>
      <c r="J2052" s="120" t="s">
        <v>972</v>
      </c>
      <c r="K2052" s="129">
        <f t="shared" si="231"/>
        <v>187.8</v>
      </c>
      <c r="M2052" s="377"/>
      <c r="N2052" s="375"/>
      <c r="O2052" s="376" t="s">
        <v>4461</v>
      </c>
      <c r="P2052" s="377"/>
      <c r="Q2052" s="380"/>
      <c r="R2052" s="377"/>
    </row>
    <row r="2053" spans="6:18" ht="24" customHeight="1">
      <c r="F2053" s="129">
        <v>0.5</v>
      </c>
      <c r="G2053" s="126" t="s">
        <v>131</v>
      </c>
      <c r="H2053" s="120" t="s">
        <v>1695</v>
      </c>
      <c r="I2053" s="129">
        <f>(C15)</f>
        <v>903.1</v>
      </c>
      <c r="J2053" s="120" t="s">
        <v>972</v>
      </c>
      <c r="K2053" s="129">
        <f t="shared" si="231"/>
        <v>451.55</v>
      </c>
      <c r="M2053" s="377"/>
      <c r="N2053" s="375"/>
      <c r="O2053" s="376" t="s">
        <v>4462</v>
      </c>
      <c r="P2053" s="377"/>
      <c r="Q2053" s="380"/>
      <c r="R2053" s="377"/>
    </row>
    <row r="2054" spans="6:18" ht="24" customHeight="1">
      <c r="F2054" s="129">
        <v>0.5</v>
      </c>
      <c r="G2054" s="126" t="s">
        <v>131</v>
      </c>
      <c r="H2054" s="120" t="s">
        <v>302</v>
      </c>
      <c r="I2054" s="129">
        <f>(C11)</f>
        <v>972.4</v>
      </c>
      <c r="J2054" s="120" t="s">
        <v>972</v>
      </c>
      <c r="K2054" s="129">
        <f t="shared" si="231"/>
        <v>486.2</v>
      </c>
      <c r="M2054" s="377"/>
      <c r="N2054" s="375"/>
      <c r="O2054" s="376" t="s">
        <v>4463</v>
      </c>
      <c r="P2054" s="381">
        <f>2*18*0.6*0.075*0.0375</f>
        <v>6.0999999999999999E-2</v>
      </c>
      <c r="Q2054" s="380"/>
      <c r="R2054" s="377"/>
    </row>
    <row r="2055" spans="6:18" ht="24" customHeight="1">
      <c r="F2055" s="129">
        <v>0.5</v>
      </c>
      <c r="G2055" s="126" t="s">
        <v>131</v>
      </c>
      <c r="H2055" s="120" t="s">
        <v>304</v>
      </c>
      <c r="I2055" s="129">
        <f>(C12)</f>
        <v>679.8</v>
      </c>
      <c r="J2055" s="120" t="s">
        <v>972</v>
      </c>
      <c r="K2055" s="129">
        <f t="shared" si="231"/>
        <v>339.9</v>
      </c>
      <c r="M2055" s="377"/>
      <c r="N2055" s="375"/>
      <c r="O2055" s="376" t="s">
        <v>4464</v>
      </c>
      <c r="P2055" s="381">
        <f>2*18*0.69*0.075*0.0375</f>
        <v>7.0000000000000007E-2</v>
      </c>
      <c r="Q2055" s="380"/>
      <c r="R2055" s="377"/>
    </row>
    <row r="2056" spans="6:18" ht="24" customHeight="1">
      <c r="G2056" s="126" t="s">
        <v>145</v>
      </c>
      <c r="H2056" s="120" t="s">
        <v>1891</v>
      </c>
      <c r="I2056" s="228">
        <v>2.79</v>
      </c>
      <c r="J2056" s="120" t="s">
        <v>145</v>
      </c>
      <c r="K2056" s="129">
        <v>2.79</v>
      </c>
      <c r="M2056" s="377"/>
      <c r="N2056" s="375"/>
      <c r="O2056" s="376"/>
      <c r="P2056" s="382">
        <f>SUM(P2054:P2055)</f>
        <v>0.13100000000000001</v>
      </c>
      <c r="Q2056" s="380"/>
      <c r="R2056" s="377"/>
    </row>
    <row r="2057" spans="6:18" ht="24" customHeight="1">
      <c r="H2057" s="120" t="s">
        <v>1892</v>
      </c>
      <c r="M2057" s="377"/>
      <c r="N2057" s="375"/>
      <c r="O2057" s="376" t="s">
        <v>4465</v>
      </c>
      <c r="P2057" s="377"/>
      <c r="Q2057" s="380"/>
      <c r="R2057" s="377"/>
    </row>
    <row r="2058" spans="6:18" ht="24" customHeight="1">
      <c r="H2058" s="120" t="s">
        <v>1893</v>
      </c>
      <c r="M2058" s="377"/>
      <c r="N2058" s="375"/>
      <c r="O2058" s="376" t="s">
        <v>4466</v>
      </c>
      <c r="P2058" s="381">
        <f>2*6*0.66*0.075*0.0375</f>
        <v>2.1999999999999999E-2</v>
      </c>
      <c r="Q2058" s="380"/>
      <c r="R2058" s="377"/>
    </row>
    <row r="2059" spans="6:18" ht="24" customHeight="1">
      <c r="H2059" s="120" t="s">
        <v>1894</v>
      </c>
      <c r="J2059" s="120" t="s">
        <v>145</v>
      </c>
      <c r="K2059" s="129">
        <v>0.12</v>
      </c>
      <c r="M2059" s="377"/>
      <c r="N2059" s="375"/>
      <c r="O2059" s="376" t="s">
        <v>4467</v>
      </c>
      <c r="P2059" s="381">
        <f>2*6*0.69*0.075*0.0375</f>
        <v>2.3E-2</v>
      </c>
      <c r="Q2059" s="380"/>
      <c r="R2059" s="377"/>
    </row>
    <row r="2060" spans="6:18" ht="24" customHeight="1">
      <c r="K2060" s="123" t="s">
        <v>52</v>
      </c>
      <c r="M2060" s="377"/>
      <c r="N2060" s="375"/>
      <c r="O2060" s="376"/>
      <c r="P2060" s="382">
        <f>SUM(P2058:P2059)</f>
        <v>4.4999999999999998E-2</v>
      </c>
      <c r="Q2060" s="380"/>
      <c r="R2060" s="377"/>
    </row>
    <row r="2061" spans="6:18" ht="24" customHeight="1">
      <c r="H2061" s="120" t="s">
        <v>1698</v>
      </c>
      <c r="K2061" s="129">
        <f>SUM(K2049:K2059)</f>
        <v>2205.81</v>
      </c>
      <c r="M2061" s="377"/>
      <c r="N2061" s="375"/>
      <c r="O2061" s="376"/>
      <c r="P2061" s="382">
        <f>P2056+P2060</f>
        <v>0.17599999999999999</v>
      </c>
      <c r="Q2061" s="380" t="s">
        <v>5</v>
      </c>
      <c r="R2061" s="381">
        <f>P2061+P2051</f>
        <v>0.27200000000000002</v>
      </c>
    </row>
    <row r="2062" spans="6:18" ht="24" customHeight="1">
      <c r="K2062" s="123" t="s">
        <v>52</v>
      </c>
      <c r="M2062" s="377"/>
      <c r="N2062" s="375"/>
      <c r="O2062" s="376" t="s">
        <v>4468</v>
      </c>
      <c r="P2062" s="377"/>
      <c r="Q2062" s="380"/>
      <c r="R2062" s="377"/>
    </row>
    <row r="2063" spans="6:18" ht="24" customHeight="1">
      <c r="H2063" s="120" t="s">
        <v>632</v>
      </c>
      <c r="K2063" s="129">
        <f>(K2061/3)</f>
        <v>735.27</v>
      </c>
      <c r="M2063" s="377"/>
      <c r="N2063" s="375"/>
      <c r="O2063" s="376" t="s">
        <v>4469</v>
      </c>
      <c r="P2063" s="377">
        <f>1*18*0.54*0.45</f>
        <v>4.37</v>
      </c>
      <c r="Q2063" s="380"/>
      <c r="R2063" s="377"/>
    </row>
    <row r="2064" spans="6:18" ht="24" customHeight="1">
      <c r="K2064" s="123" t="s">
        <v>52</v>
      </c>
      <c r="M2064" s="377"/>
      <c r="N2064" s="375"/>
      <c r="O2064" s="376" t="s">
        <v>4470</v>
      </c>
      <c r="P2064" s="377">
        <f>1*6*0.54*0.51</f>
        <v>1.65</v>
      </c>
      <c r="Q2064" s="380"/>
      <c r="R2064" s="377"/>
    </row>
    <row r="2065" spans="6:18" ht="24" customHeight="1">
      <c r="F2065" s="121" t="s">
        <v>1895</v>
      </c>
      <c r="G2065" s="126" t="s">
        <v>1896</v>
      </c>
      <c r="H2065" s="120" t="s">
        <v>1897</v>
      </c>
      <c r="M2065" s="377"/>
      <c r="N2065" s="375"/>
      <c r="O2065" s="376"/>
      <c r="P2065" s="274">
        <f>SUM(P2063:P2064)</f>
        <v>6.02</v>
      </c>
      <c r="Q2065" s="380" t="s">
        <v>724</v>
      </c>
      <c r="R2065" s="377"/>
    </row>
    <row r="2066" spans="6:18" ht="24" customHeight="1">
      <c r="H2066" s="120" t="s">
        <v>4471</v>
      </c>
      <c r="M2066" s="377"/>
      <c r="N2066" s="375"/>
      <c r="O2066" s="376"/>
      <c r="P2066" s="377"/>
      <c r="Q2066" s="380"/>
      <c r="R2066" s="377"/>
    </row>
    <row r="2067" spans="6:18" ht="24" customHeight="1">
      <c r="H2067" s="120" t="s">
        <v>1882</v>
      </c>
      <c r="M2067" s="377"/>
      <c r="N2067" s="375"/>
      <c r="O2067" s="376" t="s">
        <v>4472</v>
      </c>
      <c r="P2067" s="377">
        <f>3.78*1.95</f>
        <v>7.37</v>
      </c>
      <c r="Q2067" s="380" t="s">
        <v>724</v>
      </c>
      <c r="R2067" s="390" t="s">
        <v>85</v>
      </c>
    </row>
    <row r="2068" spans="6:18" ht="24" customHeight="1">
      <c r="H2068" s="120" t="s">
        <v>1899</v>
      </c>
      <c r="M2068" s="377"/>
      <c r="N2068" s="375"/>
      <c r="O2068" s="376"/>
      <c r="P2068" s="377"/>
      <c r="Q2068" s="380"/>
      <c r="R2068" s="390"/>
    </row>
    <row r="2069" spans="6:18" ht="24" customHeight="1">
      <c r="H2069" s="120" t="s">
        <v>1900</v>
      </c>
      <c r="M2069" s="377"/>
      <c r="N2069" s="375"/>
      <c r="O2069" s="376" t="s">
        <v>4473</v>
      </c>
      <c r="P2069" s="377">
        <f>18*2</f>
        <v>36</v>
      </c>
      <c r="Q2069" s="380" t="s">
        <v>1034</v>
      </c>
      <c r="R2069" s="390"/>
    </row>
    <row r="2070" spans="6:18" ht="24" customHeight="1">
      <c r="H2070" s="120" t="s">
        <v>1885</v>
      </c>
      <c r="M2070" s="377"/>
      <c r="N2070" s="375"/>
      <c r="O2070" s="376" t="s">
        <v>4474</v>
      </c>
      <c r="P2070" s="377">
        <f>18*1</f>
        <v>18</v>
      </c>
      <c r="Q2070" s="380" t="s">
        <v>1034</v>
      </c>
      <c r="R2070" s="390"/>
    </row>
    <row r="2071" spans="6:18" ht="24" customHeight="1">
      <c r="H2071" s="120" t="s">
        <v>4455</v>
      </c>
      <c r="M2071" s="377"/>
      <c r="N2071" s="375"/>
      <c r="O2071" s="383" t="s">
        <v>4270</v>
      </c>
      <c r="P2071" s="377">
        <f>18*1</f>
        <v>18</v>
      </c>
      <c r="Q2071" s="380" t="s">
        <v>1034</v>
      </c>
      <c r="R2071" s="390"/>
    </row>
    <row r="2072" spans="6:18" ht="24" customHeight="1">
      <c r="H2072" s="123" t="s">
        <v>52</v>
      </c>
      <c r="M2072" s="377"/>
      <c r="N2072" s="375"/>
      <c r="O2072" s="376" t="s">
        <v>4475</v>
      </c>
      <c r="P2072" s="377">
        <f>3.93*2.6*2.1</f>
        <v>21.46</v>
      </c>
      <c r="Q2072" s="380" t="s">
        <v>724</v>
      </c>
      <c r="R2072" s="390"/>
    </row>
    <row r="2073" spans="6:18" ht="24" customHeight="1">
      <c r="F2073" s="129">
        <v>3</v>
      </c>
      <c r="G2073" s="126" t="s">
        <v>282</v>
      </c>
      <c r="H2073" s="120" t="s">
        <v>1901</v>
      </c>
      <c r="I2073" s="140">
        <f>C621</f>
        <v>115.85</v>
      </c>
      <c r="J2073" s="120" t="s">
        <v>282</v>
      </c>
      <c r="K2073" s="129">
        <f t="shared" ref="K2073:K2079" si="232">(F2073*I2073)</f>
        <v>347.55</v>
      </c>
      <c r="M2073" s="377"/>
      <c r="N2073" s="375"/>
      <c r="O2073" s="377"/>
      <c r="P2073" s="377"/>
      <c r="Q2073" s="380"/>
      <c r="R2073" s="377"/>
    </row>
    <row r="2074" spans="6:18" ht="24" customHeight="1">
      <c r="F2074" s="129">
        <v>1</v>
      </c>
      <c r="G2074" s="126" t="s">
        <v>237</v>
      </c>
      <c r="H2074" s="120" t="s">
        <v>1902</v>
      </c>
      <c r="I2074" s="140">
        <f>C624</f>
        <v>45</v>
      </c>
      <c r="J2074" s="120" t="s">
        <v>972</v>
      </c>
      <c r="K2074" s="129">
        <f t="shared" si="232"/>
        <v>45</v>
      </c>
      <c r="M2074" s="384">
        <f>P2051</f>
        <v>9.6000000000000002E-2</v>
      </c>
      <c r="N2074" s="385" t="s">
        <v>132</v>
      </c>
      <c r="O2074" s="376" t="s">
        <v>446</v>
      </c>
      <c r="P2074" s="386">
        <f>I3100</f>
        <v>111600</v>
      </c>
      <c r="Q2074" s="376" t="s">
        <v>132</v>
      </c>
      <c r="R2074" s="386">
        <f t="shared" ref="R2074:R2083" si="233">(M2074*P2074)</f>
        <v>10713.6</v>
      </c>
    </row>
    <row r="2075" spans="6:18" ht="24" customHeight="1">
      <c r="F2075" s="129">
        <v>1</v>
      </c>
      <c r="G2075" s="126" t="s">
        <v>237</v>
      </c>
      <c r="H2075" s="120" t="s">
        <v>1903</v>
      </c>
      <c r="I2075" s="129">
        <f>C649</f>
        <v>55.5</v>
      </c>
      <c r="J2075" s="120" t="s">
        <v>972</v>
      </c>
      <c r="K2075" s="129">
        <f t="shared" si="232"/>
        <v>55.5</v>
      </c>
      <c r="M2075" s="384">
        <f>P2061</f>
        <v>0.17599999999999999</v>
      </c>
      <c r="N2075" s="385" t="s">
        <v>132</v>
      </c>
      <c r="O2075" s="376" t="s">
        <v>447</v>
      </c>
      <c r="P2075" s="386">
        <f t="shared" ref="P2075:P2083" si="234">I3101</f>
        <v>99400</v>
      </c>
      <c r="Q2075" s="376" t="s">
        <v>132</v>
      </c>
      <c r="R2075" s="386">
        <f t="shared" si="233"/>
        <v>17494.400000000001</v>
      </c>
    </row>
    <row r="2076" spans="6:18" ht="24" customHeight="1">
      <c r="F2076" s="129">
        <v>1</v>
      </c>
      <c r="G2076" s="126" t="s">
        <v>237</v>
      </c>
      <c r="H2076" s="120" t="s">
        <v>1904</v>
      </c>
      <c r="I2076" s="129">
        <f>C646</f>
        <v>125.2</v>
      </c>
      <c r="J2076" s="120" t="s">
        <v>972</v>
      </c>
      <c r="K2076" s="129">
        <f t="shared" si="232"/>
        <v>125.2</v>
      </c>
      <c r="M2076" s="384">
        <f>SUM(M2074:M2075)</f>
        <v>0.27200000000000002</v>
      </c>
      <c r="N2076" s="385" t="s">
        <v>132</v>
      </c>
      <c r="O2076" s="376" t="s">
        <v>1533</v>
      </c>
      <c r="P2076" s="386">
        <f t="shared" si="234"/>
        <v>14278</v>
      </c>
      <c r="Q2076" s="376" t="s">
        <v>132</v>
      </c>
      <c r="R2076" s="386">
        <f t="shared" si="233"/>
        <v>3883.62</v>
      </c>
    </row>
    <row r="2077" spans="6:18" ht="24" customHeight="1">
      <c r="F2077" s="129">
        <v>0.5</v>
      </c>
      <c r="G2077" s="126" t="s">
        <v>131</v>
      </c>
      <c r="H2077" s="120" t="s">
        <v>1695</v>
      </c>
      <c r="I2077" s="129">
        <f>(C15)</f>
        <v>903.1</v>
      </c>
      <c r="J2077" s="120" t="s">
        <v>972</v>
      </c>
      <c r="K2077" s="129">
        <f t="shared" si="232"/>
        <v>451.55</v>
      </c>
      <c r="M2077" s="384">
        <f>P2065</f>
        <v>6.02</v>
      </c>
      <c r="N2077" s="385" t="s">
        <v>425</v>
      </c>
      <c r="O2077" s="376" t="s">
        <v>4476</v>
      </c>
      <c r="P2077" s="386">
        <f t="shared" si="234"/>
        <v>387.4</v>
      </c>
      <c r="Q2077" s="376" t="s">
        <v>425</v>
      </c>
      <c r="R2077" s="386">
        <f t="shared" si="233"/>
        <v>2332.15</v>
      </c>
    </row>
    <row r="2078" spans="6:18" ht="24" customHeight="1">
      <c r="F2078" s="129">
        <v>0.5</v>
      </c>
      <c r="G2078" s="126" t="s">
        <v>131</v>
      </c>
      <c r="H2078" s="120" t="s">
        <v>302</v>
      </c>
      <c r="I2078" s="129">
        <f>(C11)</f>
        <v>972.4</v>
      </c>
      <c r="J2078" s="120" t="s">
        <v>972</v>
      </c>
      <c r="K2078" s="129">
        <f t="shared" si="232"/>
        <v>486.2</v>
      </c>
      <c r="M2078" s="384">
        <f>P2067</f>
        <v>7.37</v>
      </c>
      <c r="N2078" s="385" t="s">
        <v>425</v>
      </c>
      <c r="O2078" s="376" t="s">
        <v>1535</v>
      </c>
      <c r="P2078" s="386">
        <f t="shared" si="234"/>
        <v>1336.5</v>
      </c>
      <c r="Q2078" s="376" t="s">
        <v>425</v>
      </c>
      <c r="R2078" s="386">
        <f t="shared" si="233"/>
        <v>9850.01</v>
      </c>
    </row>
    <row r="2079" spans="6:18" ht="24" customHeight="1">
      <c r="F2079" s="129">
        <v>0.5</v>
      </c>
      <c r="G2079" s="126" t="s">
        <v>131</v>
      </c>
      <c r="H2079" s="120" t="s">
        <v>304</v>
      </c>
      <c r="I2079" s="129">
        <f>(C12)</f>
        <v>679.8</v>
      </c>
      <c r="J2079" s="120" t="s">
        <v>972</v>
      </c>
      <c r="K2079" s="129">
        <f t="shared" si="232"/>
        <v>339.9</v>
      </c>
      <c r="M2079" s="386">
        <f>P2069</f>
        <v>36</v>
      </c>
      <c r="N2079" s="385" t="s">
        <v>131</v>
      </c>
      <c r="O2079" s="376" t="s">
        <v>1502</v>
      </c>
      <c r="P2079" s="386">
        <f t="shared" si="234"/>
        <v>57</v>
      </c>
      <c r="Q2079" s="376" t="s">
        <v>131</v>
      </c>
      <c r="R2079" s="386">
        <f t="shared" si="233"/>
        <v>2052</v>
      </c>
    </row>
    <row r="2080" spans="6:18" ht="24" customHeight="1">
      <c r="G2080" s="126" t="s">
        <v>145</v>
      </c>
      <c r="H2080" s="120" t="s">
        <v>1891</v>
      </c>
      <c r="I2080" s="120" t="s">
        <v>85</v>
      </c>
      <c r="J2080" s="120" t="s">
        <v>145</v>
      </c>
      <c r="K2080" s="129">
        <v>2.73</v>
      </c>
      <c r="M2080" s="386">
        <f>P2070</f>
        <v>18</v>
      </c>
      <c r="N2080" s="385" t="s">
        <v>131</v>
      </c>
      <c r="O2080" s="376" t="s">
        <v>4477</v>
      </c>
      <c r="P2080" s="386">
        <f t="shared" si="234"/>
        <v>49.35</v>
      </c>
      <c r="Q2080" s="376" t="s">
        <v>131</v>
      </c>
      <c r="R2080" s="386">
        <f t="shared" si="233"/>
        <v>888.3</v>
      </c>
    </row>
    <row r="2081" spans="6:18" ht="24" customHeight="1">
      <c r="H2081" s="120" t="s">
        <v>1892</v>
      </c>
      <c r="M2081" s="386">
        <f>P2071</f>
        <v>18</v>
      </c>
      <c r="N2081" s="385" t="s">
        <v>131</v>
      </c>
      <c r="O2081" s="383" t="s">
        <v>4478</v>
      </c>
      <c r="P2081" s="386">
        <f t="shared" si="234"/>
        <v>60.9</v>
      </c>
      <c r="Q2081" s="376" t="s">
        <v>131</v>
      </c>
      <c r="R2081" s="386">
        <f t="shared" si="233"/>
        <v>1096.2</v>
      </c>
    </row>
    <row r="2082" spans="6:18" ht="24" customHeight="1">
      <c r="H2082" s="120" t="s">
        <v>1893</v>
      </c>
      <c r="M2082" s="386">
        <f>P2072</f>
        <v>21.46</v>
      </c>
      <c r="N2082" s="385" t="s">
        <v>425</v>
      </c>
      <c r="O2082" s="376" t="s">
        <v>4479</v>
      </c>
      <c r="P2082" s="386">
        <f t="shared" si="234"/>
        <v>63.2</v>
      </c>
      <c r="Q2082" s="376" t="s">
        <v>425</v>
      </c>
      <c r="R2082" s="386">
        <f t="shared" si="233"/>
        <v>1356.27</v>
      </c>
    </row>
    <row r="2083" spans="6:18" ht="24" customHeight="1">
      <c r="H2083" s="120" t="s">
        <v>1894</v>
      </c>
      <c r="J2083" s="120" t="s">
        <v>145</v>
      </c>
      <c r="K2083" s="129">
        <v>0.27</v>
      </c>
      <c r="M2083" s="377">
        <v>50</v>
      </c>
      <c r="N2083" s="385" t="s">
        <v>41</v>
      </c>
      <c r="O2083" s="376" t="s">
        <v>1540</v>
      </c>
      <c r="P2083" s="386">
        <f t="shared" si="234"/>
        <v>240.31</v>
      </c>
      <c r="Q2083" s="380" t="s">
        <v>131</v>
      </c>
      <c r="R2083" s="386">
        <f t="shared" si="233"/>
        <v>12015.5</v>
      </c>
    </row>
    <row r="2084" spans="6:18" ht="24" customHeight="1">
      <c r="K2084" s="123" t="s">
        <v>52</v>
      </c>
      <c r="M2084" s="377"/>
      <c r="N2084" s="375"/>
      <c r="O2084" s="377"/>
      <c r="P2084" s="377"/>
      <c r="Q2084" s="380"/>
      <c r="R2084" s="378" t="s">
        <v>52</v>
      </c>
    </row>
    <row r="2085" spans="6:18" ht="24" customHeight="1">
      <c r="H2085" s="120" t="s">
        <v>1698</v>
      </c>
      <c r="K2085" s="129">
        <f>SUM(K2073:K2083)</f>
        <v>1853.9</v>
      </c>
      <c r="M2085" s="377"/>
      <c r="N2085" s="375"/>
      <c r="O2085" s="387" t="s">
        <v>1541</v>
      </c>
      <c r="P2085" s="377"/>
      <c r="Q2085" s="380"/>
      <c r="R2085" s="386">
        <f>SUM(R2074:R2083)</f>
        <v>61682.05</v>
      </c>
    </row>
    <row r="2086" spans="6:18" ht="24" customHeight="1">
      <c r="K2086" s="123" t="s">
        <v>52</v>
      </c>
      <c r="M2086" s="377"/>
      <c r="N2086" s="385" t="s">
        <v>85</v>
      </c>
      <c r="O2086" s="377"/>
      <c r="P2086" s="377"/>
      <c r="Q2086" s="380"/>
      <c r="R2086" s="378" t="s">
        <v>52</v>
      </c>
    </row>
    <row r="2087" spans="6:18" ht="24" customHeight="1">
      <c r="H2087" s="120" t="s">
        <v>632</v>
      </c>
      <c r="K2087" s="129">
        <f>(K2085/3)</f>
        <v>617.97</v>
      </c>
      <c r="M2087" s="377"/>
      <c r="N2087" s="375"/>
      <c r="O2087" s="388" t="s">
        <v>460</v>
      </c>
      <c r="P2087" s="377"/>
      <c r="Q2087" s="380"/>
      <c r="R2087" s="391">
        <f>R2085/P2047</f>
        <v>7476.61</v>
      </c>
    </row>
    <row r="2088" spans="6:18" ht="24" customHeight="1">
      <c r="K2088" s="123" t="s">
        <v>52</v>
      </c>
      <c r="M2088" s="377"/>
      <c r="N2088" s="375"/>
      <c r="O2088" s="377"/>
      <c r="P2088" s="377"/>
      <c r="Q2088" s="380"/>
      <c r="R2088" s="378" t="s">
        <v>89</v>
      </c>
    </row>
    <row r="2089" spans="6:18" ht="24" customHeight="1">
      <c r="F2089" s="121" t="s">
        <v>1905</v>
      </c>
      <c r="H2089" s="120" t="s">
        <v>1906</v>
      </c>
      <c r="M2089" s="377"/>
      <c r="N2089" s="377"/>
      <c r="O2089" s="377"/>
      <c r="P2089" s="377"/>
      <c r="Q2089" s="377"/>
      <c r="R2089" s="377"/>
    </row>
    <row r="2090" spans="6:18" ht="24" customHeight="1">
      <c r="H2090" s="120" t="s">
        <v>1907</v>
      </c>
    </row>
    <row r="2091" spans="6:18" ht="24" customHeight="1">
      <c r="F2091" s="120" t="s">
        <v>85</v>
      </c>
      <c r="H2091" s="120" t="s">
        <v>1908</v>
      </c>
    </row>
    <row r="2092" spans="6:18" ht="48" customHeight="1">
      <c r="H2092" s="123" t="s">
        <v>52</v>
      </c>
      <c r="M2092" s="360"/>
      <c r="N2092" s="360"/>
      <c r="O2092" s="360" t="s">
        <v>4480</v>
      </c>
      <c r="P2092" s="360"/>
      <c r="Q2092" s="360"/>
      <c r="R2092" s="360"/>
    </row>
    <row r="2093" spans="6:18" ht="24" customHeight="1">
      <c r="F2093" s="129">
        <v>3</v>
      </c>
      <c r="G2093" s="126" t="s">
        <v>1774</v>
      </c>
      <c r="H2093" s="120" t="s">
        <v>1909</v>
      </c>
      <c r="I2093" s="140">
        <f>D620</f>
        <v>120.54</v>
      </c>
      <c r="J2093" s="120" t="s">
        <v>1774</v>
      </c>
      <c r="K2093" s="129">
        <f>(F2093*I2093)</f>
        <v>361.62</v>
      </c>
      <c r="M2093" s="389">
        <v>8.5000000000000006E-2</v>
      </c>
      <c r="N2093" s="360" t="s">
        <v>5</v>
      </c>
      <c r="O2093" s="360" t="s">
        <v>4481</v>
      </c>
      <c r="P2093" s="360">
        <f>Z718</f>
        <v>7965.45</v>
      </c>
      <c r="Q2093" s="360" t="s">
        <v>729</v>
      </c>
      <c r="R2093" s="360">
        <f>M2093*P2093</f>
        <v>677.06</v>
      </c>
    </row>
    <row r="2094" spans="6:18" ht="24" customHeight="1">
      <c r="F2094" s="129">
        <v>1</v>
      </c>
      <c r="G2094" s="126" t="s">
        <v>1724</v>
      </c>
      <c r="H2094" s="120" t="s">
        <v>1910</v>
      </c>
      <c r="I2094" s="129">
        <f>C648</f>
        <v>82.3</v>
      </c>
      <c r="J2094" s="120" t="s">
        <v>1724</v>
      </c>
      <c r="K2094" s="129">
        <f>(F2094*I2094)</f>
        <v>82.3</v>
      </c>
      <c r="M2094" s="360">
        <v>8.5</v>
      </c>
      <c r="N2094" s="360" t="s">
        <v>39</v>
      </c>
      <c r="O2094" s="360" t="s">
        <v>4482</v>
      </c>
      <c r="P2094" s="360">
        <f>K1608/1000</f>
        <v>90.17</v>
      </c>
      <c r="Q2094" s="360" t="s">
        <v>39</v>
      </c>
      <c r="R2094" s="360">
        <f>M2094*P2094</f>
        <v>766.45</v>
      </c>
    </row>
    <row r="2095" spans="6:18" ht="24" customHeight="1">
      <c r="F2095" s="129">
        <v>1</v>
      </c>
      <c r="G2095" s="126" t="s">
        <v>1724</v>
      </c>
      <c r="H2095" s="120" t="s">
        <v>1911</v>
      </c>
      <c r="I2095" s="129">
        <v>8</v>
      </c>
      <c r="J2095" s="120" t="s">
        <v>1724</v>
      </c>
      <c r="K2095" s="129">
        <f>(F2095*I2095)</f>
        <v>8</v>
      </c>
      <c r="M2095" s="360"/>
      <c r="N2095" s="360"/>
      <c r="O2095" s="360" t="s">
        <v>1557</v>
      </c>
      <c r="P2095" s="360"/>
      <c r="Q2095" s="360"/>
      <c r="R2095" s="392" t="s">
        <v>52</v>
      </c>
    </row>
    <row r="2096" spans="6:18" ht="24" customHeight="1">
      <c r="F2096" s="121" t="s">
        <v>1777</v>
      </c>
      <c r="H2096" s="120" t="s">
        <v>1912</v>
      </c>
      <c r="I2096" s="121" t="s">
        <v>1777</v>
      </c>
      <c r="K2096" s="129">
        <f>1.21+0.47+0.4</f>
        <v>2.08</v>
      </c>
      <c r="M2096" s="360"/>
      <c r="N2096" s="360"/>
      <c r="O2096" s="360"/>
      <c r="P2096" s="360"/>
      <c r="Q2096" s="360"/>
      <c r="R2096" s="360">
        <f>SUM(R2093:R2095)</f>
        <v>1443.51</v>
      </c>
    </row>
    <row r="2097" spans="6:18" ht="24" customHeight="1">
      <c r="K2097" s="123" t="s">
        <v>52</v>
      </c>
    </row>
    <row r="2098" spans="6:18" ht="24" customHeight="1">
      <c r="H2098" s="120" t="s">
        <v>1913</v>
      </c>
      <c r="K2098" s="129">
        <f>SUM(K2093:K2096)</f>
        <v>454</v>
      </c>
      <c r="M2098" s="360"/>
      <c r="N2098" s="360"/>
      <c r="O2098" s="360" t="s">
        <v>4480</v>
      </c>
      <c r="P2098" s="360"/>
      <c r="Q2098" s="360"/>
      <c r="R2098" s="360"/>
    </row>
    <row r="2099" spans="6:18" ht="24" customHeight="1">
      <c r="K2099" s="123" t="s">
        <v>52</v>
      </c>
      <c r="M2099" s="389">
        <v>4.4999999999999998E-2</v>
      </c>
      <c r="N2099" s="360" t="s">
        <v>5</v>
      </c>
      <c r="O2099" s="360" t="s">
        <v>4483</v>
      </c>
      <c r="P2099" s="360">
        <f>P2093</f>
        <v>7965.45</v>
      </c>
      <c r="Q2099" s="360" t="s">
        <v>729</v>
      </c>
      <c r="R2099" s="360">
        <f>M2099*P2099</f>
        <v>358.45</v>
      </c>
    </row>
    <row r="2100" spans="6:18" ht="24" customHeight="1">
      <c r="M2100" s="360">
        <v>4.5</v>
      </c>
      <c r="N2100" s="360" t="s">
        <v>39</v>
      </c>
      <c r="O2100" s="360" t="s">
        <v>4482</v>
      </c>
      <c r="P2100" s="360">
        <f>P2094</f>
        <v>90.17</v>
      </c>
      <c r="Q2100" s="360" t="s">
        <v>39</v>
      </c>
      <c r="R2100" s="360">
        <f>M2100*P2100</f>
        <v>405.77</v>
      </c>
    </row>
    <row r="2101" spans="6:18" ht="24" customHeight="1">
      <c r="F2101" s="121" t="s">
        <v>1914</v>
      </c>
      <c r="G2101" s="126" t="s">
        <v>111</v>
      </c>
      <c r="H2101" s="120" t="s">
        <v>1915</v>
      </c>
      <c r="M2101" s="360"/>
      <c r="N2101" s="360"/>
      <c r="O2101" s="360" t="s">
        <v>1557</v>
      </c>
      <c r="P2101" s="360"/>
      <c r="Q2101" s="360"/>
      <c r="R2101" s="392" t="s">
        <v>52</v>
      </c>
    </row>
    <row r="2102" spans="6:18" ht="24" customHeight="1">
      <c r="H2102" s="120" t="s">
        <v>1916</v>
      </c>
      <c r="M2102" s="360"/>
      <c r="N2102" s="360"/>
      <c r="O2102" s="360"/>
      <c r="P2102" s="360"/>
      <c r="Q2102" s="360"/>
      <c r="R2102" s="360">
        <f>SUM(R2099:R2101)</f>
        <v>764.22</v>
      </c>
    </row>
    <row r="2103" spans="6:18" ht="24" customHeight="1">
      <c r="H2103" s="123" t="s">
        <v>52</v>
      </c>
    </row>
    <row r="2104" spans="6:18" ht="24" customHeight="1">
      <c r="F2104" s="129">
        <v>1</v>
      </c>
      <c r="G2104" s="126" t="s">
        <v>131</v>
      </c>
      <c r="H2104" s="120" t="s">
        <v>1916</v>
      </c>
      <c r="I2104" s="129">
        <f>(C266)</f>
        <v>170.35</v>
      </c>
      <c r="J2104" s="120" t="s">
        <v>131</v>
      </c>
      <c r="K2104" s="129">
        <f>(F2104*I2104)</f>
        <v>170.35</v>
      </c>
    </row>
    <row r="2105" spans="6:18" ht="24" customHeight="1">
      <c r="F2105" s="129">
        <v>0.05</v>
      </c>
      <c r="G2105" s="126" t="s">
        <v>132</v>
      </c>
      <c r="H2105" s="120" t="s">
        <v>1917</v>
      </c>
      <c r="I2105" s="129">
        <f>(R60)</f>
        <v>4182.9399999999996</v>
      </c>
      <c r="J2105" s="120" t="s">
        <v>132</v>
      </c>
      <c r="K2105" s="129">
        <f>(F2105*I2105)</f>
        <v>209.15</v>
      </c>
      <c r="M2105" s="360"/>
      <c r="N2105" s="360"/>
      <c r="O2105" s="360" t="s">
        <v>4484</v>
      </c>
      <c r="P2105" s="360"/>
      <c r="Q2105" s="360"/>
      <c r="R2105" s="360"/>
    </row>
    <row r="2106" spans="6:18" ht="24" customHeight="1">
      <c r="F2106" s="129">
        <v>0.5</v>
      </c>
      <c r="G2106" s="126" t="s">
        <v>131</v>
      </c>
      <c r="H2106" s="120" t="s">
        <v>1695</v>
      </c>
      <c r="I2106" s="129">
        <f>(C15)</f>
        <v>903.1</v>
      </c>
      <c r="J2106" s="120" t="s">
        <v>131</v>
      </c>
      <c r="K2106" s="129">
        <f>(F2106*I2106)</f>
        <v>451.55</v>
      </c>
      <c r="M2106" s="389">
        <v>8.5000000000000006E-2</v>
      </c>
      <c r="N2106" s="360" t="s">
        <v>5</v>
      </c>
      <c r="O2106" s="360" t="s">
        <v>4481</v>
      </c>
      <c r="P2106" s="360">
        <f>Z731</f>
        <v>0</v>
      </c>
      <c r="Q2106" s="360" t="s">
        <v>729</v>
      </c>
      <c r="R2106" s="360">
        <f>M2106*P2106</f>
        <v>0</v>
      </c>
    </row>
    <row r="2107" spans="6:18" ht="24" customHeight="1">
      <c r="F2107" s="129">
        <v>1</v>
      </c>
      <c r="G2107" s="126" t="s">
        <v>131</v>
      </c>
      <c r="H2107" s="120" t="s">
        <v>304</v>
      </c>
      <c r="I2107" s="129">
        <f>(C12)</f>
        <v>679.8</v>
      </c>
      <c r="J2107" s="120" t="s">
        <v>131</v>
      </c>
      <c r="K2107" s="129">
        <f>(F2107*I2107)</f>
        <v>679.8</v>
      </c>
      <c r="M2107" s="360">
        <v>8.5</v>
      </c>
      <c r="N2107" s="360" t="s">
        <v>39</v>
      </c>
      <c r="O2107" s="360" t="s">
        <v>4482</v>
      </c>
      <c r="P2107" s="360">
        <f>K1621/1000</f>
        <v>0</v>
      </c>
      <c r="Q2107" s="360" t="s">
        <v>39</v>
      </c>
      <c r="R2107" s="360">
        <f>M2107*P2107</f>
        <v>0</v>
      </c>
    </row>
    <row r="2108" spans="6:18" ht="24" customHeight="1">
      <c r="F2108" s="129">
        <v>1</v>
      </c>
      <c r="G2108" s="126" t="s">
        <v>131</v>
      </c>
      <c r="H2108" s="120" t="s">
        <v>306</v>
      </c>
      <c r="I2108" s="129">
        <f>(C13)</f>
        <v>557.70000000000005</v>
      </c>
      <c r="J2108" s="120" t="s">
        <v>131</v>
      </c>
      <c r="K2108" s="129">
        <f>(F2108*I2108)</f>
        <v>557.70000000000005</v>
      </c>
      <c r="M2108" s="360"/>
      <c r="N2108" s="360"/>
      <c r="O2108" s="360" t="s">
        <v>1557</v>
      </c>
      <c r="P2108" s="360"/>
      <c r="Q2108" s="360"/>
      <c r="R2108" s="392" t="s">
        <v>52</v>
      </c>
    </row>
    <row r="2109" spans="6:18" ht="24" customHeight="1">
      <c r="G2109" s="126" t="s">
        <v>145</v>
      </c>
      <c r="H2109" s="120" t="s">
        <v>146</v>
      </c>
      <c r="I2109" s="120" t="s">
        <v>85</v>
      </c>
      <c r="J2109" s="120" t="s">
        <v>145</v>
      </c>
      <c r="K2109" s="129">
        <v>0.54</v>
      </c>
      <c r="M2109" s="360"/>
      <c r="N2109" s="360"/>
      <c r="O2109" s="360"/>
      <c r="P2109" s="360"/>
      <c r="Q2109" s="360"/>
      <c r="R2109" s="360">
        <f>SUM(R2106:R2108)</f>
        <v>0</v>
      </c>
    </row>
    <row r="2110" spans="6:18" ht="24" customHeight="1">
      <c r="H2110" s="120" t="s">
        <v>85</v>
      </c>
      <c r="K2110" s="123" t="s">
        <v>52</v>
      </c>
    </row>
    <row r="2111" spans="6:18" ht="24" customHeight="1">
      <c r="H2111" s="120" t="s">
        <v>767</v>
      </c>
      <c r="K2111" s="129">
        <f>SUM(K2104:K2109)</f>
        <v>2069.09</v>
      </c>
    </row>
    <row r="2112" spans="6:18" ht="24" customHeight="1">
      <c r="K2112" s="123" t="s">
        <v>89</v>
      </c>
    </row>
    <row r="2113" spans="6:11" ht="24" customHeight="1">
      <c r="F2113" s="121" t="s">
        <v>1918</v>
      </c>
      <c r="G2113" s="126" t="s">
        <v>111</v>
      </c>
      <c r="H2113" s="120" t="s">
        <v>1919</v>
      </c>
    </row>
    <row r="2114" spans="6:11" ht="24" customHeight="1">
      <c r="H2114" s="120" t="s">
        <v>4485</v>
      </c>
    </row>
    <row r="2115" spans="6:11" ht="24" customHeight="1">
      <c r="H2115" s="123" t="s">
        <v>52</v>
      </c>
    </row>
    <row r="2116" spans="6:11" ht="24" customHeight="1">
      <c r="F2116" s="129">
        <v>1</v>
      </c>
      <c r="G2116" s="126" t="s">
        <v>131</v>
      </c>
      <c r="H2116" s="120" t="s">
        <v>1921</v>
      </c>
      <c r="I2116" s="129">
        <f>(D267)</f>
        <v>156</v>
      </c>
      <c r="J2116" s="120" t="s">
        <v>131</v>
      </c>
      <c r="K2116" s="129">
        <f>(F2116*I2116)</f>
        <v>156</v>
      </c>
    </row>
    <row r="2117" spans="6:11" ht="24" customHeight="1">
      <c r="G2117" s="126" t="s">
        <v>145</v>
      </c>
      <c r="H2117" s="120" t="s">
        <v>1922</v>
      </c>
      <c r="J2117" s="120" t="s">
        <v>145</v>
      </c>
      <c r="K2117" s="129">
        <v>4</v>
      </c>
    </row>
    <row r="2118" spans="6:11" ht="24" customHeight="1">
      <c r="J2118" s="120" t="s">
        <v>85</v>
      </c>
      <c r="K2118" s="123" t="s">
        <v>52</v>
      </c>
    </row>
    <row r="2119" spans="6:11" ht="24" customHeight="1">
      <c r="H2119" s="120" t="s">
        <v>767</v>
      </c>
      <c r="K2119" s="129">
        <f>SUM(K2116:K2118)</f>
        <v>160</v>
      </c>
    </row>
    <row r="2120" spans="6:11" ht="24" customHeight="1">
      <c r="K2120" s="123" t="s">
        <v>52</v>
      </c>
    </row>
    <row r="2121" spans="6:11" ht="24" customHeight="1">
      <c r="F2121" s="121" t="s">
        <v>1923</v>
      </c>
      <c r="G2121" s="126" t="s">
        <v>111</v>
      </c>
      <c r="H2121" s="120" t="s">
        <v>1924</v>
      </c>
    </row>
    <row r="2122" spans="6:11" ht="24" customHeight="1">
      <c r="H2122" s="120" t="s">
        <v>1925</v>
      </c>
    </row>
    <row r="2123" spans="6:11" ht="24" customHeight="1">
      <c r="H2123" s="123" t="s">
        <v>52</v>
      </c>
    </row>
    <row r="2124" spans="6:11" ht="24" customHeight="1">
      <c r="F2124" s="129">
        <v>50</v>
      </c>
      <c r="G2124" s="126" t="s">
        <v>131</v>
      </c>
      <c r="H2124" s="120" t="s">
        <v>1926</v>
      </c>
      <c r="I2124" s="129">
        <f>C204</f>
        <v>63.4</v>
      </c>
      <c r="J2124" s="120" t="s">
        <v>131</v>
      </c>
      <c r="K2124" s="129">
        <f t="shared" ref="K2124:K2133" si="235">(F2124*I2124)</f>
        <v>3170</v>
      </c>
    </row>
    <row r="2125" spans="6:11" ht="24" customHeight="1">
      <c r="F2125" s="129">
        <v>21.6</v>
      </c>
      <c r="G2125" s="126" t="s">
        <v>132</v>
      </c>
      <c r="H2125" s="120" t="s">
        <v>1927</v>
      </c>
      <c r="I2125" s="129">
        <f>(C61*2)</f>
        <v>233.76</v>
      </c>
      <c r="J2125" s="120" t="s">
        <v>132</v>
      </c>
      <c r="K2125" s="129">
        <f t="shared" si="235"/>
        <v>5049.22</v>
      </c>
    </row>
    <row r="2126" spans="6:11" ht="24" customHeight="1">
      <c r="F2126" s="129">
        <v>21.6</v>
      </c>
      <c r="G2126" s="126" t="s">
        <v>132</v>
      </c>
      <c r="H2126" s="120" t="s">
        <v>1860</v>
      </c>
      <c r="I2126" s="129">
        <f>(C26)</f>
        <v>40.65</v>
      </c>
      <c r="J2126" s="120" t="s">
        <v>132</v>
      </c>
      <c r="K2126" s="129">
        <f t="shared" si="235"/>
        <v>878.04</v>
      </c>
    </row>
    <row r="2127" spans="6:11" ht="24" customHeight="1">
      <c r="F2127" s="129">
        <v>45</v>
      </c>
      <c r="G2127" s="126" t="s">
        <v>39</v>
      </c>
      <c r="H2127" s="120" t="s">
        <v>123</v>
      </c>
      <c r="I2127" s="129">
        <f>(C67/1000)</f>
        <v>6.04</v>
      </c>
      <c r="J2127" s="120" t="s">
        <v>39</v>
      </c>
      <c r="K2127" s="129">
        <f t="shared" si="235"/>
        <v>271.8</v>
      </c>
    </row>
    <row r="2128" spans="6:11" ht="24" customHeight="1">
      <c r="F2128" s="129">
        <v>0.04</v>
      </c>
      <c r="G2128" s="126" t="s">
        <v>132</v>
      </c>
      <c r="H2128" s="120" t="s">
        <v>133</v>
      </c>
      <c r="I2128" s="129">
        <f>(C78)</f>
        <v>1642.42</v>
      </c>
      <c r="J2128" s="120" t="s">
        <v>132</v>
      </c>
      <c r="K2128" s="129">
        <f t="shared" si="235"/>
        <v>65.7</v>
      </c>
    </row>
    <row r="2129" spans="6:11" ht="24" customHeight="1">
      <c r="F2129" s="129">
        <v>3.63</v>
      </c>
      <c r="G2129" s="126" t="s">
        <v>39</v>
      </c>
      <c r="H2129" s="120" t="s">
        <v>1928</v>
      </c>
      <c r="I2129" s="129">
        <f>(C607)</f>
        <v>11.8</v>
      </c>
      <c r="J2129" s="120" t="s">
        <v>39</v>
      </c>
      <c r="K2129" s="129">
        <f t="shared" si="235"/>
        <v>42.83</v>
      </c>
    </row>
    <row r="2130" spans="6:11" ht="24" customHeight="1">
      <c r="F2130" s="129">
        <v>2</v>
      </c>
      <c r="G2130" s="126" t="s">
        <v>131</v>
      </c>
      <c r="H2130" s="120" t="s">
        <v>345</v>
      </c>
      <c r="I2130" s="129">
        <f>(C10)</f>
        <v>1041.7</v>
      </c>
      <c r="J2130" s="120" t="s">
        <v>131</v>
      </c>
      <c r="K2130" s="129">
        <f t="shared" si="235"/>
        <v>2083.4</v>
      </c>
    </row>
    <row r="2131" spans="6:11" ht="24" customHeight="1">
      <c r="F2131" s="129">
        <v>1</v>
      </c>
      <c r="G2131" s="126" t="s">
        <v>131</v>
      </c>
      <c r="H2131" s="120" t="s">
        <v>1929</v>
      </c>
      <c r="I2131" s="129">
        <f>AE37</f>
        <v>875.6</v>
      </c>
      <c r="J2131" s="120" t="s">
        <v>131</v>
      </c>
      <c r="K2131" s="129">
        <f t="shared" si="235"/>
        <v>875.6</v>
      </c>
    </row>
    <row r="2132" spans="6:11" ht="24" customHeight="1">
      <c r="F2132" s="129">
        <v>5</v>
      </c>
      <c r="G2132" s="126" t="s">
        <v>131</v>
      </c>
      <c r="H2132" s="120" t="s">
        <v>304</v>
      </c>
      <c r="I2132" s="129">
        <f>(C12)</f>
        <v>679.8</v>
      </c>
      <c r="J2132" s="120" t="s">
        <v>131</v>
      </c>
      <c r="K2132" s="129">
        <f t="shared" si="235"/>
        <v>3399</v>
      </c>
    </row>
    <row r="2133" spans="6:11" ht="24" customHeight="1">
      <c r="F2133" s="129">
        <v>2</v>
      </c>
      <c r="G2133" s="126" t="s">
        <v>131</v>
      </c>
      <c r="H2133" s="120" t="s">
        <v>306</v>
      </c>
      <c r="I2133" s="129">
        <f>(C13)</f>
        <v>557.70000000000005</v>
      </c>
      <c r="J2133" s="120" t="s">
        <v>131</v>
      </c>
      <c r="K2133" s="129">
        <f t="shared" si="235"/>
        <v>1115.4000000000001</v>
      </c>
    </row>
    <row r="2134" spans="6:11" ht="24" customHeight="1">
      <c r="G2134" s="126" t="s">
        <v>145</v>
      </c>
      <c r="H2134" s="120" t="s">
        <v>1930</v>
      </c>
      <c r="J2134" s="120" t="s">
        <v>145</v>
      </c>
      <c r="K2134" s="129">
        <f>SUM(K2130:K2133)/10+7.5</f>
        <v>754.84</v>
      </c>
    </row>
    <row r="2135" spans="6:11" ht="24" customHeight="1">
      <c r="K2135" s="123" t="s">
        <v>52</v>
      </c>
    </row>
    <row r="2136" spans="6:11" ht="24" customHeight="1">
      <c r="H2136" s="120" t="s">
        <v>1931</v>
      </c>
      <c r="K2136" s="129">
        <f>SUM(K2124:K2134)</f>
        <v>17705.830000000002</v>
      </c>
    </row>
    <row r="2137" spans="6:11" ht="24" customHeight="1">
      <c r="K2137" s="123" t="s">
        <v>52</v>
      </c>
    </row>
    <row r="2138" spans="6:11" ht="24" customHeight="1">
      <c r="H2138" s="120" t="s">
        <v>1932</v>
      </c>
      <c r="K2138" s="129">
        <f>(K2136/30)</f>
        <v>590.19000000000005</v>
      </c>
    </row>
    <row r="2139" spans="6:11" ht="24" customHeight="1">
      <c r="K2139" s="123" t="s">
        <v>89</v>
      </c>
    </row>
    <row r="2141" spans="6:11" ht="24" customHeight="1">
      <c r="F2141" s="121" t="s">
        <v>1933</v>
      </c>
      <c r="G2141" s="126" t="s">
        <v>111</v>
      </c>
      <c r="H2141" s="120" t="s">
        <v>1934</v>
      </c>
    </row>
    <row r="2142" spans="6:11" ht="24" customHeight="1">
      <c r="H2142" s="120" t="s">
        <v>1925</v>
      </c>
    </row>
    <row r="2143" spans="6:11" ht="24" customHeight="1">
      <c r="H2143" s="123" t="s">
        <v>52</v>
      </c>
    </row>
    <row r="2144" spans="6:11" ht="24" customHeight="1">
      <c r="F2144" s="129">
        <v>50</v>
      </c>
      <c r="G2144" s="126" t="s">
        <v>131</v>
      </c>
      <c r="H2144" s="120" t="s">
        <v>1935</v>
      </c>
      <c r="I2144" s="129">
        <f>C205</f>
        <v>102</v>
      </c>
      <c r="J2144" s="120" t="s">
        <v>131</v>
      </c>
      <c r="K2144" s="129">
        <f t="shared" ref="K2144:K2153" si="236">(F2144*I2144)</f>
        <v>5100</v>
      </c>
    </row>
    <row r="2145" spans="6:18" ht="24" customHeight="1">
      <c r="F2145" s="129">
        <v>21.6</v>
      </c>
      <c r="G2145" s="126" t="s">
        <v>132</v>
      </c>
      <c r="H2145" s="120" t="s">
        <v>1927</v>
      </c>
      <c r="I2145" s="129">
        <f>(C61*2)</f>
        <v>233.76</v>
      </c>
      <c r="J2145" s="120" t="s">
        <v>132</v>
      </c>
      <c r="K2145" s="129">
        <f t="shared" si="236"/>
        <v>5049.22</v>
      </c>
    </row>
    <row r="2146" spans="6:18" ht="24" customHeight="1">
      <c r="F2146" s="129">
        <v>21.6</v>
      </c>
      <c r="G2146" s="126" t="s">
        <v>132</v>
      </c>
      <c r="H2146" s="120" t="s">
        <v>1860</v>
      </c>
      <c r="I2146" s="129">
        <f>(C26)</f>
        <v>40.65</v>
      </c>
      <c r="J2146" s="120" t="s">
        <v>132</v>
      </c>
      <c r="K2146" s="129">
        <f t="shared" si="236"/>
        <v>878.04</v>
      </c>
    </row>
    <row r="2147" spans="6:18" ht="24" customHeight="1">
      <c r="F2147" s="129">
        <v>68</v>
      </c>
      <c r="G2147" s="126" t="s">
        <v>39</v>
      </c>
      <c r="H2147" s="120" t="s">
        <v>123</v>
      </c>
      <c r="I2147" s="129">
        <f>(C67/1000)</f>
        <v>6.04</v>
      </c>
      <c r="J2147" s="120" t="s">
        <v>39</v>
      </c>
      <c r="K2147" s="129">
        <f t="shared" si="236"/>
        <v>410.72</v>
      </c>
    </row>
    <row r="2148" spans="6:18" ht="24" customHeight="1">
      <c r="F2148" s="129">
        <v>7.0000000000000007E-2</v>
      </c>
      <c r="G2148" s="126" t="s">
        <v>132</v>
      </c>
      <c r="H2148" s="120" t="s">
        <v>133</v>
      </c>
      <c r="I2148" s="129">
        <f>(C78)</f>
        <v>1642.42</v>
      </c>
      <c r="J2148" s="120" t="s">
        <v>132</v>
      </c>
      <c r="K2148" s="129">
        <f t="shared" si="236"/>
        <v>114.97</v>
      </c>
      <c r="M2148" s="121" t="s">
        <v>1933</v>
      </c>
      <c r="N2148" s="126" t="s">
        <v>111</v>
      </c>
      <c r="O2148" s="120" t="s">
        <v>4486</v>
      </c>
      <c r="Q2148" s="117"/>
    </row>
    <row r="2149" spans="6:18" ht="24" customHeight="1">
      <c r="F2149" s="129">
        <v>5.45</v>
      </c>
      <c r="G2149" s="126" t="s">
        <v>39</v>
      </c>
      <c r="H2149" s="120" t="s">
        <v>1928</v>
      </c>
      <c r="I2149" s="129">
        <f>(C607)</f>
        <v>11.8</v>
      </c>
      <c r="J2149" s="120" t="s">
        <v>39</v>
      </c>
      <c r="K2149" s="129">
        <f t="shared" si="236"/>
        <v>64.31</v>
      </c>
      <c r="N2149" s="116"/>
      <c r="O2149" s="120" t="s">
        <v>1925</v>
      </c>
      <c r="Q2149" s="117"/>
    </row>
    <row r="2150" spans="6:18" ht="24" customHeight="1">
      <c r="F2150" s="129">
        <v>3</v>
      </c>
      <c r="G2150" s="126" t="s">
        <v>131</v>
      </c>
      <c r="H2150" s="120" t="s">
        <v>345</v>
      </c>
      <c r="I2150" s="129">
        <f>(C10)</f>
        <v>1041.7</v>
      </c>
      <c r="J2150" s="120" t="s">
        <v>131</v>
      </c>
      <c r="K2150" s="129">
        <f t="shared" si="236"/>
        <v>3125.1</v>
      </c>
      <c r="N2150" s="116"/>
      <c r="O2150" s="123" t="s">
        <v>52</v>
      </c>
      <c r="Q2150" s="117"/>
    </row>
    <row r="2151" spans="6:18" ht="39" customHeight="1">
      <c r="F2151" s="129">
        <v>2</v>
      </c>
      <c r="G2151" s="126" t="s">
        <v>131</v>
      </c>
      <c r="H2151" s="120" t="s">
        <v>1929</v>
      </c>
      <c r="I2151" s="129">
        <f>AE37</f>
        <v>875.6</v>
      </c>
      <c r="J2151" s="120" t="s">
        <v>131</v>
      </c>
      <c r="K2151" s="129">
        <f t="shared" si="236"/>
        <v>1751.2</v>
      </c>
      <c r="M2151" s="129">
        <v>50</v>
      </c>
      <c r="N2151" s="126" t="s">
        <v>131</v>
      </c>
      <c r="O2151" s="176" t="s">
        <v>4487</v>
      </c>
      <c r="P2151" s="393">
        <v>455</v>
      </c>
      <c r="Q2151" s="120" t="s">
        <v>131</v>
      </c>
      <c r="R2151" s="129">
        <f t="shared" ref="R2151:R2160" si="237">(M2151*P2151)</f>
        <v>22750</v>
      </c>
    </row>
    <row r="2152" spans="6:18" ht="24" customHeight="1">
      <c r="F2152" s="129">
        <v>6</v>
      </c>
      <c r="G2152" s="126" t="s">
        <v>131</v>
      </c>
      <c r="H2152" s="120" t="s">
        <v>304</v>
      </c>
      <c r="I2152" s="129">
        <f>(C12)</f>
        <v>679.8</v>
      </c>
      <c r="J2152" s="120" t="s">
        <v>131</v>
      </c>
      <c r="K2152" s="129">
        <f t="shared" si="236"/>
        <v>4078.8</v>
      </c>
      <c r="M2152" s="129">
        <v>21.6</v>
      </c>
      <c r="N2152" s="126" t="s">
        <v>132</v>
      </c>
      <c r="O2152" s="120" t="s">
        <v>1927</v>
      </c>
      <c r="P2152" s="129">
        <f>I2145</f>
        <v>233.76</v>
      </c>
      <c r="Q2152" s="120" t="s">
        <v>132</v>
      </c>
      <c r="R2152" s="129">
        <f t="shared" si="237"/>
        <v>5049.22</v>
      </c>
    </row>
    <row r="2153" spans="6:18" ht="24" customHeight="1">
      <c r="F2153" s="129">
        <v>3</v>
      </c>
      <c r="G2153" s="126" t="s">
        <v>131</v>
      </c>
      <c r="H2153" s="120" t="s">
        <v>306</v>
      </c>
      <c r="I2153" s="129">
        <f>(C13)</f>
        <v>557.70000000000005</v>
      </c>
      <c r="J2153" s="120" t="s">
        <v>131</v>
      </c>
      <c r="K2153" s="129">
        <f t="shared" si="236"/>
        <v>1673.1</v>
      </c>
      <c r="M2153" s="129">
        <v>21.6</v>
      </c>
      <c r="N2153" s="126" t="s">
        <v>132</v>
      </c>
      <c r="O2153" s="120" t="s">
        <v>1860</v>
      </c>
      <c r="P2153" s="129">
        <f t="shared" ref="P2153:P2160" si="238">I2146</f>
        <v>40.65</v>
      </c>
      <c r="Q2153" s="120" t="s">
        <v>132</v>
      </c>
      <c r="R2153" s="129">
        <f t="shared" si="237"/>
        <v>878.04</v>
      </c>
    </row>
    <row r="2154" spans="6:18" ht="24" customHeight="1">
      <c r="G2154" s="126" t="s">
        <v>145</v>
      </c>
      <c r="H2154" s="120" t="s">
        <v>1930</v>
      </c>
      <c r="J2154" s="120" t="s">
        <v>145</v>
      </c>
      <c r="K2154" s="129">
        <f>SUM(K2150:K2153)/10+4.8</f>
        <v>1067.6199999999999</v>
      </c>
      <c r="M2154" s="129">
        <v>115</v>
      </c>
      <c r="N2154" s="126" t="s">
        <v>39</v>
      </c>
      <c r="O2154" s="120" t="s">
        <v>123</v>
      </c>
      <c r="P2154" s="129">
        <f t="shared" si="238"/>
        <v>6.04</v>
      </c>
      <c r="Q2154" s="120" t="s">
        <v>39</v>
      </c>
      <c r="R2154" s="129">
        <f t="shared" si="237"/>
        <v>694.6</v>
      </c>
    </row>
    <row r="2155" spans="6:18" ht="24" customHeight="1">
      <c r="K2155" s="123" t="s">
        <v>52</v>
      </c>
      <c r="M2155" s="129">
        <v>0.11</v>
      </c>
      <c r="N2155" s="126" t="s">
        <v>132</v>
      </c>
      <c r="O2155" s="120" t="s">
        <v>133</v>
      </c>
      <c r="P2155" s="129">
        <f t="shared" si="238"/>
        <v>1642.42</v>
      </c>
      <c r="Q2155" s="120" t="s">
        <v>132</v>
      </c>
      <c r="R2155" s="129">
        <f t="shared" si="237"/>
        <v>180.67</v>
      </c>
    </row>
    <row r="2156" spans="6:18" ht="24" customHeight="1">
      <c r="H2156" s="120" t="s">
        <v>1931</v>
      </c>
      <c r="K2156" s="129">
        <f>SUM(K2144:K2154)</f>
        <v>23313.08</v>
      </c>
      <c r="M2156" s="129">
        <v>8.35</v>
      </c>
      <c r="N2156" s="126" t="s">
        <v>39</v>
      </c>
      <c r="O2156" s="120" t="s">
        <v>1928</v>
      </c>
      <c r="P2156" s="129">
        <f t="shared" si="238"/>
        <v>11.8</v>
      </c>
      <c r="Q2156" s="120" t="s">
        <v>39</v>
      </c>
      <c r="R2156" s="129">
        <f t="shared" si="237"/>
        <v>98.53</v>
      </c>
    </row>
    <row r="2157" spans="6:18" ht="24" customHeight="1">
      <c r="K2157" s="123" t="s">
        <v>52</v>
      </c>
      <c r="M2157" s="129">
        <v>5</v>
      </c>
      <c r="N2157" s="126" t="s">
        <v>131</v>
      </c>
      <c r="O2157" s="120" t="s">
        <v>345</v>
      </c>
      <c r="P2157" s="129">
        <f t="shared" si="238"/>
        <v>1041.7</v>
      </c>
      <c r="Q2157" s="120" t="s">
        <v>131</v>
      </c>
      <c r="R2157" s="129">
        <f t="shared" si="237"/>
        <v>5208.5</v>
      </c>
    </row>
    <row r="2158" spans="6:18" ht="24" customHeight="1">
      <c r="H2158" s="120" t="s">
        <v>1932</v>
      </c>
      <c r="K2158" s="129">
        <f>(K2156/30)</f>
        <v>777.1</v>
      </c>
      <c r="M2158" s="129">
        <v>3</v>
      </c>
      <c r="N2158" s="126" t="s">
        <v>131</v>
      </c>
      <c r="O2158" s="120" t="s">
        <v>1929</v>
      </c>
      <c r="P2158" s="129">
        <f t="shared" si="238"/>
        <v>875.6</v>
      </c>
      <c r="Q2158" s="120" t="s">
        <v>131</v>
      </c>
      <c r="R2158" s="129">
        <f t="shared" si="237"/>
        <v>2626.8</v>
      </c>
    </row>
    <row r="2159" spans="6:18" ht="24" customHeight="1">
      <c r="K2159" s="123" t="s">
        <v>89</v>
      </c>
      <c r="M2159" s="129">
        <v>7</v>
      </c>
      <c r="N2159" s="126" t="s">
        <v>131</v>
      </c>
      <c r="O2159" s="120" t="s">
        <v>304</v>
      </c>
      <c r="P2159" s="129">
        <f t="shared" si="238"/>
        <v>679.8</v>
      </c>
      <c r="Q2159" s="120" t="s">
        <v>131</v>
      </c>
      <c r="R2159" s="129">
        <f t="shared" si="237"/>
        <v>4758.6000000000004</v>
      </c>
    </row>
    <row r="2160" spans="6:18" ht="24" customHeight="1">
      <c r="F2160" s="121" t="s">
        <v>1936</v>
      </c>
      <c r="G2160" s="126" t="s">
        <v>111</v>
      </c>
      <c r="H2160" s="120" t="s">
        <v>1924</v>
      </c>
      <c r="M2160" s="129">
        <v>5</v>
      </c>
      <c r="N2160" s="126" t="s">
        <v>131</v>
      </c>
      <c r="O2160" s="120" t="s">
        <v>306</v>
      </c>
      <c r="P2160" s="129">
        <f t="shared" si="238"/>
        <v>557.70000000000005</v>
      </c>
      <c r="Q2160" s="120" t="s">
        <v>131</v>
      </c>
      <c r="R2160" s="129">
        <f t="shared" si="237"/>
        <v>2788.5</v>
      </c>
    </row>
    <row r="2161" spans="6:18" ht="24" customHeight="1">
      <c r="H2161" s="120" t="s">
        <v>1937</v>
      </c>
      <c r="N2161" s="126" t="s">
        <v>145</v>
      </c>
      <c r="O2161" s="120" t="s">
        <v>1930</v>
      </c>
      <c r="Q2161" s="120" t="s">
        <v>145</v>
      </c>
      <c r="R2161" s="129">
        <v>234</v>
      </c>
    </row>
    <row r="2162" spans="6:18" ht="24" customHeight="1">
      <c r="H2162" s="123" t="s">
        <v>52</v>
      </c>
      <c r="N2162" s="116"/>
      <c r="Q2162" s="117"/>
      <c r="R2162" s="123" t="s">
        <v>52</v>
      </c>
    </row>
    <row r="2163" spans="6:18" ht="24" customHeight="1">
      <c r="F2163" s="129">
        <v>50</v>
      </c>
      <c r="G2163" s="126" t="s">
        <v>131</v>
      </c>
      <c r="H2163" s="120" t="s">
        <v>1938</v>
      </c>
      <c r="I2163" s="129">
        <f>C204</f>
        <v>63.4</v>
      </c>
      <c r="J2163" s="120" t="s">
        <v>131</v>
      </c>
      <c r="K2163" s="129">
        <f>(F2163*I2163)</f>
        <v>3170</v>
      </c>
      <c r="N2163" s="116"/>
      <c r="O2163" s="120" t="s">
        <v>1931</v>
      </c>
      <c r="Q2163" s="117"/>
      <c r="R2163" s="129">
        <f>SUM(R2151:R2161)</f>
        <v>45267.46</v>
      </c>
    </row>
    <row r="2164" spans="6:18" ht="24" customHeight="1">
      <c r="F2164" s="129">
        <v>1</v>
      </c>
      <c r="G2164" s="126" t="s">
        <v>131</v>
      </c>
      <c r="H2164" s="120" t="s">
        <v>1929</v>
      </c>
      <c r="I2164" s="129">
        <f>AE37</f>
        <v>875.6</v>
      </c>
      <c r="J2164" s="120" t="s">
        <v>131</v>
      </c>
      <c r="K2164" s="129">
        <f>(F2164*I2164)</f>
        <v>875.6</v>
      </c>
      <c r="N2164" s="116"/>
      <c r="Q2164" s="117"/>
      <c r="R2164" s="123" t="s">
        <v>52</v>
      </c>
    </row>
    <row r="2165" spans="6:18" ht="24" customHeight="1">
      <c r="F2165" s="129">
        <v>5</v>
      </c>
      <c r="G2165" s="126" t="s">
        <v>131</v>
      </c>
      <c r="H2165" s="120" t="s">
        <v>304</v>
      </c>
      <c r="I2165" s="129">
        <f>C12</f>
        <v>679.8</v>
      </c>
      <c r="J2165" s="120" t="s">
        <v>131</v>
      </c>
      <c r="K2165" s="129">
        <f>(F2165*I2165)</f>
        <v>3399</v>
      </c>
      <c r="N2165" s="116"/>
      <c r="O2165" s="120" t="s">
        <v>1932</v>
      </c>
      <c r="Q2165" s="117"/>
      <c r="R2165" s="129">
        <f>(R2163/30)</f>
        <v>1508.92</v>
      </c>
    </row>
    <row r="2166" spans="6:18" ht="24" customHeight="1">
      <c r="H2166" s="120" t="s">
        <v>1557</v>
      </c>
      <c r="K2166" s="240">
        <v>1.8</v>
      </c>
      <c r="N2166" s="116"/>
      <c r="Q2166" s="117"/>
      <c r="R2166" s="123" t="s">
        <v>89</v>
      </c>
    </row>
    <row r="2167" spans="6:18" ht="24" customHeight="1">
      <c r="H2167" s="120" t="s">
        <v>1931</v>
      </c>
      <c r="K2167" s="129">
        <f>SUM(K2163:K2166)</f>
        <v>7446.4</v>
      </c>
    </row>
    <row r="2168" spans="6:18" ht="24" customHeight="1">
      <c r="F2168" s="120" t="s">
        <v>85</v>
      </c>
      <c r="K2168" s="123" t="s">
        <v>52</v>
      </c>
    </row>
    <row r="2169" spans="6:18" ht="24" customHeight="1">
      <c r="H2169" s="120" t="s">
        <v>1932</v>
      </c>
      <c r="K2169" s="129">
        <f>(K2167/30)</f>
        <v>248.21</v>
      </c>
    </row>
    <row r="2170" spans="6:18" ht="24" customHeight="1">
      <c r="F2170" s="120" t="s">
        <v>85</v>
      </c>
    </row>
    <row r="2171" spans="6:18" ht="24" customHeight="1">
      <c r="F2171" s="120" t="s">
        <v>85</v>
      </c>
    </row>
    <row r="2172" spans="6:18" ht="24" customHeight="1">
      <c r="K2172" s="123" t="s">
        <v>89</v>
      </c>
    </row>
    <row r="2173" spans="6:18" ht="24" customHeight="1">
      <c r="F2173" s="121" t="s">
        <v>1933</v>
      </c>
      <c r="G2173" s="126" t="s">
        <v>111</v>
      </c>
      <c r="H2173" s="120" t="s">
        <v>1934</v>
      </c>
    </row>
    <row r="2174" spans="6:18" ht="24" customHeight="1">
      <c r="H2174" s="129" t="str">
        <f>H2161</f>
        <v>DIA S.W.PIPE(LOOSE JOINTING)</v>
      </c>
    </row>
    <row r="2175" spans="6:18" ht="24" customHeight="1">
      <c r="H2175" s="123" t="s">
        <v>52</v>
      </c>
    </row>
    <row r="2176" spans="6:18" ht="24" customHeight="1">
      <c r="F2176" s="129">
        <v>50</v>
      </c>
      <c r="G2176" s="126" t="s">
        <v>131</v>
      </c>
      <c r="H2176" s="120" t="s">
        <v>1939</v>
      </c>
      <c r="I2176" s="129">
        <f>C205</f>
        <v>102</v>
      </c>
      <c r="J2176" s="120" t="s">
        <v>131</v>
      </c>
      <c r="K2176" s="129">
        <f>(F2176*I2176)</f>
        <v>5100</v>
      </c>
    </row>
    <row r="2177" spans="6:11" ht="24" customHeight="1">
      <c r="F2177" s="129">
        <v>2</v>
      </c>
      <c r="G2177" s="126" t="s">
        <v>131</v>
      </c>
      <c r="H2177" s="120" t="s">
        <v>1929</v>
      </c>
      <c r="I2177" s="129">
        <f>AE37</f>
        <v>875.6</v>
      </c>
      <c r="J2177" s="120" t="s">
        <v>131</v>
      </c>
      <c r="K2177" s="129">
        <f>(F2177*I2177)</f>
        <v>1751.2</v>
      </c>
    </row>
    <row r="2178" spans="6:11" ht="24" customHeight="1">
      <c r="F2178" s="129">
        <v>6</v>
      </c>
      <c r="G2178" s="126" t="s">
        <v>131</v>
      </c>
      <c r="H2178" s="120" t="s">
        <v>304</v>
      </c>
      <c r="I2178" s="129">
        <f>C12</f>
        <v>679.8</v>
      </c>
      <c r="J2178" s="120" t="s">
        <v>131</v>
      </c>
      <c r="K2178" s="129">
        <f>(F2178*I2178)</f>
        <v>4078.8</v>
      </c>
    </row>
    <row r="2179" spans="6:11" ht="24" customHeight="1">
      <c r="H2179" s="120" t="s">
        <v>1557</v>
      </c>
      <c r="K2179" s="240">
        <v>0.6</v>
      </c>
    </row>
    <row r="2180" spans="6:11" ht="24" customHeight="1">
      <c r="H2180" s="120" t="s">
        <v>1931</v>
      </c>
      <c r="K2180" s="129">
        <f>SUM(K2176:K2179)</f>
        <v>10930.6</v>
      </c>
    </row>
    <row r="2181" spans="6:11" ht="24" customHeight="1">
      <c r="K2181" s="123" t="s">
        <v>52</v>
      </c>
    </row>
    <row r="2182" spans="6:11" ht="24" customHeight="1">
      <c r="H2182" s="120" t="s">
        <v>1932</v>
      </c>
      <c r="K2182" s="129">
        <f>(K2180/30)</f>
        <v>364.35</v>
      </c>
    </row>
    <row r="2183" spans="6:11" ht="24" customHeight="1">
      <c r="K2183" s="123" t="s">
        <v>89</v>
      </c>
    </row>
    <row r="2184" spans="6:11" ht="24" customHeight="1">
      <c r="H2184" s="121" t="s">
        <v>1940</v>
      </c>
      <c r="K2184" s="129">
        <f>SUM(K2181:K2182)</f>
        <v>364.35</v>
      </c>
    </row>
    <row r="2185" spans="6:11" ht="24" customHeight="1">
      <c r="K2185" s="123" t="s">
        <v>89</v>
      </c>
    </row>
    <row r="2186" spans="6:11" ht="24" customHeight="1">
      <c r="F2186" s="121" t="s">
        <v>1941</v>
      </c>
      <c r="G2186" s="126" t="s">
        <v>111</v>
      </c>
      <c r="H2186" s="120" t="s">
        <v>1924</v>
      </c>
    </row>
    <row r="2187" spans="6:11" ht="24" customHeight="1">
      <c r="H2187" s="120" t="s">
        <v>1942</v>
      </c>
    </row>
    <row r="2188" spans="6:11" ht="24" customHeight="1">
      <c r="H2188" s="123" t="s">
        <v>52</v>
      </c>
    </row>
    <row r="2189" spans="6:11" ht="24" customHeight="1">
      <c r="F2189" s="129">
        <v>1</v>
      </c>
      <c r="G2189" s="126" t="s">
        <v>131</v>
      </c>
      <c r="H2189" s="120" t="s">
        <v>1943</v>
      </c>
      <c r="I2189" s="129">
        <f>C206</f>
        <v>101.6</v>
      </c>
      <c r="J2189" s="120" t="s">
        <v>131</v>
      </c>
      <c r="K2189" s="129">
        <f>(F2189*I2189)</f>
        <v>101.6</v>
      </c>
    </row>
    <row r="2190" spans="6:11" ht="24" customHeight="1">
      <c r="F2190" s="120" t="s">
        <v>85</v>
      </c>
      <c r="H2190" s="120" t="s">
        <v>1944</v>
      </c>
    </row>
    <row r="2191" spans="6:11" ht="24" customHeight="1">
      <c r="F2191" s="120" t="s">
        <v>85</v>
      </c>
      <c r="H2191" s="120" t="s">
        <v>1945</v>
      </c>
      <c r="I2191" s="121" t="s">
        <v>145</v>
      </c>
      <c r="K2191" s="129">
        <v>2.5</v>
      </c>
    </row>
    <row r="2192" spans="6:11" ht="24" customHeight="1">
      <c r="K2192" s="123" t="s">
        <v>52</v>
      </c>
    </row>
    <row r="2193" spans="6:11" ht="24" customHeight="1">
      <c r="H2193" s="120" t="s">
        <v>1931</v>
      </c>
      <c r="K2193" s="129">
        <f>SUM(K2189:K2191)</f>
        <v>104.1</v>
      </c>
    </row>
    <row r="2194" spans="6:11" ht="24" customHeight="1">
      <c r="F2194" s="121" t="s">
        <v>1941</v>
      </c>
      <c r="G2194" s="126" t="s">
        <v>111</v>
      </c>
      <c r="H2194" s="120" t="s">
        <v>1934</v>
      </c>
      <c r="K2194" s="123" t="s">
        <v>52</v>
      </c>
    </row>
    <row r="2195" spans="6:11" ht="24" customHeight="1">
      <c r="H2195" s="120" t="s">
        <v>1942</v>
      </c>
      <c r="K2195" s="129"/>
    </row>
    <row r="2196" spans="6:11" ht="24" customHeight="1">
      <c r="H2196" s="123" t="s">
        <v>52</v>
      </c>
      <c r="K2196" s="123" t="s">
        <v>52</v>
      </c>
    </row>
    <row r="2197" spans="6:11" ht="24" customHeight="1">
      <c r="F2197" s="115">
        <v>1</v>
      </c>
      <c r="G2197" s="116" t="s">
        <v>237</v>
      </c>
      <c r="H2197" s="120" t="s">
        <v>1946</v>
      </c>
      <c r="J2197" s="117">
        <f>E206</f>
        <v>140.65</v>
      </c>
      <c r="K2197" s="129">
        <f>J2197</f>
        <v>140.65</v>
      </c>
    </row>
    <row r="2198" spans="6:11" ht="24" customHeight="1">
      <c r="H2198" s="120" t="s">
        <v>1945</v>
      </c>
      <c r="I2198" s="121" t="s">
        <v>145</v>
      </c>
      <c r="K2198" s="129">
        <v>2.5</v>
      </c>
    </row>
    <row r="2199" spans="6:11" ht="24" customHeight="1">
      <c r="F2199" s="121" t="s">
        <v>1947</v>
      </c>
      <c r="G2199" s="126" t="s">
        <v>111</v>
      </c>
      <c r="H2199" s="122" t="s">
        <v>1924</v>
      </c>
      <c r="K2199" s="123" t="s">
        <v>52</v>
      </c>
    </row>
    <row r="2200" spans="6:11" ht="24" customHeight="1">
      <c r="H2200" s="122" t="s">
        <v>1948</v>
      </c>
      <c r="K2200" s="129">
        <f>SUM(K2196:K2198)</f>
        <v>143.15</v>
      </c>
    </row>
    <row r="2201" spans="6:11" ht="24" customHeight="1">
      <c r="H2201" s="123" t="s">
        <v>52</v>
      </c>
      <c r="K2201" s="123" t="s">
        <v>52</v>
      </c>
    </row>
    <row r="2202" spans="6:11" ht="24" customHeight="1">
      <c r="F2202" s="129">
        <v>1</v>
      </c>
      <c r="G2202" s="126" t="s">
        <v>131</v>
      </c>
      <c r="H2202" s="120" t="s">
        <v>1949</v>
      </c>
      <c r="I2202" s="129">
        <f>C203</f>
        <v>128</v>
      </c>
      <c r="J2202" s="120" t="s">
        <v>131</v>
      </c>
      <c r="K2202" s="129">
        <f>(F2202*I2202)</f>
        <v>128</v>
      </c>
    </row>
    <row r="2203" spans="6:11" ht="24" customHeight="1">
      <c r="F2203" s="120" t="s">
        <v>85</v>
      </c>
      <c r="H2203" s="120" t="s">
        <v>1944</v>
      </c>
    </row>
    <row r="2204" spans="6:11" ht="24" customHeight="1">
      <c r="F2204" s="120" t="s">
        <v>85</v>
      </c>
      <c r="H2204" s="120" t="s">
        <v>1945</v>
      </c>
      <c r="I2204" s="121" t="s">
        <v>145</v>
      </c>
      <c r="K2204" s="129">
        <v>3</v>
      </c>
    </row>
    <row r="2205" spans="6:11" ht="24" customHeight="1">
      <c r="K2205" s="123" t="s">
        <v>52</v>
      </c>
    </row>
    <row r="2206" spans="6:11" ht="24" customHeight="1">
      <c r="H2206" s="120" t="s">
        <v>1931</v>
      </c>
      <c r="K2206" s="129">
        <f>SUM(K2202:K2204)</f>
        <v>131</v>
      </c>
    </row>
    <row r="2207" spans="6:11" ht="24" customHeight="1">
      <c r="K2207" s="123" t="s">
        <v>52</v>
      </c>
    </row>
    <row r="2209" spans="6:12" ht="24" customHeight="1">
      <c r="F2209" s="121" t="s">
        <v>1950</v>
      </c>
      <c r="G2209" s="126" t="s">
        <v>111</v>
      </c>
      <c r="H2209" s="122" t="s">
        <v>1934</v>
      </c>
    </row>
    <row r="2210" spans="6:12" ht="24" customHeight="1">
      <c r="H2210" s="122" t="s">
        <v>1948</v>
      </c>
    </row>
    <row r="2211" spans="6:12" ht="24" customHeight="1">
      <c r="H2211" s="123" t="s">
        <v>52</v>
      </c>
    </row>
    <row r="2212" spans="6:12" ht="24" customHeight="1">
      <c r="F2212" s="129">
        <v>1</v>
      </c>
      <c r="G2212" s="126" t="s">
        <v>131</v>
      </c>
      <c r="H2212" s="120" t="s">
        <v>1951</v>
      </c>
      <c r="I2212" s="129">
        <f>C208</f>
        <v>166.15</v>
      </c>
      <c r="J2212" s="120" t="s">
        <v>131</v>
      </c>
      <c r="K2212" s="129">
        <f>(F2212*I2212)</f>
        <v>166.15</v>
      </c>
    </row>
    <row r="2213" spans="6:12" ht="24" customHeight="1">
      <c r="F2213" s="120" t="s">
        <v>85</v>
      </c>
      <c r="H2213" s="120" t="s">
        <v>1944</v>
      </c>
    </row>
    <row r="2214" spans="6:12" ht="24" customHeight="1">
      <c r="F2214" s="120" t="s">
        <v>85</v>
      </c>
      <c r="H2214" s="120" t="s">
        <v>1945</v>
      </c>
      <c r="I2214" s="121" t="s">
        <v>145</v>
      </c>
      <c r="K2214" s="129">
        <v>3</v>
      </c>
    </row>
    <row r="2215" spans="6:12" ht="24" customHeight="1">
      <c r="K2215" s="123" t="s">
        <v>52</v>
      </c>
    </row>
    <row r="2216" spans="6:12" ht="24" customHeight="1">
      <c r="H2216" s="122" t="s">
        <v>1931</v>
      </c>
      <c r="K2216" s="129">
        <f>SUM(K2212:K2214)</f>
        <v>169.15</v>
      </c>
    </row>
    <row r="2217" spans="6:12" ht="24" customHeight="1">
      <c r="K2217" s="123" t="s">
        <v>52</v>
      </c>
    </row>
    <row r="2218" spans="6:12" ht="24" customHeight="1">
      <c r="F2218" s="121" t="s">
        <v>1952</v>
      </c>
      <c r="H2218" s="122" t="s">
        <v>1953</v>
      </c>
    </row>
    <row r="2219" spans="6:12" ht="24" customHeight="1">
      <c r="H2219" s="122" t="s">
        <v>1954</v>
      </c>
    </row>
    <row r="2220" spans="6:12" ht="24" customHeight="1">
      <c r="H2220" s="123" t="s">
        <v>52</v>
      </c>
    </row>
    <row r="2221" spans="6:12" ht="24" customHeight="1">
      <c r="F2221" s="129">
        <v>2.5</v>
      </c>
      <c r="G2221" s="126" t="s">
        <v>1955</v>
      </c>
      <c r="H2221" s="120" t="s">
        <v>1953</v>
      </c>
      <c r="I2221" s="129">
        <f>C588</f>
        <v>30</v>
      </c>
      <c r="J2221" s="120">
        <v>2.5</v>
      </c>
      <c r="K2221" s="394">
        <f>(F2221*I2221)/F2221</f>
        <v>30</v>
      </c>
      <c r="L2221" s="115">
        <f>1394*1.62-K2252</f>
        <v>-1937.35</v>
      </c>
    </row>
    <row r="2222" spans="6:12" ht="24" customHeight="1">
      <c r="H2222" s="120" t="s">
        <v>1956</v>
      </c>
      <c r="J2222" s="120" t="s">
        <v>1955</v>
      </c>
      <c r="K2222" s="395"/>
    </row>
    <row r="2223" spans="6:12" ht="24" customHeight="1">
      <c r="G2223" s="126" t="s">
        <v>145</v>
      </c>
      <c r="H2223" s="120" t="s">
        <v>1957</v>
      </c>
      <c r="J2223" s="120" t="s">
        <v>145</v>
      </c>
      <c r="K2223" s="244">
        <v>1.87</v>
      </c>
    </row>
    <row r="2224" spans="6:12" ht="24" customHeight="1">
      <c r="K2224" s="123" t="s">
        <v>52</v>
      </c>
    </row>
    <row r="2225" spans="6:11" ht="24" customHeight="1">
      <c r="H2225" s="128" t="s">
        <v>1940</v>
      </c>
      <c r="K2225" s="127">
        <f>SUM(K2221:K2223)</f>
        <v>31.87</v>
      </c>
    </row>
    <row r="2226" spans="6:11" ht="24" customHeight="1">
      <c r="K2226" s="123" t="s">
        <v>89</v>
      </c>
    </row>
    <row r="2228" spans="6:11" ht="24" customHeight="1">
      <c r="F2228" s="121" t="s">
        <v>1958</v>
      </c>
      <c r="G2228" s="126" t="s">
        <v>111</v>
      </c>
      <c r="H2228" s="120" t="s">
        <v>1959</v>
      </c>
    </row>
    <row r="2229" spans="6:11" ht="24" customHeight="1">
      <c r="H2229" s="120" t="s">
        <v>1960</v>
      </c>
    </row>
    <row r="2230" spans="6:11" ht="24" customHeight="1">
      <c r="H2230" s="120" t="s">
        <v>1961</v>
      </c>
    </row>
    <row r="2231" spans="6:11" ht="24" customHeight="1">
      <c r="H2231" s="120" t="s">
        <v>1962</v>
      </c>
    </row>
    <row r="2232" spans="6:11" ht="24" customHeight="1">
      <c r="H2232" s="120" t="s">
        <v>1963</v>
      </c>
    </row>
    <row r="2233" spans="6:11" ht="24" customHeight="1">
      <c r="H2233" s="120" t="s">
        <v>1964</v>
      </c>
    </row>
    <row r="2234" spans="6:11" ht="24" customHeight="1">
      <c r="H2234" s="120" t="s">
        <v>1965</v>
      </c>
    </row>
    <row r="2235" spans="6:11" ht="24" customHeight="1">
      <c r="H2235" s="120" t="s">
        <v>1966</v>
      </c>
    </row>
    <row r="2236" spans="6:11" ht="24" customHeight="1">
      <c r="H2236" s="120" t="s">
        <v>1967</v>
      </c>
    </row>
    <row r="2237" spans="6:11" ht="24" customHeight="1">
      <c r="H2237" s="120" t="s">
        <v>1968</v>
      </c>
    </row>
    <row r="2238" spans="6:11" ht="24" customHeight="1">
      <c r="H2238" s="120" t="s">
        <v>1969</v>
      </c>
    </row>
    <row r="2239" spans="6:11" ht="24" customHeight="1">
      <c r="H2239" s="120" t="s">
        <v>1970</v>
      </c>
    </row>
    <row r="2240" spans="6:11" ht="24" customHeight="1">
      <c r="H2240" s="123" t="s">
        <v>52</v>
      </c>
      <c r="I2240" s="123" t="s">
        <v>52</v>
      </c>
    </row>
    <row r="2241" spans="6:13" ht="24" customHeight="1">
      <c r="F2241" s="120" t="s">
        <v>85</v>
      </c>
    </row>
    <row r="2242" spans="6:13" ht="24" customHeight="1">
      <c r="F2242" s="201">
        <v>1.7399999999999999E-2</v>
      </c>
      <c r="G2242" s="126" t="s">
        <v>5</v>
      </c>
      <c r="H2242" s="120" t="s">
        <v>1971</v>
      </c>
      <c r="I2242" s="129">
        <f>C86</f>
        <v>34300</v>
      </c>
      <c r="J2242" s="120" t="s">
        <v>5</v>
      </c>
      <c r="K2242" s="129">
        <f t="shared" ref="K2242:K2249" si="239">F2242*I2242</f>
        <v>596.82000000000005</v>
      </c>
    </row>
    <row r="2243" spans="6:13" ht="24" customHeight="1">
      <c r="F2243" s="201">
        <v>2.93E-2</v>
      </c>
      <c r="G2243" s="126" t="s">
        <v>5</v>
      </c>
      <c r="H2243" s="120" t="s">
        <v>1972</v>
      </c>
      <c r="I2243" s="129">
        <f>C87</f>
        <v>39400</v>
      </c>
      <c r="J2243" s="120" t="s">
        <v>5</v>
      </c>
      <c r="K2243" s="129">
        <f t="shared" si="239"/>
        <v>1154.42</v>
      </c>
    </row>
    <row r="2244" spans="6:13" ht="24" customHeight="1">
      <c r="F2244" s="201">
        <v>1.093</v>
      </c>
      <c r="G2244" s="126" t="s">
        <v>724</v>
      </c>
      <c r="H2244" s="120" t="s">
        <v>1973</v>
      </c>
      <c r="I2244" s="129">
        <f>C199</f>
        <v>379.9</v>
      </c>
      <c r="J2244" s="120" t="s">
        <v>724</v>
      </c>
      <c r="K2244" s="129">
        <f t="shared" si="239"/>
        <v>415.23</v>
      </c>
    </row>
    <row r="2245" spans="6:13" ht="24" customHeight="1">
      <c r="F2245" s="129">
        <v>6</v>
      </c>
      <c r="G2245" s="126" t="s">
        <v>727</v>
      </c>
      <c r="H2245" s="120" t="s">
        <v>4488</v>
      </c>
      <c r="I2245" s="129">
        <f>C297</f>
        <v>7</v>
      </c>
      <c r="J2245" s="120" t="s">
        <v>729</v>
      </c>
      <c r="K2245" s="129">
        <f t="shared" si="239"/>
        <v>42</v>
      </c>
    </row>
    <row r="2246" spans="6:13" ht="24" customHeight="1">
      <c r="F2246" s="129">
        <v>1</v>
      </c>
      <c r="G2246" s="126" t="s">
        <v>727</v>
      </c>
      <c r="H2246" s="120" t="s">
        <v>4489</v>
      </c>
      <c r="I2246" s="129">
        <f>C287</f>
        <v>101.6</v>
      </c>
      <c r="J2246" s="120" t="s">
        <v>729</v>
      </c>
      <c r="K2246" s="129">
        <f t="shared" si="239"/>
        <v>101.6</v>
      </c>
    </row>
    <row r="2247" spans="6:13" ht="24" customHeight="1">
      <c r="F2247" s="129">
        <v>2</v>
      </c>
      <c r="G2247" s="126" t="s">
        <v>727</v>
      </c>
      <c r="H2247" s="120" t="s">
        <v>1976</v>
      </c>
      <c r="I2247" s="129">
        <f>C308</f>
        <v>3</v>
      </c>
      <c r="J2247" s="120" t="s">
        <v>729</v>
      </c>
      <c r="K2247" s="129">
        <f t="shared" si="239"/>
        <v>6</v>
      </c>
    </row>
    <row r="2248" spans="6:13" ht="24" customHeight="1">
      <c r="F2248" s="129">
        <v>6</v>
      </c>
      <c r="G2248" s="126" t="s">
        <v>727</v>
      </c>
      <c r="H2248" s="120" t="s">
        <v>1977</v>
      </c>
      <c r="I2248" s="399">
        <v>10.5</v>
      </c>
      <c r="J2248" s="120" t="s">
        <v>729</v>
      </c>
      <c r="K2248" s="129">
        <f t="shared" si="239"/>
        <v>63</v>
      </c>
    </row>
    <row r="2249" spans="6:13" ht="24" customHeight="1">
      <c r="F2249" s="142">
        <v>1.62</v>
      </c>
      <c r="G2249" s="126" t="s">
        <v>724</v>
      </c>
      <c r="H2249" s="120" t="s">
        <v>1978</v>
      </c>
      <c r="I2249" s="129">
        <f>D33</f>
        <v>1118.7</v>
      </c>
      <c r="J2249" s="120" t="s">
        <v>724</v>
      </c>
      <c r="K2249" s="129">
        <f t="shared" si="239"/>
        <v>1812.29</v>
      </c>
    </row>
    <row r="2250" spans="6:13" ht="24" customHeight="1">
      <c r="G2250" s="126" t="s">
        <v>145</v>
      </c>
      <c r="H2250" s="120" t="s">
        <v>1979</v>
      </c>
      <c r="J2250" s="120" t="s">
        <v>145</v>
      </c>
      <c r="K2250" s="129">
        <v>4.2699999999999996</v>
      </c>
    </row>
    <row r="2251" spans="6:13" ht="24" customHeight="1">
      <c r="K2251" s="123" t="s">
        <v>52</v>
      </c>
    </row>
    <row r="2252" spans="6:13" ht="24" customHeight="1">
      <c r="H2252" s="128" t="s">
        <v>1980</v>
      </c>
      <c r="K2252" s="127">
        <f>SUM(K2242:K2250)</f>
        <v>4195.63</v>
      </c>
    </row>
    <row r="2253" spans="6:13" ht="24" customHeight="1">
      <c r="K2253" s="179" t="s">
        <v>52</v>
      </c>
    </row>
    <row r="2254" spans="6:13" ht="24" customHeight="1">
      <c r="K2254" s="114"/>
    </row>
    <row r="2255" spans="6:13" ht="24" customHeight="1">
      <c r="H2255" s="128" t="s">
        <v>1981</v>
      </c>
      <c r="I2255" s="120" t="s">
        <v>85</v>
      </c>
      <c r="K2255" s="127">
        <f>K2252/1.62</f>
        <v>2589.9</v>
      </c>
      <c r="M2255" s="115">
        <f>1921*1.62</f>
        <v>3112.02</v>
      </c>
    </row>
    <row r="2256" spans="6:13" ht="15" customHeight="1">
      <c r="F2256" s="120" t="s">
        <v>85</v>
      </c>
      <c r="G2256" s="126" t="s">
        <v>85</v>
      </c>
      <c r="H2256" s="120" t="s">
        <v>85</v>
      </c>
      <c r="I2256" s="120" t="s">
        <v>85</v>
      </c>
      <c r="J2256" s="120" t="s">
        <v>85</v>
      </c>
      <c r="M2256" s="115">
        <f>M2255-K2252</f>
        <v>-1083.6099999999999</v>
      </c>
    </row>
    <row r="2257" spans="6:12" ht="13.5" customHeight="1"/>
    <row r="2258" spans="6:12" ht="24" customHeight="1">
      <c r="G2258" s="126" t="s">
        <v>607</v>
      </c>
      <c r="H2258" s="122" t="s">
        <v>1033</v>
      </c>
    </row>
    <row r="2259" spans="6:12" ht="24" customHeight="1">
      <c r="H2259" s="120" t="s">
        <v>1982</v>
      </c>
      <c r="L2259" s="115">
        <f>3.6*1.1</f>
        <v>3.96</v>
      </c>
    </row>
    <row r="2260" spans="6:12" ht="24" customHeight="1">
      <c r="F2260" s="120" t="s">
        <v>85</v>
      </c>
      <c r="H2260" s="120" t="s">
        <v>1983</v>
      </c>
      <c r="L2260" s="115">
        <f>3.6*1.6</f>
        <v>5.76</v>
      </c>
    </row>
    <row r="2261" spans="6:12" ht="35.25" customHeight="1">
      <c r="F2261" s="121" t="s">
        <v>1984</v>
      </c>
      <c r="H2261" s="120" t="s">
        <v>1038</v>
      </c>
      <c r="K2261" s="139">
        <f>Elec.Data!K29</f>
        <v>1630</v>
      </c>
    </row>
    <row r="2262" spans="6:12" ht="30.75" customHeight="1">
      <c r="F2262" s="121" t="s">
        <v>1985</v>
      </c>
      <c r="H2262" s="121" t="s">
        <v>1041</v>
      </c>
      <c r="K2262" s="139">
        <f>Elec.Data!K53</f>
        <v>1633</v>
      </c>
    </row>
    <row r="2263" spans="6:12" ht="30.75" customHeight="1">
      <c r="F2263" s="121" t="s">
        <v>1986</v>
      </c>
      <c r="H2263" s="120" t="s">
        <v>1099</v>
      </c>
      <c r="K2263" s="139">
        <f>Elec.Data!K68</f>
        <v>1670</v>
      </c>
    </row>
    <row r="2264" spans="6:12" ht="30.75" customHeight="1">
      <c r="F2264" s="148">
        <v>65</v>
      </c>
      <c r="H2264" s="120" t="s">
        <v>1043</v>
      </c>
      <c r="K2264" s="139">
        <f>Elec.Data!K90</f>
        <v>1705</v>
      </c>
    </row>
    <row r="2265" spans="6:12" ht="30.75" customHeight="1">
      <c r="F2265" s="148">
        <v>66</v>
      </c>
      <c r="H2265" s="120" t="s">
        <v>1049</v>
      </c>
      <c r="K2265" s="139">
        <f>Elec.Data!K114</f>
        <v>3052</v>
      </c>
    </row>
    <row r="2266" spans="6:12" ht="30.75" customHeight="1">
      <c r="F2266" s="148">
        <v>67</v>
      </c>
      <c r="H2266" s="120" t="s">
        <v>1046</v>
      </c>
      <c r="K2266" s="139">
        <f>Elec.Data!K146</f>
        <v>835</v>
      </c>
    </row>
    <row r="2267" spans="6:12" ht="30.75" customHeight="1">
      <c r="F2267" s="148">
        <v>68</v>
      </c>
      <c r="H2267" s="120" t="s">
        <v>1048</v>
      </c>
      <c r="K2267" s="139">
        <f>Elec.Data!K134</f>
        <v>1133</v>
      </c>
    </row>
    <row r="2268" spans="6:12" ht="30.75" customHeight="1">
      <c r="F2268" s="148">
        <v>69</v>
      </c>
      <c r="H2268" s="120" t="s">
        <v>1987</v>
      </c>
      <c r="K2268" s="139">
        <f>Elec.Data!K157</f>
        <v>150</v>
      </c>
    </row>
    <row r="2269" spans="6:12" ht="30.75" customHeight="1">
      <c r="F2269" s="148" t="s">
        <v>1988</v>
      </c>
      <c r="H2269" s="120" t="s">
        <v>1106</v>
      </c>
      <c r="K2269" s="139">
        <f>Elec.Data!K304</f>
        <v>517</v>
      </c>
    </row>
    <row r="2270" spans="6:12" ht="30.75" customHeight="1">
      <c r="F2270" s="148" t="s">
        <v>1989</v>
      </c>
      <c r="H2270" s="120" t="s">
        <v>4490</v>
      </c>
      <c r="J2270" s="119"/>
      <c r="K2270" s="139"/>
      <c r="L2270" s="115">
        <f>37.7*90</f>
        <v>3393</v>
      </c>
    </row>
    <row r="2271" spans="6:12" ht="30.75" customHeight="1">
      <c r="F2271" s="148" t="s">
        <v>1991</v>
      </c>
      <c r="H2271" s="120" t="s">
        <v>1992</v>
      </c>
      <c r="K2271" s="136">
        <v>9.4</v>
      </c>
    </row>
    <row r="2272" spans="6:12" ht="24" customHeight="1">
      <c r="F2272" s="148" t="s">
        <v>1993</v>
      </c>
      <c r="H2272" s="120" t="s">
        <v>1994</v>
      </c>
      <c r="K2272" s="228">
        <v>10</v>
      </c>
    </row>
    <row r="2273" spans="6:11" ht="24" customHeight="1">
      <c r="F2273" s="148">
        <v>71</v>
      </c>
      <c r="H2273" s="120" t="s">
        <v>1107</v>
      </c>
      <c r="K2273" s="139">
        <f>Elec.Data!K342</f>
        <v>1345.6</v>
      </c>
    </row>
    <row r="2274" spans="6:11" ht="24" customHeight="1">
      <c r="F2274" s="148">
        <v>72</v>
      </c>
      <c r="H2274" s="120" t="s">
        <v>1995</v>
      </c>
      <c r="K2274" s="228">
        <v>33.9</v>
      </c>
    </row>
    <row r="2275" spans="6:11" ht="24" customHeight="1">
      <c r="F2275" s="148" t="s">
        <v>1996</v>
      </c>
      <c r="H2275" s="120" t="s">
        <v>1111</v>
      </c>
      <c r="K2275" s="139">
        <f>Elec.Data!K402</f>
        <v>4212</v>
      </c>
    </row>
    <row r="2276" spans="6:11" ht="24" customHeight="1">
      <c r="F2276" s="148" t="s">
        <v>1997</v>
      </c>
      <c r="H2276" s="120" t="s">
        <v>1998</v>
      </c>
      <c r="K2276" s="139">
        <f>Elec.Data!K390</f>
        <v>3430</v>
      </c>
    </row>
    <row r="2277" spans="6:11" ht="24" customHeight="1">
      <c r="F2277" s="148">
        <v>74</v>
      </c>
      <c r="H2277" s="120" t="s">
        <v>1113</v>
      </c>
      <c r="K2277" s="139">
        <f>Elec.Data!K446</f>
        <v>571</v>
      </c>
    </row>
    <row r="2278" spans="6:11" ht="24" customHeight="1">
      <c r="F2278" s="148" t="s">
        <v>1999</v>
      </c>
      <c r="H2278" s="120" t="s">
        <v>4491</v>
      </c>
      <c r="K2278" s="139">
        <v>1265</v>
      </c>
    </row>
    <row r="2279" spans="6:11" ht="24" customHeight="1">
      <c r="F2279" s="148" t="s">
        <v>2000</v>
      </c>
      <c r="H2279" s="120" t="s">
        <v>1119</v>
      </c>
    </row>
    <row r="2280" spans="6:11" ht="24" customHeight="1">
      <c r="F2280" s="148">
        <v>112</v>
      </c>
      <c r="H2280" s="120" t="s">
        <v>2001</v>
      </c>
      <c r="K2280" s="139">
        <f>Elec.Data!K913</f>
        <v>2336</v>
      </c>
    </row>
    <row r="2281" spans="6:11" ht="34.5" customHeight="1">
      <c r="F2281" s="148">
        <v>76</v>
      </c>
      <c r="H2281" s="120" t="s">
        <v>1122</v>
      </c>
      <c r="K2281" s="139">
        <f>Elec.Data!K463</f>
        <v>26.3</v>
      </c>
    </row>
    <row r="2282" spans="6:11" ht="31.5" customHeight="1">
      <c r="F2282" s="148">
        <v>77</v>
      </c>
      <c r="H2282" s="120" t="s">
        <v>2002</v>
      </c>
      <c r="K2282" s="139">
        <f>Elec.Data!K249</f>
        <v>208</v>
      </c>
    </row>
    <row r="2283" spans="6:11" ht="38.25" customHeight="1">
      <c r="F2283" s="396">
        <v>77.099999999999994</v>
      </c>
      <c r="H2283" s="176" t="s">
        <v>2003</v>
      </c>
      <c r="K2283" s="400">
        <f>Elec.Data!K274</f>
        <v>266</v>
      </c>
    </row>
    <row r="2284" spans="6:11" ht="24" customHeight="1">
      <c r="F2284" s="167">
        <v>77.2</v>
      </c>
      <c r="H2284" s="120" t="s">
        <v>2004</v>
      </c>
      <c r="K2284" s="140">
        <v>500</v>
      </c>
    </row>
    <row r="2285" spans="6:11" ht="24" customHeight="1">
      <c r="F2285" s="167">
        <v>77.3</v>
      </c>
      <c r="H2285" s="120" t="s">
        <v>2005</v>
      </c>
      <c r="K2285" s="140">
        <f>Elec.Data!K881</f>
        <v>77</v>
      </c>
    </row>
    <row r="2286" spans="6:11" ht="24" customHeight="1">
      <c r="F2286" s="148">
        <v>78</v>
      </c>
      <c r="H2286" s="120" t="s">
        <v>1126</v>
      </c>
      <c r="K2286" s="139">
        <f>Elec.Data!K488</f>
        <v>2872</v>
      </c>
    </row>
    <row r="2287" spans="6:11" ht="24" customHeight="1">
      <c r="F2287" s="148">
        <v>80</v>
      </c>
      <c r="H2287" s="120" t="s">
        <v>1129</v>
      </c>
      <c r="K2287" s="139">
        <f>Elec.Data!K610</f>
        <v>818.75</v>
      </c>
    </row>
    <row r="2288" spans="6:11" ht="24" customHeight="1">
      <c r="F2288" s="148">
        <v>81</v>
      </c>
      <c r="H2288" s="120" t="s">
        <v>1131</v>
      </c>
      <c r="K2288" s="129">
        <f>K2255</f>
        <v>2589.9</v>
      </c>
    </row>
    <row r="2289" spans="6:33" ht="24" customHeight="1">
      <c r="F2289" s="148">
        <v>82</v>
      </c>
      <c r="H2289" s="120" t="s">
        <v>1133</v>
      </c>
      <c r="K2289" s="139">
        <f>Elec.Data!K807</f>
        <v>2946</v>
      </c>
    </row>
    <row r="2290" spans="6:33" ht="24" customHeight="1">
      <c r="F2290" s="148">
        <v>87</v>
      </c>
      <c r="H2290" s="120" t="s">
        <v>1136</v>
      </c>
      <c r="K2290" s="139">
        <f>Elec.Data!K627</f>
        <v>2695</v>
      </c>
    </row>
    <row r="2291" spans="6:33" ht="24" customHeight="1">
      <c r="H2291" s="397" t="s">
        <v>4492</v>
      </c>
      <c r="K2291" s="139">
        <f>Elec.Data!K931</f>
        <v>2149.15</v>
      </c>
    </row>
    <row r="2292" spans="6:33" ht="24" customHeight="1">
      <c r="H2292" s="146" t="s">
        <v>4493</v>
      </c>
      <c r="K2292" s="140">
        <v>137</v>
      </c>
    </row>
    <row r="2293" spans="6:33" ht="28.5" customHeight="1">
      <c r="F2293" s="398">
        <v>77.400000000000006</v>
      </c>
      <c r="H2293" s="43" t="s">
        <v>2006</v>
      </c>
      <c r="M2293" s="398">
        <v>77.400000000000006</v>
      </c>
      <c r="N2293" s="116"/>
      <c r="O2293" s="43" t="s">
        <v>4494</v>
      </c>
      <c r="Q2293" s="117"/>
    </row>
    <row r="2294" spans="6:33" ht="27" customHeight="1">
      <c r="H2294" s="120" t="s">
        <v>1982</v>
      </c>
      <c r="N2294" s="116"/>
      <c r="O2294" s="120" t="s">
        <v>1982</v>
      </c>
      <c r="Q2294" s="117"/>
    </row>
    <row r="2295" spans="6:33" ht="42.75" customHeight="1">
      <c r="F2295" s="115">
        <v>90</v>
      </c>
      <c r="G2295" s="116" t="s">
        <v>2007</v>
      </c>
      <c r="H2295" s="360" t="s">
        <v>4495</v>
      </c>
      <c r="I2295" s="401">
        <v>20</v>
      </c>
      <c r="J2295" s="117" t="s">
        <v>2007</v>
      </c>
      <c r="K2295" s="115">
        <f>I2295*F2295</f>
        <v>1800</v>
      </c>
      <c r="M2295" s="115">
        <v>90</v>
      </c>
      <c r="N2295" s="116" t="s">
        <v>2007</v>
      </c>
      <c r="O2295" s="360" t="s">
        <v>4496</v>
      </c>
      <c r="P2295" s="401">
        <v>20</v>
      </c>
      <c r="Q2295" s="117" t="s">
        <v>2007</v>
      </c>
      <c r="R2295" s="115">
        <f>P2295*M2295</f>
        <v>1800</v>
      </c>
    </row>
    <row r="2296" spans="6:33" ht="24" customHeight="1">
      <c r="F2296" s="115">
        <v>0.15</v>
      </c>
      <c r="G2296" s="116" t="s">
        <v>11</v>
      </c>
      <c r="H2296" s="115" t="s">
        <v>123</v>
      </c>
      <c r="I2296" s="115">
        <f>AC31</f>
        <v>6040</v>
      </c>
      <c r="J2296" s="117" t="s">
        <v>11</v>
      </c>
      <c r="K2296" s="115">
        <f>I2296*F2296</f>
        <v>906</v>
      </c>
      <c r="M2296" s="115">
        <v>0.15</v>
      </c>
      <c r="N2296" s="116" t="s">
        <v>11</v>
      </c>
      <c r="O2296" s="115" t="s">
        <v>123</v>
      </c>
      <c r="P2296" s="115">
        <f>I2296</f>
        <v>6040</v>
      </c>
      <c r="Q2296" s="117" t="s">
        <v>11</v>
      </c>
      <c r="R2296" s="115">
        <f>P2296*M2296</f>
        <v>906</v>
      </c>
    </row>
    <row r="2297" spans="6:33" ht="24" customHeight="1">
      <c r="F2297" s="115">
        <v>1</v>
      </c>
      <c r="G2297" s="116" t="s">
        <v>237</v>
      </c>
      <c r="H2297" s="115" t="s">
        <v>2009</v>
      </c>
      <c r="I2297" s="115">
        <f>C809</f>
        <v>783</v>
      </c>
      <c r="J2297" s="117" t="s">
        <v>237</v>
      </c>
      <c r="K2297" s="115">
        <f>I2297*F2297</f>
        <v>783</v>
      </c>
      <c r="M2297" s="115">
        <v>1</v>
      </c>
      <c r="N2297" s="116" t="s">
        <v>237</v>
      </c>
      <c r="O2297" s="115" t="s">
        <v>2009</v>
      </c>
      <c r="P2297" s="115">
        <f>I2297</f>
        <v>783</v>
      </c>
      <c r="Q2297" s="117" t="s">
        <v>237</v>
      </c>
      <c r="R2297" s="115">
        <f>P2297*M2297</f>
        <v>783</v>
      </c>
    </row>
    <row r="2298" spans="6:33" ht="24" customHeight="1">
      <c r="F2298" s="115">
        <v>2</v>
      </c>
      <c r="G2298" s="116" t="s">
        <v>237</v>
      </c>
      <c r="H2298" s="115" t="s">
        <v>302</v>
      </c>
      <c r="I2298" s="115">
        <f>AE10</f>
        <v>972.4</v>
      </c>
      <c r="J2298" s="117" t="s">
        <v>237</v>
      </c>
      <c r="K2298" s="115">
        <f>I2298*F2298</f>
        <v>1944.8</v>
      </c>
      <c r="M2298" s="115">
        <v>2</v>
      </c>
      <c r="N2298" s="116" t="s">
        <v>237</v>
      </c>
      <c r="O2298" s="115" t="s">
        <v>302</v>
      </c>
      <c r="P2298" s="115">
        <f>I2298</f>
        <v>972.4</v>
      </c>
      <c r="Q2298" s="117" t="s">
        <v>237</v>
      </c>
      <c r="R2298" s="115">
        <f>P2298*M2298</f>
        <v>1944.8</v>
      </c>
    </row>
    <row r="2299" spans="6:33" ht="24" customHeight="1">
      <c r="F2299" s="115">
        <v>4</v>
      </c>
      <c r="G2299" s="116" t="s">
        <v>237</v>
      </c>
      <c r="H2299" s="115" t="str">
        <f>B810</f>
        <v>Electrical HELPERp-15 it-100</v>
      </c>
      <c r="I2299" s="402">
        <f>C810</f>
        <v>611</v>
      </c>
      <c r="J2299" s="117" t="s">
        <v>237</v>
      </c>
      <c r="K2299" s="115">
        <f>I2299*F2299</f>
        <v>2444</v>
      </c>
      <c r="M2299" s="115">
        <v>4</v>
      </c>
      <c r="N2299" s="116" t="s">
        <v>237</v>
      </c>
      <c r="O2299" s="115" t="str">
        <f>H2299</f>
        <v>Electrical HELPERp-15 it-100</v>
      </c>
      <c r="P2299" s="115">
        <f>I2299</f>
        <v>611</v>
      </c>
      <c r="Q2299" s="117" t="s">
        <v>237</v>
      </c>
      <c r="R2299" s="115">
        <f>P2299*M2299</f>
        <v>2444</v>
      </c>
    </row>
    <row r="2300" spans="6:33" ht="24" customHeight="1">
      <c r="H2300" s="115" t="s">
        <v>2010</v>
      </c>
      <c r="K2300" s="115">
        <v>11.5</v>
      </c>
      <c r="N2300" s="116"/>
      <c r="O2300" s="115" t="s">
        <v>2010</v>
      </c>
      <c r="Q2300" s="117"/>
      <c r="R2300" s="115">
        <v>11.5</v>
      </c>
    </row>
    <row r="2301" spans="6:33" ht="24" customHeight="1">
      <c r="K2301" s="123" t="s">
        <v>52</v>
      </c>
      <c r="N2301" s="116"/>
      <c r="Q2301" s="117"/>
      <c r="R2301" s="123" t="s">
        <v>52</v>
      </c>
    </row>
    <row r="2302" spans="6:33" ht="36.75" customHeight="1">
      <c r="H2302" s="120" t="s">
        <v>2011</v>
      </c>
      <c r="K2302" s="129">
        <f>SUM(K2295:K2300)</f>
        <v>7889.3</v>
      </c>
      <c r="N2302" s="116"/>
      <c r="O2302" s="120" t="s">
        <v>2011</v>
      </c>
      <c r="Q2302" s="117"/>
      <c r="R2302" s="129">
        <f>SUM(R2295:R2300)</f>
        <v>7889.3</v>
      </c>
    </row>
    <row r="2303" spans="6:33" ht="24" customHeight="1">
      <c r="K2303" s="123" t="s">
        <v>52</v>
      </c>
      <c r="N2303" s="116"/>
      <c r="Q2303" s="117"/>
      <c r="R2303" s="123" t="s">
        <v>52</v>
      </c>
    </row>
    <row r="2304" spans="6:33" ht="24" customHeight="1">
      <c r="H2304" s="120" t="s">
        <v>1932</v>
      </c>
      <c r="K2304" s="129">
        <f>(K2302/90)</f>
        <v>87.66</v>
      </c>
      <c r="N2304" s="116"/>
      <c r="O2304" s="120" t="s">
        <v>1932</v>
      </c>
      <c r="Q2304" s="117"/>
      <c r="R2304" s="129">
        <f>(R2302/90)</f>
        <v>87.66</v>
      </c>
      <c r="AG2304" s="115">
        <v>0</v>
      </c>
    </row>
    <row r="2305" spans="5:253" ht="24" customHeight="1">
      <c r="K2305" s="123" t="s">
        <v>89</v>
      </c>
      <c r="IS2305" s="115">
        <v>0</v>
      </c>
    </row>
    <row r="2307" spans="5:253" ht="24" customHeight="1">
      <c r="F2307" s="189">
        <v>78.099999999999994</v>
      </c>
      <c r="H2307" s="122" t="s">
        <v>2012</v>
      </c>
      <c r="L2307" s="115">
        <f>31.5+85</f>
        <v>116.5</v>
      </c>
    </row>
    <row r="2308" spans="5:253" ht="24" customHeight="1">
      <c r="H2308" s="120" t="s">
        <v>1982</v>
      </c>
      <c r="L2308" s="115">
        <f>L2307*10%</f>
        <v>11.65</v>
      </c>
    </row>
    <row r="2309" spans="5:253" ht="24" customHeight="1">
      <c r="F2309" s="115">
        <v>2.5</v>
      </c>
      <c r="G2309" s="116" t="s">
        <v>237</v>
      </c>
      <c r="H2309" s="115" t="s">
        <v>2013</v>
      </c>
      <c r="I2309" s="115">
        <f>C395</f>
        <v>163</v>
      </c>
      <c r="J2309" s="117" t="s">
        <v>237</v>
      </c>
      <c r="K2309" s="115">
        <f t="shared" ref="K2309:K2314" si="240">I2309*F2309</f>
        <v>407.5</v>
      </c>
    </row>
    <row r="2310" spans="5:253" ht="24" customHeight="1">
      <c r="F2310" s="115">
        <v>20</v>
      </c>
      <c r="G2310" s="116" t="s">
        <v>1791</v>
      </c>
      <c r="H2310" s="52" t="s">
        <v>4497</v>
      </c>
      <c r="I2310" s="407">
        <v>5</v>
      </c>
      <c r="J2310" s="117" t="s">
        <v>1791</v>
      </c>
      <c r="K2310" s="115">
        <f t="shared" si="240"/>
        <v>100</v>
      </c>
    </row>
    <row r="2311" spans="5:253" ht="24" customHeight="1">
      <c r="F2311" s="115">
        <v>9</v>
      </c>
      <c r="G2311" s="116" t="s">
        <v>1791</v>
      </c>
      <c r="H2311" s="162" t="s">
        <v>4498</v>
      </c>
      <c r="I2311" s="162">
        <v>3.7</v>
      </c>
      <c r="J2311" s="117" t="s">
        <v>1791</v>
      </c>
      <c r="K2311" s="115">
        <f t="shared" si="240"/>
        <v>33.299999999999997</v>
      </c>
    </row>
    <row r="2312" spans="5:253" ht="51.75" customHeight="1">
      <c r="F2312" s="115">
        <v>0.5</v>
      </c>
      <c r="G2312" s="116" t="s">
        <v>1791</v>
      </c>
      <c r="H2312" s="115" t="s">
        <v>4499</v>
      </c>
      <c r="I2312" s="401">
        <v>101.5</v>
      </c>
      <c r="J2312" s="117" t="s">
        <v>1791</v>
      </c>
      <c r="K2312" s="115">
        <f t="shared" si="240"/>
        <v>50.75</v>
      </c>
    </row>
    <row r="2313" spans="5:253" ht="36.75" customHeight="1">
      <c r="E2313" s="118">
        <f>25.2/5</f>
        <v>5.04</v>
      </c>
      <c r="F2313" s="115">
        <v>0.5</v>
      </c>
      <c r="G2313" s="116" t="s">
        <v>237</v>
      </c>
      <c r="H2313" s="115" t="s">
        <v>1140</v>
      </c>
      <c r="I2313" s="115">
        <f>I2297</f>
        <v>783</v>
      </c>
      <c r="J2313" s="117" t="s">
        <v>237</v>
      </c>
      <c r="K2313" s="115">
        <f t="shared" si="240"/>
        <v>391.5</v>
      </c>
    </row>
    <row r="2314" spans="5:253" ht="24" customHeight="1">
      <c r="F2314" s="115">
        <v>1</v>
      </c>
      <c r="G2314" s="116" t="s">
        <v>237</v>
      </c>
      <c r="H2314" s="115" t="s">
        <v>1142</v>
      </c>
      <c r="I2314" s="115">
        <f>I2299</f>
        <v>611</v>
      </c>
      <c r="J2314" s="117" t="s">
        <v>237</v>
      </c>
      <c r="K2314" s="115">
        <f t="shared" si="240"/>
        <v>611</v>
      </c>
    </row>
    <row r="2315" spans="5:253" ht="45.75" customHeight="1">
      <c r="G2315" s="116" t="s">
        <v>49</v>
      </c>
      <c r="H2315" s="184" t="s">
        <v>2017</v>
      </c>
      <c r="J2315" s="117" t="s">
        <v>49</v>
      </c>
      <c r="K2315" s="115">
        <v>200</v>
      </c>
    </row>
    <row r="2316" spans="5:253" ht="24" customHeight="1">
      <c r="G2316" s="116" t="s">
        <v>49</v>
      </c>
      <c r="H2316" s="115" t="s">
        <v>2018</v>
      </c>
      <c r="J2316" s="117" t="s">
        <v>49</v>
      </c>
      <c r="K2316" s="115">
        <v>8.32</v>
      </c>
    </row>
    <row r="2317" spans="5:253" ht="24" customHeight="1">
      <c r="K2317" s="123" t="s">
        <v>52</v>
      </c>
    </row>
    <row r="2318" spans="5:253" ht="24" customHeight="1">
      <c r="H2318" s="115" t="s">
        <v>1224</v>
      </c>
      <c r="K2318" s="129">
        <f>SUM(K2309:K2316)</f>
        <v>1802.37</v>
      </c>
      <c r="L2318" s="115">
        <f>K2352/3</f>
        <v>33.56</v>
      </c>
    </row>
    <row r="2319" spans="5:253" ht="27" customHeight="1">
      <c r="K2319" s="123" t="s">
        <v>52</v>
      </c>
    </row>
    <row r="2320" spans="5:253" ht="45" customHeight="1">
      <c r="H2320" s="114" t="s">
        <v>4500</v>
      </c>
    </row>
    <row r="2321" spans="6:19" ht="24" customHeight="1">
      <c r="F2321" s="115">
        <v>0.7</v>
      </c>
      <c r="G2321" s="116" t="s">
        <v>237</v>
      </c>
      <c r="H2321" s="115" t="s">
        <v>4501</v>
      </c>
      <c r="I2321" s="115">
        <f>C17</f>
        <v>919.6</v>
      </c>
      <c r="J2321" s="117" t="s">
        <v>729</v>
      </c>
      <c r="K2321" s="115">
        <f>I2321*F2321</f>
        <v>643.72</v>
      </c>
      <c r="S2321" s="118">
        <f>R2359+R2360</f>
        <v>922.9</v>
      </c>
    </row>
    <row r="2322" spans="6:19" ht="24" customHeight="1">
      <c r="F2322" s="115">
        <v>0.5</v>
      </c>
      <c r="G2322" s="116" t="s">
        <v>237</v>
      </c>
      <c r="H2322" s="115" t="s">
        <v>4502</v>
      </c>
      <c r="I2322" s="115">
        <f>C12</f>
        <v>679.8</v>
      </c>
      <c r="J2322" s="117" t="s">
        <v>729</v>
      </c>
      <c r="K2322" s="115">
        <f>I2322*F2322</f>
        <v>339.9</v>
      </c>
    </row>
    <row r="2323" spans="6:19" ht="24" customHeight="1">
      <c r="H2323" s="115" t="s">
        <v>4503</v>
      </c>
      <c r="K2323" s="115">
        <f>SUM(K2321:K2322)</f>
        <v>983.62</v>
      </c>
    </row>
    <row r="2324" spans="6:19" ht="24" customHeight="1">
      <c r="H2324" s="115" t="s">
        <v>4504</v>
      </c>
      <c r="K2324" s="114">
        <f>K2323/8.16</f>
        <v>120.54</v>
      </c>
    </row>
    <row r="2326" spans="6:19" ht="24" customHeight="1">
      <c r="H2326" s="114" t="s">
        <v>4505</v>
      </c>
    </row>
    <row r="2327" spans="6:19" ht="24" customHeight="1">
      <c r="F2327" s="115">
        <v>2</v>
      </c>
      <c r="G2327" s="116" t="s">
        <v>476</v>
      </c>
      <c r="H2327" s="115" t="s">
        <v>4506</v>
      </c>
      <c r="I2327" s="401">
        <v>62.1</v>
      </c>
      <c r="J2327" s="117" t="s">
        <v>476</v>
      </c>
      <c r="K2327" s="115">
        <f>I2327*F2327</f>
        <v>124.2</v>
      </c>
    </row>
    <row r="2328" spans="6:19" ht="24" customHeight="1">
      <c r="F2328" s="115">
        <v>0.2</v>
      </c>
      <c r="G2328" s="116" t="s">
        <v>476</v>
      </c>
      <c r="H2328" s="115" t="s">
        <v>4507</v>
      </c>
      <c r="I2328" s="115">
        <f>C143/1000</f>
        <v>56.35</v>
      </c>
      <c r="J2328" s="117" t="s">
        <v>476</v>
      </c>
      <c r="K2328" s="115">
        <f>I2328*F2328</f>
        <v>11.27</v>
      </c>
    </row>
    <row r="2329" spans="6:19" ht="24" customHeight="1">
      <c r="F2329" s="115">
        <v>2</v>
      </c>
      <c r="G2329" s="116" t="s">
        <v>476</v>
      </c>
      <c r="H2329" s="115" t="s">
        <v>2234</v>
      </c>
      <c r="I2329" s="115">
        <f>K2324</f>
        <v>120.54</v>
      </c>
      <c r="J2329" s="117" t="s">
        <v>476</v>
      </c>
      <c r="K2329" s="115">
        <f>I2329*F2329</f>
        <v>241.08</v>
      </c>
    </row>
    <row r="2330" spans="6:19" ht="24" customHeight="1">
      <c r="H2330" s="115" t="s">
        <v>4508</v>
      </c>
      <c r="K2330" s="115">
        <f>SUM(K2327:K2329)</f>
        <v>376.55</v>
      </c>
    </row>
    <row r="2331" spans="6:19" ht="24" customHeight="1">
      <c r="H2331" s="115" t="s">
        <v>4509</v>
      </c>
      <c r="K2331" s="114">
        <f>K2330/10</f>
        <v>37.659999999999997</v>
      </c>
    </row>
    <row r="2333" spans="6:19" ht="24" customHeight="1">
      <c r="H2333" s="114" t="s">
        <v>4510</v>
      </c>
      <c r="N2333" s="116"/>
      <c r="O2333" s="114" t="s">
        <v>4511</v>
      </c>
      <c r="Q2333" s="117"/>
    </row>
    <row r="2334" spans="6:19" ht="24" customHeight="1">
      <c r="F2334" s="115">
        <v>0.25</v>
      </c>
      <c r="G2334" s="116" t="s">
        <v>727</v>
      </c>
      <c r="H2334" s="115" t="s">
        <v>4512</v>
      </c>
      <c r="I2334" s="115">
        <f>C11</f>
        <v>972.4</v>
      </c>
      <c r="J2334" s="117" t="s">
        <v>729</v>
      </c>
      <c r="K2334" s="115">
        <f>I2334*F2334</f>
        <v>243.1</v>
      </c>
      <c r="M2334" s="115">
        <v>15</v>
      </c>
      <c r="N2334" s="116" t="s">
        <v>468</v>
      </c>
      <c r="O2334" s="304" t="s">
        <v>4513</v>
      </c>
      <c r="P2334" s="162">
        <v>160.25</v>
      </c>
      <c r="Q2334" s="117" t="s">
        <v>468</v>
      </c>
      <c r="R2334" s="115">
        <f>P2334*M2334</f>
        <v>2403.75</v>
      </c>
    </row>
    <row r="2335" spans="6:19" ht="24" customHeight="1">
      <c r="F2335" s="115">
        <v>1</v>
      </c>
      <c r="G2335" s="116" t="s">
        <v>727</v>
      </c>
      <c r="H2335" s="115" t="s">
        <v>4502</v>
      </c>
      <c r="I2335" s="115">
        <f>C12</f>
        <v>679.8</v>
      </c>
      <c r="J2335" s="117" t="s">
        <v>729</v>
      </c>
      <c r="K2335" s="115">
        <f>I2335*F2335</f>
        <v>679.8</v>
      </c>
      <c r="M2335" s="115">
        <v>0.5</v>
      </c>
      <c r="N2335" s="116" t="s">
        <v>476</v>
      </c>
      <c r="O2335" s="115" t="s">
        <v>4507</v>
      </c>
      <c r="P2335" s="115">
        <f>C143/1000</f>
        <v>56.35</v>
      </c>
      <c r="Q2335" s="117" t="s">
        <v>476</v>
      </c>
      <c r="R2335" s="115">
        <f>P2335*M2335</f>
        <v>28.18</v>
      </c>
    </row>
    <row r="2336" spans="6:19" ht="24" customHeight="1">
      <c r="G2336" s="117" t="s">
        <v>145</v>
      </c>
      <c r="H2336" s="115" t="s">
        <v>4514</v>
      </c>
      <c r="I2336" s="115">
        <f>SUM(K2334:K2335)*10/100</f>
        <v>92.29</v>
      </c>
      <c r="J2336" s="117" t="s">
        <v>145</v>
      </c>
      <c r="K2336" s="115">
        <f>I2336</f>
        <v>92.29</v>
      </c>
      <c r="M2336" s="115">
        <v>0.5</v>
      </c>
      <c r="N2336" s="116" t="s">
        <v>727</v>
      </c>
      <c r="O2336" s="115" t="s">
        <v>4501</v>
      </c>
      <c r="P2336" s="115">
        <f>C17</f>
        <v>919.6</v>
      </c>
      <c r="Q2336" s="117" t="s">
        <v>476</v>
      </c>
      <c r="R2336" s="115">
        <f>P2336*M2336</f>
        <v>459.8</v>
      </c>
    </row>
    <row r="2337" spans="4:18" ht="24" customHeight="1">
      <c r="H2337" s="115" t="s">
        <v>4515</v>
      </c>
      <c r="K2337" s="115">
        <f>SUM(K2334:K2336)</f>
        <v>1015.19</v>
      </c>
      <c r="M2337" s="115">
        <v>0.5</v>
      </c>
      <c r="N2337" s="116" t="s">
        <v>727</v>
      </c>
      <c r="O2337" s="115" t="s">
        <v>4502</v>
      </c>
      <c r="P2337" s="115">
        <f>C12</f>
        <v>679.8</v>
      </c>
      <c r="Q2337" s="117" t="s">
        <v>476</v>
      </c>
      <c r="R2337" s="115">
        <f>P2337*M2337</f>
        <v>339.9</v>
      </c>
    </row>
    <row r="2338" spans="4:18" ht="24" customHeight="1">
      <c r="H2338" s="115" t="s">
        <v>4516</v>
      </c>
      <c r="K2338" s="114">
        <f>K2337/2.44</f>
        <v>416.06</v>
      </c>
      <c r="N2338" s="116"/>
      <c r="O2338" s="115" t="s">
        <v>4517</v>
      </c>
      <c r="Q2338" s="117"/>
      <c r="R2338" s="115">
        <f>SUM(R2334:R2337)</f>
        <v>3231.63</v>
      </c>
    </row>
    <row r="2339" spans="4:18" ht="24" customHeight="1">
      <c r="K2339" s="115">
        <v>0</v>
      </c>
      <c r="O2339" s="114" t="s">
        <v>4518</v>
      </c>
      <c r="Q2339" s="117"/>
      <c r="R2339" s="114">
        <f>R2338/15</f>
        <v>215.44</v>
      </c>
    </row>
    <row r="2340" spans="4:18" ht="24" customHeight="1">
      <c r="H2340" s="114" t="s">
        <v>4519</v>
      </c>
    </row>
    <row r="2341" spans="4:18" ht="24" customHeight="1">
      <c r="F2341" s="118">
        <v>7.0999999999999994E-2</v>
      </c>
      <c r="G2341" s="116" t="s">
        <v>2090</v>
      </c>
      <c r="H2341" s="115" t="s">
        <v>4520</v>
      </c>
      <c r="I2341" s="115">
        <f>Y688</f>
        <v>8509.7199999999993</v>
      </c>
      <c r="J2341" s="117" t="s">
        <v>4521</v>
      </c>
      <c r="K2341" s="115">
        <f>I2341*F2341</f>
        <v>604.19000000000005</v>
      </c>
    </row>
    <row r="2342" spans="4:18" ht="24" customHeight="1">
      <c r="F2342" s="115">
        <v>1</v>
      </c>
      <c r="G2342" s="116" t="s">
        <v>1774</v>
      </c>
      <c r="H2342" s="115" t="s">
        <v>478</v>
      </c>
      <c r="I2342" s="115">
        <f>K2338</f>
        <v>416.06</v>
      </c>
      <c r="J2342" s="117" t="s">
        <v>1774</v>
      </c>
      <c r="K2342" s="115">
        <f>I2342*F2342</f>
        <v>416.06</v>
      </c>
    </row>
    <row r="2343" spans="4:18" ht="43.5" customHeight="1">
      <c r="F2343" s="115" t="s">
        <v>85</v>
      </c>
      <c r="H2343" s="115" t="s">
        <v>4522</v>
      </c>
      <c r="K2343" s="114">
        <f>SUM(K2341:K2342)</f>
        <v>1020.25</v>
      </c>
      <c r="N2343" s="116"/>
      <c r="O2343" s="1814" t="s">
        <v>4523</v>
      </c>
      <c r="P2343" s="1815"/>
      <c r="Q2343" s="1815"/>
    </row>
    <row r="2344" spans="4:18" ht="51" customHeight="1">
      <c r="M2344" s="115">
        <v>0.47</v>
      </c>
      <c r="N2344" s="116" t="s">
        <v>5</v>
      </c>
      <c r="O2344" s="115" t="s">
        <v>1767</v>
      </c>
      <c r="P2344" s="115">
        <f>K90</f>
        <v>233.76</v>
      </c>
      <c r="Q2344" s="117" t="s">
        <v>729</v>
      </c>
      <c r="R2344" s="115">
        <f>P2344*M2344</f>
        <v>109.87</v>
      </c>
    </row>
    <row r="2345" spans="4:18" ht="24" customHeight="1">
      <c r="M2345" s="115">
        <v>2</v>
      </c>
      <c r="R2345" s="115">
        <f>P2345*M2345</f>
        <v>0</v>
      </c>
    </row>
    <row r="2346" spans="4:18" ht="36.75" customHeight="1">
      <c r="H2346" s="403" t="s">
        <v>4524</v>
      </c>
      <c r="K2346" s="118"/>
      <c r="M2346" s="115">
        <v>0.24</v>
      </c>
      <c r="N2346" s="116" t="s">
        <v>5</v>
      </c>
      <c r="O2346" s="115" t="s">
        <v>2195</v>
      </c>
      <c r="P2346" s="115">
        <f>AC15</f>
        <v>1316.98</v>
      </c>
      <c r="Q2346" s="117" t="s">
        <v>729</v>
      </c>
      <c r="R2346" s="115">
        <f>P2346*M2346</f>
        <v>316.08</v>
      </c>
    </row>
    <row r="2347" spans="4:18" ht="41.25" customHeight="1">
      <c r="D2347" s="115">
        <f>24/5</f>
        <v>4.8</v>
      </c>
      <c r="F2347" s="115">
        <v>98.5</v>
      </c>
      <c r="G2347" s="116" t="s">
        <v>282</v>
      </c>
      <c r="H2347" s="404" t="s">
        <v>4525</v>
      </c>
      <c r="I2347" s="410">
        <f>25.2/5</f>
        <v>5.04</v>
      </c>
      <c r="J2347" s="117" t="s">
        <v>282</v>
      </c>
      <c r="K2347" s="115">
        <f>I2347*F2347</f>
        <v>496.44</v>
      </c>
      <c r="M2347" s="115">
        <v>0.79</v>
      </c>
      <c r="N2347" s="117" t="s">
        <v>724</v>
      </c>
      <c r="O2347" s="242" t="s">
        <v>4526</v>
      </c>
      <c r="P2347" s="115">
        <f>AD559</f>
        <v>1710.9</v>
      </c>
      <c r="Q2347" s="117" t="s">
        <v>145</v>
      </c>
      <c r="R2347" s="115">
        <f>P2347*M2347</f>
        <v>1351.61</v>
      </c>
    </row>
    <row r="2348" spans="4:18" ht="24" customHeight="1">
      <c r="F2348" s="115">
        <v>0.3</v>
      </c>
      <c r="G2348" s="116" t="s">
        <v>282</v>
      </c>
      <c r="H2348" s="115" t="s">
        <v>1110</v>
      </c>
      <c r="I2348" s="115">
        <f>C16</f>
        <v>1018.6</v>
      </c>
      <c r="J2348" s="117" t="s">
        <v>729</v>
      </c>
      <c r="K2348" s="115">
        <f>I2348*F2348</f>
        <v>305.58</v>
      </c>
      <c r="M2348" s="115">
        <v>0.24</v>
      </c>
      <c r="N2348" s="116" t="s">
        <v>5</v>
      </c>
      <c r="O2348" s="115" t="s">
        <v>475</v>
      </c>
      <c r="P2348" s="115">
        <f>I140</f>
        <v>1642.42</v>
      </c>
      <c r="Q2348" s="117"/>
      <c r="R2348" s="115">
        <f>P2348*M2348</f>
        <v>394.18</v>
      </c>
    </row>
    <row r="2349" spans="4:18" ht="24" customHeight="1">
      <c r="F2349" s="115">
        <v>0.3</v>
      </c>
      <c r="G2349" s="115" t="s">
        <v>282</v>
      </c>
      <c r="H2349" s="115" t="s">
        <v>4502</v>
      </c>
      <c r="I2349" s="115">
        <f>C12</f>
        <v>679.8</v>
      </c>
      <c r="J2349" s="117" t="s">
        <v>729</v>
      </c>
      <c r="K2349" s="115">
        <f>I2349*F2349</f>
        <v>203.94</v>
      </c>
      <c r="N2349" s="116"/>
      <c r="O2349" s="115" t="s">
        <v>1557</v>
      </c>
      <c r="Q2349" s="117"/>
      <c r="R2349" s="115" t="s">
        <v>4527</v>
      </c>
    </row>
    <row r="2350" spans="4:18" ht="24" customHeight="1">
      <c r="H2350" s="115" t="s">
        <v>4528</v>
      </c>
      <c r="K2350" s="115">
        <v>0.9</v>
      </c>
      <c r="R2350" s="114">
        <f>SUM(R2344:R2348)</f>
        <v>2171.7399999999998</v>
      </c>
    </row>
    <row r="2351" spans="4:18" ht="24" customHeight="1">
      <c r="H2351" s="114" t="s">
        <v>4529</v>
      </c>
      <c r="K2351" s="114">
        <f>SUM(K2347:K2350)</f>
        <v>1006.86</v>
      </c>
      <c r="R2351" s="115" t="s">
        <v>3617</v>
      </c>
    </row>
    <row r="2352" spans="4:18" ht="24" customHeight="1">
      <c r="H2352" s="114" t="s">
        <v>4530</v>
      </c>
      <c r="K2352" s="114">
        <f>K2351/10</f>
        <v>100.69</v>
      </c>
      <c r="R2352" s="115">
        <v>0</v>
      </c>
    </row>
    <row r="2353" spans="6:18" ht="24" customHeight="1">
      <c r="H2353" s="114" t="s">
        <v>4531</v>
      </c>
      <c r="K2353" s="114">
        <f>K2352/3</f>
        <v>33.56</v>
      </c>
      <c r="N2353" s="116"/>
      <c r="O2353" s="1814" t="s">
        <v>4532</v>
      </c>
      <c r="P2353" s="1815"/>
      <c r="Q2353" s="1815"/>
    </row>
    <row r="2354" spans="6:18" ht="24" customHeight="1">
      <c r="G2354" s="305" t="s">
        <v>4533</v>
      </c>
      <c r="H2354" s="115" t="s">
        <v>4534</v>
      </c>
      <c r="I2354" s="114">
        <f>I2356-K2352</f>
        <v>881.39</v>
      </c>
      <c r="K2354" s="114"/>
      <c r="M2354" s="115">
        <v>1</v>
      </c>
      <c r="N2354" s="116" t="s">
        <v>5</v>
      </c>
      <c r="O2354" s="115" t="s">
        <v>478</v>
      </c>
      <c r="P2354" s="115">
        <f>R2365</f>
        <v>416.06</v>
      </c>
      <c r="Q2354" s="117" t="s">
        <v>729</v>
      </c>
      <c r="R2354" s="115">
        <f>P2354*M2354</f>
        <v>416.06</v>
      </c>
    </row>
    <row r="2355" spans="6:18" ht="24" customHeight="1">
      <c r="G2355" s="200"/>
      <c r="I2355" s="114"/>
      <c r="K2355" s="114"/>
      <c r="M2355" s="118">
        <v>7.0999999999999994E-2</v>
      </c>
      <c r="N2355" s="116" t="s">
        <v>5</v>
      </c>
      <c r="O2355" s="115" t="s">
        <v>2195</v>
      </c>
      <c r="P2355" s="115">
        <f>P2346</f>
        <v>1316.98</v>
      </c>
      <c r="Q2355" s="117" t="s">
        <v>729</v>
      </c>
      <c r="R2355" s="115">
        <f>P2355*M2355</f>
        <v>93.51</v>
      </c>
    </row>
    <row r="2356" spans="6:18" ht="24" customHeight="1">
      <c r="G2356" s="305" t="s">
        <v>986</v>
      </c>
      <c r="H2356" s="115" t="s">
        <v>4535</v>
      </c>
      <c r="I2356" s="114">
        <f>K770</f>
        <v>982.08</v>
      </c>
      <c r="K2356" s="114"/>
      <c r="R2356" s="115" t="s">
        <v>4527</v>
      </c>
    </row>
    <row r="2357" spans="6:18" ht="24" customHeight="1">
      <c r="G2357" s="200"/>
      <c r="I2357" s="114"/>
      <c r="K2357" s="114"/>
      <c r="N2357" s="117"/>
      <c r="Q2357" s="117"/>
      <c r="R2357" s="114">
        <f>SUM(R2354:R2355)</f>
        <v>509.57</v>
      </c>
    </row>
    <row r="2358" spans="6:18" ht="24" customHeight="1">
      <c r="G2358" s="405" t="s">
        <v>1018</v>
      </c>
      <c r="H2358" s="184" t="s">
        <v>4536</v>
      </c>
      <c r="I2358" s="114">
        <f>I2356*1.2</f>
        <v>1178.5</v>
      </c>
      <c r="K2358" s="114"/>
      <c r="N2358" s="116"/>
      <c r="Q2358" s="117"/>
      <c r="R2358" s="115" t="s">
        <v>4527</v>
      </c>
    </row>
    <row r="2359" spans="6:18" ht="24" customHeight="1">
      <c r="G2359" s="305"/>
      <c r="K2359" s="114"/>
      <c r="M2359" s="115">
        <v>0.25</v>
      </c>
      <c r="N2359" s="116" t="s">
        <v>1034</v>
      </c>
      <c r="O2359" s="115" t="s">
        <v>4537</v>
      </c>
      <c r="P2359" s="115">
        <f>AE10</f>
        <v>972.4</v>
      </c>
      <c r="Q2359" s="117"/>
      <c r="R2359" s="115">
        <f>P2359*M2359</f>
        <v>243.1</v>
      </c>
    </row>
    <row r="2360" spans="6:18" ht="24" customHeight="1">
      <c r="G2360" s="305" t="s">
        <v>4538</v>
      </c>
      <c r="H2360" s="115" t="s">
        <v>4539</v>
      </c>
      <c r="I2360" s="114">
        <f>I2356*1.1</f>
        <v>1080.29</v>
      </c>
      <c r="K2360" s="114"/>
      <c r="M2360" s="115">
        <v>1</v>
      </c>
      <c r="N2360" s="116" t="s">
        <v>1034</v>
      </c>
      <c r="O2360" s="115" t="s">
        <v>4540</v>
      </c>
      <c r="P2360" s="115">
        <f>AE11</f>
        <v>679.8</v>
      </c>
      <c r="R2360" s="115">
        <f>P2360*M2360</f>
        <v>679.8</v>
      </c>
    </row>
    <row r="2361" spans="6:18" ht="42" customHeight="1">
      <c r="K2361" s="114"/>
      <c r="M2361" s="115">
        <v>1</v>
      </c>
      <c r="N2361" s="115" t="s">
        <v>1034</v>
      </c>
      <c r="O2361" s="360" t="s">
        <v>4541</v>
      </c>
      <c r="P2361" s="115" t="s">
        <v>49</v>
      </c>
      <c r="R2361" s="115">
        <f>(R2359+R2360)*10%</f>
        <v>92.29</v>
      </c>
    </row>
    <row r="2362" spans="6:18" ht="24" customHeight="1">
      <c r="R2362" s="115" t="s">
        <v>4527</v>
      </c>
    </row>
    <row r="2363" spans="6:18" ht="24" customHeight="1">
      <c r="H2363" s="114" t="s">
        <v>4542</v>
      </c>
      <c r="R2363" s="114">
        <f>SUM(R2359:R2361)</f>
        <v>1015.19</v>
      </c>
    </row>
    <row r="2364" spans="6:18" ht="24" customHeight="1">
      <c r="F2364" s="115">
        <v>11.5</v>
      </c>
      <c r="G2364" s="116" t="s">
        <v>724</v>
      </c>
      <c r="H2364" s="406" t="s">
        <v>4543</v>
      </c>
      <c r="I2364" s="163">
        <v>170.15</v>
      </c>
      <c r="J2364" s="117" t="s">
        <v>724</v>
      </c>
      <c r="K2364" s="115">
        <f t="shared" ref="K2364:K2369" si="241">F2364*I2364</f>
        <v>1956.73</v>
      </c>
      <c r="R2364" s="115" t="s">
        <v>4527</v>
      </c>
    </row>
    <row r="2365" spans="6:18" ht="24" customHeight="1">
      <c r="F2365" s="115">
        <v>2</v>
      </c>
      <c r="G2365" s="116" t="s">
        <v>4544</v>
      </c>
      <c r="H2365" s="406" t="s">
        <v>4545</v>
      </c>
      <c r="I2365" s="163">
        <v>196.45</v>
      </c>
      <c r="J2365" s="117" t="s">
        <v>4546</v>
      </c>
      <c r="K2365" s="115">
        <f t="shared" si="241"/>
        <v>392.9</v>
      </c>
      <c r="R2365" s="115">
        <f>R2363/2.44</f>
        <v>416.06</v>
      </c>
    </row>
    <row r="2366" spans="6:18" ht="24" customHeight="1">
      <c r="F2366" s="115">
        <v>20</v>
      </c>
      <c r="G2366" s="116" t="s">
        <v>3092</v>
      </c>
      <c r="H2366" s="1168" t="s">
        <v>4547</v>
      </c>
      <c r="I2366" s="163">
        <v>3.91</v>
      </c>
      <c r="J2366" s="117" t="s">
        <v>3092</v>
      </c>
      <c r="K2366" s="115">
        <f t="shared" si="241"/>
        <v>78.2</v>
      </c>
    </row>
    <row r="2367" spans="6:18" ht="24" customHeight="1">
      <c r="F2367" s="115">
        <v>2.2000000000000002</v>
      </c>
      <c r="G2367" s="116" t="s">
        <v>1034</v>
      </c>
      <c r="H2367" s="115" t="s">
        <v>4548</v>
      </c>
      <c r="I2367" s="115">
        <f>AE18</f>
        <v>893.2</v>
      </c>
      <c r="J2367" s="117" t="s">
        <v>729</v>
      </c>
      <c r="K2367" s="115">
        <f t="shared" si="241"/>
        <v>1965.04</v>
      </c>
    </row>
    <row r="2368" spans="6:18" ht="24" customHeight="1">
      <c r="F2368" s="115">
        <v>1.1000000000000001</v>
      </c>
      <c r="G2368" s="116" t="s">
        <v>1034</v>
      </c>
      <c r="H2368" s="115" t="s">
        <v>4549</v>
      </c>
      <c r="I2368" s="115">
        <f>C16</f>
        <v>1018.6</v>
      </c>
      <c r="J2368" s="117" t="s">
        <v>729</v>
      </c>
      <c r="K2368" s="115">
        <f t="shared" si="241"/>
        <v>1120.46</v>
      </c>
    </row>
    <row r="2369" spans="6:18" ht="24" customHeight="1">
      <c r="F2369" s="115">
        <v>3.2</v>
      </c>
      <c r="G2369" s="116" t="s">
        <v>1034</v>
      </c>
      <c r="H2369" s="115" t="s">
        <v>4550</v>
      </c>
      <c r="I2369" s="115">
        <f>C12</f>
        <v>679.8</v>
      </c>
      <c r="J2369" s="117" t="s">
        <v>729</v>
      </c>
      <c r="K2369" s="115">
        <f t="shared" si="241"/>
        <v>2175.36</v>
      </c>
      <c r="O2369" s="119"/>
    </row>
    <row r="2370" spans="6:18" ht="24" customHeight="1">
      <c r="H2370" s="115" t="s">
        <v>4551</v>
      </c>
      <c r="J2370" s="117" t="s">
        <v>145</v>
      </c>
      <c r="K2370" s="115">
        <v>0.5</v>
      </c>
      <c r="N2370" s="116"/>
      <c r="O2370" s="166" t="s">
        <v>4552</v>
      </c>
      <c r="Q2370" s="117"/>
    </row>
    <row r="2371" spans="6:18" ht="24" customHeight="1">
      <c r="K2371" s="1167" t="s">
        <v>2163</v>
      </c>
      <c r="M2371" s="115">
        <v>11</v>
      </c>
      <c r="N2371" s="116" t="s">
        <v>724</v>
      </c>
      <c r="O2371" s="115" t="s">
        <v>4553</v>
      </c>
      <c r="P2371" s="138">
        <f>I2364</f>
        <v>170.15</v>
      </c>
      <c r="Q2371" s="117" t="s">
        <v>724</v>
      </c>
      <c r="R2371" s="115">
        <f>M2371*P2371</f>
        <v>1871.65</v>
      </c>
    </row>
    <row r="2372" spans="6:18" ht="24" customHeight="1">
      <c r="H2372" s="166" t="s">
        <v>4554</v>
      </c>
      <c r="K2372" s="114">
        <f>SUM(K2364:K2371)</f>
        <v>7689.19</v>
      </c>
      <c r="M2372" s="115">
        <v>20</v>
      </c>
      <c r="N2372" s="117" t="s">
        <v>1715</v>
      </c>
      <c r="O2372" s="115" t="s">
        <v>4555</v>
      </c>
      <c r="P2372" s="138">
        <f>I2366</f>
        <v>3.91</v>
      </c>
      <c r="Q2372" s="117" t="s">
        <v>1715</v>
      </c>
      <c r="R2372" s="115">
        <f>M2372*P2372</f>
        <v>78.2</v>
      </c>
    </row>
    <row r="2373" spans="6:18" ht="24" customHeight="1">
      <c r="K2373" s="1167" t="s">
        <v>2163</v>
      </c>
      <c r="M2373" s="115">
        <v>2.2000000000000002</v>
      </c>
      <c r="N2373" s="116" t="s">
        <v>1034</v>
      </c>
      <c r="O2373" s="115" t="s">
        <v>4548</v>
      </c>
      <c r="P2373" s="115">
        <f>AE18</f>
        <v>893.2</v>
      </c>
      <c r="Q2373" s="117" t="s">
        <v>729</v>
      </c>
      <c r="R2373" s="115">
        <f>M2373*P2373</f>
        <v>1965.04</v>
      </c>
    </row>
    <row r="2374" spans="6:18" ht="24" customHeight="1">
      <c r="H2374" s="166" t="s">
        <v>1755</v>
      </c>
      <c r="I2374" s="115" t="s">
        <v>85</v>
      </c>
      <c r="K2374" s="114">
        <f>K2372/10</f>
        <v>768.92</v>
      </c>
      <c r="M2374" s="115">
        <v>1.1000000000000001</v>
      </c>
      <c r="N2374" s="116" t="s">
        <v>1034</v>
      </c>
      <c r="O2374" s="115" t="s">
        <v>4549</v>
      </c>
      <c r="P2374" s="115">
        <f>I2368</f>
        <v>1018.6</v>
      </c>
      <c r="Q2374" s="117" t="s">
        <v>729</v>
      </c>
      <c r="R2374" s="115">
        <f>M2374*P2374</f>
        <v>1120.46</v>
      </c>
    </row>
    <row r="2375" spans="6:18" ht="24" customHeight="1">
      <c r="K2375" s="1167" t="s">
        <v>2163</v>
      </c>
      <c r="M2375" s="115">
        <v>3.2</v>
      </c>
      <c r="N2375" s="116" t="s">
        <v>1034</v>
      </c>
      <c r="O2375" s="115" t="s">
        <v>4550</v>
      </c>
      <c r="P2375" s="115">
        <f>I2369</f>
        <v>679.8</v>
      </c>
      <c r="Q2375" s="117" t="s">
        <v>729</v>
      </c>
      <c r="R2375" s="115">
        <f>M2375*P2375</f>
        <v>2175.36</v>
      </c>
    </row>
    <row r="2376" spans="6:18" ht="24" customHeight="1">
      <c r="N2376" s="116"/>
      <c r="O2376" s="115" t="s">
        <v>4551</v>
      </c>
      <c r="Q2376" s="117" t="s">
        <v>49</v>
      </c>
      <c r="R2376" s="115">
        <v>0.74</v>
      </c>
    </row>
    <row r="2378" spans="6:18" ht="39" customHeight="1">
      <c r="G2378" s="115"/>
      <c r="H2378" s="411" t="s">
        <v>4556</v>
      </c>
      <c r="N2378" s="116"/>
      <c r="Q2378" s="117"/>
      <c r="R2378" s="1167" t="s">
        <v>2163</v>
      </c>
    </row>
    <row r="2379" spans="6:18" ht="24" customHeight="1">
      <c r="G2379" s="115"/>
      <c r="N2379" s="116"/>
      <c r="O2379" s="166" t="s">
        <v>4554</v>
      </c>
      <c r="Q2379" s="117"/>
      <c r="R2379" s="114">
        <f>SUM(R2371:R2378)</f>
        <v>7211.45</v>
      </c>
    </row>
    <row r="2380" spans="6:18" ht="24" customHeight="1">
      <c r="F2380" s="115" t="s">
        <v>4011</v>
      </c>
      <c r="G2380" s="115"/>
      <c r="H2380" s="115" t="s">
        <v>4557</v>
      </c>
      <c r="N2380" s="116"/>
      <c r="Q2380" s="117"/>
      <c r="R2380" s="1167" t="s">
        <v>2163</v>
      </c>
    </row>
    <row r="2381" spans="6:18" ht="24" customHeight="1">
      <c r="G2381" s="115"/>
      <c r="H2381" s="115" t="s">
        <v>4558</v>
      </c>
      <c r="N2381" s="116"/>
      <c r="O2381" s="166" t="s">
        <v>4559</v>
      </c>
      <c r="Q2381" s="117"/>
      <c r="R2381" s="114">
        <f>R2379/10</f>
        <v>721.15</v>
      </c>
    </row>
    <row r="2382" spans="6:18" ht="24" customHeight="1">
      <c r="G2382" s="115"/>
      <c r="N2382" s="116"/>
      <c r="Q2382" s="117"/>
      <c r="R2382" s="1167" t="s">
        <v>2163</v>
      </c>
    </row>
    <row r="2383" spans="6:18" ht="24" customHeight="1">
      <c r="F2383" s="115">
        <v>1.96</v>
      </c>
      <c r="G2383" s="115" t="s">
        <v>5</v>
      </c>
      <c r="H2383" s="115" t="s">
        <v>4560</v>
      </c>
      <c r="I2383" s="115">
        <f>K1713</f>
        <v>5819.8</v>
      </c>
      <c r="J2383" s="120" t="s">
        <v>132</v>
      </c>
      <c r="K2383" s="129">
        <f t="shared" ref="K2383:K2388" si="242">(F2383*I2383)</f>
        <v>11406.81</v>
      </c>
    </row>
    <row r="2384" spans="6:18" ht="24" customHeight="1">
      <c r="F2384" s="115">
        <v>2</v>
      </c>
      <c r="G2384" s="115" t="s">
        <v>1034</v>
      </c>
      <c r="H2384" s="115" t="s">
        <v>2129</v>
      </c>
      <c r="I2384" s="115">
        <f>C10</f>
        <v>1041.7</v>
      </c>
      <c r="J2384" s="120" t="s">
        <v>131</v>
      </c>
      <c r="K2384" s="129">
        <f t="shared" si="242"/>
        <v>2083.4</v>
      </c>
    </row>
    <row r="2385" spans="5:18" ht="24" customHeight="1">
      <c r="F2385" s="115">
        <v>2</v>
      </c>
      <c r="G2385" s="115" t="s">
        <v>1034</v>
      </c>
      <c r="H2385" s="115" t="s">
        <v>2130</v>
      </c>
      <c r="I2385" s="115">
        <f>C13</f>
        <v>557.70000000000005</v>
      </c>
      <c r="J2385" s="120" t="s">
        <v>131</v>
      </c>
      <c r="K2385" s="129">
        <f t="shared" si="242"/>
        <v>1115.4000000000001</v>
      </c>
      <c r="N2385" s="126" t="s">
        <v>111</v>
      </c>
      <c r="Q2385" s="117"/>
    </row>
    <row r="2386" spans="5:18" ht="24" customHeight="1">
      <c r="F2386" s="115">
        <v>0.28000000000000003</v>
      </c>
      <c r="G2386" s="115" t="s">
        <v>724</v>
      </c>
      <c r="H2386" s="115" t="s">
        <v>4561</v>
      </c>
      <c r="I2386" s="115">
        <f>I2354</f>
        <v>881.39</v>
      </c>
      <c r="J2386" s="120" t="s">
        <v>131</v>
      </c>
      <c r="K2386" s="129">
        <f t="shared" si="242"/>
        <v>246.79</v>
      </c>
      <c r="N2386" s="116"/>
      <c r="O2386" s="120" t="s">
        <v>4562</v>
      </c>
      <c r="Q2386" s="119"/>
    </row>
    <row r="2387" spans="5:18" ht="24" customHeight="1">
      <c r="F2387" s="115">
        <v>500</v>
      </c>
      <c r="G2387" s="115" t="s">
        <v>1034</v>
      </c>
      <c r="H2387" s="412" t="s">
        <v>4563</v>
      </c>
      <c r="I2387" s="115">
        <v>2</v>
      </c>
      <c r="J2387" s="120" t="s">
        <v>131</v>
      </c>
      <c r="K2387" s="129">
        <f t="shared" si="242"/>
        <v>1000</v>
      </c>
      <c r="N2387" s="116"/>
      <c r="O2387" s="120" t="s">
        <v>4564</v>
      </c>
      <c r="Q2387" s="119"/>
    </row>
    <row r="2388" spans="5:18" ht="24" customHeight="1">
      <c r="F2388" s="115">
        <v>8.5</v>
      </c>
      <c r="G2388" s="115" t="s">
        <v>2038</v>
      </c>
      <c r="H2388" s="413" t="s">
        <v>4565</v>
      </c>
      <c r="I2388" s="231">
        <v>43.6</v>
      </c>
      <c r="J2388" s="117" t="s">
        <v>2038</v>
      </c>
      <c r="K2388" s="129">
        <f t="shared" si="242"/>
        <v>370.6</v>
      </c>
      <c r="N2388" s="116"/>
      <c r="O2388" s="120" t="s">
        <v>4566</v>
      </c>
      <c r="Q2388" s="119"/>
    </row>
    <row r="2389" spans="5:18" ht="24" customHeight="1">
      <c r="G2389" s="115"/>
      <c r="H2389" s="115" t="s">
        <v>1557</v>
      </c>
      <c r="K2389" s="240">
        <v>1.96</v>
      </c>
      <c r="N2389" s="116"/>
      <c r="O2389" s="120" t="s">
        <v>4567</v>
      </c>
      <c r="Q2389" s="119"/>
    </row>
    <row r="2390" spans="5:18" ht="24" customHeight="1">
      <c r="G2390" s="115"/>
      <c r="I2390" s="115" t="s">
        <v>4568</v>
      </c>
      <c r="K2390" s="129">
        <f>SUM(K2383:K2389)</f>
        <v>16224.96</v>
      </c>
      <c r="N2390" s="116"/>
      <c r="O2390" s="123" t="s">
        <v>52</v>
      </c>
      <c r="P2390" s="123" t="s">
        <v>52</v>
      </c>
      <c r="Q2390" s="119"/>
      <c r="R2390" s="129"/>
    </row>
    <row r="2391" spans="5:18" ht="24" customHeight="1">
      <c r="G2391" s="115"/>
      <c r="K2391" s="123" t="s">
        <v>52</v>
      </c>
      <c r="M2391" s="115">
        <v>8</v>
      </c>
      <c r="N2391" s="126" t="s">
        <v>1572</v>
      </c>
      <c r="O2391" s="120" t="s">
        <v>4569</v>
      </c>
      <c r="P2391" s="250">
        <v>4.0999999999999996</v>
      </c>
      <c r="Q2391" s="121" t="s">
        <v>729</v>
      </c>
      <c r="R2391" s="129">
        <f>P2391*M2391</f>
        <v>32.799999999999997</v>
      </c>
    </row>
    <row r="2392" spans="5:18" ht="24" customHeight="1">
      <c r="E2392" s="115">
        <f>23+26.65</f>
        <v>49.65</v>
      </c>
      <c r="G2392" s="115"/>
      <c r="I2392" s="115" t="s">
        <v>4518</v>
      </c>
      <c r="K2392" s="127">
        <f>K2390/39.2</f>
        <v>413.9</v>
      </c>
      <c r="M2392" s="115">
        <v>8</v>
      </c>
      <c r="N2392" s="126" t="s">
        <v>1572</v>
      </c>
      <c r="O2392" s="120" t="s">
        <v>4570</v>
      </c>
      <c r="P2392" s="250">
        <v>3.69</v>
      </c>
      <c r="Q2392" s="121" t="s">
        <v>729</v>
      </c>
      <c r="R2392" s="129">
        <f>P2392*M2392</f>
        <v>29.52</v>
      </c>
    </row>
    <row r="2393" spans="5:18" ht="24" customHeight="1">
      <c r="E2393" s="115">
        <f>E2392/2</f>
        <v>24.83</v>
      </c>
      <c r="G2393" s="115"/>
      <c r="K2393" s="123" t="s">
        <v>89</v>
      </c>
      <c r="M2393" s="115">
        <v>8</v>
      </c>
      <c r="N2393" s="126" t="s">
        <v>1572</v>
      </c>
      <c r="O2393" s="120" t="s">
        <v>4571</v>
      </c>
      <c r="P2393" s="250">
        <v>4.0999999999999996</v>
      </c>
      <c r="Q2393" s="121" t="s">
        <v>729</v>
      </c>
      <c r="R2393" s="129">
        <f>P2393*M2393</f>
        <v>32.799999999999997</v>
      </c>
    </row>
    <row r="2394" spans="5:18" ht="24" customHeight="1">
      <c r="G2394" s="115"/>
      <c r="M2394" s="115">
        <v>0.75</v>
      </c>
      <c r="N2394" s="126" t="s">
        <v>39</v>
      </c>
      <c r="O2394" s="120" t="s">
        <v>4572</v>
      </c>
      <c r="P2394" s="140">
        <v>176.4</v>
      </c>
      <c r="Q2394" s="121" t="s">
        <v>729</v>
      </c>
      <c r="R2394" s="129">
        <f t="shared" ref="R2394:R2399" si="243">(M2394*P2394)</f>
        <v>132.30000000000001</v>
      </c>
    </row>
    <row r="2395" spans="5:18" ht="24" customHeight="1">
      <c r="G2395" s="115"/>
      <c r="M2395" s="115">
        <v>2.25</v>
      </c>
      <c r="N2395" s="126" t="s">
        <v>4573</v>
      </c>
      <c r="O2395" s="120" t="s">
        <v>4574</v>
      </c>
      <c r="P2395" s="140">
        <v>140.41</v>
      </c>
      <c r="Q2395" s="121" t="s">
        <v>4573</v>
      </c>
      <c r="R2395" s="129">
        <f t="shared" si="243"/>
        <v>315.92</v>
      </c>
    </row>
    <row r="2396" spans="5:18" ht="24" customHeight="1">
      <c r="G2396" s="115"/>
      <c r="H2396" s="114" t="s">
        <v>85</v>
      </c>
      <c r="M2396" s="115">
        <v>4.5</v>
      </c>
      <c r="N2396" s="126" t="s">
        <v>4573</v>
      </c>
      <c r="O2396" s="120" t="s">
        <v>4575</v>
      </c>
      <c r="P2396" s="140">
        <v>65</v>
      </c>
      <c r="Q2396" s="121" t="s">
        <v>4573</v>
      </c>
      <c r="R2396" s="129">
        <f t="shared" si="243"/>
        <v>292.5</v>
      </c>
    </row>
    <row r="2397" spans="5:18" ht="34.5" customHeight="1">
      <c r="F2397" s="115">
        <v>1</v>
      </c>
      <c r="G2397" s="115" t="s">
        <v>1034</v>
      </c>
      <c r="H2397" s="414" t="s">
        <v>4576</v>
      </c>
      <c r="I2397" s="163">
        <v>454.5</v>
      </c>
      <c r="J2397" s="120" t="s">
        <v>131</v>
      </c>
      <c r="K2397" s="129">
        <f>(F2397*I2397)</f>
        <v>454.5</v>
      </c>
      <c r="M2397" s="115">
        <v>6</v>
      </c>
      <c r="N2397" s="126" t="s">
        <v>1572</v>
      </c>
      <c r="O2397" s="120" t="s">
        <v>4577</v>
      </c>
      <c r="P2397" s="140">
        <v>8</v>
      </c>
      <c r="Q2397" s="121" t="s">
        <v>729</v>
      </c>
      <c r="R2397" s="129">
        <f t="shared" si="243"/>
        <v>48</v>
      </c>
    </row>
    <row r="2398" spans="5:18" ht="24" customHeight="1">
      <c r="F2398" s="115">
        <v>0.25</v>
      </c>
      <c r="G2398" s="115" t="s">
        <v>1034</v>
      </c>
      <c r="H2398" s="115" t="s">
        <v>2129</v>
      </c>
      <c r="I2398" s="115">
        <f>I2384</f>
        <v>1041.7</v>
      </c>
      <c r="J2398" s="120" t="s">
        <v>131</v>
      </c>
      <c r="K2398" s="129">
        <f>(F2398*I2398)</f>
        <v>260.43</v>
      </c>
      <c r="M2398" s="115">
        <v>6</v>
      </c>
      <c r="N2398" s="126" t="s">
        <v>1572</v>
      </c>
      <c r="O2398" s="120" t="s">
        <v>4578</v>
      </c>
      <c r="P2398" s="140">
        <v>8.61</v>
      </c>
      <c r="Q2398" s="121" t="s">
        <v>729</v>
      </c>
      <c r="R2398" s="129">
        <f t="shared" si="243"/>
        <v>51.66</v>
      </c>
    </row>
    <row r="2399" spans="5:18" ht="24" customHeight="1">
      <c r="F2399" s="115">
        <v>0.28000000000000003</v>
      </c>
      <c r="G2399" s="115" t="s">
        <v>724</v>
      </c>
      <c r="H2399" s="115" t="s">
        <v>4502</v>
      </c>
      <c r="I2399" s="115">
        <f>C12</f>
        <v>679.8</v>
      </c>
      <c r="J2399" s="120" t="s">
        <v>131</v>
      </c>
      <c r="K2399" s="129">
        <f>(F2399*I2399)</f>
        <v>190.34</v>
      </c>
      <c r="M2399" s="115">
        <v>4</v>
      </c>
      <c r="N2399" s="126" t="s">
        <v>1572</v>
      </c>
      <c r="O2399" s="120" t="s">
        <v>4579</v>
      </c>
      <c r="P2399" s="140">
        <v>8.61</v>
      </c>
      <c r="Q2399" s="121" t="s">
        <v>729</v>
      </c>
      <c r="R2399" s="129">
        <f t="shared" si="243"/>
        <v>34.44</v>
      </c>
    </row>
    <row r="2400" spans="5:18" ht="24" customHeight="1">
      <c r="G2400" s="115"/>
      <c r="H2400" s="412"/>
      <c r="J2400" s="120"/>
      <c r="K2400" s="129"/>
      <c r="M2400" s="115">
        <v>300</v>
      </c>
      <c r="N2400" s="126" t="s">
        <v>4580</v>
      </c>
      <c r="O2400" s="120" t="s">
        <v>4581</v>
      </c>
      <c r="P2400" s="140">
        <v>30</v>
      </c>
      <c r="Q2400" s="121" t="s">
        <v>4582</v>
      </c>
      <c r="R2400" s="129">
        <f>P2400*M2400/100</f>
        <v>90</v>
      </c>
    </row>
    <row r="2401" spans="6:18" ht="24" customHeight="1">
      <c r="G2401" s="115"/>
      <c r="K2401" s="129"/>
      <c r="M2401" s="115">
        <v>300</v>
      </c>
      <c r="N2401" s="126" t="s">
        <v>4580</v>
      </c>
      <c r="O2401" s="120" t="s">
        <v>4583</v>
      </c>
      <c r="P2401" s="140">
        <v>44.99</v>
      </c>
      <c r="Q2401" s="121" t="s">
        <v>4584</v>
      </c>
      <c r="R2401" s="129">
        <f>P2401*M2401/500</f>
        <v>26.99</v>
      </c>
    </row>
    <row r="2402" spans="6:18" ht="24" customHeight="1">
      <c r="G2402" s="115"/>
      <c r="K2402" s="1169" t="s">
        <v>2163</v>
      </c>
      <c r="M2402" s="115">
        <v>1.5</v>
      </c>
      <c r="N2402" s="126" t="s">
        <v>39</v>
      </c>
      <c r="O2402" s="120" t="s">
        <v>4585</v>
      </c>
      <c r="P2402" s="140">
        <v>20.95</v>
      </c>
      <c r="Q2402" s="121" t="s">
        <v>39</v>
      </c>
      <c r="R2402" s="129">
        <f>P2402*M2402</f>
        <v>31.43</v>
      </c>
    </row>
    <row r="2403" spans="6:18" ht="24" customHeight="1">
      <c r="G2403" s="115"/>
      <c r="K2403" s="127">
        <f>SUM(K2397:K2402)</f>
        <v>905.27</v>
      </c>
      <c r="M2403" s="115">
        <v>2.25</v>
      </c>
      <c r="N2403" s="126" t="s">
        <v>4573</v>
      </c>
      <c r="O2403" s="120" t="s">
        <v>4586</v>
      </c>
      <c r="P2403" s="140">
        <v>212.41</v>
      </c>
      <c r="Q2403" s="121" t="s">
        <v>4573</v>
      </c>
      <c r="R2403" s="129">
        <f>(M2403*P2403)</f>
        <v>477.92</v>
      </c>
    </row>
    <row r="2404" spans="6:18" ht="24" customHeight="1">
      <c r="G2404" s="115"/>
      <c r="K2404" s="1169" t="s">
        <v>2163</v>
      </c>
      <c r="M2404" s="115">
        <v>0.75</v>
      </c>
      <c r="N2404" s="126" t="s">
        <v>4573</v>
      </c>
      <c r="O2404" s="120" t="s">
        <v>4587</v>
      </c>
      <c r="P2404" s="140">
        <v>205.21</v>
      </c>
      <c r="Q2404" s="121" t="s">
        <v>4573</v>
      </c>
      <c r="R2404" s="129">
        <f>(M2404*P2404)</f>
        <v>153.91</v>
      </c>
    </row>
    <row r="2405" spans="6:18" ht="24" customHeight="1">
      <c r="G2405" s="115"/>
      <c r="K2405" s="129"/>
      <c r="M2405" s="115">
        <v>2.25</v>
      </c>
      <c r="N2405" s="126" t="s">
        <v>4573</v>
      </c>
      <c r="O2405" s="120" t="s">
        <v>4588</v>
      </c>
      <c r="P2405" s="140">
        <v>185.21</v>
      </c>
      <c r="Q2405" s="121" t="s">
        <v>4573</v>
      </c>
      <c r="R2405" s="129">
        <f>(M2405*P2405)</f>
        <v>416.72</v>
      </c>
    </row>
    <row r="2406" spans="6:18" ht="24" customHeight="1">
      <c r="G2406" s="115"/>
      <c r="M2406" s="115">
        <v>500</v>
      </c>
      <c r="N2406" s="126" t="s">
        <v>4580</v>
      </c>
      <c r="O2406" s="120" t="s">
        <v>4589</v>
      </c>
      <c r="P2406" s="140">
        <v>52.25</v>
      </c>
      <c r="Q2406" s="121" t="s">
        <v>39</v>
      </c>
      <c r="R2406" s="129">
        <f>(M2406*P2406)/1000</f>
        <v>26.13</v>
      </c>
    </row>
    <row r="2407" spans="6:18" ht="24" customHeight="1">
      <c r="G2407" s="115"/>
      <c r="H2407" s="114" t="s">
        <v>4590</v>
      </c>
      <c r="M2407" s="115">
        <v>1</v>
      </c>
      <c r="N2407" s="126" t="s">
        <v>1572</v>
      </c>
      <c r="O2407" s="120" t="s">
        <v>4591</v>
      </c>
      <c r="P2407" s="140">
        <v>131.21</v>
      </c>
      <c r="Q2407" s="119" t="s">
        <v>4592</v>
      </c>
      <c r="R2407" s="129">
        <f>P2407/1</f>
        <v>131.21</v>
      </c>
    </row>
    <row r="2408" spans="6:18" ht="24" customHeight="1">
      <c r="F2408" s="115">
        <v>1</v>
      </c>
      <c r="G2408" s="115" t="s">
        <v>1034</v>
      </c>
      <c r="H2408" s="406" t="s">
        <v>4593</v>
      </c>
      <c r="I2408" s="115">
        <f>C619</f>
        <v>940</v>
      </c>
      <c r="J2408" s="120" t="s">
        <v>131</v>
      </c>
      <c r="K2408" s="129">
        <f>(F2408*I2408)</f>
        <v>940</v>
      </c>
      <c r="M2408" s="115">
        <v>1</v>
      </c>
      <c r="N2408" s="126" t="s">
        <v>1572</v>
      </c>
      <c r="O2408" s="120" t="s">
        <v>4594</v>
      </c>
      <c r="P2408" s="140">
        <v>12.3</v>
      </c>
      <c r="Q2408" s="119" t="s">
        <v>4592</v>
      </c>
      <c r="R2408" s="129">
        <f>P2408/1</f>
        <v>12.3</v>
      </c>
    </row>
    <row r="2409" spans="6:18" ht="24" customHeight="1">
      <c r="F2409" s="115">
        <v>0.5</v>
      </c>
      <c r="G2409" s="115" t="s">
        <v>1034</v>
      </c>
      <c r="H2409" s="115" t="s">
        <v>2191</v>
      </c>
      <c r="I2409" s="115">
        <f>C15</f>
        <v>903.1</v>
      </c>
      <c r="J2409" s="120" t="s">
        <v>131</v>
      </c>
      <c r="K2409" s="129">
        <f>(F2409*I2409)</f>
        <v>451.55</v>
      </c>
      <c r="M2409" s="115">
        <v>4</v>
      </c>
      <c r="N2409" s="126" t="s">
        <v>1572</v>
      </c>
      <c r="O2409" s="191" t="s">
        <v>4595</v>
      </c>
      <c r="P2409" s="129">
        <f>AE13</f>
        <v>831.6</v>
      </c>
      <c r="Q2409" s="121" t="s">
        <v>729</v>
      </c>
      <c r="R2409" s="129">
        <f>(M2409*P2409)</f>
        <v>3326.4</v>
      </c>
    </row>
    <row r="2410" spans="6:18" ht="24" customHeight="1">
      <c r="F2410" s="115">
        <v>0.5</v>
      </c>
      <c r="G2410" s="115" t="s">
        <v>1034</v>
      </c>
      <c r="H2410" s="115" t="s">
        <v>2129</v>
      </c>
      <c r="I2410" s="115">
        <f>I2398</f>
        <v>1041.7</v>
      </c>
      <c r="J2410" s="120" t="s">
        <v>131</v>
      </c>
      <c r="K2410" s="129">
        <f>(F2410*I2410)</f>
        <v>520.85</v>
      </c>
      <c r="M2410" s="115">
        <v>2</v>
      </c>
      <c r="N2410" s="126" t="s">
        <v>1572</v>
      </c>
      <c r="O2410" s="191" t="s">
        <v>4596</v>
      </c>
      <c r="P2410" s="129">
        <f>AE14</f>
        <v>805.2</v>
      </c>
      <c r="Q2410" s="121" t="s">
        <v>729</v>
      </c>
      <c r="R2410" s="129">
        <f>(M2410*P2410)</f>
        <v>1610.4</v>
      </c>
    </row>
    <row r="2411" spans="6:18" ht="24" customHeight="1">
      <c r="F2411" s="115">
        <v>0.5</v>
      </c>
      <c r="G2411" s="115" t="s">
        <v>724</v>
      </c>
      <c r="H2411" s="115" t="s">
        <v>4502</v>
      </c>
      <c r="I2411" s="115">
        <f>I2399</f>
        <v>679.8</v>
      </c>
      <c r="J2411" s="120" t="s">
        <v>131</v>
      </c>
      <c r="K2411" s="129">
        <f>(F2411*I2411)</f>
        <v>339.9</v>
      </c>
      <c r="M2411" s="115">
        <v>2</v>
      </c>
      <c r="N2411" s="126" t="s">
        <v>1572</v>
      </c>
      <c r="O2411" s="191" t="s">
        <v>4597</v>
      </c>
      <c r="P2411" s="129">
        <f>AE12</f>
        <v>557.70000000000005</v>
      </c>
      <c r="Q2411" s="121" t="s">
        <v>729</v>
      </c>
      <c r="R2411" s="129">
        <f>(M2411*P2411)</f>
        <v>1115.4000000000001</v>
      </c>
    </row>
    <row r="2412" spans="6:18" ht="24" customHeight="1">
      <c r="G2412" s="115"/>
      <c r="H2412" s="115" t="s">
        <v>4598</v>
      </c>
      <c r="J2412" s="121" t="s">
        <v>2120</v>
      </c>
      <c r="K2412" s="129">
        <v>0.25</v>
      </c>
      <c r="N2412" s="126"/>
      <c r="O2412" s="120" t="s">
        <v>4599</v>
      </c>
      <c r="P2412" s="129"/>
      <c r="Q2412" s="121"/>
      <c r="R2412" s="129">
        <v>20</v>
      </c>
    </row>
    <row r="2413" spans="6:18" ht="24" customHeight="1">
      <c r="G2413" s="115"/>
      <c r="K2413" s="129"/>
      <c r="N2413" s="116"/>
      <c r="P2413" s="129"/>
      <c r="Q2413" s="117"/>
      <c r="R2413" s="1167" t="s">
        <v>4600</v>
      </c>
    </row>
    <row r="2414" spans="6:18" ht="24" customHeight="1">
      <c r="G2414" s="115"/>
      <c r="K2414" s="1169" t="s">
        <v>2163</v>
      </c>
      <c r="N2414" s="116"/>
      <c r="O2414" s="120" t="s">
        <v>4601</v>
      </c>
      <c r="Q2414" s="117"/>
      <c r="R2414" s="115">
        <f>SUM(R2391:R2413)</f>
        <v>8408.75</v>
      </c>
    </row>
    <row r="2415" spans="6:18" ht="26.25" customHeight="1">
      <c r="G2415" s="115"/>
      <c r="K2415" s="127">
        <f>SUM(K2408:K2414)</f>
        <v>2252.5500000000002</v>
      </c>
      <c r="N2415" s="116"/>
      <c r="O2415" s="114"/>
      <c r="P2415" s="114"/>
      <c r="Q2415" s="178"/>
      <c r="R2415" s="123" t="s">
        <v>89</v>
      </c>
    </row>
    <row r="2416" spans="6:18" ht="24" customHeight="1">
      <c r="G2416" s="115"/>
      <c r="K2416" s="1169" t="s">
        <v>2163</v>
      </c>
      <c r="N2416" s="116"/>
      <c r="O2416" s="114" t="s">
        <v>2137</v>
      </c>
      <c r="P2416" s="114"/>
      <c r="Q2416" s="178"/>
      <c r="R2416" s="125">
        <f>R2414/5.67</f>
        <v>1483.02</v>
      </c>
    </row>
    <row r="2417" spans="6:18" ht="32.25" customHeight="1">
      <c r="G2417" s="115"/>
      <c r="K2417" s="121"/>
    </row>
    <row r="2418" spans="6:18" ht="24" customHeight="1">
      <c r="G2418" s="115"/>
      <c r="K2418" s="121"/>
    </row>
    <row r="2419" spans="6:18" ht="24" customHeight="1">
      <c r="G2419" s="115"/>
      <c r="K2419" s="121"/>
    </row>
    <row r="2420" spans="6:18" ht="24" customHeight="1">
      <c r="F2420" s="121" t="s">
        <v>1569</v>
      </c>
      <c r="G2420" s="121"/>
      <c r="H2420" s="1816" t="s">
        <v>4602</v>
      </c>
      <c r="I2420" s="1816"/>
      <c r="J2420" s="1816"/>
      <c r="K2420" s="1816"/>
    </row>
    <row r="2421" spans="6:18" ht="24" customHeight="1">
      <c r="F2421" s="121"/>
      <c r="G2421" s="121"/>
      <c r="H2421" s="121"/>
      <c r="I2421" s="121"/>
    </row>
    <row r="2422" spans="6:18" ht="24" customHeight="1">
      <c r="F2422" s="129">
        <v>10.5</v>
      </c>
      <c r="G2422" s="126" t="s">
        <v>724</v>
      </c>
      <c r="H2422" s="1819" t="s">
        <v>4603</v>
      </c>
      <c r="I2422" s="137">
        <v>318</v>
      </c>
      <c r="J2422" s="120" t="s">
        <v>724</v>
      </c>
      <c r="K2422" s="129">
        <f>(F2422*I2422)</f>
        <v>3339</v>
      </c>
    </row>
    <row r="2423" spans="6:18" ht="24" customHeight="1">
      <c r="H2423" s="1819"/>
      <c r="I2423" s="120" t="s">
        <v>85</v>
      </c>
      <c r="K2423" s="120" t="s">
        <v>85</v>
      </c>
    </row>
    <row r="2424" spans="6:18" ht="24" customHeight="1">
      <c r="F2424" s="129">
        <v>0.22</v>
      </c>
      <c r="G2424" s="126" t="s">
        <v>132</v>
      </c>
      <c r="H2424" s="120" t="s">
        <v>1575</v>
      </c>
      <c r="I2424" s="129">
        <f>K32</f>
        <v>4662.62</v>
      </c>
      <c r="J2424" s="120" t="s">
        <v>132</v>
      </c>
      <c r="K2424" s="129">
        <f>(F2424*I2424)</f>
        <v>1025.78</v>
      </c>
    </row>
    <row r="2425" spans="6:18" ht="24" customHeight="1">
      <c r="F2425" s="129">
        <v>64</v>
      </c>
      <c r="G2425" s="126" t="s">
        <v>39</v>
      </c>
      <c r="H2425" s="120" t="s">
        <v>4604</v>
      </c>
      <c r="I2425" s="129">
        <f>C67</f>
        <v>6040</v>
      </c>
      <c r="J2425" s="120" t="s">
        <v>4605</v>
      </c>
      <c r="K2425" s="129">
        <f>I2425*F2425/1000</f>
        <v>386.56</v>
      </c>
    </row>
    <row r="2426" spans="6:18" ht="24" customHeight="1">
      <c r="F2426" s="129">
        <v>4.5</v>
      </c>
      <c r="G2426" s="126" t="s">
        <v>39</v>
      </c>
      <c r="H2426" s="415" t="s">
        <v>4606</v>
      </c>
      <c r="I2426" s="129">
        <f>C608</f>
        <v>24.93</v>
      </c>
      <c r="J2426" s="120" t="s">
        <v>39</v>
      </c>
      <c r="K2426" s="129">
        <f>F2426*I2426</f>
        <v>112.19</v>
      </c>
    </row>
    <row r="2427" spans="6:18" ht="24" customHeight="1">
      <c r="F2427" s="129">
        <v>5.4</v>
      </c>
      <c r="G2427" s="126" t="s">
        <v>237</v>
      </c>
      <c r="H2427" s="120" t="s">
        <v>4607</v>
      </c>
      <c r="I2427" s="129">
        <f>C11</f>
        <v>972.4</v>
      </c>
      <c r="J2427" s="120" t="s">
        <v>237</v>
      </c>
      <c r="K2427" s="129">
        <f>(F2427*I2427)</f>
        <v>5250.96</v>
      </c>
      <c r="M2427" s="121" t="s">
        <v>1569</v>
      </c>
      <c r="N2427" s="121"/>
      <c r="O2427" s="1817" t="s">
        <v>4608</v>
      </c>
      <c r="P2427" s="1817"/>
      <c r="Q2427" s="1817"/>
      <c r="R2427" s="1817"/>
    </row>
    <row r="2428" spans="6:18" ht="24" customHeight="1">
      <c r="F2428" s="129">
        <v>2.16</v>
      </c>
      <c r="G2428" s="126" t="s">
        <v>237</v>
      </c>
      <c r="H2428" s="120" t="s">
        <v>2199</v>
      </c>
      <c r="I2428" s="129">
        <f>C12</f>
        <v>679.8</v>
      </c>
      <c r="J2428" s="120" t="s">
        <v>237</v>
      </c>
      <c r="K2428" s="129">
        <f>(F2428*I2428)</f>
        <v>1468.37</v>
      </c>
      <c r="M2428" s="121"/>
      <c r="N2428" s="121"/>
      <c r="O2428" s="121"/>
      <c r="P2428" s="121"/>
      <c r="Q2428" s="117"/>
    </row>
    <row r="2429" spans="6:18" ht="24" customHeight="1">
      <c r="F2429" s="129">
        <v>6.5</v>
      </c>
      <c r="G2429" s="126" t="s">
        <v>237</v>
      </c>
      <c r="H2429" s="120" t="s">
        <v>2273</v>
      </c>
      <c r="I2429" s="129">
        <f>C13</f>
        <v>557.70000000000005</v>
      </c>
      <c r="J2429" s="120" t="s">
        <v>237</v>
      </c>
      <c r="K2429" s="129">
        <f>(F2429*I2429)</f>
        <v>3625.05</v>
      </c>
      <c r="M2429" s="129">
        <v>10.5</v>
      </c>
      <c r="N2429" s="126" t="s">
        <v>724</v>
      </c>
      <c r="O2429" s="1820" t="s">
        <v>4609</v>
      </c>
      <c r="P2429" s="136">
        <v>484</v>
      </c>
      <c r="Q2429" s="120" t="s">
        <v>724</v>
      </c>
      <c r="R2429" s="129">
        <f>(M2429*P2429)</f>
        <v>5082</v>
      </c>
    </row>
    <row r="2430" spans="6:18" ht="24" customHeight="1">
      <c r="F2430" s="129"/>
      <c r="G2430" s="126"/>
      <c r="H2430" s="120"/>
      <c r="I2430" s="129"/>
      <c r="J2430" s="120" t="s">
        <v>237</v>
      </c>
      <c r="K2430" s="129">
        <v>0</v>
      </c>
      <c r="N2430" s="116"/>
      <c r="O2430" s="1820"/>
      <c r="P2430" s="120" t="s">
        <v>85</v>
      </c>
      <c r="Q2430" s="117"/>
      <c r="R2430" s="120" t="s">
        <v>85</v>
      </c>
    </row>
    <row r="2431" spans="6:18" ht="24" customHeight="1">
      <c r="F2431" s="142"/>
      <c r="G2431" s="126"/>
      <c r="I2431" s="129"/>
      <c r="J2431" s="120"/>
      <c r="K2431" s="129"/>
      <c r="M2431" s="129">
        <v>0.22</v>
      </c>
      <c r="N2431" s="126" t="s">
        <v>132</v>
      </c>
      <c r="O2431" s="120" t="s">
        <v>1575</v>
      </c>
      <c r="P2431" s="129">
        <f t="shared" ref="P2431:P2436" si="244">I2424</f>
        <v>4662.62</v>
      </c>
      <c r="Q2431" s="120" t="s">
        <v>132</v>
      </c>
      <c r="R2431" s="129">
        <f>(M2431*P2431)</f>
        <v>1025.78</v>
      </c>
    </row>
    <row r="2432" spans="6:18" ht="24" customHeight="1">
      <c r="F2432" s="129"/>
      <c r="G2432" s="126"/>
      <c r="H2432" s="122" t="s">
        <v>495</v>
      </c>
      <c r="K2432" s="1169" t="s">
        <v>2163</v>
      </c>
      <c r="M2432" s="129">
        <v>64</v>
      </c>
      <c r="N2432" s="126" t="s">
        <v>39</v>
      </c>
      <c r="O2432" s="120" t="s">
        <v>4604</v>
      </c>
      <c r="P2432" s="129">
        <f t="shared" si="244"/>
        <v>6040</v>
      </c>
      <c r="Q2432" s="120" t="s">
        <v>4605</v>
      </c>
      <c r="R2432" s="129">
        <f>P2432*M2432/1000</f>
        <v>386.56</v>
      </c>
    </row>
    <row r="2433" spans="6:18" ht="24" customHeight="1">
      <c r="F2433" s="129"/>
      <c r="G2433" s="126"/>
      <c r="H2433" s="122"/>
      <c r="K2433" s="127">
        <f>SUM(K2422:K2430)</f>
        <v>15207.91</v>
      </c>
      <c r="M2433" s="129">
        <v>4.5</v>
      </c>
      <c r="N2433" s="126" t="s">
        <v>39</v>
      </c>
      <c r="O2433" s="120" t="s">
        <v>4610</v>
      </c>
      <c r="P2433" s="129">
        <f t="shared" si="244"/>
        <v>24.93</v>
      </c>
      <c r="Q2433" s="120" t="s">
        <v>39</v>
      </c>
      <c r="R2433" s="129">
        <f>M2433*P2433</f>
        <v>112.19</v>
      </c>
    </row>
    <row r="2434" spans="6:18" ht="24" customHeight="1">
      <c r="F2434" s="129"/>
      <c r="G2434" s="126"/>
      <c r="H2434" s="122"/>
      <c r="I2434" s="129"/>
      <c r="J2434" s="120"/>
      <c r="K2434" s="1170" t="s">
        <v>2125</v>
      </c>
      <c r="M2434" s="129">
        <v>5.4</v>
      </c>
      <c r="N2434" s="126" t="s">
        <v>237</v>
      </c>
      <c r="O2434" s="120" t="s">
        <v>4607</v>
      </c>
      <c r="P2434" s="129">
        <f t="shared" si="244"/>
        <v>972.4</v>
      </c>
      <c r="Q2434" s="120" t="s">
        <v>237</v>
      </c>
      <c r="R2434" s="129">
        <f>(M2434*P2434)</f>
        <v>5250.96</v>
      </c>
    </row>
    <row r="2435" spans="6:18" ht="24" customHeight="1">
      <c r="F2435" s="120"/>
      <c r="H2435" s="122" t="s">
        <v>460</v>
      </c>
      <c r="I2435" s="120"/>
      <c r="K2435" s="125">
        <f>K2433/10</f>
        <v>1520.79</v>
      </c>
      <c r="M2435" s="129">
        <v>2.16</v>
      </c>
      <c r="N2435" s="126" t="s">
        <v>237</v>
      </c>
      <c r="O2435" s="120" t="s">
        <v>2199</v>
      </c>
      <c r="P2435" s="129">
        <f t="shared" si="244"/>
        <v>679.8</v>
      </c>
      <c r="Q2435" s="120" t="s">
        <v>237</v>
      </c>
      <c r="R2435" s="129">
        <f>(M2435*P2435)</f>
        <v>1468.37</v>
      </c>
    </row>
    <row r="2436" spans="6:18" ht="24" customHeight="1">
      <c r="K2436" s="1167" t="s">
        <v>2163</v>
      </c>
      <c r="M2436" s="129">
        <v>6.5</v>
      </c>
      <c r="N2436" s="126" t="s">
        <v>237</v>
      </c>
      <c r="O2436" s="120" t="s">
        <v>2273</v>
      </c>
      <c r="P2436" s="129">
        <f t="shared" si="244"/>
        <v>557.70000000000005</v>
      </c>
      <c r="Q2436" s="120" t="s">
        <v>237</v>
      </c>
      <c r="R2436" s="129">
        <f>(M2436*P2436)</f>
        <v>3625.05</v>
      </c>
    </row>
    <row r="2437" spans="6:18" ht="24" customHeight="1">
      <c r="M2437" s="129"/>
      <c r="N2437" s="126"/>
      <c r="O2437" s="120"/>
      <c r="P2437" s="129"/>
      <c r="Q2437" s="120" t="s">
        <v>237</v>
      </c>
      <c r="R2437" s="129">
        <f>(M2437*P2437)</f>
        <v>0</v>
      </c>
    </row>
    <row r="2438" spans="6:18" ht="24" customHeight="1">
      <c r="M2438" s="142"/>
      <c r="N2438" s="126"/>
      <c r="P2438" s="129"/>
      <c r="Q2438" s="120"/>
      <c r="R2438" s="129"/>
    </row>
    <row r="2439" spans="6:18" ht="24" customHeight="1">
      <c r="F2439" s="129"/>
      <c r="G2439" s="126"/>
      <c r="H2439" s="122" t="s">
        <v>4611</v>
      </c>
      <c r="I2439" s="129"/>
      <c r="J2439" s="120"/>
      <c r="K2439" s="129"/>
      <c r="M2439" s="129"/>
      <c r="N2439" s="126"/>
      <c r="O2439" s="122" t="s">
        <v>495</v>
      </c>
      <c r="Q2439" s="117"/>
      <c r="R2439" s="1169" t="s">
        <v>2163</v>
      </c>
    </row>
    <row r="2440" spans="6:18" ht="24" customHeight="1">
      <c r="F2440" s="129"/>
      <c r="G2440" s="126"/>
      <c r="I2440" s="129"/>
      <c r="J2440" s="120"/>
      <c r="M2440" s="129"/>
      <c r="N2440" s="126"/>
      <c r="O2440" s="122"/>
      <c r="Q2440" s="117"/>
      <c r="R2440" s="127">
        <f>SUM(R2429:R2437)</f>
        <v>16950.91</v>
      </c>
    </row>
    <row r="2441" spans="6:18" ht="24" customHeight="1">
      <c r="F2441" s="129">
        <v>10</v>
      </c>
      <c r="G2441" s="126" t="s">
        <v>724</v>
      </c>
      <c r="H2441" s="120" t="s">
        <v>4612</v>
      </c>
      <c r="I2441" s="129">
        <f>K1213</f>
        <v>528.76</v>
      </c>
      <c r="J2441" s="120" t="s">
        <v>724</v>
      </c>
      <c r="K2441" s="129">
        <f>F2441*I2441</f>
        <v>5287.6</v>
      </c>
      <c r="M2441" s="129"/>
      <c r="N2441" s="126"/>
      <c r="O2441" s="122"/>
      <c r="P2441" s="129"/>
      <c r="Q2441" s="120"/>
      <c r="R2441" s="1170" t="s">
        <v>2125</v>
      </c>
    </row>
    <row r="2442" spans="6:18" ht="24" customHeight="1">
      <c r="F2442" s="115">
        <v>9.8000000000000007</v>
      </c>
      <c r="G2442" s="126" t="s">
        <v>39</v>
      </c>
      <c r="H2442" s="115" t="s">
        <v>4613</v>
      </c>
      <c r="I2442" s="129">
        <f>C148</f>
        <v>145.19999999999999</v>
      </c>
      <c r="J2442" s="120" t="s">
        <v>39</v>
      </c>
      <c r="K2442" s="129">
        <f>F2442*I2442</f>
        <v>1422.96</v>
      </c>
      <c r="M2442" s="120"/>
      <c r="N2442" s="116"/>
      <c r="O2442" s="122" t="s">
        <v>460</v>
      </c>
      <c r="P2442" s="120"/>
      <c r="Q2442" s="117"/>
      <c r="R2442" s="125">
        <f>R2440/10</f>
        <v>1695.09</v>
      </c>
    </row>
    <row r="2443" spans="6:18" ht="24" customHeight="1">
      <c r="F2443" s="115">
        <v>1.1000000000000001</v>
      </c>
      <c r="G2443" s="116" t="s">
        <v>1572</v>
      </c>
      <c r="H2443" s="120" t="s">
        <v>345</v>
      </c>
      <c r="I2443" s="115">
        <f>I2410</f>
        <v>1041.7</v>
      </c>
      <c r="J2443" s="117" t="s">
        <v>729</v>
      </c>
      <c r="K2443" s="115">
        <f>F2443*I2443</f>
        <v>1145.8699999999999</v>
      </c>
      <c r="N2443" s="116"/>
      <c r="Q2443" s="117"/>
      <c r="R2443" s="1167" t="s">
        <v>2163</v>
      </c>
    </row>
    <row r="2444" spans="6:18" ht="24" customHeight="1">
      <c r="H2444" s="115" t="s">
        <v>1557</v>
      </c>
      <c r="K2444" s="115">
        <v>0.2</v>
      </c>
    </row>
    <row r="2445" spans="6:18" ht="24" customHeight="1">
      <c r="K2445" s="123" t="s">
        <v>89</v>
      </c>
      <c r="N2445" s="116"/>
      <c r="O2445" s="114" t="s">
        <v>4519</v>
      </c>
      <c r="Q2445" s="117"/>
    </row>
    <row r="2446" spans="6:18" ht="24" customHeight="1">
      <c r="F2446" s="120" t="s">
        <v>85</v>
      </c>
      <c r="H2446" s="122" t="s">
        <v>495</v>
      </c>
      <c r="K2446" s="114">
        <f>SUM(K2441:K2444)</f>
        <v>7856.63</v>
      </c>
      <c r="M2446" s="118">
        <v>7.0999999999999994E-2</v>
      </c>
      <c r="N2446" s="116" t="s">
        <v>2090</v>
      </c>
      <c r="O2446" s="115" t="s">
        <v>4520</v>
      </c>
      <c r="P2446" s="115">
        <f>Z718</f>
        <v>7965.45</v>
      </c>
      <c r="Q2446" s="117" t="s">
        <v>4521</v>
      </c>
      <c r="R2446" s="115">
        <f>P2446*M2446</f>
        <v>565.54999999999995</v>
      </c>
    </row>
    <row r="2447" spans="6:18" ht="24" customHeight="1">
      <c r="K2447" s="1171" t="s">
        <v>2163</v>
      </c>
      <c r="M2447" s="115">
        <v>1</v>
      </c>
      <c r="N2447" s="116" t="s">
        <v>1774</v>
      </c>
      <c r="O2447" s="115" t="s">
        <v>478</v>
      </c>
      <c r="P2447" s="115">
        <f>I2342</f>
        <v>416.06</v>
      </c>
      <c r="Q2447" s="117" t="s">
        <v>1774</v>
      </c>
      <c r="R2447" s="115">
        <f>P2447*M2447</f>
        <v>416.06</v>
      </c>
    </row>
    <row r="2448" spans="6:18" ht="24" customHeight="1">
      <c r="F2448" s="120" t="s">
        <v>85</v>
      </c>
      <c r="H2448" s="122" t="s">
        <v>460</v>
      </c>
      <c r="K2448" s="125">
        <f>K2446/10</f>
        <v>785.66</v>
      </c>
      <c r="M2448" s="115" t="s">
        <v>85</v>
      </c>
      <c r="N2448" s="116"/>
      <c r="O2448" s="115" t="s">
        <v>4522</v>
      </c>
      <c r="Q2448" s="117"/>
      <c r="R2448" s="114">
        <f>SUM(R2446:R2447)</f>
        <v>981.61</v>
      </c>
    </row>
    <row r="2449" spans="6:11" ht="24" customHeight="1">
      <c r="K2449" s="1167" t="s">
        <v>2163</v>
      </c>
    </row>
    <row r="2454" spans="6:11" ht="24" customHeight="1">
      <c r="H2454" s="114" t="s">
        <v>4614</v>
      </c>
    </row>
    <row r="2456" spans="6:11" ht="24" customHeight="1">
      <c r="F2456" s="117" t="s">
        <v>4615</v>
      </c>
      <c r="G2456" s="117"/>
      <c r="H2456" s="117"/>
      <c r="I2456" s="115">
        <v>15.21</v>
      </c>
      <c r="J2456" s="117" t="s">
        <v>1791</v>
      </c>
    </row>
    <row r="2457" spans="6:11" ht="24" customHeight="1">
      <c r="F2457" s="115" t="s">
        <v>4616</v>
      </c>
      <c r="I2457" s="115">
        <v>22.61</v>
      </c>
      <c r="J2457" s="117" t="s">
        <v>1791</v>
      </c>
    </row>
    <row r="2458" spans="6:11" ht="24" customHeight="1">
      <c r="F2458" s="115" t="s">
        <v>4617</v>
      </c>
      <c r="I2458" s="115">
        <v>3.24</v>
      </c>
      <c r="J2458" s="117" t="s">
        <v>1791</v>
      </c>
    </row>
    <row r="2459" spans="6:11" ht="24" customHeight="1">
      <c r="F2459" s="115" t="s">
        <v>4618</v>
      </c>
      <c r="I2459" s="115">
        <v>2.16</v>
      </c>
      <c r="J2459" s="117" t="s">
        <v>1791</v>
      </c>
    </row>
    <row r="2461" spans="6:11" ht="24" customHeight="1">
      <c r="I2461" s="1167" t="s">
        <v>2163</v>
      </c>
    </row>
    <row r="2462" spans="6:11" ht="24" customHeight="1">
      <c r="I2462" s="115">
        <f>SUM(I2456:I2460)</f>
        <v>43.22</v>
      </c>
    </row>
    <row r="2463" spans="6:11" ht="24" customHeight="1">
      <c r="I2463" s="115" t="s">
        <v>4619</v>
      </c>
    </row>
    <row r="2466" spans="6:11" ht="24" customHeight="1">
      <c r="F2466" s="115">
        <v>43.22</v>
      </c>
      <c r="G2466" s="116" t="s">
        <v>39</v>
      </c>
      <c r="H2466" s="406" t="s">
        <v>2819</v>
      </c>
      <c r="I2466" s="115">
        <f>C660</f>
        <v>70.150000000000006</v>
      </c>
      <c r="J2466" s="117" t="s">
        <v>39</v>
      </c>
      <c r="K2466" s="115">
        <f>I2466*F2466</f>
        <v>3031.88</v>
      </c>
    </row>
    <row r="2467" spans="6:11" ht="24" customHeight="1">
      <c r="F2467" s="115">
        <v>0.81</v>
      </c>
      <c r="G2467" s="116" t="s">
        <v>724</v>
      </c>
      <c r="H2467" s="115" t="s">
        <v>4620</v>
      </c>
      <c r="I2467" s="115">
        <f>C199</f>
        <v>379.9</v>
      </c>
      <c r="J2467" s="117" t="s">
        <v>724</v>
      </c>
      <c r="K2467" s="115">
        <f>I2467*F2467</f>
        <v>307.72000000000003</v>
      </c>
    </row>
    <row r="2468" spans="6:11" ht="24" customHeight="1">
      <c r="F2468" s="115">
        <v>0.81</v>
      </c>
      <c r="G2468" s="116" t="s">
        <v>724</v>
      </c>
      <c r="H2468" s="115" t="s">
        <v>4621</v>
      </c>
      <c r="I2468" s="115">
        <f>D199</f>
        <v>116.55</v>
      </c>
      <c r="J2468" s="117" t="s">
        <v>724</v>
      </c>
      <c r="K2468" s="115">
        <f>I2468*F2468</f>
        <v>94.41</v>
      </c>
    </row>
    <row r="2469" spans="6:11" ht="24" customHeight="1">
      <c r="H2469" s="115" t="s">
        <v>4622</v>
      </c>
      <c r="I2469" s="231">
        <f>46.61</f>
        <v>46.61</v>
      </c>
      <c r="J2469" s="117" t="s">
        <v>145</v>
      </c>
      <c r="K2469" s="115">
        <f>I2469</f>
        <v>46.61</v>
      </c>
    </row>
    <row r="2470" spans="6:11" ht="24" customHeight="1">
      <c r="K2470" s="1167" t="s">
        <v>2163</v>
      </c>
    </row>
    <row r="2471" spans="6:11" ht="24" customHeight="1">
      <c r="H2471" s="114" t="s">
        <v>4623</v>
      </c>
      <c r="K2471" s="114">
        <f>SUM(K2466:K2469)</f>
        <v>3480.62</v>
      </c>
    </row>
    <row r="2472" spans="6:11" ht="24" customHeight="1">
      <c r="H2472" s="115">
        <f>0.6*1.35</f>
        <v>0.81</v>
      </c>
      <c r="K2472" s="1167" t="s">
        <v>2163</v>
      </c>
    </row>
    <row r="2473" spans="6:11" ht="24" customHeight="1">
      <c r="H2473" s="114" t="s">
        <v>4624</v>
      </c>
      <c r="K2473" s="114">
        <f>K2471/H2472</f>
        <v>4297.0600000000004</v>
      </c>
    </row>
    <row r="2475" spans="6:11" ht="24" customHeight="1">
      <c r="F2475" s="117" t="s">
        <v>4625</v>
      </c>
      <c r="G2475" s="117"/>
      <c r="H2475" s="117"/>
      <c r="I2475" s="115">
        <v>11.78</v>
      </c>
      <c r="J2475" s="117" t="s">
        <v>1791</v>
      </c>
    </row>
    <row r="2476" spans="6:11" ht="24" customHeight="1">
      <c r="F2476" s="115" t="s">
        <v>4626</v>
      </c>
      <c r="I2476" s="115">
        <v>15.07</v>
      </c>
      <c r="J2476" s="117" t="s">
        <v>1791</v>
      </c>
    </row>
    <row r="2477" spans="6:11" ht="24" customHeight="1">
      <c r="F2477" s="115" t="s">
        <v>4627</v>
      </c>
      <c r="I2477" s="115">
        <v>2.16</v>
      </c>
      <c r="J2477" s="117" t="s">
        <v>1791</v>
      </c>
    </row>
    <row r="2478" spans="6:11" ht="24" customHeight="1">
      <c r="F2478" s="115" t="s">
        <v>4618</v>
      </c>
      <c r="I2478" s="115">
        <v>2.16</v>
      </c>
      <c r="J2478" s="117" t="s">
        <v>1791</v>
      </c>
    </row>
    <row r="2479" spans="6:11" ht="24" customHeight="1">
      <c r="F2479" s="115" t="s">
        <v>4628</v>
      </c>
      <c r="I2479" s="115">
        <f>1.91-0.08</f>
        <v>1.83</v>
      </c>
    </row>
    <row r="2480" spans="6:11" ht="24" customHeight="1">
      <c r="I2480" s="1167" t="s">
        <v>2280</v>
      </c>
    </row>
    <row r="2481" spans="6:11" ht="24" customHeight="1">
      <c r="I2481" s="114">
        <f>SUM(I2475:I2479)</f>
        <v>33</v>
      </c>
      <c r="J2481" s="117" t="s">
        <v>1791</v>
      </c>
    </row>
    <row r="2482" spans="6:11" ht="24" customHeight="1">
      <c r="I2482" s="1167" t="s">
        <v>2280</v>
      </c>
    </row>
    <row r="2485" spans="6:11" ht="24" customHeight="1">
      <c r="F2485" s="115">
        <f>I2481</f>
        <v>33</v>
      </c>
      <c r="G2485" s="116" t="s">
        <v>39</v>
      </c>
      <c r="H2485" s="115" t="s">
        <v>2819</v>
      </c>
      <c r="I2485" s="115">
        <f>I2466</f>
        <v>70.150000000000006</v>
      </c>
      <c r="J2485" s="117" t="s">
        <v>39</v>
      </c>
      <c r="K2485" s="115">
        <f>I2485*F2485</f>
        <v>2314.9499999999998</v>
      </c>
    </row>
    <row r="2486" spans="6:11" ht="24" customHeight="1">
      <c r="F2486" s="115">
        <v>0.54</v>
      </c>
      <c r="G2486" s="116" t="s">
        <v>724</v>
      </c>
      <c r="H2486" s="115" t="s">
        <v>4620</v>
      </c>
      <c r="I2486" s="115">
        <f>I2467</f>
        <v>379.9</v>
      </c>
      <c r="J2486" s="117" t="s">
        <v>724</v>
      </c>
      <c r="K2486" s="115">
        <f>I2486*F2486</f>
        <v>205.15</v>
      </c>
    </row>
    <row r="2487" spans="6:11" ht="24" customHeight="1">
      <c r="F2487" s="115">
        <v>0.54</v>
      </c>
      <c r="G2487" s="116" t="s">
        <v>724</v>
      </c>
      <c r="H2487" s="115" t="str">
        <f>H2468</f>
        <v>Fly proof  Mesh</v>
      </c>
      <c r="I2487" s="115">
        <f>I2468</f>
        <v>116.55</v>
      </c>
      <c r="J2487" s="117" t="s">
        <v>724</v>
      </c>
      <c r="K2487" s="115">
        <f>I2487*F2487</f>
        <v>62.94</v>
      </c>
    </row>
    <row r="2488" spans="6:11" ht="24" customHeight="1">
      <c r="H2488" s="115" t="s">
        <v>4622</v>
      </c>
      <c r="I2488" s="231">
        <v>53.5</v>
      </c>
      <c r="J2488" s="117" t="s">
        <v>145</v>
      </c>
      <c r="K2488" s="115">
        <v>52.8</v>
      </c>
    </row>
    <row r="2489" spans="6:11" ht="24" customHeight="1">
      <c r="K2489" s="1167" t="s">
        <v>2163</v>
      </c>
    </row>
    <row r="2490" spans="6:11" ht="24" customHeight="1">
      <c r="H2490" s="114" t="s">
        <v>4623</v>
      </c>
      <c r="K2490" s="114">
        <f>SUM(K2485:K2488)</f>
        <v>2635.84</v>
      </c>
    </row>
    <row r="2491" spans="6:11" ht="24" customHeight="1">
      <c r="K2491" s="1167" t="s">
        <v>2163</v>
      </c>
    </row>
    <row r="2492" spans="6:11" ht="24" customHeight="1">
      <c r="I2492" s="114" t="s">
        <v>4629</v>
      </c>
      <c r="K2492" s="114">
        <f>K2490/0.54</f>
        <v>4881.1899999999996</v>
      </c>
    </row>
    <row r="2495" spans="6:11" ht="24" customHeight="1">
      <c r="H2495" s="114" t="s">
        <v>4630</v>
      </c>
    </row>
    <row r="2497" spans="6:18" ht="24" customHeight="1">
      <c r="F2497" s="117" t="s">
        <v>4631</v>
      </c>
      <c r="G2497" s="117"/>
      <c r="H2497" s="117"/>
      <c r="I2497" s="115">
        <v>9.42</v>
      </c>
      <c r="J2497" s="117" t="s">
        <v>1791</v>
      </c>
      <c r="K2497" s="117"/>
    </row>
    <row r="2498" spans="6:18" ht="24" customHeight="1">
      <c r="F2498" s="115" t="s">
        <v>4632</v>
      </c>
      <c r="I2498" s="115">
        <v>9.42</v>
      </c>
      <c r="J2498" s="117" t="s">
        <v>1791</v>
      </c>
      <c r="K2498" s="117"/>
    </row>
    <row r="2499" spans="6:18" ht="24" customHeight="1">
      <c r="F2499" s="115" t="s">
        <v>4633</v>
      </c>
      <c r="I2499" s="115">
        <v>1.44</v>
      </c>
      <c r="J2499" s="117" t="s">
        <v>1791</v>
      </c>
      <c r="K2499" s="117"/>
    </row>
    <row r="2500" spans="6:18" ht="24" customHeight="1">
      <c r="F2500" s="115" t="s">
        <v>4618</v>
      </c>
      <c r="I2500" s="115">
        <v>2.16</v>
      </c>
      <c r="J2500" s="117" t="s">
        <v>1791</v>
      </c>
      <c r="K2500" s="117"/>
    </row>
    <row r="2501" spans="6:18" ht="24" customHeight="1">
      <c r="F2501" s="115" t="s">
        <v>4628</v>
      </c>
      <c r="I2501" s="115">
        <v>1.56</v>
      </c>
      <c r="K2501" s="117"/>
    </row>
    <row r="2502" spans="6:18" ht="24" customHeight="1">
      <c r="I2502" s="1167" t="s">
        <v>2280</v>
      </c>
      <c r="K2502" s="117"/>
      <c r="N2502" s="116"/>
      <c r="O2502" s="114" t="s">
        <v>4634</v>
      </c>
      <c r="Q2502" s="117"/>
    </row>
    <row r="2503" spans="6:18" ht="24" customHeight="1">
      <c r="I2503" s="115">
        <f>SUM(I2497:I2501)</f>
        <v>24</v>
      </c>
      <c r="J2503" s="117" t="s">
        <v>1791</v>
      </c>
      <c r="K2503" s="117"/>
      <c r="N2503" s="116"/>
      <c r="Q2503" s="117"/>
    </row>
    <row r="2504" spans="6:18" ht="24" customHeight="1">
      <c r="I2504" s="1167" t="s">
        <v>2280</v>
      </c>
      <c r="M2504" s="117" t="s">
        <v>4635</v>
      </c>
      <c r="N2504" s="117"/>
      <c r="O2504" s="117"/>
      <c r="P2504" s="118">
        <f>3.77*3.9</f>
        <v>14.702999999999999</v>
      </c>
      <c r="Q2504" s="117" t="s">
        <v>1791</v>
      </c>
      <c r="R2504" s="117"/>
    </row>
    <row r="2505" spans="6:18" ht="24" customHeight="1">
      <c r="M2505" s="115" t="s">
        <v>4636</v>
      </c>
      <c r="N2505" s="116"/>
      <c r="P2505" s="115">
        <f>12*0.6*3.14</f>
        <v>22.61</v>
      </c>
      <c r="Q2505" s="117" t="s">
        <v>1791</v>
      </c>
      <c r="R2505" s="117"/>
    </row>
    <row r="2506" spans="6:18" ht="24" customHeight="1">
      <c r="M2506" s="115" t="s">
        <v>4637</v>
      </c>
      <c r="N2506" s="116"/>
      <c r="P2506" s="115">
        <f>2*1.285*1.2</f>
        <v>3.08</v>
      </c>
      <c r="Q2506" s="117" t="s">
        <v>1791</v>
      </c>
      <c r="R2506" s="117"/>
    </row>
    <row r="2507" spans="6:18" ht="24" customHeight="1">
      <c r="F2507" s="115">
        <v>24</v>
      </c>
      <c r="G2507" s="116" t="s">
        <v>39</v>
      </c>
      <c r="H2507" s="115" t="s">
        <v>2819</v>
      </c>
      <c r="I2507" s="115">
        <f>I2485</f>
        <v>70.150000000000006</v>
      </c>
      <c r="J2507" s="117" t="s">
        <v>39</v>
      </c>
      <c r="K2507" s="115">
        <f>I2507*F2507</f>
        <v>1683.6</v>
      </c>
      <c r="M2507" s="115" t="s">
        <v>4618</v>
      </c>
      <c r="N2507" s="116"/>
      <c r="P2507" s="115">
        <f>3*0.6*1.2</f>
        <v>2.16</v>
      </c>
      <c r="Q2507" s="117" t="s">
        <v>1791</v>
      </c>
      <c r="R2507" s="117"/>
    </row>
    <row r="2508" spans="6:18" ht="24" customHeight="1">
      <c r="F2508" s="115">
        <v>0.36</v>
      </c>
      <c r="G2508" s="116" t="s">
        <v>724</v>
      </c>
      <c r="H2508" s="115" t="s">
        <v>4620</v>
      </c>
      <c r="I2508" s="115">
        <f>I2486</f>
        <v>379.9</v>
      </c>
      <c r="J2508" s="117" t="s">
        <v>724</v>
      </c>
      <c r="K2508" s="115">
        <f>I2508*F2508</f>
        <v>136.76</v>
      </c>
      <c r="M2508" s="115" t="s">
        <v>4628</v>
      </c>
      <c r="N2508" s="116"/>
      <c r="P2508" s="115">
        <v>0.16</v>
      </c>
      <c r="Q2508" s="117"/>
      <c r="R2508" s="117"/>
    </row>
    <row r="2509" spans="6:18" ht="24" customHeight="1">
      <c r="F2509" s="115">
        <v>0.36</v>
      </c>
      <c r="G2509" s="116" t="s">
        <v>724</v>
      </c>
      <c r="H2509" s="115" t="s">
        <v>4638</v>
      </c>
      <c r="I2509" s="115">
        <f>C198</f>
        <v>40.65</v>
      </c>
      <c r="J2509" s="117" t="s">
        <v>724</v>
      </c>
      <c r="K2509" s="115">
        <f>I2509*F2509</f>
        <v>14.63</v>
      </c>
      <c r="N2509" s="116"/>
      <c r="P2509" s="1167" t="s">
        <v>2280</v>
      </c>
      <c r="Q2509" s="117"/>
      <c r="R2509" s="117"/>
    </row>
    <row r="2510" spans="6:18" ht="24" customHeight="1">
      <c r="H2510" s="115" t="s">
        <v>4639</v>
      </c>
      <c r="I2510" s="416">
        <v>28.34</v>
      </c>
      <c r="J2510" s="117" t="s">
        <v>145</v>
      </c>
      <c r="K2510" s="115">
        <f>28.14</f>
        <v>28.14</v>
      </c>
      <c r="N2510" s="116"/>
      <c r="P2510" s="224">
        <f>SUM(P2504:P2508)</f>
        <v>42.713000000000001</v>
      </c>
      <c r="Q2510" s="117" t="s">
        <v>1791</v>
      </c>
      <c r="R2510" s="117">
        <f>42.55-42.713</f>
        <v>-0.16</v>
      </c>
    </row>
    <row r="2511" spans="6:18" ht="24" customHeight="1">
      <c r="K2511" s="1167" t="s">
        <v>2163</v>
      </c>
      <c r="N2511" s="116"/>
      <c r="P2511" s="1167" t="s">
        <v>2280</v>
      </c>
      <c r="Q2511" s="117"/>
    </row>
    <row r="2512" spans="6:18" ht="24" customHeight="1">
      <c r="H2512" s="114" t="s">
        <v>4623</v>
      </c>
      <c r="K2512" s="114">
        <f>SUM(K2507:K2510)</f>
        <v>1863.13</v>
      </c>
      <c r="N2512" s="116"/>
      <c r="Q2512" s="117"/>
    </row>
    <row r="2513" spans="6:18" ht="24" customHeight="1">
      <c r="K2513" s="1167" t="s">
        <v>2163</v>
      </c>
      <c r="N2513" s="116"/>
      <c r="Q2513" s="117"/>
    </row>
    <row r="2514" spans="6:18" ht="24" customHeight="1">
      <c r="K2514" s="115">
        <f>0.6*0.6</f>
        <v>0.36</v>
      </c>
      <c r="M2514" s="118">
        <f>P2510</f>
        <v>42.713000000000001</v>
      </c>
      <c r="N2514" s="116" t="s">
        <v>39</v>
      </c>
      <c r="O2514" s="115" t="s">
        <v>2819</v>
      </c>
      <c r="P2514" s="115">
        <f>I2507</f>
        <v>70.150000000000006</v>
      </c>
      <c r="Q2514" s="117" t="s">
        <v>39</v>
      </c>
      <c r="R2514" s="115">
        <f>P2514*M2514</f>
        <v>2996.32</v>
      </c>
    </row>
    <row r="2515" spans="6:18" ht="24" customHeight="1">
      <c r="H2515" s="114" t="s">
        <v>4640</v>
      </c>
      <c r="K2515" s="115">
        <f>K2512/K2514</f>
        <v>5175.3599999999997</v>
      </c>
      <c r="M2515" s="115">
        <v>0.77</v>
      </c>
      <c r="N2515" s="116" t="s">
        <v>724</v>
      </c>
      <c r="O2515" s="115" t="s">
        <v>4620</v>
      </c>
      <c r="P2515" s="115">
        <f>I2508</f>
        <v>379.9</v>
      </c>
      <c r="Q2515" s="117" t="s">
        <v>724</v>
      </c>
      <c r="R2515" s="115">
        <f>P2515*M2515</f>
        <v>292.52</v>
      </c>
    </row>
    <row r="2516" spans="6:18" ht="24" customHeight="1">
      <c r="M2516" s="115">
        <v>0.77</v>
      </c>
      <c r="N2516" s="116" t="s">
        <v>724</v>
      </c>
      <c r="O2516" s="115" t="s">
        <v>4638</v>
      </c>
      <c r="P2516" s="115">
        <f>I2509</f>
        <v>40.65</v>
      </c>
      <c r="Q2516" s="117" t="s">
        <v>724</v>
      </c>
      <c r="R2516" s="115">
        <f>P2516*M2516</f>
        <v>31.3</v>
      </c>
    </row>
    <row r="2517" spans="6:18" ht="24" customHeight="1">
      <c r="F2517" s="114" t="s">
        <v>4641</v>
      </c>
      <c r="G2517" s="200"/>
      <c r="N2517" s="116"/>
      <c r="O2517" s="115" t="s">
        <v>4639</v>
      </c>
      <c r="P2517" s="115">
        <f>I2510</f>
        <v>28.34</v>
      </c>
      <c r="Q2517" s="117" t="s">
        <v>145</v>
      </c>
      <c r="R2517" s="115">
        <f>28.34+0.11</f>
        <v>28.45</v>
      </c>
    </row>
    <row r="2518" spans="6:18" ht="24" customHeight="1">
      <c r="N2518" s="116"/>
      <c r="Q2518" s="117"/>
      <c r="R2518" s="1167" t="s">
        <v>2163</v>
      </c>
    </row>
    <row r="2519" spans="6:18" ht="24" customHeight="1">
      <c r="F2519" s="115" t="s">
        <v>4642</v>
      </c>
      <c r="I2519" s="115">
        <v>3.93</v>
      </c>
      <c r="J2519" s="117" t="s">
        <v>39</v>
      </c>
      <c r="N2519" s="116"/>
      <c r="O2519" s="114" t="s">
        <v>4623</v>
      </c>
      <c r="Q2519" s="117"/>
      <c r="R2519" s="114">
        <f>SUM(R2514:R2517)</f>
        <v>3348.59</v>
      </c>
    </row>
    <row r="2520" spans="6:18" ht="24" customHeight="1">
      <c r="F2520" s="115" t="s">
        <v>4643</v>
      </c>
      <c r="I2520" s="115">
        <v>3.14</v>
      </c>
      <c r="J2520" s="117" t="s">
        <v>39</v>
      </c>
      <c r="N2520" s="116"/>
      <c r="Q2520" s="117"/>
      <c r="R2520" s="1167" t="s">
        <v>2163</v>
      </c>
    </row>
    <row r="2521" spans="6:18" ht="24" customHeight="1">
      <c r="F2521" s="115" t="s">
        <v>4644</v>
      </c>
      <c r="I2521" s="115">
        <v>1.18</v>
      </c>
      <c r="J2521" s="117" t="s">
        <v>39</v>
      </c>
      <c r="N2521" s="116"/>
      <c r="O2521" s="305" t="s">
        <v>4629</v>
      </c>
      <c r="Q2521" s="117"/>
      <c r="R2521" s="114">
        <f>R2519/M2515</f>
        <v>4348.82</v>
      </c>
    </row>
    <row r="2522" spans="6:18" ht="24" customHeight="1">
      <c r="N2522" s="115">
        <f>1.285*0.6</f>
        <v>0.77</v>
      </c>
    </row>
    <row r="2524" spans="6:18" ht="24" customHeight="1">
      <c r="H2524" s="114" t="s">
        <v>4640</v>
      </c>
    </row>
    <row r="2527" spans="6:18" ht="24" customHeight="1">
      <c r="F2527" s="115" t="s">
        <v>4645</v>
      </c>
      <c r="I2527" s="115">
        <v>24.34</v>
      </c>
      <c r="J2527" s="117" t="s">
        <v>39</v>
      </c>
    </row>
    <row r="2528" spans="6:18" ht="24" customHeight="1">
      <c r="F2528" s="115" t="s">
        <v>4646</v>
      </c>
      <c r="I2528" s="115">
        <v>11.78</v>
      </c>
      <c r="J2528" s="117" t="s">
        <v>39</v>
      </c>
    </row>
    <row r="2529" spans="6:12" ht="24" customHeight="1">
      <c r="F2529" s="115" t="s">
        <v>4647</v>
      </c>
      <c r="I2529" s="115">
        <v>59.35</v>
      </c>
      <c r="J2529" s="117" t="s">
        <v>39</v>
      </c>
    </row>
    <row r="2530" spans="6:12" ht="24" customHeight="1">
      <c r="F2530" s="115" t="s">
        <v>4648</v>
      </c>
      <c r="I2530" s="115">
        <v>5.04</v>
      </c>
      <c r="J2530" s="117" t="s">
        <v>39</v>
      </c>
    </row>
    <row r="2531" spans="6:12" ht="24" customHeight="1">
      <c r="F2531" s="115" t="s">
        <v>4649</v>
      </c>
      <c r="I2531" s="115">
        <v>4.8</v>
      </c>
      <c r="J2531" s="117" t="s">
        <v>39</v>
      </c>
    </row>
    <row r="2532" spans="6:12" ht="24" customHeight="1">
      <c r="F2532" s="115" t="s">
        <v>4650</v>
      </c>
      <c r="I2532" s="115">
        <v>2.69</v>
      </c>
    </row>
    <row r="2533" spans="6:12" ht="24" customHeight="1">
      <c r="I2533" s="1167" t="s">
        <v>2280</v>
      </c>
    </row>
    <row r="2534" spans="6:12" ht="24" customHeight="1">
      <c r="I2534" s="114">
        <f>SUM(I2527:I2532)</f>
        <v>108</v>
      </c>
      <c r="J2534" s="117" t="s">
        <v>39</v>
      </c>
    </row>
    <row r="2535" spans="6:12" ht="24" customHeight="1">
      <c r="I2535" s="1167" t="s">
        <v>2280</v>
      </c>
    </row>
    <row r="2536" spans="6:12" ht="24" customHeight="1">
      <c r="L2536" s="115" t="s">
        <v>4651</v>
      </c>
    </row>
    <row r="2537" spans="6:12" ht="24" customHeight="1">
      <c r="F2537" s="115">
        <v>108</v>
      </c>
      <c r="G2537" s="116" t="s">
        <v>39</v>
      </c>
      <c r="H2537" s="115" t="s">
        <v>4652</v>
      </c>
      <c r="I2537" s="115">
        <f>I2466</f>
        <v>70.150000000000006</v>
      </c>
      <c r="J2537" s="117" t="s">
        <v>39</v>
      </c>
      <c r="K2537" s="115">
        <f>F2537*I2537</f>
        <v>7576.2</v>
      </c>
    </row>
    <row r="2538" spans="6:12" ht="24" customHeight="1">
      <c r="F2538" s="115">
        <v>2.1</v>
      </c>
      <c r="G2538" s="116" t="s">
        <v>724</v>
      </c>
      <c r="H2538" s="115" t="s">
        <v>4620</v>
      </c>
      <c r="I2538" s="115">
        <f>I2467</f>
        <v>379.9</v>
      </c>
      <c r="J2538" s="117" t="s">
        <v>724</v>
      </c>
      <c r="K2538" s="115">
        <f>F2538*I2538</f>
        <v>797.79</v>
      </c>
      <c r="L2538" s="118">
        <v>42.713000000000001</v>
      </c>
    </row>
    <row r="2539" spans="6:12" ht="24" customHeight="1">
      <c r="F2539" s="115">
        <v>2.1</v>
      </c>
      <c r="G2539" s="116" t="s">
        <v>724</v>
      </c>
      <c r="H2539" s="115" t="s">
        <v>4653</v>
      </c>
      <c r="I2539" s="115">
        <f>I2468</f>
        <v>116.55</v>
      </c>
      <c r="J2539" s="117" t="s">
        <v>724</v>
      </c>
      <c r="K2539" s="115">
        <f>F2539*I2539</f>
        <v>244.76</v>
      </c>
      <c r="L2539" s="115">
        <v>0.77</v>
      </c>
    </row>
    <row r="2540" spans="6:12" ht="24" customHeight="1">
      <c r="H2540" s="115" t="s">
        <v>4654</v>
      </c>
      <c r="I2540" s="115">
        <v>267.10000000000002</v>
      </c>
      <c r="J2540" s="117" t="s">
        <v>145</v>
      </c>
      <c r="K2540" s="115">
        <f>I2540</f>
        <v>267.10000000000002</v>
      </c>
      <c r="L2540" s="115">
        <v>0.77</v>
      </c>
    </row>
    <row r="2541" spans="6:12" ht="24" customHeight="1">
      <c r="K2541" s="1167" t="s">
        <v>2163</v>
      </c>
    </row>
    <row r="2542" spans="6:12" ht="24" customHeight="1">
      <c r="K2542" s="115">
        <f>SUM(K2537:K2540)</f>
        <v>8885.85</v>
      </c>
    </row>
    <row r="2543" spans="6:12" ht="24" customHeight="1">
      <c r="H2543" s="115" t="s">
        <v>4655</v>
      </c>
      <c r="I2543" s="115">
        <v>500</v>
      </c>
      <c r="J2543" s="117" t="s">
        <v>145</v>
      </c>
      <c r="K2543" s="115">
        <f>I2543</f>
        <v>500</v>
      </c>
    </row>
    <row r="2544" spans="6:12" ht="24" customHeight="1">
      <c r="K2544" s="1167" t="s">
        <v>2163</v>
      </c>
    </row>
    <row r="2545" spans="6:11" ht="24" customHeight="1">
      <c r="H2545" s="114" t="s">
        <v>4656</v>
      </c>
      <c r="K2545" s="114">
        <f>SUM(K2542:K2543)</f>
        <v>9385.85</v>
      </c>
    </row>
    <row r="2546" spans="6:11" ht="24" customHeight="1">
      <c r="K2546" s="1167" t="s">
        <v>2163</v>
      </c>
    </row>
    <row r="2548" spans="6:11" ht="24" customHeight="1">
      <c r="K2548" s="115">
        <f>8054-K2545</f>
        <v>-1331.85</v>
      </c>
    </row>
    <row r="2550" spans="6:11" ht="24" customHeight="1">
      <c r="H2550" s="114" t="s">
        <v>4657</v>
      </c>
    </row>
    <row r="2552" spans="6:11" ht="24" customHeight="1">
      <c r="F2552" s="114" t="s">
        <v>4641</v>
      </c>
      <c r="G2552" s="200"/>
    </row>
    <row r="2554" spans="6:11" ht="24" customHeight="1">
      <c r="F2554" s="115" t="s">
        <v>4658</v>
      </c>
      <c r="I2554" s="118">
        <v>2.944</v>
      </c>
      <c r="J2554" s="117" t="s">
        <v>39</v>
      </c>
    </row>
    <row r="2555" spans="6:11" ht="24" customHeight="1">
      <c r="F2555" s="115" t="s">
        <v>4659</v>
      </c>
      <c r="I2555" s="118">
        <v>2.355</v>
      </c>
      <c r="J2555" s="117" t="s">
        <v>39</v>
      </c>
    </row>
    <row r="2556" spans="6:11" ht="24" customHeight="1">
      <c r="F2556" s="115" t="s">
        <v>4660</v>
      </c>
      <c r="I2556" s="118">
        <v>0.88300000000000001</v>
      </c>
      <c r="J2556" s="117" t="s">
        <v>39</v>
      </c>
    </row>
    <row r="2559" spans="6:11" ht="24" customHeight="1">
      <c r="H2559" s="114" t="s">
        <v>4657</v>
      </c>
    </row>
    <row r="2561" spans="6:18" ht="24" customHeight="1">
      <c r="N2561" s="417">
        <v>24.1</v>
      </c>
      <c r="O2561" s="114" t="s">
        <v>4634</v>
      </c>
      <c r="Q2561" s="117"/>
    </row>
    <row r="2562" spans="6:18" ht="24" customHeight="1">
      <c r="F2562" s="115" t="s">
        <v>4661</v>
      </c>
      <c r="I2562" s="115">
        <v>16.38</v>
      </c>
      <c r="J2562" s="117" t="s">
        <v>39</v>
      </c>
      <c r="N2562" s="418" t="s">
        <v>89</v>
      </c>
      <c r="O2562" s="418"/>
      <c r="Q2562" s="117"/>
    </row>
    <row r="2563" spans="6:18" ht="24" customHeight="1">
      <c r="F2563" s="115" t="s">
        <v>4662</v>
      </c>
      <c r="I2563" s="115">
        <v>8.7799999999999994</v>
      </c>
      <c r="J2563" s="117" t="s">
        <v>39</v>
      </c>
      <c r="M2563" s="117" t="s">
        <v>4663</v>
      </c>
      <c r="N2563" s="117"/>
      <c r="O2563" s="117"/>
      <c r="P2563" s="115">
        <v>14.8</v>
      </c>
      <c r="Q2563" s="117" t="s">
        <v>1791</v>
      </c>
    </row>
    <row r="2564" spans="6:18" ht="24" customHeight="1">
      <c r="F2564" s="115" t="s">
        <v>4664</v>
      </c>
      <c r="I2564" s="115">
        <v>37.67</v>
      </c>
      <c r="J2564" s="117" t="s">
        <v>39</v>
      </c>
      <c r="M2564" s="115" t="s">
        <v>4616</v>
      </c>
      <c r="N2564" s="116"/>
      <c r="P2564" s="115">
        <v>22.61</v>
      </c>
      <c r="Q2564" s="117" t="s">
        <v>1791</v>
      </c>
    </row>
    <row r="2565" spans="6:18" ht="24" customHeight="1">
      <c r="F2565" s="115" t="s">
        <v>4665</v>
      </c>
      <c r="I2565" s="115">
        <v>3.24</v>
      </c>
      <c r="J2565" s="117" t="s">
        <v>39</v>
      </c>
      <c r="M2565" s="115" t="s">
        <v>4617</v>
      </c>
      <c r="N2565" s="116"/>
      <c r="P2565" s="115">
        <v>3.24</v>
      </c>
      <c r="Q2565" s="117" t="s">
        <v>1791</v>
      </c>
    </row>
    <row r="2566" spans="6:18" ht="24" customHeight="1">
      <c r="F2566" s="115" t="s">
        <v>4666</v>
      </c>
      <c r="I2566" s="115">
        <v>3.6</v>
      </c>
      <c r="J2566" s="117" t="s">
        <v>39</v>
      </c>
      <c r="M2566" s="115" t="s">
        <v>4618</v>
      </c>
      <c r="N2566" s="116"/>
      <c r="P2566" s="115">
        <v>2.16</v>
      </c>
      <c r="Q2566" s="117" t="s">
        <v>1791</v>
      </c>
    </row>
    <row r="2567" spans="6:18" ht="24" customHeight="1">
      <c r="F2567" s="115" t="s">
        <v>4650</v>
      </c>
      <c r="I2567" s="115">
        <v>2.88</v>
      </c>
      <c r="N2567" s="116"/>
      <c r="Q2567" s="117"/>
    </row>
    <row r="2568" spans="6:18" ht="24" customHeight="1">
      <c r="I2568" s="1167" t="s">
        <v>2280</v>
      </c>
      <c r="N2568" s="116"/>
      <c r="P2568" s="1167" t="s">
        <v>2163</v>
      </c>
      <c r="Q2568" s="117"/>
    </row>
    <row r="2569" spans="6:18" ht="24" customHeight="1">
      <c r="I2569" s="114">
        <f>SUM(I2562:I2567)</f>
        <v>72.55</v>
      </c>
      <c r="J2569" s="117" t="s">
        <v>39</v>
      </c>
      <c r="N2569" s="116"/>
      <c r="P2569" s="115">
        <f>SUM(P2563:P2567)</f>
        <v>42.81</v>
      </c>
      <c r="Q2569" s="117"/>
    </row>
    <row r="2570" spans="6:18" ht="24" customHeight="1">
      <c r="I2570" s="1167" t="s">
        <v>2280</v>
      </c>
      <c r="N2570" s="116"/>
      <c r="P2570" s="115" t="s">
        <v>4619</v>
      </c>
      <c r="Q2570" s="117"/>
    </row>
    <row r="2571" spans="6:18" ht="24" customHeight="1">
      <c r="N2571" s="116"/>
      <c r="Q2571" s="117"/>
    </row>
    <row r="2572" spans="6:18" ht="24" customHeight="1">
      <c r="F2572" s="115">
        <v>72.55</v>
      </c>
      <c r="G2572" s="116" t="s">
        <v>39</v>
      </c>
      <c r="H2572" s="115" t="s">
        <v>4652</v>
      </c>
      <c r="I2572" s="115">
        <f>I2537</f>
        <v>70.150000000000006</v>
      </c>
      <c r="J2572" s="117" t="s">
        <v>39</v>
      </c>
      <c r="K2572" s="115">
        <f>F2572*I2572</f>
        <v>5089.38</v>
      </c>
      <c r="N2572" s="116"/>
      <c r="Q2572" s="117"/>
    </row>
    <row r="2573" spans="6:18" ht="24" customHeight="1">
      <c r="F2573" s="115">
        <v>1.01</v>
      </c>
      <c r="G2573" s="116" t="s">
        <v>724</v>
      </c>
      <c r="H2573" s="115" t="s">
        <v>4620</v>
      </c>
      <c r="I2573" s="115">
        <f>I2538</f>
        <v>379.9</v>
      </c>
      <c r="J2573" s="117" t="s">
        <v>724</v>
      </c>
      <c r="K2573" s="115">
        <f>F2573*I2573</f>
        <v>383.7</v>
      </c>
      <c r="M2573" s="115">
        <v>42.81</v>
      </c>
      <c r="N2573" s="116" t="s">
        <v>39</v>
      </c>
      <c r="O2573" s="115" t="s">
        <v>4667</v>
      </c>
      <c r="P2573" s="115">
        <f>I2572</f>
        <v>70.150000000000006</v>
      </c>
      <c r="Q2573" s="117" t="s">
        <v>39</v>
      </c>
      <c r="R2573" s="115">
        <f>P2573*M2573</f>
        <v>3003.12</v>
      </c>
    </row>
    <row r="2574" spans="6:18" ht="24" customHeight="1">
      <c r="F2574" s="115">
        <v>1.01</v>
      </c>
      <c r="G2574" s="116" t="s">
        <v>724</v>
      </c>
      <c r="H2574" s="115" t="str">
        <f>H2539</f>
        <v>Fly proof mesh</v>
      </c>
      <c r="I2574" s="115">
        <f>I2539</f>
        <v>116.55</v>
      </c>
      <c r="J2574" s="117" t="s">
        <v>724</v>
      </c>
      <c r="K2574" s="115">
        <f>F2574*I2574</f>
        <v>117.72</v>
      </c>
      <c r="M2574" s="115">
        <v>0.77</v>
      </c>
      <c r="N2574" s="116" t="s">
        <v>724</v>
      </c>
      <c r="O2574" s="115" t="s">
        <v>4668</v>
      </c>
      <c r="P2574" s="115">
        <f>I2573</f>
        <v>379.9</v>
      </c>
      <c r="Q2574" s="117" t="s">
        <v>724</v>
      </c>
      <c r="R2574" s="115">
        <f>P2574*M2574</f>
        <v>292.52</v>
      </c>
    </row>
    <row r="2575" spans="6:18" ht="24" customHeight="1">
      <c r="H2575" s="115" t="s">
        <v>4654</v>
      </c>
      <c r="I2575" s="115">
        <v>266.49</v>
      </c>
      <c r="J2575" s="117" t="s">
        <v>145</v>
      </c>
      <c r="K2575" s="115">
        <f>I2575</f>
        <v>266.49</v>
      </c>
      <c r="M2575" s="115">
        <v>0.77</v>
      </c>
      <c r="N2575" s="116" t="s">
        <v>724</v>
      </c>
      <c r="O2575" s="304" t="s">
        <v>4669</v>
      </c>
      <c r="P2575" s="115">
        <f>I2574</f>
        <v>116.55</v>
      </c>
      <c r="Q2575" s="117" t="s">
        <v>724</v>
      </c>
      <c r="R2575" s="115">
        <f>P2575*M2575</f>
        <v>89.74</v>
      </c>
    </row>
    <row r="2576" spans="6:18" ht="24" customHeight="1">
      <c r="K2576" s="1167" t="s">
        <v>2163</v>
      </c>
      <c r="N2576" s="116"/>
      <c r="O2576" s="115" t="s">
        <v>4622</v>
      </c>
      <c r="P2576" s="205">
        <f>46.62+0.48</f>
        <v>47.1</v>
      </c>
      <c r="Q2576" s="117" t="s">
        <v>145</v>
      </c>
      <c r="R2576" s="115">
        <f>P2576</f>
        <v>47.1</v>
      </c>
    </row>
    <row r="2577" spans="6:22" ht="24" customHeight="1">
      <c r="K2577" s="115">
        <f>SUM(K2572:K2575)</f>
        <v>5857.29</v>
      </c>
      <c r="N2577" s="116"/>
      <c r="Q2577" s="117"/>
      <c r="R2577" s="1167" t="s">
        <v>2163</v>
      </c>
    </row>
    <row r="2578" spans="6:22" ht="24" customHeight="1">
      <c r="H2578" s="115" t="s">
        <v>4655</v>
      </c>
      <c r="I2578" s="115">
        <v>255</v>
      </c>
      <c r="J2578" s="117" t="s">
        <v>145</v>
      </c>
      <c r="K2578" s="115">
        <v>255</v>
      </c>
      <c r="N2578" s="116"/>
      <c r="O2578" s="114" t="s">
        <v>4623</v>
      </c>
      <c r="Q2578" s="117"/>
      <c r="R2578" s="114">
        <f>SUM(R2573:R2576)</f>
        <v>3432.48</v>
      </c>
    </row>
    <row r="2579" spans="6:22" ht="24" customHeight="1">
      <c r="K2579" s="1167" t="s">
        <v>2163</v>
      </c>
      <c r="N2579" s="116"/>
      <c r="Q2579" s="117"/>
      <c r="R2579" s="1167" t="s">
        <v>2163</v>
      </c>
    </row>
    <row r="2580" spans="6:22" ht="24" customHeight="1">
      <c r="H2580" s="114" t="s">
        <v>4656</v>
      </c>
      <c r="K2580" s="114">
        <f>SUM(K2577:K2578)</f>
        <v>6112.29</v>
      </c>
      <c r="N2580" s="116"/>
      <c r="O2580" s="115">
        <f>1.285*0.6</f>
        <v>0.77</v>
      </c>
      <c r="Q2580" s="117"/>
      <c r="R2580" s="115">
        <f>R2578/O2580</f>
        <v>4457.7700000000004</v>
      </c>
    </row>
    <row r="2581" spans="6:22" ht="24" customHeight="1">
      <c r="K2581" s="1167" t="s">
        <v>2163</v>
      </c>
      <c r="M2581" s="115">
        <f>I2574</f>
        <v>116.55</v>
      </c>
      <c r="O2581" s="117">
        <f>M2581*L2540</f>
        <v>89.74</v>
      </c>
    </row>
    <row r="2582" spans="6:22" ht="24" customHeight="1">
      <c r="O2582" s="117">
        <v>0.8</v>
      </c>
    </row>
    <row r="2583" spans="6:22" ht="24" customHeight="1">
      <c r="K2583" s="115">
        <f>5261-K2580</f>
        <v>-851.29</v>
      </c>
      <c r="O2583" s="117">
        <f>SUM(O2579:O2582)</f>
        <v>91.31</v>
      </c>
    </row>
    <row r="2584" spans="6:22" ht="24" customHeight="1">
      <c r="O2584" s="117">
        <f>O2583/0.77</f>
        <v>118.58</v>
      </c>
    </row>
    <row r="2585" spans="6:22" ht="24" customHeight="1">
      <c r="H2585" s="114" t="s">
        <v>4657</v>
      </c>
    </row>
    <row r="2587" spans="6:22" ht="24" customHeight="1">
      <c r="F2587" s="114" t="s">
        <v>4641</v>
      </c>
      <c r="G2587" s="200"/>
      <c r="T2587" s="116"/>
      <c r="U2587" s="115" t="s">
        <v>4670</v>
      </c>
    </row>
    <row r="2588" spans="6:22" ht="24" customHeight="1">
      <c r="T2588" s="116"/>
    </row>
    <row r="2589" spans="6:22" ht="24" customHeight="1">
      <c r="F2589" s="115" t="s">
        <v>4658</v>
      </c>
      <c r="I2589" s="118">
        <v>2.944</v>
      </c>
      <c r="J2589" s="117" t="s">
        <v>39</v>
      </c>
      <c r="S2589" s="118" t="s">
        <v>4671</v>
      </c>
      <c r="T2589" s="116"/>
      <c r="V2589" s="419">
        <f>2*0.85*2.025</f>
        <v>3.4424999999999999</v>
      </c>
    </row>
    <row r="2590" spans="6:22" ht="24" customHeight="1">
      <c r="F2590" s="115" t="s">
        <v>4659</v>
      </c>
      <c r="I2590" s="118">
        <v>2.355</v>
      </c>
      <c r="J2590" s="117" t="s">
        <v>39</v>
      </c>
      <c r="S2590" s="118" t="s">
        <v>4672</v>
      </c>
      <c r="T2590" s="116"/>
      <c r="V2590" s="419">
        <v>2.2800000000000001E-2</v>
      </c>
    </row>
    <row r="2591" spans="6:22" ht="24" customHeight="1">
      <c r="F2591" s="115" t="s">
        <v>4660</v>
      </c>
      <c r="I2591" s="118">
        <v>0.88300000000000001</v>
      </c>
      <c r="J2591" s="117" t="s">
        <v>39</v>
      </c>
      <c r="S2591" s="118" t="s">
        <v>4673</v>
      </c>
      <c r="T2591" s="116"/>
      <c r="V2591" s="224">
        <f>2*3*0.85*0.15*0.0375</f>
        <v>2.87E-2</v>
      </c>
    </row>
    <row r="2592" spans="6:22" ht="24" customHeight="1">
      <c r="T2592" s="116" t="s">
        <v>4674</v>
      </c>
      <c r="V2592" s="224">
        <f>2*3*0.85*0.075*0.0375</f>
        <v>1.43E-2</v>
      </c>
    </row>
    <row r="2593" spans="6:33" ht="24" customHeight="1">
      <c r="T2593" s="116"/>
      <c r="V2593" s="420">
        <f>SUM(V2591:V2592)</f>
        <v>4.2999999999999997E-2</v>
      </c>
    </row>
    <row r="2594" spans="6:33" ht="24" customHeight="1">
      <c r="H2594" s="114" t="s">
        <v>4657</v>
      </c>
      <c r="T2594" s="116"/>
    </row>
    <row r="2595" spans="6:33" ht="24" customHeight="1">
      <c r="T2595" s="116"/>
    </row>
    <row r="2596" spans="6:33" ht="24" customHeight="1">
      <c r="S2596" s="118" t="s">
        <v>4675</v>
      </c>
      <c r="T2596" s="116"/>
      <c r="V2596" s="224">
        <f>2*4*0.725*0.3*0.01875</f>
        <v>3.2599999999999997E-2</v>
      </c>
    </row>
    <row r="2597" spans="6:33" ht="24" customHeight="1">
      <c r="F2597" s="115" t="s">
        <v>4661</v>
      </c>
      <c r="I2597" s="115">
        <v>16.38</v>
      </c>
      <c r="J2597" s="117" t="s">
        <v>39</v>
      </c>
      <c r="S2597" s="118" t="s">
        <v>4676</v>
      </c>
      <c r="T2597" s="116"/>
      <c r="V2597" s="224">
        <f>2*0.725*0.3*0.01875</f>
        <v>8.2000000000000007E-3</v>
      </c>
    </row>
    <row r="2598" spans="6:33" ht="24" customHeight="1">
      <c r="F2598" s="115" t="s">
        <v>4662</v>
      </c>
      <c r="I2598" s="115">
        <v>8.7799999999999994</v>
      </c>
      <c r="J2598" s="117" t="s">
        <v>39</v>
      </c>
      <c r="T2598" s="116"/>
      <c r="V2598" s="420">
        <f>SUM(V2596:V2597)</f>
        <v>4.0800000000000003E-2</v>
      </c>
    </row>
    <row r="2599" spans="6:33" ht="24" customHeight="1">
      <c r="F2599" s="115" t="s">
        <v>4664</v>
      </c>
      <c r="I2599" s="115">
        <v>37.67</v>
      </c>
      <c r="J2599" s="117" t="s">
        <v>39</v>
      </c>
      <c r="T2599" s="116"/>
      <c r="U2599" s="114" t="s">
        <v>4677</v>
      </c>
      <c r="Y2599" s="224">
        <v>2.3099999999999999E-2</v>
      </c>
      <c r="Z2599" s="115">
        <f>Y2599*V2601</f>
        <v>2577.96</v>
      </c>
    </row>
    <row r="2600" spans="6:33" ht="24" customHeight="1">
      <c r="F2600" s="115" t="s">
        <v>4665</v>
      </c>
      <c r="I2600" s="115">
        <v>3.24</v>
      </c>
      <c r="J2600" s="117" t="s">
        <v>39</v>
      </c>
      <c r="T2600" s="116"/>
      <c r="Y2600" s="224">
        <v>4.48E-2</v>
      </c>
      <c r="Z2600" s="115">
        <f>Y2600*V2602</f>
        <v>4453.12</v>
      </c>
    </row>
    <row r="2601" spans="6:33" ht="40.5" customHeight="1">
      <c r="F2601" s="115" t="s">
        <v>4666</v>
      </c>
      <c r="I2601" s="115">
        <v>3.6</v>
      </c>
      <c r="J2601" s="117" t="s">
        <v>39</v>
      </c>
      <c r="S2601" s="224">
        <f>V2590</f>
        <v>2.2800000000000001E-2</v>
      </c>
      <c r="T2601" s="116" t="s">
        <v>132</v>
      </c>
      <c r="U2601" s="115" t="s">
        <v>4678</v>
      </c>
      <c r="V2601" s="115">
        <f>I2633</f>
        <v>111600</v>
      </c>
      <c r="W2601" s="119" t="s">
        <v>132</v>
      </c>
      <c r="X2601" s="115">
        <f>S2601*V2601</f>
        <v>2544.48</v>
      </c>
      <c r="Y2601" s="224">
        <v>2.2690000000000001</v>
      </c>
      <c r="Z2601" s="115">
        <f>Y2601*336</f>
        <v>762.38</v>
      </c>
      <c r="AC2601" s="116"/>
      <c r="AD2601" s="1818" t="s">
        <v>4679</v>
      </c>
      <c r="AE2601" s="1818"/>
      <c r="AF2601" s="1818"/>
      <c r="AG2601" s="1818"/>
    </row>
    <row r="2602" spans="6:33" ht="24" customHeight="1">
      <c r="F2602" s="115" t="s">
        <v>4650</v>
      </c>
      <c r="I2602" s="115">
        <v>2.88</v>
      </c>
      <c r="S2602" s="224">
        <f>V2593</f>
        <v>4.2999999999999997E-2</v>
      </c>
      <c r="T2602" s="116" t="s">
        <v>132</v>
      </c>
      <c r="U2602" s="115" t="s">
        <v>3113</v>
      </c>
      <c r="V2602" s="115">
        <f t="shared" ref="V2602:V2610" si="245">I2634</f>
        <v>99400</v>
      </c>
      <c r="W2602" s="119" t="s">
        <v>132</v>
      </c>
      <c r="X2602" s="115">
        <f t="shared" ref="X2602:X2612" si="246">S2602*V2602</f>
        <v>4274.2</v>
      </c>
      <c r="Y2602" s="224">
        <v>3.4849999999999999</v>
      </c>
      <c r="Z2602" s="115">
        <f>Y2602*V2604</f>
        <v>5585.41</v>
      </c>
      <c r="AC2602" s="116"/>
      <c r="AF2602" s="117"/>
    </row>
    <row r="2603" spans="6:33" ht="24" customHeight="1">
      <c r="I2603" s="1167" t="s">
        <v>2280</v>
      </c>
      <c r="S2603" s="224">
        <f>V2598</f>
        <v>4.0800000000000003E-2</v>
      </c>
      <c r="T2603" s="116" t="s">
        <v>132</v>
      </c>
      <c r="U2603" s="115" t="s">
        <v>4263</v>
      </c>
      <c r="V2603" s="115">
        <f t="shared" si="245"/>
        <v>107000</v>
      </c>
      <c r="W2603" s="119" t="s">
        <v>132</v>
      </c>
      <c r="X2603" s="115">
        <f t="shared" si="246"/>
        <v>4365.6000000000004</v>
      </c>
      <c r="Y2603" s="224">
        <v>2</v>
      </c>
      <c r="Z2603" s="115">
        <f>Y2603*V2605</f>
        <v>509</v>
      </c>
      <c r="AB2603" s="115" t="s">
        <v>4680</v>
      </c>
      <c r="AC2603" s="116"/>
      <c r="AE2603" s="419">
        <f>2*0.95*2.025</f>
        <v>3.8475000000000001</v>
      </c>
      <c r="AF2603" s="117"/>
    </row>
    <row r="2604" spans="6:33" ht="24" customHeight="1">
      <c r="I2604" s="114">
        <f>SUM(I2597:I2602)</f>
        <v>72.55</v>
      </c>
      <c r="J2604" s="117" t="s">
        <v>39</v>
      </c>
      <c r="S2604" s="224">
        <f>V2589</f>
        <v>3.4424999999999999</v>
      </c>
      <c r="T2604" s="116" t="s">
        <v>425</v>
      </c>
      <c r="U2604" s="115" t="s">
        <v>3115</v>
      </c>
      <c r="V2604" s="115">
        <f t="shared" si="245"/>
        <v>1602.7</v>
      </c>
      <c r="W2604" s="119" t="s">
        <v>425</v>
      </c>
      <c r="X2604" s="115">
        <f t="shared" si="246"/>
        <v>5517.29</v>
      </c>
      <c r="Y2604" s="224">
        <v>6</v>
      </c>
      <c r="Z2604" s="115">
        <f>Y2604*V2606</f>
        <v>1284.5999999999999</v>
      </c>
      <c r="AB2604" s="115" t="s">
        <v>4672</v>
      </c>
      <c r="AC2604" s="116"/>
      <c r="AE2604" s="419">
        <v>2.2800000000000001E-2</v>
      </c>
      <c r="AF2604" s="117"/>
    </row>
    <row r="2605" spans="6:33" ht="24" customHeight="1">
      <c r="I2605" s="1167" t="s">
        <v>2280</v>
      </c>
      <c r="S2605" s="118">
        <v>2</v>
      </c>
      <c r="T2605" s="116" t="s">
        <v>1572</v>
      </c>
      <c r="U2605" s="115" t="s">
        <v>4264</v>
      </c>
      <c r="V2605" s="115">
        <f t="shared" si="245"/>
        <v>254.5</v>
      </c>
      <c r="W2605" s="119" t="s">
        <v>729</v>
      </c>
      <c r="X2605" s="115">
        <f t="shared" si="246"/>
        <v>509</v>
      </c>
      <c r="Y2605" s="224">
        <v>4</v>
      </c>
      <c r="Z2605" s="115">
        <f>Y2605*V2607</f>
        <v>1632</v>
      </c>
      <c r="AB2605" s="115" t="s">
        <v>4681</v>
      </c>
      <c r="AC2605" s="116"/>
      <c r="AE2605" s="224">
        <f>2*3*0.95*0.15*0.0375</f>
        <v>3.2099999999999997E-2</v>
      </c>
      <c r="AF2605" s="117"/>
    </row>
    <row r="2606" spans="6:33" ht="24" customHeight="1">
      <c r="S2606" s="118">
        <v>6</v>
      </c>
      <c r="T2606" s="116" t="s">
        <v>1572</v>
      </c>
      <c r="U2606" s="115" t="s">
        <v>4265</v>
      </c>
      <c r="V2606" s="115">
        <f t="shared" si="245"/>
        <v>214.1</v>
      </c>
      <c r="W2606" s="119" t="s">
        <v>729</v>
      </c>
      <c r="X2606" s="115">
        <f t="shared" si="246"/>
        <v>1284.5999999999999</v>
      </c>
      <c r="Y2606" s="224">
        <v>1</v>
      </c>
      <c r="Z2606" s="115">
        <f>Y2606*X2608</f>
        <v>836</v>
      </c>
      <c r="AC2606" s="116" t="s">
        <v>4682</v>
      </c>
      <c r="AE2606" s="224">
        <f>2*3*0.95*0.075*0.0375</f>
        <v>1.6E-2</v>
      </c>
      <c r="AF2606" s="117"/>
    </row>
    <row r="2607" spans="6:33" ht="24" customHeight="1">
      <c r="F2607" s="115">
        <v>73</v>
      </c>
      <c r="G2607" s="116" t="s">
        <v>39</v>
      </c>
      <c r="H2607" s="115" t="s">
        <v>4652</v>
      </c>
      <c r="I2607" s="115">
        <f>I2572</f>
        <v>70.150000000000006</v>
      </c>
      <c r="J2607" s="117" t="s">
        <v>39</v>
      </c>
      <c r="K2607" s="115">
        <f>F2607*I2607</f>
        <v>5120.95</v>
      </c>
      <c r="S2607" s="118">
        <v>4</v>
      </c>
      <c r="T2607" s="116" t="s">
        <v>1572</v>
      </c>
      <c r="U2607" s="115" t="s">
        <v>4266</v>
      </c>
      <c r="V2607" s="115">
        <f t="shared" si="245"/>
        <v>408</v>
      </c>
      <c r="W2607" s="119" t="s">
        <v>729</v>
      </c>
      <c r="X2607" s="115">
        <f t="shared" si="246"/>
        <v>1632</v>
      </c>
      <c r="Y2607" s="224">
        <v>2</v>
      </c>
      <c r="Z2607" s="115">
        <f>Y2607*V2609</f>
        <v>15</v>
      </c>
      <c r="AC2607" s="116"/>
      <c r="AE2607" s="420">
        <f>SUM(AE2605:AE2606)</f>
        <v>4.8099999999999997E-2</v>
      </c>
      <c r="AF2607" s="117"/>
    </row>
    <row r="2608" spans="6:33" ht="24" customHeight="1">
      <c r="F2608" s="115">
        <v>1.01</v>
      </c>
      <c r="G2608" s="116" t="s">
        <v>724</v>
      </c>
      <c r="H2608" s="115" t="s">
        <v>4620</v>
      </c>
      <c r="I2608" s="115">
        <f>I2573</f>
        <v>379.9</v>
      </c>
      <c r="J2608" s="117" t="s">
        <v>724</v>
      </c>
      <c r="K2608" s="115">
        <f>F2608*I2608</f>
        <v>383.7</v>
      </c>
      <c r="S2608" s="118">
        <v>1</v>
      </c>
      <c r="T2608" s="116" t="s">
        <v>1572</v>
      </c>
      <c r="U2608" s="115" t="s">
        <v>4267</v>
      </c>
      <c r="V2608" s="115">
        <f t="shared" si="245"/>
        <v>836</v>
      </c>
      <c r="W2608" s="119" t="s">
        <v>729</v>
      </c>
      <c r="X2608" s="115">
        <f t="shared" si="246"/>
        <v>836</v>
      </c>
      <c r="Y2608" s="224">
        <v>2</v>
      </c>
      <c r="Z2608" s="115">
        <f>Y2608*V2610</f>
        <v>99.1</v>
      </c>
      <c r="AC2608" s="116"/>
      <c r="AF2608" s="117"/>
    </row>
    <row r="2609" spans="6:33" ht="24" customHeight="1">
      <c r="F2609" s="115">
        <v>1.01</v>
      </c>
      <c r="G2609" s="116" t="s">
        <v>724</v>
      </c>
      <c r="H2609" s="115" t="s">
        <v>4683</v>
      </c>
      <c r="I2609" s="115">
        <f>C198</f>
        <v>40.65</v>
      </c>
      <c r="J2609" s="117" t="s">
        <v>724</v>
      </c>
      <c r="K2609" s="115">
        <f>F2609*I2609</f>
        <v>41.06</v>
      </c>
      <c r="S2609" s="118">
        <v>2</v>
      </c>
      <c r="T2609" s="116" t="s">
        <v>1572</v>
      </c>
      <c r="U2609" s="115" t="s">
        <v>453</v>
      </c>
      <c r="V2609" s="205">
        <v>7.5</v>
      </c>
      <c r="W2609" s="119" t="s">
        <v>729</v>
      </c>
      <c r="X2609" s="115">
        <f t="shared" si="246"/>
        <v>15</v>
      </c>
      <c r="Y2609" s="224"/>
      <c r="Z2609" s="115">
        <v>20</v>
      </c>
      <c r="AC2609" s="116"/>
      <c r="AF2609" s="117"/>
    </row>
    <row r="2610" spans="6:33" ht="24" customHeight="1">
      <c r="H2610" s="115" t="s">
        <v>4654</v>
      </c>
      <c r="I2610" s="416">
        <v>266.81</v>
      </c>
      <c r="J2610" s="117" t="s">
        <v>145</v>
      </c>
      <c r="K2610" s="115">
        <f>I2610</f>
        <v>266.81</v>
      </c>
      <c r="S2610" s="118">
        <v>2</v>
      </c>
      <c r="T2610" s="116" t="s">
        <v>1572</v>
      </c>
      <c r="U2610" s="115" t="s">
        <v>455</v>
      </c>
      <c r="V2610" s="115">
        <f t="shared" si="245"/>
        <v>49.55</v>
      </c>
      <c r="W2610" s="119" t="s">
        <v>729</v>
      </c>
      <c r="X2610" s="115">
        <f t="shared" si="246"/>
        <v>99.1</v>
      </c>
      <c r="Z2610" s="115">
        <f>SUM(Z2599:Z2609)</f>
        <v>17774.57</v>
      </c>
      <c r="AB2610" s="115" t="s">
        <v>4684</v>
      </c>
      <c r="AC2610" s="116"/>
      <c r="AE2610" s="224">
        <f>2*4*0.825*0.3*0.01875</f>
        <v>3.7100000000000001E-2</v>
      </c>
      <c r="AF2610" s="117"/>
    </row>
    <row r="2611" spans="6:33" ht="24" customHeight="1">
      <c r="K2611" s="1167" t="s">
        <v>2163</v>
      </c>
      <c r="T2611" s="116"/>
      <c r="Z2611" s="115">
        <f>Z2610/3.485</f>
        <v>5100.3100000000004</v>
      </c>
      <c r="AB2611" s="115" t="s">
        <v>4685</v>
      </c>
      <c r="AC2611" s="116"/>
      <c r="AE2611" s="224">
        <f>2*0.825*0.3*0.01875</f>
        <v>9.2999999999999992E-3</v>
      </c>
      <c r="AF2611" s="117"/>
    </row>
    <row r="2612" spans="6:33" ht="24" customHeight="1">
      <c r="K2612" s="115">
        <f>SUM(K2607:K2610)</f>
        <v>5812.52</v>
      </c>
      <c r="S2612" s="118">
        <v>10</v>
      </c>
      <c r="T2612" s="116"/>
      <c r="U2612" s="115" t="s">
        <v>3121</v>
      </c>
      <c r="V2612" s="115">
        <f>I2643</f>
        <v>2.41</v>
      </c>
      <c r="X2612" s="115">
        <f t="shared" si="246"/>
        <v>24.1</v>
      </c>
      <c r="AC2612" s="116"/>
      <c r="AE2612" s="420">
        <f>SUM(AE2610:AE2611)</f>
        <v>4.6399999999999997E-2</v>
      </c>
      <c r="AF2612" s="117"/>
    </row>
    <row r="2613" spans="6:33" ht="24" customHeight="1">
      <c r="H2613" s="115" t="s">
        <v>4655</v>
      </c>
      <c r="I2613" s="416">
        <v>255</v>
      </c>
      <c r="J2613" s="117" t="s">
        <v>145</v>
      </c>
      <c r="K2613" s="115">
        <v>255</v>
      </c>
      <c r="T2613" s="200"/>
      <c r="U2613" s="114" t="s">
        <v>460</v>
      </c>
      <c r="X2613" s="114">
        <f>SUM(X2601:X2612)</f>
        <v>21101.37</v>
      </c>
      <c r="AC2613" s="116"/>
      <c r="AD2613" s="114" t="s">
        <v>4677</v>
      </c>
      <c r="AF2613" s="117"/>
    </row>
    <row r="2614" spans="6:33" ht="24" customHeight="1">
      <c r="K2614" s="1167" t="s">
        <v>2163</v>
      </c>
      <c r="T2614" s="200"/>
      <c r="U2614" s="114"/>
      <c r="X2614" s="1167" t="s">
        <v>2163</v>
      </c>
      <c r="AC2614" s="116"/>
      <c r="AF2614" s="117"/>
    </row>
    <row r="2615" spans="6:33" ht="24" customHeight="1">
      <c r="H2615" s="114" t="s">
        <v>4656</v>
      </c>
      <c r="K2615" s="114">
        <f>SUM(K2612:K2613)</f>
        <v>6067.52</v>
      </c>
      <c r="M2615" s="115">
        <f>5227-K2615</f>
        <v>-840.52</v>
      </c>
      <c r="T2615" s="200"/>
      <c r="U2615" s="114" t="s">
        <v>4686</v>
      </c>
      <c r="X2615" s="114">
        <f>X2613/3.4425</f>
        <v>6129.66</v>
      </c>
      <c r="AB2615" s="224">
        <f>AE2604</f>
        <v>2.2800000000000001E-2</v>
      </c>
      <c r="AC2615" s="116" t="s">
        <v>132</v>
      </c>
      <c r="AD2615" s="115" t="s">
        <v>4678</v>
      </c>
      <c r="AE2615" s="115">
        <f>V2601</f>
        <v>111600</v>
      </c>
      <c r="AF2615" s="117" t="s">
        <v>132</v>
      </c>
      <c r="AG2615" s="115">
        <f>AB2615*AE2615</f>
        <v>2544.48</v>
      </c>
    </row>
    <row r="2616" spans="6:33" ht="24" customHeight="1">
      <c r="K2616" s="1167" t="s">
        <v>2163</v>
      </c>
      <c r="AB2616" s="224">
        <f>AE2607</f>
        <v>4.8099999999999997E-2</v>
      </c>
      <c r="AC2616" s="116" t="s">
        <v>132</v>
      </c>
      <c r="AD2616" s="115" t="s">
        <v>3113</v>
      </c>
      <c r="AE2616" s="115">
        <f t="shared" ref="AE2616:AE2624" si="247">V2602</f>
        <v>99400</v>
      </c>
      <c r="AF2616" s="117" t="s">
        <v>132</v>
      </c>
      <c r="AG2616" s="115">
        <f t="shared" ref="AG2616:AG2624" si="248">AB2616*AE2616</f>
        <v>4781.1400000000003</v>
      </c>
    </row>
    <row r="2617" spans="6:33" ht="24" customHeight="1">
      <c r="AB2617" s="267">
        <f>AE2612</f>
        <v>4.6399999999999997E-2</v>
      </c>
      <c r="AC2617" s="116" t="s">
        <v>132</v>
      </c>
      <c r="AD2617" s="115" t="s">
        <v>4263</v>
      </c>
      <c r="AE2617" s="115">
        <f t="shared" si="247"/>
        <v>107000</v>
      </c>
      <c r="AF2617" s="117" t="s">
        <v>132</v>
      </c>
      <c r="AG2617" s="115">
        <f t="shared" si="248"/>
        <v>4964.8</v>
      </c>
    </row>
    <row r="2618" spans="6:33" ht="24" customHeight="1">
      <c r="AB2618" s="224">
        <f>AE2603</f>
        <v>3.8475000000000001</v>
      </c>
      <c r="AC2618" s="116" t="s">
        <v>425</v>
      </c>
      <c r="AD2618" s="115" t="s">
        <v>3115</v>
      </c>
      <c r="AE2618" s="115">
        <f t="shared" si="247"/>
        <v>1602.7</v>
      </c>
      <c r="AF2618" s="117" t="s">
        <v>425</v>
      </c>
      <c r="AG2618" s="115">
        <f t="shared" si="248"/>
        <v>6166.39</v>
      </c>
    </row>
    <row r="2619" spans="6:33" ht="24" customHeight="1">
      <c r="H2619" s="114" t="s">
        <v>4687</v>
      </c>
      <c r="I2619" s="114"/>
      <c r="AB2619" s="115">
        <v>2</v>
      </c>
      <c r="AC2619" s="116" t="s">
        <v>1572</v>
      </c>
      <c r="AD2619" s="115" t="s">
        <v>4264</v>
      </c>
      <c r="AE2619" s="115">
        <f t="shared" si="247"/>
        <v>254.5</v>
      </c>
      <c r="AF2619" s="117" t="s">
        <v>729</v>
      </c>
      <c r="AG2619" s="115">
        <f t="shared" si="248"/>
        <v>509</v>
      </c>
    </row>
    <row r="2620" spans="6:33" ht="24" customHeight="1">
      <c r="AB2620" s="115">
        <v>6</v>
      </c>
      <c r="AC2620" s="116" t="s">
        <v>1572</v>
      </c>
      <c r="AD2620" s="115" t="s">
        <v>4265</v>
      </c>
      <c r="AE2620" s="115">
        <f t="shared" si="247"/>
        <v>214.1</v>
      </c>
      <c r="AF2620" s="117" t="s">
        <v>729</v>
      </c>
      <c r="AG2620" s="115">
        <f t="shared" si="248"/>
        <v>1284.5999999999999</v>
      </c>
    </row>
    <row r="2621" spans="6:33" ht="24" customHeight="1">
      <c r="F2621" s="115" t="s">
        <v>4688</v>
      </c>
      <c r="AB2621" s="115">
        <v>4</v>
      </c>
      <c r="AC2621" s="116" t="s">
        <v>1572</v>
      </c>
      <c r="AD2621" s="115" t="s">
        <v>4266</v>
      </c>
      <c r="AE2621" s="115">
        <f t="shared" si="247"/>
        <v>408</v>
      </c>
      <c r="AF2621" s="117" t="s">
        <v>729</v>
      </c>
      <c r="AG2621" s="115">
        <f t="shared" si="248"/>
        <v>1632</v>
      </c>
    </row>
    <row r="2622" spans="6:33" ht="24" customHeight="1">
      <c r="F2622" s="115" t="s">
        <v>4672</v>
      </c>
      <c r="I2622" s="419">
        <v>2.2800000000000001E-2</v>
      </c>
      <c r="AB2622" s="115">
        <v>1</v>
      </c>
      <c r="AC2622" s="116" t="s">
        <v>1572</v>
      </c>
      <c r="AD2622" s="115" t="s">
        <v>4267</v>
      </c>
      <c r="AE2622" s="115">
        <f t="shared" si="247"/>
        <v>836</v>
      </c>
      <c r="AF2622" s="117" t="s">
        <v>729</v>
      </c>
      <c r="AG2622" s="115">
        <f t="shared" si="248"/>
        <v>836</v>
      </c>
    </row>
    <row r="2623" spans="6:33" ht="24" customHeight="1">
      <c r="F2623" s="115" t="s">
        <v>4689</v>
      </c>
      <c r="I2623" s="224">
        <v>2.3599999999999999E-2</v>
      </c>
      <c r="AB2623" s="115">
        <v>2</v>
      </c>
      <c r="AC2623" s="116" t="s">
        <v>1572</v>
      </c>
      <c r="AD2623" s="115" t="s">
        <v>453</v>
      </c>
      <c r="AE2623" s="115">
        <f t="shared" si="247"/>
        <v>7.5</v>
      </c>
      <c r="AF2623" s="117" t="s">
        <v>729</v>
      </c>
      <c r="AG2623" s="115">
        <f t="shared" si="248"/>
        <v>15</v>
      </c>
    </row>
    <row r="2624" spans="6:33" ht="24" customHeight="1">
      <c r="G2624" s="116" t="s">
        <v>4690</v>
      </c>
      <c r="I2624" s="224">
        <v>1.18E-2</v>
      </c>
      <c r="AB2624" s="115">
        <v>2</v>
      </c>
      <c r="AC2624" s="116" t="s">
        <v>1572</v>
      </c>
      <c r="AD2624" s="115" t="s">
        <v>455</v>
      </c>
      <c r="AE2624" s="115">
        <f t="shared" si="247"/>
        <v>49.55</v>
      </c>
      <c r="AF2624" s="117" t="s">
        <v>729</v>
      </c>
      <c r="AG2624" s="115">
        <f t="shared" si="248"/>
        <v>99.1</v>
      </c>
    </row>
    <row r="2625" spans="6:33" ht="24" customHeight="1">
      <c r="I2625" s="420">
        <f>SUM(I2623:I2624)</f>
        <v>3.5400000000000001E-2</v>
      </c>
      <c r="AC2625" s="116"/>
      <c r="AF2625" s="117"/>
    </row>
    <row r="2626" spans="6:33" ht="24" customHeight="1">
      <c r="N2626" s="116"/>
      <c r="O2626" s="114" t="s">
        <v>4691</v>
      </c>
      <c r="Q2626" s="117"/>
      <c r="AC2626" s="116"/>
      <c r="AF2626" s="117"/>
      <c r="AG2626" s="115">
        <v>10.54</v>
      </c>
    </row>
    <row r="2627" spans="6:33" ht="24" customHeight="1">
      <c r="N2627" s="116"/>
      <c r="Q2627" s="117"/>
      <c r="AC2627" s="200"/>
      <c r="AD2627" s="114" t="s">
        <v>460</v>
      </c>
      <c r="AF2627" s="117"/>
      <c r="AG2627" s="114">
        <f>SUM(AG2615:AG2626)</f>
        <v>22843.05</v>
      </c>
    </row>
    <row r="2628" spans="6:33" ht="24" customHeight="1">
      <c r="F2628" s="115" t="s">
        <v>4692</v>
      </c>
      <c r="I2628" s="224">
        <v>2.5899999999999999E-2</v>
      </c>
      <c r="M2628" s="115" t="s">
        <v>4693</v>
      </c>
      <c r="N2628" s="116"/>
      <c r="Q2628" s="117"/>
      <c r="AC2628" s="200"/>
      <c r="AD2628" s="114"/>
      <c r="AF2628" s="117"/>
      <c r="AG2628" s="1167" t="s">
        <v>2163</v>
      </c>
    </row>
    <row r="2629" spans="6:33" ht="24" customHeight="1">
      <c r="F2629" s="115" t="s">
        <v>4694</v>
      </c>
      <c r="I2629" s="224">
        <f>2*0.575*0.3*0.01875</f>
        <v>6.4999999999999997E-3</v>
      </c>
      <c r="K2629" s="115">
        <f>3643035-3769622.98</f>
        <v>-126587.98</v>
      </c>
      <c r="M2629" s="115" t="s">
        <v>4672</v>
      </c>
      <c r="N2629" s="116"/>
      <c r="P2629" s="419">
        <v>2.2800000000000001E-2</v>
      </c>
      <c r="Q2629" s="117"/>
      <c r="AC2629" s="200"/>
      <c r="AD2629" s="114" t="s">
        <v>4695</v>
      </c>
      <c r="AF2629" s="117"/>
      <c r="AG2629" s="114">
        <f>AG2627/3.8475</f>
        <v>5937.12</v>
      </c>
    </row>
    <row r="2630" spans="6:33" ht="24" customHeight="1">
      <c r="I2630" s="420">
        <f>SUM(I2628:I2629)</f>
        <v>3.2399999999999998E-2</v>
      </c>
      <c r="M2630" s="115" t="s">
        <v>4696</v>
      </c>
      <c r="N2630" s="116"/>
      <c r="P2630" s="224">
        <v>1.8599999999999998E-2</v>
      </c>
      <c r="Q2630" s="117"/>
    </row>
    <row r="2631" spans="6:33" ht="24" customHeight="1">
      <c r="H2631" s="114" t="s">
        <v>4677</v>
      </c>
      <c r="N2631" s="116" t="s">
        <v>4697</v>
      </c>
      <c r="P2631" s="224">
        <v>9.2999999999999992E-3</v>
      </c>
      <c r="Q2631" s="117"/>
    </row>
    <row r="2632" spans="6:33" ht="24" customHeight="1">
      <c r="N2632" s="116"/>
      <c r="P2632" s="420">
        <f>SUM(P2630:P2631)</f>
        <v>2.7900000000000001E-2</v>
      </c>
      <c r="Q2632" s="117"/>
    </row>
    <row r="2633" spans="6:33" ht="24" customHeight="1">
      <c r="F2633" s="224">
        <v>2.2800000000000001E-2</v>
      </c>
      <c r="G2633" s="116" t="s">
        <v>132</v>
      </c>
      <c r="H2633" s="115" t="s">
        <v>3112</v>
      </c>
      <c r="I2633" s="115">
        <f>AC26</f>
        <v>111600</v>
      </c>
      <c r="J2633" s="117" t="s">
        <v>132</v>
      </c>
      <c r="K2633" s="115">
        <f>F2633*I2633</f>
        <v>2544.48</v>
      </c>
      <c r="N2633" s="116"/>
      <c r="Q2633" s="117"/>
    </row>
    <row r="2634" spans="6:33" ht="24" customHeight="1">
      <c r="F2634" s="224">
        <v>3.5400000000000001E-2</v>
      </c>
      <c r="G2634" s="116" t="s">
        <v>132</v>
      </c>
      <c r="H2634" s="115" t="s">
        <v>3113</v>
      </c>
      <c r="I2634" s="115">
        <f>AC27</f>
        <v>99400</v>
      </c>
      <c r="J2634" s="117" t="s">
        <v>132</v>
      </c>
      <c r="K2634" s="115">
        <f t="shared" ref="K2634:K2643" si="249">F2634*I2634</f>
        <v>3518.76</v>
      </c>
      <c r="N2634" s="116"/>
      <c r="Q2634" s="117"/>
    </row>
    <row r="2635" spans="6:33" ht="24" customHeight="1">
      <c r="F2635" s="267">
        <v>3.2300000000000002E-2</v>
      </c>
      <c r="G2635" s="116" t="s">
        <v>132</v>
      </c>
      <c r="H2635" s="115" t="s">
        <v>4698</v>
      </c>
      <c r="I2635" s="162">
        <v>107000</v>
      </c>
      <c r="J2635" s="117" t="s">
        <v>132</v>
      </c>
      <c r="K2635" s="115">
        <f t="shared" si="249"/>
        <v>3456.1</v>
      </c>
      <c r="M2635" s="115" t="s">
        <v>4699</v>
      </c>
      <c r="N2635" s="116"/>
      <c r="P2635" s="224">
        <v>1.9E-2</v>
      </c>
      <c r="Q2635" s="117"/>
      <c r="AB2635" s="118"/>
      <c r="AC2635" s="116"/>
      <c r="AD2635" s="114" t="s">
        <v>4670</v>
      </c>
      <c r="AF2635" s="117"/>
    </row>
    <row r="2636" spans="6:33" ht="24" customHeight="1">
      <c r="F2636" s="118">
        <v>2.835</v>
      </c>
      <c r="G2636" s="116" t="s">
        <v>425</v>
      </c>
      <c r="H2636" s="115" t="s">
        <v>3115</v>
      </c>
      <c r="I2636" s="115">
        <f>AE30</f>
        <v>1602.7</v>
      </c>
      <c r="J2636" s="117" t="s">
        <v>425</v>
      </c>
      <c r="K2636" s="115">
        <f t="shared" si="249"/>
        <v>4543.6499999999996</v>
      </c>
      <c r="M2636" s="115" t="s">
        <v>4700</v>
      </c>
      <c r="N2636" s="116"/>
      <c r="P2636" s="224">
        <v>4.7999999999999996E-3</v>
      </c>
      <c r="Q2636" s="117"/>
      <c r="AB2636" s="118"/>
      <c r="AC2636" s="116"/>
      <c r="AD2636" s="114" t="s">
        <v>4701</v>
      </c>
      <c r="AF2636" s="117"/>
    </row>
    <row r="2637" spans="6:33" ht="24" customHeight="1">
      <c r="F2637" s="115">
        <v>2</v>
      </c>
      <c r="G2637" s="116" t="s">
        <v>1572</v>
      </c>
      <c r="H2637" s="115" t="s">
        <v>3116</v>
      </c>
      <c r="I2637" s="115">
        <f>I2818</f>
        <v>254.5</v>
      </c>
      <c r="J2637" s="117" t="s">
        <v>729</v>
      </c>
      <c r="K2637" s="115">
        <f t="shared" si="249"/>
        <v>509</v>
      </c>
      <c r="N2637" s="116"/>
      <c r="P2637" s="420">
        <f>SUM(P2635:P2636)</f>
        <v>2.3800000000000002E-2</v>
      </c>
      <c r="Q2637" s="117"/>
      <c r="AB2637" s="118" t="s">
        <v>4671</v>
      </c>
      <c r="AC2637" s="116"/>
      <c r="AE2637" s="419">
        <f>2*0.85*2.025</f>
        <v>3.4424999999999999</v>
      </c>
      <c r="AF2637" s="117"/>
    </row>
    <row r="2638" spans="6:33" ht="24" customHeight="1">
      <c r="F2638" s="115">
        <v>6</v>
      </c>
      <c r="G2638" s="116" t="s">
        <v>1572</v>
      </c>
      <c r="H2638" s="115" t="s">
        <v>3117</v>
      </c>
      <c r="I2638" s="115">
        <f t="shared" ref="I2638:I2643" si="250">I2819</f>
        <v>214.1</v>
      </c>
      <c r="J2638" s="117" t="s">
        <v>729</v>
      </c>
      <c r="K2638" s="115">
        <f t="shared" si="249"/>
        <v>1284.5999999999999</v>
      </c>
      <c r="N2638" s="116"/>
      <c r="O2638" s="114" t="s">
        <v>4677</v>
      </c>
      <c r="Q2638" s="117"/>
      <c r="AB2638" s="118" t="s">
        <v>4672</v>
      </c>
      <c r="AC2638" s="116"/>
      <c r="AE2638" s="419">
        <v>2.2800000000000001E-2</v>
      </c>
      <c r="AF2638" s="117"/>
    </row>
    <row r="2639" spans="6:33" ht="24" customHeight="1">
      <c r="F2639" s="115">
        <v>4</v>
      </c>
      <c r="G2639" s="116" t="s">
        <v>1572</v>
      </c>
      <c r="H2639" s="115" t="s">
        <v>3118</v>
      </c>
      <c r="I2639" s="115">
        <f t="shared" si="250"/>
        <v>408</v>
      </c>
      <c r="J2639" s="117" t="s">
        <v>729</v>
      </c>
      <c r="K2639" s="115">
        <f t="shared" si="249"/>
        <v>1632</v>
      </c>
      <c r="N2639" s="116"/>
      <c r="Q2639" s="117"/>
      <c r="AB2639" s="118" t="s">
        <v>4673</v>
      </c>
      <c r="AC2639" s="116"/>
      <c r="AE2639" s="224">
        <f>2*3*0.85*0.15*0.0375</f>
        <v>2.87E-2</v>
      </c>
      <c r="AF2639" s="117"/>
    </row>
    <row r="2640" spans="6:33" ht="24" customHeight="1">
      <c r="F2640" s="115">
        <v>1</v>
      </c>
      <c r="G2640" s="116" t="s">
        <v>1572</v>
      </c>
      <c r="H2640" s="115" t="s">
        <v>3119</v>
      </c>
      <c r="I2640" s="115">
        <f t="shared" si="250"/>
        <v>836</v>
      </c>
      <c r="J2640" s="117" t="s">
        <v>729</v>
      </c>
      <c r="K2640" s="115">
        <f t="shared" si="249"/>
        <v>836</v>
      </c>
      <c r="M2640" s="224">
        <f>P2629</f>
        <v>2.2800000000000001E-2</v>
      </c>
      <c r="N2640" s="116" t="s">
        <v>132</v>
      </c>
      <c r="O2640" s="115" t="s">
        <v>4678</v>
      </c>
      <c r="P2640" s="115">
        <f>I2633</f>
        <v>111600</v>
      </c>
      <c r="Q2640" s="117" t="s">
        <v>132</v>
      </c>
      <c r="R2640" s="115">
        <f>M2640*P2640</f>
        <v>2544.48</v>
      </c>
      <c r="AB2640" s="118"/>
      <c r="AC2640" s="116" t="s">
        <v>4674</v>
      </c>
      <c r="AE2640" s="224">
        <f>2*3*0.85*0.075*0.0375</f>
        <v>1.43E-2</v>
      </c>
      <c r="AF2640" s="117"/>
    </row>
    <row r="2641" spans="6:34" ht="24" customHeight="1">
      <c r="F2641" s="115">
        <v>2</v>
      </c>
      <c r="G2641" s="116" t="s">
        <v>1572</v>
      </c>
      <c r="H2641" s="115" t="s">
        <v>4702</v>
      </c>
      <c r="I2641" s="115">
        <f t="shared" si="250"/>
        <v>7.3</v>
      </c>
      <c r="J2641" s="117" t="s">
        <v>729</v>
      </c>
      <c r="K2641" s="115">
        <f t="shared" si="249"/>
        <v>14.6</v>
      </c>
      <c r="M2641" s="224">
        <f>P2632</f>
        <v>2.7900000000000001E-2</v>
      </c>
      <c r="N2641" s="116" t="s">
        <v>132</v>
      </c>
      <c r="O2641" s="115" t="s">
        <v>3113</v>
      </c>
      <c r="P2641" s="115">
        <f t="shared" ref="P2641:P2649" si="251">I2634</f>
        <v>99400</v>
      </c>
      <c r="Q2641" s="117" t="s">
        <v>132</v>
      </c>
      <c r="R2641" s="115">
        <f t="shared" ref="R2641:R2650" si="252">M2641*P2641</f>
        <v>2773.26</v>
      </c>
      <c r="AA2641" s="118"/>
      <c r="AB2641" s="118"/>
      <c r="AC2641" s="116"/>
      <c r="AE2641" s="420">
        <f>SUM(AE2639:AE2640)</f>
        <v>4.2999999999999997E-2</v>
      </c>
      <c r="AF2641" s="117"/>
    </row>
    <row r="2642" spans="6:34" ht="24" customHeight="1">
      <c r="F2642" s="115">
        <v>2</v>
      </c>
      <c r="G2642" s="116" t="s">
        <v>1572</v>
      </c>
      <c r="H2642" s="115" t="s">
        <v>4703</v>
      </c>
      <c r="I2642" s="115">
        <f t="shared" si="250"/>
        <v>49.55</v>
      </c>
      <c r="J2642" s="117" t="s">
        <v>729</v>
      </c>
      <c r="K2642" s="115">
        <f t="shared" si="249"/>
        <v>99.1</v>
      </c>
      <c r="M2642" s="267">
        <f>P2637</f>
        <v>2.3800000000000002E-2</v>
      </c>
      <c r="N2642" s="116" t="s">
        <v>132</v>
      </c>
      <c r="O2642" s="115" t="s">
        <v>3114</v>
      </c>
      <c r="P2642" s="115">
        <f t="shared" si="251"/>
        <v>107000</v>
      </c>
      <c r="Q2642" s="117" t="s">
        <v>132</v>
      </c>
      <c r="R2642" s="115">
        <f t="shared" si="252"/>
        <v>2546.6</v>
      </c>
      <c r="AA2642" s="118"/>
      <c r="AB2642" s="118"/>
      <c r="AC2642" s="116"/>
      <c r="AF2642" s="117"/>
    </row>
    <row r="2643" spans="6:34" ht="24" customHeight="1">
      <c r="F2643" s="115">
        <v>118</v>
      </c>
      <c r="H2643" s="115" t="s">
        <v>3121</v>
      </c>
      <c r="I2643" s="115">
        <f t="shared" si="250"/>
        <v>2.41</v>
      </c>
      <c r="K2643" s="115">
        <f t="shared" si="249"/>
        <v>284.38</v>
      </c>
      <c r="M2643" s="118">
        <v>2.23</v>
      </c>
      <c r="N2643" s="116" t="s">
        <v>425</v>
      </c>
      <c r="O2643" s="115" t="s">
        <v>3115</v>
      </c>
      <c r="P2643" s="115">
        <f t="shared" si="251"/>
        <v>1602.7</v>
      </c>
      <c r="Q2643" s="117" t="s">
        <v>425</v>
      </c>
      <c r="R2643" s="115">
        <f t="shared" si="252"/>
        <v>3574.02</v>
      </c>
      <c r="AA2643" s="118"/>
      <c r="AB2643" s="118"/>
      <c r="AC2643" s="116"/>
      <c r="AF2643" s="117"/>
    </row>
    <row r="2644" spans="6:34" ht="24" customHeight="1">
      <c r="M2644" s="115">
        <v>2</v>
      </c>
      <c r="N2644" s="116" t="s">
        <v>1572</v>
      </c>
      <c r="O2644" s="114" t="s">
        <v>3116</v>
      </c>
      <c r="P2644" s="115">
        <f t="shared" si="251"/>
        <v>254.5</v>
      </c>
      <c r="Q2644" s="117" t="s">
        <v>729</v>
      </c>
      <c r="R2644" s="115">
        <f t="shared" si="252"/>
        <v>509</v>
      </c>
      <c r="AA2644" s="118"/>
      <c r="AB2644" s="118" t="s">
        <v>4675</v>
      </c>
      <c r="AC2644" s="116"/>
      <c r="AE2644" s="224">
        <f>2*4*0.725*0.3*0.01875</f>
        <v>3.2599999999999997E-2</v>
      </c>
      <c r="AF2644" s="117"/>
    </row>
    <row r="2645" spans="6:34" ht="24" customHeight="1">
      <c r="G2645" s="200"/>
      <c r="H2645" s="114" t="s">
        <v>460</v>
      </c>
      <c r="K2645" s="114">
        <f>SUM(K2633:K2644)</f>
        <v>18722.669999999998</v>
      </c>
      <c r="L2645" s="431"/>
      <c r="M2645" s="115">
        <v>6</v>
      </c>
      <c r="N2645" s="116" t="s">
        <v>1572</v>
      </c>
      <c r="O2645" s="114" t="s">
        <v>3117</v>
      </c>
      <c r="P2645" s="115">
        <f t="shared" si="251"/>
        <v>214.1</v>
      </c>
      <c r="Q2645" s="117" t="s">
        <v>729</v>
      </c>
      <c r="R2645" s="115">
        <f t="shared" si="252"/>
        <v>1284.5999999999999</v>
      </c>
      <c r="AA2645" s="118"/>
      <c r="AB2645" s="118" t="s">
        <v>4676</v>
      </c>
      <c r="AC2645" s="116"/>
      <c r="AE2645" s="224">
        <f>2*0.725*0.3*0.01875</f>
        <v>8.2000000000000007E-3</v>
      </c>
      <c r="AF2645" s="117"/>
    </row>
    <row r="2646" spans="6:34" ht="24" customHeight="1">
      <c r="G2646" s="200"/>
      <c r="H2646" s="114"/>
      <c r="K2646" s="1167" t="s">
        <v>2163</v>
      </c>
      <c r="M2646" s="115">
        <v>4</v>
      </c>
      <c r="N2646" s="116" t="s">
        <v>1572</v>
      </c>
      <c r="O2646" s="114" t="s">
        <v>3118</v>
      </c>
      <c r="P2646" s="115">
        <f t="shared" si="251"/>
        <v>408</v>
      </c>
      <c r="Q2646" s="117" t="s">
        <v>729</v>
      </c>
      <c r="R2646" s="115">
        <f t="shared" si="252"/>
        <v>1632</v>
      </c>
      <c r="AA2646" s="118"/>
      <c r="AB2646" s="118"/>
      <c r="AC2646" s="116"/>
      <c r="AE2646" s="420">
        <f>SUM(AE2644:AE2645)</f>
        <v>4.0800000000000003E-2</v>
      </c>
      <c r="AF2646" s="117"/>
    </row>
    <row r="2647" spans="6:34" ht="24" customHeight="1">
      <c r="G2647" s="200"/>
      <c r="H2647" s="114" t="s">
        <v>3122</v>
      </c>
      <c r="K2647" s="114">
        <f>K2645/2.835</f>
        <v>6604.12</v>
      </c>
      <c r="M2647" s="115">
        <v>1</v>
      </c>
      <c r="N2647" s="116" t="s">
        <v>1572</v>
      </c>
      <c r="O2647" s="114" t="s">
        <v>3119</v>
      </c>
      <c r="P2647" s="115">
        <f t="shared" si="251"/>
        <v>836</v>
      </c>
      <c r="Q2647" s="117" t="s">
        <v>729</v>
      </c>
      <c r="R2647" s="115">
        <f t="shared" si="252"/>
        <v>836</v>
      </c>
      <c r="AA2647" s="118"/>
      <c r="AB2647" s="118"/>
      <c r="AC2647" s="116"/>
      <c r="AD2647" s="114" t="s">
        <v>4677</v>
      </c>
      <c r="AF2647" s="117"/>
      <c r="AH2647" s="224"/>
    </row>
    <row r="2648" spans="6:34" ht="24" customHeight="1">
      <c r="G2648" s="200"/>
      <c r="K2648" s="1167" t="s">
        <v>2163</v>
      </c>
      <c r="M2648" s="115">
        <v>2</v>
      </c>
      <c r="N2648" s="116" t="s">
        <v>1572</v>
      </c>
      <c r="O2648" s="115" t="s">
        <v>453</v>
      </c>
      <c r="P2648" s="115">
        <f t="shared" si="251"/>
        <v>7.3</v>
      </c>
      <c r="Q2648" s="117" t="s">
        <v>729</v>
      </c>
      <c r="R2648" s="115">
        <f t="shared" si="252"/>
        <v>14.6</v>
      </c>
      <c r="AA2648" s="118"/>
      <c r="AB2648" s="118"/>
      <c r="AC2648" s="116"/>
      <c r="AF2648" s="117"/>
      <c r="AH2648" s="224"/>
    </row>
    <row r="2649" spans="6:34" ht="24" customHeight="1">
      <c r="F2649" s="421" t="s">
        <v>3554</v>
      </c>
      <c r="G2649" s="422"/>
      <c r="H2649" s="147" t="s">
        <v>1525</v>
      </c>
      <c r="I2649" s="423"/>
      <c r="J2649" s="433"/>
      <c r="K2649" s="423"/>
      <c r="M2649" s="115">
        <v>2</v>
      </c>
      <c r="N2649" s="116" t="s">
        <v>1572</v>
      </c>
      <c r="O2649" s="115" t="s">
        <v>455</v>
      </c>
      <c r="P2649" s="115">
        <f t="shared" si="251"/>
        <v>49.55</v>
      </c>
      <c r="Q2649" s="117" t="s">
        <v>729</v>
      </c>
      <c r="R2649" s="115">
        <f t="shared" si="252"/>
        <v>99.1</v>
      </c>
      <c r="AA2649" s="118"/>
      <c r="AB2649" s="224">
        <f>AE2638</f>
        <v>2.2800000000000001E-2</v>
      </c>
      <c r="AC2649" s="116" t="s">
        <v>132</v>
      </c>
      <c r="AD2649" s="115" t="s">
        <v>4678</v>
      </c>
      <c r="AE2649" s="115">
        <f>V2601</f>
        <v>111600</v>
      </c>
      <c r="AF2649" s="117" t="s">
        <v>132</v>
      </c>
      <c r="AG2649" s="115">
        <f>AB2649*AE2649</f>
        <v>2544.48</v>
      </c>
      <c r="AH2649" s="224"/>
    </row>
    <row r="2650" spans="6:34" ht="24" customHeight="1">
      <c r="F2650" s="423"/>
      <c r="G2650" s="422"/>
      <c r="H2650" s="424" t="s">
        <v>52</v>
      </c>
      <c r="I2650" s="424" t="s">
        <v>52</v>
      </c>
      <c r="J2650" s="147" t="s">
        <v>52</v>
      </c>
      <c r="K2650" s="423"/>
      <c r="M2650" s="115">
        <v>118</v>
      </c>
      <c r="N2650" s="116"/>
      <c r="O2650" s="115" t="s">
        <v>3121</v>
      </c>
      <c r="P2650" s="162">
        <f>P2831</f>
        <v>2.41</v>
      </c>
      <c r="Q2650" s="117"/>
      <c r="R2650" s="115">
        <f t="shared" si="252"/>
        <v>284.38</v>
      </c>
      <c r="AA2650" s="118"/>
      <c r="AB2650" s="224">
        <f>AE2641</f>
        <v>4.2999999999999997E-2</v>
      </c>
      <c r="AC2650" s="116" t="s">
        <v>132</v>
      </c>
      <c r="AD2650" s="115" t="s">
        <v>3113</v>
      </c>
      <c r="AE2650" s="115">
        <f t="shared" ref="AE2650:AE2660" si="253">V2602</f>
        <v>99400</v>
      </c>
      <c r="AF2650" s="117" t="s">
        <v>132</v>
      </c>
      <c r="AG2650" s="115">
        <f t="shared" ref="AG2650:AG2660" si="254">AB2650*AE2650</f>
        <v>4274.2</v>
      </c>
      <c r="AH2650" s="224"/>
    </row>
    <row r="2651" spans="6:34" ht="37.5" customHeight="1">
      <c r="F2651" s="423"/>
      <c r="G2651" s="422"/>
      <c r="H2651" s="423"/>
      <c r="I2651" s="423"/>
      <c r="J2651" s="433"/>
      <c r="K2651" s="423"/>
      <c r="N2651" s="116"/>
      <c r="Q2651" s="117"/>
      <c r="R2651" s="1167" t="s">
        <v>2163</v>
      </c>
      <c r="AA2651" s="118"/>
      <c r="AB2651" s="224">
        <f>AE2646</f>
        <v>4.0800000000000003E-2</v>
      </c>
      <c r="AC2651" s="116" t="s">
        <v>132</v>
      </c>
      <c r="AD2651" s="360" t="s">
        <v>3114</v>
      </c>
      <c r="AE2651" s="115">
        <f t="shared" si="253"/>
        <v>107000</v>
      </c>
      <c r="AF2651" s="117" t="s">
        <v>132</v>
      </c>
      <c r="AG2651" s="115">
        <f t="shared" si="254"/>
        <v>4365.6000000000004</v>
      </c>
      <c r="AH2651" s="224"/>
    </row>
    <row r="2652" spans="6:34" ht="34.5" customHeight="1">
      <c r="F2652" s="423"/>
      <c r="G2652" s="422"/>
      <c r="H2652" s="147" t="s">
        <v>1526</v>
      </c>
      <c r="I2652" s="423"/>
      <c r="J2652" s="433"/>
      <c r="K2652" s="423"/>
      <c r="N2652" s="200"/>
      <c r="O2652" s="114" t="s">
        <v>460</v>
      </c>
      <c r="Q2652" s="117"/>
      <c r="R2652" s="114">
        <f>SUM(R2640:R2650)</f>
        <v>16098.04</v>
      </c>
      <c r="AA2652" s="118"/>
      <c r="AB2652" s="224">
        <f>AE2637</f>
        <v>3.4424999999999999</v>
      </c>
      <c r="AC2652" s="116" t="s">
        <v>425</v>
      </c>
      <c r="AD2652" s="360" t="s">
        <v>3115</v>
      </c>
      <c r="AE2652" s="115">
        <f t="shared" si="253"/>
        <v>1602.7</v>
      </c>
      <c r="AF2652" s="117" t="s">
        <v>425</v>
      </c>
      <c r="AG2652" s="115">
        <f t="shared" si="254"/>
        <v>5517.29</v>
      </c>
      <c r="AH2652" s="224"/>
    </row>
    <row r="2653" spans="6:34" ht="24" customHeight="1">
      <c r="F2653" s="423"/>
      <c r="G2653" s="422"/>
      <c r="H2653" s="147"/>
      <c r="I2653" s="423"/>
      <c r="J2653" s="433"/>
      <c r="K2653" s="423"/>
      <c r="N2653" s="200"/>
      <c r="O2653" s="114"/>
      <c r="Q2653" s="117"/>
      <c r="R2653" s="1167" t="s">
        <v>2163</v>
      </c>
      <c r="AA2653" s="118"/>
      <c r="AB2653" s="118">
        <v>2</v>
      </c>
      <c r="AC2653" s="116" t="s">
        <v>1572</v>
      </c>
      <c r="AD2653" s="115" t="s">
        <v>3116</v>
      </c>
      <c r="AE2653" s="442">
        <v>450</v>
      </c>
      <c r="AF2653" s="117" t="s">
        <v>729</v>
      </c>
      <c r="AG2653" s="115">
        <f t="shared" si="254"/>
        <v>900</v>
      </c>
      <c r="AH2653" s="224"/>
    </row>
    <row r="2654" spans="6:34" ht="24" customHeight="1">
      <c r="F2654" s="423"/>
      <c r="G2654" s="422"/>
      <c r="H2654" s="147" t="s">
        <v>1527</v>
      </c>
      <c r="I2654" s="423"/>
      <c r="J2654" s="433"/>
      <c r="K2654" s="423"/>
      <c r="N2654" s="200"/>
      <c r="O2654" s="114" t="s">
        <v>4704</v>
      </c>
      <c r="Q2654" s="117"/>
      <c r="R2654" s="114">
        <f>R2652/M2643</f>
        <v>7218.85</v>
      </c>
      <c r="AA2654" s="118"/>
      <c r="AB2654" s="118">
        <v>6</v>
      </c>
      <c r="AC2654" s="116" t="s">
        <v>1572</v>
      </c>
      <c r="AD2654" s="115" t="s">
        <v>3117</v>
      </c>
      <c r="AE2654" s="442">
        <v>79</v>
      </c>
      <c r="AF2654" s="117" t="s">
        <v>729</v>
      </c>
      <c r="AG2654" s="115">
        <f t="shared" si="254"/>
        <v>474</v>
      </c>
      <c r="AH2654" s="224"/>
    </row>
    <row r="2655" spans="6:34" ht="24" customHeight="1">
      <c r="F2655" s="423"/>
      <c r="G2655" s="422"/>
      <c r="H2655" s="147" t="s">
        <v>1528</v>
      </c>
      <c r="I2655" s="423"/>
      <c r="J2655" s="433"/>
      <c r="K2655" s="423"/>
      <c r="N2655" s="200"/>
      <c r="Q2655" s="117"/>
      <c r="R2655" s="1167" t="s">
        <v>2163</v>
      </c>
      <c r="AA2655" s="224"/>
      <c r="AB2655" s="118">
        <v>4</v>
      </c>
      <c r="AC2655" s="116" t="s">
        <v>1572</v>
      </c>
      <c r="AD2655" s="115" t="s">
        <v>3118</v>
      </c>
      <c r="AE2655" s="442">
        <v>130</v>
      </c>
      <c r="AF2655" s="117" t="s">
        <v>729</v>
      </c>
      <c r="AG2655" s="115">
        <f t="shared" si="254"/>
        <v>520</v>
      </c>
      <c r="AH2655" s="224"/>
    </row>
    <row r="2656" spans="6:34" ht="24" customHeight="1">
      <c r="F2656" s="423"/>
      <c r="G2656" s="422"/>
      <c r="H2656" s="147" t="s">
        <v>1529</v>
      </c>
      <c r="I2656" s="423"/>
      <c r="J2656" s="433"/>
      <c r="K2656" s="423"/>
      <c r="M2656" s="115" t="s">
        <v>3554</v>
      </c>
      <c r="O2656" s="115" t="s">
        <v>1525</v>
      </c>
      <c r="AA2656" s="224"/>
      <c r="AB2656" s="118">
        <v>1</v>
      </c>
      <c r="AC2656" s="116" t="s">
        <v>1572</v>
      </c>
      <c r="AD2656" s="115" t="s">
        <v>3119</v>
      </c>
      <c r="AE2656" s="442">
        <v>985</v>
      </c>
      <c r="AF2656" s="117" t="s">
        <v>729</v>
      </c>
      <c r="AG2656" s="115">
        <f t="shared" si="254"/>
        <v>985</v>
      </c>
      <c r="AH2656" s="224"/>
    </row>
    <row r="2657" spans="6:34" ht="24" customHeight="1">
      <c r="F2657" s="423"/>
      <c r="G2657" s="422"/>
      <c r="H2657" s="147" t="s">
        <v>1530</v>
      </c>
      <c r="I2657" s="423"/>
      <c r="J2657" s="433"/>
      <c r="K2657" s="423"/>
      <c r="O2657" s="115" t="s">
        <v>52</v>
      </c>
      <c r="P2657" s="115" t="s">
        <v>52</v>
      </c>
      <c r="Q2657" s="115" t="s">
        <v>52</v>
      </c>
      <c r="AA2657" s="224"/>
      <c r="AB2657" s="118">
        <v>2</v>
      </c>
      <c r="AC2657" s="116" t="s">
        <v>1572</v>
      </c>
      <c r="AD2657" s="115" t="s">
        <v>3120</v>
      </c>
      <c r="AE2657" s="162">
        <v>24.6</v>
      </c>
      <c r="AF2657" s="117" t="s">
        <v>729</v>
      </c>
      <c r="AG2657" s="115">
        <f t="shared" si="254"/>
        <v>49.2</v>
      </c>
      <c r="AH2657" s="224"/>
    </row>
    <row r="2658" spans="6:34" ht="24" customHeight="1">
      <c r="F2658" s="423"/>
      <c r="G2658" s="422"/>
      <c r="H2658" s="147" t="s">
        <v>2214</v>
      </c>
      <c r="I2658" s="423"/>
      <c r="J2658" s="147" t="s">
        <v>85</v>
      </c>
      <c r="K2658" s="434">
        <v>3.7699999999999997E-2</v>
      </c>
      <c r="AA2658" s="224"/>
      <c r="AB2658" s="118">
        <v>2</v>
      </c>
      <c r="AC2658" s="116" t="s">
        <v>1572</v>
      </c>
      <c r="AD2658" s="115" t="s">
        <v>455</v>
      </c>
      <c r="AE2658" s="115">
        <f t="shared" si="253"/>
        <v>49.55</v>
      </c>
      <c r="AF2658" s="117" t="s">
        <v>729</v>
      </c>
      <c r="AG2658" s="115">
        <f t="shared" si="254"/>
        <v>99.1</v>
      </c>
    </row>
    <row r="2659" spans="6:34" ht="24" customHeight="1">
      <c r="F2659" s="423"/>
      <c r="G2659" s="422"/>
      <c r="H2659" s="147" t="s">
        <v>2215</v>
      </c>
      <c r="I2659" s="423"/>
      <c r="J2659" s="435" t="s">
        <v>85</v>
      </c>
      <c r="K2659" s="435" t="s">
        <v>85</v>
      </c>
      <c r="O2659" s="115" t="s">
        <v>1526</v>
      </c>
      <c r="AA2659" s="118"/>
      <c r="AB2659" s="118"/>
      <c r="AC2659" s="116"/>
      <c r="AE2659" s="115">
        <f t="shared" si="253"/>
        <v>0</v>
      </c>
      <c r="AF2659" s="117"/>
      <c r="AG2659" s="115">
        <f t="shared" si="254"/>
        <v>0</v>
      </c>
    </row>
    <row r="2660" spans="6:34" ht="24" customHeight="1">
      <c r="F2660" s="423"/>
      <c r="G2660" s="422"/>
      <c r="H2660" s="147" t="s">
        <v>1532</v>
      </c>
      <c r="I2660" s="423"/>
      <c r="J2660" s="433"/>
      <c r="K2660" s="435" t="s">
        <v>85</v>
      </c>
      <c r="AA2660" s="118"/>
      <c r="AB2660" s="118">
        <v>118</v>
      </c>
      <c r="AC2660" s="116"/>
      <c r="AD2660" s="115" t="s">
        <v>3121</v>
      </c>
      <c r="AE2660" s="115">
        <f t="shared" si="253"/>
        <v>2.41</v>
      </c>
      <c r="AF2660" s="117"/>
      <c r="AG2660" s="115">
        <f t="shared" si="254"/>
        <v>284.38</v>
      </c>
    </row>
    <row r="2661" spans="6:34" ht="24" customHeight="1">
      <c r="F2661" s="423"/>
      <c r="G2661" s="422"/>
      <c r="H2661" s="423"/>
      <c r="I2661" s="423"/>
      <c r="J2661" s="433"/>
      <c r="K2661" s="423"/>
      <c r="O2661" s="115" t="s">
        <v>1527</v>
      </c>
      <c r="AA2661" s="118"/>
      <c r="AB2661" s="118"/>
      <c r="AC2661" s="200"/>
      <c r="AD2661" s="114" t="s">
        <v>460</v>
      </c>
      <c r="AF2661" s="117"/>
      <c r="AG2661" s="114">
        <f>SUM(AG2649:AG2660)</f>
        <v>20013.25</v>
      </c>
    </row>
    <row r="2662" spans="6:34" ht="24" customHeight="1">
      <c r="F2662" s="425">
        <v>1.18E-2</v>
      </c>
      <c r="G2662" s="426" t="s">
        <v>132</v>
      </c>
      <c r="H2662" s="147" t="s">
        <v>446</v>
      </c>
      <c r="I2662" s="427">
        <f>AC26</f>
        <v>111600</v>
      </c>
      <c r="J2662" s="147" t="s">
        <v>132</v>
      </c>
      <c r="K2662" s="427">
        <f t="shared" ref="K2662:K2671" si="255">(F2662*I2662)</f>
        <v>1316.88</v>
      </c>
      <c r="O2662" s="115" t="s">
        <v>1528</v>
      </c>
      <c r="AA2662" s="118"/>
      <c r="AB2662" s="118"/>
      <c r="AC2662" s="200"/>
      <c r="AD2662" s="114"/>
      <c r="AF2662" s="117"/>
      <c r="AG2662" s="1167" t="s">
        <v>2163</v>
      </c>
    </row>
    <row r="2663" spans="6:34" ht="24" customHeight="1">
      <c r="F2663" s="425">
        <v>3.7699999999999997E-2</v>
      </c>
      <c r="G2663" s="426" t="s">
        <v>132</v>
      </c>
      <c r="H2663" s="147" t="s">
        <v>447</v>
      </c>
      <c r="I2663" s="427">
        <f>AC27</f>
        <v>99400</v>
      </c>
      <c r="J2663" s="147" t="s">
        <v>132</v>
      </c>
      <c r="K2663" s="427">
        <f t="shared" si="255"/>
        <v>3747.38</v>
      </c>
      <c r="O2663" s="115" t="s">
        <v>1529</v>
      </c>
      <c r="AA2663" s="118"/>
      <c r="AB2663" s="118"/>
      <c r="AC2663" s="200"/>
      <c r="AD2663" s="114" t="s">
        <v>4686</v>
      </c>
      <c r="AF2663" s="117"/>
      <c r="AG2663" s="114">
        <f>AG2661/3.4425</f>
        <v>5813.58</v>
      </c>
    </row>
    <row r="2664" spans="6:34" ht="24" customHeight="1">
      <c r="F2664" s="425">
        <v>1.8550000000000001E-2</v>
      </c>
      <c r="G2664" s="426" t="s">
        <v>132</v>
      </c>
      <c r="H2664" s="147" t="s">
        <v>1533</v>
      </c>
      <c r="I2664" s="427">
        <f>AE33</f>
        <v>14278</v>
      </c>
      <c r="J2664" s="147" t="s">
        <v>132</v>
      </c>
      <c r="K2664" s="427">
        <f t="shared" si="255"/>
        <v>264.86</v>
      </c>
      <c r="O2664" s="115" t="s">
        <v>1530</v>
      </c>
      <c r="AA2664" s="118"/>
      <c r="AB2664" s="116"/>
      <c r="AE2664" s="117"/>
    </row>
    <row r="2665" spans="6:34" ht="24" customHeight="1">
      <c r="F2665" s="425">
        <v>1.36</v>
      </c>
      <c r="G2665" s="426" t="s">
        <v>425</v>
      </c>
      <c r="H2665" s="147" t="s">
        <v>1534</v>
      </c>
      <c r="I2665" s="436">
        <v>269.10000000000002</v>
      </c>
      <c r="J2665" s="147" t="s">
        <v>425</v>
      </c>
      <c r="K2665" s="427">
        <f t="shared" si="255"/>
        <v>365.98</v>
      </c>
      <c r="O2665" s="115" t="s">
        <v>2214</v>
      </c>
      <c r="Q2665" s="115" t="s">
        <v>85</v>
      </c>
      <c r="R2665" s="115">
        <v>0.04</v>
      </c>
      <c r="AA2665" s="118"/>
      <c r="AB2665" s="116"/>
      <c r="AE2665" s="117"/>
    </row>
    <row r="2666" spans="6:34" ht="24" customHeight="1">
      <c r="F2666" s="425">
        <v>2.0499999999999998</v>
      </c>
      <c r="G2666" s="426" t="s">
        <v>425</v>
      </c>
      <c r="H2666" s="147" t="s">
        <v>1535</v>
      </c>
      <c r="I2666" s="427">
        <f>D30</f>
        <v>1336.5</v>
      </c>
      <c r="J2666" s="147" t="s">
        <v>425</v>
      </c>
      <c r="K2666" s="427">
        <f t="shared" si="255"/>
        <v>2739.83</v>
      </c>
      <c r="O2666" s="115" t="s">
        <v>2215</v>
      </c>
      <c r="Q2666" s="115" t="s">
        <v>85</v>
      </c>
      <c r="R2666" s="115" t="s">
        <v>85</v>
      </c>
      <c r="AA2666" s="118"/>
      <c r="AB2666" s="116"/>
      <c r="AE2666" s="117"/>
    </row>
    <row r="2667" spans="6:34" ht="24" customHeight="1">
      <c r="F2667" s="427">
        <v>2</v>
      </c>
      <c r="G2667" s="426" t="s">
        <v>131</v>
      </c>
      <c r="H2667" s="147" t="s">
        <v>2024</v>
      </c>
      <c r="I2667" s="427">
        <f>E285</f>
        <v>57</v>
      </c>
      <c r="J2667" s="147" t="s">
        <v>131</v>
      </c>
      <c r="K2667" s="427">
        <f t="shared" si="255"/>
        <v>114</v>
      </c>
      <c r="O2667" s="115" t="s">
        <v>1532</v>
      </c>
      <c r="R2667" s="115" t="s">
        <v>85</v>
      </c>
      <c r="AA2667" s="118"/>
      <c r="AB2667" s="200"/>
      <c r="AC2667" s="114"/>
      <c r="AE2667" s="117"/>
      <c r="AF2667" s="114"/>
    </row>
    <row r="2668" spans="6:34" ht="24" customHeight="1">
      <c r="F2668" s="427">
        <v>6</v>
      </c>
      <c r="G2668" s="426" t="s">
        <v>131</v>
      </c>
      <c r="H2668" s="147" t="s">
        <v>1502</v>
      </c>
      <c r="I2668" s="427">
        <f>C282</f>
        <v>49.35</v>
      </c>
      <c r="J2668" s="147" t="s">
        <v>131</v>
      </c>
      <c r="K2668" s="427">
        <f t="shared" si="255"/>
        <v>296.10000000000002</v>
      </c>
      <c r="AA2668" s="118"/>
      <c r="AB2668" s="200"/>
      <c r="AC2668" s="114"/>
      <c r="AE2668" s="117"/>
    </row>
    <row r="2669" spans="6:34" ht="24" customHeight="1">
      <c r="F2669" s="427">
        <v>2</v>
      </c>
      <c r="G2669" s="426" t="s">
        <v>131</v>
      </c>
      <c r="H2669" s="428" t="s">
        <v>4705</v>
      </c>
      <c r="I2669" s="427">
        <f>I1134</f>
        <v>60.9</v>
      </c>
      <c r="J2669" s="147" t="s">
        <v>131</v>
      </c>
      <c r="K2669" s="427">
        <f t="shared" si="255"/>
        <v>121.8</v>
      </c>
      <c r="M2669" s="115">
        <v>0.01</v>
      </c>
      <c r="N2669" s="115" t="s">
        <v>132</v>
      </c>
      <c r="O2669" s="115" t="s">
        <v>446</v>
      </c>
      <c r="P2669" s="115">
        <f>I2662</f>
        <v>111600</v>
      </c>
      <c r="Q2669" s="115" t="s">
        <v>132</v>
      </c>
      <c r="R2669" s="115">
        <v>764.29</v>
      </c>
      <c r="AA2669" s="118"/>
      <c r="AB2669" s="200"/>
      <c r="AC2669" s="114"/>
      <c r="AE2669" s="117"/>
      <c r="AF2669" s="114"/>
    </row>
    <row r="2670" spans="6:34" ht="24" customHeight="1">
      <c r="F2670" s="427">
        <v>1</v>
      </c>
      <c r="G2670" s="426" t="s">
        <v>131</v>
      </c>
      <c r="H2670" s="147" t="s">
        <v>1538</v>
      </c>
      <c r="I2670" s="436">
        <f>I1135</f>
        <v>63.2</v>
      </c>
      <c r="J2670" s="147" t="s">
        <v>131</v>
      </c>
      <c r="K2670" s="427">
        <f t="shared" si="255"/>
        <v>63.2</v>
      </c>
      <c r="M2670" s="115">
        <v>0.04</v>
      </c>
      <c r="N2670" s="115" t="s">
        <v>132</v>
      </c>
      <c r="O2670" s="115" t="s">
        <v>447</v>
      </c>
      <c r="P2670" s="115">
        <f>I2663</f>
        <v>99400</v>
      </c>
      <c r="Q2670" s="115" t="s">
        <v>132</v>
      </c>
      <c r="R2670" s="115">
        <v>2172.65</v>
      </c>
      <c r="AA2670" s="118"/>
    </row>
    <row r="2671" spans="6:34" ht="24" customHeight="1">
      <c r="F2671" s="427">
        <v>2.52</v>
      </c>
      <c r="G2671" s="426" t="s">
        <v>425</v>
      </c>
      <c r="H2671" s="147" t="s">
        <v>1539</v>
      </c>
      <c r="I2671" s="427">
        <f>K1167</f>
        <v>201.2</v>
      </c>
      <c r="J2671" s="147" t="s">
        <v>425</v>
      </c>
      <c r="K2671" s="427">
        <f t="shared" si="255"/>
        <v>507.02</v>
      </c>
      <c r="M2671" s="115">
        <v>0.02</v>
      </c>
      <c r="N2671" s="115" t="s">
        <v>132</v>
      </c>
      <c r="O2671" s="115" t="s">
        <v>1533</v>
      </c>
      <c r="P2671" s="115">
        <f>I2664</f>
        <v>14278</v>
      </c>
      <c r="Q2671" s="115" t="s">
        <v>132</v>
      </c>
      <c r="R2671" s="115">
        <v>56.02</v>
      </c>
    </row>
    <row r="2672" spans="6:34" ht="24" customHeight="1">
      <c r="F2672" s="423"/>
      <c r="G2672" s="422"/>
      <c r="H2672" s="147" t="s">
        <v>1540</v>
      </c>
      <c r="I2672" s="437" t="s">
        <v>145</v>
      </c>
      <c r="J2672" s="433"/>
      <c r="K2672" s="427">
        <v>2.13</v>
      </c>
      <c r="M2672" s="115">
        <v>1.36</v>
      </c>
      <c r="N2672" s="115" t="s">
        <v>425</v>
      </c>
      <c r="O2672" s="115" t="s">
        <v>1534</v>
      </c>
      <c r="P2672" s="438">
        <v>385.89</v>
      </c>
      <c r="Q2672" s="115" t="s">
        <v>425</v>
      </c>
      <c r="R2672" s="115">
        <v>524.80999999999995</v>
      </c>
    </row>
    <row r="2673" spans="6:18" ht="24" customHeight="1">
      <c r="F2673" s="423"/>
      <c r="G2673" s="422"/>
      <c r="H2673" s="429"/>
      <c r="I2673" s="429"/>
      <c r="J2673" s="439"/>
      <c r="K2673" s="440" t="s">
        <v>52</v>
      </c>
      <c r="M2673" s="115">
        <v>2.0499999999999998</v>
      </c>
      <c r="N2673" s="115" t="s">
        <v>425</v>
      </c>
      <c r="O2673" s="115" t="s">
        <v>1535</v>
      </c>
      <c r="P2673" s="115">
        <f t="shared" ref="P2673:P2678" si="256">I2666</f>
        <v>1336.5</v>
      </c>
      <c r="Q2673" s="115" t="s">
        <v>425</v>
      </c>
      <c r="R2673" s="115">
        <v>586.29999999999995</v>
      </c>
    </row>
    <row r="2674" spans="6:18" ht="24" customHeight="1">
      <c r="F2674" s="423"/>
      <c r="G2674" s="422"/>
      <c r="H2674" s="430" t="s">
        <v>1541</v>
      </c>
      <c r="I2674" s="429"/>
      <c r="J2674" s="439"/>
      <c r="K2674" s="441">
        <f>SUM(K2662:K2672)</f>
        <v>9539.18</v>
      </c>
      <c r="M2674" s="115">
        <v>2</v>
      </c>
      <c r="N2674" s="115" t="s">
        <v>131</v>
      </c>
      <c r="O2674" s="115" t="s">
        <v>2024</v>
      </c>
      <c r="P2674" s="115">
        <f t="shared" si="256"/>
        <v>57</v>
      </c>
      <c r="Q2674" s="115" t="s">
        <v>131</v>
      </c>
      <c r="R2674" s="115">
        <v>50</v>
      </c>
    </row>
    <row r="2675" spans="6:18" ht="24" customHeight="1">
      <c r="F2675" s="423"/>
      <c r="G2675" s="426" t="s">
        <v>85</v>
      </c>
      <c r="H2675" s="429"/>
      <c r="I2675" s="429"/>
      <c r="J2675" s="439"/>
      <c r="K2675" s="440" t="s">
        <v>52</v>
      </c>
      <c r="M2675" s="115">
        <v>6</v>
      </c>
      <c r="N2675" s="115" t="s">
        <v>131</v>
      </c>
      <c r="O2675" s="115" t="s">
        <v>1502</v>
      </c>
      <c r="P2675" s="115">
        <f t="shared" si="256"/>
        <v>49.35</v>
      </c>
      <c r="Q2675" s="115" t="s">
        <v>131</v>
      </c>
      <c r="R2675" s="115">
        <v>150</v>
      </c>
    </row>
    <row r="2676" spans="6:18" ht="24" customHeight="1">
      <c r="F2676" s="423"/>
      <c r="G2676" s="422"/>
      <c r="H2676" s="430" t="s">
        <v>460</v>
      </c>
      <c r="I2676" s="429"/>
      <c r="J2676" s="439"/>
      <c r="K2676" s="441">
        <f>K2674/2.52</f>
        <v>3785.39</v>
      </c>
      <c r="M2676" s="115">
        <v>2</v>
      </c>
      <c r="N2676" s="115" t="s">
        <v>131</v>
      </c>
      <c r="O2676" s="115" t="s">
        <v>2216</v>
      </c>
      <c r="P2676" s="115">
        <f t="shared" si="256"/>
        <v>60.9</v>
      </c>
      <c r="Q2676" s="115" t="s">
        <v>131</v>
      </c>
      <c r="R2676" s="115">
        <v>70</v>
      </c>
    </row>
    <row r="2677" spans="6:18" ht="24" customHeight="1">
      <c r="F2677" s="423"/>
      <c r="G2677" s="422"/>
      <c r="H2677" s="429"/>
      <c r="I2677" s="429"/>
      <c r="J2677" s="439"/>
      <c r="K2677" s="440" t="s">
        <v>89</v>
      </c>
      <c r="M2677" s="115">
        <v>1</v>
      </c>
      <c r="N2677" s="115" t="s">
        <v>131</v>
      </c>
      <c r="O2677" s="115" t="s">
        <v>1538</v>
      </c>
      <c r="P2677" s="115">
        <f t="shared" si="256"/>
        <v>63.2</v>
      </c>
      <c r="Q2677" s="115" t="s">
        <v>131</v>
      </c>
      <c r="R2677" s="115">
        <v>60</v>
      </c>
    </row>
    <row r="2678" spans="6:18" ht="24" customHeight="1">
      <c r="F2678" s="423"/>
      <c r="G2678" s="422"/>
      <c r="H2678" s="429"/>
      <c r="I2678" s="429"/>
      <c r="J2678" s="439"/>
      <c r="K2678" s="429"/>
      <c r="M2678" s="115">
        <v>2.52</v>
      </c>
      <c r="N2678" s="115" t="s">
        <v>425</v>
      </c>
      <c r="O2678" s="115" t="s">
        <v>1539</v>
      </c>
      <c r="P2678" s="115">
        <f t="shared" si="256"/>
        <v>201.2</v>
      </c>
      <c r="Q2678" s="115" t="s">
        <v>425</v>
      </c>
      <c r="R2678" s="115">
        <v>124.71</v>
      </c>
    </row>
    <row r="2679" spans="6:18" ht="24" customHeight="1">
      <c r="F2679" s="431" t="s">
        <v>4706</v>
      </c>
      <c r="G2679" s="431"/>
      <c r="H2679" s="431"/>
      <c r="I2679" s="431"/>
      <c r="J2679" s="431"/>
      <c r="K2679" s="431"/>
      <c r="O2679" s="115" t="s">
        <v>1540</v>
      </c>
      <c r="P2679" s="115" t="s">
        <v>145</v>
      </c>
      <c r="R2679" s="115">
        <v>0.28000000000000003</v>
      </c>
    </row>
    <row r="2680" spans="6:18" ht="24" customHeight="1">
      <c r="F2680" s="432">
        <v>4</v>
      </c>
      <c r="G2680" s="116" t="s">
        <v>3081</v>
      </c>
      <c r="H2680" s="115" t="s">
        <v>4707</v>
      </c>
      <c r="I2680" s="115">
        <f>C394</f>
        <v>151.4</v>
      </c>
      <c r="J2680" s="117" t="s">
        <v>4708</v>
      </c>
      <c r="K2680" s="432">
        <f>I2680*F2680</f>
        <v>605.6</v>
      </c>
      <c r="R2680" s="115" t="s">
        <v>52</v>
      </c>
    </row>
    <row r="2681" spans="6:18" ht="24" customHeight="1">
      <c r="F2681" s="432">
        <v>2.52</v>
      </c>
      <c r="G2681" s="116" t="s">
        <v>4708</v>
      </c>
      <c r="H2681" s="115" t="s">
        <v>4709</v>
      </c>
      <c r="I2681" s="115">
        <f>C34/1000</f>
        <v>53</v>
      </c>
      <c r="J2681" s="117" t="s">
        <v>39</v>
      </c>
      <c r="K2681" s="432">
        <f t="shared" ref="K2681:K2687" si="257">I2681*F2681</f>
        <v>133.56</v>
      </c>
      <c r="O2681" s="115" t="s">
        <v>1541</v>
      </c>
      <c r="R2681" s="115">
        <v>4559.0600000000004</v>
      </c>
    </row>
    <row r="2682" spans="6:18" ht="16.5" customHeight="1">
      <c r="F2682" s="432">
        <v>1.1299999999999999</v>
      </c>
      <c r="G2682" s="116" t="s">
        <v>4708</v>
      </c>
      <c r="H2682" s="115" t="s">
        <v>4710</v>
      </c>
      <c r="I2682" s="115">
        <f>I2681</f>
        <v>53</v>
      </c>
      <c r="J2682" s="117" t="s">
        <v>39</v>
      </c>
      <c r="K2682" s="432">
        <f t="shared" si="257"/>
        <v>59.89</v>
      </c>
      <c r="N2682" s="115" t="s">
        <v>85</v>
      </c>
      <c r="R2682" s="115" t="s">
        <v>52</v>
      </c>
    </row>
    <row r="2683" spans="6:18" ht="53.25" customHeight="1">
      <c r="F2683" s="432">
        <v>0.35</v>
      </c>
      <c r="G2683" s="116" t="s">
        <v>39</v>
      </c>
      <c r="H2683" s="115" t="s">
        <v>4711</v>
      </c>
      <c r="I2683" s="115">
        <f>I2682</f>
        <v>53</v>
      </c>
      <c r="J2683" s="117" t="s">
        <v>39</v>
      </c>
      <c r="K2683" s="432">
        <f t="shared" si="257"/>
        <v>18.55</v>
      </c>
      <c r="O2683" s="115" t="s">
        <v>460</v>
      </c>
      <c r="R2683" s="115">
        <v>1809.15</v>
      </c>
    </row>
    <row r="2684" spans="6:18" ht="51" customHeight="1">
      <c r="F2684" s="432">
        <v>4</v>
      </c>
      <c r="G2684" s="116" t="s">
        <v>39</v>
      </c>
      <c r="H2684" s="115" t="s">
        <v>2050</v>
      </c>
      <c r="I2684" s="115">
        <f>C37</f>
        <v>57.75</v>
      </c>
      <c r="J2684" s="117" t="s">
        <v>39</v>
      </c>
      <c r="K2684" s="432">
        <f t="shared" si="257"/>
        <v>231</v>
      </c>
      <c r="R2684" s="115" t="s">
        <v>89</v>
      </c>
    </row>
    <row r="2685" spans="6:18" ht="24" customHeight="1">
      <c r="F2685" s="432">
        <v>6</v>
      </c>
      <c r="G2685" s="116" t="s">
        <v>3081</v>
      </c>
      <c r="H2685" s="115" t="s">
        <v>4712</v>
      </c>
      <c r="I2685" s="205">
        <v>1</v>
      </c>
      <c r="J2685" s="117" t="s">
        <v>729</v>
      </c>
      <c r="K2685" s="432">
        <f t="shared" si="257"/>
        <v>6</v>
      </c>
    </row>
    <row r="2686" spans="6:18" ht="24" customHeight="1">
      <c r="F2686" s="432">
        <v>0.5</v>
      </c>
      <c r="G2686" s="116" t="s">
        <v>3081</v>
      </c>
      <c r="H2686" s="115" t="s">
        <v>4502</v>
      </c>
      <c r="I2686" s="115">
        <f>C12</f>
        <v>679.8</v>
      </c>
      <c r="J2686" s="117" t="s">
        <v>729</v>
      </c>
      <c r="K2686" s="432">
        <f t="shared" si="257"/>
        <v>339.9</v>
      </c>
    </row>
    <row r="2687" spans="6:18" ht="24" customHeight="1">
      <c r="F2687" s="432">
        <v>0.5</v>
      </c>
      <c r="G2687" s="116" t="s">
        <v>3081</v>
      </c>
      <c r="H2687" s="115" t="s">
        <v>2130</v>
      </c>
      <c r="I2687" s="115">
        <f>C13</f>
        <v>557.70000000000005</v>
      </c>
      <c r="J2687" s="117" t="s">
        <v>729</v>
      </c>
      <c r="K2687" s="432">
        <f t="shared" si="257"/>
        <v>278.85000000000002</v>
      </c>
    </row>
    <row r="2688" spans="6:18" ht="24" customHeight="1">
      <c r="G2688" s="116" t="s">
        <v>145</v>
      </c>
      <c r="H2688" s="115" t="s">
        <v>4713</v>
      </c>
      <c r="I2688" s="213" t="s">
        <v>145</v>
      </c>
      <c r="K2688" s="115">
        <v>21.69</v>
      </c>
      <c r="L2688" s="115">
        <f>24*176</f>
        <v>4224</v>
      </c>
    </row>
    <row r="2689" spans="6:12" ht="24" customHeight="1">
      <c r="G2689" s="115"/>
      <c r="H2689" s="443" t="s">
        <v>4714</v>
      </c>
      <c r="K2689" s="444">
        <f>SUM(K2680:K2688)</f>
        <v>1695.04</v>
      </c>
    </row>
    <row r="2690" spans="6:12" ht="24" customHeight="1">
      <c r="G2690" s="115"/>
      <c r="H2690" s="443" t="s">
        <v>4623</v>
      </c>
      <c r="K2690" s="444">
        <f>K2689/2</f>
        <v>847.52</v>
      </c>
    </row>
    <row r="2691" spans="6:12" ht="24" customHeight="1">
      <c r="G2691" s="115"/>
      <c r="L2691" s="115">
        <f>K2725+K2716</f>
        <v>199.49</v>
      </c>
    </row>
    <row r="2692" spans="6:12" ht="24" customHeight="1">
      <c r="H2692" s="115" t="s">
        <v>4715</v>
      </c>
    </row>
    <row r="2694" spans="6:12" ht="24" customHeight="1">
      <c r="H2694" s="349" t="s">
        <v>4716</v>
      </c>
      <c r="J2694" s="119"/>
    </row>
    <row r="2695" spans="6:12" ht="24" customHeight="1">
      <c r="H2695" s="115" t="s">
        <v>4717</v>
      </c>
      <c r="J2695" s="119"/>
    </row>
    <row r="2696" spans="6:12" ht="24" customHeight="1">
      <c r="F2696" s="115">
        <v>41.6</v>
      </c>
      <c r="G2696" s="116" t="s">
        <v>39</v>
      </c>
      <c r="H2696" s="115" t="s">
        <v>4718</v>
      </c>
      <c r="I2696" s="115">
        <f>I2681</f>
        <v>53</v>
      </c>
      <c r="J2696" s="119" t="s">
        <v>39</v>
      </c>
      <c r="K2696" s="115">
        <f>F2696*I2696</f>
        <v>2204.8000000000002</v>
      </c>
    </row>
    <row r="2697" spans="6:12" ht="24" customHeight="1">
      <c r="F2697" s="115">
        <v>0.5</v>
      </c>
      <c r="G2697" s="116" t="s">
        <v>1034</v>
      </c>
      <c r="H2697" s="115" t="s">
        <v>4719</v>
      </c>
      <c r="I2697" s="115">
        <f>AE21</f>
        <v>799.7</v>
      </c>
      <c r="J2697" s="119" t="s">
        <v>729</v>
      </c>
      <c r="K2697" s="115">
        <f>F2697*I2697</f>
        <v>399.85</v>
      </c>
    </row>
    <row r="2698" spans="6:12" ht="24" customHeight="1">
      <c r="F2698" s="115">
        <v>1</v>
      </c>
      <c r="G2698" s="116" t="s">
        <v>727</v>
      </c>
      <c r="H2698" s="115" t="s">
        <v>4720</v>
      </c>
      <c r="I2698" s="115">
        <f>C10</f>
        <v>1041.7</v>
      </c>
      <c r="J2698" s="119" t="s">
        <v>729</v>
      </c>
      <c r="K2698" s="115">
        <f>F2698*I2698</f>
        <v>1041.7</v>
      </c>
    </row>
    <row r="2699" spans="6:12" ht="24" customHeight="1">
      <c r="F2699" s="115">
        <v>1</v>
      </c>
      <c r="G2699" s="116" t="s">
        <v>727</v>
      </c>
      <c r="H2699" s="115" t="s">
        <v>2273</v>
      </c>
      <c r="I2699" s="115">
        <f>C13</f>
        <v>557.70000000000005</v>
      </c>
      <c r="J2699" s="119" t="s">
        <v>729</v>
      </c>
      <c r="K2699" s="115">
        <f>F2699*I2699</f>
        <v>557.70000000000005</v>
      </c>
    </row>
    <row r="2700" spans="6:12" ht="24" customHeight="1">
      <c r="G2700" s="116" t="s">
        <v>145</v>
      </c>
      <c r="H2700" s="115" t="s">
        <v>4721</v>
      </c>
      <c r="J2700" s="119" t="s">
        <v>145</v>
      </c>
      <c r="K2700" s="115">
        <v>27.7</v>
      </c>
    </row>
    <row r="2701" spans="6:12" ht="24" customHeight="1">
      <c r="H2701" s="213" t="s">
        <v>4722</v>
      </c>
      <c r="J2701" s="213" t="s">
        <v>3192</v>
      </c>
      <c r="K2701" s="115">
        <f>SUM(K2696:K2700)</f>
        <v>4231.75</v>
      </c>
    </row>
    <row r="2702" spans="6:12" ht="24" customHeight="1">
      <c r="H2702" s="213" t="s">
        <v>4723</v>
      </c>
      <c r="J2702" s="213" t="s">
        <v>3192</v>
      </c>
      <c r="K2702" s="115">
        <f>K2701/16</f>
        <v>264.48</v>
      </c>
    </row>
    <row r="2703" spans="6:12" ht="24" customHeight="1">
      <c r="H2703" s="305" t="s">
        <v>4724</v>
      </c>
      <c r="I2703" s="114"/>
      <c r="J2703" s="305" t="s">
        <v>3192</v>
      </c>
      <c r="K2703" s="114">
        <f>K2702/0.95</f>
        <v>278.39999999999998</v>
      </c>
    </row>
    <row r="2704" spans="6:12" ht="24" customHeight="1">
      <c r="J2704" s="119"/>
    </row>
    <row r="2705" spans="6:11" ht="24" customHeight="1">
      <c r="J2705" s="119"/>
    </row>
    <row r="2706" spans="6:11" ht="24" customHeight="1">
      <c r="F2706" s="121" t="s">
        <v>1641</v>
      </c>
      <c r="G2706" s="126" t="s">
        <v>111</v>
      </c>
      <c r="H2706" s="120" t="s">
        <v>1642</v>
      </c>
      <c r="J2706" s="119"/>
    </row>
    <row r="2707" spans="6:11" ht="50.25" customHeight="1">
      <c r="H2707" s="120" t="s">
        <v>1643</v>
      </c>
      <c r="J2707" s="119"/>
    </row>
    <row r="2708" spans="6:11" ht="24" customHeight="1">
      <c r="H2708" s="120" t="s">
        <v>1644</v>
      </c>
      <c r="J2708" s="119"/>
    </row>
    <row r="2709" spans="6:11" ht="24" customHeight="1">
      <c r="H2709" s="120" t="s">
        <v>1645</v>
      </c>
      <c r="J2709" s="119"/>
    </row>
    <row r="2710" spans="6:11" ht="24" customHeight="1">
      <c r="H2710" s="123" t="s">
        <v>52</v>
      </c>
      <c r="J2710" s="119"/>
    </row>
    <row r="2711" spans="6:11" ht="24" customHeight="1">
      <c r="F2711" s="129">
        <v>1.8</v>
      </c>
      <c r="G2711" s="126" t="s">
        <v>39</v>
      </c>
      <c r="H2711" s="415" t="s">
        <v>4725</v>
      </c>
      <c r="I2711" s="129">
        <f>C609</f>
        <v>22.6</v>
      </c>
      <c r="J2711" s="121" t="s">
        <v>39</v>
      </c>
      <c r="K2711" s="129">
        <f>(F2711*I2711)</f>
        <v>40.68</v>
      </c>
    </row>
    <row r="2712" spans="6:11" ht="24" customHeight="1">
      <c r="F2712" s="129">
        <v>0.25</v>
      </c>
      <c r="G2712" s="126" t="s">
        <v>131</v>
      </c>
      <c r="H2712" s="120" t="s">
        <v>1646</v>
      </c>
      <c r="I2712" s="129">
        <f>C14</f>
        <v>831.6</v>
      </c>
      <c r="J2712" s="121" t="s">
        <v>131</v>
      </c>
      <c r="K2712" s="129">
        <f>(F2712*I2712)</f>
        <v>207.9</v>
      </c>
    </row>
    <row r="2713" spans="6:11" ht="24" customHeight="1">
      <c r="F2713" s="129">
        <v>0.25</v>
      </c>
      <c r="G2713" s="126" t="s">
        <v>131</v>
      </c>
      <c r="H2713" s="120" t="s">
        <v>1568</v>
      </c>
      <c r="I2713" s="129">
        <f>C12</f>
        <v>679.8</v>
      </c>
      <c r="J2713" s="121" t="s">
        <v>131</v>
      </c>
      <c r="K2713" s="129">
        <f>(F2713*I2713)</f>
        <v>169.95</v>
      </c>
    </row>
    <row r="2714" spans="6:11" ht="24" customHeight="1">
      <c r="F2714" s="129">
        <v>0.4</v>
      </c>
      <c r="G2714" s="126" t="s">
        <v>131</v>
      </c>
      <c r="H2714" s="120" t="s">
        <v>306</v>
      </c>
      <c r="I2714" s="129">
        <f>C13</f>
        <v>557.70000000000005</v>
      </c>
      <c r="J2714" s="121" t="s">
        <v>131</v>
      </c>
      <c r="K2714" s="129">
        <f>(F2714*I2714)</f>
        <v>223.08</v>
      </c>
    </row>
    <row r="2715" spans="6:11" ht="24" customHeight="1">
      <c r="G2715" s="126"/>
      <c r="H2715" s="120"/>
      <c r="I2715" s="120" t="s">
        <v>85</v>
      </c>
      <c r="J2715" s="121"/>
      <c r="K2715" s="129">
        <f>SUM(K2711:K2714)</f>
        <v>641.61</v>
      </c>
    </row>
    <row r="2716" spans="6:11" ht="24" customHeight="1">
      <c r="H2716" s="114"/>
      <c r="I2716" s="114"/>
      <c r="J2716" s="166"/>
      <c r="K2716" s="125">
        <f>K2715/10</f>
        <v>64.16</v>
      </c>
    </row>
    <row r="2717" spans="6:11" ht="24" customHeight="1">
      <c r="F2717" s="129">
        <v>3</v>
      </c>
      <c r="G2717" s="126" t="s">
        <v>39</v>
      </c>
      <c r="H2717" s="120" t="s">
        <v>494</v>
      </c>
      <c r="I2717" s="240">
        <f>C271</f>
        <v>49.85</v>
      </c>
      <c r="J2717" s="121" t="s">
        <v>39</v>
      </c>
      <c r="K2717" s="240">
        <f>(F2717*I2717)</f>
        <v>149.55000000000001</v>
      </c>
    </row>
    <row r="2718" spans="6:11" ht="24" customHeight="1">
      <c r="F2718" s="129">
        <v>0.5</v>
      </c>
      <c r="G2718" s="126" t="s">
        <v>131</v>
      </c>
      <c r="H2718" s="120" t="s">
        <v>1646</v>
      </c>
      <c r="I2718" s="240">
        <f>C14</f>
        <v>831.6</v>
      </c>
      <c r="J2718" s="121" t="s">
        <v>131</v>
      </c>
      <c r="K2718" s="240">
        <f>(F2718*I2718)</f>
        <v>415.8</v>
      </c>
    </row>
    <row r="2719" spans="6:11" ht="24" customHeight="1">
      <c r="F2719" s="129">
        <v>0.5</v>
      </c>
      <c r="G2719" s="126" t="s">
        <v>131</v>
      </c>
      <c r="H2719" s="120" t="s">
        <v>1568</v>
      </c>
      <c r="I2719" s="240">
        <f>I2713</f>
        <v>679.8</v>
      </c>
      <c r="J2719" s="121" t="s">
        <v>131</v>
      </c>
      <c r="K2719" s="240">
        <f>(F2719*I2719)</f>
        <v>339.9</v>
      </c>
    </row>
    <row r="2720" spans="6:11" ht="24" customHeight="1">
      <c r="F2720" s="129">
        <v>0.8</v>
      </c>
      <c r="G2720" s="126" t="s">
        <v>131</v>
      </c>
      <c r="H2720" s="120" t="s">
        <v>306</v>
      </c>
      <c r="I2720" s="240">
        <f>I2714</f>
        <v>557.70000000000005</v>
      </c>
      <c r="J2720" s="121" t="s">
        <v>131</v>
      </c>
      <c r="K2720" s="240">
        <f>(F2720*I2720)</f>
        <v>446.16</v>
      </c>
    </row>
    <row r="2721" spans="6:12" ht="24" customHeight="1">
      <c r="G2721" s="126" t="s">
        <v>145</v>
      </c>
      <c r="H2721" s="120" t="s">
        <v>582</v>
      </c>
      <c r="I2721" s="120" t="s">
        <v>85</v>
      </c>
      <c r="J2721" s="121" t="s">
        <v>145</v>
      </c>
      <c r="K2721" s="129">
        <v>1.9</v>
      </c>
    </row>
    <row r="2722" spans="6:12" ht="24" customHeight="1">
      <c r="H2722" s="114"/>
      <c r="I2722" s="114"/>
      <c r="J2722" s="166"/>
      <c r="K2722" s="179" t="s">
        <v>52</v>
      </c>
    </row>
    <row r="2723" spans="6:12" ht="24" customHeight="1">
      <c r="H2723" s="122" t="s">
        <v>495</v>
      </c>
      <c r="I2723" s="114"/>
      <c r="J2723" s="166"/>
      <c r="K2723" s="127">
        <f>SUM(K2717:K2721)</f>
        <v>1353.31</v>
      </c>
    </row>
    <row r="2724" spans="6:12" ht="24" customHeight="1">
      <c r="H2724" s="114"/>
      <c r="I2724" s="114"/>
      <c r="J2724" s="166"/>
      <c r="K2724" s="179" t="s">
        <v>52</v>
      </c>
    </row>
    <row r="2725" spans="6:12" ht="24" customHeight="1">
      <c r="H2725" s="122" t="s">
        <v>460</v>
      </c>
      <c r="I2725" s="114"/>
      <c r="J2725" s="166"/>
      <c r="K2725" s="127">
        <f>(K2723/10)</f>
        <v>135.33000000000001</v>
      </c>
    </row>
    <row r="2726" spans="6:12" ht="24" customHeight="1">
      <c r="G2726" s="115"/>
      <c r="J2726" s="115"/>
    </row>
    <row r="2727" spans="6:12" ht="24" customHeight="1">
      <c r="F2727" s="167"/>
      <c r="G2727" s="126" t="s">
        <v>111</v>
      </c>
      <c r="H2727" s="120" t="s">
        <v>609</v>
      </c>
      <c r="J2727" s="119"/>
    </row>
    <row r="2728" spans="6:12" ht="24" customHeight="1">
      <c r="H2728" s="120" t="s">
        <v>1802</v>
      </c>
      <c r="J2728" s="119"/>
    </row>
    <row r="2729" spans="6:12" ht="24" customHeight="1">
      <c r="H2729" s="120" t="s">
        <v>4726</v>
      </c>
      <c r="J2729" s="119"/>
    </row>
    <row r="2730" spans="6:12" ht="24" customHeight="1">
      <c r="H2730" s="123" t="s">
        <v>52</v>
      </c>
      <c r="J2730" s="119"/>
    </row>
    <row r="2731" spans="6:12" ht="24" customHeight="1">
      <c r="G2731" s="126" t="s">
        <v>1803</v>
      </c>
      <c r="H2731" s="120" t="s">
        <v>656</v>
      </c>
      <c r="J2731" s="119"/>
      <c r="K2731" s="120" t="s">
        <v>1804</v>
      </c>
    </row>
    <row r="2732" spans="6:12" ht="24" customHeight="1">
      <c r="H2732" s="123" t="s">
        <v>52</v>
      </c>
      <c r="J2732" s="119"/>
      <c r="K2732" s="123" t="s">
        <v>89</v>
      </c>
    </row>
    <row r="2733" spans="6:12" ht="24" customHeight="1">
      <c r="F2733" s="129">
        <v>30</v>
      </c>
      <c r="G2733" s="126" t="s">
        <v>282</v>
      </c>
      <c r="H2733" s="120" t="s">
        <v>662</v>
      </c>
      <c r="I2733" s="129">
        <f>C661</f>
        <v>11.2</v>
      </c>
      <c r="J2733" s="121" t="s">
        <v>282</v>
      </c>
      <c r="K2733" s="129">
        <f>(F2733*I2733)</f>
        <v>336</v>
      </c>
    </row>
    <row r="2734" spans="6:12" ht="24" customHeight="1">
      <c r="F2734" s="120" t="s">
        <v>85</v>
      </c>
      <c r="H2734" s="120" t="s">
        <v>665</v>
      </c>
      <c r="I2734" s="120" t="s">
        <v>85</v>
      </c>
      <c r="J2734" s="119"/>
      <c r="K2734" s="120" t="s">
        <v>85</v>
      </c>
    </row>
    <row r="2735" spans="6:12" ht="24" customHeight="1">
      <c r="F2735" s="129">
        <v>8</v>
      </c>
      <c r="G2735" s="126" t="s">
        <v>131</v>
      </c>
      <c r="H2735" s="120" t="s">
        <v>624</v>
      </c>
      <c r="I2735" s="129">
        <f>I1806</f>
        <v>8.1</v>
      </c>
      <c r="J2735" s="121" t="s">
        <v>131</v>
      </c>
      <c r="K2735" s="129">
        <f t="shared" ref="K2735:K2740" si="258">(F2735*I2735)</f>
        <v>64.8</v>
      </c>
    </row>
    <row r="2736" spans="6:12" ht="24" customHeight="1">
      <c r="F2736" s="129">
        <v>8</v>
      </c>
      <c r="G2736" s="126" t="s">
        <v>131</v>
      </c>
      <c r="H2736" s="120" t="s">
        <v>627</v>
      </c>
      <c r="I2736" s="129">
        <f>I1807</f>
        <v>11.5</v>
      </c>
      <c r="J2736" s="121" t="s">
        <v>131</v>
      </c>
      <c r="K2736" s="129">
        <f t="shared" si="258"/>
        <v>92</v>
      </c>
      <c r="L2736" s="306"/>
    </row>
    <row r="2737" spans="6:12" ht="24" customHeight="1">
      <c r="F2737" s="129">
        <v>3</v>
      </c>
      <c r="G2737" s="126" t="s">
        <v>131</v>
      </c>
      <c r="H2737" s="120" t="s">
        <v>669</v>
      </c>
      <c r="I2737" s="129">
        <f>C41</f>
        <v>770</v>
      </c>
      <c r="J2737" s="121" t="s">
        <v>131</v>
      </c>
      <c r="K2737" s="129">
        <f t="shared" si="258"/>
        <v>2310</v>
      </c>
      <c r="L2737" s="309"/>
    </row>
    <row r="2738" spans="6:12" ht="24" customHeight="1">
      <c r="F2738" s="129">
        <v>1</v>
      </c>
      <c r="G2738" s="126" t="s">
        <v>131</v>
      </c>
      <c r="H2738" s="120" t="s">
        <v>1805</v>
      </c>
      <c r="I2738" s="129">
        <f>C10</f>
        <v>1041.7</v>
      </c>
      <c r="J2738" s="121" t="s">
        <v>131</v>
      </c>
      <c r="K2738" s="129">
        <f t="shared" si="258"/>
        <v>1041.7</v>
      </c>
      <c r="L2738" s="309"/>
    </row>
    <row r="2739" spans="6:12" ht="24" customHeight="1">
      <c r="F2739" s="129">
        <v>2</v>
      </c>
      <c r="G2739" s="126" t="s">
        <v>131</v>
      </c>
      <c r="H2739" s="120" t="s">
        <v>304</v>
      </c>
      <c r="I2739" s="129">
        <f>C12</f>
        <v>679.8</v>
      </c>
      <c r="J2739" s="121" t="s">
        <v>131</v>
      </c>
      <c r="K2739" s="129">
        <f t="shared" si="258"/>
        <v>1359.6</v>
      </c>
      <c r="L2739" s="309"/>
    </row>
    <row r="2740" spans="6:12" ht="24" customHeight="1">
      <c r="F2740" s="129">
        <v>1</v>
      </c>
      <c r="G2740" s="126" t="s">
        <v>131</v>
      </c>
      <c r="H2740" s="120" t="s">
        <v>306</v>
      </c>
      <c r="I2740" s="129">
        <f>C13</f>
        <v>557.70000000000005</v>
      </c>
      <c r="J2740" s="121" t="s">
        <v>131</v>
      </c>
      <c r="K2740" s="129">
        <f t="shared" si="258"/>
        <v>557.70000000000005</v>
      </c>
      <c r="L2740" s="309"/>
    </row>
    <row r="2741" spans="6:12" ht="36.75" customHeight="1">
      <c r="G2741" s="126" t="s">
        <v>145</v>
      </c>
      <c r="H2741" s="176" t="s">
        <v>4727</v>
      </c>
      <c r="I2741" s="129" t="s">
        <v>2120</v>
      </c>
      <c r="J2741" s="121" t="s">
        <v>145</v>
      </c>
      <c r="K2741" s="129">
        <v>64.849999999999994</v>
      </c>
      <c r="L2741" s="309"/>
    </row>
    <row r="2742" spans="6:12" ht="24" customHeight="1">
      <c r="H2742" s="120"/>
      <c r="I2742" s="129"/>
      <c r="J2742" s="119"/>
      <c r="K2742" s="240"/>
      <c r="L2742" s="309"/>
    </row>
    <row r="2743" spans="6:12" ht="24" customHeight="1">
      <c r="G2743" s="115"/>
      <c r="J2743" s="115"/>
      <c r="L2743" s="309"/>
    </row>
    <row r="2744" spans="6:12" ht="24" customHeight="1">
      <c r="J2744" s="119"/>
      <c r="K2744" s="123" t="s">
        <v>52</v>
      </c>
      <c r="L2744" s="309"/>
    </row>
    <row r="2745" spans="6:12" ht="24" customHeight="1">
      <c r="H2745" s="122" t="s">
        <v>674</v>
      </c>
      <c r="I2745" s="114"/>
      <c r="J2745" s="166"/>
      <c r="K2745" s="127">
        <f>SUM(K2733:K2744)</f>
        <v>5826.65</v>
      </c>
      <c r="L2745" s="335"/>
    </row>
    <row r="2746" spans="6:12" ht="24" customHeight="1">
      <c r="H2746" s="114"/>
      <c r="I2746" s="114"/>
      <c r="J2746" s="166"/>
      <c r="K2746" s="179" t="s">
        <v>52</v>
      </c>
    </row>
    <row r="2747" spans="6:12" ht="24" customHeight="1">
      <c r="H2747" s="122" t="s">
        <v>632</v>
      </c>
      <c r="I2747" s="114"/>
      <c r="J2747" s="166"/>
      <c r="K2747" s="127">
        <f>(K2745/30)</f>
        <v>194.22</v>
      </c>
    </row>
    <row r="2748" spans="6:12" ht="24" customHeight="1">
      <c r="G2748" s="115"/>
      <c r="J2748" s="115"/>
    </row>
    <row r="2749" spans="6:12" ht="24" customHeight="1">
      <c r="G2749" s="115"/>
      <c r="J2749" s="115"/>
    </row>
    <row r="2750" spans="6:12" ht="24" customHeight="1">
      <c r="F2750" s="358">
        <v>52</v>
      </c>
      <c r="G2750" s="126" t="s">
        <v>111</v>
      </c>
      <c r="H2750" s="120" t="s">
        <v>1810</v>
      </c>
      <c r="J2750" s="119"/>
    </row>
    <row r="2751" spans="6:12" ht="24" customHeight="1">
      <c r="H2751" s="120" t="s">
        <v>1811</v>
      </c>
      <c r="J2751" s="119"/>
    </row>
    <row r="2752" spans="6:12" ht="24" customHeight="1">
      <c r="H2752" s="120" t="s">
        <v>1812</v>
      </c>
      <c r="J2752" s="119"/>
    </row>
    <row r="2753" spans="5:21" ht="24" customHeight="1">
      <c r="H2753" s="120" t="s">
        <v>1813</v>
      </c>
      <c r="J2753" s="119"/>
    </row>
    <row r="2754" spans="5:21" ht="24" customHeight="1">
      <c r="H2754" s="120" t="s">
        <v>1814</v>
      </c>
      <c r="J2754" s="119"/>
    </row>
    <row r="2755" spans="5:21" ht="24" customHeight="1">
      <c r="E2755" s="115">
        <f>6*0.3</f>
        <v>1.8</v>
      </c>
      <c r="H2755" s="120" t="s">
        <v>4728</v>
      </c>
      <c r="J2755" s="119"/>
    </row>
    <row r="2756" spans="5:21" ht="24" customHeight="1">
      <c r="E2756" s="115">
        <f>3.5+E2755</f>
        <v>5.3</v>
      </c>
      <c r="H2756" s="120" t="s">
        <v>1816</v>
      </c>
      <c r="J2756" s="119"/>
      <c r="L2756" s="115">
        <f>K2790</f>
        <v>243.1</v>
      </c>
    </row>
    <row r="2757" spans="5:21" ht="24" customHeight="1">
      <c r="E2757" s="115">
        <f>3.14*0.3*0.3</f>
        <v>0.28000000000000003</v>
      </c>
      <c r="H2757" s="120" t="s">
        <v>1817</v>
      </c>
      <c r="J2757" s="119"/>
      <c r="L2757" s="115">
        <f>K2791</f>
        <v>2379.3000000000002</v>
      </c>
    </row>
    <row r="2758" spans="5:21" ht="24" customHeight="1">
      <c r="H2758" s="123" t="s">
        <v>89</v>
      </c>
      <c r="I2758" s="123" t="s">
        <v>89</v>
      </c>
      <c r="J2758" s="119"/>
    </row>
    <row r="2759" spans="5:21" ht="24" customHeight="1">
      <c r="E2759" s="115">
        <f>E2757/4</f>
        <v>7.0000000000000007E-2</v>
      </c>
      <c r="G2759" s="126" t="s">
        <v>111</v>
      </c>
      <c r="H2759" s="120" t="s">
        <v>1818</v>
      </c>
      <c r="J2759" s="119"/>
      <c r="L2759" s="115">
        <f>SUM(L2756:L2757)</f>
        <v>2622.4</v>
      </c>
    </row>
    <row r="2760" spans="5:21" ht="24" customHeight="1">
      <c r="E2760" s="224">
        <f>E2759*E2756</f>
        <v>0.371</v>
      </c>
      <c r="H2760" s="120" t="s">
        <v>1819</v>
      </c>
      <c r="J2760" s="119"/>
    </row>
    <row r="2761" spans="5:21" ht="24" customHeight="1">
      <c r="G2761" s="126" t="s">
        <v>1018</v>
      </c>
      <c r="H2761" s="120" t="s">
        <v>1820</v>
      </c>
      <c r="J2761" s="119"/>
    </row>
    <row r="2762" spans="5:21" ht="24" customHeight="1">
      <c r="H2762" s="123" t="s">
        <v>52</v>
      </c>
      <c r="J2762" s="119"/>
    </row>
    <row r="2763" spans="5:21" ht="24" customHeight="1">
      <c r="F2763" s="129">
        <v>1</v>
      </c>
      <c r="G2763" s="126" t="s">
        <v>13</v>
      </c>
      <c r="H2763" s="120" t="s">
        <v>1821</v>
      </c>
      <c r="I2763" s="129">
        <f>I1870</f>
        <v>26</v>
      </c>
      <c r="J2763" s="121" t="s">
        <v>13</v>
      </c>
      <c r="K2763" s="129">
        <f>(F2763*I2763)</f>
        <v>26</v>
      </c>
    </row>
    <row r="2764" spans="5:21" ht="24" customHeight="1">
      <c r="F2764" s="129">
        <v>1</v>
      </c>
      <c r="G2764" s="126" t="s">
        <v>145</v>
      </c>
      <c r="H2764" s="120" t="s">
        <v>1822</v>
      </c>
      <c r="I2764" s="129">
        <f>I2763*0.7</f>
        <v>18.2</v>
      </c>
      <c r="J2764" s="121" t="s">
        <v>145</v>
      </c>
      <c r="K2764" s="129">
        <f>(F2764*I2764)</f>
        <v>18.2</v>
      </c>
    </row>
    <row r="2765" spans="5:21" ht="24" customHeight="1">
      <c r="F2765" s="129">
        <v>1</v>
      </c>
      <c r="G2765" s="126" t="s">
        <v>13</v>
      </c>
      <c r="H2765" s="120" t="s">
        <v>1823</v>
      </c>
      <c r="I2765" s="129">
        <f>K2747</f>
        <v>194.22</v>
      </c>
      <c r="J2765" s="121" t="s">
        <v>13</v>
      </c>
      <c r="K2765" s="129">
        <f>(F2765*I2765)</f>
        <v>194.22</v>
      </c>
    </row>
    <row r="2766" spans="5:21" ht="24" customHeight="1">
      <c r="I2766" s="120" t="s">
        <v>85</v>
      </c>
      <c r="J2766" s="119"/>
      <c r="K2766" s="123"/>
    </row>
    <row r="2767" spans="5:21" ht="24" customHeight="1">
      <c r="H2767" s="122" t="s">
        <v>1824</v>
      </c>
      <c r="I2767" s="114"/>
      <c r="J2767" s="166"/>
      <c r="K2767" s="127">
        <f>SUM(K2763:K2765)</f>
        <v>238.42</v>
      </c>
      <c r="T2767" s="116"/>
    </row>
    <row r="2768" spans="5:21" ht="24" customHeight="1">
      <c r="H2768" s="120" t="s">
        <v>85</v>
      </c>
      <c r="I2768" s="120" t="s">
        <v>85</v>
      </c>
      <c r="J2768" s="119"/>
      <c r="K2768" s="123" t="s">
        <v>89</v>
      </c>
      <c r="S2768" s="185" t="s">
        <v>1306</v>
      </c>
      <c r="T2768" s="126" t="s">
        <v>111</v>
      </c>
      <c r="U2768" s="120" t="s">
        <v>4729</v>
      </c>
    </row>
    <row r="2769" spans="6:29" ht="24" customHeight="1">
      <c r="G2769" s="115"/>
      <c r="J2769" s="115"/>
      <c r="T2769" s="116"/>
      <c r="U2769" s="120" t="s">
        <v>1309</v>
      </c>
    </row>
    <row r="2770" spans="6:29" ht="24" customHeight="1">
      <c r="F2770" s="445"/>
      <c r="G2770" s="337"/>
      <c r="H2770" s="337"/>
      <c r="I2770" s="337"/>
      <c r="J2770" s="337"/>
      <c r="K2770" s="337"/>
      <c r="T2770" s="116"/>
      <c r="U2770" s="120" t="s">
        <v>1311</v>
      </c>
    </row>
    <row r="2771" spans="6:29" ht="24" customHeight="1">
      <c r="F2771" s="446"/>
      <c r="G2771" s="447" t="s">
        <v>4730</v>
      </c>
      <c r="H2771" s="325"/>
      <c r="I2771" s="325"/>
      <c r="J2771" s="458"/>
      <c r="K2771" s="325"/>
      <c r="T2771" s="116"/>
      <c r="U2771" s="123" t="s">
        <v>52</v>
      </c>
    </row>
    <row r="2772" spans="6:29" ht="24" customHeight="1">
      <c r="F2772" s="319"/>
      <c r="G2772" s="320"/>
      <c r="H2772" s="325"/>
      <c r="I2772" s="325"/>
      <c r="J2772" s="458"/>
      <c r="K2772" s="325"/>
      <c r="T2772" s="116"/>
      <c r="U2772" s="120" t="s">
        <v>4731</v>
      </c>
    </row>
    <row r="2773" spans="6:29" ht="24" customHeight="1">
      <c r="F2773" s="319">
        <v>5</v>
      </c>
      <c r="G2773" s="320" t="s">
        <v>4732</v>
      </c>
      <c r="H2773" s="448" t="s">
        <v>4733</v>
      </c>
      <c r="I2773" s="459">
        <v>160</v>
      </c>
      <c r="J2773" s="458" t="s">
        <v>4734</v>
      </c>
      <c r="K2773" s="325">
        <f>I2773*F2773</f>
        <v>800</v>
      </c>
      <c r="T2773" s="116"/>
      <c r="U2773" s="120" t="s">
        <v>4735</v>
      </c>
    </row>
    <row r="2774" spans="6:29" ht="24" customHeight="1">
      <c r="F2774" s="319">
        <v>1</v>
      </c>
      <c r="G2774" s="320" t="s">
        <v>1034</v>
      </c>
      <c r="H2774" s="325" t="s">
        <v>4736</v>
      </c>
      <c r="I2774" s="460">
        <v>75</v>
      </c>
      <c r="J2774" s="458" t="s">
        <v>729</v>
      </c>
      <c r="K2774" s="325">
        <f>I2774*F2774</f>
        <v>75</v>
      </c>
      <c r="T2774" s="116"/>
      <c r="W2774" s="121" t="s">
        <v>52</v>
      </c>
    </row>
    <row r="2775" spans="6:29" ht="24" customHeight="1">
      <c r="F2775" s="319">
        <v>2.5</v>
      </c>
      <c r="G2775" s="320" t="s">
        <v>1034</v>
      </c>
      <c r="H2775" s="325" t="s">
        <v>4737</v>
      </c>
      <c r="I2775" s="325">
        <f>C14</f>
        <v>831.6</v>
      </c>
      <c r="J2775" s="458" t="s">
        <v>1034</v>
      </c>
      <c r="K2775" s="325">
        <f>I2775*F2775</f>
        <v>2079</v>
      </c>
      <c r="T2775" s="116"/>
      <c r="U2775" s="120" t="s">
        <v>4738</v>
      </c>
    </row>
    <row r="2776" spans="6:29" ht="24" customHeight="1">
      <c r="F2776" s="319"/>
      <c r="G2776" s="320"/>
      <c r="H2776" s="325" t="s">
        <v>1557</v>
      </c>
      <c r="I2776" s="461" t="s">
        <v>145</v>
      </c>
      <c r="J2776" s="458"/>
      <c r="K2776" s="325">
        <v>0.25</v>
      </c>
      <c r="T2776" s="116"/>
      <c r="U2776" s="120" t="s">
        <v>4739</v>
      </c>
      <c r="X2776" s="202">
        <v>2.7099999999999999E-2</v>
      </c>
    </row>
    <row r="2777" spans="6:29" ht="24" customHeight="1">
      <c r="F2777" s="319"/>
      <c r="G2777" s="320"/>
      <c r="H2777" s="325"/>
      <c r="I2777" s="325"/>
      <c r="J2777" s="458"/>
      <c r="K2777" s="462" t="s">
        <v>89</v>
      </c>
      <c r="T2777" s="116"/>
      <c r="W2777" s="121" t="s">
        <v>85</v>
      </c>
      <c r="X2777" s="123" t="s">
        <v>52</v>
      </c>
      <c r="Y2777" s="267">
        <f>SUM(X2778:X2779)</f>
        <v>1.6420000000000001E-2</v>
      </c>
    </row>
    <row r="2778" spans="6:29" ht="24" customHeight="1">
      <c r="F2778" s="319"/>
      <c r="G2778" s="320"/>
      <c r="H2778" s="325"/>
      <c r="I2778" s="325" t="s">
        <v>4740</v>
      </c>
      <c r="J2778" s="458" t="s">
        <v>89</v>
      </c>
      <c r="K2778" s="344">
        <f>SUM(K2773:K2777)</f>
        <v>2954.25</v>
      </c>
      <c r="L2778" s="267">
        <f>K2811+K2810</f>
        <v>1.6420000000000001E-2</v>
      </c>
      <c r="T2778" s="116"/>
      <c r="U2778" s="120" t="s">
        <v>4741</v>
      </c>
      <c r="W2778" s="468" t="s">
        <v>85</v>
      </c>
      <c r="X2778" s="202">
        <v>1.2840000000000001E-2</v>
      </c>
    </row>
    <row r="2779" spans="6:29" ht="24" customHeight="1">
      <c r="F2779" s="327"/>
      <c r="G2779" s="328"/>
      <c r="H2779" s="329"/>
      <c r="I2779" s="329"/>
      <c r="J2779" s="463"/>
      <c r="K2779" s="464" t="s">
        <v>89</v>
      </c>
      <c r="T2779" s="116"/>
      <c r="U2779" s="120" t="s">
        <v>4742</v>
      </c>
      <c r="W2779" s="121" t="s">
        <v>85</v>
      </c>
      <c r="X2779" s="202">
        <v>3.5799999999999998E-3</v>
      </c>
    </row>
    <row r="2780" spans="6:29" ht="24" customHeight="1">
      <c r="J2780" s="119"/>
      <c r="T2780" s="116"/>
      <c r="X2780" s="123" t="s">
        <v>52</v>
      </c>
    </row>
    <row r="2781" spans="6:29" ht="24" customHeight="1">
      <c r="F2781" s="115" t="s">
        <v>4743</v>
      </c>
      <c r="J2781" s="119"/>
      <c r="S2781" s="142">
        <f>F2813</f>
        <v>1.9E-2</v>
      </c>
      <c r="T2781" s="126" t="s">
        <v>132</v>
      </c>
      <c r="U2781" s="120" t="s">
        <v>4744</v>
      </c>
      <c r="V2781" s="129">
        <f>C86</f>
        <v>34300</v>
      </c>
      <c r="W2781" s="121" t="s">
        <v>132</v>
      </c>
      <c r="X2781" s="129">
        <f>(S2781*V2781)</f>
        <v>651.70000000000005</v>
      </c>
    </row>
    <row r="2782" spans="6:29" ht="24" customHeight="1">
      <c r="J2782" s="119"/>
      <c r="S2782" s="142">
        <f t="shared" ref="S2782:S2792" si="259">F2814</f>
        <v>2.7E-2</v>
      </c>
      <c r="T2782" s="126" t="s">
        <v>132</v>
      </c>
      <c r="U2782" s="120" t="s">
        <v>4744</v>
      </c>
      <c r="V2782" s="129">
        <f>V2781</f>
        <v>34300</v>
      </c>
      <c r="W2782" s="121" t="s">
        <v>132</v>
      </c>
      <c r="X2782" s="129">
        <f t="shared" ref="X2782:X2792" si="260">(S2782*V2782)</f>
        <v>926.1</v>
      </c>
    </row>
    <row r="2783" spans="6:29" ht="24" customHeight="1">
      <c r="F2783" s="115" t="s">
        <v>4745</v>
      </c>
      <c r="J2783" s="119"/>
      <c r="S2783" s="142">
        <f t="shared" si="259"/>
        <v>1.6E-2</v>
      </c>
      <c r="T2783" s="126" t="s">
        <v>132</v>
      </c>
      <c r="U2783" s="120" t="s">
        <v>4746</v>
      </c>
      <c r="V2783" s="129">
        <f>C87</f>
        <v>39400</v>
      </c>
      <c r="W2783" s="121" t="s">
        <v>132</v>
      </c>
      <c r="X2783" s="129">
        <f t="shared" si="260"/>
        <v>630.4</v>
      </c>
      <c r="AC2783" s="114" t="s">
        <v>4747</v>
      </c>
    </row>
    <row r="2784" spans="6:29" ht="24" customHeight="1">
      <c r="J2784" s="119"/>
      <c r="S2784" s="142"/>
      <c r="T2784" s="116"/>
      <c r="U2784" s="120"/>
      <c r="V2784" s="129">
        <f>V958</f>
        <v>0</v>
      </c>
      <c r="X2784" s="129">
        <f t="shared" si="260"/>
        <v>0</v>
      </c>
      <c r="AC2784" s="114" t="s">
        <v>4748</v>
      </c>
    </row>
    <row r="2785" spans="6:33" ht="24" customHeight="1">
      <c r="G2785" s="449">
        <v>0.745</v>
      </c>
      <c r="H2785" s="115" t="s">
        <v>5</v>
      </c>
      <c r="J2785" s="119"/>
      <c r="S2785" s="142">
        <f t="shared" si="259"/>
        <v>1.823</v>
      </c>
      <c r="T2785" s="126" t="s">
        <v>425</v>
      </c>
      <c r="U2785" s="120" t="s">
        <v>1340</v>
      </c>
      <c r="V2785" s="129">
        <f>I2817</f>
        <v>1602.7</v>
      </c>
      <c r="W2785" s="121" t="s">
        <v>425</v>
      </c>
      <c r="X2785" s="129">
        <f t="shared" si="260"/>
        <v>2921.72</v>
      </c>
    </row>
    <row r="2786" spans="6:33" ht="24" customHeight="1">
      <c r="J2786" s="119"/>
      <c r="S2786" s="142">
        <f t="shared" si="259"/>
        <v>2</v>
      </c>
      <c r="T2786" s="126" t="s">
        <v>237</v>
      </c>
      <c r="U2786" s="120" t="s">
        <v>1342</v>
      </c>
      <c r="V2786" s="129">
        <f t="shared" ref="V2786:V2791" si="261">I2818</f>
        <v>254.5</v>
      </c>
      <c r="W2786" s="121" t="s">
        <v>131</v>
      </c>
      <c r="X2786" s="129">
        <f t="shared" si="260"/>
        <v>509</v>
      </c>
      <c r="AB2786" s="469">
        <v>2.6159999999999999E-2</v>
      </c>
      <c r="AC2786" s="200" t="s">
        <v>132</v>
      </c>
      <c r="AD2786" s="114" t="s">
        <v>3112</v>
      </c>
      <c r="AE2786" s="114">
        <f>I2813</f>
        <v>111600</v>
      </c>
      <c r="AF2786" s="178" t="s">
        <v>132</v>
      </c>
      <c r="AG2786" s="114">
        <f>AE2786*AB2786</f>
        <v>2919.46</v>
      </c>
    </row>
    <row r="2787" spans="6:33" ht="24" customHeight="1">
      <c r="F2787" s="114" t="s">
        <v>4749</v>
      </c>
      <c r="J2787" s="119"/>
      <c r="S2787" s="142">
        <f t="shared" si="259"/>
        <v>3</v>
      </c>
      <c r="T2787" s="126" t="s">
        <v>131</v>
      </c>
      <c r="U2787" s="120" t="s">
        <v>1344</v>
      </c>
      <c r="V2787" s="129">
        <f t="shared" si="261"/>
        <v>214.1</v>
      </c>
      <c r="W2787" s="121" t="s">
        <v>131</v>
      </c>
      <c r="X2787" s="129">
        <f t="shared" si="260"/>
        <v>642.29999999999995</v>
      </c>
      <c r="AB2787" s="469">
        <v>4.7809999999999998E-2</v>
      </c>
      <c r="AC2787" s="200" t="s">
        <v>132</v>
      </c>
      <c r="AD2787" s="114" t="s">
        <v>3113</v>
      </c>
      <c r="AE2787" s="114">
        <f>I2814</f>
        <v>99400</v>
      </c>
      <c r="AF2787" s="178" t="s">
        <v>132</v>
      </c>
      <c r="AG2787" s="114">
        <f t="shared" ref="AG2787:AG2796" si="262">AE2787*AB2787</f>
        <v>4752.3100000000004</v>
      </c>
    </row>
    <row r="2788" spans="6:33" ht="24" customHeight="1">
      <c r="J2788" s="119"/>
      <c r="S2788" s="142">
        <f t="shared" si="259"/>
        <v>2</v>
      </c>
      <c r="T2788" s="126" t="s">
        <v>131</v>
      </c>
      <c r="U2788" s="120" t="s">
        <v>1346</v>
      </c>
      <c r="V2788" s="129">
        <f t="shared" si="261"/>
        <v>408</v>
      </c>
      <c r="W2788" s="121" t="s">
        <v>131</v>
      </c>
      <c r="X2788" s="129">
        <f t="shared" si="260"/>
        <v>816</v>
      </c>
      <c r="AB2788" s="470">
        <v>4.5879999999999997E-2</v>
      </c>
      <c r="AC2788" s="200" t="s">
        <v>132</v>
      </c>
      <c r="AD2788" s="114" t="s">
        <v>4750</v>
      </c>
      <c r="AE2788" s="114">
        <f>I3320</f>
        <v>107000</v>
      </c>
      <c r="AF2788" s="178" t="s">
        <v>132</v>
      </c>
      <c r="AG2788" s="114">
        <f t="shared" si="262"/>
        <v>4909.16</v>
      </c>
    </row>
    <row r="2789" spans="6:33" ht="24" customHeight="1">
      <c r="F2789" s="118">
        <v>0.37</v>
      </c>
      <c r="G2789" s="116" t="s">
        <v>5</v>
      </c>
      <c r="H2789" s="115" t="s">
        <v>4751</v>
      </c>
      <c r="I2789" s="115">
        <f>X688</f>
        <v>8608.5499999999993</v>
      </c>
      <c r="J2789" s="213" t="s">
        <v>5</v>
      </c>
      <c r="K2789" s="115">
        <f>F2789*I2789</f>
        <v>3185.16</v>
      </c>
      <c r="S2789" s="142">
        <f t="shared" si="259"/>
        <v>1</v>
      </c>
      <c r="T2789" s="126" t="s">
        <v>131</v>
      </c>
      <c r="U2789" s="120" t="s">
        <v>1348</v>
      </c>
      <c r="V2789" s="129">
        <f t="shared" si="261"/>
        <v>836</v>
      </c>
      <c r="W2789" s="121" t="s">
        <v>131</v>
      </c>
      <c r="X2789" s="129">
        <f t="shared" si="260"/>
        <v>836</v>
      </c>
      <c r="AB2789" s="470">
        <v>3.95</v>
      </c>
      <c r="AC2789" s="200" t="s">
        <v>425</v>
      </c>
      <c r="AD2789" s="114" t="s">
        <v>3115</v>
      </c>
      <c r="AE2789" s="114">
        <f>I2817</f>
        <v>1602.7</v>
      </c>
      <c r="AF2789" s="178" t="s">
        <v>425</v>
      </c>
      <c r="AG2789" s="114">
        <f t="shared" si="262"/>
        <v>6330.67</v>
      </c>
    </row>
    <row r="2790" spans="6:33" ht="24" customHeight="1">
      <c r="F2790" s="115">
        <v>0.25</v>
      </c>
      <c r="G2790" s="116" t="s">
        <v>1034</v>
      </c>
      <c r="H2790" s="115" t="s">
        <v>42</v>
      </c>
      <c r="I2790" s="115">
        <f>C11</f>
        <v>972.4</v>
      </c>
      <c r="J2790" s="213" t="s">
        <v>729</v>
      </c>
      <c r="K2790" s="115">
        <f>F2790*I2790</f>
        <v>243.1</v>
      </c>
      <c r="S2790" s="142">
        <f t="shared" si="259"/>
        <v>1</v>
      </c>
      <c r="T2790" s="126" t="s">
        <v>131</v>
      </c>
      <c r="U2790" s="120" t="s">
        <v>1350</v>
      </c>
      <c r="V2790" s="129">
        <f t="shared" si="261"/>
        <v>7.3</v>
      </c>
      <c r="W2790" s="121" t="s">
        <v>131</v>
      </c>
      <c r="X2790" s="129">
        <f t="shared" si="260"/>
        <v>7.3</v>
      </c>
      <c r="AB2790" s="114">
        <v>2</v>
      </c>
      <c r="AC2790" s="200" t="s">
        <v>1572</v>
      </c>
      <c r="AD2790" s="114" t="s">
        <v>4264</v>
      </c>
      <c r="AE2790" s="114">
        <f t="shared" ref="AE2790:AE2795" si="263">I2818</f>
        <v>254.5</v>
      </c>
      <c r="AF2790" s="178" t="s">
        <v>729</v>
      </c>
      <c r="AG2790" s="114">
        <f t="shared" si="262"/>
        <v>509</v>
      </c>
    </row>
    <row r="2791" spans="6:33" ht="24" customHeight="1">
      <c r="F2791" s="115">
        <v>3.5</v>
      </c>
      <c r="G2791" s="116" t="s">
        <v>41</v>
      </c>
      <c r="H2791" s="115" t="s">
        <v>2199</v>
      </c>
      <c r="I2791" s="115">
        <f>C12</f>
        <v>679.8</v>
      </c>
      <c r="J2791" s="213" t="s">
        <v>729</v>
      </c>
      <c r="K2791" s="115">
        <f>F2791*I2791</f>
        <v>2379.3000000000002</v>
      </c>
      <c r="S2791" s="142">
        <f t="shared" si="259"/>
        <v>1</v>
      </c>
      <c r="T2791" s="126" t="s">
        <v>131</v>
      </c>
      <c r="U2791" s="120" t="s">
        <v>455</v>
      </c>
      <c r="V2791" s="129">
        <f t="shared" si="261"/>
        <v>49.55</v>
      </c>
      <c r="W2791" s="121" t="s">
        <v>131</v>
      </c>
      <c r="X2791" s="129">
        <f t="shared" si="260"/>
        <v>49.55</v>
      </c>
      <c r="AB2791" s="114">
        <v>6</v>
      </c>
      <c r="AC2791" s="200" t="s">
        <v>1572</v>
      </c>
      <c r="AD2791" s="114" t="s">
        <v>4265</v>
      </c>
      <c r="AE2791" s="114">
        <f t="shared" si="263"/>
        <v>214.1</v>
      </c>
      <c r="AF2791" s="178" t="s">
        <v>729</v>
      </c>
      <c r="AG2791" s="114">
        <f t="shared" si="262"/>
        <v>1284.5999999999999</v>
      </c>
    </row>
    <row r="2792" spans="6:33" ht="24" customHeight="1">
      <c r="F2792" s="115">
        <v>12</v>
      </c>
      <c r="G2792" s="116" t="s">
        <v>476</v>
      </c>
      <c r="H2792" s="115" t="s">
        <v>4752</v>
      </c>
      <c r="J2792" s="213" t="s">
        <v>476</v>
      </c>
      <c r="K2792" s="115">
        <f>I2792*F2792</f>
        <v>0</v>
      </c>
      <c r="S2792" s="118">
        <f t="shared" si="259"/>
        <v>64</v>
      </c>
      <c r="T2792" s="116"/>
      <c r="U2792" s="115" t="s">
        <v>4753</v>
      </c>
      <c r="V2792" s="115">
        <f>P2831</f>
        <v>2.41</v>
      </c>
      <c r="X2792" s="129">
        <f t="shared" si="260"/>
        <v>154.24</v>
      </c>
      <c r="AB2792" s="114">
        <v>4</v>
      </c>
      <c r="AC2792" s="200" t="s">
        <v>1572</v>
      </c>
      <c r="AD2792" s="114" t="s">
        <v>4266</v>
      </c>
      <c r="AE2792" s="114">
        <f t="shared" si="263"/>
        <v>408</v>
      </c>
      <c r="AF2792" s="178" t="s">
        <v>729</v>
      </c>
      <c r="AG2792" s="114">
        <f t="shared" si="262"/>
        <v>1632</v>
      </c>
    </row>
    <row r="2793" spans="6:33" ht="24" customHeight="1">
      <c r="G2793" s="115" t="s">
        <v>4754</v>
      </c>
      <c r="H2793" s="115" t="s">
        <v>4755</v>
      </c>
      <c r="J2793" s="213" t="s">
        <v>2120</v>
      </c>
      <c r="K2793" s="115">
        <f>L2759*10%</f>
        <v>262.24</v>
      </c>
      <c r="T2793" s="116"/>
      <c r="U2793" s="120" t="s">
        <v>4756</v>
      </c>
      <c r="X2793" s="129">
        <f>SUM(X2781:X2792)</f>
        <v>8144.31</v>
      </c>
      <c r="AB2793" s="114">
        <v>1</v>
      </c>
      <c r="AC2793" s="200" t="s">
        <v>1572</v>
      </c>
      <c r="AD2793" s="114" t="s">
        <v>4267</v>
      </c>
      <c r="AE2793" s="114">
        <f t="shared" si="263"/>
        <v>836</v>
      </c>
      <c r="AF2793" s="178" t="s">
        <v>729</v>
      </c>
      <c r="AG2793" s="114">
        <f t="shared" si="262"/>
        <v>836</v>
      </c>
    </row>
    <row r="2794" spans="6:33" ht="24" customHeight="1">
      <c r="J2794" s="119"/>
      <c r="K2794" s="115" t="s">
        <v>4757</v>
      </c>
      <c r="T2794" s="116"/>
      <c r="X2794" s="123" t="s">
        <v>52</v>
      </c>
      <c r="AB2794" s="114">
        <v>2</v>
      </c>
      <c r="AC2794" s="200" t="s">
        <v>1572</v>
      </c>
      <c r="AD2794" s="114" t="s">
        <v>453</v>
      </c>
      <c r="AE2794" s="114">
        <f t="shared" si="263"/>
        <v>7.3</v>
      </c>
      <c r="AF2794" s="178" t="s">
        <v>729</v>
      </c>
      <c r="AG2794" s="114">
        <f t="shared" si="262"/>
        <v>14.6</v>
      </c>
    </row>
    <row r="2795" spans="6:33" ht="24" customHeight="1">
      <c r="J2795" s="119"/>
      <c r="T2795" s="116"/>
      <c r="U2795" s="120" t="s">
        <v>460</v>
      </c>
      <c r="X2795" s="129">
        <f>X2793/1.8225</f>
        <v>4468.76</v>
      </c>
      <c r="AB2795" s="114">
        <v>2</v>
      </c>
      <c r="AC2795" s="200" t="s">
        <v>1572</v>
      </c>
      <c r="AD2795" s="114" t="s">
        <v>455</v>
      </c>
      <c r="AE2795" s="114">
        <f t="shared" si="263"/>
        <v>49.55</v>
      </c>
      <c r="AF2795" s="178" t="s">
        <v>729</v>
      </c>
      <c r="AG2795" s="114">
        <f t="shared" si="262"/>
        <v>99.1</v>
      </c>
    </row>
    <row r="2796" spans="6:33" ht="24" customHeight="1">
      <c r="I2796" s="115" t="s">
        <v>4758</v>
      </c>
      <c r="J2796" s="119"/>
      <c r="K2796" s="115">
        <f>SUM(K2789:K2793)</f>
        <v>6069.8</v>
      </c>
      <c r="T2796" s="116"/>
      <c r="AB2796" s="114">
        <v>10</v>
      </c>
      <c r="AC2796" s="200"/>
      <c r="AD2796" s="114" t="s">
        <v>4245</v>
      </c>
      <c r="AE2796" s="114">
        <f>V2792</f>
        <v>2.41</v>
      </c>
      <c r="AF2796" s="178"/>
      <c r="AG2796" s="114">
        <f t="shared" si="262"/>
        <v>24.1</v>
      </c>
    </row>
    <row r="2797" spans="6:33" ht="24" customHeight="1">
      <c r="J2797" s="119"/>
      <c r="AB2797" s="114"/>
      <c r="AC2797" s="200"/>
      <c r="AD2797" s="114" t="s">
        <v>460</v>
      </c>
      <c r="AE2797" s="114"/>
      <c r="AF2797" s="178"/>
      <c r="AG2797" s="114">
        <f>SUM(AG2786:AG2796)</f>
        <v>23311</v>
      </c>
    </row>
    <row r="2798" spans="6:33" ht="24" customHeight="1">
      <c r="I2798" s="115" t="s">
        <v>4759</v>
      </c>
      <c r="J2798" s="119"/>
      <c r="K2798" s="115">
        <f>K2796/3.5</f>
        <v>1734.23</v>
      </c>
      <c r="AB2798" s="114"/>
      <c r="AC2798" s="200"/>
      <c r="AD2798" s="114"/>
      <c r="AE2798" s="114"/>
      <c r="AF2798" s="178"/>
      <c r="AG2798" s="1172" t="s">
        <v>2163</v>
      </c>
    </row>
    <row r="2799" spans="6:33" ht="24" customHeight="1">
      <c r="J2799" s="119"/>
      <c r="AB2799" s="114"/>
      <c r="AC2799" s="200"/>
      <c r="AD2799" s="114" t="s">
        <v>460</v>
      </c>
      <c r="AE2799" s="114"/>
      <c r="AF2799" s="178"/>
      <c r="AG2799" s="114">
        <f>AG2797/AB2789</f>
        <v>5901.52</v>
      </c>
    </row>
    <row r="2800" spans="6:33" ht="54.75" customHeight="1">
      <c r="F2800" s="450" t="s">
        <v>1306</v>
      </c>
      <c r="G2800" s="451" t="s">
        <v>111</v>
      </c>
      <c r="H2800" s="149" t="s">
        <v>1307</v>
      </c>
      <c r="I2800" s="452"/>
      <c r="J2800" s="465"/>
      <c r="K2800" s="452"/>
      <c r="AB2800" s="114"/>
      <c r="AC2800" s="200"/>
      <c r="AD2800" s="114"/>
      <c r="AE2800" s="114"/>
      <c r="AF2800" s="178"/>
      <c r="AG2800" s="1172" t="s">
        <v>2163</v>
      </c>
    </row>
    <row r="2801" spans="6:18" ht="24" customHeight="1">
      <c r="F2801" s="452"/>
      <c r="G2801" s="453"/>
      <c r="H2801" s="149" t="s">
        <v>1309</v>
      </c>
      <c r="I2801" s="452"/>
      <c r="J2801" s="465"/>
      <c r="K2801" s="452"/>
    </row>
    <row r="2802" spans="6:18" ht="24" customHeight="1">
      <c r="F2802" s="452"/>
      <c r="G2802" s="453"/>
      <c r="H2802" s="149" t="s">
        <v>1311</v>
      </c>
      <c r="I2802" s="466" t="s">
        <v>4760</v>
      </c>
      <c r="J2802" s="465"/>
      <c r="K2802" s="452"/>
    </row>
    <row r="2803" spans="6:18" ht="24" customHeight="1">
      <c r="F2803" s="452"/>
      <c r="G2803" s="453"/>
      <c r="H2803" s="454" t="s">
        <v>52</v>
      </c>
      <c r="I2803" s="452"/>
      <c r="J2803" s="465"/>
      <c r="K2803" s="452"/>
    </row>
    <row r="2804" spans="6:18" ht="24" customHeight="1">
      <c r="F2804" s="452"/>
      <c r="G2804" s="453"/>
      <c r="H2804" s="149" t="s">
        <v>4731</v>
      </c>
      <c r="I2804" s="452"/>
      <c r="J2804" s="465"/>
      <c r="K2804" s="452"/>
    </row>
    <row r="2805" spans="6:18" ht="24" customHeight="1">
      <c r="F2805" s="452"/>
      <c r="G2805" s="453"/>
      <c r="H2805" s="149" t="s">
        <v>4735</v>
      </c>
      <c r="I2805" s="452"/>
      <c r="J2805" s="465"/>
      <c r="K2805" s="452"/>
    </row>
    <row r="2806" spans="6:18" ht="24" customHeight="1">
      <c r="F2806" s="452"/>
      <c r="G2806" s="453"/>
      <c r="H2806" s="452"/>
      <c r="I2806" s="452"/>
      <c r="J2806" s="450" t="s">
        <v>52</v>
      </c>
      <c r="K2806" s="452"/>
    </row>
    <row r="2807" spans="6:18" ht="24" customHeight="1">
      <c r="F2807" s="452"/>
      <c r="G2807" s="453"/>
      <c r="H2807" s="149" t="s">
        <v>4738</v>
      </c>
      <c r="I2807" s="452"/>
      <c r="J2807" s="465"/>
      <c r="K2807" s="452"/>
      <c r="M2807" s="121" t="s">
        <v>1306</v>
      </c>
      <c r="N2807" s="126" t="s">
        <v>111</v>
      </c>
      <c r="O2807" s="120" t="s">
        <v>1307</v>
      </c>
      <c r="Q2807" s="119"/>
    </row>
    <row r="2808" spans="6:18" ht="24" customHeight="1">
      <c r="F2808" s="452"/>
      <c r="G2808" s="453"/>
      <c r="H2808" s="149" t="s">
        <v>4739</v>
      </c>
      <c r="I2808" s="452"/>
      <c r="J2808" s="465"/>
      <c r="K2808" s="456">
        <v>2.7099999999999999E-2</v>
      </c>
      <c r="N2808" s="116"/>
      <c r="O2808" s="120" t="s">
        <v>1309</v>
      </c>
      <c r="Q2808" s="119"/>
    </row>
    <row r="2809" spans="6:18" ht="24" customHeight="1">
      <c r="F2809" s="452"/>
      <c r="G2809" s="453"/>
      <c r="H2809" s="452"/>
      <c r="I2809" s="452"/>
      <c r="J2809" s="450" t="s">
        <v>85</v>
      </c>
      <c r="K2809" s="454" t="s">
        <v>52</v>
      </c>
      <c r="N2809" s="116"/>
      <c r="O2809" s="120" t="s">
        <v>2182</v>
      </c>
      <c r="P2809" s="114" t="s">
        <v>4761</v>
      </c>
      <c r="Q2809" s="119"/>
    </row>
    <row r="2810" spans="6:18" ht="24" customHeight="1">
      <c r="F2810" s="452"/>
      <c r="G2810" s="453"/>
      <c r="H2810" s="149" t="s">
        <v>4741</v>
      </c>
      <c r="I2810" s="452"/>
      <c r="J2810" s="467" t="s">
        <v>85</v>
      </c>
      <c r="K2810" s="456">
        <v>1.2840000000000001E-2</v>
      </c>
      <c r="N2810" s="116"/>
      <c r="O2810" s="123" t="s">
        <v>52</v>
      </c>
      <c r="Q2810" s="119"/>
    </row>
    <row r="2811" spans="6:18" ht="24" customHeight="1">
      <c r="F2811" s="452"/>
      <c r="G2811" s="453"/>
      <c r="H2811" s="149" t="s">
        <v>4762</v>
      </c>
      <c r="I2811" s="452"/>
      <c r="J2811" s="450" t="s">
        <v>85</v>
      </c>
      <c r="K2811" s="456">
        <v>3.5799999999999998E-3</v>
      </c>
      <c r="N2811" s="116"/>
      <c r="O2811" s="120" t="s">
        <v>2183</v>
      </c>
      <c r="Q2811" s="119"/>
    </row>
    <row r="2812" spans="6:18" ht="24" customHeight="1">
      <c r="F2812" s="455"/>
      <c r="G2812" s="453"/>
      <c r="H2812" s="452"/>
      <c r="I2812" s="452"/>
      <c r="J2812" s="465"/>
      <c r="K2812" s="454" t="s">
        <v>52</v>
      </c>
      <c r="N2812" s="116"/>
      <c r="O2812" s="120" t="s">
        <v>4735</v>
      </c>
      <c r="Q2812" s="119"/>
    </row>
    <row r="2813" spans="6:18" ht="24" customHeight="1">
      <c r="F2813" s="456">
        <v>1.898E-2</v>
      </c>
      <c r="G2813" s="451" t="s">
        <v>132</v>
      </c>
      <c r="H2813" s="149" t="s">
        <v>1332</v>
      </c>
      <c r="I2813" s="151">
        <f>AC26</f>
        <v>111600</v>
      </c>
      <c r="J2813" s="450" t="s">
        <v>132</v>
      </c>
      <c r="K2813" s="151">
        <f>(F2813*I2813)</f>
        <v>2118.17</v>
      </c>
      <c r="N2813" s="116"/>
      <c r="Q2813" s="121" t="s">
        <v>52</v>
      </c>
    </row>
    <row r="2814" spans="6:18" ht="24" customHeight="1">
      <c r="F2814" s="456">
        <f>K2808</f>
        <v>2.7099999999999999E-2</v>
      </c>
      <c r="G2814" s="451" t="s">
        <v>132</v>
      </c>
      <c r="H2814" s="149" t="s">
        <v>1334</v>
      </c>
      <c r="I2814" s="151">
        <f>AC27</f>
        <v>99400</v>
      </c>
      <c r="J2814" s="450" t="s">
        <v>132</v>
      </c>
      <c r="K2814" s="151">
        <f t="shared" ref="K2814:K2824" si="264">(F2814*I2814)</f>
        <v>2693.74</v>
      </c>
      <c r="N2814" s="116"/>
      <c r="O2814" s="120" t="s">
        <v>4763</v>
      </c>
      <c r="Q2814" s="119"/>
    </row>
    <row r="2815" spans="6:18" ht="24" customHeight="1">
      <c r="F2815" s="456">
        <f>L2778</f>
        <v>1.6420000000000001E-2</v>
      </c>
      <c r="G2815" s="451" t="s">
        <v>132</v>
      </c>
      <c r="H2815" s="149" t="s">
        <v>1336</v>
      </c>
      <c r="I2815" s="151">
        <f>AC28</f>
        <v>95000</v>
      </c>
      <c r="J2815" s="450" t="s">
        <v>132</v>
      </c>
      <c r="K2815" s="151">
        <f t="shared" si="264"/>
        <v>1559.9</v>
      </c>
      <c r="N2815" s="116"/>
      <c r="O2815" s="120" t="s">
        <v>4764</v>
      </c>
      <c r="Q2815" s="119"/>
      <c r="R2815" s="202">
        <v>2.784E-2</v>
      </c>
    </row>
    <row r="2816" spans="6:18" ht="24" customHeight="1">
      <c r="F2816" s="457"/>
      <c r="G2816" s="453"/>
      <c r="H2816" s="149" t="s">
        <v>2180</v>
      </c>
      <c r="I2816" s="151"/>
      <c r="J2816" s="465"/>
      <c r="K2816" s="151"/>
      <c r="N2816" s="116"/>
      <c r="Q2816" s="121" t="s">
        <v>85</v>
      </c>
      <c r="R2816" s="123" t="s">
        <v>52</v>
      </c>
    </row>
    <row r="2817" spans="6:18" ht="24" customHeight="1">
      <c r="F2817" s="457">
        <v>1.8225</v>
      </c>
      <c r="G2817" s="451" t="s">
        <v>425</v>
      </c>
      <c r="H2817" s="149" t="s">
        <v>1340</v>
      </c>
      <c r="I2817" s="151">
        <f>I954</f>
        <v>1602.7</v>
      </c>
      <c r="J2817" s="450" t="s">
        <v>425</v>
      </c>
      <c r="K2817" s="151">
        <f t="shared" si="264"/>
        <v>2920.92</v>
      </c>
      <c r="N2817" s="116"/>
      <c r="O2817" s="120" t="s">
        <v>4765</v>
      </c>
      <c r="Q2817" s="468" t="s">
        <v>85</v>
      </c>
      <c r="R2817" s="202">
        <v>2.5499999999999998E-2</v>
      </c>
    </row>
    <row r="2818" spans="6:18" ht="24" customHeight="1">
      <c r="F2818" s="151">
        <v>2</v>
      </c>
      <c r="G2818" s="451" t="s">
        <v>237</v>
      </c>
      <c r="H2818" s="149" t="s">
        <v>4766</v>
      </c>
      <c r="I2818" s="472">
        <v>254.5</v>
      </c>
      <c r="J2818" s="450" t="s">
        <v>131</v>
      </c>
      <c r="K2818" s="151">
        <f t="shared" si="264"/>
        <v>509</v>
      </c>
      <c r="N2818" s="116"/>
      <c r="O2818" s="120"/>
      <c r="Q2818" s="121" t="s">
        <v>85</v>
      </c>
      <c r="R2818" s="202"/>
    </row>
    <row r="2819" spans="6:18" ht="24" customHeight="1">
      <c r="F2819" s="151">
        <v>3</v>
      </c>
      <c r="G2819" s="451" t="s">
        <v>131</v>
      </c>
      <c r="H2819" s="149" t="s">
        <v>4767</v>
      </c>
      <c r="I2819" s="472">
        <v>214.1</v>
      </c>
      <c r="J2819" s="450" t="s">
        <v>131</v>
      </c>
      <c r="K2819" s="151">
        <f t="shared" si="264"/>
        <v>642.29999999999995</v>
      </c>
      <c r="N2819" s="116"/>
      <c r="Q2819" s="119"/>
      <c r="R2819" s="123" t="s">
        <v>52</v>
      </c>
    </row>
    <row r="2820" spans="6:18" ht="24" customHeight="1">
      <c r="F2820" s="151">
        <v>2</v>
      </c>
      <c r="G2820" s="451" t="s">
        <v>131</v>
      </c>
      <c r="H2820" s="149" t="s">
        <v>4768</v>
      </c>
      <c r="I2820" s="472">
        <v>408</v>
      </c>
      <c r="J2820" s="450" t="s">
        <v>131</v>
      </c>
      <c r="K2820" s="151">
        <f t="shared" si="264"/>
        <v>816</v>
      </c>
      <c r="M2820" s="202">
        <v>1.898E-2</v>
      </c>
      <c r="N2820" s="126" t="s">
        <v>132</v>
      </c>
      <c r="O2820" s="120" t="s">
        <v>1332</v>
      </c>
      <c r="P2820" s="129">
        <f>I2813</f>
        <v>111600</v>
      </c>
      <c r="Q2820" s="121" t="s">
        <v>132</v>
      </c>
      <c r="R2820" s="129">
        <f>(M2820*P2820)</f>
        <v>2118.17</v>
      </c>
    </row>
    <row r="2821" spans="6:18" ht="24" customHeight="1">
      <c r="F2821" s="151">
        <v>1</v>
      </c>
      <c r="G2821" s="451" t="s">
        <v>131</v>
      </c>
      <c r="H2821" s="149" t="s">
        <v>4769</v>
      </c>
      <c r="I2821" s="472">
        <v>836</v>
      </c>
      <c r="J2821" s="450" t="s">
        <v>131</v>
      </c>
      <c r="K2821" s="151">
        <f t="shared" si="264"/>
        <v>836</v>
      </c>
      <c r="M2821" s="202">
        <f>R2815</f>
        <v>2.784E-2</v>
      </c>
      <c r="N2821" s="126" t="s">
        <v>132</v>
      </c>
      <c r="O2821" s="120" t="s">
        <v>1334</v>
      </c>
      <c r="P2821" s="129">
        <f t="shared" ref="P2821:P2824" si="265">I2814</f>
        <v>99400</v>
      </c>
      <c r="Q2821" s="121" t="s">
        <v>132</v>
      </c>
      <c r="R2821" s="129">
        <f t="shared" ref="R2821:R2831" si="266">(M2821*P2821)</f>
        <v>2767.3</v>
      </c>
    </row>
    <row r="2822" spans="6:18" ht="24" customHeight="1">
      <c r="F2822" s="151">
        <v>1</v>
      </c>
      <c r="G2822" s="451" t="s">
        <v>131</v>
      </c>
      <c r="H2822" s="149" t="s">
        <v>1350</v>
      </c>
      <c r="I2822" s="473">
        <v>7.3</v>
      </c>
      <c r="J2822" s="450" t="s">
        <v>131</v>
      </c>
      <c r="K2822" s="151">
        <f t="shared" si="264"/>
        <v>7.3</v>
      </c>
      <c r="M2822" s="202">
        <f>R2817</f>
        <v>2.5499999999999998E-2</v>
      </c>
      <c r="N2822" s="126" t="s">
        <v>132</v>
      </c>
      <c r="O2822" s="120" t="s">
        <v>1336</v>
      </c>
      <c r="P2822" s="129">
        <f t="shared" si="265"/>
        <v>95000</v>
      </c>
      <c r="Q2822" s="121" t="s">
        <v>132</v>
      </c>
      <c r="R2822" s="129">
        <f t="shared" si="266"/>
        <v>2422.5</v>
      </c>
    </row>
    <row r="2823" spans="6:18" ht="24" customHeight="1">
      <c r="F2823" s="151">
        <v>1</v>
      </c>
      <c r="G2823" s="451" t="s">
        <v>131</v>
      </c>
      <c r="H2823" s="149" t="s">
        <v>4770</v>
      </c>
      <c r="I2823" s="472">
        <v>49.55</v>
      </c>
      <c r="J2823" s="450" t="s">
        <v>131</v>
      </c>
      <c r="K2823" s="151">
        <f t="shared" si="264"/>
        <v>49.55</v>
      </c>
      <c r="M2823" s="201"/>
      <c r="N2823" s="116"/>
      <c r="O2823" s="120" t="s">
        <v>4771</v>
      </c>
      <c r="P2823" s="129"/>
      <c r="Q2823" s="119"/>
      <c r="R2823" s="129"/>
    </row>
    <row r="2824" spans="6:18" ht="24" customHeight="1">
      <c r="F2824" s="452">
        <v>64</v>
      </c>
      <c r="G2824" s="453"/>
      <c r="H2824" s="452" t="s">
        <v>4772</v>
      </c>
      <c r="I2824" s="474">
        <f>P1121</f>
        <v>2.41</v>
      </c>
      <c r="J2824" s="465"/>
      <c r="K2824" s="151">
        <f t="shared" si="264"/>
        <v>154.24</v>
      </c>
      <c r="M2824" s="201">
        <v>2.2275</v>
      </c>
      <c r="N2824" s="126" t="s">
        <v>425</v>
      </c>
      <c r="O2824" s="120" t="s">
        <v>1340</v>
      </c>
      <c r="P2824" s="129">
        <f t="shared" si="265"/>
        <v>1602.7</v>
      </c>
      <c r="Q2824" s="121" t="s">
        <v>425</v>
      </c>
      <c r="R2824" s="129">
        <f t="shared" si="266"/>
        <v>3570.01</v>
      </c>
    </row>
    <row r="2825" spans="6:18" ht="24" customHeight="1">
      <c r="F2825" s="452"/>
      <c r="G2825" s="453"/>
      <c r="H2825" s="149" t="s">
        <v>4756</v>
      </c>
      <c r="I2825" s="452"/>
      <c r="J2825" s="465"/>
      <c r="K2825" s="151">
        <f>SUM(K2813:K2824)</f>
        <v>12307.12</v>
      </c>
      <c r="M2825" s="129">
        <v>1</v>
      </c>
      <c r="N2825" s="126" t="s">
        <v>237</v>
      </c>
      <c r="O2825" s="120" t="s">
        <v>1342</v>
      </c>
      <c r="P2825" s="129">
        <f>I990</f>
        <v>57.65</v>
      </c>
      <c r="Q2825" s="121" t="s">
        <v>131</v>
      </c>
      <c r="R2825" s="129">
        <f t="shared" si="266"/>
        <v>57.65</v>
      </c>
    </row>
    <row r="2826" spans="6:18" ht="24" customHeight="1">
      <c r="F2826" s="452"/>
      <c r="G2826" s="453"/>
      <c r="H2826" s="452"/>
      <c r="I2826" s="452"/>
      <c r="J2826" s="465"/>
      <c r="K2826" s="454" t="s">
        <v>52</v>
      </c>
      <c r="M2826" s="129">
        <v>3</v>
      </c>
      <c r="N2826" s="126" t="s">
        <v>131</v>
      </c>
      <c r="O2826" s="120" t="s">
        <v>1344</v>
      </c>
      <c r="P2826" s="129">
        <f t="shared" ref="P2826:P2831" si="267">I991</f>
        <v>89.6</v>
      </c>
      <c r="Q2826" s="121" t="s">
        <v>131</v>
      </c>
      <c r="R2826" s="129">
        <f t="shared" si="266"/>
        <v>268.8</v>
      </c>
    </row>
    <row r="2827" spans="6:18" ht="24" customHeight="1">
      <c r="H2827" s="120" t="s">
        <v>460</v>
      </c>
      <c r="J2827" s="119"/>
      <c r="K2827" s="127">
        <f>K2825/F2817</f>
        <v>6752.88</v>
      </c>
      <c r="M2827" s="129">
        <v>2</v>
      </c>
      <c r="N2827" s="126" t="s">
        <v>131</v>
      </c>
      <c r="O2827" s="120" t="s">
        <v>1346</v>
      </c>
      <c r="P2827" s="129">
        <f t="shared" si="267"/>
        <v>64.8</v>
      </c>
      <c r="Q2827" s="121" t="s">
        <v>131</v>
      </c>
      <c r="R2827" s="129">
        <f t="shared" si="266"/>
        <v>129.6</v>
      </c>
    </row>
    <row r="2828" spans="6:18" ht="24" customHeight="1">
      <c r="J2828" s="119"/>
      <c r="M2828" s="129">
        <v>1</v>
      </c>
      <c r="N2828" s="126" t="s">
        <v>131</v>
      </c>
      <c r="O2828" s="120" t="s">
        <v>1348</v>
      </c>
      <c r="P2828" s="129">
        <f t="shared" si="267"/>
        <v>181</v>
      </c>
      <c r="Q2828" s="121" t="s">
        <v>131</v>
      </c>
      <c r="R2828" s="129">
        <f t="shared" si="266"/>
        <v>181</v>
      </c>
    </row>
    <row r="2829" spans="6:18" ht="24" customHeight="1">
      <c r="F2829" s="121" t="s">
        <v>1306</v>
      </c>
      <c r="G2829" s="126" t="s">
        <v>111</v>
      </c>
      <c r="H2829" s="120" t="s">
        <v>4773</v>
      </c>
      <c r="J2829" s="119"/>
      <c r="M2829" s="129">
        <v>1</v>
      </c>
      <c r="N2829" s="126" t="s">
        <v>131</v>
      </c>
      <c r="O2829" s="120" t="s">
        <v>1350</v>
      </c>
      <c r="P2829" s="129">
        <f t="shared" si="267"/>
        <v>7.3</v>
      </c>
      <c r="Q2829" s="121" t="s">
        <v>131</v>
      </c>
      <c r="R2829" s="129">
        <f t="shared" si="266"/>
        <v>7.3</v>
      </c>
    </row>
    <row r="2830" spans="6:18" ht="24" customHeight="1">
      <c r="H2830" s="120" t="s">
        <v>1309</v>
      </c>
      <c r="J2830" s="119"/>
      <c r="M2830" s="129">
        <v>1</v>
      </c>
      <c r="N2830" s="126" t="s">
        <v>131</v>
      </c>
      <c r="O2830" s="120" t="s">
        <v>455</v>
      </c>
      <c r="P2830" s="129">
        <f t="shared" si="267"/>
        <v>49.55</v>
      </c>
      <c r="Q2830" s="121" t="s">
        <v>131</v>
      </c>
      <c r="R2830" s="129">
        <f t="shared" si="266"/>
        <v>49.55</v>
      </c>
    </row>
    <row r="2831" spans="6:18" ht="24" customHeight="1">
      <c r="H2831" s="120" t="s">
        <v>1311</v>
      </c>
      <c r="J2831" s="119">
        <f>1.1*2.025</f>
        <v>2.23</v>
      </c>
      <c r="M2831" s="115">
        <v>58</v>
      </c>
      <c r="N2831" s="126" t="s">
        <v>131</v>
      </c>
      <c r="O2831" s="115" t="s">
        <v>4245</v>
      </c>
      <c r="P2831" s="129">
        <f t="shared" si="267"/>
        <v>2.41</v>
      </c>
      <c r="Q2831" s="119" t="s">
        <v>131</v>
      </c>
      <c r="R2831" s="129">
        <f t="shared" si="266"/>
        <v>139.78</v>
      </c>
    </row>
    <row r="2832" spans="6:18" ht="24" customHeight="1">
      <c r="H2832" s="123" t="s">
        <v>52</v>
      </c>
      <c r="J2832" s="119"/>
      <c r="N2832" s="116"/>
      <c r="O2832" s="120" t="s">
        <v>4774</v>
      </c>
      <c r="Q2832" s="119"/>
      <c r="R2832" s="129">
        <f>SUM(R2820:R2831)</f>
        <v>11711.66</v>
      </c>
    </row>
    <row r="2833" spans="6:18" ht="28.5" customHeight="1">
      <c r="H2833" s="120" t="s">
        <v>1314</v>
      </c>
      <c r="J2833" s="119"/>
      <c r="N2833" s="116"/>
      <c r="Q2833" s="119"/>
      <c r="R2833" s="123" t="s">
        <v>52</v>
      </c>
    </row>
    <row r="2834" spans="6:18" ht="47.25">
      <c r="F2834" s="118">
        <v>1.823</v>
      </c>
      <c r="G2834" s="126" t="s">
        <v>425</v>
      </c>
      <c r="H2834" s="176" t="s">
        <v>4775</v>
      </c>
      <c r="I2834" s="401">
        <v>2180</v>
      </c>
      <c r="J2834" s="121" t="s">
        <v>425</v>
      </c>
      <c r="K2834" s="115">
        <f>F2835*I2834</f>
        <v>3974.14</v>
      </c>
      <c r="N2834" s="116"/>
      <c r="O2834" s="120" t="s">
        <v>460</v>
      </c>
      <c r="Q2834" s="119"/>
      <c r="R2834" s="129">
        <f>R2832/M2824</f>
        <v>5257.76</v>
      </c>
    </row>
    <row r="2835" spans="6:18" ht="24" customHeight="1">
      <c r="F2835" s="142">
        <v>1.823</v>
      </c>
      <c r="G2835" s="126" t="s">
        <v>425</v>
      </c>
      <c r="H2835" s="415" t="s">
        <v>4776</v>
      </c>
      <c r="I2835" s="129">
        <f>AE52</f>
        <v>223.3</v>
      </c>
      <c r="J2835" s="121" t="s">
        <v>425</v>
      </c>
      <c r="K2835" s="129">
        <f t="shared" ref="K2835:K2841" si="268">(F2835*I2835)</f>
        <v>407.08</v>
      </c>
    </row>
    <row r="2836" spans="6:18" ht="24" customHeight="1">
      <c r="F2836" s="129">
        <v>2</v>
      </c>
      <c r="G2836" s="126" t="s">
        <v>237</v>
      </c>
      <c r="H2836" s="120" t="s">
        <v>1342</v>
      </c>
      <c r="I2836" s="129">
        <f t="shared" ref="I2836:I2841" si="269">I990</f>
        <v>57.65</v>
      </c>
      <c r="J2836" s="121" t="s">
        <v>131</v>
      </c>
      <c r="K2836" s="129">
        <f t="shared" si="268"/>
        <v>115.3</v>
      </c>
    </row>
    <row r="2837" spans="6:18" ht="24" customHeight="1">
      <c r="F2837" s="129">
        <v>3</v>
      </c>
      <c r="G2837" s="126" t="s">
        <v>131</v>
      </c>
      <c r="H2837" s="120" t="s">
        <v>1344</v>
      </c>
      <c r="I2837" s="129">
        <f t="shared" si="269"/>
        <v>89.6</v>
      </c>
      <c r="J2837" s="121" t="s">
        <v>131</v>
      </c>
      <c r="K2837" s="129">
        <f t="shared" si="268"/>
        <v>268.8</v>
      </c>
    </row>
    <row r="2838" spans="6:18" ht="24" customHeight="1">
      <c r="F2838" s="129">
        <v>2</v>
      </c>
      <c r="G2838" s="126" t="s">
        <v>131</v>
      </c>
      <c r="H2838" s="120" t="s">
        <v>1346</v>
      </c>
      <c r="I2838" s="129">
        <f t="shared" si="269"/>
        <v>64.8</v>
      </c>
      <c r="J2838" s="121" t="s">
        <v>131</v>
      </c>
      <c r="K2838" s="129">
        <f t="shared" si="268"/>
        <v>129.6</v>
      </c>
    </row>
    <row r="2839" spans="6:18" ht="24" customHeight="1">
      <c r="F2839" s="129">
        <v>1</v>
      </c>
      <c r="G2839" s="126" t="s">
        <v>131</v>
      </c>
      <c r="H2839" s="120" t="s">
        <v>1348</v>
      </c>
      <c r="I2839" s="129">
        <f t="shared" si="269"/>
        <v>181</v>
      </c>
      <c r="J2839" s="121" t="s">
        <v>131</v>
      </c>
      <c r="K2839" s="129">
        <f t="shared" si="268"/>
        <v>181</v>
      </c>
    </row>
    <row r="2840" spans="6:18" ht="24" customHeight="1">
      <c r="F2840" s="129">
        <v>1</v>
      </c>
      <c r="G2840" s="126" t="s">
        <v>131</v>
      </c>
      <c r="H2840" s="120" t="s">
        <v>1350</v>
      </c>
      <c r="I2840" s="129">
        <f t="shared" si="269"/>
        <v>7.3</v>
      </c>
      <c r="J2840" s="121" t="s">
        <v>131</v>
      </c>
      <c r="K2840" s="129">
        <f t="shared" si="268"/>
        <v>7.3</v>
      </c>
      <c r="M2840" s="121" t="s">
        <v>1306</v>
      </c>
      <c r="N2840" s="126" t="s">
        <v>111</v>
      </c>
      <c r="O2840" s="120" t="s">
        <v>1307</v>
      </c>
      <c r="Q2840" s="119"/>
    </row>
    <row r="2841" spans="6:18" ht="24" customHeight="1">
      <c r="F2841" s="129">
        <v>1</v>
      </c>
      <c r="G2841" s="126" t="s">
        <v>131</v>
      </c>
      <c r="H2841" s="120" t="s">
        <v>455</v>
      </c>
      <c r="I2841" s="129">
        <f t="shared" si="269"/>
        <v>49.55</v>
      </c>
      <c r="J2841" s="121" t="s">
        <v>131</v>
      </c>
      <c r="K2841" s="129">
        <f t="shared" si="268"/>
        <v>49.55</v>
      </c>
      <c r="N2841" s="116"/>
      <c r="O2841" s="120" t="s">
        <v>1309</v>
      </c>
      <c r="P2841" s="114" t="s">
        <v>4777</v>
      </c>
      <c r="Q2841" s="119"/>
    </row>
    <row r="2842" spans="6:18" ht="24" customHeight="1">
      <c r="J2842" s="119"/>
      <c r="K2842" s="240">
        <v>0.85</v>
      </c>
      <c r="N2842" s="116"/>
      <c r="O2842" s="120" t="s">
        <v>2182</v>
      </c>
      <c r="P2842" s="114" t="s">
        <v>4778</v>
      </c>
      <c r="Q2842" s="119"/>
    </row>
    <row r="2843" spans="6:18" ht="24" customHeight="1">
      <c r="H2843" s="120" t="s">
        <v>4779</v>
      </c>
      <c r="J2843" s="119"/>
      <c r="K2843" s="129">
        <f>SUM(K2834:K2842)</f>
        <v>5133.62</v>
      </c>
      <c r="N2843" s="116"/>
      <c r="O2843" s="123" t="s">
        <v>52</v>
      </c>
      <c r="Q2843" s="119"/>
    </row>
    <row r="2844" spans="6:18" ht="24" customHeight="1">
      <c r="J2844" s="119"/>
      <c r="K2844" s="123" t="s">
        <v>52</v>
      </c>
      <c r="N2844" s="116"/>
      <c r="O2844" s="120" t="s">
        <v>4780</v>
      </c>
      <c r="Q2844" s="119"/>
    </row>
    <row r="2845" spans="6:18" ht="24" customHeight="1">
      <c r="H2845" s="120" t="s">
        <v>460</v>
      </c>
      <c r="J2845" s="119"/>
      <c r="K2845" s="129">
        <f>K2843/F2835</f>
        <v>2816.03</v>
      </c>
      <c r="N2845" s="116"/>
      <c r="O2845" s="120" t="s">
        <v>4781</v>
      </c>
      <c r="Q2845" s="119"/>
    </row>
    <row r="2846" spans="6:18" ht="24" customHeight="1">
      <c r="F2846" s="120" t="s">
        <v>85</v>
      </c>
      <c r="J2846" s="119"/>
      <c r="N2846" s="116"/>
      <c r="Q2846" s="121" t="s">
        <v>52</v>
      </c>
    </row>
    <row r="2847" spans="6:18" ht="24" customHeight="1">
      <c r="J2847" s="119"/>
      <c r="N2847" s="116"/>
      <c r="O2847" s="120" t="s">
        <v>4782</v>
      </c>
      <c r="Q2847" s="119"/>
    </row>
    <row r="2848" spans="6:18" ht="24" customHeight="1">
      <c r="F2848" s="167" t="s">
        <v>3554</v>
      </c>
      <c r="H2848" s="120" t="s">
        <v>4783</v>
      </c>
      <c r="N2848" s="116"/>
      <c r="O2848" s="120" t="s">
        <v>4784</v>
      </c>
      <c r="Q2848" s="119"/>
      <c r="R2848" s="202">
        <v>2.8910000000000002E-2</v>
      </c>
    </row>
    <row r="2849" spans="6:18" ht="24" customHeight="1">
      <c r="H2849" s="123" t="s">
        <v>52</v>
      </c>
      <c r="I2849" s="123" t="s">
        <v>52</v>
      </c>
      <c r="J2849" s="120" t="s">
        <v>52</v>
      </c>
      <c r="N2849" s="116"/>
      <c r="Q2849" s="121" t="s">
        <v>85</v>
      </c>
      <c r="R2849" s="123" t="s">
        <v>52</v>
      </c>
    </row>
    <row r="2850" spans="6:18" ht="24" customHeight="1">
      <c r="N2850" s="116"/>
      <c r="O2850" s="120" t="s">
        <v>4785</v>
      </c>
      <c r="Q2850" s="468" t="s">
        <v>85</v>
      </c>
      <c r="R2850" s="202"/>
    </row>
    <row r="2851" spans="6:18" ht="24" customHeight="1">
      <c r="H2851" s="120" t="s">
        <v>1526</v>
      </c>
      <c r="N2851" s="116"/>
      <c r="O2851" s="120" t="s">
        <v>4786</v>
      </c>
      <c r="Q2851" s="121" t="s">
        <v>85</v>
      </c>
      <c r="R2851" s="202">
        <v>1.7999999999999999E-2</v>
      </c>
    </row>
    <row r="2852" spans="6:18" ht="24" customHeight="1">
      <c r="H2852" s="120"/>
      <c r="N2852" s="116"/>
      <c r="Q2852" s="119"/>
      <c r="R2852" s="123" t="s">
        <v>52</v>
      </c>
    </row>
    <row r="2853" spans="6:18" ht="24" customHeight="1">
      <c r="H2853" s="254" t="s">
        <v>1527</v>
      </c>
      <c r="K2853" s="224"/>
      <c r="M2853" s="202">
        <v>1.9220000000000001E-2</v>
      </c>
      <c r="N2853" s="126" t="s">
        <v>132</v>
      </c>
      <c r="O2853" s="120" t="s">
        <v>1332</v>
      </c>
      <c r="P2853" s="129">
        <f>P2820</f>
        <v>111600</v>
      </c>
      <c r="Q2853" s="121" t="s">
        <v>132</v>
      </c>
      <c r="R2853" s="129">
        <f>(M2853*P2853)</f>
        <v>2144.9499999999998</v>
      </c>
    </row>
    <row r="2854" spans="6:18" ht="24" customHeight="1">
      <c r="H2854" s="120" t="s">
        <v>1528</v>
      </c>
      <c r="I2854" s="267">
        <f>0.0118+0.00675</f>
        <v>1.8550000000000001E-2</v>
      </c>
      <c r="M2854" s="202">
        <f>R2848</f>
        <v>2.8910000000000002E-2</v>
      </c>
      <c r="N2854" s="126" t="s">
        <v>132</v>
      </c>
      <c r="O2854" s="120" t="s">
        <v>1334</v>
      </c>
      <c r="P2854" s="129">
        <f t="shared" ref="P2854:P2864" si="270">P2821</f>
        <v>99400</v>
      </c>
      <c r="Q2854" s="121" t="s">
        <v>132</v>
      </c>
      <c r="R2854" s="129">
        <f>(M2854*P2854)</f>
        <v>2873.65</v>
      </c>
    </row>
    <row r="2855" spans="6:18" ht="24" customHeight="1">
      <c r="H2855" s="120" t="s">
        <v>1529</v>
      </c>
      <c r="M2855" s="202">
        <f>R2851</f>
        <v>1.7999999999999999E-2</v>
      </c>
      <c r="N2855" s="126" t="s">
        <v>132</v>
      </c>
      <c r="O2855" s="120" t="s">
        <v>1336</v>
      </c>
      <c r="P2855" s="129">
        <f t="shared" si="270"/>
        <v>95000</v>
      </c>
      <c r="Q2855" s="121" t="s">
        <v>132</v>
      </c>
      <c r="R2855" s="129">
        <f>(M2855*P2855)</f>
        <v>1710</v>
      </c>
    </row>
    <row r="2856" spans="6:18" ht="24" customHeight="1">
      <c r="H2856" s="120" t="s">
        <v>1530</v>
      </c>
      <c r="M2856" s="201"/>
      <c r="N2856" s="116"/>
      <c r="O2856" s="120" t="s">
        <v>4771</v>
      </c>
      <c r="P2856" s="129"/>
      <c r="Q2856" s="119"/>
      <c r="R2856" s="129"/>
    </row>
    <row r="2857" spans="6:18" ht="24" customHeight="1">
      <c r="H2857" s="120" t="s">
        <v>2214</v>
      </c>
      <c r="J2857" s="120" t="s">
        <v>85</v>
      </c>
      <c r="K2857" s="202">
        <v>3.7699999999999997E-2</v>
      </c>
      <c r="M2857" s="201">
        <v>2.2549999999999999</v>
      </c>
      <c r="N2857" s="126" t="s">
        <v>425</v>
      </c>
      <c r="O2857" s="120" t="s">
        <v>1340</v>
      </c>
      <c r="P2857" s="129">
        <f t="shared" si="270"/>
        <v>1602.7</v>
      </c>
      <c r="Q2857" s="121" t="s">
        <v>425</v>
      </c>
      <c r="R2857" s="129">
        <f t="shared" ref="R2857:R2864" si="271">(M2857*P2857)</f>
        <v>3614.09</v>
      </c>
    </row>
    <row r="2858" spans="6:18" ht="24" customHeight="1">
      <c r="H2858" s="120" t="s">
        <v>4787</v>
      </c>
      <c r="J2858" s="254" t="s">
        <v>85</v>
      </c>
      <c r="K2858" s="254" t="s">
        <v>85</v>
      </c>
      <c r="M2858" s="129">
        <v>1</v>
      </c>
      <c r="N2858" s="126" t="s">
        <v>237</v>
      </c>
      <c r="O2858" s="120" t="s">
        <v>1342</v>
      </c>
      <c r="P2858" s="129">
        <f t="shared" si="270"/>
        <v>57.65</v>
      </c>
      <c r="Q2858" s="121" t="s">
        <v>131</v>
      </c>
      <c r="R2858" s="129">
        <f t="shared" si="271"/>
        <v>57.65</v>
      </c>
    </row>
    <row r="2859" spans="6:18" ht="67.5" customHeight="1">
      <c r="H2859" s="120" t="s">
        <v>1532</v>
      </c>
      <c r="K2859" s="254" t="s">
        <v>85</v>
      </c>
      <c r="M2859" s="129">
        <v>3</v>
      </c>
      <c r="N2859" s="126" t="s">
        <v>131</v>
      </c>
      <c r="O2859" s="120" t="s">
        <v>1344</v>
      </c>
      <c r="P2859" s="129">
        <f t="shared" si="270"/>
        <v>89.6</v>
      </c>
      <c r="Q2859" s="121" t="s">
        <v>131</v>
      </c>
      <c r="R2859" s="129">
        <f t="shared" si="271"/>
        <v>268.8</v>
      </c>
    </row>
    <row r="2860" spans="6:18" ht="24" customHeight="1">
      <c r="H2860" s="120"/>
      <c r="K2860" s="254"/>
      <c r="M2860" s="129">
        <v>2</v>
      </c>
      <c r="N2860" s="126" t="s">
        <v>131</v>
      </c>
      <c r="O2860" s="120" t="s">
        <v>1346</v>
      </c>
      <c r="P2860" s="129">
        <f t="shared" si="270"/>
        <v>64.8</v>
      </c>
      <c r="Q2860" s="121" t="s">
        <v>131</v>
      </c>
      <c r="R2860" s="129">
        <f t="shared" si="271"/>
        <v>129.6</v>
      </c>
    </row>
    <row r="2861" spans="6:18" ht="24" customHeight="1">
      <c r="H2861" s="120"/>
      <c r="K2861" s="254"/>
      <c r="M2861" s="129">
        <v>1</v>
      </c>
      <c r="N2861" s="126" t="s">
        <v>131</v>
      </c>
      <c r="O2861" s="120" t="s">
        <v>1348</v>
      </c>
      <c r="P2861" s="129">
        <f t="shared" si="270"/>
        <v>181</v>
      </c>
      <c r="Q2861" s="121" t="s">
        <v>131</v>
      </c>
      <c r="R2861" s="129">
        <f t="shared" si="271"/>
        <v>181</v>
      </c>
    </row>
    <row r="2862" spans="6:18" ht="24" customHeight="1">
      <c r="M2862" s="129">
        <v>1</v>
      </c>
      <c r="N2862" s="126" t="s">
        <v>131</v>
      </c>
      <c r="O2862" s="120" t="s">
        <v>1350</v>
      </c>
      <c r="P2862" s="129">
        <f t="shared" si="270"/>
        <v>7.3</v>
      </c>
      <c r="Q2862" s="121" t="s">
        <v>131</v>
      </c>
      <c r="R2862" s="129">
        <f t="shared" si="271"/>
        <v>7.3</v>
      </c>
    </row>
    <row r="2863" spans="6:18" ht="24" customHeight="1">
      <c r="F2863" s="259">
        <v>1.18E-2</v>
      </c>
      <c r="G2863" s="126" t="s">
        <v>132</v>
      </c>
      <c r="H2863" s="120" t="s">
        <v>446</v>
      </c>
      <c r="I2863" s="129">
        <f>I2813</f>
        <v>111600</v>
      </c>
      <c r="J2863" s="120" t="s">
        <v>132</v>
      </c>
      <c r="K2863" s="129">
        <f t="shared" ref="K2863:K2872" si="272">(F2863*I2863)</f>
        <v>1316.88</v>
      </c>
      <c r="M2863" s="129">
        <v>1</v>
      </c>
      <c r="N2863" s="126" t="s">
        <v>131</v>
      </c>
      <c r="O2863" s="120" t="s">
        <v>455</v>
      </c>
      <c r="P2863" s="129">
        <f t="shared" si="270"/>
        <v>49.55</v>
      </c>
      <c r="Q2863" s="121" t="s">
        <v>131</v>
      </c>
      <c r="R2863" s="129">
        <f t="shared" si="271"/>
        <v>49.55</v>
      </c>
    </row>
    <row r="2864" spans="6:18" ht="24" customHeight="1">
      <c r="F2864" s="202">
        <v>6.7499999999999999E-3</v>
      </c>
      <c r="G2864" s="126" t="s">
        <v>132</v>
      </c>
      <c r="H2864" s="120" t="s">
        <v>447</v>
      </c>
      <c r="I2864" s="129">
        <f>I2814</f>
        <v>99400</v>
      </c>
      <c r="J2864" s="120" t="s">
        <v>132</v>
      </c>
      <c r="K2864" s="129">
        <f t="shared" si="272"/>
        <v>670.95</v>
      </c>
      <c r="M2864" s="115">
        <v>58</v>
      </c>
      <c r="N2864" s="126" t="s">
        <v>131</v>
      </c>
      <c r="O2864" s="115" t="s">
        <v>4245</v>
      </c>
      <c r="P2864" s="115">
        <f t="shared" si="270"/>
        <v>2.41</v>
      </c>
      <c r="Q2864" s="119" t="s">
        <v>131</v>
      </c>
      <c r="R2864" s="129">
        <f t="shared" si="271"/>
        <v>139.78</v>
      </c>
    </row>
    <row r="2865" spans="6:18" ht="24" customHeight="1">
      <c r="F2865" s="202">
        <v>1.8550000000000001E-2</v>
      </c>
      <c r="G2865" s="126" t="s">
        <v>132</v>
      </c>
      <c r="H2865" s="120" t="s">
        <v>1533</v>
      </c>
      <c r="I2865" s="129">
        <f>C30</f>
        <v>14278</v>
      </c>
      <c r="J2865" s="120" t="s">
        <v>132</v>
      </c>
      <c r="K2865" s="129">
        <f t="shared" si="272"/>
        <v>264.86</v>
      </c>
      <c r="N2865" s="116"/>
      <c r="O2865" s="120" t="s">
        <v>4788</v>
      </c>
      <c r="Q2865" s="119"/>
      <c r="R2865" s="129">
        <f>SUM(R2853:R2864)+21.502</f>
        <v>11197.87</v>
      </c>
    </row>
    <row r="2866" spans="6:18" ht="24" customHeight="1">
      <c r="F2866" s="202">
        <v>2.0499999999999998</v>
      </c>
      <c r="G2866" s="126" t="s">
        <v>425</v>
      </c>
      <c r="H2866" s="120" t="s">
        <v>4789</v>
      </c>
      <c r="I2866" s="136">
        <v>840</v>
      </c>
      <c r="J2866" s="120" t="s">
        <v>425</v>
      </c>
      <c r="K2866" s="129">
        <f t="shared" si="272"/>
        <v>1722</v>
      </c>
      <c r="N2866" s="116"/>
      <c r="Q2866" s="119"/>
      <c r="R2866" s="123" t="s">
        <v>52</v>
      </c>
    </row>
    <row r="2867" spans="6:18" ht="36" customHeight="1">
      <c r="F2867" s="202">
        <v>2.0499999999999998</v>
      </c>
      <c r="G2867" s="126" t="s">
        <v>425</v>
      </c>
      <c r="H2867" s="471" t="s">
        <v>4790</v>
      </c>
      <c r="I2867" s="129">
        <f>AE53</f>
        <v>344.3</v>
      </c>
      <c r="J2867" s="120" t="s">
        <v>425</v>
      </c>
      <c r="K2867" s="129">
        <f t="shared" si="272"/>
        <v>705.82</v>
      </c>
      <c r="N2867" s="116"/>
      <c r="O2867" s="120" t="s">
        <v>460</v>
      </c>
      <c r="Q2867" s="119"/>
      <c r="R2867" s="129">
        <f>R2865/M2857</f>
        <v>4965.8</v>
      </c>
    </row>
    <row r="2868" spans="6:18" ht="24" customHeight="1">
      <c r="F2868" s="129">
        <v>2</v>
      </c>
      <c r="G2868" s="126" t="s">
        <v>131</v>
      </c>
      <c r="H2868" s="120" t="s">
        <v>2024</v>
      </c>
      <c r="I2868" s="129">
        <f>E285</f>
        <v>57</v>
      </c>
      <c r="J2868" s="120" t="s">
        <v>131</v>
      </c>
      <c r="K2868" s="129">
        <f t="shared" si="272"/>
        <v>114</v>
      </c>
    </row>
    <row r="2869" spans="6:18" ht="24" customHeight="1">
      <c r="F2869" s="129">
        <v>8</v>
      </c>
      <c r="G2869" s="126" t="s">
        <v>131</v>
      </c>
      <c r="H2869" s="120" t="s">
        <v>1502</v>
      </c>
      <c r="I2869" s="129">
        <f>C282</f>
        <v>49.35</v>
      </c>
      <c r="J2869" s="120" t="s">
        <v>131</v>
      </c>
      <c r="K2869" s="129">
        <f t="shared" si="272"/>
        <v>394.8</v>
      </c>
    </row>
    <row r="2870" spans="6:18" ht="24" customHeight="1">
      <c r="F2870" s="129">
        <v>2</v>
      </c>
      <c r="G2870" s="126" t="s">
        <v>131</v>
      </c>
      <c r="H2870" s="120" t="s">
        <v>2216</v>
      </c>
      <c r="I2870" s="129">
        <f>I1134</f>
        <v>60.9</v>
      </c>
      <c r="J2870" s="120" t="s">
        <v>131</v>
      </c>
      <c r="K2870" s="129">
        <f t="shared" si="272"/>
        <v>121.8</v>
      </c>
    </row>
    <row r="2871" spans="6:18" ht="24" customHeight="1">
      <c r="F2871" s="129">
        <v>1</v>
      </c>
      <c r="G2871" s="126" t="s">
        <v>131</v>
      </c>
      <c r="H2871" s="120" t="s">
        <v>4791</v>
      </c>
      <c r="I2871" s="135">
        <f>I1135</f>
        <v>63.2</v>
      </c>
      <c r="J2871" s="120" t="s">
        <v>131</v>
      </c>
      <c r="K2871" s="129">
        <f t="shared" si="272"/>
        <v>63.2</v>
      </c>
    </row>
    <row r="2872" spans="6:18" ht="24" customHeight="1">
      <c r="F2872" s="142">
        <v>0.94499999999999995</v>
      </c>
      <c r="G2872" s="126" t="s">
        <v>425</v>
      </c>
      <c r="H2872" s="120" t="s">
        <v>1539</v>
      </c>
      <c r="I2872" s="129">
        <f>K1167</f>
        <v>201.2</v>
      </c>
      <c r="J2872" s="120" t="s">
        <v>425</v>
      </c>
      <c r="K2872" s="129">
        <f t="shared" si="272"/>
        <v>190.13</v>
      </c>
    </row>
    <row r="2873" spans="6:18" ht="24" customHeight="1">
      <c r="H2873" s="120" t="s">
        <v>1540</v>
      </c>
      <c r="I2873" s="121" t="s">
        <v>145</v>
      </c>
      <c r="K2873" s="129">
        <v>0.6</v>
      </c>
    </row>
    <row r="2874" spans="6:18" ht="24" customHeight="1">
      <c r="H2874" s="114"/>
      <c r="I2874" s="114"/>
      <c r="J2874" s="178"/>
      <c r="K2874" s="179" t="s">
        <v>52</v>
      </c>
    </row>
    <row r="2875" spans="6:18" ht="24" customHeight="1">
      <c r="H2875" s="128" t="s">
        <v>1541</v>
      </c>
      <c r="I2875" s="114"/>
      <c r="J2875" s="178"/>
      <c r="K2875" s="127">
        <f>SUM(K2863:K2873)</f>
        <v>5565.04</v>
      </c>
    </row>
    <row r="2876" spans="6:18" ht="24" customHeight="1">
      <c r="G2876" s="126" t="s">
        <v>85</v>
      </c>
      <c r="H2876" s="114"/>
      <c r="I2876" s="114"/>
      <c r="J2876" s="178"/>
      <c r="K2876" s="179" t="s">
        <v>52</v>
      </c>
    </row>
    <row r="2877" spans="6:18" ht="24" customHeight="1">
      <c r="H2877" s="128" t="s">
        <v>460</v>
      </c>
      <c r="I2877" s="114"/>
      <c r="J2877" s="178"/>
      <c r="K2877" s="127">
        <f>K2875/2.52</f>
        <v>2208.35</v>
      </c>
    </row>
    <row r="2878" spans="6:18" ht="24" customHeight="1">
      <c r="H2878" s="114"/>
      <c r="I2878" s="114"/>
      <c r="J2878" s="178"/>
      <c r="K2878" s="179" t="s">
        <v>89</v>
      </c>
    </row>
    <row r="2879" spans="6:18" ht="24" customHeight="1">
      <c r="J2879" s="119"/>
    </row>
    <row r="2880" spans="6:18" ht="24" customHeight="1">
      <c r="H2880" s="115" t="s">
        <v>4792</v>
      </c>
      <c r="J2880" s="119"/>
    </row>
    <row r="2881" spans="6:11" ht="24" customHeight="1">
      <c r="H2881" s="115" t="s">
        <v>4793</v>
      </c>
      <c r="J2881" s="119"/>
    </row>
    <row r="2882" spans="6:11" ht="24" customHeight="1">
      <c r="J2882" s="119"/>
    </row>
    <row r="2883" spans="6:11" ht="24" customHeight="1">
      <c r="F2883" s="115">
        <v>2</v>
      </c>
      <c r="G2883" s="116" t="s">
        <v>13</v>
      </c>
      <c r="H2883" s="115" t="s">
        <v>4794</v>
      </c>
      <c r="I2883" s="475">
        <v>96.6</v>
      </c>
      <c r="J2883" s="119" t="s">
        <v>13</v>
      </c>
      <c r="K2883" s="115">
        <f>F2883*I2883</f>
        <v>193.2</v>
      </c>
    </row>
    <row r="2884" spans="6:11" ht="24" customHeight="1">
      <c r="F2884" s="115">
        <v>1</v>
      </c>
      <c r="G2884" s="116" t="s">
        <v>727</v>
      </c>
      <c r="H2884" s="115" t="s">
        <v>4795</v>
      </c>
      <c r="I2884" s="452">
        <f>C625</f>
        <v>34.299999999999997</v>
      </c>
      <c r="J2884" s="119" t="s">
        <v>729</v>
      </c>
      <c r="K2884" s="115">
        <f>F2884*I2884</f>
        <v>34.299999999999997</v>
      </c>
    </row>
    <row r="2885" spans="6:11" ht="24" customHeight="1">
      <c r="H2885" s="115" t="s">
        <v>4796</v>
      </c>
      <c r="J2885" s="119" t="s">
        <v>145</v>
      </c>
      <c r="K2885" s="115">
        <v>1.4</v>
      </c>
    </row>
    <row r="2886" spans="6:11" ht="24" customHeight="1">
      <c r="H2886" s="213" t="s">
        <v>4797</v>
      </c>
      <c r="J2886" s="119"/>
      <c r="K2886" s="115">
        <f>SUM(K2883:K2885)</f>
        <v>228.9</v>
      </c>
    </row>
    <row r="2887" spans="6:11" ht="24" customHeight="1">
      <c r="J2887" s="119"/>
    </row>
    <row r="2888" spans="6:11" ht="24" customHeight="1">
      <c r="H2888" s="305" t="s">
        <v>4798</v>
      </c>
      <c r="I2888" s="114"/>
      <c r="J2888" s="166"/>
      <c r="K2888" s="114">
        <f>K2886/2</f>
        <v>114.45</v>
      </c>
    </row>
    <row r="2889" spans="6:11" ht="24" customHeight="1">
      <c r="J2889" s="119"/>
    </row>
    <row r="2890" spans="6:11" ht="24" customHeight="1">
      <c r="J2890" s="119"/>
    </row>
    <row r="2891" spans="6:11" ht="24" customHeight="1">
      <c r="J2891" s="119"/>
    </row>
    <row r="2892" spans="6:11" ht="24" customHeight="1">
      <c r="J2892" s="119"/>
    </row>
    <row r="2893" spans="6:11" ht="24" customHeight="1">
      <c r="H2893" s="408" t="s">
        <v>4799</v>
      </c>
      <c r="J2893" s="119"/>
    </row>
    <row r="2894" spans="6:11" ht="24" customHeight="1">
      <c r="F2894" s="121"/>
      <c r="G2894" s="126" t="s">
        <v>111</v>
      </c>
      <c r="H2894" s="120" t="s">
        <v>664</v>
      </c>
      <c r="J2894" s="119"/>
    </row>
    <row r="2895" spans="6:11" ht="24" customHeight="1">
      <c r="H2895" s="120" t="s">
        <v>490</v>
      </c>
      <c r="J2895" s="119"/>
    </row>
    <row r="2896" spans="6:11" ht="24" customHeight="1">
      <c r="H2896" s="123" t="s">
        <v>52</v>
      </c>
      <c r="J2896" s="119"/>
    </row>
    <row r="2897" spans="6:11" ht="24" customHeight="1">
      <c r="F2897" s="129">
        <v>9</v>
      </c>
      <c r="G2897" s="126" t="s">
        <v>132</v>
      </c>
      <c r="H2897" s="120" t="s">
        <v>668</v>
      </c>
      <c r="I2897" s="129">
        <f t="shared" ref="I2897:I2902" si="273">I503</f>
        <v>1025.31</v>
      </c>
      <c r="J2897" s="121" t="s">
        <v>132</v>
      </c>
      <c r="K2897" s="129">
        <f t="shared" ref="K2897:K2902" si="274">(F2897*I2897)</f>
        <v>9227.7900000000009</v>
      </c>
    </row>
    <row r="2898" spans="6:11" ht="24" customHeight="1">
      <c r="F2898" s="142">
        <v>3.2309999999999999</v>
      </c>
      <c r="G2898" s="126" t="s">
        <v>122</v>
      </c>
      <c r="H2898" s="120" t="s">
        <v>123</v>
      </c>
      <c r="I2898" s="129">
        <f t="shared" si="273"/>
        <v>6040</v>
      </c>
      <c r="J2898" s="121" t="s">
        <v>122</v>
      </c>
      <c r="K2898" s="129">
        <f t="shared" si="274"/>
        <v>19515.240000000002</v>
      </c>
    </row>
    <row r="2899" spans="6:11" ht="24" customHeight="1">
      <c r="F2899" s="129">
        <v>4.5</v>
      </c>
      <c r="G2899" s="126" t="s">
        <v>132</v>
      </c>
      <c r="H2899" s="120" t="s">
        <v>133</v>
      </c>
      <c r="I2899" s="129">
        <f t="shared" si="273"/>
        <v>1642.42</v>
      </c>
      <c r="J2899" s="121" t="s">
        <v>132</v>
      </c>
      <c r="K2899" s="129">
        <f t="shared" si="274"/>
        <v>7390.89</v>
      </c>
    </row>
    <row r="2900" spans="6:11" ht="24" customHeight="1">
      <c r="F2900" s="129">
        <v>3.5</v>
      </c>
      <c r="G2900" s="126" t="s">
        <v>131</v>
      </c>
      <c r="H2900" s="120" t="s">
        <v>302</v>
      </c>
      <c r="I2900" s="129">
        <f t="shared" si="273"/>
        <v>972.4</v>
      </c>
      <c r="J2900" s="121" t="s">
        <v>131</v>
      </c>
      <c r="K2900" s="129">
        <f t="shared" si="274"/>
        <v>3403.4</v>
      </c>
    </row>
    <row r="2901" spans="6:11" ht="24" customHeight="1">
      <c r="F2901" s="129">
        <v>21.2</v>
      </c>
      <c r="G2901" s="126" t="s">
        <v>131</v>
      </c>
      <c r="H2901" s="120" t="s">
        <v>304</v>
      </c>
      <c r="I2901" s="129">
        <f t="shared" si="273"/>
        <v>679.8</v>
      </c>
      <c r="J2901" s="121" t="s">
        <v>131</v>
      </c>
      <c r="K2901" s="129">
        <f t="shared" si="274"/>
        <v>14411.76</v>
      </c>
    </row>
    <row r="2902" spans="6:11" ht="24" customHeight="1">
      <c r="F2902" s="129">
        <v>35.299999999999997</v>
      </c>
      <c r="G2902" s="126" t="s">
        <v>131</v>
      </c>
      <c r="H2902" s="120" t="s">
        <v>306</v>
      </c>
      <c r="I2902" s="129">
        <f t="shared" si="273"/>
        <v>557.70000000000005</v>
      </c>
      <c r="J2902" s="121" t="s">
        <v>131</v>
      </c>
      <c r="K2902" s="129">
        <f t="shared" si="274"/>
        <v>19686.810000000001</v>
      </c>
    </row>
    <row r="2903" spans="6:11" ht="24" customHeight="1">
      <c r="G2903" s="126" t="s">
        <v>145</v>
      </c>
      <c r="H2903" s="120" t="s">
        <v>146</v>
      </c>
      <c r="I2903" s="120" t="s">
        <v>85</v>
      </c>
      <c r="J2903" s="121" t="s">
        <v>145</v>
      </c>
      <c r="K2903" s="129">
        <v>0</v>
      </c>
    </row>
    <row r="2904" spans="6:11" ht="24" customHeight="1">
      <c r="J2904" s="119"/>
      <c r="K2904" s="123" t="s">
        <v>52</v>
      </c>
    </row>
    <row r="2905" spans="6:11" ht="24" customHeight="1">
      <c r="H2905" s="120" t="s">
        <v>506</v>
      </c>
      <c r="J2905" s="119"/>
      <c r="K2905" s="129">
        <f>SUM(K2897:K2903)</f>
        <v>73635.89</v>
      </c>
    </row>
    <row r="2906" spans="6:11" ht="24" customHeight="1">
      <c r="J2906" s="119"/>
      <c r="K2906" s="123" t="s">
        <v>52</v>
      </c>
    </row>
    <row r="2907" spans="6:11" ht="24" customHeight="1">
      <c r="H2907" s="120" t="s">
        <v>242</v>
      </c>
      <c r="J2907" s="119"/>
      <c r="K2907" s="129">
        <f>(K2905/10)</f>
        <v>7363.59</v>
      </c>
    </row>
    <row r="2908" spans="6:11" ht="24" customHeight="1">
      <c r="J2908" s="119"/>
    </row>
    <row r="2909" spans="6:11" ht="24" customHeight="1">
      <c r="F2909" s="129">
        <v>1</v>
      </c>
      <c r="G2909" s="126" t="s">
        <v>132</v>
      </c>
      <c r="H2909" s="120" t="s">
        <v>514</v>
      </c>
      <c r="J2909" s="119"/>
      <c r="K2909" s="129"/>
    </row>
    <row r="2910" spans="6:11" ht="24" customHeight="1">
      <c r="J2910" s="119"/>
      <c r="K2910" s="123" t="s">
        <v>52</v>
      </c>
    </row>
    <row r="2911" spans="6:11" ht="24" customHeight="1">
      <c r="H2911" s="120" t="s">
        <v>4800</v>
      </c>
      <c r="J2911" s="119"/>
      <c r="K2911" s="129">
        <f>SUM(K2907:K2909)</f>
        <v>7363.59</v>
      </c>
    </row>
    <row r="2912" spans="6:11" ht="24" customHeight="1">
      <c r="J2912" s="119"/>
      <c r="K2912" s="123" t="s">
        <v>52</v>
      </c>
    </row>
    <row r="2913" spans="6:16" ht="24" customHeight="1">
      <c r="G2913" s="126" t="s">
        <v>684</v>
      </c>
      <c r="H2913" s="120" t="s">
        <v>53</v>
      </c>
      <c r="J2913" s="119"/>
      <c r="K2913" s="129">
        <f>K2911+C22</f>
        <v>7488.55</v>
      </c>
    </row>
    <row r="2914" spans="6:16" ht="24" customHeight="1">
      <c r="G2914" s="126" t="s">
        <v>686</v>
      </c>
      <c r="H2914" s="120" t="s">
        <v>54</v>
      </c>
      <c r="J2914" s="119"/>
      <c r="K2914" s="129">
        <f>K2913+C23</f>
        <v>7734.73</v>
      </c>
    </row>
    <row r="2915" spans="6:16" ht="24" customHeight="1">
      <c r="G2915" s="126" t="s">
        <v>688</v>
      </c>
      <c r="H2915" s="120" t="s">
        <v>55</v>
      </c>
      <c r="J2915" s="119"/>
      <c r="K2915" s="129">
        <f>K2914+C23</f>
        <v>7980.91</v>
      </c>
    </row>
    <row r="2916" spans="6:16" ht="24" customHeight="1">
      <c r="G2916" s="126" t="s">
        <v>690</v>
      </c>
      <c r="H2916" s="120" t="s">
        <v>56</v>
      </c>
      <c r="J2916" s="119"/>
      <c r="K2916" s="129">
        <f>K2915+C23</f>
        <v>8227.09</v>
      </c>
    </row>
    <row r="2917" spans="6:16" ht="24" customHeight="1">
      <c r="J2917" s="119"/>
    </row>
    <row r="2918" spans="6:16" ht="24" customHeight="1">
      <c r="G2918" s="305"/>
      <c r="H2918" s="408"/>
    </row>
    <row r="2919" spans="6:16" ht="24" customHeight="1">
      <c r="H2919" s="114" t="s">
        <v>4801</v>
      </c>
    </row>
    <row r="2921" spans="6:16" ht="24" customHeight="1">
      <c r="F2921" s="224"/>
      <c r="H2921" s="115" t="s">
        <v>4802</v>
      </c>
      <c r="J2921" s="116"/>
    </row>
    <row r="2922" spans="6:16" ht="24" customHeight="1">
      <c r="F2922" s="118"/>
      <c r="H2922" s="115" t="s">
        <v>4803</v>
      </c>
      <c r="J2922" s="116"/>
    </row>
    <row r="2923" spans="6:16" ht="24" customHeight="1">
      <c r="H2923" s="117" t="s">
        <v>4804</v>
      </c>
      <c r="J2923" s="213"/>
      <c r="P2923" s="115">
        <f>0.35*4</f>
        <v>1.4</v>
      </c>
    </row>
    <row r="2924" spans="6:16" ht="24" customHeight="1">
      <c r="H2924" s="166" t="s">
        <v>4805</v>
      </c>
      <c r="I2924" s="114"/>
      <c r="J2924" s="305"/>
      <c r="K2924" s="114"/>
      <c r="P2924" s="115">
        <f>0.3*4</f>
        <v>1.2</v>
      </c>
    </row>
    <row r="2925" spans="6:16" ht="24" customHeight="1">
      <c r="H2925" s="115" t="s">
        <v>4806</v>
      </c>
      <c r="P2925" s="115">
        <f>1.28*2</f>
        <v>2.56</v>
      </c>
    </row>
    <row r="2926" spans="6:16" ht="24" customHeight="1">
      <c r="H2926" s="114" t="s">
        <v>3380</v>
      </c>
      <c r="P2926" s="115" t="s">
        <v>4807</v>
      </c>
    </row>
    <row r="2927" spans="6:16" ht="24" customHeight="1">
      <c r="F2927" s="224">
        <v>3.5999999999999997E-2</v>
      </c>
      <c r="G2927" s="116" t="s">
        <v>5</v>
      </c>
      <c r="H2927" s="115" t="s">
        <v>4808</v>
      </c>
      <c r="I2927" s="115">
        <f>K2913</f>
        <v>7488.55</v>
      </c>
      <c r="J2927" s="116" t="s">
        <v>5</v>
      </c>
      <c r="K2927" s="115">
        <f>F2927*I2927</f>
        <v>269.58999999999997</v>
      </c>
    </row>
    <row r="2928" spans="6:16" ht="24" customHeight="1">
      <c r="F2928" s="118">
        <v>3.0649999999999999</v>
      </c>
      <c r="G2928" s="116" t="s">
        <v>476</v>
      </c>
      <c r="H2928" s="184" t="s">
        <v>4809</v>
      </c>
      <c r="I2928" s="115">
        <f>K1582/1000</f>
        <v>92.26</v>
      </c>
      <c r="J2928" s="116" t="s">
        <v>476</v>
      </c>
      <c r="K2928" s="115">
        <f>F2928*I2928</f>
        <v>282.77999999999997</v>
      </c>
    </row>
    <row r="2929" spans="6:11" ht="24" customHeight="1">
      <c r="F2929" s="118">
        <v>0.79800000000000004</v>
      </c>
      <c r="G2929" s="116" t="s">
        <v>468</v>
      </c>
      <c r="H2929" s="115" t="s">
        <v>4810</v>
      </c>
      <c r="I2929" s="115">
        <f>I2358</f>
        <v>1178.5</v>
      </c>
      <c r="J2929" s="116" t="s">
        <v>468</v>
      </c>
      <c r="K2929" s="115">
        <f>F2929*I2929</f>
        <v>940.44</v>
      </c>
    </row>
    <row r="2930" spans="6:11" ht="24" customHeight="1">
      <c r="H2930" s="305" t="s">
        <v>4811</v>
      </c>
      <c r="I2930" s="114"/>
      <c r="J2930" s="305" t="s">
        <v>3192</v>
      </c>
      <c r="K2930" s="114">
        <f>SUM(K2927:K2929)</f>
        <v>1492.81</v>
      </c>
    </row>
    <row r="2931" spans="6:11" ht="24" customHeight="1">
      <c r="F2931" s="224"/>
      <c r="H2931" s="305" t="s">
        <v>4509</v>
      </c>
      <c r="J2931" s="305" t="s">
        <v>3192</v>
      </c>
      <c r="K2931" s="114">
        <f>K2930/2.1</f>
        <v>710.86</v>
      </c>
    </row>
    <row r="2932" spans="6:11" ht="24" customHeight="1">
      <c r="F2932" s="118"/>
      <c r="J2932" s="116"/>
    </row>
    <row r="2933" spans="6:11" ht="24" customHeight="1">
      <c r="H2933" s="213"/>
      <c r="J2933" s="213"/>
    </row>
    <row r="2934" spans="6:11" ht="24" customHeight="1">
      <c r="H2934" s="305"/>
      <c r="I2934" s="114"/>
      <c r="J2934" s="305"/>
      <c r="K2934" s="114"/>
    </row>
    <row r="2935" spans="6:11" ht="24" customHeight="1">
      <c r="H2935" s="114" t="s">
        <v>4812</v>
      </c>
    </row>
    <row r="2936" spans="6:11" ht="24" customHeight="1">
      <c r="F2936" s="224">
        <v>3.5999999999999997E-2</v>
      </c>
      <c r="G2936" s="116" t="s">
        <v>5</v>
      </c>
      <c r="H2936" s="115" t="s">
        <v>4808</v>
      </c>
      <c r="I2936" s="115">
        <f>K2914</f>
        <v>7734.73</v>
      </c>
      <c r="J2936" s="116" t="s">
        <v>5</v>
      </c>
      <c r="K2936" s="115">
        <f>F2936*I2936</f>
        <v>278.45</v>
      </c>
    </row>
    <row r="2937" spans="6:11" ht="56.25" customHeight="1">
      <c r="F2937" s="118">
        <v>3.0649999999999999</v>
      </c>
      <c r="G2937" s="116" t="s">
        <v>476</v>
      </c>
      <c r="H2937" s="184" t="s">
        <v>4809</v>
      </c>
      <c r="I2937" s="115">
        <f>K1582/1000</f>
        <v>92.26</v>
      </c>
      <c r="J2937" s="116" t="s">
        <v>476</v>
      </c>
      <c r="K2937" s="115">
        <f>F2937*I2937</f>
        <v>282.77999999999997</v>
      </c>
    </row>
    <row r="2938" spans="6:11" ht="24" customHeight="1">
      <c r="F2938" s="118">
        <v>0.79800000000000004</v>
      </c>
      <c r="G2938" s="116" t="s">
        <v>468</v>
      </c>
      <c r="H2938" s="115" t="s">
        <v>4810</v>
      </c>
      <c r="I2938" s="115">
        <f>I2358</f>
        <v>1178.5</v>
      </c>
      <c r="J2938" s="116" t="s">
        <v>468</v>
      </c>
      <c r="K2938" s="115">
        <f>F2938*I2938</f>
        <v>940.44</v>
      </c>
    </row>
    <row r="2939" spans="6:11" ht="24" customHeight="1">
      <c r="H2939" s="305" t="s">
        <v>4811</v>
      </c>
      <c r="I2939" s="114"/>
      <c r="J2939" s="305" t="s">
        <v>3192</v>
      </c>
      <c r="K2939" s="114">
        <f>SUM(K2936:K2938)</f>
        <v>1501.67</v>
      </c>
    </row>
    <row r="2940" spans="6:11" ht="24" customHeight="1">
      <c r="F2940" s="224"/>
      <c r="H2940" s="305" t="s">
        <v>4509</v>
      </c>
      <c r="J2940" s="305" t="s">
        <v>3192</v>
      </c>
      <c r="K2940" s="114">
        <f>K2939/2.1</f>
        <v>715.08</v>
      </c>
    </row>
    <row r="2941" spans="6:11" ht="24" customHeight="1">
      <c r="F2941" s="118"/>
      <c r="J2941" s="116"/>
    </row>
    <row r="2945" spans="6:11" ht="24" customHeight="1">
      <c r="H2945" s="114" t="s">
        <v>4813</v>
      </c>
    </row>
    <row r="2946" spans="6:11" ht="24" customHeight="1">
      <c r="F2946" s="224">
        <v>3.5999999999999997E-2</v>
      </c>
      <c r="G2946" s="116" t="s">
        <v>5</v>
      </c>
      <c r="H2946" s="115" t="s">
        <v>4808</v>
      </c>
      <c r="I2946" s="115">
        <f>K2915</f>
        <v>7980.91</v>
      </c>
      <c r="J2946" s="116" t="s">
        <v>5</v>
      </c>
      <c r="K2946" s="115">
        <f>F2946*I2946</f>
        <v>287.31</v>
      </c>
    </row>
    <row r="2947" spans="6:11" ht="24" customHeight="1">
      <c r="F2947" s="118">
        <v>3.0649999999999999</v>
      </c>
      <c r="G2947" s="116" t="s">
        <v>476</v>
      </c>
      <c r="H2947" s="184" t="s">
        <v>4809</v>
      </c>
      <c r="I2947" s="115">
        <f>I2928</f>
        <v>92.26</v>
      </c>
      <c r="J2947" s="116" t="s">
        <v>476</v>
      </c>
      <c r="K2947" s="115">
        <f>F2947*I2947</f>
        <v>282.77999999999997</v>
      </c>
    </row>
    <row r="2948" spans="6:11" ht="24" customHeight="1">
      <c r="F2948" s="118">
        <v>0.79800000000000004</v>
      </c>
      <c r="G2948" s="116" t="s">
        <v>468</v>
      </c>
      <c r="H2948" s="115" t="s">
        <v>4810</v>
      </c>
      <c r="I2948" s="115">
        <f>I2929</f>
        <v>1178.5</v>
      </c>
      <c r="J2948" s="116" t="s">
        <v>468</v>
      </c>
      <c r="K2948" s="115">
        <f>F2948*I2948</f>
        <v>940.44</v>
      </c>
    </row>
    <row r="2949" spans="6:11" ht="24" customHeight="1">
      <c r="H2949" s="305" t="s">
        <v>4811</v>
      </c>
      <c r="I2949" s="114"/>
      <c r="J2949" s="305" t="s">
        <v>3192</v>
      </c>
      <c r="K2949" s="114">
        <f>SUM(K2946:K2948)</f>
        <v>1510.53</v>
      </c>
    </row>
    <row r="2950" spans="6:11" ht="24" customHeight="1">
      <c r="F2950" s="224"/>
      <c r="H2950" s="305" t="s">
        <v>4509</v>
      </c>
      <c r="J2950" s="305" t="s">
        <v>3192</v>
      </c>
      <c r="K2950" s="114">
        <f>K2949/2.1</f>
        <v>719.3</v>
      </c>
    </row>
    <row r="2951" spans="6:11" ht="24" customHeight="1">
      <c r="F2951" s="118"/>
      <c r="J2951" s="116"/>
    </row>
    <row r="2954" spans="6:11" ht="24" customHeight="1">
      <c r="H2954" s="114" t="s">
        <v>4814</v>
      </c>
    </row>
    <row r="2955" spans="6:11" ht="24" customHeight="1">
      <c r="F2955" s="224">
        <v>3.5999999999999997E-2</v>
      </c>
      <c r="G2955" s="116" t="s">
        <v>5</v>
      </c>
      <c r="H2955" s="115" t="s">
        <v>4808</v>
      </c>
      <c r="I2955" s="115">
        <f>K2916</f>
        <v>8227.09</v>
      </c>
      <c r="J2955" s="116" t="s">
        <v>5</v>
      </c>
      <c r="K2955" s="115">
        <f>F2955*I2955</f>
        <v>296.18</v>
      </c>
    </row>
    <row r="2956" spans="6:11" ht="24" customHeight="1">
      <c r="F2956" s="118">
        <v>3.0649999999999999</v>
      </c>
      <c r="G2956" s="116" t="s">
        <v>476</v>
      </c>
      <c r="H2956" s="184" t="s">
        <v>4809</v>
      </c>
      <c r="I2956" s="115">
        <f>I2947</f>
        <v>92.26</v>
      </c>
      <c r="J2956" s="116" t="s">
        <v>476</v>
      </c>
      <c r="K2956" s="115">
        <f>F2956*I2956</f>
        <v>282.77999999999997</v>
      </c>
    </row>
    <row r="2957" spans="6:11" ht="24" customHeight="1">
      <c r="F2957" s="118">
        <v>0.79800000000000004</v>
      </c>
      <c r="G2957" s="116" t="s">
        <v>468</v>
      </c>
      <c r="H2957" s="115" t="s">
        <v>4810</v>
      </c>
      <c r="I2957" s="115">
        <f>I2948</f>
        <v>1178.5</v>
      </c>
      <c r="J2957" s="116" t="s">
        <v>468</v>
      </c>
      <c r="K2957" s="115">
        <f>F2957*I2957</f>
        <v>940.44</v>
      </c>
    </row>
    <row r="2958" spans="6:11" ht="24" customHeight="1">
      <c r="H2958" s="305" t="s">
        <v>4811</v>
      </c>
      <c r="I2958" s="114"/>
      <c r="J2958" s="305" t="s">
        <v>3192</v>
      </c>
      <c r="K2958" s="114">
        <f>SUM(K2955:K2957)</f>
        <v>1519.4</v>
      </c>
    </row>
    <row r="2959" spans="6:11" ht="24" customHeight="1">
      <c r="F2959" s="224"/>
      <c r="H2959" s="305" t="s">
        <v>4509</v>
      </c>
      <c r="J2959" s="305" t="s">
        <v>3192</v>
      </c>
      <c r="K2959" s="114">
        <f>K2958/2.1</f>
        <v>723.52</v>
      </c>
    </row>
    <row r="2960" spans="6:11" ht="24" customHeight="1">
      <c r="F2960" s="118"/>
      <c r="J2960" s="116"/>
    </row>
    <row r="2961" spans="6:15" ht="24" customHeight="1">
      <c r="J2961" s="119"/>
    </row>
    <row r="2962" spans="6:15" ht="24" customHeight="1">
      <c r="J2962" s="119"/>
    </row>
    <row r="2963" spans="6:15" ht="24" customHeight="1">
      <c r="I2963" s="115">
        <f>160*10.76</f>
        <v>1721.6</v>
      </c>
      <c r="J2963" s="119"/>
    </row>
    <row r="2964" spans="6:15" ht="24" customHeight="1">
      <c r="F2964" s="121" t="s">
        <v>1306</v>
      </c>
      <c r="G2964" s="126" t="s">
        <v>111</v>
      </c>
      <c r="H2964" s="120" t="s">
        <v>4773</v>
      </c>
      <c r="I2964" s="115">
        <f>148*10.76</f>
        <v>1592.48</v>
      </c>
      <c r="J2964" s="119"/>
    </row>
    <row r="2965" spans="6:15" ht="24" customHeight="1">
      <c r="H2965" s="120" t="s">
        <v>1309</v>
      </c>
      <c r="J2965" s="119"/>
    </row>
    <row r="2966" spans="6:15" ht="24" customHeight="1">
      <c r="H2966" s="120" t="s">
        <v>1365</v>
      </c>
      <c r="J2966" s="119"/>
    </row>
    <row r="2967" spans="6:15" ht="24" customHeight="1">
      <c r="H2967" s="123" t="s">
        <v>52</v>
      </c>
      <c r="I2967" s="224">
        <f>1.4*2.025</f>
        <v>2.835</v>
      </c>
      <c r="J2967" s="119"/>
    </row>
    <row r="2968" spans="6:15" ht="24" customHeight="1">
      <c r="H2968" s="120" t="s">
        <v>4815</v>
      </c>
      <c r="J2968" s="119"/>
    </row>
    <row r="2969" spans="6:15" ht="24" customHeight="1">
      <c r="J2969" s="119"/>
    </row>
    <row r="2970" spans="6:15" ht="24" customHeight="1">
      <c r="F2970" s="118">
        <v>1.64</v>
      </c>
      <c r="G2970" s="126" t="s">
        <v>425</v>
      </c>
      <c r="H2970" s="176" t="s">
        <v>4816</v>
      </c>
      <c r="I2970" s="480">
        <f>I2834</f>
        <v>2180</v>
      </c>
      <c r="J2970" s="121" t="s">
        <v>425</v>
      </c>
      <c r="K2970" s="115">
        <f>F2971*I2970</f>
        <v>3575.2</v>
      </c>
    </row>
    <row r="2971" spans="6:15" ht="44.25" customHeight="1">
      <c r="F2971" s="142">
        <v>1.64</v>
      </c>
      <c r="G2971" s="126" t="s">
        <v>425</v>
      </c>
      <c r="H2971" s="120" t="s">
        <v>1340</v>
      </c>
      <c r="I2971" s="115">
        <f t="shared" ref="I2971:I2977" si="275">I2835</f>
        <v>223.3</v>
      </c>
      <c r="J2971" s="121" t="s">
        <v>425</v>
      </c>
      <c r="K2971" s="129">
        <f t="shared" ref="K2971:K2977" si="276">(F2971*I2971)</f>
        <v>366.21</v>
      </c>
      <c r="O2971" s="120" t="s">
        <v>4773</v>
      </c>
    </row>
    <row r="2972" spans="6:15" ht="24" customHeight="1">
      <c r="F2972" s="129">
        <v>2</v>
      </c>
      <c r="G2972" s="126" t="s">
        <v>237</v>
      </c>
      <c r="H2972" s="120" t="s">
        <v>1342</v>
      </c>
      <c r="I2972" s="115">
        <f t="shared" si="275"/>
        <v>57.65</v>
      </c>
      <c r="J2972" s="121" t="s">
        <v>131</v>
      </c>
      <c r="K2972" s="129">
        <f t="shared" si="276"/>
        <v>115.3</v>
      </c>
      <c r="O2972" s="120" t="s">
        <v>1309</v>
      </c>
    </row>
    <row r="2973" spans="6:15" ht="24" customHeight="1">
      <c r="F2973" s="129">
        <v>3</v>
      </c>
      <c r="G2973" s="126" t="s">
        <v>131</v>
      </c>
      <c r="H2973" s="120" t="s">
        <v>1344</v>
      </c>
      <c r="I2973" s="115">
        <f t="shared" si="275"/>
        <v>89.6</v>
      </c>
      <c r="J2973" s="121" t="s">
        <v>131</v>
      </c>
      <c r="K2973" s="129">
        <f t="shared" si="276"/>
        <v>268.8</v>
      </c>
      <c r="O2973" s="120" t="s">
        <v>4817</v>
      </c>
    </row>
    <row r="2974" spans="6:15" ht="24" customHeight="1">
      <c r="F2974" s="129">
        <v>2</v>
      </c>
      <c r="G2974" s="126" t="s">
        <v>131</v>
      </c>
      <c r="H2974" s="120" t="s">
        <v>1346</v>
      </c>
      <c r="I2974" s="115">
        <f t="shared" si="275"/>
        <v>64.8</v>
      </c>
      <c r="J2974" s="121" t="s">
        <v>131</v>
      </c>
      <c r="K2974" s="129">
        <f t="shared" si="276"/>
        <v>129.6</v>
      </c>
      <c r="O2974" s="123" t="s">
        <v>52</v>
      </c>
    </row>
    <row r="2975" spans="6:15" ht="24" customHeight="1">
      <c r="F2975" s="129">
        <v>1</v>
      </c>
      <c r="G2975" s="126" t="s">
        <v>131</v>
      </c>
      <c r="H2975" s="120" t="s">
        <v>1348</v>
      </c>
      <c r="I2975" s="115">
        <f t="shared" si="275"/>
        <v>181</v>
      </c>
      <c r="J2975" s="121" t="s">
        <v>131</v>
      </c>
      <c r="K2975" s="129">
        <f t="shared" si="276"/>
        <v>181</v>
      </c>
      <c r="L2975" s="115" t="s">
        <v>85</v>
      </c>
      <c r="O2975" s="120" t="s">
        <v>4818</v>
      </c>
    </row>
    <row r="2976" spans="6:15" ht="24" customHeight="1">
      <c r="F2976" s="129">
        <v>1</v>
      </c>
      <c r="G2976" s="126" t="s">
        <v>131</v>
      </c>
      <c r="H2976" s="120" t="s">
        <v>1350</v>
      </c>
      <c r="I2976" s="115">
        <f t="shared" si="275"/>
        <v>7.3</v>
      </c>
      <c r="J2976" s="121" t="s">
        <v>131</v>
      </c>
      <c r="K2976" s="129">
        <f t="shared" si="276"/>
        <v>7.3</v>
      </c>
    </row>
    <row r="2977" spans="6:18" ht="24" customHeight="1">
      <c r="F2977" s="129">
        <v>1</v>
      </c>
      <c r="G2977" s="126" t="s">
        <v>131</v>
      </c>
      <c r="H2977" s="120" t="s">
        <v>455</v>
      </c>
      <c r="I2977" s="115">
        <f t="shared" si="275"/>
        <v>49.55</v>
      </c>
      <c r="J2977" s="121" t="s">
        <v>131</v>
      </c>
      <c r="K2977" s="129">
        <f t="shared" si="276"/>
        <v>49.55</v>
      </c>
      <c r="M2977" s="118">
        <v>2.2549999999999999</v>
      </c>
      <c r="N2977" s="126" t="s">
        <v>425</v>
      </c>
      <c r="O2977" s="176" t="s">
        <v>4816</v>
      </c>
      <c r="P2977" s="115">
        <f>I2970</f>
        <v>2180</v>
      </c>
      <c r="Q2977" s="121" t="s">
        <v>425</v>
      </c>
      <c r="R2977" s="115">
        <f>M2978*P2977</f>
        <v>4915.8999999999996</v>
      </c>
    </row>
    <row r="2978" spans="6:18" ht="39.75" customHeight="1">
      <c r="J2978" s="119"/>
      <c r="K2978" s="240">
        <v>0.63</v>
      </c>
      <c r="M2978" s="142">
        <v>2.2549999999999999</v>
      </c>
      <c r="N2978" s="126" t="s">
        <v>425</v>
      </c>
      <c r="O2978" s="120" t="s">
        <v>1340</v>
      </c>
      <c r="P2978" s="115">
        <f t="shared" ref="P2978:P2984" si="277">I2971</f>
        <v>223.3</v>
      </c>
      <c r="Q2978" s="121" t="s">
        <v>425</v>
      </c>
      <c r="R2978" s="129">
        <f t="shared" ref="R2978:R2984" si="278">(M2978*P2978)</f>
        <v>503.54</v>
      </c>
    </row>
    <row r="2979" spans="6:18" ht="24" customHeight="1">
      <c r="H2979" s="120" t="s">
        <v>4819</v>
      </c>
      <c r="J2979" s="119"/>
      <c r="K2979" s="129">
        <f>SUM(K2970:K2978)</f>
        <v>4693.59</v>
      </c>
      <c r="M2979" s="129">
        <v>2</v>
      </c>
      <c r="N2979" s="126" t="s">
        <v>237</v>
      </c>
      <c r="O2979" s="120" t="s">
        <v>1342</v>
      </c>
      <c r="P2979" s="115">
        <f t="shared" si="277"/>
        <v>57.65</v>
      </c>
      <c r="Q2979" s="121" t="s">
        <v>131</v>
      </c>
      <c r="R2979" s="129">
        <f t="shared" si="278"/>
        <v>115.3</v>
      </c>
    </row>
    <row r="2980" spans="6:18" ht="24" customHeight="1">
      <c r="J2980" s="119"/>
      <c r="K2980" s="123" t="s">
        <v>52</v>
      </c>
      <c r="M2980" s="129">
        <v>3</v>
      </c>
      <c r="N2980" s="126" t="s">
        <v>131</v>
      </c>
      <c r="O2980" s="120" t="s">
        <v>1344</v>
      </c>
      <c r="P2980" s="115">
        <f t="shared" si="277"/>
        <v>89.6</v>
      </c>
      <c r="Q2980" s="121" t="s">
        <v>131</v>
      </c>
      <c r="R2980" s="129">
        <f t="shared" si="278"/>
        <v>268.8</v>
      </c>
    </row>
    <row r="2981" spans="6:18" ht="24" customHeight="1">
      <c r="H2981" s="120" t="s">
        <v>460</v>
      </c>
      <c r="J2981" s="119"/>
      <c r="K2981" s="129">
        <f>K2979/F2971</f>
        <v>2861.95</v>
      </c>
      <c r="M2981" s="129">
        <v>2</v>
      </c>
      <c r="N2981" s="126" t="s">
        <v>131</v>
      </c>
      <c r="O2981" s="120" t="s">
        <v>1346</v>
      </c>
      <c r="P2981" s="115">
        <f t="shared" si="277"/>
        <v>64.8</v>
      </c>
      <c r="Q2981" s="121" t="s">
        <v>131</v>
      </c>
      <c r="R2981" s="129">
        <f t="shared" si="278"/>
        <v>129.6</v>
      </c>
    </row>
    <row r="2982" spans="6:18" ht="24" customHeight="1">
      <c r="F2982" s="120" t="s">
        <v>85</v>
      </c>
      <c r="J2982" s="119"/>
      <c r="M2982" s="129">
        <v>1</v>
      </c>
      <c r="N2982" s="126" t="s">
        <v>131</v>
      </c>
      <c r="O2982" s="120" t="s">
        <v>1348</v>
      </c>
      <c r="P2982" s="115">
        <f t="shared" si="277"/>
        <v>181</v>
      </c>
      <c r="Q2982" s="121" t="s">
        <v>131</v>
      </c>
      <c r="R2982" s="129">
        <f t="shared" si="278"/>
        <v>181</v>
      </c>
    </row>
    <row r="2983" spans="6:18" ht="24" customHeight="1">
      <c r="J2983" s="119"/>
      <c r="M2983" s="129">
        <v>1</v>
      </c>
      <c r="N2983" s="126" t="s">
        <v>131</v>
      </c>
      <c r="O2983" s="120" t="s">
        <v>1350</v>
      </c>
      <c r="P2983" s="115">
        <f t="shared" si="277"/>
        <v>7.3</v>
      </c>
      <c r="Q2983" s="121" t="s">
        <v>131</v>
      </c>
      <c r="R2983" s="129">
        <f t="shared" si="278"/>
        <v>7.3</v>
      </c>
    </row>
    <row r="2984" spans="6:18" ht="24" customHeight="1">
      <c r="F2984" s="325" t="s">
        <v>4820</v>
      </c>
      <c r="G2984" s="320"/>
      <c r="H2984" s="325"/>
      <c r="I2984" s="325"/>
      <c r="J2984" s="458"/>
      <c r="K2984" s="325"/>
      <c r="M2984" s="129">
        <v>1</v>
      </c>
      <c r="N2984" s="126" t="s">
        <v>131</v>
      </c>
      <c r="O2984" s="120" t="s">
        <v>455</v>
      </c>
      <c r="P2984" s="115">
        <f t="shared" si="277"/>
        <v>49.55</v>
      </c>
      <c r="Q2984" s="121" t="s">
        <v>131</v>
      </c>
      <c r="R2984" s="129">
        <f t="shared" si="278"/>
        <v>49.55</v>
      </c>
    </row>
    <row r="2985" spans="6:18" ht="24" customHeight="1">
      <c r="F2985" s="325"/>
      <c r="G2985" s="320"/>
      <c r="H2985" s="325"/>
      <c r="I2985" s="325"/>
      <c r="J2985" s="458"/>
      <c r="K2985" s="325"/>
      <c r="N2985" s="116"/>
      <c r="Q2985" s="119"/>
      <c r="R2985" s="123" t="s">
        <v>52</v>
      </c>
    </row>
    <row r="2986" spans="6:18" ht="24" customHeight="1">
      <c r="F2986" s="325" t="s">
        <v>4821</v>
      </c>
      <c r="G2986" s="320"/>
      <c r="H2986" s="325"/>
      <c r="I2986" s="325"/>
      <c r="J2986" s="458"/>
      <c r="K2986" s="325"/>
      <c r="N2986" s="116"/>
      <c r="O2986" s="120" t="s">
        <v>4822</v>
      </c>
      <c r="Q2986" s="119"/>
      <c r="R2986" s="129">
        <f>SUM(R2977:R2984)+0.17</f>
        <v>6171.16</v>
      </c>
    </row>
    <row r="2987" spans="6:18" ht="24" customHeight="1">
      <c r="F2987" s="325"/>
      <c r="G2987" s="320"/>
      <c r="H2987" s="325"/>
      <c r="I2987" s="325"/>
      <c r="J2987" s="458"/>
      <c r="K2987" s="325"/>
      <c r="N2987" s="116"/>
      <c r="Q2987" s="119"/>
      <c r="R2987" s="123" t="s">
        <v>52</v>
      </c>
    </row>
    <row r="2988" spans="6:18" ht="24" customHeight="1">
      <c r="F2988" s="325"/>
      <c r="G2988" s="476">
        <v>0.99350000000000005</v>
      </c>
      <c r="H2988" s="325" t="s">
        <v>5</v>
      </c>
      <c r="I2988" s="325"/>
      <c r="J2988" s="458"/>
      <c r="K2988" s="325"/>
      <c r="N2988" s="116"/>
      <c r="O2988" s="120" t="s">
        <v>460</v>
      </c>
      <c r="Q2988" s="119"/>
      <c r="R2988" s="129">
        <f>R2986/M2978</f>
        <v>2736.66</v>
      </c>
    </row>
    <row r="2989" spans="6:18" ht="24" customHeight="1">
      <c r="F2989" s="325"/>
      <c r="G2989" s="320"/>
      <c r="H2989" s="325"/>
      <c r="I2989" s="325"/>
      <c r="J2989" s="458"/>
      <c r="K2989" s="325"/>
    </row>
    <row r="2990" spans="6:18" ht="24" customHeight="1">
      <c r="F2990" s="344" t="s">
        <v>4749</v>
      </c>
      <c r="G2990" s="320"/>
      <c r="H2990" s="325"/>
      <c r="I2990" s="325"/>
      <c r="J2990" s="458"/>
      <c r="K2990" s="325"/>
    </row>
    <row r="2991" spans="6:18" ht="24" customHeight="1">
      <c r="F2991" s="325"/>
      <c r="G2991" s="320"/>
      <c r="H2991" s="325"/>
      <c r="I2991" s="325"/>
      <c r="J2991" s="458"/>
      <c r="K2991" s="325"/>
    </row>
    <row r="2992" spans="6:18" ht="24" customHeight="1">
      <c r="F2992" s="477">
        <v>0.42</v>
      </c>
      <c r="G2992" s="320" t="s">
        <v>5</v>
      </c>
      <c r="H2992" s="325" t="s">
        <v>4823</v>
      </c>
      <c r="I2992" s="325">
        <f>K817</f>
        <v>8648.2999999999993</v>
      </c>
      <c r="J2992" s="461" t="s">
        <v>5</v>
      </c>
      <c r="K2992" s="325">
        <f>F2992*I2992</f>
        <v>3632.29</v>
      </c>
    </row>
    <row r="2993" spans="6:11" ht="24" customHeight="1">
      <c r="F2993" s="325">
        <v>0.25</v>
      </c>
      <c r="G2993" s="320" t="s">
        <v>1034</v>
      </c>
      <c r="H2993" s="325" t="s">
        <v>42</v>
      </c>
      <c r="I2993" s="325">
        <f>C11</f>
        <v>972.4</v>
      </c>
      <c r="J2993" s="461" t="s">
        <v>729</v>
      </c>
      <c r="K2993" s="325">
        <f>F2993*I2993</f>
        <v>243.1</v>
      </c>
    </row>
    <row r="2994" spans="6:11" ht="24" customHeight="1">
      <c r="F2994" s="325">
        <v>3.5</v>
      </c>
      <c r="G2994" s="320" t="s">
        <v>41</v>
      </c>
      <c r="H2994" s="325" t="s">
        <v>2199</v>
      </c>
      <c r="I2994" s="325">
        <f>C12</f>
        <v>679.8</v>
      </c>
      <c r="J2994" s="461" t="s">
        <v>729</v>
      </c>
      <c r="K2994" s="325">
        <f>F2994*I2994</f>
        <v>2379.3000000000002</v>
      </c>
    </row>
    <row r="2995" spans="6:11" ht="24" customHeight="1">
      <c r="F2995" s="478">
        <v>32.1</v>
      </c>
      <c r="G2995" s="479" t="s">
        <v>39</v>
      </c>
      <c r="H2995" s="478" t="s">
        <v>4824</v>
      </c>
      <c r="I2995" s="325"/>
      <c r="J2995" s="461"/>
      <c r="K2995" s="325">
        <f>(F2995*I2995)/1000</f>
        <v>0</v>
      </c>
    </row>
    <row r="2996" spans="6:11" ht="24" customHeight="1">
      <c r="F2996" s="325"/>
      <c r="G2996" s="325" t="s">
        <v>4754</v>
      </c>
      <c r="H2996" s="325" t="s">
        <v>4755</v>
      </c>
      <c r="I2996" s="325"/>
      <c r="J2996" s="461" t="s">
        <v>2120</v>
      </c>
      <c r="K2996" s="325">
        <f>(K2993+K2994)*10%</f>
        <v>262.24</v>
      </c>
    </row>
    <row r="2997" spans="6:11" ht="24" customHeight="1">
      <c r="F2997" s="325"/>
      <c r="G2997" s="320"/>
      <c r="H2997" s="325"/>
      <c r="I2997" s="325"/>
      <c r="J2997" s="458"/>
      <c r="K2997" s="325" t="s">
        <v>4757</v>
      </c>
    </row>
    <row r="2998" spans="6:11" ht="24" customHeight="1">
      <c r="F2998" s="325"/>
      <c r="G2998" s="320"/>
      <c r="H2998" s="325"/>
      <c r="I2998" s="325"/>
      <c r="J2998" s="458"/>
      <c r="K2998" s="325"/>
    </row>
    <row r="2999" spans="6:11" ht="24" customHeight="1">
      <c r="F2999" s="325"/>
      <c r="G2999" s="320"/>
      <c r="H2999" s="325"/>
      <c r="I2999" s="325" t="s">
        <v>4825</v>
      </c>
      <c r="J2999" s="458"/>
      <c r="K2999" s="325">
        <f>SUM(K2992:K2996)</f>
        <v>6516.93</v>
      </c>
    </row>
    <row r="3000" spans="6:11" ht="24" customHeight="1">
      <c r="F3000" s="325"/>
      <c r="G3000" s="320"/>
      <c r="H3000" s="325"/>
      <c r="I3000" s="325"/>
      <c r="J3000" s="458"/>
      <c r="K3000" s="325"/>
    </row>
    <row r="3001" spans="6:11" ht="24" customHeight="1">
      <c r="F3001" s="325"/>
      <c r="G3001" s="320"/>
      <c r="H3001" s="325"/>
      <c r="I3001" s="325" t="s">
        <v>4759</v>
      </c>
      <c r="J3001" s="458"/>
      <c r="K3001" s="325">
        <f>K2999/3.5</f>
        <v>1861.98</v>
      </c>
    </row>
    <row r="3002" spans="6:11" ht="24" customHeight="1">
      <c r="F3002" s="325"/>
      <c r="G3002" s="447" t="s">
        <v>4826</v>
      </c>
      <c r="H3002" s="325"/>
      <c r="I3002" s="325"/>
      <c r="J3002" s="458"/>
      <c r="K3002" s="325"/>
    </row>
    <row r="3003" spans="6:11" ht="24" customHeight="1">
      <c r="J3003" s="119"/>
    </row>
    <row r="3004" spans="6:11" ht="24" customHeight="1">
      <c r="F3004" s="115">
        <v>1</v>
      </c>
      <c r="G3004" s="320" t="s">
        <v>5</v>
      </c>
      <c r="H3004" s="115" t="s">
        <v>276</v>
      </c>
      <c r="I3004" s="115">
        <f>AC38</f>
        <v>356.78</v>
      </c>
      <c r="J3004" s="461" t="s">
        <v>5</v>
      </c>
      <c r="K3004" s="325">
        <f>F3004*I3004</f>
        <v>356.78</v>
      </c>
    </row>
    <row r="3005" spans="6:11" ht="42" customHeight="1">
      <c r="F3005" s="115">
        <v>1</v>
      </c>
      <c r="G3005" s="320" t="s">
        <v>5</v>
      </c>
      <c r="H3005" s="115" t="s">
        <v>4827</v>
      </c>
      <c r="I3005" s="115">
        <f>AE28</f>
        <v>40.65</v>
      </c>
      <c r="J3005" s="461" t="s">
        <v>5</v>
      </c>
      <c r="K3005" s="325">
        <f>F3005*I3005</f>
        <v>40.65</v>
      </c>
    </row>
    <row r="3006" spans="6:11" ht="24" customHeight="1">
      <c r="J3006" s="119"/>
      <c r="K3006" s="114">
        <f>SUM(K3004:K3005)</f>
        <v>397.43</v>
      </c>
    </row>
    <row r="3008" spans="6:11" ht="24" customHeight="1">
      <c r="H3008" s="116" t="s">
        <v>4828</v>
      </c>
      <c r="I3008" s="360"/>
      <c r="J3008" s="119"/>
    </row>
    <row r="3009" spans="8:11" ht="36" customHeight="1">
      <c r="H3009" s="360" t="s">
        <v>4829</v>
      </c>
      <c r="I3009" s="115">
        <v>1020</v>
      </c>
      <c r="J3009" s="119" t="s">
        <v>2847</v>
      </c>
      <c r="K3009" s="162">
        <f>I3009</f>
        <v>1020</v>
      </c>
    </row>
    <row r="3010" spans="8:11" ht="32.25" customHeight="1">
      <c r="J3010" s="119"/>
      <c r="K3010" s="232"/>
    </row>
    <row r="3011" spans="8:11" ht="24" customHeight="1">
      <c r="J3011" s="119"/>
      <c r="K3011" s="232"/>
    </row>
    <row r="3012" spans="8:11" ht="24" customHeight="1">
      <c r="H3012" s="115" t="s">
        <v>4830</v>
      </c>
      <c r="I3012" s="401">
        <v>494.7</v>
      </c>
      <c r="J3012" s="119" t="s">
        <v>2847</v>
      </c>
      <c r="K3012" s="162">
        <f>I3012</f>
        <v>494.7</v>
      </c>
    </row>
    <row r="3013" spans="8:11" ht="24" customHeight="1">
      <c r="I3013" s="162"/>
      <c r="J3013" s="119"/>
      <c r="K3013" s="162"/>
    </row>
    <row r="3014" spans="8:11" ht="24" customHeight="1">
      <c r="H3014" s="115" t="s">
        <v>4831</v>
      </c>
      <c r="I3014" s="401">
        <v>398.3</v>
      </c>
      <c r="J3014" s="119" t="s">
        <v>2847</v>
      </c>
      <c r="K3014" s="162">
        <f>I3014</f>
        <v>398.3</v>
      </c>
    </row>
    <row r="3015" spans="8:11" ht="24" customHeight="1">
      <c r="J3015" s="119"/>
      <c r="K3015" s="162"/>
    </row>
    <row r="3016" spans="8:11" ht="24" customHeight="1">
      <c r="H3016" s="115" t="s">
        <v>4832</v>
      </c>
      <c r="J3016" s="119"/>
      <c r="K3016" s="232"/>
    </row>
    <row r="3017" spans="8:11" ht="24" customHeight="1">
      <c r="H3017" s="115" t="s">
        <v>4833</v>
      </c>
      <c r="I3017" s="401">
        <v>995</v>
      </c>
      <c r="J3017" s="119" t="s">
        <v>2847</v>
      </c>
      <c r="K3017" s="162">
        <f>I3017</f>
        <v>995</v>
      </c>
    </row>
    <row r="3018" spans="8:11" ht="24" customHeight="1">
      <c r="H3018" s="120" t="s">
        <v>4834</v>
      </c>
      <c r="I3018" s="402">
        <f>K2291</f>
        <v>2149.15</v>
      </c>
      <c r="J3018" s="119"/>
      <c r="K3018" s="402">
        <f>I3018</f>
        <v>2149.15</v>
      </c>
    </row>
    <row r="3019" spans="8:11" ht="24" customHeight="1">
      <c r="J3019" s="119"/>
    </row>
    <row r="3020" spans="8:11" ht="24" customHeight="1">
      <c r="J3020" s="119"/>
    </row>
    <row r="3021" spans="8:11" ht="44.25" customHeight="1">
      <c r="J3021" s="119"/>
    </row>
    <row r="3022" spans="8:11" ht="68.25" customHeight="1">
      <c r="J3022" s="119"/>
    </row>
    <row r="3023" spans="8:11" ht="24" customHeight="1">
      <c r="I3023" s="232"/>
      <c r="J3023" s="119"/>
    </row>
    <row r="3024" spans="8:11" ht="24" customHeight="1">
      <c r="J3024" s="119"/>
    </row>
    <row r="3025" spans="8:11" ht="24" customHeight="1">
      <c r="H3025" s="213"/>
      <c r="J3025" s="119"/>
    </row>
    <row r="3026" spans="8:11" ht="24" customHeight="1">
      <c r="J3026" s="119"/>
    </row>
    <row r="3027" spans="8:11" ht="24" customHeight="1">
      <c r="H3027" s="305"/>
      <c r="I3027" s="114"/>
      <c r="J3027" s="166"/>
      <c r="K3027" s="114"/>
    </row>
    <row r="3030" spans="8:11" ht="24" customHeight="1">
      <c r="H3030" s="115" t="s">
        <v>4835</v>
      </c>
    </row>
    <row r="3031" spans="8:11" ht="24" customHeight="1">
      <c r="H3031" s="115" t="s">
        <v>4836</v>
      </c>
      <c r="J3031" s="117" t="s">
        <v>729</v>
      </c>
      <c r="K3031" s="406">
        <v>130</v>
      </c>
    </row>
    <row r="3033" spans="8:11" ht="24" customHeight="1">
      <c r="H3033" s="115" t="s">
        <v>4837</v>
      </c>
      <c r="J3033" s="117" t="s">
        <v>729</v>
      </c>
      <c r="K3033" s="406">
        <v>170</v>
      </c>
    </row>
    <row r="3036" spans="8:11" ht="24" customHeight="1">
      <c r="H3036" s="120" t="s">
        <v>4838</v>
      </c>
      <c r="J3036" s="117" t="s">
        <v>729</v>
      </c>
      <c r="K3036" s="299">
        <v>443</v>
      </c>
    </row>
    <row r="3038" spans="8:11" ht="24" customHeight="1">
      <c r="H3038" s="176" t="s">
        <v>4839</v>
      </c>
      <c r="J3038" s="117" t="s">
        <v>729</v>
      </c>
      <c r="K3038" s="129">
        <f>Elec.Data!K936</f>
        <v>1552.7</v>
      </c>
    </row>
    <row r="3039" spans="8:11" ht="45" customHeight="1"/>
    <row r="3041" spans="6:17" ht="41.25" customHeight="1">
      <c r="H3041" s="115" t="s">
        <v>4832</v>
      </c>
      <c r="J3041" s="117" t="s">
        <v>729</v>
      </c>
      <c r="K3041" s="232">
        <f>K3017</f>
        <v>995</v>
      </c>
    </row>
    <row r="3042" spans="6:17" ht="24" customHeight="1">
      <c r="H3042" s="115" t="s">
        <v>4840</v>
      </c>
    </row>
    <row r="3044" spans="6:17" ht="24" customHeight="1">
      <c r="F3044" s="115">
        <v>0.5</v>
      </c>
      <c r="H3044" s="115" t="s">
        <v>4841</v>
      </c>
      <c r="J3044" s="117">
        <f>C15</f>
        <v>903.1</v>
      </c>
      <c r="K3044" s="115">
        <f>J3044*F3044</f>
        <v>451.55</v>
      </c>
    </row>
    <row r="3045" spans="6:17" ht="24" customHeight="1">
      <c r="F3045" s="115">
        <v>0.5</v>
      </c>
      <c r="H3045" s="115" t="s">
        <v>2199</v>
      </c>
      <c r="J3045" s="117">
        <f>C12</f>
        <v>679.8</v>
      </c>
      <c r="K3045" s="115">
        <f>J3045*F3045</f>
        <v>339.9</v>
      </c>
    </row>
    <row r="3046" spans="6:17" ht="24" customHeight="1">
      <c r="I3046" s="1824" t="s">
        <v>2400</v>
      </c>
      <c r="J3046" s="1824"/>
      <c r="K3046" s="114">
        <f>SUM(K3041:K3045)</f>
        <v>1786.45</v>
      </c>
    </row>
    <row r="3049" spans="6:17" ht="24" customHeight="1">
      <c r="F3049" s="121" t="s">
        <v>1306</v>
      </c>
      <c r="G3049" s="126" t="s">
        <v>111</v>
      </c>
      <c r="H3049" s="120" t="s">
        <v>4773</v>
      </c>
      <c r="J3049" s="119"/>
    </row>
    <row r="3050" spans="6:17" ht="24" customHeight="1">
      <c r="H3050" s="120" t="s">
        <v>1309</v>
      </c>
      <c r="J3050" s="119"/>
    </row>
    <row r="3051" spans="6:17" ht="24" customHeight="1">
      <c r="H3051" s="120" t="s">
        <v>4842</v>
      </c>
      <c r="J3051" s="119"/>
    </row>
    <row r="3052" spans="6:17" ht="24" customHeight="1">
      <c r="H3052" s="123" t="s">
        <v>52</v>
      </c>
      <c r="J3052" s="119"/>
    </row>
    <row r="3053" spans="6:17" ht="24" customHeight="1">
      <c r="H3053" s="120" t="s">
        <v>4843</v>
      </c>
      <c r="J3053" s="119"/>
    </row>
    <row r="3054" spans="6:17" ht="24" customHeight="1">
      <c r="J3054" s="119"/>
    </row>
    <row r="3055" spans="6:17" ht="24" customHeight="1">
      <c r="F3055" s="224">
        <v>2.2275</v>
      </c>
      <c r="G3055" s="126" t="s">
        <v>425</v>
      </c>
      <c r="H3055" s="176" t="s">
        <v>4816</v>
      </c>
      <c r="I3055" s="115">
        <f>I2834</f>
        <v>2180</v>
      </c>
      <c r="J3055" s="121" t="s">
        <v>425</v>
      </c>
      <c r="K3055" s="115">
        <f>F3056*I3055</f>
        <v>4855.95</v>
      </c>
    </row>
    <row r="3056" spans="6:17" ht="38.25" customHeight="1">
      <c r="F3056" s="201">
        <f>F3055</f>
        <v>2.2275</v>
      </c>
      <c r="G3056" s="126" t="s">
        <v>425</v>
      </c>
      <c r="H3056" s="415" t="s">
        <v>1340</v>
      </c>
      <c r="I3056" s="240">
        <f>I2867</f>
        <v>344.3</v>
      </c>
      <c r="J3056" s="121" t="s">
        <v>425</v>
      </c>
      <c r="K3056" s="129">
        <f t="shared" ref="K3056:K3062" si="279">(F3056*I3056)</f>
        <v>766.93</v>
      </c>
      <c r="M3056" s="121" t="s">
        <v>1306</v>
      </c>
      <c r="N3056" s="126" t="s">
        <v>111</v>
      </c>
      <c r="O3056" s="120" t="s">
        <v>4773</v>
      </c>
      <c r="Q3056" s="119"/>
    </row>
    <row r="3057" spans="6:18" ht="24" customHeight="1">
      <c r="F3057" s="129">
        <v>4</v>
      </c>
      <c r="G3057" s="126" t="s">
        <v>237</v>
      </c>
      <c r="H3057" s="120" t="s">
        <v>1342</v>
      </c>
      <c r="I3057" s="232">
        <f t="shared" ref="I3057:I3062" si="280">I2972</f>
        <v>57.65</v>
      </c>
      <c r="J3057" s="121" t="s">
        <v>131</v>
      </c>
      <c r="K3057" s="129">
        <f t="shared" si="279"/>
        <v>230.6</v>
      </c>
      <c r="N3057" s="116"/>
      <c r="O3057" s="120" t="s">
        <v>1309</v>
      </c>
      <c r="Q3057" s="119"/>
    </row>
    <row r="3058" spans="6:18" ht="24" customHeight="1">
      <c r="F3058" s="129">
        <v>6</v>
      </c>
      <c r="G3058" s="126" t="s">
        <v>131</v>
      </c>
      <c r="H3058" s="120" t="s">
        <v>1344</v>
      </c>
      <c r="I3058" s="232">
        <f t="shared" si="280"/>
        <v>89.6</v>
      </c>
      <c r="J3058" s="121" t="s">
        <v>131</v>
      </c>
      <c r="K3058" s="129">
        <f t="shared" si="279"/>
        <v>537.6</v>
      </c>
      <c r="N3058" s="116"/>
      <c r="O3058" s="120" t="s">
        <v>4844</v>
      </c>
      <c r="Q3058" s="119"/>
    </row>
    <row r="3059" spans="6:18" ht="24" customHeight="1">
      <c r="F3059" s="129">
        <v>4</v>
      </c>
      <c r="G3059" s="126" t="s">
        <v>131</v>
      </c>
      <c r="H3059" s="120" t="s">
        <v>1346</v>
      </c>
      <c r="I3059" s="232">
        <f t="shared" si="280"/>
        <v>64.8</v>
      </c>
      <c r="J3059" s="121" t="s">
        <v>131</v>
      </c>
      <c r="K3059" s="129">
        <f t="shared" si="279"/>
        <v>259.2</v>
      </c>
      <c r="N3059" s="116"/>
      <c r="O3059" s="123" t="s">
        <v>52</v>
      </c>
      <c r="Q3059" s="119"/>
    </row>
    <row r="3060" spans="6:18" ht="24" customHeight="1">
      <c r="F3060" s="129">
        <v>1</v>
      </c>
      <c r="G3060" s="126" t="s">
        <v>131</v>
      </c>
      <c r="H3060" s="120" t="s">
        <v>1348</v>
      </c>
      <c r="I3060" s="232">
        <f t="shared" si="280"/>
        <v>181</v>
      </c>
      <c r="J3060" s="121" t="s">
        <v>131</v>
      </c>
      <c r="K3060" s="129">
        <f t="shared" si="279"/>
        <v>181</v>
      </c>
      <c r="N3060" s="116"/>
      <c r="O3060" s="120" t="s">
        <v>4845</v>
      </c>
      <c r="Q3060" s="119"/>
    </row>
    <row r="3061" spans="6:18" ht="24" customHeight="1">
      <c r="F3061" s="129">
        <v>2</v>
      </c>
      <c r="G3061" s="126" t="s">
        <v>131</v>
      </c>
      <c r="H3061" s="120" t="s">
        <v>1350</v>
      </c>
      <c r="I3061" s="232">
        <f t="shared" si="280"/>
        <v>7.3</v>
      </c>
      <c r="J3061" s="121" t="s">
        <v>131</v>
      </c>
      <c r="K3061" s="129">
        <f t="shared" si="279"/>
        <v>14.6</v>
      </c>
      <c r="N3061" s="116"/>
      <c r="Q3061" s="119"/>
    </row>
    <row r="3062" spans="6:18" ht="24" customHeight="1">
      <c r="F3062" s="129">
        <v>2</v>
      </c>
      <c r="G3062" s="126" t="s">
        <v>131</v>
      </c>
      <c r="H3062" s="120" t="s">
        <v>455</v>
      </c>
      <c r="I3062" s="232">
        <f t="shared" si="280"/>
        <v>49.55</v>
      </c>
      <c r="J3062" s="121" t="s">
        <v>131</v>
      </c>
      <c r="K3062" s="129">
        <f t="shared" si="279"/>
        <v>99.1</v>
      </c>
      <c r="M3062" s="118">
        <v>3.29</v>
      </c>
      <c r="N3062" s="126" t="s">
        <v>425</v>
      </c>
      <c r="O3062" s="176" t="s">
        <v>4816</v>
      </c>
      <c r="P3062" s="115">
        <f>I3055</f>
        <v>2180</v>
      </c>
      <c r="Q3062" s="121" t="s">
        <v>425</v>
      </c>
      <c r="R3062" s="115">
        <f>M3063*P3062</f>
        <v>7172.2</v>
      </c>
    </row>
    <row r="3063" spans="6:18" ht="33.75" customHeight="1">
      <c r="J3063" s="119"/>
      <c r="K3063" s="240">
        <v>0.2</v>
      </c>
      <c r="M3063" s="142">
        <v>3.29</v>
      </c>
      <c r="N3063" s="126" t="s">
        <v>425</v>
      </c>
      <c r="O3063" s="120" t="s">
        <v>1340</v>
      </c>
      <c r="P3063" s="115">
        <f t="shared" ref="P3063:P3069" si="281">I3056</f>
        <v>344.3</v>
      </c>
      <c r="Q3063" s="121" t="s">
        <v>425</v>
      </c>
      <c r="R3063" s="129">
        <f t="shared" ref="R3063:R3069" si="282">(M3063*P3063)</f>
        <v>1132.75</v>
      </c>
    </row>
    <row r="3064" spans="6:18" ht="33.75" customHeight="1">
      <c r="H3064" s="120" t="s">
        <v>2188</v>
      </c>
      <c r="J3064" s="119"/>
      <c r="K3064" s="129">
        <f>SUM(K3055:K3063)</f>
        <v>6945.18</v>
      </c>
      <c r="M3064" s="129">
        <v>4</v>
      </c>
      <c r="N3064" s="126" t="s">
        <v>237</v>
      </c>
      <c r="O3064" s="120" t="s">
        <v>1342</v>
      </c>
      <c r="P3064" s="115">
        <f t="shared" si="281"/>
        <v>57.65</v>
      </c>
      <c r="Q3064" s="121" t="s">
        <v>131</v>
      </c>
      <c r="R3064" s="129">
        <f t="shared" si="282"/>
        <v>230.6</v>
      </c>
    </row>
    <row r="3065" spans="6:18" ht="24" customHeight="1">
      <c r="J3065" s="119"/>
      <c r="K3065" s="123" t="s">
        <v>52</v>
      </c>
      <c r="M3065" s="129">
        <v>6</v>
      </c>
      <c r="N3065" s="126" t="s">
        <v>131</v>
      </c>
      <c r="O3065" s="120" t="s">
        <v>1344</v>
      </c>
      <c r="P3065" s="115">
        <f t="shared" si="281"/>
        <v>89.6</v>
      </c>
      <c r="Q3065" s="121" t="s">
        <v>131</v>
      </c>
      <c r="R3065" s="129">
        <f t="shared" si="282"/>
        <v>537.6</v>
      </c>
    </row>
    <row r="3066" spans="6:18" ht="24" customHeight="1">
      <c r="H3066" s="120" t="s">
        <v>460</v>
      </c>
      <c r="J3066" s="119"/>
      <c r="K3066" s="129">
        <f>K3064/F3056</f>
        <v>3117.93</v>
      </c>
      <c r="M3066" s="129">
        <v>4</v>
      </c>
      <c r="N3066" s="126" t="s">
        <v>131</v>
      </c>
      <c r="O3066" s="120" t="s">
        <v>1346</v>
      </c>
      <c r="P3066" s="115">
        <f t="shared" si="281"/>
        <v>64.8</v>
      </c>
      <c r="Q3066" s="121" t="s">
        <v>131</v>
      </c>
      <c r="R3066" s="129">
        <f t="shared" si="282"/>
        <v>259.2</v>
      </c>
    </row>
    <row r="3067" spans="6:18" ht="24" customHeight="1">
      <c r="M3067" s="129">
        <v>1</v>
      </c>
      <c r="N3067" s="126" t="s">
        <v>131</v>
      </c>
      <c r="O3067" s="120" t="s">
        <v>1348</v>
      </c>
      <c r="P3067" s="115">
        <f t="shared" si="281"/>
        <v>181</v>
      </c>
      <c r="Q3067" s="121" t="s">
        <v>131</v>
      </c>
      <c r="R3067" s="129">
        <f t="shared" si="282"/>
        <v>181</v>
      </c>
    </row>
    <row r="3068" spans="6:18" ht="24" customHeight="1">
      <c r="F3068" s="121" t="s">
        <v>1306</v>
      </c>
      <c r="G3068" s="126" t="s">
        <v>111</v>
      </c>
      <c r="H3068" s="120" t="s">
        <v>4773</v>
      </c>
      <c r="J3068" s="119"/>
      <c r="M3068" s="129">
        <v>2</v>
      </c>
      <c r="N3068" s="126" t="s">
        <v>131</v>
      </c>
      <c r="O3068" s="120" t="s">
        <v>1350</v>
      </c>
      <c r="P3068" s="115">
        <f t="shared" si="281"/>
        <v>7.3</v>
      </c>
      <c r="Q3068" s="121" t="s">
        <v>131</v>
      </c>
      <c r="R3068" s="129">
        <f t="shared" si="282"/>
        <v>14.6</v>
      </c>
    </row>
    <row r="3069" spans="6:18" ht="24" customHeight="1">
      <c r="H3069" s="120" t="s">
        <v>1309</v>
      </c>
      <c r="J3069" s="119"/>
      <c r="M3069" s="129">
        <v>2</v>
      </c>
      <c r="N3069" s="126" t="s">
        <v>131</v>
      </c>
      <c r="O3069" s="120" t="s">
        <v>455</v>
      </c>
      <c r="P3069" s="115">
        <f t="shared" si="281"/>
        <v>49.55</v>
      </c>
      <c r="Q3069" s="121" t="s">
        <v>131</v>
      </c>
      <c r="R3069" s="129">
        <f t="shared" si="282"/>
        <v>99.1</v>
      </c>
    </row>
    <row r="3070" spans="6:18" ht="24" customHeight="1">
      <c r="H3070" s="120" t="s">
        <v>4846</v>
      </c>
      <c r="J3070" s="119"/>
      <c r="N3070" s="116"/>
      <c r="Q3070" s="119"/>
      <c r="R3070" s="123" t="s">
        <v>52</v>
      </c>
    </row>
    <row r="3071" spans="6:18" ht="24" customHeight="1">
      <c r="H3071" s="123" t="s">
        <v>52</v>
      </c>
      <c r="J3071" s="119"/>
      <c r="N3071" s="116"/>
      <c r="O3071" s="120" t="s">
        <v>4847</v>
      </c>
      <c r="Q3071" s="119"/>
      <c r="R3071" s="129">
        <f>SUM(R3062:R3070)+0.5</f>
        <v>9627.5499999999993</v>
      </c>
    </row>
    <row r="3072" spans="6:18" ht="24" customHeight="1">
      <c r="H3072" s="120" t="s">
        <v>4848</v>
      </c>
      <c r="J3072" s="119"/>
      <c r="N3072" s="116"/>
      <c r="Q3072" s="119"/>
      <c r="R3072" s="123" t="s">
        <v>52</v>
      </c>
    </row>
    <row r="3073" spans="6:18" ht="24" customHeight="1">
      <c r="J3073" s="119"/>
      <c r="N3073" s="116"/>
      <c r="O3073" s="120" t="s">
        <v>460</v>
      </c>
      <c r="Q3073" s="119"/>
      <c r="R3073" s="129">
        <f>R3071/M3062</f>
        <v>2926.31</v>
      </c>
    </row>
    <row r="3074" spans="6:18" ht="24" customHeight="1">
      <c r="F3074" s="118">
        <v>2.87</v>
      </c>
      <c r="G3074" s="126" t="s">
        <v>425</v>
      </c>
      <c r="H3074" s="176" t="s">
        <v>4816</v>
      </c>
      <c r="I3074" s="232">
        <f>I3055</f>
        <v>2180</v>
      </c>
      <c r="J3074" s="121" t="s">
        <v>425</v>
      </c>
      <c r="K3074" s="115">
        <f>F3075*I3074</f>
        <v>6256.6</v>
      </c>
      <c r="N3074" s="116"/>
      <c r="Q3074" s="117"/>
    </row>
    <row r="3075" spans="6:18" ht="24" customHeight="1">
      <c r="F3075" s="142">
        <f>F3074</f>
        <v>2.87</v>
      </c>
      <c r="G3075" s="126" t="s">
        <v>425</v>
      </c>
      <c r="H3075" s="415" t="s">
        <v>1340</v>
      </c>
      <c r="I3075" s="240">
        <f t="shared" ref="I3075:I3081" si="283">I3056</f>
        <v>344.3</v>
      </c>
      <c r="J3075" s="121" t="s">
        <v>425</v>
      </c>
      <c r="K3075" s="129">
        <f t="shared" ref="K3075:K3081" si="284">(F3075*I3075)</f>
        <v>988.14</v>
      </c>
    </row>
    <row r="3076" spans="6:18" ht="24" customHeight="1">
      <c r="F3076" s="129">
        <v>4</v>
      </c>
      <c r="G3076" s="126" t="s">
        <v>237</v>
      </c>
      <c r="H3076" s="120" t="s">
        <v>1342</v>
      </c>
      <c r="I3076" s="232">
        <f t="shared" si="283"/>
        <v>57.65</v>
      </c>
      <c r="J3076" s="121" t="s">
        <v>131</v>
      </c>
      <c r="K3076" s="129">
        <f t="shared" si="284"/>
        <v>230.6</v>
      </c>
    </row>
    <row r="3077" spans="6:18" ht="24" customHeight="1">
      <c r="F3077" s="129">
        <v>6</v>
      </c>
      <c r="G3077" s="126" t="s">
        <v>131</v>
      </c>
      <c r="H3077" s="120" t="s">
        <v>1344</v>
      </c>
      <c r="I3077" s="232">
        <f t="shared" si="283"/>
        <v>89.6</v>
      </c>
      <c r="J3077" s="121" t="s">
        <v>131</v>
      </c>
      <c r="K3077" s="129">
        <f t="shared" si="284"/>
        <v>537.6</v>
      </c>
    </row>
    <row r="3078" spans="6:18" ht="24" customHeight="1">
      <c r="F3078" s="129">
        <v>4</v>
      </c>
      <c r="G3078" s="126" t="s">
        <v>131</v>
      </c>
      <c r="H3078" s="120" t="s">
        <v>1346</v>
      </c>
      <c r="I3078" s="232">
        <f t="shared" si="283"/>
        <v>64.8</v>
      </c>
      <c r="J3078" s="121" t="s">
        <v>131</v>
      </c>
      <c r="K3078" s="129">
        <f t="shared" si="284"/>
        <v>259.2</v>
      </c>
    </row>
    <row r="3079" spans="6:18" ht="24" customHeight="1">
      <c r="F3079" s="129">
        <v>1</v>
      </c>
      <c r="G3079" s="126" t="s">
        <v>131</v>
      </c>
      <c r="H3079" s="120" t="s">
        <v>1348</v>
      </c>
      <c r="I3079" s="232">
        <f t="shared" si="283"/>
        <v>181</v>
      </c>
      <c r="J3079" s="121" t="s">
        <v>131</v>
      </c>
      <c r="K3079" s="129">
        <f t="shared" si="284"/>
        <v>181</v>
      </c>
    </row>
    <row r="3080" spans="6:18" ht="24" customHeight="1">
      <c r="F3080" s="129">
        <v>2</v>
      </c>
      <c r="G3080" s="126" t="s">
        <v>131</v>
      </c>
      <c r="H3080" s="120" t="s">
        <v>1350</v>
      </c>
      <c r="I3080" s="232">
        <f t="shared" si="283"/>
        <v>7.3</v>
      </c>
      <c r="J3080" s="121" t="s">
        <v>131</v>
      </c>
      <c r="K3080" s="129">
        <f t="shared" si="284"/>
        <v>14.6</v>
      </c>
    </row>
    <row r="3081" spans="6:18" ht="24" customHeight="1">
      <c r="F3081" s="129">
        <v>2</v>
      </c>
      <c r="G3081" s="126" t="s">
        <v>131</v>
      </c>
      <c r="H3081" s="120" t="s">
        <v>455</v>
      </c>
      <c r="I3081" s="232">
        <f t="shared" si="283"/>
        <v>49.55</v>
      </c>
      <c r="J3081" s="121" t="s">
        <v>131</v>
      </c>
      <c r="K3081" s="129">
        <f t="shared" si="284"/>
        <v>99.1</v>
      </c>
    </row>
    <row r="3082" spans="6:18" ht="24" customHeight="1">
      <c r="J3082" s="119"/>
      <c r="K3082" s="240">
        <f>1.19+0.16</f>
        <v>1.35</v>
      </c>
    </row>
    <row r="3083" spans="6:18" ht="24" customHeight="1">
      <c r="H3083" s="120" t="s">
        <v>4849</v>
      </c>
      <c r="J3083" s="119"/>
      <c r="K3083" s="129">
        <f>SUM(K3074:K3082)</f>
        <v>8568.19</v>
      </c>
    </row>
    <row r="3084" spans="6:18" ht="24" customHeight="1">
      <c r="J3084" s="119"/>
      <c r="K3084" s="123" t="s">
        <v>52</v>
      </c>
    </row>
    <row r="3085" spans="6:18" ht="24" customHeight="1">
      <c r="H3085" s="120" t="s">
        <v>460</v>
      </c>
      <c r="J3085" s="119"/>
      <c r="K3085" s="129">
        <f>K3083/F3075</f>
        <v>2985.43</v>
      </c>
    </row>
    <row r="3087" spans="6:18" ht="24" customHeight="1">
      <c r="F3087" s="421" t="s">
        <v>3554</v>
      </c>
      <c r="G3087" s="422"/>
      <c r="H3087" s="147" t="s">
        <v>4850</v>
      </c>
      <c r="I3087" s="423"/>
      <c r="J3087" s="433"/>
      <c r="K3087" s="423"/>
    </row>
    <row r="3088" spans="6:18" ht="24" customHeight="1">
      <c r="F3088" s="423"/>
      <c r="G3088" s="422"/>
      <c r="H3088" s="424" t="s">
        <v>52</v>
      </c>
      <c r="I3088" s="424" t="s">
        <v>52</v>
      </c>
      <c r="J3088" s="147" t="s">
        <v>52</v>
      </c>
      <c r="K3088" s="423"/>
    </row>
    <row r="3089" spans="6:42" ht="24" customHeight="1">
      <c r="F3089" s="423"/>
      <c r="G3089" s="422"/>
      <c r="H3089" s="423"/>
      <c r="I3089" s="423"/>
      <c r="J3089" s="433"/>
      <c r="K3089" s="423"/>
    </row>
    <row r="3090" spans="6:42" ht="24" customHeight="1">
      <c r="F3090" s="423"/>
      <c r="G3090" s="422"/>
      <c r="H3090" s="147" t="s">
        <v>1526</v>
      </c>
      <c r="I3090" s="423"/>
      <c r="J3090" s="433"/>
      <c r="K3090" s="423"/>
    </row>
    <row r="3091" spans="6:42" ht="24" customHeight="1">
      <c r="F3091" s="423"/>
      <c r="G3091" s="422"/>
      <c r="H3091" s="147"/>
      <c r="I3091" s="423"/>
      <c r="J3091" s="433"/>
      <c r="K3091" s="423"/>
    </row>
    <row r="3092" spans="6:42" ht="24" customHeight="1">
      <c r="F3092" s="423"/>
      <c r="G3092" s="422"/>
      <c r="H3092" s="147" t="s">
        <v>1527</v>
      </c>
      <c r="I3092" s="423"/>
      <c r="J3092" s="433"/>
      <c r="K3092" s="423"/>
    </row>
    <row r="3093" spans="6:42" ht="24" customHeight="1">
      <c r="F3093" s="423"/>
      <c r="G3093" s="422"/>
      <c r="H3093" s="147" t="s">
        <v>1528</v>
      </c>
      <c r="I3093" s="423"/>
      <c r="J3093" s="433"/>
      <c r="K3093" s="423"/>
    </row>
    <row r="3094" spans="6:42" ht="24" customHeight="1">
      <c r="F3094" s="423"/>
      <c r="G3094" s="422"/>
      <c r="H3094" s="147" t="s">
        <v>1529</v>
      </c>
      <c r="I3094" s="423"/>
      <c r="J3094" s="433"/>
      <c r="K3094" s="423"/>
      <c r="S3094" s="121"/>
      <c r="T3094" s="126"/>
      <c r="U3094" s="120"/>
    </row>
    <row r="3095" spans="6:42" ht="24" customHeight="1">
      <c r="F3095" s="423"/>
      <c r="G3095" s="422"/>
      <c r="H3095" s="147" t="s">
        <v>1530</v>
      </c>
      <c r="I3095" s="423"/>
      <c r="J3095" s="433"/>
      <c r="K3095" s="423"/>
      <c r="S3095" s="115"/>
      <c r="U3095" s="120"/>
    </row>
    <row r="3096" spans="6:42" ht="24" customHeight="1">
      <c r="F3096" s="423"/>
      <c r="G3096" s="422"/>
      <c r="H3096" s="147" t="s">
        <v>2214</v>
      </c>
      <c r="I3096" s="423"/>
      <c r="J3096" s="147" t="s">
        <v>85</v>
      </c>
      <c r="K3096" s="434">
        <v>3.7699999999999997E-2</v>
      </c>
      <c r="S3096" s="115"/>
      <c r="T3096" s="116"/>
      <c r="U3096" s="120"/>
    </row>
    <row r="3097" spans="6:42" ht="24" customHeight="1">
      <c r="F3097" s="423"/>
      <c r="G3097" s="422"/>
      <c r="H3097" s="481" t="s">
        <v>4851</v>
      </c>
      <c r="I3097" s="423"/>
      <c r="J3097" s="435" t="s">
        <v>85</v>
      </c>
      <c r="K3097" s="435" t="s">
        <v>85</v>
      </c>
      <c r="S3097" s="115"/>
      <c r="T3097" s="116"/>
      <c r="U3097" s="120"/>
    </row>
    <row r="3098" spans="6:42" ht="24" customHeight="1">
      <c r="F3098" s="423"/>
      <c r="G3098" s="422"/>
      <c r="H3098" s="147" t="s">
        <v>1532</v>
      </c>
      <c r="I3098" s="423"/>
      <c r="J3098" s="433"/>
      <c r="K3098" s="435" t="s">
        <v>85</v>
      </c>
      <c r="S3098" s="115"/>
      <c r="T3098" s="116"/>
      <c r="U3098" s="120"/>
    </row>
    <row r="3099" spans="6:42" ht="24" customHeight="1">
      <c r="F3099" s="423"/>
      <c r="G3099" s="422"/>
      <c r="H3099" s="423"/>
      <c r="I3099" s="423"/>
      <c r="J3099" s="433"/>
      <c r="K3099" s="423"/>
      <c r="S3099" s="115"/>
      <c r="T3099" s="116"/>
      <c r="U3099" s="116" t="s">
        <v>4852</v>
      </c>
    </row>
    <row r="3100" spans="6:42" ht="31.5" customHeight="1">
      <c r="F3100" s="425">
        <v>1.18E-2</v>
      </c>
      <c r="G3100" s="426" t="s">
        <v>132</v>
      </c>
      <c r="H3100" s="147" t="s">
        <v>446</v>
      </c>
      <c r="I3100" s="427">
        <f>I2662</f>
        <v>111600</v>
      </c>
      <c r="J3100" s="147" t="s">
        <v>132</v>
      </c>
      <c r="K3100" s="427">
        <f t="shared" ref="K3100:K3110" si="285">(F3100*I3100)</f>
        <v>1316.88</v>
      </c>
      <c r="S3100" s="115"/>
      <c r="T3100" s="116"/>
      <c r="U3100" s="125"/>
    </row>
    <row r="3101" spans="6:42" ht="24.75" customHeight="1">
      <c r="F3101" s="425">
        <v>3.7699999999999997E-2</v>
      </c>
      <c r="G3101" s="426" t="s">
        <v>132</v>
      </c>
      <c r="H3101" s="147" t="s">
        <v>447</v>
      </c>
      <c r="I3101" s="427">
        <f t="shared" ref="I3101:I3108" si="286">I2663</f>
        <v>99400</v>
      </c>
      <c r="J3101" s="147" t="s">
        <v>132</v>
      </c>
      <c r="K3101" s="427">
        <f t="shared" si="285"/>
        <v>3747.38</v>
      </c>
      <c r="S3101" s="115"/>
      <c r="T3101" s="116"/>
      <c r="U3101" s="120" t="s">
        <v>4853</v>
      </c>
      <c r="V3101" s="224">
        <f>3.08*2.1</f>
        <v>6.468</v>
      </c>
      <c r="W3101" s="119" t="s">
        <v>468</v>
      </c>
      <c r="X3101" s="115" t="s">
        <v>468</v>
      </c>
    </row>
    <row r="3102" spans="6:42" ht="36" customHeight="1">
      <c r="F3102" s="425">
        <v>1.8550000000000001E-2</v>
      </c>
      <c r="G3102" s="426" t="s">
        <v>132</v>
      </c>
      <c r="H3102" s="147" t="s">
        <v>1533</v>
      </c>
      <c r="I3102" s="427">
        <f t="shared" si="286"/>
        <v>14278</v>
      </c>
      <c r="J3102" s="147" t="s">
        <v>132</v>
      </c>
      <c r="K3102" s="427">
        <f t="shared" si="285"/>
        <v>264.86</v>
      </c>
      <c r="S3102" s="115"/>
      <c r="T3102" s="486"/>
      <c r="U3102" s="487" t="s">
        <v>4854</v>
      </c>
      <c r="V3102" s="488">
        <f>4*2.05*0.075*0.0375</f>
        <v>2.3060000000000001E-2</v>
      </c>
      <c r="W3102" s="489" t="s">
        <v>34</v>
      </c>
      <c r="X3102" s="490"/>
      <c r="AE3102" s="114" t="s">
        <v>4855</v>
      </c>
      <c r="AP3102" s="114" t="s">
        <v>4856</v>
      </c>
    </row>
    <row r="3103" spans="6:42" ht="45" customHeight="1">
      <c r="F3103" s="425">
        <v>1.36</v>
      </c>
      <c r="G3103" s="426" t="s">
        <v>425</v>
      </c>
      <c r="H3103" s="147" t="s">
        <v>4857</v>
      </c>
      <c r="I3103" s="427">
        <f>I1055</f>
        <v>387.4</v>
      </c>
      <c r="J3103" s="147" t="s">
        <v>425</v>
      </c>
      <c r="K3103" s="427">
        <f t="shared" si="285"/>
        <v>526.86</v>
      </c>
      <c r="S3103" s="115"/>
      <c r="T3103" s="486"/>
      <c r="U3103" s="490"/>
      <c r="V3103" s="490"/>
      <c r="W3103" s="491" t="s">
        <v>52</v>
      </c>
      <c r="X3103" s="490"/>
      <c r="AE3103" s="115" t="s">
        <v>2138</v>
      </c>
      <c r="AP3103" s="115" t="s">
        <v>2138</v>
      </c>
    </row>
    <row r="3104" spans="6:42" ht="31.5" customHeight="1">
      <c r="F3104" s="425">
        <v>2.0499999999999998</v>
      </c>
      <c r="G3104" s="426" t="s">
        <v>425</v>
      </c>
      <c r="H3104" s="147" t="s">
        <v>1535</v>
      </c>
      <c r="I3104" s="427">
        <f t="shared" si="286"/>
        <v>1336.5</v>
      </c>
      <c r="J3104" s="147" t="s">
        <v>425</v>
      </c>
      <c r="K3104" s="427">
        <f t="shared" si="285"/>
        <v>2739.83</v>
      </c>
      <c r="S3104" s="115"/>
      <c r="T3104" s="486"/>
      <c r="U3104" s="487" t="s">
        <v>4858</v>
      </c>
      <c r="V3104" s="488">
        <f>2*3*0.55*0.15*0.0375</f>
        <v>1.856E-2</v>
      </c>
      <c r="W3104" s="489" t="s">
        <v>34</v>
      </c>
      <c r="X3104" s="490"/>
      <c r="AE3104" s="115" t="s">
        <v>4859</v>
      </c>
      <c r="AP3104" s="115" t="s">
        <v>4859</v>
      </c>
    </row>
    <row r="3105" spans="6:47" ht="31.5" customHeight="1">
      <c r="F3105" s="427">
        <v>2</v>
      </c>
      <c r="G3105" s="426" t="s">
        <v>131</v>
      </c>
      <c r="H3105" s="147" t="s">
        <v>4860</v>
      </c>
      <c r="I3105" s="482">
        <v>57</v>
      </c>
      <c r="J3105" s="147" t="s">
        <v>131</v>
      </c>
      <c r="K3105" s="427">
        <f t="shared" si="285"/>
        <v>114</v>
      </c>
      <c r="S3105" s="115"/>
      <c r="T3105" s="486"/>
      <c r="U3105" s="487" t="s">
        <v>85</v>
      </c>
      <c r="V3105" s="487" t="s">
        <v>85</v>
      </c>
      <c r="W3105" s="489"/>
      <c r="X3105" s="492" t="s">
        <v>85</v>
      </c>
      <c r="AC3105" s="115">
        <v>0.1</v>
      </c>
      <c r="AD3105" s="115" t="s">
        <v>41</v>
      </c>
      <c r="AE3105" s="115" t="s">
        <v>4501</v>
      </c>
      <c r="AF3105" s="115">
        <f>AE17</f>
        <v>919.6</v>
      </c>
      <c r="AG3105" s="115" t="s">
        <v>729</v>
      </c>
      <c r="AH3105" s="115">
        <f>AC3105*AF3105</f>
        <v>91.96</v>
      </c>
      <c r="AM3105" s="115">
        <v>0.1</v>
      </c>
      <c r="AN3105" s="115" t="s">
        <v>41</v>
      </c>
      <c r="AP3105" s="115" t="s">
        <v>4501</v>
      </c>
      <c r="AQ3105" s="115">
        <f>AF3105</f>
        <v>919.6</v>
      </c>
      <c r="AR3105" s="115" t="s">
        <v>729</v>
      </c>
      <c r="AS3105" s="115">
        <f>AQ3105*AM3105</f>
        <v>91.96</v>
      </c>
    </row>
    <row r="3106" spans="6:47" ht="36" customHeight="1">
      <c r="F3106" s="427">
        <v>6</v>
      </c>
      <c r="G3106" s="426" t="s">
        <v>131</v>
      </c>
      <c r="H3106" s="147" t="s">
        <v>1502</v>
      </c>
      <c r="I3106" s="427">
        <f t="shared" si="286"/>
        <v>49.35</v>
      </c>
      <c r="J3106" s="147" t="s">
        <v>131</v>
      </c>
      <c r="K3106" s="427">
        <f t="shared" si="285"/>
        <v>296.10000000000002</v>
      </c>
      <c r="S3106" s="115"/>
      <c r="T3106" s="486"/>
      <c r="U3106" s="490"/>
      <c r="V3106" s="490"/>
      <c r="W3106" s="491" t="s">
        <v>85</v>
      </c>
      <c r="X3106" s="487" t="s">
        <v>85</v>
      </c>
      <c r="AC3106" s="115">
        <v>0.1</v>
      </c>
      <c r="AD3106" s="115" t="s">
        <v>4861</v>
      </c>
      <c r="AE3106" s="115" t="s">
        <v>2199</v>
      </c>
      <c r="AF3106" s="115">
        <f>AE11</f>
        <v>679.8</v>
      </c>
      <c r="AG3106" s="115" t="s">
        <v>729</v>
      </c>
      <c r="AH3106" s="115">
        <f>AC3106*AF3106</f>
        <v>67.98</v>
      </c>
      <c r="AM3106" s="115">
        <v>0.1</v>
      </c>
      <c r="AN3106" s="115" t="s">
        <v>4861</v>
      </c>
      <c r="AP3106" s="115" t="s">
        <v>2199</v>
      </c>
      <c r="AQ3106" s="115">
        <f>AF3106</f>
        <v>679.8</v>
      </c>
      <c r="AR3106" s="115" t="s">
        <v>729</v>
      </c>
      <c r="AS3106" s="115">
        <f>AQ3106*AM3106</f>
        <v>67.98</v>
      </c>
    </row>
    <row r="3107" spans="6:47" ht="24.75" customHeight="1">
      <c r="F3107" s="427">
        <v>2</v>
      </c>
      <c r="G3107" s="426" t="s">
        <v>131</v>
      </c>
      <c r="H3107" s="147" t="s">
        <v>2216</v>
      </c>
      <c r="I3107" s="427">
        <f t="shared" si="286"/>
        <v>60.9</v>
      </c>
      <c r="J3107" s="147" t="s">
        <v>131</v>
      </c>
      <c r="K3107" s="427">
        <f t="shared" si="285"/>
        <v>121.8</v>
      </c>
      <c r="S3107" s="115"/>
      <c r="T3107" s="486"/>
      <c r="U3107" s="487" t="s">
        <v>4862</v>
      </c>
      <c r="V3107" s="490">
        <f>2*0.625*0.425</f>
        <v>0.53</v>
      </c>
      <c r="W3107" s="493" t="s">
        <v>85</v>
      </c>
      <c r="X3107" s="492" t="s">
        <v>85</v>
      </c>
      <c r="AC3107" s="115">
        <v>10</v>
      </c>
      <c r="AD3107" s="115" t="s">
        <v>4863</v>
      </c>
      <c r="AE3107" s="115" t="s">
        <v>4864</v>
      </c>
      <c r="AF3107" s="162">
        <v>18.45</v>
      </c>
      <c r="AG3107" s="115" t="s">
        <v>4865</v>
      </c>
      <c r="AH3107" s="115">
        <f>(AC3107*AF3107)/100</f>
        <v>1.85</v>
      </c>
      <c r="AM3107" s="115">
        <v>10</v>
      </c>
      <c r="AN3107" s="115" t="s">
        <v>4863</v>
      </c>
      <c r="AP3107" s="115" t="s">
        <v>4866</v>
      </c>
      <c r="AQ3107" s="115">
        <f>AF3107</f>
        <v>18.45</v>
      </c>
      <c r="AR3107" s="115" t="s">
        <v>4865</v>
      </c>
      <c r="AS3107" s="115">
        <f>(AQ3107*AM3107)/100</f>
        <v>1.85</v>
      </c>
    </row>
    <row r="3108" spans="6:47" ht="29.25" customHeight="1">
      <c r="F3108" s="427">
        <v>1</v>
      </c>
      <c r="G3108" s="426" t="s">
        <v>131</v>
      </c>
      <c r="H3108" s="147" t="s">
        <v>1538</v>
      </c>
      <c r="I3108" s="483">
        <f t="shared" si="286"/>
        <v>63.2</v>
      </c>
      <c r="J3108" s="147" t="s">
        <v>131</v>
      </c>
      <c r="K3108" s="427">
        <f t="shared" si="285"/>
        <v>63.2</v>
      </c>
      <c r="S3108" s="115"/>
      <c r="T3108" s="486"/>
      <c r="U3108" s="487" t="s">
        <v>4867</v>
      </c>
      <c r="V3108" s="490">
        <f>2*0.425*1.025</f>
        <v>0.87</v>
      </c>
      <c r="W3108" s="489"/>
      <c r="X3108" s="492">
        <v>1.26</v>
      </c>
      <c r="AC3108" s="115">
        <v>0.25</v>
      </c>
      <c r="AD3108" s="115" t="s">
        <v>41</v>
      </c>
      <c r="AE3108" s="115" t="s">
        <v>4868</v>
      </c>
      <c r="AF3108" s="162">
        <v>3.6</v>
      </c>
      <c r="AG3108" s="115" t="s">
        <v>729</v>
      </c>
      <c r="AH3108" s="115">
        <v>1</v>
      </c>
      <c r="AM3108" s="115">
        <v>0.25</v>
      </c>
      <c r="AN3108" s="115" t="s">
        <v>41</v>
      </c>
      <c r="AP3108" s="115" t="s">
        <v>4869</v>
      </c>
      <c r="AQ3108" s="115">
        <f>AF3108</f>
        <v>3.6</v>
      </c>
      <c r="AR3108" s="115" t="s">
        <v>729</v>
      </c>
      <c r="AS3108" s="115">
        <f>AQ3108*AM3108</f>
        <v>0.9</v>
      </c>
      <c r="AU3108" s="115">
        <f>3.09/0.25</f>
        <v>12.36</v>
      </c>
    </row>
    <row r="3109" spans="6:47" ht="24" customHeight="1">
      <c r="F3109" s="427">
        <v>6.55</v>
      </c>
      <c r="G3109" s="426" t="s">
        <v>425</v>
      </c>
      <c r="H3109" s="147" t="s">
        <v>4870</v>
      </c>
      <c r="I3109" s="427">
        <f>K1540</f>
        <v>240.31</v>
      </c>
      <c r="J3109" s="147" t="s">
        <v>425</v>
      </c>
      <c r="K3109" s="427">
        <f t="shared" si="285"/>
        <v>1574.03</v>
      </c>
      <c r="S3109" s="115"/>
      <c r="T3109" s="486"/>
      <c r="U3109" s="490"/>
      <c r="V3109" s="494">
        <f>SUM(V3107:V3108)</f>
        <v>1.4</v>
      </c>
      <c r="W3109" s="489" t="s">
        <v>468</v>
      </c>
      <c r="X3109" s="487" t="s">
        <v>85</v>
      </c>
      <c r="AF3109" s="115" t="s">
        <v>4871</v>
      </c>
      <c r="AH3109" s="115">
        <f>SUM(AH3105:AH3108)</f>
        <v>162.79</v>
      </c>
      <c r="AQ3109" s="115" t="s">
        <v>4871</v>
      </c>
      <c r="AS3109" s="115">
        <f>SUM(AS3105:AS3108)</f>
        <v>162.69</v>
      </c>
    </row>
    <row r="3110" spans="6:47" ht="27.75" customHeight="1">
      <c r="F3110" s="423">
        <v>50</v>
      </c>
      <c r="G3110" s="422" t="s">
        <v>41</v>
      </c>
      <c r="H3110" s="147" t="s">
        <v>4872</v>
      </c>
      <c r="I3110" s="484">
        <f>I961</f>
        <v>2.41</v>
      </c>
      <c r="J3110" s="433"/>
      <c r="K3110" s="427">
        <f t="shared" si="285"/>
        <v>120.5</v>
      </c>
      <c r="S3110" s="115"/>
      <c r="T3110" s="116"/>
      <c r="X3110" s="254" t="s">
        <v>85</v>
      </c>
    </row>
    <row r="3111" spans="6:47" ht="24" customHeight="1">
      <c r="F3111" s="423"/>
      <c r="G3111" s="422"/>
      <c r="H3111" s="429"/>
      <c r="I3111" s="429"/>
      <c r="J3111" s="439"/>
      <c r="K3111" s="440" t="s">
        <v>52</v>
      </c>
      <c r="S3111" s="115"/>
      <c r="T3111" s="116"/>
      <c r="X3111" s="120" t="s">
        <v>85</v>
      </c>
      <c r="AE3111" s="495" t="s">
        <v>4749</v>
      </c>
      <c r="AF3111" s="115" t="s">
        <v>4873</v>
      </c>
      <c r="AG3111" s="495" t="s">
        <v>4873</v>
      </c>
      <c r="AH3111" s="495" t="s">
        <v>4874</v>
      </c>
      <c r="AP3111" s="495" t="s">
        <v>4749</v>
      </c>
      <c r="AQ3111" s="114" t="s">
        <v>4873</v>
      </c>
      <c r="AR3111" s="496" t="s">
        <v>4874</v>
      </c>
    </row>
    <row r="3112" spans="6:47" ht="26.25" customHeight="1">
      <c r="F3112" s="423"/>
      <c r="G3112" s="422"/>
      <c r="H3112" s="430" t="s">
        <v>1541</v>
      </c>
      <c r="I3112" s="429"/>
      <c r="J3112" s="439"/>
      <c r="K3112" s="441">
        <f>SUM(K3100:K3110)</f>
        <v>10885.44</v>
      </c>
      <c r="S3112" s="121" t="s">
        <v>1470</v>
      </c>
      <c r="T3112" s="126"/>
      <c r="U3112" s="122" t="s">
        <v>4875</v>
      </c>
      <c r="X3112" s="120" t="s">
        <v>85</v>
      </c>
      <c r="AE3112" s="495"/>
      <c r="AF3112" s="205">
        <v>331</v>
      </c>
      <c r="AG3112" s="205">
        <v>331</v>
      </c>
      <c r="AH3112" s="205">
        <v>283</v>
      </c>
      <c r="AP3112" s="495"/>
      <c r="AR3112" s="495"/>
      <c r="AS3112" s="495"/>
    </row>
    <row r="3113" spans="6:47" ht="24" customHeight="1">
      <c r="F3113" s="423"/>
      <c r="G3113" s="426" t="s">
        <v>85</v>
      </c>
      <c r="H3113" s="429"/>
      <c r="I3113" s="429"/>
      <c r="J3113" s="439"/>
      <c r="K3113" s="440" t="s">
        <v>52</v>
      </c>
      <c r="S3113" s="115"/>
      <c r="T3113" s="116"/>
      <c r="U3113" s="123" t="s">
        <v>52</v>
      </c>
      <c r="AE3113" s="495" t="s">
        <v>4876</v>
      </c>
      <c r="AF3113" s="115">
        <f>AH3109</f>
        <v>162.79</v>
      </c>
      <c r="AG3113" s="495">
        <f>AH3109</f>
        <v>162.79</v>
      </c>
      <c r="AH3113" s="495">
        <f>AH3109</f>
        <v>162.79</v>
      </c>
      <c r="AP3113" s="495" t="s">
        <v>4876</v>
      </c>
      <c r="AQ3113" s="270">
        <v>96</v>
      </c>
      <c r="AR3113" s="270">
        <v>85</v>
      </c>
      <c r="AS3113" s="270">
        <v>85</v>
      </c>
    </row>
    <row r="3114" spans="6:47" ht="24" customHeight="1">
      <c r="F3114" s="423"/>
      <c r="G3114" s="422"/>
      <c r="H3114" s="430" t="s">
        <v>460</v>
      </c>
      <c r="I3114" s="429"/>
      <c r="J3114" s="439"/>
      <c r="K3114" s="441">
        <f>K3112/2.52</f>
        <v>4319.62</v>
      </c>
      <c r="S3114" s="202">
        <v>7.0699999999999999E-2</v>
      </c>
      <c r="T3114" s="126" t="s">
        <v>132</v>
      </c>
      <c r="U3114" s="120" t="s">
        <v>4877</v>
      </c>
      <c r="V3114" s="129">
        <f>P3154</f>
        <v>99400</v>
      </c>
      <c r="W3114" s="121" t="s">
        <v>132</v>
      </c>
      <c r="X3114" s="129">
        <f>V3114*S3114</f>
        <v>7027.58</v>
      </c>
      <c r="AE3114" s="495" t="s">
        <v>2234</v>
      </c>
      <c r="AF3114" s="115">
        <f>SUM(AF3112:AF3113)</f>
        <v>493.79</v>
      </c>
      <c r="AG3114" s="495">
        <f>SUM(AG3112:AG3113)</f>
        <v>493.79</v>
      </c>
      <c r="AH3114" s="495">
        <f>SUM(AH3112:AH3113)</f>
        <v>445.79</v>
      </c>
      <c r="AP3114" s="495" t="s">
        <v>2234</v>
      </c>
      <c r="AQ3114" s="115">
        <f>AS3109</f>
        <v>162.69</v>
      </c>
      <c r="AR3114" s="495">
        <f>AS3109</f>
        <v>162.69</v>
      </c>
      <c r="AS3114" s="495"/>
    </row>
    <row r="3115" spans="6:47" ht="21" customHeight="1">
      <c r="F3115" s="423"/>
      <c r="G3115" s="422"/>
      <c r="H3115" s="429"/>
      <c r="I3115" s="429"/>
      <c r="J3115" s="439"/>
      <c r="K3115" s="440" t="s">
        <v>89</v>
      </c>
      <c r="S3115" s="202">
        <v>3.6659999999999999</v>
      </c>
      <c r="T3115" s="126" t="s">
        <v>425</v>
      </c>
      <c r="U3115" s="120" t="s">
        <v>4878</v>
      </c>
      <c r="V3115" s="129">
        <f>I1176</f>
        <v>208.8</v>
      </c>
      <c r="W3115" s="121" t="s">
        <v>132</v>
      </c>
      <c r="X3115" s="129">
        <f t="shared" ref="X3115:X3122" si="287">V3115*S3115</f>
        <v>765.46</v>
      </c>
      <c r="AE3115" s="495"/>
      <c r="AF3115" s="115">
        <f>ROUNDUP(AF3114,0)</f>
        <v>494</v>
      </c>
      <c r="AG3115" s="115">
        <f>ROUNDUP(AG3114,0)</f>
        <v>494</v>
      </c>
      <c r="AH3115" s="115">
        <f>ROUNDUP(AH3114,0)</f>
        <v>446</v>
      </c>
      <c r="AP3115" s="495"/>
      <c r="AQ3115" s="114">
        <f>SUM(AQ3112:AQ3114)</f>
        <v>258.69</v>
      </c>
      <c r="AR3115" s="114">
        <f>SUM(AR3112:AR3114)</f>
        <v>247.69</v>
      </c>
    </row>
    <row r="3116" spans="6:47" ht="23.25" customHeight="1">
      <c r="S3116" s="201">
        <v>5.16</v>
      </c>
      <c r="T3116" s="126" t="s">
        <v>425</v>
      </c>
      <c r="U3116" s="120" t="s">
        <v>449</v>
      </c>
      <c r="V3116" s="129">
        <f>AE32</f>
        <v>1498.2</v>
      </c>
      <c r="W3116" s="121" t="s">
        <v>425</v>
      </c>
      <c r="X3116" s="129">
        <f t="shared" si="287"/>
        <v>7730.71</v>
      </c>
      <c r="AE3116" s="495"/>
      <c r="AF3116" s="495"/>
      <c r="AG3116" s="495"/>
      <c r="AH3116" s="495"/>
      <c r="AQ3116" s="115">
        <f>ROUNDUP(AQ3115,0)</f>
        <v>259</v>
      </c>
      <c r="AR3116" s="115">
        <f>ROUNDUP(AR3115,0)</f>
        <v>248</v>
      </c>
    </row>
    <row r="3117" spans="6:47" ht="39" customHeight="1">
      <c r="S3117" s="201">
        <v>22.66</v>
      </c>
      <c r="T3117" s="126" t="s">
        <v>3791</v>
      </c>
      <c r="U3117" s="120" t="s">
        <v>4879</v>
      </c>
      <c r="V3117" s="136">
        <v>15.45</v>
      </c>
      <c r="W3117" s="121" t="s">
        <v>4880</v>
      </c>
      <c r="X3117" s="129">
        <f t="shared" si="287"/>
        <v>350.1</v>
      </c>
    </row>
    <row r="3118" spans="6:47" ht="39" customHeight="1">
      <c r="H3118" s="114" t="s">
        <v>4881</v>
      </c>
      <c r="N3118" s="116"/>
      <c r="O3118" s="114" t="s">
        <v>4882</v>
      </c>
      <c r="Q3118" s="117"/>
      <c r="S3118" s="129">
        <v>15</v>
      </c>
      <c r="T3118" s="126" t="s">
        <v>131</v>
      </c>
      <c r="U3118" s="120" t="s">
        <v>1479</v>
      </c>
      <c r="V3118" s="129">
        <f>C279</f>
        <v>89.6</v>
      </c>
      <c r="W3118" s="121" t="s">
        <v>131</v>
      </c>
      <c r="X3118" s="129">
        <f t="shared" si="287"/>
        <v>1344</v>
      </c>
    </row>
    <row r="3119" spans="6:47" ht="39" customHeight="1">
      <c r="F3119" s="115">
        <v>1</v>
      </c>
      <c r="H3119" s="115" t="s">
        <v>4883</v>
      </c>
      <c r="I3119" s="485">
        <v>143.97999999999999</v>
      </c>
      <c r="J3119" s="117" t="s">
        <v>729</v>
      </c>
      <c r="K3119" s="115">
        <f>I3119</f>
        <v>143.97999999999999</v>
      </c>
      <c r="M3119" s="115">
        <v>1</v>
      </c>
      <c r="N3119" s="116"/>
      <c r="O3119" s="115" t="s">
        <v>4884</v>
      </c>
      <c r="P3119" s="162">
        <v>17.2</v>
      </c>
      <c r="Q3119" s="117" t="s">
        <v>729</v>
      </c>
      <c r="R3119" s="115">
        <f>P3119</f>
        <v>17.2</v>
      </c>
      <c r="S3119" s="129">
        <v>10</v>
      </c>
      <c r="T3119" s="126" t="s">
        <v>131</v>
      </c>
      <c r="U3119" s="120" t="s">
        <v>3327</v>
      </c>
      <c r="V3119" s="136">
        <v>82.25</v>
      </c>
      <c r="W3119" s="121" t="s">
        <v>131</v>
      </c>
      <c r="X3119" s="129">
        <f t="shared" si="287"/>
        <v>822.5</v>
      </c>
    </row>
    <row r="3120" spans="6:47" ht="39" customHeight="1">
      <c r="F3120" s="115">
        <v>1</v>
      </c>
      <c r="H3120" s="115" t="s">
        <v>4885</v>
      </c>
      <c r="I3120" s="485">
        <v>49.2</v>
      </c>
      <c r="J3120" s="117" t="s">
        <v>729</v>
      </c>
      <c r="K3120" s="115">
        <f>I3120</f>
        <v>49.2</v>
      </c>
      <c r="M3120" s="115">
        <v>1</v>
      </c>
      <c r="N3120" s="116"/>
      <c r="O3120" s="115" t="s">
        <v>4886</v>
      </c>
      <c r="P3120" s="162">
        <v>8.5</v>
      </c>
      <c r="Q3120" s="117" t="s">
        <v>729</v>
      </c>
      <c r="R3120" s="115">
        <f>P3120</f>
        <v>8.5</v>
      </c>
      <c r="S3120" s="129">
        <v>5</v>
      </c>
      <c r="T3120" s="126" t="s">
        <v>131</v>
      </c>
      <c r="U3120" s="120" t="s">
        <v>3328</v>
      </c>
      <c r="V3120" s="129">
        <f>P3161</f>
        <v>57.65</v>
      </c>
      <c r="W3120" s="121" t="s">
        <v>131</v>
      </c>
      <c r="X3120" s="129">
        <f t="shared" si="287"/>
        <v>288.25</v>
      </c>
    </row>
    <row r="3121" spans="6:24" ht="39" customHeight="1">
      <c r="F3121" s="118">
        <v>0.125</v>
      </c>
      <c r="H3121" s="115" t="s">
        <v>4887</v>
      </c>
      <c r="I3121" s="115">
        <f>C15</f>
        <v>903.1</v>
      </c>
      <c r="J3121" s="117" t="s">
        <v>729</v>
      </c>
      <c r="K3121" s="115">
        <f>F3121*I3121</f>
        <v>112.89</v>
      </c>
      <c r="M3121" s="118">
        <v>0.125</v>
      </c>
      <c r="N3121" s="116"/>
      <c r="O3121" s="115" t="s">
        <v>4887</v>
      </c>
      <c r="P3121" s="115">
        <f>I3121</f>
        <v>903.1</v>
      </c>
      <c r="Q3121" s="117" t="s">
        <v>729</v>
      </c>
      <c r="R3121" s="115">
        <f>M3121*P3121</f>
        <v>112.89</v>
      </c>
      <c r="S3121" s="129">
        <v>5</v>
      </c>
      <c r="T3121" s="126" t="s">
        <v>131</v>
      </c>
      <c r="U3121" s="120" t="s">
        <v>453</v>
      </c>
      <c r="V3121" s="129">
        <f>P3160</f>
        <v>7.3</v>
      </c>
      <c r="W3121" s="121" t="s">
        <v>131</v>
      </c>
      <c r="X3121" s="129">
        <f t="shared" si="287"/>
        <v>36.5</v>
      </c>
    </row>
    <row r="3122" spans="6:24" ht="39" customHeight="1">
      <c r="F3122" s="118"/>
      <c r="H3122" s="115" t="s">
        <v>1557</v>
      </c>
      <c r="K3122" s="115">
        <v>2.11</v>
      </c>
      <c r="M3122" s="118"/>
      <c r="N3122" s="116"/>
      <c r="O3122" s="115" t="s">
        <v>1557</v>
      </c>
      <c r="Q3122" s="117"/>
      <c r="R3122" s="115">
        <v>4.37</v>
      </c>
      <c r="S3122" s="129">
        <v>10</v>
      </c>
      <c r="T3122" s="126" t="s">
        <v>131</v>
      </c>
      <c r="U3122" s="120" t="s">
        <v>4888</v>
      </c>
      <c r="V3122" s="129">
        <f>I3110</f>
        <v>2.41</v>
      </c>
      <c r="W3122" s="121" t="s">
        <v>131</v>
      </c>
      <c r="X3122" s="129">
        <f t="shared" si="287"/>
        <v>24.1</v>
      </c>
    </row>
    <row r="3123" spans="6:24" ht="39" customHeight="1">
      <c r="H3123" s="305" t="s">
        <v>4623</v>
      </c>
      <c r="I3123" s="114"/>
      <c r="J3123" s="178"/>
      <c r="K3123" s="114">
        <f>SUM(K3119:K3122)</f>
        <v>308.18</v>
      </c>
      <c r="N3123" s="116"/>
      <c r="O3123" s="115" t="s">
        <v>1557</v>
      </c>
      <c r="P3123" s="114"/>
      <c r="Q3123" s="178"/>
      <c r="R3123" s="114">
        <f>SUM(R3119:R3122)</f>
        <v>142.96</v>
      </c>
      <c r="S3123" s="129"/>
      <c r="T3123" s="126">
        <f>R3123-90</f>
        <v>52.96</v>
      </c>
      <c r="U3123" s="120"/>
      <c r="V3123" s="129"/>
      <c r="W3123" s="121" t="s">
        <v>131</v>
      </c>
      <c r="X3123" s="123" t="s">
        <v>52</v>
      </c>
    </row>
    <row r="3124" spans="6:24" ht="24" customHeight="1">
      <c r="R3124" s="115">
        <f>R3123-87</f>
        <v>55.96</v>
      </c>
      <c r="S3124" s="129"/>
      <c r="T3124" s="116"/>
      <c r="U3124" s="121" t="s">
        <v>4889</v>
      </c>
      <c r="X3124" s="129">
        <f>SUM(X3114:X3122)</f>
        <v>18389.2</v>
      </c>
    </row>
    <row r="3125" spans="6:24" ht="24" customHeight="1">
      <c r="S3125" s="115"/>
      <c r="T3125" s="116"/>
      <c r="X3125" s="123" t="s">
        <v>52</v>
      </c>
    </row>
    <row r="3126" spans="6:24" ht="24" customHeight="1">
      <c r="F3126" s="121" t="s">
        <v>1440</v>
      </c>
      <c r="G3126" s="126" t="s">
        <v>111</v>
      </c>
      <c r="H3126" s="120" t="s">
        <v>1441</v>
      </c>
      <c r="S3126" s="115"/>
      <c r="T3126" s="126" t="s">
        <v>85</v>
      </c>
      <c r="U3126" s="128" t="s">
        <v>460</v>
      </c>
      <c r="X3126" s="127">
        <f>X3124/S3116</f>
        <v>3563.8</v>
      </c>
    </row>
    <row r="3127" spans="6:24" ht="24" customHeight="1">
      <c r="H3127" s="120" t="s">
        <v>1443</v>
      </c>
      <c r="S3127" s="115"/>
      <c r="T3127" s="116"/>
      <c r="X3127" s="123" t="s">
        <v>89</v>
      </c>
    </row>
    <row r="3128" spans="6:24" ht="24" customHeight="1">
      <c r="H3128" s="120" t="s">
        <v>1445</v>
      </c>
      <c r="S3128" s="115"/>
      <c r="T3128" s="116"/>
    </row>
    <row r="3129" spans="6:24" ht="24" customHeight="1">
      <c r="H3129" s="120" t="s">
        <v>1447</v>
      </c>
      <c r="S3129" s="121"/>
      <c r="T3129" s="126"/>
      <c r="U3129" s="120" t="s">
        <v>4890</v>
      </c>
      <c r="X3129" s="120" t="s">
        <v>85</v>
      </c>
    </row>
    <row r="3130" spans="6:24" ht="24" customHeight="1">
      <c r="H3130" s="120" t="s">
        <v>1449</v>
      </c>
      <c r="S3130" s="115"/>
      <c r="T3130" s="116"/>
      <c r="U3130" s="123" t="s">
        <v>52</v>
      </c>
    </row>
    <row r="3131" spans="6:24" ht="24" customHeight="1">
      <c r="H3131" s="120" t="s">
        <v>1451</v>
      </c>
      <c r="S3131" s="202">
        <v>2.7400000000000001E-2</v>
      </c>
      <c r="T3131" s="126" t="s">
        <v>132</v>
      </c>
      <c r="U3131" s="120" t="s">
        <v>4877</v>
      </c>
      <c r="V3131" s="129">
        <f>V3114</f>
        <v>99400</v>
      </c>
      <c r="W3131" s="121" t="s">
        <v>132</v>
      </c>
      <c r="X3131" s="129">
        <f>V3131*S3131</f>
        <v>2723.56</v>
      </c>
    </row>
    <row r="3132" spans="6:24" ht="24" customHeight="1">
      <c r="H3132" s="123" t="s">
        <v>52</v>
      </c>
      <c r="S3132" s="202">
        <v>1.1599999999999999</v>
      </c>
      <c r="T3132" s="126" t="s">
        <v>425</v>
      </c>
      <c r="U3132" s="120" t="s">
        <v>4878</v>
      </c>
      <c r="V3132" s="129">
        <f t="shared" ref="V3132:V3139" si="288">V3115</f>
        <v>208.8</v>
      </c>
      <c r="W3132" s="121" t="s">
        <v>132</v>
      </c>
      <c r="X3132" s="129">
        <f t="shared" ref="X3132:X3139" si="289">V3132*S3132</f>
        <v>242.21</v>
      </c>
    </row>
    <row r="3133" spans="6:24" ht="24" customHeight="1">
      <c r="H3133" s="120" t="s">
        <v>4891</v>
      </c>
      <c r="M3133" s="121" t="s">
        <v>1440</v>
      </c>
      <c r="N3133" s="126" t="s">
        <v>111</v>
      </c>
      <c r="O3133" s="120" t="s">
        <v>1441</v>
      </c>
      <c r="Q3133" s="117"/>
      <c r="S3133" s="201">
        <v>1.74</v>
      </c>
      <c r="T3133" s="126" t="s">
        <v>425</v>
      </c>
      <c r="U3133" s="120" t="s">
        <v>449</v>
      </c>
      <c r="V3133" s="129">
        <f t="shared" si="288"/>
        <v>1498.2</v>
      </c>
      <c r="W3133" s="121" t="s">
        <v>425</v>
      </c>
      <c r="X3133" s="129">
        <f t="shared" si="289"/>
        <v>2606.87</v>
      </c>
    </row>
    <row r="3134" spans="6:24" ht="24" customHeight="1">
      <c r="H3134" s="120" t="s">
        <v>1455</v>
      </c>
      <c r="N3134" s="116"/>
      <c r="O3134" s="120" t="s">
        <v>1443</v>
      </c>
      <c r="Q3134" s="117"/>
      <c r="S3134" s="201">
        <v>8.74</v>
      </c>
      <c r="T3134" s="126" t="s">
        <v>3791</v>
      </c>
      <c r="U3134" s="120" t="s">
        <v>4879</v>
      </c>
      <c r="V3134" s="129">
        <f t="shared" si="288"/>
        <v>15.45</v>
      </c>
      <c r="W3134" s="121" t="s">
        <v>425</v>
      </c>
      <c r="X3134" s="129">
        <f t="shared" si="289"/>
        <v>135.03</v>
      </c>
    </row>
    <row r="3135" spans="6:24" ht="24" customHeight="1">
      <c r="J3135" s="120" t="s">
        <v>52</v>
      </c>
      <c r="N3135" s="116"/>
      <c r="O3135" s="120" t="s">
        <v>1445</v>
      </c>
      <c r="Q3135" s="117"/>
      <c r="S3135" s="129">
        <v>6</v>
      </c>
      <c r="T3135" s="126" t="s">
        <v>131</v>
      </c>
      <c r="U3135" s="120" t="s">
        <v>1479</v>
      </c>
      <c r="V3135" s="129">
        <f t="shared" si="288"/>
        <v>89.6</v>
      </c>
      <c r="W3135" s="121" t="s">
        <v>131</v>
      </c>
      <c r="X3135" s="129">
        <f t="shared" si="289"/>
        <v>537.6</v>
      </c>
    </row>
    <row r="3136" spans="6:24" ht="24" customHeight="1">
      <c r="H3136" s="120" t="s">
        <v>4892</v>
      </c>
      <c r="N3136" s="116"/>
      <c r="O3136" s="120" t="s">
        <v>1447</v>
      </c>
      <c r="Q3136" s="117"/>
      <c r="S3136" s="129">
        <v>4</v>
      </c>
      <c r="T3136" s="126" t="s">
        <v>131</v>
      </c>
      <c r="U3136" s="120" t="s">
        <v>3327</v>
      </c>
      <c r="V3136" s="129">
        <f t="shared" si="288"/>
        <v>82.25</v>
      </c>
      <c r="W3136" s="121" t="s">
        <v>131</v>
      </c>
      <c r="X3136" s="129">
        <f t="shared" si="289"/>
        <v>329</v>
      </c>
    </row>
    <row r="3137" spans="6:24" ht="24" customHeight="1">
      <c r="H3137" s="120" t="s">
        <v>85</v>
      </c>
      <c r="I3137" s="120" t="s">
        <v>85</v>
      </c>
      <c r="K3137" s="254" t="s">
        <v>85</v>
      </c>
      <c r="N3137" s="116"/>
      <c r="O3137" s="120" t="s">
        <v>1449</v>
      </c>
      <c r="Q3137" s="117"/>
      <c r="S3137" s="129">
        <v>2</v>
      </c>
      <c r="T3137" s="126" t="s">
        <v>131</v>
      </c>
      <c r="U3137" s="120" t="s">
        <v>3328</v>
      </c>
      <c r="V3137" s="129">
        <f t="shared" si="288"/>
        <v>57.65</v>
      </c>
      <c r="W3137" s="121" t="s">
        <v>131</v>
      </c>
      <c r="X3137" s="129">
        <f t="shared" si="289"/>
        <v>115.3</v>
      </c>
    </row>
    <row r="3138" spans="6:24" ht="24" customHeight="1">
      <c r="J3138" s="120" t="s">
        <v>85</v>
      </c>
      <c r="K3138" s="120" t="s">
        <v>85</v>
      </c>
      <c r="N3138" s="116"/>
      <c r="O3138" s="120" t="s">
        <v>1451</v>
      </c>
      <c r="Q3138" s="117"/>
      <c r="S3138" s="129">
        <v>2</v>
      </c>
      <c r="T3138" s="126" t="s">
        <v>131</v>
      </c>
      <c r="U3138" s="120" t="s">
        <v>453</v>
      </c>
      <c r="V3138" s="129">
        <f t="shared" si="288"/>
        <v>7.3</v>
      </c>
      <c r="W3138" s="121" t="s">
        <v>131</v>
      </c>
      <c r="X3138" s="129">
        <f t="shared" si="289"/>
        <v>14.6</v>
      </c>
    </row>
    <row r="3139" spans="6:24" ht="24" customHeight="1">
      <c r="H3139" s="120" t="s">
        <v>4893</v>
      </c>
      <c r="J3139" s="254" t="s">
        <v>85</v>
      </c>
      <c r="K3139" s="254" t="s">
        <v>85</v>
      </c>
      <c r="N3139" s="116"/>
      <c r="O3139" s="125" t="s">
        <v>4894</v>
      </c>
      <c r="Q3139" s="117"/>
      <c r="S3139" s="129">
        <v>10</v>
      </c>
      <c r="T3139" s="126" t="s">
        <v>131</v>
      </c>
      <c r="U3139" s="120" t="s">
        <v>4888</v>
      </c>
      <c r="V3139" s="129">
        <f t="shared" si="288"/>
        <v>2.41</v>
      </c>
      <c r="W3139" s="121" t="s">
        <v>131</v>
      </c>
      <c r="X3139" s="129">
        <f t="shared" si="289"/>
        <v>24.1</v>
      </c>
    </row>
    <row r="3140" spans="6:24" ht="24" customHeight="1">
      <c r="H3140" s="120" t="s">
        <v>4895</v>
      </c>
      <c r="K3140" s="254">
        <v>1.26</v>
      </c>
      <c r="N3140" s="116"/>
      <c r="O3140" s="120" t="s">
        <v>4896</v>
      </c>
      <c r="P3140" s="224">
        <f>1.1*2.05</f>
        <v>2.2549999999999999</v>
      </c>
      <c r="Q3140" s="117" t="s">
        <v>468</v>
      </c>
      <c r="S3140" s="129"/>
      <c r="T3140" s="126"/>
      <c r="U3140" s="120"/>
      <c r="V3140" s="129"/>
      <c r="W3140" s="121" t="s">
        <v>131</v>
      </c>
      <c r="X3140" s="123" t="s">
        <v>52</v>
      </c>
    </row>
    <row r="3141" spans="6:24" ht="24" customHeight="1">
      <c r="K3141" s="120" t="s">
        <v>85</v>
      </c>
      <c r="N3141" s="116"/>
      <c r="O3141" s="120" t="s">
        <v>4897</v>
      </c>
      <c r="P3141" s="267">
        <f>2*2.05*0.075*0.0375</f>
        <v>1.153E-2</v>
      </c>
      <c r="Q3141" s="117" t="s">
        <v>34</v>
      </c>
      <c r="S3141" s="129"/>
      <c r="T3141" s="116"/>
      <c r="U3141" s="121" t="s">
        <v>4898</v>
      </c>
      <c r="X3141" s="129">
        <f>SUM(X3131:X3139)</f>
        <v>6728.27</v>
      </c>
    </row>
    <row r="3142" spans="6:24" ht="24" customHeight="1">
      <c r="K3142" s="254" t="s">
        <v>85</v>
      </c>
      <c r="N3142" s="116"/>
      <c r="Q3142" s="120" t="s">
        <v>52</v>
      </c>
      <c r="S3142" s="115"/>
      <c r="T3142" s="116"/>
      <c r="X3142" s="123" t="s">
        <v>52</v>
      </c>
    </row>
    <row r="3143" spans="6:24" ht="24" customHeight="1">
      <c r="K3143" s="120" t="s">
        <v>85</v>
      </c>
      <c r="N3143" s="116"/>
      <c r="O3143" s="120" t="s">
        <v>4899</v>
      </c>
      <c r="P3143" s="267">
        <f>1*3*1.1*0.15*0.0375</f>
        <v>1.856E-2</v>
      </c>
      <c r="Q3143" s="117" t="s">
        <v>34</v>
      </c>
      <c r="S3143" s="115"/>
      <c r="T3143" s="126" t="s">
        <v>85</v>
      </c>
      <c r="U3143" s="128" t="s">
        <v>460</v>
      </c>
      <c r="X3143" s="127">
        <f>X3141/S3133</f>
        <v>3866.82</v>
      </c>
    </row>
    <row r="3144" spans="6:24" ht="24" customHeight="1">
      <c r="F3144" s="121" t="s">
        <v>1470</v>
      </c>
      <c r="G3144" s="126"/>
      <c r="H3144" s="120" t="s">
        <v>2170</v>
      </c>
      <c r="K3144" s="120" t="s">
        <v>85</v>
      </c>
      <c r="N3144" s="116"/>
      <c r="O3144" s="120" t="s">
        <v>85</v>
      </c>
      <c r="P3144" s="120" t="s">
        <v>85</v>
      </c>
      <c r="Q3144" s="117"/>
      <c r="R3144" s="254" t="s">
        <v>85</v>
      </c>
      <c r="S3144" s="115"/>
      <c r="T3144" s="116"/>
      <c r="X3144" s="123" t="s">
        <v>89</v>
      </c>
    </row>
    <row r="3145" spans="6:24" ht="24" customHeight="1">
      <c r="H3145" s="123" t="s">
        <v>52</v>
      </c>
      <c r="N3145" s="116"/>
      <c r="Q3145" s="120" t="s">
        <v>85</v>
      </c>
      <c r="R3145" s="120" t="s">
        <v>85</v>
      </c>
    </row>
    <row r="3146" spans="6:24" ht="24" customHeight="1">
      <c r="F3146" s="202">
        <v>1.153E-2</v>
      </c>
      <c r="G3146" s="126" t="s">
        <v>132</v>
      </c>
      <c r="H3146" s="120" t="s">
        <v>446</v>
      </c>
      <c r="I3146" s="129">
        <f>AC26</f>
        <v>111600</v>
      </c>
      <c r="J3146" s="120" t="s">
        <v>132</v>
      </c>
      <c r="K3146" s="129">
        <f>I3146*F3146</f>
        <v>1286.75</v>
      </c>
      <c r="N3146" s="116"/>
      <c r="O3146" s="120" t="s">
        <v>4900</v>
      </c>
      <c r="P3146" s="115">
        <f>1*0.625*0.975</f>
        <v>0.61</v>
      </c>
      <c r="Q3146" s="254" t="s">
        <v>85</v>
      </c>
      <c r="R3146" s="254" t="s">
        <v>85</v>
      </c>
    </row>
    <row r="3147" spans="6:24" ht="24" customHeight="1">
      <c r="F3147" s="201">
        <v>1.52E-2</v>
      </c>
      <c r="G3147" s="126" t="s">
        <v>132</v>
      </c>
      <c r="H3147" s="120" t="s">
        <v>447</v>
      </c>
      <c r="I3147" s="129">
        <f>AC27</f>
        <v>99400</v>
      </c>
      <c r="J3147" s="120" t="s">
        <v>132</v>
      </c>
      <c r="K3147" s="129">
        <f t="shared" ref="K3147:K3155" si="290">I3147*F3147</f>
        <v>1510.88</v>
      </c>
      <c r="N3147" s="116"/>
      <c r="O3147" s="120" t="s">
        <v>4867</v>
      </c>
      <c r="P3147" s="115">
        <f>1*0.975*1.025</f>
        <v>1</v>
      </c>
      <c r="Q3147" s="117"/>
      <c r="R3147" s="254">
        <v>1.26</v>
      </c>
      <c r="U3147" s="122" t="s">
        <v>4901</v>
      </c>
    </row>
    <row r="3148" spans="6:24" ht="24" customHeight="1">
      <c r="F3148" s="201">
        <f>K3140</f>
        <v>1.26</v>
      </c>
      <c r="G3148" s="126" t="s">
        <v>425</v>
      </c>
      <c r="H3148" s="120" t="s">
        <v>448</v>
      </c>
      <c r="I3148" s="129">
        <f>C783</f>
        <v>387.4</v>
      </c>
      <c r="J3148" s="120" t="s">
        <v>425</v>
      </c>
      <c r="K3148" s="129">
        <f t="shared" si="290"/>
        <v>488.12</v>
      </c>
      <c r="N3148" s="116"/>
      <c r="P3148" s="114">
        <f>SUM(P3146:P3147)</f>
        <v>1.61</v>
      </c>
      <c r="Q3148" s="117" t="s">
        <v>468</v>
      </c>
      <c r="R3148" s="120" t="s">
        <v>85</v>
      </c>
      <c r="S3148" s="1825" t="s">
        <v>4902</v>
      </c>
      <c r="T3148" s="1825"/>
      <c r="U3148" s="118">
        <f>2*2*0.075*0.0375*1.95</f>
        <v>2.1999999999999999E-2</v>
      </c>
    </row>
    <row r="3149" spans="6:24" ht="24" customHeight="1">
      <c r="F3149" s="201">
        <v>1.845</v>
      </c>
      <c r="G3149" s="126" t="s">
        <v>425</v>
      </c>
      <c r="H3149" s="120" t="s">
        <v>449</v>
      </c>
      <c r="I3149" s="129">
        <f>D30</f>
        <v>1336.5</v>
      </c>
      <c r="J3149" s="120" t="s">
        <v>425</v>
      </c>
      <c r="K3149" s="129">
        <f t="shared" si="290"/>
        <v>2465.84</v>
      </c>
      <c r="N3149" s="116"/>
      <c r="Q3149" s="117"/>
      <c r="R3149" s="254" t="s">
        <v>85</v>
      </c>
      <c r="S3149" s="449" t="s">
        <v>4903</v>
      </c>
      <c r="T3149" s="116"/>
      <c r="U3149" s="267">
        <f>2*2*0.065*0.075*0.375</f>
        <v>7.3099999999999997E-3</v>
      </c>
    </row>
    <row r="3150" spans="6:24" ht="24" customHeight="1">
      <c r="F3150" s="129">
        <v>2</v>
      </c>
      <c r="G3150" s="126" t="s">
        <v>131</v>
      </c>
      <c r="H3150" s="120" t="s">
        <v>450</v>
      </c>
      <c r="I3150" s="129">
        <f>C284</f>
        <v>64.8</v>
      </c>
      <c r="J3150" s="120" t="s">
        <v>131</v>
      </c>
      <c r="K3150" s="129">
        <f t="shared" si="290"/>
        <v>129.6</v>
      </c>
      <c r="N3150" s="116"/>
      <c r="Q3150" s="117"/>
      <c r="R3150" s="120" t="s">
        <v>85</v>
      </c>
      <c r="S3150" s="449"/>
      <c r="T3150" s="116"/>
      <c r="U3150" s="419">
        <f>SUM(U3148:U3149)</f>
        <v>2.93E-2</v>
      </c>
      <c r="V3150" s="115" t="s">
        <v>4904</v>
      </c>
    </row>
    <row r="3151" spans="6:24" ht="24" customHeight="1">
      <c r="F3151" s="129">
        <v>3</v>
      </c>
      <c r="G3151" s="126" t="s">
        <v>131</v>
      </c>
      <c r="H3151" s="120" t="s">
        <v>1479</v>
      </c>
      <c r="I3151" s="129">
        <f>C279</f>
        <v>89.6</v>
      </c>
      <c r="J3151" s="120" t="s">
        <v>131</v>
      </c>
      <c r="K3151" s="129">
        <f t="shared" si="290"/>
        <v>268.8</v>
      </c>
      <c r="M3151" s="121" t="s">
        <v>1470</v>
      </c>
      <c r="N3151" s="126"/>
      <c r="O3151" s="120" t="s">
        <v>4905</v>
      </c>
      <c r="Q3151" s="117"/>
      <c r="R3151" s="120" t="s">
        <v>85</v>
      </c>
      <c r="S3151" s="449" t="s">
        <v>4906</v>
      </c>
      <c r="T3151" s="116"/>
      <c r="U3151" s="118">
        <f>2*0.65*1.95</f>
        <v>2.5350000000000001</v>
      </c>
      <c r="V3151" s="115" t="s">
        <v>478</v>
      </c>
    </row>
    <row r="3152" spans="6:24" ht="24" customHeight="1">
      <c r="F3152" s="129">
        <v>1</v>
      </c>
      <c r="G3152" s="126" t="s">
        <v>131</v>
      </c>
      <c r="H3152" s="120" t="s">
        <v>452</v>
      </c>
      <c r="I3152" s="129">
        <f>C286</f>
        <v>181</v>
      </c>
      <c r="J3152" s="120" t="s">
        <v>131</v>
      </c>
      <c r="K3152" s="129">
        <f t="shared" si="290"/>
        <v>181</v>
      </c>
      <c r="N3152" s="116"/>
      <c r="O3152" s="123" t="s">
        <v>52</v>
      </c>
      <c r="Q3152" s="117"/>
      <c r="S3152" s="449" t="s">
        <v>4907</v>
      </c>
      <c r="T3152" s="116"/>
      <c r="U3152" s="118">
        <f>1*2*0.525*1.825</f>
        <v>1.9159999999999999</v>
      </c>
      <c r="V3152" s="115" t="s">
        <v>4908</v>
      </c>
    </row>
    <row r="3153" spans="6:24" ht="24" customHeight="1">
      <c r="F3153" s="129">
        <v>1</v>
      </c>
      <c r="G3153" s="126" t="s">
        <v>131</v>
      </c>
      <c r="H3153" s="120" t="s">
        <v>453</v>
      </c>
      <c r="I3153" s="129">
        <f>C288</f>
        <v>7.3</v>
      </c>
      <c r="J3153" s="120" t="s">
        <v>131</v>
      </c>
      <c r="K3153" s="129">
        <f t="shared" si="290"/>
        <v>7.3</v>
      </c>
      <c r="M3153" s="202">
        <f>P3141</f>
        <v>1.153E-2</v>
      </c>
      <c r="N3153" s="126" t="s">
        <v>132</v>
      </c>
      <c r="O3153" s="120" t="s">
        <v>446</v>
      </c>
      <c r="P3153" s="129">
        <f>I3146</f>
        <v>111600</v>
      </c>
      <c r="Q3153" s="120" t="s">
        <v>132</v>
      </c>
      <c r="R3153" s="129">
        <f>P3153*M3153</f>
        <v>1286.75</v>
      </c>
      <c r="S3153" s="449" t="s">
        <v>4909</v>
      </c>
      <c r="T3153" s="116"/>
      <c r="U3153" s="118">
        <f>2*2*(0.525+1.825)</f>
        <v>9.4</v>
      </c>
      <c r="V3153" s="115" t="s">
        <v>4910</v>
      </c>
    </row>
    <row r="3154" spans="6:24" ht="24" customHeight="1">
      <c r="F3154" s="129">
        <v>1</v>
      </c>
      <c r="G3154" s="126" t="s">
        <v>131</v>
      </c>
      <c r="H3154" s="120" t="s">
        <v>454</v>
      </c>
      <c r="I3154" s="129">
        <f>C598</f>
        <v>57.65</v>
      </c>
      <c r="J3154" s="120" t="s">
        <v>131</v>
      </c>
      <c r="K3154" s="129">
        <f t="shared" si="290"/>
        <v>57.65</v>
      </c>
      <c r="M3154" s="202">
        <f>P3143</f>
        <v>1.856E-2</v>
      </c>
      <c r="N3154" s="126" t="s">
        <v>132</v>
      </c>
      <c r="O3154" s="120" t="s">
        <v>447</v>
      </c>
      <c r="P3154" s="129">
        <f t="shared" ref="P3154:P3162" si="291">I3147</f>
        <v>99400</v>
      </c>
      <c r="Q3154" s="120" t="s">
        <v>132</v>
      </c>
      <c r="R3154" s="129">
        <f t="shared" ref="R3154:R3163" si="292">P3154*M3154</f>
        <v>1844.86</v>
      </c>
      <c r="S3154" s="121"/>
      <c r="T3154" s="126"/>
      <c r="X3154" s="120" t="s">
        <v>85</v>
      </c>
    </row>
    <row r="3155" spans="6:24" ht="24" customHeight="1">
      <c r="F3155" s="129">
        <v>1</v>
      </c>
      <c r="G3155" s="126" t="s">
        <v>131</v>
      </c>
      <c r="H3155" s="120" t="s">
        <v>455</v>
      </c>
      <c r="I3155" s="129">
        <f>D598</f>
        <v>49.55</v>
      </c>
      <c r="J3155" s="120" t="s">
        <v>131</v>
      </c>
      <c r="K3155" s="129">
        <f t="shared" si="290"/>
        <v>49.55</v>
      </c>
      <c r="M3155" s="201">
        <f>P3148</f>
        <v>1.61</v>
      </c>
      <c r="N3155" s="126" t="s">
        <v>425</v>
      </c>
      <c r="O3155" s="120" t="s">
        <v>448</v>
      </c>
      <c r="P3155" s="129">
        <f t="shared" si="291"/>
        <v>387.4</v>
      </c>
      <c r="Q3155" s="120" t="s">
        <v>425</v>
      </c>
      <c r="R3155" s="129">
        <f t="shared" si="292"/>
        <v>623.71</v>
      </c>
      <c r="S3155" s="115"/>
      <c r="T3155" s="116"/>
      <c r="U3155" s="123" t="s">
        <v>52</v>
      </c>
    </row>
    <row r="3156" spans="6:24" ht="24" customHeight="1">
      <c r="H3156" s="115" t="s">
        <v>4888</v>
      </c>
      <c r="K3156" s="240">
        <f>10*2.18</f>
        <v>21.8</v>
      </c>
      <c r="M3156" s="201">
        <f>P3140</f>
        <v>2.2549999999999999</v>
      </c>
      <c r="N3156" s="126" t="s">
        <v>425</v>
      </c>
      <c r="O3156" s="120" t="s">
        <v>449</v>
      </c>
      <c r="P3156" s="129">
        <f t="shared" si="291"/>
        <v>1336.5</v>
      </c>
      <c r="Q3156" s="120" t="s">
        <v>425</v>
      </c>
      <c r="R3156" s="129">
        <f t="shared" si="292"/>
        <v>3013.81</v>
      </c>
      <c r="S3156" s="202">
        <v>9.2099999999999994E-3</v>
      </c>
      <c r="T3156" s="126" t="s">
        <v>132</v>
      </c>
      <c r="U3156" s="120" t="s">
        <v>4877</v>
      </c>
      <c r="V3156" s="129">
        <f>V3131</f>
        <v>99400</v>
      </c>
      <c r="W3156" s="121" t="s">
        <v>132</v>
      </c>
      <c r="X3156" s="129">
        <f>V3156*S3156</f>
        <v>915.47</v>
      </c>
    </row>
    <row r="3157" spans="6:24" ht="24" customHeight="1">
      <c r="H3157" s="121" t="s">
        <v>2171</v>
      </c>
      <c r="K3157" s="129">
        <f>SUM(K3146:K3156)</f>
        <v>6467.29</v>
      </c>
      <c r="M3157" s="129">
        <v>2</v>
      </c>
      <c r="N3157" s="126" t="s">
        <v>131</v>
      </c>
      <c r="O3157" s="120" t="s">
        <v>450</v>
      </c>
      <c r="P3157" s="129">
        <f t="shared" si="291"/>
        <v>64.8</v>
      </c>
      <c r="Q3157" s="120" t="s">
        <v>131</v>
      </c>
      <c r="R3157" s="129">
        <f t="shared" si="292"/>
        <v>129.6</v>
      </c>
      <c r="S3157" s="202">
        <v>0.65249999999999997</v>
      </c>
      <c r="T3157" s="126" t="s">
        <v>425</v>
      </c>
      <c r="U3157" s="120" t="s">
        <v>4878</v>
      </c>
      <c r="V3157" s="129">
        <f>V3132</f>
        <v>208.8</v>
      </c>
      <c r="W3157" s="121" t="s">
        <v>132</v>
      </c>
      <c r="X3157" s="129">
        <f t="shared" ref="X3157:X3164" si="293">V3157*S3157</f>
        <v>136.24</v>
      </c>
    </row>
    <row r="3158" spans="6:24" ht="24" customHeight="1">
      <c r="G3158" s="126" t="s">
        <v>85</v>
      </c>
      <c r="K3158" s="123" t="s">
        <v>52</v>
      </c>
      <c r="M3158" s="129">
        <v>3</v>
      </c>
      <c r="N3158" s="126" t="s">
        <v>131</v>
      </c>
      <c r="O3158" s="120" t="s">
        <v>1479</v>
      </c>
      <c r="P3158" s="129">
        <f t="shared" si="291"/>
        <v>89.6</v>
      </c>
      <c r="Q3158" s="120" t="s">
        <v>131</v>
      </c>
      <c r="R3158" s="129">
        <f t="shared" si="292"/>
        <v>268.8</v>
      </c>
      <c r="S3158" s="201">
        <v>0.879</v>
      </c>
      <c r="T3158" s="126" t="s">
        <v>425</v>
      </c>
      <c r="U3158" s="120" t="s">
        <v>449</v>
      </c>
      <c r="V3158" s="129">
        <f t="shared" ref="V3158:V3164" si="294">V3133</f>
        <v>1498.2</v>
      </c>
      <c r="W3158" s="121" t="s">
        <v>425</v>
      </c>
      <c r="X3158" s="129">
        <f t="shared" si="293"/>
        <v>1316.92</v>
      </c>
    </row>
    <row r="3159" spans="6:24" ht="24" customHeight="1">
      <c r="H3159" s="128" t="s">
        <v>460</v>
      </c>
      <c r="K3159" s="127">
        <f>K3157/F3149</f>
        <v>3505.31</v>
      </c>
      <c r="M3159" s="129">
        <v>1</v>
      </c>
      <c r="N3159" s="126" t="s">
        <v>131</v>
      </c>
      <c r="O3159" s="120" t="s">
        <v>452</v>
      </c>
      <c r="P3159" s="129">
        <f t="shared" si="291"/>
        <v>181</v>
      </c>
      <c r="Q3159" s="120" t="s">
        <v>131</v>
      </c>
      <c r="R3159" s="129">
        <f t="shared" si="292"/>
        <v>181</v>
      </c>
      <c r="S3159" s="201">
        <v>4.3250000000000002</v>
      </c>
      <c r="T3159" s="126" t="s">
        <v>3791</v>
      </c>
      <c r="U3159" s="120" t="s">
        <v>4879</v>
      </c>
      <c r="V3159" s="129">
        <f t="shared" si="294"/>
        <v>15.45</v>
      </c>
      <c r="W3159" s="121" t="s">
        <v>425</v>
      </c>
      <c r="X3159" s="129">
        <f t="shared" si="293"/>
        <v>66.819999999999993</v>
      </c>
    </row>
    <row r="3160" spans="6:24" ht="24" customHeight="1">
      <c r="K3160" s="123" t="s">
        <v>89</v>
      </c>
      <c r="M3160" s="129">
        <v>1</v>
      </c>
      <c r="N3160" s="126" t="s">
        <v>131</v>
      </c>
      <c r="O3160" s="120" t="s">
        <v>453</v>
      </c>
      <c r="P3160" s="129">
        <f t="shared" si="291"/>
        <v>7.3</v>
      </c>
      <c r="Q3160" s="120" t="s">
        <v>131</v>
      </c>
      <c r="R3160" s="129">
        <f t="shared" si="292"/>
        <v>7.3</v>
      </c>
      <c r="S3160" s="129">
        <v>3</v>
      </c>
      <c r="T3160" s="126" t="s">
        <v>131</v>
      </c>
      <c r="U3160" s="120" t="s">
        <v>1479</v>
      </c>
      <c r="V3160" s="129">
        <f t="shared" si="294"/>
        <v>89.6</v>
      </c>
      <c r="W3160" s="121" t="s">
        <v>131</v>
      </c>
      <c r="X3160" s="129">
        <f t="shared" si="293"/>
        <v>268.8</v>
      </c>
    </row>
    <row r="3161" spans="6:24" ht="24" customHeight="1">
      <c r="M3161" s="129">
        <v>1</v>
      </c>
      <c r="N3161" s="126" t="s">
        <v>131</v>
      </c>
      <c r="O3161" s="120" t="s">
        <v>454</v>
      </c>
      <c r="P3161" s="129">
        <f t="shared" si="291"/>
        <v>57.65</v>
      </c>
      <c r="Q3161" s="120" t="s">
        <v>131</v>
      </c>
      <c r="R3161" s="129">
        <f t="shared" si="292"/>
        <v>57.65</v>
      </c>
      <c r="S3161" s="129">
        <v>2</v>
      </c>
      <c r="T3161" s="126" t="s">
        <v>131</v>
      </c>
      <c r="U3161" s="120" t="s">
        <v>3327</v>
      </c>
      <c r="V3161" s="129">
        <f t="shared" si="294"/>
        <v>82.25</v>
      </c>
      <c r="W3161" s="121" t="s">
        <v>131</v>
      </c>
      <c r="X3161" s="129">
        <f t="shared" si="293"/>
        <v>164.5</v>
      </c>
    </row>
    <row r="3162" spans="6:24" ht="24" customHeight="1">
      <c r="M3162" s="129">
        <v>1</v>
      </c>
      <c r="N3162" s="126" t="s">
        <v>131</v>
      </c>
      <c r="O3162" s="120" t="s">
        <v>455</v>
      </c>
      <c r="P3162" s="129">
        <f t="shared" si="291"/>
        <v>49.55</v>
      </c>
      <c r="Q3162" s="120" t="s">
        <v>131</v>
      </c>
      <c r="R3162" s="129">
        <f t="shared" si="292"/>
        <v>49.55</v>
      </c>
      <c r="S3162" s="129">
        <v>1</v>
      </c>
      <c r="T3162" s="126" t="s">
        <v>131</v>
      </c>
      <c r="U3162" s="120" t="s">
        <v>3328</v>
      </c>
      <c r="V3162" s="129">
        <f t="shared" si="294"/>
        <v>57.65</v>
      </c>
      <c r="W3162" s="121" t="s">
        <v>131</v>
      </c>
      <c r="X3162" s="129">
        <f t="shared" si="293"/>
        <v>57.65</v>
      </c>
    </row>
    <row r="3163" spans="6:24" ht="24" customHeight="1">
      <c r="M3163" s="129">
        <v>58</v>
      </c>
      <c r="N3163" s="116"/>
      <c r="O3163" s="115" t="s">
        <v>4888</v>
      </c>
      <c r="P3163" s="115">
        <f>P2864</f>
        <v>2.41</v>
      </c>
      <c r="Q3163" s="117"/>
      <c r="R3163" s="129">
        <f t="shared" si="292"/>
        <v>139.78</v>
      </c>
      <c r="S3163" s="129">
        <v>1</v>
      </c>
      <c r="T3163" s="126" t="s">
        <v>131</v>
      </c>
      <c r="U3163" s="120" t="s">
        <v>453</v>
      </c>
      <c r="V3163" s="129">
        <f t="shared" si="294"/>
        <v>7.3</v>
      </c>
      <c r="W3163" s="121" t="s">
        <v>131</v>
      </c>
      <c r="X3163" s="129">
        <f t="shared" si="293"/>
        <v>7.3</v>
      </c>
    </row>
    <row r="3164" spans="6:24" ht="24" customHeight="1">
      <c r="N3164" s="116"/>
      <c r="O3164" s="121" t="s">
        <v>4788</v>
      </c>
      <c r="Q3164" s="117"/>
      <c r="R3164" s="129">
        <f>SUM(R3153:R3163)</f>
        <v>7602.81</v>
      </c>
      <c r="S3164" s="129">
        <v>36</v>
      </c>
      <c r="T3164" s="126" t="s">
        <v>131</v>
      </c>
      <c r="U3164" s="120" t="s">
        <v>4888</v>
      </c>
      <c r="V3164" s="129">
        <f t="shared" si="294"/>
        <v>2.41</v>
      </c>
      <c r="W3164" s="121" t="s">
        <v>131</v>
      </c>
      <c r="X3164" s="129">
        <f t="shared" si="293"/>
        <v>86.76</v>
      </c>
    </row>
    <row r="3165" spans="6:24" ht="24" customHeight="1">
      <c r="N3165" s="126" t="s">
        <v>85</v>
      </c>
      <c r="Q3165" s="117"/>
      <c r="R3165" s="123" t="s">
        <v>52</v>
      </c>
      <c r="S3165" s="129"/>
      <c r="T3165" s="126"/>
      <c r="U3165" s="120"/>
      <c r="V3165" s="129"/>
      <c r="W3165" s="121" t="s">
        <v>131</v>
      </c>
      <c r="X3165" s="123" t="s">
        <v>52</v>
      </c>
    </row>
    <row r="3166" spans="6:24" ht="24" customHeight="1">
      <c r="H3166" s="115" t="s">
        <v>4911</v>
      </c>
      <c r="J3166" s="115"/>
      <c r="N3166" s="116"/>
      <c r="O3166" s="128" t="s">
        <v>460</v>
      </c>
      <c r="Q3166" s="117"/>
      <c r="R3166" s="127">
        <f>R3164/M3156</f>
        <v>3371.53</v>
      </c>
      <c r="S3166" s="129"/>
      <c r="T3166" s="116"/>
      <c r="U3166" s="128" t="s">
        <v>4912</v>
      </c>
      <c r="X3166" s="129">
        <f>SUM(X3156:X3164)</f>
        <v>3020.46</v>
      </c>
    </row>
    <row r="3167" spans="6:24" ht="24" customHeight="1">
      <c r="J3167" s="115"/>
      <c r="N3167" s="116"/>
      <c r="Q3167" s="117"/>
      <c r="R3167" s="123" t="s">
        <v>89</v>
      </c>
      <c r="S3167" s="115"/>
      <c r="T3167" s="116"/>
      <c r="X3167" s="123" t="s">
        <v>52</v>
      </c>
    </row>
    <row r="3168" spans="6:24" ht="24" customHeight="1">
      <c r="F3168" s="115">
        <v>3.23</v>
      </c>
      <c r="G3168" s="116" t="s">
        <v>476</v>
      </c>
      <c r="H3168" s="115" t="s">
        <v>4913</v>
      </c>
      <c r="I3168" s="115">
        <f>I1505</f>
        <v>49.85</v>
      </c>
      <c r="J3168" s="116" t="s">
        <v>476</v>
      </c>
      <c r="K3168" s="115">
        <f>I3168*F3168</f>
        <v>161.02000000000001</v>
      </c>
      <c r="S3168" s="115"/>
      <c r="T3168" s="126" t="s">
        <v>85</v>
      </c>
      <c r="U3168" s="128" t="s">
        <v>460</v>
      </c>
      <c r="X3168" s="127">
        <f>X3166/S3158</f>
        <v>3436.25</v>
      </c>
    </row>
    <row r="3169" spans="6:24" ht="24" customHeight="1">
      <c r="F3169" s="115">
        <v>0.5</v>
      </c>
      <c r="G3169" s="116" t="s">
        <v>1772</v>
      </c>
      <c r="H3169" s="115" t="s">
        <v>4914</v>
      </c>
      <c r="I3169" s="115">
        <f>I1506</f>
        <v>831.6</v>
      </c>
      <c r="J3169" s="116" t="s">
        <v>1772</v>
      </c>
      <c r="K3169" s="115">
        <f>I3169*F3169</f>
        <v>415.8</v>
      </c>
      <c r="S3169" s="115"/>
      <c r="T3169" s="116"/>
      <c r="X3169" s="123" t="s">
        <v>89</v>
      </c>
    </row>
    <row r="3170" spans="6:24" ht="24" customHeight="1">
      <c r="F3170" s="115">
        <v>0.5</v>
      </c>
      <c r="G3170" s="116" t="s">
        <v>1772</v>
      </c>
      <c r="H3170" s="120" t="s">
        <v>304</v>
      </c>
      <c r="I3170" s="115">
        <f>I1507</f>
        <v>679.8</v>
      </c>
      <c r="J3170" s="116" t="s">
        <v>1772</v>
      </c>
      <c r="K3170" s="115">
        <f>I3170*F3170</f>
        <v>339.9</v>
      </c>
      <c r="M3170" s="121"/>
      <c r="N3170" s="126" t="s">
        <v>111</v>
      </c>
      <c r="O3170" s="120" t="s">
        <v>4915</v>
      </c>
      <c r="Q3170" s="119"/>
    </row>
    <row r="3171" spans="6:24" ht="24" customHeight="1">
      <c r="F3171" s="115">
        <v>0.8</v>
      </c>
      <c r="G3171" s="116" t="s">
        <v>1772</v>
      </c>
      <c r="H3171" s="120" t="s">
        <v>306</v>
      </c>
      <c r="I3171" s="115">
        <f>I1508</f>
        <v>557.70000000000005</v>
      </c>
      <c r="J3171" s="116" t="s">
        <v>1772</v>
      </c>
      <c r="K3171" s="115">
        <f>I3171*F3171</f>
        <v>446.16</v>
      </c>
      <c r="N3171" s="116"/>
      <c r="O3171" s="120" t="s">
        <v>1309</v>
      </c>
      <c r="Q3171" s="119"/>
    </row>
    <row r="3172" spans="6:24" ht="24" customHeight="1">
      <c r="F3172" s="115">
        <v>10</v>
      </c>
      <c r="G3172" s="116" t="s">
        <v>724</v>
      </c>
      <c r="H3172" s="120" t="s">
        <v>4916</v>
      </c>
      <c r="I3172" s="115">
        <f>C460</f>
        <v>4.4000000000000004</v>
      </c>
      <c r="J3172" s="116" t="s">
        <v>724</v>
      </c>
      <c r="K3172" s="115">
        <f>I3172*F3172</f>
        <v>44</v>
      </c>
      <c r="N3172" s="116"/>
      <c r="O3172" s="379" t="s">
        <v>4917</v>
      </c>
      <c r="Q3172" s="119"/>
    </row>
    <row r="3173" spans="6:24" ht="24" customHeight="1">
      <c r="H3173" s="120" t="s">
        <v>4918</v>
      </c>
      <c r="I3173" s="213" t="s">
        <v>49</v>
      </c>
      <c r="J3173" s="119"/>
      <c r="K3173" s="115">
        <v>1.75</v>
      </c>
      <c r="N3173" s="116"/>
      <c r="O3173" s="123" t="s">
        <v>52</v>
      </c>
      <c r="Q3173" s="119"/>
    </row>
    <row r="3174" spans="6:24" ht="24" customHeight="1">
      <c r="J3174" s="119"/>
      <c r="K3174" s="115">
        <f>SUM(K3168:K3173)</f>
        <v>1408.63</v>
      </c>
      <c r="N3174" s="116"/>
      <c r="O3174" s="120" t="s">
        <v>4919</v>
      </c>
      <c r="P3174" s="213" t="s">
        <v>89</v>
      </c>
      <c r="Q3174" s="276">
        <v>3.1219999999999999</v>
      </c>
      <c r="R3174" s="115" t="s">
        <v>724</v>
      </c>
    </row>
    <row r="3175" spans="6:24" ht="24" customHeight="1">
      <c r="J3175" s="119"/>
      <c r="K3175" s="115">
        <f>K3174/10</f>
        <v>140.86000000000001</v>
      </c>
      <c r="N3175" s="116"/>
      <c r="O3175" s="120"/>
      <c r="P3175" s="213"/>
      <c r="Q3175" s="276"/>
    </row>
    <row r="3176" spans="6:24" ht="24" customHeight="1">
      <c r="G3176" s="115"/>
      <c r="J3176" s="115"/>
      <c r="L3176" s="115">
        <f>K3210</f>
        <v>317.74</v>
      </c>
      <c r="N3176" s="116"/>
      <c r="O3176" s="120" t="s">
        <v>4920</v>
      </c>
      <c r="P3176" s="213" t="s">
        <v>89</v>
      </c>
      <c r="Q3176" s="420">
        <v>5.1999999999999998E-2</v>
      </c>
      <c r="R3176" s="115" t="s">
        <v>5</v>
      </c>
    </row>
    <row r="3177" spans="6:24" ht="24" customHeight="1">
      <c r="G3177" s="115"/>
      <c r="J3177" s="115"/>
      <c r="L3177" s="115">
        <f>K3211</f>
        <v>582.12</v>
      </c>
      <c r="N3177" s="116"/>
      <c r="O3177" s="120" t="s">
        <v>4921</v>
      </c>
      <c r="Q3177" s="213"/>
    </row>
    <row r="3178" spans="6:24" ht="24" customHeight="1">
      <c r="G3178" s="115"/>
      <c r="J3178" s="115"/>
      <c r="N3178" s="116"/>
      <c r="O3178" s="120" t="s">
        <v>4922</v>
      </c>
      <c r="P3178" s="213" t="s">
        <v>89</v>
      </c>
      <c r="Q3178" s="497">
        <v>2.2780000000000002E-2</v>
      </c>
    </row>
    <row r="3179" spans="6:24" ht="24" customHeight="1">
      <c r="H3179" s="115" t="s">
        <v>4923</v>
      </c>
      <c r="J3179" s="115"/>
      <c r="L3179" s="115">
        <v>1.5</v>
      </c>
      <c r="N3179" s="116"/>
      <c r="O3179" s="120" t="s">
        <v>4924</v>
      </c>
      <c r="P3179" s="213" t="s">
        <v>89</v>
      </c>
      <c r="Q3179" s="497">
        <v>1.013E-2</v>
      </c>
      <c r="R3179" s="202"/>
    </row>
    <row r="3180" spans="6:24" ht="24" customHeight="1">
      <c r="J3180" s="115"/>
      <c r="L3180" s="115">
        <f>SUM(L3176:L3179)</f>
        <v>901.36</v>
      </c>
      <c r="N3180" s="116"/>
      <c r="Q3180" s="123" t="s">
        <v>52</v>
      </c>
    </row>
    <row r="3181" spans="6:24" ht="24" customHeight="1">
      <c r="F3181" s="115">
        <v>1.8</v>
      </c>
      <c r="G3181" s="116" t="s">
        <v>476</v>
      </c>
      <c r="H3181" s="115" t="s">
        <v>4913</v>
      </c>
      <c r="I3181" s="115">
        <f>I3168</f>
        <v>49.85</v>
      </c>
      <c r="J3181" s="116" t="s">
        <v>476</v>
      </c>
      <c r="K3181" s="115">
        <f>I3181*F3181</f>
        <v>89.73</v>
      </c>
      <c r="N3181" s="116"/>
      <c r="Q3181" s="498">
        <v>3.2910000000000002E-2</v>
      </c>
      <c r="R3181" s="115" t="s">
        <v>5</v>
      </c>
    </row>
    <row r="3182" spans="6:24" ht="24" customHeight="1">
      <c r="F3182" s="115">
        <v>0.25</v>
      </c>
      <c r="G3182" s="116" t="s">
        <v>1772</v>
      </c>
      <c r="H3182" s="115" t="s">
        <v>4914</v>
      </c>
      <c r="I3182" s="115">
        <f>I3169</f>
        <v>831.6</v>
      </c>
      <c r="J3182" s="116" t="s">
        <v>1772</v>
      </c>
      <c r="K3182" s="115">
        <f>I3182*F3182</f>
        <v>207.9</v>
      </c>
      <c r="L3182" s="115">
        <f>L3180/10</f>
        <v>90.14</v>
      </c>
      <c r="N3182" s="116"/>
      <c r="Q3182" s="123" t="s">
        <v>52</v>
      </c>
    </row>
    <row r="3183" spans="6:24" ht="24" customHeight="1">
      <c r="F3183" s="115">
        <v>0.25</v>
      </c>
      <c r="G3183" s="116" t="s">
        <v>1772</v>
      </c>
      <c r="H3183" s="120" t="s">
        <v>304</v>
      </c>
      <c r="I3183" s="115">
        <f>I3170</f>
        <v>679.8</v>
      </c>
      <c r="J3183" s="116" t="s">
        <v>1772</v>
      </c>
      <c r="K3183" s="115">
        <f>I3183*F3183</f>
        <v>169.95</v>
      </c>
      <c r="N3183" s="116"/>
      <c r="O3183" s="120" t="s">
        <v>4925</v>
      </c>
      <c r="Q3183" s="499">
        <v>1.7600000000000001E-2</v>
      </c>
      <c r="R3183" s="202"/>
    </row>
    <row r="3184" spans="6:24" ht="24" customHeight="1">
      <c r="F3184" s="115">
        <v>0.4</v>
      </c>
      <c r="G3184" s="116" t="s">
        <v>1772</v>
      </c>
      <c r="H3184" s="120" t="s">
        <v>306</v>
      </c>
      <c r="I3184" s="115">
        <f>I3171</f>
        <v>557.70000000000005</v>
      </c>
      <c r="J3184" s="116" t="s">
        <v>1772</v>
      </c>
      <c r="K3184" s="115">
        <f>I3184*F3184</f>
        <v>223.08</v>
      </c>
      <c r="N3184" s="116"/>
      <c r="O3184" s="120" t="s">
        <v>4926</v>
      </c>
      <c r="Q3184" s="500">
        <v>8.3999999999999995E-3</v>
      </c>
      <c r="R3184" s="202"/>
    </row>
    <row r="3185" spans="6:20" ht="24" customHeight="1">
      <c r="F3185" s="115">
        <v>10</v>
      </c>
      <c r="G3185" s="116" t="s">
        <v>724</v>
      </c>
      <c r="H3185" s="120" t="s">
        <v>4927</v>
      </c>
      <c r="I3185" s="115">
        <f>I3172</f>
        <v>4.4000000000000004</v>
      </c>
      <c r="J3185" s="116" t="s">
        <v>724</v>
      </c>
      <c r="K3185" s="115">
        <f>I3185*F3185</f>
        <v>44</v>
      </c>
      <c r="N3185" s="116"/>
      <c r="O3185" s="120"/>
      <c r="Q3185" s="123" t="s">
        <v>52</v>
      </c>
      <c r="R3185" s="202"/>
    </row>
    <row r="3186" spans="6:20" ht="24" customHeight="1">
      <c r="H3186" s="120" t="s">
        <v>4918</v>
      </c>
      <c r="I3186" s="213" t="s">
        <v>4928</v>
      </c>
      <c r="J3186" s="119"/>
      <c r="K3186" s="115">
        <v>1.6</v>
      </c>
      <c r="N3186" s="116"/>
      <c r="O3186" s="120"/>
      <c r="Q3186" s="501">
        <v>2.5999999999999999E-2</v>
      </c>
      <c r="R3186" s="202" t="s">
        <v>5</v>
      </c>
    </row>
    <row r="3187" spans="6:20" ht="24" customHeight="1">
      <c r="J3187" s="119"/>
      <c r="K3187" s="115">
        <f>SUM(K3181:K3186)</f>
        <v>736.26</v>
      </c>
      <c r="N3187" s="116"/>
      <c r="Q3187" s="123" t="s">
        <v>52</v>
      </c>
      <c r="R3187" s="123"/>
    </row>
    <row r="3188" spans="6:20" ht="24" customHeight="1">
      <c r="J3188" s="119"/>
      <c r="K3188" s="115">
        <f>K3187/10</f>
        <v>73.63</v>
      </c>
      <c r="M3188" s="202">
        <v>5.1999999999999998E-2</v>
      </c>
      <c r="N3188" s="126" t="s">
        <v>132</v>
      </c>
      <c r="O3188" s="120" t="s">
        <v>1332</v>
      </c>
      <c r="P3188" s="129">
        <f>AC26</f>
        <v>111600</v>
      </c>
      <c r="Q3188" s="121" t="s">
        <v>132</v>
      </c>
      <c r="R3188" s="129">
        <f>P3188*M3188</f>
        <v>5803.2</v>
      </c>
    </row>
    <row r="3189" spans="6:20" ht="24" customHeight="1">
      <c r="G3189" s="115"/>
      <c r="J3189" s="115"/>
      <c r="M3189" s="202">
        <v>3.2910000000000002E-2</v>
      </c>
      <c r="N3189" s="126" t="s">
        <v>132</v>
      </c>
      <c r="O3189" s="120" t="s">
        <v>1334</v>
      </c>
      <c r="P3189" s="129">
        <f>AC27</f>
        <v>99400</v>
      </c>
      <c r="Q3189" s="121" t="s">
        <v>132</v>
      </c>
      <c r="R3189" s="129">
        <f t="shared" ref="R3189:R3199" si="295">P3189*M3189</f>
        <v>3271.25</v>
      </c>
    </row>
    <row r="3190" spans="6:20" ht="24" customHeight="1">
      <c r="G3190" s="115"/>
      <c r="J3190" s="115"/>
      <c r="M3190" s="202">
        <v>2.5999999999999999E-2</v>
      </c>
      <c r="N3190" s="126" t="s">
        <v>132</v>
      </c>
      <c r="O3190" s="120" t="s">
        <v>4929</v>
      </c>
      <c r="P3190" s="136">
        <v>107000</v>
      </c>
      <c r="Q3190" s="121" t="s">
        <v>132</v>
      </c>
      <c r="R3190" s="129">
        <f t="shared" si="295"/>
        <v>2782</v>
      </c>
    </row>
    <row r="3191" spans="6:20" ht="24" customHeight="1">
      <c r="G3191" s="115"/>
      <c r="J3191" s="115"/>
      <c r="L3191" s="115">
        <f>K3225</f>
        <v>530.36</v>
      </c>
      <c r="M3191" s="201"/>
      <c r="N3191" s="116"/>
      <c r="O3191" s="120" t="s">
        <v>4930</v>
      </c>
      <c r="P3191" s="129"/>
      <c r="Q3191" s="119"/>
      <c r="R3191" s="129">
        <f t="shared" si="295"/>
        <v>0</v>
      </c>
    </row>
    <row r="3192" spans="6:20" ht="24" customHeight="1">
      <c r="H3192" s="115" t="s">
        <v>4931</v>
      </c>
      <c r="J3192" s="115"/>
      <c r="L3192" s="115">
        <f>K3226</f>
        <v>997.92</v>
      </c>
      <c r="M3192" s="201">
        <v>3.1219999999999999</v>
      </c>
      <c r="N3192" s="126" t="s">
        <v>425</v>
      </c>
      <c r="O3192" s="120" t="s">
        <v>1340</v>
      </c>
      <c r="P3192" s="129">
        <f>I954</f>
        <v>1602.7</v>
      </c>
      <c r="Q3192" s="121" t="s">
        <v>425</v>
      </c>
      <c r="R3192" s="129">
        <f t="shared" si="295"/>
        <v>5003.63</v>
      </c>
    </row>
    <row r="3193" spans="6:20" ht="24" customHeight="1">
      <c r="H3193" s="115" t="s">
        <v>1662</v>
      </c>
      <c r="J3193" s="115"/>
      <c r="M3193" s="129">
        <v>4</v>
      </c>
      <c r="N3193" s="126" t="s">
        <v>237</v>
      </c>
      <c r="O3193" s="120" t="s">
        <v>4932</v>
      </c>
      <c r="P3193" s="129">
        <f>I2637</f>
        <v>254.5</v>
      </c>
      <c r="Q3193" s="121" t="s">
        <v>131</v>
      </c>
      <c r="R3193" s="129">
        <f t="shared" si="295"/>
        <v>1018</v>
      </c>
    </row>
    <row r="3194" spans="6:20" ht="24" customHeight="1">
      <c r="H3194" s="115" t="s">
        <v>1657</v>
      </c>
      <c r="J3194" s="115"/>
      <c r="L3194" s="115">
        <f>K3228</f>
        <v>6.65</v>
      </c>
      <c r="M3194" s="129">
        <v>8</v>
      </c>
      <c r="N3194" s="126" t="s">
        <v>131</v>
      </c>
      <c r="O3194" s="120" t="s">
        <v>1344</v>
      </c>
      <c r="P3194" s="129">
        <f>P3158</f>
        <v>89.6</v>
      </c>
      <c r="Q3194" s="121" t="s">
        <v>131</v>
      </c>
      <c r="R3194" s="129">
        <f t="shared" si="295"/>
        <v>716.8</v>
      </c>
    </row>
    <row r="3195" spans="6:20" ht="24" customHeight="1">
      <c r="J3195" s="115"/>
      <c r="L3195" s="115">
        <f>SUM(L3191:L3194)</f>
        <v>1534.93</v>
      </c>
      <c r="M3195" s="129">
        <v>4</v>
      </c>
      <c r="N3195" s="126" t="s">
        <v>131</v>
      </c>
      <c r="O3195" s="210" t="s">
        <v>4933</v>
      </c>
      <c r="P3195" s="136">
        <v>97.85</v>
      </c>
      <c r="Q3195" s="121" t="s">
        <v>131</v>
      </c>
      <c r="R3195" s="129">
        <f t="shared" si="295"/>
        <v>391.4</v>
      </c>
    </row>
    <row r="3196" spans="6:20" ht="24" customHeight="1">
      <c r="F3196" s="115">
        <v>1.1100000000000001</v>
      </c>
      <c r="G3196" s="116" t="s">
        <v>4934</v>
      </c>
      <c r="H3196" s="115" t="s">
        <v>1661</v>
      </c>
      <c r="I3196" s="115">
        <f>I1547</f>
        <v>227.6</v>
      </c>
      <c r="J3196" s="116" t="s">
        <v>4934</v>
      </c>
      <c r="K3196" s="115">
        <f>I3196*F3196</f>
        <v>252.64</v>
      </c>
      <c r="M3196" s="129">
        <v>1</v>
      </c>
      <c r="N3196" s="126" t="s">
        <v>131</v>
      </c>
      <c r="O3196" s="210" t="s">
        <v>4935</v>
      </c>
      <c r="P3196" s="136">
        <v>209.9</v>
      </c>
      <c r="Q3196" s="121" t="s">
        <v>131</v>
      </c>
      <c r="R3196" s="129">
        <f t="shared" si="295"/>
        <v>209.9</v>
      </c>
    </row>
    <row r="3197" spans="6:20" ht="24" customHeight="1">
      <c r="F3197" s="115">
        <v>0.7</v>
      </c>
      <c r="G3197" s="116" t="s">
        <v>1772</v>
      </c>
      <c r="H3197" s="115" t="s">
        <v>1660</v>
      </c>
      <c r="I3197" s="115">
        <f>I3182</f>
        <v>831.6</v>
      </c>
      <c r="J3197" s="116" t="s">
        <v>1772</v>
      </c>
      <c r="K3197" s="115">
        <f>I3197*F3197</f>
        <v>582.12</v>
      </c>
      <c r="L3197" s="115">
        <f>L3195/10</f>
        <v>153.49</v>
      </c>
      <c r="M3197" s="129">
        <v>2</v>
      </c>
      <c r="N3197" s="126" t="s">
        <v>131</v>
      </c>
      <c r="O3197" s="210" t="s">
        <v>4936</v>
      </c>
      <c r="P3197" s="136">
        <v>23.1</v>
      </c>
      <c r="Q3197" s="121" t="s">
        <v>131</v>
      </c>
      <c r="R3197" s="129">
        <f t="shared" si="295"/>
        <v>46.2</v>
      </c>
    </row>
    <row r="3198" spans="6:20" ht="24" customHeight="1">
      <c r="F3198" s="115">
        <v>10</v>
      </c>
      <c r="G3198" s="116" t="s">
        <v>724</v>
      </c>
      <c r="H3198" s="415" t="s">
        <v>4937</v>
      </c>
      <c r="I3198" s="163">
        <f>AE54</f>
        <v>9.52</v>
      </c>
      <c r="J3198" s="116" t="s">
        <v>724</v>
      </c>
      <c r="K3198" s="115">
        <f>I3198*F3198</f>
        <v>95.2</v>
      </c>
      <c r="M3198" s="129">
        <v>2</v>
      </c>
      <c r="N3198" s="126" t="s">
        <v>131</v>
      </c>
      <c r="O3198" s="210" t="s">
        <v>4938</v>
      </c>
      <c r="P3198" s="136">
        <v>49.55</v>
      </c>
      <c r="Q3198" s="121" t="s">
        <v>131</v>
      </c>
      <c r="R3198" s="129">
        <f t="shared" si="295"/>
        <v>99.1</v>
      </c>
      <c r="S3198" s="118">
        <f>0.42*3.122</f>
        <v>1.3109999999999999</v>
      </c>
      <c r="T3198" s="115">
        <f>S3198+19.79</f>
        <v>21.1</v>
      </c>
    </row>
    <row r="3199" spans="6:20" ht="24" customHeight="1">
      <c r="H3199" s="120" t="s">
        <v>4918</v>
      </c>
      <c r="I3199" s="115" t="s">
        <v>49</v>
      </c>
      <c r="J3199" s="119"/>
      <c r="K3199" s="115">
        <v>2.8</v>
      </c>
      <c r="M3199" s="129">
        <v>118</v>
      </c>
      <c r="N3199" s="126" t="s">
        <v>131</v>
      </c>
      <c r="O3199" s="115" t="s">
        <v>4888</v>
      </c>
      <c r="P3199" s="115">
        <f>I961</f>
        <v>2.41</v>
      </c>
      <c r="Q3199" s="121" t="s">
        <v>131</v>
      </c>
      <c r="R3199" s="129">
        <f t="shared" si="295"/>
        <v>284.38</v>
      </c>
    </row>
    <row r="3200" spans="6:20" ht="24" customHeight="1">
      <c r="H3200" s="115" t="s">
        <v>495</v>
      </c>
      <c r="J3200" s="119"/>
      <c r="K3200" s="115">
        <f>SUM(K3196:K3199)</f>
        <v>932.76</v>
      </c>
      <c r="N3200" s="116"/>
      <c r="Q3200" s="119"/>
      <c r="R3200" s="123" t="s">
        <v>52</v>
      </c>
    </row>
    <row r="3201" spans="6:18" ht="24" customHeight="1">
      <c r="J3201" s="119"/>
      <c r="N3201" s="116"/>
      <c r="O3201" s="120" t="s">
        <v>4939</v>
      </c>
      <c r="Q3201" s="119"/>
      <c r="R3201" s="129">
        <f>SUM(R3188:R3199)</f>
        <v>19625.86</v>
      </c>
    </row>
    <row r="3202" spans="6:18" ht="24" customHeight="1">
      <c r="H3202" s="115" t="s">
        <v>460</v>
      </c>
      <c r="J3202" s="119"/>
      <c r="K3202" s="115">
        <f>K3200/10</f>
        <v>93.28</v>
      </c>
      <c r="N3202" s="116"/>
      <c r="Q3202" s="119"/>
      <c r="R3202" s="123" t="s">
        <v>52</v>
      </c>
    </row>
    <row r="3203" spans="6:18" ht="24" customHeight="1">
      <c r="J3203" s="119"/>
      <c r="N3203" s="116"/>
      <c r="O3203" s="122" t="s">
        <v>460</v>
      </c>
      <c r="Q3203" s="305" t="s">
        <v>3192</v>
      </c>
      <c r="R3203" s="127">
        <f>R3201/M3192</f>
        <v>6286.31</v>
      </c>
    </row>
    <row r="3204" spans="6:18" ht="24" customHeight="1">
      <c r="J3204" s="119"/>
      <c r="M3204" s="121"/>
      <c r="N3204" s="126" t="s">
        <v>111</v>
      </c>
      <c r="O3204" s="120" t="s">
        <v>4940</v>
      </c>
      <c r="Q3204" s="119"/>
    </row>
    <row r="3205" spans="6:18" ht="24" customHeight="1">
      <c r="J3205" s="119"/>
      <c r="N3205" s="116"/>
      <c r="O3205" s="120" t="s">
        <v>1309</v>
      </c>
      <c r="Q3205" s="119"/>
    </row>
    <row r="3206" spans="6:18" ht="24" customHeight="1">
      <c r="H3206" s="115" t="s">
        <v>4931</v>
      </c>
      <c r="J3206" s="119"/>
      <c r="N3206" s="116"/>
      <c r="O3206" s="379" t="s">
        <v>4917</v>
      </c>
      <c r="Q3206" s="119"/>
    </row>
    <row r="3207" spans="6:18" ht="24" customHeight="1">
      <c r="H3207" s="115" t="s">
        <v>1656</v>
      </c>
      <c r="J3207" s="119"/>
      <c r="L3207" s="115">
        <f>K3241</f>
        <v>430.16</v>
      </c>
      <c r="N3207" s="116"/>
      <c r="O3207" s="123" t="s">
        <v>52</v>
      </c>
      <c r="Q3207" s="119"/>
    </row>
    <row r="3208" spans="6:18" ht="24" customHeight="1">
      <c r="H3208" s="115" t="s">
        <v>1657</v>
      </c>
      <c r="J3208" s="119"/>
      <c r="L3208" s="115">
        <f>K3242</f>
        <v>914.76</v>
      </c>
      <c r="N3208" s="116"/>
      <c r="O3208" s="120" t="s">
        <v>4919</v>
      </c>
      <c r="P3208" s="213" t="s">
        <v>89</v>
      </c>
      <c r="Q3208" s="276">
        <v>3.1219999999999999</v>
      </c>
      <c r="R3208" s="117" t="s">
        <v>724</v>
      </c>
    </row>
    <row r="3209" spans="6:18" ht="24" customHeight="1">
      <c r="J3209" s="119"/>
      <c r="N3209" s="116"/>
      <c r="O3209" s="120"/>
      <c r="P3209" s="213"/>
      <c r="Q3209" s="276"/>
      <c r="R3209" s="117"/>
    </row>
    <row r="3210" spans="6:18" ht="24" customHeight="1">
      <c r="F3210" s="115">
        <v>1.33</v>
      </c>
      <c r="G3210" s="116" t="s">
        <v>4934</v>
      </c>
      <c r="H3210" s="115" t="s">
        <v>1661</v>
      </c>
      <c r="I3210" s="115">
        <f>I1534</f>
        <v>238.9</v>
      </c>
      <c r="J3210" s="116" t="s">
        <v>4934</v>
      </c>
      <c r="K3210" s="115">
        <f>I3210*F3210</f>
        <v>317.74</v>
      </c>
      <c r="L3210" s="115">
        <f>K3244</f>
        <v>1.9</v>
      </c>
      <c r="N3210" s="116"/>
      <c r="O3210" s="120" t="s">
        <v>4920</v>
      </c>
      <c r="P3210" s="213" t="s">
        <v>89</v>
      </c>
      <c r="Q3210" s="420">
        <v>5.1999999999999998E-2</v>
      </c>
      <c r="R3210" s="117" t="s">
        <v>5</v>
      </c>
    </row>
    <row r="3211" spans="6:18" ht="24" customHeight="1">
      <c r="F3211" s="115">
        <v>0.7</v>
      </c>
      <c r="G3211" s="116" t="s">
        <v>1772</v>
      </c>
      <c r="H3211" s="115" t="s">
        <v>1660</v>
      </c>
      <c r="I3211" s="115">
        <f>I3197</f>
        <v>831.6</v>
      </c>
      <c r="J3211" s="116" t="s">
        <v>1772</v>
      </c>
      <c r="K3211" s="115">
        <f>I3211*F3211</f>
        <v>582.12</v>
      </c>
      <c r="L3211" s="115">
        <f>SUM(L3207:L3210)</f>
        <v>1346.82</v>
      </c>
      <c r="N3211" s="116"/>
      <c r="O3211" s="120" t="s">
        <v>4921</v>
      </c>
      <c r="Q3211" s="213"/>
      <c r="R3211" s="117"/>
    </row>
    <row r="3212" spans="6:18" ht="24" customHeight="1">
      <c r="F3212" s="115">
        <v>10</v>
      </c>
      <c r="G3212" s="116" t="s">
        <v>724</v>
      </c>
      <c r="H3212" s="406" t="s">
        <v>4941</v>
      </c>
      <c r="I3212" s="163">
        <f>AE55</f>
        <v>10.29</v>
      </c>
      <c r="J3212" s="116" t="s">
        <v>724</v>
      </c>
      <c r="K3212" s="115">
        <f>I3212*F3212</f>
        <v>102.9</v>
      </c>
      <c r="N3212" s="116"/>
      <c r="O3212" s="120" t="s">
        <v>4942</v>
      </c>
      <c r="P3212" s="213" t="s">
        <v>89</v>
      </c>
      <c r="Q3212" s="497">
        <v>2.2780000000000002E-2</v>
      </c>
      <c r="R3212" s="117"/>
    </row>
    <row r="3213" spans="6:18" ht="24" customHeight="1">
      <c r="H3213" s="115" t="s">
        <v>4918</v>
      </c>
      <c r="I3213" s="115" t="s">
        <v>49</v>
      </c>
      <c r="J3213" s="119"/>
      <c r="K3213" s="115">
        <v>3.43</v>
      </c>
      <c r="N3213" s="116"/>
      <c r="O3213" s="120" t="s">
        <v>4924</v>
      </c>
      <c r="P3213" s="213" t="s">
        <v>89</v>
      </c>
      <c r="Q3213" s="497">
        <v>1.013E-2</v>
      </c>
      <c r="R3213" s="254"/>
    </row>
    <row r="3214" spans="6:18" ht="24" customHeight="1">
      <c r="H3214" s="115" t="s">
        <v>495</v>
      </c>
      <c r="J3214" s="119"/>
      <c r="K3214" s="115">
        <f>SUM(K3210:K3213)</f>
        <v>1006.19</v>
      </c>
      <c r="N3214" s="116"/>
      <c r="Q3214" s="1173" t="s">
        <v>2197</v>
      </c>
      <c r="R3214" s="117"/>
    </row>
    <row r="3215" spans="6:18" ht="24" customHeight="1">
      <c r="J3215" s="119"/>
      <c r="N3215" s="116"/>
      <c r="Q3215" s="498">
        <v>3.2910000000000002E-2</v>
      </c>
      <c r="R3215" s="117" t="s">
        <v>5</v>
      </c>
    </row>
    <row r="3216" spans="6:18" ht="24" customHeight="1">
      <c r="H3216" s="115" t="s">
        <v>460</v>
      </c>
      <c r="J3216" s="119"/>
      <c r="K3216" s="115">
        <f>K3214/10</f>
        <v>100.62</v>
      </c>
      <c r="N3216" s="116"/>
      <c r="Q3216" s="1173" t="s">
        <v>2197</v>
      </c>
      <c r="R3216" s="117"/>
    </row>
    <row r="3217" spans="6:18" ht="24" customHeight="1">
      <c r="J3217" s="119"/>
      <c r="N3217" s="116"/>
      <c r="O3217" s="120" t="s">
        <v>4943</v>
      </c>
      <c r="Q3217" s="420">
        <v>0.94</v>
      </c>
      <c r="R3217" s="254" t="s">
        <v>724</v>
      </c>
    </row>
    <row r="3218" spans="6:18" ht="24" customHeight="1">
      <c r="J3218" s="119"/>
      <c r="N3218" s="116"/>
      <c r="O3218" s="120" t="s">
        <v>4944</v>
      </c>
      <c r="Q3218" s="501">
        <v>8.3999999999999995E-3</v>
      </c>
      <c r="R3218" s="254" t="s">
        <v>5</v>
      </c>
    </row>
    <row r="3219" spans="6:18" ht="24" customHeight="1">
      <c r="J3219" s="119"/>
      <c r="N3219" s="116"/>
      <c r="O3219" s="120" t="s">
        <v>4945</v>
      </c>
      <c r="Q3219" s="501">
        <v>7.9</v>
      </c>
      <c r="R3219" s="254" t="s">
        <v>13</v>
      </c>
    </row>
    <row r="3220" spans="6:18" ht="24" customHeight="1">
      <c r="J3220" s="119"/>
      <c r="N3220" s="116"/>
      <c r="Q3220" s="123"/>
      <c r="R3220" s="123"/>
    </row>
    <row r="3221" spans="6:18" ht="24" customHeight="1">
      <c r="H3221" s="115" t="s">
        <v>4946</v>
      </c>
      <c r="J3221" s="119"/>
      <c r="M3221" s="202">
        <v>5.1999999999999998E-2</v>
      </c>
      <c r="N3221" s="126" t="s">
        <v>132</v>
      </c>
      <c r="O3221" s="120" t="s">
        <v>1332</v>
      </c>
      <c r="P3221" s="129">
        <f>P3188</f>
        <v>111600</v>
      </c>
      <c r="Q3221" s="121" t="s">
        <v>132</v>
      </c>
      <c r="R3221" s="129">
        <f>P3221*M3221</f>
        <v>5803.2</v>
      </c>
    </row>
    <row r="3222" spans="6:18" ht="24" customHeight="1">
      <c r="H3222" s="115" t="s">
        <v>1656</v>
      </c>
      <c r="J3222" s="119"/>
      <c r="M3222" s="202">
        <v>3.2910000000000002E-2</v>
      </c>
      <c r="N3222" s="126" t="s">
        <v>132</v>
      </c>
      <c r="O3222" s="120" t="s">
        <v>1334</v>
      </c>
      <c r="P3222" s="129">
        <f>P3189</f>
        <v>99400</v>
      </c>
      <c r="Q3222" s="121" t="s">
        <v>132</v>
      </c>
      <c r="R3222" s="129">
        <f t="shared" ref="R3222:R3234" si="296">P3222*M3222</f>
        <v>3271.25</v>
      </c>
    </row>
    <row r="3223" spans="6:18" ht="24" customHeight="1">
      <c r="H3223" s="115" t="s">
        <v>1657</v>
      </c>
      <c r="J3223" s="119"/>
      <c r="M3223" s="202">
        <v>8.3999999999999995E-3</v>
      </c>
      <c r="N3223" s="126" t="s">
        <v>132</v>
      </c>
      <c r="O3223" s="191" t="s">
        <v>4929</v>
      </c>
      <c r="P3223" s="129">
        <f>P3190</f>
        <v>107000</v>
      </c>
      <c r="Q3223" s="121" t="s">
        <v>132</v>
      </c>
      <c r="R3223" s="129">
        <f t="shared" si="296"/>
        <v>898.8</v>
      </c>
    </row>
    <row r="3224" spans="6:18" ht="24" customHeight="1">
      <c r="J3224" s="119"/>
      <c r="M3224" s="201"/>
      <c r="N3224" s="116"/>
      <c r="O3224" s="120" t="s">
        <v>4947</v>
      </c>
      <c r="P3224" s="129"/>
      <c r="Q3224" s="119"/>
      <c r="R3224" s="129">
        <f t="shared" si="296"/>
        <v>0</v>
      </c>
    </row>
    <row r="3225" spans="6:18" ht="24" customHeight="1">
      <c r="F3225" s="115">
        <v>2.2200000000000002</v>
      </c>
      <c r="G3225" s="116" t="s">
        <v>4934</v>
      </c>
      <c r="H3225" s="115" t="s">
        <v>1661</v>
      </c>
      <c r="I3225" s="115">
        <f>I3210</f>
        <v>238.9</v>
      </c>
      <c r="J3225" s="116" t="s">
        <v>4934</v>
      </c>
      <c r="K3225" s="115">
        <f>I3225*F3225</f>
        <v>530.36</v>
      </c>
      <c r="M3225" s="201">
        <v>0.94</v>
      </c>
      <c r="N3225" s="126" t="s">
        <v>425</v>
      </c>
      <c r="O3225" s="191" t="s">
        <v>4948</v>
      </c>
      <c r="P3225" s="136">
        <v>562.5</v>
      </c>
      <c r="Q3225" s="119" t="s">
        <v>425</v>
      </c>
      <c r="R3225" s="129">
        <f t="shared" si="296"/>
        <v>528.75</v>
      </c>
    </row>
    <row r="3226" spans="6:18" ht="24" customHeight="1">
      <c r="F3226" s="115">
        <v>1.2</v>
      </c>
      <c r="G3226" s="116" t="s">
        <v>1772</v>
      </c>
      <c r="H3226" s="115" t="s">
        <v>1660</v>
      </c>
      <c r="I3226" s="115">
        <f>I3211</f>
        <v>831.6</v>
      </c>
      <c r="J3226" s="116" t="s">
        <v>1772</v>
      </c>
      <c r="K3226" s="115">
        <f>I3226*F3226</f>
        <v>997.92</v>
      </c>
      <c r="M3226" s="201">
        <v>7.9</v>
      </c>
      <c r="N3226" s="126" t="s">
        <v>282</v>
      </c>
      <c r="O3226" s="191" t="s">
        <v>4949</v>
      </c>
      <c r="P3226" s="136">
        <v>15.45</v>
      </c>
      <c r="Q3226" s="119" t="s">
        <v>13</v>
      </c>
      <c r="R3226" s="129">
        <f t="shared" si="296"/>
        <v>122.06</v>
      </c>
    </row>
    <row r="3227" spans="6:18" ht="24" customHeight="1">
      <c r="F3227" s="115">
        <v>10</v>
      </c>
      <c r="G3227" s="116" t="s">
        <v>724</v>
      </c>
      <c r="H3227" s="115" t="s">
        <v>4927</v>
      </c>
      <c r="I3227" s="115">
        <f>I3212</f>
        <v>10.29</v>
      </c>
      <c r="J3227" s="116" t="s">
        <v>724</v>
      </c>
      <c r="K3227" s="115">
        <f>I3227*F3227</f>
        <v>102.9</v>
      </c>
      <c r="M3227" s="201">
        <v>3.1219999999999999</v>
      </c>
      <c r="N3227" s="126" t="s">
        <v>425</v>
      </c>
      <c r="O3227" s="191" t="s">
        <v>4950</v>
      </c>
      <c r="P3227" s="136">
        <f>AE58</f>
        <v>1498.2</v>
      </c>
      <c r="Q3227" s="121" t="s">
        <v>425</v>
      </c>
      <c r="R3227" s="129">
        <f t="shared" si="296"/>
        <v>4677.38</v>
      </c>
    </row>
    <row r="3228" spans="6:18" ht="24" customHeight="1">
      <c r="H3228" s="115" t="s">
        <v>4918</v>
      </c>
      <c r="I3228" s="115" t="s">
        <v>49</v>
      </c>
      <c r="J3228" s="119"/>
      <c r="K3228" s="115">
        <v>6.65</v>
      </c>
      <c r="M3228" s="129">
        <v>4</v>
      </c>
      <c r="N3228" s="126" t="s">
        <v>237</v>
      </c>
      <c r="O3228" s="120" t="s">
        <v>4951</v>
      </c>
      <c r="P3228" s="129">
        <f>C598</f>
        <v>57.65</v>
      </c>
      <c r="Q3228" s="121" t="s">
        <v>131</v>
      </c>
      <c r="R3228" s="129">
        <f t="shared" si="296"/>
        <v>230.6</v>
      </c>
    </row>
    <row r="3229" spans="6:18" ht="24" customHeight="1">
      <c r="H3229" s="115" t="s">
        <v>495</v>
      </c>
      <c r="J3229" s="119"/>
      <c r="K3229" s="115">
        <f>SUM(K3225:K3228)</f>
        <v>1637.83</v>
      </c>
      <c r="M3229" s="129">
        <v>8</v>
      </c>
      <c r="N3229" s="126" t="s">
        <v>131</v>
      </c>
      <c r="O3229" s="120" t="s">
        <v>4952</v>
      </c>
      <c r="P3229" s="129">
        <f>C279</f>
        <v>89.6</v>
      </c>
      <c r="Q3229" s="121" t="s">
        <v>131</v>
      </c>
      <c r="R3229" s="129">
        <f t="shared" si="296"/>
        <v>716.8</v>
      </c>
    </row>
    <row r="3230" spans="6:18" ht="24" customHeight="1">
      <c r="J3230" s="119"/>
      <c r="M3230" s="129">
        <v>4</v>
      </c>
      <c r="N3230" s="126" t="s">
        <v>131</v>
      </c>
      <c r="O3230" s="120" t="s">
        <v>4953</v>
      </c>
      <c r="P3230" s="129">
        <f>P3195</f>
        <v>97.85</v>
      </c>
      <c r="Q3230" s="121" t="s">
        <v>131</v>
      </c>
      <c r="R3230" s="129">
        <f t="shared" si="296"/>
        <v>391.4</v>
      </c>
    </row>
    <row r="3231" spans="6:18" ht="24" customHeight="1">
      <c r="H3231" s="115" t="s">
        <v>460</v>
      </c>
      <c r="J3231" s="119"/>
      <c r="K3231" s="115">
        <f>K3229/10</f>
        <v>163.78</v>
      </c>
      <c r="M3231" s="129">
        <v>1</v>
      </c>
      <c r="N3231" s="126" t="s">
        <v>131</v>
      </c>
      <c r="O3231" s="120" t="s">
        <v>4954</v>
      </c>
      <c r="P3231" s="129">
        <f>P3196</f>
        <v>209.9</v>
      </c>
      <c r="Q3231" s="121" t="s">
        <v>131</v>
      </c>
      <c r="R3231" s="129">
        <f t="shared" si="296"/>
        <v>209.9</v>
      </c>
    </row>
    <row r="3232" spans="6:18" ht="24" customHeight="1">
      <c r="J3232" s="119"/>
      <c r="L3232" s="115">
        <f>K3266</f>
        <v>284.39999999999998</v>
      </c>
      <c r="M3232" s="129">
        <v>2</v>
      </c>
      <c r="N3232" s="126" t="s">
        <v>131</v>
      </c>
      <c r="O3232" s="120" t="s">
        <v>4955</v>
      </c>
      <c r="P3232" s="129">
        <f>P3197</f>
        <v>23.1</v>
      </c>
      <c r="Q3232" s="121" t="s">
        <v>131</v>
      </c>
      <c r="R3232" s="129">
        <f t="shared" si="296"/>
        <v>46.2</v>
      </c>
    </row>
    <row r="3233" spans="6:24" ht="24" customHeight="1">
      <c r="J3233" s="119"/>
      <c r="L3233" s="115">
        <f>K3267</f>
        <v>207.9</v>
      </c>
      <c r="M3233" s="129">
        <v>2</v>
      </c>
      <c r="N3233" s="126" t="s">
        <v>131</v>
      </c>
      <c r="O3233" s="120" t="s">
        <v>4956</v>
      </c>
      <c r="P3233" s="129">
        <f>P3198</f>
        <v>49.55</v>
      </c>
      <c r="Q3233" s="121" t="s">
        <v>131</v>
      </c>
      <c r="R3233" s="129">
        <f t="shared" si="296"/>
        <v>99.1</v>
      </c>
    </row>
    <row r="3234" spans="6:24" ht="24" customHeight="1">
      <c r="J3234" s="119"/>
      <c r="L3234" s="115">
        <f>K3268</f>
        <v>169.95</v>
      </c>
      <c r="M3234" s="129">
        <v>118</v>
      </c>
      <c r="N3234" s="126" t="s">
        <v>131</v>
      </c>
      <c r="O3234" s="115" t="s">
        <v>4888</v>
      </c>
      <c r="P3234" s="115">
        <f>P3199</f>
        <v>2.41</v>
      </c>
      <c r="Q3234" s="121" t="s">
        <v>131</v>
      </c>
      <c r="R3234" s="129">
        <f t="shared" si="296"/>
        <v>284.38</v>
      </c>
    </row>
    <row r="3235" spans="6:24" ht="24" customHeight="1">
      <c r="J3235" s="119"/>
      <c r="L3235" s="115">
        <f>K3269</f>
        <v>223.08</v>
      </c>
      <c r="N3235" s="116"/>
      <c r="Q3235" s="119"/>
      <c r="R3235" s="123" t="s">
        <v>52</v>
      </c>
    </row>
    <row r="3236" spans="6:24" ht="24" customHeight="1">
      <c r="J3236" s="119"/>
      <c r="L3236" s="115">
        <f>K3270</f>
        <v>1.65</v>
      </c>
      <c r="N3236" s="116"/>
      <c r="O3236" s="120" t="s">
        <v>4939</v>
      </c>
      <c r="Q3236" s="119"/>
      <c r="R3236" s="129">
        <f>SUM(R3221:R3234)</f>
        <v>17279.82</v>
      </c>
    </row>
    <row r="3237" spans="6:24" ht="24" customHeight="1">
      <c r="H3237" s="115" t="s">
        <v>4946</v>
      </c>
      <c r="J3237" s="119"/>
      <c r="N3237" s="116"/>
      <c r="Q3237" s="119"/>
      <c r="R3237" s="123" t="s">
        <v>52</v>
      </c>
    </row>
    <row r="3238" spans="6:24" ht="24" customHeight="1">
      <c r="H3238" s="115" t="s">
        <v>1662</v>
      </c>
      <c r="J3238" s="119"/>
      <c r="N3238" s="116"/>
      <c r="O3238" s="122" t="s">
        <v>460</v>
      </c>
      <c r="Q3238" s="305" t="s">
        <v>3192</v>
      </c>
      <c r="R3238" s="127">
        <f>R3236/M3227</f>
        <v>5534.86</v>
      </c>
    </row>
    <row r="3239" spans="6:24" ht="24" customHeight="1">
      <c r="H3239" s="115" t="s">
        <v>1657</v>
      </c>
      <c r="J3239" s="119"/>
      <c r="L3239" s="115">
        <f>SUM(L3232:L3238)</f>
        <v>886.98</v>
      </c>
      <c r="M3239" s="121"/>
      <c r="N3239" s="126" t="s">
        <v>111</v>
      </c>
      <c r="O3239" s="120" t="s">
        <v>4915</v>
      </c>
      <c r="Q3239" s="119"/>
    </row>
    <row r="3240" spans="6:24" ht="24" customHeight="1">
      <c r="J3240" s="119"/>
      <c r="N3240" s="116"/>
      <c r="O3240" s="120" t="s">
        <v>1309</v>
      </c>
      <c r="Q3240" s="119"/>
    </row>
    <row r="3241" spans="6:24" ht="24" customHeight="1">
      <c r="F3241" s="115">
        <v>1.89</v>
      </c>
      <c r="G3241" s="116" t="s">
        <v>4934</v>
      </c>
      <c r="H3241" s="115" t="s">
        <v>1661</v>
      </c>
      <c r="I3241" s="115">
        <f>I3196</f>
        <v>227.6</v>
      </c>
      <c r="J3241" s="116" t="s">
        <v>4934</v>
      </c>
      <c r="K3241" s="115">
        <f>I3241*F3241</f>
        <v>430.16</v>
      </c>
      <c r="L3241" s="115">
        <f>L3239/10</f>
        <v>88.7</v>
      </c>
      <c r="N3241" s="116"/>
      <c r="O3241" s="379" t="s">
        <v>4957</v>
      </c>
      <c r="Q3241" s="119"/>
    </row>
    <row r="3242" spans="6:24" ht="24" customHeight="1">
      <c r="F3242" s="115">
        <v>1.1000000000000001</v>
      </c>
      <c r="G3242" s="116" t="s">
        <v>1772</v>
      </c>
      <c r="H3242" s="115" t="s">
        <v>1660</v>
      </c>
      <c r="I3242" s="115">
        <f>I3197</f>
        <v>831.6</v>
      </c>
      <c r="J3242" s="116" t="s">
        <v>1772</v>
      </c>
      <c r="K3242" s="115">
        <f>I3242*F3242</f>
        <v>914.76</v>
      </c>
      <c r="N3242" s="116"/>
      <c r="O3242" s="123" t="s">
        <v>52</v>
      </c>
      <c r="Q3242" s="119"/>
    </row>
    <row r="3243" spans="6:24" ht="24" customHeight="1">
      <c r="F3243" s="115">
        <v>10</v>
      </c>
      <c r="G3243" s="116" t="s">
        <v>724</v>
      </c>
      <c r="H3243" s="120" t="s">
        <v>4927</v>
      </c>
      <c r="I3243" s="163">
        <f>I3198</f>
        <v>9.52</v>
      </c>
      <c r="J3243" s="116" t="s">
        <v>724</v>
      </c>
      <c r="K3243" s="115">
        <f>I3243*F3243</f>
        <v>95.2</v>
      </c>
      <c r="N3243" s="116"/>
      <c r="O3243" s="120" t="s">
        <v>4958</v>
      </c>
      <c r="P3243" s="213" t="s">
        <v>89</v>
      </c>
      <c r="Q3243" s="276">
        <v>2.4279999999999999</v>
      </c>
      <c r="R3243" s="115" t="s">
        <v>724</v>
      </c>
    </row>
    <row r="3244" spans="6:24" ht="30" customHeight="1">
      <c r="H3244" s="120" t="s">
        <v>4918</v>
      </c>
      <c r="I3244" s="115" t="s">
        <v>49</v>
      </c>
      <c r="J3244" s="119"/>
      <c r="K3244" s="115">
        <v>1.9</v>
      </c>
      <c r="N3244" s="116"/>
      <c r="O3244" s="120"/>
      <c r="P3244" s="213"/>
      <c r="Q3244" s="276"/>
    </row>
    <row r="3245" spans="6:24" ht="30" customHeight="1">
      <c r="H3245" s="115" t="s">
        <v>495</v>
      </c>
      <c r="J3245" s="119"/>
      <c r="K3245" s="115">
        <f>SUM(K3241:K3244)</f>
        <v>1442.02</v>
      </c>
      <c r="N3245" s="116"/>
      <c r="O3245" s="120" t="s">
        <v>4920</v>
      </c>
      <c r="P3245" s="213" t="s">
        <v>89</v>
      </c>
      <c r="Q3245" s="420">
        <v>5.1999999999999998E-2</v>
      </c>
      <c r="R3245" s="115" t="s">
        <v>5</v>
      </c>
      <c r="T3245" s="114" t="s">
        <v>4959</v>
      </c>
    </row>
    <row r="3246" spans="6:24" ht="30" customHeight="1">
      <c r="J3246" s="119"/>
      <c r="N3246" s="116"/>
      <c r="O3246" s="120" t="s">
        <v>4921</v>
      </c>
      <c r="Q3246" s="213"/>
      <c r="T3246" s="114" t="s">
        <v>4960</v>
      </c>
    </row>
    <row r="3247" spans="6:24" ht="30" customHeight="1">
      <c r="H3247" s="115" t="s">
        <v>460</v>
      </c>
      <c r="J3247" s="119"/>
      <c r="K3247" s="115">
        <f>K3245/10</f>
        <v>144.19999999999999</v>
      </c>
      <c r="N3247" s="116"/>
      <c r="O3247" s="120" t="s">
        <v>4961</v>
      </c>
      <c r="P3247" s="213" t="s">
        <v>89</v>
      </c>
      <c r="Q3247" s="502">
        <v>1.7718999999999999E-2</v>
      </c>
      <c r="S3247" s="503">
        <v>6.3E-2</v>
      </c>
      <c r="T3247" s="200" t="s">
        <v>132</v>
      </c>
      <c r="U3247" s="114" t="s">
        <v>3112</v>
      </c>
      <c r="V3247" s="114">
        <f>P3291</f>
        <v>111600</v>
      </c>
      <c r="W3247" s="166" t="s">
        <v>132</v>
      </c>
      <c r="X3247" s="114">
        <f>V3247*S3247</f>
        <v>7030.8</v>
      </c>
    </row>
    <row r="3248" spans="6:24" ht="30" customHeight="1">
      <c r="G3248" s="115"/>
      <c r="J3248" s="115"/>
      <c r="N3248" s="116"/>
      <c r="O3248" s="120" t="s">
        <v>4962</v>
      </c>
      <c r="P3248" s="213" t="s">
        <v>89</v>
      </c>
      <c r="Q3248" s="502">
        <v>7.8750000000000001E-3</v>
      </c>
      <c r="R3248" s="202"/>
      <c r="S3248" s="503">
        <v>4.8000000000000001E-2</v>
      </c>
      <c r="T3248" s="200" t="s">
        <v>132</v>
      </c>
      <c r="U3248" s="114" t="s">
        <v>4963</v>
      </c>
      <c r="V3248" s="114">
        <f>I3280</f>
        <v>99400</v>
      </c>
      <c r="W3248" s="166" t="s">
        <v>132</v>
      </c>
      <c r="X3248" s="114">
        <f>V3248*S3248</f>
        <v>4771.2</v>
      </c>
    </row>
    <row r="3249" spans="6:24" ht="30" customHeight="1">
      <c r="G3249" s="115"/>
      <c r="H3249" s="120" t="s">
        <v>1566</v>
      </c>
      <c r="J3249" s="115"/>
      <c r="N3249" s="116"/>
      <c r="Q3249" s="123" t="s">
        <v>52</v>
      </c>
      <c r="S3249" s="503">
        <v>1.54</v>
      </c>
      <c r="T3249" s="200" t="s">
        <v>425</v>
      </c>
      <c r="U3249" s="114" t="s">
        <v>4964</v>
      </c>
      <c r="V3249" s="114">
        <f t="shared" ref="V3249:V3258" si="297">I3281</f>
        <v>2152</v>
      </c>
      <c r="W3249" s="166" t="s">
        <v>724</v>
      </c>
      <c r="X3249" s="114">
        <f t="shared" ref="X3249:X3258" si="298">V3249*S3249</f>
        <v>3314.08</v>
      </c>
    </row>
    <row r="3250" spans="6:24" ht="30" customHeight="1">
      <c r="G3250" s="115"/>
      <c r="H3250" s="120" t="s">
        <v>4965</v>
      </c>
      <c r="J3250" s="115"/>
      <c r="N3250" s="116"/>
      <c r="Q3250" s="498">
        <v>2.5590000000000002E-2</v>
      </c>
      <c r="R3250" s="115" t="s">
        <v>5</v>
      </c>
      <c r="S3250" s="503">
        <v>3.9E-2</v>
      </c>
      <c r="T3250" s="200" t="s">
        <v>132</v>
      </c>
      <c r="U3250" s="242" t="s">
        <v>4263</v>
      </c>
      <c r="V3250" s="114">
        <f t="shared" si="297"/>
        <v>95000</v>
      </c>
      <c r="W3250" s="166" t="s">
        <v>132</v>
      </c>
      <c r="X3250" s="114">
        <f t="shared" si="298"/>
        <v>3705</v>
      </c>
    </row>
    <row r="3251" spans="6:24" ht="30" customHeight="1">
      <c r="G3251" s="115"/>
      <c r="J3251" s="115"/>
      <c r="N3251" s="116"/>
      <c r="Q3251" s="123" t="s">
        <v>52</v>
      </c>
      <c r="S3251" s="503">
        <v>3.488</v>
      </c>
      <c r="T3251" s="200" t="s">
        <v>425</v>
      </c>
      <c r="U3251" s="242" t="s">
        <v>3115</v>
      </c>
      <c r="V3251" s="114">
        <f t="shared" si="297"/>
        <v>1602.7</v>
      </c>
      <c r="W3251" s="166" t="s">
        <v>425</v>
      </c>
      <c r="X3251" s="114">
        <f t="shared" si="298"/>
        <v>5590.22</v>
      </c>
    </row>
    <row r="3252" spans="6:24" ht="30" customHeight="1">
      <c r="F3252" s="129">
        <v>0.22</v>
      </c>
      <c r="G3252" s="126" t="s">
        <v>132</v>
      </c>
      <c r="H3252" s="120" t="s">
        <v>283</v>
      </c>
      <c r="I3252" s="129">
        <f>K49</f>
        <v>3502.94</v>
      </c>
      <c r="J3252" s="121" t="s">
        <v>132</v>
      </c>
      <c r="K3252" s="129">
        <f>(F3252*I3252)</f>
        <v>770.65</v>
      </c>
      <c r="N3252" s="116"/>
      <c r="O3252" s="120" t="s">
        <v>4966</v>
      </c>
      <c r="Q3252" s="499">
        <v>1.0999999999999999E-2</v>
      </c>
      <c r="R3252" s="202"/>
      <c r="S3252" s="503">
        <v>6</v>
      </c>
      <c r="T3252" s="200" t="s">
        <v>1572</v>
      </c>
      <c r="U3252" s="114" t="s">
        <v>4967</v>
      </c>
      <c r="V3252" s="114">
        <f t="shared" si="297"/>
        <v>214.1</v>
      </c>
      <c r="W3252" s="166" t="s">
        <v>729</v>
      </c>
      <c r="X3252" s="114">
        <f t="shared" si="298"/>
        <v>1284.5999999999999</v>
      </c>
    </row>
    <row r="3253" spans="6:24" ht="30" customHeight="1">
      <c r="F3253" s="129">
        <v>2.2000000000000002</v>
      </c>
      <c r="G3253" s="126" t="s">
        <v>237</v>
      </c>
      <c r="H3253" s="120" t="s">
        <v>345</v>
      </c>
      <c r="I3253" s="129">
        <f>AE9</f>
        <v>1041.7</v>
      </c>
      <c r="J3253" s="121" t="s">
        <v>237</v>
      </c>
      <c r="K3253" s="129">
        <f>(F3253*I3253)</f>
        <v>2291.7399999999998</v>
      </c>
      <c r="N3253" s="116"/>
      <c r="O3253" s="120" t="s">
        <v>4968</v>
      </c>
      <c r="Q3253" s="500">
        <v>5.3E-3</v>
      </c>
      <c r="R3253" s="202"/>
      <c r="S3253" s="503">
        <v>1</v>
      </c>
      <c r="T3253" s="200" t="s">
        <v>1572</v>
      </c>
      <c r="U3253" s="114" t="s">
        <v>4969</v>
      </c>
      <c r="V3253" s="114">
        <f t="shared" si="297"/>
        <v>1020</v>
      </c>
      <c r="W3253" s="166" t="s">
        <v>729</v>
      </c>
      <c r="X3253" s="114">
        <f t="shared" si="298"/>
        <v>1020</v>
      </c>
    </row>
    <row r="3254" spans="6:24" ht="30" customHeight="1">
      <c r="F3254" s="129">
        <v>0.5</v>
      </c>
      <c r="G3254" s="126" t="s">
        <v>237</v>
      </c>
      <c r="H3254" s="120" t="s">
        <v>1568</v>
      </c>
      <c r="I3254" s="129">
        <f>I3183</f>
        <v>679.8</v>
      </c>
      <c r="J3254" s="121" t="s">
        <v>237</v>
      </c>
      <c r="K3254" s="129">
        <f>(F3254*I3254)</f>
        <v>339.9</v>
      </c>
      <c r="N3254" s="116"/>
      <c r="O3254" s="120"/>
      <c r="Q3254" s="123" t="s">
        <v>52</v>
      </c>
      <c r="R3254" s="202"/>
      <c r="S3254" s="503">
        <v>2</v>
      </c>
      <c r="T3254" s="200" t="s">
        <v>1572</v>
      </c>
      <c r="U3254" s="114" t="s">
        <v>4970</v>
      </c>
      <c r="V3254" s="114">
        <f t="shared" si="297"/>
        <v>540</v>
      </c>
      <c r="W3254" s="166" t="s">
        <v>729</v>
      </c>
      <c r="X3254" s="114">
        <f t="shared" si="298"/>
        <v>1080</v>
      </c>
    </row>
    <row r="3255" spans="6:24" ht="30" customHeight="1">
      <c r="F3255" s="129">
        <v>3.2</v>
      </c>
      <c r="G3255" s="126" t="s">
        <v>237</v>
      </c>
      <c r="H3255" s="120" t="s">
        <v>306</v>
      </c>
      <c r="I3255" s="129">
        <f>I3184</f>
        <v>557.70000000000005</v>
      </c>
      <c r="J3255" s="121" t="s">
        <v>237</v>
      </c>
      <c r="K3255" s="129">
        <f>(F3255*I3255)</f>
        <v>1784.64</v>
      </c>
      <c r="N3255" s="116"/>
      <c r="O3255" s="120"/>
      <c r="Q3255" s="501">
        <v>1.6299999999999999E-2</v>
      </c>
      <c r="R3255" s="202" t="s">
        <v>5</v>
      </c>
      <c r="S3255" s="503">
        <v>2</v>
      </c>
      <c r="T3255" s="200" t="s">
        <v>1572</v>
      </c>
      <c r="U3255" s="114" t="s">
        <v>4971</v>
      </c>
      <c r="V3255" s="114">
        <f t="shared" si="297"/>
        <v>764</v>
      </c>
      <c r="W3255" s="166" t="s">
        <v>729</v>
      </c>
      <c r="X3255" s="114">
        <f t="shared" si="298"/>
        <v>1528</v>
      </c>
    </row>
    <row r="3256" spans="6:24" ht="30" customHeight="1">
      <c r="F3256" s="129">
        <v>10</v>
      </c>
      <c r="G3256" s="126" t="s">
        <v>468</v>
      </c>
      <c r="H3256" s="471" t="s">
        <v>4972</v>
      </c>
      <c r="I3256" s="158">
        <f>AE56</f>
        <v>10.67</v>
      </c>
      <c r="J3256" s="121" t="s">
        <v>468</v>
      </c>
      <c r="K3256" s="129">
        <f>(F3256*I3256)</f>
        <v>106.7</v>
      </c>
      <c r="N3256" s="116"/>
      <c r="Q3256" s="123" t="s">
        <v>52</v>
      </c>
      <c r="R3256" s="123"/>
      <c r="S3256" s="503">
        <v>1</v>
      </c>
      <c r="T3256" s="200" t="s">
        <v>1572</v>
      </c>
      <c r="U3256" s="114" t="s">
        <v>4973</v>
      </c>
      <c r="V3256" s="114">
        <f t="shared" si="297"/>
        <v>985</v>
      </c>
      <c r="W3256" s="166" t="s">
        <v>729</v>
      </c>
      <c r="X3256" s="114">
        <f t="shared" si="298"/>
        <v>985</v>
      </c>
    </row>
    <row r="3257" spans="6:24" ht="39.75" customHeight="1">
      <c r="J3257" s="119"/>
      <c r="K3257" s="123" t="s">
        <v>52</v>
      </c>
      <c r="M3257" s="202">
        <v>5.1999999999999998E-2</v>
      </c>
      <c r="N3257" s="126" t="s">
        <v>132</v>
      </c>
      <c r="O3257" s="120" t="s">
        <v>1332</v>
      </c>
      <c r="P3257" s="129">
        <f>P3188</f>
        <v>111600</v>
      </c>
      <c r="Q3257" s="121" t="s">
        <v>132</v>
      </c>
      <c r="R3257" s="129">
        <f>P3257*M3257</f>
        <v>5803.2</v>
      </c>
      <c r="S3257" s="503">
        <v>2</v>
      </c>
      <c r="T3257" s="200" t="s">
        <v>1572</v>
      </c>
      <c r="U3257" s="114" t="s">
        <v>4974</v>
      </c>
      <c r="V3257" s="114">
        <f t="shared" si="297"/>
        <v>450</v>
      </c>
      <c r="W3257" s="166" t="s">
        <v>729</v>
      </c>
      <c r="X3257" s="114">
        <f t="shared" si="298"/>
        <v>900</v>
      </c>
    </row>
    <row r="3258" spans="6:24" ht="30" customHeight="1">
      <c r="H3258" s="120" t="s">
        <v>495</v>
      </c>
      <c r="J3258" s="119"/>
      <c r="K3258" s="129">
        <f>SUM(K3252:K3257)</f>
        <v>5293.63</v>
      </c>
      <c r="M3258" s="202">
        <v>2.5590000000000002E-2</v>
      </c>
      <c r="N3258" s="126" t="s">
        <v>132</v>
      </c>
      <c r="O3258" s="120" t="s">
        <v>1334</v>
      </c>
      <c r="P3258" s="129">
        <f>P3189</f>
        <v>99400</v>
      </c>
      <c r="Q3258" s="121" t="s">
        <v>132</v>
      </c>
      <c r="R3258" s="129">
        <f t="shared" ref="R3258:R3268" si="299">P3258*M3258</f>
        <v>2543.65</v>
      </c>
      <c r="S3258" s="503">
        <v>0</v>
      </c>
      <c r="T3258" s="200" t="s">
        <v>41</v>
      </c>
      <c r="U3258" s="114" t="s">
        <v>4975</v>
      </c>
      <c r="V3258" s="114">
        <f t="shared" si="297"/>
        <v>2.41</v>
      </c>
      <c r="W3258" s="166" t="s">
        <v>729</v>
      </c>
      <c r="X3258" s="114">
        <f t="shared" si="298"/>
        <v>0</v>
      </c>
    </row>
    <row r="3259" spans="6:24" ht="30" customHeight="1">
      <c r="J3259" s="119"/>
      <c r="K3259" s="123" t="s">
        <v>52</v>
      </c>
      <c r="M3259" s="202">
        <v>1.6299999999999999E-2</v>
      </c>
      <c r="N3259" s="126" t="s">
        <v>132</v>
      </c>
      <c r="O3259" s="191" t="s">
        <v>4976</v>
      </c>
      <c r="P3259" s="129">
        <f>AC28</f>
        <v>95000</v>
      </c>
      <c r="Q3259" s="121" t="s">
        <v>132</v>
      </c>
      <c r="R3259" s="129">
        <f t="shared" si="299"/>
        <v>1548.5</v>
      </c>
      <c r="S3259" s="503"/>
      <c r="T3259" s="200"/>
      <c r="U3259" s="114" t="s">
        <v>4977</v>
      </c>
      <c r="V3259" s="114"/>
      <c r="W3259" s="166"/>
      <c r="X3259" s="114">
        <f>SUM(X3247:X3258)</f>
        <v>31208.9</v>
      </c>
    </row>
    <row r="3260" spans="6:24" ht="30" customHeight="1">
      <c r="H3260" s="120" t="s">
        <v>460</v>
      </c>
      <c r="J3260" s="119"/>
      <c r="K3260" s="129">
        <f>(K3258/10)</f>
        <v>529.36</v>
      </c>
      <c r="M3260" s="201"/>
      <c r="N3260" s="116"/>
      <c r="O3260" s="120" t="s">
        <v>2180</v>
      </c>
      <c r="P3260" s="129"/>
      <c r="Q3260" s="119"/>
      <c r="R3260" s="129">
        <f t="shared" si="299"/>
        <v>0</v>
      </c>
      <c r="S3260" s="503"/>
      <c r="T3260" s="200"/>
      <c r="U3260" s="114"/>
      <c r="V3260" s="114"/>
      <c r="W3260" s="166"/>
      <c r="X3260" s="1172" t="s">
        <v>2163</v>
      </c>
    </row>
    <row r="3261" spans="6:24" ht="30" customHeight="1">
      <c r="J3261" s="119"/>
      <c r="K3261" s="123" t="s">
        <v>89</v>
      </c>
      <c r="M3261" s="201">
        <v>2.4279999999999999</v>
      </c>
      <c r="N3261" s="126" t="s">
        <v>425</v>
      </c>
      <c r="O3261" s="120" t="s">
        <v>1340</v>
      </c>
      <c r="P3261" s="129">
        <f t="shared" ref="P3261:P3267" si="300">P3192</f>
        <v>1602.7</v>
      </c>
      <c r="Q3261" s="121" t="s">
        <v>425</v>
      </c>
      <c r="R3261" s="129">
        <f t="shared" si="299"/>
        <v>3891.36</v>
      </c>
      <c r="S3261" s="503"/>
      <c r="T3261" s="200"/>
      <c r="U3261" s="114" t="s">
        <v>4978</v>
      </c>
      <c r="V3261" s="114"/>
      <c r="W3261" s="166"/>
      <c r="X3261" s="114">
        <f>X3259/S3251</f>
        <v>8947.51</v>
      </c>
    </row>
    <row r="3262" spans="6:24" ht="24" customHeight="1">
      <c r="G3262" s="115"/>
      <c r="J3262" s="115"/>
      <c r="K3262" s="115">
        <f>54000+7000</f>
        <v>61000</v>
      </c>
      <c r="M3262" s="129">
        <v>4</v>
      </c>
      <c r="N3262" s="126" t="s">
        <v>237</v>
      </c>
      <c r="O3262" s="120" t="s">
        <v>4932</v>
      </c>
      <c r="P3262" s="129">
        <f>P3228</f>
        <v>57.65</v>
      </c>
      <c r="Q3262" s="121" t="s">
        <v>131</v>
      </c>
      <c r="R3262" s="129">
        <f t="shared" si="299"/>
        <v>230.6</v>
      </c>
      <c r="S3262" s="503"/>
      <c r="T3262" s="200"/>
      <c r="U3262" s="114"/>
      <c r="V3262" s="114"/>
      <c r="W3262" s="166"/>
      <c r="X3262" s="1172" t="s">
        <v>2163</v>
      </c>
    </row>
    <row r="3263" spans="6:24" ht="24" customHeight="1">
      <c r="G3263" s="115"/>
      <c r="J3263" s="115"/>
      <c r="M3263" s="129">
        <v>8</v>
      </c>
      <c r="N3263" s="126" t="s">
        <v>131</v>
      </c>
      <c r="O3263" s="120" t="s">
        <v>1344</v>
      </c>
      <c r="P3263" s="129">
        <f>P3229</f>
        <v>89.6</v>
      </c>
      <c r="Q3263" s="121" t="s">
        <v>131</v>
      </c>
      <c r="R3263" s="129">
        <f t="shared" si="299"/>
        <v>716.8</v>
      </c>
    </row>
    <row r="3264" spans="6:24" ht="24" customHeight="1">
      <c r="F3264" s="121" t="s">
        <v>1647</v>
      </c>
      <c r="G3264" s="126" t="s">
        <v>111</v>
      </c>
      <c r="H3264" s="121" t="s">
        <v>4979</v>
      </c>
      <c r="J3264" s="119"/>
      <c r="M3264" s="129">
        <v>4</v>
      </c>
      <c r="N3264" s="126" t="s">
        <v>131</v>
      </c>
      <c r="O3264" s="120" t="s">
        <v>4953</v>
      </c>
      <c r="P3264" s="129">
        <f t="shared" si="300"/>
        <v>97.85</v>
      </c>
      <c r="Q3264" s="121" t="s">
        <v>131</v>
      </c>
      <c r="R3264" s="129">
        <f t="shared" si="299"/>
        <v>391.4</v>
      </c>
    </row>
    <row r="3265" spans="6:18" ht="24" customHeight="1">
      <c r="H3265" s="121" t="s">
        <v>1649</v>
      </c>
      <c r="J3265" s="119"/>
      <c r="M3265" s="129">
        <v>1</v>
      </c>
      <c r="N3265" s="126" t="s">
        <v>131</v>
      </c>
      <c r="O3265" s="120" t="s">
        <v>4954</v>
      </c>
      <c r="P3265" s="129">
        <f t="shared" si="300"/>
        <v>209.9</v>
      </c>
      <c r="Q3265" s="121" t="s">
        <v>131</v>
      </c>
      <c r="R3265" s="129">
        <f t="shared" si="299"/>
        <v>209.9</v>
      </c>
    </row>
    <row r="3266" spans="6:18" ht="24" customHeight="1">
      <c r="F3266" s="129">
        <v>1.8</v>
      </c>
      <c r="G3266" s="126" t="s">
        <v>1650</v>
      </c>
      <c r="H3266" s="120" t="s">
        <v>1648</v>
      </c>
      <c r="I3266" s="129">
        <f>E271</f>
        <v>158</v>
      </c>
      <c r="J3266" s="121" t="s">
        <v>1650</v>
      </c>
      <c r="K3266" s="129">
        <f>(F3266*I3266)</f>
        <v>284.39999999999998</v>
      </c>
      <c r="M3266" s="129">
        <v>2</v>
      </c>
      <c r="N3266" s="126" t="s">
        <v>131</v>
      </c>
      <c r="O3266" s="120" t="s">
        <v>4955</v>
      </c>
      <c r="P3266" s="129">
        <f t="shared" si="300"/>
        <v>23.1</v>
      </c>
      <c r="Q3266" s="121" t="s">
        <v>131</v>
      </c>
      <c r="R3266" s="129">
        <f t="shared" si="299"/>
        <v>46.2</v>
      </c>
    </row>
    <row r="3267" spans="6:18" ht="24" customHeight="1">
      <c r="F3267" s="129">
        <v>0.25</v>
      </c>
      <c r="G3267" s="126" t="s">
        <v>727</v>
      </c>
      <c r="H3267" s="120" t="s">
        <v>1651</v>
      </c>
      <c r="I3267" s="129">
        <f>I3242</f>
        <v>831.6</v>
      </c>
      <c r="J3267" s="121" t="s">
        <v>727</v>
      </c>
      <c r="K3267" s="129">
        <f>(F3267*I3267)</f>
        <v>207.9</v>
      </c>
      <c r="M3267" s="129">
        <v>2</v>
      </c>
      <c r="N3267" s="126" t="s">
        <v>131</v>
      </c>
      <c r="O3267" s="120" t="s">
        <v>4956</v>
      </c>
      <c r="P3267" s="129">
        <f t="shared" si="300"/>
        <v>49.55</v>
      </c>
      <c r="Q3267" s="121" t="s">
        <v>131</v>
      </c>
      <c r="R3267" s="129">
        <f t="shared" si="299"/>
        <v>99.1</v>
      </c>
    </row>
    <row r="3268" spans="6:18" ht="24" customHeight="1">
      <c r="F3268" s="129">
        <v>0.25</v>
      </c>
      <c r="G3268" s="126" t="s">
        <v>727</v>
      </c>
      <c r="H3268" s="120" t="s">
        <v>731</v>
      </c>
      <c r="I3268" s="129">
        <f>I3183</f>
        <v>679.8</v>
      </c>
      <c r="J3268" s="121" t="s">
        <v>727</v>
      </c>
      <c r="K3268" s="129">
        <f>(F3268*I3268)</f>
        <v>169.95</v>
      </c>
      <c r="M3268" s="115">
        <v>118</v>
      </c>
      <c r="N3268" s="126" t="s">
        <v>131</v>
      </c>
      <c r="O3268" s="115" t="s">
        <v>4888</v>
      </c>
      <c r="P3268" s="115">
        <f>P3234</f>
        <v>2.41</v>
      </c>
      <c r="Q3268" s="119"/>
      <c r="R3268" s="129">
        <f t="shared" si="299"/>
        <v>284.38</v>
      </c>
    </row>
    <row r="3269" spans="6:18" ht="24" customHeight="1">
      <c r="F3269" s="129">
        <v>0.4</v>
      </c>
      <c r="G3269" s="126" t="s">
        <v>727</v>
      </c>
      <c r="H3269" s="120" t="s">
        <v>1652</v>
      </c>
      <c r="I3269" s="129">
        <f>I3184</f>
        <v>557.70000000000005</v>
      </c>
      <c r="J3269" s="121" t="s">
        <v>727</v>
      </c>
      <c r="K3269" s="129">
        <f>(F3269*I3269)</f>
        <v>223.08</v>
      </c>
      <c r="N3269" s="116"/>
      <c r="Q3269" s="119"/>
      <c r="R3269" s="123" t="s">
        <v>52</v>
      </c>
    </row>
    <row r="3270" spans="6:18" ht="24" customHeight="1">
      <c r="G3270" s="126" t="s">
        <v>145</v>
      </c>
      <c r="H3270" s="120" t="s">
        <v>582</v>
      </c>
      <c r="J3270" s="121" t="s">
        <v>145</v>
      </c>
      <c r="K3270" s="129">
        <v>1.65</v>
      </c>
      <c r="N3270" s="116"/>
      <c r="O3270" s="120" t="s">
        <v>4980</v>
      </c>
      <c r="Q3270" s="119"/>
      <c r="R3270" s="129">
        <f>SUM(R3257:R3268)</f>
        <v>15765.09</v>
      </c>
    </row>
    <row r="3271" spans="6:18" ht="24" customHeight="1">
      <c r="F3271" s="115">
        <v>10</v>
      </c>
      <c r="H3271" s="120" t="s">
        <v>4981</v>
      </c>
      <c r="I3271" s="115">
        <f>I3172</f>
        <v>4.4000000000000004</v>
      </c>
      <c r="J3271" s="119" t="s">
        <v>468</v>
      </c>
      <c r="K3271" s="129">
        <f>I3271*F3271</f>
        <v>44</v>
      </c>
      <c r="N3271" s="116"/>
      <c r="Q3271" s="119"/>
      <c r="R3271" s="123" t="s">
        <v>52</v>
      </c>
    </row>
    <row r="3272" spans="6:18" ht="24" customHeight="1">
      <c r="J3272" s="119"/>
      <c r="K3272" s="123" t="s">
        <v>52</v>
      </c>
      <c r="N3272" s="116"/>
      <c r="O3272" s="122" t="s">
        <v>460</v>
      </c>
      <c r="Q3272" s="305" t="s">
        <v>3192</v>
      </c>
      <c r="R3272" s="127">
        <f>R3270/M3261</f>
        <v>6493.04</v>
      </c>
    </row>
    <row r="3273" spans="6:18" ht="24" customHeight="1">
      <c r="H3273" s="121" t="s">
        <v>1653</v>
      </c>
      <c r="J3273" s="119"/>
      <c r="K3273" s="129">
        <f>SUM(K3266:K3272)</f>
        <v>930.98</v>
      </c>
      <c r="M3273" s="121"/>
      <c r="N3273" s="126" t="s">
        <v>111</v>
      </c>
      <c r="O3273" s="120" t="s">
        <v>4982</v>
      </c>
      <c r="Q3273" s="119"/>
    </row>
    <row r="3274" spans="6:18" ht="24" customHeight="1">
      <c r="J3274" s="119"/>
      <c r="K3274" s="123" t="s">
        <v>52</v>
      </c>
      <c r="N3274" s="116"/>
      <c r="O3274" s="120" t="s">
        <v>1309</v>
      </c>
      <c r="Q3274" s="119"/>
    </row>
    <row r="3275" spans="6:18" ht="24" customHeight="1">
      <c r="F3275" s="120" t="s">
        <v>85</v>
      </c>
      <c r="G3275" s="126" t="s">
        <v>85</v>
      </c>
      <c r="H3275" s="121" t="s">
        <v>1560</v>
      </c>
      <c r="I3275" s="120" t="s">
        <v>85</v>
      </c>
      <c r="J3275" s="121" t="s">
        <v>85</v>
      </c>
      <c r="K3275" s="129">
        <f>K3273/10</f>
        <v>93.1</v>
      </c>
      <c r="N3275" s="116"/>
      <c r="O3275" s="379" t="s">
        <v>4957</v>
      </c>
      <c r="Q3275" s="119"/>
    </row>
    <row r="3276" spans="6:18" ht="24" customHeight="1">
      <c r="J3276" s="119"/>
      <c r="K3276" s="123" t="s">
        <v>89</v>
      </c>
      <c r="N3276" s="116"/>
      <c r="O3276" s="123" t="s">
        <v>52</v>
      </c>
      <c r="Q3276" s="119"/>
    </row>
    <row r="3277" spans="6:18" ht="24" customHeight="1">
      <c r="G3277" s="114" t="s">
        <v>4983</v>
      </c>
      <c r="J3277" s="115"/>
      <c r="N3277" s="116"/>
      <c r="O3277" s="120" t="s">
        <v>4958</v>
      </c>
      <c r="P3277" s="213" t="s">
        <v>89</v>
      </c>
      <c r="Q3277" s="276">
        <v>2.4279999999999999</v>
      </c>
      <c r="R3277" s="115" t="s">
        <v>724</v>
      </c>
    </row>
    <row r="3278" spans="6:18" ht="24" customHeight="1">
      <c r="G3278" s="114" t="s">
        <v>4960</v>
      </c>
      <c r="J3278" s="115"/>
      <c r="N3278" s="116"/>
      <c r="O3278" s="120"/>
      <c r="P3278" s="213"/>
      <c r="Q3278" s="276"/>
    </row>
    <row r="3279" spans="6:18" ht="24" customHeight="1">
      <c r="G3279" s="115"/>
      <c r="J3279" s="115"/>
      <c r="N3279" s="116"/>
      <c r="O3279" s="120" t="s">
        <v>4920</v>
      </c>
      <c r="P3279" s="213" t="s">
        <v>89</v>
      </c>
      <c r="Q3279" s="420">
        <v>5.1999999999999998E-2</v>
      </c>
      <c r="R3279" s="115" t="s">
        <v>5</v>
      </c>
    </row>
    <row r="3280" spans="6:18" ht="24" customHeight="1">
      <c r="F3280" s="469">
        <v>0.10299999999999999</v>
      </c>
      <c r="G3280" s="200" t="s">
        <v>132</v>
      </c>
      <c r="H3280" s="114" t="s">
        <v>4963</v>
      </c>
      <c r="I3280" s="114">
        <f>I1102</f>
        <v>99400</v>
      </c>
      <c r="J3280" s="178" t="s">
        <v>132</v>
      </c>
      <c r="K3280" s="114">
        <f>I3280*F3280</f>
        <v>10238.200000000001</v>
      </c>
      <c r="N3280" s="116"/>
      <c r="O3280" s="120" t="s">
        <v>4921</v>
      </c>
      <c r="Q3280" s="213"/>
    </row>
    <row r="3281" spans="6:18" ht="24" customHeight="1">
      <c r="F3281" s="469">
        <v>1.32</v>
      </c>
      <c r="G3281" s="200" t="s">
        <v>425</v>
      </c>
      <c r="H3281" s="114" t="s">
        <v>4964</v>
      </c>
      <c r="I3281" s="508">
        <v>2152</v>
      </c>
      <c r="J3281" s="178" t="s">
        <v>724</v>
      </c>
      <c r="K3281" s="114">
        <f t="shared" ref="K3281:K3290" si="301">I3281*F3281</f>
        <v>2840.64</v>
      </c>
      <c r="N3281" s="116"/>
      <c r="O3281" s="120" t="s">
        <v>4961</v>
      </c>
      <c r="P3281" s="213" t="s">
        <v>89</v>
      </c>
      <c r="Q3281" s="502">
        <v>1.7718999999999999E-2</v>
      </c>
    </row>
    <row r="3282" spans="6:18" ht="24" customHeight="1">
      <c r="F3282" s="470">
        <v>3.3000000000000002E-2</v>
      </c>
      <c r="G3282" s="200" t="s">
        <v>132</v>
      </c>
      <c r="H3282" s="242" t="s">
        <v>4263</v>
      </c>
      <c r="I3282" s="114">
        <f>AC28</f>
        <v>95000</v>
      </c>
      <c r="J3282" s="178" t="s">
        <v>132</v>
      </c>
      <c r="K3282" s="114">
        <f t="shared" si="301"/>
        <v>3135</v>
      </c>
      <c r="N3282" s="116"/>
      <c r="O3282" s="120" t="s">
        <v>4962</v>
      </c>
      <c r="P3282" s="213" t="s">
        <v>89</v>
      </c>
      <c r="Q3282" s="502">
        <v>7.8750000000000001E-3</v>
      </c>
      <c r="R3282" s="202"/>
    </row>
    <row r="3283" spans="6:18" ht="24" customHeight="1">
      <c r="F3283" s="470">
        <v>3.0225</v>
      </c>
      <c r="G3283" s="200" t="s">
        <v>425</v>
      </c>
      <c r="H3283" s="242" t="s">
        <v>3115</v>
      </c>
      <c r="I3283" s="114">
        <f>AE30</f>
        <v>1602.7</v>
      </c>
      <c r="J3283" s="178" t="s">
        <v>425</v>
      </c>
      <c r="K3283" s="114">
        <f t="shared" si="301"/>
        <v>4844.16</v>
      </c>
      <c r="N3283" s="116"/>
      <c r="Q3283" s="123" t="s">
        <v>52</v>
      </c>
    </row>
    <row r="3284" spans="6:18" ht="24" customHeight="1">
      <c r="F3284" s="114">
        <v>6</v>
      </c>
      <c r="G3284" s="200" t="s">
        <v>1572</v>
      </c>
      <c r="H3284" s="114" t="s">
        <v>4984</v>
      </c>
      <c r="I3284" s="509">
        <v>214.1</v>
      </c>
      <c r="J3284" s="178" t="s">
        <v>729</v>
      </c>
      <c r="K3284" s="114">
        <f t="shared" si="301"/>
        <v>1284.5999999999999</v>
      </c>
      <c r="N3284" s="116"/>
      <c r="Q3284" s="498">
        <v>2.5590000000000002E-2</v>
      </c>
      <c r="R3284" s="115" t="s">
        <v>5</v>
      </c>
    </row>
    <row r="3285" spans="6:18" ht="24" customHeight="1">
      <c r="F3285" s="114">
        <v>1</v>
      </c>
      <c r="G3285" s="200" t="s">
        <v>1572</v>
      </c>
      <c r="H3285" s="114" t="s">
        <v>4985</v>
      </c>
      <c r="I3285" s="510">
        <v>1020</v>
      </c>
      <c r="J3285" s="178" t="s">
        <v>729</v>
      </c>
      <c r="K3285" s="114">
        <f t="shared" si="301"/>
        <v>1020</v>
      </c>
      <c r="N3285" s="116"/>
      <c r="Q3285" s="123" t="s">
        <v>52</v>
      </c>
    </row>
    <row r="3286" spans="6:18" ht="24" customHeight="1">
      <c r="F3286" s="114">
        <v>2</v>
      </c>
      <c r="G3286" s="200" t="s">
        <v>1572</v>
      </c>
      <c r="H3286" s="114" t="s">
        <v>4970</v>
      </c>
      <c r="I3286" s="510">
        <v>540</v>
      </c>
      <c r="J3286" s="178" t="s">
        <v>729</v>
      </c>
      <c r="K3286" s="114">
        <f t="shared" si="301"/>
        <v>1080</v>
      </c>
      <c r="N3286" s="116"/>
      <c r="O3286" s="120" t="s">
        <v>4986</v>
      </c>
      <c r="Q3286" s="499">
        <v>0.58750000000000002</v>
      </c>
      <c r="R3286" s="202"/>
    </row>
    <row r="3287" spans="6:18" ht="24" customHeight="1">
      <c r="F3287" s="114">
        <v>2</v>
      </c>
      <c r="G3287" s="200" t="s">
        <v>1572</v>
      </c>
      <c r="H3287" s="114" t="s">
        <v>4971</v>
      </c>
      <c r="I3287" s="510">
        <v>764</v>
      </c>
      <c r="J3287" s="178" t="s">
        <v>729</v>
      </c>
      <c r="K3287" s="114">
        <f t="shared" si="301"/>
        <v>1528</v>
      </c>
      <c r="N3287" s="116"/>
      <c r="O3287" s="120" t="s">
        <v>4987</v>
      </c>
      <c r="Q3287" s="500">
        <v>0.28129999999999999</v>
      </c>
      <c r="R3287" s="202"/>
    </row>
    <row r="3288" spans="6:18" ht="24" customHeight="1">
      <c r="F3288" s="114">
        <v>1</v>
      </c>
      <c r="G3288" s="200" t="s">
        <v>1572</v>
      </c>
      <c r="H3288" s="114" t="s">
        <v>4973</v>
      </c>
      <c r="I3288" s="270">
        <v>985</v>
      </c>
      <c r="J3288" s="178" t="s">
        <v>729</v>
      </c>
      <c r="K3288" s="114">
        <f t="shared" si="301"/>
        <v>985</v>
      </c>
      <c r="N3288" s="116"/>
      <c r="O3288" s="120"/>
      <c r="Q3288" s="123" t="s">
        <v>52</v>
      </c>
      <c r="R3288" s="202"/>
    </row>
    <row r="3289" spans="6:18" ht="24" customHeight="1">
      <c r="F3289" s="114">
        <v>2</v>
      </c>
      <c r="G3289" s="200" t="s">
        <v>1572</v>
      </c>
      <c r="H3289" s="114" t="s">
        <v>4974</v>
      </c>
      <c r="I3289" s="270">
        <v>450</v>
      </c>
      <c r="J3289" s="178" t="s">
        <v>729</v>
      </c>
      <c r="K3289" s="114">
        <f t="shared" si="301"/>
        <v>900</v>
      </c>
      <c r="N3289" s="116"/>
      <c r="O3289" s="120"/>
      <c r="Q3289" s="500">
        <v>0.86880000000000002</v>
      </c>
      <c r="R3289" s="114" t="s">
        <v>724</v>
      </c>
    </row>
    <row r="3290" spans="6:18" ht="24" customHeight="1">
      <c r="F3290" s="114">
        <v>0</v>
      </c>
      <c r="G3290" s="200" t="s">
        <v>41</v>
      </c>
      <c r="H3290" s="114" t="s">
        <v>4975</v>
      </c>
      <c r="I3290" s="114">
        <f>I961</f>
        <v>2.41</v>
      </c>
      <c r="J3290" s="178" t="s">
        <v>729</v>
      </c>
      <c r="K3290" s="114">
        <f t="shared" si="301"/>
        <v>0</v>
      </c>
      <c r="N3290" s="116"/>
      <c r="Q3290" s="123" t="s">
        <v>52</v>
      </c>
      <c r="R3290" s="123"/>
    </row>
    <row r="3291" spans="6:18" ht="24" customHeight="1">
      <c r="F3291" s="114"/>
      <c r="G3291" s="200"/>
      <c r="H3291" s="114" t="s">
        <v>4977</v>
      </c>
      <c r="I3291" s="114"/>
      <c r="J3291" s="178"/>
      <c r="K3291" s="114">
        <f>SUM(K3280:K3290)</f>
        <v>27855.599999999999</v>
      </c>
      <c r="M3291" s="202">
        <v>5.1999999999999998E-2</v>
      </c>
      <c r="N3291" s="126" t="s">
        <v>132</v>
      </c>
      <c r="O3291" s="120" t="s">
        <v>1332</v>
      </c>
      <c r="P3291" s="129">
        <f>P3188</f>
        <v>111600</v>
      </c>
      <c r="Q3291" s="121" t="s">
        <v>132</v>
      </c>
      <c r="R3291" s="129">
        <f>P3291*M3291</f>
        <v>5803.2</v>
      </c>
    </row>
    <row r="3292" spans="6:18" ht="24" customHeight="1">
      <c r="F3292" s="114"/>
      <c r="G3292" s="200"/>
      <c r="H3292" s="114"/>
      <c r="I3292" s="114"/>
      <c r="J3292" s="178"/>
      <c r="K3292" s="1172" t="s">
        <v>2163</v>
      </c>
      <c r="M3292" s="202">
        <v>2.5590000000000002E-2</v>
      </c>
      <c r="N3292" s="126" t="s">
        <v>132</v>
      </c>
      <c r="O3292" s="120" t="s">
        <v>1334</v>
      </c>
      <c r="P3292" s="129">
        <f>P3189</f>
        <v>99400</v>
      </c>
      <c r="Q3292" s="121" t="s">
        <v>132</v>
      </c>
      <c r="R3292" s="129">
        <f t="shared" ref="R3292:R3300" si="302">P3292*M3292</f>
        <v>2543.65</v>
      </c>
    </row>
    <row r="3293" spans="6:18" ht="24" customHeight="1">
      <c r="F3293" s="114"/>
      <c r="G3293" s="200"/>
      <c r="H3293" s="114" t="s">
        <v>4978</v>
      </c>
      <c r="I3293" s="114"/>
      <c r="J3293" s="178"/>
      <c r="K3293" s="114">
        <f>K3291/F3283</f>
        <v>9216.08</v>
      </c>
      <c r="M3293" s="129">
        <v>0.87</v>
      </c>
      <c r="N3293" s="126" t="s">
        <v>425</v>
      </c>
      <c r="O3293" s="120" t="s">
        <v>448</v>
      </c>
      <c r="P3293" s="129">
        <f>C783</f>
        <v>387.4</v>
      </c>
      <c r="Q3293" s="121" t="s">
        <v>132</v>
      </c>
      <c r="R3293" s="129">
        <f t="shared" si="302"/>
        <v>337.04</v>
      </c>
    </row>
    <row r="3294" spans="6:18" ht="24" customHeight="1">
      <c r="F3294" s="114"/>
      <c r="G3294" s="200"/>
      <c r="H3294" s="114"/>
      <c r="I3294" s="114"/>
      <c r="J3294" s="178"/>
      <c r="K3294" s="1172" t="s">
        <v>2163</v>
      </c>
      <c r="M3294" s="201">
        <v>2.4279999999999999</v>
      </c>
      <c r="N3294" s="126" t="s">
        <v>425</v>
      </c>
      <c r="O3294" s="120" t="s">
        <v>1340</v>
      </c>
      <c r="P3294" s="129">
        <f>D30</f>
        <v>1336.5</v>
      </c>
      <c r="Q3294" s="121" t="s">
        <v>425</v>
      </c>
      <c r="R3294" s="129">
        <f t="shared" si="302"/>
        <v>3245.02</v>
      </c>
    </row>
    <row r="3295" spans="6:18" ht="24" customHeight="1">
      <c r="G3295" s="115"/>
      <c r="J3295" s="115"/>
      <c r="M3295" s="129">
        <v>4</v>
      </c>
      <c r="N3295" s="126" t="s">
        <v>237</v>
      </c>
      <c r="O3295" s="120" t="s">
        <v>4932</v>
      </c>
      <c r="P3295" s="129">
        <f t="shared" ref="P3295:P3300" si="303">P3228</f>
        <v>57.65</v>
      </c>
      <c r="Q3295" s="121" t="s">
        <v>131</v>
      </c>
      <c r="R3295" s="129">
        <f t="shared" si="302"/>
        <v>230.6</v>
      </c>
    </row>
    <row r="3296" spans="6:18" ht="24" customHeight="1">
      <c r="G3296" s="115"/>
      <c r="J3296" s="115"/>
      <c r="M3296" s="129">
        <v>8</v>
      </c>
      <c r="N3296" s="126" t="s">
        <v>131</v>
      </c>
      <c r="O3296" s="120" t="s">
        <v>1344</v>
      </c>
      <c r="P3296" s="129">
        <f t="shared" si="303"/>
        <v>89.6</v>
      </c>
      <c r="Q3296" s="121" t="s">
        <v>131</v>
      </c>
      <c r="R3296" s="129">
        <f t="shared" si="302"/>
        <v>716.8</v>
      </c>
    </row>
    <row r="3297" spans="6:18" ht="24" customHeight="1">
      <c r="G3297" s="126" t="s">
        <v>1018</v>
      </c>
      <c r="H3297" s="121" t="s">
        <v>4227</v>
      </c>
      <c r="M3297" s="129">
        <v>4</v>
      </c>
      <c r="N3297" s="126" t="s">
        <v>131</v>
      </c>
      <c r="O3297" s="120" t="s">
        <v>4953</v>
      </c>
      <c r="P3297" s="129">
        <f t="shared" si="303"/>
        <v>97.85</v>
      </c>
      <c r="Q3297" s="121" t="s">
        <v>131</v>
      </c>
      <c r="R3297" s="129">
        <f t="shared" si="302"/>
        <v>391.4</v>
      </c>
    </row>
    <row r="3298" spans="6:18" ht="24" customHeight="1">
      <c r="H3298" s="121" t="s">
        <v>1199</v>
      </c>
      <c r="M3298" s="129">
        <v>1</v>
      </c>
      <c r="N3298" s="126" t="s">
        <v>131</v>
      </c>
      <c r="O3298" s="120" t="s">
        <v>4954</v>
      </c>
      <c r="P3298" s="129">
        <f t="shared" si="303"/>
        <v>209.9</v>
      </c>
      <c r="Q3298" s="121" t="s">
        <v>131</v>
      </c>
      <c r="R3298" s="129">
        <f t="shared" si="302"/>
        <v>209.9</v>
      </c>
    </row>
    <row r="3299" spans="6:18" ht="24" customHeight="1">
      <c r="F3299" s="202">
        <v>6.5000000000000002E-2</v>
      </c>
      <c r="G3299" s="126" t="s">
        <v>132</v>
      </c>
      <c r="H3299" s="120" t="s">
        <v>1201</v>
      </c>
      <c r="I3299" s="129">
        <f>I859</f>
        <v>8509.7199999999993</v>
      </c>
      <c r="J3299" s="120" t="s">
        <v>132</v>
      </c>
      <c r="K3299" s="129">
        <f>I3299*F3299</f>
        <v>553.13</v>
      </c>
      <c r="M3299" s="129">
        <v>2</v>
      </c>
      <c r="N3299" s="126" t="s">
        <v>131</v>
      </c>
      <c r="O3299" s="120" t="s">
        <v>4955</v>
      </c>
      <c r="P3299" s="129">
        <f t="shared" si="303"/>
        <v>23.1</v>
      </c>
      <c r="Q3299" s="121" t="s">
        <v>131</v>
      </c>
      <c r="R3299" s="129">
        <f t="shared" si="302"/>
        <v>46.2</v>
      </c>
    </row>
    <row r="3300" spans="6:18" ht="24" customHeight="1">
      <c r="F3300" s="201">
        <v>8.4499999999999993</v>
      </c>
      <c r="G3300" s="126" t="s">
        <v>39</v>
      </c>
      <c r="H3300" s="120" t="s">
        <v>1203</v>
      </c>
      <c r="I3300" s="129">
        <f t="shared" ref="I3300:I3310" si="304">I860</f>
        <v>90172</v>
      </c>
      <c r="J3300" s="120" t="s">
        <v>122</v>
      </c>
      <c r="K3300" s="129">
        <f>I3300*F3300/1000</f>
        <v>761.95</v>
      </c>
      <c r="M3300" s="129">
        <v>2</v>
      </c>
      <c r="N3300" s="126" t="s">
        <v>131</v>
      </c>
      <c r="O3300" s="120" t="s">
        <v>4956</v>
      </c>
      <c r="P3300" s="129">
        <f t="shared" si="303"/>
        <v>49.55</v>
      </c>
      <c r="Q3300" s="121" t="s">
        <v>131</v>
      </c>
      <c r="R3300" s="129">
        <f t="shared" si="302"/>
        <v>99.1</v>
      </c>
    </row>
    <row r="3301" spans="6:18" ht="24" customHeight="1">
      <c r="F3301" s="129">
        <v>3</v>
      </c>
      <c r="G3301" s="126" t="s">
        <v>131</v>
      </c>
      <c r="H3301" s="120" t="s">
        <v>1205</v>
      </c>
      <c r="I3301" s="129">
        <f t="shared" si="304"/>
        <v>14.8</v>
      </c>
      <c r="J3301" s="120" t="s">
        <v>131</v>
      </c>
      <c r="K3301" s="129">
        <f t="shared" ref="K3301:K3308" si="305">I3301*F3301</f>
        <v>44.4</v>
      </c>
      <c r="N3301" s="116"/>
      <c r="O3301" s="115" t="s">
        <v>4888</v>
      </c>
      <c r="Q3301" s="119"/>
      <c r="R3301" s="240">
        <f>R3199</f>
        <v>284.38</v>
      </c>
    </row>
    <row r="3302" spans="6:18" ht="24" customHeight="1">
      <c r="F3302" s="129">
        <v>12</v>
      </c>
      <c r="G3302" s="126" t="s">
        <v>131</v>
      </c>
      <c r="H3302" s="120" t="s">
        <v>1207</v>
      </c>
      <c r="I3302" s="129">
        <f t="shared" si="304"/>
        <v>2</v>
      </c>
      <c r="J3302" s="120" t="s">
        <v>131</v>
      </c>
      <c r="K3302" s="129">
        <f t="shared" si="305"/>
        <v>24</v>
      </c>
      <c r="N3302" s="116"/>
      <c r="Q3302" s="119"/>
      <c r="R3302" s="123" t="s">
        <v>52</v>
      </c>
    </row>
    <row r="3303" spans="6:18" ht="24" customHeight="1">
      <c r="F3303" s="129">
        <v>2</v>
      </c>
      <c r="G3303" s="126" t="s">
        <v>131</v>
      </c>
      <c r="H3303" s="120" t="s">
        <v>1209</v>
      </c>
      <c r="I3303" s="129">
        <f t="shared" si="304"/>
        <v>4.9000000000000004</v>
      </c>
      <c r="J3303" s="120" t="s">
        <v>131</v>
      </c>
      <c r="K3303" s="129">
        <f t="shared" si="305"/>
        <v>9.8000000000000007</v>
      </c>
      <c r="N3303" s="116"/>
      <c r="O3303" s="120" t="s">
        <v>4980</v>
      </c>
      <c r="Q3303" s="119"/>
      <c r="R3303" s="129">
        <f>SUM(R3291:R3301)</f>
        <v>13907.29</v>
      </c>
    </row>
    <row r="3304" spans="6:18" ht="24" customHeight="1">
      <c r="F3304" s="129">
        <v>6</v>
      </c>
      <c r="G3304" s="126" t="s">
        <v>131</v>
      </c>
      <c r="H3304" s="120" t="s">
        <v>1211</v>
      </c>
      <c r="I3304" s="129">
        <f t="shared" si="304"/>
        <v>4.45</v>
      </c>
      <c r="J3304" s="120" t="s">
        <v>131</v>
      </c>
      <c r="K3304" s="129">
        <f t="shared" si="305"/>
        <v>26.7</v>
      </c>
      <c r="N3304" s="116"/>
      <c r="Q3304" s="119"/>
      <c r="R3304" s="123" t="s">
        <v>52</v>
      </c>
    </row>
    <row r="3305" spans="6:18" ht="24" customHeight="1">
      <c r="F3305" s="129">
        <v>1</v>
      </c>
      <c r="G3305" s="126" t="s">
        <v>131</v>
      </c>
      <c r="H3305" s="120" t="s">
        <v>1213</v>
      </c>
      <c r="I3305" s="129">
        <f t="shared" si="304"/>
        <v>1041.7</v>
      </c>
      <c r="J3305" s="120" t="s">
        <v>131</v>
      </c>
      <c r="K3305" s="129">
        <f t="shared" si="305"/>
        <v>1041.7</v>
      </c>
      <c r="N3305" s="116"/>
      <c r="O3305" s="122" t="s">
        <v>460</v>
      </c>
      <c r="Q3305" s="305" t="s">
        <v>3192</v>
      </c>
      <c r="R3305" s="127">
        <f>R3303/M3294</f>
        <v>5727.88</v>
      </c>
    </row>
    <row r="3306" spans="6:18" ht="24" customHeight="1">
      <c r="F3306" s="129">
        <v>1</v>
      </c>
      <c r="G3306" s="126" t="s">
        <v>131</v>
      </c>
      <c r="H3306" s="120" t="s">
        <v>1215</v>
      </c>
      <c r="I3306" s="129">
        <f t="shared" si="304"/>
        <v>679.8</v>
      </c>
      <c r="J3306" s="120" t="s">
        <v>131</v>
      </c>
      <c r="K3306" s="129">
        <f t="shared" si="305"/>
        <v>679.8</v>
      </c>
      <c r="M3306" s="121"/>
      <c r="N3306" s="126" t="s">
        <v>111</v>
      </c>
      <c r="O3306" s="120" t="s">
        <v>4988</v>
      </c>
      <c r="Q3306" s="119"/>
    </row>
    <row r="3307" spans="6:18" ht="24" customHeight="1">
      <c r="F3307" s="129">
        <v>1</v>
      </c>
      <c r="G3307" s="126" t="s">
        <v>131</v>
      </c>
      <c r="H3307" s="120" t="s">
        <v>1217</v>
      </c>
      <c r="I3307" s="129">
        <f t="shared" si="304"/>
        <v>25</v>
      </c>
      <c r="J3307" s="120" t="s">
        <v>131</v>
      </c>
      <c r="K3307" s="129">
        <f t="shared" si="305"/>
        <v>25</v>
      </c>
      <c r="N3307" s="116"/>
      <c r="O3307" s="120" t="s">
        <v>1309</v>
      </c>
      <c r="Q3307" s="119"/>
    </row>
    <row r="3308" spans="6:18" ht="24" customHeight="1">
      <c r="F3308" s="129">
        <v>0.5</v>
      </c>
      <c r="G3308" s="126" t="s">
        <v>131</v>
      </c>
      <c r="H3308" s="120" t="s">
        <v>1219</v>
      </c>
      <c r="I3308" s="129">
        <f t="shared" si="304"/>
        <v>557.70000000000005</v>
      </c>
      <c r="J3308" s="120" t="s">
        <v>131</v>
      </c>
      <c r="K3308" s="129">
        <f t="shared" si="305"/>
        <v>278.85000000000002</v>
      </c>
      <c r="N3308" s="116"/>
      <c r="O3308" s="379" t="s">
        <v>4917</v>
      </c>
      <c r="Q3308" s="119"/>
    </row>
    <row r="3309" spans="6:18" ht="24" customHeight="1">
      <c r="G3309" s="126" t="s">
        <v>145</v>
      </c>
      <c r="H3309" s="120" t="s">
        <v>1221</v>
      </c>
      <c r="I3309" s="129">
        <f t="shared" si="304"/>
        <v>0</v>
      </c>
      <c r="J3309" s="120" t="s">
        <v>145</v>
      </c>
      <c r="K3309" s="129">
        <v>2.1</v>
      </c>
      <c r="N3309" s="116"/>
      <c r="O3309" s="123" t="s">
        <v>52</v>
      </c>
      <c r="Q3309" s="119"/>
    </row>
    <row r="3310" spans="6:18" ht="24" customHeight="1">
      <c r="I3310" s="129">
        <f t="shared" si="304"/>
        <v>0</v>
      </c>
      <c r="K3310" s="123" t="s">
        <v>52</v>
      </c>
      <c r="N3310" s="116"/>
      <c r="O3310" s="120" t="s">
        <v>4919</v>
      </c>
      <c r="P3310" s="213" t="s">
        <v>89</v>
      </c>
      <c r="Q3310" s="276">
        <v>3.1219999999999999</v>
      </c>
      <c r="R3310" s="117" t="s">
        <v>724</v>
      </c>
    </row>
    <row r="3311" spans="6:18" ht="24" customHeight="1">
      <c r="H3311" s="128" t="s">
        <v>1224</v>
      </c>
      <c r="K3311" s="199">
        <f>SUM(K3299:K3310)</f>
        <v>3447.43</v>
      </c>
      <c r="N3311" s="116"/>
      <c r="O3311" s="120"/>
      <c r="P3311" s="213"/>
      <c r="Q3311" s="276"/>
      <c r="R3311" s="117"/>
    </row>
    <row r="3312" spans="6:18" ht="24" customHeight="1">
      <c r="K3312" s="123" t="s">
        <v>52</v>
      </c>
      <c r="N3312" s="116"/>
      <c r="O3312" s="120" t="s">
        <v>4920</v>
      </c>
      <c r="P3312" s="213" t="s">
        <v>89</v>
      </c>
      <c r="Q3312" s="420">
        <v>5.1999999999999998E-2</v>
      </c>
      <c r="R3312" s="117" t="s">
        <v>5</v>
      </c>
    </row>
    <row r="3313" spans="6:18" ht="24" customHeight="1">
      <c r="G3313" s="115"/>
      <c r="J3313" s="115"/>
      <c r="N3313" s="116"/>
      <c r="O3313" s="120" t="s">
        <v>4921</v>
      </c>
      <c r="Q3313" s="213"/>
      <c r="R3313" s="117"/>
    </row>
    <row r="3314" spans="6:18" ht="24" customHeight="1">
      <c r="G3314" s="115"/>
      <c r="J3314" s="115"/>
      <c r="N3314" s="116"/>
      <c r="O3314" s="120" t="s">
        <v>4922</v>
      </c>
      <c r="P3314" s="213" t="s">
        <v>89</v>
      </c>
      <c r="Q3314" s="497">
        <v>2.2780000000000002E-2</v>
      </c>
      <c r="R3314" s="117"/>
    </row>
    <row r="3315" spans="6:18" ht="24" customHeight="1">
      <c r="G3315" s="114" t="s">
        <v>4747</v>
      </c>
      <c r="J3315" s="115"/>
      <c r="N3315" s="116"/>
      <c r="O3315" s="120" t="s">
        <v>4924</v>
      </c>
      <c r="P3315" s="213" t="s">
        <v>89</v>
      </c>
      <c r="Q3315" s="502">
        <v>1.0125E-2</v>
      </c>
      <c r="R3315" s="254"/>
    </row>
    <row r="3316" spans="6:18" ht="24" customHeight="1">
      <c r="G3316" s="114" t="s">
        <v>4748</v>
      </c>
      <c r="J3316" s="115"/>
      <c r="N3316" s="116"/>
      <c r="Q3316" s="1173" t="s">
        <v>2197</v>
      </c>
      <c r="R3316" s="117"/>
    </row>
    <row r="3317" spans="6:18" ht="24" customHeight="1">
      <c r="G3317" s="115"/>
      <c r="J3317" s="115"/>
      <c r="N3317" s="116"/>
      <c r="Q3317" s="498">
        <v>3.2910000000000002E-2</v>
      </c>
      <c r="R3317" s="117" t="s">
        <v>5</v>
      </c>
    </row>
    <row r="3318" spans="6:18" ht="24" customHeight="1">
      <c r="F3318" s="470">
        <v>2.6159999999999999E-2</v>
      </c>
      <c r="G3318" s="200" t="s">
        <v>132</v>
      </c>
      <c r="H3318" s="114" t="s">
        <v>3112</v>
      </c>
      <c r="I3318" s="114">
        <f>AC26</f>
        <v>111600</v>
      </c>
      <c r="J3318" s="178" t="s">
        <v>132</v>
      </c>
      <c r="K3318" s="114">
        <f>I3318*F3318</f>
        <v>2919.46</v>
      </c>
      <c r="N3318" s="116"/>
      <c r="Q3318" s="1173" t="s">
        <v>2197</v>
      </c>
      <c r="R3318" s="117"/>
    </row>
    <row r="3319" spans="6:18" ht="24" customHeight="1">
      <c r="F3319" s="470">
        <v>4.7809999999999998E-2</v>
      </c>
      <c r="G3319" s="200" t="s">
        <v>132</v>
      </c>
      <c r="H3319" s="114" t="s">
        <v>3113</v>
      </c>
      <c r="I3319" s="114">
        <f>AC27</f>
        <v>99400</v>
      </c>
      <c r="J3319" s="178" t="s">
        <v>132</v>
      </c>
      <c r="K3319" s="114">
        <f t="shared" ref="K3319:K3327" si="306">I3319*F3319</f>
        <v>4752.3100000000004</v>
      </c>
      <c r="N3319" s="116"/>
      <c r="O3319" s="120" t="s">
        <v>4943</v>
      </c>
      <c r="Q3319" s="420">
        <v>0.94</v>
      </c>
      <c r="R3319" s="254" t="s">
        <v>724</v>
      </c>
    </row>
    <row r="3320" spans="6:18" ht="33" customHeight="1">
      <c r="F3320" s="504">
        <v>4.5879999999999997E-2</v>
      </c>
      <c r="G3320" s="505" t="s">
        <v>132</v>
      </c>
      <c r="H3320" s="506" t="s">
        <v>4989</v>
      </c>
      <c r="I3320" s="511">
        <v>107000</v>
      </c>
      <c r="J3320" s="431" t="s">
        <v>132</v>
      </c>
      <c r="K3320" s="505">
        <f t="shared" si="306"/>
        <v>4909.16</v>
      </c>
      <c r="N3320" s="116"/>
      <c r="O3320" s="120" t="s">
        <v>4990</v>
      </c>
      <c r="Q3320" s="501">
        <v>0.45</v>
      </c>
      <c r="R3320" s="254" t="s">
        <v>5</v>
      </c>
    </row>
    <row r="3321" spans="6:18" ht="24" customHeight="1">
      <c r="F3321" s="470">
        <v>3.95</v>
      </c>
      <c r="G3321" s="200" t="s">
        <v>425</v>
      </c>
      <c r="H3321" s="114" t="s">
        <v>3115</v>
      </c>
      <c r="I3321" s="114">
        <f>P3261</f>
        <v>1602.7</v>
      </c>
      <c r="J3321" s="178" t="s">
        <v>425</v>
      </c>
      <c r="K3321" s="114">
        <f t="shared" si="306"/>
        <v>6330.67</v>
      </c>
      <c r="N3321" s="116"/>
      <c r="O3321" s="120" t="s">
        <v>4945</v>
      </c>
      <c r="Q3321" s="501">
        <v>7.9</v>
      </c>
      <c r="R3321" s="254" t="s">
        <v>13</v>
      </c>
    </row>
    <row r="3322" spans="6:18" ht="24" customHeight="1">
      <c r="F3322" s="114">
        <v>2</v>
      </c>
      <c r="G3322" s="200" t="s">
        <v>1572</v>
      </c>
      <c r="H3322" s="114" t="s">
        <v>4264</v>
      </c>
      <c r="I3322" s="114">
        <f t="shared" ref="I3322:I3327" si="307">P3262</f>
        <v>57.65</v>
      </c>
      <c r="J3322" s="178" t="s">
        <v>729</v>
      </c>
      <c r="K3322" s="114">
        <f t="shared" si="306"/>
        <v>115.3</v>
      </c>
      <c r="N3322" s="116"/>
      <c r="Q3322" s="123"/>
      <c r="R3322" s="123"/>
    </row>
    <row r="3323" spans="6:18" ht="24" customHeight="1">
      <c r="F3323" s="114">
        <v>6</v>
      </c>
      <c r="G3323" s="200" t="s">
        <v>1572</v>
      </c>
      <c r="H3323" s="114" t="s">
        <v>4265</v>
      </c>
      <c r="I3323" s="114">
        <f t="shared" si="307"/>
        <v>89.6</v>
      </c>
      <c r="J3323" s="178" t="s">
        <v>729</v>
      </c>
      <c r="K3323" s="114">
        <f t="shared" si="306"/>
        <v>537.6</v>
      </c>
      <c r="M3323" s="202">
        <v>5.1999999999999998E-2</v>
      </c>
      <c r="N3323" s="126" t="s">
        <v>132</v>
      </c>
      <c r="O3323" s="120" t="s">
        <v>1332</v>
      </c>
      <c r="P3323" s="129">
        <f>P3221</f>
        <v>111600</v>
      </c>
      <c r="Q3323" s="121" t="s">
        <v>132</v>
      </c>
      <c r="R3323" s="129">
        <f>P3323*M3323</f>
        <v>5803.2</v>
      </c>
    </row>
    <row r="3324" spans="6:18" ht="24" customHeight="1">
      <c r="F3324" s="114">
        <v>4</v>
      </c>
      <c r="G3324" s="200" t="s">
        <v>1572</v>
      </c>
      <c r="H3324" s="114" t="s">
        <v>4266</v>
      </c>
      <c r="I3324" s="114">
        <f t="shared" si="307"/>
        <v>97.85</v>
      </c>
      <c r="J3324" s="178" t="s">
        <v>729</v>
      </c>
      <c r="K3324" s="114">
        <f t="shared" si="306"/>
        <v>391.4</v>
      </c>
      <c r="M3324" s="202">
        <v>3.2910000000000002E-2</v>
      </c>
      <c r="N3324" s="126" t="s">
        <v>132</v>
      </c>
      <c r="O3324" s="120" t="s">
        <v>1334</v>
      </c>
      <c r="P3324" s="129">
        <f>P3222</f>
        <v>99400</v>
      </c>
      <c r="Q3324" s="121" t="s">
        <v>132</v>
      </c>
      <c r="R3324" s="129">
        <f t="shared" ref="R3324:R3335" si="308">P3324*M3324</f>
        <v>3271.25</v>
      </c>
    </row>
    <row r="3325" spans="6:18" ht="24" customHeight="1">
      <c r="F3325" s="114">
        <v>1</v>
      </c>
      <c r="G3325" s="200" t="s">
        <v>1572</v>
      </c>
      <c r="H3325" s="114" t="s">
        <v>4267</v>
      </c>
      <c r="I3325" s="114">
        <f t="shared" si="307"/>
        <v>209.9</v>
      </c>
      <c r="J3325" s="178" t="s">
        <v>729</v>
      </c>
      <c r="K3325" s="114">
        <f t="shared" si="306"/>
        <v>209.9</v>
      </c>
      <c r="M3325" s="202">
        <v>0.45</v>
      </c>
      <c r="N3325" s="126" t="s">
        <v>425</v>
      </c>
      <c r="O3325" s="120" t="s">
        <v>448</v>
      </c>
      <c r="P3325" s="129">
        <f>P3293</f>
        <v>387.4</v>
      </c>
      <c r="Q3325" s="121" t="s">
        <v>132</v>
      </c>
      <c r="R3325" s="129">
        <f t="shared" si="308"/>
        <v>174.33</v>
      </c>
    </row>
    <row r="3326" spans="6:18" ht="24" customHeight="1">
      <c r="F3326" s="114">
        <v>2</v>
      </c>
      <c r="G3326" s="200" t="s">
        <v>1572</v>
      </c>
      <c r="H3326" s="114" t="s">
        <v>4991</v>
      </c>
      <c r="I3326" s="114">
        <f t="shared" si="307"/>
        <v>23.1</v>
      </c>
      <c r="J3326" s="178" t="s">
        <v>729</v>
      </c>
      <c r="K3326" s="114">
        <f t="shared" si="306"/>
        <v>46.2</v>
      </c>
      <c r="M3326" s="201">
        <v>0.94</v>
      </c>
      <c r="N3326" s="126" t="s">
        <v>425</v>
      </c>
      <c r="O3326" s="120" t="s">
        <v>4992</v>
      </c>
      <c r="P3326" s="129">
        <f t="shared" ref="P3326:P3334" si="309">P3225</f>
        <v>562.5</v>
      </c>
      <c r="Q3326" s="119" t="s">
        <v>425</v>
      </c>
      <c r="R3326" s="129">
        <f t="shared" si="308"/>
        <v>528.75</v>
      </c>
    </row>
    <row r="3327" spans="6:18" ht="24" customHeight="1">
      <c r="F3327" s="114">
        <v>2</v>
      </c>
      <c r="G3327" s="200" t="s">
        <v>1572</v>
      </c>
      <c r="H3327" s="114" t="s">
        <v>455</v>
      </c>
      <c r="I3327" s="114">
        <f t="shared" si="307"/>
        <v>49.55</v>
      </c>
      <c r="J3327" s="178" t="s">
        <v>729</v>
      </c>
      <c r="K3327" s="114">
        <f t="shared" si="306"/>
        <v>99.1</v>
      </c>
      <c r="M3327" s="201">
        <v>7.9</v>
      </c>
      <c r="N3327" s="126" t="s">
        <v>282</v>
      </c>
      <c r="O3327" s="120" t="s">
        <v>4993</v>
      </c>
      <c r="P3327" s="129">
        <f t="shared" si="309"/>
        <v>15.45</v>
      </c>
      <c r="Q3327" s="119"/>
      <c r="R3327" s="129">
        <f t="shared" si="308"/>
        <v>122.06</v>
      </c>
    </row>
    <row r="3328" spans="6:18" ht="24" customHeight="1">
      <c r="F3328" s="114">
        <v>10</v>
      </c>
      <c r="G3328" s="200"/>
      <c r="H3328" s="507" t="s">
        <v>4994</v>
      </c>
      <c r="I3328" s="114">
        <f>I3290</f>
        <v>2.41</v>
      </c>
      <c r="J3328" s="178"/>
      <c r="K3328" s="114">
        <v>24.3</v>
      </c>
      <c r="M3328" s="201">
        <v>3.1219999999999999</v>
      </c>
      <c r="N3328" s="126" t="s">
        <v>425</v>
      </c>
      <c r="O3328" s="120" t="s">
        <v>1340</v>
      </c>
      <c r="P3328" s="129">
        <f t="shared" si="309"/>
        <v>1498.2</v>
      </c>
      <c r="Q3328" s="121" t="s">
        <v>425</v>
      </c>
      <c r="R3328" s="129">
        <f t="shared" si="308"/>
        <v>4677.38</v>
      </c>
    </row>
    <row r="3329" spans="6:18" ht="24" customHeight="1">
      <c r="F3329" s="114"/>
      <c r="G3329" s="200"/>
      <c r="H3329" s="114" t="s">
        <v>460</v>
      </c>
      <c r="I3329" s="114"/>
      <c r="J3329" s="178"/>
      <c r="K3329" s="114">
        <f>SUM(K3318:K3328)</f>
        <v>20335.400000000001</v>
      </c>
      <c r="M3329" s="129">
        <v>4</v>
      </c>
      <c r="N3329" s="126" t="s">
        <v>237</v>
      </c>
      <c r="O3329" s="120" t="s">
        <v>4932</v>
      </c>
      <c r="P3329" s="129">
        <f t="shared" si="309"/>
        <v>57.65</v>
      </c>
      <c r="Q3329" s="121" t="s">
        <v>131</v>
      </c>
      <c r="R3329" s="129">
        <f t="shared" si="308"/>
        <v>230.6</v>
      </c>
    </row>
    <row r="3330" spans="6:18" ht="24" customHeight="1">
      <c r="F3330" s="114"/>
      <c r="G3330" s="200"/>
      <c r="H3330" s="114"/>
      <c r="I3330" s="114"/>
      <c r="J3330" s="178"/>
      <c r="K3330" s="1172" t="s">
        <v>2163</v>
      </c>
      <c r="M3330" s="129">
        <v>8</v>
      </c>
      <c r="N3330" s="126" t="s">
        <v>131</v>
      </c>
      <c r="O3330" s="120" t="s">
        <v>1344</v>
      </c>
      <c r="P3330" s="129">
        <f t="shared" si="309"/>
        <v>89.6</v>
      </c>
      <c r="Q3330" s="121" t="s">
        <v>131</v>
      </c>
      <c r="R3330" s="129">
        <f t="shared" si="308"/>
        <v>716.8</v>
      </c>
    </row>
    <row r="3331" spans="6:18" ht="24" customHeight="1">
      <c r="F3331" s="114"/>
      <c r="G3331" s="200"/>
      <c r="H3331" s="114" t="s">
        <v>460</v>
      </c>
      <c r="I3331" s="114"/>
      <c r="J3331" s="178"/>
      <c r="K3331" s="114">
        <f>K3329/F3321</f>
        <v>5148.2</v>
      </c>
      <c r="M3331" s="129">
        <v>4</v>
      </c>
      <c r="N3331" s="126" t="s">
        <v>131</v>
      </c>
      <c r="O3331" s="120" t="s">
        <v>4953</v>
      </c>
      <c r="P3331" s="129">
        <f t="shared" si="309"/>
        <v>97.85</v>
      </c>
      <c r="Q3331" s="121" t="s">
        <v>131</v>
      </c>
      <c r="R3331" s="129">
        <f t="shared" si="308"/>
        <v>391.4</v>
      </c>
    </row>
    <row r="3332" spans="6:18" ht="24" customHeight="1">
      <c r="F3332" s="114"/>
      <c r="G3332" s="200"/>
      <c r="H3332" s="114"/>
      <c r="I3332" s="114"/>
      <c r="J3332" s="178"/>
      <c r="K3332" s="1172" t="s">
        <v>2163</v>
      </c>
      <c r="M3332" s="129">
        <v>1</v>
      </c>
      <c r="N3332" s="126" t="s">
        <v>131</v>
      </c>
      <c r="O3332" s="120" t="s">
        <v>4954</v>
      </c>
      <c r="P3332" s="129">
        <f t="shared" si="309"/>
        <v>209.9</v>
      </c>
      <c r="Q3332" s="121" t="s">
        <v>131</v>
      </c>
      <c r="R3332" s="129">
        <f t="shared" si="308"/>
        <v>209.9</v>
      </c>
    </row>
    <row r="3333" spans="6:18" ht="24" customHeight="1">
      <c r="G3333" s="115"/>
      <c r="J3333" s="115"/>
      <c r="M3333" s="129">
        <v>2</v>
      </c>
      <c r="N3333" s="126" t="s">
        <v>131</v>
      </c>
      <c r="O3333" s="120" t="s">
        <v>4955</v>
      </c>
      <c r="P3333" s="129">
        <f t="shared" si="309"/>
        <v>23.1</v>
      </c>
      <c r="Q3333" s="121" t="s">
        <v>131</v>
      </c>
      <c r="R3333" s="129">
        <f t="shared" si="308"/>
        <v>46.2</v>
      </c>
    </row>
    <row r="3334" spans="6:18" ht="24" customHeight="1">
      <c r="G3334" s="115"/>
      <c r="J3334" s="115"/>
      <c r="M3334" s="129">
        <v>2</v>
      </c>
      <c r="N3334" s="126" t="s">
        <v>131</v>
      </c>
      <c r="O3334" s="120" t="s">
        <v>4956</v>
      </c>
      <c r="P3334" s="129">
        <f t="shared" si="309"/>
        <v>49.55</v>
      </c>
      <c r="Q3334" s="121" t="s">
        <v>131</v>
      </c>
      <c r="R3334" s="129">
        <f t="shared" si="308"/>
        <v>99.1</v>
      </c>
    </row>
    <row r="3335" spans="6:18" ht="24" customHeight="1">
      <c r="G3335" s="115"/>
      <c r="J3335" s="115"/>
      <c r="M3335" s="115">
        <v>118</v>
      </c>
      <c r="N3335" s="126" t="s">
        <v>131</v>
      </c>
      <c r="O3335" s="115" t="s">
        <v>4888</v>
      </c>
      <c r="P3335" s="115">
        <f>P3268</f>
        <v>2.41</v>
      </c>
      <c r="Q3335" s="121" t="s">
        <v>131</v>
      </c>
      <c r="R3335" s="129">
        <f t="shared" si="308"/>
        <v>284.38</v>
      </c>
    </row>
    <row r="3336" spans="6:18" ht="24" customHeight="1">
      <c r="F3336" s="121"/>
      <c r="G3336" s="126" t="s">
        <v>111</v>
      </c>
      <c r="H3336" s="120" t="s">
        <v>4995</v>
      </c>
      <c r="J3336" s="119"/>
      <c r="N3336" s="116"/>
      <c r="Q3336" s="119"/>
      <c r="R3336" s="123" t="s">
        <v>52</v>
      </c>
    </row>
    <row r="3337" spans="6:18" ht="24" customHeight="1">
      <c r="H3337" s="120" t="s">
        <v>4319</v>
      </c>
      <c r="J3337" s="119"/>
      <c r="N3337" s="116"/>
      <c r="O3337" s="120" t="s">
        <v>4939</v>
      </c>
      <c r="Q3337" s="119"/>
      <c r="R3337" s="129">
        <f>SUM(R3323:R3335)</f>
        <v>16555.349999999999</v>
      </c>
    </row>
    <row r="3338" spans="6:18" ht="24" customHeight="1">
      <c r="H3338" s="122" t="s">
        <v>4996</v>
      </c>
      <c r="J3338" s="119"/>
      <c r="N3338" s="116"/>
      <c r="Q3338" s="119"/>
      <c r="R3338" s="123" t="s">
        <v>52</v>
      </c>
    </row>
    <row r="3339" spans="6:18" ht="24" customHeight="1">
      <c r="H3339" s="123" t="s">
        <v>52</v>
      </c>
      <c r="J3339" s="119"/>
      <c r="N3339" s="116"/>
      <c r="O3339" s="122" t="s">
        <v>460</v>
      </c>
      <c r="Q3339" s="305" t="s">
        <v>3192</v>
      </c>
      <c r="R3339" s="127">
        <f>R3337/M3328</f>
        <v>5302.8</v>
      </c>
    </row>
    <row r="3340" spans="6:18" ht="24" customHeight="1">
      <c r="F3340" s="129">
        <v>1.34</v>
      </c>
      <c r="G3340" s="126" t="s">
        <v>39</v>
      </c>
      <c r="H3340" s="415" t="s">
        <v>4997</v>
      </c>
      <c r="I3340" s="136">
        <v>73.8</v>
      </c>
      <c r="J3340" s="120" t="s">
        <v>39</v>
      </c>
      <c r="K3340" s="129">
        <f>(F3340*I3340)</f>
        <v>98.89</v>
      </c>
    </row>
    <row r="3341" spans="6:18" ht="24" customHeight="1">
      <c r="F3341" s="129">
        <v>0.5</v>
      </c>
      <c r="G3341" s="126" t="s">
        <v>237</v>
      </c>
      <c r="H3341" s="120" t="s">
        <v>1660</v>
      </c>
      <c r="I3341" s="129">
        <f>AE13</f>
        <v>831.6</v>
      </c>
      <c r="J3341" s="126" t="s">
        <v>237</v>
      </c>
      <c r="K3341" s="129">
        <f>(F3341*I3341)</f>
        <v>415.8</v>
      </c>
    </row>
    <row r="3342" spans="6:18" ht="24" customHeight="1">
      <c r="F3342" s="129">
        <v>0.5</v>
      </c>
      <c r="G3342" s="126" t="s">
        <v>237</v>
      </c>
      <c r="H3342" s="120" t="s">
        <v>304</v>
      </c>
      <c r="I3342" s="129">
        <f>AE11</f>
        <v>679.8</v>
      </c>
      <c r="J3342" s="126" t="s">
        <v>237</v>
      </c>
      <c r="K3342" s="129">
        <f>(F3342*I3342)</f>
        <v>339.9</v>
      </c>
      <c r="M3342" s="121"/>
      <c r="N3342" s="126" t="s">
        <v>111</v>
      </c>
      <c r="O3342" s="120" t="s">
        <v>4998</v>
      </c>
      <c r="Q3342" s="119"/>
    </row>
    <row r="3343" spans="6:18" ht="24" customHeight="1">
      <c r="F3343" s="129">
        <v>0.8</v>
      </c>
      <c r="G3343" s="126" t="s">
        <v>237</v>
      </c>
      <c r="H3343" s="120" t="s">
        <v>306</v>
      </c>
      <c r="I3343" s="129">
        <f>AE12</f>
        <v>557.70000000000005</v>
      </c>
      <c r="J3343" s="126" t="s">
        <v>237</v>
      </c>
      <c r="K3343" s="129">
        <f>(F3343*I3343)</f>
        <v>446.16</v>
      </c>
      <c r="N3343" s="116"/>
      <c r="O3343" s="120" t="s">
        <v>1309</v>
      </c>
      <c r="Q3343" s="119"/>
    </row>
    <row r="3344" spans="6:18" ht="24" customHeight="1">
      <c r="G3344" s="126" t="s">
        <v>145</v>
      </c>
      <c r="H3344" s="120" t="s">
        <v>1546</v>
      </c>
      <c r="I3344" s="120" t="s">
        <v>85</v>
      </c>
      <c r="J3344" s="121" t="s">
        <v>145</v>
      </c>
      <c r="K3344" s="129">
        <v>2.6</v>
      </c>
      <c r="N3344" s="116"/>
      <c r="O3344" s="379" t="s">
        <v>4999</v>
      </c>
      <c r="Q3344" s="119"/>
    </row>
    <row r="3345" spans="6:18" ht="24" customHeight="1">
      <c r="J3345" s="119"/>
      <c r="K3345" s="123" t="s">
        <v>52</v>
      </c>
      <c r="N3345" s="116"/>
      <c r="O3345" s="123" t="s">
        <v>52</v>
      </c>
      <c r="Q3345" s="119"/>
    </row>
    <row r="3346" spans="6:18" ht="24" customHeight="1">
      <c r="H3346" s="120" t="s">
        <v>495</v>
      </c>
      <c r="J3346" s="119"/>
      <c r="K3346" s="129">
        <f>SUM(K3340:K3345)</f>
        <v>1303.3499999999999</v>
      </c>
      <c r="N3346" s="116"/>
      <c r="O3346" s="120" t="s">
        <v>5000</v>
      </c>
      <c r="P3346" s="213" t="s">
        <v>89</v>
      </c>
      <c r="Q3346" s="276">
        <v>1.734</v>
      </c>
      <c r="R3346" s="115" t="s">
        <v>724</v>
      </c>
    </row>
    <row r="3347" spans="6:18" ht="24" customHeight="1">
      <c r="J3347" s="119"/>
      <c r="K3347" s="123" t="s">
        <v>52</v>
      </c>
      <c r="N3347" s="116"/>
      <c r="O3347" s="120"/>
      <c r="P3347" s="213"/>
      <c r="Q3347" s="276"/>
    </row>
    <row r="3348" spans="6:18" ht="24" customHeight="1">
      <c r="H3348" s="122" t="s">
        <v>460</v>
      </c>
      <c r="J3348" s="119"/>
      <c r="K3348" s="127">
        <f>(K3346/10)</f>
        <v>130.34</v>
      </c>
      <c r="N3348" s="116"/>
      <c r="O3348" s="120" t="s">
        <v>5001</v>
      </c>
      <c r="P3348" s="213" t="s">
        <v>89</v>
      </c>
      <c r="Q3348" s="420">
        <v>3.9E-2</v>
      </c>
      <c r="R3348" s="115" t="s">
        <v>5</v>
      </c>
    </row>
    <row r="3349" spans="6:18" ht="24" customHeight="1">
      <c r="F3349" s="120" t="s">
        <v>85</v>
      </c>
      <c r="J3349" s="119"/>
      <c r="N3349" s="116"/>
      <c r="O3349" s="120" t="s">
        <v>4921</v>
      </c>
      <c r="Q3349" s="213"/>
    </row>
    <row r="3350" spans="6:18" ht="24" customHeight="1">
      <c r="G3350" s="115"/>
      <c r="J3350" s="115"/>
      <c r="N3350" s="116"/>
      <c r="O3350" s="120" t="s">
        <v>5002</v>
      </c>
      <c r="P3350" s="213" t="s">
        <v>89</v>
      </c>
      <c r="Q3350" s="497">
        <v>1.2659999999999999E-2</v>
      </c>
    </row>
    <row r="3351" spans="6:18" ht="24" customHeight="1">
      <c r="H3351" s="114" t="s">
        <v>5003</v>
      </c>
      <c r="J3351" s="115"/>
      <c r="N3351" s="116"/>
      <c r="O3351" s="120" t="s">
        <v>5004</v>
      </c>
      <c r="P3351" s="213" t="s">
        <v>89</v>
      </c>
      <c r="Q3351" s="502">
        <v>5.6249999999999998E-3</v>
      </c>
      <c r="R3351" s="202"/>
    </row>
    <row r="3352" spans="6:18" ht="24" customHeight="1">
      <c r="J3352" s="115"/>
      <c r="N3352" s="116"/>
      <c r="Q3352" s="123" t="s">
        <v>52</v>
      </c>
    </row>
    <row r="3353" spans="6:18" ht="24" customHeight="1">
      <c r="F3353" s="115">
        <v>1.4</v>
      </c>
      <c r="G3353" s="126" t="s">
        <v>1658</v>
      </c>
      <c r="H3353" s="115" t="s">
        <v>4334</v>
      </c>
      <c r="I3353" s="213">
        <f>I3366</f>
        <v>295.60000000000002</v>
      </c>
      <c r="J3353" s="126" t="s">
        <v>1658</v>
      </c>
      <c r="K3353" s="115">
        <f>I3353*F3353</f>
        <v>413.84</v>
      </c>
      <c r="N3353" s="116"/>
      <c r="Q3353" s="498">
        <v>1.8290000000000001E-2</v>
      </c>
      <c r="R3353" s="115" t="s">
        <v>5</v>
      </c>
    </row>
    <row r="3354" spans="6:18" ht="24" customHeight="1">
      <c r="F3354" s="115">
        <v>1.5</v>
      </c>
      <c r="G3354" s="126" t="s">
        <v>237</v>
      </c>
      <c r="H3354" s="115" t="s">
        <v>5005</v>
      </c>
      <c r="I3354" s="213">
        <f>I3367</f>
        <v>831.6</v>
      </c>
      <c r="J3354" s="126" t="s">
        <v>237</v>
      </c>
      <c r="K3354" s="115">
        <f>I3354*F3354</f>
        <v>1247.4000000000001</v>
      </c>
      <c r="N3354" s="116"/>
      <c r="Q3354" s="123" t="s">
        <v>52</v>
      </c>
    </row>
    <row r="3355" spans="6:18" ht="24" customHeight="1">
      <c r="F3355" s="115">
        <v>10</v>
      </c>
      <c r="G3355" s="116" t="s">
        <v>724</v>
      </c>
      <c r="H3355" s="120" t="s">
        <v>4916</v>
      </c>
      <c r="I3355" s="213">
        <f>I3368</f>
        <v>4.4000000000000004</v>
      </c>
      <c r="J3355" s="116" t="s">
        <v>724</v>
      </c>
      <c r="K3355" s="115">
        <f>I3355*F3355</f>
        <v>44</v>
      </c>
      <c r="N3355" s="116"/>
      <c r="O3355" s="120" t="s">
        <v>5006</v>
      </c>
      <c r="Q3355" s="499">
        <v>0.4113</v>
      </c>
      <c r="R3355" s="202"/>
    </row>
    <row r="3356" spans="6:18" ht="24" customHeight="1">
      <c r="H3356" s="120" t="s">
        <v>4918</v>
      </c>
      <c r="I3356" s="213" t="s">
        <v>4928</v>
      </c>
      <c r="J3356" s="119"/>
      <c r="K3356" s="115">
        <v>4.33</v>
      </c>
      <c r="N3356" s="116"/>
      <c r="O3356" s="120" t="s">
        <v>5007</v>
      </c>
      <c r="Q3356" s="500">
        <v>0.19689999999999999</v>
      </c>
      <c r="R3356" s="202"/>
    </row>
    <row r="3357" spans="6:18" ht="24" customHeight="1">
      <c r="H3357" s="120" t="s">
        <v>495</v>
      </c>
      <c r="J3357" s="119"/>
      <c r="K3357" s="115">
        <f>SUM(K3353:K3356)</f>
        <v>1709.57</v>
      </c>
      <c r="N3357" s="116"/>
      <c r="O3357" s="120"/>
      <c r="Q3357" s="123" t="s">
        <v>52</v>
      </c>
      <c r="R3357" s="202"/>
    </row>
    <row r="3358" spans="6:18" ht="24" customHeight="1">
      <c r="H3358" s="122" t="s">
        <v>460</v>
      </c>
      <c r="J3358" s="119"/>
      <c r="K3358" s="115">
        <f>K3357/10</f>
        <v>170.96</v>
      </c>
      <c r="N3358" s="116"/>
      <c r="O3358" s="120"/>
      <c r="Q3358" s="501">
        <v>0.60819999999999996</v>
      </c>
      <c r="R3358" s="114"/>
    </row>
    <row r="3359" spans="6:18" ht="24" customHeight="1">
      <c r="J3359" s="119"/>
      <c r="N3359" s="116"/>
      <c r="Q3359" s="123" t="s">
        <v>52</v>
      </c>
      <c r="R3359" s="123"/>
    </row>
    <row r="3360" spans="6:18" ht="24" customHeight="1">
      <c r="J3360" s="119"/>
      <c r="M3360" s="202">
        <v>3.9E-2</v>
      </c>
      <c r="N3360" s="126" t="s">
        <v>132</v>
      </c>
      <c r="O3360" s="120" t="s">
        <v>1332</v>
      </c>
      <c r="P3360" s="129">
        <f>P3291</f>
        <v>111600</v>
      </c>
      <c r="Q3360" s="121" t="s">
        <v>132</v>
      </c>
      <c r="R3360" s="129">
        <f>P3360*M3360</f>
        <v>4352.3999999999996</v>
      </c>
    </row>
    <row r="3361" spans="6:18" ht="24" customHeight="1">
      <c r="G3361" s="115"/>
      <c r="J3361" s="115"/>
      <c r="M3361" s="202">
        <v>1.8290000000000001E-2</v>
      </c>
      <c r="N3361" s="126" t="s">
        <v>132</v>
      </c>
      <c r="O3361" s="120" t="s">
        <v>1334</v>
      </c>
      <c r="P3361" s="129">
        <f>P3292</f>
        <v>99400</v>
      </c>
      <c r="Q3361" s="121" t="s">
        <v>132</v>
      </c>
      <c r="R3361" s="129">
        <f t="shared" ref="R3361:R3370" si="310">P3361*M3361</f>
        <v>1818.03</v>
      </c>
    </row>
    <row r="3362" spans="6:18" ht="24" customHeight="1">
      <c r="G3362" s="115"/>
      <c r="J3362" s="115"/>
      <c r="M3362" s="202">
        <v>0.60819999999999996</v>
      </c>
      <c r="N3362" s="126" t="s">
        <v>425</v>
      </c>
      <c r="O3362" s="120" t="s">
        <v>448</v>
      </c>
      <c r="P3362" s="129">
        <f>P3325</f>
        <v>387.4</v>
      </c>
      <c r="Q3362" s="121" t="s">
        <v>132</v>
      </c>
      <c r="R3362" s="129">
        <f t="shared" si="310"/>
        <v>235.62</v>
      </c>
    </row>
    <row r="3363" spans="6:18" ht="24" customHeight="1">
      <c r="G3363" s="115"/>
      <c r="J3363" s="115"/>
      <c r="M3363" s="201">
        <v>1.734</v>
      </c>
      <c r="N3363" s="126" t="s">
        <v>425</v>
      </c>
      <c r="O3363" s="120" t="s">
        <v>1340</v>
      </c>
      <c r="P3363" s="129">
        <f>P3328</f>
        <v>1498.2</v>
      </c>
      <c r="Q3363" s="121" t="s">
        <v>425</v>
      </c>
      <c r="R3363" s="129">
        <f t="shared" si="310"/>
        <v>2597.88</v>
      </c>
    </row>
    <row r="3364" spans="6:18" ht="24" customHeight="1">
      <c r="H3364" s="114" t="s">
        <v>5008</v>
      </c>
      <c r="J3364" s="115"/>
      <c r="M3364" s="129">
        <v>2</v>
      </c>
      <c r="N3364" s="126" t="s">
        <v>237</v>
      </c>
      <c r="O3364" s="120" t="s">
        <v>4932</v>
      </c>
      <c r="P3364" s="129">
        <f t="shared" ref="P3364:P3369" si="311">P3295</f>
        <v>57.65</v>
      </c>
      <c r="Q3364" s="121" t="s">
        <v>131</v>
      </c>
      <c r="R3364" s="129">
        <f t="shared" si="310"/>
        <v>115.3</v>
      </c>
    </row>
    <row r="3365" spans="6:18" ht="24" customHeight="1">
      <c r="J3365" s="115"/>
      <c r="M3365" s="129">
        <v>4</v>
      </c>
      <c r="N3365" s="126" t="s">
        <v>131</v>
      </c>
      <c r="O3365" s="120" t="s">
        <v>1344</v>
      </c>
      <c r="P3365" s="129">
        <f t="shared" si="311"/>
        <v>89.6</v>
      </c>
      <c r="Q3365" s="121" t="s">
        <v>131</v>
      </c>
      <c r="R3365" s="129">
        <f t="shared" si="310"/>
        <v>358.4</v>
      </c>
    </row>
    <row r="3366" spans="6:18" ht="24" customHeight="1">
      <c r="F3366" s="115">
        <v>0.8</v>
      </c>
      <c r="G3366" s="126" t="s">
        <v>1658</v>
      </c>
      <c r="H3366" s="115" t="s">
        <v>4334</v>
      </c>
      <c r="I3366" s="213">
        <f>P1319</f>
        <v>295.60000000000002</v>
      </c>
      <c r="J3366" s="126" t="s">
        <v>1658</v>
      </c>
      <c r="K3366" s="115">
        <f>I3366*F3366</f>
        <v>236.48</v>
      </c>
      <c r="M3366" s="129">
        <v>2</v>
      </c>
      <c r="N3366" s="126" t="s">
        <v>131</v>
      </c>
      <c r="O3366" s="120" t="s">
        <v>4953</v>
      </c>
      <c r="P3366" s="129">
        <f t="shared" si="311"/>
        <v>97.85</v>
      </c>
      <c r="Q3366" s="121" t="s">
        <v>131</v>
      </c>
      <c r="R3366" s="129">
        <f t="shared" si="310"/>
        <v>195.7</v>
      </c>
    </row>
    <row r="3367" spans="6:18" ht="24" customHeight="1">
      <c r="F3367" s="115">
        <v>0.7</v>
      </c>
      <c r="G3367" s="126" t="s">
        <v>237</v>
      </c>
      <c r="H3367" s="115" t="s">
        <v>5005</v>
      </c>
      <c r="I3367" s="115">
        <f>I3341</f>
        <v>831.6</v>
      </c>
      <c r="J3367" s="126" t="s">
        <v>237</v>
      </c>
      <c r="K3367" s="115">
        <f>I3367*F3367</f>
        <v>582.12</v>
      </c>
      <c r="M3367" s="129">
        <v>1</v>
      </c>
      <c r="N3367" s="126" t="s">
        <v>131</v>
      </c>
      <c r="O3367" s="120" t="s">
        <v>4954</v>
      </c>
      <c r="P3367" s="129">
        <f t="shared" si="311"/>
        <v>209.9</v>
      </c>
      <c r="Q3367" s="121" t="s">
        <v>131</v>
      </c>
      <c r="R3367" s="129">
        <f t="shared" si="310"/>
        <v>209.9</v>
      </c>
    </row>
    <row r="3368" spans="6:18" ht="24" customHeight="1">
      <c r="F3368" s="115">
        <v>10</v>
      </c>
      <c r="G3368" s="116" t="s">
        <v>724</v>
      </c>
      <c r="H3368" s="120" t="s">
        <v>4916</v>
      </c>
      <c r="I3368" s="115">
        <f>I3185</f>
        <v>4.4000000000000004</v>
      </c>
      <c r="J3368" s="116" t="s">
        <v>724</v>
      </c>
      <c r="K3368" s="115">
        <f>I3368*F3368</f>
        <v>44</v>
      </c>
      <c r="M3368" s="129">
        <v>1</v>
      </c>
      <c r="N3368" s="126" t="s">
        <v>131</v>
      </c>
      <c r="O3368" s="120" t="s">
        <v>4955</v>
      </c>
      <c r="P3368" s="129">
        <f t="shared" si="311"/>
        <v>23.1</v>
      </c>
      <c r="Q3368" s="121" t="s">
        <v>131</v>
      </c>
      <c r="R3368" s="129">
        <f t="shared" si="310"/>
        <v>23.1</v>
      </c>
    </row>
    <row r="3369" spans="6:18" ht="24" customHeight="1">
      <c r="H3369" s="120" t="s">
        <v>4918</v>
      </c>
      <c r="I3369" s="213" t="s">
        <v>4928</v>
      </c>
      <c r="J3369" s="119"/>
      <c r="K3369" s="115">
        <v>1.6</v>
      </c>
      <c r="M3369" s="129">
        <v>1</v>
      </c>
      <c r="N3369" s="126" t="s">
        <v>131</v>
      </c>
      <c r="O3369" s="120" t="s">
        <v>4956</v>
      </c>
      <c r="P3369" s="129">
        <f t="shared" si="311"/>
        <v>49.55</v>
      </c>
      <c r="Q3369" s="121" t="s">
        <v>131</v>
      </c>
      <c r="R3369" s="129">
        <f t="shared" si="310"/>
        <v>49.55</v>
      </c>
    </row>
    <row r="3370" spans="6:18" ht="24" customHeight="1">
      <c r="H3370" s="120" t="s">
        <v>495</v>
      </c>
      <c r="J3370" s="119"/>
      <c r="K3370" s="115">
        <f>SUM(K3366:K3369)</f>
        <v>864.2</v>
      </c>
      <c r="M3370" s="129">
        <v>58</v>
      </c>
      <c r="N3370" s="126" t="s">
        <v>131</v>
      </c>
      <c r="O3370" s="115" t="s">
        <v>4888</v>
      </c>
      <c r="P3370" s="115">
        <f>P3335</f>
        <v>2.41</v>
      </c>
      <c r="Q3370" s="121" t="s">
        <v>131</v>
      </c>
      <c r="R3370" s="129">
        <f t="shared" si="310"/>
        <v>139.78</v>
      </c>
    </row>
    <row r="3371" spans="6:18" ht="24" customHeight="1">
      <c r="H3371" s="122" t="s">
        <v>460</v>
      </c>
      <c r="J3371" s="119"/>
      <c r="K3371" s="115">
        <f>K3370/10</f>
        <v>86.42</v>
      </c>
      <c r="N3371" s="116"/>
      <c r="Q3371" s="119"/>
      <c r="R3371" s="123" t="s">
        <v>52</v>
      </c>
    </row>
    <row r="3372" spans="6:18" ht="24" customHeight="1">
      <c r="N3372" s="116"/>
      <c r="O3372" s="120" t="s">
        <v>5009</v>
      </c>
      <c r="Q3372" s="119"/>
      <c r="R3372" s="129">
        <f>SUM(R3360:R3370)</f>
        <v>10095.66</v>
      </c>
    </row>
    <row r="3373" spans="6:18" ht="24" customHeight="1">
      <c r="N3373" s="116"/>
      <c r="Q3373" s="119"/>
      <c r="R3373" s="123" t="s">
        <v>52</v>
      </c>
    </row>
    <row r="3374" spans="6:18" ht="24" customHeight="1">
      <c r="H3374" s="120"/>
      <c r="I3374" s="213"/>
      <c r="J3374" s="276"/>
      <c r="N3374" s="116"/>
      <c r="O3374" s="122" t="s">
        <v>460</v>
      </c>
      <c r="Q3374" s="305" t="s">
        <v>3192</v>
      </c>
      <c r="R3374" s="127">
        <f>R3372/M3363</f>
        <v>5822.18</v>
      </c>
    </row>
    <row r="3375" spans="6:18" ht="24" customHeight="1">
      <c r="H3375" s="120" t="s">
        <v>5001</v>
      </c>
      <c r="I3375" s="213" t="s">
        <v>89</v>
      </c>
      <c r="J3375" s="420">
        <v>3.9E-2</v>
      </c>
      <c r="K3375" s="115" t="s">
        <v>5</v>
      </c>
      <c r="N3375" s="116"/>
      <c r="Q3375" s="117"/>
      <c r="R3375" s="123" t="s">
        <v>89</v>
      </c>
    </row>
    <row r="3376" spans="6:18" ht="24" customHeight="1">
      <c r="H3376" s="120" t="s">
        <v>4921</v>
      </c>
      <c r="J3376" s="213"/>
      <c r="M3376" s="121"/>
      <c r="N3376" s="126" t="s">
        <v>111</v>
      </c>
      <c r="O3376" s="120" t="s">
        <v>4998</v>
      </c>
      <c r="Q3376" s="119"/>
    </row>
    <row r="3377" spans="6:18" ht="24" customHeight="1">
      <c r="H3377" s="120" t="s">
        <v>5010</v>
      </c>
      <c r="I3377" s="213" t="s">
        <v>89</v>
      </c>
      <c r="J3377" s="497">
        <v>1.519E-2</v>
      </c>
      <c r="N3377" s="116"/>
      <c r="O3377" s="120" t="s">
        <v>1309</v>
      </c>
      <c r="Q3377" s="119"/>
    </row>
    <row r="3378" spans="6:18" ht="24" customHeight="1">
      <c r="H3378" s="120" t="s">
        <v>5011</v>
      </c>
      <c r="I3378" s="213" t="s">
        <v>89</v>
      </c>
      <c r="J3378" s="502">
        <v>6.7499999999999999E-3</v>
      </c>
      <c r="K3378" s="202"/>
      <c r="N3378" s="116"/>
      <c r="O3378" s="379" t="s">
        <v>5012</v>
      </c>
      <c r="Q3378" s="119"/>
    </row>
    <row r="3379" spans="6:18" ht="24" customHeight="1">
      <c r="J3379" s="123" t="s">
        <v>52</v>
      </c>
      <c r="N3379" s="116"/>
      <c r="O3379" s="123" t="s">
        <v>52</v>
      </c>
      <c r="Q3379" s="119"/>
    </row>
    <row r="3380" spans="6:18" ht="24" customHeight="1">
      <c r="J3380" s="498">
        <v>2.1940000000000001E-2</v>
      </c>
      <c r="K3380" s="115" t="s">
        <v>5</v>
      </c>
      <c r="N3380" s="116"/>
      <c r="O3380" s="120" t="s">
        <v>5013</v>
      </c>
      <c r="P3380" s="213" t="s">
        <v>89</v>
      </c>
      <c r="Q3380" s="276">
        <v>2.081</v>
      </c>
      <c r="R3380" s="115" t="s">
        <v>724</v>
      </c>
    </row>
    <row r="3381" spans="6:18" ht="24" customHeight="1">
      <c r="J3381" s="123" t="s">
        <v>52</v>
      </c>
      <c r="N3381" s="116"/>
      <c r="O3381" s="120"/>
      <c r="P3381" s="213"/>
      <c r="Q3381" s="276"/>
    </row>
    <row r="3382" spans="6:18" ht="24" customHeight="1">
      <c r="H3382" s="120" t="s">
        <v>4986</v>
      </c>
      <c r="J3382" s="499">
        <v>0.58750000000000002</v>
      </c>
      <c r="K3382" s="202"/>
      <c r="N3382" s="116"/>
      <c r="O3382" s="120" t="s">
        <v>5001</v>
      </c>
      <c r="P3382" s="213" t="s">
        <v>89</v>
      </c>
      <c r="Q3382" s="420">
        <v>3.9E-2</v>
      </c>
      <c r="R3382" s="115" t="s">
        <v>5</v>
      </c>
    </row>
    <row r="3383" spans="6:18" ht="24" customHeight="1">
      <c r="H3383" s="120" t="s">
        <v>4987</v>
      </c>
      <c r="J3383" s="500">
        <v>0.28129999999999999</v>
      </c>
      <c r="K3383" s="202"/>
      <c r="N3383" s="116"/>
      <c r="O3383" s="120" t="s">
        <v>4921</v>
      </c>
      <c r="Q3383" s="213"/>
    </row>
    <row r="3384" spans="6:18" ht="24" customHeight="1">
      <c r="H3384" s="120"/>
      <c r="J3384" s="123" t="s">
        <v>52</v>
      </c>
      <c r="K3384" s="202"/>
      <c r="N3384" s="116"/>
      <c r="O3384" s="120" t="s">
        <v>5010</v>
      </c>
      <c r="P3384" s="213" t="s">
        <v>89</v>
      </c>
      <c r="Q3384" s="497">
        <v>1.519E-2</v>
      </c>
    </row>
    <row r="3385" spans="6:18" ht="24" customHeight="1">
      <c r="H3385" s="120"/>
      <c r="J3385" s="501">
        <v>0.86880000000000002</v>
      </c>
      <c r="K3385" s="114"/>
      <c r="N3385" s="116"/>
      <c r="O3385" s="120" t="s">
        <v>5011</v>
      </c>
      <c r="P3385" s="213" t="s">
        <v>89</v>
      </c>
      <c r="Q3385" s="502">
        <v>6.7499999999999999E-3</v>
      </c>
      <c r="R3385" s="202"/>
    </row>
    <row r="3386" spans="6:18" ht="24" customHeight="1">
      <c r="J3386" s="123" t="s">
        <v>52</v>
      </c>
      <c r="K3386" s="123"/>
      <c r="N3386" s="116"/>
      <c r="Q3386" s="123" t="s">
        <v>52</v>
      </c>
    </row>
    <row r="3387" spans="6:18" ht="24" customHeight="1">
      <c r="F3387" s="202">
        <v>3.9E-2</v>
      </c>
      <c r="G3387" s="126" t="s">
        <v>132</v>
      </c>
      <c r="H3387" s="120" t="s">
        <v>1332</v>
      </c>
      <c r="I3387" s="129">
        <f>C88</f>
        <v>111600</v>
      </c>
      <c r="J3387" s="121" t="s">
        <v>132</v>
      </c>
      <c r="K3387" s="129">
        <v>2868.26</v>
      </c>
      <c r="N3387" s="116"/>
      <c r="Q3387" s="498">
        <v>2.1940000000000001E-2</v>
      </c>
      <c r="R3387" s="115" t="s">
        <v>5</v>
      </c>
    </row>
    <row r="3388" spans="6:18" ht="24" customHeight="1">
      <c r="F3388" s="202">
        <v>2.1940000000000001E-2</v>
      </c>
      <c r="G3388" s="126" t="s">
        <v>132</v>
      </c>
      <c r="H3388" s="120" t="s">
        <v>1334</v>
      </c>
      <c r="I3388" s="129">
        <f>C89</f>
        <v>99400</v>
      </c>
      <c r="J3388" s="121" t="s">
        <v>132</v>
      </c>
      <c r="K3388" s="129">
        <v>1435.86</v>
      </c>
      <c r="N3388" s="116"/>
      <c r="Q3388" s="123" t="s">
        <v>52</v>
      </c>
    </row>
    <row r="3389" spans="6:18" ht="24" customHeight="1">
      <c r="F3389" s="202">
        <v>0.86880000000000002</v>
      </c>
      <c r="G3389" s="126" t="s">
        <v>425</v>
      </c>
      <c r="H3389" s="120" t="s">
        <v>448</v>
      </c>
      <c r="I3389" s="129">
        <f>C784</f>
        <v>0</v>
      </c>
      <c r="J3389" s="121" t="s">
        <v>132</v>
      </c>
      <c r="K3389" s="129">
        <v>336.66</v>
      </c>
      <c r="N3389" s="116"/>
      <c r="O3389" s="120" t="s">
        <v>4986</v>
      </c>
      <c r="Q3389" s="499">
        <v>0.58750000000000002</v>
      </c>
      <c r="R3389" s="202"/>
    </row>
    <row r="3390" spans="6:18" ht="24" customHeight="1">
      <c r="F3390" s="201">
        <v>2.081</v>
      </c>
      <c r="G3390" s="126" t="s">
        <v>425</v>
      </c>
      <c r="H3390" s="120" t="s">
        <v>1340</v>
      </c>
      <c r="I3390" s="228">
        <v>363</v>
      </c>
      <c r="J3390" s="121" t="s">
        <v>425</v>
      </c>
      <c r="K3390" s="129">
        <v>755.4</v>
      </c>
      <c r="N3390" s="116"/>
      <c r="O3390" s="120" t="s">
        <v>4987</v>
      </c>
      <c r="Q3390" s="500">
        <v>0.28129999999999999</v>
      </c>
      <c r="R3390" s="202"/>
    </row>
    <row r="3391" spans="6:18" ht="24" customHeight="1">
      <c r="F3391" s="129">
        <v>2</v>
      </c>
      <c r="G3391" s="126" t="s">
        <v>237</v>
      </c>
      <c r="H3391" s="415" t="s">
        <v>5014</v>
      </c>
      <c r="I3391" s="129">
        <f t="shared" ref="I3391:I3396" si="312">I3322</f>
        <v>57.65</v>
      </c>
      <c r="J3391" s="121" t="s">
        <v>131</v>
      </c>
      <c r="K3391" s="129">
        <v>84</v>
      </c>
      <c r="N3391" s="116"/>
      <c r="O3391" s="120"/>
      <c r="Q3391" s="123" t="s">
        <v>52</v>
      </c>
      <c r="R3391" s="202"/>
    </row>
    <row r="3392" spans="6:18" ht="24" customHeight="1">
      <c r="F3392" s="129">
        <v>4</v>
      </c>
      <c r="G3392" s="126" t="s">
        <v>131</v>
      </c>
      <c r="H3392" s="415" t="s">
        <v>5015</v>
      </c>
      <c r="I3392" s="129">
        <f t="shared" si="312"/>
        <v>89.6</v>
      </c>
      <c r="J3392" s="121" t="s">
        <v>131</v>
      </c>
      <c r="K3392" s="129">
        <v>232</v>
      </c>
      <c r="N3392" s="116"/>
      <c r="O3392" s="120"/>
      <c r="Q3392" s="501">
        <v>0.86880000000000002</v>
      </c>
      <c r="R3392" s="114"/>
    </row>
    <row r="3393" spans="6:18" ht="24" customHeight="1">
      <c r="F3393" s="129">
        <v>2</v>
      </c>
      <c r="G3393" s="126" t="s">
        <v>131</v>
      </c>
      <c r="H3393" s="415" t="s">
        <v>5016</v>
      </c>
      <c r="I3393" s="129">
        <f t="shared" si="312"/>
        <v>97.85</v>
      </c>
      <c r="J3393" s="121" t="s">
        <v>131</v>
      </c>
      <c r="K3393" s="129">
        <v>126</v>
      </c>
      <c r="N3393" s="116"/>
      <c r="Q3393" s="123" t="s">
        <v>52</v>
      </c>
      <c r="R3393" s="123"/>
    </row>
    <row r="3394" spans="6:18" ht="24" customHeight="1">
      <c r="F3394" s="129">
        <v>1</v>
      </c>
      <c r="G3394" s="126" t="s">
        <v>131</v>
      </c>
      <c r="H3394" s="415" t="s">
        <v>5017</v>
      </c>
      <c r="I3394" s="129">
        <f t="shared" si="312"/>
        <v>209.9</v>
      </c>
      <c r="J3394" s="121" t="s">
        <v>131</v>
      </c>
      <c r="K3394" s="129">
        <v>152</v>
      </c>
      <c r="M3394" s="202">
        <v>3.9E-2</v>
      </c>
      <c r="N3394" s="126" t="s">
        <v>132</v>
      </c>
      <c r="O3394" s="120" t="s">
        <v>1332</v>
      </c>
      <c r="P3394" s="129">
        <f>P3291</f>
        <v>111600</v>
      </c>
      <c r="Q3394" s="121" t="s">
        <v>132</v>
      </c>
      <c r="R3394" s="129">
        <f>P3394*M3394</f>
        <v>4352.3999999999996</v>
      </c>
    </row>
    <row r="3395" spans="6:18" ht="24" customHeight="1">
      <c r="F3395" s="129">
        <v>1</v>
      </c>
      <c r="G3395" s="126" t="s">
        <v>131</v>
      </c>
      <c r="H3395" s="415" t="s">
        <v>4955</v>
      </c>
      <c r="I3395" s="129">
        <f t="shared" si="312"/>
        <v>23.1</v>
      </c>
      <c r="J3395" s="121" t="s">
        <v>131</v>
      </c>
      <c r="K3395" s="129">
        <v>20</v>
      </c>
      <c r="M3395" s="202">
        <v>2.1940000000000001E-2</v>
      </c>
      <c r="N3395" s="126" t="s">
        <v>132</v>
      </c>
      <c r="O3395" s="120" t="s">
        <v>1334</v>
      </c>
      <c r="P3395" s="129">
        <f>P3292</f>
        <v>99400</v>
      </c>
      <c r="Q3395" s="121" t="s">
        <v>132</v>
      </c>
      <c r="R3395" s="129">
        <f t="shared" ref="R3395:R3404" si="313">P3395*M3395</f>
        <v>2180.84</v>
      </c>
    </row>
    <row r="3396" spans="6:18" ht="24" customHeight="1">
      <c r="F3396" s="129">
        <v>1</v>
      </c>
      <c r="G3396" s="126" t="s">
        <v>131</v>
      </c>
      <c r="H3396" s="415" t="s">
        <v>4956</v>
      </c>
      <c r="I3396" s="129">
        <f t="shared" si="312"/>
        <v>49.55</v>
      </c>
      <c r="J3396" s="121" t="s">
        <v>131</v>
      </c>
      <c r="K3396" s="129">
        <v>37</v>
      </c>
      <c r="M3396" s="202">
        <v>0.86880000000000002</v>
      </c>
      <c r="N3396" s="126" t="s">
        <v>425</v>
      </c>
      <c r="O3396" s="120" t="s">
        <v>448</v>
      </c>
      <c r="P3396" s="129">
        <f>P3362</f>
        <v>387.4</v>
      </c>
      <c r="Q3396" s="121" t="s">
        <v>132</v>
      </c>
      <c r="R3396" s="129">
        <f t="shared" si="313"/>
        <v>336.57</v>
      </c>
    </row>
    <row r="3397" spans="6:18" ht="24" customHeight="1">
      <c r="H3397" s="115" t="s">
        <v>4888</v>
      </c>
      <c r="J3397" s="119"/>
      <c r="K3397" s="512"/>
      <c r="M3397" s="201">
        <v>2.081</v>
      </c>
      <c r="N3397" s="126" t="s">
        <v>425</v>
      </c>
      <c r="O3397" s="120" t="s">
        <v>1340</v>
      </c>
      <c r="P3397" s="129">
        <f>P3294</f>
        <v>1336.5</v>
      </c>
      <c r="Q3397" s="121" t="s">
        <v>425</v>
      </c>
      <c r="R3397" s="129">
        <f t="shared" si="313"/>
        <v>2781.26</v>
      </c>
    </row>
    <row r="3398" spans="6:18" ht="24" customHeight="1">
      <c r="J3398" s="119"/>
      <c r="K3398" s="123" t="s">
        <v>52</v>
      </c>
      <c r="M3398" s="129">
        <v>2</v>
      </c>
      <c r="N3398" s="126" t="s">
        <v>237</v>
      </c>
      <c r="O3398" s="120" t="s">
        <v>4932</v>
      </c>
      <c r="P3398" s="129">
        <f t="shared" ref="P3398:P3403" si="314">P3295</f>
        <v>57.65</v>
      </c>
      <c r="Q3398" s="121" t="s">
        <v>131</v>
      </c>
      <c r="R3398" s="129">
        <f t="shared" si="313"/>
        <v>115.3</v>
      </c>
    </row>
    <row r="3399" spans="6:18" ht="24" customHeight="1">
      <c r="H3399" s="120" t="s">
        <v>5018</v>
      </c>
      <c r="J3399" s="119"/>
      <c r="K3399" s="129">
        <v>6067.81</v>
      </c>
      <c r="M3399" s="129">
        <v>4</v>
      </c>
      <c r="N3399" s="126" t="s">
        <v>131</v>
      </c>
      <c r="O3399" s="120" t="s">
        <v>1344</v>
      </c>
      <c r="P3399" s="129">
        <f t="shared" si="314"/>
        <v>89.6</v>
      </c>
      <c r="Q3399" s="121" t="s">
        <v>131</v>
      </c>
      <c r="R3399" s="129">
        <f t="shared" si="313"/>
        <v>358.4</v>
      </c>
    </row>
    <row r="3400" spans="6:18" ht="24" customHeight="1">
      <c r="J3400" s="119"/>
      <c r="K3400" s="123" t="s">
        <v>52</v>
      </c>
      <c r="M3400" s="129">
        <v>2</v>
      </c>
      <c r="N3400" s="126" t="s">
        <v>131</v>
      </c>
      <c r="O3400" s="120" t="s">
        <v>4953</v>
      </c>
      <c r="P3400" s="129">
        <f t="shared" si="314"/>
        <v>97.85</v>
      </c>
      <c r="Q3400" s="121" t="s">
        <v>131</v>
      </c>
      <c r="R3400" s="129">
        <f t="shared" si="313"/>
        <v>195.7</v>
      </c>
    </row>
    <row r="3401" spans="6:18" ht="24" customHeight="1">
      <c r="H3401" s="122" t="s">
        <v>460</v>
      </c>
      <c r="J3401" s="305" t="s">
        <v>3192</v>
      </c>
      <c r="K3401" s="127">
        <v>2915.81</v>
      </c>
      <c r="M3401" s="129">
        <v>1</v>
      </c>
      <c r="N3401" s="126" t="s">
        <v>131</v>
      </c>
      <c r="O3401" s="120" t="s">
        <v>4954</v>
      </c>
      <c r="P3401" s="129">
        <f t="shared" si="314"/>
        <v>209.9</v>
      </c>
      <c r="Q3401" s="121" t="s">
        <v>131</v>
      </c>
      <c r="R3401" s="129">
        <f t="shared" si="313"/>
        <v>209.9</v>
      </c>
    </row>
    <row r="3402" spans="6:18" ht="24" customHeight="1">
      <c r="K3402" s="123" t="s">
        <v>89</v>
      </c>
      <c r="M3402" s="129">
        <v>1</v>
      </c>
      <c r="N3402" s="126" t="s">
        <v>131</v>
      </c>
      <c r="O3402" s="120" t="s">
        <v>4955</v>
      </c>
      <c r="P3402" s="129">
        <f t="shared" si="314"/>
        <v>23.1</v>
      </c>
      <c r="Q3402" s="121" t="s">
        <v>131</v>
      </c>
      <c r="R3402" s="129">
        <f t="shared" si="313"/>
        <v>23.1</v>
      </c>
    </row>
    <row r="3403" spans="6:18" ht="24" customHeight="1">
      <c r="M3403" s="129">
        <v>1</v>
      </c>
      <c r="N3403" s="126" t="s">
        <v>131</v>
      </c>
      <c r="O3403" s="120" t="s">
        <v>4956</v>
      </c>
      <c r="P3403" s="129">
        <f t="shared" si="314"/>
        <v>49.55</v>
      </c>
      <c r="Q3403" s="121" t="s">
        <v>131</v>
      </c>
      <c r="R3403" s="129">
        <f t="shared" si="313"/>
        <v>49.55</v>
      </c>
    </row>
    <row r="3404" spans="6:18" ht="24" customHeight="1">
      <c r="M3404" s="129">
        <v>58</v>
      </c>
      <c r="N3404" s="126" t="s">
        <v>131</v>
      </c>
      <c r="O3404" s="115" t="s">
        <v>4888</v>
      </c>
      <c r="P3404" s="115">
        <f>P3370</f>
        <v>2.41</v>
      </c>
      <c r="Q3404" s="119"/>
      <c r="R3404" s="129">
        <f t="shared" si="313"/>
        <v>139.78</v>
      </c>
    </row>
    <row r="3405" spans="6:18" ht="24" customHeight="1">
      <c r="N3405" s="116"/>
      <c r="Q3405" s="119"/>
      <c r="R3405" s="123" t="s">
        <v>52</v>
      </c>
    </row>
    <row r="3406" spans="6:18" ht="24" customHeight="1">
      <c r="H3406" s="166" t="s">
        <v>5019</v>
      </c>
      <c r="I3406" s="166"/>
      <c r="N3406" s="116"/>
      <c r="O3406" s="120" t="s">
        <v>5018</v>
      </c>
      <c r="Q3406" s="119"/>
      <c r="R3406" s="129">
        <f>SUM(R3394:R3404)</f>
        <v>10742.8</v>
      </c>
    </row>
    <row r="3407" spans="6:18" ht="24" customHeight="1">
      <c r="N3407" s="116"/>
      <c r="Q3407" s="119"/>
      <c r="R3407" s="123" t="s">
        <v>52</v>
      </c>
    </row>
    <row r="3408" spans="6:18" ht="24" customHeight="1">
      <c r="F3408" s="115" t="s">
        <v>5020</v>
      </c>
      <c r="I3408" s="419">
        <f>2*0.95*2.325</f>
        <v>4.4175000000000004</v>
      </c>
      <c r="N3408" s="116"/>
      <c r="O3408" s="122" t="s">
        <v>460</v>
      </c>
      <c r="Q3408" s="305" t="s">
        <v>3192</v>
      </c>
      <c r="R3408" s="127">
        <f>R3406/M3397</f>
        <v>5162.33</v>
      </c>
    </row>
    <row r="3409" spans="6:18" ht="24" customHeight="1">
      <c r="F3409" s="115" t="s">
        <v>5021</v>
      </c>
      <c r="I3409" s="419">
        <f>2*2*2.325*0.075*0.0375</f>
        <v>2.6200000000000001E-2</v>
      </c>
      <c r="N3409" s="116"/>
      <c r="Q3409" s="117"/>
      <c r="R3409" s="123" t="s">
        <v>89</v>
      </c>
    </row>
    <row r="3410" spans="6:18" ht="24" customHeight="1">
      <c r="F3410" s="115" t="s">
        <v>4681</v>
      </c>
      <c r="I3410" s="224">
        <f>2*3*0.95*0.15*0.0375</f>
        <v>3.2099999999999997E-2</v>
      </c>
    </row>
    <row r="3411" spans="6:18" ht="24" customHeight="1">
      <c r="F3411" s="115" t="s">
        <v>5022</v>
      </c>
      <c r="G3411" s="116" t="s">
        <v>5023</v>
      </c>
      <c r="I3411" s="224">
        <f>2*2*0.95*0.075*0.0375</f>
        <v>1.0699999999999999E-2</v>
      </c>
      <c r="N3411" s="116"/>
      <c r="O3411" s="114"/>
      <c r="Q3411" s="117"/>
    </row>
    <row r="3412" spans="6:18" ht="24" customHeight="1">
      <c r="I3412" s="420">
        <f>SUM(I3410:I3411)</f>
        <v>4.2799999999999998E-2</v>
      </c>
    </row>
    <row r="3415" spans="6:18" ht="24" customHeight="1">
      <c r="F3415" s="115" t="s">
        <v>5024</v>
      </c>
      <c r="I3415" s="224">
        <f>2*4*0.825*0.36*0.01875</f>
        <v>4.4600000000000001E-2</v>
      </c>
    </row>
    <row r="3416" spans="6:18" ht="24" customHeight="1">
      <c r="F3416" s="115" t="s">
        <v>5025</v>
      </c>
      <c r="I3416" s="224">
        <f>2*0.825*0.36*0.01875</f>
        <v>1.11E-2</v>
      </c>
    </row>
    <row r="3417" spans="6:18" ht="24" customHeight="1">
      <c r="I3417" s="420">
        <f>SUM(I3415:I3416)</f>
        <v>5.57E-2</v>
      </c>
    </row>
    <row r="3418" spans="6:18" ht="24" customHeight="1">
      <c r="H3418" s="114" t="s">
        <v>4677</v>
      </c>
      <c r="M3418" s="121"/>
      <c r="N3418" s="126" t="s">
        <v>111</v>
      </c>
      <c r="O3418" s="120" t="s">
        <v>4940</v>
      </c>
      <c r="Q3418" s="119"/>
    </row>
    <row r="3419" spans="6:18" ht="24" customHeight="1">
      <c r="N3419" s="116"/>
      <c r="O3419" s="120" t="s">
        <v>1309</v>
      </c>
      <c r="Q3419" s="119"/>
    </row>
    <row r="3420" spans="6:18" ht="24" customHeight="1">
      <c r="F3420" s="224">
        <f>I3409</f>
        <v>2.6200000000000001E-2</v>
      </c>
      <c r="G3420" s="116" t="s">
        <v>132</v>
      </c>
      <c r="H3420" s="115" t="s">
        <v>4678</v>
      </c>
      <c r="I3420" s="115">
        <f>I2633</f>
        <v>111600</v>
      </c>
      <c r="J3420" s="117" t="s">
        <v>132</v>
      </c>
      <c r="K3420" s="115">
        <f>F3420*I3420</f>
        <v>2923.92</v>
      </c>
      <c r="N3420" s="116"/>
      <c r="O3420" s="379" t="s">
        <v>4957</v>
      </c>
      <c r="Q3420" s="119"/>
    </row>
    <row r="3421" spans="6:18" ht="24" customHeight="1">
      <c r="F3421" s="224">
        <f>I3412</f>
        <v>4.2799999999999998E-2</v>
      </c>
      <c r="G3421" s="116" t="s">
        <v>132</v>
      </c>
      <c r="H3421" s="115" t="s">
        <v>3113</v>
      </c>
      <c r="I3421" s="115">
        <f>I2634</f>
        <v>99400</v>
      </c>
      <c r="J3421" s="117" t="s">
        <v>132</v>
      </c>
      <c r="K3421" s="115">
        <f t="shared" ref="K3421:K3430" si="315">F3421*I3421</f>
        <v>4254.32</v>
      </c>
      <c r="N3421" s="116"/>
      <c r="O3421" s="123" t="s">
        <v>52</v>
      </c>
      <c r="Q3421" s="119"/>
    </row>
    <row r="3422" spans="6:18" ht="24" customHeight="1">
      <c r="F3422" s="267">
        <f>I3417</f>
        <v>5.57E-2</v>
      </c>
      <c r="G3422" s="116" t="s">
        <v>132</v>
      </c>
      <c r="H3422" s="115" t="s">
        <v>5026</v>
      </c>
      <c r="I3422" s="115">
        <f>I2635</f>
        <v>107000</v>
      </c>
      <c r="J3422" s="117" t="s">
        <v>132</v>
      </c>
      <c r="K3422" s="115">
        <f t="shared" si="315"/>
        <v>5959.9</v>
      </c>
      <c r="N3422" s="116"/>
      <c r="O3422" s="120" t="s">
        <v>4958</v>
      </c>
      <c r="P3422" s="213" t="s">
        <v>89</v>
      </c>
      <c r="Q3422" s="276">
        <v>2.4279999999999999</v>
      </c>
      <c r="R3422" s="115" t="s">
        <v>724</v>
      </c>
    </row>
    <row r="3423" spans="6:18" ht="24" customHeight="1">
      <c r="F3423" s="224">
        <f>I3408</f>
        <v>4.4175000000000004</v>
      </c>
      <c r="G3423" s="116" t="s">
        <v>425</v>
      </c>
      <c r="H3423" s="115" t="s">
        <v>3115</v>
      </c>
      <c r="I3423" s="115">
        <f>I2636</f>
        <v>1602.7</v>
      </c>
      <c r="J3423" s="117" t="s">
        <v>425</v>
      </c>
      <c r="K3423" s="115">
        <f t="shared" si="315"/>
        <v>7079.93</v>
      </c>
      <c r="N3423" s="116"/>
      <c r="O3423" s="120"/>
      <c r="P3423" s="213"/>
      <c r="Q3423" s="276"/>
    </row>
    <row r="3424" spans="6:18" ht="24" customHeight="1">
      <c r="F3424" s="115">
        <v>2</v>
      </c>
      <c r="G3424" s="116" t="s">
        <v>1572</v>
      </c>
      <c r="H3424" s="115" t="s">
        <v>3116</v>
      </c>
      <c r="I3424" s="205">
        <v>450</v>
      </c>
      <c r="J3424" s="117" t="s">
        <v>729</v>
      </c>
      <c r="K3424" s="115">
        <f t="shared" si="315"/>
        <v>900</v>
      </c>
      <c r="N3424" s="116"/>
      <c r="O3424" s="120" t="s">
        <v>4920</v>
      </c>
      <c r="P3424" s="213" t="s">
        <v>89</v>
      </c>
      <c r="Q3424" s="420">
        <v>5.1999999999999998E-2</v>
      </c>
      <c r="R3424" s="115" t="s">
        <v>5</v>
      </c>
    </row>
    <row r="3425" spans="6:18" ht="24" customHeight="1">
      <c r="F3425" s="115">
        <v>6</v>
      </c>
      <c r="G3425" s="116" t="s">
        <v>1572</v>
      </c>
      <c r="H3425" s="115" t="s">
        <v>3117</v>
      </c>
      <c r="I3425" s="205">
        <v>79</v>
      </c>
      <c r="J3425" s="117" t="s">
        <v>729</v>
      </c>
      <c r="K3425" s="115">
        <f t="shared" si="315"/>
        <v>474</v>
      </c>
      <c r="N3425" s="116"/>
      <c r="O3425" s="120" t="s">
        <v>4921</v>
      </c>
      <c r="Q3425" s="213"/>
    </row>
    <row r="3426" spans="6:18" ht="24" customHeight="1">
      <c r="F3426" s="115">
        <v>4</v>
      </c>
      <c r="G3426" s="116" t="s">
        <v>1572</v>
      </c>
      <c r="H3426" s="115" t="s">
        <v>3118</v>
      </c>
      <c r="I3426" s="205">
        <v>130</v>
      </c>
      <c r="J3426" s="117" t="s">
        <v>729</v>
      </c>
      <c r="K3426" s="115">
        <f t="shared" si="315"/>
        <v>520</v>
      </c>
      <c r="N3426" s="116"/>
      <c r="O3426" s="120" t="s">
        <v>4961</v>
      </c>
      <c r="P3426" s="213" t="s">
        <v>89</v>
      </c>
      <c r="Q3426" s="497">
        <v>1.772E-2</v>
      </c>
    </row>
    <row r="3427" spans="6:18" ht="24" customHeight="1">
      <c r="F3427" s="115">
        <v>1</v>
      </c>
      <c r="G3427" s="116" t="s">
        <v>1572</v>
      </c>
      <c r="H3427" s="115" t="s">
        <v>3119</v>
      </c>
      <c r="I3427" s="205">
        <v>985</v>
      </c>
      <c r="J3427" s="117" t="s">
        <v>729</v>
      </c>
      <c r="K3427" s="115">
        <f t="shared" si="315"/>
        <v>985</v>
      </c>
      <c r="N3427" s="116"/>
      <c r="O3427" s="120" t="s">
        <v>4962</v>
      </c>
      <c r="P3427" s="213" t="s">
        <v>89</v>
      </c>
      <c r="Q3427" s="502">
        <v>7.8750000000000001E-3</v>
      </c>
      <c r="R3427" s="202"/>
    </row>
    <row r="3428" spans="6:18" ht="24" customHeight="1">
      <c r="F3428" s="115">
        <v>2</v>
      </c>
      <c r="G3428" s="116" t="s">
        <v>1572</v>
      </c>
      <c r="H3428" s="115" t="s">
        <v>3120</v>
      </c>
      <c r="I3428" s="205">
        <v>21.5</v>
      </c>
      <c r="J3428" s="117" t="s">
        <v>729</v>
      </c>
      <c r="K3428" s="115">
        <f t="shared" si="315"/>
        <v>43</v>
      </c>
      <c r="N3428" s="116"/>
      <c r="Q3428" s="123" t="s">
        <v>52</v>
      </c>
    </row>
    <row r="3429" spans="6:18" ht="24" customHeight="1">
      <c r="F3429" s="115">
        <v>2</v>
      </c>
      <c r="G3429" s="116" t="s">
        <v>1572</v>
      </c>
      <c r="H3429" s="115" t="s">
        <v>455</v>
      </c>
      <c r="I3429" s="115">
        <f>I3396</f>
        <v>49.55</v>
      </c>
      <c r="J3429" s="117" t="s">
        <v>729</v>
      </c>
      <c r="K3429" s="115">
        <f t="shared" si="315"/>
        <v>99.1</v>
      </c>
      <c r="N3429" s="116"/>
      <c r="Q3429" s="498">
        <v>2.5600000000000001E-2</v>
      </c>
      <c r="R3429" s="115" t="s">
        <v>5</v>
      </c>
    </row>
    <row r="3430" spans="6:18" ht="24" customHeight="1">
      <c r="F3430" s="118">
        <v>130</v>
      </c>
      <c r="G3430" s="116" t="s">
        <v>1572</v>
      </c>
      <c r="H3430" s="115" t="s">
        <v>3121</v>
      </c>
      <c r="I3430" s="513">
        <f>I3328</f>
        <v>2.41</v>
      </c>
      <c r="K3430" s="115">
        <f t="shared" si="315"/>
        <v>313.3</v>
      </c>
      <c r="N3430" s="116"/>
      <c r="Q3430" s="123" t="s">
        <v>52</v>
      </c>
    </row>
    <row r="3431" spans="6:18" ht="24" customHeight="1">
      <c r="N3431" s="116"/>
      <c r="O3431" s="120" t="s">
        <v>5027</v>
      </c>
      <c r="Q3431" s="420">
        <v>0.58750000000000002</v>
      </c>
      <c r="R3431" s="254" t="s">
        <v>724</v>
      </c>
    </row>
    <row r="3432" spans="6:18" ht="24" customHeight="1">
      <c r="G3432" s="200"/>
      <c r="H3432" s="114" t="s">
        <v>5028</v>
      </c>
      <c r="K3432" s="114">
        <f>SUM(K3420:K3431)</f>
        <v>23552.47</v>
      </c>
      <c r="N3432" s="116"/>
      <c r="O3432" s="120" t="s">
        <v>5029</v>
      </c>
      <c r="Q3432" s="501">
        <v>5.3E-3</v>
      </c>
      <c r="R3432" s="254" t="s">
        <v>5</v>
      </c>
    </row>
    <row r="3433" spans="6:18" ht="24" customHeight="1">
      <c r="G3433" s="200"/>
      <c r="K3433" s="1167" t="s">
        <v>2163</v>
      </c>
      <c r="N3433" s="116"/>
      <c r="O3433" s="120" t="s">
        <v>5030</v>
      </c>
      <c r="Q3433" s="501">
        <v>6.7</v>
      </c>
      <c r="R3433" s="254" t="s">
        <v>13</v>
      </c>
    </row>
    <row r="3434" spans="6:18" ht="24" customHeight="1">
      <c r="G3434" s="200"/>
      <c r="H3434" s="114" t="s">
        <v>460</v>
      </c>
      <c r="K3434" s="114">
        <f>K3432/F3423</f>
        <v>5331.63</v>
      </c>
      <c r="N3434" s="116"/>
      <c r="Q3434" s="123"/>
      <c r="R3434" s="123"/>
    </row>
    <row r="3435" spans="6:18" ht="24" customHeight="1">
      <c r="G3435" s="115"/>
      <c r="J3435" s="115"/>
      <c r="M3435" s="202">
        <v>5.1999999999999998E-2</v>
      </c>
      <c r="N3435" s="126" t="s">
        <v>132</v>
      </c>
      <c r="O3435" s="120" t="s">
        <v>1332</v>
      </c>
      <c r="P3435" s="129">
        <f>P3221</f>
        <v>111600</v>
      </c>
      <c r="Q3435" s="121" t="s">
        <v>132</v>
      </c>
      <c r="R3435" s="129">
        <f>P3435*M3435</f>
        <v>5803.2</v>
      </c>
    </row>
    <row r="3436" spans="6:18" ht="24" customHeight="1">
      <c r="M3436" s="202">
        <v>2.5600000000000001E-2</v>
      </c>
      <c r="N3436" s="126" t="s">
        <v>132</v>
      </c>
      <c r="O3436" s="120" t="s">
        <v>1334</v>
      </c>
      <c r="P3436" s="129">
        <f>P3222</f>
        <v>99400</v>
      </c>
      <c r="Q3436" s="121" t="s">
        <v>132</v>
      </c>
      <c r="R3436" s="129">
        <f t="shared" ref="R3436:R3448" si="316">P3436*M3436</f>
        <v>2544.64</v>
      </c>
    </row>
    <row r="3437" spans="6:18" ht="24" customHeight="1">
      <c r="M3437" s="202">
        <v>5.3E-3</v>
      </c>
      <c r="N3437" s="126" t="s">
        <v>132</v>
      </c>
      <c r="O3437" s="120" t="s">
        <v>4929</v>
      </c>
      <c r="P3437" s="129">
        <f>P3223</f>
        <v>107000</v>
      </c>
      <c r="Q3437" s="121" t="s">
        <v>132</v>
      </c>
      <c r="R3437" s="129">
        <f t="shared" si="316"/>
        <v>567.1</v>
      </c>
    </row>
    <row r="3438" spans="6:18" ht="24" customHeight="1">
      <c r="M3438" s="201"/>
      <c r="N3438" s="116"/>
      <c r="O3438" s="120" t="s">
        <v>2180</v>
      </c>
      <c r="P3438" s="129"/>
      <c r="Q3438" s="119"/>
      <c r="R3438" s="129">
        <f t="shared" si="316"/>
        <v>0</v>
      </c>
    </row>
    <row r="3439" spans="6:18" ht="24" customHeight="1">
      <c r="M3439" s="201">
        <v>0.58750000000000002</v>
      </c>
      <c r="N3439" s="126" t="s">
        <v>425</v>
      </c>
      <c r="O3439" s="120" t="s">
        <v>4992</v>
      </c>
      <c r="P3439" s="129">
        <f>P3225</f>
        <v>562.5</v>
      </c>
      <c r="Q3439" s="119" t="s">
        <v>425</v>
      </c>
      <c r="R3439" s="129">
        <f t="shared" si="316"/>
        <v>330.47</v>
      </c>
    </row>
    <row r="3440" spans="6:18" ht="24" customHeight="1">
      <c r="M3440" s="201">
        <v>6.7</v>
      </c>
      <c r="N3440" s="126" t="s">
        <v>282</v>
      </c>
      <c r="O3440" s="120" t="s">
        <v>4993</v>
      </c>
      <c r="P3440" s="129">
        <f>P3226</f>
        <v>15.45</v>
      </c>
      <c r="Q3440" s="119" t="s">
        <v>13</v>
      </c>
      <c r="R3440" s="129">
        <f t="shared" si="316"/>
        <v>103.52</v>
      </c>
    </row>
    <row r="3441" spans="6:18" ht="24" customHeight="1">
      <c r="M3441" s="201">
        <v>2.4279999999999999</v>
      </c>
      <c r="N3441" s="126" t="s">
        <v>425</v>
      </c>
      <c r="O3441" s="120" t="s">
        <v>1340</v>
      </c>
      <c r="P3441" s="129">
        <f>P3227</f>
        <v>1498.2</v>
      </c>
      <c r="Q3441" s="121" t="s">
        <v>425</v>
      </c>
      <c r="R3441" s="129">
        <f t="shared" si="316"/>
        <v>3637.63</v>
      </c>
    </row>
    <row r="3442" spans="6:18" ht="24" customHeight="1">
      <c r="M3442" s="129">
        <v>4</v>
      </c>
      <c r="N3442" s="126" t="s">
        <v>237</v>
      </c>
      <c r="O3442" s="120" t="s">
        <v>4932</v>
      </c>
      <c r="P3442" s="129">
        <f t="shared" ref="P3442:P3447" si="317">P3228</f>
        <v>57.65</v>
      </c>
      <c r="Q3442" s="121" t="s">
        <v>131</v>
      </c>
      <c r="R3442" s="129">
        <f t="shared" si="316"/>
        <v>230.6</v>
      </c>
    </row>
    <row r="3443" spans="6:18" ht="55.5" customHeight="1">
      <c r="M3443" s="129">
        <v>8</v>
      </c>
      <c r="N3443" s="126" t="s">
        <v>131</v>
      </c>
      <c r="O3443" s="120" t="s">
        <v>1344</v>
      </c>
      <c r="P3443" s="129">
        <f t="shared" si="317"/>
        <v>89.6</v>
      </c>
      <c r="Q3443" s="121" t="s">
        <v>131</v>
      </c>
      <c r="R3443" s="129">
        <f t="shared" si="316"/>
        <v>716.8</v>
      </c>
    </row>
    <row r="3444" spans="6:18" ht="24" customHeight="1">
      <c r="M3444" s="129">
        <v>4</v>
      </c>
      <c r="N3444" s="126" t="s">
        <v>131</v>
      </c>
      <c r="O3444" s="120" t="s">
        <v>4953</v>
      </c>
      <c r="P3444" s="129">
        <f t="shared" si="317"/>
        <v>97.85</v>
      </c>
      <c r="Q3444" s="121" t="s">
        <v>131</v>
      </c>
      <c r="R3444" s="129">
        <f t="shared" si="316"/>
        <v>391.4</v>
      </c>
    </row>
    <row r="3445" spans="6:18" ht="24" customHeight="1">
      <c r="M3445" s="129">
        <v>1</v>
      </c>
      <c r="N3445" s="126" t="s">
        <v>131</v>
      </c>
      <c r="O3445" s="120" t="s">
        <v>4954</v>
      </c>
      <c r="P3445" s="129">
        <f t="shared" si="317"/>
        <v>209.9</v>
      </c>
      <c r="Q3445" s="121" t="s">
        <v>131</v>
      </c>
      <c r="R3445" s="129">
        <f t="shared" si="316"/>
        <v>209.9</v>
      </c>
    </row>
    <row r="3446" spans="6:18" ht="24" customHeight="1">
      <c r="M3446" s="129">
        <v>2</v>
      </c>
      <c r="N3446" s="126" t="s">
        <v>131</v>
      </c>
      <c r="O3446" s="120" t="s">
        <v>4955</v>
      </c>
      <c r="P3446" s="129">
        <f t="shared" si="317"/>
        <v>23.1</v>
      </c>
      <c r="Q3446" s="121" t="s">
        <v>131</v>
      </c>
      <c r="R3446" s="129">
        <f t="shared" si="316"/>
        <v>46.2</v>
      </c>
    </row>
    <row r="3447" spans="6:18" ht="24" customHeight="1">
      <c r="M3447" s="129">
        <v>2</v>
      </c>
      <c r="N3447" s="126" t="s">
        <v>131</v>
      </c>
      <c r="O3447" s="120" t="s">
        <v>4956</v>
      </c>
      <c r="P3447" s="129">
        <f t="shared" si="317"/>
        <v>49.55</v>
      </c>
      <c r="Q3447" s="121" t="s">
        <v>131</v>
      </c>
      <c r="R3447" s="129">
        <f t="shared" si="316"/>
        <v>99.1</v>
      </c>
    </row>
    <row r="3448" spans="6:18" ht="24" customHeight="1">
      <c r="M3448" s="115">
        <v>118</v>
      </c>
      <c r="N3448" s="126" t="s">
        <v>131</v>
      </c>
      <c r="O3448" s="115" t="s">
        <v>4888</v>
      </c>
      <c r="P3448" s="115">
        <f>P3404</f>
        <v>2.41</v>
      </c>
      <c r="Q3448" s="121" t="s">
        <v>131</v>
      </c>
      <c r="R3448" s="129">
        <f t="shared" si="316"/>
        <v>284.38</v>
      </c>
    </row>
    <row r="3449" spans="6:18" ht="24" customHeight="1">
      <c r="N3449" s="116"/>
      <c r="Q3449" s="119"/>
      <c r="R3449" s="123" t="s">
        <v>52</v>
      </c>
    </row>
    <row r="3450" spans="6:18" ht="24" customHeight="1">
      <c r="F3450" s="167">
        <v>29.5</v>
      </c>
      <c r="G3450" s="126" t="s">
        <v>111</v>
      </c>
      <c r="H3450" s="120" t="s">
        <v>5031</v>
      </c>
      <c r="J3450" s="119"/>
      <c r="N3450" s="116"/>
      <c r="O3450" s="120" t="s">
        <v>4980</v>
      </c>
      <c r="Q3450" s="119"/>
      <c r="R3450" s="129">
        <f>SUM(R3435:R3449)</f>
        <v>14964.94</v>
      </c>
    </row>
    <row r="3451" spans="6:18" ht="24" customHeight="1">
      <c r="H3451" s="120" t="s">
        <v>5032</v>
      </c>
      <c r="J3451" s="119"/>
      <c r="N3451" s="116"/>
      <c r="Q3451" s="119"/>
      <c r="R3451" s="123" t="s">
        <v>52</v>
      </c>
    </row>
    <row r="3452" spans="6:18" ht="24" customHeight="1">
      <c r="H3452" s="120" t="s">
        <v>1585</v>
      </c>
      <c r="J3452" s="119"/>
      <c r="N3452" s="116"/>
      <c r="O3452" s="122" t="s">
        <v>460</v>
      </c>
      <c r="Q3452" s="305" t="s">
        <v>3192</v>
      </c>
      <c r="R3452" s="127">
        <f>R3450/M3441</f>
        <v>6163.48</v>
      </c>
    </row>
    <row r="3453" spans="6:18" ht="24" customHeight="1">
      <c r="H3453" s="123" t="s">
        <v>52</v>
      </c>
      <c r="I3453" s="123" t="s">
        <v>52</v>
      </c>
      <c r="J3453" s="119"/>
      <c r="K3453" s="129"/>
    </row>
    <row r="3454" spans="6:18" ht="24" customHeight="1">
      <c r="F3454" s="129">
        <v>10</v>
      </c>
      <c r="G3454" s="126" t="s">
        <v>425</v>
      </c>
      <c r="H3454" s="122" t="s">
        <v>5033</v>
      </c>
      <c r="I3454" s="514">
        <v>416</v>
      </c>
      <c r="J3454" s="121" t="s">
        <v>425</v>
      </c>
      <c r="K3454" s="129">
        <f>F3454*I3454</f>
        <v>4160</v>
      </c>
    </row>
    <row r="3455" spans="6:18" ht="24" customHeight="1">
      <c r="F3455" s="129">
        <v>0.21</v>
      </c>
      <c r="G3455" s="126" t="s">
        <v>132</v>
      </c>
      <c r="H3455" s="120" t="s">
        <v>1575</v>
      </c>
      <c r="I3455" s="129">
        <f>K32</f>
        <v>4662.62</v>
      </c>
      <c r="J3455" s="121" t="s">
        <v>132</v>
      </c>
      <c r="K3455" s="129">
        <f>(F3455*I3455)</f>
        <v>979.15</v>
      </c>
    </row>
    <row r="3456" spans="6:18" ht="24" customHeight="1">
      <c r="H3456" s="120" t="s">
        <v>1576</v>
      </c>
      <c r="I3456" s="129"/>
      <c r="J3456" s="119"/>
      <c r="K3456" s="120" t="s">
        <v>85</v>
      </c>
      <c r="M3456" s="167">
        <v>29.5</v>
      </c>
      <c r="N3456" s="126" t="s">
        <v>111</v>
      </c>
      <c r="O3456" s="120" t="s">
        <v>5031</v>
      </c>
      <c r="Q3456" s="119"/>
    </row>
    <row r="3457" spans="6:18" ht="24" customHeight="1">
      <c r="F3457" s="129">
        <v>1.1000000000000001</v>
      </c>
      <c r="G3457" s="126" t="s">
        <v>237</v>
      </c>
      <c r="H3457" s="120" t="s">
        <v>345</v>
      </c>
      <c r="I3457" s="129">
        <f>C10</f>
        <v>1041.7</v>
      </c>
      <c r="J3457" s="121" t="s">
        <v>237</v>
      </c>
      <c r="K3457" s="129">
        <f>(F3457*I3457)</f>
        <v>1145.8699999999999</v>
      </c>
      <c r="N3457" s="116"/>
      <c r="O3457" s="120" t="s">
        <v>5032</v>
      </c>
      <c r="Q3457" s="119"/>
    </row>
    <row r="3458" spans="6:18" ht="24" customHeight="1">
      <c r="F3458" s="129">
        <v>1.1000000000000001</v>
      </c>
      <c r="G3458" s="126" t="s">
        <v>237</v>
      </c>
      <c r="H3458" s="120" t="s">
        <v>302</v>
      </c>
      <c r="I3458" s="129">
        <f>C11</f>
        <v>972.4</v>
      </c>
      <c r="J3458" s="121" t="s">
        <v>237</v>
      </c>
      <c r="K3458" s="129">
        <f>(F3458*I3458)</f>
        <v>1069.6400000000001</v>
      </c>
      <c r="N3458" s="116"/>
      <c r="O3458" s="120" t="s">
        <v>1585</v>
      </c>
      <c r="Q3458" s="119"/>
    </row>
    <row r="3459" spans="6:18" ht="24" customHeight="1">
      <c r="F3459" s="129">
        <v>2.2000000000000002</v>
      </c>
      <c r="G3459" s="126" t="s">
        <v>237</v>
      </c>
      <c r="H3459" s="120" t="s">
        <v>304</v>
      </c>
      <c r="I3459" s="129">
        <f>C12</f>
        <v>679.8</v>
      </c>
      <c r="J3459" s="121" t="s">
        <v>237</v>
      </c>
      <c r="K3459" s="129">
        <f>(F3459*I3459)</f>
        <v>1495.56</v>
      </c>
      <c r="N3459" s="116"/>
      <c r="O3459" s="123" t="s">
        <v>52</v>
      </c>
      <c r="P3459" s="123" t="s">
        <v>52</v>
      </c>
      <c r="Q3459" s="119"/>
      <c r="R3459" s="129"/>
    </row>
    <row r="3460" spans="6:18" ht="24" customHeight="1">
      <c r="F3460" s="129">
        <v>2.2000000000000002</v>
      </c>
      <c r="G3460" s="126" t="s">
        <v>237</v>
      </c>
      <c r="H3460" s="120" t="s">
        <v>306</v>
      </c>
      <c r="I3460" s="129">
        <f>C13</f>
        <v>557.70000000000005</v>
      </c>
      <c r="J3460" s="121" t="s">
        <v>237</v>
      </c>
      <c r="K3460" s="129">
        <f>(F3460*I3460)</f>
        <v>1226.94</v>
      </c>
      <c r="M3460" s="129">
        <v>10</v>
      </c>
      <c r="N3460" s="126" t="s">
        <v>425</v>
      </c>
      <c r="O3460" s="122" t="s">
        <v>5033</v>
      </c>
      <c r="P3460" s="518">
        <f>I3454</f>
        <v>416</v>
      </c>
      <c r="Q3460" s="121" t="s">
        <v>425</v>
      </c>
      <c r="R3460" s="129">
        <f>P3460*M3460</f>
        <v>4160</v>
      </c>
    </row>
    <row r="3461" spans="6:18" ht="24" customHeight="1">
      <c r="F3461" s="142">
        <v>20</v>
      </c>
      <c r="G3461" s="126" t="s">
        <v>39</v>
      </c>
      <c r="H3461" s="120" t="s">
        <v>123</v>
      </c>
      <c r="I3461" s="129">
        <f>AC31</f>
        <v>6040</v>
      </c>
      <c r="J3461" s="121" t="s">
        <v>122</v>
      </c>
      <c r="K3461" s="129">
        <f>(F3461*I3461)/1000</f>
        <v>120.8</v>
      </c>
      <c r="M3461" s="129">
        <v>0.21</v>
      </c>
      <c r="N3461" s="126" t="s">
        <v>132</v>
      </c>
      <c r="O3461" s="120" t="s">
        <v>1575</v>
      </c>
      <c r="P3461" s="519">
        <f t="shared" ref="P3461:P3471" si="318">I3455</f>
        <v>4662.62</v>
      </c>
      <c r="Q3461" s="121" t="s">
        <v>132</v>
      </c>
      <c r="R3461" s="129">
        <f t="shared" ref="R3461:R3471" si="319">P3461*M3461</f>
        <v>979.15</v>
      </c>
    </row>
    <row r="3462" spans="6:18" ht="24" customHeight="1">
      <c r="F3462" s="142">
        <v>2</v>
      </c>
      <c r="G3462" s="126" t="s">
        <v>39</v>
      </c>
      <c r="H3462" s="120" t="s">
        <v>4296</v>
      </c>
      <c r="I3462" s="129">
        <f>I1256</f>
        <v>36.1</v>
      </c>
      <c r="J3462" s="121" t="s">
        <v>39</v>
      </c>
      <c r="K3462" s="129">
        <f>(F3462*I3462)</f>
        <v>72.2</v>
      </c>
      <c r="N3462" s="116"/>
      <c r="O3462" s="120" t="s">
        <v>1576</v>
      </c>
      <c r="P3462" s="519">
        <f t="shared" si="318"/>
        <v>0</v>
      </c>
      <c r="Q3462" s="119"/>
      <c r="R3462" s="129">
        <f t="shared" si="319"/>
        <v>0</v>
      </c>
    </row>
    <row r="3463" spans="6:18" ht="24" customHeight="1">
      <c r="F3463" s="129">
        <v>1.6</v>
      </c>
      <c r="G3463" s="126" t="s">
        <v>237</v>
      </c>
      <c r="H3463" s="120" t="s">
        <v>302</v>
      </c>
      <c r="I3463" s="129">
        <f>I3458</f>
        <v>972.4</v>
      </c>
      <c r="J3463" s="121" t="s">
        <v>237</v>
      </c>
      <c r="K3463" s="129">
        <f>(F3463*I3463)</f>
        <v>1555.84</v>
      </c>
      <c r="M3463" s="129">
        <v>1.1000000000000001</v>
      </c>
      <c r="N3463" s="126" t="s">
        <v>237</v>
      </c>
      <c r="O3463" s="120" t="s">
        <v>345</v>
      </c>
      <c r="P3463" s="519">
        <f t="shared" si="318"/>
        <v>1041.7</v>
      </c>
      <c r="Q3463" s="121" t="s">
        <v>237</v>
      </c>
      <c r="R3463" s="129">
        <f t="shared" si="319"/>
        <v>1145.8699999999999</v>
      </c>
    </row>
    <row r="3464" spans="6:18" ht="24" customHeight="1">
      <c r="F3464" s="129">
        <v>0.5</v>
      </c>
      <c r="G3464" s="126" t="s">
        <v>237</v>
      </c>
      <c r="H3464" s="120" t="s">
        <v>304</v>
      </c>
      <c r="I3464" s="129">
        <f>I3459</f>
        <v>679.8</v>
      </c>
      <c r="J3464" s="121" t="s">
        <v>237</v>
      </c>
      <c r="K3464" s="129">
        <f>(F3464*I3464)</f>
        <v>339.9</v>
      </c>
      <c r="M3464" s="129">
        <v>1.1000000000000001</v>
      </c>
      <c r="N3464" s="126" t="s">
        <v>237</v>
      </c>
      <c r="O3464" s="120" t="s">
        <v>302</v>
      </c>
      <c r="P3464" s="519">
        <f t="shared" si="318"/>
        <v>972.4</v>
      </c>
      <c r="Q3464" s="121" t="s">
        <v>237</v>
      </c>
      <c r="R3464" s="129">
        <f t="shared" si="319"/>
        <v>1069.6400000000001</v>
      </c>
    </row>
    <row r="3465" spans="6:18" ht="24" customHeight="1">
      <c r="F3465" s="129">
        <v>1.1000000000000001</v>
      </c>
      <c r="G3465" s="126" t="s">
        <v>237</v>
      </c>
      <c r="H3465" s="120" t="s">
        <v>306</v>
      </c>
      <c r="I3465" s="129">
        <f>I3460</f>
        <v>557.70000000000005</v>
      </c>
      <c r="J3465" s="121" t="s">
        <v>237</v>
      </c>
      <c r="K3465" s="129">
        <f>(F3465*I3465)</f>
        <v>613.47</v>
      </c>
      <c r="M3465" s="129">
        <v>2.2000000000000002</v>
      </c>
      <c r="N3465" s="126" t="s">
        <v>237</v>
      </c>
      <c r="O3465" s="120" t="s">
        <v>304</v>
      </c>
      <c r="P3465" s="519">
        <f t="shared" si="318"/>
        <v>679.8</v>
      </c>
      <c r="Q3465" s="121" t="s">
        <v>237</v>
      </c>
      <c r="R3465" s="129">
        <f t="shared" si="319"/>
        <v>1495.56</v>
      </c>
    </row>
    <row r="3466" spans="6:18" ht="24" customHeight="1">
      <c r="G3466" s="126" t="s">
        <v>145</v>
      </c>
      <c r="H3466" s="120" t="s">
        <v>146</v>
      </c>
      <c r="I3466" s="129">
        <f>I1262</f>
        <v>0</v>
      </c>
      <c r="J3466" s="121" t="s">
        <v>145</v>
      </c>
      <c r="K3466" s="129">
        <v>0</v>
      </c>
      <c r="M3466" s="129">
        <v>2.2000000000000002</v>
      </c>
      <c r="N3466" s="126" t="s">
        <v>237</v>
      </c>
      <c r="O3466" s="120" t="s">
        <v>306</v>
      </c>
      <c r="P3466" s="519">
        <f t="shared" si="318"/>
        <v>557.70000000000005</v>
      </c>
      <c r="Q3466" s="121" t="s">
        <v>237</v>
      </c>
      <c r="R3466" s="129">
        <f t="shared" si="319"/>
        <v>1226.94</v>
      </c>
    </row>
    <row r="3467" spans="6:18" ht="24" customHeight="1">
      <c r="J3467" s="119"/>
      <c r="K3467" s="123" t="s">
        <v>52</v>
      </c>
      <c r="M3467" s="142">
        <v>20</v>
      </c>
      <c r="N3467" s="126" t="s">
        <v>39</v>
      </c>
      <c r="O3467" s="120" t="s">
        <v>123</v>
      </c>
      <c r="P3467" s="519">
        <f t="shared" si="318"/>
        <v>6040</v>
      </c>
      <c r="Q3467" s="121" t="s">
        <v>122</v>
      </c>
      <c r="R3467" s="129">
        <f>P3467*M3467/1000</f>
        <v>120.8</v>
      </c>
    </row>
    <row r="3468" spans="6:18" ht="24" customHeight="1">
      <c r="H3468" s="120" t="s">
        <v>495</v>
      </c>
      <c r="J3468" s="119"/>
      <c r="K3468" s="129">
        <f>SUM(K3454:K3466)</f>
        <v>12779.37</v>
      </c>
      <c r="M3468" s="142">
        <v>2</v>
      </c>
      <c r="N3468" s="126" t="s">
        <v>39</v>
      </c>
      <c r="O3468" s="120" t="s">
        <v>5034</v>
      </c>
      <c r="P3468" s="519">
        <f>I3644</f>
        <v>24.93</v>
      </c>
      <c r="Q3468" s="121" t="s">
        <v>39</v>
      </c>
      <c r="R3468" s="129">
        <f t="shared" si="319"/>
        <v>49.86</v>
      </c>
    </row>
    <row r="3469" spans="6:18" ht="24" customHeight="1">
      <c r="J3469" s="119"/>
      <c r="K3469" s="123" t="s">
        <v>52</v>
      </c>
      <c r="M3469" s="129">
        <v>1.6</v>
      </c>
      <c r="N3469" s="126" t="s">
        <v>237</v>
      </c>
      <c r="O3469" s="120" t="s">
        <v>302</v>
      </c>
      <c r="P3469" s="519">
        <f t="shared" si="318"/>
        <v>972.4</v>
      </c>
      <c r="Q3469" s="121" t="s">
        <v>237</v>
      </c>
      <c r="R3469" s="129">
        <f t="shared" si="319"/>
        <v>1555.84</v>
      </c>
    </row>
    <row r="3470" spans="6:18" ht="24" customHeight="1">
      <c r="H3470" s="120" t="s">
        <v>460</v>
      </c>
      <c r="J3470" s="119"/>
      <c r="K3470" s="127">
        <f>(K3468/10)</f>
        <v>1277.94</v>
      </c>
      <c r="M3470" s="129">
        <v>0.5</v>
      </c>
      <c r="N3470" s="126" t="s">
        <v>237</v>
      </c>
      <c r="O3470" s="120" t="s">
        <v>304</v>
      </c>
      <c r="P3470" s="519">
        <f t="shared" si="318"/>
        <v>679.8</v>
      </c>
      <c r="Q3470" s="121" t="s">
        <v>237</v>
      </c>
      <c r="R3470" s="129">
        <f t="shared" si="319"/>
        <v>339.9</v>
      </c>
    </row>
    <row r="3471" spans="6:18" ht="24" customHeight="1">
      <c r="J3471" s="119"/>
      <c r="K3471" s="123" t="s">
        <v>89</v>
      </c>
      <c r="M3471" s="129">
        <v>1.1000000000000001</v>
      </c>
      <c r="N3471" s="126" t="s">
        <v>237</v>
      </c>
      <c r="O3471" s="120" t="s">
        <v>306</v>
      </c>
      <c r="P3471" s="519">
        <f t="shared" si="318"/>
        <v>557.70000000000005</v>
      </c>
      <c r="Q3471" s="121" t="s">
        <v>237</v>
      </c>
      <c r="R3471" s="129">
        <f t="shared" si="319"/>
        <v>613.47</v>
      </c>
    </row>
    <row r="3472" spans="6:18" ht="24" customHeight="1">
      <c r="N3472" s="126" t="s">
        <v>145</v>
      </c>
      <c r="O3472" s="120" t="s">
        <v>146</v>
      </c>
      <c r="P3472" s="129">
        <v>0</v>
      </c>
      <c r="Q3472" s="121" t="s">
        <v>145</v>
      </c>
      <c r="R3472" s="129">
        <v>0</v>
      </c>
    </row>
    <row r="3473" spans="6:19" ht="24" customHeight="1">
      <c r="N3473" s="116"/>
      <c r="Q3473" s="119"/>
      <c r="R3473" s="123" t="s">
        <v>52</v>
      </c>
    </row>
    <row r="3474" spans="6:19" ht="24" customHeight="1">
      <c r="N3474" s="116"/>
      <c r="O3474" s="120" t="s">
        <v>495</v>
      </c>
      <c r="Q3474" s="119"/>
      <c r="R3474" s="129">
        <f>SUM(R3460:R3473)</f>
        <v>12757.03</v>
      </c>
    </row>
    <row r="3475" spans="6:19" ht="24" customHeight="1">
      <c r="N3475" s="116"/>
      <c r="Q3475" s="119"/>
      <c r="R3475" s="123" t="s">
        <v>52</v>
      </c>
    </row>
    <row r="3476" spans="6:19" ht="24" customHeight="1">
      <c r="G3476" s="515">
        <v>90</v>
      </c>
      <c r="H3476" s="516" t="s">
        <v>5035</v>
      </c>
      <c r="N3476" s="116"/>
      <c r="O3476" s="120" t="s">
        <v>460</v>
      </c>
      <c r="Q3476" s="119"/>
      <c r="R3476" s="127">
        <f>R3474/10</f>
        <v>1275.7</v>
      </c>
    </row>
    <row r="3477" spans="6:19" ht="57.75" customHeight="1">
      <c r="F3477" s="224">
        <v>3.8100000000000002E-2</v>
      </c>
      <c r="G3477" s="116" t="s">
        <v>132</v>
      </c>
      <c r="H3477" s="115" t="s">
        <v>5036</v>
      </c>
      <c r="I3477" s="115">
        <f>I3387</f>
        <v>111600</v>
      </c>
      <c r="J3477" s="115">
        <f>J2279</f>
        <v>0</v>
      </c>
      <c r="K3477" s="115">
        <f>F3477*I3477</f>
        <v>4251.96</v>
      </c>
      <c r="N3477" s="116"/>
      <c r="Q3477" s="119"/>
      <c r="R3477" s="123" t="s">
        <v>89</v>
      </c>
    </row>
    <row r="3478" spans="6:19" ht="24" customHeight="1">
      <c r="F3478" s="118">
        <v>2.4E-2</v>
      </c>
      <c r="G3478" s="116" t="s">
        <v>132</v>
      </c>
      <c r="H3478" s="115" t="s">
        <v>4963</v>
      </c>
      <c r="I3478" s="115">
        <f>I3388</f>
        <v>99400</v>
      </c>
      <c r="J3478" s="115">
        <f>J2280</f>
        <v>0</v>
      </c>
      <c r="K3478" s="115">
        <f t="shared" ref="K3478:K3491" si="320">F3478*I3478</f>
        <v>2385.6</v>
      </c>
    </row>
    <row r="3479" spans="6:19" ht="24" customHeight="1">
      <c r="F3479" s="115">
        <v>0.01</v>
      </c>
      <c r="G3479" s="116" t="s">
        <v>132</v>
      </c>
      <c r="H3479" s="120" t="s">
        <v>1336</v>
      </c>
      <c r="I3479" s="115">
        <f>I2815</f>
        <v>95000</v>
      </c>
      <c r="J3479" s="115">
        <f>J2281</f>
        <v>0</v>
      </c>
      <c r="K3479" s="115">
        <f t="shared" si="320"/>
        <v>950</v>
      </c>
    </row>
    <row r="3480" spans="6:19" ht="24" customHeight="1">
      <c r="H3480" s="120" t="s">
        <v>1338</v>
      </c>
    </row>
    <row r="3481" spans="6:19" ht="24" customHeight="1">
      <c r="F3481" s="115">
        <v>1.05</v>
      </c>
      <c r="G3481" s="126" t="s">
        <v>425</v>
      </c>
      <c r="H3481" s="406" t="s">
        <v>5037</v>
      </c>
      <c r="I3481" s="162">
        <v>362.5</v>
      </c>
      <c r="J3481" s="117" t="s">
        <v>425</v>
      </c>
      <c r="K3481" s="115">
        <f t="shared" si="320"/>
        <v>380.63</v>
      </c>
    </row>
    <row r="3482" spans="6:19" ht="24" customHeight="1">
      <c r="F3482" s="115">
        <v>12</v>
      </c>
      <c r="G3482" s="126" t="s">
        <v>1791</v>
      </c>
      <c r="H3482" s="115" t="s">
        <v>5038</v>
      </c>
      <c r="I3482" s="115">
        <f>I2537</f>
        <v>70.150000000000006</v>
      </c>
      <c r="J3482" s="117" t="s">
        <v>1791</v>
      </c>
      <c r="K3482" s="115">
        <f t="shared" si="320"/>
        <v>841.8</v>
      </c>
      <c r="S3482" s="503" t="s">
        <v>5039</v>
      </c>
    </row>
    <row r="3483" spans="6:19" ht="24" customHeight="1">
      <c r="F3483" s="115">
        <v>2.85</v>
      </c>
      <c r="G3483" s="126" t="s">
        <v>425</v>
      </c>
      <c r="H3483" s="115" t="s">
        <v>5040</v>
      </c>
      <c r="I3483" s="115">
        <f>D31</f>
        <v>1498.2</v>
      </c>
      <c r="J3483" s="117" t="s">
        <v>425</v>
      </c>
      <c r="K3483" s="115">
        <f t="shared" si="320"/>
        <v>4269.87</v>
      </c>
    </row>
    <row r="3484" spans="6:19" ht="24" customHeight="1">
      <c r="F3484" s="115">
        <v>6</v>
      </c>
      <c r="G3484" s="126" t="s">
        <v>1034</v>
      </c>
      <c r="H3484" s="120" t="s">
        <v>1344</v>
      </c>
      <c r="I3484" s="115">
        <f>I2819</f>
        <v>214.1</v>
      </c>
      <c r="J3484" s="117" t="s">
        <v>237</v>
      </c>
      <c r="K3484" s="115">
        <f t="shared" si="320"/>
        <v>1284.5999999999999</v>
      </c>
    </row>
    <row r="3485" spans="6:19" ht="24" customHeight="1">
      <c r="F3485" s="115">
        <v>1</v>
      </c>
      <c r="G3485" s="126" t="s">
        <v>1034</v>
      </c>
      <c r="H3485" s="115" t="s">
        <v>5041</v>
      </c>
      <c r="I3485" s="115">
        <f>I2821</f>
        <v>836</v>
      </c>
      <c r="J3485" s="117" t="s">
        <v>237</v>
      </c>
      <c r="K3485" s="115">
        <f t="shared" si="320"/>
        <v>836</v>
      </c>
    </row>
    <row r="3486" spans="6:19" ht="24" customHeight="1">
      <c r="F3486" s="115">
        <v>3</v>
      </c>
      <c r="G3486" s="126" t="s">
        <v>1034</v>
      </c>
      <c r="H3486" s="120" t="s">
        <v>1346</v>
      </c>
      <c r="I3486" s="115">
        <f>I2820</f>
        <v>408</v>
      </c>
      <c r="J3486" s="117" t="s">
        <v>237</v>
      </c>
      <c r="K3486" s="115">
        <f t="shared" si="320"/>
        <v>1224</v>
      </c>
    </row>
    <row r="3487" spans="6:19" ht="24" customHeight="1">
      <c r="F3487" s="115">
        <v>2</v>
      </c>
      <c r="G3487" s="126" t="s">
        <v>1034</v>
      </c>
      <c r="H3487" s="120" t="s">
        <v>5042</v>
      </c>
      <c r="I3487" s="115">
        <f>I2820</f>
        <v>408</v>
      </c>
      <c r="J3487" s="117" t="s">
        <v>237</v>
      </c>
      <c r="K3487" s="115">
        <f t="shared" si="320"/>
        <v>816</v>
      </c>
    </row>
    <row r="3488" spans="6:19" ht="24" customHeight="1">
      <c r="F3488" s="115">
        <v>2</v>
      </c>
      <c r="G3488" s="126" t="s">
        <v>1034</v>
      </c>
      <c r="H3488" s="120" t="s">
        <v>455</v>
      </c>
      <c r="I3488" s="115">
        <f>I2823</f>
        <v>49.55</v>
      </c>
      <c r="J3488" s="117" t="s">
        <v>237</v>
      </c>
      <c r="K3488" s="115">
        <f t="shared" si="320"/>
        <v>99.1</v>
      </c>
    </row>
    <row r="3489" spans="6:15" ht="24" customHeight="1">
      <c r="F3489" s="115">
        <v>2</v>
      </c>
      <c r="G3489" s="126" t="s">
        <v>1034</v>
      </c>
      <c r="H3489" s="120" t="s">
        <v>1350</v>
      </c>
      <c r="I3489" s="115">
        <f>I2822</f>
        <v>7.3</v>
      </c>
      <c r="J3489" s="117" t="s">
        <v>237</v>
      </c>
      <c r="K3489" s="115">
        <f t="shared" si="320"/>
        <v>14.6</v>
      </c>
    </row>
    <row r="3490" spans="6:15" ht="24" customHeight="1">
      <c r="F3490" s="115">
        <v>1.05</v>
      </c>
      <c r="G3490" s="126" t="s">
        <v>425</v>
      </c>
      <c r="H3490" s="120" t="s">
        <v>5043</v>
      </c>
      <c r="I3490" s="115">
        <f>K1553</f>
        <v>142.15</v>
      </c>
      <c r="J3490" s="117" t="s">
        <v>425</v>
      </c>
      <c r="K3490" s="115">
        <f t="shared" si="320"/>
        <v>149.26</v>
      </c>
    </row>
    <row r="3491" spans="6:15" ht="24" customHeight="1">
      <c r="F3491" s="517">
        <v>3.15</v>
      </c>
      <c r="G3491" s="126" t="s">
        <v>425</v>
      </c>
      <c r="H3491" s="120" t="s">
        <v>5044</v>
      </c>
      <c r="I3491" s="115">
        <f>K1167</f>
        <v>201.2</v>
      </c>
      <c r="J3491" s="117" t="s">
        <v>425</v>
      </c>
      <c r="K3491" s="115">
        <f t="shared" si="320"/>
        <v>633.78</v>
      </c>
    </row>
    <row r="3492" spans="6:15" ht="24" customHeight="1">
      <c r="G3492" s="126"/>
      <c r="H3492" s="120" t="s">
        <v>5045</v>
      </c>
      <c r="I3492" s="1826" t="s">
        <v>145</v>
      </c>
      <c r="J3492" s="1826"/>
      <c r="K3492" s="115">
        <f>R3199</f>
        <v>284.38</v>
      </c>
    </row>
    <row r="3493" spans="6:15" ht="24" customHeight="1">
      <c r="K3493" s="418" t="s">
        <v>89</v>
      </c>
    </row>
    <row r="3494" spans="6:15" ht="24" customHeight="1">
      <c r="H3494" s="122" t="s">
        <v>5046</v>
      </c>
      <c r="I3494" s="114"/>
      <c r="J3494" s="178"/>
      <c r="K3494" s="114">
        <f>SUM(K3477:K3493)</f>
        <v>18421.580000000002</v>
      </c>
    </row>
    <row r="3495" spans="6:15" ht="24" customHeight="1">
      <c r="K3495" s="418" t="s">
        <v>89</v>
      </c>
    </row>
    <row r="3497" spans="6:15" ht="24" customHeight="1">
      <c r="J3497" s="119"/>
    </row>
    <row r="3498" spans="6:15" ht="24" customHeight="1">
      <c r="G3498" s="117" t="s">
        <v>5047</v>
      </c>
      <c r="J3498" s="119"/>
    </row>
    <row r="3499" spans="6:15" ht="24" customHeight="1">
      <c r="J3499" s="119"/>
    </row>
    <row r="3500" spans="6:15" ht="24" customHeight="1">
      <c r="F3500" s="224">
        <v>1.8</v>
      </c>
      <c r="G3500" s="116" t="s">
        <v>132</v>
      </c>
      <c r="H3500" s="115" t="s">
        <v>5048</v>
      </c>
      <c r="I3500" s="162">
        <f>((505+583)/2)+Z15</f>
        <v>806.98</v>
      </c>
      <c r="J3500" s="119" t="s">
        <v>132</v>
      </c>
      <c r="K3500" s="213">
        <f>I3500*F3500</f>
        <v>1452.56</v>
      </c>
    </row>
    <row r="3501" spans="6:15" ht="24" customHeight="1">
      <c r="I3501" s="162"/>
      <c r="J3501" s="119"/>
      <c r="K3501" s="213"/>
    </row>
    <row r="3502" spans="6:15" ht="24" customHeight="1">
      <c r="F3502" s="224">
        <v>1.2</v>
      </c>
      <c r="G3502" s="116" t="s">
        <v>132</v>
      </c>
      <c r="H3502" s="115" t="s">
        <v>5049</v>
      </c>
      <c r="I3502" s="162">
        <f>((1054+906+1467+1362+1001)/5)+Z15</f>
        <v>1420.98</v>
      </c>
      <c r="J3502" s="119" t="s">
        <v>132</v>
      </c>
      <c r="K3502" s="213">
        <f t="shared" ref="K3502:K3510" si="321">I3502*F3502</f>
        <v>1705.18</v>
      </c>
    </row>
    <row r="3503" spans="6:15" ht="24" customHeight="1">
      <c r="J3503" s="119"/>
      <c r="K3503" s="213"/>
    </row>
    <row r="3504" spans="6:15" ht="24" customHeight="1">
      <c r="F3504" s="224">
        <v>0.6</v>
      </c>
      <c r="G3504" s="116" t="s">
        <v>132</v>
      </c>
      <c r="H3504" s="115" t="s">
        <v>5050</v>
      </c>
      <c r="I3504" s="115">
        <f>AC16</f>
        <v>1642.42</v>
      </c>
      <c r="J3504" s="119" t="s">
        <v>132</v>
      </c>
      <c r="K3504" s="213">
        <f t="shared" si="321"/>
        <v>985.45</v>
      </c>
      <c r="O3504" s="114" t="s">
        <v>5051</v>
      </c>
    </row>
    <row r="3505" spans="6:24" ht="24" customHeight="1">
      <c r="J3505" s="119"/>
      <c r="K3505" s="213"/>
    </row>
    <row r="3506" spans="6:24" ht="24" customHeight="1">
      <c r="F3506" s="224">
        <v>3</v>
      </c>
      <c r="G3506" s="116" t="s">
        <v>132</v>
      </c>
      <c r="H3506" s="115" t="s">
        <v>5052</v>
      </c>
      <c r="I3506" s="115">
        <f>R3519</f>
        <v>2164.64</v>
      </c>
      <c r="J3506" s="119" t="s">
        <v>132</v>
      </c>
      <c r="K3506" s="213">
        <f t="shared" si="321"/>
        <v>6493.92</v>
      </c>
    </row>
    <row r="3507" spans="6:24" ht="24" customHeight="1">
      <c r="F3507" s="224"/>
      <c r="J3507" s="119"/>
      <c r="K3507" s="213"/>
      <c r="M3507" s="115">
        <f>(1.08/8)</f>
        <v>0.14000000000000001</v>
      </c>
      <c r="N3507" s="115" t="s">
        <v>132</v>
      </c>
      <c r="O3507" s="115" t="s">
        <v>304</v>
      </c>
      <c r="P3507" s="115">
        <f>P3515</f>
        <v>679.8</v>
      </c>
      <c r="Q3507" s="115" t="s">
        <v>132</v>
      </c>
      <c r="R3507" s="115">
        <f>P3507*M3507</f>
        <v>95.17</v>
      </c>
    </row>
    <row r="3508" spans="6:24" ht="24" customHeight="1">
      <c r="F3508" s="224">
        <v>3</v>
      </c>
      <c r="G3508" s="116" t="s">
        <v>132</v>
      </c>
      <c r="H3508" s="115" t="s">
        <v>5053</v>
      </c>
      <c r="I3508" s="115">
        <f>R3521*1.1</f>
        <v>32.229999999999997</v>
      </c>
      <c r="J3508" s="119" t="s">
        <v>132</v>
      </c>
      <c r="K3508" s="213">
        <f t="shared" si="321"/>
        <v>96.69</v>
      </c>
      <c r="L3508" s="520"/>
    </row>
    <row r="3509" spans="6:24" ht="24" customHeight="1">
      <c r="F3509" s="224"/>
      <c r="J3509" s="119"/>
      <c r="K3509" s="213"/>
      <c r="O3509" s="213" t="s">
        <v>5054</v>
      </c>
      <c r="R3509" s="115">
        <f>R3507</f>
        <v>95.17</v>
      </c>
    </row>
    <row r="3510" spans="6:24" ht="24" customHeight="1">
      <c r="F3510" s="224">
        <v>3</v>
      </c>
      <c r="G3510" s="116" t="s">
        <v>132</v>
      </c>
      <c r="H3510" s="115" t="s">
        <v>5055</v>
      </c>
      <c r="I3510" s="115">
        <f>AE26</f>
        <v>72.819999999999993</v>
      </c>
      <c r="J3510" s="119" t="s">
        <v>132</v>
      </c>
      <c r="K3510" s="213">
        <f t="shared" si="321"/>
        <v>218.46</v>
      </c>
      <c r="O3510" s="213" t="s">
        <v>5056</v>
      </c>
      <c r="R3510" s="115">
        <f>R3509/0.75</f>
        <v>126.89</v>
      </c>
    </row>
    <row r="3511" spans="6:24" ht="24" customHeight="1">
      <c r="J3511" s="119"/>
      <c r="K3511" s="213"/>
    </row>
    <row r="3512" spans="6:24" ht="24" customHeight="1">
      <c r="H3512" s="115" t="s">
        <v>5057</v>
      </c>
      <c r="J3512" s="119" t="s">
        <v>145</v>
      </c>
      <c r="K3512" s="213">
        <v>1.84</v>
      </c>
      <c r="O3512" s="114" t="s">
        <v>5058</v>
      </c>
    </row>
    <row r="3513" spans="6:24" ht="24" customHeight="1">
      <c r="J3513" s="119"/>
      <c r="K3513" s="213"/>
    </row>
    <row r="3514" spans="6:24" ht="24" customHeight="1">
      <c r="H3514" s="213" t="s">
        <v>5059</v>
      </c>
      <c r="J3514" s="119"/>
      <c r="K3514" s="305">
        <f>SUM(K3500:K3513)</f>
        <v>10954.1</v>
      </c>
      <c r="M3514" s="115">
        <v>1.8</v>
      </c>
      <c r="N3514" s="115" t="s">
        <v>41</v>
      </c>
      <c r="O3514" s="115" t="s">
        <v>5060</v>
      </c>
      <c r="P3514" s="115">
        <f>AE10</f>
        <v>972.4</v>
      </c>
      <c r="Q3514" s="115" t="s">
        <v>729</v>
      </c>
      <c r="R3514" s="115">
        <f>P3514*M3514</f>
        <v>1750.32</v>
      </c>
    </row>
    <row r="3515" spans="6:24" ht="24" customHeight="1">
      <c r="H3515" s="213" t="s">
        <v>5061</v>
      </c>
      <c r="J3515" s="119"/>
      <c r="K3515" s="114">
        <f>K3514/F3506</f>
        <v>3651.37</v>
      </c>
      <c r="M3515" s="115">
        <v>17.7</v>
      </c>
      <c r="N3515" s="115" t="s">
        <v>41</v>
      </c>
      <c r="O3515" s="115" t="s">
        <v>2052</v>
      </c>
      <c r="P3515" s="115">
        <f>AE11</f>
        <v>679.8</v>
      </c>
      <c r="Q3515" s="115" t="s">
        <v>729</v>
      </c>
      <c r="R3515" s="115">
        <f>P3515*M3515</f>
        <v>12032.46</v>
      </c>
    </row>
    <row r="3516" spans="6:24" ht="24" customHeight="1">
      <c r="J3516" s="119"/>
      <c r="K3516" s="418" t="s">
        <v>89</v>
      </c>
      <c r="M3516" s="115">
        <v>14.1</v>
      </c>
      <c r="N3516" s="115" t="s">
        <v>41</v>
      </c>
      <c r="O3516" s="115" t="s">
        <v>2053</v>
      </c>
      <c r="P3516" s="115">
        <f>AE12</f>
        <v>557.70000000000005</v>
      </c>
      <c r="Q3516" s="115" t="s">
        <v>729</v>
      </c>
      <c r="R3516" s="115">
        <f>P3516*M3516</f>
        <v>7863.57</v>
      </c>
      <c r="S3516" s="377"/>
      <c r="T3516" s="375"/>
      <c r="U3516" s="377" t="s">
        <v>5062</v>
      </c>
      <c r="V3516" s="377"/>
      <c r="W3516" s="521"/>
    </row>
    <row r="3517" spans="6:24" ht="24" customHeight="1">
      <c r="S3517" s="115"/>
      <c r="T3517" s="116"/>
      <c r="U3517" s="377" t="s">
        <v>5063</v>
      </c>
      <c r="V3517" s="115">
        <f>1.1*2.325</f>
        <v>2.56</v>
      </c>
    </row>
    <row r="3518" spans="6:24" ht="24" customHeight="1">
      <c r="O3518" s="213" t="s">
        <v>5064</v>
      </c>
      <c r="R3518" s="115">
        <f>SUM(R3514:R3517)</f>
        <v>21646.35</v>
      </c>
      <c r="S3518" s="377">
        <f>V3517</f>
        <v>2.56</v>
      </c>
      <c r="T3518" s="375" t="s">
        <v>425</v>
      </c>
      <c r="U3518" s="377" t="s">
        <v>5065</v>
      </c>
      <c r="V3518" s="377">
        <f>V3538</f>
        <v>2255</v>
      </c>
      <c r="W3518" s="521" t="s">
        <v>425</v>
      </c>
      <c r="X3518" s="377">
        <f>V3518*S3518</f>
        <v>5772.8</v>
      </c>
    </row>
    <row r="3519" spans="6:24" ht="24" customHeight="1">
      <c r="O3519" s="213" t="s">
        <v>5056</v>
      </c>
      <c r="R3519" s="115">
        <f>R3518/10</f>
        <v>2164.64</v>
      </c>
      <c r="S3519" s="377">
        <f>V3517</f>
        <v>2.56</v>
      </c>
      <c r="T3519" s="375" t="s">
        <v>425</v>
      </c>
      <c r="U3519" s="377" t="s">
        <v>5066</v>
      </c>
      <c r="V3519" s="377">
        <f t="shared" ref="V3519:V3527" si="322">V3539</f>
        <v>223.3</v>
      </c>
      <c r="W3519" s="521" t="s">
        <v>425</v>
      </c>
      <c r="X3519" s="377">
        <f t="shared" ref="X3519:X3526" si="323">V3519*S3519</f>
        <v>571.65</v>
      </c>
    </row>
    <row r="3520" spans="6:24" ht="24" customHeight="1">
      <c r="F3520" s="377"/>
      <c r="G3520" s="375"/>
      <c r="H3520" s="377" t="s">
        <v>5067</v>
      </c>
      <c r="I3520" s="377"/>
      <c r="J3520" s="380"/>
      <c r="O3520" s="213"/>
      <c r="S3520" s="377">
        <v>2</v>
      </c>
      <c r="T3520" s="375" t="s">
        <v>237</v>
      </c>
      <c r="U3520" s="377" t="s">
        <v>5068</v>
      </c>
      <c r="V3520" s="377">
        <f t="shared" si="322"/>
        <v>57.65</v>
      </c>
      <c r="W3520" s="521" t="s">
        <v>237</v>
      </c>
      <c r="X3520" s="377">
        <f t="shared" si="323"/>
        <v>115.3</v>
      </c>
    </row>
    <row r="3521" spans="6:32" ht="24" customHeight="1">
      <c r="H3521" s="307" t="s">
        <v>5069</v>
      </c>
      <c r="I3521" s="377">
        <f>1.1*2.325</f>
        <v>2.56</v>
      </c>
      <c r="O3521" s="114" t="s">
        <v>5070</v>
      </c>
      <c r="R3521" s="114">
        <v>29.3</v>
      </c>
      <c r="S3521" s="377">
        <v>4</v>
      </c>
      <c r="T3521" s="375" t="s">
        <v>237</v>
      </c>
      <c r="U3521" s="377" t="s">
        <v>5071</v>
      </c>
      <c r="V3521" s="377">
        <f t="shared" si="322"/>
        <v>89.6</v>
      </c>
      <c r="W3521" s="521" t="s">
        <v>237</v>
      </c>
      <c r="X3521" s="377">
        <f t="shared" si="323"/>
        <v>358.4</v>
      </c>
    </row>
    <row r="3522" spans="6:32" ht="24" customHeight="1">
      <c r="F3522" s="377">
        <f>I3521</f>
        <v>2.56</v>
      </c>
      <c r="G3522" s="375" t="s">
        <v>425</v>
      </c>
      <c r="H3522" s="377" t="s">
        <v>5072</v>
      </c>
      <c r="I3522" s="524">
        <v>2255</v>
      </c>
      <c r="J3522" s="375" t="s">
        <v>425</v>
      </c>
      <c r="K3522" s="377">
        <f>I3522*F3522</f>
        <v>5772.8</v>
      </c>
      <c r="S3522" s="377">
        <v>2</v>
      </c>
      <c r="T3522" s="375" t="s">
        <v>237</v>
      </c>
      <c r="U3522" s="377" t="s">
        <v>5073</v>
      </c>
      <c r="V3522" s="377">
        <f t="shared" si="322"/>
        <v>64.8</v>
      </c>
      <c r="W3522" s="521" t="s">
        <v>237</v>
      </c>
      <c r="X3522" s="377">
        <f t="shared" si="323"/>
        <v>129.6</v>
      </c>
    </row>
    <row r="3523" spans="6:32" ht="24" customHeight="1">
      <c r="F3523" s="377">
        <f>F3522</f>
        <v>2.56</v>
      </c>
      <c r="G3523" s="375" t="s">
        <v>425</v>
      </c>
      <c r="H3523" s="377" t="s">
        <v>5074</v>
      </c>
      <c r="I3523" s="377">
        <f>AE53</f>
        <v>344.3</v>
      </c>
      <c r="J3523" s="375" t="s">
        <v>425</v>
      </c>
      <c r="K3523" s="377">
        <f t="shared" ref="K3523:K3530" si="324">I3523*F3523</f>
        <v>881.41</v>
      </c>
      <c r="S3523" s="377">
        <v>1</v>
      </c>
      <c r="T3523" s="375" t="s">
        <v>237</v>
      </c>
      <c r="U3523" s="377" t="s">
        <v>5041</v>
      </c>
      <c r="V3523" s="377">
        <f t="shared" si="322"/>
        <v>181</v>
      </c>
      <c r="W3523" s="521" t="s">
        <v>237</v>
      </c>
      <c r="X3523" s="377">
        <f t="shared" si="323"/>
        <v>181</v>
      </c>
    </row>
    <row r="3524" spans="6:32" ht="24" customHeight="1">
      <c r="F3524" s="377">
        <v>4</v>
      </c>
      <c r="G3524" s="375" t="s">
        <v>237</v>
      </c>
      <c r="H3524" s="377" t="s">
        <v>5075</v>
      </c>
      <c r="I3524" s="377">
        <f>P3228</f>
        <v>57.65</v>
      </c>
      <c r="J3524" s="375" t="s">
        <v>237</v>
      </c>
      <c r="K3524" s="377">
        <f t="shared" si="324"/>
        <v>230.6</v>
      </c>
      <c r="M3524" s="377"/>
      <c r="N3524" s="375"/>
      <c r="O3524" s="274" t="s">
        <v>5076</v>
      </c>
      <c r="P3524" s="377"/>
      <c r="Q3524" s="380"/>
      <c r="S3524" s="377">
        <v>92</v>
      </c>
      <c r="T3524" s="375" t="s">
        <v>237</v>
      </c>
      <c r="U3524" s="377" t="s">
        <v>5077</v>
      </c>
      <c r="V3524" s="377">
        <f t="shared" si="322"/>
        <v>2.41</v>
      </c>
      <c r="W3524" s="521" t="s">
        <v>237</v>
      </c>
      <c r="X3524" s="377">
        <f t="shared" si="323"/>
        <v>221.72</v>
      </c>
    </row>
    <row r="3525" spans="6:32" ht="24" customHeight="1">
      <c r="F3525" s="377">
        <v>8</v>
      </c>
      <c r="G3525" s="375" t="s">
        <v>237</v>
      </c>
      <c r="H3525" s="377" t="s">
        <v>5078</v>
      </c>
      <c r="I3525" s="377">
        <f>P3229</f>
        <v>89.6</v>
      </c>
      <c r="J3525" s="375" t="s">
        <v>237</v>
      </c>
      <c r="K3525" s="377">
        <f t="shared" si="324"/>
        <v>716.8</v>
      </c>
      <c r="N3525" s="116"/>
      <c r="O3525" s="423" t="s">
        <v>5079</v>
      </c>
      <c r="P3525" s="423">
        <f>1.4*2.325</f>
        <v>3.26</v>
      </c>
      <c r="Q3525" s="117"/>
      <c r="S3525" s="377">
        <v>1</v>
      </c>
      <c r="T3525" s="375" t="s">
        <v>237</v>
      </c>
      <c r="U3525" s="377" t="s">
        <v>5080</v>
      </c>
      <c r="V3525" s="377">
        <f t="shared" si="322"/>
        <v>23.1</v>
      </c>
      <c r="W3525" s="521" t="s">
        <v>237</v>
      </c>
      <c r="X3525" s="377">
        <f t="shared" si="323"/>
        <v>23.1</v>
      </c>
    </row>
    <row r="3526" spans="6:32" ht="24" customHeight="1">
      <c r="F3526" s="377">
        <v>4</v>
      </c>
      <c r="G3526" s="375" t="s">
        <v>237</v>
      </c>
      <c r="H3526" s="377" t="s">
        <v>5081</v>
      </c>
      <c r="I3526" s="377">
        <f>C284</f>
        <v>64.8</v>
      </c>
      <c r="J3526" s="375" t="s">
        <v>237</v>
      </c>
      <c r="K3526" s="377">
        <f t="shared" si="324"/>
        <v>259.2</v>
      </c>
      <c r="M3526" s="377">
        <f>P3525</f>
        <v>3.26</v>
      </c>
      <c r="N3526" s="375" t="s">
        <v>425</v>
      </c>
      <c r="O3526" s="377" t="s">
        <v>5082</v>
      </c>
      <c r="P3526" s="377">
        <f>I3522</f>
        <v>2255</v>
      </c>
      <c r="Q3526" s="375" t="s">
        <v>425</v>
      </c>
      <c r="R3526" s="377">
        <f t="shared" ref="R3526:R3535" si="325">P3526*M3526</f>
        <v>7351.3</v>
      </c>
      <c r="S3526" s="377">
        <v>1</v>
      </c>
      <c r="T3526" s="375" t="s">
        <v>237</v>
      </c>
      <c r="U3526" s="377" t="s">
        <v>5083</v>
      </c>
      <c r="V3526" s="377">
        <f t="shared" si="322"/>
        <v>49.55</v>
      </c>
      <c r="W3526" s="521" t="s">
        <v>237</v>
      </c>
      <c r="X3526" s="377">
        <f t="shared" si="323"/>
        <v>49.55</v>
      </c>
    </row>
    <row r="3527" spans="6:32" ht="24" customHeight="1">
      <c r="F3527" s="377">
        <v>1</v>
      </c>
      <c r="G3527" s="375" t="s">
        <v>237</v>
      </c>
      <c r="H3527" s="377" t="s">
        <v>5084</v>
      </c>
      <c r="I3527" s="377">
        <f>C286</f>
        <v>181</v>
      </c>
      <c r="J3527" s="375" t="s">
        <v>237</v>
      </c>
      <c r="K3527" s="377">
        <f t="shared" si="324"/>
        <v>181</v>
      </c>
      <c r="M3527" s="377">
        <f>M3526</f>
        <v>3.26</v>
      </c>
      <c r="N3527" s="375" t="s">
        <v>425</v>
      </c>
      <c r="O3527" s="377" t="s">
        <v>5085</v>
      </c>
      <c r="P3527" s="377">
        <f t="shared" ref="P3527:P3535" si="326">I3523</f>
        <v>344.3</v>
      </c>
      <c r="Q3527" s="375" t="s">
        <v>425</v>
      </c>
      <c r="R3527" s="377">
        <f t="shared" si="325"/>
        <v>1122.42</v>
      </c>
      <c r="S3527" s="522">
        <v>0.39</v>
      </c>
      <c r="T3527" s="523" t="s">
        <v>425</v>
      </c>
      <c r="U3527" s="524" t="s">
        <v>5086</v>
      </c>
      <c r="V3527" s="377">
        <f t="shared" si="322"/>
        <v>240.31</v>
      </c>
      <c r="W3527" s="528" t="s">
        <v>425</v>
      </c>
      <c r="X3527" s="524"/>
    </row>
    <row r="3528" spans="6:32" ht="24" customHeight="1">
      <c r="F3528" s="377">
        <v>118</v>
      </c>
      <c r="G3528" s="375" t="s">
        <v>237</v>
      </c>
      <c r="H3528" s="377" t="s">
        <v>5077</v>
      </c>
      <c r="I3528" s="377">
        <f>P3448</f>
        <v>2.41</v>
      </c>
      <c r="J3528" s="375" t="s">
        <v>237</v>
      </c>
      <c r="K3528" s="377">
        <f t="shared" si="324"/>
        <v>284.38</v>
      </c>
      <c r="M3528" s="377">
        <v>4</v>
      </c>
      <c r="N3528" s="375" t="s">
        <v>237</v>
      </c>
      <c r="O3528" s="377" t="s">
        <v>5068</v>
      </c>
      <c r="P3528" s="377">
        <f t="shared" si="326"/>
        <v>57.65</v>
      </c>
      <c r="Q3528" s="375" t="s">
        <v>237</v>
      </c>
      <c r="R3528" s="377">
        <f t="shared" si="325"/>
        <v>230.6</v>
      </c>
      <c r="S3528" s="377"/>
      <c r="T3528" s="375"/>
      <c r="U3528" s="377" t="s">
        <v>5087</v>
      </c>
      <c r="V3528" s="377"/>
      <c r="W3528" s="521"/>
      <c r="X3528" s="377">
        <f>SUM(X3518:X3527)</f>
        <v>7423.12</v>
      </c>
    </row>
    <row r="3529" spans="6:32" ht="24" customHeight="1">
      <c r="F3529" s="377">
        <v>2</v>
      </c>
      <c r="G3529" s="375" t="s">
        <v>237</v>
      </c>
      <c r="H3529" s="377" t="s">
        <v>5088</v>
      </c>
      <c r="I3529" s="377">
        <f>P3197</f>
        <v>23.1</v>
      </c>
      <c r="J3529" s="375" t="s">
        <v>237</v>
      </c>
      <c r="K3529" s="377">
        <f t="shared" si="324"/>
        <v>46.2</v>
      </c>
      <c r="M3529" s="377">
        <v>10</v>
      </c>
      <c r="N3529" s="375" t="s">
        <v>237</v>
      </c>
      <c r="O3529" s="377" t="s">
        <v>5071</v>
      </c>
      <c r="P3529" s="377">
        <f t="shared" si="326"/>
        <v>89.6</v>
      </c>
      <c r="Q3529" s="375" t="s">
        <v>237</v>
      </c>
      <c r="R3529" s="377">
        <f t="shared" si="325"/>
        <v>896</v>
      </c>
      <c r="S3529" s="377"/>
      <c r="T3529" s="375"/>
      <c r="U3529" s="377" t="s">
        <v>2137</v>
      </c>
      <c r="V3529" s="377"/>
      <c r="W3529" s="521"/>
      <c r="X3529" s="377">
        <f>X3528/S3519</f>
        <v>2899.66</v>
      </c>
    </row>
    <row r="3530" spans="6:32" ht="24" customHeight="1">
      <c r="F3530" s="377">
        <v>2</v>
      </c>
      <c r="G3530" s="375" t="s">
        <v>237</v>
      </c>
      <c r="H3530" s="377" t="s">
        <v>5083</v>
      </c>
      <c r="I3530" s="377">
        <f>P3403</f>
        <v>49.55</v>
      </c>
      <c r="J3530" s="375" t="s">
        <v>237</v>
      </c>
      <c r="K3530" s="377">
        <f t="shared" si="324"/>
        <v>99.1</v>
      </c>
      <c r="M3530" s="377">
        <v>3</v>
      </c>
      <c r="N3530" s="375" t="s">
        <v>237</v>
      </c>
      <c r="O3530" s="377" t="s">
        <v>5073</v>
      </c>
      <c r="P3530" s="377">
        <f t="shared" si="326"/>
        <v>64.8</v>
      </c>
      <c r="Q3530" s="375" t="s">
        <v>237</v>
      </c>
      <c r="R3530" s="377">
        <f t="shared" si="325"/>
        <v>194.4</v>
      </c>
    </row>
    <row r="3531" spans="6:32" ht="24" customHeight="1">
      <c r="F3531" s="381">
        <v>0.41099999999999998</v>
      </c>
      <c r="G3531" s="375" t="s">
        <v>425</v>
      </c>
      <c r="H3531" s="377" t="s">
        <v>5089</v>
      </c>
      <c r="I3531" s="377">
        <f>I1136</f>
        <v>201.2</v>
      </c>
      <c r="J3531" s="375" t="s">
        <v>425</v>
      </c>
      <c r="K3531" s="377"/>
      <c r="M3531" s="377">
        <v>1</v>
      </c>
      <c r="N3531" s="375" t="s">
        <v>237</v>
      </c>
      <c r="O3531" s="377" t="s">
        <v>5041</v>
      </c>
      <c r="P3531" s="377">
        <f t="shared" si="326"/>
        <v>181</v>
      </c>
      <c r="Q3531" s="375" t="s">
        <v>237</v>
      </c>
      <c r="R3531" s="377">
        <f t="shared" si="325"/>
        <v>181</v>
      </c>
    </row>
    <row r="3532" spans="6:32" ht="24" customHeight="1">
      <c r="F3532" s="377"/>
      <c r="G3532" s="375"/>
      <c r="H3532" s="377" t="s">
        <v>5090</v>
      </c>
      <c r="I3532" s="377"/>
      <c r="J3532" s="380"/>
      <c r="K3532" s="377">
        <f>SUM(K3522:K3531)</f>
        <v>8471.49</v>
      </c>
      <c r="M3532" s="377">
        <v>162</v>
      </c>
      <c r="N3532" s="375" t="s">
        <v>237</v>
      </c>
      <c r="O3532" s="377" t="s">
        <v>5077</v>
      </c>
      <c r="P3532" s="377">
        <f t="shared" si="326"/>
        <v>2.41</v>
      </c>
      <c r="Q3532" s="375" t="s">
        <v>237</v>
      </c>
      <c r="R3532" s="377">
        <f t="shared" si="325"/>
        <v>390.42</v>
      </c>
    </row>
    <row r="3533" spans="6:32" ht="24" customHeight="1">
      <c r="F3533" s="377"/>
      <c r="G3533" s="375"/>
      <c r="H3533" s="377" t="s">
        <v>2137</v>
      </c>
      <c r="I3533" s="377"/>
      <c r="J3533" s="380"/>
      <c r="K3533" s="377">
        <f>K3532/F3523</f>
        <v>3309.18</v>
      </c>
      <c r="M3533" s="377">
        <v>2</v>
      </c>
      <c r="N3533" s="375" t="s">
        <v>237</v>
      </c>
      <c r="O3533" s="377" t="s">
        <v>5080</v>
      </c>
      <c r="P3533" s="377">
        <f t="shared" si="326"/>
        <v>23.1</v>
      </c>
      <c r="Q3533" s="375" t="s">
        <v>237</v>
      </c>
      <c r="R3533" s="377">
        <f t="shared" si="325"/>
        <v>46.2</v>
      </c>
    </row>
    <row r="3534" spans="6:32" ht="24" customHeight="1">
      <c r="H3534" s="377"/>
      <c r="K3534" s="377"/>
      <c r="M3534" s="377">
        <v>2</v>
      </c>
      <c r="N3534" s="375" t="s">
        <v>237</v>
      </c>
      <c r="O3534" s="377" t="s">
        <v>5083</v>
      </c>
      <c r="P3534" s="377">
        <f t="shared" si="326"/>
        <v>49.55</v>
      </c>
      <c r="Q3534" s="375" t="s">
        <v>237</v>
      </c>
      <c r="R3534" s="377">
        <f t="shared" si="325"/>
        <v>99.1</v>
      </c>
    </row>
    <row r="3535" spans="6:32" ht="24" customHeight="1">
      <c r="M3535" s="381">
        <v>0</v>
      </c>
      <c r="N3535" s="375" t="s">
        <v>425</v>
      </c>
      <c r="O3535" s="377" t="s">
        <v>5089</v>
      </c>
      <c r="P3535" s="377">
        <f t="shared" si="326"/>
        <v>201.2</v>
      </c>
      <c r="Q3535" s="375" t="s">
        <v>425</v>
      </c>
      <c r="R3535" s="377">
        <f t="shared" si="325"/>
        <v>0</v>
      </c>
    </row>
    <row r="3536" spans="6:32" ht="24" customHeight="1">
      <c r="F3536" s="377"/>
      <c r="G3536" s="375"/>
      <c r="H3536" s="377" t="s">
        <v>5091</v>
      </c>
      <c r="I3536" s="377"/>
      <c r="J3536" s="380"/>
      <c r="M3536" s="377"/>
      <c r="N3536" s="375"/>
      <c r="O3536" s="377" t="s">
        <v>5092</v>
      </c>
      <c r="P3536" s="377"/>
      <c r="Q3536" s="380"/>
      <c r="R3536" s="377">
        <f>SUM(R3526:R3535)</f>
        <v>10511.44</v>
      </c>
      <c r="S3536" s="377"/>
      <c r="T3536" s="375"/>
      <c r="U3536" s="377" t="s">
        <v>5062</v>
      </c>
      <c r="V3536" s="377"/>
      <c r="W3536" s="521"/>
      <c r="AB3536" s="377"/>
      <c r="AC3536" s="375"/>
      <c r="AD3536" s="377" t="s">
        <v>5093</v>
      </c>
      <c r="AE3536" s="377"/>
      <c r="AF3536" s="380"/>
    </row>
    <row r="3537" spans="6:33" ht="24" customHeight="1">
      <c r="H3537" s="377" t="s">
        <v>5094</v>
      </c>
      <c r="I3537" s="115">
        <f>0.9*2.025</f>
        <v>1.82</v>
      </c>
      <c r="M3537" s="377"/>
      <c r="N3537" s="375"/>
      <c r="O3537" s="377" t="s">
        <v>2137</v>
      </c>
      <c r="P3537" s="377"/>
      <c r="Q3537" s="380"/>
      <c r="R3537" s="377">
        <f>R3536/M3527</f>
        <v>3224.37</v>
      </c>
      <c r="S3537" s="115"/>
      <c r="T3537" s="116"/>
      <c r="U3537" s="377" t="s">
        <v>5095</v>
      </c>
      <c r="V3537" s="115">
        <f>0.9*2.325</f>
        <v>2.09</v>
      </c>
      <c r="AC3537" s="116"/>
      <c r="AD3537" s="377" t="s">
        <v>5096</v>
      </c>
      <c r="AE3537" s="115">
        <f>0.8*2.025</f>
        <v>1.62</v>
      </c>
      <c r="AF3537" s="117"/>
    </row>
    <row r="3538" spans="6:33" ht="24" customHeight="1">
      <c r="F3538" s="377">
        <f>I3537</f>
        <v>1.82</v>
      </c>
      <c r="G3538" s="375" t="s">
        <v>425</v>
      </c>
      <c r="H3538" s="377" t="s">
        <v>5065</v>
      </c>
      <c r="I3538" s="524">
        <f>I3522</f>
        <v>2255</v>
      </c>
      <c r="J3538" s="375" t="s">
        <v>425</v>
      </c>
      <c r="K3538" s="377">
        <f>I3538*F3538</f>
        <v>4104.1000000000004</v>
      </c>
      <c r="Q3538" s="375"/>
      <c r="R3538" s="274"/>
      <c r="S3538" s="377">
        <f>V3537</f>
        <v>2.09</v>
      </c>
      <c r="T3538" s="375" t="s">
        <v>425</v>
      </c>
      <c r="U3538" s="377" t="s">
        <v>5065</v>
      </c>
      <c r="V3538" s="377">
        <f>I3538</f>
        <v>2255</v>
      </c>
      <c r="W3538" s="521" t="s">
        <v>425</v>
      </c>
      <c r="X3538" s="377">
        <f>V3538*S3538</f>
        <v>4712.95</v>
      </c>
      <c r="AB3538" s="377">
        <f>AE3537</f>
        <v>1.62</v>
      </c>
      <c r="AC3538" s="375" t="s">
        <v>425</v>
      </c>
      <c r="AD3538" s="377" t="s">
        <v>5097</v>
      </c>
      <c r="AE3538" s="524">
        <f>I3522</f>
        <v>2255</v>
      </c>
      <c r="AF3538" s="375" t="s">
        <v>425</v>
      </c>
      <c r="AG3538" s="377">
        <f>AE3538*AB3538</f>
        <v>3653.1</v>
      </c>
    </row>
    <row r="3539" spans="6:33" ht="24" customHeight="1">
      <c r="F3539" s="377">
        <f>I3537</f>
        <v>1.82</v>
      </c>
      <c r="G3539" s="375" t="s">
        <v>425</v>
      </c>
      <c r="H3539" s="377" t="s">
        <v>5098</v>
      </c>
      <c r="I3539" s="524">
        <f>AE52</f>
        <v>223.3</v>
      </c>
      <c r="J3539" s="375" t="s">
        <v>425</v>
      </c>
      <c r="K3539" s="377">
        <f t="shared" ref="K3539:K3546" si="327">I3539*F3539</f>
        <v>406.41</v>
      </c>
      <c r="S3539" s="377">
        <f>V3537</f>
        <v>2.09</v>
      </c>
      <c r="T3539" s="375" t="s">
        <v>425</v>
      </c>
      <c r="U3539" s="377" t="s">
        <v>5066</v>
      </c>
      <c r="V3539" s="377">
        <f t="shared" ref="V3539:V3547" si="328">I3539</f>
        <v>223.3</v>
      </c>
      <c r="W3539" s="521" t="s">
        <v>425</v>
      </c>
      <c r="X3539" s="377">
        <f t="shared" ref="X3539:X3546" si="329">V3539*S3539</f>
        <v>466.7</v>
      </c>
      <c r="AB3539" s="377">
        <f>AE3537</f>
        <v>1.62</v>
      </c>
      <c r="AC3539" s="375" t="s">
        <v>425</v>
      </c>
      <c r="AD3539" s="377" t="s">
        <v>5099</v>
      </c>
      <c r="AE3539" s="524">
        <f>I3539</f>
        <v>223.3</v>
      </c>
      <c r="AF3539" s="375" t="s">
        <v>425</v>
      </c>
      <c r="AG3539" s="377">
        <f t="shared" ref="AG3539:AG3546" si="330">AE3539*AB3539</f>
        <v>361.75</v>
      </c>
    </row>
    <row r="3540" spans="6:33" ht="24" customHeight="1">
      <c r="F3540" s="377">
        <v>2</v>
      </c>
      <c r="G3540" s="375" t="s">
        <v>237</v>
      </c>
      <c r="H3540" s="377" t="s">
        <v>5068</v>
      </c>
      <c r="I3540" s="377">
        <f t="shared" ref="I3540:I3546" si="331">I3524</f>
        <v>57.65</v>
      </c>
      <c r="J3540" s="375" t="s">
        <v>237</v>
      </c>
      <c r="K3540" s="377">
        <f t="shared" si="327"/>
        <v>115.3</v>
      </c>
      <c r="M3540" s="377"/>
      <c r="N3540" s="375"/>
      <c r="O3540" s="377" t="s">
        <v>5100</v>
      </c>
      <c r="P3540" s="377"/>
      <c r="Q3540" s="380"/>
      <c r="S3540" s="377">
        <v>2</v>
      </c>
      <c r="T3540" s="375" t="s">
        <v>237</v>
      </c>
      <c r="U3540" s="377" t="s">
        <v>5068</v>
      </c>
      <c r="V3540" s="377">
        <f t="shared" si="328"/>
        <v>57.65</v>
      </c>
      <c r="W3540" s="521" t="s">
        <v>237</v>
      </c>
      <c r="X3540" s="377">
        <f t="shared" si="329"/>
        <v>115.3</v>
      </c>
      <c r="AB3540" s="377">
        <v>2</v>
      </c>
      <c r="AC3540" s="375" t="s">
        <v>237</v>
      </c>
      <c r="AD3540" s="377" t="s">
        <v>5068</v>
      </c>
      <c r="AE3540" s="524">
        <f t="shared" ref="AE3540:AE3547" si="332">I3540</f>
        <v>57.65</v>
      </c>
      <c r="AF3540" s="375" t="s">
        <v>237</v>
      </c>
      <c r="AG3540" s="377">
        <f t="shared" si="330"/>
        <v>115.3</v>
      </c>
    </row>
    <row r="3541" spans="6:33" ht="24" customHeight="1">
      <c r="F3541" s="377">
        <v>3</v>
      </c>
      <c r="G3541" s="375" t="s">
        <v>237</v>
      </c>
      <c r="H3541" s="377" t="s">
        <v>5071</v>
      </c>
      <c r="I3541" s="377">
        <f t="shared" si="331"/>
        <v>89.6</v>
      </c>
      <c r="J3541" s="375" t="s">
        <v>237</v>
      </c>
      <c r="K3541" s="377">
        <f t="shared" si="327"/>
        <v>268.8</v>
      </c>
      <c r="N3541" s="116"/>
      <c r="O3541" s="423" t="s">
        <v>5101</v>
      </c>
      <c r="P3541" s="423">
        <f>1.1*2.325</f>
        <v>2.56</v>
      </c>
      <c r="Q3541" s="117"/>
      <c r="S3541" s="377">
        <v>4</v>
      </c>
      <c r="T3541" s="375" t="s">
        <v>237</v>
      </c>
      <c r="U3541" s="377" t="s">
        <v>5071</v>
      </c>
      <c r="V3541" s="377">
        <f t="shared" si="328"/>
        <v>89.6</v>
      </c>
      <c r="W3541" s="521" t="s">
        <v>237</v>
      </c>
      <c r="X3541" s="377">
        <f t="shared" si="329"/>
        <v>358.4</v>
      </c>
      <c r="AB3541" s="377">
        <v>3</v>
      </c>
      <c r="AC3541" s="375" t="s">
        <v>237</v>
      </c>
      <c r="AD3541" s="377" t="s">
        <v>5071</v>
      </c>
      <c r="AE3541" s="524">
        <f t="shared" si="332"/>
        <v>89.6</v>
      </c>
      <c r="AF3541" s="375" t="s">
        <v>237</v>
      </c>
      <c r="AG3541" s="377">
        <f t="shared" si="330"/>
        <v>268.8</v>
      </c>
    </row>
    <row r="3542" spans="6:33" ht="24" customHeight="1">
      <c r="F3542" s="377">
        <v>2</v>
      </c>
      <c r="G3542" s="375" t="s">
        <v>237</v>
      </c>
      <c r="H3542" s="377" t="s">
        <v>5073</v>
      </c>
      <c r="I3542" s="377">
        <f t="shared" si="331"/>
        <v>64.8</v>
      </c>
      <c r="J3542" s="375" t="s">
        <v>237</v>
      </c>
      <c r="K3542" s="377">
        <f t="shared" si="327"/>
        <v>129.6</v>
      </c>
      <c r="M3542" s="377">
        <f>P3541</f>
        <v>2.56</v>
      </c>
      <c r="N3542" s="375" t="s">
        <v>425</v>
      </c>
      <c r="O3542" s="377" t="s">
        <v>5065</v>
      </c>
      <c r="P3542" s="377">
        <f>I3538</f>
        <v>2255</v>
      </c>
      <c r="Q3542" s="375" t="s">
        <v>425</v>
      </c>
      <c r="R3542" s="377">
        <f>P3542*M3542</f>
        <v>5772.8</v>
      </c>
      <c r="S3542" s="377">
        <v>2</v>
      </c>
      <c r="T3542" s="375" t="s">
        <v>237</v>
      </c>
      <c r="U3542" s="377" t="s">
        <v>5073</v>
      </c>
      <c r="V3542" s="377">
        <f t="shared" si="328"/>
        <v>64.8</v>
      </c>
      <c r="W3542" s="521" t="s">
        <v>237</v>
      </c>
      <c r="X3542" s="377">
        <f t="shared" si="329"/>
        <v>129.6</v>
      </c>
      <c r="AB3542" s="377">
        <v>2</v>
      </c>
      <c r="AC3542" s="375" t="s">
        <v>237</v>
      </c>
      <c r="AD3542" s="377" t="s">
        <v>5073</v>
      </c>
      <c r="AE3542" s="524">
        <f t="shared" si="332"/>
        <v>64.8</v>
      </c>
      <c r="AF3542" s="375" t="s">
        <v>237</v>
      </c>
      <c r="AG3542" s="377">
        <f t="shared" si="330"/>
        <v>129.6</v>
      </c>
    </row>
    <row r="3543" spans="6:33" ht="24" customHeight="1">
      <c r="F3543" s="377">
        <v>1</v>
      </c>
      <c r="G3543" s="375" t="s">
        <v>237</v>
      </c>
      <c r="H3543" s="377" t="s">
        <v>5041</v>
      </c>
      <c r="I3543" s="377">
        <f t="shared" si="331"/>
        <v>181</v>
      </c>
      <c r="J3543" s="375" t="s">
        <v>237</v>
      </c>
      <c r="K3543" s="377">
        <f t="shared" si="327"/>
        <v>181</v>
      </c>
      <c r="M3543" s="377">
        <f>P3541</f>
        <v>2.56</v>
      </c>
      <c r="N3543" s="375" t="s">
        <v>425</v>
      </c>
      <c r="O3543" s="377" t="s">
        <v>5102</v>
      </c>
      <c r="P3543" s="377">
        <f t="shared" ref="P3543:P3551" si="333">I3539</f>
        <v>223.3</v>
      </c>
      <c r="Q3543" s="375" t="s">
        <v>425</v>
      </c>
      <c r="R3543" s="377">
        <f t="shared" ref="R3543:R3551" si="334">P3543*M3543</f>
        <v>571.65</v>
      </c>
      <c r="S3543" s="377">
        <v>1</v>
      </c>
      <c r="T3543" s="375" t="s">
        <v>237</v>
      </c>
      <c r="U3543" s="377" t="s">
        <v>5041</v>
      </c>
      <c r="V3543" s="377">
        <f t="shared" si="328"/>
        <v>181</v>
      </c>
      <c r="W3543" s="521" t="s">
        <v>237</v>
      </c>
      <c r="X3543" s="377">
        <f t="shared" si="329"/>
        <v>181</v>
      </c>
      <c r="AB3543" s="377">
        <v>1</v>
      </c>
      <c r="AC3543" s="375" t="s">
        <v>237</v>
      </c>
      <c r="AD3543" s="377" t="s">
        <v>5041</v>
      </c>
      <c r="AE3543" s="524">
        <f t="shared" si="332"/>
        <v>181</v>
      </c>
      <c r="AF3543" s="375" t="s">
        <v>237</v>
      </c>
      <c r="AG3543" s="377">
        <f t="shared" si="330"/>
        <v>181</v>
      </c>
    </row>
    <row r="3544" spans="6:33" ht="24" customHeight="1">
      <c r="F3544" s="377">
        <v>92</v>
      </c>
      <c r="G3544" s="375" t="s">
        <v>237</v>
      </c>
      <c r="H3544" s="377" t="s">
        <v>5077</v>
      </c>
      <c r="I3544" s="377">
        <f t="shared" si="331"/>
        <v>2.41</v>
      </c>
      <c r="J3544" s="375" t="s">
        <v>237</v>
      </c>
      <c r="K3544" s="377">
        <f t="shared" si="327"/>
        <v>221.72</v>
      </c>
      <c r="M3544" s="377">
        <f>F3540</f>
        <v>2</v>
      </c>
      <c r="N3544" s="375" t="s">
        <v>237</v>
      </c>
      <c r="O3544" s="377" t="s">
        <v>5068</v>
      </c>
      <c r="P3544" s="377">
        <f t="shared" si="333"/>
        <v>57.65</v>
      </c>
      <c r="Q3544" s="375" t="s">
        <v>237</v>
      </c>
      <c r="R3544" s="377">
        <f t="shared" si="334"/>
        <v>115.3</v>
      </c>
      <c r="S3544" s="377">
        <v>92</v>
      </c>
      <c r="T3544" s="375" t="s">
        <v>237</v>
      </c>
      <c r="U3544" s="377" t="s">
        <v>5077</v>
      </c>
      <c r="V3544" s="377">
        <f t="shared" si="328"/>
        <v>2.41</v>
      </c>
      <c r="W3544" s="521" t="s">
        <v>237</v>
      </c>
      <c r="X3544" s="377">
        <f t="shared" si="329"/>
        <v>221.72</v>
      </c>
      <c r="AB3544" s="377">
        <v>92</v>
      </c>
      <c r="AC3544" s="375" t="s">
        <v>237</v>
      </c>
      <c r="AD3544" s="377" t="s">
        <v>5077</v>
      </c>
      <c r="AE3544" s="524">
        <f t="shared" si="332"/>
        <v>2.41</v>
      </c>
      <c r="AF3544" s="375" t="s">
        <v>237</v>
      </c>
      <c r="AG3544" s="377">
        <f t="shared" si="330"/>
        <v>221.72</v>
      </c>
    </row>
    <row r="3545" spans="6:33" ht="24" customHeight="1">
      <c r="F3545" s="377">
        <v>1</v>
      </c>
      <c r="G3545" s="375" t="s">
        <v>237</v>
      </c>
      <c r="H3545" s="377" t="s">
        <v>5080</v>
      </c>
      <c r="I3545" s="377">
        <f t="shared" si="331"/>
        <v>23.1</v>
      </c>
      <c r="J3545" s="375" t="s">
        <v>237</v>
      </c>
      <c r="K3545" s="377">
        <f t="shared" si="327"/>
        <v>23.1</v>
      </c>
      <c r="M3545" s="377">
        <f t="shared" ref="M3545:M3550" si="335">F3541</f>
        <v>3</v>
      </c>
      <c r="N3545" s="375" t="s">
        <v>237</v>
      </c>
      <c r="O3545" s="377" t="s">
        <v>5071</v>
      </c>
      <c r="P3545" s="377">
        <f t="shared" si="333"/>
        <v>89.6</v>
      </c>
      <c r="Q3545" s="375" t="s">
        <v>237</v>
      </c>
      <c r="R3545" s="377">
        <f t="shared" si="334"/>
        <v>268.8</v>
      </c>
      <c r="S3545" s="377">
        <v>1</v>
      </c>
      <c r="T3545" s="375" t="s">
        <v>237</v>
      </c>
      <c r="U3545" s="377" t="s">
        <v>5080</v>
      </c>
      <c r="V3545" s="377">
        <f t="shared" si="328"/>
        <v>23.1</v>
      </c>
      <c r="W3545" s="521" t="s">
        <v>237</v>
      </c>
      <c r="X3545" s="377">
        <f t="shared" si="329"/>
        <v>23.1</v>
      </c>
      <c r="AB3545" s="377">
        <v>1</v>
      </c>
      <c r="AC3545" s="375" t="s">
        <v>237</v>
      </c>
      <c r="AD3545" s="377" t="s">
        <v>5080</v>
      </c>
      <c r="AE3545" s="524">
        <f t="shared" si="332"/>
        <v>23.1</v>
      </c>
      <c r="AF3545" s="375" t="s">
        <v>237</v>
      </c>
      <c r="AG3545" s="377">
        <f t="shared" si="330"/>
        <v>23.1</v>
      </c>
    </row>
    <row r="3546" spans="6:33" ht="24" customHeight="1">
      <c r="F3546" s="377">
        <v>1</v>
      </c>
      <c r="G3546" s="375" t="s">
        <v>237</v>
      </c>
      <c r="H3546" s="377" t="s">
        <v>5083</v>
      </c>
      <c r="I3546" s="377">
        <f t="shared" si="331"/>
        <v>49.55</v>
      </c>
      <c r="J3546" s="375" t="s">
        <v>237</v>
      </c>
      <c r="K3546" s="377">
        <f t="shared" si="327"/>
        <v>49.55</v>
      </c>
      <c r="M3546" s="377">
        <f t="shared" si="335"/>
        <v>2</v>
      </c>
      <c r="N3546" s="375" t="s">
        <v>237</v>
      </c>
      <c r="O3546" s="377" t="s">
        <v>5073</v>
      </c>
      <c r="P3546" s="377">
        <f t="shared" si="333"/>
        <v>64.8</v>
      </c>
      <c r="Q3546" s="375" t="s">
        <v>237</v>
      </c>
      <c r="R3546" s="377">
        <f t="shared" si="334"/>
        <v>129.6</v>
      </c>
      <c r="S3546" s="377">
        <v>1</v>
      </c>
      <c r="T3546" s="375" t="s">
        <v>237</v>
      </c>
      <c r="U3546" s="377" t="s">
        <v>5083</v>
      </c>
      <c r="V3546" s="377">
        <f t="shared" si="328"/>
        <v>49.55</v>
      </c>
      <c r="W3546" s="521" t="s">
        <v>237</v>
      </c>
      <c r="X3546" s="377">
        <f t="shared" si="329"/>
        <v>49.55</v>
      </c>
      <c r="AB3546" s="377">
        <v>1</v>
      </c>
      <c r="AC3546" s="375" t="s">
        <v>237</v>
      </c>
      <c r="AD3546" s="377" t="s">
        <v>5083</v>
      </c>
      <c r="AE3546" s="524">
        <f t="shared" si="332"/>
        <v>49.55</v>
      </c>
      <c r="AF3546" s="375" t="s">
        <v>237</v>
      </c>
      <c r="AG3546" s="377">
        <f t="shared" si="330"/>
        <v>49.55</v>
      </c>
    </row>
    <row r="3547" spans="6:33" ht="24" customHeight="1">
      <c r="F3547" s="522">
        <v>0.35</v>
      </c>
      <c r="G3547" s="523" t="s">
        <v>425</v>
      </c>
      <c r="H3547" s="524" t="s">
        <v>5086</v>
      </c>
      <c r="I3547" s="524">
        <f>K1540</f>
        <v>240.31</v>
      </c>
      <c r="J3547" s="523" t="s">
        <v>425</v>
      </c>
      <c r="K3547" s="524"/>
      <c r="M3547" s="377">
        <f t="shared" si="335"/>
        <v>1</v>
      </c>
      <c r="N3547" s="375" t="s">
        <v>237</v>
      </c>
      <c r="O3547" s="377" t="s">
        <v>5041</v>
      </c>
      <c r="P3547" s="377">
        <f t="shared" si="333"/>
        <v>181</v>
      </c>
      <c r="Q3547" s="375" t="s">
        <v>237</v>
      </c>
      <c r="R3547" s="377">
        <f t="shared" si="334"/>
        <v>181</v>
      </c>
      <c r="S3547" s="522">
        <v>0.39</v>
      </c>
      <c r="T3547" s="523" t="s">
        <v>425</v>
      </c>
      <c r="U3547" s="524" t="s">
        <v>5086</v>
      </c>
      <c r="V3547" s="377">
        <f t="shared" si="328"/>
        <v>240.31</v>
      </c>
      <c r="W3547" s="528" t="s">
        <v>425</v>
      </c>
      <c r="X3547" s="524"/>
      <c r="AB3547" s="522">
        <v>0.35</v>
      </c>
      <c r="AC3547" s="523" t="s">
        <v>425</v>
      </c>
      <c r="AD3547" s="524" t="s">
        <v>5086</v>
      </c>
      <c r="AE3547" s="524">
        <f t="shared" si="332"/>
        <v>240.31</v>
      </c>
      <c r="AF3547" s="523" t="s">
        <v>425</v>
      </c>
      <c r="AG3547" s="377"/>
    </row>
    <row r="3548" spans="6:33" ht="24" customHeight="1">
      <c r="F3548" s="377"/>
      <c r="G3548" s="375"/>
      <c r="H3548" s="377" t="s">
        <v>5103</v>
      </c>
      <c r="I3548" s="377"/>
      <c r="J3548" s="380"/>
      <c r="K3548" s="377">
        <f>SUM(K3538:K3547)</f>
        <v>5499.58</v>
      </c>
      <c r="M3548" s="377">
        <f t="shared" si="335"/>
        <v>92</v>
      </c>
      <c r="N3548" s="375" t="s">
        <v>237</v>
      </c>
      <c r="O3548" s="377" t="s">
        <v>5077</v>
      </c>
      <c r="P3548" s="377">
        <f t="shared" si="333"/>
        <v>2.41</v>
      </c>
      <c r="Q3548" s="375" t="s">
        <v>237</v>
      </c>
      <c r="R3548" s="377">
        <f t="shared" si="334"/>
        <v>221.72</v>
      </c>
      <c r="S3548" s="377"/>
      <c r="T3548" s="375"/>
      <c r="U3548" s="377" t="s">
        <v>5087</v>
      </c>
      <c r="V3548" s="377"/>
      <c r="W3548" s="521"/>
      <c r="X3548" s="377">
        <f>SUM(X3538:X3547)</f>
        <v>6258.32</v>
      </c>
      <c r="AB3548" s="377"/>
      <c r="AC3548" s="375"/>
      <c r="AD3548" s="377" t="s">
        <v>5104</v>
      </c>
      <c r="AE3548" s="377"/>
      <c r="AF3548" s="380"/>
      <c r="AG3548" s="377">
        <f>SUM(AG3538:AG3547)</f>
        <v>5003.92</v>
      </c>
    </row>
    <row r="3549" spans="6:33" ht="24" customHeight="1">
      <c r="F3549" s="377"/>
      <c r="G3549" s="375"/>
      <c r="H3549" s="377" t="s">
        <v>2137</v>
      </c>
      <c r="I3549" s="377"/>
      <c r="J3549" s="380"/>
      <c r="K3549" s="377">
        <f>K3548/F3539</f>
        <v>3021.75</v>
      </c>
      <c r="M3549" s="377">
        <f t="shared" si="335"/>
        <v>1</v>
      </c>
      <c r="N3549" s="375" t="s">
        <v>237</v>
      </c>
      <c r="O3549" s="377" t="s">
        <v>5080</v>
      </c>
      <c r="P3549" s="377">
        <f t="shared" si="333"/>
        <v>23.1</v>
      </c>
      <c r="Q3549" s="375" t="s">
        <v>237</v>
      </c>
      <c r="R3549" s="377">
        <f t="shared" si="334"/>
        <v>23.1</v>
      </c>
      <c r="S3549" s="377"/>
      <c r="T3549" s="375"/>
      <c r="U3549" s="377" t="s">
        <v>2137</v>
      </c>
      <c r="V3549" s="377"/>
      <c r="W3549" s="521"/>
      <c r="X3549" s="377">
        <f>X3548/S3539</f>
        <v>2994.41</v>
      </c>
      <c r="AB3549" s="377"/>
      <c r="AC3549" s="375"/>
      <c r="AD3549" s="377" t="s">
        <v>2137</v>
      </c>
      <c r="AE3549" s="377"/>
      <c r="AF3549" s="380"/>
      <c r="AG3549" s="377">
        <f>AG3548/AB3539</f>
        <v>3088.84</v>
      </c>
    </row>
    <row r="3550" spans="6:33" ht="24" customHeight="1">
      <c r="M3550" s="377">
        <f t="shared" si="335"/>
        <v>1</v>
      </c>
      <c r="N3550" s="375" t="s">
        <v>237</v>
      </c>
      <c r="O3550" s="377" t="s">
        <v>5083</v>
      </c>
      <c r="P3550" s="377">
        <f t="shared" si="333"/>
        <v>49.55</v>
      </c>
      <c r="Q3550" s="375" t="s">
        <v>237</v>
      </c>
      <c r="R3550" s="377">
        <f t="shared" si="334"/>
        <v>49.55</v>
      </c>
      <c r="AC3550" s="116"/>
      <c r="AF3550" s="117"/>
    </row>
    <row r="3551" spans="6:33" ht="24" customHeight="1">
      <c r="M3551" s="381"/>
      <c r="N3551" s="375" t="s">
        <v>425</v>
      </c>
      <c r="O3551" s="377" t="s">
        <v>5089</v>
      </c>
      <c r="P3551" s="377">
        <f t="shared" si="333"/>
        <v>240.31</v>
      </c>
      <c r="Q3551" s="375" t="s">
        <v>425</v>
      </c>
      <c r="R3551" s="377">
        <f t="shared" si="334"/>
        <v>0</v>
      </c>
    </row>
    <row r="3552" spans="6:33" ht="24" customHeight="1">
      <c r="F3552" s="167"/>
      <c r="G3552" s="126" t="s">
        <v>111</v>
      </c>
      <c r="H3552" s="120" t="s">
        <v>1838</v>
      </c>
      <c r="M3552" s="377"/>
      <c r="N3552" s="375"/>
      <c r="O3552" s="377" t="s">
        <v>5090</v>
      </c>
      <c r="P3552" s="377"/>
      <c r="Q3552" s="380"/>
      <c r="R3552" s="377">
        <f>SUM(R3542:R3551)</f>
        <v>7333.52</v>
      </c>
      <c r="S3552" s="377"/>
      <c r="T3552" s="375"/>
      <c r="U3552" s="377" t="s">
        <v>5105</v>
      </c>
      <c r="V3552" s="377"/>
      <c r="W3552" s="521"/>
      <c r="AB3552" s="377"/>
      <c r="AC3552" s="375"/>
      <c r="AD3552" s="377" t="s">
        <v>5106</v>
      </c>
      <c r="AE3552" s="377"/>
      <c r="AF3552" s="380"/>
    </row>
    <row r="3553" spans="6:33" ht="24" customHeight="1">
      <c r="H3553" s="122" t="s">
        <v>5107</v>
      </c>
      <c r="M3553" s="377"/>
      <c r="N3553" s="375"/>
      <c r="O3553" s="377" t="s">
        <v>2137</v>
      </c>
      <c r="P3553" s="377"/>
      <c r="Q3553" s="380"/>
      <c r="R3553" s="377">
        <f>R3552/M3543</f>
        <v>2864.66</v>
      </c>
      <c r="S3553" s="115"/>
      <c r="T3553" s="116"/>
      <c r="U3553" s="377" t="s">
        <v>5108</v>
      </c>
      <c r="V3553" s="115">
        <f>1.4*2.025</f>
        <v>2.84</v>
      </c>
      <c r="AC3553" s="116"/>
      <c r="AD3553" s="377" t="s">
        <v>5109</v>
      </c>
      <c r="AE3553" s="115">
        <f>0.8*2.325</f>
        <v>1.86</v>
      </c>
      <c r="AF3553" s="117"/>
    </row>
    <row r="3554" spans="6:33" ht="24" customHeight="1">
      <c r="H3554" s="120" t="s">
        <v>1840</v>
      </c>
      <c r="N3554" s="116"/>
      <c r="Q3554" s="117"/>
      <c r="S3554" s="377">
        <f>V3553</f>
        <v>2.84</v>
      </c>
      <c r="T3554" s="375" t="s">
        <v>425</v>
      </c>
      <c r="U3554" s="377" t="s">
        <v>5065</v>
      </c>
      <c r="V3554" s="377">
        <f>P3526</f>
        <v>2255</v>
      </c>
      <c r="W3554" s="521" t="s">
        <v>425</v>
      </c>
      <c r="X3554" s="377">
        <f>V3554*S3554</f>
        <v>6404.2</v>
      </c>
      <c r="AB3554" s="377">
        <f>AE3553</f>
        <v>1.86</v>
      </c>
      <c r="AC3554" s="375" t="s">
        <v>425</v>
      </c>
      <c r="AD3554" s="377" t="s">
        <v>5065</v>
      </c>
      <c r="AE3554" s="377">
        <f>AE3538</f>
        <v>2255</v>
      </c>
      <c r="AF3554" s="375" t="s">
        <v>425</v>
      </c>
      <c r="AG3554" s="377">
        <f>AE3554*AB3554</f>
        <v>4194.3</v>
      </c>
    </row>
    <row r="3555" spans="6:33" ht="24" customHeight="1">
      <c r="H3555" s="120" t="s">
        <v>1841</v>
      </c>
      <c r="M3555" s="167"/>
      <c r="N3555" s="126" t="s">
        <v>111</v>
      </c>
      <c r="O3555" s="120" t="s">
        <v>1838</v>
      </c>
      <c r="Q3555" s="117"/>
      <c r="S3555" s="377">
        <f>V3553</f>
        <v>2.84</v>
      </c>
      <c r="T3555" s="375" t="s">
        <v>425</v>
      </c>
      <c r="U3555" s="377" t="s">
        <v>5066</v>
      </c>
      <c r="V3555" s="377">
        <f>P3527</f>
        <v>344.3</v>
      </c>
      <c r="W3555" s="521" t="s">
        <v>425</v>
      </c>
      <c r="X3555" s="377">
        <f t="shared" ref="X3555:X3562" si="336">V3555*S3555</f>
        <v>977.81</v>
      </c>
      <c r="AB3555" s="377">
        <f>AE3553</f>
        <v>1.86</v>
      </c>
      <c r="AC3555" s="375" t="s">
        <v>425</v>
      </c>
      <c r="AD3555" s="377" t="s">
        <v>5066</v>
      </c>
      <c r="AE3555" s="377">
        <f t="shared" ref="AE3555:AE3563" si="337">AE3539</f>
        <v>223.3</v>
      </c>
      <c r="AF3555" s="375" t="s">
        <v>425</v>
      </c>
      <c r="AG3555" s="377">
        <f t="shared" ref="AG3555:AG3562" si="338">AE3555*AB3555</f>
        <v>415.34</v>
      </c>
    </row>
    <row r="3556" spans="6:33" ht="24" customHeight="1">
      <c r="H3556" s="123" t="s">
        <v>52</v>
      </c>
      <c r="N3556" s="116"/>
      <c r="O3556" s="122" t="s">
        <v>5107</v>
      </c>
      <c r="Q3556" s="117"/>
      <c r="S3556" s="377">
        <v>4</v>
      </c>
      <c r="T3556" s="375" t="s">
        <v>237</v>
      </c>
      <c r="U3556" s="377" t="s">
        <v>5068</v>
      </c>
      <c r="V3556" s="377">
        <f t="shared" ref="V3556:V3563" si="339">V3540</f>
        <v>57.65</v>
      </c>
      <c r="W3556" s="521" t="s">
        <v>237</v>
      </c>
      <c r="X3556" s="377">
        <f t="shared" si="336"/>
        <v>230.6</v>
      </c>
      <c r="AB3556" s="377">
        <v>2</v>
      </c>
      <c r="AC3556" s="375" t="s">
        <v>237</v>
      </c>
      <c r="AD3556" s="377" t="s">
        <v>5068</v>
      </c>
      <c r="AE3556" s="377">
        <f t="shared" si="337"/>
        <v>57.65</v>
      </c>
      <c r="AF3556" s="375" t="s">
        <v>237</v>
      </c>
      <c r="AG3556" s="377">
        <f t="shared" si="338"/>
        <v>115.3</v>
      </c>
    </row>
    <row r="3557" spans="6:33" ht="46.5" customHeight="1">
      <c r="F3557" s="362">
        <v>1</v>
      </c>
      <c r="G3557" s="362" t="s">
        <v>131</v>
      </c>
      <c r="H3557" s="176" t="s">
        <v>5110</v>
      </c>
      <c r="I3557" s="363">
        <v>1656</v>
      </c>
      <c r="J3557" s="364" t="s">
        <v>131</v>
      </c>
      <c r="K3557" s="362">
        <f>(F3557*I3557)</f>
        <v>1656</v>
      </c>
      <c r="N3557" s="116"/>
      <c r="O3557" s="120" t="s">
        <v>1840</v>
      </c>
      <c r="Q3557" s="117"/>
      <c r="S3557" s="377">
        <v>6</v>
      </c>
      <c r="T3557" s="375" t="s">
        <v>237</v>
      </c>
      <c r="U3557" s="377" t="s">
        <v>5071</v>
      </c>
      <c r="V3557" s="377">
        <f t="shared" si="339"/>
        <v>89.6</v>
      </c>
      <c r="W3557" s="521" t="s">
        <v>237</v>
      </c>
      <c r="X3557" s="377">
        <f t="shared" si="336"/>
        <v>537.6</v>
      </c>
      <c r="AB3557" s="377">
        <v>4</v>
      </c>
      <c r="AC3557" s="375" t="s">
        <v>237</v>
      </c>
      <c r="AD3557" s="377" t="s">
        <v>5071</v>
      </c>
      <c r="AE3557" s="377">
        <f t="shared" si="337"/>
        <v>89.6</v>
      </c>
      <c r="AF3557" s="375" t="s">
        <v>237</v>
      </c>
      <c r="AG3557" s="377">
        <f t="shared" si="338"/>
        <v>358.4</v>
      </c>
    </row>
    <row r="3558" spans="6:33" ht="33.75" customHeight="1">
      <c r="F3558" s="129"/>
      <c r="G3558" s="126"/>
      <c r="H3558" s="120"/>
      <c r="I3558" s="129"/>
      <c r="J3558" s="120"/>
      <c r="K3558" s="129"/>
      <c r="N3558" s="116"/>
      <c r="O3558" s="120" t="s">
        <v>1841</v>
      </c>
      <c r="Q3558" s="117"/>
      <c r="S3558" s="377">
        <v>4</v>
      </c>
      <c r="T3558" s="375" t="s">
        <v>237</v>
      </c>
      <c r="U3558" s="377" t="s">
        <v>5073</v>
      </c>
      <c r="V3558" s="377">
        <f t="shared" si="339"/>
        <v>64.8</v>
      </c>
      <c r="W3558" s="521" t="s">
        <v>237</v>
      </c>
      <c r="X3558" s="377">
        <f t="shared" si="336"/>
        <v>259.2</v>
      </c>
      <c r="AB3558" s="377">
        <v>2</v>
      </c>
      <c r="AC3558" s="375" t="s">
        <v>237</v>
      </c>
      <c r="AD3558" s="377" t="s">
        <v>5073</v>
      </c>
      <c r="AE3558" s="377">
        <f t="shared" si="337"/>
        <v>64.8</v>
      </c>
      <c r="AF3558" s="375" t="s">
        <v>237</v>
      </c>
      <c r="AG3558" s="377">
        <f t="shared" si="338"/>
        <v>129.6</v>
      </c>
    </row>
    <row r="3559" spans="6:33" ht="24" customHeight="1">
      <c r="F3559" s="129"/>
      <c r="G3559" s="126"/>
      <c r="H3559" s="120"/>
      <c r="I3559" s="129"/>
      <c r="J3559" s="121"/>
      <c r="K3559" s="129"/>
      <c r="N3559" s="116"/>
      <c r="O3559" s="123" t="s">
        <v>52</v>
      </c>
      <c r="Q3559" s="117"/>
      <c r="S3559" s="377">
        <v>1</v>
      </c>
      <c r="T3559" s="375" t="s">
        <v>237</v>
      </c>
      <c r="U3559" s="377" t="s">
        <v>5041</v>
      </c>
      <c r="V3559" s="377">
        <f t="shared" si="339"/>
        <v>181</v>
      </c>
      <c r="W3559" s="521" t="s">
        <v>237</v>
      </c>
      <c r="X3559" s="377">
        <f t="shared" si="336"/>
        <v>181</v>
      </c>
      <c r="AB3559" s="377">
        <v>1</v>
      </c>
      <c r="AC3559" s="375" t="s">
        <v>237</v>
      </c>
      <c r="AD3559" s="377" t="s">
        <v>5041</v>
      </c>
      <c r="AE3559" s="377">
        <f t="shared" si="337"/>
        <v>181</v>
      </c>
      <c r="AF3559" s="375" t="s">
        <v>237</v>
      </c>
      <c r="AG3559" s="377">
        <f t="shared" si="338"/>
        <v>181</v>
      </c>
    </row>
    <row r="3560" spans="6:33" ht="24" customHeight="1">
      <c r="F3560" s="362">
        <v>1</v>
      </c>
      <c r="G3560" s="362" t="s">
        <v>131</v>
      </c>
      <c r="H3560" s="120" t="s">
        <v>5111</v>
      </c>
      <c r="I3560" s="399">
        <f>I1939</f>
        <v>-169</v>
      </c>
      <c r="J3560" s="120" t="s">
        <v>131</v>
      </c>
      <c r="K3560" s="362">
        <f>(F3560*I3560)</f>
        <v>-169</v>
      </c>
      <c r="M3560" s="362">
        <v>1</v>
      </c>
      <c r="N3560" s="362" t="s">
        <v>131</v>
      </c>
      <c r="O3560" s="176" t="s">
        <v>5110</v>
      </c>
      <c r="P3560" s="363">
        <v>1672</v>
      </c>
      <c r="Q3560" s="364" t="s">
        <v>131</v>
      </c>
      <c r="R3560" s="362">
        <f>(M3560*P3560)</f>
        <v>1672</v>
      </c>
      <c r="S3560" s="377">
        <v>118</v>
      </c>
      <c r="T3560" s="375" t="s">
        <v>237</v>
      </c>
      <c r="U3560" s="377" t="s">
        <v>5077</v>
      </c>
      <c r="V3560" s="377">
        <f t="shared" si="339"/>
        <v>2.41</v>
      </c>
      <c r="W3560" s="521" t="s">
        <v>237</v>
      </c>
      <c r="X3560" s="377">
        <f t="shared" si="336"/>
        <v>284.38</v>
      </c>
      <c r="AB3560" s="377">
        <v>92</v>
      </c>
      <c r="AC3560" s="375" t="s">
        <v>237</v>
      </c>
      <c r="AD3560" s="377" t="s">
        <v>5077</v>
      </c>
      <c r="AE3560" s="377">
        <f t="shared" si="337"/>
        <v>2.41</v>
      </c>
      <c r="AF3560" s="375" t="s">
        <v>237</v>
      </c>
      <c r="AG3560" s="377">
        <f t="shared" si="338"/>
        <v>221.72</v>
      </c>
    </row>
    <row r="3561" spans="6:33" ht="24" customHeight="1">
      <c r="F3561" s="129"/>
      <c r="G3561" s="126"/>
      <c r="H3561" s="120"/>
      <c r="I3561" s="129"/>
      <c r="J3561" s="121"/>
      <c r="K3561" s="129"/>
      <c r="M3561" s="129"/>
      <c r="N3561" s="126"/>
      <c r="O3561" s="120"/>
      <c r="P3561" s="129"/>
      <c r="Q3561" s="120"/>
      <c r="R3561" s="129"/>
      <c r="S3561" s="377">
        <v>2</v>
      </c>
      <c r="T3561" s="375" t="s">
        <v>237</v>
      </c>
      <c r="U3561" s="377" t="s">
        <v>5080</v>
      </c>
      <c r="V3561" s="377">
        <f t="shared" si="339"/>
        <v>23.1</v>
      </c>
      <c r="W3561" s="521" t="s">
        <v>237</v>
      </c>
      <c r="X3561" s="377">
        <f t="shared" si="336"/>
        <v>46.2</v>
      </c>
      <c r="AB3561" s="377">
        <v>1</v>
      </c>
      <c r="AC3561" s="375" t="s">
        <v>237</v>
      </c>
      <c r="AD3561" s="377" t="s">
        <v>5080</v>
      </c>
      <c r="AE3561" s="377">
        <f t="shared" si="337"/>
        <v>23.1</v>
      </c>
      <c r="AF3561" s="375" t="s">
        <v>237</v>
      </c>
      <c r="AG3561" s="377">
        <f t="shared" si="338"/>
        <v>23.1</v>
      </c>
    </row>
    <row r="3562" spans="6:33" ht="24" customHeight="1">
      <c r="F3562" s="129">
        <v>1</v>
      </c>
      <c r="G3562" s="126" t="s">
        <v>131</v>
      </c>
      <c r="H3562" s="120" t="s">
        <v>4443</v>
      </c>
      <c r="I3562" s="526">
        <v>250</v>
      </c>
      <c r="J3562" s="120" t="s">
        <v>131</v>
      </c>
      <c r="K3562" s="527">
        <f>(F3562*I3562)</f>
        <v>250</v>
      </c>
      <c r="M3562" s="129"/>
      <c r="N3562" s="126"/>
      <c r="O3562" s="120"/>
      <c r="P3562" s="129"/>
      <c r="Q3562" s="121"/>
      <c r="R3562" s="129"/>
      <c r="S3562" s="377">
        <v>2</v>
      </c>
      <c r="T3562" s="375" t="s">
        <v>237</v>
      </c>
      <c r="U3562" s="377" t="s">
        <v>5083</v>
      </c>
      <c r="V3562" s="377">
        <f t="shared" si="339"/>
        <v>49.55</v>
      </c>
      <c r="W3562" s="521" t="s">
        <v>237</v>
      </c>
      <c r="X3562" s="377">
        <f t="shared" si="336"/>
        <v>99.1</v>
      </c>
      <c r="AB3562" s="377">
        <v>1</v>
      </c>
      <c r="AC3562" s="375" t="s">
        <v>237</v>
      </c>
      <c r="AD3562" s="377" t="s">
        <v>5083</v>
      </c>
      <c r="AE3562" s="377">
        <f t="shared" si="337"/>
        <v>49.55</v>
      </c>
      <c r="AF3562" s="375" t="s">
        <v>237</v>
      </c>
      <c r="AG3562" s="377">
        <f t="shared" si="338"/>
        <v>49.55</v>
      </c>
    </row>
    <row r="3563" spans="6:33" ht="24" customHeight="1">
      <c r="F3563" s="129"/>
      <c r="G3563" s="126"/>
      <c r="H3563" s="120"/>
      <c r="I3563" s="129"/>
      <c r="J3563" s="120"/>
      <c r="K3563" s="129"/>
      <c r="M3563" s="362">
        <v>1</v>
      </c>
      <c r="N3563" s="362" t="s">
        <v>131</v>
      </c>
      <c r="O3563" s="120" t="s">
        <v>5111</v>
      </c>
      <c r="P3563" s="399">
        <f>I3560</f>
        <v>-169</v>
      </c>
      <c r="Q3563" s="120" t="s">
        <v>131</v>
      </c>
      <c r="R3563" s="362">
        <f>(M3563*P3563)</f>
        <v>-169</v>
      </c>
      <c r="S3563" s="522">
        <v>0.65</v>
      </c>
      <c r="T3563" s="523" t="s">
        <v>425</v>
      </c>
      <c r="U3563" s="524" t="s">
        <v>5086</v>
      </c>
      <c r="V3563" s="377">
        <f t="shared" si="339"/>
        <v>240.31</v>
      </c>
      <c r="W3563" s="528" t="s">
        <v>425</v>
      </c>
      <c r="X3563" s="524"/>
      <c r="AB3563" s="522">
        <v>0.39</v>
      </c>
      <c r="AC3563" s="523" t="s">
        <v>425</v>
      </c>
      <c r="AD3563" s="524" t="s">
        <v>5086</v>
      </c>
      <c r="AE3563" s="377">
        <f t="shared" si="337"/>
        <v>240.31</v>
      </c>
      <c r="AF3563" s="523" t="s">
        <v>425</v>
      </c>
      <c r="AG3563" s="524"/>
    </row>
    <row r="3564" spans="6:33" ht="24" customHeight="1">
      <c r="F3564" s="129">
        <v>0.5</v>
      </c>
      <c r="G3564" s="126" t="s">
        <v>131</v>
      </c>
      <c r="H3564" s="120" t="s">
        <v>1695</v>
      </c>
      <c r="I3564" s="129">
        <f>I1943</f>
        <v>903.1</v>
      </c>
      <c r="J3564" s="120" t="s">
        <v>131</v>
      </c>
      <c r="K3564" s="129">
        <f>(F3564*I3564)</f>
        <v>451.55</v>
      </c>
      <c r="M3564" s="129"/>
      <c r="N3564" s="126"/>
      <c r="O3564" s="120"/>
      <c r="P3564" s="129"/>
      <c r="Q3564" s="121"/>
      <c r="R3564" s="129"/>
      <c r="S3564" s="377"/>
      <c r="T3564" s="375"/>
      <c r="U3564" s="377" t="s">
        <v>5112</v>
      </c>
      <c r="V3564" s="377"/>
      <c r="W3564" s="521"/>
      <c r="X3564" s="377">
        <f>SUM(X3554:X3563)</f>
        <v>9020.09</v>
      </c>
      <c r="AB3564" s="377"/>
      <c r="AC3564" s="375"/>
      <c r="AD3564" s="377" t="s">
        <v>5113</v>
      </c>
      <c r="AE3564" s="377"/>
      <c r="AF3564" s="380"/>
      <c r="AG3564" s="377">
        <f>SUM(AG3554:AG3563)</f>
        <v>5688.31</v>
      </c>
    </row>
    <row r="3565" spans="6:33" ht="24" customHeight="1">
      <c r="F3565" s="129">
        <v>1</v>
      </c>
      <c r="G3565" s="126" t="s">
        <v>131</v>
      </c>
      <c r="H3565" s="120" t="s">
        <v>304</v>
      </c>
      <c r="I3565" s="129">
        <f>I1944</f>
        <v>679.8</v>
      </c>
      <c r="J3565" s="120" t="s">
        <v>131</v>
      </c>
      <c r="K3565" s="129">
        <f>(F3565*I3565)</f>
        <v>679.8</v>
      </c>
      <c r="M3565" s="129">
        <v>1</v>
      </c>
      <c r="N3565" s="126" t="s">
        <v>131</v>
      </c>
      <c r="O3565" s="120" t="s">
        <v>4443</v>
      </c>
      <c r="P3565" s="526">
        <v>250</v>
      </c>
      <c r="Q3565" s="120" t="s">
        <v>131</v>
      </c>
      <c r="R3565" s="527">
        <f>(M3565*P3565)</f>
        <v>250</v>
      </c>
      <c r="S3565" s="377"/>
      <c r="T3565" s="375"/>
      <c r="U3565" s="377" t="s">
        <v>2137</v>
      </c>
      <c r="V3565" s="377"/>
      <c r="W3565" s="521"/>
      <c r="X3565" s="377">
        <f>X3564/S3555</f>
        <v>3176.09</v>
      </c>
      <c r="AB3565" s="377"/>
      <c r="AC3565" s="375"/>
      <c r="AD3565" s="377" t="s">
        <v>2137</v>
      </c>
      <c r="AE3565" s="377"/>
      <c r="AF3565" s="380"/>
      <c r="AG3565" s="377">
        <f>AG3564/AB3555</f>
        <v>3058.23</v>
      </c>
    </row>
    <row r="3566" spans="6:33" ht="24" customHeight="1">
      <c r="F3566" s="129">
        <v>0.5</v>
      </c>
      <c r="G3566" s="126" t="s">
        <v>131</v>
      </c>
      <c r="H3566" s="120" t="s">
        <v>345</v>
      </c>
      <c r="I3566" s="129">
        <f>I1945</f>
        <v>1041.7</v>
      </c>
      <c r="J3566" s="120" t="s">
        <v>131</v>
      </c>
      <c r="K3566" s="129">
        <f>(F3566*I3566)</f>
        <v>520.85</v>
      </c>
      <c r="M3566" s="129"/>
      <c r="N3566" s="126"/>
      <c r="O3566" s="120"/>
      <c r="P3566" s="129"/>
      <c r="Q3566" s="120"/>
      <c r="R3566" s="129"/>
    </row>
    <row r="3567" spans="6:33" ht="24" customHeight="1">
      <c r="G3567" s="126" t="s">
        <v>145</v>
      </c>
      <c r="H3567" s="120" t="s">
        <v>1843</v>
      </c>
      <c r="J3567" s="120" t="s">
        <v>145</v>
      </c>
      <c r="K3567" s="129">
        <v>0.82</v>
      </c>
      <c r="M3567" s="129">
        <v>0.5</v>
      </c>
      <c r="N3567" s="126" t="s">
        <v>131</v>
      </c>
      <c r="O3567" s="120" t="s">
        <v>1695</v>
      </c>
      <c r="P3567" s="129">
        <f>I3564</f>
        <v>903.1</v>
      </c>
      <c r="Q3567" s="120" t="s">
        <v>131</v>
      </c>
      <c r="R3567" s="129">
        <f>(M3567*P3567)</f>
        <v>451.55</v>
      </c>
    </row>
    <row r="3568" spans="6:33" ht="24" customHeight="1">
      <c r="K3568" s="123" t="s">
        <v>52</v>
      </c>
      <c r="M3568" s="129">
        <v>1</v>
      </c>
      <c r="N3568" s="126" t="s">
        <v>131</v>
      </c>
      <c r="O3568" s="120" t="s">
        <v>304</v>
      </c>
      <c r="P3568" s="129">
        <f>I3565</f>
        <v>679.8</v>
      </c>
      <c r="Q3568" s="120" t="s">
        <v>131</v>
      </c>
      <c r="R3568" s="129">
        <f>(M3568*P3568)</f>
        <v>679.8</v>
      </c>
      <c r="S3568" s="377"/>
      <c r="T3568" s="375"/>
      <c r="U3568" s="377" t="s">
        <v>5114</v>
      </c>
      <c r="V3568" s="377"/>
      <c r="W3568" s="521"/>
    </row>
    <row r="3569" spans="1:119" ht="24" customHeight="1">
      <c r="H3569" s="120" t="s">
        <v>767</v>
      </c>
      <c r="K3569" s="127">
        <f>SUM(K3557:K3567)</f>
        <v>3390.02</v>
      </c>
      <c r="M3569" s="129">
        <v>0.5</v>
      </c>
      <c r="N3569" s="126" t="s">
        <v>131</v>
      </c>
      <c r="O3569" s="120" t="s">
        <v>345</v>
      </c>
      <c r="P3569" s="129">
        <f>I3566</f>
        <v>1041.7</v>
      </c>
      <c r="Q3569" s="120" t="s">
        <v>131</v>
      </c>
      <c r="R3569" s="129">
        <f>(M3569*P3569)</f>
        <v>520.85</v>
      </c>
      <c r="S3569" s="115"/>
      <c r="T3569" s="116"/>
      <c r="U3569" s="377" t="s">
        <v>5115</v>
      </c>
      <c r="V3569" s="115">
        <f>1.4*2.325</f>
        <v>3.26</v>
      </c>
    </row>
    <row r="3570" spans="1:119" ht="24" customHeight="1">
      <c r="K3570" s="123" t="s">
        <v>52</v>
      </c>
      <c r="N3570" s="126" t="s">
        <v>145</v>
      </c>
      <c r="O3570" s="120" t="s">
        <v>1843</v>
      </c>
      <c r="Q3570" s="120" t="s">
        <v>145</v>
      </c>
      <c r="R3570" s="129">
        <v>0.82</v>
      </c>
      <c r="S3570" s="377">
        <f>V3569</f>
        <v>3.26</v>
      </c>
      <c r="T3570" s="375" t="s">
        <v>425</v>
      </c>
      <c r="U3570" s="377" t="s">
        <v>5065</v>
      </c>
      <c r="V3570" s="377">
        <f>V3554</f>
        <v>2255</v>
      </c>
      <c r="W3570" s="521" t="s">
        <v>425</v>
      </c>
      <c r="X3570" s="377">
        <f>V3570*S3570</f>
        <v>7351.3</v>
      </c>
    </row>
    <row r="3571" spans="1:119" ht="24" customHeight="1">
      <c r="G3571" s="115"/>
      <c r="I3571" s="118"/>
      <c r="J3571" s="115"/>
      <c r="N3571" s="116"/>
      <c r="Q3571" s="117"/>
      <c r="R3571" s="123" t="s">
        <v>52</v>
      </c>
      <c r="S3571" s="377">
        <f>V3569</f>
        <v>3.26</v>
      </c>
      <c r="T3571" s="375" t="s">
        <v>425</v>
      </c>
      <c r="U3571" s="377" t="s">
        <v>5066</v>
      </c>
      <c r="V3571" s="377">
        <f t="shared" ref="V3571:V3579" si="340">V3555</f>
        <v>344.3</v>
      </c>
      <c r="W3571" s="521" t="s">
        <v>425</v>
      </c>
      <c r="X3571" s="377">
        <f t="shared" ref="X3571:X3578" si="341">V3571*S3571</f>
        <v>1122.42</v>
      </c>
    </row>
    <row r="3572" spans="1:119" ht="24" customHeight="1">
      <c r="G3572" s="115"/>
      <c r="H3572" s="525" t="s">
        <v>5116</v>
      </c>
      <c r="I3572" s="118"/>
      <c r="J3572" s="115"/>
      <c r="N3572" s="116"/>
      <c r="O3572" s="120" t="s">
        <v>767</v>
      </c>
      <c r="Q3572" s="117"/>
      <c r="R3572" s="127">
        <f>SUM(R3560:R3570)</f>
        <v>3406.02</v>
      </c>
      <c r="S3572" s="377">
        <v>4</v>
      </c>
      <c r="T3572" s="375" t="s">
        <v>237</v>
      </c>
      <c r="U3572" s="377" t="s">
        <v>5068</v>
      </c>
      <c r="V3572" s="377">
        <f t="shared" si="340"/>
        <v>57.65</v>
      </c>
      <c r="W3572" s="521" t="s">
        <v>237</v>
      </c>
      <c r="X3572" s="377">
        <f t="shared" si="341"/>
        <v>230.6</v>
      </c>
    </row>
    <row r="3573" spans="1:119" ht="35.1" customHeight="1">
      <c r="F3573" s="115">
        <v>70</v>
      </c>
      <c r="G3573" s="116" t="s">
        <v>13</v>
      </c>
      <c r="H3573" s="406" t="s">
        <v>5117</v>
      </c>
      <c r="I3573" s="115">
        <f>P1353</f>
        <v>33</v>
      </c>
      <c r="J3573" s="117" t="s">
        <v>2308</v>
      </c>
      <c r="K3573" s="115">
        <f>I3573*F3573</f>
        <v>2310</v>
      </c>
      <c r="N3573" s="116"/>
      <c r="Q3573" s="117"/>
      <c r="R3573" s="123" t="s">
        <v>52</v>
      </c>
      <c r="S3573" s="377">
        <v>6</v>
      </c>
      <c r="T3573" s="375" t="s">
        <v>237</v>
      </c>
      <c r="U3573" s="377" t="s">
        <v>5071</v>
      </c>
      <c r="V3573" s="377">
        <f t="shared" si="340"/>
        <v>89.6</v>
      </c>
      <c r="W3573" s="521" t="s">
        <v>237</v>
      </c>
      <c r="X3573" s="377">
        <f t="shared" si="341"/>
        <v>537.6</v>
      </c>
    </row>
    <row r="3574" spans="1:119" ht="35.1" customHeight="1">
      <c r="F3574" s="115">
        <v>0.3</v>
      </c>
      <c r="G3574" s="116" t="s">
        <v>34</v>
      </c>
      <c r="H3574" s="406" t="s">
        <v>5118</v>
      </c>
      <c r="I3574" s="115">
        <f>P1355</f>
        <v>17600</v>
      </c>
      <c r="J3574" s="117" t="s">
        <v>5119</v>
      </c>
      <c r="K3574" s="115">
        <f>I3574*F3574</f>
        <v>5280</v>
      </c>
      <c r="S3574" s="377">
        <v>4</v>
      </c>
      <c r="T3574" s="375" t="s">
        <v>237</v>
      </c>
      <c r="U3574" s="377" t="s">
        <v>5073</v>
      </c>
      <c r="V3574" s="377">
        <f t="shared" si="340"/>
        <v>64.8</v>
      </c>
      <c r="W3574" s="521" t="s">
        <v>237</v>
      </c>
      <c r="X3574" s="377">
        <f t="shared" si="341"/>
        <v>259.2</v>
      </c>
    </row>
    <row r="3575" spans="1:119" ht="35.1" customHeight="1">
      <c r="H3575" s="115" t="s">
        <v>5120</v>
      </c>
      <c r="K3575" s="115">
        <f>SUM(K3573:K3574)</f>
        <v>7590</v>
      </c>
      <c r="S3575" s="377">
        <v>1</v>
      </c>
      <c r="T3575" s="375" t="s">
        <v>237</v>
      </c>
      <c r="U3575" s="377" t="s">
        <v>5041</v>
      </c>
      <c r="V3575" s="377">
        <f t="shared" si="340"/>
        <v>181</v>
      </c>
      <c r="W3575" s="521" t="s">
        <v>237</v>
      </c>
      <c r="X3575" s="377">
        <f t="shared" si="341"/>
        <v>181</v>
      </c>
    </row>
    <row r="3576" spans="1:119" ht="35.1" customHeight="1">
      <c r="H3576" s="114" t="s">
        <v>5121</v>
      </c>
      <c r="I3576" s="114"/>
      <c r="J3576" s="178"/>
      <c r="K3576" s="114">
        <f>K3575/10</f>
        <v>759</v>
      </c>
      <c r="S3576" s="377">
        <v>118</v>
      </c>
      <c r="T3576" s="375" t="s">
        <v>237</v>
      </c>
      <c r="U3576" s="377" t="s">
        <v>5077</v>
      </c>
      <c r="V3576" s="377">
        <f t="shared" si="340"/>
        <v>2.41</v>
      </c>
      <c r="W3576" s="521" t="s">
        <v>237</v>
      </c>
      <c r="X3576" s="377">
        <f t="shared" si="341"/>
        <v>284.38</v>
      </c>
    </row>
    <row r="3577" spans="1:119" ht="35.1" customHeight="1">
      <c r="F3577" s="115">
        <v>1</v>
      </c>
      <c r="G3577" s="116" t="s">
        <v>5122</v>
      </c>
      <c r="H3577" s="115" t="s">
        <v>5123</v>
      </c>
      <c r="I3577" s="115">
        <f>K3576</f>
        <v>759</v>
      </c>
      <c r="J3577" s="117" t="s">
        <v>5122</v>
      </c>
      <c r="K3577" s="115">
        <f>I3577*F3577</f>
        <v>759</v>
      </c>
      <c r="S3577" s="377">
        <v>2</v>
      </c>
      <c r="T3577" s="375" t="s">
        <v>237</v>
      </c>
      <c r="U3577" s="377" t="s">
        <v>5080</v>
      </c>
      <c r="V3577" s="377">
        <f t="shared" si="340"/>
        <v>23.1</v>
      </c>
      <c r="W3577" s="521" t="s">
        <v>237</v>
      </c>
      <c r="X3577" s="377">
        <f t="shared" si="341"/>
        <v>46.2</v>
      </c>
    </row>
    <row r="3578" spans="1:119" ht="35.1" customHeight="1">
      <c r="F3578" s="115">
        <v>2</v>
      </c>
      <c r="G3578" s="116" t="s">
        <v>41</v>
      </c>
      <c r="H3578" s="406" t="s">
        <v>4550</v>
      </c>
      <c r="I3578" s="115">
        <f>I2349</f>
        <v>679.8</v>
      </c>
      <c r="J3578" s="117" t="s">
        <v>729</v>
      </c>
      <c r="K3578" s="115">
        <f>I3578*F3578</f>
        <v>1359.6</v>
      </c>
      <c r="S3578" s="377">
        <v>2</v>
      </c>
      <c r="T3578" s="375" t="s">
        <v>237</v>
      </c>
      <c r="U3578" s="377" t="s">
        <v>5083</v>
      </c>
      <c r="V3578" s="377">
        <f t="shared" si="340"/>
        <v>49.55</v>
      </c>
      <c r="W3578" s="521" t="s">
        <v>237</v>
      </c>
      <c r="X3578" s="377">
        <f t="shared" si="341"/>
        <v>99.1</v>
      </c>
    </row>
    <row r="3579" spans="1:119" ht="35.1" customHeight="1">
      <c r="H3579" s="115" t="s">
        <v>5124</v>
      </c>
      <c r="K3579" s="115">
        <v>10.3</v>
      </c>
      <c r="S3579" s="522">
        <v>0.73</v>
      </c>
      <c r="T3579" s="523" t="s">
        <v>425</v>
      </c>
      <c r="U3579" s="524" t="s">
        <v>5086</v>
      </c>
      <c r="V3579" s="377">
        <f t="shared" si="340"/>
        <v>240.31</v>
      </c>
      <c r="W3579" s="528" t="s">
        <v>425</v>
      </c>
      <c r="X3579" s="524"/>
    </row>
    <row r="3580" spans="1:119" ht="35.1" customHeight="1">
      <c r="H3580" s="115" t="s">
        <v>5125</v>
      </c>
      <c r="K3580" s="115">
        <f>SUM(K3577:K3579)</f>
        <v>2128.9</v>
      </c>
      <c r="S3580" s="377"/>
      <c r="T3580" s="375"/>
      <c r="U3580" s="377" t="s">
        <v>5092</v>
      </c>
      <c r="V3580" s="377"/>
      <c r="W3580" s="521"/>
      <c r="X3580" s="377">
        <f>SUM(X3570:X3579)</f>
        <v>10111.799999999999</v>
      </c>
    </row>
    <row r="3581" spans="1:119" ht="35.1" customHeight="1">
      <c r="A3581" s="114"/>
      <c r="B3581" s="114"/>
      <c r="C3581" s="114"/>
      <c r="D3581" s="114"/>
      <c r="E3581" s="114"/>
      <c r="F3581" s="114"/>
      <c r="G3581" s="200"/>
      <c r="H3581" s="114" t="s">
        <v>5126</v>
      </c>
      <c r="I3581" s="114"/>
      <c r="J3581" s="178"/>
      <c r="K3581" s="114">
        <f>K3580/6</f>
        <v>354.82</v>
      </c>
      <c r="L3581" s="114"/>
      <c r="M3581" s="114"/>
      <c r="N3581" s="114"/>
      <c r="O3581" s="114"/>
      <c r="P3581" s="114"/>
      <c r="Q3581" s="114"/>
      <c r="R3581" s="114"/>
      <c r="S3581" s="377"/>
      <c r="T3581" s="375"/>
      <c r="U3581" s="377" t="s">
        <v>2137</v>
      </c>
      <c r="V3581" s="377"/>
      <c r="W3581" s="521"/>
      <c r="X3581" s="377">
        <f>X3580/S3571</f>
        <v>3101.78</v>
      </c>
      <c r="Y3581" s="114"/>
      <c r="Z3581" s="114"/>
      <c r="AA3581" s="114"/>
      <c r="AB3581" s="114"/>
      <c r="AC3581" s="114"/>
      <c r="AD3581" s="114"/>
      <c r="AE3581" s="114"/>
      <c r="AF3581" s="114"/>
      <c r="AG3581" s="114"/>
      <c r="AH3581" s="114"/>
      <c r="AI3581" s="114"/>
      <c r="AJ3581" s="114"/>
      <c r="AK3581" s="114"/>
      <c r="AL3581" s="114"/>
      <c r="AM3581" s="114"/>
      <c r="AN3581" s="114"/>
      <c r="AO3581" s="114"/>
      <c r="AP3581" s="114"/>
      <c r="AQ3581" s="114"/>
      <c r="AR3581" s="114"/>
      <c r="AS3581" s="114"/>
      <c r="AT3581" s="114"/>
      <c r="AU3581" s="114"/>
      <c r="AV3581" s="114"/>
      <c r="AW3581" s="114"/>
      <c r="AX3581" s="114"/>
      <c r="AY3581" s="114"/>
      <c r="AZ3581" s="114"/>
      <c r="BA3581" s="114"/>
      <c r="BB3581" s="114"/>
      <c r="BC3581" s="114"/>
      <c r="BD3581" s="114"/>
      <c r="BE3581" s="114"/>
      <c r="BF3581" s="114"/>
      <c r="BG3581" s="114"/>
      <c r="BH3581" s="114"/>
      <c r="BI3581" s="114"/>
      <c r="BJ3581" s="114"/>
      <c r="BK3581" s="114"/>
      <c r="BL3581" s="114"/>
      <c r="BM3581" s="114"/>
      <c r="BN3581" s="114"/>
      <c r="BO3581" s="114"/>
      <c r="BP3581" s="114"/>
      <c r="BQ3581" s="114"/>
      <c r="BR3581" s="114"/>
      <c r="BS3581" s="114"/>
      <c r="BT3581" s="114"/>
      <c r="BU3581" s="114"/>
      <c r="BV3581" s="114"/>
      <c r="BW3581" s="114"/>
      <c r="BX3581" s="114"/>
      <c r="BY3581" s="114"/>
      <c r="BZ3581" s="114"/>
      <c r="CA3581" s="114"/>
      <c r="CB3581" s="114"/>
      <c r="CC3581" s="114"/>
      <c r="CD3581" s="114"/>
      <c r="CE3581" s="114"/>
      <c r="CF3581" s="114"/>
      <c r="CG3581" s="114"/>
      <c r="CH3581" s="114"/>
      <c r="CI3581" s="114"/>
      <c r="CJ3581" s="114"/>
      <c r="CK3581" s="114"/>
      <c r="CL3581" s="114"/>
      <c r="CM3581" s="114"/>
      <c r="CN3581" s="114"/>
      <c r="CO3581" s="114"/>
      <c r="CP3581" s="114"/>
      <c r="CQ3581" s="114"/>
      <c r="CR3581" s="114"/>
      <c r="CS3581" s="114"/>
      <c r="CT3581" s="114"/>
      <c r="CU3581" s="114"/>
      <c r="CV3581" s="114"/>
      <c r="CW3581" s="114"/>
      <c r="CX3581" s="114"/>
      <c r="CY3581" s="114"/>
      <c r="CZ3581" s="114"/>
      <c r="DA3581" s="114"/>
      <c r="DB3581" s="114"/>
      <c r="DC3581" s="114"/>
      <c r="DD3581" s="114"/>
      <c r="DE3581" s="114"/>
      <c r="DF3581" s="114"/>
      <c r="DG3581" s="114"/>
      <c r="DH3581" s="114"/>
      <c r="DI3581" s="114"/>
      <c r="DJ3581" s="114"/>
      <c r="DK3581" s="114"/>
      <c r="DL3581" s="114"/>
      <c r="DM3581" s="114"/>
      <c r="DN3581" s="114"/>
      <c r="DO3581" s="114"/>
    </row>
    <row r="3582" spans="1:119" s="114" customFormat="1" ht="35.1" customHeight="1">
      <c r="A3582" s="115"/>
      <c r="B3582" s="115"/>
      <c r="C3582" s="115"/>
      <c r="D3582" s="115"/>
      <c r="E3582" s="115"/>
      <c r="F3582" s="115"/>
      <c r="G3582" s="116"/>
      <c r="H3582" s="114" t="s">
        <v>5127</v>
      </c>
      <c r="I3582" s="115"/>
      <c r="J3582" s="117"/>
      <c r="K3582" s="115"/>
      <c r="L3582" s="115"/>
      <c r="M3582" s="115"/>
      <c r="N3582" s="115"/>
      <c r="O3582" s="115"/>
      <c r="P3582" s="115"/>
      <c r="Q3582" s="115"/>
      <c r="R3582" s="115"/>
      <c r="S3582" s="118"/>
      <c r="T3582" s="115"/>
      <c r="U3582" s="115"/>
      <c r="V3582" s="115"/>
      <c r="W3582" s="119"/>
      <c r="X3582" s="115"/>
      <c r="Y3582" s="115"/>
      <c r="Z3582" s="115"/>
      <c r="AA3582" s="115"/>
      <c r="AB3582" s="115"/>
      <c r="AC3582" s="115"/>
      <c r="AD3582" s="115"/>
      <c r="AE3582" s="115"/>
      <c r="AF3582" s="115"/>
      <c r="AG3582" s="115"/>
      <c r="AH3582" s="115"/>
      <c r="AI3582" s="115"/>
      <c r="AJ3582" s="115"/>
      <c r="AK3582" s="115"/>
      <c r="AL3582" s="115"/>
      <c r="AM3582" s="115"/>
      <c r="AN3582" s="115"/>
      <c r="AO3582" s="115"/>
      <c r="AP3582" s="115"/>
      <c r="AQ3582" s="115"/>
      <c r="AR3582" s="115"/>
      <c r="AS3582" s="115"/>
      <c r="AT3582" s="115"/>
      <c r="AU3582" s="115"/>
      <c r="AV3582" s="115"/>
      <c r="AW3582" s="115"/>
      <c r="AX3582" s="115"/>
      <c r="AY3582" s="115"/>
      <c r="AZ3582" s="115"/>
      <c r="BA3582" s="115"/>
      <c r="BB3582" s="115"/>
      <c r="BC3582" s="115"/>
      <c r="BD3582" s="115"/>
      <c r="BE3582" s="115"/>
      <c r="BF3582" s="115"/>
      <c r="BG3582" s="115"/>
      <c r="BH3582" s="115"/>
      <c r="BI3582" s="115"/>
      <c r="BJ3582" s="115"/>
      <c r="BK3582" s="115"/>
      <c r="BL3582" s="115"/>
      <c r="BM3582" s="115"/>
      <c r="BN3582" s="115"/>
      <c r="BO3582" s="115"/>
      <c r="BP3582" s="115"/>
      <c r="BQ3582" s="115"/>
      <c r="BR3582" s="115"/>
      <c r="BS3582" s="115"/>
      <c r="BT3582" s="115"/>
      <c r="BU3582" s="115"/>
      <c r="BV3582" s="115"/>
      <c r="BW3582" s="115"/>
      <c r="BX3582" s="115"/>
      <c r="BY3582" s="115"/>
      <c r="BZ3582" s="115"/>
      <c r="CA3582" s="115"/>
      <c r="CB3582" s="115"/>
      <c r="CC3582" s="115"/>
      <c r="CD3582" s="115"/>
      <c r="CE3582" s="115"/>
      <c r="CF3582" s="115"/>
      <c r="CG3582" s="115"/>
      <c r="CH3582" s="115"/>
      <c r="CI3582" s="115"/>
      <c r="CJ3582" s="115"/>
      <c r="CK3582" s="115"/>
      <c r="CL3582" s="115"/>
      <c r="CM3582" s="115"/>
      <c r="CN3582" s="115"/>
      <c r="CO3582" s="115"/>
      <c r="CP3582" s="115"/>
      <c r="CQ3582" s="115"/>
      <c r="CR3582" s="115"/>
      <c r="CS3582" s="115"/>
      <c r="CT3582" s="115"/>
      <c r="CU3582" s="115"/>
      <c r="CV3582" s="115"/>
      <c r="CW3582" s="115"/>
      <c r="CX3582" s="115"/>
      <c r="CY3582" s="115"/>
      <c r="CZ3582" s="115"/>
      <c r="DA3582" s="115"/>
      <c r="DB3582" s="115"/>
      <c r="DC3582" s="115"/>
      <c r="DD3582" s="115"/>
      <c r="DE3582" s="115"/>
      <c r="DF3582" s="115"/>
      <c r="DG3582" s="115"/>
      <c r="DH3582" s="115"/>
      <c r="DI3582" s="115"/>
      <c r="DJ3582" s="115"/>
      <c r="DK3582" s="115"/>
      <c r="DL3582" s="115"/>
      <c r="DM3582" s="115"/>
      <c r="DN3582" s="115"/>
      <c r="DO3582" s="115"/>
    </row>
    <row r="3583" spans="1:119" ht="35.1" customHeight="1">
      <c r="F3583" s="115">
        <v>49</v>
      </c>
      <c r="G3583" s="116" t="s">
        <v>2092</v>
      </c>
      <c r="H3583" s="115" t="s">
        <v>5128</v>
      </c>
      <c r="I3583" s="115">
        <f>I3573</f>
        <v>33</v>
      </c>
      <c r="J3583" s="117" t="s">
        <v>2308</v>
      </c>
      <c r="K3583" s="115">
        <f>F3583*I3583</f>
        <v>1617</v>
      </c>
      <c r="S3583" s="377"/>
      <c r="T3583" s="375"/>
      <c r="U3583" s="377" t="s">
        <v>5129</v>
      </c>
      <c r="V3583" s="377"/>
      <c r="W3583" s="521"/>
    </row>
    <row r="3584" spans="1:119" ht="35.1" customHeight="1">
      <c r="F3584" s="115">
        <v>0.3</v>
      </c>
      <c r="G3584" s="116" t="s">
        <v>34</v>
      </c>
      <c r="H3584" s="115" t="s">
        <v>5130</v>
      </c>
      <c r="I3584" s="115">
        <f>I3574</f>
        <v>17600</v>
      </c>
      <c r="J3584" s="117" t="s">
        <v>34</v>
      </c>
      <c r="K3584" s="115">
        <f>F3584*I3584</f>
        <v>5280</v>
      </c>
      <c r="S3584" s="115"/>
      <c r="T3584" s="116"/>
      <c r="U3584" s="307" t="s">
        <v>5131</v>
      </c>
      <c r="V3584" s="377">
        <f>1.7*2.325</f>
        <v>3.95</v>
      </c>
    </row>
    <row r="3585" spans="1:119" ht="35.1" customHeight="1">
      <c r="H3585" s="114" t="s">
        <v>5132</v>
      </c>
      <c r="K3585" s="114">
        <f>SUM(K3583:K3584)</f>
        <v>6897</v>
      </c>
      <c r="S3585" s="377">
        <f>V3584</f>
        <v>3.95</v>
      </c>
      <c r="T3585" s="375" t="s">
        <v>425</v>
      </c>
      <c r="U3585" s="377" t="s">
        <v>5065</v>
      </c>
      <c r="V3585" s="377">
        <f>V3570</f>
        <v>2255</v>
      </c>
      <c r="W3585" s="521" t="s">
        <v>425</v>
      </c>
      <c r="X3585" s="377">
        <f>V3585*S3585</f>
        <v>8907.25</v>
      </c>
    </row>
    <row r="3586" spans="1:119" ht="35.1" customHeight="1">
      <c r="H3586" s="114" t="s">
        <v>5121</v>
      </c>
      <c r="K3586" s="114">
        <f>K3585/10</f>
        <v>689.7</v>
      </c>
      <c r="S3586" s="377">
        <f>S3585</f>
        <v>3.95</v>
      </c>
      <c r="T3586" s="375" t="s">
        <v>425</v>
      </c>
      <c r="U3586" s="377" t="s">
        <v>5066</v>
      </c>
      <c r="V3586" s="377">
        <f t="shared" ref="V3586:V3593" si="342">V3571</f>
        <v>344.3</v>
      </c>
      <c r="W3586" s="521" t="s">
        <v>425</v>
      </c>
      <c r="X3586" s="377">
        <f t="shared" ref="X3586:X3594" si="343">V3586*S3586</f>
        <v>1359.99</v>
      </c>
    </row>
    <row r="3587" spans="1:119" ht="35.1" customHeight="1">
      <c r="F3587" s="115">
        <v>2</v>
      </c>
      <c r="G3587" s="116" t="s">
        <v>1772</v>
      </c>
      <c r="H3587" s="115" t="s">
        <v>4550</v>
      </c>
      <c r="I3587" s="115">
        <f>I3578</f>
        <v>679.8</v>
      </c>
      <c r="J3587" s="117" t="s">
        <v>1772</v>
      </c>
      <c r="K3587" s="115">
        <f>F3587*I3587</f>
        <v>1359.6</v>
      </c>
      <c r="S3587" s="377">
        <v>4</v>
      </c>
      <c r="T3587" s="375" t="s">
        <v>237</v>
      </c>
      <c r="U3587" s="377" t="s">
        <v>5068</v>
      </c>
      <c r="V3587" s="377">
        <f t="shared" si="342"/>
        <v>57.65</v>
      </c>
      <c r="W3587" s="521" t="s">
        <v>237</v>
      </c>
      <c r="X3587" s="377">
        <f t="shared" si="343"/>
        <v>230.6</v>
      </c>
    </row>
    <row r="3588" spans="1:119" ht="35.1" customHeight="1">
      <c r="H3588" s="115" t="s">
        <v>5133</v>
      </c>
      <c r="K3588" s="115">
        <v>4.3499999999999996</v>
      </c>
      <c r="S3588" s="377">
        <v>8</v>
      </c>
      <c r="T3588" s="375" t="s">
        <v>237</v>
      </c>
      <c r="U3588" s="377" t="s">
        <v>5071</v>
      </c>
      <c r="V3588" s="377">
        <f t="shared" si="342"/>
        <v>89.6</v>
      </c>
      <c r="W3588" s="521" t="s">
        <v>237</v>
      </c>
      <c r="X3588" s="377">
        <f t="shared" si="343"/>
        <v>716.8</v>
      </c>
    </row>
    <row r="3589" spans="1:119" ht="35.1" customHeight="1">
      <c r="H3589" s="115" t="s">
        <v>5134</v>
      </c>
      <c r="K3589" s="115">
        <f>SUM(K3586:K3588)</f>
        <v>2053.65</v>
      </c>
      <c r="S3589" s="377">
        <v>4</v>
      </c>
      <c r="T3589" s="375" t="s">
        <v>237</v>
      </c>
      <c r="U3589" s="377" t="s">
        <v>5073</v>
      </c>
      <c r="V3589" s="377">
        <f t="shared" si="342"/>
        <v>64.8</v>
      </c>
      <c r="W3589" s="521" t="s">
        <v>237</v>
      </c>
      <c r="X3589" s="377">
        <f t="shared" si="343"/>
        <v>259.2</v>
      </c>
    </row>
    <row r="3590" spans="1:119" ht="35.1" customHeight="1">
      <c r="H3590" s="114" t="s">
        <v>5135</v>
      </c>
      <c r="I3590" s="114"/>
      <c r="J3590" s="178"/>
      <c r="K3590" s="114">
        <f>K3589/6</f>
        <v>342.28</v>
      </c>
      <c r="S3590" s="377">
        <v>1</v>
      </c>
      <c r="T3590" s="375" t="s">
        <v>237</v>
      </c>
      <c r="U3590" s="377" t="s">
        <v>5041</v>
      </c>
      <c r="V3590" s="377">
        <f t="shared" si="342"/>
        <v>181</v>
      </c>
      <c r="W3590" s="521" t="s">
        <v>237</v>
      </c>
      <c r="X3590" s="377">
        <f t="shared" si="343"/>
        <v>181</v>
      </c>
    </row>
    <row r="3591" spans="1:119" ht="35.1" customHeight="1">
      <c r="A3591" s="114"/>
      <c r="B3591" s="114"/>
      <c r="C3591" s="114"/>
      <c r="D3591" s="114"/>
      <c r="E3591" s="114"/>
      <c r="F3591" s="114"/>
      <c r="G3591" s="200"/>
      <c r="H3591" s="115" t="s">
        <v>5136</v>
      </c>
      <c r="K3591" s="115">
        <f>K3581</f>
        <v>354.82</v>
      </c>
      <c r="L3591" s="114"/>
      <c r="M3591" s="114"/>
      <c r="N3591" s="114"/>
      <c r="O3591" s="114"/>
      <c r="P3591" s="114"/>
      <c r="Q3591" s="114"/>
      <c r="R3591" s="114"/>
      <c r="S3591" s="377">
        <v>118</v>
      </c>
      <c r="T3591" s="375" t="s">
        <v>237</v>
      </c>
      <c r="U3591" s="377" t="s">
        <v>5077</v>
      </c>
      <c r="V3591" s="377">
        <f t="shared" si="342"/>
        <v>2.41</v>
      </c>
      <c r="W3591" s="521" t="s">
        <v>237</v>
      </c>
      <c r="X3591" s="377">
        <f t="shared" si="343"/>
        <v>284.38</v>
      </c>
      <c r="Z3591" s="114"/>
      <c r="AA3591" s="114"/>
      <c r="AB3591" s="114"/>
      <c r="AC3591" s="114"/>
      <c r="AD3591" s="114"/>
      <c r="AE3591" s="114"/>
      <c r="AF3591" s="114"/>
      <c r="AG3591" s="114"/>
      <c r="AH3591" s="114"/>
      <c r="AI3591" s="114"/>
      <c r="AJ3591" s="114"/>
      <c r="AK3591" s="114"/>
      <c r="AL3591" s="114"/>
      <c r="AM3591" s="114"/>
      <c r="AN3591" s="114"/>
      <c r="AO3591" s="114"/>
      <c r="AP3591" s="114"/>
      <c r="AQ3591" s="114"/>
      <c r="AR3591" s="114"/>
      <c r="AS3591" s="114"/>
      <c r="AT3591" s="114"/>
      <c r="AU3591" s="114"/>
      <c r="AV3591" s="114"/>
      <c r="AW3591" s="114"/>
      <c r="AX3591" s="114"/>
      <c r="AY3591" s="114"/>
      <c r="AZ3591" s="114"/>
      <c r="BA3591" s="114"/>
      <c r="BB3591" s="114"/>
      <c r="BC3591" s="114"/>
      <c r="BD3591" s="114"/>
      <c r="BE3591" s="114"/>
      <c r="BF3591" s="114"/>
      <c r="BG3591" s="114"/>
      <c r="BH3591" s="114"/>
      <c r="BI3591" s="114"/>
      <c r="BJ3591" s="114"/>
      <c r="BK3591" s="114"/>
      <c r="BL3591" s="114"/>
      <c r="BM3591" s="114"/>
      <c r="BN3591" s="114"/>
      <c r="BO3591" s="114"/>
      <c r="BP3591" s="114"/>
      <c r="BQ3591" s="114"/>
      <c r="BR3591" s="114"/>
      <c r="BS3591" s="114"/>
      <c r="BT3591" s="114"/>
      <c r="BU3591" s="114"/>
      <c r="BV3591" s="114"/>
      <c r="BW3591" s="114"/>
      <c r="BX3591" s="114"/>
      <c r="BY3591" s="114"/>
      <c r="BZ3591" s="114"/>
      <c r="CA3591" s="114"/>
      <c r="CB3591" s="114"/>
      <c r="CC3591" s="114"/>
      <c r="CD3591" s="114"/>
      <c r="CE3591" s="114"/>
      <c r="CF3591" s="114"/>
      <c r="CG3591" s="114"/>
      <c r="CH3591" s="114"/>
      <c r="CI3591" s="114"/>
      <c r="CJ3591" s="114"/>
      <c r="CK3591" s="114"/>
      <c r="CL3591" s="114"/>
      <c r="CM3591" s="114"/>
      <c r="CN3591" s="114"/>
      <c r="CO3591" s="114"/>
      <c r="CP3591" s="114"/>
      <c r="CQ3591" s="114"/>
      <c r="CR3591" s="114"/>
      <c r="CS3591" s="114"/>
      <c r="CT3591" s="114"/>
      <c r="CU3591" s="114"/>
      <c r="CV3591" s="114"/>
      <c r="CW3591" s="114"/>
      <c r="CX3591" s="114"/>
      <c r="CY3591" s="114"/>
      <c r="CZ3591" s="114"/>
      <c r="DA3591" s="114"/>
      <c r="DB3591" s="114"/>
      <c r="DC3591" s="114"/>
      <c r="DD3591" s="114"/>
      <c r="DE3591" s="114"/>
      <c r="DF3591" s="114"/>
      <c r="DG3591" s="114"/>
      <c r="DH3591" s="114"/>
      <c r="DI3591" s="114"/>
      <c r="DJ3591" s="114"/>
      <c r="DK3591" s="114"/>
      <c r="DL3591" s="114"/>
      <c r="DM3591" s="114"/>
      <c r="DN3591" s="114"/>
      <c r="DO3591" s="114"/>
    </row>
    <row r="3592" spans="1:119" s="114" customFormat="1" ht="35.1" customHeight="1">
      <c r="G3592" s="200"/>
      <c r="H3592" s="115" t="s">
        <v>5137</v>
      </c>
      <c r="I3592" s="115">
        <f>K3591</f>
        <v>354.82</v>
      </c>
      <c r="J3592" s="117">
        <f>K3590</f>
        <v>342.28</v>
      </c>
      <c r="K3592" s="115">
        <f>SUM(I3592:J3592)</f>
        <v>697.1</v>
      </c>
      <c r="S3592" s="377">
        <v>2</v>
      </c>
      <c r="T3592" s="375" t="s">
        <v>237</v>
      </c>
      <c r="U3592" s="377" t="s">
        <v>5080</v>
      </c>
      <c r="V3592" s="377">
        <f t="shared" si="342"/>
        <v>23.1</v>
      </c>
      <c r="W3592" s="521" t="s">
        <v>237</v>
      </c>
      <c r="X3592" s="377">
        <f t="shared" si="343"/>
        <v>46.2</v>
      </c>
      <c r="Y3592" s="115"/>
    </row>
    <row r="3593" spans="1:119" s="114" customFormat="1" ht="35.1" customHeight="1">
      <c r="G3593" s="200"/>
      <c r="H3593" s="115" t="s">
        <v>5138</v>
      </c>
      <c r="I3593" s="115">
        <f>K3592</f>
        <v>697.1</v>
      </c>
      <c r="J3593" s="117">
        <f>J3592</f>
        <v>342.28</v>
      </c>
      <c r="K3593" s="115">
        <f>SUM(I3593:J3593)</f>
        <v>1039.3800000000001</v>
      </c>
      <c r="S3593" s="377">
        <v>2</v>
      </c>
      <c r="T3593" s="375" t="s">
        <v>237</v>
      </c>
      <c r="U3593" s="377" t="s">
        <v>5083</v>
      </c>
      <c r="V3593" s="377">
        <f t="shared" si="342"/>
        <v>49.55</v>
      </c>
      <c r="W3593" s="521" t="s">
        <v>237</v>
      </c>
      <c r="X3593" s="377">
        <f t="shared" si="343"/>
        <v>99.1</v>
      </c>
      <c r="Y3593" s="115"/>
    </row>
    <row r="3594" spans="1:119" s="114" customFormat="1" ht="35.1" customHeight="1">
      <c r="G3594" s="200"/>
      <c r="H3594" s="115" t="s">
        <v>5139</v>
      </c>
      <c r="I3594" s="115">
        <f>K3593</f>
        <v>1039.3800000000001</v>
      </c>
      <c r="J3594" s="117">
        <f>J3593</f>
        <v>342.28</v>
      </c>
      <c r="K3594" s="115">
        <f>SUM(I3594:J3594)</f>
        <v>1381.66</v>
      </c>
      <c r="S3594" s="381"/>
      <c r="T3594" s="375"/>
      <c r="U3594" s="377"/>
      <c r="V3594" s="377"/>
      <c r="W3594" s="521" t="s">
        <v>425</v>
      </c>
      <c r="X3594" s="377">
        <f t="shared" si="343"/>
        <v>0</v>
      </c>
      <c r="Y3594" s="115"/>
    </row>
    <row r="3595" spans="1:119" s="114" customFormat="1" ht="35.1" customHeight="1">
      <c r="G3595" s="200"/>
      <c r="H3595" s="115" t="s">
        <v>5140</v>
      </c>
      <c r="I3595" s="115">
        <f>K3594</f>
        <v>1381.66</v>
      </c>
      <c r="J3595" s="117">
        <f>J3594</f>
        <v>342.28</v>
      </c>
      <c r="K3595" s="115">
        <f>SUM(I3595:J3595)</f>
        <v>1723.94</v>
      </c>
      <c r="S3595" s="377"/>
      <c r="T3595" s="375"/>
      <c r="U3595" s="377" t="s">
        <v>5141</v>
      </c>
      <c r="V3595" s="377"/>
      <c r="W3595" s="521"/>
      <c r="X3595" s="377">
        <f>SUM(X3585:X3594)</f>
        <v>12084.52</v>
      </c>
      <c r="Y3595" s="115"/>
    </row>
    <row r="3596" spans="1:119" s="114" customFormat="1" ht="35.1" customHeight="1">
      <c r="A3596" s="115"/>
      <c r="B3596" s="115"/>
      <c r="C3596" s="115"/>
      <c r="D3596" s="115"/>
      <c r="E3596" s="115"/>
      <c r="F3596" s="115"/>
      <c r="G3596" s="116"/>
      <c r="H3596" s="115"/>
      <c r="I3596" s="115"/>
      <c r="J3596" s="117"/>
      <c r="K3596" s="115"/>
      <c r="L3596" s="115"/>
      <c r="M3596" s="115"/>
      <c r="N3596" s="115"/>
      <c r="O3596" s="115"/>
      <c r="P3596" s="115"/>
      <c r="Q3596" s="115"/>
      <c r="R3596" s="115"/>
      <c r="S3596" s="377"/>
      <c r="T3596" s="375"/>
      <c r="U3596" s="377" t="s">
        <v>2137</v>
      </c>
      <c r="V3596" s="377"/>
      <c r="W3596" s="521"/>
      <c r="X3596" s="377">
        <f>X3595/S3586</f>
        <v>3059.37</v>
      </c>
      <c r="Y3596" s="115">
        <f>[7]Data!X3597</f>
        <v>213.6</v>
      </c>
      <c r="Z3596" s="115"/>
      <c r="AA3596" s="115"/>
      <c r="AB3596" s="115"/>
      <c r="AC3596" s="115"/>
      <c r="AD3596" s="115"/>
      <c r="AE3596" s="115"/>
      <c r="AF3596" s="115"/>
      <c r="AG3596" s="115"/>
      <c r="AH3596" s="115"/>
      <c r="AI3596" s="115"/>
      <c r="AJ3596" s="115"/>
      <c r="AK3596" s="115"/>
      <c r="AL3596" s="115"/>
      <c r="AM3596" s="115"/>
      <c r="AN3596" s="115"/>
      <c r="AO3596" s="115"/>
      <c r="AP3596" s="115"/>
      <c r="AQ3596" s="115"/>
      <c r="AR3596" s="115"/>
      <c r="AS3596" s="115"/>
      <c r="AT3596" s="115"/>
      <c r="AU3596" s="115"/>
      <c r="AV3596" s="115"/>
      <c r="AW3596" s="115"/>
      <c r="AX3596" s="115"/>
      <c r="AY3596" s="115"/>
      <c r="AZ3596" s="115"/>
      <c r="BA3596" s="115"/>
      <c r="BB3596" s="115"/>
      <c r="BC3596" s="115"/>
      <c r="BD3596" s="115"/>
      <c r="BE3596" s="115"/>
      <c r="BF3596" s="115"/>
      <c r="BG3596" s="115"/>
      <c r="BH3596" s="115"/>
      <c r="BI3596" s="115"/>
      <c r="BJ3596" s="115"/>
      <c r="BK3596" s="115"/>
      <c r="BL3596" s="115"/>
      <c r="BM3596" s="115"/>
      <c r="BN3596" s="115"/>
      <c r="BO3596" s="115"/>
      <c r="BP3596" s="115"/>
      <c r="BQ3596" s="115"/>
      <c r="BR3596" s="115"/>
      <c r="BS3596" s="115"/>
      <c r="BT3596" s="115"/>
      <c r="BU3596" s="115"/>
      <c r="BV3596" s="115"/>
      <c r="BW3596" s="115"/>
      <c r="BX3596" s="115"/>
      <c r="BY3596" s="115"/>
      <c r="BZ3596" s="115"/>
      <c r="CA3596" s="115"/>
      <c r="CB3596" s="115"/>
      <c r="CC3596" s="115"/>
      <c r="CD3596" s="115"/>
      <c r="CE3596" s="115"/>
      <c r="CF3596" s="115"/>
      <c r="CG3596" s="115"/>
      <c r="CH3596" s="115"/>
      <c r="CI3596" s="115"/>
      <c r="CJ3596" s="115"/>
      <c r="CK3596" s="115"/>
      <c r="CL3596" s="115"/>
      <c r="CM3596" s="115"/>
      <c r="CN3596" s="115"/>
      <c r="CO3596" s="115"/>
      <c r="CP3596" s="115"/>
      <c r="CQ3596" s="115"/>
      <c r="CR3596" s="115"/>
      <c r="CS3596" s="115"/>
      <c r="CT3596" s="115"/>
      <c r="CU3596" s="115"/>
      <c r="CV3596" s="115"/>
      <c r="CW3596" s="115"/>
      <c r="CX3596" s="115"/>
      <c r="CY3596" s="115"/>
      <c r="CZ3596" s="115"/>
      <c r="DA3596" s="115"/>
      <c r="DB3596" s="115"/>
      <c r="DC3596" s="115"/>
      <c r="DD3596" s="115"/>
      <c r="DE3596" s="115"/>
      <c r="DF3596" s="115"/>
      <c r="DG3596" s="115"/>
      <c r="DH3596" s="115"/>
      <c r="DI3596" s="115"/>
      <c r="DJ3596" s="115"/>
      <c r="DK3596" s="115"/>
      <c r="DL3596" s="115"/>
      <c r="DM3596" s="115"/>
      <c r="DN3596" s="115"/>
      <c r="DO3596" s="115"/>
    </row>
    <row r="3597" spans="1:119" ht="24" customHeight="1">
      <c r="F3597" s="121"/>
      <c r="G3597" s="126" t="s">
        <v>111</v>
      </c>
      <c r="H3597" s="122" t="s">
        <v>5142</v>
      </c>
      <c r="L3597" s="117"/>
      <c r="S3597" s="115"/>
      <c r="T3597" s="116"/>
      <c r="U3597" s="377"/>
      <c r="X3597" s="377"/>
    </row>
    <row r="3598" spans="1:119" ht="24" customHeight="1">
      <c r="H3598" s="122" t="s">
        <v>5143</v>
      </c>
      <c r="L3598" s="120"/>
    </row>
    <row r="3599" spans="1:119" ht="24" customHeight="1">
      <c r="H3599" s="123" t="s">
        <v>52</v>
      </c>
      <c r="L3599" s="120"/>
    </row>
    <row r="3600" spans="1:119" ht="24" customHeight="1">
      <c r="F3600" s="259">
        <v>7.0699999999999999E-2</v>
      </c>
      <c r="G3600" s="126" t="s">
        <v>34</v>
      </c>
      <c r="H3600" s="120" t="s">
        <v>1497</v>
      </c>
      <c r="I3600" s="129">
        <f>I2814</f>
        <v>99400</v>
      </c>
      <c r="J3600" s="120" t="s">
        <v>132</v>
      </c>
      <c r="K3600" s="129">
        <f t="shared" ref="K3600:K3608" si="344">(F3600*I3600)</f>
        <v>7027.58</v>
      </c>
      <c r="L3600" s="120"/>
      <c r="S3600" s="377"/>
      <c r="T3600" s="375"/>
      <c r="U3600" s="377" t="s">
        <v>5144</v>
      </c>
      <c r="V3600" s="377"/>
      <c r="W3600" s="521"/>
    </row>
    <row r="3601" spans="6:24" ht="24" customHeight="1">
      <c r="F3601" s="259">
        <v>5.16</v>
      </c>
      <c r="G3601" s="126" t="s">
        <v>425</v>
      </c>
      <c r="H3601" s="120" t="s">
        <v>5145</v>
      </c>
      <c r="I3601" s="129">
        <f>AE57</f>
        <v>1613.7</v>
      </c>
      <c r="J3601" s="120" t="s">
        <v>132</v>
      </c>
      <c r="K3601" s="129">
        <f t="shared" si="344"/>
        <v>8326.69</v>
      </c>
      <c r="L3601" s="120"/>
      <c r="S3601" s="115"/>
      <c r="T3601" s="116"/>
      <c r="U3601" s="307" t="s">
        <v>5146</v>
      </c>
      <c r="V3601" s="377">
        <f>1.7*2.025</f>
        <v>3.44</v>
      </c>
    </row>
    <row r="3602" spans="6:24" ht="24" customHeight="1">
      <c r="F3602" s="259">
        <v>3.6659999999999999</v>
      </c>
      <c r="G3602" s="126" t="s">
        <v>425</v>
      </c>
      <c r="H3602" s="120" t="s">
        <v>5147</v>
      </c>
      <c r="I3602" s="129">
        <f>P1395</f>
        <v>306.89999999999998</v>
      </c>
      <c r="J3602" s="120" t="s">
        <v>425</v>
      </c>
      <c r="K3602" s="129">
        <f t="shared" si="344"/>
        <v>1125.0999999999999</v>
      </c>
      <c r="L3602" s="120"/>
      <c r="S3602" s="377">
        <f>V3601</f>
        <v>3.44</v>
      </c>
      <c r="T3602" s="375" t="s">
        <v>425</v>
      </c>
      <c r="U3602" s="377" t="s">
        <v>5065</v>
      </c>
      <c r="V3602" s="377">
        <f>V3585</f>
        <v>2255</v>
      </c>
      <c r="W3602" s="521" t="s">
        <v>425</v>
      </c>
      <c r="X3602" s="377">
        <f>V3602*S3602</f>
        <v>7757.2</v>
      </c>
    </row>
    <row r="3603" spans="6:24" ht="24" customHeight="1">
      <c r="F3603" s="129">
        <v>22.66</v>
      </c>
      <c r="G3603" s="126" t="s">
        <v>13</v>
      </c>
      <c r="H3603" s="120" t="s">
        <v>5148</v>
      </c>
      <c r="I3603" s="136">
        <v>15.45</v>
      </c>
      <c r="J3603" s="126" t="s">
        <v>13</v>
      </c>
      <c r="K3603" s="129">
        <f t="shared" si="344"/>
        <v>350.1</v>
      </c>
      <c r="L3603" s="120"/>
      <c r="S3603" s="377">
        <f>S3602</f>
        <v>3.44</v>
      </c>
      <c r="T3603" s="375" t="s">
        <v>425</v>
      </c>
      <c r="U3603" s="377" t="s">
        <v>5066</v>
      </c>
      <c r="V3603" s="377">
        <f t="shared" ref="V3603:V3610" si="345">V3586</f>
        <v>344.3</v>
      </c>
      <c r="W3603" s="521" t="s">
        <v>425</v>
      </c>
      <c r="X3603" s="377">
        <f t="shared" ref="X3603:X3611" si="346">V3603*S3603</f>
        <v>1184.3900000000001</v>
      </c>
    </row>
    <row r="3604" spans="6:24" ht="24" customHeight="1">
      <c r="F3604" s="129">
        <v>15</v>
      </c>
      <c r="G3604" s="126" t="s">
        <v>131</v>
      </c>
      <c r="H3604" s="120" t="s">
        <v>1479</v>
      </c>
      <c r="I3604" s="129">
        <f>C279</f>
        <v>89.6</v>
      </c>
      <c r="J3604" s="120" t="s">
        <v>131</v>
      </c>
      <c r="K3604" s="129">
        <f>(F3603*I3604)</f>
        <v>2030.34</v>
      </c>
      <c r="L3604" s="120"/>
      <c r="S3604" s="377">
        <v>4</v>
      </c>
      <c r="T3604" s="375" t="s">
        <v>237</v>
      </c>
      <c r="U3604" s="377" t="s">
        <v>5068</v>
      </c>
      <c r="V3604" s="377">
        <f t="shared" si="345"/>
        <v>57.65</v>
      </c>
      <c r="W3604" s="521" t="s">
        <v>237</v>
      </c>
      <c r="X3604" s="377">
        <f t="shared" si="346"/>
        <v>230.6</v>
      </c>
    </row>
    <row r="3605" spans="6:24" ht="24" customHeight="1">
      <c r="F3605" s="129">
        <v>10</v>
      </c>
      <c r="G3605" s="126" t="s">
        <v>131</v>
      </c>
      <c r="H3605" s="120" t="s">
        <v>5149</v>
      </c>
      <c r="I3605" s="136">
        <v>82.25</v>
      </c>
      <c r="J3605" s="120" t="s">
        <v>131</v>
      </c>
      <c r="K3605" s="129">
        <f>(F3604*I3605)</f>
        <v>1233.75</v>
      </c>
      <c r="L3605" s="120"/>
      <c r="S3605" s="377">
        <v>6</v>
      </c>
      <c r="T3605" s="375" t="s">
        <v>237</v>
      </c>
      <c r="U3605" s="377" t="s">
        <v>5071</v>
      </c>
      <c r="V3605" s="377">
        <f t="shared" si="345"/>
        <v>89.6</v>
      </c>
      <c r="W3605" s="521" t="s">
        <v>237</v>
      </c>
      <c r="X3605" s="377">
        <f t="shared" si="346"/>
        <v>537.6</v>
      </c>
    </row>
    <row r="3606" spans="6:24" ht="24" customHeight="1">
      <c r="F3606" s="129">
        <v>5</v>
      </c>
      <c r="G3606" s="126" t="s">
        <v>131</v>
      </c>
      <c r="H3606" s="120" t="s">
        <v>5150</v>
      </c>
      <c r="I3606" s="136">
        <v>57.65</v>
      </c>
      <c r="J3606" s="120" t="s">
        <v>131</v>
      </c>
      <c r="K3606" s="129">
        <f>(F3607*I3606)</f>
        <v>288.25</v>
      </c>
      <c r="L3606" s="117"/>
      <c r="S3606" s="377">
        <v>4</v>
      </c>
      <c r="T3606" s="375" t="s">
        <v>237</v>
      </c>
      <c r="U3606" s="377" t="s">
        <v>5073</v>
      </c>
      <c r="V3606" s="377">
        <f t="shared" si="345"/>
        <v>64.8</v>
      </c>
      <c r="W3606" s="521" t="s">
        <v>237</v>
      </c>
      <c r="X3606" s="377">
        <f t="shared" si="346"/>
        <v>259.2</v>
      </c>
    </row>
    <row r="3607" spans="6:24" ht="24" customHeight="1">
      <c r="F3607" s="129">
        <v>5</v>
      </c>
      <c r="G3607" s="126" t="s">
        <v>131</v>
      </c>
      <c r="H3607" s="120" t="s">
        <v>1506</v>
      </c>
      <c r="I3607" s="140">
        <v>7.3</v>
      </c>
      <c r="J3607" s="120" t="s">
        <v>131</v>
      </c>
      <c r="K3607" s="129">
        <f>(F3605*I3607)</f>
        <v>73</v>
      </c>
      <c r="L3607" s="117"/>
      <c r="S3607" s="377">
        <v>1</v>
      </c>
      <c r="T3607" s="375" t="s">
        <v>237</v>
      </c>
      <c r="U3607" s="377" t="s">
        <v>5041</v>
      </c>
      <c r="V3607" s="377">
        <f t="shared" si="345"/>
        <v>181</v>
      </c>
      <c r="W3607" s="521" t="s">
        <v>237</v>
      </c>
      <c r="X3607" s="377">
        <f t="shared" si="346"/>
        <v>181</v>
      </c>
    </row>
    <row r="3608" spans="6:24" ht="24" customHeight="1">
      <c r="F3608" s="129">
        <v>10</v>
      </c>
      <c r="H3608" s="120" t="s">
        <v>3121</v>
      </c>
      <c r="I3608" s="129">
        <f>I3430</f>
        <v>2.41</v>
      </c>
      <c r="J3608" s="120" t="s">
        <v>131</v>
      </c>
      <c r="K3608" s="129">
        <f t="shared" si="344"/>
        <v>24.1</v>
      </c>
      <c r="L3608" s="117"/>
      <c r="S3608" s="377">
        <v>118</v>
      </c>
      <c r="T3608" s="375" t="s">
        <v>237</v>
      </c>
      <c r="U3608" s="377" t="s">
        <v>5077</v>
      </c>
      <c r="V3608" s="377">
        <f t="shared" si="345"/>
        <v>2.41</v>
      </c>
      <c r="W3608" s="521" t="s">
        <v>237</v>
      </c>
      <c r="X3608" s="377">
        <f t="shared" si="346"/>
        <v>284.38</v>
      </c>
    </row>
    <row r="3609" spans="6:24" ht="24" customHeight="1">
      <c r="K3609" s="123" t="s">
        <v>52</v>
      </c>
      <c r="L3609" s="117"/>
      <c r="S3609" s="377">
        <v>2</v>
      </c>
      <c r="T3609" s="375" t="s">
        <v>237</v>
      </c>
      <c r="U3609" s="377" t="s">
        <v>5080</v>
      </c>
      <c r="V3609" s="377">
        <f t="shared" si="345"/>
        <v>23.1</v>
      </c>
      <c r="W3609" s="521" t="s">
        <v>237</v>
      </c>
      <c r="X3609" s="377">
        <f t="shared" si="346"/>
        <v>46.2</v>
      </c>
    </row>
    <row r="3610" spans="6:24" ht="24" customHeight="1">
      <c r="H3610" s="121" t="s">
        <v>5151</v>
      </c>
      <c r="K3610" s="129">
        <f>SUM(K3596:K3608)</f>
        <v>20478.91</v>
      </c>
      <c r="L3610" s="117"/>
      <c r="S3610" s="377">
        <v>2</v>
      </c>
      <c r="T3610" s="375" t="s">
        <v>237</v>
      </c>
      <c r="U3610" s="377" t="s">
        <v>5083</v>
      </c>
      <c r="V3610" s="377">
        <f t="shared" si="345"/>
        <v>49.55</v>
      </c>
      <c r="W3610" s="521" t="s">
        <v>237</v>
      </c>
      <c r="X3610" s="377">
        <f t="shared" si="346"/>
        <v>99.1</v>
      </c>
    </row>
    <row r="3611" spans="6:24" ht="24" customHeight="1">
      <c r="K3611" s="123" t="s">
        <v>52</v>
      </c>
      <c r="L3611" s="117"/>
      <c r="S3611" s="381"/>
      <c r="T3611" s="375"/>
      <c r="U3611" s="377"/>
      <c r="V3611" s="377"/>
      <c r="W3611" s="521" t="s">
        <v>425</v>
      </c>
      <c r="X3611" s="377">
        <f t="shared" si="346"/>
        <v>0</v>
      </c>
    </row>
    <row r="3612" spans="6:24" ht="24" customHeight="1">
      <c r="H3612" s="128" t="s">
        <v>460</v>
      </c>
      <c r="I3612" s="120" t="s">
        <v>85</v>
      </c>
      <c r="K3612" s="127">
        <f>K3610/F3601</f>
        <v>3968.78</v>
      </c>
      <c r="S3612" s="377"/>
      <c r="T3612" s="375"/>
      <c r="U3612" s="377" t="s">
        <v>5152</v>
      </c>
      <c r="V3612" s="377"/>
      <c r="W3612" s="521"/>
      <c r="X3612" s="377">
        <f>SUM(X3602:X3611)</f>
        <v>10579.67</v>
      </c>
    </row>
    <row r="3613" spans="6:24" ht="24" customHeight="1">
      <c r="K3613" s="123" t="s">
        <v>89</v>
      </c>
      <c r="S3613" s="377"/>
      <c r="T3613" s="375"/>
      <c r="U3613" s="377" t="s">
        <v>2137</v>
      </c>
      <c r="V3613" s="377"/>
      <c r="W3613" s="521"/>
      <c r="X3613" s="377">
        <f>X3612/S3603</f>
        <v>3075.49</v>
      </c>
    </row>
    <row r="3614" spans="6:24" ht="24" customHeight="1">
      <c r="F3614" s="121" t="s">
        <v>1518</v>
      </c>
      <c r="G3614" s="126" t="s">
        <v>111</v>
      </c>
      <c r="H3614" s="120" t="s">
        <v>5153</v>
      </c>
      <c r="S3614" s="115"/>
    </row>
    <row r="3615" spans="6:24" ht="24" customHeight="1">
      <c r="H3615" s="120" t="s">
        <v>5154</v>
      </c>
      <c r="S3615" s="377"/>
      <c r="T3615" s="375"/>
      <c r="U3615" s="377" t="s">
        <v>5155</v>
      </c>
      <c r="V3615" s="377"/>
      <c r="W3615" s="521"/>
    </row>
    <row r="3616" spans="6:24" ht="24" customHeight="1">
      <c r="H3616" s="123" t="s">
        <v>52</v>
      </c>
      <c r="S3616" s="115"/>
      <c r="T3616" s="116"/>
      <c r="U3616" s="307" t="s">
        <v>5156</v>
      </c>
      <c r="W3616" s="119">
        <f>1.1*2.025</f>
        <v>2.23</v>
      </c>
    </row>
    <row r="3617" spans="6:24" ht="18.75" customHeight="1">
      <c r="H3617" s="120" t="s">
        <v>5157</v>
      </c>
      <c r="I3617" s="213" t="s">
        <v>89</v>
      </c>
      <c r="J3617" s="420">
        <f>0.65*0.65</f>
        <v>0.42249999999999999</v>
      </c>
      <c r="K3617" s="115" t="s">
        <v>724</v>
      </c>
      <c r="S3617" s="377">
        <f>W3616</f>
        <v>2.23</v>
      </c>
      <c r="T3617" s="375" t="s">
        <v>425</v>
      </c>
      <c r="U3617" s="377" t="s">
        <v>5065</v>
      </c>
      <c r="V3617" s="377">
        <f>AE3554</f>
        <v>2255</v>
      </c>
      <c r="W3617" s="521" t="s">
        <v>425</v>
      </c>
      <c r="X3617" s="377">
        <f>V3617*S3617</f>
        <v>5028.6499999999996</v>
      </c>
    </row>
    <row r="3618" spans="6:24" ht="18.75" customHeight="1">
      <c r="H3618" s="120"/>
      <c r="I3618" s="213"/>
      <c r="J3618" s="276"/>
      <c r="S3618" s="377">
        <f>S3617</f>
        <v>2.23</v>
      </c>
      <c r="T3618" s="375" t="s">
        <v>425</v>
      </c>
      <c r="U3618" s="377" t="s">
        <v>5066</v>
      </c>
      <c r="V3618" s="377">
        <f>V3603</f>
        <v>344.3</v>
      </c>
      <c r="W3618" s="521" t="s">
        <v>425</v>
      </c>
      <c r="X3618" s="377">
        <f t="shared" ref="X3618:X3625" si="347">V3618*S3618</f>
        <v>767.79</v>
      </c>
    </row>
    <row r="3619" spans="6:24" ht="18.75" customHeight="1">
      <c r="H3619" s="120" t="s">
        <v>5158</v>
      </c>
      <c r="I3619" s="213" t="s">
        <v>89</v>
      </c>
      <c r="J3619" s="420">
        <v>5.1999999999999998E-2</v>
      </c>
      <c r="K3619" s="115" t="s">
        <v>5</v>
      </c>
      <c r="S3619" s="377">
        <v>4</v>
      </c>
      <c r="T3619" s="375" t="s">
        <v>237</v>
      </c>
      <c r="U3619" s="377" t="s">
        <v>5068</v>
      </c>
      <c r="V3619" s="377">
        <f t="shared" ref="V3619:V3625" si="348">AE3556</f>
        <v>57.65</v>
      </c>
      <c r="W3619" s="521" t="s">
        <v>237</v>
      </c>
      <c r="X3619" s="377">
        <f t="shared" si="347"/>
        <v>230.6</v>
      </c>
    </row>
    <row r="3620" spans="6:24" ht="18.75" customHeight="1">
      <c r="H3620" s="120" t="s">
        <v>4921</v>
      </c>
      <c r="J3620" s="213"/>
      <c r="S3620" s="377">
        <v>6</v>
      </c>
      <c r="T3620" s="375" t="s">
        <v>237</v>
      </c>
      <c r="U3620" s="377" t="s">
        <v>5071</v>
      </c>
      <c r="V3620" s="377">
        <f t="shared" si="348"/>
        <v>89.6</v>
      </c>
      <c r="W3620" s="521" t="s">
        <v>237</v>
      </c>
      <c r="X3620" s="377">
        <f t="shared" si="347"/>
        <v>537.6</v>
      </c>
    </row>
    <row r="3621" spans="6:24" ht="18.75" customHeight="1">
      <c r="H3621" s="120" t="s">
        <v>5159</v>
      </c>
      <c r="I3621" s="213" t="s">
        <v>89</v>
      </c>
      <c r="J3621" s="497">
        <v>1.772E-2</v>
      </c>
      <c r="S3621" s="377">
        <v>4</v>
      </c>
      <c r="T3621" s="375" t="s">
        <v>237</v>
      </c>
      <c r="U3621" s="377" t="s">
        <v>5073</v>
      </c>
      <c r="V3621" s="377">
        <f t="shared" si="348"/>
        <v>64.8</v>
      </c>
      <c r="W3621" s="521" t="s">
        <v>237</v>
      </c>
      <c r="X3621" s="377">
        <f t="shared" si="347"/>
        <v>259.2</v>
      </c>
    </row>
    <row r="3622" spans="6:24" ht="18.75" customHeight="1">
      <c r="H3622" s="123"/>
      <c r="S3622" s="377">
        <v>1</v>
      </c>
      <c r="T3622" s="375" t="s">
        <v>237</v>
      </c>
      <c r="U3622" s="377" t="s">
        <v>5041</v>
      </c>
      <c r="V3622" s="377">
        <f t="shared" si="348"/>
        <v>181</v>
      </c>
      <c r="W3622" s="521" t="s">
        <v>237</v>
      </c>
      <c r="X3622" s="377">
        <f t="shared" si="347"/>
        <v>181</v>
      </c>
    </row>
    <row r="3623" spans="6:24" ht="18.75" customHeight="1">
      <c r="F3623" s="259">
        <v>5.3E-3</v>
      </c>
      <c r="G3623" s="126" t="s">
        <v>34</v>
      </c>
      <c r="H3623" s="120" t="s">
        <v>1497</v>
      </c>
      <c r="I3623" s="129">
        <f>I3600</f>
        <v>99400</v>
      </c>
      <c r="J3623" s="120" t="s">
        <v>132</v>
      </c>
      <c r="K3623" s="129">
        <f t="shared" ref="K3623:K3629" si="349">(F3623*I3623)</f>
        <v>526.82000000000005</v>
      </c>
      <c r="S3623" s="377">
        <v>118</v>
      </c>
      <c r="T3623" s="375" t="s">
        <v>237</v>
      </c>
      <c r="U3623" s="377" t="s">
        <v>5077</v>
      </c>
      <c r="V3623" s="377">
        <f t="shared" si="348"/>
        <v>2.41</v>
      </c>
      <c r="W3623" s="521" t="s">
        <v>237</v>
      </c>
      <c r="X3623" s="377">
        <f t="shared" si="347"/>
        <v>284.38</v>
      </c>
    </row>
    <row r="3624" spans="6:24" ht="24" customHeight="1">
      <c r="F3624" s="259">
        <v>0.27450000000000002</v>
      </c>
      <c r="G3624" s="126" t="s">
        <v>425</v>
      </c>
      <c r="H3624" s="120" t="str">
        <f>H3602</f>
        <v>4 mm thicj frosted glass</v>
      </c>
      <c r="I3624" s="129">
        <f>I3602</f>
        <v>306.89999999999998</v>
      </c>
      <c r="J3624" s="120" t="s">
        <v>132</v>
      </c>
      <c r="K3624" s="129">
        <f t="shared" si="349"/>
        <v>84.24</v>
      </c>
      <c r="S3624" s="377">
        <v>2</v>
      </c>
      <c r="T3624" s="375" t="s">
        <v>237</v>
      </c>
      <c r="U3624" s="377" t="s">
        <v>5080</v>
      </c>
      <c r="V3624" s="377">
        <f t="shared" si="348"/>
        <v>23.1</v>
      </c>
      <c r="W3624" s="521" t="s">
        <v>237</v>
      </c>
      <c r="X3624" s="377">
        <f t="shared" si="347"/>
        <v>46.2</v>
      </c>
    </row>
    <row r="3625" spans="6:24" ht="24" customHeight="1">
      <c r="F3625" s="259">
        <v>0.4</v>
      </c>
      <c r="G3625" s="126" t="s">
        <v>425</v>
      </c>
      <c r="H3625" s="120" t="s">
        <v>449</v>
      </c>
      <c r="I3625" s="129">
        <f>AE34</f>
        <v>1248.5</v>
      </c>
      <c r="J3625" s="120" t="s">
        <v>425</v>
      </c>
      <c r="K3625" s="129">
        <f t="shared" si="349"/>
        <v>499.4</v>
      </c>
      <c r="S3625" s="377">
        <v>2</v>
      </c>
      <c r="T3625" s="375" t="s">
        <v>237</v>
      </c>
      <c r="U3625" s="377" t="s">
        <v>5083</v>
      </c>
      <c r="V3625" s="377">
        <f t="shared" si="348"/>
        <v>49.55</v>
      </c>
      <c r="W3625" s="521" t="s">
        <v>237</v>
      </c>
      <c r="X3625" s="377">
        <f t="shared" si="347"/>
        <v>99.1</v>
      </c>
    </row>
    <row r="3626" spans="6:24" ht="24" customHeight="1">
      <c r="F3626" s="129">
        <v>2</v>
      </c>
      <c r="G3626" s="126" t="s">
        <v>1521</v>
      </c>
      <c r="H3626" s="120" t="s">
        <v>1522</v>
      </c>
      <c r="I3626" s="140">
        <v>148</v>
      </c>
      <c r="J3626" s="120" t="s">
        <v>1521</v>
      </c>
      <c r="K3626" s="129">
        <f t="shared" si="349"/>
        <v>296</v>
      </c>
      <c r="S3626" s="381"/>
      <c r="T3626" s="375" t="s">
        <v>425</v>
      </c>
      <c r="U3626" s="377"/>
      <c r="W3626" s="521" t="s">
        <v>425</v>
      </c>
      <c r="X3626" s="377">
        <f>V3625*S3626</f>
        <v>0</v>
      </c>
    </row>
    <row r="3627" spans="6:24" ht="24" customHeight="1">
      <c r="F3627" s="129">
        <v>1</v>
      </c>
      <c r="G3627" s="126" t="s">
        <v>131</v>
      </c>
      <c r="H3627" s="120" t="s">
        <v>1523</v>
      </c>
      <c r="I3627" s="129">
        <f>C293</f>
        <v>6.1</v>
      </c>
      <c r="J3627" s="120" t="s">
        <v>131</v>
      </c>
      <c r="K3627" s="129">
        <f t="shared" si="349"/>
        <v>6.1</v>
      </c>
      <c r="S3627" s="377"/>
      <c r="T3627" s="375"/>
      <c r="U3627" s="377" t="s">
        <v>5160</v>
      </c>
      <c r="V3627" s="377"/>
      <c r="W3627" s="521"/>
      <c r="X3627" s="377">
        <f>SUM(X3617:X3626)</f>
        <v>7434.52</v>
      </c>
    </row>
    <row r="3628" spans="6:24" ht="24" customHeight="1">
      <c r="F3628" s="129">
        <v>1</v>
      </c>
      <c r="G3628" s="126" t="s">
        <v>131</v>
      </c>
      <c r="H3628" s="120" t="s">
        <v>1524</v>
      </c>
      <c r="I3628" s="129">
        <f>C291</f>
        <v>11.8</v>
      </c>
      <c r="J3628" s="120" t="s">
        <v>131</v>
      </c>
      <c r="K3628" s="129">
        <f t="shared" si="349"/>
        <v>11.8</v>
      </c>
      <c r="S3628" s="377"/>
      <c r="T3628" s="375"/>
      <c r="U3628" s="377" t="s">
        <v>2137</v>
      </c>
      <c r="V3628" s="377"/>
      <c r="W3628" s="521"/>
      <c r="X3628" s="377">
        <f>X3627/S3618</f>
        <v>3333.87</v>
      </c>
    </row>
    <row r="3629" spans="6:24" ht="24" customHeight="1">
      <c r="F3629" s="129">
        <v>10</v>
      </c>
      <c r="H3629" s="120" t="s">
        <v>3121</v>
      </c>
      <c r="I3629" s="129">
        <f>I3608</f>
        <v>2.41</v>
      </c>
      <c r="J3629" s="120" t="s">
        <v>131</v>
      </c>
      <c r="K3629" s="129">
        <f t="shared" si="349"/>
        <v>24.1</v>
      </c>
    </row>
    <row r="3630" spans="6:24" ht="24" customHeight="1">
      <c r="K3630" s="123" t="s">
        <v>52</v>
      </c>
      <c r="S3630" s="115"/>
      <c r="U3630" s="122" t="s">
        <v>3110</v>
      </c>
    </row>
    <row r="3631" spans="6:24" ht="24" customHeight="1">
      <c r="H3631" s="121" t="s">
        <v>4262</v>
      </c>
      <c r="K3631" s="129">
        <f>SUM(K3613:K3629)</f>
        <v>1448.46</v>
      </c>
      <c r="S3631" s="115"/>
      <c r="U3631" s="166" t="s">
        <v>3111</v>
      </c>
    </row>
    <row r="3632" spans="6:24" ht="24" customHeight="1">
      <c r="K3632" s="123" t="s">
        <v>52</v>
      </c>
      <c r="S3632" s="115"/>
    </row>
    <row r="3633" spans="6:33" ht="24" customHeight="1">
      <c r="H3633" s="128" t="s">
        <v>460</v>
      </c>
      <c r="I3633" s="120" t="s">
        <v>85</v>
      </c>
      <c r="K3633" s="127">
        <f>K3631/F3625</f>
        <v>3621.15</v>
      </c>
      <c r="S3633" s="115"/>
    </row>
    <row r="3634" spans="6:33" ht="24" customHeight="1">
      <c r="F3634" s="120" t="s">
        <v>85</v>
      </c>
      <c r="S3634" s="224">
        <v>2.2800000000000001E-2</v>
      </c>
      <c r="T3634" s="116" t="s">
        <v>132</v>
      </c>
      <c r="U3634" s="115" t="s">
        <v>3112</v>
      </c>
      <c r="V3634" s="115">
        <f>P1111</f>
        <v>111600</v>
      </c>
      <c r="W3634" s="119" t="s">
        <v>132</v>
      </c>
      <c r="X3634" s="115">
        <f>V3634*S3634</f>
        <v>2544.48</v>
      </c>
    </row>
    <row r="3635" spans="6:33" ht="24" customHeight="1">
      <c r="K3635" s="123" t="s">
        <v>89</v>
      </c>
      <c r="S3635" s="224">
        <v>3.5400000000000001E-2</v>
      </c>
      <c r="T3635" s="116" t="s">
        <v>132</v>
      </c>
      <c r="U3635" s="115" t="s">
        <v>3113</v>
      </c>
      <c r="V3635" s="115">
        <f>P1112</f>
        <v>99400</v>
      </c>
      <c r="W3635" s="119" t="s">
        <v>132</v>
      </c>
      <c r="X3635" s="115">
        <f t="shared" ref="X3635:X3644" si="350">V3635*S3635</f>
        <v>3518.76</v>
      </c>
    </row>
    <row r="3636" spans="6:33" ht="56.25" customHeight="1">
      <c r="F3636" s="115">
        <v>45</v>
      </c>
      <c r="H3636" s="529" t="s">
        <v>5161</v>
      </c>
      <c r="I3636" s="529"/>
      <c r="J3636" s="529"/>
      <c r="S3636" s="267">
        <v>3.2300000000000002E-2</v>
      </c>
      <c r="T3636" s="116" t="s">
        <v>132</v>
      </c>
      <c r="U3636" s="115" t="s">
        <v>4263</v>
      </c>
      <c r="V3636" s="115">
        <f>P1113</f>
        <v>95000</v>
      </c>
      <c r="W3636" s="119" t="s">
        <v>132</v>
      </c>
      <c r="X3636" s="115">
        <f t="shared" si="350"/>
        <v>3068.5</v>
      </c>
    </row>
    <row r="3637" spans="6:33" ht="13.5" customHeight="1">
      <c r="H3637" s="529"/>
      <c r="I3637" s="529"/>
      <c r="J3637" s="529"/>
      <c r="S3637" s="118">
        <v>2.835</v>
      </c>
      <c r="T3637" s="116" t="s">
        <v>425</v>
      </c>
      <c r="U3637" s="115" t="s">
        <v>3115</v>
      </c>
      <c r="V3637" s="115">
        <f>P1114</f>
        <v>1602.7</v>
      </c>
      <c r="W3637" s="119" t="s">
        <v>425</v>
      </c>
      <c r="X3637" s="115">
        <f t="shared" si="350"/>
        <v>4543.6499999999996</v>
      </c>
    </row>
    <row r="3638" spans="6:33" ht="19.5" customHeight="1">
      <c r="S3638" s="115">
        <v>2</v>
      </c>
      <c r="T3638" s="116" t="s">
        <v>1572</v>
      </c>
      <c r="U3638" s="115" t="s">
        <v>3116</v>
      </c>
      <c r="V3638" s="205">
        <v>450</v>
      </c>
      <c r="W3638" s="119" t="s">
        <v>729</v>
      </c>
      <c r="X3638" s="115">
        <f t="shared" si="350"/>
        <v>900</v>
      </c>
    </row>
    <row r="3639" spans="6:33" ht="36.75" customHeight="1">
      <c r="F3639" s="530">
        <v>0.15</v>
      </c>
      <c r="G3639" s="409" t="s">
        <v>132</v>
      </c>
      <c r="H3639" s="184" t="s">
        <v>5162</v>
      </c>
      <c r="I3639" s="531">
        <f>91.1/0.0354</f>
        <v>2573.4499999999998</v>
      </c>
      <c r="J3639" s="38" t="s">
        <v>132</v>
      </c>
      <c r="K3639" s="409">
        <f t="shared" ref="K3639:K3644" si="351">I3639*F3639</f>
        <v>386.02</v>
      </c>
      <c r="L3639" s="409"/>
      <c r="S3639" s="115">
        <v>6</v>
      </c>
      <c r="T3639" s="116" t="s">
        <v>1572</v>
      </c>
      <c r="U3639" s="115" t="s">
        <v>3117</v>
      </c>
      <c r="V3639" s="205">
        <v>79</v>
      </c>
      <c r="W3639" s="119" t="s">
        <v>729</v>
      </c>
      <c r="X3639" s="115">
        <f t="shared" si="350"/>
        <v>474</v>
      </c>
    </row>
    <row r="3640" spans="6:33" ht="33" customHeight="1">
      <c r="F3640" s="201">
        <v>7.1999999999999995E-2</v>
      </c>
      <c r="G3640" s="116" t="s">
        <v>122</v>
      </c>
      <c r="H3640" s="115" t="s">
        <v>123</v>
      </c>
      <c r="I3640" s="115">
        <f>I1645</f>
        <v>6040</v>
      </c>
      <c r="J3640" s="117" t="s">
        <v>122</v>
      </c>
      <c r="K3640" s="115">
        <f t="shared" si="351"/>
        <v>434.88</v>
      </c>
      <c r="S3640" s="115">
        <v>4</v>
      </c>
      <c r="T3640" s="116" t="s">
        <v>1572</v>
      </c>
      <c r="U3640" s="115" t="s">
        <v>3118</v>
      </c>
      <c r="V3640" s="205">
        <v>130</v>
      </c>
      <c r="W3640" s="119" t="s">
        <v>729</v>
      </c>
      <c r="X3640" s="115">
        <f t="shared" si="350"/>
        <v>520</v>
      </c>
    </row>
    <row r="3641" spans="6:33" ht="24" customHeight="1">
      <c r="F3641" s="129">
        <v>1.6</v>
      </c>
      <c r="G3641" s="116" t="s">
        <v>237</v>
      </c>
      <c r="H3641" s="115" t="s">
        <v>345</v>
      </c>
      <c r="I3641" s="115">
        <f>I1646</f>
        <v>1041.7</v>
      </c>
      <c r="J3641" s="117" t="s">
        <v>237</v>
      </c>
      <c r="K3641" s="115">
        <f t="shared" si="351"/>
        <v>1666.72</v>
      </c>
      <c r="S3641" s="115">
        <v>1</v>
      </c>
      <c r="T3641" s="116" t="s">
        <v>1572</v>
      </c>
      <c r="U3641" s="115" t="s">
        <v>3119</v>
      </c>
      <c r="V3641" s="205">
        <v>985</v>
      </c>
      <c r="W3641" s="119" t="s">
        <v>729</v>
      </c>
      <c r="X3641" s="115">
        <f t="shared" si="350"/>
        <v>985</v>
      </c>
    </row>
    <row r="3642" spans="6:33" ht="24" customHeight="1">
      <c r="F3642" s="129">
        <v>0.5</v>
      </c>
      <c r="G3642" s="116" t="s">
        <v>237</v>
      </c>
      <c r="H3642" s="115" t="s">
        <v>304</v>
      </c>
      <c r="I3642" s="115">
        <f>I1647</f>
        <v>679.8</v>
      </c>
      <c r="J3642" s="117" t="s">
        <v>237</v>
      </c>
      <c r="K3642" s="115">
        <f t="shared" si="351"/>
        <v>339.9</v>
      </c>
      <c r="S3642" s="115">
        <v>2</v>
      </c>
      <c r="T3642" s="116" t="s">
        <v>1572</v>
      </c>
      <c r="U3642" s="115" t="s">
        <v>3120</v>
      </c>
      <c r="V3642" s="205">
        <v>24.2</v>
      </c>
      <c r="W3642" s="119" t="s">
        <v>729</v>
      </c>
      <c r="X3642" s="115">
        <f t="shared" si="350"/>
        <v>48.4</v>
      </c>
    </row>
    <row r="3643" spans="6:33" ht="24" customHeight="1">
      <c r="F3643" s="129">
        <v>1.1000000000000001</v>
      </c>
      <c r="G3643" s="116" t="s">
        <v>237</v>
      </c>
      <c r="H3643" s="115" t="s">
        <v>306</v>
      </c>
      <c r="I3643" s="115">
        <f>I1648</f>
        <v>557.70000000000005</v>
      </c>
      <c r="J3643" s="117" t="s">
        <v>237</v>
      </c>
      <c r="K3643" s="115">
        <f t="shared" si="351"/>
        <v>613.47</v>
      </c>
      <c r="S3643" s="115">
        <v>2</v>
      </c>
      <c r="T3643" s="116" t="s">
        <v>1572</v>
      </c>
      <c r="U3643" s="115" t="s">
        <v>455</v>
      </c>
      <c r="V3643" s="115">
        <v>48.9</v>
      </c>
      <c r="W3643" s="119" t="s">
        <v>729</v>
      </c>
      <c r="X3643" s="115">
        <f t="shared" si="350"/>
        <v>97.8</v>
      </c>
    </row>
    <row r="3644" spans="6:33" ht="24" customHeight="1">
      <c r="F3644" s="129">
        <v>14.5</v>
      </c>
      <c r="G3644" s="116" t="s">
        <v>1791</v>
      </c>
      <c r="H3644" s="115" t="s">
        <v>5163</v>
      </c>
      <c r="I3644" s="115">
        <f>I3747</f>
        <v>24.93</v>
      </c>
      <c r="J3644" s="117" t="s">
        <v>1791</v>
      </c>
      <c r="K3644" s="115">
        <f t="shared" si="351"/>
        <v>361.49</v>
      </c>
      <c r="S3644" s="115">
        <v>118</v>
      </c>
      <c r="T3644" s="200"/>
      <c r="U3644" s="115" t="s">
        <v>3121</v>
      </c>
      <c r="V3644" s="115">
        <v>2.4</v>
      </c>
      <c r="X3644" s="115">
        <f t="shared" si="350"/>
        <v>283.2</v>
      </c>
    </row>
    <row r="3645" spans="6:33" ht="24" customHeight="1">
      <c r="G3645" s="116" t="s">
        <v>49</v>
      </c>
      <c r="H3645" s="115" t="s">
        <v>146</v>
      </c>
      <c r="J3645" s="117" t="s">
        <v>49</v>
      </c>
      <c r="K3645" s="115">
        <v>7</v>
      </c>
      <c r="S3645" s="115"/>
      <c r="X3645" s="114">
        <f>SUM(X3634:X3644)</f>
        <v>16983.79</v>
      </c>
    </row>
    <row r="3646" spans="6:33" ht="24" customHeight="1">
      <c r="S3646" s="115"/>
      <c r="T3646" s="200"/>
      <c r="U3646" s="114"/>
      <c r="X3646" s="1167" t="s">
        <v>2163</v>
      </c>
    </row>
    <row r="3647" spans="6:33" ht="24" customHeight="1">
      <c r="H3647" s="115" t="s">
        <v>495</v>
      </c>
      <c r="K3647" s="115">
        <f>SUM(K3639:K3646)</f>
        <v>3809.48</v>
      </c>
      <c r="S3647" s="115"/>
      <c r="T3647" s="200"/>
      <c r="U3647" s="114" t="s">
        <v>3122</v>
      </c>
      <c r="X3647" s="114">
        <f>X3645/2.835</f>
        <v>5990.75</v>
      </c>
    </row>
    <row r="3648" spans="6:33" ht="24" customHeight="1">
      <c r="H3648" s="115" t="s">
        <v>460</v>
      </c>
      <c r="K3648" s="115">
        <f>K3647/10</f>
        <v>380.95</v>
      </c>
      <c r="S3648" s="115"/>
      <c r="T3648" s="200"/>
      <c r="X3648" s="1167" t="s">
        <v>2163</v>
      </c>
      <c r="AB3648" s="1823" t="s">
        <v>5164</v>
      </c>
      <c r="AC3648" s="1823"/>
      <c r="AD3648" s="1823"/>
      <c r="AE3648" s="1823"/>
      <c r="AF3648" s="1823"/>
      <c r="AG3648" s="1823"/>
    </row>
    <row r="3649" spans="6:33" ht="24" customHeight="1">
      <c r="S3649" s="115"/>
      <c r="AB3649" s="1823"/>
      <c r="AC3649" s="1823"/>
      <c r="AD3649" s="1823"/>
      <c r="AE3649" s="1823"/>
      <c r="AF3649" s="1823"/>
      <c r="AG3649" s="1823"/>
    </row>
    <row r="3650" spans="6:33" ht="24" customHeight="1">
      <c r="K3650" s="115" t="s">
        <v>89</v>
      </c>
      <c r="S3650" s="542" t="s">
        <v>5165</v>
      </c>
      <c r="T3650" s="542"/>
      <c r="U3650" s="542"/>
      <c r="V3650" s="542"/>
      <c r="W3650" s="308"/>
      <c r="X3650" s="308"/>
      <c r="Y3650" s="307"/>
      <c r="AB3650" s="310"/>
      <c r="AC3650" s="311"/>
      <c r="AD3650" s="312"/>
      <c r="AE3650" s="313"/>
      <c r="AF3650" s="311"/>
      <c r="AG3650" s="313"/>
    </row>
    <row r="3651" spans="6:33" ht="24" customHeight="1">
      <c r="S3651" s="310"/>
      <c r="T3651" s="311"/>
      <c r="U3651" s="312"/>
      <c r="V3651" s="313"/>
      <c r="W3651" s="543"/>
      <c r="X3651" s="313"/>
      <c r="Y3651" s="307"/>
      <c r="AB3651" s="310"/>
      <c r="AC3651" s="311"/>
      <c r="AD3651" s="314"/>
      <c r="AE3651" s="544"/>
      <c r="AF3651" s="311"/>
      <c r="AG3651" s="313"/>
    </row>
    <row r="3652" spans="6:33" ht="24" customHeight="1">
      <c r="G3652" s="115"/>
      <c r="H3652" s="128" t="s">
        <v>5166</v>
      </c>
      <c r="J3652" s="115"/>
      <c r="S3652" s="310"/>
      <c r="T3652" s="311"/>
      <c r="U3652" s="314"/>
      <c r="V3652" s="544"/>
      <c r="W3652" s="543"/>
      <c r="X3652" s="313"/>
      <c r="Y3652" s="307"/>
      <c r="AB3652" s="310">
        <v>38.86</v>
      </c>
      <c r="AC3652" s="311" t="s">
        <v>476</v>
      </c>
      <c r="AD3652" s="545" t="s">
        <v>5167</v>
      </c>
      <c r="AE3652" s="313">
        <f>V3653</f>
        <v>325</v>
      </c>
      <c r="AF3652" s="311" t="s">
        <v>476</v>
      </c>
      <c r="AG3652" s="313">
        <f>AE3652*AB3652</f>
        <v>12629.5</v>
      </c>
    </row>
    <row r="3653" spans="6:33" ht="24" customHeight="1">
      <c r="G3653" s="115"/>
      <c r="H3653" s="123" t="s">
        <v>52</v>
      </c>
      <c r="J3653" s="115"/>
      <c r="S3653" s="310">
        <v>28.49</v>
      </c>
      <c r="T3653" s="311" t="s">
        <v>476</v>
      </c>
      <c r="U3653" s="545" t="s">
        <v>5167</v>
      </c>
      <c r="V3653" s="546">
        <f>I3781</f>
        <v>325</v>
      </c>
      <c r="W3653" s="543" t="s">
        <v>476</v>
      </c>
      <c r="X3653" s="313">
        <f>V3653*S3653</f>
        <v>9259.25</v>
      </c>
      <c r="Y3653" s="307"/>
      <c r="AB3653" s="547">
        <v>34.65</v>
      </c>
      <c r="AC3653" s="311" t="s">
        <v>13</v>
      </c>
      <c r="AD3653" s="314" t="s">
        <v>5168</v>
      </c>
      <c r="AE3653" s="313">
        <f>V3654</f>
        <v>38.25</v>
      </c>
      <c r="AF3653" s="311" t="s">
        <v>13</v>
      </c>
      <c r="AG3653" s="313">
        <f t="shared" ref="AG3653:AG3660" si="352">AE3653*AB3653</f>
        <v>1325.36</v>
      </c>
    </row>
    <row r="3654" spans="6:33" ht="24" customHeight="1">
      <c r="G3654" s="120" t="s">
        <v>111</v>
      </c>
      <c r="H3654" s="122" t="s">
        <v>5169</v>
      </c>
      <c r="J3654" s="115"/>
      <c r="S3654" s="547">
        <v>3.82</v>
      </c>
      <c r="T3654" s="311" t="s">
        <v>13</v>
      </c>
      <c r="U3654" s="314" t="s">
        <v>5170</v>
      </c>
      <c r="V3654" s="546">
        <v>38.25</v>
      </c>
      <c r="W3654" s="543" t="s">
        <v>13</v>
      </c>
      <c r="X3654" s="313">
        <v>501.66</v>
      </c>
      <c r="Y3654" s="307"/>
      <c r="AB3654" s="310">
        <v>2.4300000000000002</v>
      </c>
      <c r="AC3654" s="311" t="s">
        <v>468</v>
      </c>
      <c r="AD3654" s="314" t="s">
        <v>3197</v>
      </c>
      <c r="AE3654" s="313">
        <f>V3655</f>
        <v>362.5</v>
      </c>
      <c r="AF3654" s="311" t="s">
        <v>468</v>
      </c>
      <c r="AG3654" s="313">
        <f t="shared" si="352"/>
        <v>880.88</v>
      </c>
    </row>
    <row r="3655" spans="6:33" ht="24" customHeight="1">
      <c r="G3655" s="115"/>
      <c r="H3655" s="122" t="s">
        <v>5171</v>
      </c>
      <c r="J3655" s="115"/>
      <c r="S3655" s="310">
        <v>1.52</v>
      </c>
      <c r="T3655" s="311" t="s">
        <v>468</v>
      </c>
      <c r="U3655" s="314" t="s">
        <v>3197</v>
      </c>
      <c r="V3655" s="546">
        <v>362.5</v>
      </c>
      <c r="W3655" s="543" t="s">
        <v>468</v>
      </c>
      <c r="X3655" s="313">
        <f t="shared" ref="X3655:X3664" si="353">V3655*S3655</f>
        <v>551</v>
      </c>
      <c r="Y3655" s="307"/>
      <c r="AB3655" s="310">
        <v>4.8499999999999996</v>
      </c>
      <c r="AC3655" s="311" t="s">
        <v>468</v>
      </c>
      <c r="AD3655" s="314" t="s">
        <v>3198</v>
      </c>
      <c r="AE3655" s="313">
        <f>V3656</f>
        <v>695</v>
      </c>
      <c r="AF3655" s="311" t="s">
        <v>237</v>
      </c>
      <c r="AG3655" s="313">
        <f t="shared" si="352"/>
        <v>3370.75</v>
      </c>
    </row>
    <row r="3656" spans="6:33" ht="24" customHeight="1">
      <c r="G3656" s="115"/>
      <c r="H3656" s="122" t="s">
        <v>611</v>
      </c>
      <c r="J3656" s="115"/>
      <c r="S3656" s="310">
        <v>1.52</v>
      </c>
      <c r="T3656" s="311" t="s">
        <v>468</v>
      </c>
      <c r="U3656" s="314" t="s">
        <v>3198</v>
      </c>
      <c r="V3656" s="544">
        <v>695</v>
      </c>
      <c r="W3656" s="543" t="s">
        <v>237</v>
      </c>
      <c r="X3656" s="313">
        <f t="shared" si="353"/>
        <v>1056.4000000000001</v>
      </c>
      <c r="Y3656" s="307"/>
      <c r="AB3656" s="377">
        <v>144</v>
      </c>
      <c r="AC3656" s="375" t="s">
        <v>1572</v>
      </c>
      <c r="AD3656" s="377" t="s">
        <v>5172</v>
      </c>
      <c r="AE3656" s="546">
        <v>2.41</v>
      </c>
      <c r="AF3656" s="380" t="s">
        <v>1034</v>
      </c>
      <c r="AG3656" s="313">
        <f t="shared" si="352"/>
        <v>347.04</v>
      </c>
    </row>
    <row r="3657" spans="6:33" ht="24" customHeight="1">
      <c r="G3657" s="115"/>
      <c r="H3657" s="123" t="s">
        <v>52</v>
      </c>
      <c r="J3657" s="115"/>
      <c r="S3657" s="310">
        <v>3</v>
      </c>
      <c r="T3657" s="311" t="s">
        <v>3199</v>
      </c>
      <c r="U3657" s="314" t="s">
        <v>5173</v>
      </c>
      <c r="V3657" s="546">
        <v>11.9</v>
      </c>
      <c r="W3657" s="543" t="s">
        <v>3199</v>
      </c>
      <c r="X3657" s="313">
        <f t="shared" si="353"/>
        <v>35.700000000000003</v>
      </c>
      <c r="Y3657" s="307"/>
      <c r="AB3657" s="377">
        <v>12</v>
      </c>
      <c r="AC3657" s="375" t="s">
        <v>1572</v>
      </c>
      <c r="AD3657" s="377" t="s">
        <v>5174</v>
      </c>
      <c r="AE3657" s="546">
        <v>4.88</v>
      </c>
      <c r="AF3657" s="380" t="s">
        <v>1034</v>
      </c>
      <c r="AG3657" s="313">
        <f t="shared" si="352"/>
        <v>58.56</v>
      </c>
    </row>
    <row r="3658" spans="6:33" ht="24" customHeight="1">
      <c r="G3658" s="120" t="s">
        <v>612</v>
      </c>
      <c r="H3658" s="532" t="s">
        <v>5175</v>
      </c>
      <c r="J3658" s="115"/>
      <c r="S3658" s="310">
        <v>4.2</v>
      </c>
      <c r="T3658" s="311" t="s">
        <v>729</v>
      </c>
      <c r="U3658" s="314" t="s">
        <v>5176</v>
      </c>
      <c r="V3658" s="546">
        <v>7.95</v>
      </c>
      <c r="W3658" s="543" t="s">
        <v>237</v>
      </c>
      <c r="X3658" s="313">
        <f t="shared" si="353"/>
        <v>33.39</v>
      </c>
      <c r="Y3658" s="307"/>
      <c r="AB3658" s="377">
        <v>12</v>
      </c>
      <c r="AC3658" s="375" t="s">
        <v>1572</v>
      </c>
      <c r="AD3658" s="377" t="s">
        <v>5177</v>
      </c>
      <c r="AE3658" s="546">
        <v>1.08</v>
      </c>
      <c r="AF3658" s="380" t="s">
        <v>1034</v>
      </c>
      <c r="AG3658" s="313">
        <f t="shared" si="352"/>
        <v>12.96</v>
      </c>
    </row>
    <row r="3659" spans="6:33" ht="24" customHeight="1">
      <c r="G3659" s="115"/>
      <c r="H3659" s="123" t="s">
        <v>52</v>
      </c>
      <c r="J3659" s="115"/>
      <c r="S3659" s="310">
        <v>3.15</v>
      </c>
      <c r="T3659" s="311" t="s">
        <v>724</v>
      </c>
      <c r="U3659" s="314" t="s">
        <v>3130</v>
      </c>
      <c r="V3659" s="307">
        <f>X3675</f>
        <v>2085.6</v>
      </c>
      <c r="W3659" s="543" t="s">
        <v>724</v>
      </c>
      <c r="X3659" s="313">
        <f t="shared" si="353"/>
        <v>6569.64</v>
      </c>
      <c r="Y3659" s="307"/>
      <c r="AB3659" s="310">
        <v>2</v>
      </c>
      <c r="AC3659" s="311" t="s">
        <v>3199</v>
      </c>
      <c r="AD3659" s="314" t="s">
        <v>5178</v>
      </c>
      <c r="AE3659" s="546">
        <f>V3657</f>
        <v>11.9</v>
      </c>
      <c r="AF3659" s="311" t="s">
        <v>3199</v>
      </c>
      <c r="AG3659" s="313">
        <f t="shared" si="352"/>
        <v>23.8</v>
      </c>
    </row>
    <row r="3660" spans="6:33" ht="24" customHeight="1">
      <c r="F3660" s="129">
        <v>18.899999999999999</v>
      </c>
      <c r="G3660" s="120" t="s">
        <v>132</v>
      </c>
      <c r="H3660" s="120" t="s">
        <v>615</v>
      </c>
      <c r="I3660" s="129">
        <f>P431</f>
        <v>233.76</v>
      </c>
      <c r="J3660" s="120" t="s">
        <v>132</v>
      </c>
      <c r="K3660" s="129">
        <f>(F3660*I3660)</f>
        <v>4418.0600000000004</v>
      </c>
      <c r="S3660" s="114">
        <v>1</v>
      </c>
      <c r="T3660" s="200" t="s">
        <v>1572</v>
      </c>
      <c r="U3660" s="114" t="s">
        <v>5179</v>
      </c>
      <c r="V3660" s="510">
        <v>49.55</v>
      </c>
      <c r="W3660" s="166" t="s">
        <v>729</v>
      </c>
      <c r="X3660" s="114">
        <f t="shared" si="353"/>
        <v>49.55</v>
      </c>
      <c r="Y3660" s="307"/>
      <c r="AB3660" s="310">
        <v>6.6150000000000002</v>
      </c>
      <c r="AC3660" s="311" t="s">
        <v>724</v>
      </c>
      <c r="AD3660" s="314" t="s">
        <v>3130</v>
      </c>
      <c r="AE3660" s="546">
        <f>V3659</f>
        <v>2085.6</v>
      </c>
      <c r="AF3660" s="311" t="s">
        <v>724</v>
      </c>
      <c r="AG3660" s="313">
        <f t="shared" si="352"/>
        <v>13796.24</v>
      </c>
    </row>
    <row r="3661" spans="6:33" ht="24" customHeight="1">
      <c r="F3661" s="129">
        <v>18.63</v>
      </c>
      <c r="G3661" s="120" t="s">
        <v>132</v>
      </c>
      <c r="H3661" s="120" t="s">
        <v>616</v>
      </c>
      <c r="I3661" s="129">
        <f>P432</f>
        <v>40.65</v>
      </c>
      <c r="J3661" s="120" t="s">
        <v>132</v>
      </c>
      <c r="K3661" s="129">
        <f>(F3661*I3661)</f>
        <v>757.31</v>
      </c>
      <c r="S3661" s="114">
        <v>1</v>
      </c>
      <c r="T3661" s="200" t="s">
        <v>1572</v>
      </c>
      <c r="U3661" s="114" t="s">
        <v>5180</v>
      </c>
      <c r="V3661" s="510">
        <v>1008</v>
      </c>
      <c r="W3661" s="166" t="s">
        <v>729</v>
      </c>
      <c r="X3661" s="114">
        <f t="shared" si="353"/>
        <v>1008</v>
      </c>
      <c r="Y3661" s="307"/>
      <c r="AB3661" s="310"/>
      <c r="AC3661" s="311"/>
      <c r="AD3661" s="120" t="s">
        <v>5181</v>
      </c>
      <c r="AE3661" s="546"/>
      <c r="AF3661" s="311"/>
      <c r="AG3661" s="353">
        <f>SUM(AG3652:AG3660)</f>
        <v>32445.09</v>
      </c>
    </row>
    <row r="3662" spans="6:33" ht="40.5" customHeight="1">
      <c r="F3662" s="129">
        <v>30</v>
      </c>
      <c r="G3662" s="120" t="s">
        <v>282</v>
      </c>
      <c r="H3662" s="175" t="s">
        <v>5182</v>
      </c>
      <c r="I3662" s="537">
        <v>277</v>
      </c>
      <c r="J3662" s="120" t="s">
        <v>282</v>
      </c>
      <c r="K3662" s="129">
        <f>(F3662*I3662)</f>
        <v>8310</v>
      </c>
      <c r="S3662" s="377">
        <v>45</v>
      </c>
      <c r="T3662" s="375" t="s">
        <v>1572</v>
      </c>
      <c r="U3662" s="377" t="s">
        <v>5183</v>
      </c>
      <c r="V3662" s="548">
        <v>2.21</v>
      </c>
      <c r="W3662" s="521" t="s">
        <v>1034</v>
      </c>
      <c r="X3662" s="313">
        <f t="shared" si="353"/>
        <v>99.45</v>
      </c>
      <c r="Y3662" s="307"/>
      <c r="AB3662" s="310"/>
      <c r="AC3662" s="311"/>
      <c r="AD3662" s="120" t="s">
        <v>460</v>
      </c>
      <c r="AE3662" s="546"/>
      <c r="AF3662" s="308"/>
      <c r="AG3662" s="353">
        <f>AG3661/AB3660</f>
        <v>4904.78</v>
      </c>
    </row>
    <row r="3663" spans="6:33" ht="45.75" customHeight="1">
      <c r="G3663" s="115"/>
      <c r="J3663" s="115"/>
      <c r="S3663" s="377">
        <v>2</v>
      </c>
      <c r="T3663" s="375" t="s">
        <v>1572</v>
      </c>
      <c r="U3663" s="377" t="s">
        <v>3205</v>
      </c>
      <c r="V3663" s="549">
        <v>108.7</v>
      </c>
      <c r="W3663" s="166" t="s">
        <v>729</v>
      </c>
      <c r="X3663" s="313">
        <f t="shared" si="353"/>
        <v>217.4</v>
      </c>
      <c r="Y3663" s="307"/>
      <c r="AB3663" s="307"/>
      <c r="AC3663" s="307"/>
      <c r="AD3663" s="336"/>
      <c r="AE3663" s="546"/>
      <c r="AF3663" s="307"/>
      <c r="AG3663" s="307"/>
    </row>
    <row r="3664" spans="6:33" ht="24" customHeight="1">
      <c r="F3664" s="129">
        <v>30</v>
      </c>
      <c r="G3664" s="120" t="s">
        <v>282</v>
      </c>
      <c r="H3664" s="120" t="s">
        <v>617</v>
      </c>
      <c r="I3664" s="361">
        <v>17.399999999999999</v>
      </c>
      <c r="J3664" s="120" t="s">
        <v>282</v>
      </c>
      <c r="K3664" s="129">
        <f>(F3664*I3664)</f>
        <v>522</v>
      </c>
      <c r="S3664" s="377">
        <v>2</v>
      </c>
      <c r="T3664" s="375" t="s">
        <v>1572</v>
      </c>
      <c r="U3664" s="377" t="s">
        <v>3206</v>
      </c>
      <c r="V3664" s="549">
        <v>54</v>
      </c>
      <c r="W3664" s="166" t="s">
        <v>729</v>
      </c>
      <c r="X3664" s="313">
        <f t="shared" si="353"/>
        <v>108</v>
      </c>
      <c r="Y3664" s="307"/>
      <c r="AB3664" s="313">
        <v>1</v>
      </c>
      <c r="AC3664" s="311" t="s">
        <v>131</v>
      </c>
      <c r="AD3664" s="314" t="s">
        <v>4405</v>
      </c>
      <c r="AE3664" s="546">
        <f>V3670</f>
        <v>919.6</v>
      </c>
      <c r="AF3664" s="314" t="s">
        <v>131</v>
      </c>
      <c r="AG3664" s="313">
        <f>AE3664*AB3664</f>
        <v>919.6</v>
      </c>
    </row>
    <row r="3665" spans="6:33" ht="24" customHeight="1">
      <c r="G3665" s="115"/>
      <c r="H3665" s="120" t="s">
        <v>618</v>
      </c>
      <c r="J3665" s="115"/>
      <c r="S3665" s="115"/>
      <c r="X3665" s="118"/>
      <c r="Y3665" s="307"/>
      <c r="AB3665" s="313">
        <v>1</v>
      </c>
      <c r="AC3665" s="311" t="s">
        <v>131</v>
      </c>
      <c r="AD3665" s="314" t="s">
        <v>4406</v>
      </c>
      <c r="AE3665" s="546">
        <f>V3671</f>
        <v>679.8</v>
      </c>
      <c r="AF3665" s="314" t="s">
        <v>131</v>
      </c>
      <c r="AG3665" s="313">
        <f>AE3665*AB3665</f>
        <v>679.8</v>
      </c>
    </row>
    <row r="3666" spans="6:33" ht="24" customHeight="1">
      <c r="G3666" s="115"/>
      <c r="H3666" s="120" t="s">
        <v>619</v>
      </c>
      <c r="J3666" s="115"/>
      <c r="S3666" s="310"/>
      <c r="T3666" s="311"/>
      <c r="U3666" s="314"/>
      <c r="V3666" s="307"/>
      <c r="W3666" s="352"/>
      <c r="X3666" s="313"/>
      <c r="Y3666" s="307"/>
      <c r="AB3666" s="313">
        <v>0.5</v>
      </c>
      <c r="AC3666" s="311" t="s">
        <v>131</v>
      </c>
      <c r="AD3666" s="314" t="s">
        <v>4407</v>
      </c>
      <c r="AE3666" s="546">
        <f>V3672</f>
        <v>972.4</v>
      </c>
      <c r="AF3666" s="314" t="s">
        <v>131</v>
      </c>
      <c r="AG3666" s="313">
        <f>AE3666*AB3666</f>
        <v>486.2</v>
      </c>
    </row>
    <row r="3667" spans="6:33" ht="24" customHeight="1">
      <c r="G3667" s="115"/>
      <c r="H3667" s="120" t="s">
        <v>620</v>
      </c>
      <c r="J3667" s="115"/>
      <c r="S3667" s="310"/>
      <c r="T3667" s="311"/>
      <c r="U3667" s="120" t="s">
        <v>3207</v>
      </c>
      <c r="W3667" s="543"/>
      <c r="X3667" s="313">
        <f>SUM(X3653:X3666)</f>
        <v>19489.439999999999</v>
      </c>
      <c r="Y3667" s="307"/>
      <c r="AB3667" s="307"/>
      <c r="AC3667" s="311" t="s">
        <v>145</v>
      </c>
      <c r="AD3667" s="314"/>
      <c r="AE3667" s="546">
        <f>V3673</f>
        <v>0</v>
      </c>
      <c r="AF3667" s="314" t="s">
        <v>145</v>
      </c>
      <c r="AG3667" s="313"/>
    </row>
    <row r="3668" spans="6:33" ht="24" customHeight="1">
      <c r="G3668" s="115"/>
      <c r="H3668" s="120" t="s">
        <v>5184</v>
      </c>
      <c r="J3668" s="115"/>
      <c r="S3668" s="310"/>
      <c r="T3668" s="311"/>
      <c r="U3668" s="120" t="s">
        <v>460</v>
      </c>
      <c r="W3668" s="308"/>
      <c r="X3668" s="353">
        <f>X3667/3.15</f>
        <v>6187.12</v>
      </c>
      <c r="Y3668" s="354" t="s">
        <v>729</v>
      </c>
      <c r="AB3668" s="307"/>
      <c r="AC3668" s="334"/>
      <c r="AD3668" s="307"/>
      <c r="AE3668" s="307"/>
      <c r="AF3668" s="355"/>
      <c r="AG3668" s="356" t="s">
        <v>52</v>
      </c>
    </row>
    <row r="3669" spans="6:33" ht="24" customHeight="1">
      <c r="G3669" s="115"/>
      <c r="H3669" s="120"/>
      <c r="J3669" s="115"/>
      <c r="S3669" s="307"/>
      <c r="T3669" s="307"/>
      <c r="U3669" s="336"/>
      <c r="V3669" s="307"/>
      <c r="W3669" s="352"/>
      <c r="X3669" s="307"/>
      <c r="Y3669" s="307"/>
      <c r="AB3669" s="307"/>
      <c r="AC3669" s="334"/>
      <c r="AD3669" s="314" t="s">
        <v>3140</v>
      </c>
      <c r="AE3669" s="307"/>
      <c r="AF3669" s="355"/>
      <c r="AG3669" s="353">
        <f>SUM(AG3664:AG3668)</f>
        <v>2085.6</v>
      </c>
    </row>
    <row r="3670" spans="6:33" ht="24.75" customHeight="1">
      <c r="F3670" s="129">
        <v>5</v>
      </c>
      <c r="G3670" s="120" t="s">
        <v>237</v>
      </c>
      <c r="H3670" s="176" t="s">
        <v>5185</v>
      </c>
      <c r="I3670" s="136">
        <v>40.9</v>
      </c>
      <c r="J3670" s="120" t="s">
        <v>237</v>
      </c>
      <c r="K3670" s="129">
        <f>(F3670*I3670)</f>
        <v>204.5</v>
      </c>
      <c r="L3670" s="538">
        <v>35.6</v>
      </c>
      <c r="S3670" s="313">
        <v>1</v>
      </c>
      <c r="T3670" s="311" t="s">
        <v>131</v>
      </c>
      <c r="U3670" s="314" t="s">
        <v>4405</v>
      </c>
      <c r="V3670" s="313">
        <f>AE17</f>
        <v>919.6</v>
      </c>
      <c r="W3670" s="543" t="s">
        <v>131</v>
      </c>
      <c r="X3670" s="313">
        <f>V3670*S3670</f>
        <v>919.6</v>
      </c>
      <c r="Y3670" s="307"/>
      <c r="AB3670" s="307"/>
      <c r="AC3670" s="334"/>
      <c r="AD3670" s="307"/>
      <c r="AE3670" s="307"/>
      <c r="AF3670" s="355"/>
      <c r="AG3670" s="356" t="s">
        <v>52</v>
      </c>
    </row>
    <row r="3671" spans="6:33" ht="30" customHeight="1">
      <c r="F3671" s="129">
        <v>1</v>
      </c>
      <c r="G3671" s="120" t="s">
        <v>145</v>
      </c>
      <c r="H3671" s="120" t="s">
        <v>629</v>
      </c>
      <c r="I3671" s="129">
        <v>12.1</v>
      </c>
      <c r="J3671" s="120" t="s">
        <v>145</v>
      </c>
      <c r="K3671" s="129">
        <f>(F3671*I3671)</f>
        <v>12.1</v>
      </c>
      <c r="S3671" s="313">
        <v>1</v>
      </c>
      <c r="T3671" s="311" t="s">
        <v>131</v>
      </c>
      <c r="U3671" s="314" t="s">
        <v>4406</v>
      </c>
      <c r="V3671" s="313">
        <f>AE11</f>
        <v>679.8</v>
      </c>
      <c r="W3671" s="543" t="s">
        <v>131</v>
      </c>
      <c r="X3671" s="313">
        <f>V3671*S3671</f>
        <v>679.8</v>
      </c>
      <c r="Y3671" s="307"/>
    </row>
    <row r="3672" spans="6:33" ht="24" customHeight="1">
      <c r="F3672" s="129"/>
      <c r="G3672" s="120" t="s">
        <v>145</v>
      </c>
      <c r="H3672" s="120" t="s">
        <v>146</v>
      </c>
      <c r="J3672" s="120" t="s">
        <v>145</v>
      </c>
      <c r="K3672" s="129">
        <v>17.100000000000001</v>
      </c>
      <c r="S3672" s="313">
        <v>0.5</v>
      </c>
      <c r="T3672" s="311" t="s">
        <v>131</v>
      </c>
      <c r="U3672" s="314" t="s">
        <v>4407</v>
      </c>
      <c r="V3672" s="313">
        <f>AE20</f>
        <v>972.4</v>
      </c>
      <c r="W3672" s="543" t="s">
        <v>131</v>
      </c>
      <c r="X3672" s="313">
        <f>V3672*S3672</f>
        <v>486.2</v>
      </c>
      <c r="Y3672" s="307"/>
    </row>
    <row r="3673" spans="6:33" ht="24" customHeight="1">
      <c r="G3673" s="115"/>
      <c r="J3673" s="115"/>
      <c r="S3673" s="307"/>
      <c r="T3673" s="311" t="s">
        <v>145</v>
      </c>
      <c r="U3673" s="314"/>
      <c r="V3673" s="313"/>
      <c r="W3673" s="543" t="s">
        <v>145</v>
      </c>
      <c r="X3673" s="313"/>
      <c r="Y3673" s="307"/>
    </row>
    <row r="3674" spans="6:33" ht="24" customHeight="1">
      <c r="G3674" s="115"/>
      <c r="J3674" s="115"/>
      <c r="K3674" s="123" t="s">
        <v>52</v>
      </c>
      <c r="S3674" s="307"/>
      <c r="T3674" s="334"/>
      <c r="U3674" s="307"/>
      <c r="V3674" s="307"/>
      <c r="W3674" s="352"/>
      <c r="X3674" s="356" t="s">
        <v>52</v>
      </c>
      <c r="Y3674" s="307"/>
    </row>
    <row r="3675" spans="6:33" ht="24" customHeight="1">
      <c r="G3675" s="115"/>
      <c r="H3675" s="120" t="s">
        <v>631</v>
      </c>
      <c r="J3675" s="115"/>
      <c r="K3675" s="129">
        <f>SUM(K3660:K3672)</f>
        <v>14241.07</v>
      </c>
      <c r="S3675" s="307"/>
      <c r="T3675" s="334"/>
      <c r="U3675" s="314" t="s">
        <v>3140</v>
      </c>
      <c r="V3675" s="307"/>
      <c r="W3675" s="352"/>
      <c r="X3675" s="353">
        <f>SUM(X3670:X3674)</f>
        <v>2085.6</v>
      </c>
      <c r="Y3675" s="307"/>
    </row>
    <row r="3676" spans="6:33" ht="24" customHeight="1">
      <c r="G3676" s="115"/>
      <c r="J3676" s="115"/>
      <c r="K3676" s="123" t="s">
        <v>52</v>
      </c>
      <c r="S3676" s="307"/>
      <c r="T3676" s="334"/>
      <c r="U3676" s="307"/>
      <c r="V3676" s="307"/>
      <c r="W3676" s="352"/>
      <c r="X3676" s="356" t="s">
        <v>52</v>
      </c>
      <c r="Y3676" s="307"/>
    </row>
    <row r="3677" spans="6:33" ht="24" customHeight="1">
      <c r="G3677" s="115"/>
      <c r="H3677" s="120" t="s">
        <v>632</v>
      </c>
      <c r="J3677" s="115"/>
      <c r="K3677" s="127">
        <f>(K3675/30)</f>
        <v>474.7</v>
      </c>
      <c r="S3677" s="115"/>
    </row>
    <row r="3678" spans="6:33" ht="24" customHeight="1">
      <c r="G3678" s="115"/>
      <c r="J3678" s="115"/>
      <c r="K3678" s="123" t="s">
        <v>52</v>
      </c>
      <c r="S3678" s="115"/>
    </row>
    <row r="3679" spans="6:33" ht="24" customHeight="1">
      <c r="G3679" s="120" t="s">
        <v>634</v>
      </c>
      <c r="H3679" s="532" t="s">
        <v>5186</v>
      </c>
      <c r="J3679" s="115"/>
      <c r="S3679" s="533"/>
      <c r="T3679" s="533"/>
      <c r="U3679" s="533"/>
      <c r="V3679" s="533"/>
      <c r="W3679" s="550"/>
      <c r="X3679" s="533"/>
    </row>
    <row r="3680" spans="6:33" ht="24" customHeight="1">
      <c r="G3680" s="115"/>
      <c r="H3680" s="123" t="s">
        <v>52</v>
      </c>
      <c r="J3680" s="115"/>
      <c r="S3680" s="1808" t="s">
        <v>5187</v>
      </c>
      <c r="T3680" s="1808"/>
      <c r="U3680" s="1808"/>
      <c r="V3680" s="1808"/>
      <c r="W3680" s="308"/>
      <c r="X3680" s="308"/>
    </row>
    <row r="3681" spans="6:25" ht="24" customHeight="1">
      <c r="F3681" s="129">
        <f>F3660</f>
        <v>18.899999999999999</v>
      </c>
      <c r="G3681" s="120" t="s">
        <v>132</v>
      </c>
      <c r="H3681" s="120" t="str">
        <f>H3660</f>
        <v>E.W EXCLUDING REFILLING</v>
      </c>
      <c r="I3681" s="129">
        <f>I3660</f>
        <v>233.76</v>
      </c>
      <c r="J3681" s="120" t="s">
        <v>132</v>
      </c>
      <c r="K3681" s="129">
        <f>(F3681*I3681)</f>
        <v>4418.0600000000004</v>
      </c>
      <c r="S3681" s="310"/>
      <c r="T3681" s="311"/>
      <c r="U3681" s="312"/>
      <c r="V3681" s="313"/>
      <c r="W3681" s="543"/>
      <c r="X3681" s="313"/>
    </row>
    <row r="3682" spans="6:25" ht="24" customHeight="1">
      <c r="F3682" s="129">
        <v>18.3</v>
      </c>
      <c r="G3682" s="120" t="s">
        <v>132</v>
      </c>
      <c r="H3682" s="120" t="str">
        <f>H3661</f>
        <v>REFILLING CHARGE</v>
      </c>
      <c r="I3682" s="129">
        <f>I3661</f>
        <v>40.65</v>
      </c>
      <c r="J3682" s="120" t="s">
        <v>132</v>
      </c>
      <c r="K3682" s="129">
        <f>(F3682*I3682)</f>
        <v>743.9</v>
      </c>
      <c r="S3682" s="310"/>
      <c r="T3682" s="311"/>
      <c r="U3682" s="314"/>
      <c r="V3682" s="313"/>
      <c r="W3682" s="543"/>
      <c r="X3682" s="313"/>
    </row>
    <row r="3683" spans="6:25" ht="33.75" customHeight="1">
      <c r="F3683" s="129">
        <f>F3662</f>
        <v>30</v>
      </c>
      <c r="G3683" s="120" t="s">
        <v>282</v>
      </c>
      <c r="H3683" s="175" t="s">
        <v>5188</v>
      </c>
      <c r="I3683" s="127">
        <v>581</v>
      </c>
      <c r="J3683" s="120" t="s">
        <v>282</v>
      </c>
      <c r="K3683" s="129">
        <f>(F3683*I3683)</f>
        <v>17430</v>
      </c>
      <c r="S3683" s="310">
        <v>29.06</v>
      </c>
      <c r="T3683" s="311" t="s">
        <v>476</v>
      </c>
      <c r="U3683" s="545" t="s">
        <v>5167</v>
      </c>
      <c r="V3683" s="313">
        <f>V3653</f>
        <v>325</v>
      </c>
      <c r="W3683" s="543" t="s">
        <v>476</v>
      </c>
      <c r="X3683" s="313">
        <f>V3683*S3683</f>
        <v>9444.5</v>
      </c>
    </row>
    <row r="3684" spans="6:25" ht="39" customHeight="1">
      <c r="F3684" s="129"/>
      <c r="G3684" s="115"/>
      <c r="H3684" s="120"/>
      <c r="I3684" s="129"/>
      <c r="J3684" s="115"/>
      <c r="K3684" s="129"/>
      <c r="S3684" s="547">
        <v>9.24</v>
      </c>
      <c r="T3684" s="311" t="s">
        <v>13</v>
      </c>
      <c r="U3684" s="314" t="s">
        <v>3196</v>
      </c>
      <c r="V3684" s="313">
        <f t="shared" ref="V3684:V3694" si="354">V3654</f>
        <v>38.25</v>
      </c>
      <c r="W3684" s="543" t="s">
        <v>13</v>
      </c>
      <c r="X3684" s="313">
        <f t="shared" ref="X3684:X3694" si="355">V3684*S3684</f>
        <v>353.43</v>
      </c>
    </row>
    <row r="3685" spans="6:25" ht="24" customHeight="1">
      <c r="F3685" s="129">
        <f>F3664</f>
        <v>30</v>
      </c>
      <c r="G3685" s="115"/>
      <c r="H3685" s="120" t="str">
        <f>H3664</f>
        <v>CONVEYING,LOWERING  ANDLAYING</v>
      </c>
      <c r="I3685" s="129">
        <v>24.6</v>
      </c>
      <c r="J3685" s="120" t="s">
        <v>282</v>
      </c>
      <c r="K3685" s="129">
        <f>(F3685*I3685)</f>
        <v>738</v>
      </c>
      <c r="S3685" s="310">
        <v>1.49</v>
      </c>
      <c r="T3685" s="311" t="s">
        <v>468</v>
      </c>
      <c r="U3685" s="314" t="s">
        <v>3197</v>
      </c>
      <c r="V3685" s="313">
        <f t="shared" si="354"/>
        <v>362.5</v>
      </c>
      <c r="W3685" s="543" t="s">
        <v>468</v>
      </c>
      <c r="X3685" s="313">
        <f t="shared" si="355"/>
        <v>540.13</v>
      </c>
    </row>
    <row r="3686" spans="6:25" ht="24" customHeight="1">
      <c r="F3686" s="129"/>
      <c r="G3686" s="115"/>
      <c r="H3686" s="120" t="str">
        <f>H3665</f>
        <v>TO PROPER GRADEAND</v>
      </c>
      <c r="I3686" s="129"/>
      <c r="J3686" s="115"/>
      <c r="S3686" s="310">
        <v>0.75</v>
      </c>
      <c r="T3686" s="311" t="s">
        <v>468</v>
      </c>
      <c r="U3686" s="314" t="s">
        <v>3198</v>
      </c>
      <c r="V3686" s="313">
        <f t="shared" si="354"/>
        <v>695</v>
      </c>
      <c r="W3686" s="543" t="s">
        <v>237</v>
      </c>
      <c r="X3686" s="313">
        <f t="shared" si="355"/>
        <v>521.25</v>
      </c>
    </row>
    <row r="3687" spans="6:25" ht="24" customHeight="1">
      <c r="F3687" s="129"/>
      <c r="G3687" s="115"/>
      <c r="H3687" s="120" t="str">
        <f>H3666</f>
        <v>ALIGNMENT,JOINTING</v>
      </c>
      <c r="I3687" s="129"/>
      <c r="J3687" s="115"/>
      <c r="S3687" s="551">
        <v>2</v>
      </c>
      <c r="T3687" s="311" t="s">
        <v>3199</v>
      </c>
      <c r="U3687" s="314" t="s">
        <v>5178</v>
      </c>
      <c r="V3687" s="313">
        <f t="shared" si="354"/>
        <v>11.9</v>
      </c>
      <c r="W3687" s="543" t="s">
        <v>3199</v>
      </c>
      <c r="X3687" s="313">
        <f t="shared" si="355"/>
        <v>23.8</v>
      </c>
    </row>
    <row r="3688" spans="6:25" ht="24" customHeight="1">
      <c r="F3688" s="129"/>
      <c r="G3688" s="120"/>
      <c r="H3688" s="120" t="str">
        <f>H3667</f>
        <v>ETC BUT EXCLUDING  COST OF</v>
      </c>
      <c r="I3688" s="129"/>
      <c r="J3688" s="120"/>
      <c r="K3688" s="129"/>
      <c r="S3688" s="310">
        <v>7.08</v>
      </c>
      <c r="T3688" s="311" t="s">
        <v>729</v>
      </c>
      <c r="U3688" s="314" t="s">
        <v>3201</v>
      </c>
      <c r="V3688" s="313">
        <f t="shared" si="354"/>
        <v>7.95</v>
      </c>
      <c r="W3688" s="543" t="s">
        <v>237</v>
      </c>
      <c r="X3688" s="313">
        <f t="shared" si="355"/>
        <v>56.29</v>
      </c>
    </row>
    <row r="3689" spans="6:25" ht="24" customHeight="1">
      <c r="F3689" s="129"/>
      <c r="G3689" s="120"/>
      <c r="H3689" s="120" t="str">
        <f>H3668</f>
        <v>JOINTING MATERIALS. (TWAD SR 21-22,p-248 11-b)</v>
      </c>
      <c r="I3689" s="129"/>
      <c r="J3689" s="120"/>
      <c r="K3689" s="129"/>
      <c r="S3689" s="310">
        <v>2.1</v>
      </c>
      <c r="T3689" s="311" t="s">
        <v>724</v>
      </c>
      <c r="U3689" s="314" t="s">
        <v>3130</v>
      </c>
      <c r="V3689" s="313">
        <f t="shared" si="354"/>
        <v>2085.6</v>
      </c>
      <c r="W3689" s="543" t="s">
        <v>724</v>
      </c>
      <c r="X3689" s="313">
        <f t="shared" si="355"/>
        <v>4379.76</v>
      </c>
    </row>
    <row r="3690" spans="6:25" ht="24" customHeight="1">
      <c r="F3690" s="129"/>
      <c r="G3690" s="120"/>
      <c r="H3690" s="120"/>
      <c r="I3690" s="129"/>
      <c r="J3690" s="120"/>
      <c r="K3690" s="129"/>
      <c r="S3690" s="114">
        <v>1</v>
      </c>
      <c r="T3690" s="200" t="s">
        <v>1572</v>
      </c>
      <c r="U3690" s="114" t="s">
        <v>3202</v>
      </c>
      <c r="V3690" s="313">
        <f t="shared" si="354"/>
        <v>49.55</v>
      </c>
      <c r="W3690" s="166" t="s">
        <v>729</v>
      </c>
      <c r="X3690" s="313">
        <f t="shared" si="355"/>
        <v>49.55</v>
      </c>
    </row>
    <row r="3691" spans="6:25" ht="24" customHeight="1">
      <c r="F3691" s="129">
        <f>F3670</f>
        <v>5</v>
      </c>
      <c r="G3691" s="120" t="s">
        <v>145</v>
      </c>
      <c r="H3691" s="120" t="str">
        <f>H3670</f>
        <v>CUTTING CHARGES ( P-32/141)</v>
      </c>
      <c r="I3691" s="136">
        <f>I3670</f>
        <v>40.9</v>
      </c>
      <c r="J3691" s="120" t="s">
        <v>237</v>
      </c>
      <c r="K3691" s="129">
        <f>(F3691*I3691)</f>
        <v>204.5</v>
      </c>
      <c r="S3691" s="114">
        <v>1</v>
      </c>
      <c r="T3691" s="200" t="s">
        <v>1572</v>
      </c>
      <c r="U3691" s="114" t="s">
        <v>5180</v>
      </c>
      <c r="V3691" s="313">
        <f t="shared" si="354"/>
        <v>1008</v>
      </c>
      <c r="W3691" s="166" t="s">
        <v>729</v>
      </c>
      <c r="X3691" s="313">
        <f t="shared" si="355"/>
        <v>1008</v>
      </c>
    </row>
    <row r="3692" spans="6:25" ht="24" customHeight="1">
      <c r="F3692" s="129">
        <f>F3671</f>
        <v>1</v>
      </c>
      <c r="G3692" s="115"/>
      <c r="H3692" s="120" t="str">
        <f>H3671</f>
        <v>COST OF JOINTING  MATERIALS</v>
      </c>
      <c r="I3692" s="129">
        <f>I3671</f>
        <v>12.1</v>
      </c>
      <c r="J3692" s="120" t="s">
        <v>145</v>
      </c>
      <c r="K3692" s="129">
        <f>(F3692*I3692)</f>
        <v>12.1</v>
      </c>
      <c r="S3692" s="377">
        <v>6</v>
      </c>
      <c r="T3692" s="375" t="s">
        <v>1572</v>
      </c>
      <c r="U3692" s="377" t="s">
        <v>3211</v>
      </c>
      <c r="V3692" s="313">
        <f t="shared" si="354"/>
        <v>2.21</v>
      </c>
      <c r="W3692" s="521" t="s">
        <v>1034</v>
      </c>
      <c r="X3692" s="313">
        <f t="shared" si="355"/>
        <v>13.26</v>
      </c>
    </row>
    <row r="3693" spans="6:25" ht="24" customHeight="1">
      <c r="G3693" s="115"/>
      <c r="H3693" s="120" t="str">
        <f>H3672</f>
        <v>SUNDRIES</v>
      </c>
      <c r="J3693" s="120" t="s">
        <v>145</v>
      </c>
      <c r="K3693" s="129">
        <v>24.3</v>
      </c>
      <c r="S3693" s="377">
        <v>2</v>
      </c>
      <c r="T3693" s="375" t="s">
        <v>1572</v>
      </c>
      <c r="U3693" s="377" t="s">
        <v>5189</v>
      </c>
      <c r="V3693" s="313">
        <f t="shared" si="354"/>
        <v>108.7</v>
      </c>
      <c r="W3693" s="166" t="s">
        <v>729</v>
      </c>
      <c r="X3693" s="313">
        <f t="shared" si="355"/>
        <v>217.4</v>
      </c>
    </row>
    <row r="3694" spans="6:25" ht="24" customHeight="1">
      <c r="G3694" s="115"/>
      <c r="J3694" s="115"/>
      <c r="K3694" s="129"/>
      <c r="S3694" s="377">
        <v>2</v>
      </c>
      <c r="T3694" s="375" t="s">
        <v>1572</v>
      </c>
      <c r="U3694" s="377" t="s">
        <v>3206</v>
      </c>
      <c r="V3694" s="313">
        <f t="shared" si="354"/>
        <v>54</v>
      </c>
      <c r="W3694" s="166" t="s">
        <v>729</v>
      </c>
      <c r="X3694" s="313">
        <f t="shared" si="355"/>
        <v>108</v>
      </c>
    </row>
    <row r="3695" spans="6:25" ht="24" customHeight="1">
      <c r="G3695" s="115"/>
      <c r="H3695" s="120" t="s">
        <v>631</v>
      </c>
      <c r="J3695" s="115"/>
      <c r="K3695" s="129">
        <f>SUM(K3681:K3694)</f>
        <v>23570.86</v>
      </c>
      <c r="S3695" s="115"/>
      <c r="U3695" s="120" t="s">
        <v>5190</v>
      </c>
      <c r="W3695" s="543"/>
      <c r="X3695" s="313">
        <f>SUM(X3683:X3694)</f>
        <v>16715.37</v>
      </c>
      <c r="Y3695" s="307"/>
    </row>
    <row r="3696" spans="6:25" ht="24" customHeight="1">
      <c r="G3696" s="115"/>
      <c r="J3696" s="115"/>
      <c r="K3696" s="123" t="s">
        <v>52</v>
      </c>
      <c r="S3696" s="533"/>
      <c r="T3696" s="533"/>
      <c r="U3696" s="120" t="s">
        <v>460</v>
      </c>
      <c r="W3696" s="308"/>
      <c r="X3696" s="353">
        <f>X3695/2.1</f>
        <v>7959.7</v>
      </c>
      <c r="Y3696" s="354"/>
    </row>
    <row r="3697" spans="6:26" ht="24" customHeight="1">
      <c r="G3697" s="115"/>
      <c r="H3697" s="120" t="s">
        <v>632</v>
      </c>
      <c r="J3697" s="115"/>
      <c r="K3697" s="127">
        <f>(K3695/30)</f>
        <v>785.7</v>
      </c>
      <c r="S3697" s="533"/>
      <c r="T3697" s="533"/>
      <c r="U3697" s="533"/>
      <c r="V3697" s="533"/>
      <c r="W3697" s="550"/>
      <c r="X3697" s="533"/>
    </row>
    <row r="3698" spans="6:26" ht="24" customHeight="1">
      <c r="G3698" s="115"/>
      <c r="J3698" s="115"/>
      <c r="S3698" s="115"/>
      <c r="U3698" s="114" t="s">
        <v>5191</v>
      </c>
    </row>
    <row r="3699" spans="6:26" ht="24" customHeight="1">
      <c r="S3699" s="542"/>
      <c r="T3699" s="542"/>
      <c r="U3699" s="552" t="s">
        <v>5192</v>
      </c>
      <c r="V3699" s="552"/>
      <c r="W3699" s="553"/>
      <c r="X3699" s="552"/>
      <c r="Y3699" s="552"/>
      <c r="Z3699" s="552"/>
    </row>
    <row r="3700" spans="6:26" ht="240.75" customHeight="1">
      <c r="S3700" s="542"/>
      <c r="T3700" s="542"/>
      <c r="U3700" s="552"/>
      <c r="V3700" s="552"/>
      <c r="W3700" s="553"/>
      <c r="X3700" s="552"/>
      <c r="Y3700" s="552"/>
      <c r="Z3700" s="552"/>
    </row>
    <row r="3701" spans="6:26" ht="25.5" customHeight="1">
      <c r="F3701" s="533"/>
      <c r="G3701" s="533"/>
      <c r="H3701" s="533"/>
      <c r="I3701" s="533"/>
      <c r="J3701" s="533"/>
      <c r="K3701" s="533"/>
      <c r="L3701" s="533"/>
      <c r="M3701" s="533"/>
      <c r="N3701" s="533"/>
      <c r="S3701" s="310">
        <v>17.440000000000001</v>
      </c>
      <c r="T3701" s="311" t="s">
        <v>476</v>
      </c>
      <c r="U3701" s="545" t="s">
        <v>5193</v>
      </c>
      <c r="V3701" s="313">
        <f>V3683</f>
        <v>325</v>
      </c>
      <c r="W3701" s="543" t="s">
        <v>476</v>
      </c>
      <c r="X3701" s="313">
        <f>V3701*S3701</f>
        <v>5668</v>
      </c>
      <c r="Y3701" s="307"/>
    </row>
    <row r="3702" spans="6:26" ht="24" customHeight="1">
      <c r="F3702" s="533"/>
      <c r="G3702" s="533"/>
      <c r="H3702" s="534" t="s">
        <v>5194</v>
      </c>
      <c r="I3702" s="534"/>
      <c r="J3702" s="534"/>
      <c r="K3702" s="534"/>
      <c r="L3702" s="533"/>
      <c r="M3702" s="533"/>
      <c r="N3702" s="533"/>
      <c r="S3702" s="547">
        <v>13.56</v>
      </c>
      <c r="T3702" s="311" t="s">
        <v>13</v>
      </c>
      <c r="U3702" s="314" t="s">
        <v>5195</v>
      </c>
      <c r="V3702" s="546">
        <v>38.25</v>
      </c>
      <c r="W3702" s="543" t="s">
        <v>13</v>
      </c>
      <c r="X3702" s="313">
        <v>501.66</v>
      </c>
      <c r="Y3702" s="307"/>
    </row>
    <row r="3703" spans="6:26" ht="24" customHeight="1">
      <c r="F3703" s="533">
        <v>11</v>
      </c>
      <c r="G3703" s="486" t="s">
        <v>724</v>
      </c>
      <c r="H3703" s="533" t="s">
        <v>5196</v>
      </c>
      <c r="I3703" s="162">
        <v>434</v>
      </c>
      <c r="J3703" s="486" t="s">
        <v>724</v>
      </c>
      <c r="K3703" s="432">
        <f>I3703*F3703</f>
        <v>4774</v>
      </c>
      <c r="L3703" s="533"/>
      <c r="M3703" s="533"/>
      <c r="N3703" s="533"/>
      <c r="S3703" s="310">
        <v>2.62</v>
      </c>
      <c r="T3703" s="311" t="s">
        <v>468</v>
      </c>
      <c r="U3703" s="314" t="s">
        <v>5197</v>
      </c>
      <c r="V3703" s="546">
        <v>306.89999999999998</v>
      </c>
      <c r="W3703" s="543" t="s">
        <v>468</v>
      </c>
      <c r="X3703" s="313">
        <f>V3703*S3703</f>
        <v>804.08</v>
      </c>
      <c r="Y3703" s="307"/>
    </row>
    <row r="3704" spans="6:26" ht="24" customHeight="1">
      <c r="F3704" s="533">
        <v>2.2000000000000002</v>
      </c>
      <c r="G3704" s="533" t="s">
        <v>729</v>
      </c>
      <c r="H3704" s="533" t="s">
        <v>5198</v>
      </c>
      <c r="I3704" s="115">
        <f>AE17</f>
        <v>919.6</v>
      </c>
      <c r="J3704" s="533" t="s">
        <v>729</v>
      </c>
      <c r="K3704" s="432">
        <f>I3704*F3704</f>
        <v>2023.12</v>
      </c>
      <c r="L3704" s="533"/>
      <c r="M3704" s="533"/>
      <c r="N3704" s="533"/>
      <c r="S3704" s="310">
        <v>8</v>
      </c>
      <c r="T3704" s="311" t="s">
        <v>41</v>
      </c>
      <c r="U3704" s="314" t="s">
        <v>5199</v>
      </c>
      <c r="V3704" s="546">
        <v>14.6</v>
      </c>
      <c r="W3704" s="543" t="s">
        <v>41</v>
      </c>
      <c r="X3704" s="313">
        <f>V3704*S3704</f>
        <v>116.8</v>
      </c>
      <c r="Y3704" s="307"/>
    </row>
    <row r="3705" spans="6:26" ht="24" customHeight="1">
      <c r="F3705" s="533">
        <v>1.1000000000000001</v>
      </c>
      <c r="G3705" s="533" t="s">
        <v>729</v>
      </c>
      <c r="H3705" s="533" t="s">
        <v>5200</v>
      </c>
      <c r="I3705" s="115">
        <f>AE19</f>
        <v>1018.6</v>
      </c>
      <c r="J3705" s="533" t="s">
        <v>729</v>
      </c>
      <c r="K3705" s="432">
        <f>I3705*F3705</f>
        <v>1120.46</v>
      </c>
      <c r="L3705" s="533"/>
      <c r="M3705" s="533"/>
      <c r="N3705" s="533"/>
      <c r="S3705" s="310">
        <v>3</v>
      </c>
      <c r="T3705" s="311" t="s">
        <v>41</v>
      </c>
      <c r="U3705" s="314" t="s">
        <v>5201</v>
      </c>
      <c r="V3705" s="546">
        <v>71.099999999999994</v>
      </c>
      <c r="W3705" s="543" t="s">
        <v>3199</v>
      </c>
      <c r="X3705" s="313">
        <f>V3705*S3705</f>
        <v>213.3</v>
      </c>
      <c r="Y3705" s="307"/>
    </row>
    <row r="3706" spans="6:26" ht="24" customHeight="1">
      <c r="F3706" s="533">
        <v>3.2</v>
      </c>
      <c r="G3706" s="533" t="s">
        <v>729</v>
      </c>
      <c r="H3706" s="487" t="s">
        <v>5202</v>
      </c>
      <c r="I3706" s="115">
        <f>AE11</f>
        <v>679.8</v>
      </c>
      <c r="J3706" s="533" t="s">
        <v>729</v>
      </c>
      <c r="K3706" s="432">
        <f>I3706*F3706</f>
        <v>2175.36</v>
      </c>
      <c r="L3706" s="533"/>
      <c r="M3706" s="533"/>
      <c r="N3706" s="533"/>
      <c r="S3706" s="310">
        <v>4</v>
      </c>
      <c r="T3706" s="311" t="s">
        <v>41</v>
      </c>
      <c r="U3706" s="314" t="s">
        <v>5203</v>
      </c>
      <c r="V3706" s="546">
        <v>35.299999999999997</v>
      </c>
      <c r="W3706" s="543" t="s">
        <v>237</v>
      </c>
      <c r="X3706" s="313">
        <f>V3706*S3706</f>
        <v>141.19999999999999</v>
      </c>
      <c r="Y3706" s="307"/>
    </row>
    <row r="3707" spans="6:26" ht="24" customHeight="1">
      <c r="F3707" s="533"/>
      <c r="G3707" s="533" t="s">
        <v>5204</v>
      </c>
      <c r="H3707" s="533" t="s">
        <v>5205</v>
      </c>
      <c r="I3707" s="533" t="s">
        <v>5204</v>
      </c>
      <c r="J3707" s="533"/>
      <c r="K3707" s="533">
        <v>107.11</v>
      </c>
      <c r="L3707" s="533"/>
      <c r="M3707" s="533"/>
      <c r="N3707" s="533"/>
      <c r="S3707" s="310">
        <v>2.4300000000000002</v>
      </c>
      <c r="T3707" s="311" t="s">
        <v>724</v>
      </c>
      <c r="U3707" s="314" t="s">
        <v>3130</v>
      </c>
      <c r="V3707" s="307">
        <f>X3675</f>
        <v>2085.6</v>
      </c>
      <c r="W3707" s="543" t="s">
        <v>724</v>
      </c>
      <c r="X3707" s="313">
        <f>V3707*S3707</f>
        <v>5068.01</v>
      </c>
      <c r="Y3707" s="307"/>
    </row>
    <row r="3708" spans="6:26" ht="24" customHeight="1">
      <c r="F3708" s="533"/>
      <c r="G3708" s="533"/>
      <c r="H3708" s="533" t="s">
        <v>5206</v>
      </c>
      <c r="I3708" s="533"/>
      <c r="J3708" s="533"/>
      <c r="K3708" s="432">
        <f>SUM(K3703:K3707)</f>
        <v>10200.049999999999</v>
      </c>
      <c r="L3708" s="533"/>
      <c r="M3708" s="533"/>
      <c r="N3708" s="533"/>
      <c r="S3708" s="114"/>
      <c r="T3708" s="200" t="s">
        <v>49</v>
      </c>
      <c r="U3708" s="114" t="s">
        <v>5207</v>
      </c>
      <c r="V3708" s="114"/>
      <c r="W3708" s="166" t="s">
        <v>49</v>
      </c>
      <c r="X3708" s="114">
        <v>130</v>
      </c>
      <c r="Y3708" s="307"/>
    </row>
    <row r="3709" spans="6:26" ht="24" customHeight="1">
      <c r="F3709" s="533"/>
      <c r="G3709" s="533"/>
      <c r="H3709" s="533" t="s">
        <v>3331</v>
      </c>
      <c r="I3709" s="533"/>
      <c r="J3709" s="533"/>
      <c r="K3709" s="539">
        <f>K3708/10</f>
        <v>1020.01</v>
      </c>
      <c r="L3709" s="533"/>
      <c r="M3709" s="533"/>
      <c r="N3709" s="533">
        <f>L3709</f>
        <v>0</v>
      </c>
      <c r="S3709" s="114"/>
      <c r="T3709" s="200"/>
      <c r="U3709" s="114"/>
      <c r="V3709" s="114"/>
      <c r="W3709" s="166"/>
      <c r="X3709" s="114">
        <f>SUM(X3701:X3708)</f>
        <v>12643.05</v>
      </c>
      <c r="Y3709" s="307"/>
    </row>
    <row r="3710" spans="6:26" ht="24" customHeight="1">
      <c r="F3710" s="533"/>
      <c r="G3710" s="533"/>
      <c r="H3710" s="533"/>
      <c r="I3710" s="533"/>
      <c r="J3710" s="533"/>
      <c r="K3710" s="533"/>
      <c r="L3710" s="533"/>
      <c r="M3710" s="533"/>
      <c r="N3710" s="533"/>
      <c r="X3710" s="114">
        <f>X3709/S3707</f>
        <v>5202.8999999999996</v>
      </c>
      <c r="Y3710" s="307" t="s">
        <v>724</v>
      </c>
    </row>
    <row r="3711" spans="6:26" ht="69" customHeight="1">
      <c r="F3711" s="1821" t="s">
        <v>5208</v>
      </c>
      <c r="G3711" s="1821"/>
      <c r="H3711" s="1821"/>
      <c r="I3711" s="1821"/>
      <c r="J3711" s="1821"/>
      <c r="K3711" s="1821"/>
      <c r="L3711" s="540"/>
      <c r="M3711" s="540"/>
      <c r="N3711" s="533"/>
      <c r="O3711" s="1822" t="s">
        <v>5209</v>
      </c>
      <c r="P3711" s="1822"/>
      <c r="W3711" s="119" t="s">
        <v>2981</v>
      </c>
      <c r="X3711" s="115">
        <v>3584</v>
      </c>
      <c r="Y3711" s="307"/>
    </row>
    <row r="3712" spans="6:26" ht="52.5" customHeight="1">
      <c r="F3712" s="535"/>
      <c r="G3712" s="535"/>
      <c r="H3712" s="536" t="s">
        <v>5210</v>
      </c>
      <c r="I3712" s="536"/>
      <c r="J3712" s="536"/>
      <c r="K3712" s="536"/>
      <c r="L3712" s="535"/>
      <c r="M3712" s="541">
        <v>12.72</v>
      </c>
      <c r="N3712" s="535" t="s">
        <v>39</v>
      </c>
      <c r="O3712" s="115" t="s">
        <v>5211</v>
      </c>
      <c r="P3712" s="115">
        <f>V3715</f>
        <v>325</v>
      </c>
      <c r="Q3712" s="535" t="s">
        <v>39</v>
      </c>
      <c r="R3712" s="554">
        <f>P3712*M3712</f>
        <v>4134</v>
      </c>
      <c r="S3712" s="115"/>
      <c r="U3712" s="114" t="s">
        <v>5212</v>
      </c>
      <c r="Y3712" s="307"/>
    </row>
    <row r="3713" spans="6:25" ht="36.75" customHeight="1">
      <c r="F3713" s="555">
        <v>36</v>
      </c>
      <c r="G3713" s="535" t="s">
        <v>13</v>
      </c>
      <c r="H3713" s="556" t="s">
        <v>5213</v>
      </c>
      <c r="I3713" s="565">
        <v>34.6</v>
      </c>
      <c r="J3713" s="541" t="str">
        <f>G3713</f>
        <v>Rmt</v>
      </c>
      <c r="K3713" s="555">
        <f>I3713*F3713</f>
        <v>1245.5999999999999</v>
      </c>
      <c r="L3713" s="535"/>
      <c r="M3713" s="566">
        <v>9.4</v>
      </c>
      <c r="N3713" s="567" t="s">
        <v>724</v>
      </c>
      <c r="O3713" s="568" t="s">
        <v>5214</v>
      </c>
      <c r="P3713" s="569">
        <v>807</v>
      </c>
      <c r="Q3713" s="567" t="s">
        <v>724</v>
      </c>
      <c r="R3713" s="554">
        <f t="shared" ref="R3713:R3718" si="356">P3713*M3713</f>
        <v>7585.8</v>
      </c>
      <c r="S3713" s="542"/>
      <c r="T3713" s="542"/>
      <c r="U3713" s="552" t="s">
        <v>5215</v>
      </c>
      <c r="V3713" s="552"/>
      <c r="W3713" s="553"/>
      <c r="X3713" s="552"/>
      <c r="Y3713" s="307"/>
    </row>
    <row r="3714" spans="6:25" ht="81" customHeight="1">
      <c r="F3714" s="555">
        <v>9</v>
      </c>
      <c r="G3714" s="541" t="s">
        <v>724</v>
      </c>
      <c r="H3714" s="557" t="s">
        <v>5216</v>
      </c>
      <c r="I3714" s="460">
        <v>350</v>
      </c>
      <c r="J3714" s="541" t="str">
        <f>G3714</f>
        <v>Sqm</v>
      </c>
      <c r="K3714" s="555">
        <f>I3714*F3714</f>
        <v>3150</v>
      </c>
      <c r="L3714" s="535"/>
      <c r="M3714" s="555">
        <v>9.4</v>
      </c>
      <c r="N3714" s="541" t="s">
        <v>724</v>
      </c>
      <c r="O3714" s="557" t="s">
        <v>5217</v>
      </c>
      <c r="P3714" s="565">
        <v>412</v>
      </c>
      <c r="Q3714" s="541" t="s">
        <v>724</v>
      </c>
      <c r="R3714" s="554">
        <f t="shared" si="356"/>
        <v>3872.8</v>
      </c>
      <c r="S3714" s="542"/>
      <c r="T3714" s="542"/>
      <c r="U3714" s="552"/>
      <c r="V3714" s="552"/>
      <c r="W3714" s="553"/>
      <c r="X3714" s="552"/>
      <c r="Y3714" s="307"/>
    </row>
    <row r="3715" spans="6:25" ht="36.75" customHeight="1">
      <c r="F3715" s="555">
        <v>9</v>
      </c>
      <c r="G3715" s="541" t="s">
        <v>724</v>
      </c>
      <c r="H3715" s="557" t="s">
        <v>5218</v>
      </c>
      <c r="I3715" s="460">
        <v>860.8</v>
      </c>
      <c r="J3715" s="541" t="str">
        <f>G3715</f>
        <v>Sqm</v>
      </c>
      <c r="K3715" s="555">
        <f>I3715*F3715</f>
        <v>7747.2</v>
      </c>
      <c r="L3715" s="535"/>
      <c r="M3715" s="555">
        <v>40</v>
      </c>
      <c r="N3715" s="541" t="s">
        <v>1772</v>
      </c>
      <c r="O3715" s="557" t="s">
        <v>5219</v>
      </c>
      <c r="P3715" s="460">
        <v>10</v>
      </c>
      <c r="Q3715" s="541" t="s">
        <v>1772</v>
      </c>
      <c r="R3715" s="554">
        <f t="shared" si="356"/>
        <v>400</v>
      </c>
      <c r="S3715" s="310">
        <v>14.43</v>
      </c>
      <c r="T3715" s="311" t="s">
        <v>476</v>
      </c>
      <c r="U3715" s="545" t="s">
        <v>5167</v>
      </c>
      <c r="V3715" s="313">
        <f>V3701</f>
        <v>325</v>
      </c>
      <c r="W3715" s="543" t="s">
        <v>476</v>
      </c>
      <c r="X3715" s="313">
        <f>V3715*S3715</f>
        <v>4689.75</v>
      </c>
      <c r="Y3715" s="307"/>
    </row>
    <row r="3716" spans="6:25" ht="36.75" customHeight="1">
      <c r="F3716" s="555">
        <v>9</v>
      </c>
      <c r="G3716" s="541" t="s">
        <v>724</v>
      </c>
      <c r="H3716" s="556" t="s">
        <v>5220</v>
      </c>
      <c r="I3716" s="565">
        <v>468</v>
      </c>
      <c r="J3716" s="541" t="str">
        <f>G3716</f>
        <v>Sqm</v>
      </c>
      <c r="K3716" s="555">
        <f>I3716*F3716</f>
        <v>4212</v>
      </c>
      <c r="L3716" s="535"/>
      <c r="M3716" s="555">
        <v>2.25</v>
      </c>
      <c r="N3716" s="541" t="s">
        <v>39</v>
      </c>
      <c r="O3716" s="556" t="s">
        <v>5221</v>
      </c>
      <c r="P3716" s="565">
        <v>199.75</v>
      </c>
      <c r="Q3716" s="541" t="s">
        <v>39</v>
      </c>
      <c r="R3716" s="554">
        <f t="shared" si="356"/>
        <v>449.44</v>
      </c>
      <c r="S3716" s="547">
        <v>10.433999999999999</v>
      </c>
      <c r="T3716" s="311" t="s">
        <v>13</v>
      </c>
      <c r="U3716" s="314" t="s">
        <v>3196</v>
      </c>
      <c r="V3716" s="313">
        <f t="shared" ref="V3716:V3721" si="357">V3702</f>
        <v>38.25</v>
      </c>
      <c r="W3716" s="543" t="s">
        <v>13</v>
      </c>
      <c r="X3716" s="313">
        <v>501.66</v>
      </c>
      <c r="Y3716" s="307"/>
    </row>
    <row r="3717" spans="6:25" ht="36.75" customHeight="1">
      <c r="F3717" s="555">
        <v>9</v>
      </c>
      <c r="G3717" s="541" t="s">
        <v>724</v>
      </c>
      <c r="H3717" s="535" t="s">
        <v>5222</v>
      </c>
      <c r="I3717" s="555">
        <f>K3725</f>
        <v>1878.25</v>
      </c>
      <c r="J3717" s="541" t="str">
        <f>G3717</f>
        <v>Sqm</v>
      </c>
      <c r="K3717" s="555">
        <f>I3717*F3717</f>
        <v>16904.25</v>
      </c>
      <c r="L3717" s="535"/>
      <c r="M3717" s="570">
        <v>9.4</v>
      </c>
      <c r="N3717" s="541" t="s">
        <v>724</v>
      </c>
      <c r="O3717" s="535" t="s">
        <v>5222</v>
      </c>
      <c r="P3717" s="555">
        <f>R3725</f>
        <v>2874.85</v>
      </c>
      <c r="Q3717" s="541" t="s">
        <v>724</v>
      </c>
      <c r="R3717" s="554">
        <f t="shared" si="356"/>
        <v>27023.59</v>
      </c>
      <c r="S3717" s="310">
        <v>2.16</v>
      </c>
      <c r="T3717" s="311" t="s">
        <v>468</v>
      </c>
      <c r="U3717" s="314" t="s">
        <v>5223</v>
      </c>
      <c r="V3717" s="313">
        <f t="shared" si="357"/>
        <v>306.89999999999998</v>
      </c>
      <c r="W3717" s="543" t="s">
        <v>468</v>
      </c>
      <c r="X3717" s="313">
        <f>V3717*S3717</f>
        <v>662.9</v>
      </c>
      <c r="Y3717" s="307"/>
    </row>
    <row r="3718" spans="6:25" ht="36.75" customHeight="1">
      <c r="F3718" s="535"/>
      <c r="G3718" s="535"/>
      <c r="H3718" s="535"/>
      <c r="I3718" s="535"/>
      <c r="J3718" s="535"/>
      <c r="K3718" s="555">
        <f>SUM(K3713:K3717)</f>
        <v>33259.050000000003</v>
      </c>
      <c r="L3718" s="535"/>
      <c r="M3718" s="570">
        <v>0.25</v>
      </c>
      <c r="N3718" s="571" t="s">
        <v>39</v>
      </c>
      <c r="O3718" s="535" t="s">
        <v>5224</v>
      </c>
      <c r="P3718" s="572">
        <v>64</v>
      </c>
      <c r="Q3718" s="571" t="s">
        <v>39</v>
      </c>
      <c r="R3718" s="554">
        <f t="shared" si="356"/>
        <v>16</v>
      </c>
      <c r="S3718" s="310">
        <v>6</v>
      </c>
      <c r="T3718" s="311" t="s">
        <v>41</v>
      </c>
      <c r="U3718" s="314" t="s">
        <v>5225</v>
      </c>
      <c r="V3718" s="313">
        <f t="shared" si="357"/>
        <v>14.6</v>
      </c>
      <c r="W3718" s="543" t="s">
        <v>41</v>
      </c>
      <c r="X3718" s="313">
        <f>V3718*S3718</f>
        <v>87.6</v>
      </c>
      <c r="Y3718" s="354"/>
    </row>
    <row r="3719" spans="6:25" ht="36.75" customHeight="1">
      <c r="F3719" s="535"/>
      <c r="G3719" s="535"/>
      <c r="H3719" s="535" t="s">
        <v>5226</v>
      </c>
      <c r="I3719" s="535"/>
      <c r="J3719" s="541"/>
      <c r="K3719" s="555">
        <f>K3718/9</f>
        <v>3695.45</v>
      </c>
      <c r="L3719" s="535"/>
      <c r="M3719" s="535"/>
      <c r="N3719" s="535"/>
      <c r="O3719" s="535" t="s">
        <v>5227</v>
      </c>
      <c r="P3719" s="535"/>
      <c r="Q3719" s="541"/>
      <c r="R3719" s="555">
        <f>SUM(R3712:R3718)</f>
        <v>43481.63</v>
      </c>
      <c r="S3719" s="310">
        <v>2</v>
      </c>
      <c r="T3719" s="311" t="s">
        <v>41</v>
      </c>
      <c r="U3719" s="314" t="s">
        <v>5228</v>
      </c>
      <c r="V3719" s="313">
        <f t="shared" si="357"/>
        <v>71.099999999999994</v>
      </c>
      <c r="W3719" s="543" t="s">
        <v>3199</v>
      </c>
      <c r="X3719" s="313">
        <f>V3719*S3719</f>
        <v>142.19999999999999</v>
      </c>
      <c r="Y3719" s="307"/>
    </row>
    <row r="3720" spans="6:25" ht="36.75" customHeight="1">
      <c r="F3720" s="535"/>
      <c r="G3720" s="535"/>
      <c r="H3720" s="558" t="s">
        <v>3473</v>
      </c>
      <c r="I3720" s="536" t="s">
        <v>5229</v>
      </c>
      <c r="J3720" s="535"/>
      <c r="K3720" s="573">
        <v>3282</v>
      </c>
      <c r="L3720" s="535"/>
      <c r="M3720" s="535"/>
      <c r="N3720" s="535"/>
      <c r="O3720" s="558" t="s">
        <v>3473</v>
      </c>
      <c r="P3720" s="536" t="s">
        <v>5229</v>
      </c>
      <c r="Q3720" s="535"/>
      <c r="R3720" s="573">
        <f>R3719/M3717</f>
        <v>4625.71</v>
      </c>
      <c r="S3720" s="310">
        <v>3</v>
      </c>
      <c r="T3720" s="311" t="s">
        <v>41</v>
      </c>
      <c r="U3720" s="314" t="s">
        <v>5230</v>
      </c>
      <c r="V3720" s="313">
        <f t="shared" si="357"/>
        <v>35.299999999999997</v>
      </c>
      <c r="W3720" s="543" t="s">
        <v>237</v>
      </c>
      <c r="X3720" s="313">
        <f>V3720*S3720</f>
        <v>105.9</v>
      </c>
      <c r="Y3720" s="307"/>
    </row>
    <row r="3721" spans="6:25" ht="24" customHeight="1">
      <c r="F3721" s="535"/>
      <c r="G3721" s="535"/>
      <c r="H3721" s="535" t="s">
        <v>5231</v>
      </c>
      <c r="I3721" s="535"/>
      <c r="J3721" s="535"/>
      <c r="K3721" s="535"/>
      <c r="L3721" s="535"/>
      <c r="M3721" s="535"/>
      <c r="N3721" s="535"/>
      <c r="O3721" s="535" t="s">
        <v>5231</v>
      </c>
      <c r="P3721" s="535"/>
      <c r="Q3721" s="535"/>
      <c r="R3721" s="535"/>
      <c r="S3721" s="310">
        <v>1.823</v>
      </c>
      <c r="T3721" s="311" t="s">
        <v>724</v>
      </c>
      <c r="U3721" s="314" t="s">
        <v>3130</v>
      </c>
      <c r="V3721" s="313">
        <f t="shared" si="357"/>
        <v>2085.6</v>
      </c>
      <c r="W3721" s="543" t="s">
        <v>724</v>
      </c>
      <c r="X3721" s="313">
        <f>V3721*S3721</f>
        <v>3802.05</v>
      </c>
      <c r="Y3721" s="307"/>
    </row>
    <row r="3722" spans="6:25" ht="24" customHeight="1">
      <c r="F3722" s="555">
        <v>1</v>
      </c>
      <c r="G3722" s="541" t="s">
        <v>1772</v>
      </c>
      <c r="H3722" s="555" t="s">
        <v>5232</v>
      </c>
      <c r="I3722" s="555">
        <f>AE17</f>
        <v>919.6</v>
      </c>
      <c r="J3722" s="541" t="s">
        <v>1772</v>
      </c>
      <c r="K3722" s="535">
        <f>I3722*F3722</f>
        <v>919.6</v>
      </c>
      <c r="L3722" s="535"/>
      <c r="M3722" s="555">
        <v>1</v>
      </c>
      <c r="N3722" s="541" t="s">
        <v>1772</v>
      </c>
      <c r="O3722" s="555" t="s">
        <v>5233</v>
      </c>
      <c r="P3722" s="555">
        <f>AE19</f>
        <v>1018.6</v>
      </c>
      <c r="Q3722" s="541" t="s">
        <v>1772</v>
      </c>
      <c r="R3722" s="579">
        <f>P3722*M3722</f>
        <v>1018.6</v>
      </c>
      <c r="S3722" s="114"/>
      <c r="T3722" s="200" t="s">
        <v>49</v>
      </c>
      <c r="U3722" s="114" t="s">
        <v>5207</v>
      </c>
      <c r="V3722" s="114"/>
      <c r="W3722" s="166" t="s">
        <v>49</v>
      </c>
      <c r="X3722" s="114">
        <v>110</v>
      </c>
      <c r="Y3722" s="307"/>
    </row>
    <row r="3723" spans="6:25" ht="24" customHeight="1">
      <c r="F3723" s="555">
        <v>1</v>
      </c>
      <c r="G3723" s="541" t="s">
        <v>1772</v>
      </c>
      <c r="H3723" s="556" t="s">
        <v>304</v>
      </c>
      <c r="I3723" s="555">
        <f>AE11</f>
        <v>679.8</v>
      </c>
      <c r="J3723" s="541" t="s">
        <v>1772</v>
      </c>
      <c r="K3723" s="535">
        <f>I3723*F3723</f>
        <v>679.8</v>
      </c>
      <c r="L3723" s="535"/>
      <c r="M3723" s="555">
        <v>1.5</v>
      </c>
      <c r="N3723" s="541" t="s">
        <v>1772</v>
      </c>
      <c r="O3723" s="556" t="s">
        <v>304</v>
      </c>
      <c r="P3723" s="555">
        <f>I3723</f>
        <v>679.8</v>
      </c>
      <c r="Q3723" s="541" t="s">
        <v>1772</v>
      </c>
      <c r="R3723" s="579">
        <f>P3723*M3723</f>
        <v>1019.7</v>
      </c>
      <c r="S3723" s="114"/>
      <c r="T3723" s="200"/>
      <c r="U3723" s="114"/>
      <c r="V3723" s="114"/>
      <c r="W3723" s="166"/>
      <c r="X3723" s="114">
        <f>SUM(X3715:X3722)</f>
        <v>10102.06</v>
      </c>
      <c r="Y3723" s="307"/>
    </row>
    <row r="3724" spans="6:25" ht="24" customHeight="1">
      <c r="F3724" s="555">
        <v>0.5</v>
      </c>
      <c r="G3724" s="541" t="s">
        <v>1772</v>
      </c>
      <c r="H3724" s="556" t="s">
        <v>306</v>
      </c>
      <c r="I3724" s="555">
        <f>AE12</f>
        <v>557.70000000000005</v>
      </c>
      <c r="J3724" s="541" t="s">
        <v>1772</v>
      </c>
      <c r="K3724" s="535">
        <f>I3724*F3724</f>
        <v>278.85000000000002</v>
      </c>
      <c r="L3724" s="535"/>
      <c r="M3724" s="555">
        <v>1.5</v>
      </c>
      <c r="N3724" s="541" t="s">
        <v>1772</v>
      </c>
      <c r="O3724" s="556" t="s">
        <v>306</v>
      </c>
      <c r="P3724" s="555">
        <f>I3724</f>
        <v>557.70000000000005</v>
      </c>
      <c r="Q3724" s="541" t="s">
        <v>1772</v>
      </c>
      <c r="R3724" s="579">
        <f>P3724*M3724</f>
        <v>836.55</v>
      </c>
      <c r="X3724" s="114">
        <f>X3723/S3721</f>
        <v>5541.45</v>
      </c>
      <c r="Y3724" s="307"/>
    </row>
    <row r="3725" spans="6:25" ht="24" customHeight="1">
      <c r="F3725" s="535"/>
      <c r="G3725" s="535"/>
      <c r="H3725" s="535"/>
      <c r="I3725" s="535"/>
      <c r="J3725" s="535"/>
      <c r="K3725" s="535">
        <f>SUM(K3722:K3724)</f>
        <v>1878.25</v>
      </c>
      <c r="L3725" s="535"/>
      <c r="M3725" s="535"/>
      <c r="N3725" s="535"/>
      <c r="O3725" s="535"/>
      <c r="P3725" s="535"/>
      <c r="Q3725" s="535"/>
      <c r="R3725" s="579">
        <f>SUM(R3722:R3724)</f>
        <v>2874.85</v>
      </c>
      <c r="X3725" s="115">
        <v>3873</v>
      </c>
      <c r="Y3725" s="307"/>
    </row>
    <row r="3726" spans="6:25" ht="24" customHeight="1">
      <c r="F3726" s="535"/>
      <c r="G3726" s="535"/>
      <c r="H3726" s="535"/>
      <c r="I3726" s="535"/>
      <c r="J3726" s="535"/>
      <c r="K3726" s="535"/>
      <c r="L3726" s="535"/>
      <c r="M3726" s="535"/>
      <c r="N3726" s="535"/>
      <c r="O3726" s="535"/>
      <c r="P3726" s="535"/>
      <c r="Q3726" s="535"/>
      <c r="R3726" s="535"/>
      <c r="S3726" s="307"/>
      <c r="T3726" s="334"/>
      <c r="U3726" s="307"/>
      <c r="V3726" s="307"/>
      <c r="W3726" s="352"/>
      <c r="X3726" s="356"/>
      <c r="Y3726" s="307"/>
    </row>
    <row r="3727" spans="6:25" ht="24" customHeight="1">
      <c r="F3727" s="533"/>
      <c r="G3727" s="533"/>
      <c r="H3727" s="533"/>
      <c r="I3727" s="533"/>
      <c r="J3727" s="533"/>
      <c r="K3727" s="533"/>
      <c r="L3727" s="533"/>
      <c r="M3727" s="533"/>
      <c r="N3727" s="533"/>
      <c r="S3727" s="115"/>
    </row>
    <row r="3728" spans="6:25" ht="24" customHeight="1">
      <c r="G3728" s="115"/>
      <c r="H3728" s="240"/>
      <c r="J3728" s="115"/>
      <c r="K3728" s="533"/>
      <c r="L3728" s="533"/>
      <c r="M3728" s="533"/>
      <c r="N3728" s="533"/>
    </row>
    <row r="3729" spans="6:14" ht="24" customHeight="1">
      <c r="F3729" s="533"/>
      <c r="G3729" s="533"/>
      <c r="H3729" s="559" t="s">
        <v>5234</v>
      </c>
      <c r="I3729" s="534"/>
      <c r="J3729" s="533"/>
      <c r="K3729" s="533"/>
      <c r="L3729" s="533"/>
      <c r="M3729" s="533"/>
      <c r="N3729" s="533"/>
    </row>
    <row r="3730" spans="6:14" ht="24" customHeight="1">
      <c r="F3730" s="533"/>
      <c r="G3730" s="533"/>
      <c r="H3730" s="533"/>
      <c r="I3730" s="533"/>
      <c r="J3730" s="533"/>
      <c r="K3730" s="533"/>
      <c r="L3730" s="533"/>
      <c r="M3730" s="533"/>
      <c r="N3730" s="533"/>
    </row>
    <row r="3731" spans="6:14" ht="24" customHeight="1">
      <c r="F3731" s="490"/>
      <c r="G3731" s="486"/>
      <c r="H3731" s="560" t="s">
        <v>5235</v>
      </c>
      <c r="I3731" s="490"/>
      <c r="J3731" s="490"/>
      <c r="K3731" s="533"/>
      <c r="L3731" s="533"/>
      <c r="M3731" s="533"/>
      <c r="N3731" s="533"/>
    </row>
    <row r="3732" spans="6:14" ht="24" customHeight="1">
      <c r="F3732" s="490"/>
      <c r="G3732" s="486"/>
      <c r="H3732" s="487"/>
      <c r="I3732" s="490"/>
      <c r="J3732" s="490"/>
      <c r="K3732" s="533"/>
      <c r="L3732" s="533"/>
      <c r="M3732" s="533"/>
      <c r="N3732" s="533"/>
    </row>
    <row r="3733" spans="6:14" ht="24" customHeight="1">
      <c r="F3733" s="533"/>
      <c r="G3733" s="533"/>
      <c r="H3733" s="122" t="s">
        <v>5236</v>
      </c>
      <c r="I3733" s="490"/>
      <c r="J3733" s="533"/>
      <c r="K3733" s="533"/>
      <c r="L3733" s="533"/>
      <c r="M3733" s="533"/>
      <c r="N3733" s="533"/>
    </row>
    <row r="3734" spans="6:14" ht="24" customHeight="1">
      <c r="F3734" s="490">
        <v>5</v>
      </c>
      <c r="G3734" s="486" t="s">
        <v>39</v>
      </c>
      <c r="H3734" s="490" t="s">
        <v>5237</v>
      </c>
      <c r="I3734" s="162">
        <v>27.45</v>
      </c>
      <c r="J3734" s="486" t="s">
        <v>39</v>
      </c>
      <c r="K3734" s="486">
        <f>I3734*F3734</f>
        <v>137.25</v>
      </c>
      <c r="L3734" s="533"/>
      <c r="M3734" s="533"/>
      <c r="N3734" s="533"/>
    </row>
    <row r="3735" spans="6:14" ht="24" customHeight="1">
      <c r="F3735" s="490">
        <v>1</v>
      </c>
      <c r="G3735" s="486" t="s">
        <v>1034</v>
      </c>
      <c r="H3735" s="490" t="s">
        <v>5238</v>
      </c>
      <c r="I3735" s="490">
        <f>AE13</f>
        <v>831.6</v>
      </c>
      <c r="J3735" s="486" t="s">
        <v>1034</v>
      </c>
      <c r="K3735" s="486">
        <f>I3735*F3735</f>
        <v>831.6</v>
      </c>
      <c r="L3735" s="533"/>
      <c r="M3735" s="533"/>
      <c r="N3735" s="533"/>
    </row>
    <row r="3736" spans="6:14" ht="24" customHeight="1">
      <c r="F3736" s="490"/>
      <c r="G3736" s="561" t="s">
        <v>49</v>
      </c>
      <c r="H3736" s="487" t="s">
        <v>4918</v>
      </c>
      <c r="I3736" s="533"/>
      <c r="J3736" s="561" t="s">
        <v>49</v>
      </c>
      <c r="K3736" s="486">
        <f>(121.1+90.9)/12</f>
        <v>17.670000000000002</v>
      </c>
      <c r="L3736" s="533"/>
      <c r="M3736" s="533"/>
      <c r="N3736" s="533"/>
    </row>
    <row r="3737" spans="6:14" ht="24" customHeight="1">
      <c r="F3737" s="533"/>
      <c r="G3737" s="533"/>
      <c r="H3737" s="487" t="s">
        <v>4554</v>
      </c>
      <c r="I3737" s="533"/>
      <c r="J3737" s="533"/>
      <c r="K3737" s="574">
        <f>SUM(K3734:K3736)</f>
        <v>986.52</v>
      </c>
      <c r="L3737" s="533"/>
      <c r="M3737" s="533"/>
      <c r="N3737" s="533"/>
    </row>
    <row r="3738" spans="6:14" ht="24" customHeight="1">
      <c r="F3738" s="533"/>
      <c r="G3738" s="533"/>
      <c r="H3738" s="487" t="s">
        <v>2137</v>
      </c>
      <c r="I3738" s="533"/>
      <c r="J3738" s="533"/>
      <c r="K3738" s="575">
        <f>K3737/10</f>
        <v>98.65</v>
      </c>
      <c r="L3738" s="533"/>
      <c r="M3738" s="533"/>
      <c r="N3738" s="533"/>
    </row>
    <row r="3741" spans="6:14" ht="24" customHeight="1">
      <c r="F3741" s="533"/>
      <c r="G3741" s="533"/>
      <c r="H3741" s="533"/>
      <c r="I3741" s="533"/>
      <c r="J3741" s="533"/>
      <c r="K3741" s="533"/>
      <c r="L3741" s="533"/>
      <c r="M3741" s="533"/>
      <c r="N3741" s="533"/>
    </row>
    <row r="3742" spans="6:14" ht="24" customHeight="1">
      <c r="F3742" s="490"/>
      <c r="G3742" s="486"/>
      <c r="H3742" s="560" t="s">
        <v>5239</v>
      </c>
      <c r="I3742" s="490"/>
      <c r="J3742" s="490"/>
      <c r="K3742" s="533"/>
      <c r="L3742" s="533"/>
      <c r="M3742" s="533"/>
      <c r="N3742" s="533"/>
    </row>
    <row r="3743" spans="6:14" ht="24" customHeight="1">
      <c r="F3743" s="490" t="s">
        <v>2060</v>
      </c>
      <c r="G3743" s="486" t="s">
        <v>3199</v>
      </c>
      <c r="H3743" s="487"/>
      <c r="I3743" s="490" t="s">
        <v>2062</v>
      </c>
      <c r="J3743" s="486" t="s">
        <v>3199</v>
      </c>
      <c r="K3743" s="486" t="s">
        <v>2064</v>
      </c>
      <c r="L3743" s="533"/>
      <c r="M3743" s="533"/>
      <c r="N3743" s="533"/>
    </row>
    <row r="3744" spans="6:14" ht="24" customHeight="1">
      <c r="F3744" s="490"/>
      <c r="G3744" s="486"/>
      <c r="H3744" s="487"/>
      <c r="I3744" s="490"/>
      <c r="J3744" s="490"/>
      <c r="K3744" s="533"/>
      <c r="L3744" s="533"/>
      <c r="M3744" s="533"/>
      <c r="N3744" s="533"/>
    </row>
    <row r="3745" spans="6:14" ht="24" customHeight="1">
      <c r="F3745" s="490">
        <v>0.15</v>
      </c>
      <c r="G3745" s="486" t="s">
        <v>5</v>
      </c>
      <c r="H3745" s="562" t="s">
        <v>5240</v>
      </c>
      <c r="I3745" s="162">
        <f>I3639</f>
        <v>2573.4499999999998</v>
      </c>
      <c r="J3745" s="486" t="s">
        <v>5</v>
      </c>
      <c r="K3745" s="490">
        <f t="shared" ref="K3745:K3750" si="358">I3745*F3745</f>
        <v>386.02</v>
      </c>
      <c r="L3745" s="533"/>
      <c r="M3745" s="533"/>
      <c r="N3745" s="533"/>
    </row>
    <row r="3746" spans="6:14" ht="40.5" customHeight="1">
      <c r="F3746" s="563">
        <v>7.1999999999999995E-2</v>
      </c>
      <c r="G3746" s="486" t="s">
        <v>11</v>
      </c>
      <c r="H3746" s="487" t="s">
        <v>38</v>
      </c>
      <c r="I3746" s="490">
        <f>I9</f>
        <v>6040</v>
      </c>
      <c r="J3746" s="486" t="s">
        <v>11</v>
      </c>
      <c r="K3746" s="490">
        <f t="shared" si="358"/>
        <v>434.88</v>
      </c>
      <c r="L3746" s="533"/>
      <c r="M3746" s="533"/>
      <c r="N3746" s="533"/>
    </row>
    <row r="3747" spans="6:14" ht="24" customHeight="1">
      <c r="F3747" s="490">
        <v>14.5</v>
      </c>
      <c r="G3747" s="486" t="s">
        <v>476</v>
      </c>
      <c r="H3747" s="122" t="s">
        <v>5241</v>
      </c>
      <c r="I3747" s="162">
        <f>P2433</f>
        <v>24.93</v>
      </c>
      <c r="J3747" s="486" t="s">
        <v>476</v>
      </c>
      <c r="K3747" s="490">
        <f t="shared" si="358"/>
        <v>361.49</v>
      </c>
      <c r="L3747" s="533"/>
      <c r="M3747" s="533"/>
      <c r="N3747" s="533"/>
    </row>
    <row r="3748" spans="6:14" ht="24" customHeight="1">
      <c r="F3748" s="490">
        <v>1.6</v>
      </c>
      <c r="G3748" s="486" t="s">
        <v>1772</v>
      </c>
      <c r="H3748" s="490" t="s">
        <v>5242</v>
      </c>
      <c r="I3748" s="490">
        <f>AE9</f>
        <v>1041.7</v>
      </c>
      <c r="J3748" s="486" t="s">
        <v>1772</v>
      </c>
      <c r="K3748" s="490">
        <f t="shared" si="358"/>
        <v>1666.72</v>
      </c>
      <c r="L3748" s="533"/>
      <c r="M3748" s="533"/>
      <c r="N3748" s="533"/>
    </row>
    <row r="3749" spans="6:14" ht="24" customHeight="1">
      <c r="F3749" s="490">
        <v>0.5</v>
      </c>
      <c r="G3749" s="486" t="s">
        <v>1772</v>
      </c>
      <c r="H3749" s="487" t="s">
        <v>304</v>
      </c>
      <c r="I3749" s="490">
        <f>AE11</f>
        <v>679.8</v>
      </c>
      <c r="J3749" s="486" t="s">
        <v>1772</v>
      </c>
      <c r="K3749" s="490">
        <f t="shared" si="358"/>
        <v>339.9</v>
      </c>
      <c r="L3749" s="533"/>
      <c r="M3749" s="533"/>
      <c r="N3749" s="533"/>
    </row>
    <row r="3750" spans="6:14" ht="24" customHeight="1">
      <c r="F3750" s="490">
        <v>1.1000000000000001</v>
      </c>
      <c r="G3750" s="486" t="s">
        <v>1772</v>
      </c>
      <c r="H3750" s="487" t="s">
        <v>306</v>
      </c>
      <c r="I3750" s="490">
        <f>AE12</f>
        <v>557.70000000000005</v>
      </c>
      <c r="J3750" s="486" t="s">
        <v>1772</v>
      </c>
      <c r="K3750" s="490">
        <f t="shared" si="358"/>
        <v>613.47</v>
      </c>
      <c r="L3750" s="533"/>
      <c r="M3750" s="533"/>
      <c r="N3750" s="533"/>
    </row>
    <row r="3751" spans="6:14" ht="24" customHeight="1">
      <c r="F3751" s="490"/>
      <c r="G3751" s="486"/>
      <c r="H3751" s="487" t="s">
        <v>4918</v>
      </c>
      <c r="I3751" s="576" t="s">
        <v>49</v>
      </c>
      <c r="J3751" s="486"/>
      <c r="K3751" s="490">
        <v>52.63</v>
      </c>
      <c r="L3751" s="533"/>
      <c r="M3751" s="533"/>
      <c r="N3751" s="533"/>
    </row>
    <row r="3752" spans="6:14" ht="24" customHeight="1">
      <c r="F3752" s="490"/>
      <c r="G3752" s="486"/>
      <c r="H3752" s="487" t="s">
        <v>4554</v>
      </c>
      <c r="I3752" s="533"/>
      <c r="J3752" s="533"/>
      <c r="K3752" s="490">
        <f>SUM(K3745:K3751)</f>
        <v>3855.11</v>
      </c>
      <c r="L3752" s="533"/>
      <c r="M3752" s="533"/>
      <c r="N3752" s="533"/>
    </row>
    <row r="3753" spans="6:14" ht="24" customHeight="1">
      <c r="F3753" s="533"/>
      <c r="G3753" s="533"/>
      <c r="H3753" s="487" t="s">
        <v>2137</v>
      </c>
      <c r="I3753" s="533"/>
      <c r="J3753" s="533"/>
      <c r="K3753" s="494">
        <f>K3752/10</f>
        <v>385.51</v>
      </c>
      <c r="L3753" s="533"/>
      <c r="M3753" s="533"/>
      <c r="N3753" s="533"/>
    </row>
    <row r="3754" spans="6:14" ht="24" customHeight="1">
      <c r="F3754" s="533"/>
      <c r="G3754" s="533"/>
      <c r="H3754" s="533"/>
      <c r="I3754" s="533"/>
      <c r="J3754" s="533"/>
      <c r="K3754" s="533"/>
      <c r="L3754" s="533"/>
      <c r="M3754" s="533"/>
      <c r="N3754" s="533"/>
    </row>
    <row r="3755" spans="6:14" ht="24" customHeight="1">
      <c r="F3755" s="148"/>
      <c r="G3755" s="126" t="s">
        <v>111</v>
      </c>
      <c r="I3755" s="577"/>
      <c r="J3755" s="578"/>
    </row>
    <row r="3756" spans="6:14" ht="24" customHeight="1">
      <c r="H3756" s="120"/>
    </row>
    <row r="3757" spans="6:14" ht="24" customHeight="1">
      <c r="H3757" s="564" t="s">
        <v>5243</v>
      </c>
    </row>
    <row r="3758" spans="6:14" ht="24" customHeight="1">
      <c r="H3758" s="123" t="s">
        <v>52</v>
      </c>
    </row>
    <row r="3759" spans="6:14" ht="24" customHeight="1">
      <c r="F3759" s="129">
        <v>21.55</v>
      </c>
      <c r="G3759" s="126" t="s">
        <v>39</v>
      </c>
      <c r="H3759" s="120" t="s">
        <v>5244</v>
      </c>
      <c r="I3759" s="129">
        <f>I3735</f>
        <v>831.6</v>
      </c>
      <c r="J3759" s="126" t="s">
        <v>39</v>
      </c>
      <c r="K3759" s="129">
        <f>I3759*F3759</f>
        <v>17920.98</v>
      </c>
    </row>
    <row r="3760" spans="6:14" ht="24" customHeight="1">
      <c r="F3760" s="129"/>
      <c r="G3760" s="126"/>
      <c r="H3760" s="120" t="s">
        <v>5245</v>
      </c>
      <c r="I3760" s="129"/>
      <c r="J3760" s="126"/>
      <c r="K3760" s="129">
        <f>K3759*10/100</f>
        <v>1792.1</v>
      </c>
    </row>
    <row r="3761" spans="6:11" ht="24" customHeight="1">
      <c r="F3761" s="129">
        <v>3.7</v>
      </c>
      <c r="G3761" s="126" t="s">
        <v>39</v>
      </c>
      <c r="H3761" s="120" t="s">
        <v>5246</v>
      </c>
      <c r="I3761" s="129">
        <f>Y32</f>
        <v>58000</v>
      </c>
      <c r="J3761" s="126" t="s">
        <v>11</v>
      </c>
      <c r="K3761" s="129">
        <f>I3761*F3761/10000</f>
        <v>21.46</v>
      </c>
    </row>
    <row r="3762" spans="6:11" ht="24" customHeight="1">
      <c r="F3762" s="533"/>
      <c r="G3762" s="533"/>
      <c r="H3762" s="120" t="s">
        <v>5247</v>
      </c>
      <c r="I3762" s="129"/>
      <c r="J3762" s="120"/>
      <c r="K3762" s="129">
        <f>K3761*5/100</f>
        <v>1.07</v>
      </c>
    </row>
    <row r="3763" spans="6:11" ht="24" customHeight="1">
      <c r="F3763" s="129">
        <v>18</v>
      </c>
      <c r="G3763" s="126" t="s">
        <v>1572</v>
      </c>
      <c r="H3763" s="120" t="s">
        <v>5248</v>
      </c>
      <c r="I3763" s="129">
        <v>15</v>
      </c>
      <c r="J3763" s="126" t="s">
        <v>41</v>
      </c>
      <c r="K3763" s="129">
        <f>I3763*F3763</f>
        <v>270</v>
      </c>
    </row>
    <row r="3764" spans="6:11" ht="24" customHeight="1">
      <c r="F3764" s="129"/>
      <c r="G3764" s="126"/>
      <c r="H3764" s="120" t="s">
        <v>5249</v>
      </c>
      <c r="I3764" s="129"/>
      <c r="J3764" s="120"/>
      <c r="K3764" s="129">
        <f>K3763*10/100</f>
        <v>27</v>
      </c>
    </row>
    <row r="3765" spans="6:11" ht="24" customHeight="1">
      <c r="F3765" s="129">
        <v>28</v>
      </c>
      <c r="G3765" s="126" t="s">
        <v>1572</v>
      </c>
      <c r="H3765" s="120" t="s">
        <v>5250</v>
      </c>
      <c r="I3765" s="129">
        <v>1</v>
      </c>
      <c r="J3765" s="126" t="s">
        <v>1572</v>
      </c>
      <c r="K3765" s="129">
        <f>I3765*F3765</f>
        <v>28</v>
      </c>
    </row>
    <row r="3766" spans="6:11" ht="24" customHeight="1">
      <c r="F3766" s="129">
        <v>28</v>
      </c>
      <c r="G3766" s="126" t="s">
        <v>1572</v>
      </c>
      <c r="H3766" s="120" t="s">
        <v>5251</v>
      </c>
      <c r="I3766" s="129">
        <v>2</v>
      </c>
      <c r="J3766" s="126" t="s">
        <v>1572</v>
      </c>
      <c r="K3766" s="129">
        <f>I3766*F3766</f>
        <v>56</v>
      </c>
    </row>
    <row r="3767" spans="6:11" ht="33" customHeight="1">
      <c r="F3767" s="129">
        <v>4</v>
      </c>
      <c r="G3767" s="126" t="s">
        <v>1572</v>
      </c>
      <c r="H3767" s="339" t="s">
        <v>5252</v>
      </c>
      <c r="I3767" s="129">
        <f>AE17</f>
        <v>919.6</v>
      </c>
      <c r="J3767" s="126" t="s">
        <v>1572</v>
      </c>
      <c r="K3767" s="129">
        <f>I3767*F3767</f>
        <v>3678.4</v>
      </c>
    </row>
    <row r="3768" spans="6:11" ht="36" customHeight="1">
      <c r="F3768" s="129">
        <v>2</v>
      </c>
      <c r="G3768" s="126" t="s">
        <v>1572</v>
      </c>
      <c r="H3768" s="49" t="s">
        <v>5233</v>
      </c>
      <c r="I3768" s="129">
        <f>AE19</f>
        <v>1018.6</v>
      </c>
      <c r="J3768" s="126" t="s">
        <v>1572</v>
      </c>
      <c r="K3768" s="129">
        <f>I3768*F3768</f>
        <v>2037.2</v>
      </c>
    </row>
    <row r="3769" spans="6:11" ht="24" customHeight="1">
      <c r="F3769" s="129">
        <v>6</v>
      </c>
      <c r="G3769" s="126" t="s">
        <v>1572</v>
      </c>
      <c r="H3769" s="49" t="s">
        <v>5253</v>
      </c>
      <c r="I3769" s="129">
        <f>AE11</f>
        <v>679.8</v>
      </c>
      <c r="J3769" s="126" t="s">
        <v>1572</v>
      </c>
      <c r="K3769" s="129">
        <f>I3769*F3769</f>
        <v>4078.8</v>
      </c>
    </row>
    <row r="3770" spans="6:11" ht="24" customHeight="1">
      <c r="F3770" s="129"/>
      <c r="G3770" s="126" t="s">
        <v>145</v>
      </c>
      <c r="H3770" s="120" t="s">
        <v>4918</v>
      </c>
      <c r="I3770" s="120" t="s">
        <v>85</v>
      </c>
      <c r="J3770" s="120" t="s">
        <v>145</v>
      </c>
      <c r="K3770" s="129">
        <v>5.38</v>
      </c>
    </row>
    <row r="3771" spans="6:11" ht="24" customHeight="1">
      <c r="F3771" s="129"/>
      <c r="G3771" s="126"/>
      <c r="H3771" s="120"/>
      <c r="I3771" s="129"/>
      <c r="J3771" s="126"/>
      <c r="K3771" s="129"/>
    </row>
    <row r="3772" spans="6:11" ht="24" customHeight="1">
      <c r="H3772" s="120" t="s">
        <v>5254</v>
      </c>
      <c r="K3772" s="129">
        <f>SUM(K3759:K3771)</f>
        <v>29916.39</v>
      </c>
    </row>
    <row r="3773" spans="6:11" ht="24" customHeight="1">
      <c r="K3773" s="123" t="s">
        <v>52</v>
      </c>
    </row>
    <row r="3774" spans="6:11" ht="24" customHeight="1">
      <c r="H3774" s="125" t="s">
        <v>5255</v>
      </c>
      <c r="I3774" s="114"/>
      <c r="J3774" s="305" t="s">
        <v>3192</v>
      </c>
      <c r="K3774" s="127">
        <f>K3772/18</f>
        <v>1662.02</v>
      </c>
    </row>
    <row r="3775" spans="6:11" ht="24" customHeight="1">
      <c r="H3775" s="125"/>
      <c r="I3775" s="114"/>
      <c r="J3775" s="305"/>
      <c r="K3775" s="123" t="s">
        <v>52</v>
      </c>
    </row>
    <row r="3776" spans="6:11" ht="24" customHeight="1">
      <c r="H3776" s="125"/>
      <c r="I3776" s="114"/>
      <c r="J3776" s="305"/>
      <c r="K3776" s="127"/>
    </row>
    <row r="3777" spans="6:12" ht="24" customHeight="1">
      <c r="F3777" s="533"/>
      <c r="G3777" s="533"/>
      <c r="H3777" s="580" t="s">
        <v>5256</v>
      </c>
      <c r="I3777" s="533"/>
      <c r="J3777" s="533"/>
      <c r="K3777" s="533"/>
      <c r="L3777" s="533"/>
    </row>
    <row r="3778" spans="6:12" ht="24" customHeight="1">
      <c r="G3778" s="542" t="s">
        <v>5257</v>
      </c>
      <c r="H3778" s="542"/>
      <c r="I3778" s="542"/>
      <c r="J3778" s="542"/>
      <c r="K3778" s="308"/>
      <c r="L3778" s="308"/>
    </row>
    <row r="3779" spans="6:12" ht="24" customHeight="1">
      <c r="G3779" s="310"/>
      <c r="H3779" s="311"/>
      <c r="I3779" s="312"/>
      <c r="J3779" s="313"/>
      <c r="K3779" s="311"/>
      <c r="L3779" s="313"/>
    </row>
    <row r="3780" spans="6:12" ht="24" customHeight="1">
      <c r="G3780" s="310"/>
      <c r="H3780" s="311"/>
      <c r="I3780" s="314"/>
      <c r="J3780" s="313"/>
      <c r="K3780" s="311"/>
      <c r="L3780" s="313"/>
    </row>
    <row r="3781" spans="6:12" ht="24" customHeight="1">
      <c r="F3781" s="310">
        <v>38.86</v>
      </c>
      <c r="G3781" s="311" t="s">
        <v>476</v>
      </c>
      <c r="H3781" s="314" t="s">
        <v>5258</v>
      </c>
      <c r="I3781" s="546">
        <v>325</v>
      </c>
      <c r="J3781" s="311" t="s">
        <v>476</v>
      </c>
      <c r="K3781" s="313">
        <f t="shared" ref="K3781:K3788" si="359">I3781*F3781</f>
        <v>12629.5</v>
      </c>
      <c r="L3781" s="307"/>
    </row>
    <row r="3782" spans="6:12" ht="24" customHeight="1">
      <c r="F3782" s="310">
        <v>2.4300000000000002</v>
      </c>
      <c r="G3782" s="581" t="s">
        <v>468</v>
      </c>
      <c r="H3782" s="582" t="s">
        <v>3197</v>
      </c>
      <c r="I3782" s="546">
        <v>362.5</v>
      </c>
      <c r="J3782" s="311" t="s">
        <v>468</v>
      </c>
      <c r="K3782" s="313">
        <f t="shared" si="359"/>
        <v>880.88</v>
      </c>
      <c r="L3782" s="307"/>
    </row>
    <row r="3783" spans="6:12" ht="24" customHeight="1">
      <c r="F3783" s="310">
        <v>4.8499999999999996</v>
      </c>
      <c r="G3783" s="581" t="s">
        <v>468</v>
      </c>
      <c r="H3783" s="582" t="s">
        <v>3198</v>
      </c>
      <c r="I3783" s="544">
        <v>695</v>
      </c>
      <c r="J3783" s="311" t="s">
        <v>237</v>
      </c>
      <c r="K3783" s="313">
        <f t="shared" si="359"/>
        <v>3370.75</v>
      </c>
      <c r="L3783" s="307"/>
    </row>
    <row r="3784" spans="6:12" ht="24" customHeight="1">
      <c r="F3784" s="547">
        <v>34.65</v>
      </c>
      <c r="G3784" s="581" t="s">
        <v>13</v>
      </c>
      <c r="H3784" s="582" t="s">
        <v>5259</v>
      </c>
      <c r="I3784" s="546">
        <v>38.25</v>
      </c>
      <c r="J3784" s="311" t="s">
        <v>13</v>
      </c>
      <c r="K3784" s="313">
        <f t="shared" si="359"/>
        <v>1325.36</v>
      </c>
      <c r="L3784" s="307"/>
    </row>
    <row r="3785" spans="6:12" ht="24" customHeight="1">
      <c r="F3785" s="377">
        <v>144</v>
      </c>
      <c r="G3785" s="583" t="s">
        <v>1572</v>
      </c>
      <c r="H3785" s="584" t="s">
        <v>5260</v>
      </c>
      <c r="I3785" s="548">
        <v>2.41</v>
      </c>
      <c r="J3785" s="380" t="s">
        <v>1034</v>
      </c>
      <c r="K3785" s="313">
        <f t="shared" si="359"/>
        <v>347.04</v>
      </c>
      <c r="L3785" s="307"/>
    </row>
    <row r="3786" spans="6:12" ht="24" customHeight="1">
      <c r="F3786" s="377">
        <v>12</v>
      </c>
      <c r="G3786" s="583" t="s">
        <v>1572</v>
      </c>
      <c r="H3786" s="584" t="s">
        <v>5261</v>
      </c>
      <c r="I3786" s="548">
        <v>4.88</v>
      </c>
      <c r="J3786" s="380" t="s">
        <v>1034</v>
      </c>
      <c r="K3786" s="313">
        <f t="shared" si="359"/>
        <v>58.56</v>
      </c>
      <c r="L3786" s="307"/>
    </row>
    <row r="3787" spans="6:12" ht="24" customHeight="1">
      <c r="F3787" s="377">
        <v>12</v>
      </c>
      <c r="G3787" s="583" t="s">
        <v>1572</v>
      </c>
      <c r="H3787" s="584" t="s">
        <v>5262</v>
      </c>
      <c r="I3787" s="548">
        <v>1.08</v>
      </c>
      <c r="J3787" s="380" t="s">
        <v>1034</v>
      </c>
      <c r="K3787" s="313">
        <f t="shared" si="359"/>
        <v>12.96</v>
      </c>
      <c r="L3787" s="307"/>
    </row>
    <row r="3788" spans="6:12" ht="24" customHeight="1">
      <c r="F3788" s="310">
        <v>2</v>
      </c>
      <c r="G3788" s="581" t="s">
        <v>3199</v>
      </c>
      <c r="H3788" s="582" t="s">
        <v>5263</v>
      </c>
      <c r="I3788" s="546">
        <v>11.9</v>
      </c>
      <c r="J3788" s="311" t="s">
        <v>3199</v>
      </c>
      <c r="K3788" s="313">
        <f t="shared" si="359"/>
        <v>23.8</v>
      </c>
      <c r="L3788" s="307"/>
    </row>
    <row r="3789" spans="6:12" ht="24" customHeight="1">
      <c r="F3789" s="310">
        <v>6.6150000000000002</v>
      </c>
      <c r="G3789" s="581" t="s">
        <v>724</v>
      </c>
      <c r="H3789" s="582" t="s">
        <v>3130</v>
      </c>
      <c r="I3789" s="307">
        <f>K3799</f>
        <v>2085.6</v>
      </c>
      <c r="J3789" s="311" t="s">
        <v>724</v>
      </c>
      <c r="K3789" s="313">
        <f>1059.95*6.615</f>
        <v>7011.57</v>
      </c>
      <c r="L3789" s="307"/>
    </row>
    <row r="3790" spans="6:12" ht="24" customHeight="1">
      <c r="F3790" s="310"/>
      <c r="G3790" s="581"/>
      <c r="H3790" s="582"/>
      <c r="I3790" s="307"/>
      <c r="J3790" s="352"/>
      <c r="K3790" s="313"/>
      <c r="L3790" s="307"/>
    </row>
    <row r="3791" spans="6:12" ht="24" customHeight="1">
      <c r="F3791" s="310"/>
      <c r="G3791" s="581"/>
      <c r="H3791" s="203" t="s">
        <v>5181</v>
      </c>
      <c r="J3791" s="311"/>
      <c r="K3791" s="313">
        <f>SUM(K3781:K3790)</f>
        <v>25660.42</v>
      </c>
      <c r="L3791" s="307"/>
    </row>
    <row r="3792" spans="6:12" ht="24" customHeight="1">
      <c r="F3792" s="310"/>
      <c r="G3792" s="581"/>
      <c r="H3792" s="203" t="s">
        <v>460</v>
      </c>
      <c r="J3792" s="308"/>
      <c r="K3792" s="353">
        <f>K3791/6.615</f>
        <v>3879.13</v>
      </c>
      <c r="L3792" s="354" t="s">
        <v>729</v>
      </c>
    </row>
    <row r="3793" spans="6:12" ht="24" customHeight="1">
      <c r="F3793" s="307"/>
      <c r="G3793" s="585"/>
      <c r="H3793" s="586"/>
      <c r="I3793" s="307"/>
      <c r="J3793" s="307"/>
      <c r="K3793" s="307"/>
      <c r="L3793" s="307"/>
    </row>
    <row r="3794" spans="6:12" ht="24" customHeight="1">
      <c r="F3794" s="313">
        <v>1</v>
      </c>
      <c r="G3794" s="311" t="s">
        <v>131</v>
      </c>
      <c r="H3794" s="314" t="s">
        <v>4405</v>
      </c>
      <c r="I3794" s="313">
        <f>AE17</f>
        <v>919.6</v>
      </c>
      <c r="J3794" s="314" t="s">
        <v>131</v>
      </c>
      <c r="K3794" s="313">
        <f>I3794*F3794</f>
        <v>919.6</v>
      </c>
      <c r="L3794" s="307"/>
    </row>
    <row r="3795" spans="6:12" ht="24" customHeight="1">
      <c r="F3795" s="313">
        <v>1</v>
      </c>
      <c r="G3795" s="311" t="s">
        <v>131</v>
      </c>
      <c r="H3795" s="314" t="s">
        <v>4406</v>
      </c>
      <c r="I3795" s="313">
        <f>AE11</f>
        <v>679.8</v>
      </c>
      <c r="J3795" s="314" t="s">
        <v>131</v>
      </c>
      <c r="K3795" s="313">
        <f>I3795*F3795</f>
        <v>679.8</v>
      </c>
      <c r="L3795" s="307"/>
    </row>
    <row r="3796" spans="6:12" ht="24" customHeight="1">
      <c r="F3796" s="313">
        <v>0.5</v>
      </c>
      <c r="G3796" s="311" t="s">
        <v>131</v>
      </c>
      <c r="H3796" s="314" t="s">
        <v>4407</v>
      </c>
      <c r="I3796" s="313">
        <f>AE20</f>
        <v>972.4</v>
      </c>
      <c r="J3796" s="314" t="s">
        <v>131</v>
      </c>
      <c r="K3796" s="313">
        <f>I3796*F3796</f>
        <v>486.2</v>
      </c>
      <c r="L3796" s="307"/>
    </row>
    <row r="3797" spans="6:12" ht="24" customHeight="1">
      <c r="F3797" s="307"/>
      <c r="G3797" s="311" t="s">
        <v>145</v>
      </c>
      <c r="H3797" s="314"/>
      <c r="I3797" s="313"/>
      <c r="J3797" s="314" t="s">
        <v>145</v>
      </c>
      <c r="K3797" s="313"/>
      <c r="L3797" s="307"/>
    </row>
    <row r="3798" spans="6:12" ht="24" customHeight="1">
      <c r="G3798" s="307"/>
      <c r="H3798" s="334"/>
      <c r="I3798" s="307"/>
      <c r="J3798" s="307"/>
      <c r="K3798" s="356" t="s">
        <v>52</v>
      </c>
      <c r="L3798" s="533"/>
    </row>
    <row r="3799" spans="6:12" ht="24" customHeight="1">
      <c r="G3799" s="307"/>
      <c r="H3799" s="334"/>
      <c r="I3799" s="314" t="s">
        <v>3140</v>
      </c>
      <c r="J3799" s="307"/>
      <c r="K3799" s="353">
        <f>SUM(K3794:K3798)</f>
        <v>2085.6</v>
      </c>
      <c r="L3799" s="533"/>
    </row>
    <row r="3800" spans="6:12" ht="24" customHeight="1">
      <c r="G3800" s="307"/>
      <c r="H3800" s="334"/>
      <c r="I3800" s="307"/>
      <c r="J3800" s="307"/>
      <c r="K3800" s="356" t="s">
        <v>52</v>
      </c>
      <c r="L3800" s="533"/>
    </row>
    <row r="3801" spans="6:12" ht="24" customHeight="1">
      <c r="G3801" s="115"/>
      <c r="J3801" s="115"/>
      <c r="K3801" s="118"/>
    </row>
    <row r="3802" spans="6:12" ht="24" customHeight="1">
      <c r="F3802" s="167"/>
      <c r="G3802" s="126" t="s">
        <v>111</v>
      </c>
      <c r="H3802" s="120" t="s">
        <v>4315</v>
      </c>
    </row>
    <row r="3803" spans="6:12" ht="24" customHeight="1">
      <c r="H3803" s="120"/>
    </row>
    <row r="3804" spans="6:12" ht="24" customHeight="1">
      <c r="H3804" s="123" t="s">
        <v>52</v>
      </c>
    </row>
    <row r="3805" spans="6:12" ht="24" customHeight="1">
      <c r="F3805" s="129">
        <v>1.86</v>
      </c>
      <c r="G3805" s="126" t="s">
        <v>425</v>
      </c>
      <c r="H3805" s="120" t="s">
        <v>4316</v>
      </c>
      <c r="I3805" s="140">
        <v>699.4</v>
      </c>
      <c r="J3805" s="120" t="s">
        <v>425</v>
      </c>
      <c r="K3805" s="129">
        <f>(F3805*I3805)</f>
        <v>1300.8800000000001</v>
      </c>
    </row>
    <row r="3806" spans="6:12" ht="24" customHeight="1">
      <c r="F3806" s="129">
        <v>0.4</v>
      </c>
      <c r="G3806" s="126" t="s">
        <v>39</v>
      </c>
      <c r="H3806" s="120" t="s">
        <v>4296</v>
      </c>
      <c r="I3806" s="299">
        <f>I3462</f>
        <v>36.1</v>
      </c>
      <c r="J3806" s="120" t="s">
        <v>39</v>
      </c>
      <c r="K3806" s="129">
        <f>(F3806*I3806)</f>
        <v>14.44</v>
      </c>
    </row>
    <row r="3807" spans="6:12" ht="24" customHeight="1">
      <c r="F3807" s="129">
        <v>0.02</v>
      </c>
      <c r="G3807" s="126" t="s">
        <v>132</v>
      </c>
      <c r="H3807" s="120" t="s">
        <v>1592</v>
      </c>
      <c r="I3807" s="129">
        <f>K23</f>
        <v>6112.22</v>
      </c>
      <c r="J3807" s="120" t="s">
        <v>132</v>
      </c>
      <c r="K3807" s="129">
        <f>(F3807*I3807)</f>
        <v>122.24</v>
      </c>
    </row>
    <row r="3808" spans="6:12" ht="24" customHeight="1">
      <c r="F3808" s="129">
        <v>1</v>
      </c>
      <c r="G3808" s="126" t="s">
        <v>237</v>
      </c>
      <c r="H3808" s="120" t="s">
        <v>345</v>
      </c>
      <c r="I3808" s="129">
        <f>I3748</f>
        <v>1041.7</v>
      </c>
      <c r="J3808" s="120" t="s">
        <v>237</v>
      </c>
      <c r="K3808" s="129">
        <f>(F3808*I3808)</f>
        <v>1041.7</v>
      </c>
    </row>
    <row r="3809" spans="6:11" ht="24" customHeight="1">
      <c r="F3809" s="129">
        <v>1</v>
      </c>
      <c r="G3809" s="126" t="s">
        <v>237</v>
      </c>
      <c r="H3809" s="120" t="s">
        <v>1593</v>
      </c>
      <c r="I3809" s="129">
        <f>I3795</f>
        <v>679.8</v>
      </c>
      <c r="J3809" s="120" t="s">
        <v>237</v>
      </c>
      <c r="K3809" s="129">
        <f>(F3809*I3809)</f>
        <v>679.8</v>
      </c>
    </row>
    <row r="3810" spans="6:11" ht="24" customHeight="1">
      <c r="G3810" s="126" t="s">
        <v>145</v>
      </c>
      <c r="H3810" s="120" t="s">
        <v>146</v>
      </c>
      <c r="J3810" s="120" t="s">
        <v>145</v>
      </c>
      <c r="K3810" s="129"/>
    </row>
    <row r="3811" spans="6:11" ht="24" customHeight="1">
      <c r="K3811" s="123" t="s">
        <v>52</v>
      </c>
    </row>
    <row r="3812" spans="6:11" ht="24" customHeight="1">
      <c r="H3812" s="120" t="s">
        <v>1594</v>
      </c>
      <c r="K3812" s="129">
        <f>SUM(K3805:K3810)</f>
        <v>3159.06</v>
      </c>
    </row>
    <row r="3813" spans="6:11" ht="24" customHeight="1">
      <c r="K3813" s="123" t="s">
        <v>52</v>
      </c>
    </row>
    <row r="3814" spans="6:11" ht="24" customHeight="1">
      <c r="H3814" s="128" t="s">
        <v>460</v>
      </c>
      <c r="K3814" s="127">
        <f>(K3812/1.86)</f>
        <v>1698.42</v>
      </c>
    </row>
    <row r="3815" spans="6:11" ht="24" customHeight="1">
      <c r="K3815" s="123" t="s">
        <v>89</v>
      </c>
    </row>
    <row r="3817" spans="6:11" ht="24" customHeight="1">
      <c r="F3817" s="167"/>
      <c r="G3817" s="126" t="s">
        <v>111</v>
      </c>
      <c r="H3817" s="120" t="s">
        <v>4313</v>
      </c>
    </row>
    <row r="3818" spans="6:11" ht="24" customHeight="1">
      <c r="H3818" s="120"/>
    </row>
    <row r="3819" spans="6:11" ht="24" customHeight="1">
      <c r="H3819" s="120"/>
    </row>
    <row r="3820" spans="6:11" ht="24" customHeight="1">
      <c r="H3820" s="123" t="s">
        <v>52</v>
      </c>
      <c r="I3820" s="123" t="s">
        <v>52</v>
      </c>
    </row>
    <row r="3821" spans="6:11" ht="33" customHeight="1">
      <c r="F3821" s="129">
        <v>10</v>
      </c>
      <c r="G3821" s="126" t="s">
        <v>425</v>
      </c>
      <c r="H3821" s="42" t="s">
        <v>4314</v>
      </c>
      <c r="I3821" s="140">
        <v>538.21</v>
      </c>
      <c r="J3821" s="120" t="s">
        <v>425</v>
      </c>
      <c r="K3821" s="129">
        <f>(F3821*I3821)</f>
        <v>5382.1</v>
      </c>
    </row>
    <row r="3822" spans="6:11" ht="36" customHeight="1">
      <c r="F3822" s="129">
        <v>0.21</v>
      </c>
      <c r="G3822" s="126" t="s">
        <v>132</v>
      </c>
      <c r="H3822" s="120" t="s">
        <v>1575</v>
      </c>
      <c r="I3822" s="129">
        <f>I3455</f>
        <v>4662.62</v>
      </c>
      <c r="J3822" s="120" t="s">
        <v>132</v>
      </c>
      <c r="K3822" s="129">
        <f>(F3822*I3822)</f>
        <v>979.15</v>
      </c>
    </row>
    <row r="3823" spans="6:11" ht="32.25" customHeight="1">
      <c r="H3823" s="120" t="s">
        <v>1576</v>
      </c>
      <c r="I3823" s="129"/>
      <c r="K3823" s="120" t="s">
        <v>85</v>
      </c>
    </row>
    <row r="3824" spans="6:11" ht="24" customHeight="1">
      <c r="F3824" s="129">
        <v>1.1000000000000001</v>
      </c>
      <c r="G3824" s="126" t="s">
        <v>237</v>
      </c>
      <c r="H3824" s="120" t="s">
        <v>345</v>
      </c>
      <c r="I3824" s="129">
        <f>I3457</f>
        <v>1041.7</v>
      </c>
      <c r="J3824" s="120" t="s">
        <v>237</v>
      </c>
      <c r="K3824" s="129">
        <f>(F3824*I3824)</f>
        <v>1145.8699999999999</v>
      </c>
    </row>
    <row r="3825" spans="6:11" ht="24" customHeight="1">
      <c r="F3825" s="129">
        <v>1.1000000000000001</v>
      </c>
      <c r="G3825" s="126" t="s">
        <v>237</v>
      </c>
      <c r="H3825" s="120" t="s">
        <v>302</v>
      </c>
      <c r="I3825" s="129">
        <f t="shared" ref="I3825:I3832" si="360">I3458</f>
        <v>972.4</v>
      </c>
      <c r="J3825" s="120" t="s">
        <v>237</v>
      </c>
      <c r="K3825" s="129">
        <f>(F3825*I3825)</f>
        <v>1069.6400000000001</v>
      </c>
    </row>
    <row r="3826" spans="6:11" ht="24" customHeight="1">
      <c r="F3826" s="129">
        <v>2.2000000000000002</v>
      </c>
      <c r="G3826" s="126" t="s">
        <v>237</v>
      </c>
      <c r="H3826" s="120" t="s">
        <v>304</v>
      </c>
      <c r="I3826" s="129">
        <f t="shared" si="360"/>
        <v>679.8</v>
      </c>
      <c r="J3826" s="120" t="s">
        <v>237</v>
      </c>
      <c r="K3826" s="129">
        <f>(F3826*I3826)</f>
        <v>1495.56</v>
      </c>
    </row>
    <row r="3827" spans="6:11" ht="24" customHeight="1">
      <c r="F3827" s="129">
        <v>2.2000000000000002</v>
      </c>
      <c r="G3827" s="126" t="s">
        <v>237</v>
      </c>
      <c r="H3827" s="120" t="s">
        <v>306</v>
      </c>
      <c r="I3827" s="129">
        <f t="shared" si="360"/>
        <v>557.70000000000005</v>
      </c>
      <c r="J3827" s="120" t="s">
        <v>237</v>
      </c>
      <c r="K3827" s="129">
        <f>(F3827*I3827)</f>
        <v>1226.94</v>
      </c>
    </row>
    <row r="3828" spans="6:11" ht="24" customHeight="1">
      <c r="F3828" s="142">
        <v>20</v>
      </c>
      <c r="G3828" s="126" t="s">
        <v>39</v>
      </c>
      <c r="H3828" s="120" t="s">
        <v>123</v>
      </c>
      <c r="I3828" s="129">
        <f t="shared" si="360"/>
        <v>6040</v>
      </c>
      <c r="J3828" s="120" t="s">
        <v>122</v>
      </c>
      <c r="K3828" s="129">
        <f>(F3828*I3828)/1000</f>
        <v>120.8</v>
      </c>
    </row>
    <row r="3829" spans="6:11" ht="24" customHeight="1">
      <c r="F3829" s="142">
        <v>2</v>
      </c>
      <c r="G3829" s="126" t="s">
        <v>39</v>
      </c>
      <c r="H3829" s="120" t="s">
        <v>4296</v>
      </c>
      <c r="I3829" s="129">
        <f t="shared" si="360"/>
        <v>36.1</v>
      </c>
      <c r="J3829" s="120" t="s">
        <v>39</v>
      </c>
      <c r="K3829" s="129">
        <f>(F3829*I3829)</f>
        <v>72.2</v>
      </c>
    </row>
    <row r="3830" spans="6:11" ht="24" customHeight="1">
      <c r="F3830" s="129">
        <v>1.6</v>
      </c>
      <c r="G3830" s="126" t="s">
        <v>237</v>
      </c>
      <c r="H3830" s="120" t="s">
        <v>302</v>
      </c>
      <c r="I3830" s="129">
        <f t="shared" si="360"/>
        <v>972.4</v>
      </c>
      <c r="J3830" s="120" t="s">
        <v>237</v>
      </c>
      <c r="K3830" s="129">
        <f>(F3830*I3830)</f>
        <v>1555.84</v>
      </c>
    </row>
    <row r="3831" spans="6:11" ht="24" customHeight="1">
      <c r="F3831" s="129">
        <v>0.5</v>
      </c>
      <c r="G3831" s="126" t="s">
        <v>237</v>
      </c>
      <c r="H3831" s="120" t="s">
        <v>304</v>
      </c>
      <c r="I3831" s="129">
        <f t="shared" si="360"/>
        <v>679.8</v>
      </c>
      <c r="J3831" s="120" t="s">
        <v>237</v>
      </c>
      <c r="K3831" s="129">
        <f>(F3831*I3831)</f>
        <v>339.9</v>
      </c>
    </row>
    <row r="3832" spans="6:11" ht="24" customHeight="1">
      <c r="F3832" s="129">
        <v>1.1000000000000001</v>
      </c>
      <c r="G3832" s="126" t="s">
        <v>237</v>
      </c>
      <c r="H3832" s="120" t="s">
        <v>306</v>
      </c>
      <c r="I3832" s="129">
        <f t="shared" si="360"/>
        <v>557.70000000000005</v>
      </c>
      <c r="J3832" s="120" t="s">
        <v>237</v>
      </c>
      <c r="K3832" s="129">
        <f>(F3832*I3832)</f>
        <v>613.47</v>
      </c>
    </row>
    <row r="3833" spans="6:11" ht="24" customHeight="1">
      <c r="G3833" s="126" t="s">
        <v>145</v>
      </c>
      <c r="H3833" s="120" t="s">
        <v>146</v>
      </c>
      <c r="J3833" s="120" t="s">
        <v>145</v>
      </c>
      <c r="K3833" s="129">
        <v>0</v>
      </c>
    </row>
    <row r="3834" spans="6:11" ht="24" customHeight="1">
      <c r="K3834" s="123" t="s">
        <v>52</v>
      </c>
    </row>
    <row r="3835" spans="6:11" ht="24" customHeight="1">
      <c r="H3835" s="120" t="s">
        <v>495</v>
      </c>
      <c r="K3835" s="129">
        <f>SUM(K3821:K3833)</f>
        <v>14001.47</v>
      </c>
    </row>
    <row r="3836" spans="6:11" ht="24" customHeight="1">
      <c r="K3836" s="123" t="s">
        <v>52</v>
      </c>
    </row>
    <row r="3837" spans="6:11" ht="24" customHeight="1">
      <c r="F3837" s="118"/>
      <c r="G3837" s="115"/>
      <c r="H3837" s="128" t="s">
        <v>460</v>
      </c>
      <c r="K3837" s="127">
        <f>(K3835/10)</f>
        <v>1400.15</v>
      </c>
    </row>
    <row r="3838" spans="6:11" ht="24" customHeight="1">
      <c r="F3838" s="118"/>
      <c r="G3838" s="115"/>
      <c r="K3838" s="123" t="s">
        <v>89</v>
      </c>
    </row>
    <row r="3840" spans="6:11" ht="24" customHeight="1">
      <c r="F3840" s="116"/>
      <c r="G3840" s="114" t="s">
        <v>5264</v>
      </c>
      <c r="I3840" s="117">
        <f>1.2*0.8</f>
        <v>0.96</v>
      </c>
      <c r="J3840" s="115"/>
      <c r="K3840" s="118"/>
    </row>
    <row r="3841" spans="5:11" ht="24" customHeight="1">
      <c r="F3841" s="116"/>
      <c r="G3841" s="115"/>
      <c r="I3841" s="117"/>
      <c r="J3841" s="115"/>
      <c r="K3841" s="118"/>
    </row>
    <row r="3842" spans="5:11" ht="24" customHeight="1">
      <c r="E3842" s="117" t="s">
        <v>5265</v>
      </c>
      <c r="F3842" s="117"/>
      <c r="G3842" s="117"/>
      <c r="H3842" s="118">
        <f>4*3.9</f>
        <v>15.6</v>
      </c>
      <c r="I3842" s="117" t="s">
        <v>1791</v>
      </c>
      <c r="K3842" s="118"/>
    </row>
    <row r="3843" spans="5:11" ht="24" customHeight="1">
      <c r="E3843" s="115" t="s">
        <v>5266</v>
      </c>
      <c r="F3843" s="116"/>
      <c r="G3843" s="115"/>
      <c r="H3843" s="115">
        <f>11*0.8*3.14</f>
        <v>27.63</v>
      </c>
      <c r="I3843" s="117" t="s">
        <v>1791</v>
      </c>
      <c r="K3843" s="118"/>
    </row>
    <row r="3844" spans="5:11" ht="24" customHeight="1">
      <c r="E3844" s="115" t="s">
        <v>5267</v>
      </c>
      <c r="F3844" s="116"/>
      <c r="G3844" s="115"/>
      <c r="H3844" s="115">
        <f>2*1.2*1.2</f>
        <v>2.88</v>
      </c>
      <c r="I3844" s="117" t="s">
        <v>1791</v>
      </c>
      <c r="K3844" s="118"/>
    </row>
    <row r="3845" spans="5:11" ht="24" customHeight="1">
      <c r="E3845" s="115" t="s">
        <v>5268</v>
      </c>
      <c r="F3845" s="116"/>
      <c r="G3845" s="115"/>
      <c r="H3845" s="115">
        <f>3*0.8*1.2</f>
        <v>2.88</v>
      </c>
      <c r="I3845" s="117" t="s">
        <v>1791</v>
      </c>
      <c r="K3845" s="118"/>
    </row>
    <row r="3846" spans="5:11" ht="24" customHeight="1">
      <c r="E3846" s="115" t="s">
        <v>5269</v>
      </c>
      <c r="F3846" s="116"/>
      <c r="G3846" s="115"/>
      <c r="H3846" s="115">
        <v>5</v>
      </c>
      <c r="I3846" s="117"/>
      <c r="K3846" s="118"/>
    </row>
    <row r="3847" spans="5:11" ht="24" customHeight="1">
      <c r="F3847" s="116"/>
      <c r="G3847" s="115"/>
      <c r="H3847" s="1167" t="s">
        <v>2280</v>
      </c>
      <c r="I3847" s="117"/>
      <c r="K3847" s="118"/>
    </row>
    <row r="3848" spans="5:11" ht="24" customHeight="1">
      <c r="F3848" s="116"/>
      <c r="G3848" s="115"/>
      <c r="H3848" s="224">
        <f>SUM(H3842:H3846)</f>
        <v>53.99</v>
      </c>
      <c r="I3848" s="117" t="s">
        <v>1791</v>
      </c>
      <c r="J3848" s="117">
        <f>H3848-51.7</f>
        <v>2.29</v>
      </c>
      <c r="K3848" s="118"/>
    </row>
    <row r="3849" spans="5:11" ht="24" customHeight="1">
      <c r="F3849" s="116"/>
      <c r="G3849" s="115"/>
      <c r="H3849" s="1167" t="s">
        <v>2280</v>
      </c>
      <c r="I3849" s="117"/>
      <c r="J3849" s="115"/>
      <c r="K3849" s="118"/>
    </row>
    <row r="3850" spans="5:11" ht="24" customHeight="1">
      <c r="F3850" s="116"/>
      <c r="G3850" s="115"/>
      <c r="I3850" s="117"/>
      <c r="J3850" s="115"/>
      <c r="K3850" s="118"/>
    </row>
    <row r="3851" spans="5:11" ht="24" customHeight="1">
      <c r="F3851" s="116"/>
      <c r="G3851" s="115"/>
      <c r="I3851" s="117"/>
      <c r="J3851" s="115"/>
      <c r="K3851" s="118"/>
    </row>
    <row r="3852" spans="5:11" ht="24" customHeight="1">
      <c r="E3852" s="118">
        <f>H3848</f>
        <v>53.99</v>
      </c>
      <c r="F3852" s="116" t="s">
        <v>39</v>
      </c>
      <c r="G3852" s="115" t="s">
        <v>2819</v>
      </c>
      <c r="H3852" s="115">
        <f>I2607</f>
        <v>70.150000000000006</v>
      </c>
      <c r="I3852" s="117" t="s">
        <v>39</v>
      </c>
      <c r="J3852" s="115">
        <f>H3852*E3852</f>
        <v>3787.4</v>
      </c>
      <c r="K3852" s="118"/>
    </row>
    <row r="3853" spans="5:11" ht="24" customHeight="1">
      <c r="E3853" s="118">
        <v>0.96</v>
      </c>
      <c r="F3853" s="116" t="s">
        <v>724</v>
      </c>
      <c r="G3853" s="115" t="s">
        <v>4620</v>
      </c>
      <c r="H3853" s="115">
        <f>I2608</f>
        <v>379.9</v>
      </c>
      <c r="I3853" s="117" t="s">
        <v>724</v>
      </c>
      <c r="J3853" s="115">
        <f>H3853*E3853</f>
        <v>364.7</v>
      </c>
      <c r="K3853" s="118"/>
    </row>
    <row r="3854" spans="5:11" ht="24" customHeight="1">
      <c r="E3854" s="118">
        <v>0.96</v>
      </c>
      <c r="F3854" s="116" t="s">
        <v>724</v>
      </c>
      <c r="G3854" s="115" t="s">
        <v>4638</v>
      </c>
      <c r="H3854" s="115">
        <f>I2609</f>
        <v>40.65</v>
      </c>
      <c r="I3854" s="117" t="s">
        <v>724</v>
      </c>
      <c r="J3854" s="115">
        <f>H3854*E3854</f>
        <v>39.020000000000003</v>
      </c>
      <c r="K3854" s="118"/>
    </row>
    <row r="3855" spans="5:11" ht="24" customHeight="1">
      <c r="F3855" s="116"/>
      <c r="G3855" s="115" t="s">
        <v>4639</v>
      </c>
      <c r="H3855" s="115">
        <f>I2610</f>
        <v>266.81</v>
      </c>
      <c r="I3855" s="117" t="s">
        <v>145</v>
      </c>
      <c r="J3855" s="115">
        <f>H3855</f>
        <v>266.81</v>
      </c>
      <c r="K3855" s="118"/>
    </row>
    <row r="3856" spans="5:11" ht="24" customHeight="1">
      <c r="F3856" s="116"/>
      <c r="G3856" s="115"/>
      <c r="I3856" s="117"/>
      <c r="J3856" s="1167" t="s">
        <v>2163</v>
      </c>
      <c r="K3856" s="118"/>
    </row>
    <row r="3857" spans="5:11" ht="24" customHeight="1">
      <c r="F3857" s="116"/>
      <c r="G3857" s="114" t="s">
        <v>4623</v>
      </c>
      <c r="I3857" s="117"/>
      <c r="J3857" s="114">
        <f>SUM(J3852:J3856)</f>
        <v>4457.93</v>
      </c>
      <c r="K3857" s="118"/>
    </row>
    <row r="3858" spans="5:11" ht="24" customHeight="1">
      <c r="F3858" s="116"/>
      <c r="G3858" s="115"/>
      <c r="I3858" s="117"/>
      <c r="J3858" s="1167" t="s">
        <v>2163</v>
      </c>
      <c r="K3858" s="118"/>
    </row>
    <row r="3859" spans="5:11" ht="24" customHeight="1">
      <c r="F3859" s="116"/>
      <c r="G3859" s="305" t="s">
        <v>4629</v>
      </c>
      <c r="I3859" s="117"/>
      <c r="J3859" s="114">
        <f>J3857/E3853</f>
        <v>4643.68</v>
      </c>
      <c r="K3859" s="118"/>
    </row>
    <row r="3860" spans="5:11" ht="24" customHeight="1">
      <c r="G3860" s="115"/>
      <c r="J3860" s="115"/>
      <c r="K3860" s="118"/>
    </row>
    <row r="3861" spans="5:11" ht="24" customHeight="1">
      <c r="F3861" s="116"/>
      <c r="G3861" s="114" t="s">
        <v>5270</v>
      </c>
      <c r="I3861" s="117">
        <f>1*0.8</f>
        <v>0.8</v>
      </c>
      <c r="J3861" s="115"/>
      <c r="K3861" s="118"/>
    </row>
    <row r="3862" spans="5:11" ht="24" customHeight="1">
      <c r="F3862" s="116"/>
      <c r="G3862" s="115"/>
      <c r="I3862" s="117"/>
      <c r="J3862" s="115"/>
      <c r="K3862" s="118"/>
    </row>
    <row r="3863" spans="5:11" ht="24" customHeight="1">
      <c r="E3863" s="117" t="s">
        <v>5271</v>
      </c>
      <c r="F3863" s="117"/>
      <c r="G3863" s="117"/>
      <c r="H3863" s="118">
        <f>3.6*3.9</f>
        <v>14.04</v>
      </c>
      <c r="I3863" s="117" t="s">
        <v>1791</v>
      </c>
      <c r="K3863" s="118"/>
    </row>
    <row r="3864" spans="5:11" ht="24" customHeight="1">
      <c r="E3864" s="115" t="s">
        <v>5272</v>
      </c>
      <c r="F3864" s="116"/>
      <c r="G3864" s="115"/>
      <c r="H3864" s="115">
        <f>9*0.8*3.14</f>
        <v>22.61</v>
      </c>
      <c r="I3864" s="117" t="s">
        <v>1791</v>
      </c>
      <c r="K3864" s="118"/>
    </row>
    <row r="3865" spans="5:11" ht="24" customHeight="1">
      <c r="E3865" s="115" t="s">
        <v>5273</v>
      </c>
      <c r="F3865" s="116"/>
      <c r="G3865" s="115"/>
      <c r="H3865" s="115">
        <f>2*1*1.2</f>
        <v>2.4</v>
      </c>
      <c r="I3865" s="117" t="s">
        <v>1791</v>
      </c>
      <c r="K3865" s="118"/>
    </row>
    <row r="3866" spans="5:11" ht="24" customHeight="1">
      <c r="E3866" s="115" t="s">
        <v>5268</v>
      </c>
      <c r="F3866" s="116"/>
      <c r="G3866" s="115"/>
      <c r="H3866" s="115">
        <f>3*0.8*1.2</f>
        <v>2.88</v>
      </c>
      <c r="I3866" s="117" t="s">
        <v>1791</v>
      </c>
      <c r="K3866" s="118"/>
    </row>
    <row r="3867" spans="5:11" ht="24" customHeight="1">
      <c r="E3867" s="115" t="s">
        <v>5269</v>
      </c>
      <c r="F3867" s="116"/>
      <c r="G3867" s="115"/>
      <c r="H3867" s="115">
        <v>5</v>
      </c>
      <c r="I3867" s="117"/>
      <c r="K3867" s="118"/>
    </row>
    <row r="3868" spans="5:11" ht="24" customHeight="1">
      <c r="F3868" s="116"/>
      <c r="G3868" s="115"/>
      <c r="H3868" s="1167" t="s">
        <v>2280</v>
      </c>
      <c r="I3868" s="117"/>
      <c r="K3868" s="118"/>
    </row>
    <row r="3869" spans="5:11" ht="24" customHeight="1">
      <c r="F3869" s="116"/>
      <c r="G3869" s="115"/>
      <c r="H3869" s="224">
        <f>SUM(H3863:H3867)</f>
        <v>46.93</v>
      </c>
      <c r="I3869" s="117" t="s">
        <v>1791</v>
      </c>
      <c r="K3869" s="118"/>
    </row>
    <row r="3870" spans="5:11" ht="24" customHeight="1">
      <c r="F3870" s="116"/>
      <c r="G3870" s="115"/>
      <c r="H3870" s="1167" t="s">
        <v>2280</v>
      </c>
      <c r="I3870" s="117"/>
      <c r="J3870" s="115"/>
      <c r="K3870" s="118"/>
    </row>
    <row r="3871" spans="5:11" ht="24" customHeight="1">
      <c r="F3871" s="116"/>
      <c r="G3871" s="115"/>
      <c r="I3871" s="117"/>
      <c r="J3871" s="115"/>
      <c r="K3871" s="118"/>
    </row>
    <row r="3872" spans="5:11" ht="24" customHeight="1">
      <c r="F3872" s="116"/>
      <c r="G3872" s="115"/>
      <c r="I3872" s="117"/>
      <c r="J3872" s="115"/>
      <c r="K3872" s="118"/>
    </row>
    <row r="3873" spans="5:11" ht="24" customHeight="1">
      <c r="E3873" s="118">
        <f>H3869</f>
        <v>46.93</v>
      </c>
      <c r="F3873" s="116" t="s">
        <v>39</v>
      </c>
      <c r="G3873" s="115" t="s">
        <v>2819</v>
      </c>
      <c r="H3873" s="115">
        <f>H3852</f>
        <v>70.150000000000006</v>
      </c>
      <c r="I3873" s="117" t="s">
        <v>39</v>
      </c>
      <c r="J3873" s="115">
        <f>H3873*E3873</f>
        <v>3292.14</v>
      </c>
      <c r="K3873" s="118"/>
    </row>
    <row r="3874" spans="5:11" ht="24" customHeight="1">
      <c r="E3874" s="115">
        <v>0.8</v>
      </c>
      <c r="F3874" s="116" t="s">
        <v>724</v>
      </c>
      <c r="G3874" s="115" t="s">
        <v>4620</v>
      </c>
      <c r="H3874" s="115">
        <f>H3853</f>
        <v>379.9</v>
      </c>
      <c r="I3874" s="117" t="s">
        <v>724</v>
      </c>
      <c r="J3874" s="115">
        <f>H3874*E3874</f>
        <v>303.92</v>
      </c>
      <c r="K3874" s="118"/>
    </row>
    <row r="3875" spans="5:11" ht="24" customHeight="1">
      <c r="E3875" s="115">
        <v>0.8</v>
      </c>
      <c r="F3875" s="116" t="s">
        <v>724</v>
      </c>
      <c r="G3875" s="115" t="s">
        <v>4638</v>
      </c>
      <c r="H3875" s="115">
        <f>H3854</f>
        <v>40.65</v>
      </c>
      <c r="I3875" s="117" t="s">
        <v>724</v>
      </c>
      <c r="J3875" s="115">
        <f>H3875*E3875</f>
        <v>32.520000000000003</v>
      </c>
      <c r="K3875" s="118"/>
    </row>
    <row r="3876" spans="5:11" ht="24" customHeight="1">
      <c r="F3876" s="116"/>
      <c r="G3876" s="115" t="s">
        <v>4639</v>
      </c>
      <c r="H3876" s="115">
        <f>H3855</f>
        <v>266.81</v>
      </c>
      <c r="I3876" s="117" t="s">
        <v>145</v>
      </c>
      <c r="J3876" s="115">
        <v>47.1</v>
      </c>
      <c r="K3876" s="118"/>
    </row>
    <row r="3877" spans="5:11" ht="24" customHeight="1">
      <c r="F3877" s="116"/>
      <c r="G3877" s="115"/>
      <c r="I3877" s="117"/>
      <c r="J3877" s="1167" t="s">
        <v>2163</v>
      </c>
      <c r="K3877" s="118"/>
    </row>
    <row r="3878" spans="5:11" ht="24" customHeight="1">
      <c r="F3878" s="116"/>
      <c r="G3878" s="114" t="s">
        <v>4623</v>
      </c>
      <c r="I3878" s="117"/>
      <c r="J3878" s="114">
        <f>SUM(J3873:J3877)</f>
        <v>3675.68</v>
      </c>
      <c r="K3878" s="118"/>
    </row>
    <row r="3879" spans="5:11" ht="24" customHeight="1">
      <c r="F3879" s="116"/>
      <c r="G3879" s="115"/>
      <c r="I3879" s="117"/>
      <c r="J3879" s="1167" t="s">
        <v>2163</v>
      </c>
      <c r="K3879" s="118"/>
    </row>
    <row r="3880" spans="5:11" ht="24" customHeight="1">
      <c r="F3880" s="116"/>
      <c r="G3880" s="305" t="s">
        <v>4629</v>
      </c>
      <c r="I3880" s="117"/>
      <c r="J3880" s="114">
        <f>J3878/E3874</f>
        <v>4594.6000000000004</v>
      </c>
      <c r="K3880" s="118"/>
    </row>
    <row r="3881" spans="5:11" ht="24" customHeight="1">
      <c r="E3881" s="115" t="s">
        <v>4617</v>
      </c>
      <c r="F3881" s="116"/>
      <c r="G3881" s="115"/>
      <c r="H3881" s="115">
        <v>3.24</v>
      </c>
      <c r="I3881" s="117" t="s">
        <v>1791</v>
      </c>
      <c r="J3881" s="115"/>
      <c r="K3881" s="118"/>
    </row>
    <row r="3882" spans="5:11" ht="24" customHeight="1">
      <c r="E3882" s="115" t="s">
        <v>4618</v>
      </c>
      <c r="F3882" s="116"/>
      <c r="G3882" s="115"/>
      <c r="H3882" s="115">
        <v>2.16</v>
      </c>
      <c r="I3882" s="117" t="s">
        <v>1791</v>
      </c>
      <c r="J3882" s="115"/>
      <c r="K3882" s="118"/>
    </row>
    <row r="3883" spans="5:11" ht="24" customHeight="1">
      <c r="F3883" s="116"/>
      <c r="G3883" s="115"/>
      <c r="I3883" s="117"/>
      <c r="J3883" s="115"/>
      <c r="K3883" s="118"/>
    </row>
    <row r="3884" spans="5:11" ht="24" customHeight="1">
      <c r="F3884" s="116"/>
      <c r="G3884" s="115"/>
      <c r="H3884" s="1167" t="s">
        <v>2163</v>
      </c>
      <c r="I3884" s="117"/>
      <c r="J3884" s="115"/>
      <c r="K3884" s="118"/>
    </row>
    <row r="3885" spans="5:11" ht="24" customHeight="1">
      <c r="F3885" s="116"/>
      <c r="G3885" s="115"/>
      <c r="H3885" s="115">
        <f>SUM(H3879:H3883)</f>
        <v>5.4</v>
      </c>
      <c r="I3885" s="117"/>
      <c r="J3885" s="115"/>
      <c r="K3885" s="118"/>
    </row>
    <row r="3886" spans="5:11" ht="24" customHeight="1">
      <c r="F3886" s="116"/>
      <c r="G3886" s="115"/>
      <c r="H3886" s="115" t="s">
        <v>4619</v>
      </c>
      <c r="I3886" s="117"/>
      <c r="J3886" s="115"/>
      <c r="K3886" s="118"/>
    </row>
    <row r="3887" spans="5:11" ht="24" customHeight="1">
      <c r="F3887" s="116"/>
      <c r="G3887" s="115"/>
      <c r="I3887" s="117"/>
      <c r="J3887" s="115"/>
      <c r="K3887" s="118"/>
    </row>
    <row r="3888" spans="5:11" ht="24" customHeight="1">
      <c r="F3888" s="116"/>
      <c r="G3888" s="115"/>
      <c r="I3888" s="117"/>
      <c r="J3888" s="115"/>
      <c r="K3888" s="118"/>
    </row>
    <row r="3889" spans="5:11" ht="24" customHeight="1">
      <c r="E3889" s="115">
        <v>42.81</v>
      </c>
      <c r="F3889" s="116" t="s">
        <v>39</v>
      </c>
      <c r="G3889" s="115" t="s">
        <v>2819</v>
      </c>
      <c r="H3889" s="115">
        <f>H3873</f>
        <v>70.150000000000006</v>
      </c>
      <c r="I3889" s="117" t="s">
        <v>39</v>
      </c>
      <c r="J3889" s="115">
        <f>H3889*E3889</f>
        <v>3003.12</v>
      </c>
      <c r="K3889" s="118"/>
    </row>
    <row r="3890" spans="5:11" ht="24" customHeight="1">
      <c r="E3890" s="115">
        <v>0.77</v>
      </c>
      <c r="F3890" s="116" t="s">
        <v>724</v>
      </c>
      <c r="G3890" s="115" t="s">
        <v>4668</v>
      </c>
      <c r="H3890" s="115">
        <f>H3874</f>
        <v>379.9</v>
      </c>
      <c r="I3890" s="117" t="s">
        <v>724</v>
      </c>
      <c r="J3890" s="115">
        <f>H3890*E3890</f>
        <v>292.52</v>
      </c>
      <c r="K3890" s="118"/>
    </row>
    <row r="3891" spans="5:11" ht="24" customHeight="1">
      <c r="E3891" s="115">
        <v>0.77</v>
      </c>
      <c r="F3891" s="116" t="s">
        <v>724</v>
      </c>
      <c r="G3891" s="304" t="s">
        <v>4621</v>
      </c>
      <c r="H3891" s="115">
        <f>H3875</f>
        <v>40.65</v>
      </c>
      <c r="I3891" s="117" t="s">
        <v>724</v>
      </c>
      <c r="J3891" s="115">
        <f>H3891*E3891</f>
        <v>31.3</v>
      </c>
      <c r="K3891" s="118"/>
    </row>
    <row r="3892" spans="5:11" ht="24" customHeight="1">
      <c r="F3892" s="116"/>
      <c r="G3892" s="115" t="s">
        <v>4622</v>
      </c>
      <c r="H3892" s="115">
        <f>H3876</f>
        <v>266.81</v>
      </c>
      <c r="I3892" s="117" t="s">
        <v>145</v>
      </c>
      <c r="J3892" s="115">
        <f>H3892</f>
        <v>266.81</v>
      </c>
      <c r="K3892" s="118"/>
    </row>
    <row r="3893" spans="5:11" ht="24" customHeight="1">
      <c r="F3893" s="116"/>
      <c r="G3893" s="115"/>
      <c r="I3893" s="117"/>
      <c r="J3893" s="1167" t="s">
        <v>2163</v>
      </c>
      <c r="K3893" s="118"/>
    </row>
    <row r="3894" spans="5:11" ht="24" customHeight="1">
      <c r="F3894" s="116"/>
      <c r="G3894" s="114" t="s">
        <v>4623</v>
      </c>
      <c r="I3894" s="117"/>
      <c r="J3894" s="114">
        <f>SUM(J3889:J3892)</f>
        <v>3593.75</v>
      </c>
      <c r="K3894" s="118"/>
    </row>
    <row r="3895" spans="5:11" ht="24" customHeight="1">
      <c r="F3895" s="116"/>
      <c r="G3895" s="115"/>
      <c r="I3895" s="117"/>
      <c r="J3895" s="1167" t="s">
        <v>2163</v>
      </c>
      <c r="K3895" s="118"/>
    </row>
    <row r="3896" spans="5:11" ht="24" customHeight="1">
      <c r="F3896" s="116"/>
      <c r="G3896" s="587">
        <f>1.285*0.6</f>
        <v>0.77</v>
      </c>
      <c r="I3896" s="117"/>
      <c r="J3896" s="115">
        <f>J3894/G3896</f>
        <v>4667.21</v>
      </c>
      <c r="K3896" s="118"/>
    </row>
    <row r="3897" spans="5:11" ht="24" customHeight="1">
      <c r="E3897" s="115">
        <f>C3890</f>
        <v>0</v>
      </c>
      <c r="G3897" s="117">
        <f>E3897*D3856</f>
        <v>0</v>
      </c>
      <c r="J3897" s="115"/>
      <c r="K3897" s="118"/>
    </row>
    <row r="3898" spans="5:11" ht="24" customHeight="1">
      <c r="G3898" s="117">
        <v>0.8</v>
      </c>
      <c r="J3898" s="115"/>
      <c r="K3898" s="118"/>
    </row>
    <row r="3899" spans="5:11" ht="24" customHeight="1">
      <c r="G3899" s="117">
        <f>SUM(G3895:G3898)</f>
        <v>1.57</v>
      </c>
      <c r="J3899" s="115"/>
      <c r="K3899" s="118"/>
    </row>
    <row r="3900" spans="5:11" ht="24" customHeight="1">
      <c r="G3900" s="117">
        <f>G3899/0.77</f>
        <v>2.04</v>
      </c>
      <c r="J3900" s="115"/>
      <c r="K3900" s="118"/>
    </row>
    <row r="3901" spans="5:11" ht="24" customHeight="1">
      <c r="G3901" s="115"/>
      <c r="H3901" s="114" t="s">
        <v>5274</v>
      </c>
      <c r="J3901" s="115"/>
      <c r="K3901" s="118"/>
    </row>
    <row r="3902" spans="5:11" ht="24" customHeight="1">
      <c r="F3902" s="121" t="s">
        <v>1164</v>
      </c>
      <c r="G3902" s="126" t="s">
        <v>111</v>
      </c>
      <c r="H3902" s="120" t="s">
        <v>1165</v>
      </c>
    </row>
    <row r="3903" spans="5:11" ht="24" customHeight="1">
      <c r="H3903" s="120" t="s">
        <v>1167</v>
      </c>
    </row>
    <row r="3904" spans="5:11" ht="24" customHeight="1">
      <c r="H3904" s="120" t="s">
        <v>1169</v>
      </c>
    </row>
    <row r="3905" spans="6:11" ht="24" customHeight="1">
      <c r="H3905" s="120" t="s">
        <v>1171</v>
      </c>
    </row>
    <row r="3906" spans="6:11" ht="24" customHeight="1">
      <c r="H3906" s="120" t="s">
        <v>1173</v>
      </c>
    </row>
    <row r="3907" spans="6:11" ht="24" customHeight="1">
      <c r="H3907" s="120" t="s">
        <v>1175</v>
      </c>
    </row>
    <row r="3908" spans="6:11" ht="24" customHeight="1">
      <c r="H3908" s="120" t="s">
        <v>1178</v>
      </c>
    </row>
    <row r="3909" spans="6:11" ht="24" customHeight="1">
      <c r="H3909" s="120" t="s">
        <v>1180</v>
      </c>
    </row>
    <row r="3910" spans="6:11" ht="24" customHeight="1">
      <c r="H3910" s="120" t="s">
        <v>1182</v>
      </c>
    </row>
    <row r="3911" spans="6:11" ht="24" customHeight="1">
      <c r="H3911" s="120" t="s">
        <v>1184</v>
      </c>
    </row>
    <row r="3912" spans="6:11" ht="24" customHeight="1">
      <c r="H3912" s="120" t="s">
        <v>1186</v>
      </c>
    </row>
    <row r="3913" spans="6:11" ht="24" customHeight="1">
      <c r="H3913" s="120" t="s">
        <v>1188</v>
      </c>
    </row>
    <row r="3914" spans="6:11" ht="24" customHeight="1">
      <c r="H3914" s="120" t="s">
        <v>1190</v>
      </c>
    </row>
    <row r="3915" spans="6:11" ht="24" customHeight="1">
      <c r="H3915" s="120" t="s">
        <v>1192</v>
      </c>
    </row>
    <row r="3918" spans="6:11" ht="24" customHeight="1">
      <c r="G3918" s="126" t="s">
        <v>1018</v>
      </c>
      <c r="H3918" s="121" t="s">
        <v>1197</v>
      </c>
    </row>
    <row r="3919" spans="6:11" ht="24" customHeight="1">
      <c r="H3919" s="121" t="s">
        <v>1199</v>
      </c>
    </row>
    <row r="3920" spans="6:11" ht="24" customHeight="1">
      <c r="F3920" s="202">
        <v>3.8100000000000002E-2</v>
      </c>
      <c r="G3920" s="126" t="s">
        <v>132</v>
      </c>
      <c r="H3920" s="120" t="s">
        <v>1201</v>
      </c>
      <c r="I3920" s="129">
        <f>K821</f>
        <v>8746.64</v>
      </c>
      <c r="J3920" s="120" t="s">
        <v>132</v>
      </c>
      <c r="K3920" s="129">
        <f>F3920*I3920</f>
        <v>333.25</v>
      </c>
    </row>
    <row r="3921" spans="6:11" ht="24" customHeight="1">
      <c r="F3921" s="129">
        <v>5.01</v>
      </c>
      <c r="G3921" s="126" t="s">
        <v>39</v>
      </c>
      <c r="H3921" s="120" t="s">
        <v>1203</v>
      </c>
      <c r="I3921" s="129">
        <f>K1608</f>
        <v>90172</v>
      </c>
      <c r="J3921" s="120" t="s">
        <v>122</v>
      </c>
      <c r="K3921" s="129">
        <f>F3921*I3921/1000</f>
        <v>451.76</v>
      </c>
    </row>
    <row r="3922" spans="6:11" ht="24" customHeight="1">
      <c r="F3922" s="129">
        <v>3</v>
      </c>
      <c r="G3922" s="126" t="s">
        <v>131</v>
      </c>
      <c r="H3922" s="120" t="s">
        <v>1205</v>
      </c>
      <c r="I3922" s="196">
        <v>14.8</v>
      </c>
      <c r="J3922" s="120" t="s">
        <v>131</v>
      </c>
      <c r="K3922" s="129">
        <f t="shared" ref="K3922:K3929" si="361">F3922*I3922</f>
        <v>44.4</v>
      </c>
    </row>
    <row r="3923" spans="6:11" ht="24" customHeight="1">
      <c r="F3923" s="129">
        <v>12</v>
      </c>
      <c r="G3923" s="126" t="s">
        <v>131</v>
      </c>
      <c r="H3923" s="120" t="s">
        <v>1207</v>
      </c>
      <c r="I3923" s="196">
        <v>2</v>
      </c>
      <c r="J3923" s="120" t="s">
        <v>131</v>
      </c>
      <c r="K3923" s="129">
        <f t="shared" si="361"/>
        <v>24</v>
      </c>
    </row>
    <row r="3924" spans="6:11" ht="24" customHeight="1">
      <c r="F3924" s="129">
        <v>2</v>
      </c>
      <c r="G3924" s="126" t="s">
        <v>131</v>
      </c>
      <c r="H3924" s="120" t="s">
        <v>1209</v>
      </c>
      <c r="I3924" s="196">
        <v>4.9000000000000004</v>
      </c>
      <c r="J3924" s="120" t="s">
        <v>131</v>
      </c>
      <c r="K3924" s="129">
        <f t="shared" si="361"/>
        <v>9.8000000000000007</v>
      </c>
    </row>
    <row r="3925" spans="6:11" ht="24" customHeight="1">
      <c r="F3925" s="129">
        <v>6</v>
      </c>
      <c r="G3925" s="126" t="s">
        <v>131</v>
      </c>
      <c r="H3925" s="120" t="s">
        <v>1211</v>
      </c>
      <c r="I3925" s="196">
        <v>4.45</v>
      </c>
      <c r="J3925" s="120" t="s">
        <v>131</v>
      </c>
      <c r="K3925" s="129">
        <f t="shared" si="361"/>
        <v>26.7</v>
      </c>
    </row>
    <row r="3926" spans="6:11" ht="24" customHeight="1">
      <c r="F3926" s="129">
        <v>1</v>
      </c>
      <c r="G3926" s="126" t="s">
        <v>131</v>
      </c>
      <c r="H3926" s="120" t="s">
        <v>1213</v>
      </c>
      <c r="I3926" s="129">
        <f>I865</f>
        <v>1041.7</v>
      </c>
      <c r="J3926" s="120" t="s">
        <v>131</v>
      </c>
      <c r="K3926" s="129">
        <f t="shared" si="361"/>
        <v>1041.7</v>
      </c>
    </row>
    <row r="3927" spans="6:11" ht="24" customHeight="1">
      <c r="F3927" s="129">
        <v>1</v>
      </c>
      <c r="G3927" s="126" t="s">
        <v>131</v>
      </c>
      <c r="H3927" s="120" t="s">
        <v>1215</v>
      </c>
      <c r="I3927" s="129">
        <f>I866</f>
        <v>679.8</v>
      </c>
      <c r="J3927" s="120" t="s">
        <v>131</v>
      </c>
      <c r="K3927" s="129">
        <f t="shared" si="361"/>
        <v>679.8</v>
      </c>
    </row>
    <row r="3928" spans="6:11" ht="24" customHeight="1">
      <c r="F3928" s="129">
        <v>1</v>
      </c>
      <c r="G3928" s="126" t="s">
        <v>131</v>
      </c>
      <c r="H3928" s="120" t="s">
        <v>1217</v>
      </c>
      <c r="I3928" s="196">
        <v>25</v>
      </c>
      <c r="J3928" s="120" t="s">
        <v>131</v>
      </c>
      <c r="K3928" s="129">
        <f t="shared" si="361"/>
        <v>25</v>
      </c>
    </row>
    <row r="3929" spans="6:11" ht="24" customHeight="1">
      <c r="F3929" s="129">
        <v>0.5</v>
      </c>
      <c r="G3929" s="126" t="s">
        <v>131</v>
      </c>
      <c r="H3929" s="120" t="s">
        <v>1219</v>
      </c>
      <c r="I3929" s="129">
        <f>I868</f>
        <v>557.70000000000005</v>
      </c>
      <c r="J3929" s="120" t="s">
        <v>131</v>
      </c>
      <c r="K3929" s="129">
        <f t="shared" si="361"/>
        <v>278.85000000000002</v>
      </c>
    </row>
    <row r="3930" spans="6:11" ht="24" customHeight="1">
      <c r="G3930" s="126" t="s">
        <v>145</v>
      </c>
      <c r="H3930" s="120" t="s">
        <v>1221</v>
      </c>
      <c r="J3930" s="120" t="s">
        <v>145</v>
      </c>
      <c r="K3930" s="129">
        <v>1.1299999999999999</v>
      </c>
    </row>
    <row r="3931" spans="6:11" ht="24" customHeight="1">
      <c r="K3931" s="123" t="s">
        <v>52</v>
      </c>
    </row>
    <row r="3932" spans="6:11" ht="24" customHeight="1">
      <c r="H3932" s="128" t="s">
        <v>1224</v>
      </c>
      <c r="K3932" s="127">
        <f>SUM(K3920:K3930)</f>
        <v>2916.39</v>
      </c>
    </row>
    <row r="3933" spans="6:11" ht="24" customHeight="1">
      <c r="K3933" s="123" t="s">
        <v>52</v>
      </c>
    </row>
    <row r="3936" spans="6:11" ht="24" customHeight="1">
      <c r="G3936" s="126" t="s">
        <v>956</v>
      </c>
      <c r="H3936" s="121" t="s">
        <v>1227</v>
      </c>
    </row>
    <row r="3937" spans="6:12" ht="24" customHeight="1">
      <c r="H3937" s="121" t="s">
        <v>1199</v>
      </c>
    </row>
    <row r="3938" spans="6:12" ht="24" customHeight="1">
      <c r="F3938" s="202">
        <v>3.6799999999999999E-2</v>
      </c>
      <c r="G3938" s="126" t="s">
        <v>132</v>
      </c>
      <c r="H3938" s="176" t="s">
        <v>5275</v>
      </c>
      <c r="I3938" s="129">
        <f t="shared" ref="I3938:I3945" si="362">I3920</f>
        <v>8746.64</v>
      </c>
      <c r="J3938" s="120" t="s">
        <v>132</v>
      </c>
      <c r="K3938" s="129">
        <f>F3938*I3938</f>
        <v>321.88</v>
      </c>
    </row>
    <row r="3939" spans="6:12" ht="46.5" customHeight="1">
      <c r="F3939" s="129">
        <v>4.87</v>
      </c>
      <c r="G3939" s="126" t="s">
        <v>39</v>
      </c>
      <c r="H3939" s="120" t="s">
        <v>1203</v>
      </c>
      <c r="I3939" s="129">
        <f t="shared" si="362"/>
        <v>90172</v>
      </c>
      <c r="J3939" s="120" t="s">
        <v>122</v>
      </c>
      <c r="K3939" s="129">
        <f>F3939*I3939/1000</f>
        <v>439.14</v>
      </c>
    </row>
    <row r="3940" spans="6:12" ht="24" customHeight="1">
      <c r="F3940" s="129">
        <v>3</v>
      </c>
      <c r="G3940" s="126" t="s">
        <v>131</v>
      </c>
      <c r="H3940" s="120" t="s">
        <v>1205</v>
      </c>
      <c r="I3940" s="244">
        <f t="shared" si="362"/>
        <v>14.8</v>
      </c>
      <c r="J3940" s="120" t="s">
        <v>131</v>
      </c>
      <c r="K3940" s="129">
        <f t="shared" ref="K3940:K3947" si="363">F3940*I3940</f>
        <v>44.4</v>
      </c>
    </row>
    <row r="3941" spans="6:12" ht="24" customHeight="1">
      <c r="F3941" s="129">
        <v>12</v>
      </c>
      <c r="G3941" s="126" t="s">
        <v>131</v>
      </c>
      <c r="H3941" s="120" t="s">
        <v>1207</v>
      </c>
      <c r="I3941" s="244">
        <f t="shared" si="362"/>
        <v>2</v>
      </c>
      <c r="J3941" s="120" t="s">
        <v>131</v>
      </c>
      <c r="K3941" s="129">
        <f t="shared" si="363"/>
        <v>24</v>
      </c>
    </row>
    <row r="3942" spans="6:12" ht="24" customHeight="1">
      <c r="F3942" s="129">
        <v>2</v>
      </c>
      <c r="G3942" s="126" t="s">
        <v>131</v>
      </c>
      <c r="H3942" s="120" t="s">
        <v>1209</v>
      </c>
      <c r="I3942" s="244">
        <f t="shared" si="362"/>
        <v>4.9000000000000004</v>
      </c>
      <c r="J3942" s="120" t="s">
        <v>131</v>
      </c>
      <c r="K3942" s="129">
        <f t="shared" si="363"/>
        <v>9.8000000000000007</v>
      </c>
    </row>
    <row r="3943" spans="6:12" ht="24" customHeight="1">
      <c r="F3943" s="129">
        <v>6</v>
      </c>
      <c r="G3943" s="126" t="s">
        <v>131</v>
      </c>
      <c r="H3943" s="120" t="s">
        <v>1211</v>
      </c>
      <c r="I3943" s="244">
        <f t="shared" si="362"/>
        <v>4.45</v>
      </c>
      <c r="J3943" s="120" t="s">
        <v>131</v>
      </c>
      <c r="K3943" s="129">
        <f t="shared" si="363"/>
        <v>26.7</v>
      </c>
    </row>
    <row r="3944" spans="6:12" ht="24" customHeight="1">
      <c r="F3944" s="129">
        <v>1</v>
      </c>
      <c r="G3944" s="126" t="s">
        <v>131</v>
      </c>
      <c r="H3944" s="120" t="s">
        <v>1213</v>
      </c>
      <c r="I3944" s="129">
        <f t="shared" si="362"/>
        <v>1041.7</v>
      </c>
      <c r="J3944" s="120" t="s">
        <v>131</v>
      </c>
      <c r="K3944" s="129">
        <f t="shared" si="363"/>
        <v>1041.7</v>
      </c>
    </row>
    <row r="3945" spans="6:12" ht="24" customHeight="1">
      <c r="F3945" s="129">
        <v>1</v>
      </c>
      <c r="G3945" s="126" t="s">
        <v>131</v>
      </c>
      <c r="H3945" s="120" t="s">
        <v>1215</v>
      </c>
      <c r="I3945" s="129">
        <f t="shared" si="362"/>
        <v>679.8</v>
      </c>
      <c r="J3945" s="120" t="s">
        <v>131</v>
      </c>
      <c r="K3945" s="129">
        <f t="shared" si="363"/>
        <v>679.8</v>
      </c>
    </row>
    <row r="3946" spans="6:12" ht="24" customHeight="1">
      <c r="F3946" s="129">
        <v>1</v>
      </c>
      <c r="G3946" s="126" t="s">
        <v>131</v>
      </c>
      <c r="H3946" s="120" t="s">
        <v>1217</v>
      </c>
      <c r="I3946" s="228">
        <v>25</v>
      </c>
      <c r="J3946" s="120" t="s">
        <v>131</v>
      </c>
      <c r="K3946" s="129">
        <f t="shared" si="363"/>
        <v>25</v>
      </c>
    </row>
    <row r="3947" spans="6:12" ht="24" customHeight="1">
      <c r="F3947" s="129">
        <v>0.5</v>
      </c>
      <c r="G3947" s="126" t="s">
        <v>131</v>
      </c>
      <c r="H3947" s="120" t="s">
        <v>1219</v>
      </c>
      <c r="I3947" s="129">
        <f>I3929</f>
        <v>557.70000000000005</v>
      </c>
      <c r="J3947" s="120" t="s">
        <v>131</v>
      </c>
      <c r="K3947" s="129">
        <f t="shared" si="363"/>
        <v>278.85000000000002</v>
      </c>
    </row>
    <row r="3948" spans="6:12" ht="24" customHeight="1">
      <c r="G3948" s="126" t="s">
        <v>145</v>
      </c>
      <c r="H3948" s="120" t="s">
        <v>1221</v>
      </c>
      <c r="J3948" s="120" t="s">
        <v>145</v>
      </c>
      <c r="K3948" s="129">
        <f>1.9+0.08</f>
        <v>1.98</v>
      </c>
    </row>
    <row r="3949" spans="6:12" ht="24" customHeight="1">
      <c r="K3949" s="123" t="s">
        <v>52</v>
      </c>
    </row>
    <row r="3950" spans="6:12" ht="24" customHeight="1">
      <c r="H3950" s="128" t="s">
        <v>1224</v>
      </c>
      <c r="K3950" s="127">
        <f>SUM(K3938:K3948)</f>
        <v>2893.25</v>
      </c>
      <c r="L3950" s="115">
        <f>K3950-1729</f>
        <v>1164.25</v>
      </c>
    </row>
    <row r="3951" spans="6:12" ht="24" customHeight="1">
      <c r="K3951" s="123" t="s">
        <v>52</v>
      </c>
    </row>
    <row r="3952" spans="6:12" ht="24" customHeight="1">
      <c r="F3952" s="121"/>
      <c r="G3952" s="126" t="s">
        <v>986</v>
      </c>
      <c r="H3952" s="121" t="s">
        <v>1244</v>
      </c>
    </row>
    <row r="3953" spans="6:11" ht="24" customHeight="1">
      <c r="H3953" s="121" t="s">
        <v>1199</v>
      </c>
    </row>
    <row r="3954" spans="6:11" ht="24" customHeight="1">
      <c r="F3954" s="202">
        <v>3.5299999999999998E-2</v>
      </c>
      <c r="G3954" s="126" t="s">
        <v>132</v>
      </c>
      <c r="H3954" s="120" t="s">
        <v>1201</v>
      </c>
      <c r="I3954" s="129">
        <f t="shared" ref="I3954:I3964" si="364">I3938</f>
        <v>8746.64</v>
      </c>
      <c r="J3954" s="120" t="s">
        <v>132</v>
      </c>
      <c r="K3954" s="129">
        <f>F3954*I3954</f>
        <v>308.76</v>
      </c>
    </row>
    <row r="3955" spans="6:11" ht="24" customHeight="1">
      <c r="F3955" s="129">
        <v>4.59</v>
      </c>
      <c r="G3955" s="126" t="s">
        <v>39</v>
      </c>
      <c r="H3955" s="120" t="s">
        <v>1203</v>
      </c>
      <c r="I3955" s="129">
        <f t="shared" si="364"/>
        <v>90172</v>
      </c>
      <c r="J3955" s="120" t="s">
        <v>122</v>
      </c>
      <c r="K3955" s="129">
        <f>F3955*I3955/1000</f>
        <v>413.89</v>
      </c>
    </row>
    <row r="3956" spans="6:11" ht="24" customHeight="1">
      <c r="F3956" s="129">
        <v>3</v>
      </c>
      <c r="G3956" s="126" t="s">
        <v>131</v>
      </c>
      <c r="H3956" s="120" t="s">
        <v>1205</v>
      </c>
      <c r="I3956" s="244">
        <f t="shared" si="364"/>
        <v>14.8</v>
      </c>
      <c r="J3956" s="120" t="s">
        <v>131</v>
      </c>
      <c r="K3956" s="129">
        <f t="shared" ref="K3956:K3963" si="365">F3956*I3956</f>
        <v>44.4</v>
      </c>
    </row>
    <row r="3957" spans="6:11" ht="24" customHeight="1">
      <c r="F3957" s="129">
        <v>12</v>
      </c>
      <c r="G3957" s="126" t="s">
        <v>131</v>
      </c>
      <c r="H3957" s="120" t="s">
        <v>1207</v>
      </c>
      <c r="I3957" s="244">
        <f t="shared" si="364"/>
        <v>2</v>
      </c>
      <c r="J3957" s="120" t="s">
        <v>131</v>
      </c>
      <c r="K3957" s="129">
        <f t="shared" si="365"/>
        <v>24</v>
      </c>
    </row>
    <row r="3958" spans="6:11" ht="24" customHeight="1">
      <c r="F3958" s="129">
        <v>2</v>
      </c>
      <c r="G3958" s="126" t="s">
        <v>131</v>
      </c>
      <c r="H3958" s="129" t="str">
        <f>H3942</f>
        <v>TOWER BOLT RECEIVER</v>
      </c>
      <c r="I3958" s="244">
        <f t="shared" si="364"/>
        <v>4.9000000000000004</v>
      </c>
      <c r="J3958" s="120" t="s">
        <v>131</v>
      </c>
      <c r="K3958" s="129">
        <f t="shared" si="365"/>
        <v>9.8000000000000007</v>
      </c>
    </row>
    <row r="3959" spans="6:11" ht="24" customHeight="1">
      <c r="F3959" s="129">
        <v>6</v>
      </c>
      <c r="G3959" s="126" t="s">
        <v>131</v>
      </c>
      <c r="H3959" s="120" t="s">
        <v>1211</v>
      </c>
      <c r="I3959" s="244">
        <f t="shared" si="364"/>
        <v>4.45</v>
      </c>
      <c r="J3959" s="120" t="s">
        <v>131</v>
      </c>
      <c r="K3959" s="129">
        <f t="shared" si="365"/>
        <v>26.7</v>
      </c>
    </row>
    <row r="3960" spans="6:11" ht="24" customHeight="1">
      <c r="F3960" s="129">
        <v>1</v>
      </c>
      <c r="G3960" s="126" t="s">
        <v>131</v>
      </c>
      <c r="H3960" s="120" t="s">
        <v>1213</v>
      </c>
      <c r="I3960" s="129">
        <f t="shared" si="364"/>
        <v>1041.7</v>
      </c>
      <c r="J3960" s="120" t="s">
        <v>131</v>
      </c>
      <c r="K3960" s="129">
        <f t="shared" si="365"/>
        <v>1041.7</v>
      </c>
    </row>
    <row r="3961" spans="6:11" ht="24" customHeight="1">
      <c r="F3961" s="129">
        <v>1</v>
      </c>
      <c r="G3961" s="126" t="s">
        <v>131</v>
      </c>
      <c r="H3961" s="120" t="s">
        <v>1215</v>
      </c>
      <c r="I3961" s="129">
        <f t="shared" si="364"/>
        <v>679.8</v>
      </c>
      <c r="J3961" s="120" t="s">
        <v>131</v>
      </c>
      <c r="K3961" s="129">
        <f t="shared" si="365"/>
        <v>679.8</v>
      </c>
    </row>
    <row r="3962" spans="6:11" ht="24" customHeight="1">
      <c r="F3962" s="129">
        <v>1</v>
      </c>
      <c r="G3962" s="126" t="s">
        <v>131</v>
      </c>
      <c r="H3962" s="129" t="str">
        <f>H3946</f>
        <v>MOULDING CHARGES</v>
      </c>
      <c r="I3962" s="129">
        <f t="shared" si="364"/>
        <v>25</v>
      </c>
      <c r="J3962" s="120" t="s">
        <v>131</v>
      </c>
      <c r="K3962" s="129">
        <f t="shared" si="365"/>
        <v>25</v>
      </c>
    </row>
    <row r="3963" spans="6:11" ht="24" customHeight="1">
      <c r="F3963" s="129">
        <v>0.5</v>
      </c>
      <c r="G3963" s="126" t="s">
        <v>131</v>
      </c>
      <c r="H3963" s="120" t="s">
        <v>1219</v>
      </c>
      <c r="I3963" s="129">
        <f t="shared" si="364"/>
        <v>557.70000000000005</v>
      </c>
      <c r="J3963" s="120" t="s">
        <v>131</v>
      </c>
      <c r="K3963" s="129">
        <f t="shared" si="365"/>
        <v>278.85000000000002</v>
      </c>
    </row>
    <row r="3964" spans="6:11" ht="24" customHeight="1">
      <c r="G3964" s="126" t="s">
        <v>145</v>
      </c>
      <c r="H3964" s="120" t="s">
        <v>1221</v>
      </c>
      <c r="I3964" s="129">
        <f t="shared" si="364"/>
        <v>0</v>
      </c>
      <c r="J3964" s="120" t="s">
        <v>145</v>
      </c>
      <c r="K3964" s="129">
        <v>1.39</v>
      </c>
    </row>
    <row r="3965" spans="6:11" ht="24" customHeight="1">
      <c r="K3965" s="123" t="s">
        <v>52</v>
      </c>
    </row>
    <row r="3966" spans="6:11" ht="24" customHeight="1">
      <c r="H3966" s="128" t="s">
        <v>1224</v>
      </c>
      <c r="K3966" s="127">
        <f>SUM(K3954:K3964)</f>
        <v>2854.29</v>
      </c>
    </row>
    <row r="3967" spans="6:11" ht="24" customHeight="1">
      <c r="K3967" s="123" t="s">
        <v>52</v>
      </c>
    </row>
    <row r="3969" spans="6:11" ht="24" customHeight="1">
      <c r="G3969" s="115"/>
      <c r="H3969" s="121" t="s">
        <v>4227</v>
      </c>
      <c r="J3969" s="115"/>
      <c r="K3969" s="123"/>
    </row>
    <row r="3970" spans="6:11" ht="24" customHeight="1">
      <c r="G3970" s="115"/>
      <c r="J3970" s="115"/>
      <c r="K3970" s="123"/>
    </row>
    <row r="3971" spans="6:11" ht="24" customHeight="1">
      <c r="F3971" s="202">
        <v>6.5000000000000002E-2</v>
      </c>
      <c r="G3971" s="126" t="s">
        <v>132</v>
      </c>
      <c r="H3971" s="120" t="s">
        <v>1201</v>
      </c>
      <c r="I3971" s="129">
        <f>I3954</f>
        <v>8746.64</v>
      </c>
      <c r="J3971" s="120" t="s">
        <v>132</v>
      </c>
      <c r="K3971" s="129">
        <f>I3971*F3971</f>
        <v>568.53</v>
      </c>
    </row>
    <row r="3972" spans="6:11" ht="24" customHeight="1">
      <c r="F3972" s="201">
        <v>8.4499999999999993</v>
      </c>
      <c r="G3972" s="126" t="s">
        <v>39</v>
      </c>
      <c r="H3972" s="120" t="s">
        <v>1203</v>
      </c>
      <c r="I3972" s="129">
        <f t="shared" ref="I3972:I3981" si="366">I3955</f>
        <v>90172</v>
      </c>
      <c r="J3972" s="120" t="s">
        <v>122</v>
      </c>
      <c r="K3972" s="129">
        <f>I3972*F3972/1000</f>
        <v>761.95</v>
      </c>
    </row>
    <row r="3973" spans="6:11" ht="24" customHeight="1">
      <c r="F3973" s="129">
        <v>3</v>
      </c>
      <c r="G3973" s="126" t="s">
        <v>131</v>
      </c>
      <c r="H3973" s="120" t="s">
        <v>1205</v>
      </c>
      <c r="I3973" s="129">
        <f t="shared" si="366"/>
        <v>14.8</v>
      </c>
      <c r="J3973" s="120" t="s">
        <v>131</v>
      </c>
      <c r="K3973" s="129">
        <f t="shared" ref="K3973:K3980" si="367">I3973*F3973</f>
        <v>44.4</v>
      </c>
    </row>
    <row r="3974" spans="6:11" ht="24" customHeight="1">
      <c r="F3974" s="129">
        <v>12</v>
      </c>
      <c r="G3974" s="126" t="s">
        <v>131</v>
      </c>
      <c r="H3974" s="120" t="s">
        <v>1207</v>
      </c>
      <c r="I3974" s="129">
        <f t="shared" si="366"/>
        <v>2</v>
      </c>
      <c r="J3974" s="120" t="s">
        <v>131</v>
      </c>
      <c r="K3974" s="129">
        <f t="shared" si="367"/>
        <v>24</v>
      </c>
    </row>
    <row r="3975" spans="6:11" ht="24" customHeight="1">
      <c r="F3975" s="129">
        <v>2</v>
      </c>
      <c r="G3975" s="126" t="s">
        <v>131</v>
      </c>
      <c r="H3975" s="120" t="s">
        <v>1209</v>
      </c>
      <c r="I3975" s="129">
        <f t="shared" si="366"/>
        <v>4.9000000000000004</v>
      </c>
      <c r="J3975" s="120" t="s">
        <v>131</v>
      </c>
      <c r="K3975" s="129">
        <f t="shared" si="367"/>
        <v>9.8000000000000007</v>
      </c>
    </row>
    <row r="3976" spans="6:11" ht="24" customHeight="1">
      <c r="F3976" s="129">
        <v>6</v>
      </c>
      <c r="G3976" s="126" t="s">
        <v>131</v>
      </c>
      <c r="H3976" s="120" t="s">
        <v>1211</v>
      </c>
      <c r="I3976" s="129">
        <f t="shared" si="366"/>
        <v>4.45</v>
      </c>
      <c r="J3976" s="120" t="s">
        <v>131</v>
      </c>
      <c r="K3976" s="129">
        <f t="shared" si="367"/>
        <v>26.7</v>
      </c>
    </row>
    <row r="3977" spans="6:11" ht="24" customHeight="1">
      <c r="F3977" s="129">
        <v>1</v>
      </c>
      <c r="G3977" s="126" t="s">
        <v>131</v>
      </c>
      <c r="H3977" s="120" t="s">
        <v>1213</v>
      </c>
      <c r="I3977" s="129">
        <f t="shared" si="366"/>
        <v>1041.7</v>
      </c>
      <c r="J3977" s="120" t="s">
        <v>131</v>
      </c>
      <c r="K3977" s="129">
        <f t="shared" si="367"/>
        <v>1041.7</v>
      </c>
    </row>
    <row r="3978" spans="6:11" ht="24" customHeight="1">
      <c r="F3978" s="129">
        <v>1</v>
      </c>
      <c r="G3978" s="126" t="s">
        <v>131</v>
      </c>
      <c r="H3978" s="120" t="s">
        <v>1215</v>
      </c>
      <c r="I3978" s="129">
        <f t="shared" si="366"/>
        <v>679.8</v>
      </c>
      <c r="J3978" s="120" t="s">
        <v>131</v>
      </c>
      <c r="K3978" s="129">
        <f t="shared" si="367"/>
        <v>679.8</v>
      </c>
    </row>
    <row r="3979" spans="6:11" ht="24" customHeight="1">
      <c r="F3979" s="129">
        <v>1</v>
      </c>
      <c r="G3979" s="126" t="s">
        <v>131</v>
      </c>
      <c r="H3979" s="120" t="s">
        <v>1217</v>
      </c>
      <c r="I3979" s="129">
        <f t="shared" si="366"/>
        <v>25</v>
      </c>
      <c r="J3979" s="120" t="s">
        <v>131</v>
      </c>
      <c r="K3979" s="129">
        <f t="shared" si="367"/>
        <v>25</v>
      </c>
    </row>
    <row r="3980" spans="6:11" ht="24" customHeight="1">
      <c r="F3980" s="129">
        <v>0.5</v>
      </c>
      <c r="G3980" s="126" t="s">
        <v>131</v>
      </c>
      <c r="H3980" s="120" t="s">
        <v>1219</v>
      </c>
      <c r="I3980" s="129">
        <f t="shared" si="366"/>
        <v>557.70000000000005</v>
      </c>
      <c r="J3980" s="120" t="s">
        <v>131</v>
      </c>
      <c r="K3980" s="129">
        <f t="shared" si="367"/>
        <v>278.85000000000002</v>
      </c>
    </row>
    <row r="3981" spans="6:11" ht="24" customHeight="1">
      <c r="G3981" s="126" t="s">
        <v>145</v>
      </c>
      <c r="H3981" s="120" t="s">
        <v>1221</v>
      </c>
      <c r="I3981" s="129">
        <f t="shared" si="366"/>
        <v>0</v>
      </c>
      <c r="J3981" s="120" t="s">
        <v>145</v>
      </c>
      <c r="K3981" s="129">
        <v>2.1</v>
      </c>
    </row>
    <row r="3982" spans="6:11" ht="24" customHeight="1">
      <c r="K3982" s="123" t="s">
        <v>52</v>
      </c>
    </row>
    <row r="3983" spans="6:11" ht="24" customHeight="1">
      <c r="H3983" s="128" t="s">
        <v>1224</v>
      </c>
      <c r="K3983" s="199">
        <f>SUM(K3971:K3981)</f>
        <v>3462.83</v>
      </c>
    </row>
    <row r="3984" spans="6:11" ht="24" customHeight="1">
      <c r="K3984" s="123" t="s">
        <v>52</v>
      </c>
    </row>
    <row r="3985" spans="6:11" ht="24" customHeight="1">
      <c r="F3985" s="1813" t="s">
        <v>5276</v>
      </c>
      <c r="G3985" s="1813"/>
      <c r="H3985" s="1813"/>
      <c r="I3985" s="315"/>
      <c r="J3985" s="315"/>
    </row>
    <row r="3986" spans="6:11" ht="24" customHeight="1">
      <c r="F3986" s="118"/>
      <c r="H3986" s="274" t="s">
        <v>5277</v>
      </c>
    </row>
    <row r="3987" spans="6:11" ht="24" customHeight="1">
      <c r="F3987" s="142">
        <v>4.88</v>
      </c>
      <c r="G3987" s="126" t="s">
        <v>476</v>
      </c>
      <c r="H3987" s="120" t="s">
        <v>3124</v>
      </c>
      <c r="I3987" s="129">
        <f>AB1350</f>
        <v>325</v>
      </c>
      <c r="J3987" s="126" t="s">
        <v>476</v>
      </c>
      <c r="K3987" s="129">
        <f t="shared" ref="K3987:K3996" si="368">I3987*F3987</f>
        <v>1586</v>
      </c>
    </row>
    <row r="3988" spans="6:11" ht="24" customHeight="1">
      <c r="F3988" s="142">
        <v>7.76</v>
      </c>
      <c r="G3988" s="126" t="s">
        <v>476</v>
      </c>
      <c r="H3988" s="120" t="s">
        <v>3124</v>
      </c>
      <c r="I3988" s="129">
        <f>I3987</f>
        <v>325</v>
      </c>
      <c r="J3988" s="126" t="s">
        <v>476</v>
      </c>
      <c r="K3988" s="129">
        <f t="shared" si="368"/>
        <v>2522</v>
      </c>
    </row>
    <row r="3989" spans="6:11" ht="24" customHeight="1">
      <c r="F3989" s="142">
        <v>3.03</v>
      </c>
      <c r="G3989" s="126" t="s">
        <v>476</v>
      </c>
      <c r="H3989" s="120" t="s">
        <v>3124</v>
      </c>
      <c r="I3989" s="129">
        <f>I3988</f>
        <v>325</v>
      </c>
      <c r="J3989" s="126" t="s">
        <v>476</v>
      </c>
      <c r="K3989" s="129">
        <f t="shared" si="368"/>
        <v>984.75</v>
      </c>
    </row>
    <row r="3990" spans="6:11" ht="24" customHeight="1">
      <c r="F3990" s="142">
        <v>1.45</v>
      </c>
      <c r="G3990" s="126" t="s">
        <v>476</v>
      </c>
      <c r="H3990" s="120" t="s">
        <v>3124</v>
      </c>
      <c r="I3990" s="129">
        <f>I3989</f>
        <v>325</v>
      </c>
      <c r="J3990" s="126" t="s">
        <v>476</v>
      </c>
      <c r="K3990" s="129">
        <f t="shared" si="368"/>
        <v>471.25</v>
      </c>
    </row>
    <row r="3991" spans="6:11" ht="24" customHeight="1">
      <c r="F3991" s="142">
        <v>2.4300000000000002</v>
      </c>
      <c r="G3991" s="126" t="s">
        <v>468</v>
      </c>
      <c r="H3991" s="120" t="s">
        <v>3154</v>
      </c>
      <c r="I3991" s="129">
        <f>AB1354</f>
        <v>306.89999999999998</v>
      </c>
      <c r="J3991" s="126" t="s">
        <v>468</v>
      </c>
      <c r="K3991" s="129">
        <f t="shared" si="368"/>
        <v>745.77</v>
      </c>
    </row>
    <row r="3992" spans="6:11" ht="24" customHeight="1">
      <c r="F3992" s="142">
        <v>11.7</v>
      </c>
      <c r="G3992" s="126" t="s">
        <v>13</v>
      </c>
      <c r="H3992" s="120" t="s">
        <v>3155</v>
      </c>
      <c r="I3992" s="129">
        <f>AB1355</f>
        <v>29.05</v>
      </c>
      <c r="J3992" s="126" t="s">
        <v>13</v>
      </c>
      <c r="K3992" s="129">
        <f t="shared" si="368"/>
        <v>339.89</v>
      </c>
    </row>
    <row r="3993" spans="6:11" ht="24" customHeight="1">
      <c r="F3993" s="142">
        <v>3</v>
      </c>
      <c r="G3993" s="126" t="s">
        <v>237</v>
      </c>
      <c r="H3993" s="120" t="s">
        <v>5278</v>
      </c>
      <c r="I3993" s="129">
        <v>350</v>
      </c>
      <c r="J3993" s="126" t="s">
        <v>237</v>
      </c>
      <c r="K3993" s="129">
        <f t="shared" si="368"/>
        <v>1050</v>
      </c>
    </row>
    <row r="3994" spans="6:11" ht="24" customHeight="1">
      <c r="F3994" s="142">
        <v>3</v>
      </c>
      <c r="G3994" s="126" t="s">
        <v>237</v>
      </c>
      <c r="H3994" s="120" t="s">
        <v>4355</v>
      </c>
      <c r="I3994" s="129">
        <f>V1359</f>
        <v>57.65</v>
      </c>
      <c r="J3994" s="126" t="s">
        <v>237</v>
      </c>
      <c r="K3994" s="129">
        <f t="shared" si="368"/>
        <v>172.95</v>
      </c>
    </row>
    <row r="3995" spans="6:11" ht="24" customHeight="1">
      <c r="F3995" s="142">
        <v>4</v>
      </c>
      <c r="G3995" s="126" t="s">
        <v>237</v>
      </c>
      <c r="H3995" s="120" t="s">
        <v>3219</v>
      </c>
      <c r="I3995" s="129">
        <f>AB1360</f>
        <v>15</v>
      </c>
      <c r="J3995" s="126" t="s">
        <v>237</v>
      </c>
      <c r="K3995" s="129">
        <f t="shared" si="368"/>
        <v>60</v>
      </c>
    </row>
    <row r="3996" spans="6:11" ht="24" customHeight="1">
      <c r="F3996" s="142">
        <v>2.4300000000000002</v>
      </c>
      <c r="G3996" s="126" t="s">
        <v>724</v>
      </c>
      <c r="H3996" s="120" t="s">
        <v>3158</v>
      </c>
      <c r="I3996" s="129">
        <f>AB1361</f>
        <v>2085.6</v>
      </c>
      <c r="J3996" s="126" t="s">
        <v>237</v>
      </c>
      <c r="K3996" s="129">
        <f t="shared" si="368"/>
        <v>5068.01</v>
      </c>
    </row>
    <row r="3997" spans="6:11" ht="24" customHeight="1">
      <c r="F3997" s="118"/>
      <c r="H3997" s="120" t="s">
        <v>3159</v>
      </c>
      <c r="J3997" s="126"/>
      <c r="K3997" s="129"/>
    </row>
    <row r="3998" spans="6:11" ht="24" customHeight="1">
      <c r="F3998" s="118"/>
      <c r="G3998" s="115"/>
      <c r="H3998" s="125" t="s">
        <v>3220</v>
      </c>
      <c r="J3998" s="115"/>
      <c r="K3998" s="129">
        <f>SUM(K3987:K3997)</f>
        <v>13000.62</v>
      </c>
    </row>
    <row r="3999" spans="6:11" ht="24" customHeight="1">
      <c r="F3999" s="118"/>
      <c r="G3999" s="115"/>
      <c r="H3999" s="125" t="s">
        <v>5279</v>
      </c>
      <c r="J3999" s="126" t="s">
        <v>724</v>
      </c>
      <c r="K3999" s="129">
        <f>K3998/F3996</f>
        <v>5350.05</v>
      </c>
    </row>
    <row r="4000" spans="6:11" ht="24" customHeight="1">
      <c r="F4000" s="118"/>
      <c r="G4000" s="115"/>
      <c r="J4000" s="115"/>
      <c r="K4000" s="127"/>
    </row>
    <row r="4001" spans="6:11" ht="24" customHeight="1">
      <c r="F4001" s="118"/>
      <c r="G4001" s="115"/>
      <c r="J4001" s="115"/>
    </row>
    <row r="4002" spans="6:11" ht="24" customHeight="1">
      <c r="H4002" s="1813" t="s">
        <v>5280</v>
      </c>
      <c r="I4002" s="1813"/>
      <c r="J4002" s="1813"/>
      <c r="K4002" s="1813"/>
    </row>
    <row r="4003" spans="6:11" ht="24" customHeight="1">
      <c r="F4003" s="201"/>
      <c r="G4003" s="126"/>
      <c r="H4003" s="120"/>
      <c r="I4003" s="129"/>
      <c r="J4003" s="126"/>
      <c r="K4003" s="129"/>
    </row>
    <row r="4004" spans="6:11" ht="24" customHeight="1">
      <c r="F4004" s="201"/>
      <c r="G4004" s="126"/>
      <c r="H4004" s="120"/>
      <c r="I4004" s="129"/>
      <c r="J4004" s="126"/>
      <c r="K4004" s="129"/>
    </row>
    <row r="4005" spans="6:11" ht="24" customHeight="1">
      <c r="F4005" s="201"/>
      <c r="G4005" s="126"/>
      <c r="H4005" s="120"/>
      <c r="I4005" s="129"/>
      <c r="J4005" s="126"/>
      <c r="K4005" s="129"/>
    </row>
    <row r="4006" spans="6:11" ht="24" customHeight="1">
      <c r="F4006" s="201">
        <v>12.08</v>
      </c>
      <c r="G4006" s="126" t="s">
        <v>476</v>
      </c>
      <c r="H4006" s="120" t="s">
        <v>3124</v>
      </c>
      <c r="I4006" s="129">
        <f>I3987</f>
        <v>325</v>
      </c>
      <c r="J4006" s="126" t="s">
        <v>476</v>
      </c>
      <c r="K4006" s="129">
        <f>I4006*F4006</f>
        <v>3926</v>
      </c>
    </row>
    <row r="4007" spans="6:11" ht="24" customHeight="1">
      <c r="F4007" s="201">
        <v>1.823</v>
      </c>
      <c r="G4007" s="126" t="s">
        <v>468</v>
      </c>
      <c r="H4007" s="120" t="s">
        <v>3154</v>
      </c>
      <c r="I4007" s="129">
        <f>I3991</f>
        <v>306.89999999999998</v>
      </c>
      <c r="J4007" s="126" t="s">
        <v>468</v>
      </c>
      <c r="K4007" s="129">
        <f t="shared" ref="K4007:K4012" si="369">I4007*F4007</f>
        <v>559.48</v>
      </c>
    </row>
    <row r="4008" spans="6:11" ht="24" customHeight="1">
      <c r="F4008" s="201">
        <v>8.1</v>
      </c>
      <c r="G4008" s="126" t="s">
        <v>13</v>
      </c>
      <c r="H4008" s="120" t="s">
        <v>3155</v>
      </c>
      <c r="I4008" s="129">
        <f>I3992</f>
        <v>29.05</v>
      </c>
      <c r="J4008" s="126" t="s">
        <v>13</v>
      </c>
      <c r="K4008" s="129">
        <f t="shared" si="369"/>
        <v>235.31</v>
      </c>
    </row>
    <row r="4009" spans="6:11" ht="24" customHeight="1">
      <c r="F4009" s="201">
        <v>2</v>
      </c>
      <c r="G4009" s="126" t="s">
        <v>3135</v>
      </c>
      <c r="H4009" s="120" t="s">
        <v>5281</v>
      </c>
      <c r="I4009" s="129">
        <f>I3993</f>
        <v>350</v>
      </c>
      <c r="J4009" s="126" t="s">
        <v>237</v>
      </c>
      <c r="K4009" s="129">
        <f t="shared" si="369"/>
        <v>700</v>
      </c>
    </row>
    <row r="4010" spans="6:11" ht="24" customHeight="1">
      <c r="F4010" s="201">
        <v>2</v>
      </c>
      <c r="G4010" s="126" t="s">
        <v>237</v>
      </c>
      <c r="H4010" s="120" t="s">
        <v>4355</v>
      </c>
      <c r="I4010" s="129">
        <f>I3994</f>
        <v>57.65</v>
      </c>
      <c r="J4010" s="126" t="s">
        <v>237</v>
      </c>
      <c r="K4010" s="129">
        <f t="shared" si="369"/>
        <v>115.3</v>
      </c>
    </row>
    <row r="4011" spans="6:11" ht="24" customHeight="1">
      <c r="F4011" s="201">
        <v>4</v>
      </c>
      <c r="G4011" s="126" t="s">
        <v>237</v>
      </c>
      <c r="H4011" s="120" t="s">
        <v>3219</v>
      </c>
      <c r="I4011" s="140">
        <v>15</v>
      </c>
      <c r="J4011" s="126" t="s">
        <v>237</v>
      </c>
      <c r="K4011" s="129">
        <f t="shared" si="369"/>
        <v>60</v>
      </c>
    </row>
    <row r="4012" spans="6:11" ht="24" customHeight="1">
      <c r="F4012" s="201">
        <v>1.823</v>
      </c>
      <c r="G4012" s="126" t="s">
        <v>724</v>
      </c>
      <c r="H4012" s="120" t="s">
        <v>3158</v>
      </c>
      <c r="I4012" s="115">
        <f>I3996</f>
        <v>2085.6</v>
      </c>
      <c r="J4012" s="126" t="s">
        <v>724</v>
      </c>
      <c r="K4012" s="129">
        <f t="shared" si="369"/>
        <v>3802.05</v>
      </c>
    </row>
    <row r="4013" spans="6:11" ht="24" customHeight="1">
      <c r="H4013" s="120"/>
      <c r="J4013" s="119"/>
      <c r="K4013" s="129"/>
    </row>
    <row r="4014" spans="6:11" ht="24" customHeight="1">
      <c r="G4014" s="115"/>
      <c r="H4014" s="240" t="s">
        <v>5282</v>
      </c>
      <c r="J4014" s="115"/>
      <c r="K4014" s="129">
        <f>SUM(K4006:K4013)</f>
        <v>9398.14</v>
      </c>
    </row>
    <row r="4015" spans="6:11" ht="24" customHeight="1">
      <c r="G4015" s="115"/>
      <c r="H4015" s="240" t="s">
        <v>5283</v>
      </c>
      <c r="J4015" s="115"/>
      <c r="K4015" s="114">
        <f>K4014/F4012</f>
        <v>5155.32</v>
      </c>
    </row>
    <row r="4016" spans="6:11" ht="24" customHeight="1">
      <c r="G4016" s="115"/>
      <c r="H4016" s="240"/>
      <c r="J4016" s="115"/>
    </row>
    <row r="4017" spans="6:11" ht="24" customHeight="1">
      <c r="F4017" s="118"/>
      <c r="H4017" s="274" t="s">
        <v>5284</v>
      </c>
    </row>
    <row r="4018" spans="6:11" ht="24" customHeight="1">
      <c r="F4018" s="142">
        <v>3.72</v>
      </c>
      <c r="G4018" s="126" t="s">
        <v>476</v>
      </c>
      <c r="H4018" s="120" t="s">
        <v>3124</v>
      </c>
      <c r="I4018" s="129">
        <f>I3987</f>
        <v>325</v>
      </c>
      <c r="J4018" s="126" t="s">
        <v>476</v>
      </c>
      <c r="K4018" s="129">
        <f>I4018*F4018</f>
        <v>1209</v>
      </c>
    </row>
    <row r="4019" spans="6:11" ht="24" customHeight="1">
      <c r="F4019" s="142">
        <v>4.57</v>
      </c>
      <c r="G4019" s="126" t="s">
        <v>476</v>
      </c>
      <c r="H4019" s="120" t="s">
        <v>3124</v>
      </c>
      <c r="I4019" s="129">
        <f>I4018</f>
        <v>325</v>
      </c>
      <c r="J4019" s="126" t="s">
        <v>476</v>
      </c>
      <c r="K4019" s="129">
        <f t="shared" ref="K4019:K4027" si="370">I4019*F4019</f>
        <v>1485.25</v>
      </c>
    </row>
    <row r="4020" spans="6:11" ht="24" customHeight="1">
      <c r="F4020" s="142">
        <v>1.18</v>
      </c>
      <c r="G4020" s="126" t="s">
        <v>476</v>
      </c>
      <c r="H4020" s="120" t="s">
        <v>3124</v>
      </c>
      <c r="I4020" s="129">
        <f>I4019</f>
        <v>325</v>
      </c>
      <c r="J4020" s="126" t="s">
        <v>476</v>
      </c>
      <c r="K4020" s="129">
        <f t="shared" si="370"/>
        <v>383.5</v>
      </c>
    </row>
    <row r="4021" spans="6:11" ht="24" customHeight="1">
      <c r="F4021" s="142">
        <v>0.86</v>
      </c>
      <c r="G4021" s="126" t="s">
        <v>476</v>
      </c>
      <c r="H4021" s="120" t="s">
        <v>3124</v>
      </c>
      <c r="I4021" s="129">
        <f>I4020</f>
        <v>325</v>
      </c>
      <c r="J4021" s="126" t="s">
        <v>476</v>
      </c>
      <c r="K4021" s="129">
        <f t="shared" si="370"/>
        <v>279.5</v>
      </c>
    </row>
    <row r="4022" spans="6:11" ht="24" customHeight="1">
      <c r="F4022" s="142">
        <v>1.42</v>
      </c>
      <c r="G4022" s="126" t="s">
        <v>468</v>
      </c>
      <c r="H4022" s="120" t="s">
        <v>3154</v>
      </c>
      <c r="I4022" s="129">
        <f t="shared" ref="I4022:I4027" si="371">I4007</f>
        <v>306.89999999999998</v>
      </c>
      <c r="J4022" s="126" t="s">
        <v>468</v>
      </c>
      <c r="K4022" s="129">
        <f t="shared" si="370"/>
        <v>435.8</v>
      </c>
    </row>
    <row r="4023" spans="6:11" ht="24" customHeight="1">
      <c r="F4023" s="142">
        <v>6.9</v>
      </c>
      <c r="G4023" s="126" t="s">
        <v>13</v>
      </c>
      <c r="H4023" s="120" t="s">
        <v>3155</v>
      </c>
      <c r="I4023" s="129">
        <f t="shared" si="371"/>
        <v>29.05</v>
      </c>
      <c r="J4023" s="126" t="s">
        <v>13</v>
      </c>
      <c r="K4023" s="129">
        <f t="shared" si="370"/>
        <v>200.45</v>
      </c>
    </row>
    <row r="4024" spans="6:11" ht="24" customHeight="1">
      <c r="F4024" s="142">
        <v>2</v>
      </c>
      <c r="G4024" s="126" t="s">
        <v>237</v>
      </c>
      <c r="H4024" s="120" t="s">
        <v>5281</v>
      </c>
      <c r="I4024" s="129">
        <f t="shared" si="371"/>
        <v>350</v>
      </c>
      <c r="J4024" s="126" t="s">
        <v>237</v>
      </c>
      <c r="K4024" s="129">
        <f t="shared" si="370"/>
        <v>700</v>
      </c>
    </row>
    <row r="4025" spans="6:11" ht="24" customHeight="1">
      <c r="F4025" s="142">
        <v>2</v>
      </c>
      <c r="G4025" s="126" t="s">
        <v>237</v>
      </c>
      <c r="H4025" s="120" t="s">
        <v>4355</v>
      </c>
      <c r="I4025" s="129">
        <f t="shared" si="371"/>
        <v>57.65</v>
      </c>
      <c r="J4025" s="126" t="s">
        <v>237</v>
      </c>
      <c r="K4025" s="129">
        <f t="shared" si="370"/>
        <v>115.3</v>
      </c>
    </row>
    <row r="4026" spans="6:11" ht="24" customHeight="1">
      <c r="F4026" s="142">
        <v>4</v>
      </c>
      <c r="G4026" s="126" t="s">
        <v>237</v>
      </c>
      <c r="H4026" s="120" t="s">
        <v>3219</v>
      </c>
      <c r="I4026" s="129">
        <f t="shared" si="371"/>
        <v>15</v>
      </c>
      <c r="J4026" s="126" t="s">
        <v>237</v>
      </c>
      <c r="K4026" s="129">
        <f t="shared" si="370"/>
        <v>60</v>
      </c>
    </row>
    <row r="4027" spans="6:11" ht="24" customHeight="1">
      <c r="F4027" s="142">
        <v>1.42</v>
      </c>
      <c r="G4027" s="126" t="s">
        <v>724</v>
      </c>
      <c r="H4027" s="120" t="s">
        <v>3158</v>
      </c>
      <c r="I4027" s="129">
        <f t="shared" si="371"/>
        <v>2085.6</v>
      </c>
      <c r="J4027" s="126" t="s">
        <v>724</v>
      </c>
      <c r="K4027" s="129">
        <f t="shared" si="370"/>
        <v>2961.55</v>
      </c>
    </row>
    <row r="4028" spans="6:11" ht="24" customHeight="1">
      <c r="F4028" s="118"/>
      <c r="H4028" s="120" t="s">
        <v>3159</v>
      </c>
      <c r="J4028" s="119"/>
      <c r="K4028" s="129"/>
    </row>
    <row r="4029" spans="6:11" ht="24" customHeight="1">
      <c r="F4029" s="118"/>
      <c r="G4029" s="115"/>
      <c r="H4029" s="125" t="s">
        <v>3220</v>
      </c>
      <c r="J4029" s="115"/>
      <c r="K4029" s="129">
        <f>SUM(K4018:K4028)</f>
        <v>7830.35</v>
      </c>
    </row>
    <row r="4030" spans="6:11" ht="24" customHeight="1">
      <c r="F4030" s="118"/>
      <c r="G4030" s="115"/>
      <c r="H4030" s="240" t="s">
        <v>5283</v>
      </c>
      <c r="J4030" s="115"/>
      <c r="K4030" s="114">
        <f>K4029/F4027</f>
        <v>5514.33</v>
      </c>
    </row>
    <row r="4031" spans="6:11" ht="24" customHeight="1">
      <c r="F4031" s="118"/>
      <c r="G4031" s="115"/>
      <c r="J4031" s="115"/>
      <c r="K4031" s="127"/>
    </row>
    <row r="4032" spans="6:11" ht="24" customHeight="1">
      <c r="F4032" s="118"/>
      <c r="G4032" s="115"/>
      <c r="H4032" s="274" t="s">
        <v>5285</v>
      </c>
    </row>
    <row r="4033" spans="6:13" ht="24" customHeight="1">
      <c r="F4033" s="310">
        <v>11.61</v>
      </c>
      <c r="G4033" s="311" t="s">
        <v>476</v>
      </c>
      <c r="H4033" s="314" t="s">
        <v>3124</v>
      </c>
      <c r="I4033" s="313">
        <f>I4018</f>
        <v>325</v>
      </c>
      <c r="J4033" s="311" t="s">
        <v>476</v>
      </c>
      <c r="K4033" s="313">
        <f>I4033*F4033</f>
        <v>3773.25</v>
      </c>
    </row>
    <row r="4034" spans="6:13" ht="24" customHeight="1">
      <c r="F4034" s="310">
        <v>7.8</v>
      </c>
      <c r="G4034" s="311" t="s">
        <v>13</v>
      </c>
      <c r="H4034" s="314" t="s">
        <v>3125</v>
      </c>
      <c r="I4034" s="313">
        <f>I4023</f>
        <v>29.05</v>
      </c>
      <c r="J4034" s="311" t="s">
        <v>13</v>
      </c>
      <c r="K4034" s="313">
        <f t="shared" ref="K4034:K4039" si="372">I4034*F4034</f>
        <v>226.59</v>
      </c>
    </row>
    <row r="4035" spans="6:13" ht="24" customHeight="1">
      <c r="F4035" s="310">
        <v>1.62</v>
      </c>
      <c r="G4035" s="311" t="s">
        <v>468</v>
      </c>
      <c r="H4035" s="314" t="s">
        <v>3126</v>
      </c>
      <c r="I4035" s="313">
        <f>I4022</f>
        <v>306.89999999999998</v>
      </c>
      <c r="J4035" s="311" t="s">
        <v>468</v>
      </c>
      <c r="K4035" s="313">
        <f t="shared" si="372"/>
        <v>497.18</v>
      </c>
    </row>
    <row r="4036" spans="6:13" ht="24" customHeight="1">
      <c r="F4036" s="310">
        <v>2</v>
      </c>
      <c r="G4036" s="311" t="s">
        <v>237</v>
      </c>
      <c r="H4036" s="314" t="s">
        <v>3127</v>
      </c>
      <c r="I4036" s="313">
        <f>I4025</f>
        <v>57.65</v>
      </c>
      <c r="J4036" s="311" t="s">
        <v>237</v>
      </c>
      <c r="K4036" s="313">
        <f t="shared" si="372"/>
        <v>115.3</v>
      </c>
    </row>
    <row r="4037" spans="6:13" ht="24" customHeight="1">
      <c r="F4037" s="310">
        <v>2</v>
      </c>
      <c r="G4037" s="311" t="s">
        <v>237</v>
      </c>
      <c r="H4037" s="314" t="s">
        <v>5286</v>
      </c>
      <c r="I4037" s="313">
        <f>I4024</f>
        <v>350</v>
      </c>
      <c r="J4037" s="311" t="s">
        <v>237</v>
      </c>
      <c r="K4037" s="313">
        <f t="shared" si="372"/>
        <v>700</v>
      </c>
    </row>
    <row r="4038" spans="6:13" ht="24" customHeight="1">
      <c r="F4038" s="310">
        <v>4</v>
      </c>
      <c r="G4038" s="311" t="s">
        <v>237</v>
      </c>
      <c r="H4038" s="314" t="s">
        <v>3129</v>
      </c>
      <c r="I4038" s="313">
        <f>I4026</f>
        <v>15</v>
      </c>
      <c r="J4038" s="311" t="s">
        <v>237</v>
      </c>
      <c r="K4038" s="313">
        <f t="shared" si="372"/>
        <v>60</v>
      </c>
    </row>
    <row r="4039" spans="6:13" ht="24" customHeight="1">
      <c r="F4039" s="310">
        <v>1.62</v>
      </c>
      <c r="G4039" s="311" t="s">
        <v>724</v>
      </c>
      <c r="H4039" s="314" t="s">
        <v>3130</v>
      </c>
      <c r="I4039" s="313">
        <f>I4027</f>
        <v>2085.6</v>
      </c>
      <c r="J4039" s="311" t="s">
        <v>724</v>
      </c>
      <c r="K4039" s="313">
        <f t="shared" si="372"/>
        <v>3378.67</v>
      </c>
    </row>
    <row r="4040" spans="6:13" ht="24" customHeight="1">
      <c r="F4040" s="307"/>
      <c r="G4040" s="334"/>
      <c r="H4040" s="314" t="s">
        <v>1557</v>
      </c>
      <c r="I4040" s="307"/>
      <c r="J4040" s="352"/>
      <c r="K4040" s="313"/>
    </row>
    <row r="4041" spans="6:13" ht="24" customHeight="1">
      <c r="F4041" s="307"/>
      <c r="G4041" s="307"/>
      <c r="H4041" s="125" t="s">
        <v>3220</v>
      </c>
      <c r="J4041" s="115"/>
      <c r="K4041" s="129">
        <f>SUM(K4033:K4040)</f>
        <v>8750.99</v>
      </c>
    </row>
    <row r="4042" spans="6:13" ht="24" customHeight="1">
      <c r="F4042" s="118"/>
      <c r="G4042" s="115"/>
      <c r="H4042" s="240" t="s">
        <v>5283</v>
      </c>
      <c r="J4042" s="115"/>
      <c r="K4042" s="114">
        <f>K4041/F4039</f>
        <v>5401.85</v>
      </c>
    </row>
    <row r="4043" spans="6:13" ht="24" customHeight="1">
      <c r="F4043" s="118"/>
      <c r="G4043" s="115"/>
      <c r="J4043" s="115"/>
    </row>
    <row r="4045" spans="6:13" ht="24" customHeight="1">
      <c r="H4045" s="122" t="s">
        <v>5287</v>
      </c>
      <c r="J4045" s="119"/>
      <c r="L4045" s="118"/>
      <c r="M4045" s="118"/>
    </row>
    <row r="4046" spans="6:13" ht="24" customHeight="1">
      <c r="H4046" s="379" t="s">
        <v>3313</v>
      </c>
      <c r="J4046" s="119"/>
      <c r="L4046" s="118"/>
      <c r="M4046" s="118"/>
    </row>
    <row r="4047" spans="6:13" ht="24" customHeight="1">
      <c r="H4047" s="123" t="s">
        <v>52</v>
      </c>
      <c r="J4047" s="119"/>
      <c r="L4047" s="118"/>
      <c r="M4047" s="118"/>
    </row>
    <row r="4048" spans="6:13" ht="24" customHeight="1">
      <c r="H4048" s="122" t="s">
        <v>3314</v>
      </c>
      <c r="J4048" s="115"/>
      <c r="L4048" s="118"/>
      <c r="M4048" s="118"/>
    </row>
    <row r="4049" spans="6:13" ht="24" customHeight="1">
      <c r="H4049" s="254" t="s">
        <v>3315</v>
      </c>
      <c r="I4049" s="533"/>
      <c r="J4049" s="420">
        <f>3*2*1.9*0.075*0.0375</f>
        <v>3.2099999999999997E-2</v>
      </c>
      <c r="K4049" s="115" t="s">
        <v>5</v>
      </c>
      <c r="L4049" s="118"/>
      <c r="M4049" s="118"/>
    </row>
    <row r="4050" spans="6:13" ht="33.950000000000003" customHeight="1">
      <c r="H4050" s="120" t="s">
        <v>3316</v>
      </c>
      <c r="I4050" s="533"/>
      <c r="J4050" s="420">
        <f>3*2*0.5*0.075*0.0375</f>
        <v>8.3999999999999995E-3</v>
      </c>
      <c r="K4050" s="115" t="s">
        <v>5</v>
      </c>
      <c r="L4050" s="118"/>
      <c r="M4050" s="118"/>
    </row>
    <row r="4051" spans="6:13" ht="33.950000000000003" customHeight="1">
      <c r="H4051" s="120"/>
      <c r="I4051" s="213"/>
      <c r="J4051" s="123" t="s">
        <v>52</v>
      </c>
      <c r="K4051" s="202"/>
      <c r="L4051" s="118"/>
      <c r="M4051" s="118"/>
    </row>
    <row r="4052" spans="6:13" ht="24" customHeight="1">
      <c r="J4052" s="588">
        <f>SUM(J4049:J4051)</f>
        <v>4.0500000000000001E-2</v>
      </c>
      <c r="K4052" s="115" t="s">
        <v>5</v>
      </c>
      <c r="L4052" s="118"/>
      <c r="M4052" s="118"/>
    </row>
    <row r="4053" spans="6:13" ht="24" customHeight="1">
      <c r="J4053" s="123" t="s">
        <v>52</v>
      </c>
      <c r="L4053" s="118"/>
      <c r="M4053" s="118"/>
    </row>
    <row r="4054" spans="6:13" ht="24" customHeight="1">
      <c r="H4054" s="120" t="s">
        <v>1340</v>
      </c>
      <c r="I4054" s="533"/>
      <c r="J4054" s="533"/>
      <c r="K4054" s="533"/>
      <c r="L4054" s="118"/>
      <c r="M4054" s="118"/>
    </row>
    <row r="4055" spans="6:13" ht="24" customHeight="1">
      <c r="H4055" s="120" t="s">
        <v>3317</v>
      </c>
      <c r="I4055" s="497"/>
      <c r="J4055" s="276">
        <f>3*1.9*0.5</f>
        <v>2.85</v>
      </c>
      <c r="K4055" s="126" t="s">
        <v>425</v>
      </c>
      <c r="L4055" s="118"/>
      <c r="M4055" s="118"/>
    </row>
    <row r="4056" spans="6:13" ht="24" customHeight="1">
      <c r="H4056" s="120"/>
      <c r="I4056" s="497"/>
      <c r="J4056" s="276"/>
      <c r="K4056" s="202"/>
      <c r="L4056" s="118"/>
      <c r="M4056" s="118"/>
    </row>
    <row r="4057" spans="6:13" ht="24" customHeight="1">
      <c r="H4057" s="120" t="s">
        <v>3318</v>
      </c>
      <c r="I4057" s="497"/>
      <c r="J4057" s="276"/>
      <c r="K4057" s="202"/>
      <c r="L4057" s="118"/>
      <c r="M4057" s="118"/>
    </row>
    <row r="4058" spans="6:13" ht="33.950000000000003" customHeight="1">
      <c r="H4058" s="120" t="s">
        <v>3319</v>
      </c>
      <c r="I4058" s="497"/>
      <c r="J4058" s="420">
        <f>3*1.775*0.375</f>
        <v>1.9968999999999999</v>
      </c>
      <c r="K4058" s="202" t="str">
        <f>K4055</f>
        <v>SQM</v>
      </c>
      <c r="L4058" s="118"/>
      <c r="M4058" s="118"/>
    </row>
    <row r="4059" spans="6:13" ht="33.950000000000003" customHeight="1">
      <c r="H4059" s="120" t="s">
        <v>3320</v>
      </c>
      <c r="J4059" s="501"/>
      <c r="K4059" s="254"/>
      <c r="L4059" s="118"/>
      <c r="M4059" s="118"/>
    </row>
    <row r="4060" spans="6:13" ht="33.950000000000003" customHeight="1">
      <c r="F4060" s="224"/>
      <c r="H4060" s="120" t="s">
        <v>3321</v>
      </c>
      <c r="I4060" s="497"/>
      <c r="J4060" s="589">
        <f>1.775+0.375</f>
        <v>2.15</v>
      </c>
      <c r="K4060" s="202"/>
      <c r="L4060" s="129"/>
      <c r="M4060" s="118"/>
    </row>
    <row r="4061" spans="6:13" ht="33.950000000000003" customHeight="1">
      <c r="F4061" s="224"/>
      <c r="I4061" s="590"/>
      <c r="J4061" s="128">
        <f>J4060*6</f>
        <v>12.9</v>
      </c>
      <c r="K4061" s="129" t="s">
        <v>13</v>
      </c>
      <c r="L4061" s="129"/>
      <c r="M4061" s="118"/>
    </row>
    <row r="4062" spans="6:13" ht="33.950000000000003" customHeight="1">
      <c r="F4062" s="224"/>
      <c r="H4062" s="505" t="s">
        <v>3322</v>
      </c>
      <c r="I4062" s="590"/>
      <c r="J4062" s="121"/>
      <c r="K4062" s="129"/>
      <c r="L4062" s="129"/>
      <c r="M4062" s="118"/>
    </row>
    <row r="4063" spans="6:13" ht="33.950000000000003" customHeight="1">
      <c r="F4063" s="201"/>
      <c r="H4063" s="122" t="s">
        <v>3323</v>
      </c>
      <c r="I4063" s="533"/>
      <c r="J4063" s="129"/>
      <c r="K4063" s="119"/>
      <c r="L4063" s="129"/>
      <c r="M4063" s="118"/>
    </row>
    <row r="4064" spans="6:13" ht="33.950000000000003" customHeight="1">
      <c r="F4064" s="202">
        <f>J4052</f>
        <v>4.0500000000000001E-2</v>
      </c>
      <c r="G4064" s="120" t="s">
        <v>132</v>
      </c>
      <c r="H4064" s="120" t="s">
        <v>3338</v>
      </c>
      <c r="I4064" s="129">
        <f>V3114</f>
        <v>99400</v>
      </c>
      <c r="J4064" s="121" t="s">
        <v>132</v>
      </c>
      <c r="K4064" s="129">
        <f>(F4064*I4064)</f>
        <v>4025.7</v>
      </c>
      <c r="L4064" s="129"/>
      <c r="M4064" s="118"/>
    </row>
    <row r="4065" spans="6:13" ht="33.950000000000003" customHeight="1">
      <c r="F4065" s="202">
        <f>J4055</f>
        <v>2.85</v>
      </c>
      <c r="G4065" s="126" t="s">
        <v>425</v>
      </c>
      <c r="H4065" s="120" t="s">
        <v>1340</v>
      </c>
      <c r="I4065" s="129">
        <f>V3116</f>
        <v>1498.2</v>
      </c>
      <c r="J4065" s="126" t="s">
        <v>425</v>
      </c>
      <c r="K4065" s="129">
        <f>(F4065*I4065)</f>
        <v>4269.87</v>
      </c>
      <c r="L4065" s="129"/>
      <c r="M4065" s="118"/>
    </row>
    <row r="4066" spans="6:13" ht="33.950000000000003" customHeight="1">
      <c r="F4066" s="202">
        <f>J4058</f>
        <v>1.9968999999999999</v>
      </c>
      <c r="G4066" s="126" t="s">
        <v>425</v>
      </c>
      <c r="H4066" s="120" t="s">
        <v>3318</v>
      </c>
      <c r="I4066" s="129">
        <f>V3115</f>
        <v>208.8</v>
      </c>
      <c r="J4066" s="126" t="s">
        <v>425</v>
      </c>
      <c r="K4066" s="129">
        <f t="shared" ref="K4066:K4072" si="373">(F4066*I4066)</f>
        <v>416.95</v>
      </c>
      <c r="L4066" s="129"/>
      <c r="M4066" s="118"/>
    </row>
    <row r="4067" spans="6:13" ht="33.950000000000003" customHeight="1">
      <c r="F4067" s="129">
        <f>J4061</f>
        <v>12.9</v>
      </c>
      <c r="G4067" s="129" t="s">
        <v>13</v>
      </c>
      <c r="H4067" s="122" t="s">
        <v>3326</v>
      </c>
      <c r="I4067" s="129">
        <f t="shared" ref="I4067:I4072" si="374">V3117</f>
        <v>15.45</v>
      </c>
      <c r="J4067" s="129" t="s">
        <v>13</v>
      </c>
      <c r="K4067" s="129">
        <f t="shared" si="373"/>
        <v>199.31</v>
      </c>
      <c r="L4067" s="129"/>
      <c r="M4067" s="118"/>
    </row>
    <row r="4068" spans="6:13" ht="33.950000000000003" customHeight="1">
      <c r="F4068" s="129">
        <v>9</v>
      </c>
      <c r="G4068" s="126" t="s">
        <v>131</v>
      </c>
      <c r="H4068" s="120" t="s">
        <v>1479</v>
      </c>
      <c r="I4068" s="129">
        <f t="shared" si="374"/>
        <v>89.6</v>
      </c>
      <c r="J4068" s="120" t="s">
        <v>131</v>
      </c>
      <c r="K4068" s="129">
        <f t="shared" si="373"/>
        <v>806.4</v>
      </c>
      <c r="L4068" s="129"/>
      <c r="M4068" s="118"/>
    </row>
    <row r="4069" spans="6:13" ht="33.950000000000003" customHeight="1">
      <c r="F4069" s="129">
        <v>6</v>
      </c>
      <c r="G4069" s="126" t="s">
        <v>131</v>
      </c>
      <c r="H4069" s="120" t="s">
        <v>3327</v>
      </c>
      <c r="I4069" s="129">
        <f t="shared" si="374"/>
        <v>82.25</v>
      </c>
      <c r="J4069" s="120" t="s">
        <v>131</v>
      </c>
      <c r="K4069" s="129">
        <f t="shared" si="373"/>
        <v>493.5</v>
      </c>
      <c r="L4069" s="129"/>
      <c r="M4069" s="118"/>
    </row>
    <row r="4070" spans="6:13" ht="33.950000000000003" customHeight="1">
      <c r="F4070" s="129">
        <v>3</v>
      </c>
      <c r="G4070" s="126" t="s">
        <v>131</v>
      </c>
      <c r="H4070" s="120" t="s">
        <v>3328</v>
      </c>
      <c r="I4070" s="129">
        <f t="shared" si="374"/>
        <v>57.65</v>
      </c>
      <c r="J4070" s="120" t="s">
        <v>131</v>
      </c>
      <c r="K4070" s="129">
        <f t="shared" si="373"/>
        <v>172.95</v>
      </c>
      <c r="L4070" s="129"/>
      <c r="M4070" s="118"/>
    </row>
    <row r="4071" spans="6:13" ht="33.950000000000003" customHeight="1">
      <c r="F4071" s="129">
        <v>3</v>
      </c>
      <c r="G4071" s="126" t="s">
        <v>131</v>
      </c>
      <c r="H4071" s="120" t="s">
        <v>453</v>
      </c>
      <c r="I4071" s="129">
        <f t="shared" si="374"/>
        <v>7.3</v>
      </c>
      <c r="J4071" s="120" t="s">
        <v>131</v>
      </c>
      <c r="K4071" s="129">
        <f t="shared" si="373"/>
        <v>21.9</v>
      </c>
      <c r="L4071" s="129"/>
      <c r="M4071" s="118"/>
    </row>
    <row r="4072" spans="6:13" ht="33.950000000000003" customHeight="1">
      <c r="F4072" s="129">
        <v>120</v>
      </c>
      <c r="G4072" s="126" t="s">
        <v>131</v>
      </c>
      <c r="H4072" s="120" t="s">
        <v>3329</v>
      </c>
      <c r="I4072" s="129">
        <f t="shared" si="374"/>
        <v>2.41</v>
      </c>
      <c r="J4072" s="120" t="s">
        <v>131</v>
      </c>
      <c r="K4072" s="129">
        <f t="shared" si="373"/>
        <v>289.2</v>
      </c>
      <c r="L4072" s="129"/>
      <c r="M4072" s="118"/>
    </row>
    <row r="4073" spans="6:13" ht="33.950000000000003" customHeight="1">
      <c r="F4073" s="129"/>
      <c r="G4073" s="126"/>
      <c r="H4073" s="120"/>
      <c r="I4073" s="533"/>
      <c r="J4073" s="129"/>
      <c r="K4073" s="123" t="s">
        <v>52</v>
      </c>
      <c r="L4073" s="129"/>
      <c r="M4073" s="118"/>
    </row>
    <row r="4074" spans="6:13" ht="33.950000000000003" customHeight="1">
      <c r="H4074" s="120" t="s">
        <v>3330</v>
      </c>
      <c r="I4074" s="533"/>
      <c r="J4074" s="121"/>
      <c r="K4074" s="213">
        <f>SUM(K4064:K4073)</f>
        <v>10695.78</v>
      </c>
      <c r="L4074" s="512"/>
      <c r="M4074" s="118"/>
    </row>
    <row r="4075" spans="6:13" ht="33.950000000000003" customHeight="1">
      <c r="H4075" s="533"/>
      <c r="I4075" s="129"/>
      <c r="J4075" s="119"/>
      <c r="K4075" s="123" t="s">
        <v>52</v>
      </c>
      <c r="L4075" s="533"/>
      <c r="M4075" s="118"/>
    </row>
    <row r="4076" spans="6:13" ht="33.950000000000003" customHeight="1">
      <c r="H4076" s="213" t="s">
        <v>3331</v>
      </c>
      <c r="I4076" s="129"/>
      <c r="J4076" s="119"/>
      <c r="K4076" s="539">
        <f>K4074/F4065</f>
        <v>3752.91</v>
      </c>
      <c r="L4076" s="129">
        <f>SUM(L4060:L4075)</f>
        <v>0</v>
      </c>
      <c r="M4076" s="118"/>
    </row>
    <row r="4077" spans="6:13" ht="33.950000000000003" customHeight="1">
      <c r="I4077" s="129"/>
      <c r="J4077" s="119"/>
      <c r="K4077" s="533"/>
      <c r="L4077" s="533"/>
      <c r="M4077" s="118"/>
    </row>
    <row r="4078" spans="6:13" ht="33.950000000000003" customHeight="1">
      <c r="H4078" s="122"/>
      <c r="J4078" s="1812"/>
      <c r="K4078" s="1812"/>
      <c r="L4078" s="1812"/>
      <c r="M4078" s="1812"/>
    </row>
    <row r="4079" spans="6:13" ht="24" customHeight="1">
      <c r="G4079" s="115"/>
      <c r="J4079" s="115"/>
      <c r="L4079" s="118"/>
      <c r="M4079" s="118"/>
    </row>
  </sheetData>
  <mergeCells count="23">
    <mergeCell ref="AB3648:AG3649"/>
    <mergeCell ref="I3046:J3046"/>
    <mergeCell ref="S3148:T3148"/>
    <mergeCell ref="I3492:J3492"/>
    <mergeCell ref="S3680:V3680"/>
    <mergeCell ref="F3985:H3985"/>
    <mergeCell ref="H4002:K4002"/>
    <mergeCell ref="J4078:M4078"/>
    <mergeCell ref="H2422:H2423"/>
    <mergeCell ref="O2429:O2430"/>
    <mergeCell ref="F3711:K3711"/>
    <mergeCell ref="O3711:P3711"/>
    <mergeCell ref="O2343:Q2343"/>
    <mergeCell ref="O2353:Q2353"/>
    <mergeCell ref="H2420:K2420"/>
    <mergeCell ref="O2427:R2427"/>
    <mergeCell ref="AD2601:AG2601"/>
    <mergeCell ref="N1531:R1531"/>
    <mergeCell ref="U2:X2"/>
    <mergeCell ref="AA550:AB550"/>
    <mergeCell ref="AH550:AI550"/>
    <mergeCell ref="P1474:R1474"/>
    <mergeCell ref="S1474:U1474"/>
  </mergeCells>
  <hyperlinks>
    <hyperlink ref="J270" r:id="rId1"/>
    <hyperlink ref="C270" r:id="rId2" display="25.2"/>
  </hyperlinks>
  <printOptions horizontalCentered="1"/>
  <pageMargins left="0.72" right="0.4" top="0.47999999999999993" bottom="0.35433070866141703" header="0.23622047244094496" footer="0.19685039370078702"/>
  <pageSetup paperSize="9" scale="56" orientation="landscape" copies="5" r:id="rId3"/>
  <headerFooter alignWithMargins="0">
    <oddHeader>&amp;R&amp;P</oddHeader>
  </headerFooter>
  <drawing r:id="rId4"/>
</worksheet>
</file>

<file path=xl/worksheets/sheet16.xml><?xml version="1.0" encoding="utf-8"?>
<worksheet xmlns="http://schemas.openxmlformats.org/spreadsheetml/2006/main" xmlns:r="http://schemas.openxmlformats.org/officeDocument/2006/relationships">
  <sheetPr codeName="Sheet15"/>
  <dimension ref="A1:K1748"/>
  <sheetViews>
    <sheetView topLeftCell="A1731" zoomScaleSheetLayoutView="100" workbookViewId="0">
      <selection activeCell="K1747" sqref="K1747"/>
    </sheetView>
  </sheetViews>
  <sheetFormatPr defaultColWidth="9.21875" defaultRowHeight="15.75"/>
  <cols>
    <col min="1" max="1" width="7.5546875" style="38" customWidth="1"/>
    <col min="2" max="2" width="5.77734375" style="38" customWidth="1"/>
    <col min="3" max="3" width="40" style="39" customWidth="1"/>
    <col min="4" max="4" width="8.5546875" style="38" customWidth="1"/>
    <col min="5" max="5" width="5.6640625" style="38" customWidth="1"/>
    <col min="6" max="6" width="9.6640625" style="38" bestFit="1" customWidth="1"/>
    <col min="7" max="16384" width="9.21875" style="38"/>
  </cols>
  <sheetData>
    <row r="1" spans="1:6" ht="31.5">
      <c r="C1" s="39" t="s">
        <v>87</v>
      </c>
    </row>
    <row r="2" spans="1:6">
      <c r="C2" s="39" t="s">
        <v>90</v>
      </c>
    </row>
    <row r="3" spans="1:6">
      <c r="A3" s="38" t="s">
        <v>91</v>
      </c>
      <c r="B3" s="38" t="s">
        <v>85</v>
      </c>
      <c r="C3" s="39" t="s">
        <v>3876</v>
      </c>
      <c r="E3" s="38" t="s">
        <v>3877</v>
      </c>
    </row>
    <row r="4" spans="1:6">
      <c r="A4" s="38" t="s">
        <v>52</v>
      </c>
      <c r="B4" s="38" t="s">
        <v>52</v>
      </c>
      <c r="C4" s="39" t="s">
        <v>52</v>
      </c>
      <c r="D4" s="38" t="s">
        <v>52</v>
      </c>
      <c r="E4" s="38" t="s">
        <v>52</v>
      </c>
      <c r="F4" s="38" t="s">
        <v>52</v>
      </c>
    </row>
    <row r="5" spans="1:6">
      <c r="A5" s="38" t="s">
        <v>95</v>
      </c>
      <c r="B5" s="38" t="s">
        <v>85</v>
      </c>
      <c r="C5" s="39" t="s">
        <v>96</v>
      </c>
      <c r="D5" s="38" t="s">
        <v>97</v>
      </c>
      <c r="E5" s="38" t="s">
        <v>98</v>
      </c>
      <c r="F5" s="38" t="s">
        <v>99</v>
      </c>
    </row>
    <row r="6" spans="1:6">
      <c r="A6" s="38" t="s">
        <v>52</v>
      </c>
      <c r="B6" s="38" t="s">
        <v>52</v>
      </c>
      <c r="C6" s="39" t="s">
        <v>52</v>
      </c>
      <c r="D6" s="38" t="s">
        <v>52</v>
      </c>
      <c r="E6" s="38" t="s">
        <v>52</v>
      </c>
      <c r="F6" s="38" t="s">
        <v>52</v>
      </c>
    </row>
    <row r="7" spans="1:6">
      <c r="B7" s="38" t="s">
        <v>111</v>
      </c>
      <c r="C7" s="39" t="s">
        <v>112</v>
      </c>
    </row>
    <row r="8" spans="1:6">
      <c r="C8" s="39" t="s">
        <v>52</v>
      </c>
    </row>
    <row r="9" spans="1:6">
      <c r="A9" s="38">
        <v>0.96</v>
      </c>
      <c r="B9" s="38" t="s">
        <v>122</v>
      </c>
      <c r="C9" s="39" t="s">
        <v>123</v>
      </c>
      <c r="D9" s="38">
        <v>6040</v>
      </c>
      <c r="E9" s="38" t="s">
        <v>122</v>
      </c>
      <c r="F9" s="38">
        <v>5798.4</v>
      </c>
    </row>
    <row r="10" spans="1:6">
      <c r="A10" s="38">
        <v>1</v>
      </c>
      <c r="B10" s="38" t="s">
        <v>132</v>
      </c>
      <c r="C10" s="39" t="s">
        <v>133</v>
      </c>
      <c r="D10" s="38">
        <v>1549.69</v>
      </c>
      <c r="E10" s="38" t="s">
        <v>132</v>
      </c>
      <c r="F10" s="38">
        <v>1549.69</v>
      </c>
    </row>
    <row r="11" spans="1:6">
      <c r="A11" s="38">
        <v>1</v>
      </c>
      <c r="B11" s="38" t="s">
        <v>132</v>
      </c>
      <c r="C11" s="39" t="s">
        <v>138</v>
      </c>
      <c r="D11" s="38">
        <v>121</v>
      </c>
      <c r="E11" s="38" t="s">
        <v>132</v>
      </c>
      <c r="F11" s="38">
        <v>121</v>
      </c>
    </row>
    <row r="12" spans="1:6">
      <c r="B12" s="38" t="s">
        <v>145</v>
      </c>
      <c r="C12" s="39" t="s">
        <v>146</v>
      </c>
      <c r="D12" s="38" t="s">
        <v>85</v>
      </c>
      <c r="E12" s="38" t="s">
        <v>145</v>
      </c>
      <c r="F12" s="38">
        <v>0</v>
      </c>
    </row>
    <row r="13" spans="1:6">
      <c r="F13" s="38" t="s">
        <v>52</v>
      </c>
    </row>
    <row r="14" spans="1:6">
      <c r="C14" s="39" t="s">
        <v>155</v>
      </c>
      <c r="F14" s="38">
        <v>7469.09</v>
      </c>
    </row>
    <row r="15" spans="1:6">
      <c r="F15" s="38" t="s">
        <v>52</v>
      </c>
    </row>
    <row r="16" spans="1:6">
      <c r="B16" s="38" t="s">
        <v>111</v>
      </c>
      <c r="C16" s="39" t="s">
        <v>164</v>
      </c>
    </row>
    <row r="17" spans="1:6">
      <c r="C17" s="39" t="s">
        <v>52</v>
      </c>
    </row>
    <row r="18" spans="1:6">
      <c r="A18" s="38">
        <v>0.72</v>
      </c>
      <c r="B18" s="38" t="s">
        <v>122</v>
      </c>
      <c r="C18" s="39" t="s">
        <v>123</v>
      </c>
      <c r="D18" s="38">
        <v>6040</v>
      </c>
      <c r="E18" s="38" t="s">
        <v>122</v>
      </c>
      <c r="F18" s="38">
        <v>4348.8</v>
      </c>
    </row>
    <row r="19" spans="1:6">
      <c r="A19" s="38">
        <v>1</v>
      </c>
      <c r="B19" s="38" t="s">
        <v>132</v>
      </c>
      <c r="C19" s="39" t="s">
        <v>133</v>
      </c>
      <c r="D19" s="38">
        <v>1549.69</v>
      </c>
      <c r="E19" s="38" t="s">
        <v>132</v>
      </c>
      <c r="F19" s="38">
        <v>1549.69</v>
      </c>
    </row>
    <row r="20" spans="1:6">
      <c r="A20" s="38">
        <v>1</v>
      </c>
      <c r="B20" s="38" t="s">
        <v>132</v>
      </c>
      <c r="C20" s="39" t="s">
        <v>138</v>
      </c>
      <c r="D20" s="38">
        <v>121</v>
      </c>
      <c r="E20" s="38" t="s">
        <v>132</v>
      </c>
      <c r="F20" s="38">
        <v>121</v>
      </c>
    </row>
    <row r="21" spans="1:6">
      <c r="B21" s="38" t="s">
        <v>145</v>
      </c>
      <c r="C21" s="39" t="s">
        <v>146</v>
      </c>
      <c r="D21" s="38" t="s">
        <v>85</v>
      </c>
      <c r="E21" s="38" t="s">
        <v>145</v>
      </c>
      <c r="F21" s="38">
        <v>0</v>
      </c>
    </row>
    <row r="22" spans="1:6">
      <c r="F22" s="38" t="s">
        <v>52</v>
      </c>
    </row>
    <row r="23" spans="1:6">
      <c r="C23" s="39" t="s">
        <v>155</v>
      </c>
      <c r="F23" s="38">
        <v>6019.49</v>
      </c>
    </row>
    <row r="24" spans="1:6">
      <c r="F24" s="38" t="s">
        <v>52</v>
      </c>
    </row>
    <row r="25" spans="1:6">
      <c r="B25" s="38" t="s">
        <v>111</v>
      </c>
      <c r="C25" s="39" t="s">
        <v>217</v>
      </c>
    </row>
    <row r="26" spans="1:6">
      <c r="C26" s="39" t="s">
        <v>52</v>
      </c>
    </row>
    <row r="27" spans="1:6">
      <c r="A27" s="38">
        <v>0.48</v>
      </c>
      <c r="B27" s="38" t="s">
        <v>122</v>
      </c>
      <c r="C27" s="39" t="s">
        <v>123</v>
      </c>
      <c r="D27" s="38">
        <v>6040</v>
      </c>
      <c r="E27" s="38" t="s">
        <v>122</v>
      </c>
      <c r="F27" s="38">
        <v>2899.2</v>
      </c>
    </row>
    <row r="28" spans="1:6">
      <c r="A28" s="38">
        <v>1</v>
      </c>
      <c r="B28" s="38" t="s">
        <v>132</v>
      </c>
      <c r="C28" s="39" t="s">
        <v>133</v>
      </c>
      <c r="D28" s="38">
        <v>1549.69</v>
      </c>
      <c r="E28" s="38" t="s">
        <v>132</v>
      </c>
      <c r="F28" s="38">
        <v>1549.69</v>
      </c>
    </row>
    <row r="29" spans="1:6">
      <c r="A29" s="38">
        <v>1</v>
      </c>
      <c r="B29" s="38" t="s">
        <v>132</v>
      </c>
      <c r="C29" s="39" t="s">
        <v>138</v>
      </c>
      <c r="D29" s="38">
        <v>121</v>
      </c>
      <c r="E29" s="38" t="s">
        <v>132</v>
      </c>
      <c r="F29" s="38">
        <v>121</v>
      </c>
    </row>
    <row r="30" spans="1:6">
      <c r="B30" s="38" t="s">
        <v>145</v>
      </c>
      <c r="C30" s="39" t="s">
        <v>146</v>
      </c>
      <c r="D30" s="38" t="s">
        <v>85</v>
      </c>
      <c r="E30" s="38" t="s">
        <v>145</v>
      </c>
      <c r="F30" s="38">
        <v>0</v>
      </c>
    </row>
    <row r="31" spans="1:6">
      <c r="F31" s="38" t="s">
        <v>52</v>
      </c>
    </row>
    <row r="32" spans="1:6">
      <c r="C32" s="39" t="s">
        <v>155</v>
      </c>
      <c r="F32" s="38">
        <v>4569.8900000000003</v>
      </c>
    </row>
    <row r="33" spans="1:6">
      <c r="F33" s="38" t="s">
        <v>52</v>
      </c>
    </row>
    <row r="34" spans="1:6">
      <c r="B34" s="38" t="s">
        <v>111</v>
      </c>
      <c r="C34" s="39" t="s">
        <v>259</v>
      </c>
    </row>
    <row r="35" spans="1:6">
      <c r="A35" s="38">
        <v>0.36</v>
      </c>
      <c r="B35" s="38" t="s">
        <v>122</v>
      </c>
      <c r="C35" s="39" t="s">
        <v>123</v>
      </c>
      <c r="D35" s="38">
        <v>6040</v>
      </c>
      <c r="E35" s="38" t="s">
        <v>122</v>
      </c>
      <c r="F35" s="38">
        <v>2174.4</v>
      </c>
    </row>
    <row r="36" spans="1:6">
      <c r="A36" s="38">
        <v>1</v>
      </c>
      <c r="B36" s="38" t="s">
        <v>132</v>
      </c>
      <c r="C36" s="39" t="s">
        <v>133</v>
      </c>
      <c r="D36" s="38">
        <v>1549.69</v>
      </c>
      <c r="E36" s="38" t="s">
        <v>132</v>
      </c>
      <c r="F36" s="38">
        <v>1549.69</v>
      </c>
    </row>
    <row r="37" spans="1:6">
      <c r="A37" s="38">
        <v>1</v>
      </c>
      <c r="B37" s="38" t="s">
        <v>132</v>
      </c>
      <c r="C37" s="39" t="s">
        <v>138</v>
      </c>
      <c r="D37" s="38">
        <v>121</v>
      </c>
      <c r="E37" s="38" t="s">
        <v>132</v>
      </c>
      <c r="F37" s="38">
        <v>121</v>
      </c>
    </row>
    <row r="38" spans="1:6">
      <c r="B38" s="38" t="s">
        <v>145</v>
      </c>
      <c r="C38" s="39" t="s">
        <v>146</v>
      </c>
      <c r="D38" s="38" t="s">
        <v>85</v>
      </c>
      <c r="E38" s="38" t="s">
        <v>145</v>
      </c>
      <c r="F38" s="38">
        <v>0</v>
      </c>
    </row>
    <row r="39" spans="1:6">
      <c r="F39" s="38" t="s">
        <v>52</v>
      </c>
    </row>
    <row r="40" spans="1:6">
      <c r="C40" s="39" t="s">
        <v>155</v>
      </c>
      <c r="F40" s="38">
        <v>3845.09</v>
      </c>
    </row>
    <row r="41" spans="1:6">
      <c r="F41" s="38" t="s">
        <v>52</v>
      </c>
    </row>
    <row r="42" spans="1:6">
      <c r="B42" s="38" t="s">
        <v>111</v>
      </c>
      <c r="C42" s="39" t="s">
        <v>283</v>
      </c>
    </row>
    <row r="43" spans="1:6">
      <c r="C43" s="39" t="s">
        <v>52</v>
      </c>
    </row>
    <row r="44" spans="1:6">
      <c r="A44" s="38">
        <v>0.28999999999999998</v>
      </c>
      <c r="B44" s="38" t="s">
        <v>122</v>
      </c>
      <c r="C44" s="39" t="s">
        <v>123</v>
      </c>
      <c r="D44" s="38">
        <v>6040</v>
      </c>
      <c r="E44" s="38" t="s">
        <v>122</v>
      </c>
      <c r="F44" s="38">
        <v>1739.52</v>
      </c>
    </row>
    <row r="45" spans="1:6">
      <c r="A45" s="38">
        <v>1</v>
      </c>
      <c r="B45" s="38" t="s">
        <v>132</v>
      </c>
      <c r="C45" s="39" t="s">
        <v>133</v>
      </c>
      <c r="D45" s="38">
        <v>1549.69</v>
      </c>
      <c r="E45" s="38" t="s">
        <v>132</v>
      </c>
      <c r="F45" s="38">
        <v>1549.69</v>
      </c>
    </row>
    <row r="46" spans="1:6">
      <c r="A46" s="38">
        <v>1</v>
      </c>
      <c r="B46" s="38" t="s">
        <v>132</v>
      </c>
      <c r="C46" s="39" t="s">
        <v>138</v>
      </c>
      <c r="D46" s="38">
        <v>121</v>
      </c>
      <c r="E46" s="38" t="s">
        <v>132</v>
      </c>
      <c r="F46" s="38">
        <v>121</v>
      </c>
    </row>
    <row r="47" spans="1:6">
      <c r="B47" s="38" t="s">
        <v>145</v>
      </c>
      <c r="C47" s="39" t="s">
        <v>146</v>
      </c>
      <c r="D47" s="38" t="s">
        <v>85</v>
      </c>
      <c r="E47" s="38" t="s">
        <v>145</v>
      </c>
      <c r="F47" s="38">
        <v>0</v>
      </c>
    </row>
    <row r="48" spans="1:6">
      <c r="F48" s="38" t="s">
        <v>52</v>
      </c>
    </row>
    <row r="49" spans="1:6">
      <c r="C49" s="39" t="s">
        <v>155</v>
      </c>
      <c r="F49" s="38">
        <v>3410.21</v>
      </c>
    </row>
    <row r="50" spans="1:6">
      <c r="F50" s="38" t="s">
        <v>52</v>
      </c>
    </row>
    <row r="51" spans="1:6">
      <c r="B51" s="38" t="s">
        <v>111</v>
      </c>
      <c r="C51" s="39" t="s">
        <v>299</v>
      </c>
    </row>
    <row r="52" spans="1:6">
      <c r="C52" s="39" t="s">
        <v>52</v>
      </c>
    </row>
    <row r="53" spans="1:6">
      <c r="A53" s="38">
        <v>0.24</v>
      </c>
      <c r="B53" s="38" t="s">
        <v>122</v>
      </c>
      <c r="C53" s="39" t="s">
        <v>123</v>
      </c>
      <c r="D53" s="38">
        <v>6040</v>
      </c>
      <c r="E53" s="38" t="s">
        <v>122</v>
      </c>
      <c r="F53" s="38">
        <v>1449.6</v>
      </c>
    </row>
    <row r="54" spans="1:6">
      <c r="A54" s="38">
        <v>1</v>
      </c>
      <c r="B54" s="38" t="s">
        <v>132</v>
      </c>
      <c r="C54" s="39" t="s">
        <v>133</v>
      </c>
      <c r="D54" s="38">
        <v>1549.69</v>
      </c>
      <c r="E54" s="38" t="s">
        <v>132</v>
      </c>
      <c r="F54" s="38">
        <v>1549.69</v>
      </c>
    </row>
    <row r="55" spans="1:6">
      <c r="A55" s="38">
        <v>1</v>
      </c>
      <c r="B55" s="38" t="s">
        <v>132</v>
      </c>
      <c r="C55" s="39" t="s">
        <v>138</v>
      </c>
      <c r="D55" s="38">
        <v>121</v>
      </c>
      <c r="E55" s="38" t="s">
        <v>132</v>
      </c>
      <c r="F55" s="38">
        <v>121</v>
      </c>
    </row>
    <row r="56" spans="1:6">
      <c r="B56" s="38" t="s">
        <v>145</v>
      </c>
      <c r="C56" s="39" t="s">
        <v>146</v>
      </c>
      <c r="D56" s="38" t="s">
        <v>85</v>
      </c>
      <c r="E56" s="38" t="s">
        <v>145</v>
      </c>
      <c r="F56" s="38">
        <v>0</v>
      </c>
    </row>
    <row r="57" spans="1:6">
      <c r="F57" s="38" t="s">
        <v>52</v>
      </c>
    </row>
    <row r="58" spans="1:6">
      <c r="C58" s="39" t="s">
        <v>155</v>
      </c>
      <c r="F58" s="38">
        <v>3120.29</v>
      </c>
    </row>
    <row r="59" spans="1:6">
      <c r="A59" s="38" t="s">
        <v>85</v>
      </c>
    </row>
    <row r="60" spans="1:6">
      <c r="F60" s="38" t="s">
        <v>52</v>
      </c>
    </row>
    <row r="61" spans="1:6">
      <c r="B61" s="38" t="s">
        <v>111</v>
      </c>
      <c r="C61" s="39" t="s">
        <v>316</v>
      </c>
    </row>
    <row r="62" spans="1:6">
      <c r="C62" s="39" t="s">
        <v>52</v>
      </c>
    </row>
    <row r="63" spans="1:6">
      <c r="A63" s="38">
        <v>0.21</v>
      </c>
      <c r="B63" s="38" t="s">
        <v>122</v>
      </c>
      <c r="C63" s="39" t="s">
        <v>123</v>
      </c>
      <c r="D63" s="38">
        <v>6040</v>
      </c>
      <c r="E63" s="38" t="s">
        <v>122</v>
      </c>
      <c r="F63" s="38">
        <v>1244.24</v>
      </c>
    </row>
    <row r="64" spans="1:6">
      <c r="A64" s="38">
        <v>1</v>
      </c>
      <c r="B64" s="38" t="s">
        <v>132</v>
      </c>
      <c r="C64" s="39" t="s">
        <v>133</v>
      </c>
      <c r="D64" s="38">
        <v>1549.69</v>
      </c>
      <c r="E64" s="38" t="s">
        <v>132</v>
      </c>
      <c r="F64" s="38">
        <v>1549.69</v>
      </c>
    </row>
    <row r="65" spans="1:6">
      <c r="A65" s="38">
        <v>1</v>
      </c>
      <c r="B65" s="38" t="s">
        <v>132</v>
      </c>
      <c r="C65" s="39" t="s">
        <v>138</v>
      </c>
      <c r="D65" s="38">
        <v>121</v>
      </c>
      <c r="E65" s="38" t="s">
        <v>132</v>
      </c>
      <c r="F65" s="38">
        <v>121</v>
      </c>
    </row>
    <row r="66" spans="1:6">
      <c r="B66" s="38" t="s">
        <v>145</v>
      </c>
      <c r="C66" s="39" t="s">
        <v>146</v>
      </c>
      <c r="D66" s="38" t="s">
        <v>85</v>
      </c>
      <c r="E66" s="38" t="s">
        <v>145</v>
      </c>
      <c r="F66" s="38">
        <v>0</v>
      </c>
    </row>
    <row r="67" spans="1:6">
      <c r="F67" s="38" t="s">
        <v>52</v>
      </c>
    </row>
    <row r="68" spans="1:6">
      <c r="C68" s="39" t="s">
        <v>155</v>
      </c>
      <c r="F68" s="38">
        <v>2914.93</v>
      </c>
    </row>
    <row r="69" spans="1:6">
      <c r="F69" s="38" t="s">
        <v>52</v>
      </c>
    </row>
    <row r="70" spans="1:6">
      <c r="B70" s="38" t="s">
        <v>111</v>
      </c>
      <c r="C70" s="39" t="s">
        <v>300</v>
      </c>
    </row>
    <row r="71" spans="1:6">
      <c r="C71" s="39" t="s">
        <v>52</v>
      </c>
    </row>
    <row r="72" spans="1:6">
      <c r="A72" s="38">
        <v>0.18</v>
      </c>
      <c r="B72" s="38" t="s">
        <v>122</v>
      </c>
      <c r="C72" s="39" t="s">
        <v>123</v>
      </c>
      <c r="D72" s="38">
        <v>6040</v>
      </c>
      <c r="E72" s="38" t="s">
        <v>122</v>
      </c>
      <c r="F72" s="38">
        <v>1087.2</v>
      </c>
    </row>
    <row r="73" spans="1:6">
      <c r="A73" s="38">
        <v>1</v>
      </c>
      <c r="B73" s="38" t="s">
        <v>132</v>
      </c>
      <c r="C73" s="39" t="s">
        <v>133</v>
      </c>
      <c r="D73" s="38">
        <v>1549.69</v>
      </c>
      <c r="E73" s="38" t="s">
        <v>132</v>
      </c>
      <c r="F73" s="38">
        <v>1549.69</v>
      </c>
    </row>
    <row r="74" spans="1:6">
      <c r="A74" s="38">
        <v>1</v>
      </c>
      <c r="B74" s="38" t="s">
        <v>132</v>
      </c>
      <c r="C74" s="39" t="s">
        <v>138</v>
      </c>
      <c r="D74" s="38">
        <v>121</v>
      </c>
      <c r="E74" s="38" t="s">
        <v>132</v>
      </c>
      <c r="F74" s="38">
        <v>121</v>
      </c>
    </row>
    <row r="75" spans="1:6">
      <c r="B75" s="38" t="s">
        <v>145</v>
      </c>
      <c r="C75" s="39" t="s">
        <v>146</v>
      </c>
      <c r="D75" s="38" t="s">
        <v>85</v>
      </c>
      <c r="E75" s="38" t="s">
        <v>145</v>
      </c>
      <c r="F75" s="38">
        <v>0</v>
      </c>
    </row>
    <row r="76" spans="1:6">
      <c r="F76" s="38" t="s">
        <v>52</v>
      </c>
    </row>
    <row r="77" spans="1:6">
      <c r="C77" s="39" t="s">
        <v>155</v>
      </c>
      <c r="F77" s="38">
        <v>2757.89</v>
      </c>
    </row>
    <row r="78" spans="1:6">
      <c r="F78" s="38" t="s">
        <v>52</v>
      </c>
    </row>
    <row r="79" spans="1:6">
      <c r="A79" s="38">
        <v>1.1000000000000001</v>
      </c>
      <c r="B79" s="38" t="s">
        <v>85</v>
      </c>
      <c r="C79" s="39" t="s">
        <v>337</v>
      </c>
    </row>
    <row r="80" spans="1:6">
      <c r="A80" s="38" t="s">
        <v>85</v>
      </c>
      <c r="C80" s="39" t="s">
        <v>342</v>
      </c>
    </row>
    <row r="81" spans="1:6">
      <c r="A81" s="38">
        <v>10</v>
      </c>
      <c r="B81" s="38" t="s">
        <v>132</v>
      </c>
      <c r="C81" s="39" t="s">
        <v>344</v>
      </c>
      <c r="D81" s="38">
        <v>116.88</v>
      </c>
      <c r="E81" s="38" t="s">
        <v>132</v>
      </c>
      <c r="F81" s="38">
        <v>1168.8</v>
      </c>
    </row>
    <row r="82" spans="1:6">
      <c r="A82" s="38">
        <v>10</v>
      </c>
      <c r="B82" s="38" t="s">
        <v>132</v>
      </c>
      <c r="C82" s="39" t="s">
        <v>347</v>
      </c>
      <c r="D82" s="38">
        <v>116.88</v>
      </c>
      <c r="E82" s="38" t="s">
        <v>132</v>
      </c>
      <c r="F82" s="38">
        <v>1168.8</v>
      </c>
    </row>
    <row r="83" spans="1:6">
      <c r="A83" s="38">
        <v>10</v>
      </c>
      <c r="B83" s="38" t="s">
        <v>132</v>
      </c>
      <c r="C83" s="39" t="s">
        <v>349</v>
      </c>
      <c r="D83" s="38">
        <v>13.55</v>
      </c>
      <c r="E83" s="38" t="s">
        <v>132</v>
      </c>
      <c r="F83" s="38">
        <v>135.5</v>
      </c>
    </row>
    <row r="84" spans="1:6">
      <c r="B84" s="38" t="s">
        <v>145</v>
      </c>
      <c r="C84" s="39" t="s">
        <v>146</v>
      </c>
      <c r="E84" s="38" t="s">
        <v>145</v>
      </c>
      <c r="F84" s="38">
        <v>0</v>
      </c>
    </row>
    <row r="85" spans="1:6">
      <c r="F85" s="38" t="s">
        <v>52</v>
      </c>
    </row>
    <row r="86" spans="1:6">
      <c r="C86" s="39" t="s">
        <v>311</v>
      </c>
      <c r="F86" s="38">
        <v>2473.1</v>
      </c>
    </row>
    <row r="87" spans="1:6">
      <c r="F87" s="38" t="s">
        <v>52</v>
      </c>
    </row>
    <row r="88" spans="1:6">
      <c r="C88" s="39" t="s">
        <v>354</v>
      </c>
      <c r="D88" s="38" t="s">
        <v>355</v>
      </c>
      <c r="F88" s="38">
        <v>247.31</v>
      </c>
    </row>
    <row r="89" spans="1:6">
      <c r="D89" s="38" t="s">
        <v>357</v>
      </c>
      <c r="F89" s="38">
        <v>258.52999999999997</v>
      </c>
    </row>
    <row r="90" spans="1:6">
      <c r="A90" s="38" t="s">
        <v>359</v>
      </c>
      <c r="C90" s="39" t="s">
        <v>360</v>
      </c>
      <c r="D90" s="38" t="s">
        <v>355</v>
      </c>
      <c r="F90" s="38">
        <v>233.76</v>
      </c>
    </row>
    <row r="91" spans="1:6">
      <c r="D91" s="38" t="s">
        <v>357</v>
      </c>
      <c r="F91" s="38">
        <v>244.98</v>
      </c>
    </row>
    <row r="92" spans="1:6">
      <c r="A92" s="38" t="s">
        <v>362</v>
      </c>
      <c r="B92" s="38" t="s">
        <v>85</v>
      </c>
      <c r="C92" s="39" t="s">
        <v>6413</v>
      </c>
    </row>
    <row r="93" spans="1:6">
      <c r="A93" s="38" t="s">
        <v>85</v>
      </c>
      <c r="C93" s="39" t="s">
        <v>52</v>
      </c>
    </row>
    <row r="94" spans="1:6">
      <c r="A94" s="38">
        <v>10</v>
      </c>
      <c r="B94" s="38" t="s">
        <v>132</v>
      </c>
      <c r="C94" s="39" t="s">
        <v>364</v>
      </c>
      <c r="D94" s="38">
        <v>174.02</v>
      </c>
      <c r="E94" s="38" t="s">
        <v>132</v>
      </c>
      <c r="F94" s="38">
        <v>1740.2</v>
      </c>
    </row>
    <row r="95" spans="1:6">
      <c r="A95" s="38">
        <v>10</v>
      </c>
      <c r="B95" s="38" t="s">
        <v>132</v>
      </c>
      <c r="C95" s="39" t="s">
        <v>347</v>
      </c>
      <c r="D95" s="38">
        <v>174.02</v>
      </c>
      <c r="E95" s="38" t="s">
        <v>132</v>
      </c>
      <c r="F95" s="38">
        <v>1740.2</v>
      </c>
    </row>
    <row r="96" spans="1:6">
      <c r="A96" s="38">
        <v>10</v>
      </c>
      <c r="B96" s="38" t="s">
        <v>132</v>
      </c>
      <c r="C96" s="39" t="s">
        <v>349</v>
      </c>
      <c r="D96" s="38">
        <v>13.55</v>
      </c>
      <c r="E96" s="38" t="s">
        <v>132</v>
      </c>
      <c r="F96" s="38">
        <v>135.5</v>
      </c>
    </row>
    <row r="97" spans="1:6">
      <c r="B97" s="38" t="s">
        <v>145</v>
      </c>
      <c r="C97" s="39" t="s">
        <v>146</v>
      </c>
      <c r="E97" s="38" t="s">
        <v>145</v>
      </c>
      <c r="F97" s="38">
        <v>0</v>
      </c>
    </row>
    <row r="98" spans="1:6">
      <c r="F98" s="38" t="s">
        <v>52</v>
      </c>
    </row>
    <row r="99" spans="1:6">
      <c r="C99" s="39" t="s">
        <v>311</v>
      </c>
      <c r="F99" s="38">
        <v>3615.9</v>
      </c>
    </row>
    <row r="100" spans="1:6">
      <c r="F100" s="38" t="s">
        <v>52</v>
      </c>
    </row>
    <row r="101" spans="1:6">
      <c r="C101" s="39" t="s">
        <v>354</v>
      </c>
      <c r="D101" s="38" t="s">
        <v>355</v>
      </c>
      <c r="F101" s="38">
        <v>361.59</v>
      </c>
    </row>
    <row r="102" spans="1:6">
      <c r="D102" s="38" t="s">
        <v>357</v>
      </c>
      <c r="F102" s="38">
        <v>372.81</v>
      </c>
    </row>
    <row r="104" spans="1:6">
      <c r="A104" s="38">
        <v>1.7</v>
      </c>
      <c r="C104" s="39" t="s">
        <v>365</v>
      </c>
      <c r="D104" s="38" t="s">
        <v>355</v>
      </c>
      <c r="F104" s="38">
        <v>348.04</v>
      </c>
    </row>
    <row r="105" spans="1:6">
      <c r="D105" s="38" t="s">
        <v>357</v>
      </c>
      <c r="F105" s="38">
        <v>359.26</v>
      </c>
    </row>
    <row r="108" spans="1:6" ht="31.5">
      <c r="A108" s="38">
        <v>1.4</v>
      </c>
      <c r="B108" s="38" t="s">
        <v>85</v>
      </c>
      <c r="C108" s="39" t="s">
        <v>6414</v>
      </c>
    </row>
    <row r="110" spans="1:6">
      <c r="A110" s="38">
        <v>10</v>
      </c>
      <c r="B110" s="38" t="s">
        <v>132</v>
      </c>
      <c r="C110" s="39" t="s">
        <v>344</v>
      </c>
      <c r="D110" s="38">
        <v>116.88</v>
      </c>
      <c r="E110" s="38" t="s">
        <v>132</v>
      </c>
      <c r="F110" s="38">
        <v>1168.8</v>
      </c>
    </row>
    <row r="111" spans="1:6">
      <c r="A111" s="38">
        <v>10</v>
      </c>
      <c r="B111" s="38" t="s">
        <v>132</v>
      </c>
      <c r="C111" s="39" t="s">
        <v>349</v>
      </c>
      <c r="D111" s="38">
        <v>13.55</v>
      </c>
      <c r="E111" s="38" t="s">
        <v>132</v>
      </c>
      <c r="F111" s="38">
        <v>135.5</v>
      </c>
    </row>
    <row r="112" spans="1:6">
      <c r="B112" s="38" t="s">
        <v>145</v>
      </c>
      <c r="C112" s="39" t="s">
        <v>146</v>
      </c>
      <c r="E112" s="38" t="s">
        <v>145</v>
      </c>
      <c r="F112" s="38">
        <v>0</v>
      </c>
    </row>
    <row r="113" spans="1:6">
      <c r="F113" s="38" t="s">
        <v>52</v>
      </c>
    </row>
    <row r="114" spans="1:6">
      <c r="C114" s="39" t="s">
        <v>311</v>
      </c>
      <c r="F114" s="38">
        <v>1304.3</v>
      </c>
    </row>
    <row r="115" spans="1:6">
      <c r="F115" s="38" t="s">
        <v>52</v>
      </c>
    </row>
    <row r="116" spans="1:6">
      <c r="F116" s="38">
        <v>130.43</v>
      </c>
    </row>
    <row r="118" spans="1:6">
      <c r="A118" s="38">
        <v>1.5</v>
      </c>
      <c r="C118" s="39" t="s">
        <v>367</v>
      </c>
      <c r="D118" s="38" t="s">
        <v>355</v>
      </c>
      <c r="F118" s="38">
        <v>116.88</v>
      </c>
    </row>
    <row r="119" spans="1:6">
      <c r="D119" s="38" t="s">
        <v>357</v>
      </c>
      <c r="F119" s="38">
        <v>128.1</v>
      </c>
    </row>
    <row r="120" spans="1:6">
      <c r="D120" s="38" t="s">
        <v>3999</v>
      </c>
      <c r="F120" s="38">
        <v>139.32</v>
      </c>
    </row>
    <row r="121" spans="1:6">
      <c r="D121" s="38" t="s">
        <v>4000</v>
      </c>
      <c r="F121" s="38">
        <v>150.54</v>
      </c>
    </row>
    <row r="122" spans="1:6">
      <c r="A122" s="38" t="s">
        <v>415</v>
      </c>
      <c r="B122" s="38" t="s">
        <v>111</v>
      </c>
      <c r="C122" s="39" t="s">
        <v>416</v>
      </c>
    </row>
    <row r="123" spans="1:6">
      <c r="C123" s="39" t="s">
        <v>418</v>
      </c>
    </row>
    <row r="124" spans="1:6">
      <c r="C124" s="39" t="s">
        <v>52</v>
      </c>
    </row>
    <row r="125" spans="1:6">
      <c r="A125" s="38">
        <v>9</v>
      </c>
      <c r="B125" s="38" t="s">
        <v>132</v>
      </c>
      <c r="C125" s="39" t="s">
        <v>421</v>
      </c>
      <c r="D125" s="38">
        <v>1291.69</v>
      </c>
      <c r="E125" s="38" t="s">
        <v>132</v>
      </c>
      <c r="F125" s="38">
        <v>11625.21</v>
      </c>
    </row>
    <row r="126" spans="1:6">
      <c r="A126" s="38">
        <v>4.5</v>
      </c>
      <c r="B126" s="38" t="s">
        <v>132</v>
      </c>
      <c r="C126" s="39" t="s">
        <v>283</v>
      </c>
      <c r="D126" s="38">
        <v>3410.21</v>
      </c>
      <c r="E126" s="38" t="s">
        <v>132</v>
      </c>
      <c r="F126" s="38">
        <v>15345.95</v>
      </c>
    </row>
    <row r="127" spans="1:6">
      <c r="A127" s="38">
        <v>1.8</v>
      </c>
      <c r="B127" s="38" t="s">
        <v>131</v>
      </c>
      <c r="C127" s="39" t="s">
        <v>302</v>
      </c>
      <c r="D127" s="38">
        <v>972.4</v>
      </c>
      <c r="E127" s="38" t="s">
        <v>131</v>
      </c>
      <c r="F127" s="38">
        <v>1750.32</v>
      </c>
    </row>
    <row r="128" spans="1:6">
      <c r="A128" s="38">
        <v>17.7</v>
      </c>
      <c r="B128" s="38" t="s">
        <v>131</v>
      </c>
      <c r="C128" s="39" t="s">
        <v>304</v>
      </c>
      <c r="D128" s="38">
        <v>679.8</v>
      </c>
      <c r="E128" s="38" t="s">
        <v>131</v>
      </c>
      <c r="F128" s="38">
        <v>12032.46</v>
      </c>
    </row>
    <row r="129" spans="1:6">
      <c r="A129" s="38">
        <v>14.1</v>
      </c>
      <c r="B129" s="38" t="s">
        <v>131</v>
      </c>
      <c r="C129" s="39" t="s">
        <v>306</v>
      </c>
      <c r="D129" s="38">
        <v>557.70000000000005</v>
      </c>
      <c r="E129" s="38" t="s">
        <v>131</v>
      </c>
      <c r="F129" s="38">
        <v>7863.57</v>
      </c>
    </row>
    <row r="130" spans="1:6">
      <c r="B130" s="38" t="s">
        <v>145</v>
      </c>
      <c r="C130" s="39" t="s">
        <v>146</v>
      </c>
      <c r="E130" s="38" t="s">
        <v>145</v>
      </c>
      <c r="F130" s="38">
        <v>0</v>
      </c>
    </row>
    <row r="131" spans="1:6">
      <c r="F131" s="38" t="s">
        <v>52</v>
      </c>
    </row>
    <row r="132" spans="1:6">
      <c r="F132" s="38">
        <v>48617.51</v>
      </c>
    </row>
    <row r="133" spans="1:6">
      <c r="C133" s="39" t="s">
        <v>311</v>
      </c>
      <c r="F133" s="38" t="s">
        <v>52</v>
      </c>
    </row>
    <row r="134" spans="1:6">
      <c r="F134" s="38">
        <v>4861.75</v>
      </c>
    </row>
    <row r="135" spans="1:6">
      <c r="C135" s="39" t="s">
        <v>242</v>
      </c>
      <c r="F135" s="38" t="s">
        <v>89</v>
      </c>
    </row>
    <row r="136" spans="1:6">
      <c r="A136" s="38" t="s">
        <v>440</v>
      </c>
      <c r="B136" s="38" t="s">
        <v>111</v>
      </c>
      <c r="C136" s="39" t="s">
        <v>6415</v>
      </c>
    </row>
    <row r="137" spans="1:6">
      <c r="C137" s="39" t="s">
        <v>320</v>
      </c>
    </row>
    <row r="138" spans="1:6">
      <c r="C138" s="39" t="s">
        <v>52</v>
      </c>
    </row>
    <row r="139" spans="1:6">
      <c r="A139" s="38">
        <v>9</v>
      </c>
      <c r="B139" s="38" t="s">
        <v>132</v>
      </c>
      <c r="C139" s="39" t="s">
        <v>445</v>
      </c>
      <c r="D139" s="38">
        <v>1704.69</v>
      </c>
      <c r="E139" s="38" t="s">
        <v>132</v>
      </c>
      <c r="F139" s="38">
        <v>15342.21</v>
      </c>
    </row>
    <row r="140" spans="1:6">
      <c r="A140" s="38">
        <v>4.5</v>
      </c>
      <c r="B140" s="38" t="s">
        <v>132</v>
      </c>
      <c r="C140" s="39" t="s">
        <v>164</v>
      </c>
      <c r="D140" s="38">
        <v>6019.49</v>
      </c>
      <c r="E140" s="38" t="s">
        <v>132</v>
      </c>
      <c r="F140" s="38">
        <v>27087.71</v>
      </c>
    </row>
    <row r="141" spans="1:6">
      <c r="A141" s="38">
        <v>1.8</v>
      </c>
      <c r="B141" s="38" t="s">
        <v>131</v>
      </c>
      <c r="C141" s="39" t="s">
        <v>302</v>
      </c>
      <c r="D141" s="38">
        <v>972.4</v>
      </c>
      <c r="E141" s="38" t="s">
        <v>131</v>
      </c>
      <c r="F141" s="38">
        <v>1750.32</v>
      </c>
    </row>
    <row r="142" spans="1:6">
      <c r="A142" s="38">
        <v>17.7</v>
      </c>
      <c r="B142" s="38" t="s">
        <v>131</v>
      </c>
      <c r="C142" s="39" t="s">
        <v>304</v>
      </c>
      <c r="D142" s="38">
        <v>679.8</v>
      </c>
      <c r="E142" s="38" t="s">
        <v>131</v>
      </c>
      <c r="F142" s="38">
        <v>12032.46</v>
      </c>
    </row>
    <row r="143" spans="1:6">
      <c r="A143" s="38">
        <v>14.1</v>
      </c>
      <c r="B143" s="38" t="s">
        <v>131</v>
      </c>
      <c r="C143" s="39" t="s">
        <v>306</v>
      </c>
      <c r="D143" s="38">
        <v>557.70000000000005</v>
      </c>
      <c r="E143" s="38" t="s">
        <v>131</v>
      </c>
      <c r="F143" s="38">
        <v>7863.57</v>
      </c>
    </row>
    <row r="144" spans="1:6">
      <c r="B144" s="38" t="s">
        <v>145</v>
      </c>
      <c r="C144" s="39" t="s">
        <v>146</v>
      </c>
      <c r="E144" s="38" t="s">
        <v>145</v>
      </c>
      <c r="F144" s="38">
        <v>0</v>
      </c>
    </row>
    <row r="145" spans="1:6">
      <c r="F145" s="38" t="s">
        <v>52</v>
      </c>
    </row>
    <row r="146" spans="1:6">
      <c r="F146" s="38">
        <v>64076.27</v>
      </c>
    </row>
    <row r="147" spans="1:6">
      <c r="C147" s="39" t="s">
        <v>311</v>
      </c>
      <c r="F147" s="38" t="s">
        <v>52</v>
      </c>
    </row>
    <row r="148" spans="1:6">
      <c r="F148" s="38">
        <v>6407.63</v>
      </c>
    </row>
    <row r="149" spans="1:6">
      <c r="A149" s="40">
        <v>6</v>
      </c>
      <c r="B149" s="41" t="s">
        <v>111</v>
      </c>
      <c r="C149" s="42" t="s">
        <v>4069</v>
      </c>
    </row>
    <row r="150" spans="1:6">
      <c r="C150" s="42" t="s">
        <v>4071</v>
      </c>
    </row>
    <row r="151" spans="1:6">
      <c r="C151" s="42" t="s">
        <v>52</v>
      </c>
    </row>
    <row r="152" spans="1:6">
      <c r="A152" s="41">
        <v>4240</v>
      </c>
      <c r="B152" s="41" t="s">
        <v>338</v>
      </c>
      <c r="C152" s="42" t="s">
        <v>4071</v>
      </c>
      <c r="D152" s="41">
        <v>7117.4</v>
      </c>
      <c r="E152" s="41" t="s">
        <v>339</v>
      </c>
      <c r="F152" s="41">
        <v>30177.78</v>
      </c>
    </row>
    <row r="153" spans="1:6">
      <c r="A153" s="41">
        <v>2</v>
      </c>
      <c r="B153" s="41" t="s">
        <v>132</v>
      </c>
      <c r="C153" s="42" t="s">
        <v>283</v>
      </c>
      <c r="D153" s="41">
        <v>3410.21</v>
      </c>
      <c r="E153" s="41" t="s">
        <v>132</v>
      </c>
      <c r="F153" s="41">
        <v>6820.42</v>
      </c>
    </row>
    <row r="154" spans="1:6">
      <c r="A154" s="41">
        <v>3.5</v>
      </c>
      <c r="B154" s="41" t="s">
        <v>131</v>
      </c>
      <c r="C154" s="42" t="s">
        <v>345</v>
      </c>
      <c r="D154" s="41">
        <v>1041.7</v>
      </c>
      <c r="E154" s="41" t="s">
        <v>131</v>
      </c>
      <c r="F154" s="41">
        <v>3645.95</v>
      </c>
    </row>
    <row r="155" spans="1:6">
      <c r="A155" s="41">
        <v>10.6</v>
      </c>
      <c r="B155" s="41" t="s">
        <v>131</v>
      </c>
      <c r="C155" s="42" t="s">
        <v>302</v>
      </c>
      <c r="D155" s="41">
        <v>972.4</v>
      </c>
      <c r="E155" s="41" t="s">
        <v>131</v>
      </c>
      <c r="F155" s="41">
        <v>10307.44</v>
      </c>
    </row>
    <row r="156" spans="1:6">
      <c r="A156" s="41">
        <v>7.1</v>
      </c>
      <c r="B156" s="41" t="s">
        <v>131</v>
      </c>
      <c r="C156" s="42" t="s">
        <v>304</v>
      </c>
      <c r="D156" s="41">
        <v>679.8</v>
      </c>
      <c r="E156" s="41" t="s">
        <v>131</v>
      </c>
      <c r="F156" s="41">
        <v>4826.58</v>
      </c>
    </row>
    <row r="157" spans="1:6">
      <c r="A157" s="41">
        <v>21.2</v>
      </c>
      <c r="B157" s="41" t="s">
        <v>131</v>
      </c>
      <c r="C157" s="42" t="s">
        <v>306</v>
      </c>
      <c r="D157" s="41">
        <v>557.70000000000005</v>
      </c>
      <c r="E157" s="41" t="s">
        <v>131</v>
      </c>
      <c r="F157" s="41">
        <v>11823.24</v>
      </c>
    </row>
    <row r="158" spans="1:6">
      <c r="B158" s="41" t="s">
        <v>145</v>
      </c>
      <c r="C158" s="42" t="s">
        <v>146</v>
      </c>
      <c r="E158" s="41" t="s">
        <v>145</v>
      </c>
      <c r="F158" s="41">
        <v>0</v>
      </c>
    </row>
    <row r="159" spans="1:6">
      <c r="F159" s="41" t="s">
        <v>52</v>
      </c>
    </row>
    <row r="160" spans="1:6">
      <c r="C160" s="42" t="s">
        <v>311</v>
      </c>
      <c r="F160" s="41">
        <v>67601.41</v>
      </c>
    </row>
    <row r="161" spans="1:7">
      <c r="F161" s="41" t="s">
        <v>52</v>
      </c>
    </row>
    <row r="162" spans="1:7">
      <c r="C162" s="43" t="s">
        <v>242</v>
      </c>
      <c r="F162" s="44">
        <v>6760.14</v>
      </c>
    </row>
    <row r="163" spans="1:7">
      <c r="F163" s="41" t="s">
        <v>89</v>
      </c>
    </row>
    <row r="164" spans="1:7">
      <c r="C164" s="39" t="s">
        <v>242</v>
      </c>
      <c r="F164" s="38">
        <v>6760.14</v>
      </c>
    </row>
    <row r="165" spans="1:7">
      <c r="A165" s="38" t="s">
        <v>555</v>
      </c>
      <c r="C165" s="39" t="s">
        <v>6416</v>
      </c>
      <c r="F165" s="38">
        <v>719</v>
      </c>
      <c r="G165" s="38" t="s">
        <v>4074</v>
      </c>
    </row>
    <row r="167" spans="1:7">
      <c r="A167" s="38">
        <v>9</v>
      </c>
      <c r="B167" s="38" t="s">
        <v>111</v>
      </c>
      <c r="C167" s="39" t="s">
        <v>4078</v>
      </c>
    </row>
    <row r="168" spans="1:7">
      <c r="C168" s="39" t="s">
        <v>4071</v>
      </c>
    </row>
    <row r="169" spans="1:7">
      <c r="C169" s="39" t="s">
        <v>52</v>
      </c>
    </row>
    <row r="170" spans="1:7">
      <c r="A170" s="38">
        <v>4240</v>
      </c>
      <c r="B170" s="38" t="s">
        <v>338</v>
      </c>
      <c r="C170" s="39" t="s">
        <v>4071</v>
      </c>
      <c r="D170" s="38">
        <v>7117.4</v>
      </c>
      <c r="E170" s="38" t="s">
        <v>339</v>
      </c>
      <c r="F170" s="38">
        <v>30177.78</v>
      </c>
    </row>
    <row r="171" spans="1:7">
      <c r="A171" s="38">
        <v>2</v>
      </c>
      <c r="B171" s="38" t="s">
        <v>132</v>
      </c>
      <c r="C171" s="39" t="s">
        <v>299</v>
      </c>
      <c r="D171" s="38">
        <v>3120.29</v>
      </c>
      <c r="E171" s="38" t="s">
        <v>132</v>
      </c>
      <c r="F171" s="38">
        <v>6240.58</v>
      </c>
    </row>
    <row r="172" spans="1:7">
      <c r="A172" s="38">
        <v>3.5</v>
      </c>
      <c r="B172" s="38" t="s">
        <v>131</v>
      </c>
      <c r="C172" s="39" t="s">
        <v>345</v>
      </c>
      <c r="D172" s="38">
        <v>1041.7</v>
      </c>
      <c r="E172" s="38" t="s">
        <v>131</v>
      </c>
      <c r="F172" s="38">
        <v>3645.95</v>
      </c>
    </row>
    <row r="173" spans="1:7">
      <c r="A173" s="38">
        <v>10.6</v>
      </c>
      <c r="B173" s="38" t="s">
        <v>131</v>
      </c>
      <c r="C173" s="39" t="s">
        <v>302</v>
      </c>
      <c r="D173" s="38">
        <v>972.4</v>
      </c>
      <c r="E173" s="38" t="s">
        <v>131</v>
      </c>
      <c r="F173" s="38">
        <v>10307.44</v>
      </c>
    </row>
    <row r="174" spans="1:7">
      <c r="A174" s="38">
        <v>7.1</v>
      </c>
      <c r="B174" s="38" t="s">
        <v>131</v>
      </c>
      <c r="C174" s="39" t="s">
        <v>304</v>
      </c>
      <c r="D174" s="38">
        <v>679.8</v>
      </c>
      <c r="E174" s="38" t="s">
        <v>131</v>
      </c>
      <c r="F174" s="38">
        <v>4826.58</v>
      </c>
    </row>
    <row r="175" spans="1:7">
      <c r="A175" s="38">
        <v>21.2</v>
      </c>
      <c r="B175" s="38" t="s">
        <v>131</v>
      </c>
      <c r="C175" s="39" t="s">
        <v>306</v>
      </c>
      <c r="D175" s="38">
        <v>557.70000000000005</v>
      </c>
      <c r="E175" s="38" t="s">
        <v>131</v>
      </c>
      <c r="F175" s="38">
        <v>11823.24</v>
      </c>
    </row>
    <row r="176" spans="1:7">
      <c r="B176" s="38" t="s">
        <v>145</v>
      </c>
      <c r="C176" s="39" t="s">
        <v>146</v>
      </c>
      <c r="E176" s="38" t="s">
        <v>145</v>
      </c>
      <c r="F176" s="38">
        <v>0</v>
      </c>
    </row>
    <row r="177" spans="1:6">
      <c r="F177" s="38" t="s">
        <v>52</v>
      </c>
    </row>
    <row r="178" spans="1:6">
      <c r="C178" s="39" t="s">
        <v>311</v>
      </c>
      <c r="F178" s="38">
        <v>67021.570000000007</v>
      </c>
    </row>
    <row r="179" spans="1:6">
      <c r="F179" s="38" t="s">
        <v>52</v>
      </c>
    </row>
    <row r="180" spans="1:6">
      <c r="C180" s="39" t="s">
        <v>242</v>
      </c>
      <c r="F180" s="38">
        <v>6702.16</v>
      </c>
    </row>
    <row r="181" spans="1:6">
      <c r="F181" s="38" t="s">
        <v>89</v>
      </c>
    </row>
    <row r="182" spans="1:6">
      <c r="C182" s="39" t="s">
        <v>53</v>
      </c>
      <c r="F182" s="38">
        <v>6784.44</v>
      </c>
    </row>
    <row r="183" spans="1:6">
      <c r="C183" s="39" t="s">
        <v>54</v>
      </c>
      <c r="F183" s="38">
        <v>6950.43</v>
      </c>
    </row>
    <row r="184" spans="1:6">
      <c r="C184" s="39" t="s">
        <v>55</v>
      </c>
      <c r="F184" s="38">
        <v>7116.42</v>
      </c>
    </row>
    <row r="185" spans="1:6">
      <c r="C185" s="39" t="s">
        <v>56</v>
      </c>
      <c r="F185" s="38">
        <v>7282.41</v>
      </c>
    </row>
    <row r="186" spans="1:6">
      <c r="A186" s="38" t="s">
        <v>85</v>
      </c>
      <c r="C186" s="39" t="s">
        <v>526</v>
      </c>
      <c r="F186" s="38">
        <v>7448.4</v>
      </c>
    </row>
    <row r="188" spans="1:6">
      <c r="B188" s="38" t="s">
        <v>483</v>
      </c>
      <c r="C188" s="39" t="s">
        <v>4093</v>
      </c>
    </row>
    <row r="189" spans="1:6">
      <c r="C189" s="39" t="s">
        <v>52</v>
      </c>
    </row>
    <row r="190" spans="1:6">
      <c r="A190" s="38">
        <v>1.1399999999999999</v>
      </c>
      <c r="B190" s="38" t="s">
        <v>132</v>
      </c>
      <c r="C190" s="39" t="s">
        <v>593</v>
      </c>
      <c r="D190" s="38">
        <v>6590.68</v>
      </c>
      <c r="E190" s="38" t="s">
        <v>132</v>
      </c>
      <c r="F190" s="38">
        <v>7513.38</v>
      </c>
    </row>
    <row r="191" spans="1:6">
      <c r="A191" s="38">
        <v>1</v>
      </c>
      <c r="B191" s="38" t="s">
        <v>237</v>
      </c>
      <c r="C191" s="39" t="s">
        <v>345</v>
      </c>
      <c r="D191" s="38">
        <v>1041.7</v>
      </c>
      <c r="E191" s="38" t="s">
        <v>131</v>
      </c>
      <c r="F191" s="38">
        <v>1041.7</v>
      </c>
    </row>
    <row r="192" spans="1:6">
      <c r="B192" s="38" t="s">
        <v>145</v>
      </c>
      <c r="C192" s="39" t="s">
        <v>146</v>
      </c>
      <c r="D192" s="38" t="s">
        <v>85</v>
      </c>
      <c r="E192" s="38" t="s">
        <v>145</v>
      </c>
      <c r="F192" s="38">
        <v>0</v>
      </c>
    </row>
    <row r="193" spans="1:6">
      <c r="F193" s="38" t="s">
        <v>52</v>
      </c>
    </row>
    <row r="194" spans="1:6">
      <c r="C194" s="39" t="s">
        <v>495</v>
      </c>
      <c r="F194" s="38">
        <v>8555.08</v>
      </c>
    </row>
    <row r="195" spans="1:6">
      <c r="F195" s="38" t="s">
        <v>52</v>
      </c>
    </row>
    <row r="196" spans="1:6">
      <c r="C196" s="39" t="s">
        <v>460</v>
      </c>
      <c r="F196" s="38">
        <v>855.51</v>
      </c>
    </row>
    <row r="197" spans="1:6">
      <c r="F197" s="38" t="s">
        <v>89</v>
      </c>
    </row>
    <row r="198" spans="1:6">
      <c r="C198" s="39" t="s">
        <v>53</v>
      </c>
      <c r="E198" s="38">
        <v>9.3800000000000008</v>
      </c>
      <c r="F198" s="38">
        <v>864.89</v>
      </c>
    </row>
    <row r="199" spans="1:6">
      <c r="C199" s="39" t="s">
        <v>54</v>
      </c>
      <c r="E199" s="38">
        <v>18.920000000000002</v>
      </c>
      <c r="F199" s="38">
        <v>883.81</v>
      </c>
    </row>
    <row r="200" spans="1:6">
      <c r="C200" s="39" t="s">
        <v>55</v>
      </c>
      <c r="E200" s="38">
        <v>18.920000000000002</v>
      </c>
      <c r="F200" s="38">
        <v>902.73</v>
      </c>
    </row>
    <row r="201" spans="1:6">
      <c r="C201" s="39" t="s">
        <v>56</v>
      </c>
      <c r="E201" s="38">
        <v>18.920000000000002</v>
      </c>
      <c r="F201" s="38">
        <v>921.65</v>
      </c>
    </row>
    <row r="202" spans="1:6">
      <c r="B202" s="38" t="s">
        <v>607</v>
      </c>
      <c r="C202" s="39" t="s">
        <v>4108</v>
      </c>
    </row>
    <row r="203" spans="1:6">
      <c r="C203" s="39" t="s">
        <v>52</v>
      </c>
    </row>
    <row r="204" spans="1:6">
      <c r="A204" s="38">
        <v>0.75</v>
      </c>
      <c r="B204" s="38" t="s">
        <v>132</v>
      </c>
      <c r="C204" s="39" t="s">
        <v>488</v>
      </c>
      <c r="D204" s="38">
        <v>6590.68</v>
      </c>
      <c r="E204" s="38" t="s">
        <v>131</v>
      </c>
      <c r="F204" s="38">
        <v>4943.01</v>
      </c>
    </row>
    <row r="205" spans="1:6">
      <c r="A205" s="38">
        <v>1</v>
      </c>
      <c r="B205" s="38" t="s">
        <v>237</v>
      </c>
      <c r="C205" s="39" t="s">
        <v>345</v>
      </c>
      <c r="D205" s="38">
        <v>1041.7</v>
      </c>
      <c r="E205" s="38" t="s">
        <v>131</v>
      </c>
      <c r="F205" s="38">
        <v>1041.7</v>
      </c>
    </row>
    <row r="206" spans="1:6">
      <c r="B206" s="38" t="s">
        <v>145</v>
      </c>
      <c r="C206" s="39" t="s">
        <v>146</v>
      </c>
      <c r="D206" s="38" t="s">
        <v>85</v>
      </c>
      <c r="E206" s="38" t="s">
        <v>145</v>
      </c>
      <c r="F206" s="38">
        <v>0</v>
      </c>
    </row>
    <row r="207" spans="1:6">
      <c r="F207" s="38" t="s">
        <v>52</v>
      </c>
    </row>
    <row r="208" spans="1:6">
      <c r="C208" s="39" t="s">
        <v>495</v>
      </c>
      <c r="F208" s="38">
        <v>5984.71</v>
      </c>
    </row>
    <row r="209" spans="1:6">
      <c r="F209" s="38" t="s">
        <v>52</v>
      </c>
    </row>
    <row r="210" spans="1:6">
      <c r="C210" s="39" t="s">
        <v>460</v>
      </c>
      <c r="F210" s="38">
        <v>598.47</v>
      </c>
    </row>
    <row r="211" spans="1:6">
      <c r="F211" s="38" t="s">
        <v>89</v>
      </c>
    </row>
    <row r="212" spans="1:6">
      <c r="C212" s="39" t="s">
        <v>53</v>
      </c>
      <c r="E212" s="38">
        <v>6.17</v>
      </c>
      <c r="F212" s="38">
        <v>604.64</v>
      </c>
    </row>
    <row r="213" spans="1:6">
      <c r="C213" s="39" t="s">
        <v>54</v>
      </c>
      <c r="E213" s="38">
        <v>12.45</v>
      </c>
      <c r="F213" s="38">
        <v>617.09</v>
      </c>
    </row>
    <row r="214" spans="1:6">
      <c r="C214" s="39" t="s">
        <v>55</v>
      </c>
      <c r="E214" s="38">
        <v>12.45</v>
      </c>
      <c r="F214" s="38">
        <v>629.54</v>
      </c>
    </row>
    <row r="215" spans="1:6">
      <c r="C215" s="39" t="s">
        <v>56</v>
      </c>
      <c r="E215" s="38">
        <v>12.45</v>
      </c>
      <c r="F215" s="38">
        <v>641.99</v>
      </c>
    </row>
    <row r="216" spans="1:6">
      <c r="A216" s="38" t="s">
        <v>648</v>
      </c>
      <c r="B216" s="38" t="s">
        <v>111</v>
      </c>
      <c r="C216" s="39" t="s">
        <v>649</v>
      </c>
      <c r="F216" s="38">
        <v>509.59</v>
      </c>
    </row>
    <row r="217" spans="1:6">
      <c r="C217" s="39" t="s">
        <v>650</v>
      </c>
    </row>
    <row r="218" spans="1:6">
      <c r="C218" s="39" t="s">
        <v>52</v>
      </c>
    </row>
    <row r="219" spans="1:6">
      <c r="A219" s="38">
        <v>1</v>
      </c>
      <c r="B219" s="38" t="s">
        <v>132</v>
      </c>
      <c r="C219" s="39" t="s">
        <v>651</v>
      </c>
      <c r="D219" s="38">
        <v>40.65</v>
      </c>
      <c r="E219" s="38" t="s">
        <v>132</v>
      </c>
      <c r="F219" s="38">
        <v>40.65</v>
      </c>
    </row>
    <row r="221" spans="1:6">
      <c r="A221" s="38">
        <v>21.2</v>
      </c>
      <c r="C221" s="39" t="s">
        <v>1283</v>
      </c>
    </row>
    <row r="222" spans="1:6">
      <c r="C222" s="39" t="s">
        <v>52</v>
      </c>
    </row>
    <row r="223" spans="1:6">
      <c r="B223" s="38" t="s">
        <v>612</v>
      </c>
      <c r="C223" s="39" t="s">
        <v>1286</v>
      </c>
      <c r="F223" s="38" t="s">
        <v>85</v>
      </c>
    </row>
    <row r="224" spans="1:6">
      <c r="C224" s="39" t="s">
        <v>52</v>
      </c>
      <c r="F224" s="38" t="s">
        <v>85</v>
      </c>
    </row>
    <row r="225" spans="1:6">
      <c r="A225" s="38">
        <v>1</v>
      </c>
      <c r="B225" s="38" t="s">
        <v>132</v>
      </c>
      <c r="C225" s="39" t="s">
        <v>1289</v>
      </c>
      <c r="D225" s="38">
        <v>14278</v>
      </c>
      <c r="E225" s="38" t="s">
        <v>132</v>
      </c>
      <c r="F225" s="38">
        <v>14278</v>
      </c>
    </row>
    <row r="226" spans="1:6">
      <c r="A226" s="38">
        <v>1</v>
      </c>
      <c r="B226" s="38" t="s">
        <v>132</v>
      </c>
      <c r="C226" s="39" t="s">
        <v>1286</v>
      </c>
      <c r="D226" s="38">
        <v>111600</v>
      </c>
      <c r="E226" s="38" t="s">
        <v>132</v>
      </c>
      <c r="F226" s="38">
        <v>111600</v>
      </c>
    </row>
    <row r="227" spans="1:6">
      <c r="F227" s="38" t="s">
        <v>89</v>
      </c>
    </row>
    <row r="228" spans="1:6">
      <c r="C228" s="39" t="s">
        <v>1293</v>
      </c>
      <c r="F228" s="38">
        <v>125878</v>
      </c>
    </row>
    <row r="229" spans="1:6">
      <c r="F229" s="38" t="s">
        <v>89</v>
      </c>
    </row>
    <row r="230" spans="1:6">
      <c r="B230" s="38" t="s">
        <v>634</v>
      </c>
      <c r="C230" s="39" t="s">
        <v>1296</v>
      </c>
      <c r="F230" s="38" t="s">
        <v>85</v>
      </c>
    </row>
    <row r="231" spans="1:6">
      <c r="C231" s="39" t="s">
        <v>52</v>
      </c>
    </row>
    <row r="232" spans="1:6">
      <c r="A232" s="38">
        <v>1</v>
      </c>
      <c r="B232" s="38" t="s">
        <v>132</v>
      </c>
      <c r="C232" s="39" t="s">
        <v>1289</v>
      </c>
      <c r="D232" s="38">
        <v>14278</v>
      </c>
      <c r="E232" s="38" t="s">
        <v>132</v>
      </c>
      <c r="F232" s="38">
        <v>14278</v>
      </c>
    </row>
    <row r="233" spans="1:6">
      <c r="A233" s="38">
        <v>1</v>
      </c>
      <c r="B233" s="38" t="s">
        <v>132</v>
      </c>
      <c r="C233" s="39" t="s">
        <v>1286</v>
      </c>
      <c r="D233" s="38">
        <v>99400</v>
      </c>
      <c r="E233" s="38" t="s">
        <v>132</v>
      </c>
      <c r="F233" s="38">
        <v>99400</v>
      </c>
    </row>
    <row r="234" spans="1:6">
      <c r="F234" s="38" t="s">
        <v>89</v>
      </c>
    </row>
    <row r="235" spans="1:6">
      <c r="C235" s="39" t="s">
        <v>1302</v>
      </c>
      <c r="F235" s="38">
        <v>113678</v>
      </c>
    </row>
    <row r="236" spans="1:6">
      <c r="F236" s="38" t="s">
        <v>89</v>
      </c>
    </row>
    <row r="237" spans="1:6">
      <c r="A237" s="38">
        <v>23.3</v>
      </c>
      <c r="C237" s="39" t="s">
        <v>1549</v>
      </c>
      <c r="D237" s="38" t="s">
        <v>3986</v>
      </c>
      <c r="F237" s="38">
        <v>52</v>
      </c>
    </row>
    <row r="239" spans="1:6">
      <c r="A239" s="41" t="s">
        <v>251</v>
      </c>
      <c r="B239" s="41" t="s">
        <v>111</v>
      </c>
      <c r="C239" s="42" t="s">
        <v>1561</v>
      </c>
    </row>
    <row r="240" spans="1:6">
      <c r="C240" s="42" t="s">
        <v>4283</v>
      </c>
    </row>
    <row r="241" spans="1:6">
      <c r="C241" s="42" t="s">
        <v>52</v>
      </c>
    </row>
    <row r="242" spans="1:6">
      <c r="A242" s="41">
        <v>1</v>
      </c>
      <c r="B242" s="41" t="s">
        <v>39</v>
      </c>
      <c r="C242" s="42" t="s">
        <v>4284</v>
      </c>
      <c r="D242" s="45">
        <v>69.599999999999994</v>
      </c>
      <c r="E242" s="41" t="s">
        <v>39</v>
      </c>
      <c r="F242" s="44">
        <v>69.599999999999994</v>
      </c>
    </row>
    <row r="243" spans="1:6">
      <c r="F243" s="41" t="s">
        <v>89</v>
      </c>
    </row>
    <row r="244" spans="1:6" ht="31.5">
      <c r="A244" s="41">
        <v>39</v>
      </c>
      <c r="C244" s="46" t="s">
        <v>4287</v>
      </c>
      <c r="D244" s="45">
        <v>70.150000000000006</v>
      </c>
      <c r="E244" s="41" t="s">
        <v>39</v>
      </c>
      <c r="F244" s="47">
        <v>70.150000000000006</v>
      </c>
    </row>
    <row r="245" spans="1:6">
      <c r="A245" s="41" t="s">
        <v>255</v>
      </c>
      <c r="B245" s="41" t="s">
        <v>111</v>
      </c>
      <c r="C245" s="42" t="s">
        <v>4288</v>
      </c>
      <c r="D245" s="41" t="s">
        <v>85</v>
      </c>
      <c r="E245" s="41" t="s">
        <v>972</v>
      </c>
      <c r="F245" s="48">
        <v>9.6</v>
      </c>
    </row>
    <row r="246" spans="1:6">
      <c r="C246" s="42" t="s">
        <v>1565</v>
      </c>
      <c r="F246" s="41" t="s">
        <v>89</v>
      </c>
    </row>
    <row r="248" spans="1:6">
      <c r="A248" s="41" t="s">
        <v>268</v>
      </c>
      <c r="B248" s="41" t="s">
        <v>111</v>
      </c>
      <c r="C248" s="42" t="s">
        <v>1566</v>
      </c>
    </row>
    <row r="249" spans="1:6">
      <c r="C249" s="42" t="s">
        <v>1567</v>
      </c>
    </row>
    <row r="250" spans="1:6">
      <c r="C250" s="42" t="s">
        <v>52</v>
      </c>
    </row>
    <row r="251" spans="1:6">
      <c r="A251" s="41">
        <v>0.22</v>
      </c>
      <c r="B251" s="41" t="s">
        <v>132</v>
      </c>
      <c r="C251" s="42" t="s">
        <v>259</v>
      </c>
      <c r="D251" s="41">
        <v>3845.09</v>
      </c>
      <c r="E251" s="41" t="s">
        <v>132</v>
      </c>
      <c r="F251" s="41">
        <v>845.92</v>
      </c>
    </row>
    <row r="252" spans="1:6">
      <c r="A252" s="41">
        <v>2.2000000000000002</v>
      </c>
      <c r="B252" s="41" t="s">
        <v>237</v>
      </c>
      <c r="C252" s="42" t="s">
        <v>345</v>
      </c>
      <c r="D252" s="41">
        <v>1041.7</v>
      </c>
      <c r="E252" s="41" t="s">
        <v>237</v>
      </c>
      <c r="F252" s="41">
        <v>2291.7399999999998</v>
      </c>
    </row>
    <row r="253" spans="1:6">
      <c r="A253" s="41">
        <v>0.5</v>
      </c>
      <c r="B253" s="41" t="s">
        <v>237</v>
      </c>
      <c r="C253" s="42" t="s">
        <v>1568</v>
      </c>
      <c r="D253" s="41">
        <v>679.8</v>
      </c>
      <c r="E253" s="41" t="s">
        <v>237</v>
      </c>
      <c r="F253" s="41">
        <v>339.9</v>
      </c>
    </row>
    <row r="254" spans="1:6">
      <c r="A254" s="41">
        <v>3.2</v>
      </c>
      <c r="B254" s="41" t="s">
        <v>237</v>
      </c>
      <c r="C254" s="42" t="s">
        <v>306</v>
      </c>
      <c r="D254" s="41">
        <v>557.70000000000005</v>
      </c>
      <c r="E254" s="41" t="s">
        <v>237</v>
      </c>
      <c r="F254" s="41">
        <v>1784.64</v>
      </c>
    </row>
    <row r="255" spans="1:6">
      <c r="A255" s="41"/>
      <c r="B255" s="41"/>
      <c r="C255" s="42"/>
      <c r="D255" s="41"/>
      <c r="E255" s="41"/>
      <c r="F255" s="41"/>
    </row>
    <row r="256" spans="1:6">
      <c r="A256" s="41"/>
      <c r="B256" s="41"/>
      <c r="C256" s="42"/>
      <c r="D256" s="41"/>
      <c r="E256" s="41"/>
      <c r="F256" s="41"/>
    </row>
    <row r="257" spans="1:6">
      <c r="A257" s="41"/>
      <c r="B257" s="41"/>
      <c r="C257" s="42"/>
      <c r="D257" s="41"/>
      <c r="E257" s="41"/>
      <c r="F257" s="41"/>
    </row>
    <row r="258" spans="1:6">
      <c r="A258" s="41"/>
      <c r="B258" s="41"/>
      <c r="C258" s="42"/>
      <c r="D258" s="41"/>
      <c r="E258" s="41"/>
      <c r="F258" s="41"/>
    </row>
    <row r="259" spans="1:6">
      <c r="A259" s="41"/>
      <c r="B259" s="41"/>
      <c r="C259" s="42"/>
      <c r="D259" s="41"/>
      <c r="E259" s="41"/>
      <c r="F259" s="41"/>
    </row>
    <row r="260" spans="1:6">
      <c r="B260" s="41" t="s">
        <v>145</v>
      </c>
      <c r="C260" s="42" t="s">
        <v>146</v>
      </c>
      <c r="D260" s="41" t="s">
        <v>85</v>
      </c>
      <c r="E260" s="41" t="s">
        <v>145</v>
      </c>
      <c r="F260" s="41">
        <v>5</v>
      </c>
    </row>
    <row r="261" spans="1:6">
      <c r="F261" s="41" t="s">
        <v>52</v>
      </c>
    </row>
    <row r="262" spans="1:6">
      <c r="C262" s="42" t="s">
        <v>495</v>
      </c>
      <c r="F262" s="41">
        <v>5267.2</v>
      </c>
    </row>
    <row r="263" spans="1:6">
      <c r="A263" s="38" t="s">
        <v>85</v>
      </c>
      <c r="F263" s="41" t="s">
        <v>52</v>
      </c>
    </row>
    <row r="264" spans="1:6">
      <c r="C264" s="43" t="s">
        <v>460</v>
      </c>
      <c r="F264" s="44">
        <v>526.72</v>
      </c>
    </row>
    <row r="265" spans="1:6">
      <c r="F265" s="41" t="s">
        <v>89</v>
      </c>
    </row>
    <row r="266" spans="1:6">
      <c r="A266" s="38" t="s">
        <v>275</v>
      </c>
      <c r="B266" s="38" t="s">
        <v>111</v>
      </c>
      <c r="C266" s="39" t="s">
        <v>1566</v>
      </c>
    </row>
    <row r="267" spans="1:6">
      <c r="C267" s="39" t="s">
        <v>4322</v>
      </c>
    </row>
    <row r="268" spans="1:6">
      <c r="C268" s="39" t="s">
        <v>1595</v>
      </c>
    </row>
    <row r="269" spans="1:6">
      <c r="C269" s="39" t="s">
        <v>6417</v>
      </c>
    </row>
    <row r="270" spans="1:6">
      <c r="C270" s="39" t="s">
        <v>52</v>
      </c>
    </row>
    <row r="271" spans="1:6">
      <c r="A271" s="38">
        <v>0.24</v>
      </c>
      <c r="B271" s="38" t="s">
        <v>132</v>
      </c>
      <c r="C271" s="39" t="s">
        <v>1597</v>
      </c>
      <c r="D271" s="38">
        <v>1000.02</v>
      </c>
      <c r="E271" s="38" t="s">
        <v>132</v>
      </c>
      <c r="F271" s="38">
        <v>240</v>
      </c>
    </row>
    <row r="272" spans="1:6">
      <c r="A272" s="38">
        <v>0.12</v>
      </c>
      <c r="B272" s="38" t="s">
        <v>122</v>
      </c>
      <c r="C272" s="39" t="s">
        <v>123</v>
      </c>
      <c r="D272" s="38">
        <v>6040</v>
      </c>
      <c r="E272" s="38" t="s">
        <v>122</v>
      </c>
      <c r="F272" s="38">
        <v>706.68</v>
      </c>
    </row>
    <row r="273" spans="1:6">
      <c r="A273" s="38">
        <v>0.5</v>
      </c>
      <c r="B273" s="38" t="s">
        <v>237</v>
      </c>
      <c r="C273" s="39" t="s">
        <v>345</v>
      </c>
      <c r="D273" s="38">
        <v>1041.7</v>
      </c>
      <c r="E273" s="38" t="s">
        <v>237</v>
      </c>
      <c r="F273" s="38">
        <v>520.85</v>
      </c>
    </row>
    <row r="274" spans="1:6">
      <c r="A274" s="38">
        <v>1.1000000000000001</v>
      </c>
      <c r="B274" s="38" t="s">
        <v>237</v>
      </c>
      <c r="C274" s="39" t="s">
        <v>1568</v>
      </c>
      <c r="D274" s="38">
        <v>679.8</v>
      </c>
      <c r="E274" s="38" t="s">
        <v>237</v>
      </c>
      <c r="F274" s="38">
        <v>747.78</v>
      </c>
    </row>
    <row r="275" spans="1:6">
      <c r="A275" s="38">
        <v>4.3</v>
      </c>
      <c r="B275" s="38" t="s">
        <v>237</v>
      </c>
      <c r="C275" s="39" t="s">
        <v>306</v>
      </c>
      <c r="D275" s="38">
        <v>557.70000000000005</v>
      </c>
      <c r="E275" s="38" t="s">
        <v>237</v>
      </c>
      <c r="F275" s="38">
        <v>2398.11</v>
      </c>
    </row>
    <row r="276" spans="1:6">
      <c r="B276" s="38" t="s">
        <v>145</v>
      </c>
      <c r="C276" s="39" t="s">
        <v>146</v>
      </c>
      <c r="E276" s="38" t="s">
        <v>145</v>
      </c>
      <c r="F276" s="38">
        <v>0</v>
      </c>
    </row>
    <row r="277" spans="1:6">
      <c r="F277" s="38" t="s">
        <v>52</v>
      </c>
    </row>
    <row r="278" spans="1:6">
      <c r="C278" s="39" t="s">
        <v>495</v>
      </c>
      <c r="F278" s="38">
        <v>4613.42</v>
      </c>
    </row>
    <row r="279" spans="1:6">
      <c r="F279" s="38" t="s">
        <v>52</v>
      </c>
    </row>
    <row r="280" spans="1:6">
      <c r="C280" s="39" t="s">
        <v>460</v>
      </c>
      <c r="F280" s="38">
        <v>461.34</v>
      </c>
    </row>
    <row r="281" spans="1:6">
      <c r="A281" s="38" t="s">
        <v>85</v>
      </c>
    </row>
    <row r="282" spans="1:6">
      <c r="F282" s="38" t="s">
        <v>89</v>
      </c>
    </row>
    <row r="283" spans="1:6">
      <c r="A283" s="38" t="s">
        <v>1598</v>
      </c>
      <c r="B283" s="38" t="s">
        <v>111</v>
      </c>
      <c r="C283" s="39" t="s">
        <v>6418</v>
      </c>
    </row>
    <row r="284" spans="1:6">
      <c r="C284" s="39" t="s">
        <v>1600</v>
      </c>
    </row>
    <row r="285" spans="1:6">
      <c r="C285" s="39" t="s">
        <v>1601</v>
      </c>
    </row>
    <row r="286" spans="1:6">
      <c r="C286" s="39" t="s">
        <v>1602</v>
      </c>
    </row>
    <row r="287" spans="1:6">
      <c r="C287" s="39" t="s">
        <v>1603</v>
      </c>
    </row>
    <row r="288" spans="1:6">
      <c r="C288" s="39" t="s">
        <v>52</v>
      </c>
    </row>
    <row r="289" spans="1:6">
      <c r="A289" s="38">
        <v>12.8</v>
      </c>
      <c r="B289" s="38" t="s">
        <v>132</v>
      </c>
      <c r="C289" s="39" t="s">
        <v>1604</v>
      </c>
      <c r="D289" s="38">
        <v>943.5</v>
      </c>
      <c r="E289" s="38" t="s">
        <v>132</v>
      </c>
      <c r="F289" s="38">
        <v>12076.8</v>
      </c>
    </row>
    <row r="290" spans="1:6">
      <c r="A290" s="38">
        <v>5</v>
      </c>
      <c r="B290" s="38" t="s">
        <v>132</v>
      </c>
      <c r="C290" s="39" t="s">
        <v>1605</v>
      </c>
      <c r="D290" s="38">
        <v>1098.52</v>
      </c>
      <c r="E290" s="38" t="s">
        <v>132</v>
      </c>
      <c r="F290" s="38">
        <v>5492.6</v>
      </c>
    </row>
    <row r="291" spans="1:6">
      <c r="A291" s="38">
        <v>1.8</v>
      </c>
      <c r="B291" s="38" t="s">
        <v>237</v>
      </c>
      <c r="C291" s="39" t="s">
        <v>345</v>
      </c>
      <c r="D291" s="38">
        <v>1041.7</v>
      </c>
      <c r="E291" s="38" t="s">
        <v>237</v>
      </c>
      <c r="F291" s="38">
        <v>1875.06</v>
      </c>
    </row>
    <row r="292" spans="1:6">
      <c r="A292" s="38">
        <v>17.7</v>
      </c>
      <c r="B292" s="38" t="s">
        <v>237</v>
      </c>
      <c r="C292" s="39" t="s">
        <v>1568</v>
      </c>
      <c r="D292" s="38">
        <v>679.8</v>
      </c>
      <c r="E292" s="38" t="s">
        <v>237</v>
      </c>
      <c r="F292" s="38">
        <v>12032.46</v>
      </c>
    </row>
    <row r="293" spans="1:6">
      <c r="A293" s="38">
        <v>14.1</v>
      </c>
      <c r="B293" s="38" t="s">
        <v>237</v>
      </c>
      <c r="C293" s="39" t="s">
        <v>306</v>
      </c>
      <c r="D293" s="38">
        <v>557.70000000000005</v>
      </c>
      <c r="E293" s="38" t="s">
        <v>237</v>
      </c>
      <c r="F293" s="38">
        <v>7863.57</v>
      </c>
    </row>
    <row r="294" spans="1:6">
      <c r="B294" s="38" t="s">
        <v>145</v>
      </c>
      <c r="C294" s="39" t="s">
        <v>146</v>
      </c>
      <c r="E294" s="38" t="s">
        <v>145</v>
      </c>
      <c r="F294" s="38">
        <v>0</v>
      </c>
    </row>
    <row r="295" spans="1:6">
      <c r="F295" s="38" t="s">
        <v>52</v>
      </c>
    </row>
    <row r="296" spans="1:6">
      <c r="C296" s="39" t="s">
        <v>311</v>
      </c>
      <c r="F296" s="38">
        <v>39340.49</v>
      </c>
    </row>
    <row r="297" spans="1:6">
      <c r="F297" s="38" t="s">
        <v>52</v>
      </c>
    </row>
    <row r="298" spans="1:6">
      <c r="C298" s="39" t="s">
        <v>242</v>
      </c>
      <c r="F298" s="38">
        <v>3934.05</v>
      </c>
    </row>
    <row r="299" spans="1:6">
      <c r="A299" s="38" t="s">
        <v>1617</v>
      </c>
      <c r="B299" s="38" t="s">
        <v>111</v>
      </c>
      <c r="C299" s="39" t="s">
        <v>1618</v>
      </c>
    </row>
    <row r="300" spans="1:6">
      <c r="C300" s="39" t="s">
        <v>52</v>
      </c>
    </row>
    <row r="301" spans="1:6">
      <c r="A301" s="38">
        <v>0.14000000000000001</v>
      </c>
      <c r="B301" s="38" t="s">
        <v>132</v>
      </c>
      <c r="C301" s="39" t="s">
        <v>283</v>
      </c>
      <c r="D301" s="38">
        <v>3410.21</v>
      </c>
      <c r="E301" s="38" t="s">
        <v>132</v>
      </c>
      <c r="F301" s="38">
        <v>477.43</v>
      </c>
    </row>
    <row r="302" spans="1:6">
      <c r="A302" s="38">
        <v>1.1000000000000001</v>
      </c>
      <c r="B302" s="38" t="s">
        <v>131</v>
      </c>
      <c r="C302" s="39" t="s">
        <v>345</v>
      </c>
      <c r="D302" s="38">
        <v>1041.7</v>
      </c>
      <c r="E302" s="38" t="s">
        <v>131</v>
      </c>
      <c r="F302" s="38">
        <v>1145.8699999999999</v>
      </c>
    </row>
    <row r="303" spans="1:6">
      <c r="A303" s="38">
        <v>0.5</v>
      </c>
      <c r="B303" s="38" t="s">
        <v>131</v>
      </c>
      <c r="C303" s="39" t="s">
        <v>304</v>
      </c>
      <c r="D303" s="38">
        <v>679.8</v>
      </c>
      <c r="E303" s="38" t="s">
        <v>131</v>
      </c>
      <c r="F303" s="38">
        <v>339.9</v>
      </c>
    </row>
    <row r="304" spans="1:6">
      <c r="A304" s="38">
        <v>1.1000000000000001</v>
      </c>
      <c r="B304" s="38" t="s">
        <v>131</v>
      </c>
      <c r="C304" s="39" t="s">
        <v>306</v>
      </c>
      <c r="D304" s="38">
        <v>557.70000000000005</v>
      </c>
      <c r="E304" s="38" t="s">
        <v>131</v>
      </c>
      <c r="F304" s="38">
        <v>613.47</v>
      </c>
    </row>
    <row r="305" spans="1:6">
      <c r="B305" s="38" t="s">
        <v>145</v>
      </c>
      <c r="C305" s="39" t="s">
        <v>146</v>
      </c>
      <c r="D305" s="38" t="s">
        <v>85</v>
      </c>
      <c r="E305" s="38" t="s">
        <v>145</v>
      </c>
      <c r="F305" s="38">
        <v>5</v>
      </c>
    </row>
    <row r="306" spans="1:6">
      <c r="F306" s="38" t="s">
        <v>52</v>
      </c>
    </row>
    <row r="307" spans="1:6">
      <c r="C307" s="39" t="s">
        <v>495</v>
      </c>
      <c r="F307" s="38">
        <v>2581.67</v>
      </c>
    </row>
    <row r="308" spans="1:6">
      <c r="F308" s="38" t="s">
        <v>52</v>
      </c>
    </row>
    <row r="309" spans="1:6">
      <c r="C309" s="39" t="s">
        <v>460</v>
      </c>
      <c r="F309" s="38">
        <v>258.17</v>
      </c>
    </row>
    <row r="310" spans="1:6">
      <c r="A310" s="38" t="s">
        <v>85</v>
      </c>
    </row>
    <row r="311" spans="1:6">
      <c r="F311" s="38" t="s">
        <v>89</v>
      </c>
    </row>
    <row r="312" spans="1:6">
      <c r="A312" s="38" t="s">
        <v>1619</v>
      </c>
      <c r="B312" s="38" t="s">
        <v>111</v>
      </c>
      <c r="C312" s="39" t="s">
        <v>1620</v>
      </c>
    </row>
    <row r="313" spans="1:6">
      <c r="C313" s="39" t="s">
        <v>52</v>
      </c>
    </row>
    <row r="314" spans="1:6">
      <c r="A314" s="38">
        <v>0.14000000000000001</v>
      </c>
      <c r="B314" s="38" t="s">
        <v>132</v>
      </c>
      <c r="C314" s="39" t="s">
        <v>259</v>
      </c>
      <c r="D314" s="38">
        <v>3845.09</v>
      </c>
      <c r="E314" s="38" t="s">
        <v>132</v>
      </c>
      <c r="F314" s="38">
        <v>538.30999999999995</v>
      </c>
    </row>
    <row r="315" spans="1:6">
      <c r="A315" s="38">
        <v>1.1000000000000001</v>
      </c>
      <c r="B315" s="38" t="s">
        <v>131</v>
      </c>
      <c r="C315" s="39" t="s">
        <v>345</v>
      </c>
      <c r="D315" s="38">
        <v>1041.7</v>
      </c>
      <c r="E315" s="38" t="s">
        <v>131</v>
      </c>
      <c r="F315" s="38">
        <v>1145.8699999999999</v>
      </c>
    </row>
    <row r="316" spans="1:6">
      <c r="A316" s="38">
        <v>0.5</v>
      </c>
      <c r="B316" s="38" t="s">
        <v>131</v>
      </c>
      <c r="C316" s="39" t="s">
        <v>304</v>
      </c>
      <c r="D316" s="38">
        <v>679.8</v>
      </c>
      <c r="E316" s="38" t="s">
        <v>131</v>
      </c>
      <c r="F316" s="38">
        <v>339.9</v>
      </c>
    </row>
    <row r="317" spans="1:6">
      <c r="A317" s="38">
        <v>1.1000000000000001</v>
      </c>
      <c r="B317" s="38" t="s">
        <v>131</v>
      </c>
      <c r="C317" s="39" t="s">
        <v>306</v>
      </c>
      <c r="D317" s="38">
        <v>557.70000000000005</v>
      </c>
      <c r="E317" s="38" t="s">
        <v>131</v>
      </c>
      <c r="F317" s="38">
        <v>613.47</v>
      </c>
    </row>
    <row r="318" spans="1:6">
      <c r="B318" s="38" t="s">
        <v>145</v>
      </c>
      <c r="C318" s="39" t="s">
        <v>146</v>
      </c>
      <c r="D318" s="38" t="s">
        <v>85</v>
      </c>
      <c r="E318" s="38" t="s">
        <v>145</v>
      </c>
      <c r="F318" s="38">
        <v>5</v>
      </c>
    </row>
    <row r="320" spans="1:6">
      <c r="F320" s="38" t="s">
        <v>52</v>
      </c>
    </row>
    <row r="321" spans="1:6">
      <c r="C321" s="39" t="s">
        <v>495</v>
      </c>
      <c r="F321" s="38">
        <v>2642.55</v>
      </c>
    </row>
    <row r="322" spans="1:6">
      <c r="F322" s="38" t="s">
        <v>52</v>
      </c>
    </row>
    <row r="323" spans="1:6">
      <c r="C323" s="39" t="s">
        <v>460</v>
      </c>
      <c r="F323" s="38">
        <v>264.26</v>
      </c>
    </row>
    <row r="324" spans="1:6">
      <c r="F324" s="38" t="s">
        <v>89</v>
      </c>
    </row>
    <row r="325" spans="1:6">
      <c r="A325" s="38" t="s">
        <v>1621</v>
      </c>
      <c r="B325" s="38" t="s">
        <v>111</v>
      </c>
      <c r="C325" s="39" t="s">
        <v>1622</v>
      </c>
    </row>
    <row r="326" spans="1:6">
      <c r="C326" s="39" t="s">
        <v>52</v>
      </c>
    </row>
    <row r="327" spans="1:6">
      <c r="A327" s="38">
        <v>0.1</v>
      </c>
      <c r="B327" s="38" t="s">
        <v>132</v>
      </c>
      <c r="C327" s="39" t="s">
        <v>217</v>
      </c>
      <c r="D327" s="38">
        <v>4569.8900000000003</v>
      </c>
      <c r="E327" s="38" t="s">
        <v>132</v>
      </c>
      <c r="F327" s="38">
        <v>456.99</v>
      </c>
    </row>
    <row r="328" spans="1:6">
      <c r="A328" s="38">
        <v>1.1000000000000001</v>
      </c>
      <c r="B328" s="38" t="s">
        <v>131</v>
      </c>
      <c r="C328" s="39" t="s">
        <v>345</v>
      </c>
      <c r="D328" s="38">
        <v>1041.7</v>
      </c>
      <c r="E328" s="38" t="s">
        <v>131</v>
      </c>
      <c r="F328" s="38">
        <v>1145.8699999999999</v>
      </c>
    </row>
    <row r="329" spans="1:6">
      <c r="A329" s="38">
        <v>1.1000000000000001</v>
      </c>
      <c r="B329" s="38" t="s">
        <v>131</v>
      </c>
      <c r="C329" s="39" t="s">
        <v>304</v>
      </c>
      <c r="D329" s="38">
        <v>679.8</v>
      </c>
      <c r="E329" s="38" t="s">
        <v>131</v>
      </c>
      <c r="F329" s="38">
        <v>747.78</v>
      </c>
    </row>
    <row r="330" spans="1:6">
      <c r="A330" s="38">
        <v>1.1000000000000001</v>
      </c>
      <c r="B330" s="38" t="s">
        <v>131</v>
      </c>
      <c r="C330" s="39" t="s">
        <v>306</v>
      </c>
      <c r="D330" s="38">
        <v>557.70000000000005</v>
      </c>
      <c r="E330" s="38" t="s">
        <v>131</v>
      </c>
      <c r="F330" s="38">
        <v>613.47</v>
      </c>
    </row>
    <row r="331" spans="1:6">
      <c r="B331" s="38" t="s">
        <v>145</v>
      </c>
      <c r="C331" s="39" t="s">
        <v>146</v>
      </c>
      <c r="D331" s="38" t="s">
        <v>85</v>
      </c>
      <c r="E331" s="38" t="s">
        <v>145</v>
      </c>
    </row>
    <row r="332" spans="1:6">
      <c r="F332" s="38" t="s">
        <v>52</v>
      </c>
    </row>
    <row r="333" spans="1:6">
      <c r="C333" s="39" t="s">
        <v>495</v>
      </c>
      <c r="F333" s="38">
        <v>2964.11</v>
      </c>
    </row>
    <row r="334" spans="1:6">
      <c r="F334" s="38" t="s">
        <v>52</v>
      </c>
    </row>
    <row r="335" spans="1:6">
      <c r="C335" s="39" t="s">
        <v>460</v>
      </c>
      <c r="F335" s="38">
        <v>296.41000000000003</v>
      </c>
    </row>
    <row r="336" spans="1:6">
      <c r="F336" s="38" t="s">
        <v>89</v>
      </c>
    </row>
    <row r="338" spans="1:6">
      <c r="B338" s="38" t="s">
        <v>111</v>
      </c>
      <c r="C338" s="39" t="s">
        <v>1623</v>
      </c>
    </row>
    <row r="339" spans="1:6">
      <c r="C339" s="39" t="s">
        <v>1624</v>
      </c>
    </row>
    <row r="340" spans="1:6">
      <c r="C340" s="39" t="s">
        <v>1625</v>
      </c>
    </row>
    <row r="341" spans="1:6">
      <c r="C341" s="39" t="s">
        <v>52</v>
      </c>
    </row>
    <row r="342" spans="1:6">
      <c r="A342" s="38">
        <v>0.14000000000000001</v>
      </c>
      <c r="B342" s="38" t="s">
        <v>132</v>
      </c>
      <c r="C342" s="39" t="s">
        <v>217</v>
      </c>
      <c r="D342" s="38">
        <v>4569.8900000000003</v>
      </c>
      <c r="E342" s="38" t="s">
        <v>132</v>
      </c>
      <c r="F342" s="38">
        <v>639.78</v>
      </c>
    </row>
    <row r="343" spans="1:6">
      <c r="A343" s="38">
        <v>1.1000000000000001</v>
      </c>
      <c r="B343" s="38" t="s">
        <v>131</v>
      </c>
      <c r="C343" s="39" t="s">
        <v>345</v>
      </c>
      <c r="D343" s="38">
        <v>1041.7</v>
      </c>
      <c r="E343" s="38" t="s">
        <v>131</v>
      </c>
      <c r="F343" s="38">
        <v>1145.8699999999999</v>
      </c>
    </row>
    <row r="344" spans="1:6">
      <c r="A344" s="38">
        <v>0.5</v>
      </c>
      <c r="B344" s="38" t="s">
        <v>131</v>
      </c>
      <c r="C344" s="39" t="s">
        <v>304</v>
      </c>
      <c r="D344" s="38">
        <v>679.8</v>
      </c>
      <c r="E344" s="38" t="s">
        <v>131</v>
      </c>
      <c r="F344" s="38">
        <v>339.9</v>
      </c>
    </row>
    <row r="345" spans="1:6">
      <c r="A345" s="38">
        <v>1.1000000000000001</v>
      </c>
      <c r="B345" s="38" t="s">
        <v>131</v>
      </c>
      <c r="C345" s="39" t="s">
        <v>306</v>
      </c>
      <c r="D345" s="38">
        <v>557.70000000000005</v>
      </c>
      <c r="E345" s="38" t="s">
        <v>131</v>
      </c>
      <c r="F345" s="38">
        <v>613.47</v>
      </c>
    </row>
    <row r="346" spans="1:6">
      <c r="A346" s="38">
        <v>2</v>
      </c>
      <c r="B346" s="38" t="s">
        <v>39</v>
      </c>
      <c r="C346" s="39" t="s">
        <v>1626</v>
      </c>
      <c r="D346" s="38">
        <v>42.7</v>
      </c>
      <c r="E346" s="38" t="s">
        <v>39</v>
      </c>
      <c r="F346" s="38">
        <v>85.4</v>
      </c>
    </row>
    <row r="347" spans="1:6">
      <c r="B347" s="38" t="s">
        <v>145</v>
      </c>
      <c r="C347" s="39" t="s">
        <v>146</v>
      </c>
      <c r="D347" s="38" t="s">
        <v>85</v>
      </c>
      <c r="E347" s="38" t="s">
        <v>145</v>
      </c>
    </row>
    <row r="348" spans="1:6">
      <c r="F348" s="38" t="s">
        <v>52</v>
      </c>
    </row>
    <row r="349" spans="1:6">
      <c r="A349" s="38" t="s">
        <v>85</v>
      </c>
      <c r="C349" s="39" t="s">
        <v>495</v>
      </c>
      <c r="F349" s="38">
        <v>2824.42</v>
      </c>
    </row>
    <row r="350" spans="1:6">
      <c r="F350" s="38" t="s">
        <v>52</v>
      </c>
    </row>
    <row r="351" spans="1:6">
      <c r="C351" s="39" t="s">
        <v>460</v>
      </c>
      <c r="F351" s="38">
        <v>282.44</v>
      </c>
    </row>
    <row r="352" spans="1:6">
      <c r="F352" s="38" t="s">
        <v>89</v>
      </c>
    </row>
    <row r="353" spans="1:6">
      <c r="C353" s="39" t="s">
        <v>85</v>
      </c>
    </row>
    <row r="355" spans="1:6">
      <c r="A355" s="38" t="s">
        <v>1627</v>
      </c>
      <c r="B355" s="38" t="s">
        <v>111</v>
      </c>
      <c r="C355" s="39" t="s">
        <v>1628</v>
      </c>
    </row>
    <row r="356" spans="1:6">
      <c r="C356" s="39" t="s">
        <v>1629</v>
      </c>
    </row>
    <row r="357" spans="1:6">
      <c r="C357" s="39" t="s">
        <v>1630</v>
      </c>
    </row>
    <row r="358" spans="1:6">
      <c r="C358" s="39" t="s">
        <v>1631</v>
      </c>
    </row>
    <row r="359" spans="1:6">
      <c r="C359" s="39" t="s">
        <v>52</v>
      </c>
      <c r="D359" s="38" t="s">
        <v>52</v>
      </c>
    </row>
    <row r="360" spans="1:6">
      <c r="B360" s="38" t="s">
        <v>956</v>
      </c>
      <c r="C360" s="39" t="s">
        <v>1632</v>
      </c>
    </row>
    <row r="361" spans="1:6">
      <c r="B361" s="38" t="s">
        <v>52</v>
      </c>
      <c r="C361" s="39" t="s">
        <v>52</v>
      </c>
    </row>
    <row r="362" spans="1:6">
      <c r="A362" s="38">
        <v>0.01</v>
      </c>
      <c r="B362" s="38" t="s">
        <v>5</v>
      </c>
      <c r="C362" s="39" t="s">
        <v>1633</v>
      </c>
      <c r="D362" s="38">
        <v>3410.21</v>
      </c>
      <c r="E362" s="38" t="s">
        <v>5</v>
      </c>
      <c r="F362" s="38">
        <v>47.74</v>
      </c>
    </row>
    <row r="363" spans="1:6">
      <c r="A363" s="38">
        <v>0.3</v>
      </c>
      <c r="B363" s="38" t="s">
        <v>727</v>
      </c>
      <c r="C363" s="39" t="s">
        <v>1634</v>
      </c>
      <c r="D363" s="38">
        <v>1041.7</v>
      </c>
      <c r="E363" s="38" t="s">
        <v>727</v>
      </c>
      <c r="F363" s="38">
        <v>312.51</v>
      </c>
    </row>
    <row r="364" spans="1:6">
      <c r="A364" s="38">
        <v>0.3</v>
      </c>
      <c r="B364" s="38" t="s">
        <v>727</v>
      </c>
      <c r="C364" s="39" t="s">
        <v>731</v>
      </c>
      <c r="D364" s="38">
        <v>679.8</v>
      </c>
      <c r="E364" s="38" t="s">
        <v>727</v>
      </c>
      <c r="F364" s="38">
        <v>203.94</v>
      </c>
    </row>
    <row r="365" spans="1:6">
      <c r="B365" s="38" t="s">
        <v>145</v>
      </c>
      <c r="C365" s="39" t="s">
        <v>1557</v>
      </c>
      <c r="E365" s="38" t="s">
        <v>145</v>
      </c>
      <c r="F365" s="38">
        <v>0</v>
      </c>
    </row>
    <row r="366" spans="1:6">
      <c r="F366" s="38" t="s">
        <v>52</v>
      </c>
    </row>
    <row r="367" spans="1:6">
      <c r="C367" s="39" t="s">
        <v>1635</v>
      </c>
      <c r="F367" s="38">
        <v>564.19000000000005</v>
      </c>
    </row>
    <row r="368" spans="1:6">
      <c r="F368" s="38" t="s">
        <v>52</v>
      </c>
    </row>
    <row r="369" spans="1:6">
      <c r="C369" s="39" t="s">
        <v>1636</v>
      </c>
      <c r="F369" s="38">
        <v>83.34</v>
      </c>
    </row>
    <row r="370" spans="1:6">
      <c r="A370" s="38" t="s">
        <v>85</v>
      </c>
    </row>
    <row r="371" spans="1:6">
      <c r="F371" s="38" t="s">
        <v>89</v>
      </c>
    </row>
    <row r="372" spans="1:6">
      <c r="B372" s="38" t="s">
        <v>986</v>
      </c>
      <c r="C372" s="39" t="s">
        <v>1637</v>
      </c>
    </row>
    <row r="373" spans="1:6">
      <c r="B373" s="38" t="s">
        <v>52</v>
      </c>
      <c r="C373" s="39" t="s">
        <v>52</v>
      </c>
    </row>
    <row r="374" spans="1:6">
      <c r="A374" s="38">
        <v>0.01</v>
      </c>
      <c r="B374" s="38" t="s">
        <v>5</v>
      </c>
      <c r="C374" s="39" t="s">
        <v>1633</v>
      </c>
      <c r="D374" s="38">
        <v>3410.21</v>
      </c>
      <c r="E374" s="38" t="s">
        <v>5</v>
      </c>
      <c r="F374" s="38">
        <v>23.87</v>
      </c>
    </row>
    <row r="375" spans="1:6">
      <c r="A375" s="38">
        <v>0.2</v>
      </c>
      <c r="B375" s="38" t="s">
        <v>727</v>
      </c>
      <c r="C375" s="39" t="s">
        <v>1634</v>
      </c>
      <c r="D375" s="38">
        <v>1041.7</v>
      </c>
      <c r="E375" s="38" t="s">
        <v>727</v>
      </c>
      <c r="F375" s="38">
        <v>208.34</v>
      </c>
    </row>
    <row r="376" spans="1:6">
      <c r="A376" s="38">
        <v>0.2</v>
      </c>
      <c r="B376" s="38" t="s">
        <v>727</v>
      </c>
      <c r="C376" s="39" t="s">
        <v>731</v>
      </c>
      <c r="D376" s="38">
        <v>679.8</v>
      </c>
      <c r="E376" s="38" t="s">
        <v>727</v>
      </c>
      <c r="F376" s="38">
        <v>135.96</v>
      </c>
    </row>
    <row r="377" spans="1:6">
      <c r="C377" s="39" t="s">
        <v>1557</v>
      </c>
      <c r="F377" s="38">
        <v>0</v>
      </c>
    </row>
    <row r="378" spans="1:6">
      <c r="F378" s="38" t="s">
        <v>52</v>
      </c>
    </row>
    <row r="379" spans="1:6">
      <c r="C379" s="39" t="s">
        <v>1635</v>
      </c>
      <c r="F379" s="38">
        <v>368.17</v>
      </c>
    </row>
    <row r="380" spans="1:6">
      <c r="F380" s="38" t="s">
        <v>52</v>
      </c>
    </row>
    <row r="381" spans="1:6">
      <c r="C381" s="39" t="s">
        <v>1636</v>
      </c>
      <c r="F381" s="38">
        <v>54.38</v>
      </c>
    </row>
    <row r="382" spans="1:6">
      <c r="F382" s="38" t="s">
        <v>89</v>
      </c>
    </row>
    <row r="385" spans="1:6">
      <c r="B385" s="38" t="s">
        <v>1018</v>
      </c>
      <c r="C385" s="39" t="s">
        <v>1638</v>
      </c>
    </row>
    <row r="386" spans="1:6">
      <c r="B386" s="38" t="s">
        <v>52</v>
      </c>
      <c r="C386" s="39" t="s">
        <v>52</v>
      </c>
    </row>
    <row r="387" spans="1:6">
      <c r="A387" s="38">
        <v>0</v>
      </c>
      <c r="B387" s="38" t="s">
        <v>5</v>
      </c>
      <c r="C387" s="39" t="s">
        <v>1633</v>
      </c>
      <c r="D387" s="38">
        <v>3410.21</v>
      </c>
      <c r="E387" s="38" t="s">
        <v>5</v>
      </c>
      <c r="F387" s="38">
        <v>16.03</v>
      </c>
    </row>
    <row r="388" spans="1:6">
      <c r="A388" s="38">
        <v>0.15</v>
      </c>
      <c r="B388" s="38" t="s">
        <v>727</v>
      </c>
      <c r="C388" s="39" t="s">
        <v>1634</v>
      </c>
      <c r="D388" s="38">
        <v>1041.7</v>
      </c>
      <c r="E388" s="38" t="s">
        <v>727</v>
      </c>
      <c r="F388" s="38">
        <v>156.26</v>
      </c>
    </row>
    <row r="389" spans="1:6">
      <c r="A389" s="38">
        <v>0.15</v>
      </c>
      <c r="B389" s="38" t="s">
        <v>727</v>
      </c>
      <c r="C389" s="39" t="s">
        <v>731</v>
      </c>
      <c r="D389" s="38">
        <v>679.8</v>
      </c>
      <c r="E389" s="38" t="s">
        <v>727</v>
      </c>
      <c r="F389" s="38">
        <v>101.97</v>
      </c>
    </row>
    <row r="390" spans="1:6">
      <c r="C390" s="39" t="s">
        <v>1557</v>
      </c>
      <c r="F390" s="38">
        <v>0</v>
      </c>
    </row>
    <row r="391" spans="1:6">
      <c r="F391" s="38" t="s">
        <v>52</v>
      </c>
    </row>
    <row r="392" spans="1:6">
      <c r="C392" s="39" t="s">
        <v>1635</v>
      </c>
      <c r="F392" s="38">
        <v>274.26</v>
      </c>
    </row>
    <row r="393" spans="1:6">
      <c r="F393" s="38" t="s">
        <v>52</v>
      </c>
    </row>
    <row r="394" spans="1:6">
      <c r="C394" s="39" t="s">
        <v>1636</v>
      </c>
      <c r="F394" s="38">
        <v>40.51</v>
      </c>
    </row>
    <row r="395" spans="1:6">
      <c r="F395" s="38" t="s">
        <v>89</v>
      </c>
    </row>
    <row r="397" spans="1:6">
      <c r="A397" s="38">
        <v>37.1</v>
      </c>
      <c r="B397" s="38" t="s">
        <v>111</v>
      </c>
      <c r="C397" s="39" t="s">
        <v>1639</v>
      </c>
    </row>
    <row r="398" spans="1:6">
      <c r="C398" s="39" t="s">
        <v>52</v>
      </c>
    </row>
    <row r="399" spans="1:6">
      <c r="A399" s="38">
        <v>0.09</v>
      </c>
      <c r="B399" s="38" t="s">
        <v>132</v>
      </c>
      <c r="C399" s="39" t="s">
        <v>202</v>
      </c>
      <c r="D399" s="38">
        <v>1348</v>
      </c>
      <c r="E399" s="38" t="s">
        <v>132</v>
      </c>
      <c r="F399" s="38">
        <v>121.32</v>
      </c>
    </row>
    <row r="400" spans="1:6">
      <c r="A400" s="38">
        <v>2.2000000000000002</v>
      </c>
      <c r="B400" s="38" t="s">
        <v>131</v>
      </c>
      <c r="C400" s="39" t="s">
        <v>302</v>
      </c>
      <c r="D400" s="38">
        <v>972.4</v>
      </c>
      <c r="E400" s="38" t="s">
        <v>131</v>
      </c>
      <c r="F400" s="38">
        <v>2139.2800000000002</v>
      </c>
    </row>
    <row r="401" spans="1:6">
      <c r="A401" s="38">
        <v>0.5</v>
      </c>
      <c r="B401" s="38" t="s">
        <v>131</v>
      </c>
      <c r="C401" s="39" t="s">
        <v>304</v>
      </c>
      <c r="D401" s="38">
        <v>679.8</v>
      </c>
      <c r="E401" s="38" t="s">
        <v>131</v>
      </c>
      <c r="F401" s="38">
        <v>339.9</v>
      </c>
    </row>
    <row r="402" spans="1:6">
      <c r="A402" s="38">
        <v>3.8</v>
      </c>
      <c r="B402" s="38" t="s">
        <v>131</v>
      </c>
      <c r="C402" s="39" t="s">
        <v>306</v>
      </c>
      <c r="D402" s="38">
        <v>557.70000000000005</v>
      </c>
      <c r="E402" s="38" t="s">
        <v>131</v>
      </c>
      <c r="F402" s="38">
        <v>2119.2600000000002</v>
      </c>
    </row>
    <row r="403" spans="1:6">
      <c r="B403" s="38" t="s">
        <v>145</v>
      </c>
      <c r="C403" s="39" t="s">
        <v>1640</v>
      </c>
      <c r="D403" s="38" t="s">
        <v>85</v>
      </c>
      <c r="E403" s="38" t="s">
        <v>145</v>
      </c>
      <c r="F403" s="38">
        <v>1.5</v>
      </c>
    </row>
    <row r="404" spans="1:6">
      <c r="F404" s="38" t="s">
        <v>52</v>
      </c>
    </row>
    <row r="405" spans="1:6">
      <c r="C405" s="39" t="s">
        <v>584</v>
      </c>
      <c r="F405" s="38">
        <v>4721.26</v>
      </c>
    </row>
    <row r="406" spans="1:6">
      <c r="F406" s="38" t="s">
        <v>52</v>
      </c>
    </row>
    <row r="407" spans="1:6">
      <c r="C407" s="39" t="s">
        <v>460</v>
      </c>
      <c r="F407" s="38">
        <v>47.21</v>
      </c>
    </row>
    <row r="408" spans="1:6">
      <c r="F408" s="38" t="s">
        <v>89</v>
      </c>
    </row>
    <row r="409" spans="1:6">
      <c r="A409" s="38" t="s">
        <v>1641</v>
      </c>
      <c r="B409" s="38" t="s">
        <v>111</v>
      </c>
      <c r="C409" s="39" t="s">
        <v>1642</v>
      </c>
    </row>
    <row r="410" spans="1:6">
      <c r="C410" s="39" t="s">
        <v>1643</v>
      </c>
    </row>
    <row r="411" spans="1:6">
      <c r="C411" s="39" t="s">
        <v>1644</v>
      </c>
    </row>
    <row r="412" spans="1:6">
      <c r="C412" s="39" t="s">
        <v>1645</v>
      </c>
    </row>
    <row r="413" spans="1:6">
      <c r="C413" s="39" t="s">
        <v>52</v>
      </c>
    </row>
    <row r="414" spans="1:6">
      <c r="A414" s="38">
        <v>4.8</v>
      </c>
      <c r="B414" s="38" t="s">
        <v>39</v>
      </c>
      <c r="C414" s="39" t="s">
        <v>494</v>
      </c>
      <c r="D414" s="38">
        <v>49.85</v>
      </c>
      <c r="E414" s="38" t="s">
        <v>39</v>
      </c>
      <c r="F414" s="38">
        <v>239.28</v>
      </c>
    </row>
    <row r="415" spans="1:6">
      <c r="A415" s="38">
        <v>0.75</v>
      </c>
      <c r="B415" s="38" t="s">
        <v>131</v>
      </c>
      <c r="C415" s="39" t="s">
        <v>1646</v>
      </c>
      <c r="D415" s="38">
        <v>831.6</v>
      </c>
      <c r="E415" s="38" t="s">
        <v>131</v>
      </c>
      <c r="F415" s="38">
        <v>623.70000000000005</v>
      </c>
    </row>
    <row r="416" spans="1:6">
      <c r="A416" s="38">
        <v>0.75</v>
      </c>
      <c r="B416" s="38" t="s">
        <v>131</v>
      </c>
      <c r="C416" s="39" t="s">
        <v>1568</v>
      </c>
      <c r="D416" s="38">
        <v>679.8</v>
      </c>
      <c r="E416" s="38" t="s">
        <v>131</v>
      </c>
      <c r="F416" s="38">
        <v>509.85</v>
      </c>
    </row>
    <row r="417" spans="1:6">
      <c r="A417" s="38">
        <v>1.2</v>
      </c>
      <c r="B417" s="38" t="s">
        <v>131</v>
      </c>
      <c r="C417" s="39" t="s">
        <v>306</v>
      </c>
      <c r="D417" s="38">
        <v>557.70000000000005</v>
      </c>
      <c r="E417" s="38" t="s">
        <v>131</v>
      </c>
      <c r="F417" s="38">
        <v>669.24</v>
      </c>
    </row>
    <row r="418" spans="1:6">
      <c r="B418" s="38" t="s">
        <v>145</v>
      </c>
      <c r="C418" s="39" t="s">
        <v>582</v>
      </c>
      <c r="D418" s="38" t="s">
        <v>85</v>
      </c>
      <c r="E418" s="38" t="s">
        <v>145</v>
      </c>
      <c r="F418" s="38">
        <v>1.5</v>
      </c>
    </row>
    <row r="419" spans="1:6">
      <c r="F419" s="38" t="s">
        <v>52</v>
      </c>
    </row>
    <row r="420" spans="1:6">
      <c r="C420" s="39" t="s">
        <v>495</v>
      </c>
      <c r="F420" s="38">
        <v>2043.57</v>
      </c>
    </row>
    <row r="421" spans="1:6">
      <c r="F421" s="38" t="s">
        <v>52</v>
      </c>
    </row>
    <row r="422" spans="1:6">
      <c r="C422" s="39" t="s">
        <v>460</v>
      </c>
      <c r="F422" s="38">
        <v>204.36</v>
      </c>
    </row>
    <row r="423" spans="1:6">
      <c r="F423" s="38" t="s">
        <v>89</v>
      </c>
    </row>
    <row r="424" spans="1:6">
      <c r="A424" s="38" t="s">
        <v>1647</v>
      </c>
      <c r="B424" s="38" t="s">
        <v>111</v>
      </c>
      <c r="C424" s="39" t="s">
        <v>4397</v>
      </c>
    </row>
    <row r="425" spans="1:6">
      <c r="C425" s="39" t="s">
        <v>1649</v>
      </c>
    </row>
    <row r="426" spans="1:6">
      <c r="A426" s="38">
        <v>3.08</v>
      </c>
      <c r="B426" s="38" t="s">
        <v>1650</v>
      </c>
      <c r="C426" s="39" t="s">
        <v>1648</v>
      </c>
      <c r="D426" s="38">
        <v>158</v>
      </c>
      <c r="E426" s="38" t="s">
        <v>1650</v>
      </c>
      <c r="F426" s="38">
        <v>486.64</v>
      </c>
    </row>
    <row r="427" spans="1:6">
      <c r="A427" s="38">
        <v>0.5</v>
      </c>
      <c r="B427" s="38" t="s">
        <v>727</v>
      </c>
      <c r="C427" s="39" t="s">
        <v>1651</v>
      </c>
      <c r="D427" s="38">
        <v>831.6</v>
      </c>
      <c r="E427" s="38" t="s">
        <v>727</v>
      </c>
      <c r="F427" s="38">
        <v>415.8</v>
      </c>
    </row>
    <row r="428" spans="1:6">
      <c r="A428" s="38">
        <v>0.5</v>
      </c>
      <c r="B428" s="38" t="s">
        <v>727</v>
      </c>
      <c r="C428" s="39" t="s">
        <v>731</v>
      </c>
      <c r="D428" s="38">
        <v>679.8</v>
      </c>
      <c r="E428" s="38" t="s">
        <v>727</v>
      </c>
      <c r="F428" s="38">
        <v>339.9</v>
      </c>
    </row>
    <row r="429" spans="1:6">
      <c r="A429" s="38">
        <v>0.8</v>
      </c>
      <c r="B429" s="38" t="s">
        <v>727</v>
      </c>
      <c r="C429" s="39" t="s">
        <v>1652</v>
      </c>
      <c r="D429" s="38">
        <v>557.70000000000005</v>
      </c>
      <c r="E429" s="38" t="s">
        <v>727</v>
      </c>
      <c r="F429" s="38">
        <v>446.16</v>
      </c>
    </row>
    <row r="430" spans="1:6">
      <c r="B430" s="38" t="s">
        <v>145</v>
      </c>
      <c r="C430" s="39" t="s">
        <v>582</v>
      </c>
      <c r="E430" s="38" t="s">
        <v>145</v>
      </c>
      <c r="F430" s="38">
        <v>1.5</v>
      </c>
    </row>
    <row r="432" spans="1:6">
      <c r="F432" s="38" t="s">
        <v>52</v>
      </c>
    </row>
    <row r="433" spans="1:6">
      <c r="C433" s="39" t="s">
        <v>1653</v>
      </c>
      <c r="F433" s="38">
        <v>1690</v>
      </c>
    </row>
    <row r="434" spans="1:6">
      <c r="F434" s="38" t="s">
        <v>52</v>
      </c>
    </row>
    <row r="435" spans="1:6">
      <c r="A435" s="38" t="s">
        <v>85</v>
      </c>
      <c r="B435" s="38" t="s">
        <v>85</v>
      </c>
      <c r="C435" s="39" t="s">
        <v>1560</v>
      </c>
      <c r="D435" s="38" t="s">
        <v>85</v>
      </c>
      <c r="E435" s="38" t="s">
        <v>85</v>
      </c>
      <c r="F435" s="38">
        <v>169</v>
      </c>
    </row>
    <row r="436" spans="1:6">
      <c r="F436" s="38" t="s">
        <v>89</v>
      </c>
    </row>
    <row r="437" spans="1:6">
      <c r="A437" s="38" t="s">
        <v>1654</v>
      </c>
      <c r="B437" s="38" t="s">
        <v>111</v>
      </c>
      <c r="C437" s="39" t="s">
        <v>4400</v>
      </c>
    </row>
    <row r="438" spans="1:6">
      <c r="C438" s="39" t="s">
        <v>1656</v>
      </c>
    </row>
    <row r="439" spans="1:6" ht="31.5">
      <c r="C439" s="39" t="s">
        <v>4401</v>
      </c>
    </row>
    <row r="440" spans="1:6">
      <c r="C440" s="39" t="s">
        <v>52</v>
      </c>
    </row>
    <row r="441" spans="1:6">
      <c r="A441" s="38">
        <v>1.44</v>
      </c>
      <c r="B441" s="38" t="s">
        <v>1658</v>
      </c>
      <c r="C441" s="39" t="s">
        <v>1659</v>
      </c>
      <c r="D441" s="38">
        <v>147.5</v>
      </c>
      <c r="E441" s="38" t="s">
        <v>1658</v>
      </c>
      <c r="F441" s="38">
        <v>212.4</v>
      </c>
    </row>
    <row r="442" spans="1:6">
      <c r="A442" s="38">
        <v>0.7</v>
      </c>
      <c r="B442" s="38" t="s">
        <v>237</v>
      </c>
      <c r="C442" s="39" t="s">
        <v>1660</v>
      </c>
      <c r="D442" s="38">
        <v>831.6</v>
      </c>
      <c r="E442" s="38" t="s">
        <v>237</v>
      </c>
      <c r="F442" s="38">
        <v>582.12</v>
      </c>
    </row>
    <row r="443" spans="1:6">
      <c r="A443" s="38">
        <v>2.5499999999999998</v>
      </c>
      <c r="B443" s="38" t="s">
        <v>1658</v>
      </c>
      <c r="C443" s="39" t="s">
        <v>1661</v>
      </c>
      <c r="D443" s="38">
        <v>238.9</v>
      </c>
      <c r="E443" s="38" t="s">
        <v>1658</v>
      </c>
      <c r="F443" s="38">
        <v>609.20000000000005</v>
      </c>
    </row>
    <row r="444" spans="1:6">
      <c r="A444" s="38">
        <v>1.2</v>
      </c>
      <c r="B444" s="38" t="s">
        <v>237</v>
      </c>
      <c r="C444" s="39" t="s">
        <v>1660</v>
      </c>
      <c r="D444" s="38">
        <v>831.6</v>
      </c>
      <c r="E444" s="38" t="s">
        <v>237</v>
      </c>
      <c r="F444" s="38">
        <v>997.92</v>
      </c>
    </row>
    <row r="445" spans="1:6">
      <c r="B445" s="38" t="s">
        <v>145</v>
      </c>
      <c r="C445" s="39" t="s">
        <v>1546</v>
      </c>
      <c r="D445" s="38" t="s">
        <v>85</v>
      </c>
      <c r="E445" s="38" t="s">
        <v>145</v>
      </c>
      <c r="F445" s="38">
        <v>1.5</v>
      </c>
    </row>
    <row r="446" spans="1:6">
      <c r="F446" s="38" t="s">
        <v>52</v>
      </c>
    </row>
    <row r="447" spans="1:6">
      <c r="C447" s="39" t="s">
        <v>495</v>
      </c>
      <c r="F447" s="38">
        <v>2403.14</v>
      </c>
    </row>
    <row r="448" spans="1:6">
      <c r="F448" s="38" t="s">
        <v>52</v>
      </c>
    </row>
    <row r="449" spans="1:6">
      <c r="C449" s="39" t="s">
        <v>460</v>
      </c>
      <c r="F449" s="38">
        <v>240.31</v>
      </c>
    </row>
    <row r="450" spans="1:6">
      <c r="A450" s="38" t="s">
        <v>85</v>
      </c>
    </row>
    <row r="451" spans="1:6">
      <c r="F451" s="38" t="s">
        <v>89</v>
      </c>
    </row>
    <row r="452" spans="1:6">
      <c r="A452" s="38">
        <v>41</v>
      </c>
      <c r="B452" s="38" t="s">
        <v>111</v>
      </c>
      <c r="C452" s="39" t="s">
        <v>1655</v>
      </c>
    </row>
    <row r="453" spans="1:6">
      <c r="C453" s="39" t="s">
        <v>1662</v>
      </c>
    </row>
    <row r="454" spans="1:6">
      <c r="C454" s="39" t="s">
        <v>1657</v>
      </c>
    </row>
    <row r="455" spans="1:6">
      <c r="C455" s="39" t="s">
        <v>52</v>
      </c>
    </row>
    <row r="456" spans="1:6">
      <c r="A456" s="38">
        <v>2.2200000000000002</v>
      </c>
      <c r="B456" s="38" t="s">
        <v>1658</v>
      </c>
      <c r="C456" s="39" t="s">
        <v>1661</v>
      </c>
      <c r="D456" s="38">
        <v>227.6</v>
      </c>
      <c r="E456" s="38" t="s">
        <v>1658</v>
      </c>
      <c r="F456" s="38">
        <v>505.27</v>
      </c>
    </row>
    <row r="457" spans="1:6">
      <c r="A457" s="38">
        <v>1.1000000000000001</v>
      </c>
      <c r="B457" s="38" t="s">
        <v>237</v>
      </c>
      <c r="C457" s="39" t="s">
        <v>1660</v>
      </c>
      <c r="D457" s="38">
        <v>831.6</v>
      </c>
      <c r="E457" s="38" t="s">
        <v>237</v>
      </c>
      <c r="F457" s="38">
        <v>914.76</v>
      </c>
    </row>
    <row r="458" spans="1:6">
      <c r="B458" s="38" t="s">
        <v>145</v>
      </c>
      <c r="C458" s="39" t="s">
        <v>1546</v>
      </c>
      <c r="D458" s="38" t="s">
        <v>85</v>
      </c>
      <c r="E458" s="38" t="s">
        <v>145</v>
      </c>
      <c r="F458" s="38">
        <v>1.5</v>
      </c>
    </row>
    <row r="459" spans="1:6">
      <c r="F459" s="38" t="s">
        <v>52</v>
      </c>
    </row>
    <row r="460" spans="1:6">
      <c r="C460" s="39" t="s">
        <v>495</v>
      </c>
      <c r="F460" s="38">
        <v>1421.53</v>
      </c>
    </row>
    <row r="461" spans="1:6">
      <c r="F461" s="38" t="s">
        <v>52</v>
      </c>
    </row>
    <row r="462" spans="1:6">
      <c r="C462" s="39" t="s">
        <v>460</v>
      </c>
      <c r="F462" s="38">
        <v>142.15</v>
      </c>
    </row>
    <row r="465" spans="1:6">
      <c r="A465" s="38">
        <v>238</v>
      </c>
      <c r="B465" s="38" t="s">
        <v>111</v>
      </c>
      <c r="C465" s="39" t="s">
        <v>1663</v>
      </c>
    </row>
    <row r="466" spans="1:6">
      <c r="C466" s="39" t="s">
        <v>4408</v>
      </c>
    </row>
    <row r="467" spans="1:6">
      <c r="C467" s="39" t="s">
        <v>52</v>
      </c>
    </row>
    <row r="468" spans="1:6">
      <c r="A468" s="38">
        <v>20</v>
      </c>
      <c r="B468" s="38" t="s">
        <v>1658</v>
      </c>
      <c r="C468" s="39" t="s">
        <v>6419</v>
      </c>
      <c r="D468" s="38">
        <v>116.2</v>
      </c>
      <c r="E468" s="38" t="s">
        <v>1658</v>
      </c>
      <c r="F468" s="38">
        <v>2324</v>
      </c>
    </row>
    <row r="469" spans="1:6">
      <c r="C469" s="39" t="s">
        <v>1666</v>
      </c>
      <c r="F469" s="38" t="s">
        <v>85</v>
      </c>
    </row>
    <row r="470" spans="1:6">
      <c r="A470" s="38">
        <v>50</v>
      </c>
      <c r="B470" s="38" t="s">
        <v>39</v>
      </c>
      <c r="C470" s="39" t="s">
        <v>123</v>
      </c>
      <c r="D470" s="38">
        <v>6.04</v>
      </c>
      <c r="E470" s="38" t="s">
        <v>39</v>
      </c>
      <c r="F470" s="38">
        <v>302</v>
      </c>
    </row>
    <row r="471" spans="1:6">
      <c r="A471" s="38">
        <v>1</v>
      </c>
      <c r="B471" s="38" t="s">
        <v>145</v>
      </c>
      <c r="C471" s="39" t="s">
        <v>1667</v>
      </c>
      <c r="D471" s="38">
        <v>75</v>
      </c>
      <c r="E471" s="38" t="s">
        <v>145</v>
      </c>
      <c r="F471" s="38">
        <v>75</v>
      </c>
    </row>
    <row r="472" spans="1:6">
      <c r="A472" s="38">
        <v>1</v>
      </c>
      <c r="B472" s="38" t="s">
        <v>145</v>
      </c>
      <c r="C472" s="39" t="s">
        <v>1668</v>
      </c>
      <c r="D472" s="38">
        <v>40</v>
      </c>
      <c r="E472" s="38" t="s">
        <v>145</v>
      </c>
      <c r="F472" s="38">
        <v>40</v>
      </c>
    </row>
    <row r="473" spans="1:6">
      <c r="A473" s="38">
        <v>2.5</v>
      </c>
      <c r="B473" s="38" t="s">
        <v>145</v>
      </c>
      <c r="C473" s="39" t="s">
        <v>1669</v>
      </c>
      <c r="D473" s="38">
        <v>805.2</v>
      </c>
      <c r="E473" s="38" t="s">
        <v>145</v>
      </c>
      <c r="F473" s="38">
        <v>2013</v>
      </c>
    </row>
    <row r="474" spans="1:6">
      <c r="B474" s="38" t="s">
        <v>145</v>
      </c>
      <c r="C474" s="39" t="s">
        <v>1670</v>
      </c>
      <c r="E474" s="38" t="s">
        <v>145</v>
      </c>
      <c r="F474" s="38">
        <v>1.5</v>
      </c>
    </row>
    <row r="475" spans="1:6">
      <c r="F475" s="38" t="s">
        <v>52</v>
      </c>
    </row>
    <row r="476" spans="1:6">
      <c r="C476" s="39" t="s">
        <v>1671</v>
      </c>
      <c r="F476" s="38">
        <v>4755.5</v>
      </c>
    </row>
    <row r="477" spans="1:6">
      <c r="F477" s="38" t="s">
        <v>52</v>
      </c>
    </row>
    <row r="479" spans="1:6">
      <c r="A479" s="38" t="s">
        <v>1672</v>
      </c>
      <c r="B479" s="38" t="s">
        <v>111</v>
      </c>
      <c r="C479" s="39" t="s">
        <v>1673</v>
      </c>
    </row>
    <row r="480" spans="1:6">
      <c r="C480" s="39" t="s">
        <v>1674</v>
      </c>
    </row>
    <row r="481" spans="1:6">
      <c r="C481" s="39" t="s">
        <v>52</v>
      </c>
    </row>
    <row r="482" spans="1:6">
      <c r="A482" s="38">
        <v>1</v>
      </c>
      <c r="B482" s="38" t="s">
        <v>1675</v>
      </c>
      <c r="C482" s="39" t="s">
        <v>1676</v>
      </c>
      <c r="D482" s="38">
        <v>58000</v>
      </c>
      <c r="E482" s="38" t="s">
        <v>11</v>
      </c>
      <c r="F482" s="38">
        <v>5800</v>
      </c>
    </row>
    <row r="483" spans="1:6">
      <c r="A483" s="38">
        <v>0.01</v>
      </c>
      <c r="B483" s="38" t="s">
        <v>1675</v>
      </c>
      <c r="C483" s="39" t="s">
        <v>389</v>
      </c>
      <c r="D483" s="38">
        <v>56350</v>
      </c>
      <c r="E483" s="38" t="s">
        <v>11</v>
      </c>
      <c r="F483" s="38">
        <v>56.35</v>
      </c>
    </row>
    <row r="484" spans="1:6">
      <c r="A484" s="38">
        <v>3.5</v>
      </c>
      <c r="B484" s="38" t="s">
        <v>237</v>
      </c>
      <c r="C484" s="39" t="s">
        <v>1677</v>
      </c>
      <c r="D484" s="38">
        <v>903.1</v>
      </c>
      <c r="E484" s="38" t="s">
        <v>729</v>
      </c>
      <c r="F484" s="38">
        <v>3160.85</v>
      </c>
    </row>
    <row r="485" spans="1:6">
      <c r="A485" s="38">
        <v>1.3</v>
      </c>
      <c r="B485" s="38" t="s">
        <v>39</v>
      </c>
      <c r="C485" s="39" t="s">
        <v>1678</v>
      </c>
      <c r="D485" s="38">
        <v>6.04</v>
      </c>
      <c r="E485" s="38" t="s">
        <v>39</v>
      </c>
      <c r="F485" s="38">
        <v>7.85</v>
      </c>
    </row>
    <row r="486" spans="1:6">
      <c r="A486" s="38">
        <v>0.25</v>
      </c>
      <c r="B486" s="38" t="s">
        <v>237</v>
      </c>
      <c r="C486" s="39" t="s">
        <v>1679</v>
      </c>
      <c r="D486" s="38">
        <v>805.2</v>
      </c>
      <c r="E486" s="38" t="s">
        <v>729</v>
      </c>
      <c r="F486" s="38">
        <v>201.3</v>
      </c>
    </row>
    <row r="487" spans="1:6">
      <c r="B487" s="38" t="s">
        <v>145</v>
      </c>
      <c r="C487" s="39" t="s">
        <v>146</v>
      </c>
      <c r="E487" s="38" t="s">
        <v>145</v>
      </c>
      <c r="F487" s="38">
        <v>0</v>
      </c>
    </row>
    <row r="488" spans="1:6">
      <c r="F488" s="38" t="s">
        <v>52</v>
      </c>
    </row>
    <row r="489" spans="1:6">
      <c r="C489" s="39" t="s">
        <v>1680</v>
      </c>
      <c r="F489" s="38">
        <v>9226.35</v>
      </c>
    </row>
    <row r="490" spans="1:6">
      <c r="F490" s="38" t="s">
        <v>52</v>
      </c>
    </row>
    <row r="491" spans="1:6">
      <c r="C491" s="39" t="s">
        <v>1681</v>
      </c>
      <c r="F491" s="38">
        <v>92263.5</v>
      </c>
    </row>
    <row r="494" spans="1:6">
      <c r="C494" s="39" t="s">
        <v>1682</v>
      </c>
    </row>
    <row r="495" spans="1:6">
      <c r="A495" s="38">
        <v>1</v>
      </c>
      <c r="B495" s="38" t="s">
        <v>1675</v>
      </c>
      <c r="C495" s="39" t="s">
        <v>1683</v>
      </c>
      <c r="D495" s="38">
        <v>58000</v>
      </c>
      <c r="E495" s="38" t="s">
        <v>11</v>
      </c>
      <c r="F495" s="38">
        <v>5800</v>
      </c>
    </row>
    <row r="496" spans="1:6">
      <c r="A496" s="38">
        <v>0.01</v>
      </c>
      <c r="B496" s="38" t="s">
        <v>1675</v>
      </c>
      <c r="C496" s="39" t="s">
        <v>389</v>
      </c>
      <c r="D496" s="38">
        <v>56350</v>
      </c>
      <c r="E496" s="38" t="s">
        <v>11</v>
      </c>
      <c r="F496" s="38">
        <v>56.35</v>
      </c>
    </row>
    <row r="497" spans="1:6">
      <c r="A497" s="38">
        <v>3.5</v>
      </c>
      <c r="B497" s="38" t="s">
        <v>237</v>
      </c>
      <c r="C497" s="39" t="s">
        <v>1677</v>
      </c>
      <c r="D497" s="38">
        <v>903.1</v>
      </c>
      <c r="E497" s="38" t="s">
        <v>729</v>
      </c>
      <c r="F497" s="38">
        <v>3160.85</v>
      </c>
    </row>
    <row r="498" spans="1:6">
      <c r="A498" s="38">
        <v>1.3</v>
      </c>
      <c r="B498" s="38" t="s">
        <v>39</v>
      </c>
      <c r="C498" s="39" t="s">
        <v>1678</v>
      </c>
      <c r="D498" s="38">
        <v>6.04</v>
      </c>
      <c r="E498" s="38" t="s">
        <v>39</v>
      </c>
      <c r="F498" s="38">
        <v>7.85</v>
      </c>
    </row>
    <row r="499" spans="1:6">
      <c r="A499" s="38">
        <v>0.25</v>
      </c>
      <c r="B499" s="38" t="s">
        <v>237</v>
      </c>
      <c r="C499" s="39" t="s">
        <v>1679</v>
      </c>
      <c r="D499" s="38">
        <v>805.2</v>
      </c>
      <c r="E499" s="38" t="s">
        <v>729</v>
      </c>
      <c r="F499" s="38">
        <v>201.3</v>
      </c>
    </row>
    <row r="500" spans="1:6">
      <c r="B500" s="38" t="s">
        <v>145</v>
      </c>
      <c r="C500" s="39" t="s">
        <v>146</v>
      </c>
      <c r="E500" s="38" t="s">
        <v>145</v>
      </c>
      <c r="F500" s="38">
        <v>0</v>
      </c>
    </row>
    <row r="501" spans="1:6">
      <c r="F501" s="38" t="s">
        <v>52</v>
      </c>
    </row>
    <row r="502" spans="1:6">
      <c r="C502" s="39" t="s">
        <v>1680</v>
      </c>
      <c r="F502" s="38">
        <v>9226.35</v>
      </c>
    </row>
    <row r="503" spans="1:6">
      <c r="F503" s="38" t="s">
        <v>52</v>
      </c>
    </row>
    <row r="504" spans="1:6">
      <c r="A504" s="38" t="s">
        <v>85</v>
      </c>
      <c r="C504" s="39" t="s">
        <v>1681</v>
      </c>
      <c r="F504" s="38">
        <v>92263.5</v>
      </c>
    </row>
    <row r="505" spans="1:6">
      <c r="A505" s="38" t="s">
        <v>1704</v>
      </c>
      <c r="B505" s="38" t="s">
        <v>111</v>
      </c>
      <c r="C505" s="39" t="s">
        <v>1705</v>
      </c>
    </row>
    <row r="506" spans="1:6">
      <c r="C506" s="39" t="s">
        <v>1706</v>
      </c>
    </row>
    <row r="507" spans="1:6">
      <c r="C507" s="39" t="s">
        <v>1707</v>
      </c>
      <c r="E507" s="38" t="s">
        <v>85</v>
      </c>
    </row>
    <row r="508" spans="1:6">
      <c r="C508" s="39" t="s">
        <v>1708</v>
      </c>
    </row>
    <row r="509" spans="1:6">
      <c r="C509" s="39" t="s">
        <v>1709</v>
      </c>
    </row>
    <row r="510" spans="1:6">
      <c r="C510" s="39" t="s">
        <v>1710</v>
      </c>
    </row>
    <row r="511" spans="1:6">
      <c r="C511" s="39" t="s">
        <v>1711</v>
      </c>
    </row>
    <row r="512" spans="1:6">
      <c r="C512" s="39" t="s">
        <v>1712</v>
      </c>
    </row>
    <row r="513" spans="1:6">
      <c r="C513" s="39" t="s">
        <v>1713</v>
      </c>
    </row>
    <row r="514" spans="1:6">
      <c r="C514" s="39" t="s">
        <v>89</v>
      </c>
    </row>
    <row r="516" spans="1:6">
      <c r="A516" s="38">
        <v>1</v>
      </c>
      <c r="B516" s="38" t="s">
        <v>13</v>
      </c>
      <c r="C516" s="39" t="s">
        <v>4414</v>
      </c>
      <c r="D516" s="38">
        <v>45.72</v>
      </c>
      <c r="E516" s="38" t="s">
        <v>13</v>
      </c>
      <c r="F516" s="38">
        <v>45.72</v>
      </c>
    </row>
    <row r="517" spans="1:6">
      <c r="A517" s="38">
        <v>1</v>
      </c>
      <c r="B517" s="38" t="s">
        <v>1715</v>
      </c>
      <c r="C517" s="39" t="s">
        <v>1716</v>
      </c>
      <c r="D517" s="38">
        <v>5</v>
      </c>
      <c r="E517" s="38" t="s">
        <v>1715</v>
      </c>
      <c r="F517" s="38">
        <v>5</v>
      </c>
    </row>
    <row r="518" spans="1:6">
      <c r="B518" s="38" t="s">
        <v>145</v>
      </c>
      <c r="C518" s="39" t="s">
        <v>1717</v>
      </c>
      <c r="E518" s="38" t="s">
        <v>145</v>
      </c>
      <c r="F518" s="38">
        <v>7.28</v>
      </c>
    </row>
    <row r="519" spans="1:6">
      <c r="F519" s="38" t="s">
        <v>52</v>
      </c>
    </row>
    <row r="520" spans="1:6">
      <c r="C520" s="39" t="s">
        <v>16</v>
      </c>
      <c r="F520" s="38">
        <v>58</v>
      </c>
    </row>
    <row r="521" spans="1:6">
      <c r="F521" s="38" t="s">
        <v>89</v>
      </c>
    </row>
    <row r="522" spans="1:6" ht="31.5">
      <c r="A522" s="38" t="s">
        <v>1718</v>
      </c>
      <c r="B522" s="38" t="s">
        <v>111</v>
      </c>
      <c r="C522" s="39" t="s">
        <v>6420</v>
      </c>
    </row>
    <row r="523" spans="1:6">
      <c r="C523" s="39" t="s">
        <v>1720</v>
      </c>
    </row>
    <row r="524" spans="1:6" ht="31.5">
      <c r="C524" s="39" t="s">
        <v>1721</v>
      </c>
    </row>
    <row r="525" spans="1:6" ht="31.5">
      <c r="C525" s="39" t="s">
        <v>1722</v>
      </c>
    </row>
    <row r="526" spans="1:6">
      <c r="C526" s="39" t="s">
        <v>1723</v>
      </c>
    </row>
    <row r="527" spans="1:6">
      <c r="C527" s="39" t="s">
        <v>52</v>
      </c>
      <c r="D527" s="38" t="s">
        <v>52</v>
      </c>
    </row>
    <row r="528" spans="1:6">
      <c r="A528" s="38">
        <v>1</v>
      </c>
      <c r="B528" s="38" t="s">
        <v>1724</v>
      </c>
      <c r="C528" s="39" t="s">
        <v>1725</v>
      </c>
      <c r="D528" s="38">
        <v>85</v>
      </c>
      <c r="E528" s="38" t="s">
        <v>729</v>
      </c>
      <c r="F528" s="38">
        <v>85</v>
      </c>
    </row>
    <row r="529" spans="1:6">
      <c r="B529" s="38" t="s">
        <v>145</v>
      </c>
      <c r="C529" s="39" t="s">
        <v>1726</v>
      </c>
      <c r="E529" s="38" t="s">
        <v>145</v>
      </c>
      <c r="F529" s="38">
        <v>7.5</v>
      </c>
    </row>
    <row r="530" spans="1:6">
      <c r="B530" s="38" t="s">
        <v>145</v>
      </c>
      <c r="C530" s="39" t="s">
        <v>1727</v>
      </c>
      <c r="E530" s="38" t="s">
        <v>145</v>
      </c>
      <c r="F530" s="38">
        <v>2.5</v>
      </c>
    </row>
    <row r="531" spans="1:6">
      <c r="C531" s="39" t="s">
        <v>1728</v>
      </c>
      <c r="F531" s="38" t="s">
        <v>52</v>
      </c>
    </row>
    <row r="532" spans="1:6">
      <c r="C532" s="39" t="s">
        <v>16</v>
      </c>
      <c r="F532" s="38">
        <v>95</v>
      </c>
    </row>
    <row r="533" spans="1:6">
      <c r="F533" s="38" t="s">
        <v>89</v>
      </c>
    </row>
    <row r="534" spans="1:6">
      <c r="A534" s="38" t="s">
        <v>1729</v>
      </c>
      <c r="B534" s="38" t="s">
        <v>111</v>
      </c>
      <c r="C534" s="39" t="s">
        <v>6421</v>
      </c>
    </row>
    <row r="535" spans="1:6">
      <c r="C535" s="39" t="s">
        <v>1731</v>
      </c>
      <c r="F535" s="38" t="s">
        <v>85</v>
      </c>
    </row>
    <row r="536" spans="1:6">
      <c r="C536" s="39" t="s">
        <v>52</v>
      </c>
    </row>
    <row r="537" spans="1:6">
      <c r="A537" s="38">
        <v>1</v>
      </c>
      <c r="B537" s="38" t="s">
        <v>1724</v>
      </c>
      <c r="C537" s="39" t="s">
        <v>1732</v>
      </c>
      <c r="D537" s="38">
        <v>50</v>
      </c>
      <c r="E537" s="38" t="s">
        <v>729</v>
      </c>
      <c r="F537" s="38">
        <v>50</v>
      </c>
    </row>
    <row r="538" spans="1:6">
      <c r="B538" s="38" t="s">
        <v>145</v>
      </c>
      <c r="C538" s="39" t="s">
        <v>1733</v>
      </c>
      <c r="E538" s="38" t="s">
        <v>145</v>
      </c>
      <c r="F538" s="38">
        <v>5</v>
      </c>
    </row>
    <row r="539" spans="1:6">
      <c r="F539" s="38" t="s">
        <v>52</v>
      </c>
    </row>
    <row r="540" spans="1:6">
      <c r="C540" s="39" t="s">
        <v>1734</v>
      </c>
      <c r="F540" s="38">
        <v>55</v>
      </c>
    </row>
    <row r="541" spans="1:6">
      <c r="F541" s="38" t="s">
        <v>89</v>
      </c>
    </row>
    <row r="542" spans="1:6">
      <c r="A542" s="38" t="s">
        <v>1735</v>
      </c>
      <c r="B542" s="38" t="s">
        <v>111</v>
      </c>
      <c r="C542" s="39" t="s">
        <v>6422</v>
      </c>
    </row>
    <row r="543" spans="1:6">
      <c r="C543" s="39" t="s">
        <v>52</v>
      </c>
      <c r="D543" s="38" t="s">
        <v>52</v>
      </c>
    </row>
    <row r="544" spans="1:6">
      <c r="A544" s="38">
        <v>1</v>
      </c>
      <c r="B544" s="38" t="s">
        <v>1724</v>
      </c>
      <c r="C544" s="39" t="s">
        <v>1737</v>
      </c>
      <c r="D544" s="38">
        <v>1.2</v>
      </c>
      <c r="E544" s="38" t="s">
        <v>729</v>
      </c>
      <c r="F544" s="38">
        <v>1.2</v>
      </c>
    </row>
    <row r="545" spans="1:6">
      <c r="B545" s="38" t="s">
        <v>145</v>
      </c>
      <c r="C545" s="39" t="s">
        <v>1733</v>
      </c>
      <c r="E545" s="38" t="s">
        <v>145</v>
      </c>
      <c r="F545" s="38">
        <v>0.3</v>
      </c>
    </row>
    <row r="546" spans="1:6">
      <c r="F546" s="38" t="s">
        <v>52</v>
      </c>
    </row>
    <row r="547" spans="1:6">
      <c r="C547" s="39" t="s">
        <v>1734</v>
      </c>
      <c r="F547" s="38">
        <v>1.5</v>
      </c>
    </row>
    <row r="548" spans="1:6">
      <c r="A548" s="38" t="s">
        <v>85</v>
      </c>
      <c r="F548" s="38" t="s">
        <v>52</v>
      </c>
    </row>
    <row r="549" spans="1:6">
      <c r="A549" s="38" t="s">
        <v>1760</v>
      </c>
      <c r="B549" s="38" t="s">
        <v>483</v>
      </c>
      <c r="C549" s="39" t="s">
        <v>1748</v>
      </c>
    </row>
    <row r="550" spans="1:6">
      <c r="C550" s="39" t="s">
        <v>6423</v>
      </c>
    </row>
    <row r="551" spans="1:6">
      <c r="C551" s="39" t="s">
        <v>52</v>
      </c>
      <c r="D551" s="38" t="s">
        <v>52</v>
      </c>
    </row>
    <row r="552" spans="1:6">
      <c r="A552" s="38">
        <v>0.41</v>
      </c>
      <c r="B552" s="38" t="s">
        <v>5</v>
      </c>
      <c r="C552" s="39" t="s">
        <v>1750</v>
      </c>
      <c r="D552" s="38">
        <v>5875</v>
      </c>
      <c r="E552" s="38" t="s">
        <v>5</v>
      </c>
      <c r="F552" s="38">
        <v>2379.38</v>
      </c>
    </row>
    <row r="553" spans="1:6">
      <c r="A553" s="38" t="s">
        <v>85</v>
      </c>
      <c r="B553" s="38" t="s">
        <v>85</v>
      </c>
      <c r="C553" s="39" t="s">
        <v>1762</v>
      </c>
      <c r="D553" s="38" t="s">
        <v>49</v>
      </c>
      <c r="F553" s="38" t="s">
        <v>85</v>
      </c>
    </row>
    <row r="554" spans="1:6">
      <c r="F554" s="38" t="s">
        <v>52</v>
      </c>
    </row>
    <row r="555" spans="1:6">
      <c r="C555" s="39" t="s">
        <v>1763</v>
      </c>
      <c r="F555" s="38">
        <v>2379.38</v>
      </c>
    </row>
    <row r="556" spans="1:6">
      <c r="F556" s="38" t="s">
        <v>52</v>
      </c>
    </row>
    <row r="557" spans="1:6">
      <c r="C557" s="39" t="s">
        <v>1764</v>
      </c>
      <c r="F557" s="38">
        <v>264.38</v>
      </c>
    </row>
    <row r="558" spans="1:6">
      <c r="F558" s="38" t="s">
        <v>89</v>
      </c>
    </row>
    <row r="559" spans="1:6">
      <c r="A559" s="38" t="s">
        <v>1765</v>
      </c>
      <c r="C559" s="39" t="s">
        <v>1766</v>
      </c>
    </row>
    <row r="560" spans="1:6">
      <c r="C560" s="39" t="s">
        <v>52</v>
      </c>
    </row>
    <row r="561" spans="1:6">
      <c r="A561" s="38">
        <v>4.32</v>
      </c>
      <c r="B561" s="38" t="s">
        <v>132</v>
      </c>
      <c r="C561" s="39" t="s">
        <v>1767</v>
      </c>
      <c r="D561" s="38">
        <v>116.88</v>
      </c>
      <c r="E561" s="38" t="s">
        <v>132</v>
      </c>
      <c r="F561" s="38">
        <v>504.92</v>
      </c>
    </row>
    <row r="562" spans="1:6">
      <c r="A562" s="38">
        <v>1.44</v>
      </c>
      <c r="B562" s="38" t="s">
        <v>132</v>
      </c>
      <c r="C562" s="39" t="s">
        <v>1768</v>
      </c>
      <c r="D562" s="38">
        <v>69.099999999999994</v>
      </c>
      <c r="E562" s="38" t="s">
        <v>132</v>
      </c>
      <c r="F562" s="38">
        <v>99.5</v>
      </c>
    </row>
    <row r="563" spans="1:6">
      <c r="A563" s="38">
        <v>1.44</v>
      </c>
      <c r="B563" s="38" t="s">
        <v>132</v>
      </c>
      <c r="C563" s="39" t="s">
        <v>1769</v>
      </c>
      <c r="D563" s="38">
        <v>366.57</v>
      </c>
      <c r="E563" s="38" t="s">
        <v>132</v>
      </c>
      <c r="F563" s="38">
        <v>527.86</v>
      </c>
    </row>
    <row r="564" spans="1:6">
      <c r="A564" s="38">
        <v>1.44</v>
      </c>
      <c r="B564" s="38" t="s">
        <v>132</v>
      </c>
      <c r="C564" s="39" t="s">
        <v>1770</v>
      </c>
      <c r="D564" s="38">
        <v>1549.69</v>
      </c>
      <c r="E564" s="38" t="s">
        <v>132</v>
      </c>
      <c r="F564" s="38">
        <v>2231.5500000000002</v>
      </c>
    </row>
    <row r="565" spans="1:6">
      <c r="A565" s="38">
        <v>2.88</v>
      </c>
      <c r="B565" s="38" t="s">
        <v>132</v>
      </c>
      <c r="C565" s="39" t="s">
        <v>1771</v>
      </c>
      <c r="D565" s="38">
        <v>10</v>
      </c>
      <c r="E565" s="38" t="s">
        <v>132</v>
      </c>
      <c r="F565" s="38">
        <v>28.8</v>
      </c>
    </row>
    <row r="566" spans="1:6">
      <c r="A566" s="38">
        <v>20</v>
      </c>
      <c r="B566" s="38" t="s">
        <v>1772</v>
      </c>
      <c r="C566" s="39" t="s">
        <v>1773</v>
      </c>
      <c r="D566" s="38">
        <v>46.1</v>
      </c>
      <c r="E566" s="38" t="s">
        <v>1772</v>
      </c>
      <c r="F566" s="38">
        <v>922</v>
      </c>
    </row>
    <row r="567" spans="1:6">
      <c r="A567" s="38">
        <v>42</v>
      </c>
      <c r="B567" s="38" t="s">
        <v>1774</v>
      </c>
      <c r="C567" s="39" t="s">
        <v>4421</v>
      </c>
      <c r="D567" s="38">
        <v>17.5</v>
      </c>
      <c r="E567" s="38" t="s">
        <v>1774</v>
      </c>
      <c r="F567" s="38">
        <v>735</v>
      </c>
    </row>
    <row r="568" spans="1:6">
      <c r="A568" s="38">
        <v>4.32</v>
      </c>
      <c r="B568" s="38" t="s">
        <v>132</v>
      </c>
      <c r="C568" s="39" t="s">
        <v>1776</v>
      </c>
      <c r="D568" s="38">
        <v>40.65</v>
      </c>
      <c r="E568" s="38" t="s">
        <v>132</v>
      </c>
      <c r="F568" s="38">
        <v>175.61</v>
      </c>
    </row>
    <row r="569" spans="1:6">
      <c r="A569" s="38" t="s">
        <v>1777</v>
      </c>
      <c r="C569" s="39" t="s">
        <v>1778</v>
      </c>
      <c r="F569" s="38">
        <v>2000</v>
      </c>
    </row>
    <row r="570" spans="1:6">
      <c r="F570" s="38" t="s">
        <v>52</v>
      </c>
    </row>
    <row r="571" spans="1:6">
      <c r="C571" s="39" t="s">
        <v>1779</v>
      </c>
      <c r="F571" s="38">
        <v>7225.24</v>
      </c>
    </row>
    <row r="572" spans="1:6">
      <c r="F572" s="38" t="s">
        <v>52</v>
      </c>
    </row>
    <row r="573" spans="1:6">
      <c r="C573" s="39" t="s">
        <v>1780</v>
      </c>
      <c r="F573" s="38">
        <v>361.26</v>
      </c>
    </row>
    <row r="574" spans="1:6">
      <c r="F574" s="38" t="s">
        <v>89</v>
      </c>
    </row>
    <row r="576" spans="1:6">
      <c r="A576" s="38" t="s">
        <v>1781</v>
      </c>
      <c r="C576" s="39" t="s">
        <v>1782</v>
      </c>
    </row>
    <row r="577" spans="1:6">
      <c r="C577" s="39" t="s">
        <v>52</v>
      </c>
    </row>
    <row r="578" spans="1:6">
      <c r="A578" s="38">
        <v>0.1</v>
      </c>
      <c r="B578" s="38" t="s">
        <v>132</v>
      </c>
      <c r="C578" s="39" t="s">
        <v>1767</v>
      </c>
      <c r="D578" s="38">
        <v>233.76</v>
      </c>
      <c r="E578" s="38" t="s">
        <v>132</v>
      </c>
      <c r="F578" s="38">
        <v>23.38</v>
      </c>
    </row>
    <row r="579" spans="1:6">
      <c r="A579" s="38">
        <v>6.3</v>
      </c>
      <c r="B579" s="38" t="s">
        <v>1774</v>
      </c>
      <c r="C579" s="39" t="s">
        <v>4422</v>
      </c>
      <c r="D579" s="38">
        <v>34.6</v>
      </c>
      <c r="E579" s="38" t="s">
        <v>1774</v>
      </c>
      <c r="F579" s="38">
        <v>217.98</v>
      </c>
    </row>
    <row r="580" spans="1:6">
      <c r="A580" s="38">
        <v>6.3</v>
      </c>
      <c r="B580" s="38" t="s">
        <v>1774</v>
      </c>
      <c r="C580" s="39" t="s">
        <v>4423</v>
      </c>
      <c r="D580" s="38">
        <v>17.5</v>
      </c>
      <c r="E580" s="38" t="s">
        <v>1774</v>
      </c>
      <c r="F580" s="38">
        <v>110.25</v>
      </c>
    </row>
    <row r="581" spans="1:6">
      <c r="A581" s="38">
        <v>3.15</v>
      </c>
      <c r="B581" s="38" t="s">
        <v>468</v>
      </c>
      <c r="C581" s="39" t="s">
        <v>1784</v>
      </c>
      <c r="D581" s="38">
        <v>40.65</v>
      </c>
      <c r="E581" s="38" t="s">
        <v>468</v>
      </c>
      <c r="F581" s="38">
        <v>128.05000000000001</v>
      </c>
    </row>
    <row r="582" spans="1:6">
      <c r="A582" s="38">
        <v>0.25</v>
      </c>
      <c r="B582" s="38" t="s">
        <v>1724</v>
      </c>
      <c r="C582" s="39" t="s">
        <v>1785</v>
      </c>
      <c r="D582" s="38">
        <v>972.4</v>
      </c>
      <c r="E582" s="38" t="s">
        <v>1724</v>
      </c>
      <c r="F582" s="38">
        <v>243.1</v>
      </c>
    </row>
    <row r="583" spans="1:6">
      <c r="A583" s="38">
        <v>0.2</v>
      </c>
      <c r="B583" s="38" t="s">
        <v>1724</v>
      </c>
      <c r="C583" s="39" t="s">
        <v>1786</v>
      </c>
      <c r="D583" s="38">
        <v>903.1</v>
      </c>
      <c r="E583" s="38" t="s">
        <v>1724</v>
      </c>
      <c r="F583" s="38">
        <v>180.62</v>
      </c>
    </row>
    <row r="584" spans="1:6">
      <c r="C584" s="39" t="s">
        <v>1787</v>
      </c>
      <c r="D584" s="38" t="s">
        <v>85</v>
      </c>
      <c r="E584" s="38" t="s">
        <v>85</v>
      </c>
      <c r="F584" s="38">
        <v>0</v>
      </c>
    </row>
    <row r="585" spans="1:6">
      <c r="E585" s="38" t="s">
        <v>85</v>
      </c>
      <c r="F585" s="38" t="s">
        <v>52</v>
      </c>
    </row>
    <row r="586" spans="1:6">
      <c r="A586" s="38" t="s">
        <v>85</v>
      </c>
      <c r="B586" s="38" t="s">
        <v>85</v>
      </c>
      <c r="C586" s="39" t="s">
        <v>1780</v>
      </c>
      <c r="F586" s="38">
        <v>903.38</v>
      </c>
    </row>
    <row r="587" spans="1:6">
      <c r="C587" s="39" t="s">
        <v>85</v>
      </c>
      <c r="F587" s="38" t="s">
        <v>52</v>
      </c>
    </row>
    <row r="589" spans="1:6">
      <c r="A589" s="38" t="s">
        <v>1788</v>
      </c>
      <c r="C589" s="39" t="s">
        <v>1789</v>
      </c>
    </row>
    <row r="590" spans="1:6">
      <c r="C590" s="39" t="s">
        <v>52</v>
      </c>
    </row>
    <row r="591" spans="1:6">
      <c r="A591" s="38">
        <v>0.49</v>
      </c>
      <c r="B591" s="38" t="s">
        <v>34</v>
      </c>
      <c r="C591" s="39" t="s">
        <v>1767</v>
      </c>
      <c r="D591" s="38">
        <v>116.88</v>
      </c>
      <c r="E591" s="38" t="s">
        <v>34</v>
      </c>
      <c r="F591" s="38">
        <v>56.8</v>
      </c>
    </row>
    <row r="592" spans="1:6">
      <c r="A592" s="38">
        <v>0.49</v>
      </c>
      <c r="B592" s="38" t="s">
        <v>34</v>
      </c>
      <c r="C592" s="39" t="s">
        <v>1790</v>
      </c>
      <c r="D592" s="38">
        <v>4861.75</v>
      </c>
      <c r="E592" s="38" t="s">
        <v>34</v>
      </c>
      <c r="F592" s="38">
        <v>2362.81</v>
      </c>
    </row>
    <row r="593" spans="1:6">
      <c r="A593" s="38">
        <v>81.75</v>
      </c>
      <c r="B593" s="38" t="s">
        <v>1791</v>
      </c>
      <c r="C593" s="39" t="s">
        <v>1792</v>
      </c>
      <c r="D593" s="38">
        <v>53</v>
      </c>
      <c r="E593" s="38" t="s">
        <v>1791</v>
      </c>
      <c r="F593" s="38">
        <v>4332.75</v>
      </c>
    </row>
    <row r="594" spans="1:6">
      <c r="A594" s="38">
        <v>7.2</v>
      </c>
      <c r="B594" s="38" t="s">
        <v>1791</v>
      </c>
      <c r="C594" s="39" t="s">
        <v>1793</v>
      </c>
      <c r="D594" s="38">
        <v>53</v>
      </c>
      <c r="E594" s="38" t="s">
        <v>1791</v>
      </c>
      <c r="F594" s="38">
        <v>381.6</v>
      </c>
    </row>
    <row r="595" spans="1:6">
      <c r="A595" s="38">
        <v>43.68</v>
      </c>
      <c r="B595" s="38" t="s">
        <v>1791</v>
      </c>
      <c r="C595" s="39" t="s">
        <v>1794</v>
      </c>
      <c r="D595" s="38">
        <v>53</v>
      </c>
      <c r="E595" s="38" t="s">
        <v>1791</v>
      </c>
      <c r="F595" s="38">
        <v>2315.04</v>
      </c>
    </row>
    <row r="596" spans="1:6">
      <c r="A596" s="38">
        <v>132.63</v>
      </c>
      <c r="B596" s="38" t="s">
        <v>1791</v>
      </c>
      <c r="C596" s="39" t="s">
        <v>1795</v>
      </c>
      <c r="D596" s="38">
        <v>57.75</v>
      </c>
      <c r="E596" s="38" t="s">
        <v>1791</v>
      </c>
      <c r="F596" s="38">
        <v>7659.38</v>
      </c>
    </row>
    <row r="597" spans="1:6">
      <c r="A597" s="38">
        <v>2.2000000000000002</v>
      </c>
      <c r="B597" s="38" t="s">
        <v>468</v>
      </c>
      <c r="C597" s="39" t="s">
        <v>6424</v>
      </c>
      <c r="D597" s="38">
        <v>970</v>
      </c>
      <c r="E597" s="38" t="s">
        <v>468</v>
      </c>
      <c r="F597" s="38">
        <v>2134</v>
      </c>
    </row>
    <row r="598" spans="1:6">
      <c r="A598" s="38" t="s">
        <v>49</v>
      </c>
      <c r="C598" s="39" t="s">
        <v>1797</v>
      </c>
      <c r="D598" s="38" t="s">
        <v>49</v>
      </c>
      <c r="F598" s="38">
        <v>250</v>
      </c>
    </row>
    <row r="599" spans="1:6">
      <c r="A599" s="38" t="s">
        <v>49</v>
      </c>
      <c r="C599" s="39" t="s">
        <v>1798</v>
      </c>
      <c r="D599" s="38" t="s">
        <v>49</v>
      </c>
      <c r="F599" s="38">
        <v>20.47</v>
      </c>
    </row>
    <row r="600" spans="1:6">
      <c r="F600" s="38" t="s">
        <v>52</v>
      </c>
    </row>
    <row r="601" spans="1:6">
      <c r="F601" s="38">
        <v>19512.849999999999</v>
      </c>
    </row>
    <row r="602" spans="1:6">
      <c r="F602" s="38" t="s">
        <v>52</v>
      </c>
    </row>
    <row r="604" spans="1:6">
      <c r="A604" s="38">
        <v>86</v>
      </c>
      <c r="C604" s="39" t="s">
        <v>1134</v>
      </c>
      <c r="F604" s="38">
        <v>33.9</v>
      </c>
    </row>
    <row r="606" spans="1:6" ht="31.5">
      <c r="A606" s="38">
        <v>52</v>
      </c>
      <c r="B606" s="38" t="s">
        <v>111</v>
      </c>
      <c r="C606" s="39" t="s">
        <v>1810</v>
      </c>
    </row>
    <row r="607" spans="1:6">
      <c r="C607" s="39" t="s">
        <v>1811</v>
      </c>
    </row>
    <row r="608" spans="1:6">
      <c r="C608" s="39" t="s">
        <v>1812</v>
      </c>
    </row>
    <row r="609" spans="1:6" ht="31.5">
      <c r="C609" s="39" t="s">
        <v>1813</v>
      </c>
    </row>
    <row r="610" spans="1:6" ht="31.5">
      <c r="C610" s="39" t="s">
        <v>1814</v>
      </c>
    </row>
    <row r="611" spans="1:6" ht="31.5">
      <c r="C611" s="39" t="s">
        <v>1815</v>
      </c>
    </row>
    <row r="612" spans="1:6">
      <c r="C612" s="39" t="s">
        <v>1816</v>
      </c>
    </row>
    <row r="613" spans="1:6">
      <c r="C613" s="39" t="s">
        <v>1817</v>
      </c>
    </row>
    <row r="614" spans="1:6">
      <c r="C614" s="39" t="s">
        <v>89</v>
      </c>
      <c r="D614" s="38" t="s">
        <v>89</v>
      </c>
    </row>
    <row r="615" spans="1:6">
      <c r="B615" s="38" t="s">
        <v>111</v>
      </c>
      <c r="C615" s="39" t="s">
        <v>1818</v>
      </c>
    </row>
    <row r="616" spans="1:6">
      <c r="C616" s="39" t="s">
        <v>1819</v>
      </c>
    </row>
    <row r="617" spans="1:6">
      <c r="B617" s="38" t="s">
        <v>1018</v>
      </c>
      <c r="C617" s="39" t="s">
        <v>1820</v>
      </c>
    </row>
    <row r="618" spans="1:6">
      <c r="C618" s="39" t="s">
        <v>52</v>
      </c>
    </row>
    <row r="619" spans="1:6">
      <c r="A619" s="38">
        <v>1</v>
      </c>
      <c r="B619" s="38" t="s">
        <v>13</v>
      </c>
      <c r="C619" s="39" t="s">
        <v>1821</v>
      </c>
      <c r="D619" s="38">
        <v>26</v>
      </c>
      <c r="E619" s="38" t="s">
        <v>13</v>
      </c>
      <c r="F619" s="38">
        <v>26</v>
      </c>
    </row>
    <row r="620" spans="1:6">
      <c r="A620" s="38">
        <v>1</v>
      </c>
      <c r="B620" s="38" t="s">
        <v>145</v>
      </c>
      <c r="C620" s="39" t="s">
        <v>1822</v>
      </c>
      <c r="D620" s="38">
        <v>18.2</v>
      </c>
      <c r="E620" s="38" t="s">
        <v>145</v>
      </c>
      <c r="F620" s="38">
        <v>18.2</v>
      </c>
    </row>
    <row r="621" spans="1:6">
      <c r="A621" s="38">
        <v>1</v>
      </c>
      <c r="B621" s="38" t="s">
        <v>13</v>
      </c>
      <c r="C621" s="39" t="s">
        <v>1823</v>
      </c>
      <c r="D621" s="38">
        <v>191.23</v>
      </c>
      <c r="E621" s="38" t="s">
        <v>13</v>
      </c>
      <c r="F621" s="38">
        <v>191.23</v>
      </c>
    </row>
    <row r="622" spans="1:6">
      <c r="D622" s="38" t="s">
        <v>85</v>
      </c>
      <c r="F622" s="38" t="s">
        <v>52</v>
      </c>
    </row>
    <row r="623" spans="1:6">
      <c r="C623" s="39" t="s">
        <v>1824</v>
      </c>
      <c r="F623" s="38">
        <v>235.43</v>
      </c>
    </row>
    <row r="624" spans="1:6">
      <c r="C624" s="39" t="s">
        <v>85</v>
      </c>
      <c r="D624" s="38" t="s">
        <v>85</v>
      </c>
      <c r="F624" s="38" t="s">
        <v>89</v>
      </c>
    </row>
    <row r="625" spans="1:6">
      <c r="B625" s="38" t="s">
        <v>986</v>
      </c>
      <c r="C625" s="39" t="s">
        <v>1825</v>
      </c>
    </row>
    <row r="626" spans="1:6">
      <c r="C626" s="39" t="s">
        <v>52</v>
      </c>
    </row>
    <row r="627" spans="1:6">
      <c r="A627" s="38">
        <v>1</v>
      </c>
      <c r="B627" s="38" t="s">
        <v>13</v>
      </c>
      <c r="C627" s="39" t="s">
        <v>1826</v>
      </c>
      <c r="D627" s="38">
        <v>35</v>
      </c>
      <c r="E627" s="38" t="s">
        <v>13</v>
      </c>
      <c r="F627" s="38">
        <v>35</v>
      </c>
    </row>
    <row r="628" spans="1:6">
      <c r="A628" s="38">
        <v>1</v>
      </c>
      <c r="B628" s="38" t="s">
        <v>145</v>
      </c>
      <c r="C628" s="39" t="s">
        <v>1827</v>
      </c>
      <c r="D628" s="38">
        <v>14</v>
      </c>
      <c r="E628" s="38" t="s">
        <v>145</v>
      </c>
      <c r="F628" s="38">
        <v>14</v>
      </c>
    </row>
    <row r="629" spans="1:6">
      <c r="A629" s="38">
        <v>1</v>
      </c>
      <c r="B629" s="38" t="s">
        <v>13</v>
      </c>
      <c r="C629" s="39" t="s">
        <v>1823</v>
      </c>
      <c r="D629" s="38">
        <v>191.21</v>
      </c>
      <c r="E629" s="38" t="s">
        <v>13</v>
      </c>
      <c r="F629" s="38">
        <v>191.21</v>
      </c>
    </row>
    <row r="630" spans="1:6">
      <c r="D630" s="38" t="s">
        <v>85</v>
      </c>
      <c r="F630" s="38" t="s">
        <v>52</v>
      </c>
    </row>
    <row r="631" spans="1:6">
      <c r="C631" s="39" t="s">
        <v>1824</v>
      </c>
      <c r="F631" s="38">
        <v>240.21</v>
      </c>
    </row>
    <row r="632" spans="1:6">
      <c r="D632" s="38" t="s">
        <v>85</v>
      </c>
      <c r="F632" s="38" t="s">
        <v>89</v>
      </c>
    </row>
    <row r="633" spans="1:6">
      <c r="B633" s="38" t="s">
        <v>956</v>
      </c>
      <c r="C633" s="39" t="s">
        <v>1828</v>
      </c>
    </row>
    <row r="634" spans="1:6">
      <c r="C634" s="39" t="s">
        <v>52</v>
      </c>
    </row>
    <row r="635" spans="1:6">
      <c r="A635" s="38">
        <v>1</v>
      </c>
      <c r="B635" s="38" t="s">
        <v>13</v>
      </c>
      <c r="C635" s="39" t="s">
        <v>1829</v>
      </c>
      <c r="D635" s="38">
        <v>52</v>
      </c>
      <c r="E635" s="38" t="s">
        <v>13</v>
      </c>
      <c r="F635" s="38">
        <v>52</v>
      </c>
    </row>
    <row r="636" spans="1:6">
      <c r="A636" s="38">
        <v>1</v>
      </c>
      <c r="B636" s="38" t="s">
        <v>145</v>
      </c>
      <c r="C636" s="39" t="s">
        <v>1830</v>
      </c>
      <c r="D636" s="38">
        <v>10.4</v>
      </c>
      <c r="E636" s="38" t="s">
        <v>145</v>
      </c>
      <c r="F636" s="38">
        <v>10.4</v>
      </c>
    </row>
    <row r="637" spans="1:6">
      <c r="A637" s="38">
        <v>1</v>
      </c>
      <c r="B637" s="38" t="s">
        <v>13</v>
      </c>
      <c r="C637" s="39" t="s">
        <v>1823</v>
      </c>
      <c r="D637" s="38">
        <v>195.05</v>
      </c>
      <c r="E637" s="38" t="s">
        <v>13</v>
      </c>
      <c r="F637" s="38">
        <v>195.05</v>
      </c>
    </row>
    <row r="638" spans="1:6">
      <c r="D638" s="38" t="s">
        <v>85</v>
      </c>
      <c r="F638" s="38" t="s">
        <v>52</v>
      </c>
    </row>
    <row r="639" spans="1:6">
      <c r="C639" s="39" t="s">
        <v>1824</v>
      </c>
      <c r="F639" s="38">
        <v>257.45</v>
      </c>
    </row>
    <row r="640" spans="1:6">
      <c r="D640" s="38" t="s">
        <v>85</v>
      </c>
      <c r="F640" s="38" t="s">
        <v>89</v>
      </c>
    </row>
    <row r="642" spans="1:6">
      <c r="A642" s="38" t="s">
        <v>1844</v>
      </c>
      <c r="C642" s="39" t="s">
        <v>1845</v>
      </c>
      <c r="E642" s="38" t="s">
        <v>729</v>
      </c>
      <c r="F642" s="38">
        <v>967.5</v>
      </c>
    </row>
    <row r="643" spans="1:6" ht="31.5">
      <c r="C643" s="39" t="s">
        <v>4444</v>
      </c>
      <c r="E643" s="38" t="s">
        <v>729</v>
      </c>
      <c r="F643" s="38">
        <v>1864</v>
      </c>
    </row>
    <row r="644" spans="1:6">
      <c r="A644" s="38" t="s">
        <v>1847</v>
      </c>
      <c r="C644" s="39" t="s">
        <v>4445</v>
      </c>
      <c r="E644" s="38" t="s">
        <v>729</v>
      </c>
      <c r="F644" s="38">
        <v>30</v>
      </c>
    </row>
    <row r="646" spans="1:6">
      <c r="A646" s="38" t="s">
        <v>1914</v>
      </c>
      <c r="B646" s="38" t="s">
        <v>111</v>
      </c>
      <c r="C646" s="39" t="s">
        <v>1915</v>
      </c>
    </row>
    <row r="647" spans="1:6">
      <c r="C647" s="39" t="s">
        <v>1916</v>
      </c>
    </row>
    <row r="648" spans="1:6">
      <c r="C648" s="39" t="s">
        <v>52</v>
      </c>
    </row>
    <row r="649" spans="1:6">
      <c r="A649" s="38">
        <v>1</v>
      </c>
      <c r="B649" s="38" t="s">
        <v>131</v>
      </c>
      <c r="C649" s="39" t="s">
        <v>1916</v>
      </c>
      <c r="D649" s="38">
        <v>170.35</v>
      </c>
      <c r="E649" s="38" t="s">
        <v>131</v>
      </c>
      <c r="F649" s="38">
        <v>170.35</v>
      </c>
    </row>
    <row r="650" spans="1:6">
      <c r="A650" s="38">
        <v>0.05</v>
      </c>
      <c r="B650" s="38" t="s">
        <v>132</v>
      </c>
      <c r="C650" s="39" t="s">
        <v>1917</v>
      </c>
      <c r="D650" s="38">
        <v>4181.9399999999996</v>
      </c>
      <c r="E650" s="38" t="s">
        <v>132</v>
      </c>
      <c r="F650" s="38">
        <v>209.1</v>
      </c>
    </row>
    <row r="651" spans="1:6">
      <c r="A651" s="38">
        <v>0.5</v>
      </c>
      <c r="B651" s="38" t="s">
        <v>131</v>
      </c>
      <c r="C651" s="39" t="s">
        <v>1695</v>
      </c>
      <c r="D651" s="38">
        <v>903.1</v>
      </c>
      <c r="E651" s="38" t="s">
        <v>131</v>
      </c>
      <c r="F651" s="38">
        <v>451.55</v>
      </c>
    </row>
    <row r="652" spans="1:6">
      <c r="A652" s="38">
        <v>1</v>
      </c>
      <c r="B652" s="38" t="s">
        <v>131</v>
      </c>
      <c r="C652" s="39" t="s">
        <v>304</v>
      </c>
      <c r="D652" s="38">
        <v>679.8</v>
      </c>
      <c r="E652" s="38" t="s">
        <v>131</v>
      </c>
      <c r="F652" s="38">
        <v>679.8</v>
      </c>
    </row>
    <row r="653" spans="1:6">
      <c r="A653" s="38">
        <v>1</v>
      </c>
      <c r="B653" s="38" t="s">
        <v>131</v>
      </c>
      <c r="C653" s="39" t="s">
        <v>306</v>
      </c>
      <c r="D653" s="38">
        <v>557.70000000000005</v>
      </c>
      <c r="E653" s="38" t="s">
        <v>131</v>
      </c>
      <c r="F653" s="38">
        <v>557.70000000000005</v>
      </c>
    </row>
    <row r="654" spans="1:6">
      <c r="B654" s="38" t="s">
        <v>145</v>
      </c>
      <c r="C654" s="39" t="s">
        <v>146</v>
      </c>
      <c r="D654" s="38" t="s">
        <v>85</v>
      </c>
      <c r="E654" s="38" t="s">
        <v>145</v>
      </c>
      <c r="F654" s="38">
        <v>0.54</v>
      </c>
    </row>
    <row r="655" spans="1:6">
      <c r="C655" s="39" t="s">
        <v>85</v>
      </c>
      <c r="F655" s="38" t="s">
        <v>52</v>
      </c>
    </row>
    <row r="656" spans="1:6">
      <c r="C656" s="39" t="s">
        <v>767</v>
      </c>
      <c r="F656" s="38">
        <v>2069.04</v>
      </c>
    </row>
    <row r="657" spans="1:6">
      <c r="F657" s="38" t="s">
        <v>89</v>
      </c>
    </row>
    <row r="658" spans="1:6">
      <c r="A658" s="38" t="s">
        <v>1918</v>
      </c>
      <c r="B658" s="38" t="s">
        <v>111</v>
      </c>
      <c r="C658" s="39" t="s">
        <v>1919</v>
      </c>
    </row>
    <row r="659" spans="1:6">
      <c r="C659" s="39" t="s">
        <v>4485</v>
      </c>
    </row>
    <row r="660" spans="1:6">
      <c r="C660" s="39" t="s">
        <v>52</v>
      </c>
    </row>
    <row r="661" spans="1:6">
      <c r="A661" s="38">
        <v>1</v>
      </c>
      <c r="B661" s="38" t="s">
        <v>131</v>
      </c>
      <c r="C661" s="39" t="s">
        <v>1921</v>
      </c>
      <c r="D661" s="38">
        <v>156</v>
      </c>
      <c r="E661" s="38" t="s">
        <v>131</v>
      </c>
      <c r="F661" s="38">
        <v>156</v>
      </c>
    </row>
    <row r="662" spans="1:6">
      <c r="B662" s="38" t="s">
        <v>145</v>
      </c>
      <c r="C662" s="39" t="s">
        <v>1922</v>
      </c>
      <c r="E662" s="38" t="s">
        <v>145</v>
      </c>
      <c r="F662" s="38">
        <v>4</v>
      </c>
    </row>
    <row r="663" spans="1:6">
      <c r="E663" s="38" t="s">
        <v>85</v>
      </c>
      <c r="F663" s="38" t="s">
        <v>52</v>
      </c>
    </row>
    <row r="664" spans="1:6">
      <c r="C664" s="39" t="s">
        <v>767</v>
      </c>
      <c r="F664" s="38">
        <v>160</v>
      </c>
    </row>
    <row r="665" spans="1:6">
      <c r="A665" s="38">
        <v>72</v>
      </c>
      <c r="C665" s="39" t="s">
        <v>1995</v>
      </c>
      <c r="F665" s="38">
        <v>33.9</v>
      </c>
    </row>
    <row r="666" spans="1:6">
      <c r="A666" s="38" t="s">
        <v>1996</v>
      </c>
      <c r="C666" s="39" t="s">
        <v>1111</v>
      </c>
      <c r="F666" s="38">
        <v>4212</v>
      </c>
    </row>
    <row r="667" spans="1:6">
      <c r="C667" s="39" t="s">
        <v>2500</v>
      </c>
    </row>
    <row r="668" spans="1:6" ht="63">
      <c r="C668" s="39" t="s">
        <v>2522</v>
      </c>
    </row>
    <row r="670" spans="1:6">
      <c r="A670" s="38">
        <v>1</v>
      </c>
      <c r="B670" s="38" t="s">
        <v>13</v>
      </c>
      <c r="C670" s="39" t="s">
        <v>2509</v>
      </c>
      <c r="D670" s="38">
        <v>914.1</v>
      </c>
      <c r="E670" s="38" t="s">
        <v>2523</v>
      </c>
      <c r="F670" s="38">
        <v>9.14</v>
      </c>
    </row>
    <row r="671" spans="1:6">
      <c r="C671" s="39" t="s">
        <v>1978</v>
      </c>
      <c r="F671" s="38">
        <v>556.6</v>
      </c>
    </row>
    <row r="672" spans="1:6">
      <c r="C672" s="39" t="s">
        <v>2161</v>
      </c>
      <c r="F672" s="38">
        <v>5.26</v>
      </c>
    </row>
    <row r="673" spans="1:6">
      <c r="C673" s="39" t="s">
        <v>2524</v>
      </c>
      <c r="D673" s="38" t="s">
        <v>2400</v>
      </c>
      <c r="F673" s="38">
        <v>571</v>
      </c>
    </row>
    <row r="674" spans="1:6">
      <c r="A674" s="38">
        <v>1</v>
      </c>
      <c r="B674" s="38" t="s">
        <v>1034</v>
      </c>
      <c r="C674" s="39" t="s">
        <v>2472</v>
      </c>
      <c r="D674" s="38">
        <v>783</v>
      </c>
      <c r="E674" s="38" t="s">
        <v>1034</v>
      </c>
      <c r="F674" s="38">
        <v>783</v>
      </c>
    </row>
    <row r="675" spans="1:6">
      <c r="A675" s="38">
        <v>1</v>
      </c>
      <c r="B675" s="38" t="s">
        <v>1034</v>
      </c>
      <c r="C675" s="39" t="s">
        <v>2463</v>
      </c>
      <c r="D675" s="38">
        <v>778</v>
      </c>
      <c r="E675" s="38" t="s">
        <v>1034</v>
      </c>
      <c r="F675" s="38">
        <v>778</v>
      </c>
    </row>
    <row r="676" spans="1:6">
      <c r="A676" s="38">
        <v>2</v>
      </c>
      <c r="B676" s="38" t="s">
        <v>1034</v>
      </c>
      <c r="C676" s="39" t="s">
        <v>2236</v>
      </c>
      <c r="D676" s="38">
        <v>611</v>
      </c>
      <c r="E676" s="38" t="s">
        <v>1034</v>
      </c>
      <c r="F676" s="38">
        <v>1222</v>
      </c>
    </row>
    <row r="677" spans="1:6">
      <c r="C677" s="39" t="s">
        <v>2525</v>
      </c>
      <c r="F677" s="38">
        <v>2783</v>
      </c>
    </row>
    <row r="678" spans="1:6">
      <c r="C678" s="39" t="s">
        <v>2400</v>
      </c>
      <c r="F678" s="38">
        <v>556.6</v>
      </c>
    </row>
    <row r="679" spans="1:6">
      <c r="C679" s="39" t="s">
        <v>2526</v>
      </c>
    </row>
    <row r="680" spans="1:6">
      <c r="C680" s="39" t="s">
        <v>2527</v>
      </c>
    </row>
    <row r="681" spans="1:6">
      <c r="C681" s="39" t="s">
        <v>2528</v>
      </c>
    </row>
    <row r="682" spans="1:6">
      <c r="C682" s="39" t="s">
        <v>2529</v>
      </c>
    </row>
    <row r="683" spans="1:6" ht="63">
      <c r="C683" s="39" t="s">
        <v>2530</v>
      </c>
    </row>
    <row r="685" spans="1:6">
      <c r="A685" s="38">
        <v>9.5</v>
      </c>
      <c r="B685" s="38" t="s">
        <v>39</v>
      </c>
      <c r="C685" s="39" t="s">
        <v>2907</v>
      </c>
      <c r="D685" s="38">
        <v>101.5</v>
      </c>
      <c r="E685" s="38" t="s">
        <v>39</v>
      </c>
      <c r="F685" s="38">
        <v>964.25</v>
      </c>
    </row>
    <row r="686" spans="1:6">
      <c r="A686" s="38">
        <v>0.5</v>
      </c>
      <c r="B686" s="38" t="s">
        <v>39</v>
      </c>
      <c r="C686" s="39" t="s">
        <v>2908</v>
      </c>
      <c r="D686" s="38">
        <v>21.1</v>
      </c>
      <c r="F686" s="38">
        <v>10.55</v>
      </c>
    </row>
    <row r="687" spans="1:6">
      <c r="C687" s="39" t="s">
        <v>2234</v>
      </c>
      <c r="F687" s="38">
        <v>1389</v>
      </c>
    </row>
    <row r="688" spans="1:6">
      <c r="C688" s="39" t="s">
        <v>1557</v>
      </c>
      <c r="F688" s="38">
        <v>3.2</v>
      </c>
    </row>
    <row r="689" spans="1:6">
      <c r="C689" s="39" t="s">
        <v>2533</v>
      </c>
      <c r="F689" s="38">
        <v>2367</v>
      </c>
    </row>
    <row r="690" spans="1:6">
      <c r="C690" s="39" t="s">
        <v>2534</v>
      </c>
      <c r="F690" s="38">
        <v>26.3</v>
      </c>
    </row>
    <row r="692" spans="1:6">
      <c r="C692" s="39" t="s">
        <v>14</v>
      </c>
    </row>
    <row r="693" spans="1:6">
      <c r="A693" s="38">
        <v>1</v>
      </c>
      <c r="C693" s="39" t="s">
        <v>2463</v>
      </c>
      <c r="D693" s="38">
        <v>778</v>
      </c>
      <c r="E693" s="38" t="s">
        <v>1034</v>
      </c>
      <c r="F693" s="38">
        <v>778</v>
      </c>
    </row>
    <row r="694" spans="1:6">
      <c r="A694" s="38">
        <v>1</v>
      </c>
      <c r="C694" s="39" t="s">
        <v>2236</v>
      </c>
      <c r="D694" s="38">
        <v>611</v>
      </c>
      <c r="E694" s="38" t="s">
        <v>1034</v>
      </c>
      <c r="F694" s="38">
        <v>611</v>
      </c>
    </row>
    <row r="695" spans="1:6">
      <c r="F695" s="38">
        <v>1389</v>
      </c>
    </row>
    <row r="696" spans="1:6">
      <c r="A696" s="38" t="s">
        <v>2535</v>
      </c>
    </row>
    <row r="698" spans="1:6">
      <c r="C698" s="39" t="s">
        <v>2536</v>
      </c>
    </row>
    <row r="699" spans="1:6">
      <c r="C699" s="39" t="s">
        <v>2537</v>
      </c>
    </row>
    <row r="701" spans="1:6" ht="47.25">
      <c r="C701" s="39" t="s">
        <v>2538</v>
      </c>
    </row>
    <row r="702" spans="1:6">
      <c r="A702" s="38">
        <v>2.5</v>
      </c>
      <c r="B702" s="38" t="s">
        <v>13</v>
      </c>
      <c r="C702" s="39" t="s">
        <v>2910</v>
      </c>
      <c r="D702" s="38">
        <v>163</v>
      </c>
      <c r="E702" s="38" t="s">
        <v>13</v>
      </c>
      <c r="F702" s="38">
        <v>407.5</v>
      </c>
    </row>
    <row r="703" spans="1:6">
      <c r="A703" s="38">
        <v>1</v>
      </c>
      <c r="B703" s="38" t="s">
        <v>13</v>
      </c>
      <c r="C703" s="39" t="s">
        <v>2911</v>
      </c>
      <c r="D703" s="38">
        <v>98.6</v>
      </c>
      <c r="E703" s="38" t="s">
        <v>13</v>
      </c>
      <c r="F703" s="38">
        <v>98.6</v>
      </c>
    </row>
    <row r="704" spans="1:6">
      <c r="A704" s="38">
        <v>1</v>
      </c>
      <c r="B704" s="38" t="s">
        <v>13</v>
      </c>
      <c r="C704" s="39" t="s">
        <v>2912</v>
      </c>
      <c r="D704" s="38">
        <v>69.8</v>
      </c>
      <c r="E704" s="38" t="s">
        <v>13</v>
      </c>
      <c r="F704" s="38">
        <v>69.8</v>
      </c>
    </row>
    <row r="705" spans="1:6">
      <c r="A705" s="38">
        <v>1</v>
      </c>
      <c r="B705" s="38" t="s">
        <v>1034</v>
      </c>
      <c r="C705" s="39" t="s">
        <v>2913</v>
      </c>
      <c r="D705" s="38">
        <v>52</v>
      </c>
      <c r="E705" s="38" t="s">
        <v>1034</v>
      </c>
      <c r="F705" s="38">
        <v>52</v>
      </c>
    </row>
    <row r="706" spans="1:6">
      <c r="A706" s="38">
        <v>1</v>
      </c>
      <c r="B706" s="38" t="s">
        <v>1715</v>
      </c>
      <c r="C706" s="39" t="s">
        <v>2543</v>
      </c>
      <c r="D706" s="38" t="s">
        <v>49</v>
      </c>
      <c r="E706" s="38" t="s">
        <v>1715</v>
      </c>
      <c r="F706" s="38">
        <v>15</v>
      </c>
    </row>
    <row r="707" spans="1:6" ht="31.5">
      <c r="B707" s="38" t="s">
        <v>49</v>
      </c>
      <c r="C707" s="39" t="s">
        <v>2914</v>
      </c>
      <c r="D707" s="38" t="s">
        <v>49</v>
      </c>
      <c r="E707" s="38" t="s">
        <v>49</v>
      </c>
      <c r="F707" s="38">
        <v>405.95</v>
      </c>
    </row>
    <row r="708" spans="1:6">
      <c r="A708" s="38">
        <v>1</v>
      </c>
      <c r="B708" s="38" t="s">
        <v>1034</v>
      </c>
      <c r="C708" s="39" t="s">
        <v>2545</v>
      </c>
      <c r="D708" s="38">
        <v>100</v>
      </c>
      <c r="E708" s="38" t="s">
        <v>1034</v>
      </c>
      <c r="F708" s="38">
        <v>100</v>
      </c>
    </row>
    <row r="709" spans="1:6">
      <c r="A709" s="38">
        <v>40</v>
      </c>
      <c r="B709" s="38" t="s">
        <v>39</v>
      </c>
      <c r="C709" s="39" t="s">
        <v>2915</v>
      </c>
      <c r="D709" s="38">
        <v>4.96</v>
      </c>
      <c r="E709" s="38" t="s">
        <v>39</v>
      </c>
      <c r="F709" s="38">
        <v>198.4</v>
      </c>
    </row>
    <row r="710" spans="1:6">
      <c r="A710" s="38">
        <v>2</v>
      </c>
      <c r="B710" s="38" t="s">
        <v>1034</v>
      </c>
      <c r="C710" s="39" t="s">
        <v>2916</v>
      </c>
      <c r="D710" s="38">
        <v>13.6</v>
      </c>
      <c r="E710" s="38" t="s">
        <v>1034</v>
      </c>
      <c r="F710" s="38">
        <v>27.2</v>
      </c>
    </row>
    <row r="711" spans="1:6">
      <c r="A711" s="38">
        <v>4</v>
      </c>
      <c r="B711" s="38" t="s">
        <v>1034</v>
      </c>
      <c r="C711" s="39" t="s">
        <v>2917</v>
      </c>
      <c r="D711" s="38">
        <v>13.6</v>
      </c>
      <c r="E711" s="38" t="s">
        <v>1034</v>
      </c>
      <c r="F711" s="38">
        <v>54.4</v>
      </c>
    </row>
    <row r="712" spans="1:6">
      <c r="A712" s="38">
        <v>10</v>
      </c>
      <c r="B712" s="38" t="s">
        <v>39</v>
      </c>
      <c r="C712" s="39" t="s">
        <v>2918</v>
      </c>
      <c r="D712" s="38">
        <v>3.7</v>
      </c>
      <c r="E712" s="38" t="s">
        <v>39</v>
      </c>
      <c r="F712" s="38">
        <v>37</v>
      </c>
    </row>
    <row r="713" spans="1:6">
      <c r="C713" s="39" t="s">
        <v>1557</v>
      </c>
      <c r="F713" s="38">
        <v>12.15</v>
      </c>
    </row>
    <row r="714" spans="1:6">
      <c r="C714" s="39" t="s">
        <v>478</v>
      </c>
      <c r="F714" s="38">
        <v>1394</v>
      </c>
    </row>
    <row r="715" spans="1:6">
      <c r="C715" s="39" t="s">
        <v>2400</v>
      </c>
      <c r="F715" s="38">
        <v>2872</v>
      </c>
    </row>
    <row r="717" spans="1:6">
      <c r="C717" s="39" t="s">
        <v>478</v>
      </c>
    </row>
    <row r="718" spans="1:6">
      <c r="A718" s="38">
        <v>1</v>
      </c>
      <c r="B718" s="38" t="s">
        <v>1034</v>
      </c>
      <c r="C718" s="39" t="s">
        <v>2472</v>
      </c>
      <c r="D718" s="38">
        <v>783</v>
      </c>
      <c r="E718" s="38" t="s">
        <v>1034</v>
      </c>
      <c r="F718" s="38">
        <v>783</v>
      </c>
    </row>
    <row r="719" spans="1:6">
      <c r="A719" s="38">
        <v>1</v>
      </c>
      <c r="B719" s="38" t="s">
        <v>1034</v>
      </c>
      <c r="C719" s="39" t="s">
        <v>2236</v>
      </c>
      <c r="D719" s="38">
        <v>611</v>
      </c>
      <c r="E719" s="38" t="s">
        <v>1034</v>
      </c>
      <c r="F719" s="38">
        <v>611</v>
      </c>
    </row>
    <row r="720" spans="1:6">
      <c r="F720" s="38">
        <v>1394</v>
      </c>
    </row>
    <row r="721" spans="1:6">
      <c r="C721" s="39" t="s">
        <v>2714</v>
      </c>
    </row>
    <row r="723" spans="1:6">
      <c r="C723" s="39" t="s">
        <v>2715</v>
      </c>
    </row>
    <row r="724" spans="1:6">
      <c r="A724" s="38">
        <v>1</v>
      </c>
      <c r="B724" s="38" t="s">
        <v>1034</v>
      </c>
      <c r="C724" s="39" t="s">
        <v>2989</v>
      </c>
      <c r="D724" s="38">
        <v>37.1</v>
      </c>
      <c r="E724" s="38" t="s">
        <v>1034</v>
      </c>
      <c r="F724" s="38">
        <v>37.1</v>
      </c>
    </row>
    <row r="725" spans="1:6">
      <c r="A725" s="38">
        <v>0.02</v>
      </c>
      <c r="B725" s="38" t="s">
        <v>724</v>
      </c>
      <c r="C725" s="39" t="s">
        <v>2716</v>
      </c>
      <c r="D725" s="38">
        <v>661</v>
      </c>
      <c r="E725" s="38" t="s">
        <v>724</v>
      </c>
      <c r="F725" s="38">
        <v>9.92</v>
      </c>
    </row>
    <row r="726" spans="1:6">
      <c r="C726" s="39" t="s">
        <v>2717</v>
      </c>
      <c r="E726" s="38" t="s">
        <v>49</v>
      </c>
      <c r="F726" s="38">
        <v>7.45</v>
      </c>
    </row>
    <row r="727" spans="1:6">
      <c r="C727" s="39" t="s">
        <v>2400</v>
      </c>
      <c r="F727" s="38">
        <v>54.47</v>
      </c>
    </row>
    <row r="729" spans="1:6">
      <c r="C729" s="39" t="s">
        <v>2718</v>
      </c>
    </row>
    <row r="731" spans="1:6" ht="47.25">
      <c r="C731" s="39" t="s">
        <v>6425</v>
      </c>
    </row>
    <row r="733" spans="1:6">
      <c r="A733" s="38">
        <v>1</v>
      </c>
      <c r="B733" s="38" t="s">
        <v>1034</v>
      </c>
      <c r="C733" s="39" t="s">
        <v>2992</v>
      </c>
      <c r="D733" s="38">
        <v>13.8</v>
      </c>
      <c r="E733" s="38" t="s">
        <v>1034</v>
      </c>
      <c r="F733" s="38">
        <v>13.8</v>
      </c>
    </row>
    <row r="734" spans="1:6">
      <c r="A734" s="38">
        <v>0.01</v>
      </c>
      <c r="B734" s="38" t="s">
        <v>2720</v>
      </c>
      <c r="C734" s="39" t="s">
        <v>2716</v>
      </c>
      <c r="D734" s="38">
        <v>661</v>
      </c>
      <c r="E734" s="38" t="s">
        <v>724</v>
      </c>
      <c r="F734" s="38">
        <v>6.61</v>
      </c>
    </row>
    <row r="735" spans="1:6">
      <c r="A735" s="38">
        <v>1</v>
      </c>
      <c r="B735" s="38" t="s">
        <v>1034</v>
      </c>
      <c r="C735" s="39" t="s">
        <v>2721</v>
      </c>
      <c r="D735" s="38">
        <v>49.5</v>
      </c>
      <c r="E735" s="38" t="s">
        <v>1034</v>
      </c>
      <c r="F735" s="38">
        <v>49.5</v>
      </c>
    </row>
    <row r="736" spans="1:6">
      <c r="C736" s="39" t="s">
        <v>2722</v>
      </c>
      <c r="D736" s="38" t="s">
        <v>49</v>
      </c>
      <c r="F736" s="38">
        <v>7.1</v>
      </c>
    </row>
    <row r="737" spans="1:7">
      <c r="C737" s="39" t="s">
        <v>2723</v>
      </c>
      <c r="F737" s="38">
        <v>77.010000000000005</v>
      </c>
    </row>
    <row r="738" spans="1:7">
      <c r="C738" s="39" t="s">
        <v>2732</v>
      </c>
    </row>
    <row r="740" spans="1:7">
      <c r="C740" s="39" t="s">
        <v>2997</v>
      </c>
    </row>
    <row r="742" spans="1:7">
      <c r="A742" s="38">
        <v>1</v>
      </c>
      <c r="B742" s="38" t="s">
        <v>1034</v>
      </c>
      <c r="C742" s="39" t="s">
        <v>2998</v>
      </c>
      <c r="D742" s="38">
        <v>1447</v>
      </c>
      <c r="E742" s="38" t="s">
        <v>1034</v>
      </c>
      <c r="F742" s="38">
        <v>1447</v>
      </c>
    </row>
    <row r="743" spans="1:7">
      <c r="C743" s="39" t="s">
        <v>2277</v>
      </c>
      <c r="D743" s="38">
        <v>337.6</v>
      </c>
      <c r="E743" s="38" t="s">
        <v>1034</v>
      </c>
      <c r="F743" s="38">
        <v>337.6</v>
      </c>
    </row>
    <row r="744" spans="1:7" ht="31.5">
      <c r="C744" s="39" t="s">
        <v>6426</v>
      </c>
      <c r="F744" s="38">
        <v>31.6</v>
      </c>
    </row>
    <row r="745" spans="1:7">
      <c r="C745" s="39" t="s">
        <v>2736</v>
      </c>
      <c r="E745" s="38">
        <v>1816.2</v>
      </c>
      <c r="F745" s="38">
        <v>18.55</v>
      </c>
    </row>
    <row r="746" spans="1:7">
      <c r="C746" s="39" t="s">
        <v>2737</v>
      </c>
      <c r="F746" s="38">
        <v>501.25</v>
      </c>
    </row>
    <row r="747" spans="1:7">
      <c r="C747" s="39" t="s">
        <v>2738</v>
      </c>
      <c r="F747" s="38">
        <v>2336</v>
      </c>
    </row>
    <row r="748" spans="1:7">
      <c r="A748" s="38" t="s">
        <v>2</v>
      </c>
    </row>
    <row r="749" spans="1:7">
      <c r="A749" s="38" t="s">
        <v>3</v>
      </c>
    </row>
    <row r="751" spans="1:7" ht="47.25">
      <c r="C751" s="39" t="s">
        <v>4</v>
      </c>
      <c r="G751" s="38" t="s">
        <v>5</v>
      </c>
    </row>
    <row r="752" spans="1:7">
      <c r="B752" s="38" t="s">
        <v>6</v>
      </c>
      <c r="G752" s="38">
        <v>1.57</v>
      </c>
    </row>
    <row r="753" spans="1:7">
      <c r="C753" s="39" t="s">
        <v>8</v>
      </c>
    </row>
    <row r="754" spans="1:7" ht="31.5">
      <c r="A754" s="38">
        <v>1.57</v>
      </c>
      <c r="B754" s="38" t="s">
        <v>5</v>
      </c>
      <c r="C754" s="39" t="s">
        <v>6427</v>
      </c>
      <c r="E754" s="38">
        <v>8443.99</v>
      </c>
      <c r="F754" s="38">
        <v>13257.06</v>
      </c>
    </row>
    <row r="755" spans="1:7" ht="31.5">
      <c r="A755" s="38">
        <v>0.16</v>
      </c>
      <c r="B755" s="38" t="s">
        <v>11</v>
      </c>
      <c r="C755" s="39" t="s">
        <v>12</v>
      </c>
      <c r="E755" s="38">
        <v>6050</v>
      </c>
      <c r="F755" s="38">
        <v>949.85</v>
      </c>
    </row>
    <row r="756" spans="1:7">
      <c r="A756" s="38">
        <v>8</v>
      </c>
      <c r="B756" s="38" t="s">
        <v>13</v>
      </c>
      <c r="C756" s="39" t="s">
        <v>14</v>
      </c>
      <c r="E756" s="38">
        <v>960</v>
      </c>
      <c r="F756" s="38">
        <v>7680</v>
      </c>
    </row>
    <row r="758" spans="1:7">
      <c r="C758" s="39" t="s">
        <v>15</v>
      </c>
      <c r="F758" s="38">
        <v>21886.91</v>
      </c>
    </row>
    <row r="759" spans="1:7">
      <c r="C759" s="39" t="s">
        <v>16</v>
      </c>
      <c r="F759" s="38">
        <v>2735.86</v>
      </c>
    </row>
    <row r="760" spans="1:7">
      <c r="C760" s="39" t="s">
        <v>17</v>
      </c>
      <c r="F760" s="38">
        <v>125</v>
      </c>
    </row>
    <row r="762" spans="1:7">
      <c r="C762" s="39" t="s">
        <v>16</v>
      </c>
      <c r="F762" s="38">
        <v>2860.86</v>
      </c>
    </row>
    <row r="763" spans="1:7">
      <c r="C763" s="39" t="s">
        <v>18</v>
      </c>
    </row>
    <row r="766" spans="1:7" ht="47.25">
      <c r="C766" s="39" t="s">
        <v>19</v>
      </c>
    </row>
    <row r="767" spans="1:7">
      <c r="B767" s="38" t="s">
        <v>20</v>
      </c>
      <c r="G767" s="38">
        <v>0.44</v>
      </c>
    </row>
    <row r="768" spans="1:7">
      <c r="C768" s="39" t="s">
        <v>21</v>
      </c>
    </row>
    <row r="769" spans="1:7">
      <c r="A769" s="38">
        <v>0.44</v>
      </c>
      <c r="B769" s="38" t="s">
        <v>5</v>
      </c>
      <c r="C769" s="39" t="s">
        <v>23</v>
      </c>
      <c r="E769" s="38">
        <v>7018</v>
      </c>
      <c r="F769" s="38">
        <v>3087.92</v>
      </c>
    </row>
    <row r="770" spans="1:7">
      <c r="A770" s="38">
        <v>0.44</v>
      </c>
      <c r="B770" s="38" t="s">
        <v>5</v>
      </c>
      <c r="C770" s="39" t="s">
        <v>24</v>
      </c>
      <c r="E770" s="38">
        <v>37.799999999999997</v>
      </c>
      <c r="F770" s="38">
        <v>16.63</v>
      </c>
      <c r="G770" s="38" t="s">
        <v>25</v>
      </c>
    </row>
    <row r="771" spans="1:7">
      <c r="A771" s="38">
        <v>0.44</v>
      </c>
      <c r="B771" s="38" t="s">
        <v>5</v>
      </c>
      <c r="C771" s="39" t="s">
        <v>26</v>
      </c>
      <c r="E771" s="38">
        <v>48.68</v>
      </c>
      <c r="F771" s="38">
        <v>21.42</v>
      </c>
    </row>
    <row r="773" spans="1:7">
      <c r="C773" s="39" t="s">
        <v>16</v>
      </c>
      <c r="F773" s="38">
        <v>3125.97</v>
      </c>
    </row>
    <row r="775" spans="1:7" ht="47.25">
      <c r="C775" s="39" t="s">
        <v>27</v>
      </c>
    </row>
    <row r="777" spans="1:7" ht="31.5">
      <c r="A777" s="38" t="s">
        <v>28</v>
      </c>
      <c r="B777" s="38">
        <v>3</v>
      </c>
      <c r="C777" s="39" t="s">
        <v>29</v>
      </c>
      <c r="E777" s="38">
        <v>11.13</v>
      </c>
      <c r="G777" s="38">
        <v>33.39</v>
      </c>
    </row>
    <row r="778" spans="1:7">
      <c r="A778" s="38" t="s">
        <v>28</v>
      </c>
      <c r="B778" s="38">
        <v>3</v>
      </c>
      <c r="C778" s="39" t="s">
        <v>30</v>
      </c>
      <c r="E778" s="38">
        <v>48.68</v>
      </c>
      <c r="G778" s="38">
        <v>146.04</v>
      </c>
    </row>
    <row r="780" spans="1:7">
      <c r="C780" s="39" t="s">
        <v>32</v>
      </c>
      <c r="G780" s="38">
        <v>179.43</v>
      </c>
    </row>
    <row r="781" spans="1:7">
      <c r="A781" s="38" t="s">
        <v>374</v>
      </c>
      <c r="B781" s="38" t="s">
        <v>111</v>
      </c>
      <c r="C781" s="39" t="s">
        <v>375</v>
      </c>
    </row>
    <row r="782" spans="1:7">
      <c r="C782" s="39" t="s">
        <v>6428</v>
      </c>
    </row>
    <row r="783" spans="1:7">
      <c r="C783" s="39" t="s">
        <v>52</v>
      </c>
    </row>
    <row r="784" spans="1:7">
      <c r="A784" s="38">
        <v>1</v>
      </c>
      <c r="B784" s="38" t="s">
        <v>132</v>
      </c>
      <c r="C784" s="39" t="s">
        <v>4017</v>
      </c>
      <c r="D784" s="38">
        <v>287</v>
      </c>
      <c r="E784" s="38" t="s">
        <v>132</v>
      </c>
      <c r="F784" s="38">
        <v>287</v>
      </c>
    </row>
    <row r="785" spans="1:6">
      <c r="A785" s="38">
        <v>1</v>
      </c>
      <c r="B785" s="38" t="s">
        <v>132</v>
      </c>
      <c r="C785" s="39" t="s">
        <v>218</v>
      </c>
      <c r="D785" s="38">
        <v>40.65</v>
      </c>
      <c r="E785" s="38" t="s">
        <v>132</v>
      </c>
      <c r="F785" s="38">
        <v>40.65</v>
      </c>
    </row>
    <row r="786" spans="1:6">
      <c r="B786" s="38" t="s">
        <v>145</v>
      </c>
      <c r="C786" s="39" t="s">
        <v>146</v>
      </c>
      <c r="D786" s="38" t="s">
        <v>85</v>
      </c>
      <c r="E786" s="38" t="s">
        <v>145</v>
      </c>
      <c r="F786" s="38">
        <v>0</v>
      </c>
    </row>
    <row r="787" spans="1:6">
      <c r="F787" s="38" t="s">
        <v>52</v>
      </c>
    </row>
    <row r="788" spans="1:6">
      <c r="C788" s="39" t="s">
        <v>155</v>
      </c>
      <c r="F788" s="38">
        <v>327.64999999999998</v>
      </c>
    </row>
    <row r="789" spans="1:6">
      <c r="C789" s="39" t="s">
        <v>4011</v>
      </c>
      <c r="F789" s="38" t="s">
        <v>52</v>
      </c>
    </row>
    <row r="790" spans="1:6">
      <c r="B790" s="38">
        <v>4.2</v>
      </c>
      <c r="C790" s="39" t="s">
        <v>4199</v>
      </c>
    </row>
    <row r="791" spans="1:6">
      <c r="A791" s="38">
        <v>5</v>
      </c>
      <c r="B791" s="38" t="s">
        <v>34</v>
      </c>
      <c r="C791" s="39" t="s">
        <v>6429</v>
      </c>
      <c r="D791" s="38">
        <v>1704.69</v>
      </c>
      <c r="F791" s="38">
        <v>8523.4500000000007</v>
      </c>
    </row>
    <row r="792" spans="1:6" ht="31.5">
      <c r="A792" s="38">
        <v>3.3</v>
      </c>
      <c r="B792" s="38" t="s">
        <v>34</v>
      </c>
      <c r="C792" s="39" t="s">
        <v>6430</v>
      </c>
      <c r="D792" s="38">
        <v>1419.19</v>
      </c>
      <c r="F792" s="38">
        <v>4683.33</v>
      </c>
    </row>
    <row r="793" spans="1:6">
      <c r="A793" s="38">
        <v>4.79</v>
      </c>
      <c r="B793" s="38" t="s">
        <v>34</v>
      </c>
      <c r="C793" s="39" t="s">
        <v>6431</v>
      </c>
      <c r="D793" s="38">
        <v>1549.69</v>
      </c>
      <c r="F793" s="38">
        <v>7423.02</v>
      </c>
    </row>
    <row r="794" spans="1:6">
      <c r="A794" s="38">
        <v>3.5</v>
      </c>
      <c r="B794" s="38" t="s">
        <v>11</v>
      </c>
      <c r="C794" s="39" t="s">
        <v>38</v>
      </c>
      <c r="D794" s="38">
        <v>6040</v>
      </c>
      <c r="F794" s="38">
        <v>21140</v>
      </c>
    </row>
    <row r="795" spans="1:6">
      <c r="A795" s="38">
        <v>28</v>
      </c>
      <c r="B795" s="38" t="s">
        <v>39</v>
      </c>
      <c r="C795" s="39" t="s">
        <v>67</v>
      </c>
      <c r="D795" s="38">
        <v>43.2</v>
      </c>
      <c r="F795" s="38">
        <v>1209.5999999999999</v>
      </c>
    </row>
    <row r="796" spans="1:6">
      <c r="A796" s="38">
        <v>3.5</v>
      </c>
      <c r="B796" s="38" t="s">
        <v>41</v>
      </c>
      <c r="C796" s="39" t="s">
        <v>42</v>
      </c>
      <c r="D796" s="38">
        <v>972.4</v>
      </c>
      <c r="F796" s="38">
        <v>3403.4</v>
      </c>
    </row>
    <row r="797" spans="1:6">
      <c r="A797" s="38">
        <v>21.2</v>
      </c>
      <c r="B797" s="38" t="s">
        <v>41</v>
      </c>
      <c r="C797" s="39" t="s">
        <v>43</v>
      </c>
      <c r="D797" s="38">
        <v>679.8</v>
      </c>
      <c r="F797" s="38">
        <v>14411.76</v>
      </c>
    </row>
    <row r="798" spans="1:6">
      <c r="A798" s="38">
        <v>35.299999999999997</v>
      </c>
      <c r="B798" s="38" t="s">
        <v>41</v>
      </c>
      <c r="C798" s="39" t="s">
        <v>44</v>
      </c>
      <c r="D798" s="38">
        <v>557.70000000000005</v>
      </c>
      <c r="F798" s="38">
        <v>19686.810000000001</v>
      </c>
    </row>
    <row r="799" spans="1:6">
      <c r="C799" s="39" t="s">
        <v>45</v>
      </c>
      <c r="D799" s="38">
        <v>0</v>
      </c>
      <c r="F799" s="38">
        <v>80481.37</v>
      </c>
    </row>
    <row r="800" spans="1:6">
      <c r="C800" s="39" t="s">
        <v>46</v>
      </c>
      <c r="D800" s="38">
        <v>0</v>
      </c>
      <c r="F800" s="38">
        <v>8048.14</v>
      </c>
    </row>
    <row r="801" spans="1:6">
      <c r="A801" s="38">
        <v>1</v>
      </c>
      <c r="B801" s="38" t="s">
        <v>34</v>
      </c>
      <c r="C801" s="39" t="s">
        <v>47</v>
      </c>
      <c r="D801" s="38">
        <v>98.34</v>
      </c>
      <c r="F801" s="38">
        <v>98.34</v>
      </c>
    </row>
    <row r="802" spans="1:6">
      <c r="C802" s="39" t="s">
        <v>48</v>
      </c>
      <c r="F802" s="38">
        <v>8146.48</v>
      </c>
    </row>
    <row r="803" spans="1:6" ht="31.5">
      <c r="A803" s="38" t="s">
        <v>49</v>
      </c>
      <c r="C803" s="39" t="s">
        <v>50</v>
      </c>
      <c r="D803" s="38" t="s">
        <v>49</v>
      </c>
      <c r="F803" s="38">
        <v>40.729999999999997</v>
      </c>
    </row>
    <row r="804" spans="1:6">
      <c r="C804" s="39" t="s">
        <v>51</v>
      </c>
      <c r="F804" s="38">
        <v>8187.21</v>
      </c>
    </row>
    <row r="805" spans="1:6">
      <c r="F805" s="38" t="s">
        <v>52</v>
      </c>
    </row>
    <row r="806" spans="1:6">
      <c r="C806" s="39" t="s">
        <v>53</v>
      </c>
      <c r="F806" s="38">
        <v>8312.17</v>
      </c>
    </row>
    <row r="807" spans="1:6">
      <c r="C807" s="39" t="s">
        <v>54</v>
      </c>
      <c r="F807" s="38">
        <v>8558.35</v>
      </c>
    </row>
    <row r="808" spans="1:6">
      <c r="C808" s="39" t="s">
        <v>55</v>
      </c>
      <c r="F808" s="38">
        <v>8804.5300000000007</v>
      </c>
    </row>
    <row r="809" spans="1:6">
      <c r="C809" s="39" t="s">
        <v>56</v>
      </c>
      <c r="F809" s="38">
        <v>9050.7099999999991</v>
      </c>
    </row>
    <row r="810" spans="1:6">
      <c r="C810" s="39" t="s">
        <v>57</v>
      </c>
      <c r="F810" s="38">
        <v>9296.89</v>
      </c>
    </row>
    <row r="811" spans="1:6">
      <c r="A811" s="38">
        <v>4.2</v>
      </c>
      <c r="B811" s="38" t="s">
        <v>66</v>
      </c>
    </row>
    <row r="812" spans="1:6">
      <c r="A812" s="38">
        <v>5</v>
      </c>
      <c r="B812" s="38" t="s">
        <v>34</v>
      </c>
      <c r="C812" s="39" t="s">
        <v>6429</v>
      </c>
      <c r="D812" s="38">
        <v>1704.69</v>
      </c>
      <c r="F812" s="38">
        <v>8523.4500000000007</v>
      </c>
    </row>
    <row r="813" spans="1:6" ht="31.5">
      <c r="A813" s="38">
        <v>3.3</v>
      </c>
      <c r="B813" s="38" t="s">
        <v>34</v>
      </c>
      <c r="C813" s="39" t="s">
        <v>6430</v>
      </c>
      <c r="D813" s="38">
        <v>1419.19</v>
      </c>
      <c r="F813" s="38">
        <v>4683.33</v>
      </c>
    </row>
    <row r="814" spans="1:6">
      <c r="A814" s="38">
        <v>4.79</v>
      </c>
      <c r="B814" s="38" t="s">
        <v>34</v>
      </c>
      <c r="C814" s="39" t="s">
        <v>6431</v>
      </c>
      <c r="D814" s="38">
        <v>1549.69</v>
      </c>
      <c r="F814" s="38">
        <v>7423.02</v>
      </c>
    </row>
    <row r="815" spans="1:6">
      <c r="A815" s="38">
        <v>4</v>
      </c>
      <c r="B815" s="38" t="s">
        <v>11</v>
      </c>
      <c r="C815" s="39" t="s">
        <v>38</v>
      </c>
      <c r="D815" s="38">
        <v>6040</v>
      </c>
      <c r="F815" s="38">
        <v>24160</v>
      </c>
    </row>
    <row r="816" spans="1:6">
      <c r="A816" s="38">
        <v>40</v>
      </c>
      <c r="B816" s="38" t="s">
        <v>39</v>
      </c>
      <c r="C816" s="39" t="s">
        <v>67</v>
      </c>
      <c r="D816" s="38">
        <v>43.2</v>
      </c>
      <c r="F816" s="38">
        <v>1728</v>
      </c>
    </row>
    <row r="817" spans="1:6">
      <c r="A817" s="38">
        <v>3.5</v>
      </c>
      <c r="B817" s="38" t="s">
        <v>41</v>
      </c>
      <c r="C817" s="39" t="s">
        <v>42</v>
      </c>
      <c r="D817" s="38">
        <v>972.4</v>
      </c>
      <c r="F817" s="38">
        <v>3403.4</v>
      </c>
    </row>
    <row r="818" spans="1:6">
      <c r="A818" s="38">
        <v>21.2</v>
      </c>
      <c r="B818" s="38" t="s">
        <v>41</v>
      </c>
      <c r="C818" s="39" t="s">
        <v>43</v>
      </c>
      <c r="D818" s="38">
        <v>679.8</v>
      </c>
      <c r="F818" s="38">
        <v>14411.76</v>
      </c>
    </row>
    <row r="819" spans="1:6">
      <c r="A819" s="38">
        <v>35.299999999999997</v>
      </c>
      <c r="B819" s="38" t="s">
        <v>41</v>
      </c>
      <c r="C819" s="39" t="s">
        <v>44</v>
      </c>
      <c r="D819" s="38">
        <v>557.70000000000005</v>
      </c>
      <c r="F819" s="38">
        <v>19686.810000000001</v>
      </c>
    </row>
    <row r="820" spans="1:6">
      <c r="C820" s="39" t="s">
        <v>45</v>
      </c>
      <c r="F820" s="38">
        <v>84019.77</v>
      </c>
    </row>
    <row r="821" spans="1:6">
      <c r="C821" s="39" t="s">
        <v>46</v>
      </c>
      <c r="F821" s="38">
        <v>8401.98</v>
      </c>
    </row>
    <row r="822" spans="1:6">
      <c r="A822" s="38">
        <v>1</v>
      </c>
      <c r="B822" s="38" t="s">
        <v>34</v>
      </c>
      <c r="C822" s="39" t="s">
        <v>47</v>
      </c>
      <c r="D822" s="38">
        <v>98.34</v>
      </c>
      <c r="F822" s="38">
        <v>98.34</v>
      </c>
    </row>
    <row r="823" spans="1:6">
      <c r="C823" s="39" t="s">
        <v>48</v>
      </c>
      <c r="F823" s="38">
        <v>8500.32</v>
      </c>
    </row>
    <row r="824" spans="1:6" ht="31.5">
      <c r="A824" s="38" t="s">
        <v>49</v>
      </c>
      <c r="C824" s="39" t="s">
        <v>50</v>
      </c>
      <c r="D824" s="38" t="s">
        <v>49</v>
      </c>
      <c r="F824" s="38">
        <v>42.5</v>
      </c>
    </row>
    <row r="825" spans="1:6">
      <c r="C825" s="39" t="s">
        <v>51</v>
      </c>
      <c r="F825" s="38">
        <v>8542.82</v>
      </c>
    </row>
    <row r="826" spans="1:6">
      <c r="F826" s="38" t="s">
        <v>52</v>
      </c>
    </row>
    <row r="827" spans="1:6">
      <c r="C827" s="39" t="s">
        <v>53</v>
      </c>
      <c r="F827" s="38">
        <v>8667.7800000000007</v>
      </c>
    </row>
    <row r="828" spans="1:6">
      <c r="C828" s="39" t="s">
        <v>4134</v>
      </c>
    </row>
    <row r="829" spans="1:6" ht="31.5">
      <c r="A829" s="38" t="s">
        <v>691</v>
      </c>
      <c r="B829" s="38" t="s">
        <v>111</v>
      </c>
      <c r="C829" s="39" t="s">
        <v>6432</v>
      </c>
    </row>
    <row r="830" spans="1:6">
      <c r="C830" s="39" t="s">
        <v>52</v>
      </c>
    </row>
    <row r="831" spans="1:6">
      <c r="A831" s="38">
        <v>0.02</v>
      </c>
      <c r="B831" s="38" t="s">
        <v>132</v>
      </c>
      <c r="C831" s="39" t="s">
        <v>693</v>
      </c>
      <c r="D831" s="38">
        <v>8088.38</v>
      </c>
      <c r="E831" s="38" t="s">
        <v>132</v>
      </c>
      <c r="F831" s="38">
        <v>121.33</v>
      </c>
    </row>
    <row r="832" spans="1:6">
      <c r="A832" s="38">
        <v>0.5</v>
      </c>
      <c r="B832" s="38" t="s">
        <v>237</v>
      </c>
      <c r="C832" s="39" t="s">
        <v>345</v>
      </c>
      <c r="D832" s="38">
        <v>1041.7</v>
      </c>
      <c r="E832" s="38" t="s">
        <v>237</v>
      </c>
      <c r="F832" s="38">
        <v>520.85</v>
      </c>
    </row>
    <row r="833" spans="1:6">
      <c r="A833" s="38">
        <v>0.75</v>
      </c>
      <c r="B833" s="38" t="s">
        <v>237</v>
      </c>
      <c r="C833" s="39" t="s">
        <v>304</v>
      </c>
      <c r="D833" s="38">
        <v>679.8</v>
      </c>
      <c r="E833" s="38" t="s">
        <v>237</v>
      </c>
      <c r="F833" s="38">
        <v>509.85</v>
      </c>
    </row>
    <row r="834" spans="1:6">
      <c r="B834" s="38" t="s">
        <v>145</v>
      </c>
      <c r="C834" s="39" t="s">
        <v>146</v>
      </c>
      <c r="D834" s="38">
        <v>0</v>
      </c>
      <c r="E834" s="38" t="s">
        <v>145</v>
      </c>
      <c r="F834" s="38">
        <v>0</v>
      </c>
    </row>
    <row r="835" spans="1:6">
      <c r="F835" s="38" t="s">
        <v>52</v>
      </c>
    </row>
    <row r="836" spans="1:6">
      <c r="C836" s="39" t="s">
        <v>695</v>
      </c>
      <c r="F836" s="38">
        <v>1152.03</v>
      </c>
    </row>
    <row r="837" spans="1:6">
      <c r="F837" s="38" t="s">
        <v>52</v>
      </c>
    </row>
    <row r="838" spans="1:6">
      <c r="C838" s="39" t="s">
        <v>460</v>
      </c>
      <c r="F838" s="38">
        <v>1550.51</v>
      </c>
    </row>
    <row r="839" spans="1:6">
      <c r="F839" s="38" t="s">
        <v>89</v>
      </c>
    </row>
    <row r="840" spans="1:6">
      <c r="C840" s="39" t="s">
        <v>53</v>
      </c>
      <c r="D840" s="38">
        <v>1550.51</v>
      </c>
      <c r="E840" s="38">
        <v>2.52</v>
      </c>
      <c r="F840" s="38">
        <v>1553.03</v>
      </c>
    </row>
    <row r="841" spans="1:6">
      <c r="C841" s="39" t="s">
        <v>54</v>
      </c>
      <c r="D841" s="38">
        <v>1553.03</v>
      </c>
      <c r="E841" s="38">
        <v>4.97</v>
      </c>
      <c r="F841" s="38">
        <v>1558</v>
      </c>
    </row>
    <row r="842" spans="1:6">
      <c r="C842" s="39" t="s">
        <v>55</v>
      </c>
      <c r="D842" s="38">
        <v>1558</v>
      </c>
      <c r="E842" s="38">
        <v>4.97</v>
      </c>
      <c r="F842" s="38">
        <v>1562.97</v>
      </c>
    </row>
    <row r="843" spans="1:6">
      <c r="C843" s="39" t="s">
        <v>56</v>
      </c>
      <c r="D843" s="38">
        <v>1562.97</v>
      </c>
      <c r="E843" s="38">
        <v>4.97</v>
      </c>
      <c r="F843" s="38">
        <v>1567.94</v>
      </c>
    </row>
    <row r="844" spans="1:6" ht="31.5">
      <c r="A844" s="38" t="s">
        <v>698</v>
      </c>
      <c r="B844" s="38" t="s">
        <v>111</v>
      </c>
      <c r="C844" s="39" t="s">
        <v>6433</v>
      </c>
    </row>
    <row r="845" spans="1:6">
      <c r="C845" s="39" t="s">
        <v>52</v>
      </c>
    </row>
    <row r="846" spans="1:6">
      <c r="A846" s="38">
        <v>0.03</v>
      </c>
      <c r="B846" s="38" t="s">
        <v>132</v>
      </c>
      <c r="C846" s="39" t="s">
        <v>4141</v>
      </c>
      <c r="D846" s="38">
        <v>8088.38</v>
      </c>
      <c r="E846" s="38" t="s">
        <v>132</v>
      </c>
      <c r="F846" s="38">
        <v>242.65</v>
      </c>
    </row>
    <row r="847" spans="1:6">
      <c r="A847" s="38">
        <v>0.5</v>
      </c>
      <c r="B847" s="38" t="s">
        <v>237</v>
      </c>
      <c r="C847" s="39" t="s">
        <v>345</v>
      </c>
      <c r="D847" s="38">
        <v>1041.7</v>
      </c>
      <c r="E847" s="38" t="s">
        <v>237</v>
      </c>
      <c r="F847" s="38">
        <v>520.85</v>
      </c>
    </row>
    <row r="848" spans="1:6">
      <c r="A848" s="38">
        <v>0.75</v>
      </c>
      <c r="B848" s="38" t="s">
        <v>237</v>
      </c>
      <c r="C848" s="39" t="s">
        <v>304</v>
      </c>
      <c r="D848" s="38">
        <v>679.8</v>
      </c>
      <c r="E848" s="38" t="s">
        <v>237</v>
      </c>
      <c r="F848" s="38">
        <v>509.85</v>
      </c>
    </row>
    <row r="849" spans="1:6">
      <c r="B849" s="38" t="s">
        <v>145</v>
      </c>
      <c r="C849" s="39" t="s">
        <v>146</v>
      </c>
      <c r="D849" s="38">
        <v>0</v>
      </c>
      <c r="E849" s="38" t="s">
        <v>145</v>
      </c>
      <c r="F849" s="38">
        <v>0</v>
      </c>
    </row>
    <row r="850" spans="1:6">
      <c r="F850" s="38" t="s">
        <v>52</v>
      </c>
    </row>
    <row r="851" spans="1:6">
      <c r="C851" s="39" t="s">
        <v>695</v>
      </c>
      <c r="F851" s="38">
        <v>1273.3499999999999</v>
      </c>
    </row>
    <row r="852" spans="1:6">
      <c r="F852" s="38" t="s">
        <v>52</v>
      </c>
    </row>
    <row r="853" spans="1:6">
      <c r="C853" s="39" t="s">
        <v>4142</v>
      </c>
      <c r="F853" s="38">
        <v>1713.8</v>
      </c>
    </row>
    <row r="854" spans="1:6">
      <c r="F854" s="38" t="s">
        <v>89</v>
      </c>
    </row>
    <row r="855" spans="1:6">
      <c r="C855" s="39" t="s">
        <v>53</v>
      </c>
      <c r="D855" s="38">
        <v>1713.8</v>
      </c>
      <c r="E855" s="38">
        <v>5.05</v>
      </c>
      <c r="F855" s="38">
        <v>1718.85</v>
      </c>
    </row>
    <row r="856" spans="1:6">
      <c r="C856" s="39" t="s">
        <v>54</v>
      </c>
      <c r="D856" s="38">
        <v>1718.85</v>
      </c>
      <c r="E856" s="38">
        <v>9.94</v>
      </c>
      <c r="F856" s="38">
        <v>1728.79</v>
      </c>
    </row>
    <row r="857" spans="1:6">
      <c r="C857" s="39" t="s">
        <v>55</v>
      </c>
      <c r="D857" s="38">
        <v>1728.79</v>
      </c>
      <c r="E857" s="38">
        <v>9.94</v>
      </c>
      <c r="F857" s="38">
        <v>1738.73</v>
      </c>
    </row>
    <row r="858" spans="1:6">
      <c r="C858" s="39" t="s">
        <v>56</v>
      </c>
      <c r="D858" s="38">
        <v>1738.73</v>
      </c>
      <c r="E858" s="38">
        <v>9.94</v>
      </c>
      <c r="F858" s="38">
        <v>1748.67</v>
      </c>
    </row>
    <row r="859" spans="1:6" ht="31.5">
      <c r="C859" s="39" t="s">
        <v>4524</v>
      </c>
    </row>
    <row r="860" spans="1:6" ht="31.5">
      <c r="A860" s="38">
        <v>98.5</v>
      </c>
      <c r="B860" s="38" t="s">
        <v>282</v>
      </c>
      <c r="C860" s="39" t="s">
        <v>4525</v>
      </c>
      <c r="D860" s="38">
        <v>5.04</v>
      </c>
    </row>
    <row r="861" spans="1:6">
      <c r="A861" s="38">
        <v>0.3</v>
      </c>
      <c r="B861" s="38" t="s">
        <v>282</v>
      </c>
      <c r="C861" s="39" t="s">
        <v>1110</v>
      </c>
      <c r="D861" s="38">
        <v>1018.6</v>
      </c>
    </row>
    <row r="862" spans="1:6">
      <c r="A862" s="38">
        <v>0.3</v>
      </c>
      <c r="B862" s="38" t="s">
        <v>282</v>
      </c>
      <c r="C862" s="39" t="s">
        <v>4502</v>
      </c>
      <c r="D862" s="38">
        <v>679.8</v>
      </c>
    </row>
    <row r="863" spans="1:6">
      <c r="C863" s="39" t="s">
        <v>4528</v>
      </c>
    </row>
    <row r="864" spans="1:6">
      <c r="C864" s="39" t="s">
        <v>4529</v>
      </c>
    </row>
    <row r="865" spans="2:4">
      <c r="C865" s="39" t="s">
        <v>4530</v>
      </c>
    </row>
    <row r="866" spans="2:4">
      <c r="C866" s="39" t="s">
        <v>4531</v>
      </c>
    </row>
    <row r="867" spans="2:4">
      <c r="B867" s="38" t="s">
        <v>4533</v>
      </c>
      <c r="C867" s="39" t="s">
        <v>4534</v>
      </c>
      <c r="D867" s="38">
        <v>881.39</v>
      </c>
    </row>
    <row r="869" spans="2:4">
      <c r="B869" s="38" t="s">
        <v>986</v>
      </c>
      <c r="C869" s="39" t="s">
        <v>4535</v>
      </c>
      <c r="D869" s="38">
        <v>982.08</v>
      </c>
    </row>
    <row r="871" spans="2:4" ht="31.5">
      <c r="B871" s="38" t="s">
        <v>1018</v>
      </c>
      <c r="C871" s="39" t="s">
        <v>4536</v>
      </c>
      <c r="D871" s="38">
        <v>1178.5</v>
      </c>
    </row>
    <row r="873" spans="2:4">
      <c r="B873" s="38" t="s">
        <v>4538</v>
      </c>
      <c r="C873" s="39" t="s">
        <v>4539</v>
      </c>
      <c r="D873" s="38">
        <v>1080.29</v>
      </c>
    </row>
    <row r="874" spans="2:4" ht="31.5">
      <c r="C874" s="39" t="s">
        <v>1167</v>
      </c>
    </row>
    <row r="875" spans="2:4" ht="31.5">
      <c r="C875" s="39" t="s">
        <v>1169</v>
      </c>
    </row>
    <row r="876" spans="2:4" ht="31.5">
      <c r="C876" s="39" t="s">
        <v>1171</v>
      </c>
    </row>
    <row r="877" spans="2:4" ht="31.5">
      <c r="C877" s="39" t="s">
        <v>1173</v>
      </c>
    </row>
    <row r="878" spans="2:4" ht="31.5">
      <c r="C878" s="39" t="s">
        <v>1175</v>
      </c>
    </row>
    <row r="879" spans="2:4" ht="31.5">
      <c r="C879" s="39" t="s">
        <v>1178</v>
      </c>
    </row>
    <row r="880" spans="2:4" ht="31.5">
      <c r="C880" s="39" t="s">
        <v>1180</v>
      </c>
    </row>
    <row r="881" spans="1:6" ht="31.5">
      <c r="C881" s="39" t="s">
        <v>1182</v>
      </c>
    </row>
    <row r="882" spans="1:6" ht="31.5">
      <c r="C882" s="39" t="s">
        <v>1184</v>
      </c>
    </row>
    <row r="883" spans="1:6" ht="31.5">
      <c r="C883" s="39" t="s">
        <v>1186</v>
      </c>
    </row>
    <row r="884" spans="1:6" ht="31.5">
      <c r="C884" s="39" t="s">
        <v>1188</v>
      </c>
    </row>
    <row r="885" spans="1:6" ht="31.5">
      <c r="C885" s="39" t="s">
        <v>1190</v>
      </c>
    </row>
    <row r="886" spans="1:6">
      <c r="C886" s="39" t="s">
        <v>1192</v>
      </c>
    </row>
    <row r="889" spans="1:6">
      <c r="B889" s="38" t="s">
        <v>1018</v>
      </c>
      <c r="C889" s="39" t="s">
        <v>1197</v>
      </c>
    </row>
    <row r="890" spans="1:6">
      <c r="C890" s="39" t="s">
        <v>1199</v>
      </c>
    </row>
    <row r="891" spans="1:6">
      <c r="A891" s="38">
        <v>0.04</v>
      </c>
      <c r="B891" s="38" t="s">
        <v>132</v>
      </c>
      <c r="C891" s="39" t="s">
        <v>1201</v>
      </c>
      <c r="D891" s="38">
        <v>7899.72</v>
      </c>
      <c r="E891" s="38" t="s">
        <v>132</v>
      </c>
      <c r="F891" s="38">
        <v>300.98</v>
      </c>
    </row>
    <row r="892" spans="1:6">
      <c r="A892" s="38">
        <v>5.01</v>
      </c>
      <c r="B892" s="38" t="s">
        <v>39</v>
      </c>
      <c r="C892" s="39" t="s">
        <v>1203</v>
      </c>
      <c r="D892" s="38">
        <v>90172</v>
      </c>
      <c r="E892" s="38" t="s">
        <v>122</v>
      </c>
      <c r="F892" s="38">
        <v>451.76</v>
      </c>
    </row>
    <row r="893" spans="1:6">
      <c r="A893" s="38">
        <v>3</v>
      </c>
      <c r="B893" s="38" t="s">
        <v>131</v>
      </c>
      <c r="C893" s="39" t="s">
        <v>1205</v>
      </c>
      <c r="D893" s="38">
        <v>14.8</v>
      </c>
      <c r="E893" s="38" t="s">
        <v>131</v>
      </c>
      <c r="F893" s="38">
        <v>44.4</v>
      </c>
    </row>
    <row r="894" spans="1:6">
      <c r="A894" s="38">
        <v>12</v>
      </c>
      <c r="B894" s="38" t="s">
        <v>131</v>
      </c>
      <c r="C894" s="39" t="s">
        <v>1207</v>
      </c>
      <c r="D894" s="38">
        <v>2</v>
      </c>
      <c r="E894" s="38" t="s">
        <v>131</v>
      </c>
      <c r="F894" s="38">
        <v>24</v>
      </c>
    </row>
    <row r="895" spans="1:6">
      <c r="A895" s="38">
        <v>2</v>
      </c>
      <c r="B895" s="38" t="s">
        <v>131</v>
      </c>
      <c r="C895" s="39" t="s">
        <v>1209</v>
      </c>
      <c r="D895" s="38">
        <v>4.9000000000000004</v>
      </c>
      <c r="E895" s="38" t="s">
        <v>131</v>
      </c>
      <c r="F895" s="38">
        <v>9.8000000000000007</v>
      </c>
    </row>
    <row r="896" spans="1:6">
      <c r="A896" s="38">
        <v>6</v>
      </c>
      <c r="B896" s="38" t="s">
        <v>131</v>
      </c>
      <c r="C896" s="39" t="s">
        <v>1211</v>
      </c>
      <c r="D896" s="38">
        <v>4.45</v>
      </c>
      <c r="E896" s="38" t="s">
        <v>131</v>
      </c>
      <c r="F896" s="38">
        <v>26.7</v>
      </c>
    </row>
    <row r="897" spans="1:6">
      <c r="A897" s="38">
        <v>1</v>
      </c>
      <c r="B897" s="38" t="s">
        <v>131</v>
      </c>
      <c r="C897" s="39" t="s">
        <v>1213</v>
      </c>
      <c r="D897" s="38">
        <v>1041.7</v>
      </c>
      <c r="E897" s="38" t="s">
        <v>131</v>
      </c>
      <c r="F897" s="38">
        <v>1041.7</v>
      </c>
    </row>
    <row r="898" spans="1:6">
      <c r="A898" s="38">
        <v>1</v>
      </c>
      <c r="B898" s="38" t="s">
        <v>131</v>
      </c>
      <c r="C898" s="39" t="s">
        <v>1215</v>
      </c>
      <c r="D898" s="38">
        <v>679.8</v>
      </c>
      <c r="E898" s="38" t="s">
        <v>131</v>
      </c>
      <c r="F898" s="38">
        <v>679.8</v>
      </c>
    </row>
    <row r="899" spans="1:6">
      <c r="A899" s="38">
        <v>1</v>
      </c>
      <c r="B899" s="38" t="s">
        <v>131</v>
      </c>
      <c r="C899" s="39" t="s">
        <v>1217</v>
      </c>
      <c r="D899" s="38">
        <v>25</v>
      </c>
      <c r="E899" s="38" t="s">
        <v>131</v>
      </c>
      <c r="F899" s="38">
        <v>25</v>
      </c>
    </row>
    <row r="900" spans="1:6">
      <c r="A900" s="38">
        <v>0.5</v>
      </c>
      <c r="B900" s="38" t="s">
        <v>131</v>
      </c>
      <c r="C900" s="39" t="s">
        <v>1219</v>
      </c>
      <c r="D900" s="38">
        <v>557.70000000000005</v>
      </c>
      <c r="E900" s="38" t="s">
        <v>131</v>
      </c>
      <c r="F900" s="38">
        <v>278.85000000000002</v>
      </c>
    </row>
    <row r="901" spans="1:6">
      <c r="B901" s="38" t="s">
        <v>145</v>
      </c>
      <c r="C901" s="39" t="s">
        <v>1221</v>
      </c>
      <c r="E901" s="38" t="s">
        <v>145</v>
      </c>
      <c r="F901" s="38">
        <v>1.1299999999999999</v>
      </c>
    </row>
    <row r="902" spans="1:6">
      <c r="F902" s="38" t="s">
        <v>52</v>
      </c>
    </row>
    <row r="903" spans="1:6">
      <c r="C903" s="39" t="s">
        <v>1224</v>
      </c>
      <c r="F903" s="38">
        <v>2884.12</v>
      </c>
    </row>
    <row r="904" spans="1:6">
      <c r="F904" s="38" t="s">
        <v>52</v>
      </c>
    </row>
    <row r="907" spans="1:6">
      <c r="B907" s="38" t="s">
        <v>956</v>
      </c>
      <c r="C907" s="39" t="s">
        <v>1227</v>
      </c>
    </row>
    <row r="908" spans="1:6">
      <c r="C908" s="39" t="s">
        <v>1199</v>
      </c>
    </row>
    <row r="909" spans="1:6" ht="31.5">
      <c r="A909" s="38">
        <v>0.04</v>
      </c>
      <c r="B909" s="38" t="s">
        <v>132</v>
      </c>
      <c r="C909" s="39" t="s">
        <v>6434</v>
      </c>
      <c r="D909" s="38">
        <v>7899.72</v>
      </c>
      <c r="E909" s="38" t="s">
        <v>132</v>
      </c>
      <c r="F909" s="38">
        <v>290.70999999999998</v>
      </c>
    </row>
    <row r="910" spans="1:6">
      <c r="A910" s="38">
        <v>4.87</v>
      </c>
      <c r="B910" s="38" t="s">
        <v>39</v>
      </c>
      <c r="C910" s="39" t="s">
        <v>1203</v>
      </c>
      <c r="D910" s="38">
        <v>90172</v>
      </c>
      <c r="E910" s="38" t="s">
        <v>122</v>
      </c>
      <c r="F910" s="38">
        <v>439.14</v>
      </c>
    </row>
    <row r="911" spans="1:6">
      <c r="A911" s="38">
        <v>3</v>
      </c>
      <c r="B911" s="38" t="s">
        <v>131</v>
      </c>
      <c r="C911" s="39" t="s">
        <v>1205</v>
      </c>
      <c r="D911" s="38">
        <v>14.8</v>
      </c>
      <c r="E911" s="38" t="s">
        <v>131</v>
      </c>
      <c r="F911" s="38">
        <v>44.4</v>
      </c>
    </row>
    <row r="912" spans="1:6">
      <c r="A912" s="38">
        <v>12</v>
      </c>
      <c r="B912" s="38" t="s">
        <v>131</v>
      </c>
      <c r="C912" s="39" t="s">
        <v>1207</v>
      </c>
      <c r="D912" s="38">
        <v>2</v>
      </c>
      <c r="E912" s="38" t="s">
        <v>131</v>
      </c>
      <c r="F912" s="38">
        <v>24</v>
      </c>
    </row>
    <row r="913" spans="1:6">
      <c r="A913" s="38">
        <v>2</v>
      </c>
      <c r="B913" s="38" t="s">
        <v>131</v>
      </c>
      <c r="C913" s="39" t="s">
        <v>1209</v>
      </c>
      <c r="D913" s="38">
        <v>4.9000000000000004</v>
      </c>
      <c r="E913" s="38" t="s">
        <v>131</v>
      </c>
      <c r="F913" s="38">
        <v>9.8000000000000007</v>
      </c>
    </row>
    <row r="914" spans="1:6">
      <c r="A914" s="38">
        <v>6</v>
      </c>
      <c r="B914" s="38" t="s">
        <v>131</v>
      </c>
      <c r="C914" s="39" t="s">
        <v>1211</v>
      </c>
      <c r="D914" s="38">
        <v>4.45</v>
      </c>
      <c r="E914" s="38" t="s">
        <v>131</v>
      </c>
      <c r="F914" s="38">
        <v>26.7</v>
      </c>
    </row>
    <row r="915" spans="1:6">
      <c r="A915" s="38">
        <v>1</v>
      </c>
      <c r="B915" s="38" t="s">
        <v>131</v>
      </c>
      <c r="C915" s="39" t="s">
        <v>1213</v>
      </c>
      <c r="D915" s="38">
        <v>1041.7</v>
      </c>
      <c r="E915" s="38" t="s">
        <v>131</v>
      </c>
      <c r="F915" s="38">
        <v>1041.7</v>
      </c>
    </row>
    <row r="916" spans="1:6">
      <c r="A916" s="38">
        <v>1</v>
      </c>
      <c r="B916" s="38" t="s">
        <v>131</v>
      </c>
      <c r="C916" s="39" t="s">
        <v>1215</v>
      </c>
      <c r="D916" s="38">
        <v>679.8</v>
      </c>
      <c r="E916" s="38" t="s">
        <v>131</v>
      </c>
      <c r="F916" s="38">
        <v>679.8</v>
      </c>
    </row>
    <row r="917" spans="1:6">
      <c r="A917" s="38">
        <v>1</v>
      </c>
      <c r="B917" s="38" t="s">
        <v>131</v>
      </c>
      <c r="C917" s="39" t="s">
        <v>1217</v>
      </c>
      <c r="D917" s="38">
        <v>25</v>
      </c>
      <c r="E917" s="38" t="s">
        <v>131</v>
      </c>
      <c r="F917" s="38">
        <v>25</v>
      </c>
    </row>
    <row r="918" spans="1:6">
      <c r="A918" s="38">
        <v>0.5</v>
      </c>
      <c r="B918" s="38" t="s">
        <v>131</v>
      </c>
      <c r="C918" s="39" t="s">
        <v>1219</v>
      </c>
      <c r="D918" s="38">
        <v>557.70000000000005</v>
      </c>
      <c r="E918" s="38" t="s">
        <v>131</v>
      </c>
      <c r="F918" s="38">
        <v>278.85000000000002</v>
      </c>
    </row>
    <row r="919" spans="1:6">
      <c r="B919" s="38" t="s">
        <v>145</v>
      </c>
      <c r="C919" s="39" t="s">
        <v>1221</v>
      </c>
      <c r="E919" s="38" t="s">
        <v>145</v>
      </c>
      <c r="F919" s="38">
        <v>1.98</v>
      </c>
    </row>
    <row r="920" spans="1:6">
      <c r="F920" s="38" t="s">
        <v>52</v>
      </c>
    </row>
    <row r="921" spans="1:6">
      <c r="C921" s="39" t="s">
        <v>1224</v>
      </c>
      <c r="F921" s="38">
        <v>2862.08</v>
      </c>
    </row>
    <row r="922" spans="1:6" ht="31.5">
      <c r="A922" s="38" t="s">
        <v>3554</v>
      </c>
      <c r="C922" s="39" t="s">
        <v>4850</v>
      </c>
    </row>
    <row r="923" spans="1:6">
      <c r="C923" s="39" t="s">
        <v>52</v>
      </c>
      <c r="D923" s="38" t="s">
        <v>52</v>
      </c>
      <c r="E923" s="38" t="s">
        <v>52</v>
      </c>
    </row>
    <row r="925" spans="1:6">
      <c r="C925" s="39" t="s">
        <v>1526</v>
      </c>
    </row>
    <row r="927" spans="1:6" ht="31.5">
      <c r="C927" s="39" t="s">
        <v>1527</v>
      </c>
    </row>
    <row r="928" spans="1:6" ht="31.5">
      <c r="C928" s="39" t="s">
        <v>1528</v>
      </c>
    </row>
    <row r="929" spans="1:6" ht="31.5">
      <c r="C929" s="39" t="s">
        <v>1529</v>
      </c>
    </row>
    <row r="930" spans="1:6" ht="31.5">
      <c r="C930" s="39" t="s">
        <v>1530</v>
      </c>
    </row>
    <row r="931" spans="1:6" ht="31.5">
      <c r="C931" s="39" t="s">
        <v>2214</v>
      </c>
      <c r="E931" s="38" t="s">
        <v>85</v>
      </c>
      <c r="F931" s="38">
        <v>0.04</v>
      </c>
    </row>
    <row r="932" spans="1:6">
      <c r="C932" s="39" t="s">
        <v>4851</v>
      </c>
      <c r="E932" s="38" t="s">
        <v>85</v>
      </c>
      <c r="F932" s="38" t="s">
        <v>85</v>
      </c>
    </row>
    <row r="933" spans="1:6">
      <c r="C933" s="39" t="s">
        <v>1532</v>
      </c>
      <c r="F933" s="38" t="s">
        <v>85</v>
      </c>
    </row>
    <row r="935" spans="1:6">
      <c r="A935" s="38">
        <v>0.01</v>
      </c>
      <c r="B935" s="38" t="s">
        <v>132</v>
      </c>
      <c r="C935" s="39" t="s">
        <v>446</v>
      </c>
      <c r="D935" s="38">
        <v>111600</v>
      </c>
      <c r="E935" s="38" t="s">
        <v>132</v>
      </c>
      <c r="F935" s="38">
        <v>1316.88</v>
      </c>
    </row>
    <row r="936" spans="1:6">
      <c r="A936" s="38">
        <v>0.04</v>
      </c>
      <c r="B936" s="38" t="s">
        <v>132</v>
      </c>
      <c r="C936" s="39" t="s">
        <v>447</v>
      </c>
      <c r="D936" s="38">
        <v>99400</v>
      </c>
      <c r="E936" s="38" t="s">
        <v>132</v>
      </c>
      <c r="F936" s="38">
        <v>3747.38</v>
      </c>
    </row>
    <row r="937" spans="1:6">
      <c r="A937" s="38">
        <v>0.02</v>
      </c>
      <c r="B937" s="38" t="s">
        <v>132</v>
      </c>
      <c r="C937" s="39" t="s">
        <v>1533</v>
      </c>
      <c r="D937" s="38">
        <v>14278</v>
      </c>
      <c r="E937" s="38" t="s">
        <v>132</v>
      </c>
      <c r="F937" s="38">
        <v>264.86</v>
      </c>
    </row>
    <row r="938" spans="1:6">
      <c r="A938" s="38">
        <v>1.36</v>
      </c>
      <c r="B938" s="38" t="s">
        <v>425</v>
      </c>
      <c r="C938" s="39" t="s">
        <v>4857</v>
      </c>
      <c r="D938" s="38">
        <v>387.4</v>
      </c>
      <c r="E938" s="38" t="s">
        <v>425</v>
      </c>
      <c r="F938" s="38">
        <v>526.86</v>
      </c>
    </row>
    <row r="939" spans="1:6">
      <c r="A939" s="38">
        <v>2.0499999999999998</v>
      </c>
      <c r="B939" s="38" t="s">
        <v>425</v>
      </c>
      <c r="C939" s="39" t="s">
        <v>1535</v>
      </c>
      <c r="D939" s="38">
        <v>1336.5</v>
      </c>
      <c r="E939" s="38" t="s">
        <v>425</v>
      </c>
      <c r="F939" s="38">
        <v>2739.83</v>
      </c>
    </row>
    <row r="940" spans="1:6">
      <c r="A940" s="38">
        <v>2</v>
      </c>
      <c r="B940" s="38" t="s">
        <v>131</v>
      </c>
      <c r="C940" s="39" t="s">
        <v>4860</v>
      </c>
      <c r="D940" s="38">
        <v>57</v>
      </c>
      <c r="E940" s="38" t="s">
        <v>131</v>
      </c>
      <c r="F940" s="38">
        <v>114</v>
      </c>
    </row>
    <row r="941" spans="1:6">
      <c r="A941" s="38">
        <v>6</v>
      </c>
      <c r="B941" s="38" t="s">
        <v>131</v>
      </c>
      <c r="C941" s="39" t="s">
        <v>1502</v>
      </c>
      <c r="D941" s="38">
        <v>49.35</v>
      </c>
      <c r="E941" s="38" t="s">
        <v>131</v>
      </c>
      <c r="F941" s="38">
        <v>296.10000000000002</v>
      </c>
    </row>
    <row r="942" spans="1:6">
      <c r="A942" s="38">
        <v>2</v>
      </c>
      <c r="B942" s="38" t="s">
        <v>131</v>
      </c>
      <c r="C942" s="39" t="s">
        <v>2216</v>
      </c>
      <c r="D942" s="38">
        <v>60.9</v>
      </c>
      <c r="E942" s="38" t="s">
        <v>131</v>
      </c>
      <c r="F942" s="38">
        <v>121.8</v>
      </c>
    </row>
    <row r="943" spans="1:6">
      <c r="A943" s="38">
        <v>1</v>
      </c>
      <c r="B943" s="38" t="s">
        <v>131</v>
      </c>
      <c r="C943" s="39" t="s">
        <v>1538</v>
      </c>
      <c r="D943" s="38">
        <v>63.2</v>
      </c>
      <c r="E943" s="38" t="s">
        <v>131</v>
      </c>
      <c r="F943" s="38">
        <v>63.2</v>
      </c>
    </row>
    <row r="944" spans="1:6">
      <c r="A944" s="38">
        <v>6.55</v>
      </c>
      <c r="B944" s="38" t="s">
        <v>425</v>
      </c>
      <c r="C944" s="39" t="s">
        <v>4870</v>
      </c>
      <c r="D944" s="38">
        <v>240.31</v>
      </c>
      <c r="E944" s="38" t="s">
        <v>425</v>
      </c>
      <c r="F944" s="38">
        <v>1574.03</v>
      </c>
    </row>
    <row r="945" spans="1:6" ht="31.5">
      <c r="A945" s="38">
        <v>50</v>
      </c>
      <c r="B945" s="38" t="s">
        <v>41</v>
      </c>
      <c r="C945" s="39" t="s">
        <v>4872</v>
      </c>
      <c r="D945" s="38">
        <v>2.41</v>
      </c>
      <c r="F945" s="38">
        <v>120.5</v>
      </c>
    </row>
    <row r="946" spans="1:6">
      <c r="F946" s="38" t="s">
        <v>52</v>
      </c>
    </row>
    <row r="947" spans="1:6">
      <c r="C947" s="39" t="s">
        <v>1541</v>
      </c>
      <c r="F947" s="38">
        <v>10885.44</v>
      </c>
    </row>
    <row r="948" spans="1:6">
      <c r="B948" s="38" t="s">
        <v>85</v>
      </c>
      <c r="F948" s="38" t="s">
        <v>52</v>
      </c>
    </row>
    <row r="949" spans="1:6">
      <c r="C949" s="39" t="s">
        <v>460</v>
      </c>
      <c r="F949" s="38">
        <v>4319.62</v>
      </c>
    </row>
    <row r="950" spans="1:6">
      <c r="A950" s="38" t="s">
        <v>1306</v>
      </c>
      <c r="B950" s="38" t="s">
        <v>111</v>
      </c>
      <c r="C950" s="39" t="s">
        <v>1307</v>
      </c>
    </row>
    <row r="951" spans="1:6">
      <c r="C951" s="39" t="s">
        <v>1309</v>
      </c>
    </row>
    <row r="952" spans="1:6">
      <c r="C952" s="39" t="s">
        <v>1311</v>
      </c>
      <c r="D952" s="38" t="s">
        <v>4760</v>
      </c>
    </row>
    <row r="953" spans="1:6">
      <c r="C953" s="39" t="s">
        <v>52</v>
      </c>
    </row>
    <row r="954" spans="1:6">
      <c r="C954" s="39" t="s">
        <v>4731</v>
      </c>
    </row>
    <row r="955" spans="1:6" ht="31.5">
      <c r="C955" s="39" t="s">
        <v>4735</v>
      </c>
    </row>
    <row r="956" spans="1:6">
      <c r="E956" s="38" t="s">
        <v>52</v>
      </c>
    </row>
    <row r="957" spans="1:6" ht="31.5">
      <c r="C957" s="39" t="s">
        <v>4738</v>
      </c>
    </row>
    <row r="958" spans="1:6">
      <c r="C958" s="39" t="s">
        <v>4739</v>
      </c>
      <c r="F958" s="38">
        <v>0.03</v>
      </c>
    </row>
    <row r="959" spans="1:6">
      <c r="E959" s="38" t="s">
        <v>85</v>
      </c>
      <c r="F959" s="38" t="s">
        <v>52</v>
      </c>
    </row>
    <row r="960" spans="1:6">
      <c r="C960" s="39" t="s">
        <v>4741</v>
      </c>
      <c r="E960" s="38" t="s">
        <v>85</v>
      </c>
      <c r="F960" s="38">
        <v>0.01</v>
      </c>
    </row>
    <row r="961" spans="1:6">
      <c r="C961" s="39" t="s">
        <v>4762</v>
      </c>
      <c r="E961" s="38" t="s">
        <v>85</v>
      </c>
      <c r="F961" s="38">
        <v>0</v>
      </c>
    </row>
    <row r="962" spans="1:6">
      <c r="F962" s="38" t="s">
        <v>52</v>
      </c>
    </row>
    <row r="963" spans="1:6">
      <c r="A963" s="38">
        <v>0.02</v>
      </c>
      <c r="B963" s="38" t="s">
        <v>132</v>
      </c>
      <c r="C963" s="39" t="s">
        <v>1332</v>
      </c>
      <c r="D963" s="38">
        <v>111600</v>
      </c>
      <c r="E963" s="38" t="s">
        <v>132</v>
      </c>
      <c r="F963" s="38">
        <v>2118.17</v>
      </c>
    </row>
    <row r="964" spans="1:6">
      <c r="A964" s="38">
        <v>0.03</v>
      </c>
      <c r="B964" s="38" t="s">
        <v>132</v>
      </c>
      <c r="C964" s="39" t="s">
        <v>1334</v>
      </c>
      <c r="D964" s="38">
        <v>99400</v>
      </c>
      <c r="E964" s="38" t="s">
        <v>132</v>
      </c>
      <c r="F964" s="38">
        <v>2693.74</v>
      </c>
    </row>
    <row r="965" spans="1:6">
      <c r="A965" s="38">
        <v>0.02</v>
      </c>
      <c r="B965" s="38" t="s">
        <v>132</v>
      </c>
      <c r="C965" s="39" t="s">
        <v>1336</v>
      </c>
      <c r="D965" s="38">
        <v>95000</v>
      </c>
      <c r="E965" s="38" t="s">
        <v>132</v>
      </c>
      <c r="F965" s="38">
        <v>1559.9</v>
      </c>
    </row>
    <row r="966" spans="1:6">
      <c r="C966" s="39" t="s">
        <v>2180</v>
      </c>
    </row>
    <row r="967" spans="1:6">
      <c r="A967" s="38">
        <v>1.82</v>
      </c>
      <c r="B967" s="38" t="s">
        <v>425</v>
      </c>
      <c r="C967" s="39" t="s">
        <v>1340</v>
      </c>
      <c r="D967" s="38">
        <v>1602.7</v>
      </c>
      <c r="E967" s="38" t="s">
        <v>425</v>
      </c>
      <c r="F967" s="38">
        <v>2920.92</v>
      </c>
    </row>
    <row r="968" spans="1:6">
      <c r="A968" s="38">
        <v>2</v>
      </c>
      <c r="B968" s="38" t="s">
        <v>237</v>
      </c>
      <c r="C968" s="39" t="s">
        <v>4766</v>
      </c>
      <c r="D968" s="38">
        <v>254.5</v>
      </c>
      <c r="E968" s="38" t="s">
        <v>131</v>
      </c>
      <c r="F968" s="38">
        <v>509</v>
      </c>
    </row>
    <row r="969" spans="1:6">
      <c r="A969" s="38">
        <v>3</v>
      </c>
      <c r="B969" s="38" t="s">
        <v>131</v>
      </c>
      <c r="C969" s="39" t="s">
        <v>4767</v>
      </c>
      <c r="D969" s="38">
        <v>214.1</v>
      </c>
      <c r="E969" s="38" t="s">
        <v>131</v>
      </c>
      <c r="F969" s="38">
        <v>642.29999999999995</v>
      </c>
    </row>
    <row r="970" spans="1:6">
      <c r="A970" s="38">
        <v>2</v>
      </c>
      <c r="B970" s="38" t="s">
        <v>131</v>
      </c>
      <c r="C970" s="39" t="s">
        <v>4768</v>
      </c>
      <c r="D970" s="38">
        <v>408</v>
      </c>
      <c r="E970" s="38" t="s">
        <v>131</v>
      </c>
      <c r="F970" s="38">
        <v>816</v>
      </c>
    </row>
    <row r="971" spans="1:6">
      <c r="A971" s="38">
        <v>1</v>
      </c>
      <c r="B971" s="38" t="s">
        <v>131</v>
      </c>
      <c r="C971" s="39" t="s">
        <v>4769</v>
      </c>
      <c r="D971" s="38">
        <v>836</v>
      </c>
      <c r="E971" s="38" t="s">
        <v>131</v>
      </c>
      <c r="F971" s="38">
        <v>836</v>
      </c>
    </row>
    <row r="972" spans="1:6">
      <c r="A972" s="38">
        <v>1</v>
      </c>
      <c r="B972" s="38" t="s">
        <v>131</v>
      </c>
      <c r="C972" s="39" t="s">
        <v>1350</v>
      </c>
      <c r="D972" s="38">
        <v>7.3</v>
      </c>
      <c r="E972" s="38" t="s">
        <v>131</v>
      </c>
      <c r="F972" s="38">
        <v>7.3</v>
      </c>
    </row>
    <row r="973" spans="1:6">
      <c r="A973" s="38">
        <v>1</v>
      </c>
      <c r="B973" s="38" t="s">
        <v>131</v>
      </c>
      <c r="C973" s="39" t="s">
        <v>4770</v>
      </c>
      <c r="D973" s="38">
        <v>49.55</v>
      </c>
      <c r="E973" s="38" t="s">
        <v>131</v>
      </c>
      <c r="F973" s="38">
        <v>49.55</v>
      </c>
    </row>
    <row r="974" spans="1:6">
      <c r="A974" s="38">
        <v>64</v>
      </c>
      <c r="C974" s="39" t="s">
        <v>4772</v>
      </c>
      <c r="D974" s="38">
        <v>2.41</v>
      </c>
      <c r="F974" s="38">
        <v>154.24</v>
      </c>
    </row>
    <row r="975" spans="1:6">
      <c r="C975" s="39" t="s">
        <v>4756</v>
      </c>
      <c r="F975" s="38">
        <v>12307.12</v>
      </c>
    </row>
    <row r="976" spans="1:6">
      <c r="F976" s="38" t="s">
        <v>52</v>
      </c>
    </row>
    <row r="977" spans="2:6">
      <c r="C977" s="39" t="s">
        <v>460</v>
      </c>
      <c r="F977" s="38">
        <v>6752.88</v>
      </c>
    </row>
    <row r="978" spans="2:6">
      <c r="B978" s="38" t="s">
        <v>111</v>
      </c>
      <c r="C978" s="39" t="s">
        <v>4915</v>
      </c>
    </row>
    <row r="979" spans="2:6">
      <c r="C979" s="39" t="s">
        <v>1309</v>
      </c>
    </row>
    <row r="980" spans="2:6">
      <c r="C980" s="39" t="s">
        <v>4917</v>
      </c>
    </row>
    <row r="981" spans="2:6">
      <c r="C981" s="39" t="s">
        <v>52</v>
      </c>
    </row>
    <row r="982" spans="2:6">
      <c r="C982" s="39" t="s">
        <v>4919</v>
      </c>
      <c r="D982" s="38" t="s">
        <v>89</v>
      </c>
      <c r="E982" s="38">
        <v>3.12</v>
      </c>
      <c r="F982" s="38" t="s">
        <v>724</v>
      </c>
    </row>
    <row r="984" spans="2:6" ht="31.5">
      <c r="C984" s="39" t="s">
        <v>6435</v>
      </c>
      <c r="D984" s="38" t="s">
        <v>89</v>
      </c>
      <c r="E984" s="38">
        <v>0.05</v>
      </c>
      <c r="F984" s="38" t="s">
        <v>5</v>
      </c>
    </row>
    <row r="985" spans="2:6">
      <c r="C985" s="39" t="s">
        <v>4921</v>
      </c>
    </row>
    <row r="986" spans="2:6">
      <c r="C986" s="39" t="s">
        <v>4922</v>
      </c>
      <c r="D986" s="38" t="s">
        <v>89</v>
      </c>
      <c r="E986" s="38">
        <v>0.02</v>
      </c>
    </row>
    <row r="987" spans="2:6" ht="31.5">
      <c r="C987" s="39" t="s">
        <v>4924</v>
      </c>
      <c r="D987" s="38" t="s">
        <v>89</v>
      </c>
      <c r="E987" s="38">
        <v>0.01</v>
      </c>
    </row>
    <row r="988" spans="2:6">
      <c r="E988" s="38" t="s">
        <v>52</v>
      </c>
    </row>
    <row r="989" spans="2:6">
      <c r="E989" s="38">
        <v>0.03</v>
      </c>
      <c r="F989" s="38" t="s">
        <v>5</v>
      </c>
    </row>
    <row r="990" spans="2:6">
      <c r="E990" s="38" t="s">
        <v>52</v>
      </c>
    </row>
    <row r="991" spans="2:6">
      <c r="C991" s="39" t="s">
        <v>4925</v>
      </c>
      <c r="E991" s="38">
        <v>0.02</v>
      </c>
    </row>
    <row r="992" spans="2:6">
      <c r="C992" s="39" t="s">
        <v>4926</v>
      </c>
      <c r="E992" s="38">
        <v>0.01</v>
      </c>
    </row>
    <row r="993" spans="1:6">
      <c r="E993" s="38" t="s">
        <v>52</v>
      </c>
    </row>
    <row r="994" spans="1:6">
      <c r="E994" s="38">
        <v>0.03</v>
      </c>
      <c r="F994" s="38" t="s">
        <v>5</v>
      </c>
    </row>
    <row r="995" spans="1:6">
      <c r="E995" s="38" t="s">
        <v>52</v>
      </c>
    </row>
    <row r="996" spans="1:6">
      <c r="A996" s="38">
        <v>0.05</v>
      </c>
      <c r="B996" s="38" t="s">
        <v>132</v>
      </c>
      <c r="C996" s="39" t="s">
        <v>1332</v>
      </c>
      <c r="D996" s="38">
        <v>111600</v>
      </c>
      <c r="E996" s="38" t="s">
        <v>132</v>
      </c>
      <c r="F996" s="38">
        <v>5803.2</v>
      </c>
    </row>
    <row r="997" spans="1:6">
      <c r="A997" s="38">
        <v>0.03</v>
      </c>
      <c r="B997" s="38" t="s">
        <v>132</v>
      </c>
      <c r="C997" s="39" t="s">
        <v>1334</v>
      </c>
      <c r="D997" s="38">
        <v>99400</v>
      </c>
      <c r="E997" s="38" t="s">
        <v>132</v>
      </c>
      <c r="F997" s="38">
        <v>3271.25</v>
      </c>
    </row>
    <row r="998" spans="1:6">
      <c r="A998" s="38">
        <v>0.03</v>
      </c>
      <c r="B998" s="38" t="s">
        <v>132</v>
      </c>
      <c r="C998" s="39" t="s">
        <v>4929</v>
      </c>
      <c r="D998" s="38">
        <v>107000</v>
      </c>
      <c r="E998" s="38" t="s">
        <v>132</v>
      </c>
      <c r="F998" s="38">
        <v>2782</v>
      </c>
    </row>
    <row r="999" spans="1:6">
      <c r="C999" s="39" t="s">
        <v>4930</v>
      </c>
      <c r="F999" s="38">
        <v>0</v>
      </c>
    </row>
    <row r="1000" spans="1:6">
      <c r="A1000" s="38">
        <v>3.12</v>
      </c>
      <c r="B1000" s="38" t="s">
        <v>425</v>
      </c>
      <c r="C1000" s="39" t="s">
        <v>1340</v>
      </c>
      <c r="D1000" s="38">
        <v>1602.7</v>
      </c>
      <c r="E1000" s="38" t="s">
        <v>425</v>
      </c>
      <c r="F1000" s="38">
        <v>5003.63</v>
      </c>
    </row>
    <row r="1001" spans="1:6">
      <c r="A1001" s="38">
        <v>4</v>
      </c>
      <c r="B1001" s="38" t="s">
        <v>237</v>
      </c>
      <c r="C1001" s="39" t="s">
        <v>4932</v>
      </c>
      <c r="D1001" s="38">
        <v>254.5</v>
      </c>
      <c r="E1001" s="38" t="s">
        <v>131</v>
      </c>
      <c r="F1001" s="38">
        <v>1018</v>
      </c>
    </row>
    <row r="1002" spans="1:6">
      <c r="A1002" s="38">
        <v>8</v>
      </c>
      <c r="B1002" s="38" t="s">
        <v>131</v>
      </c>
      <c r="C1002" s="39" t="s">
        <v>1344</v>
      </c>
      <c r="D1002" s="38">
        <v>89.6</v>
      </c>
      <c r="E1002" s="38" t="s">
        <v>131</v>
      </c>
      <c r="F1002" s="38">
        <v>716.8</v>
      </c>
    </row>
    <row r="1003" spans="1:6">
      <c r="A1003" s="38">
        <v>4</v>
      </c>
      <c r="B1003" s="38" t="s">
        <v>131</v>
      </c>
      <c r="C1003" s="39" t="s">
        <v>4933</v>
      </c>
      <c r="D1003" s="38">
        <v>97.85</v>
      </c>
      <c r="E1003" s="38" t="s">
        <v>131</v>
      </c>
      <c r="F1003" s="38">
        <v>391.4</v>
      </c>
    </row>
    <row r="1004" spans="1:6">
      <c r="A1004" s="38">
        <v>1</v>
      </c>
      <c r="B1004" s="38" t="s">
        <v>131</v>
      </c>
      <c r="C1004" s="39" t="s">
        <v>4935</v>
      </c>
      <c r="D1004" s="38">
        <v>209.9</v>
      </c>
      <c r="E1004" s="38" t="s">
        <v>131</v>
      </c>
      <c r="F1004" s="38">
        <v>209.9</v>
      </c>
    </row>
    <row r="1005" spans="1:6" ht="31.5">
      <c r="A1005" s="38">
        <v>2</v>
      </c>
      <c r="B1005" s="38" t="s">
        <v>131</v>
      </c>
      <c r="C1005" s="39" t="s">
        <v>4936</v>
      </c>
      <c r="D1005" s="38">
        <v>23.1</v>
      </c>
      <c r="E1005" s="38" t="s">
        <v>131</v>
      </c>
      <c r="F1005" s="38">
        <v>46.2</v>
      </c>
    </row>
    <row r="1006" spans="1:6">
      <c r="A1006" s="38">
        <v>2</v>
      </c>
      <c r="B1006" s="38" t="s">
        <v>131</v>
      </c>
      <c r="C1006" s="39" t="s">
        <v>4938</v>
      </c>
      <c r="D1006" s="38">
        <v>49.55</v>
      </c>
      <c r="E1006" s="38" t="s">
        <v>131</v>
      </c>
      <c r="F1006" s="38">
        <v>99.1</v>
      </c>
    </row>
    <row r="1007" spans="1:6">
      <c r="A1007" s="38">
        <v>118</v>
      </c>
      <c r="B1007" s="38" t="s">
        <v>131</v>
      </c>
      <c r="C1007" s="39" t="s">
        <v>4888</v>
      </c>
      <c r="D1007" s="38">
        <v>2.41</v>
      </c>
      <c r="E1007" s="38" t="s">
        <v>131</v>
      </c>
      <c r="F1007" s="38">
        <v>284.38</v>
      </c>
    </row>
    <row r="1008" spans="1:6">
      <c r="F1008" s="38" t="s">
        <v>52</v>
      </c>
    </row>
    <row r="1009" spans="1:6">
      <c r="C1009" s="39" t="s">
        <v>4939</v>
      </c>
      <c r="F1009" s="38">
        <v>19625.86</v>
      </c>
    </row>
    <row r="1010" spans="1:6">
      <c r="F1010" s="38" t="s">
        <v>52</v>
      </c>
    </row>
    <row r="1011" spans="1:6">
      <c r="C1011" s="39" t="s">
        <v>460</v>
      </c>
      <c r="E1011" s="38" t="s">
        <v>3192</v>
      </c>
      <c r="F1011" s="38">
        <v>6286.31</v>
      </c>
    </row>
    <row r="1012" spans="1:6">
      <c r="A1012" s="38">
        <v>29.4</v>
      </c>
      <c r="B1012" s="38" t="s">
        <v>111</v>
      </c>
      <c r="C1012" s="39" t="s">
        <v>1588</v>
      </c>
    </row>
    <row r="1013" spans="1:6">
      <c r="C1013" s="39" t="s">
        <v>1589</v>
      </c>
    </row>
    <row r="1014" spans="1:6">
      <c r="C1014" s="39" t="s">
        <v>52</v>
      </c>
    </row>
    <row r="1015" spans="1:6">
      <c r="A1015" s="38">
        <v>1.86</v>
      </c>
      <c r="B1015" s="38" t="s">
        <v>425</v>
      </c>
      <c r="C1015" s="39" t="s">
        <v>1590</v>
      </c>
      <c r="D1015" s="38">
        <v>415</v>
      </c>
      <c r="E1015" s="38" t="s">
        <v>425</v>
      </c>
      <c r="F1015" s="38">
        <v>771.9</v>
      </c>
    </row>
    <row r="1016" spans="1:6">
      <c r="A1016" s="38">
        <v>0.4</v>
      </c>
      <c r="B1016" s="38" t="s">
        <v>39</v>
      </c>
      <c r="C1016" s="39" t="s">
        <v>4296</v>
      </c>
      <c r="D1016" s="38">
        <v>36.1</v>
      </c>
      <c r="E1016" s="38" t="s">
        <v>39</v>
      </c>
      <c r="F1016" s="38">
        <v>14.44</v>
      </c>
    </row>
    <row r="1017" spans="1:6">
      <c r="A1017" s="38">
        <v>0.02</v>
      </c>
      <c r="B1017" s="38" t="s">
        <v>132</v>
      </c>
      <c r="C1017" s="39" t="s">
        <v>1592</v>
      </c>
      <c r="D1017" s="38">
        <v>6019.49</v>
      </c>
      <c r="E1017" s="38" t="s">
        <v>132</v>
      </c>
      <c r="F1017" s="38">
        <v>120.39</v>
      </c>
    </row>
    <row r="1018" spans="1:6">
      <c r="A1018" s="38">
        <v>1</v>
      </c>
      <c r="B1018" s="38" t="s">
        <v>237</v>
      </c>
      <c r="C1018" s="39" t="s">
        <v>345</v>
      </c>
      <c r="D1018" s="38">
        <v>1041.7</v>
      </c>
      <c r="E1018" s="38" t="s">
        <v>237</v>
      </c>
      <c r="F1018" s="38">
        <v>1041.7</v>
      </c>
    </row>
    <row r="1019" spans="1:6">
      <c r="A1019" s="38">
        <v>1</v>
      </c>
      <c r="B1019" s="38" t="s">
        <v>237</v>
      </c>
      <c r="C1019" s="39" t="s">
        <v>1593</v>
      </c>
      <c r="D1019" s="38">
        <v>679.8</v>
      </c>
      <c r="E1019" s="38" t="s">
        <v>237</v>
      </c>
      <c r="F1019" s="38">
        <v>679.8</v>
      </c>
    </row>
    <row r="1020" spans="1:6">
      <c r="B1020" s="38" t="s">
        <v>145</v>
      </c>
      <c r="C1020" s="39" t="s">
        <v>146</v>
      </c>
      <c r="E1020" s="38" t="s">
        <v>145</v>
      </c>
    </row>
    <row r="1021" spans="1:6">
      <c r="F1021" s="38" t="s">
        <v>52</v>
      </c>
    </row>
    <row r="1022" spans="1:6">
      <c r="C1022" s="39" t="s">
        <v>1594</v>
      </c>
      <c r="F1022" s="38">
        <v>2628.23</v>
      </c>
    </row>
    <row r="1023" spans="1:6">
      <c r="F1023" s="38" t="s">
        <v>52</v>
      </c>
    </row>
    <row r="1024" spans="1:6">
      <c r="C1024" s="39" t="s">
        <v>460</v>
      </c>
      <c r="F1024" s="38">
        <v>1413.03</v>
      </c>
    </row>
    <row r="1025" spans="1:6">
      <c r="F1025" s="38" t="s">
        <v>89</v>
      </c>
    </row>
    <row r="1026" spans="1:6">
      <c r="A1026" s="38">
        <v>29.5</v>
      </c>
      <c r="B1026" s="38" t="s">
        <v>111</v>
      </c>
      <c r="C1026" s="39" t="s">
        <v>1583</v>
      </c>
    </row>
    <row r="1027" spans="1:6">
      <c r="C1027" s="39" t="s">
        <v>1584</v>
      </c>
    </row>
    <row r="1028" spans="1:6">
      <c r="C1028" s="39" t="s">
        <v>1585</v>
      </c>
    </row>
    <row r="1029" spans="1:6">
      <c r="C1029" s="39" t="s">
        <v>52</v>
      </c>
      <c r="D1029" s="38" t="s">
        <v>52</v>
      </c>
    </row>
    <row r="1030" spans="1:6">
      <c r="A1030" s="38">
        <v>10</v>
      </c>
      <c r="B1030" s="38" t="s">
        <v>425</v>
      </c>
      <c r="C1030" s="39" t="s">
        <v>1586</v>
      </c>
      <c r="D1030" s="38">
        <v>377.86</v>
      </c>
      <c r="E1030" s="38" t="s">
        <v>425</v>
      </c>
      <c r="F1030" s="38">
        <v>3778.6</v>
      </c>
    </row>
    <row r="1031" spans="1:6">
      <c r="A1031" s="38">
        <v>0.21</v>
      </c>
      <c r="B1031" s="38" t="s">
        <v>132</v>
      </c>
      <c r="C1031" s="39" t="s">
        <v>1575</v>
      </c>
      <c r="D1031" s="38">
        <v>4569.8900000000003</v>
      </c>
      <c r="E1031" s="38" t="s">
        <v>132</v>
      </c>
      <c r="F1031" s="38">
        <v>959.68</v>
      </c>
    </row>
    <row r="1032" spans="1:6">
      <c r="C1032" s="39" t="s">
        <v>1576</v>
      </c>
      <c r="D1032" s="38" t="s">
        <v>85</v>
      </c>
      <c r="F1032" s="38" t="s">
        <v>85</v>
      </c>
    </row>
    <row r="1033" spans="1:6">
      <c r="A1033" s="38">
        <v>1.1000000000000001</v>
      </c>
      <c r="B1033" s="38" t="s">
        <v>237</v>
      </c>
      <c r="C1033" s="39" t="s">
        <v>345</v>
      </c>
      <c r="D1033" s="38">
        <v>1041.7</v>
      </c>
      <c r="E1033" s="38" t="s">
        <v>237</v>
      </c>
      <c r="F1033" s="38">
        <v>1145.8699999999999</v>
      </c>
    </row>
    <row r="1034" spans="1:6">
      <c r="A1034" s="38">
        <v>1.1000000000000001</v>
      </c>
      <c r="B1034" s="38" t="s">
        <v>237</v>
      </c>
      <c r="C1034" s="39" t="s">
        <v>302</v>
      </c>
      <c r="D1034" s="38">
        <v>972.4</v>
      </c>
      <c r="E1034" s="38" t="s">
        <v>237</v>
      </c>
      <c r="F1034" s="38">
        <v>1069.6400000000001</v>
      </c>
    </row>
    <row r="1035" spans="1:6">
      <c r="A1035" s="38">
        <v>2.2000000000000002</v>
      </c>
      <c r="B1035" s="38" t="s">
        <v>237</v>
      </c>
      <c r="C1035" s="39" t="s">
        <v>304</v>
      </c>
      <c r="D1035" s="38">
        <v>679.8</v>
      </c>
      <c r="E1035" s="38" t="s">
        <v>237</v>
      </c>
      <c r="F1035" s="38">
        <v>1495.56</v>
      </c>
    </row>
    <row r="1036" spans="1:6">
      <c r="A1036" s="38">
        <v>2.2000000000000002</v>
      </c>
      <c r="B1036" s="38" t="s">
        <v>237</v>
      </c>
      <c r="C1036" s="39" t="s">
        <v>306</v>
      </c>
      <c r="D1036" s="38">
        <v>557.70000000000005</v>
      </c>
      <c r="E1036" s="38" t="s">
        <v>237</v>
      </c>
      <c r="F1036" s="38">
        <v>1226.94</v>
      </c>
    </row>
    <row r="1037" spans="1:6">
      <c r="A1037" s="38">
        <v>20</v>
      </c>
      <c r="B1037" s="38" t="s">
        <v>39</v>
      </c>
      <c r="C1037" s="39" t="s">
        <v>123</v>
      </c>
      <c r="D1037" s="38">
        <v>6040</v>
      </c>
      <c r="E1037" s="38" t="s">
        <v>122</v>
      </c>
      <c r="F1037" s="38">
        <v>120.8</v>
      </c>
    </row>
    <row r="1038" spans="1:6">
      <c r="A1038" s="38">
        <v>2</v>
      </c>
      <c r="B1038" s="38" t="s">
        <v>39</v>
      </c>
      <c r="C1038" s="39" t="s">
        <v>4307</v>
      </c>
      <c r="D1038" s="38">
        <v>36.1</v>
      </c>
      <c r="E1038" s="38" t="s">
        <v>39</v>
      </c>
      <c r="F1038" s="38">
        <v>72.2</v>
      </c>
    </row>
    <row r="1039" spans="1:6">
      <c r="A1039" s="38">
        <v>1.6</v>
      </c>
      <c r="B1039" s="38" t="s">
        <v>237</v>
      </c>
      <c r="C1039" s="39" t="s">
        <v>302</v>
      </c>
      <c r="D1039" s="38">
        <v>972.4</v>
      </c>
      <c r="E1039" s="38" t="s">
        <v>237</v>
      </c>
      <c r="F1039" s="38">
        <v>1555.84</v>
      </c>
    </row>
    <row r="1040" spans="1:6">
      <c r="A1040" s="38">
        <v>0.5</v>
      </c>
      <c r="B1040" s="38" t="s">
        <v>237</v>
      </c>
      <c r="C1040" s="39" t="s">
        <v>304</v>
      </c>
      <c r="D1040" s="38">
        <v>679.8</v>
      </c>
      <c r="E1040" s="38" t="s">
        <v>237</v>
      </c>
      <c r="F1040" s="38">
        <v>339.9</v>
      </c>
    </row>
    <row r="1041" spans="1:6">
      <c r="A1041" s="38">
        <v>1.1000000000000001</v>
      </c>
      <c r="B1041" s="38" t="s">
        <v>237</v>
      </c>
      <c r="C1041" s="39" t="s">
        <v>306</v>
      </c>
      <c r="D1041" s="38">
        <v>557.70000000000005</v>
      </c>
      <c r="E1041" s="38" t="s">
        <v>237</v>
      </c>
      <c r="F1041" s="38">
        <v>613.47</v>
      </c>
    </row>
    <row r="1042" spans="1:6">
      <c r="B1042" s="38" t="s">
        <v>145</v>
      </c>
      <c r="C1042" s="39" t="s">
        <v>146</v>
      </c>
      <c r="E1042" s="38" t="s">
        <v>145</v>
      </c>
      <c r="F1042" s="38">
        <v>0</v>
      </c>
    </row>
    <row r="1043" spans="1:6">
      <c r="F1043" s="38" t="s">
        <v>52</v>
      </c>
    </row>
    <row r="1044" spans="1:6">
      <c r="C1044" s="39" t="s">
        <v>495</v>
      </c>
      <c r="F1044" s="38">
        <v>12378.5</v>
      </c>
    </row>
    <row r="1045" spans="1:6">
      <c r="F1045" s="38" t="s">
        <v>52</v>
      </c>
    </row>
    <row r="1046" spans="1:6">
      <c r="C1046" s="39" t="s">
        <v>460</v>
      </c>
      <c r="F1046" s="38">
        <v>1237.8499999999999</v>
      </c>
    </row>
    <row r="1047" spans="1:6">
      <c r="A1047" s="38">
        <v>44.1</v>
      </c>
      <c r="B1047" s="38" t="s">
        <v>111</v>
      </c>
      <c r="C1047" s="39" t="s">
        <v>1687</v>
      </c>
    </row>
    <row r="1048" spans="1:6">
      <c r="C1048" s="39" t="s">
        <v>1688</v>
      </c>
    </row>
    <row r="1049" spans="1:6">
      <c r="C1049" s="39" t="s">
        <v>6436</v>
      </c>
    </row>
    <row r="1050" spans="1:6">
      <c r="C1050" s="39" t="s">
        <v>52</v>
      </c>
    </row>
    <row r="1051" spans="1:6">
      <c r="A1051" s="38">
        <v>3</v>
      </c>
      <c r="B1051" s="38" t="s">
        <v>282</v>
      </c>
      <c r="C1051" s="39" t="s">
        <v>1690</v>
      </c>
      <c r="D1051" s="38">
        <v>120.54</v>
      </c>
      <c r="E1051" s="38" t="s">
        <v>282</v>
      </c>
      <c r="F1051" s="38">
        <v>361.62</v>
      </c>
    </row>
    <row r="1052" spans="1:6">
      <c r="A1052" s="38">
        <v>1</v>
      </c>
      <c r="B1052" s="38" t="s">
        <v>131</v>
      </c>
      <c r="C1052" s="39" t="s">
        <v>1691</v>
      </c>
      <c r="D1052" s="38">
        <v>76</v>
      </c>
      <c r="E1052" s="38" t="s">
        <v>131</v>
      </c>
      <c r="F1052" s="38">
        <v>76</v>
      </c>
    </row>
    <row r="1053" spans="1:6">
      <c r="A1053" s="38">
        <v>1</v>
      </c>
      <c r="B1053" s="38" t="s">
        <v>131</v>
      </c>
      <c r="C1053" s="39" t="s">
        <v>1692</v>
      </c>
      <c r="D1053" s="38">
        <v>83.4</v>
      </c>
      <c r="E1053" s="38" t="s">
        <v>131</v>
      </c>
      <c r="F1053" s="38">
        <v>83.4</v>
      </c>
    </row>
    <row r="1054" spans="1:6">
      <c r="A1054" s="38">
        <v>2</v>
      </c>
      <c r="B1054" s="38" t="s">
        <v>131</v>
      </c>
      <c r="C1054" s="39" t="s">
        <v>1693</v>
      </c>
      <c r="D1054" s="38">
        <v>21.6</v>
      </c>
      <c r="E1054" s="38" t="s">
        <v>131</v>
      </c>
      <c r="F1054" s="38">
        <v>43.2</v>
      </c>
    </row>
    <row r="1055" spans="1:6">
      <c r="A1055" s="38">
        <v>1</v>
      </c>
      <c r="B1055" s="38" t="s">
        <v>131</v>
      </c>
      <c r="C1055" s="39" t="s">
        <v>1694</v>
      </c>
      <c r="D1055" s="38">
        <v>32.1</v>
      </c>
      <c r="E1055" s="38" t="s">
        <v>131</v>
      </c>
      <c r="F1055" s="38">
        <v>32.1</v>
      </c>
    </row>
    <row r="1056" spans="1:6">
      <c r="A1056" s="38">
        <v>0.5</v>
      </c>
      <c r="B1056" s="38" t="s">
        <v>131</v>
      </c>
      <c r="C1056" s="39" t="s">
        <v>1695</v>
      </c>
      <c r="D1056" s="38">
        <v>903.1</v>
      </c>
      <c r="E1056" s="38" t="s">
        <v>131</v>
      </c>
      <c r="F1056" s="38">
        <v>451.55</v>
      </c>
    </row>
    <row r="1057" spans="1:6">
      <c r="B1057" s="38" t="s">
        <v>145</v>
      </c>
      <c r="C1057" s="39" t="s">
        <v>1696</v>
      </c>
      <c r="E1057" s="38" t="s">
        <v>145</v>
      </c>
    </row>
    <row r="1058" spans="1:6">
      <c r="C1058" s="39" t="s">
        <v>1697</v>
      </c>
    </row>
    <row r="1059" spans="1:6">
      <c r="F1059" s="38" t="s">
        <v>52</v>
      </c>
    </row>
    <row r="1060" spans="1:6">
      <c r="C1060" s="39" t="s">
        <v>1698</v>
      </c>
      <c r="F1060" s="38">
        <v>1047.8699999999999</v>
      </c>
    </row>
    <row r="1061" spans="1:6">
      <c r="A1061" s="38" t="s">
        <v>85</v>
      </c>
    </row>
    <row r="1062" spans="1:6">
      <c r="F1062" s="38" t="s">
        <v>52</v>
      </c>
    </row>
    <row r="1063" spans="1:6">
      <c r="C1063" s="39" t="s">
        <v>632</v>
      </c>
      <c r="F1063" s="38">
        <v>349.29</v>
      </c>
    </row>
    <row r="1064" spans="1:6">
      <c r="B1064" s="38" t="s">
        <v>111</v>
      </c>
      <c r="C1064" s="39" t="s">
        <v>1838</v>
      </c>
    </row>
    <row r="1065" spans="1:6" ht="31.5">
      <c r="C1065" s="39" t="s">
        <v>6437</v>
      </c>
    </row>
    <row r="1066" spans="1:6">
      <c r="C1066" s="39" t="s">
        <v>1840</v>
      </c>
    </row>
    <row r="1067" spans="1:6">
      <c r="C1067" s="39" t="s">
        <v>1841</v>
      </c>
    </row>
    <row r="1068" spans="1:6">
      <c r="C1068" s="39" t="s">
        <v>52</v>
      </c>
    </row>
    <row r="1069" spans="1:6" ht="78.75">
      <c r="A1069" s="38">
        <v>1</v>
      </c>
      <c r="B1069" s="38" t="s">
        <v>131</v>
      </c>
      <c r="C1069" s="39" t="s">
        <v>5110</v>
      </c>
      <c r="D1069" s="38">
        <v>1672</v>
      </c>
      <c r="E1069" s="38" t="s">
        <v>131</v>
      </c>
      <c r="F1069" s="38">
        <v>1672</v>
      </c>
    </row>
    <row r="1072" spans="1:6">
      <c r="A1072" s="38">
        <v>1</v>
      </c>
      <c r="B1072" s="38" t="s">
        <v>131</v>
      </c>
      <c r="C1072" s="39" t="s">
        <v>5111</v>
      </c>
      <c r="D1072" s="38">
        <v>-169</v>
      </c>
      <c r="E1072" s="38" t="s">
        <v>131</v>
      </c>
      <c r="F1072" s="38">
        <v>-169</v>
      </c>
    </row>
    <row r="1074" spans="1:6">
      <c r="A1074" s="38">
        <v>1</v>
      </c>
      <c r="B1074" s="38" t="s">
        <v>131</v>
      </c>
      <c r="C1074" s="39" t="s">
        <v>4443</v>
      </c>
      <c r="D1074" s="38">
        <v>250</v>
      </c>
      <c r="E1074" s="38" t="s">
        <v>131</v>
      </c>
      <c r="F1074" s="38">
        <v>250</v>
      </c>
    </row>
    <row r="1076" spans="1:6">
      <c r="A1076" s="38">
        <v>0.5</v>
      </c>
      <c r="B1076" s="38" t="s">
        <v>131</v>
      </c>
      <c r="C1076" s="39" t="s">
        <v>1695</v>
      </c>
      <c r="D1076" s="38">
        <v>903.1</v>
      </c>
      <c r="E1076" s="38" t="s">
        <v>131</v>
      </c>
      <c r="F1076" s="38">
        <v>451.55</v>
      </c>
    </row>
    <row r="1077" spans="1:6">
      <c r="A1077" s="38">
        <v>1</v>
      </c>
      <c r="B1077" s="38" t="s">
        <v>131</v>
      </c>
      <c r="C1077" s="39" t="s">
        <v>304</v>
      </c>
      <c r="D1077" s="38">
        <v>679.8</v>
      </c>
      <c r="E1077" s="38" t="s">
        <v>131</v>
      </c>
      <c r="F1077" s="38">
        <v>679.8</v>
      </c>
    </row>
    <row r="1078" spans="1:6">
      <c r="A1078" s="38">
        <v>0.5</v>
      </c>
      <c r="B1078" s="38" t="s">
        <v>131</v>
      </c>
      <c r="C1078" s="39" t="s">
        <v>345</v>
      </c>
      <c r="D1078" s="38">
        <v>1041.7</v>
      </c>
      <c r="E1078" s="38" t="s">
        <v>131</v>
      </c>
      <c r="F1078" s="38">
        <v>520.85</v>
      </c>
    </row>
    <row r="1079" spans="1:6">
      <c r="B1079" s="38" t="s">
        <v>145</v>
      </c>
      <c r="C1079" s="39" t="s">
        <v>1843</v>
      </c>
      <c r="E1079" s="38" t="s">
        <v>145</v>
      </c>
      <c r="F1079" s="38">
        <v>0.82</v>
      </c>
    </row>
    <row r="1080" spans="1:6">
      <c r="F1080" s="38" t="s">
        <v>52</v>
      </c>
    </row>
    <row r="1081" spans="1:6">
      <c r="C1081" s="39" t="s">
        <v>767</v>
      </c>
      <c r="F1081" s="38">
        <v>3406.02</v>
      </c>
    </row>
    <row r="1082" spans="1:6">
      <c r="A1082" s="38" t="s">
        <v>1877</v>
      </c>
      <c r="B1082" s="38" t="s">
        <v>111</v>
      </c>
      <c r="C1082" s="39" t="s">
        <v>1878</v>
      </c>
    </row>
    <row r="1083" spans="1:6">
      <c r="C1083" s="39" t="s">
        <v>1879</v>
      </c>
    </row>
    <row r="1084" spans="1:6">
      <c r="C1084" s="39" t="s">
        <v>52</v>
      </c>
    </row>
    <row r="1085" spans="1:6">
      <c r="B1085" s="38" t="s">
        <v>443</v>
      </c>
      <c r="C1085" s="39" t="s">
        <v>1880</v>
      </c>
    </row>
    <row r="1086" spans="1:6">
      <c r="C1086" s="39" t="s">
        <v>6438</v>
      </c>
    </row>
    <row r="1087" spans="1:6">
      <c r="C1087" s="39" t="s">
        <v>1882</v>
      </c>
    </row>
    <row r="1088" spans="1:6">
      <c r="C1088" s="39" t="s">
        <v>1883</v>
      </c>
    </row>
    <row r="1089" spans="1:6">
      <c r="C1089" s="39" t="s">
        <v>1884</v>
      </c>
    </row>
    <row r="1090" spans="1:6">
      <c r="C1090" s="39" t="s">
        <v>1885</v>
      </c>
    </row>
    <row r="1091" spans="1:6">
      <c r="C1091" s="39" t="s">
        <v>4455</v>
      </c>
    </row>
    <row r="1092" spans="1:6">
      <c r="C1092" s="39" t="s">
        <v>52</v>
      </c>
    </row>
    <row r="1093" spans="1:6">
      <c r="A1093" s="38">
        <v>3</v>
      </c>
      <c r="B1093" s="38" t="s">
        <v>282</v>
      </c>
      <c r="C1093" s="39" t="s">
        <v>1887</v>
      </c>
      <c r="D1093" s="38">
        <v>193.05</v>
      </c>
      <c r="E1093" s="38" t="s">
        <v>282</v>
      </c>
      <c r="F1093" s="38">
        <v>579.15</v>
      </c>
    </row>
    <row r="1094" spans="1:6">
      <c r="A1094" s="38">
        <v>1</v>
      </c>
      <c r="B1094" s="38" t="s">
        <v>237</v>
      </c>
      <c r="C1094" s="39" t="s">
        <v>1888</v>
      </c>
      <c r="D1094" s="38">
        <v>76</v>
      </c>
      <c r="E1094" s="38" t="s">
        <v>972</v>
      </c>
      <c r="F1094" s="38">
        <v>76</v>
      </c>
    </row>
    <row r="1095" spans="1:6">
      <c r="A1095" s="38">
        <v>1</v>
      </c>
      <c r="B1095" s="38" t="s">
        <v>237</v>
      </c>
      <c r="C1095" s="39" t="s">
        <v>1889</v>
      </c>
      <c r="D1095" s="38">
        <v>82.3</v>
      </c>
      <c r="E1095" s="38" t="s">
        <v>972</v>
      </c>
      <c r="F1095" s="38">
        <v>82.3</v>
      </c>
    </row>
    <row r="1096" spans="1:6">
      <c r="A1096" s="38">
        <v>1</v>
      </c>
      <c r="B1096" s="38" t="s">
        <v>237</v>
      </c>
      <c r="C1096" s="39" t="s">
        <v>4460</v>
      </c>
      <c r="D1096" s="38">
        <v>187.8</v>
      </c>
      <c r="E1096" s="38" t="s">
        <v>972</v>
      </c>
      <c r="F1096" s="38">
        <v>187.8</v>
      </c>
    </row>
    <row r="1097" spans="1:6">
      <c r="A1097" s="38">
        <v>0.5</v>
      </c>
      <c r="B1097" s="38" t="s">
        <v>131</v>
      </c>
      <c r="C1097" s="39" t="s">
        <v>1695</v>
      </c>
      <c r="D1097" s="38">
        <v>903.1</v>
      </c>
      <c r="E1097" s="38" t="s">
        <v>972</v>
      </c>
      <c r="F1097" s="38">
        <v>451.55</v>
      </c>
    </row>
    <row r="1098" spans="1:6">
      <c r="A1098" s="38">
        <v>0.5</v>
      </c>
      <c r="B1098" s="38" t="s">
        <v>131</v>
      </c>
      <c r="C1098" s="39" t="s">
        <v>302</v>
      </c>
      <c r="D1098" s="38">
        <v>972.4</v>
      </c>
      <c r="E1098" s="38" t="s">
        <v>972</v>
      </c>
      <c r="F1098" s="38">
        <v>486.2</v>
      </c>
    </row>
    <row r="1099" spans="1:6">
      <c r="A1099" s="38">
        <v>0.5</v>
      </c>
      <c r="B1099" s="38" t="s">
        <v>131</v>
      </c>
      <c r="C1099" s="39" t="s">
        <v>304</v>
      </c>
      <c r="D1099" s="38">
        <v>679.8</v>
      </c>
      <c r="E1099" s="38" t="s">
        <v>972</v>
      </c>
      <c r="F1099" s="38">
        <v>339.9</v>
      </c>
    </row>
    <row r="1100" spans="1:6">
      <c r="B1100" s="38" t="s">
        <v>145</v>
      </c>
      <c r="C1100" s="39" t="s">
        <v>1891</v>
      </c>
      <c r="D1100" s="38">
        <v>2.79</v>
      </c>
      <c r="E1100" s="38" t="s">
        <v>145</v>
      </c>
      <c r="F1100" s="38">
        <v>2.79</v>
      </c>
    </row>
    <row r="1101" spans="1:6">
      <c r="C1101" s="39" t="s">
        <v>1892</v>
      </c>
    </row>
    <row r="1102" spans="1:6">
      <c r="C1102" s="39" t="s">
        <v>1893</v>
      </c>
    </row>
    <row r="1103" spans="1:6">
      <c r="C1103" s="39" t="s">
        <v>1894</v>
      </c>
      <c r="E1103" s="38" t="s">
        <v>145</v>
      </c>
      <c r="F1103" s="38">
        <v>0.12</v>
      </c>
    </row>
    <row r="1104" spans="1:6">
      <c r="F1104" s="38" t="s">
        <v>52</v>
      </c>
    </row>
    <row r="1105" spans="1:6">
      <c r="C1105" s="39" t="s">
        <v>1698</v>
      </c>
      <c r="F1105" s="38">
        <v>2205.81</v>
      </c>
    </row>
    <row r="1106" spans="1:6">
      <c r="F1106" s="38" t="s">
        <v>52</v>
      </c>
    </row>
    <row r="1107" spans="1:6">
      <c r="C1107" s="39" t="s">
        <v>632</v>
      </c>
      <c r="F1107" s="38">
        <v>735.27</v>
      </c>
    </row>
    <row r="1108" spans="1:6">
      <c r="F1108" s="38" t="s">
        <v>52</v>
      </c>
    </row>
    <row r="1109" spans="1:6">
      <c r="A1109" s="38" t="s">
        <v>1895</v>
      </c>
      <c r="B1109" s="38" t="s">
        <v>1896</v>
      </c>
      <c r="C1109" s="39" t="s">
        <v>1897</v>
      </c>
    </row>
    <row r="1110" spans="1:6">
      <c r="C1110" s="39" t="s">
        <v>6439</v>
      </c>
    </row>
    <row r="1111" spans="1:6">
      <c r="C1111" s="39" t="s">
        <v>1882</v>
      </c>
    </row>
    <row r="1112" spans="1:6">
      <c r="C1112" s="39" t="s">
        <v>1899</v>
      </c>
    </row>
    <row r="1113" spans="1:6">
      <c r="C1113" s="39" t="s">
        <v>1900</v>
      </c>
    </row>
    <row r="1114" spans="1:6">
      <c r="C1114" s="39" t="s">
        <v>1885</v>
      </c>
    </row>
    <row r="1115" spans="1:6">
      <c r="C1115" s="39" t="s">
        <v>4455</v>
      </c>
    </row>
    <row r="1116" spans="1:6">
      <c r="C1116" s="39" t="s">
        <v>52</v>
      </c>
    </row>
    <row r="1117" spans="1:6">
      <c r="A1117" s="38">
        <v>3</v>
      </c>
      <c r="B1117" s="38" t="s">
        <v>282</v>
      </c>
      <c r="C1117" s="39" t="s">
        <v>1901</v>
      </c>
      <c r="D1117" s="38">
        <v>115.85</v>
      </c>
      <c r="E1117" s="38" t="s">
        <v>282</v>
      </c>
      <c r="F1117" s="38">
        <v>347.55</v>
      </c>
    </row>
    <row r="1118" spans="1:6">
      <c r="A1118" s="38">
        <v>1</v>
      </c>
      <c r="B1118" s="38" t="s">
        <v>237</v>
      </c>
      <c r="C1118" s="39" t="s">
        <v>1902</v>
      </c>
      <c r="D1118" s="38">
        <v>45</v>
      </c>
      <c r="E1118" s="38" t="s">
        <v>972</v>
      </c>
      <c r="F1118" s="38">
        <v>45</v>
      </c>
    </row>
    <row r="1119" spans="1:6">
      <c r="A1119" s="38">
        <v>1</v>
      </c>
      <c r="B1119" s="38" t="s">
        <v>237</v>
      </c>
      <c r="C1119" s="39" t="s">
        <v>1903</v>
      </c>
      <c r="D1119" s="38">
        <v>55.5</v>
      </c>
      <c r="E1119" s="38" t="s">
        <v>972</v>
      </c>
      <c r="F1119" s="38">
        <v>55.5</v>
      </c>
    </row>
    <row r="1120" spans="1:6">
      <c r="A1120" s="38">
        <v>1</v>
      </c>
      <c r="B1120" s="38" t="s">
        <v>237</v>
      </c>
      <c r="C1120" s="39" t="s">
        <v>1904</v>
      </c>
      <c r="D1120" s="38">
        <v>125.2</v>
      </c>
      <c r="E1120" s="38" t="s">
        <v>972</v>
      </c>
      <c r="F1120" s="38">
        <v>125.2</v>
      </c>
    </row>
    <row r="1121" spans="1:6">
      <c r="A1121" s="38">
        <v>0.5</v>
      </c>
      <c r="B1121" s="38" t="s">
        <v>131</v>
      </c>
      <c r="C1121" s="39" t="s">
        <v>1695</v>
      </c>
      <c r="D1121" s="38">
        <v>903.1</v>
      </c>
      <c r="E1121" s="38" t="s">
        <v>972</v>
      </c>
      <c r="F1121" s="38">
        <v>451.55</v>
      </c>
    </row>
    <row r="1122" spans="1:6">
      <c r="A1122" s="38">
        <v>0.5</v>
      </c>
      <c r="B1122" s="38" t="s">
        <v>131</v>
      </c>
      <c r="C1122" s="39" t="s">
        <v>302</v>
      </c>
      <c r="D1122" s="38">
        <v>972.4</v>
      </c>
      <c r="E1122" s="38" t="s">
        <v>972</v>
      </c>
      <c r="F1122" s="38">
        <v>486.2</v>
      </c>
    </row>
    <row r="1123" spans="1:6">
      <c r="A1123" s="38">
        <v>0.5</v>
      </c>
      <c r="B1123" s="38" t="s">
        <v>131</v>
      </c>
      <c r="C1123" s="39" t="s">
        <v>304</v>
      </c>
      <c r="D1123" s="38">
        <v>679.8</v>
      </c>
      <c r="E1123" s="38" t="s">
        <v>972</v>
      </c>
      <c r="F1123" s="38">
        <v>339.9</v>
      </c>
    </row>
    <row r="1124" spans="1:6">
      <c r="B1124" s="38" t="s">
        <v>145</v>
      </c>
      <c r="C1124" s="39" t="s">
        <v>1891</v>
      </c>
      <c r="D1124" s="38" t="s">
        <v>85</v>
      </c>
      <c r="E1124" s="38" t="s">
        <v>145</v>
      </c>
      <c r="F1124" s="38">
        <v>2.73</v>
      </c>
    </row>
    <row r="1125" spans="1:6">
      <c r="C1125" s="39" t="s">
        <v>1892</v>
      </c>
    </row>
    <row r="1126" spans="1:6">
      <c r="C1126" s="39" t="s">
        <v>1893</v>
      </c>
    </row>
    <row r="1127" spans="1:6">
      <c r="C1127" s="39" t="s">
        <v>1894</v>
      </c>
      <c r="E1127" s="38" t="s">
        <v>145</v>
      </c>
      <c r="F1127" s="38">
        <v>0.27</v>
      </c>
    </row>
    <row r="1128" spans="1:6">
      <c r="F1128" s="38" t="s">
        <v>52</v>
      </c>
    </row>
    <row r="1129" spans="1:6">
      <c r="C1129" s="39" t="s">
        <v>1698</v>
      </c>
      <c r="F1129" s="38">
        <v>1853.9</v>
      </c>
    </row>
    <row r="1130" spans="1:6">
      <c r="F1130" s="38" t="s">
        <v>52</v>
      </c>
    </row>
    <row r="1131" spans="1:6">
      <c r="C1131" s="39" t="s">
        <v>632</v>
      </c>
      <c r="F1131" s="38">
        <v>617.97</v>
      </c>
    </row>
    <row r="1132" spans="1:6" ht="31.5">
      <c r="C1132" s="39" t="s">
        <v>4792</v>
      </c>
    </row>
    <row r="1133" spans="1:6">
      <c r="C1133" s="39" t="s">
        <v>4793</v>
      </c>
    </row>
    <row r="1135" spans="1:6">
      <c r="A1135" s="38">
        <v>2</v>
      </c>
      <c r="B1135" s="38" t="s">
        <v>13</v>
      </c>
      <c r="C1135" s="39" t="s">
        <v>4794</v>
      </c>
      <c r="D1135" s="38">
        <v>96.6</v>
      </c>
      <c r="E1135" s="38" t="s">
        <v>13</v>
      </c>
      <c r="F1135" s="38">
        <v>193.2</v>
      </c>
    </row>
    <row r="1136" spans="1:6">
      <c r="A1136" s="38">
        <v>1</v>
      </c>
      <c r="B1136" s="38" t="s">
        <v>727</v>
      </c>
      <c r="C1136" s="39" t="s">
        <v>4795</v>
      </c>
      <c r="D1136" s="38">
        <v>34.299999999999997</v>
      </c>
      <c r="E1136" s="38" t="s">
        <v>729</v>
      </c>
      <c r="F1136" s="38">
        <v>34.299999999999997</v>
      </c>
    </row>
    <row r="1137" spans="3:6">
      <c r="C1137" s="39" t="s">
        <v>4796</v>
      </c>
      <c r="E1137" s="38" t="s">
        <v>145</v>
      </c>
      <c r="F1137" s="38">
        <v>1.4</v>
      </c>
    </row>
    <row r="1138" spans="3:6">
      <c r="C1138" s="39" t="s">
        <v>4797</v>
      </c>
      <c r="F1138" s="38">
        <v>228.9</v>
      </c>
    </row>
    <row r="1140" spans="3:6">
      <c r="C1140" s="39" t="s">
        <v>4798</v>
      </c>
      <c r="F1140" s="38">
        <v>114.45</v>
      </c>
    </row>
    <row r="1143" spans="3:6">
      <c r="C1143" s="39" t="s">
        <v>2296</v>
      </c>
    </row>
    <row r="1144" spans="3:6">
      <c r="C1144" s="39" t="s">
        <v>2821</v>
      </c>
    </row>
    <row r="1146" spans="3:6">
      <c r="C1146" s="39" t="s">
        <v>2298</v>
      </c>
    </row>
    <row r="1147" spans="3:6">
      <c r="C1147" s="39" t="s">
        <v>2299</v>
      </c>
    </row>
    <row r="1148" spans="3:6">
      <c r="C1148" s="39" t="s">
        <v>2301</v>
      </c>
    </row>
    <row r="1150" spans="3:6">
      <c r="C1150" s="39" t="s">
        <v>2302</v>
      </c>
    </row>
    <row r="1152" spans="3:6" ht="173.25">
      <c r="C1152" s="39" t="s">
        <v>2303</v>
      </c>
    </row>
    <row r="1153" spans="1:6" ht="31.5">
      <c r="A1153" s="38">
        <v>90</v>
      </c>
      <c r="B1153" s="38" t="s">
        <v>13</v>
      </c>
      <c r="C1153" s="39" t="s">
        <v>2823</v>
      </c>
      <c r="D1153" s="38">
        <v>16.55</v>
      </c>
      <c r="E1153" s="38" t="s">
        <v>2306</v>
      </c>
      <c r="F1153" s="38">
        <v>1489.5</v>
      </c>
    </row>
    <row r="1154" spans="1:6" ht="31.5">
      <c r="A1154" s="38">
        <v>45</v>
      </c>
      <c r="B1154" s="38" t="s">
        <v>13</v>
      </c>
      <c r="C1154" s="39" t="s">
        <v>2824</v>
      </c>
      <c r="D1154" s="38">
        <v>20</v>
      </c>
      <c r="E1154" s="38" t="s">
        <v>2308</v>
      </c>
      <c r="F1154" s="38">
        <v>900</v>
      </c>
    </row>
    <row r="1155" spans="1:6">
      <c r="A1155" s="38">
        <v>20</v>
      </c>
      <c r="B1155" s="38" t="s">
        <v>1034</v>
      </c>
      <c r="C1155" s="39" t="s">
        <v>2825</v>
      </c>
      <c r="D1155" s="38">
        <v>3.15</v>
      </c>
      <c r="E1155" s="38" t="s">
        <v>1034</v>
      </c>
      <c r="F1155" s="38">
        <v>63</v>
      </c>
    </row>
    <row r="1156" spans="1:6">
      <c r="A1156" s="38">
        <v>10</v>
      </c>
      <c r="B1156" s="38" t="s">
        <v>1034</v>
      </c>
      <c r="C1156" s="39" t="s">
        <v>2826</v>
      </c>
      <c r="D1156" s="38">
        <v>1.34</v>
      </c>
      <c r="E1156" s="38" t="s">
        <v>1034</v>
      </c>
      <c r="F1156" s="38">
        <v>13.4</v>
      </c>
    </row>
    <row r="1157" spans="1:6">
      <c r="A1157" s="38">
        <v>1</v>
      </c>
      <c r="B1157" s="38" t="s">
        <v>1034</v>
      </c>
      <c r="C1157" s="39" t="s">
        <v>2827</v>
      </c>
      <c r="D1157" s="38">
        <v>70.7</v>
      </c>
      <c r="E1157" s="38" t="s">
        <v>1034</v>
      </c>
      <c r="F1157" s="38">
        <v>70.7</v>
      </c>
    </row>
    <row r="1159" spans="1:6" ht="31.5">
      <c r="A1159" s="38">
        <v>0.02</v>
      </c>
      <c r="B1159" s="38" t="s">
        <v>724</v>
      </c>
      <c r="C1159" s="39" t="s">
        <v>2829</v>
      </c>
      <c r="D1159" s="38">
        <v>661</v>
      </c>
      <c r="E1159" s="38" t="s">
        <v>724</v>
      </c>
      <c r="F1159" s="38">
        <v>9.92</v>
      </c>
    </row>
    <row r="1160" spans="1:6" ht="31.5">
      <c r="A1160" s="38">
        <v>10</v>
      </c>
      <c r="B1160" s="38" t="s">
        <v>1034</v>
      </c>
      <c r="C1160" s="39" t="s">
        <v>2830</v>
      </c>
      <c r="D1160" s="38">
        <v>16.21</v>
      </c>
      <c r="E1160" s="38" t="s">
        <v>1034</v>
      </c>
      <c r="F1160" s="38">
        <v>162.1</v>
      </c>
    </row>
    <row r="1161" spans="1:6">
      <c r="A1161" s="38">
        <v>10</v>
      </c>
      <c r="B1161" s="38" t="s">
        <v>1034</v>
      </c>
      <c r="C1161" s="39" t="s">
        <v>2831</v>
      </c>
      <c r="D1161" s="38">
        <v>13.8</v>
      </c>
      <c r="E1161" s="38" t="s">
        <v>1034</v>
      </c>
      <c r="F1161" s="38">
        <v>138</v>
      </c>
    </row>
    <row r="1162" spans="1:6">
      <c r="A1162" s="38">
        <v>10</v>
      </c>
      <c r="B1162" s="38" t="s">
        <v>1034</v>
      </c>
      <c r="C1162" s="39" t="s">
        <v>2833</v>
      </c>
      <c r="D1162" s="38">
        <v>3.6</v>
      </c>
      <c r="E1162" s="38" t="s">
        <v>1034</v>
      </c>
      <c r="F1162" s="38">
        <v>36</v>
      </c>
    </row>
    <row r="1163" spans="1:6">
      <c r="A1163" s="38">
        <v>1.25</v>
      </c>
      <c r="B1163" s="38" t="s">
        <v>2324</v>
      </c>
      <c r="C1163" s="39" t="s">
        <v>38</v>
      </c>
      <c r="D1163" s="38">
        <v>302</v>
      </c>
      <c r="E1163" s="38" t="s">
        <v>2324</v>
      </c>
      <c r="F1163" s="38">
        <v>377.5</v>
      </c>
    </row>
    <row r="1164" spans="1:6">
      <c r="A1164" s="38">
        <v>10</v>
      </c>
      <c r="B1164" s="38" t="s">
        <v>1034</v>
      </c>
      <c r="C1164" s="39" t="s">
        <v>2834</v>
      </c>
      <c r="D1164" s="38">
        <v>70.7</v>
      </c>
      <c r="E1164" s="38" t="s">
        <v>1034</v>
      </c>
      <c r="F1164" s="38">
        <v>707</v>
      </c>
    </row>
    <row r="1165" spans="1:6">
      <c r="A1165" s="38">
        <v>0.15</v>
      </c>
      <c r="B1165" s="38" t="s">
        <v>724</v>
      </c>
      <c r="C1165" s="39" t="s">
        <v>2835</v>
      </c>
      <c r="D1165" s="38">
        <v>661</v>
      </c>
      <c r="E1165" s="38" t="s">
        <v>724</v>
      </c>
      <c r="F1165" s="38">
        <v>99.15</v>
      </c>
    </row>
    <row r="1166" spans="1:6" ht="31.5">
      <c r="A1166" s="38">
        <v>45</v>
      </c>
      <c r="B1166" s="38" t="s">
        <v>13</v>
      </c>
      <c r="C1166" s="39" t="s">
        <v>2837</v>
      </c>
      <c r="D1166" s="38">
        <v>16.55</v>
      </c>
      <c r="E1166" s="38" t="s">
        <v>2330</v>
      </c>
      <c r="F1166" s="38">
        <v>744.75</v>
      </c>
    </row>
    <row r="1167" spans="1:6">
      <c r="A1167" s="38" t="s">
        <v>49</v>
      </c>
      <c r="C1167" s="39" t="s">
        <v>478</v>
      </c>
      <c r="E1167" s="38" t="s">
        <v>49</v>
      </c>
      <c r="F1167" s="38">
        <v>11454</v>
      </c>
    </row>
    <row r="1168" spans="1:6">
      <c r="A1168" s="38" t="s">
        <v>49</v>
      </c>
      <c r="C1168" s="39" t="s">
        <v>2161</v>
      </c>
      <c r="E1168" s="38" t="s">
        <v>49</v>
      </c>
      <c r="F1168" s="38">
        <v>34.979999999999997</v>
      </c>
    </row>
    <row r="1169" spans="1:6">
      <c r="C1169" s="39" t="s">
        <v>2334</v>
      </c>
      <c r="F1169" s="38">
        <v>16300</v>
      </c>
    </row>
    <row r="1170" spans="1:6">
      <c r="C1170" s="39" t="s">
        <v>2336</v>
      </c>
      <c r="F1170" s="38">
        <v>1630</v>
      </c>
    </row>
    <row r="1172" spans="1:6">
      <c r="C1172" s="39" t="s">
        <v>2338</v>
      </c>
    </row>
    <row r="1174" spans="1:6">
      <c r="C1174" s="39" t="s">
        <v>2106</v>
      </c>
    </row>
    <row r="1176" spans="1:6">
      <c r="A1176" s="38">
        <v>1</v>
      </c>
      <c r="B1176" s="38" t="s">
        <v>1034</v>
      </c>
      <c r="C1176" s="39" t="s">
        <v>2839</v>
      </c>
      <c r="D1176" s="38">
        <v>898</v>
      </c>
      <c r="E1176" s="38" t="s">
        <v>1034</v>
      </c>
      <c r="F1176" s="38">
        <v>898</v>
      </c>
    </row>
    <row r="1177" spans="1:6">
      <c r="A1177" s="38">
        <v>2</v>
      </c>
      <c r="B1177" s="38" t="s">
        <v>1034</v>
      </c>
      <c r="C1177" s="39" t="s">
        <v>2840</v>
      </c>
      <c r="D1177" s="38">
        <v>783</v>
      </c>
      <c r="E1177" s="38" t="s">
        <v>1034</v>
      </c>
      <c r="F1177" s="38">
        <v>1566</v>
      </c>
    </row>
    <row r="1178" spans="1:6">
      <c r="A1178" s="38">
        <v>3</v>
      </c>
      <c r="B1178" s="38" t="s">
        <v>1034</v>
      </c>
      <c r="C1178" s="39" t="s">
        <v>2841</v>
      </c>
      <c r="D1178" s="38">
        <v>778</v>
      </c>
      <c r="E1178" s="38" t="s">
        <v>1034</v>
      </c>
      <c r="F1178" s="38">
        <v>2334</v>
      </c>
    </row>
    <row r="1179" spans="1:6">
      <c r="A1179" s="38">
        <v>4</v>
      </c>
      <c r="B1179" s="38" t="s">
        <v>1034</v>
      </c>
      <c r="C1179" s="39" t="s">
        <v>2842</v>
      </c>
      <c r="D1179" s="38">
        <v>611</v>
      </c>
      <c r="E1179" s="38" t="s">
        <v>1034</v>
      </c>
      <c r="F1179" s="38">
        <v>2444</v>
      </c>
    </row>
    <row r="1180" spans="1:6">
      <c r="C1180" s="39" t="s">
        <v>2343</v>
      </c>
    </row>
    <row r="1181" spans="1:6">
      <c r="A1181" s="38">
        <v>2</v>
      </c>
      <c r="B1181" s="38" t="s">
        <v>1034</v>
      </c>
      <c r="C1181" s="39" t="s">
        <v>6440</v>
      </c>
      <c r="D1181" s="38">
        <v>884</v>
      </c>
      <c r="E1181" s="38" t="s">
        <v>1034</v>
      </c>
      <c r="F1181" s="38">
        <v>1768</v>
      </c>
    </row>
    <row r="1182" spans="1:6">
      <c r="A1182" s="38">
        <v>4</v>
      </c>
      <c r="B1182" s="38" t="s">
        <v>1034</v>
      </c>
      <c r="C1182" s="39" t="s">
        <v>2842</v>
      </c>
      <c r="D1182" s="38">
        <v>611</v>
      </c>
      <c r="E1182" s="38" t="s">
        <v>1034</v>
      </c>
      <c r="F1182" s="38">
        <v>2444</v>
      </c>
    </row>
    <row r="1183" spans="1:6">
      <c r="F1183" s="38">
        <v>11454</v>
      </c>
    </row>
    <row r="1185" spans="3:6">
      <c r="C1185" s="39" t="s">
        <v>2345</v>
      </c>
    </row>
    <row r="1186" spans="3:6" ht="31.5">
      <c r="C1186" s="39" t="s">
        <v>2347</v>
      </c>
    </row>
    <row r="1188" spans="3:6" ht="189">
      <c r="C1188" s="39" t="s">
        <v>2349</v>
      </c>
    </row>
    <row r="1189" spans="3:6">
      <c r="C1189" s="39" t="s">
        <v>2351</v>
      </c>
      <c r="F1189" s="38">
        <v>16265.02</v>
      </c>
    </row>
    <row r="1190" spans="3:6">
      <c r="C1190" s="39" t="s">
        <v>2352</v>
      </c>
      <c r="F1190" s="38">
        <v>138</v>
      </c>
    </row>
    <row r="1191" spans="3:6" ht="31.5">
      <c r="C1191" s="39" t="s">
        <v>2845</v>
      </c>
      <c r="F1191" s="38">
        <v>166.5</v>
      </c>
    </row>
    <row r="1192" spans="3:6">
      <c r="C1192" s="39" t="s">
        <v>1557</v>
      </c>
      <c r="F1192" s="38">
        <v>36.479999999999997</v>
      </c>
    </row>
    <row r="1193" spans="3:6">
      <c r="C1193" s="39" t="s">
        <v>2355</v>
      </c>
      <c r="F1193" s="38">
        <v>16330</v>
      </c>
    </row>
    <row r="1194" spans="3:6">
      <c r="C1194" s="39" t="s">
        <v>2356</v>
      </c>
      <c r="F1194" s="38">
        <v>1633</v>
      </c>
    </row>
    <row r="1196" spans="3:6">
      <c r="C1196" s="39" t="s">
        <v>2357</v>
      </c>
    </row>
    <row r="1197" spans="3:6" ht="47.25">
      <c r="C1197" s="39" t="s">
        <v>2358</v>
      </c>
    </row>
    <row r="1199" spans="3:6" ht="189">
      <c r="C1199" s="39" t="s">
        <v>2359</v>
      </c>
    </row>
    <row r="1200" spans="3:6">
      <c r="C1200" s="39" t="s">
        <v>2361</v>
      </c>
      <c r="F1200" s="38">
        <v>16265.02</v>
      </c>
    </row>
    <row r="1201" spans="1:6">
      <c r="C1201" s="39" t="s">
        <v>2362</v>
      </c>
      <c r="F1201" s="38">
        <v>138</v>
      </c>
    </row>
    <row r="1202" spans="1:6">
      <c r="C1202" s="39" t="s">
        <v>2363</v>
      </c>
      <c r="F1202" s="38">
        <v>36</v>
      </c>
    </row>
    <row r="1203" spans="1:6">
      <c r="C1203" s="39" t="s">
        <v>2364</v>
      </c>
      <c r="F1203" s="38">
        <v>162.1</v>
      </c>
    </row>
    <row r="1204" spans="1:6" ht="31.5">
      <c r="C1204" s="39" t="s">
        <v>2848</v>
      </c>
      <c r="F1204" s="38">
        <v>417</v>
      </c>
    </row>
    <row r="1205" spans="1:6">
      <c r="C1205" s="39" t="s">
        <v>2849</v>
      </c>
      <c r="F1205" s="38">
        <v>166.5</v>
      </c>
    </row>
    <row r="1206" spans="1:6" ht="31.5">
      <c r="C1206" s="39" t="s">
        <v>2850</v>
      </c>
      <c r="F1206" s="38">
        <v>165</v>
      </c>
    </row>
    <row r="1207" spans="1:6">
      <c r="C1207" s="39" t="s">
        <v>1557</v>
      </c>
      <c r="F1207" s="38">
        <v>22.58</v>
      </c>
    </row>
    <row r="1208" spans="1:6">
      <c r="C1208" s="39" t="s">
        <v>2355</v>
      </c>
      <c r="F1208" s="38">
        <v>16700</v>
      </c>
    </row>
    <row r="1209" spans="1:6">
      <c r="C1209" s="39" t="s">
        <v>2368</v>
      </c>
      <c r="F1209" s="38">
        <v>1670</v>
      </c>
    </row>
    <row r="1211" spans="1:6">
      <c r="C1211" s="39" t="s">
        <v>2369</v>
      </c>
    </row>
    <row r="1212" spans="1:6">
      <c r="C1212" s="39" t="s">
        <v>2370</v>
      </c>
    </row>
    <row r="1213" spans="1:6" ht="157.5">
      <c r="C1213" s="39" t="s">
        <v>2371</v>
      </c>
    </row>
    <row r="1215" spans="1:6" ht="31.5">
      <c r="A1215" s="38">
        <v>90</v>
      </c>
      <c r="B1215" s="38" t="s">
        <v>13</v>
      </c>
      <c r="C1215" s="39" t="s">
        <v>2823</v>
      </c>
      <c r="D1215" s="38">
        <v>16.55</v>
      </c>
      <c r="E1215" s="38" t="s">
        <v>2330</v>
      </c>
      <c r="F1215" s="38">
        <v>1489.5</v>
      </c>
    </row>
    <row r="1216" spans="1:6" ht="31.5">
      <c r="A1216" s="38">
        <v>45</v>
      </c>
      <c r="B1216" s="38" t="s">
        <v>13</v>
      </c>
      <c r="C1216" s="39" t="s">
        <v>2824</v>
      </c>
      <c r="D1216" s="38">
        <v>20</v>
      </c>
      <c r="E1216" s="38" t="s">
        <v>13</v>
      </c>
      <c r="F1216" s="38">
        <v>900</v>
      </c>
    </row>
    <row r="1217" spans="1:6">
      <c r="A1217" s="38">
        <v>20</v>
      </c>
      <c r="B1217" s="38" t="s">
        <v>1034</v>
      </c>
      <c r="C1217" s="39" t="s">
        <v>2825</v>
      </c>
      <c r="D1217" s="38">
        <v>3.15</v>
      </c>
      <c r="E1217" s="38" t="s">
        <v>1034</v>
      </c>
      <c r="F1217" s="38">
        <v>63</v>
      </c>
    </row>
    <row r="1218" spans="1:6">
      <c r="A1218" s="38">
        <v>10</v>
      </c>
      <c r="B1218" s="38" t="s">
        <v>1034</v>
      </c>
      <c r="C1218" s="39" t="s">
        <v>2826</v>
      </c>
      <c r="D1218" s="38">
        <v>1.34</v>
      </c>
      <c r="E1218" s="38" t="s">
        <v>1034</v>
      </c>
      <c r="F1218" s="38">
        <v>13.4</v>
      </c>
    </row>
    <row r="1219" spans="1:6">
      <c r="A1219" s="38">
        <v>10</v>
      </c>
      <c r="B1219" s="38" t="s">
        <v>1034</v>
      </c>
      <c r="C1219" s="39" t="s">
        <v>2833</v>
      </c>
      <c r="D1219" s="38">
        <v>3.6</v>
      </c>
      <c r="E1219" s="38" t="s">
        <v>1034</v>
      </c>
      <c r="F1219" s="38">
        <v>36</v>
      </c>
    </row>
    <row r="1220" spans="1:6">
      <c r="A1220" s="38">
        <v>10</v>
      </c>
      <c r="B1220" s="38" t="s">
        <v>1034</v>
      </c>
      <c r="C1220" s="39" t="s">
        <v>2831</v>
      </c>
      <c r="D1220" s="38">
        <v>13.8</v>
      </c>
      <c r="E1220" s="38" t="s">
        <v>1034</v>
      </c>
      <c r="F1220" s="38">
        <v>138</v>
      </c>
    </row>
    <row r="1221" spans="1:6" ht="31.5">
      <c r="A1221" s="38">
        <v>10</v>
      </c>
      <c r="B1221" s="38" t="s">
        <v>1034</v>
      </c>
      <c r="C1221" s="39" t="s">
        <v>2830</v>
      </c>
      <c r="D1221" s="38">
        <v>16.21</v>
      </c>
      <c r="E1221" s="38" t="s">
        <v>1034</v>
      </c>
      <c r="F1221" s="38">
        <v>162.1</v>
      </c>
    </row>
    <row r="1222" spans="1:6">
      <c r="A1222" s="38">
        <v>10</v>
      </c>
      <c r="B1222" s="38" t="s">
        <v>1034</v>
      </c>
      <c r="C1222" s="39" t="s">
        <v>2851</v>
      </c>
      <c r="D1222" s="38">
        <v>115.1</v>
      </c>
      <c r="E1222" s="38" t="s">
        <v>1034</v>
      </c>
      <c r="F1222" s="38">
        <v>1151</v>
      </c>
    </row>
    <row r="1223" spans="1:6">
      <c r="A1223" s="38">
        <v>0.6</v>
      </c>
      <c r="B1223" s="38" t="s">
        <v>724</v>
      </c>
      <c r="C1223" s="39" t="s">
        <v>2835</v>
      </c>
      <c r="D1223" s="38">
        <v>661</v>
      </c>
      <c r="E1223" s="38" t="s">
        <v>724</v>
      </c>
      <c r="F1223" s="38">
        <v>396.6</v>
      </c>
    </row>
    <row r="1224" spans="1:6">
      <c r="A1224" s="38">
        <v>1</v>
      </c>
      <c r="B1224" s="38" t="s">
        <v>1034</v>
      </c>
      <c r="C1224" s="39" t="s">
        <v>2852</v>
      </c>
      <c r="D1224" s="38">
        <v>70.7</v>
      </c>
      <c r="E1224" s="38" t="s">
        <v>1034</v>
      </c>
      <c r="F1224" s="38">
        <v>70.7</v>
      </c>
    </row>
    <row r="1225" spans="1:6">
      <c r="A1225" s="38">
        <v>0.02</v>
      </c>
      <c r="B1225" s="38" t="s">
        <v>724</v>
      </c>
      <c r="C1225" s="39" t="s">
        <v>2835</v>
      </c>
      <c r="D1225" s="38">
        <v>661</v>
      </c>
      <c r="E1225" s="38" t="s">
        <v>724</v>
      </c>
      <c r="F1225" s="38">
        <v>9.92</v>
      </c>
    </row>
    <row r="1226" spans="1:6">
      <c r="A1226" s="38">
        <v>1.25</v>
      </c>
      <c r="B1226" s="38" t="s">
        <v>2324</v>
      </c>
      <c r="C1226" s="39" t="s">
        <v>38</v>
      </c>
      <c r="D1226" s="38">
        <v>302</v>
      </c>
      <c r="E1226" s="38" t="s">
        <v>2324</v>
      </c>
      <c r="F1226" s="38">
        <v>377.5</v>
      </c>
    </row>
    <row r="1227" spans="1:6" ht="31.5">
      <c r="A1227" s="38">
        <v>45</v>
      </c>
      <c r="B1227" s="38" t="s">
        <v>13</v>
      </c>
      <c r="C1227" s="39" t="s">
        <v>2837</v>
      </c>
      <c r="D1227" s="38">
        <v>16.55</v>
      </c>
      <c r="E1227" s="38" t="s">
        <v>2330</v>
      </c>
      <c r="F1227" s="38">
        <v>744.75</v>
      </c>
    </row>
    <row r="1228" spans="1:6">
      <c r="A1228" s="38" t="s">
        <v>49</v>
      </c>
      <c r="C1228" s="39" t="s">
        <v>478</v>
      </c>
      <c r="F1228" s="38">
        <v>11454</v>
      </c>
    </row>
    <row r="1229" spans="1:6">
      <c r="A1229" s="38" t="s">
        <v>49</v>
      </c>
      <c r="C1229" s="39" t="s">
        <v>1557</v>
      </c>
      <c r="F1229" s="38">
        <v>43.53</v>
      </c>
    </row>
    <row r="1230" spans="1:6">
      <c r="C1230" s="39" t="s">
        <v>2355</v>
      </c>
      <c r="F1230" s="38">
        <v>17050</v>
      </c>
    </row>
    <row r="1231" spans="1:6">
      <c r="C1231" s="39" t="s">
        <v>2368</v>
      </c>
      <c r="F1231" s="38">
        <v>1705</v>
      </c>
    </row>
    <row r="1232" spans="1:6">
      <c r="C1232" s="39" t="s">
        <v>2374</v>
      </c>
    </row>
    <row r="1233" spans="1:6">
      <c r="C1233" s="39" t="s">
        <v>2375</v>
      </c>
      <c r="D1233" s="38">
        <v>90</v>
      </c>
    </row>
    <row r="1234" spans="1:6">
      <c r="C1234" s="39" t="s">
        <v>2376</v>
      </c>
      <c r="D1234" s="38">
        <v>0.08</v>
      </c>
    </row>
    <row r="1235" spans="1:6">
      <c r="C1235" s="39" t="s">
        <v>6441</v>
      </c>
      <c r="D1235" s="38">
        <v>0.14000000000000001</v>
      </c>
      <c r="F1235" s="38">
        <v>147.27000000000001</v>
      </c>
    </row>
    <row r="1238" spans="1:6">
      <c r="C1238" s="39" t="s">
        <v>2378</v>
      </c>
    </row>
    <row r="1239" spans="1:6">
      <c r="C1239" s="39" t="s">
        <v>2379</v>
      </c>
    </row>
    <row r="1240" spans="1:6" ht="157.5">
      <c r="C1240" s="39" t="s">
        <v>2380</v>
      </c>
    </row>
    <row r="1241" spans="1:6" ht="31.5">
      <c r="A1241" s="38">
        <v>90</v>
      </c>
      <c r="B1241" s="38" t="s">
        <v>13</v>
      </c>
      <c r="C1241" s="39" t="s">
        <v>2311</v>
      </c>
      <c r="D1241" s="38">
        <v>16.55</v>
      </c>
      <c r="E1241" s="38" t="s">
        <v>2306</v>
      </c>
      <c r="F1241" s="38">
        <v>1489.5</v>
      </c>
    </row>
    <row r="1242" spans="1:6" ht="31.5">
      <c r="A1242" s="38">
        <v>30</v>
      </c>
      <c r="B1242" s="38" t="s">
        <v>13</v>
      </c>
      <c r="C1242" s="39" t="s">
        <v>2313</v>
      </c>
      <c r="D1242" s="38">
        <v>20</v>
      </c>
      <c r="E1242" s="38" t="s">
        <v>13</v>
      </c>
      <c r="F1242" s="38">
        <v>600</v>
      </c>
    </row>
    <row r="1243" spans="1:6">
      <c r="A1243" s="38">
        <v>10</v>
      </c>
      <c r="B1243" s="38" t="s">
        <v>1034</v>
      </c>
      <c r="C1243" s="39" t="s">
        <v>2317</v>
      </c>
      <c r="D1243" s="38">
        <v>3.15</v>
      </c>
      <c r="E1243" s="38" t="s">
        <v>1034</v>
      </c>
      <c r="F1243" s="38">
        <v>31.5</v>
      </c>
    </row>
    <row r="1244" spans="1:6">
      <c r="A1244" s="38">
        <v>5</v>
      </c>
      <c r="B1244" s="38" t="s">
        <v>1034</v>
      </c>
      <c r="C1244" s="39" t="s">
        <v>2319</v>
      </c>
      <c r="D1244" s="38">
        <v>1.34</v>
      </c>
      <c r="E1244" s="38" t="s">
        <v>1034</v>
      </c>
      <c r="F1244" s="38">
        <v>6.7</v>
      </c>
    </row>
    <row r="1245" spans="1:6" ht="31.5">
      <c r="A1245" s="38">
        <v>10</v>
      </c>
      <c r="B1245" s="38" t="s">
        <v>1034</v>
      </c>
      <c r="C1245" s="39" t="s">
        <v>2854</v>
      </c>
      <c r="D1245" s="38">
        <v>20.11</v>
      </c>
      <c r="E1245" s="38" t="s">
        <v>1034</v>
      </c>
      <c r="F1245" s="38">
        <v>201.1</v>
      </c>
    </row>
    <row r="1246" spans="1:6">
      <c r="A1246" s="38">
        <v>5</v>
      </c>
      <c r="B1246" s="38" t="s">
        <v>1034</v>
      </c>
      <c r="C1246" s="39" t="s">
        <v>2325</v>
      </c>
      <c r="D1246" s="38">
        <v>13.8</v>
      </c>
      <c r="E1246" s="38" t="s">
        <v>1034</v>
      </c>
      <c r="F1246" s="38">
        <v>69</v>
      </c>
    </row>
    <row r="1247" spans="1:6">
      <c r="A1247" s="38">
        <v>5</v>
      </c>
      <c r="B1247" s="38" t="s">
        <v>1034</v>
      </c>
      <c r="C1247" s="39" t="s">
        <v>2406</v>
      </c>
      <c r="D1247" s="38">
        <v>3.6</v>
      </c>
      <c r="E1247" s="38" t="s">
        <v>1034</v>
      </c>
      <c r="F1247" s="38">
        <v>18</v>
      </c>
    </row>
    <row r="1248" spans="1:6">
      <c r="A1248" s="38">
        <v>6</v>
      </c>
      <c r="B1248" s="38" t="s">
        <v>1034</v>
      </c>
      <c r="C1248" s="39" t="s">
        <v>2855</v>
      </c>
      <c r="D1248" s="38">
        <v>70.7</v>
      </c>
      <c r="E1248" s="38" t="s">
        <v>1034</v>
      </c>
      <c r="F1248" s="38">
        <v>424.2</v>
      </c>
    </row>
    <row r="1249" spans="1:6">
      <c r="A1249" s="38">
        <v>0.09</v>
      </c>
      <c r="B1249" s="38" t="s">
        <v>724</v>
      </c>
      <c r="C1249" s="39" t="s">
        <v>2386</v>
      </c>
      <c r="D1249" s="38">
        <v>661</v>
      </c>
      <c r="E1249" s="38" t="s">
        <v>724</v>
      </c>
      <c r="F1249" s="38">
        <v>59.49</v>
      </c>
    </row>
    <row r="1250" spans="1:6">
      <c r="A1250" s="38">
        <v>1.25</v>
      </c>
      <c r="B1250" s="38" t="s">
        <v>2324</v>
      </c>
      <c r="C1250" s="39" t="s">
        <v>38</v>
      </c>
      <c r="D1250" s="38">
        <v>302</v>
      </c>
      <c r="E1250" s="38" t="s">
        <v>2324</v>
      </c>
      <c r="F1250" s="38">
        <v>377.5</v>
      </c>
    </row>
    <row r="1251" spans="1:6" ht="31.5">
      <c r="A1251" s="38">
        <v>30</v>
      </c>
      <c r="B1251" s="38" t="s">
        <v>13</v>
      </c>
      <c r="C1251" s="39" t="s">
        <v>2333</v>
      </c>
      <c r="D1251" s="38">
        <v>16.55</v>
      </c>
      <c r="E1251" s="38" t="s">
        <v>2330</v>
      </c>
      <c r="F1251" s="38">
        <v>496.5</v>
      </c>
    </row>
    <row r="1252" spans="1:6">
      <c r="C1252" s="39" t="s">
        <v>478</v>
      </c>
      <c r="F1252" s="38">
        <v>11454</v>
      </c>
    </row>
    <row r="1253" spans="1:6">
      <c r="C1253" s="39" t="s">
        <v>1557</v>
      </c>
      <c r="F1253" s="38">
        <v>32.51</v>
      </c>
    </row>
    <row r="1254" spans="1:6">
      <c r="C1254" s="39" t="s">
        <v>2382</v>
      </c>
      <c r="F1254" s="38">
        <v>15260</v>
      </c>
    </row>
    <row r="1255" spans="1:6">
      <c r="C1255" s="39" t="s">
        <v>2368</v>
      </c>
      <c r="F1255" s="38">
        <v>3052</v>
      </c>
    </row>
    <row r="1257" spans="1:6">
      <c r="C1257" s="39" t="s">
        <v>2383</v>
      </c>
    </row>
    <row r="1258" spans="1:6" ht="31.5">
      <c r="C1258" s="39" t="s">
        <v>2384</v>
      </c>
    </row>
    <row r="1260" spans="1:6" ht="173.25">
      <c r="C1260" s="39" t="s">
        <v>2385</v>
      </c>
    </row>
    <row r="1261" spans="1:6" ht="31.5">
      <c r="A1261" s="38">
        <v>90</v>
      </c>
      <c r="B1261" s="38" t="s">
        <v>13</v>
      </c>
      <c r="C1261" s="39" t="s">
        <v>2311</v>
      </c>
      <c r="D1261" s="38">
        <v>16.55</v>
      </c>
      <c r="E1261" s="38" t="s">
        <v>2330</v>
      </c>
      <c r="F1261" s="38">
        <v>1489.5</v>
      </c>
    </row>
    <row r="1262" spans="1:6" ht="31.5">
      <c r="A1262" s="38">
        <v>45</v>
      </c>
      <c r="B1262" s="38" t="s">
        <v>13</v>
      </c>
      <c r="C1262" s="39" t="s">
        <v>2313</v>
      </c>
      <c r="D1262" s="38">
        <v>20</v>
      </c>
      <c r="E1262" s="38" t="s">
        <v>13</v>
      </c>
      <c r="F1262" s="38">
        <v>900</v>
      </c>
    </row>
    <row r="1263" spans="1:6">
      <c r="A1263" s="38">
        <v>20</v>
      </c>
      <c r="B1263" s="38" t="s">
        <v>1034</v>
      </c>
      <c r="C1263" s="39" t="s">
        <v>2317</v>
      </c>
      <c r="D1263" s="38">
        <v>3.15</v>
      </c>
      <c r="E1263" s="38" t="s">
        <v>2315</v>
      </c>
      <c r="F1263" s="38">
        <v>63</v>
      </c>
    </row>
    <row r="1264" spans="1:6">
      <c r="A1264" s="38">
        <v>10</v>
      </c>
      <c r="B1264" s="38" t="s">
        <v>1034</v>
      </c>
      <c r="C1264" s="39" t="s">
        <v>2319</v>
      </c>
      <c r="D1264" s="38">
        <v>1.34</v>
      </c>
      <c r="E1264" s="38" t="s">
        <v>2315</v>
      </c>
      <c r="F1264" s="38">
        <v>13.4</v>
      </c>
    </row>
    <row r="1265" spans="1:6">
      <c r="A1265" s="38">
        <v>1</v>
      </c>
      <c r="B1265" s="38" t="s">
        <v>1034</v>
      </c>
      <c r="C1265" s="39" t="s">
        <v>2855</v>
      </c>
      <c r="D1265" s="38">
        <v>70.7</v>
      </c>
      <c r="E1265" s="38" t="s">
        <v>1034</v>
      </c>
      <c r="F1265" s="38">
        <v>70.7</v>
      </c>
    </row>
    <row r="1266" spans="1:6">
      <c r="A1266" s="38">
        <v>0.02</v>
      </c>
      <c r="B1266" s="38" t="s">
        <v>724</v>
      </c>
      <c r="C1266" s="39" t="s">
        <v>2386</v>
      </c>
      <c r="D1266" s="38">
        <v>661</v>
      </c>
      <c r="E1266" s="38" t="s">
        <v>724</v>
      </c>
      <c r="F1266" s="38">
        <v>9.92</v>
      </c>
    </row>
    <row r="1267" spans="1:6" ht="47.25">
      <c r="A1267" s="38">
        <v>15</v>
      </c>
      <c r="B1267" s="38" t="s">
        <v>1034</v>
      </c>
      <c r="C1267" s="39" t="s">
        <v>2856</v>
      </c>
      <c r="D1267" s="38">
        <v>40.31</v>
      </c>
      <c r="E1267" s="38" t="s">
        <v>1034</v>
      </c>
      <c r="F1267" s="38">
        <v>604.65</v>
      </c>
    </row>
    <row r="1268" spans="1:6">
      <c r="A1268" s="38">
        <v>15</v>
      </c>
      <c r="B1268" s="38" t="s">
        <v>1034</v>
      </c>
      <c r="C1268" s="39" t="s">
        <v>2855</v>
      </c>
      <c r="D1268" s="38">
        <v>70.7</v>
      </c>
      <c r="E1268" s="38" t="s">
        <v>1034</v>
      </c>
      <c r="F1268" s="38">
        <v>1060.5</v>
      </c>
    </row>
    <row r="1269" spans="1:6">
      <c r="A1269" s="38">
        <v>0.23</v>
      </c>
      <c r="B1269" s="38" t="s">
        <v>724</v>
      </c>
      <c r="C1269" s="39" t="s">
        <v>2386</v>
      </c>
      <c r="D1269" s="38">
        <v>661</v>
      </c>
      <c r="E1269" s="38" t="s">
        <v>2388</v>
      </c>
      <c r="F1269" s="38">
        <v>148.72999999999999</v>
      </c>
    </row>
    <row r="1270" spans="1:6">
      <c r="A1270" s="38">
        <v>1.25</v>
      </c>
      <c r="B1270" s="38" t="s">
        <v>2324</v>
      </c>
      <c r="C1270" s="39" t="s">
        <v>38</v>
      </c>
      <c r="D1270" s="38">
        <v>302</v>
      </c>
      <c r="E1270" s="38" t="s">
        <v>2324</v>
      </c>
      <c r="F1270" s="38">
        <v>377.5</v>
      </c>
    </row>
    <row r="1271" spans="1:6" ht="31.5">
      <c r="A1271" s="38">
        <v>45</v>
      </c>
      <c r="B1271" s="38" t="s">
        <v>724</v>
      </c>
      <c r="C1271" s="39" t="s">
        <v>2333</v>
      </c>
      <c r="D1271" s="38">
        <v>16.55</v>
      </c>
      <c r="E1271" s="38" t="s">
        <v>2330</v>
      </c>
      <c r="F1271" s="38">
        <v>744.75</v>
      </c>
    </row>
    <row r="1272" spans="1:6">
      <c r="C1272" s="39" t="s">
        <v>478</v>
      </c>
      <c r="F1272" s="38">
        <v>11454</v>
      </c>
    </row>
    <row r="1273" spans="1:6">
      <c r="C1273" s="39" t="s">
        <v>1557</v>
      </c>
      <c r="F1273" s="38">
        <v>58.35</v>
      </c>
    </row>
    <row r="1274" spans="1:6">
      <c r="C1274" s="39" t="s">
        <v>2389</v>
      </c>
      <c r="F1274" s="38">
        <v>16995</v>
      </c>
    </row>
    <row r="1275" spans="1:6">
      <c r="C1275" s="39" t="s">
        <v>2368</v>
      </c>
      <c r="F1275" s="38">
        <v>1133</v>
      </c>
    </row>
    <row r="1277" spans="1:6">
      <c r="C1277" s="39" t="s">
        <v>2390</v>
      </c>
    </row>
    <row r="1278" spans="1:6" ht="31.5">
      <c r="C1278" s="39" t="s">
        <v>2391</v>
      </c>
    </row>
    <row r="1280" spans="1:6" ht="173.25">
      <c r="C1280" s="39" t="s">
        <v>2392</v>
      </c>
    </row>
    <row r="1282" spans="1:6" ht="31.5">
      <c r="A1282" s="38">
        <v>5</v>
      </c>
      <c r="B1282" s="38" t="s">
        <v>13</v>
      </c>
      <c r="C1282" s="39" t="s">
        <v>2311</v>
      </c>
      <c r="D1282" s="38">
        <v>16.55</v>
      </c>
      <c r="E1282" s="38" t="s">
        <v>2308</v>
      </c>
      <c r="F1282" s="38">
        <v>82.75</v>
      </c>
    </row>
    <row r="1283" spans="1:6" ht="31.5">
      <c r="A1283" s="38">
        <v>2.5</v>
      </c>
      <c r="B1283" s="38" t="s">
        <v>13</v>
      </c>
      <c r="C1283" s="39" t="s">
        <v>2313</v>
      </c>
      <c r="D1283" s="38">
        <v>20</v>
      </c>
      <c r="E1283" s="38" t="s">
        <v>13</v>
      </c>
      <c r="F1283" s="38">
        <v>50</v>
      </c>
    </row>
    <row r="1284" spans="1:6" ht="47.25">
      <c r="A1284" s="38">
        <v>1</v>
      </c>
      <c r="B1284" s="38" t="s">
        <v>1034</v>
      </c>
      <c r="C1284" s="39" t="s">
        <v>2856</v>
      </c>
      <c r="D1284" s="38">
        <v>40.31</v>
      </c>
      <c r="E1284" s="38" t="s">
        <v>1034</v>
      </c>
      <c r="F1284" s="38">
        <v>40.31</v>
      </c>
    </row>
    <row r="1285" spans="1:6">
      <c r="C1285" s="39" t="s">
        <v>478</v>
      </c>
      <c r="F1285" s="38">
        <v>636.33000000000004</v>
      </c>
    </row>
    <row r="1286" spans="1:6">
      <c r="C1286" s="39" t="s">
        <v>1557</v>
      </c>
      <c r="F1286" s="38">
        <v>25.61</v>
      </c>
    </row>
    <row r="1287" spans="1:6">
      <c r="C1287" s="39" t="s">
        <v>2368</v>
      </c>
      <c r="F1287" s="38">
        <v>835</v>
      </c>
    </row>
    <row r="1289" spans="1:6">
      <c r="C1289" s="39" t="s">
        <v>2394</v>
      </c>
    </row>
    <row r="1290" spans="1:6">
      <c r="C1290" s="39" t="s">
        <v>2395</v>
      </c>
    </row>
    <row r="1292" spans="1:6" ht="63">
      <c r="C1292" s="39" t="s">
        <v>6442</v>
      </c>
    </row>
    <row r="1294" spans="1:6">
      <c r="A1294" s="38">
        <v>1</v>
      </c>
      <c r="B1294" s="38" t="s">
        <v>1034</v>
      </c>
      <c r="C1294" s="39" t="s">
        <v>2858</v>
      </c>
      <c r="D1294" s="38">
        <v>54.5</v>
      </c>
      <c r="E1294" s="38" t="s">
        <v>1034</v>
      </c>
      <c r="F1294" s="38">
        <v>54.5</v>
      </c>
    </row>
    <row r="1295" spans="1:6">
      <c r="A1295" s="38">
        <v>1</v>
      </c>
      <c r="B1295" s="38" t="s">
        <v>1034</v>
      </c>
      <c r="C1295" s="39" t="s">
        <v>2859</v>
      </c>
      <c r="D1295" s="38">
        <v>70.7</v>
      </c>
      <c r="E1295" s="38" t="s">
        <v>1034</v>
      </c>
      <c r="F1295" s="38">
        <v>70.7</v>
      </c>
    </row>
    <row r="1296" spans="1:6">
      <c r="A1296" s="38">
        <v>0.02</v>
      </c>
      <c r="B1296" s="38" t="s">
        <v>724</v>
      </c>
      <c r="C1296" s="39" t="s">
        <v>2398</v>
      </c>
      <c r="D1296" s="38">
        <v>661</v>
      </c>
      <c r="E1296" s="38" t="s">
        <v>724</v>
      </c>
      <c r="F1296" s="38">
        <v>9.92</v>
      </c>
    </row>
    <row r="1297" spans="1:6" ht="31.5">
      <c r="A1297" s="38" t="s">
        <v>49</v>
      </c>
      <c r="C1297" s="39" t="s">
        <v>2399</v>
      </c>
      <c r="F1297" s="38">
        <v>14.88</v>
      </c>
    </row>
    <row r="1298" spans="1:6">
      <c r="C1298" s="39" t="s">
        <v>2400</v>
      </c>
      <c r="F1298" s="38">
        <v>150</v>
      </c>
    </row>
    <row r="1299" spans="1:6">
      <c r="F1299" s="38">
        <v>2700</v>
      </c>
    </row>
    <row r="1300" spans="1:6">
      <c r="C1300" s="39" t="s">
        <v>2423</v>
      </c>
    </row>
    <row r="1302" spans="1:6">
      <c r="C1302" s="39" t="s">
        <v>2424</v>
      </c>
    </row>
    <row r="1303" spans="1:6">
      <c r="C1303" s="39" t="s">
        <v>2426</v>
      </c>
    </row>
    <row r="1305" spans="1:6" ht="110.25">
      <c r="C1305" s="39" t="s">
        <v>2428</v>
      </c>
    </row>
    <row r="1307" spans="1:6" ht="31.5">
      <c r="A1307" s="38">
        <v>180</v>
      </c>
      <c r="B1307" s="38" t="s">
        <v>13</v>
      </c>
      <c r="C1307" s="39" t="s">
        <v>2311</v>
      </c>
      <c r="D1307" s="38">
        <v>16.55</v>
      </c>
      <c r="E1307" s="38" t="s">
        <v>13</v>
      </c>
      <c r="F1307" s="38">
        <v>2979</v>
      </c>
    </row>
    <row r="1308" spans="1:6" ht="31.5">
      <c r="A1308" s="38">
        <v>90</v>
      </c>
      <c r="B1308" s="38" t="s">
        <v>13</v>
      </c>
      <c r="C1308" s="39" t="s">
        <v>2313</v>
      </c>
      <c r="D1308" s="38">
        <v>20</v>
      </c>
      <c r="E1308" s="38" t="s">
        <v>13</v>
      </c>
      <c r="F1308" s="38">
        <v>1800</v>
      </c>
    </row>
    <row r="1309" spans="1:6">
      <c r="A1309" s="38">
        <v>3</v>
      </c>
      <c r="B1309" s="38" t="s">
        <v>2324</v>
      </c>
      <c r="C1309" s="39" t="s">
        <v>38</v>
      </c>
      <c r="D1309" s="38">
        <v>302</v>
      </c>
      <c r="E1309" s="38" t="s">
        <v>2324</v>
      </c>
      <c r="F1309" s="38">
        <v>906</v>
      </c>
    </row>
    <row r="1310" spans="1:6" ht="31.5">
      <c r="A1310" s="38">
        <v>90</v>
      </c>
      <c r="B1310" s="38" t="s">
        <v>13</v>
      </c>
      <c r="C1310" s="39" t="s">
        <v>2333</v>
      </c>
      <c r="D1310" s="38">
        <v>16.55</v>
      </c>
      <c r="E1310" s="38" t="s">
        <v>2306</v>
      </c>
      <c r="F1310" s="38">
        <v>1489.5</v>
      </c>
    </row>
    <row r="1311" spans="1:6">
      <c r="C1311" s="39" t="s">
        <v>478</v>
      </c>
      <c r="F1311" s="38">
        <v>11454</v>
      </c>
    </row>
    <row r="1312" spans="1:6">
      <c r="F1312" s="38">
        <v>18628.5</v>
      </c>
    </row>
    <row r="1313" spans="1:6">
      <c r="C1313" s="39" t="s">
        <v>1557</v>
      </c>
      <c r="F1313" s="38">
        <v>91.5</v>
      </c>
    </row>
    <row r="1314" spans="1:6">
      <c r="C1314" s="39" t="s">
        <v>2432</v>
      </c>
      <c r="F1314" s="38">
        <v>18720</v>
      </c>
    </row>
    <row r="1315" spans="1:6">
      <c r="C1315" s="39" t="s">
        <v>2433</v>
      </c>
      <c r="F1315" s="38">
        <v>208</v>
      </c>
    </row>
    <row r="1317" spans="1:6">
      <c r="C1317" s="39" t="s">
        <v>2434</v>
      </c>
    </row>
    <row r="1318" spans="1:6">
      <c r="C1318" s="39" t="s">
        <v>2435</v>
      </c>
    </row>
    <row r="1320" spans="1:6" ht="110.25">
      <c r="C1320" s="39" t="s">
        <v>2436</v>
      </c>
    </row>
    <row r="1322" spans="1:6">
      <c r="C1322" s="39" t="s">
        <v>2437</v>
      </c>
      <c r="F1322" s="38">
        <v>18628.5</v>
      </c>
    </row>
    <row r="1323" spans="1:6" ht="31.5">
      <c r="A1323" s="38">
        <v>180</v>
      </c>
      <c r="B1323" s="38" t="s">
        <v>13</v>
      </c>
      <c r="C1323" s="39" t="s">
        <v>2871</v>
      </c>
      <c r="D1323" s="38">
        <v>25.75</v>
      </c>
      <c r="E1323" s="38" t="s">
        <v>13</v>
      </c>
      <c r="F1323" s="38">
        <v>4635</v>
      </c>
    </row>
    <row r="1324" spans="1:6" ht="31.5">
      <c r="A1324" s="38">
        <v>180</v>
      </c>
      <c r="B1324" s="38" t="s">
        <v>13</v>
      </c>
      <c r="C1324" s="39" t="s">
        <v>2439</v>
      </c>
      <c r="D1324" s="38">
        <v>16.55</v>
      </c>
      <c r="E1324" s="38" t="s">
        <v>2306</v>
      </c>
      <c r="F1324" s="38">
        <v>2979</v>
      </c>
    </row>
    <row r="1325" spans="1:6">
      <c r="C1325" s="39" t="s">
        <v>1557</v>
      </c>
      <c r="F1325" s="38">
        <v>55.5</v>
      </c>
    </row>
    <row r="1326" spans="1:6">
      <c r="C1326" s="39" t="s">
        <v>2440</v>
      </c>
      <c r="F1326" s="38">
        <v>20340</v>
      </c>
    </row>
    <row r="1327" spans="1:6">
      <c r="C1327" s="39" t="s">
        <v>2433</v>
      </c>
      <c r="F1327" s="38">
        <v>226</v>
      </c>
    </row>
    <row r="1329" spans="1:6">
      <c r="C1329" s="39" t="s">
        <v>2425</v>
      </c>
    </row>
    <row r="1330" spans="1:6">
      <c r="C1330" s="39" t="s">
        <v>2441</v>
      </c>
    </row>
    <row r="1332" spans="1:6" ht="110.25">
      <c r="C1332" s="39" t="s">
        <v>2429</v>
      </c>
    </row>
    <row r="1333" spans="1:6" ht="31.5">
      <c r="A1333" s="38">
        <v>180</v>
      </c>
      <c r="B1333" s="38" t="s">
        <v>13</v>
      </c>
      <c r="C1333" s="39" t="s">
        <v>2872</v>
      </c>
      <c r="D1333" s="38">
        <v>40.950000000000003</v>
      </c>
      <c r="E1333" s="38" t="s">
        <v>2306</v>
      </c>
      <c r="F1333" s="38">
        <v>7371</v>
      </c>
    </row>
    <row r="1334" spans="1:6" ht="31.5">
      <c r="A1334" s="38">
        <v>90</v>
      </c>
      <c r="B1334" s="38" t="s">
        <v>13</v>
      </c>
      <c r="C1334" s="39" t="s">
        <v>2313</v>
      </c>
      <c r="D1334" s="38">
        <v>20</v>
      </c>
      <c r="E1334" s="38" t="s">
        <v>13</v>
      </c>
      <c r="F1334" s="38">
        <v>1800</v>
      </c>
    </row>
    <row r="1335" spans="1:6">
      <c r="A1335" s="38">
        <v>3</v>
      </c>
      <c r="B1335" s="38" t="s">
        <v>2324</v>
      </c>
      <c r="C1335" s="39" t="s">
        <v>38</v>
      </c>
      <c r="D1335" s="38">
        <v>302</v>
      </c>
      <c r="E1335" s="38" t="s">
        <v>2324</v>
      </c>
      <c r="F1335" s="38">
        <v>906</v>
      </c>
    </row>
    <row r="1336" spans="1:6" ht="31.5">
      <c r="A1336" s="38">
        <v>90</v>
      </c>
      <c r="B1336" s="38" t="s">
        <v>13</v>
      </c>
      <c r="C1336" s="39" t="s">
        <v>2873</v>
      </c>
      <c r="D1336" s="38">
        <v>25.75</v>
      </c>
      <c r="E1336" s="38" t="s">
        <v>2306</v>
      </c>
      <c r="F1336" s="38">
        <v>2317.5</v>
      </c>
    </row>
    <row r="1337" spans="1:6">
      <c r="C1337" s="39" t="s">
        <v>478</v>
      </c>
      <c r="F1337" s="38">
        <v>11454</v>
      </c>
    </row>
    <row r="1338" spans="1:6">
      <c r="C1338" s="39" t="s">
        <v>1557</v>
      </c>
      <c r="F1338" s="38">
        <v>91.5</v>
      </c>
    </row>
    <row r="1339" spans="1:6">
      <c r="C1339" s="39" t="s">
        <v>2432</v>
      </c>
      <c r="F1339" s="38">
        <v>23940</v>
      </c>
    </row>
    <row r="1340" spans="1:6">
      <c r="C1340" s="39" t="s">
        <v>2433</v>
      </c>
      <c r="F1340" s="38">
        <v>266</v>
      </c>
    </row>
    <row r="1343" spans="1:6">
      <c r="C1343" s="39" t="s">
        <v>2443</v>
      </c>
    </row>
    <row r="1344" spans="1:6">
      <c r="C1344" s="39" t="s">
        <v>2444</v>
      </c>
    </row>
    <row r="1346" spans="1:6" ht="110.25">
      <c r="C1346" s="39" t="s">
        <v>2446</v>
      </c>
    </row>
    <row r="1347" spans="1:6" ht="31.5">
      <c r="A1347" s="38">
        <v>360</v>
      </c>
      <c r="C1347" s="39" t="s">
        <v>2874</v>
      </c>
      <c r="D1347" s="38">
        <v>40.950000000000003</v>
      </c>
      <c r="E1347" s="38" t="s">
        <v>2306</v>
      </c>
      <c r="F1347" s="38">
        <v>14742</v>
      </c>
    </row>
    <row r="1348" spans="1:6" ht="31.5">
      <c r="A1348" s="38">
        <v>90</v>
      </c>
      <c r="C1348" s="39" t="s">
        <v>2876</v>
      </c>
      <c r="D1348" s="38">
        <v>29.8</v>
      </c>
      <c r="E1348" s="38" t="s">
        <v>13</v>
      </c>
      <c r="F1348" s="38">
        <v>2682</v>
      </c>
    </row>
    <row r="1349" spans="1:6">
      <c r="A1349" s="38">
        <v>3</v>
      </c>
      <c r="C1349" s="39" t="s">
        <v>38</v>
      </c>
      <c r="D1349" s="38">
        <v>302</v>
      </c>
      <c r="E1349" s="38" t="s">
        <v>2324</v>
      </c>
      <c r="F1349" s="38">
        <v>906</v>
      </c>
    </row>
    <row r="1350" spans="1:6" ht="31.5">
      <c r="A1350" s="38">
        <v>90</v>
      </c>
      <c r="C1350" s="39" t="s">
        <v>2878</v>
      </c>
      <c r="D1350" s="38">
        <v>25.75</v>
      </c>
      <c r="E1350" s="38" t="s">
        <v>2306</v>
      </c>
      <c r="F1350" s="38">
        <v>2317.5</v>
      </c>
    </row>
    <row r="1351" spans="1:6">
      <c r="C1351" s="39" t="s">
        <v>478</v>
      </c>
      <c r="F1351" s="38">
        <v>15075</v>
      </c>
    </row>
    <row r="1352" spans="1:6">
      <c r="C1352" s="39" t="s">
        <v>1557</v>
      </c>
      <c r="F1352" s="38">
        <v>97.5</v>
      </c>
    </row>
    <row r="1353" spans="1:6">
      <c r="C1353" s="39" t="s">
        <v>2432</v>
      </c>
      <c r="F1353" s="38">
        <v>35820</v>
      </c>
    </row>
    <row r="1354" spans="1:6">
      <c r="C1354" s="39" t="s">
        <v>2433</v>
      </c>
      <c r="F1354" s="38">
        <v>398</v>
      </c>
    </row>
    <row r="1356" spans="1:6" ht="31.5">
      <c r="C1356" s="39" t="s">
        <v>2451</v>
      </c>
    </row>
    <row r="1357" spans="1:6">
      <c r="C1357" s="39" t="s">
        <v>2880</v>
      </c>
      <c r="D1357" s="38">
        <v>15075</v>
      </c>
    </row>
    <row r="1358" spans="1:6">
      <c r="C1358" s="39">
        <v>15075</v>
      </c>
    </row>
    <row r="1361" spans="1:6">
      <c r="C1361" s="39" t="s">
        <v>2454</v>
      </c>
    </row>
    <row r="1362" spans="1:6">
      <c r="C1362" s="39" t="s">
        <v>2457</v>
      </c>
    </row>
    <row r="1364" spans="1:6" ht="31.5">
      <c r="C1364" s="39" t="s">
        <v>2883</v>
      </c>
    </row>
    <row r="1366" spans="1:6" ht="47.25">
      <c r="C1366" s="39" t="s">
        <v>2459</v>
      </c>
    </row>
    <row r="1367" spans="1:6">
      <c r="A1367" s="38">
        <v>1</v>
      </c>
      <c r="B1367" s="38" t="s">
        <v>1034</v>
      </c>
      <c r="C1367" s="39" t="s">
        <v>2885</v>
      </c>
      <c r="D1367" s="38">
        <v>277.60000000000002</v>
      </c>
      <c r="E1367" s="38" t="s">
        <v>1034</v>
      </c>
      <c r="F1367" s="38">
        <v>277.60000000000002</v>
      </c>
    </row>
    <row r="1368" spans="1:6">
      <c r="C1368" s="39" t="s">
        <v>1557</v>
      </c>
      <c r="F1368" s="38">
        <v>13.47</v>
      </c>
    </row>
    <row r="1369" spans="1:6">
      <c r="C1369" s="39" t="s">
        <v>478</v>
      </c>
      <c r="F1369" s="38">
        <v>225.93</v>
      </c>
    </row>
    <row r="1370" spans="1:6">
      <c r="C1370" s="39" t="s">
        <v>2461</v>
      </c>
      <c r="F1370" s="38">
        <v>517</v>
      </c>
    </row>
    <row r="1373" spans="1:6">
      <c r="C1373" s="39" t="s">
        <v>2462</v>
      </c>
    </row>
    <row r="1374" spans="1:6">
      <c r="A1374" s="38">
        <v>2</v>
      </c>
      <c r="B1374" s="38" t="s">
        <v>1034</v>
      </c>
      <c r="C1374" s="39" t="s">
        <v>2463</v>
      </c>
      <c r="D1374" s="38">
        <v>778</v>
      </c>
      <c r="E1374" s="38" t="s">
        <v>1034</v>
      </c>
      <c r="F1374" s="38">
        <v>1556</v>
      </c>
    </row>
    <row r="1375" spans="1:6">
      <c r="A1375" s="38">
        <v>3</v>
      </c>
      <c r="B1375" s="38" t="s">
        <v>1034</v>
      </c>
      <c r="C1375" s="39" t="s">
        <v>2464</v>
      </c>
      <c r="D1375" s="38">
        <v>611</v>
      </c>
      <c r="E1375" s="38" t="s">
        <v>1034</v>
      </c>
      <c r="F1375" s="38">
        <v>1833</v>
      </c>
    </row>
    <row r="1376" spans="1:6">
      <c r="C1376" s="39" t="s">
        <v>2465</v>
      </c>
      <c r="F1376" s="38">
        <v>3389</v>
      </c>
    </row>
    <row r="1377" spans="1:6">
      <c r="C1377" s="39" t="s">
        <v>2058</v>
      </c>
      <c r="F1377" s="38">
        <v>225.93</v>
      </c>
    </row>
    <row r="1378" spans="1:6">
      <c r="C1378" s="39" t="s">
        <v>2443</v>
      </c>
    </row>
    <row r="1379" spans="1:6">
      <c r="C1379" s="39" t="s">
        <v>2453</v>
      </c>
    </row>
    <row r="1381" spans="1:6" ht="110.25">
      <c r="C1381" s="39" t="s">
        <v>2455</v>
      </c>
    </row>
    <row r="1382" spans="1:6" ht="31.5">
      <c r="A1382" s="38">
        <v>360</v>
      </c>
      <c r="C1382" s="39" t="s">
        <v>2881</v>
      </c>
      <c r="D1382" s="38">
        <v>85.3</v>
      </c>
      <c r="E1382" s="38" t="s">
        <v>2306</v>
      </c>
      <c r="F1382" s="38">
        <v>30708</v>
      </c>
    </row>
    <row r="1383" spans="1:6" ht="31.5">
      <c r="A1383" s="38">
        <v>90</v>
      </c>
      <c r="C1383" s="39" t="s">
        <v>2882</v>
      </c>
      <c r="D1383" s="38">
        <v>29.8</v>
      </c>
      <c r="E1383" s="38" t="s">
        <v>13</v>
      </c>
      <c r="F1383" s="38">
        <v>2682</v>
      </c>
    </row>
    <row r="1384" spans="1:6">
      <c r="A1384" s="38">
        <v>3</v>
      </c>
      <c r="C1384" s="39" t="s">
        <v>38</v>
      </c>
      <c r="D1384" s="38">
        <v>302</v>
      </c>
      <c r="E1384" s="38" t="s">
        <v>2324</v>
      </c>
      <c r="F1384" s="38">
        <v>906</v>
      </c>
    </row>
    <row r="1385" spans="1:6" ht="31.5">
      <c r="A1385" s="38">
        <v>90</v>
      </c>
      <c r="C1385" s="39" t="s">
        <v>2884</v>
      </c>
      <c r="D1385" s="38">
        <v>56.7</v>
      </c>
      <c r="E1385" s="38" t="s">
        <v>2306</v>
      </c>
      <c r="F1385" s="38">
        <v>5103</v>
      </c>
    </row>
    <row r="1386" spans="1:6">
      <c r="C1386" s="39" t="s">
        <v>478</v>
      </c>
      <c r="F1386" s="38">
        <v>15075</v>
      </c>
    </row>
    <row r="1387" spans="1:6">
      <c r="C1387" s="39" t="s">
        <v>1557</v>
      </c>
      <c r="F1387" s="38">
        <v>60.5</v>
      </c>
    </row>
    <row r="1388" spans="1:6">
      <c r="C1388" s="39" t="s">
        <v>2432</v>
      </c>
      <c r="F1388" s="38">
        <v>54534.5</v>
      </c>
    </row>
    <row r="1389" spans="1:6">
      <c r="C1389" s="39" t="s">
        <v>2433</v>
      </c>
      <c r="F1389" s="38">
        <v>605.94000000000005</v>
      </c>
    </row>
    <row r="1390" spans="1:6" ht="31.5">
      <c r="C1390" s="39" t="s">
        <v>4523</v>
      </c>
    </row>
    <row r="1391" spans="1:6">
      <c r="A1391" s="38">
        <v>0.47</v>
      </c>
      <c r="B1391" s="38" t="s">
        <v>5</v>
      </c>
      <c r="C1391" s="39" t="s">
        <v>1767</v>
      </c>
      <c r="D1391" s="38">
        <v>233.76</v>
      </c>
      <c r="E1391" s="38" t="s">
        <v>729</v>
      </c>
      <c r="F1391" s="38">
        <v>109.87</v>
      </c>
    </row>
    <row r="1392" spans="1:6">
      <c r="A1392" s="38">
        <v>2</v>
      </c>
      <c r="F1392" s="38">
        <v>0</v>
      </c>
    </row>
    <row r="1393" spans="1:6">
      <c r="A1393" s="38">
        <v>0.24</v>
      </c>
      <c r="B1393" s="38" t="s">
        <v>5</v>
      </c>
      <c r="C1393" s="39" t="s">
        <v>2195</v>
      </c>
      <c r="D1393" s="38">
        <v>1291.69</v>
      </c>
      <c r="E1393" s="38" t="s">
        <v>729</v>
      </c>
      <c r="F1393" s="38">
        <v>310.01</v>
      </c>
    </row>
    <row r="1394" spans="1:6" ht="31.5">
      <c r="A1394" s="38">
        <v>0.79</v>
      </c>
      <c r="B1394" s="38" t="s">
        <v>724</v>
      </c>
      <c r="C1394" s="39" t="s">
        <v>4526</v>
      </c>
      <c r="D1394" s="38">
        <v>1708.25</v>
      </c>
      <c r="E1394" s="38" t="s">
        <v>145</v>
      </c>
      <c r="F1394" s="38">
        <v>1349.52</v>
      </c>
    </row>
    <row r="1395" spans="1:6">
      <c r="A1395" s="38">
        <v>0.24</v>
      </c>
      <c r="B1395" s="38" t="s">
        <v>5</v>
      </c>
      <c r="C1395" s="39" t="s">
        <v>475</v>
      </c>
      <c r="D1395" s="38">
        <v>1549.69</v>
      </c>
      <c r="F1395" s="38">
        <v>371.93</v>
      </c>
    </row>
    <row r="1396" spans="1:6">
      <c r="C1396" s="39" t="s">
        <v>1557</v>
      </c>
      <c r="F1396" s="38" t="s">
        <v>4527</v>
      </c>
    </row>
    <row r="1397" spans="1:6">
      <c r="F1397" s="38">
        <v>2141.33</v>
      </c>
    </row>
    <row r="1398" spans="1:6">
      <c r="F1398" s="38" t="s">
        <v>3617</v>
      </c>
    </row>
    <row r="1399" spans="1:6">
      <c r="F1399" s="38">
        <v>0</v>
      </c>
    </row>
    <row r="1400" spans="1:6">
      <c r="C1400" s="39" t="s">
        <v>4532</v>
      </c>
    </row>
    <row r="1401" spans="1:6">
      <c r="A1401" s="38">
        <v>1</v>
      </c>
      <c r="B1401" s="38" t="s">
        <v>5</v>
      </c>
      <c r="C1401" s="39" t="s">
        <v>478</v>
      </c>
      <c r="D1401" s="38">
        <v>416.06</v>
      </c>
      <c r="E1401" s="38" t="s">
        <v>729</v>
      </c>
      <c r="F1401" s="38">
        <v>416.06</v>
      </c>
    </row>
    <row r="1402" spans="1:6">
      <c r="A1402" s="38">
        <v>7.0000000000000007E-2</v>
      </c>
      <c r="B1402" s="38" t="s">
        <v>5</v>
      </c>
      <c r="C1402" s="39" t="s">
        <v>2195</v>
      </c>
      <c r="D1402" s="38">
        <v>1291.69</v>
      </c>
      <c r="E1402" s="38" t="s">
        <v>729</v>
      </c>
      <c r="F1402" s="38">
        <v>91.71</v>
      </c>
    </row>
    <row r="1403" spans="1:6">
      <c r="F1403" s="38" t="s">
        <v>4527</v>
      </c>
    </row>
    <row r="1404" spans="1:6">
      <c r="F1404" s="38">
        <v>507.77</v>
      </c>
    </row>
    <row r="1405" spans="1:6">
      <c r="F1405" s="38" t="s">
        <v>4527</v>
      </c>
    </row>
    <row r="1406" spans="1:6">
      <c r="A1406" s="38">
        <v>0.25</v>
      </c>
      <c r="B1406" s="38" t="s">
        <v>1034</v>
      </c>
      <c r="C1406" s="39" t="s">
        <v>4537</v>
      </c>
      <c r="D1406" s="38">
        <v>972.4</v>
      </c>
      <c r="F1406" s="38">
        <v>243.1</v>
      </c>
    </row>
    <row r="1407" spans="1:6">
      <c r="A1407" s="38">
        <v>1</v>
      </c>
      <c r="B1407" s="38" t="s">
        <v>1034</v>
      </c>
      <c r="C1407" s="39" t="s">
        <v>4540</v>
      </c>
      <c r="D1407" s="38">
        <v>679.8</v>
      </c>
      <c r="F1407" s="38">
        <v>679.8</v>
      </c>
    </row>
    <row r="1408" spans="1:6" ht="31.5">
      <c r="A1408" s="38">
        <v>1</v>
      </c>
      <c r="B1408" s="38" t="s">
        <v>1034</v>
      </c>
      <c r="C1408" s="39" t="s">
        <v>4541</v>
      </c>
      <c r="D1408" s="38" t="s">
        <v>49</v>
      </c>
      <c r="F1408" s="38">
        <v>92.29</v>
      </c>
    </row>
    <row r="1409" spans="1:6">
      <c r="F1409" s="38" t="s">
        <v>4527</v>
      </c>
    </row>
    <row r="1410" spans="1:6">
      <c r="F1410" s="38">
        <v>1015.19</v>
      </c>
    </row>
    <row r="1411" spans="1:6">
      <c r="F1411" s="38" t="s">
        <v>4527</v>
      </c>
    </row>
    <row r="1412" spans="1:6">
      <c r="B1412" s="38">
        <v>398.3</v>
      </c>
      <c r="C1412" s="39" t="s">
        <v>2847</v>
      </c>
      <c r="D1412" s="38">
        <v>398.3</v>
      </c>
      <c r="F1412" s="38">
        <v>416.06</v>
      </c>
    </row>
    <row r="1413" spans="1:6">
      <c r="C1413" s="38" t="s">
        <v>4831</v>
      </c>
    </row>
    <row r="1414" spans="1:6">
      <c r="C1414" s="38"/>
    </row>
    <row r="1415" spans="1:6">
      <c r="C1415" s="38" t="s">
        <v>4208</v>
      </c>
      <c r="F1415" s="38">
        <v>1020</v>
      </c>
    </row>
    <row r="1417" spans="1:6">
      <c r="C1417" s="39" t="s">
        <v>2490</v>
      </c>
    </row>
    <row r="1419" spans="1:6" ht="78.75">
      <c r="C1419" s="39" t="s">
        <v>6443</v>
      </c>
    </row>
    <row r="1420" spans="1:6" ht="31.5">
      <c r="A1420" s="38">
        <v>1</v>
      </c>
      <c r="B1420" s="38" t="s">
        <v>1034</v>
      </c>
      <c r="C1420" s="39" t="s">
        <v>2894</v>
      </c>
      <c r="D1420" s="38">
        <v>1315</v>
      </c>
      <c r="E1420" s="38" t="s">
        <v>1034</v>
      </c>
      <c r="F1420" s="38">
        <v>1315</v>
      </c>
    </row>
    <row r="1421" spans="1:6" ht="31.5">
      <c r="A1421" s="38">
        <v>1</v>
      </c>
      <c r="B1421" s="38" t="s">
        <v>1034</v>
      </c>
      <c r="C1421" s="39" t="s">
        <v>2892</v>
      </c>
      <c r="D1421" s="38">
        <v>159.69999999999999</v>
      </c>
      <c r="E1421" s="38" t="s">
        <v>1034</v>
      </c>
      <c r="F1421" s="38">
        <v>159.69999999999999</v>
      </c>
    </row>
    <row r="1422" spans="1:6" ht="31.5">
      <c r="C1422" s="39" t="s">
        <v>2488</v>
      </c>
      <c r="F1422" s="38">
        <v>14</v>
      </c>
    </row>
    <row r="1423" spans="1:6">
      <c r="C1423" s="39" t="s">
        <v>478</v>
      </c>
      <c r="F1423" s="38">
        <v>668.33</v>
      </c>
    </row>
    <row r="1424" spans="1:6">
      <c r="C1424" s="39" t="s">
        <v>2400</v>
      </c>
      <c r="F1424" s="38">
        <v>2157.0300000000002</v>
      </c>
    </row>
    <row r="1425" spans="1:6" ht="31.5">
      <c r="A1425" s="38" t="s">
        <v>1654</v>
      </c>
      <c r="B1425" s="38" t="s">
        <v>111</v>
      </c>
      <c r="C1425" s="39" t="s">
        <v>6444</v>
      </c>
    </row>
    <row r="1426" spans="1:6">
      <c r="C1426" s="39" t="s">
        <v>4319</v>
      </c>
    </row>
    <row r="1427" spans="1:6">
      <c r="C1427" s="39" t="s">
        <v>4334</v>
      </c>
    </row>
    <row r="1428" spans="1:6">
      <c r="C1428" s="39" t="s">
        <v>52</v>
      </c>
    </row>
    <row r="1429" spans="1:6" ht="31.5">
      <c r="A1429" s="38">
        <v>1.4</v>
      </c>
      <c r="B1429" s="38" t="s">
        <v>1658</v>
      </c>
      <c r="C1429" s="39" t="s">
        <v>4336</v>
      </c>
      <c r="D1429" s="38">
        <v>295.60000000000002</v>
      </c>
      <c r="E1429" s="38" t="s">
        <v>1658</v>
      </c>
      <c r="F1429" s="38">
        <v>413.84</v>
      </c>
    </row>
    <row r="1430" spans="1:6">
      <c r="A1430" s="38">
        <v>0.98</v>
      </c>
      <c r="B1430" s="38" t="s">
        <v>1658</v>
      </c>
      <c r="C1430" s="39" t="s">
        <v>4337</v>
      </c>
      <c r="D1430" s="38">
        <v>147.5</v>
      </c>
      <c r="E1430" s="38" t="s">
        <v>1658</v>
      </c>
      <c r="F1430" s="38">
        <v>144.55000000000001</v>
      </c>
    </row>
    <row r="1431" spans="1:6">
      <c r="A1431" s="38">
        <v>2.2000000000000002</v>
      </c>
      <c r="B1431" s="38" t="s">
        <v>237</v>
      </c>
      <c r="C1431" s="39" t="s">
        <v>1660</v>
      </c>
      <c r="D1431" s="38">
        <v>831.6</v>
      </c>
      <c r="E1431" s="38" t="s">
        <v>237</v>
      </c>
      <c r="F1431" s="38">
        <v>1829.52</v>
      </c>
    </row>
    <row r="1432" spans="1:6">
      <c r="B1432" s="38" t="s">
        <v>145</v>
      </c>
      <c r="C1432" s="39" t="s">
        <v>1546</v>
      </c>
      <c r="D1432" s="38" t="s">
        <v>85</v>
      </c>
      <c r="E1432" s="38" t="s">
        <v>145</v>
      </c>
      <c r="F1432" s="38">
        <v>2.5499999999999998</v>
      </c>
    </row>
    <row r="1434" spans="1:6">
      <c r="C1434" s="39" t="s">
        <v>495</v>
      </c>
      <c r="F1434" s="38">
        <v>2390.46</v>
      </c>
    </row>
    <row r="1435" spans="1:6">
      <c r="F1435" s="38" t="s">
        <v>52</v>
      </c>
    </row>
    <row r="1436" spans="1:6">
      <c r="C1436" s="39" t="s">
        <v>460</v>
      </c>
      <c r="F1436" s="38">
        <v>239.05</v>
      </c>
    </row>
    <row r="1437" spans="1:6" ht="31.5">
      <c r="B1437" s="38" t="s">
        <v>111</v>
      </c>
      <c r="C1437" s="39" t="s">
        <v>6445</v>
      </c>
    </row>
    <row r="1438" spans="1:6">
      <c r="C1438" s="39" t="s">
        <v>4319</v>
      </c>
    </row>
    <row r="1439" spans="1:6">
      <c r="C1439" s="39" t="s">
        <v>4996</v>
      </c>
    </row>
    <row r="1440" spans="1:6">
      <c r="C1440" s="39" t="s">
        <v>52</v>
      </c>
    </row>
    <row r="1441" spans="1:6">
      <c r="A1441" s="38">
        <v>1.34</v>
      </c>
      <c r="B1441" s="38" t="s">
        <v>39</v>
      </c>
      <c r="C1441" s="39" t="s">
        <v>4997</v>
      </c>
      <c r="D1441" s="38">
        <v>73.8</v>
      </c>
      <c r="E1441" s="38" t="s">
        <v>39</v>
      </c>
      <c r="F1441" s="38">
        <v>98.89</v>
      </c>
    </row>
    <row r="1442" spans="1:6">
      <c r="A1442" s="38">
        <v>0.5</v>
      </c>
      <c r="B1442" s="38" t="s">
        <v>237</v>
      </c>
      <c r="C1442" s="39" t="s">
        <v>1660</v>
      </c>
      <c r="D1442" s="38">
        <v>831.6</v>
      </c>
      <c r="E1442" s="38" t="s">
        <v>237</v>
      </c>
      <c r="F1442" s="38">
        <v>415.8</v>
      </c>
    </row>
    <row r="1443" spans="1:6">
      <c r="A1443" s="38">
        <v>0.5</v>
      </c>
      <c r="B1443" s="38" t="s">
        <v>237</v>
      </c>
      <c r="C1443" s="39" t="s">
        <v>304</v>
      </c>
      <c r="D1443" s="38">
        <v>679.8</v>
      </c>
      <c r="E1443" s="38" t="s">
        <v>237</v>
      </c>
      <c r="F1443" s="38">
        <v>339.9</v>
      </c>
    </row>
    <row r="1444" spans="1:6">
      <c r="A1444" s="38">
        <v>0.8</v>
      </c>
      <c r="B1444" s="38" t="s">
        <v>237</v>
      </c>
      <c r="C1444" s="39" t="s">
        <v>306</v>
      </c>
      <c r="D1444" s="38">
        <v>557.70000000000005</v>
      </c>
      <c r="E1444" s="38" t="s">
        <v>237</v>
      </c>
      <c r="F1444" s="38">
        <v>446.16</v>
      </c>
    </row>
    <row r="1445" spans="1:6">
      <c r="B1445" s="38" t="s">
        <v>145</v>
      </c>
      <c r="C1445" s="39" t="s">
        <v>1546</v>
      </c>
      <c r="D1445" s="38" t="s">
        <v>85</v>
      </c>
      <c r="E1445" s="38" t="s">
        <v>145</v>
      </c>
      <c r="F1445" s="38">
        <v>2.6</v>
      </c>
    </row>
    <row r="1446" spans="1:6">
      <c r="F1446" s="38" t="s">
        <v>52</v>
      </c>
    </row>
    <row r="1447" spans="1:6">
      <c r="C1447" s="39" t="s">
        <v>495</v>
      </c>
      <c r="F1447" s="38">
        <v>1303.3499999999999</v>
      </c>
    </row>
    <row r="1448" spans="1:6">
      <c r="F1448" s="38" t="s">
        <v>52</v>
      </c>
    </row>
    <row r="1449" spans="1:6">
      <c r="C1449" s="39" t="s">
        <v>460</v>
      </c>
      <c r="F1449" s="38">
        <v>130.34</v>
      </c>
    </row>
    <row r="1450" spans="1:6" ht="31.5">
      <c r="A1450" s="38">
        <v>29.5</v>
      </c>
      <c r="B1450" s="38" t="s">
        <v>111</v>
      </c>
      <c r="C1450" s="39" t="s">
        <v>4302</v>
      </c>
    </row>
    <row r="1453" spans="1:6">
      <c r="C1453" s="39" t="s">
        <v>52</v>
      </c>
      <c r="D1453" s="38" t="s">
        <v>52</v>
      </c>
    </row>
    <row r="1454" spans="1:6" ht="31.5">
      <c r="A1454" s="38">
        <v>10</v>
      </c>
      <c r="B1454" s="38" t="s">
        <v>425</v>
      </c>
      <c r="C1454" s="39" t="s">
        <v>4304</v>
      </c>
      <c r="D1454" s="38">
        <v>793</v>
      </c>
      <c r="E1454" s="38" t="s">
        <v>425</v>
      </c>
      <c r="F1454" s="38">
        <v>7930</v>
      </c>
    </row>
    <row r="1455" spans="1:6">
      <c r="A1455" s="38">
        <v>0.21</v>
      </c>
      <c r="B1455" s="38" t="s">
        <v>132</v>
      </c>
      <c r="C1455" s="39" t="s">
        <v>1575</v>
      </c>
      <c r="D1455" s="38">
        <v>4569.8900000000003</v>
      </c>
      <c r="E1455" s="38" t="s">
        <v>132</v>
      </c>
      <c r="F1455" s="38">
        <v>959.68</v>
      </c>
    </row>
    <row r="1456" spans="1:6">
      <c r="C1456" s="39" t="s">
        <v>1576</v>
      </c>
      <c r="D1456" s="38" t="s">
        <v>85</v>
      </c>
      <c r="F1456" s="38" t="s">
        <v>85</v>
      </c>
    </row>
    <row r="1457" spans="1:6">
      <c r="A1457" s="38">
        <v>1.1000000000000001</v>
      </c>
      <c r="B1457" s="38" t="s">
        <v>237</v>
      </c>
      <c r="C1457" s="39" t="s">
        <v>345</v>
      </c>
      <c r="D1457" s="38">
        <v>1041.7</v>
      </c>
      <c r="E1457" s="38" t="s">
        <v>237</v>
      </c>
      <c r="F1457" s="38">
        <v>1145.8699999999999</v>
      </c>
    </row>
    <row r="1458" spans="1:6">
      <c r="A1458" s="38">
        <v>1.1000000000000001</v>
      </c>
      <c r="B1458" s="38" t="s">
        <v>237</v>
      </c>
      <c r="C1458" s="39" t="s">
        <v>302</v>
      </c>
      <c r="D1458" s="38">
        <v>972.4</v>
      </c>
      <c r="E1458" s="38" t="s">
        <v>237</v>
      </c>
      <c r="F1458" s="38">
        <v>1069.6400000000001</v>
      </c>
    </row>
    <row r="1459" spans="1:6">
      <c r="A1459" s="38">
        <v>2.2000000000000002</v>
      </c>
      <c r="B1459" s="38" t="s">
        <v>237</v>
      </c>
      <c r="C1459" s="39" t="s">
        <v>304</v>
      </c>
      <c r="D1459" s="38">
        <v>679.8</v>
      </c>
      <c r="E1459" s="38" t="s">
        <v>237</v>
      </c>
      <c r="F1459" s="38">
        <v>1495.56</v>
      </c>
    </row>
    <row r="1460" spans="1:6">
      <c r="A1460" s="38">
        <v>2.2000000000000002</v>
      </c>
      <c r="B1460" s="38" t="s">
        <v>237</v>
      </c>
      <c r="C1460" s="39" t="s">
        <v>306</v>
      </c>
      <c r="D1460" s="38">
        <v>557.70000000000005</v>
      </c>
      <c r="E1460" s="38" t="s">
        <v>237</v>
      </c>
      <c r="F1460" s="38">
        <v>1226.94</v>
      </c>
    </row>
    <row r="1461" spans="1:6">
      <c r="A1461" s="38">
        <v>20</v>
      </c>
      <c r="B1461" s="38" t="s">
        <v>39</v>
      </c>
      <c r="C1461" s="39" t="s">
        <v>123</v>
      </c>
      <c r="D1461" s="38">
        <v>6040</v>
      </c>
      <c r="E1461" s="38" t="s">
        <v>122</v>
      </c>
      <c r="F1461" s="38">
        <v>120.8</v>
      </c>
    </row>
    <row r="1462" spans="1:6">
      <c r="A1462" s="38">
        <v>2</v>
      </c>
      <c r="B1462" s="38" t="s">
        <v>39</v>
      </c>
      <c r="C1462" s="39" t="s">
        <v>4296</v>
      </c>
      <c r="D1462" s="38">
        <v>36.1</v>
      </c>
      <c r="E1462" s="38" t="s">
        <v>39</v>
      </c>
      <c r="F1462" s="38">
        <v>72.2</v>
      </c>
    </row>
    <row r="1463" spans="1:6">
      <c r="A1463" s="38">
        <v>1.6</v>
      </c>
      <c r="B1463" s="38" t="s">
        <v>237</v>
      </c>
      <c r="C1463" s="39" t="s">
        <v>302</v>
      </c>
      <c r="D1463" s="38">
        <v>972.4</v>
      </c>
      <c r="E1463" s="38" t="s">
        <v>237</v>
      </c>
      <c r="F1463" s="38">
        <v>1555.84</v>
      </c>
    </row>
    <row r="1464" spans="1:6">
      <c r="A1464" s="38">
        <v>0.5</v>
      </c>
      <c r="B1464" s="38" t="s">
        <v>237</v>
      </c>
      <c r="C1464" s="39" t="s">
        <v>304</v>
      </c>
      <c r="D1464" s="38">
        <v>679.8</v>
      </c>
      <c r="E1464" s="38" t="s">
        <v>237</v>
      </c>
      <c r="F1464" s="38">
        <v>339.9</v>
      </c>
    </row>
    <row r="1465" spans="1:6">
      <c r="A1465" s="38">
        <v>1.1000000000000001</v>
      </c>
      <c r="B1465" s="38" t="s">
        <v>237</v>
      </c>
      <c r="C1465" s="39" t="s">
        <v>306</v>
      </c>
      <c r="D1465" s="38">
        <v>557.70000000000005</v>
      </c>
      <c r="E1465" s="38" t="s">
        <v>237</v>
      </c>
      <c r="F1465" s="38">
        <v>613.47</v>
      </c>
    </row>
    <row r="1466" spans="1:6">
      <c r="B1466" s="38" t="s">
        <v>145</v>
      </c>
      <c r="C1466" s="39" t="s">
        <v>146</v>
      </c>
      <c r="D1466" s="38">
        <v>0</v>
      </c>
      <c r="E1466" s="38" t="s">
        <v>145</v>
      </c>
      <c r="F1466" s="38">
        <v>0</v>
      </c>
    </row>
    <row r="1467" spans="1:6">
      <c r="F1467" s="38" t="s">
        <v>52</v>
      </c>
    </row>
    <row r="1468" spans="1:6">
      <c r="C1468" s="39" t="s">
        <v>495</v>
      </c>
      <c r="F1468" s="38">
        <v>16529.900000000001</v>
      </c>
    </row>
    <row r="1469" spans="1:6">
      <c r="F1469" s="38" t="s">
        <v>52</v>
      </c>
    </row>
    <row r="1470" spans="1:6">
      <c r="C1470" s="39" t="s">
        <v>460</v>
      </c>
      <c r="F1470" s="38">
        <v>1652.99</v>
      </c>
    </row>
    <row r="1471" spans="1:6">
      <c r="F1471" s="38" t="s">
        <v>89</v>
      </c>
    </row>
    <row r="1472" spans="1:6">
      <c r="A1472" s="38">
        <v>29.4</v>
      </c>
      <c r="B1472" s="38" t="s">
        <v>111</v>
      </c>
      <c r="C1472" s="39" t="s">
        <v>4310</v>
      </c>
    </row>
    <row r="1473" spans="1:6">
      <c r="C1473" s="39" t="s">
        <v>4311</v>
      </c>
    </row>
    <row r="1474" spans="1:6">
      <c r="C1474" s="39" t="s">
        <v>52</v>
      </c>
    </row>
    <row r="1475" spans="1:6">
      <c r="A1475" s="38">
        <v>1.86</v>
      </c>
      <c r="B1475" s="38" t="s">
        <v>425</v>
      </c>
      <c r="C1475" s="39" t="s">
        <v>4312</v>
      </c>
      <c r="D1475" s="38">
        <v>793</v>
      </c>
      <c r="E1475" s="38" t="s">
        <v>425</v>
      </c>
      <c r="F1475" s="38">
        <v>1474.98</v>
      </c>
    </row>
    <row r="1476" spans="1:6">
      <c r="A1476" s="38">
        <v>0.4</v>
      </c>
      <c r="B1476" s="38" t="s">
        <v>39</v>
      </c>
      <c r="C1476" s="39" t="s">
        <v>4296</v>
      </c>
      <c r="D1476" s="38">
        <v>36.1</v>
      </c>
      <c r="E1476" s="38" t="s">
        <v>39</v>
      </c>
      <c r="F1476" s="38">
        <v>14.44</v>
      </c>
    </row>
    <row r="1477" spans="1:6">
      <c r="A1477" s="38">
        <v>0.02</v>
      </c>
      <c r="B1477" s="38" t="s">
        <v>132</v>
      </c>
      <c r="C1477" s="39" t="s">
        <v>1592</v>
      </c>
      <c r="D1477" s="38">
        <v>6019.49</v>
      </c>
      <c r="E1477" s="38" t="s">
        <v>132</v>
      </c>
      <c r="F1477" s="38">
        <v>120.39</v>
      </c>
    </row>
    <row r="1478" spans="1:6">
      <c r="A1478" s="38">
        <v>1</v>
      </c>
      <c r="B1478" s="38" t="s">
        <v>237</v>
      </c>
      <c r="C1478" s="39" t="s">
        <v>345</v>
      </c>
      <c r="D1478" s="38">
        <v>1041.7</v>
      </c>
      <c r="E1478" s="38" t="s">
        <v>237</v>
      </c>
      <c r="F1478" s="38">
        <v>1041.7</v>
      </c>
    </row>
    <row r="1479" spans="1:6">
      <c r="A1479" s="38">
        <v>1</v>
      </c>
      <c r="B1479" s="38" t="s">
        <v>237</v>
      </c>
      <c r="C1479" s="39" t="s">
        <v>1593</v>
      </c>
      <c r="D1479" s="38">
        <v>679.8</v>
      </c>
      <c r="E1479" s="38" t="s">
        <v>237</v>
      </c>
      <c r="F1479" s="38">
        <v>679.8</v>
      </c>
    </row>
    <row r="1480" spans="1:6">
      <c r="B1480" s="38" t="s">
        <v>145</v>
      </c>
      <c r="C1480" s="39" t="s">
        <v>146</v>
      </c>
      <c r="E1480" s="38" t="s">
        <v>145</v>
      </c>
      <c r="F1480" s="38">
        <v>0</v>
      </c>
    </row>
    <row r="1481" spans="1:6">
      <c r="F1481" s="38" t="s">
        <v>52</v>
      </c>
    </row>
    <row r="1482" spans="1:6">
      <c r="C1482" s="39" t="s">
        <v>1594</v>
      </c>
      <c r="F1482" s="38">
        <v>3331.31</v>
      </c>
    </row>
    <row r="1483" spans="1:6">
      <c r="F1483" s="38" t="s">
        <v>52</v>
      </c>
    </row>
    <row r="1484" spans="1:6">
      <c r="C1484" s="39" t="s">
        <v>460</v>
      </c>
      <c r="F1484" s="38">
        <v>1791.03</v>
      </c>
    </row>
    <row r="1485" spans="1:6">
      <c r="F1485" s="38" t="s">
        <v>89</v>
      </c>
    </row>
    <row r="1486" spans="1:6">
      <c r="C1486" s="39" t="s">
        <v>6446</v>
      </c>
    </row>
    <row r="1487" spans="1:6">
      <c r="C1487" s="39" t="s">
        <v>4564</v>
      </c>
    </row>
    <row r="1488" spans="1:6">
      <c r="C1488" s="39" t="s">
        <v>4566</v>
      </c>
    </row>
    <row r="1489" spans="1:6">
      <c r="C1489" s="39" t="s">
        <v>4567</v>
      </c>
    </row>
    <row r="1490" spans="1:6">
      <c r="C1490" s="39" t="s">
        <v>52</v>
      </c>
      <c r="D1490" s="38" t="s">
        <v>52</v>
      </c>
    </row>
    <row r="1491" spans="1:6">
      <c r="A1491" s="38">
        <v>8</v>
      </c>
      <c r="B1491" s="38" t="s">
        <v>1572</v>
      </c>
      <c r="C1491" s="39" t="s">
        <v>4569</v>
      </c>
      <c r="D1491" s="38">
        <v>4.0999999999999996</v>
      </c>
      <c r="E1491" s="38" t="s">
        <v>729</v>
      </c>
      <c r="F1491" s="38">
        <v>32.799999999999997</v>
      </c>
    </row>
    <row r="1492" spans="1:6">
      <c r="A1492" s="38">
        <v>8</v>
      </c>
      <c r="B1492" s="38" t="s">
        <v>1572</v>
      </c>
      <c r="C1492" s="39" t="s">
        <v>4570</v>
      </c>
      <c r="D1492" s="38">
        <v>3.69</v>
      </c>
      <c r="E1492" s="38" t="s">
        <v>729</v>
      </c>
      <c r="F1492" s="38">
        <v>29.52</v>
      </c>
    </row>
    <row r="1493" spans="1:6">
      <c r="A1493" s="38">
        <v>8</v>
      </c>
      <c r="B1493" s="38" t="s">
        <v>1572</v>
      </c>
      <c r="C1493" s="39" t="s">
        <v>4571</v>
      </c>
      <c r="D1493" s="38">
        <v>4.0999999999999996</v>
      </c>
      <c r="E1493" s="38" t="s">
        <v>729</v>
      </c>
      <c r="F1493" s="38">
        <v>32.799999999999997</v>
      </c>
    </row>
    <row r="1494" spans="1:6">
      <c r="A1494" s="38">
        <v>0.75</v>
      </c>
      <c r="B1494" s="38" t="s">
        <v>39</v>
      </c>
      <c r="C1494" s="39" t="s">
        <v>4572</v>
      </c>
      <c r="D1494" s="38">
        <v>176.4</v>
      </c>
      <c r="E1494" s="38" t="s">
        <v>729</v>
      </c>
      <c r="F1494" s="38">
        <v>132.30000000000001</v>
      </c>
    </row>
    <row r="1495" spans="1:6">
      <c r="A1495" s="38">
        <v>2.25</v>
      </c>
      <c r="B1495" s="38" t="s">
        <v>4573</v>
      </c>
      <c r="C1495" s="39" t="s">
        <v>4574</v>
      </c>
      <c r="D1495" s="38">
        <v>140.41</v>
      </c>
      <c r="E1495" s="38" t="s">
        <v>4573</v>
      </c>
      <c r="F1495" s="38">
        <v>315.92</v>
      </c>
    </row>
    <row r="1496" spans="1:6">
      <c r="A1496" s="38">
        <v>4.5</v>
      </c>
      <c r="B1496" s="38" t="s">
        <v>4573</v>
      </c>
      <c r="C1496" s="39" t="s">
        <v>4575</v>
      </c>
      <c r="D1496" s="38">
        <v>65</v>
      </c>
      <c r="E1496" s="38" t="s">
        <v>4573</v>
      </c>
      <c r="F1496" s="38">
        <v>292.5</v>
      </c>
    </row>
    <row r="1497" spans="1:6">
      <c r="A1497" s="38">
        <v>6</v>
      </c>
      <c r="B1497" s="38" t="s">
        <v>1572</v>
      </c>
      <c r="C1497" s="39" t="s">
        <v>4577</v>
      </c>
      <c r="D1497" s="38">
        <v>8</v>
      </c>
      <c r="E1497" s="38" t="s">
        <v>729</v>
      </c>
      <c r="F1497" s="38">
        <v>48</v>
      </c>
    </row>
    <row r="1498" spans="1:6">
      <c r="A1498" s="38">
        <v>6</v>
      </c>
      <c r="B1498" s="38" t="s">
        <v>1572</v>
      </c>
      <c r="C1498" s="39" t="s">
        <v>4578</v>
      </c>
      <c r="D1498" s="38">
        <v>8.61</v>
      </c>
      <c r="E1498" s="38" t="s">
        <v>729</v>
      </c>
      <c r="F1498" s="38">
        <v>51.66</v>
      </c>
    </row>
    <row r="1499" spans="1:6">
      <c r="A1499" s="38">
        <v>4</v>
      </c>
      <c r="B1499" s="38" t="s">
        <v>1572</v>
      </c>
      <c r="C1499" s="39" t="s">
        <v>4579</v>
      </c>
      <c r="D1499" s="38">
        <v>8.61</v>
      </c>
      <c r="E1499" s="38" t="s">
        <v>729</v>
      </c>
      <c r="F1499" s="38">
        <v>34.44</v>
      </c>
    </row>
    <row r="1500" spans="1:6">
      <c r="A1500" s="38">
        <v>300</v>
      </c>
      <c r="B1500" s="38" t="s">
        <v>4580</v>
      </c>
      <c r="C1500" s="39" t="s">
        <v>4581</v>
      </c>
      <c r="D1500" s="38">
        <v>30</v>
      </c>
      <c r="E1500" s="38" t="s">
        <v>4582</v>
      </c>
      <c r="F1500" s="38">
        <v>90</v>
      </c>
    </row>
    <row r="1501" spans="1:6">
      <c r="A1501" s="38">
        <v>300</v>
      </c>
      <c r="B1501" s="38" t="s">
        <v>4580</v>
      </c>
      <c r="C1501" s="39" t="s">
        <v>4583</v>
      </c>
      <c r="D1501" s="38">
        <v>44.99</v>
      </c>
      <c r="E1501" s="38" t="s">
        <v>4584</v>
      </c>
      <c r="F1501" s="38">
        <v>26.99</v>
      </c>
    </row>
    <row r="1502" spans="1:6">
      <c r="A1502" s="38">
        <v>1.5</v>
      </c>
      <c r="B1502" s="38" t="s">
        <v>39</v>
      </c>
      <c r="C1502" s="39" t="s">
        <v>4585</v>
      </c>
      <c r="D1502" s="38">
        <v>20.95</v>
      </c>
      <c r="E1502" s="38" t="s">
        <v>39</v>
      </c>
      <c r="F1502" s="38">
        <v>31.43</v>
      </c>
    </row>
    <row r="1503" spans="1:6">
      <c r="A1503" s="38">
        <v>2.25</v>
      </c>
      <c r="B1503" s="38" t="s">
        <v>4573</v>
      </c>
      <c r="C1503" s="39" t="s">
        <v>4586</v>
      </c>
      <c r="D1503" s="38">
        <v>212.41</v>
      </c>
      <c r="E1503" s="38" t="s">
        <v>4573</v>
      </c>
      <c r="F1503" s="38">
        <v>477.92</v>
      </c>
    </row>
    <row r="1504" spans="1:6">
      <c r="A1504" s="38">
        <v>0.75</v>
      </c>
      <c r="B1504" s="38" t="s">
        <v>4573</v>
      </c>
      <c r="C1504" s="39" t="s">
        <v>4587</v>
      </c>
      <c r="D1504" s="38">
        <v>205.21</v>
      </c>
      <c r="E1504" s="38" t="s">
        <v>4573</v>
      </c>
      <c r="F1504" s="38">
        <v>153.91</v>
      </c>
    </row>
    <row r="1505" spans="1:6">
      <c r="A1505" s="38">
        <v>2.25</v>
      </c>
      <c r="B1505" s="38" t="s">
        <v>4573</v>
      </c>
      <c r="C1505" s="39" t="s">
        <v>4588</v>
      </c>
      <c r="D1505" s="38">
        <v>185.21</v>
      </c>
      <c r="E1505" s="38" t="s">
        <v>4573</v>
      </c>
      <c r="F1505" s="38">
        <v>416.72</v>
      </c>
    </row>
    <row r="1506" spans="1:6">
      <c r="A1506" s="38">
        <v>500</v>
      </c>
      <c r="B1506" s="38" t="s">
        <v>4580</v>
      </c>
      <c r="C1506" s="39" t="s">
        <v>4589</v>
      </c>
      <c r="D1506" s="38">
        <v>52.25</v>
      </c>
      <c r="E1506" s="38" t="s">
        <v>39</v>
      </c>
      <c r="F1506" s="38">
        <v>26.13</v>
      </c>
    </row>
    <row r="1507" spans="1:6">
      <c r="A1507" s="38">
        <v>1</v>
      </c>
      <c r="B1507" s="38" t="s">
        <v>1572</v>
      </c>
      <c r="C1507" s="39" t="s">
        <v>4591</v>
      </c>
      <c r="D1507" s="38">
        <v>131.21</v>
      </c>
      <c r="E1507" s="38" t="s">
        <v>4592</v>
      </c>
      <c r="F1507" s="38">
        <v>131.21</v>
      </c>
    </row>
    <row r="1508" spans="1:6">
      <c r="A1508" s="38">
        <v>1</v>
      </c>
      <c r="B1508" s="38" t="s">
        <v>1572</v>
      </c>
      <c r="C1508" s="39" t="s">
        <v>4594</v>
      </c>
      <c r="D1508" s="38">
        <v>12.3</v>
      </c>
      <c r="E1508" s="38" t="s">
        <v>4592</v>
      </c>
      <c r="F1508" s="38">
        <v>12.3</v>
      </c>
    </row>
    <row r="1509" spans="1:6">
      <c r="A1509" s="38">
        <v>4</v>
      </c>
      <c r="B1509" s="38" t="s">
        <v>1572</v>
      </c>
      <c r="C1509" s="39" t="s">
        <v>4595</v>
      </c>
      <c r="D1509" s="38">
        <v>831.6</v>
      </c>
      <c r="E1509" s="38" t="s">
        <v>729</v>
      </c>
      <c r="F1509" s="38">
        <v>3326.4</v>
      </c>
    </row>
    <row r="1510" spans="1:6">
      <c r="A1510" s="38">
        <v>2</v>
      </c>
      <c r="B1510" s="38" t="s">
        <v>1572</v>
      </c>
      <c r="C1510" s="39" t="s">
        <v>4596</v>
      </c>
      <c r="D1510" s="38">
        <v>805.2</v>
      </c>
      <c r="E1510" s="38" t="s">
        <v>729</v>
      </c>
      <c r="F1510" s="38">
        <v>1610.4</v>
      </c>
    </row>
    <row r="1511" spans="1:6">
      <c r="A1511" s="38">
        <v>2</v>
      </c>
      <c r="B1511" s="38" t="s">
        <v>1572</v>
      </c>
      <c r="C1511" s="39" t="s">
        <v>4597</v>
      </c>
      <c r="D1511" s="38">
        <v>557.70000000000005</v>
      </c>
      <c r="E1511" s="38" t="s">
        <v>729</v>
      </c>
      <c r="F1511" s="38">
        <v>1115.4000000000001</v>
      </c>
    </row>
    <row r="1512" spans="1:6">
      <c r="C1512" s="39" t="s">
        <v>4599</v>
      </c>
      <c r="F1512" s="38">
        <v>20</v>
      </c>
    </row>
    <row r="1513" spans="1:6">
      <c r="F1513" s="1174" t="s">
        <v>4600</v>
      </c>
    </row>
    <row r="1514" spans="1:6">
      <c r="C1514" s="39" t="s">
        <v>6447</v>
      </c>
      <c r="F1514" s="38">
        <v>8408.75</v>
      </c>
    </row>
    <row r="1515" spans="1:6">
      <c r="F1515" s="38" t="s">
        <v>89</v>
      </c>
    </row>
    <row r="1516" spans="1:6">
      <c r="C1516" s="39" t="s">
        <v>2137</v>
      </c>
      <c r="F1516" s="38">
        <v>1483.02</v>
      </c>
    </row>
    <row r="1517" spans="1:6">
      <c r="C1517" s="39" t="s">
        <v>4305</v>
      </c>
      <c r="E1517" s="38" t="s">
        <v>4306</v>
      </c>
    </row>
    <row r="1520" spans="1:6">
      <c r="A1520" s="38">
        <v>10</v>
      </c>
      <c r="B1520" s="38" t="s">
        <v>425</v>
      </c>
      <c r="C1520" s="39" t="s">
        <v>6448</v>
      </c>
      <c r="D1520" s="38">
        <v>421.3</v>
      </c>
      <c r="E1520" s="38" t="s">
        <v>425</v>
      </c>
      <c r="F1520" s="38">
        <v>4213</v>
      </c>
    </row>
    <row r="1521" spans="1:6">
      <c r="A1521" s="38">
        <v>0.21</v>
      </c>
      <c r="B1521" s="38" t="s">
        <v>132</v>
      </c>
      <c r="C1521" s="39" t="s">
        <v>1575</v>
      </c>
      <c r="D1521" s="38">
        <v>4569.8900000000003</v>
      </c>
      <c r="E1521" s="38" t="s">
        <v>132</v>
      </c>
      <c r="F1521" s="38">
        <v>959.68</v>
      </c>
    </row>
    <row r="1522" spans="1:6">
      <c r="A1522" s="38">
        <v>1.1000000000000001</v>
      </c>
      <c r="B1522" s="38" t="s">
        <v>237</v>
      </c>
      <c r="C1522" s="39" t="s">
        <v>345</v>
      </c>
      <c r="D1522" s="38">
        <v>1041.7</v>
      </c>
      <c r="E1522" s="38" t="s">
        <v>237</v>
      </c>
      <c r="F1522" s="38">
        <v>1145.8699999999999</v>
      </c>
    </row>
    <row r="1523" spans="1:6">
      <c r="A1523" s="38">
        <v>1.1000000000000001</v>
      </c>
      <c r="B1523" s="38" t="s">
        <v>237</v>
      </c>
      <c r="C1523" s="39" t="s">
        <v>302</v>
      </c>
      <c r="D1523" s="38">
        <v>972.4</v>
      </c>
      <c r="E1523" s="38" t="s">
        <v>237</v>
      </c>
      <c r="F1523" s="38">
        <v>1069.6400000000001</v>
      </c>
    </row>
    <row r="1524" spans="1:6">
      <c r="A1524" s="38">
        <v>2.2000000000000002</v>
      </c>
      <c r="B1524" s="38" t="s">
        <v>237</v>
      </c>
      <c r="C1524" s="39" t="s">
        <v>304</v>
      </c>
      <c r="D1524" s="38">
        <v>679.8</v>
      </c>
      <c r="E1524" s="38" t="s">
        <v>237</v>
      </c>
      <c r="F1524" s="38">
        <v>1495.56</v>
      </c>
    </row>
    <row r="1525" spans="1:6">
      <c r="A1525" s="38">
        <v>2.2000000000000002</v>
      </c>
      <c r="B1525" s="38" t="s">
        <v>237</v>
      </c>
      <c r="C1525" s="39" t="s">
        <v>306</v>
      </c>
      <c r="D1525" s="38">
        <v>557.70000000000005</v>
      </c>
      <c r="E1525" s="38" t="s">
        <v>237</v>
      </c>
      <c r="F1525" s="38">
        <v>1226.94</v>
      </c>
    </row>
    <row r="1526" spans="1:6">
      <c r="A1526" s="38">
        <v>20</v>
      </c>
      <c r="B1526" s="38" t="s">
        <v>39</v>
      </c>
      <c r="C1526" s="39" t="s">
        <v>123</v>
      </c>
      <c r="D1526" s="38">
        <v>6040</v>
      </c>
      <c r="E1526" s="38" t="s">
        <v>122</v>
      </c>
      <c r="F1526" s="38">
        <v>120.8</v>
      </c>
    </row>
    <row r="1527" spans="1:6">
      <c r="A1527" s="38">
        <v>2</v>
      </c>
      <c r="B1527" s="38" t="s">
        <v>39</v>
      </c>
      <c r="C1527" s="39" t="s">
        <v>4303</v>
      </c>
      <c r="D1527" s="38">
        <v>36.1</v>
      </c>
      <c r="E1527" s="38" t="s">
        <v>39</v>
      </c>
      <c r="F1527" s="38">
        <v>72.2</v>
      </c>
    </row>
    <row r="1528" spans="1:6">
      <c r="A1528" s="38">
        <v>1.6</v>
      </c>
      <c r="B1528" s="38" t="s">
        <v>237</v>
      </c>
      <c r="C1528" s="39" t="s">
        <v>302</v>
      </c>
      <c r="D1528" s="38">
        <v>972.4</v>
      </c>
      <c r="E1528" s="38" t="s">
        <v>237</v>
      </c>
      <c r="F1528" s="38">
        <v>1555.84</v>
      </c>
    </row>
    <row r="1529" spans="1:6">
      <c r="A1529" s="38">
        <v>0.5</v>
      </c>
      <c r="B1529" s="38" t="s">
        <v>237</v>
      </c>
      <c r="C1529" s="39" t="s">
        <v>304</v>
      </c>
      <c r="D1529" s="38">
        <v>679.8</v>
      </c>
      <c r="E1529" s="38" t="s">
        <v>237</v>
      </c>
      <c r="F1529" s="38">
        <v>339.9</v>
      </c>
    </row>
    <row r="1530" spans="1:6">
      <c r="A1530" s="38">
        <v>1.1000000000000001</v>
      </c>
      <c r="B1530" s="38" t="s">
        <v>237</v>
      </c>
      <c r="C1530" s="39" t="s">
        <v>306</v>
      </c>
      <c r="D1530" s="38">
        <v>557.70000000000005</v>
      </c>
      <c r="E1530" s="38" t="s">
        <v>237</v>
      </c>
      <c r="F1530" s="38">
        <v>613.47</v>
      </c>
    </row>
    <row r="1531" spans="1:6">
      <c r="B1531" s="38" t="s">
        <v>145</v>
      </c>
      <c r="C1531" s="39" t="s">
        <v>146</v>
      </c>
      <c r="E1531" s="38" t="s">
        <v>145</v>
      </c>
      <c r="F1531" s="38">
        <v>0</v>
      </c>
    </row>
    <row r="1532" spans="1:6">
      <c r="A1532" s="38">
        <v>465</v>
      </c>
    </row>
    <row r="1533" spans="1:6">
      <c r="C1533" s="39" t="s">
        <v>495</v>
      </c>
      <c r="F1533" s="38">
        <v>12812.9</v>
      </c>
    </row>
    <row r="1534" spans="1:6">
      <c r="F1534" s="38" t="s">
        <v>52</v>
      </c>
    </row>
    <row r="1535" spans="1:6">
      <c r="C1535" s="39" t="s">
        <v>460</v>
      </c>
      <c r="F1535" s="38">
        <v>1281.29</v>
      </c>
    </row>
    <row r="1536" spans="1:6" ht="31.5">
      <c r="C1536" s="39" t="s">
        <v>4292</v>
      </c>
    </row>
    <row r="1539" spans="1:6">
      <c r="A1539" s="38">
        <v>10</v>
      </c>
      <c r="B1539" s="38" t="s">
        <v>425</v>
      </c>
      <c r="C1539" s="39" t="s">
        <v>6449</v>
      </c>
      <c r="D1539" s="38">
        <v>653</v>
      </c>
      <c r="E1539" s="38" t="s">
        <v>425</v>
      </c>
      <c r="F1539" s="38">
        <v>6530</v>
      </c>
    </row>
    <row r="1540" spans="1:6">
      <c r="A1540" s="38">
        <v>0.21</v>
      </c>
      <c r="B1540" s="38" t="s">
        <v>132</v>
      </c>
      <c r="C1540" s="39" t="s">
        <v>1575</v>
      </c>
      <c r="D1540" s="38">
        <v>4569.8900000000003</v>
      </c>
      <c r="E1540" s="38" t="s">
        <v>132</v>
      </c>
      <c r="F1540" s="38">
        <v>959.68</v>
      </c>
    </row>
    <row r="1541" spans="1:6">
      <c r="A1541" s="38">
        <v>1.1000000000000001</v>
      </c>
      <c r="B1541" s="38" t="s">
        <v>237</v>
      </c>
      <c r="C1541" s="39" t="s">
        <v>345</v>
      </c>
      <c r="D1541" s="38">
        <v>1041.7</v>
      </c>
      <c r="E1541" s="38" t="s">
        <v>237</v>
      </c>
      <c r="F1541" s="38">
        <v>1145.8699999999999</v>
      </c>
    </row>
    <row r="1542" spans="1:6">
      <c r="A1542" s="38">
        <v>1.1000000000000001</v>
      </c>
      <c r="B1542" s="38" t="s">
        <v>237</v>
      </c>
      <c r="C1542" s="39" t="s">
        <v>302</v>
      </c>
      <c r="D1542" s="38">
        <v>972.4</v>
      </c>
      <c r="E1542" s="38" t="s">
        <v>237</v>
      </c>
      <c r="F1542" s="38">
        <v>1069.6400000000001</v>
      </c>
    </row>
    <row r="1543" spans="1:6">
      <c r="A1543" s="38">
        <v>2.2000000000000002</v>
      </c>
      <c r="B1543" s="38" t="s">
        <v>237</v>
      </c>
      <c r="C1543" s="39" t="s">
        <v>304</v>
      </c>
      <c r="D1543" s="38">
        <v>679.8</v>
      </c>
      <c r="E1543" s="38" t="s">
        <v>237</v>
      </c>
      <c r="F1543" s="38">
        <v>1495.56</v>
      </c>
    </row>
    <row r="1544" spans="1:6">
      <c r="A1544" s="38">
        <v>2.2000000000000002</v>
      </c>
      <c r="B1544" s="38" t="s">
        <v>237</v>
      </c>
      <c r="C1544" s="39" t="s">
        <v>306</v>
      </c>
      <c r="D1544" s="38">
        <v>557.70000000000005</v>
      </c>
      <c r="E1544" s="38" t="s">
        <v>237</v>
      </c>
      <c r="F1544" s="38">
        <v>1226.94</v>
      </c>
    </row>
    <row r="1545" spans="1:6">
      <c r="A1545" s="38">
        <v>20</v>
      </c>
      <c r="B1545" s="38" t="s">
        <v>39</v>
      </c>
      <c r="C1545" s="39" t="s">
        <v>123</v>
      </c>
      <c r="D1545" s="38">
        <v>6040</v>
      </c>
      <c r="E1545" s="38" t="s">
        <v>122</v>
      </c>
      <c r="F1545" s="38">
        <v>120.8</v>
      </c>
    </row>
    <row r="1546" spans="1:6">
      <c r="A1546" s="38">
        <v>2</v>
      </c>
      <c r="B1546" s="38" t="s">
        <v>39</v>
      </c>
      <c r="C1546" s="39" t="s">
        <v>4297</v>
      </c>
      <c r="D1546" s="38">
        <v>24.93</v>
      </c>
      <c r="E1546" s="38" t="s">
        <v>39</v>
      </c>
      <c r="F1546" s="38">
        <v>49.86</v>
      </c>
    </row>
    <row r="1547" spans="1:6">
      <c r="A1547" s="38">
        <v>1.6</v>
      </c>
      <c r="B1547" s="38" t="s">
        <v>237</v>
      </c>
      <c r="C1547" s="39" t="s">
        <v>302</v>
      </c>
      <c r="D1547" s="38">
        <v>972.4</v>
      </c>
      <c r="E1547" s="38" t="s">
        <v>237</v>
      </c>
      <c r="F1547" s="38">
        <v>1555.84</v>
      </c>
    </row>
    <row r="1548" spans="1:6">
      <c r="A1548" s="38">
        <v>0.5</v>
      </c>
      <c r="B1548" s="38" t="s">
        <v>237</v>
      </c>
      <c r="C1548" s="39" t="s">
        <v>304</v>
      </c>
      <c r="D1548" s="38">
        <v>679.8</v>
      </c>
      <c r="E1548" s="38" t="s">
        <v>237</v>
      </c>
      <c r="F1548" s="38">
        <v>339.9</v>
      </c>
    </row>
    <row r="1549" spans="1:6">
      <c r="A1549" s="38">
        <v>1.1000000000000001</v>
      </c>
      <c r="B1549" s="38" t="s">
        <v>237</v>
      </c>
      <c r="C1549" s="39" t="s">
        <v>306</v>
      </c>
      <c r="D1549" s="38">
        <v>557.70000000000005</v>
      </c>
      <c r="E1549" s="38" t="s">
        <v>237</v>
      </c>
      <c r="F1549" s="38">
        <v>613.47</v>
      </c>
    </row>
    <row r="1550" spans="1:6">
      <c r="B1550" s="38" t="s">
        <v>145</v>
      </c>
      <c r="C1550" s="39" t="s">
        <v>146</v>
      </c>
      <c r="E1550" s="38" t="s">
        <v>145</v>
      </c>
      <c r="F1550" s="38">
        <v>4.5999999999999996</v>
      </c>
    </row>
    <row r="1551" spans="1:6">
      <c r="F1551" s="38" t="s">
        <v>52</v>
      </c>
    </row>
    <row r="1552" spans="1:6">
      <c r="C1552" s="39" t="s">
        <v>495</v>
      </c>
      <c r="F1552" s="38">
        <v>15112.16</v>
      </c>
    </row>
    <row r="1553" spans="1:6">
      <c r="F1553" s="38" t="s">
        <v>52</v>
      </c>
    </row>
    <row r="1554" spans="1:6">
      <c r="C1554" s="39" t="s">
        <v>460</v>
      </c>
      <c r="F1554" s="38">
        <v>1511.22</v>
      </c>
    </row>
    <row r="1555" spans="1:6">
      <c r="C1555" s="44" t="s">
        <v>4338</v>
      </c>
    </row>
    <row r="1556" spans="1:6">
      <c r="A1556" s="38">
        <v>10</v>
      </c>
      <c r="B1556" s="38" t="s">
        <v>425</v>
      </c>
      <c r="C1556" s="39" t="s">
        <v>4339</v>
      </c>
      <c r="D1556" s="38">
        <v>506</v>
      </c>
      <c r="E1556" s="38" t="s">
        <v>425</v>
      </c>
      <c r="F1556" s="38">
        <v>5060</v>
      </c>
    </row>
    <row r="1557" spans="1:6">
      <c r="A1557" s="38">
        <v>0.21</v>
      </c>
      <c r="B1557" s="38" t="s">
        <v>132</v>
      </c>
      <c r="C1557" s="39" t="s">
        <v>1575</v>
      </c>
      <c r="D1557" s="38">
        <v>4569.8900000000003</v>
      </c>
      <c r="E1557" s="38" t="s">
        <v>132</v>
      </c>
      <c r="F1557" s="38">
        <v>959.68</v>
      </c>
    </row>
    <row r="1558" spans="1:6">
      <c r="A1558" s="38">
        <v>10</v>
      </c>
      <c r="C1558" s="39" t="s">
        <v>4342</v>
      </c>
      <c r="D1558" s="38">
        <v>327.55</v>
      </c>
      <c r="F1558" s="38">
        <v>3275.5</v>
      </c>
    </row>
    <row r="1559" spans="1:6">
      <c r="A1559" s="38">
        <v>1.1000000000000001</v>
      </c>
      <c r="B1559" s="38" t="s">
        <v>237</v>
      </c>
      <c r="C1559" s="39" t="s">
        <v>345</v>
      </c>
      <c r="D1559" s="38">
        <v>1041.7</v>
      </c>
      <c r="E1559" s="38" t="s">
        <v>237</v>
      </c>
      <c r="F1559" s="38">
        <v>1145.8699999999999</v>
      </c>
    </row>
    <row r="1560" spans="1:6">
      <c r="A1560" s="38">
        <v>2.1</v>
      </c>
      <c r="B1560" s="38" t="s">
        <v>237</v>
      </c>
      <c r="C1560" s="39" t="s">
        <v>302</v>
      </c>
      <c r="D1560" s="38">
        <v>972.4</v>
      </c>
      <c r="E1560" s="38" t="s">
        <v>237</v>
      </c>
      <c r="F1560" s="38">
        <v>2042.04</v>
      </c>
    </row>
    <row r="1561" spans="1:6">
      <c r="A1561" s="38">
        <v>2.2000000000000002</v>
      </c>
      <c r="B1561" s="38" t="s">
        <v>237</v>
      </c>
      <c r="C1561" s="39" t="s">
        <v>304</v>
      </c>
      <c r="D1561" s="38">
        <v>679.8</v>
      </c>
      <c r="E1561" s="38" t="s">
        <v>237</v>
      </c>
      <c r="F1561" s="38">
        <v>1495.56</v>
      </c>
    </row>
    <row r="1562" spans="1:6">
      <c r="A1562" s="38">
        <v>1.1000000000000001</v>
      </c>
      <c r="B1562" s="38" t="s">
        <v>237</v>
      </c>
      <c r="C1562" s="39" t="s">
        <v>306</v>
      </c>
      <c r="D1562" s="38">
        <v>557.70000000000005</v>
      </c>
      <c r="E1562" s="38" t="s">
        <v>237</v>
      </c>
      <c r="F1562" s="38">
        <v>613.47</v>
      </c>
    </row>
    <row r="1563" spans="1:6">
      <c r="A1563" s="38">
        <v>6.5</v>
      </c>
      <c r="B1563" s="38" t="s">
        <v>39</v>
      </c>
      <c r="C1563" s="39" t="s">
        <v>4343</v>
      </c>
      <c r="D1563" s="38">
        <v>17.18</v>
      </c>
      <c r="E1563" s="38" t="s">
        <v>122</v>
      </c>
      <c r="F1563" s="38">
        <v>111.67</v>
      </c>
    </row>
    <row r="1564" spans="1:6">
      <c r="A1564" s="38">
        <v>3</v>
      </c>
      <c r="B1564" s="38" t="s">
        <v>39</v>
      </c>
      <c r="C1564" s="39" t="s">
        <v>4344</v>
      </c>
      <c r="D1564" s="38">
        <v>27.25</v>
      </c>
      <c r="E1564" s="38" t="s">
        <v>39</v>
      </c>
      <c r="F1564" s="38">
        <v>81.75</v>
      </c>
    </row>
    <row r="1565" spans="1:6">
      <c r="A1565" s="38">
        <v>2.15</v>
      </c>
      <c r="B1565" s="38" t="s">
        <v>237</v>
      </c>
      <c r="C1565" s="39" t="s">
        <v>4345</v>
      </c>
      <c r="D1565" s="38">
        <v>45.8</v>
      </c>
      <c r="E1565" s="38" t="s">
        <v>237</v>
      </c>
      <c r="F1565" s="38">
        <v>98.47</v>
      </c>
    </row>
    <row r="1566" spans="1:6">
      <c r="A1566" s="38">
        <v>0.4</v>
      </c>
      <c r="B1566" s="38" t="s">
        <v>237</v>
      </c>
      <c r="C1566" s="39" t="s">
        <v>4346</v>
      </c>
      <c r="D1566" s="38">
        <v>5842.43</v>
      </c>
      <c r="E1566" s="38" t="s">
        <v>237</v>
      </c>
      <c r="F1566" s="38">
        <v>2336.9699999999998</v>
      </c>
    </row>
    <row r="1567" spans="1:6">
      <c r="E1567" s="38" t="s">
        <v>237</v>
      </c>
      <c r="F1567" s="38">
        <v>0</v>
      </c>
    </row>
    <row r="1568" spans="1:6">
      <c r="B1568" s="38" t="s">
        <v>145</v>
      </c>
      <c r="C1568" s="39" t="s">
        <v>146</v>
      </c>
      <c r="E1568" s="38" t="s">
        <v>145</v>
      </c>
      <c r="F1568" s="38">
        <v>0.8</v>
      </c>
    </row>
    <row r="1569" spans="1:6">
      <c r="F1569" s="38" t="s">
        <v>52</v>
      </c>
    </row>
    <row r="1570" spans="1:6">
      <c r="C1570" s="39" t="s">
        <v>495</v>
      </c>
      <c r="F1570" s="38">
        <v>17221.78</v>
      </c>
    </row>
    <row r="1571" spans="1:6">
      <c r="F1571" s="38" t="s">
        <v>52</v>
      </c>
    </row>
    <row r="1572" spans="1:6">
      <c r="C1572" s="39" t="s">
        <v>460</v>
      </c>
      <c r="F1572" s="38">
        <v>1722.18</v>
      </c>
    </row>
    <row r="1573" spans="1:6">
      <c r="B1573" s="38" t="s">
        <v>111</v>
      </c>
      <c r="C1573" s="39" t="s">
        <v>5169</v>
      </c>
    </row>
    <row r="1574" spans="1:6">
      <c r="C1574" s="39" t="s">
        <v>5171</v>
      </c>
    </row>
    <row r="1575" spans="1:6">
      <c r="C1575" s="39" t="s">
        <v>611</v>
      </c>
    </row>
    <row r="1576" spans="1:6">
      <c r="C1576" s="39" t="s">
        <v>52</v>
      </c>
    </row>
    <row r="1577" spans="1:6">
      <c r="B1577" s="38" t="s">
        <v>612</v>
      </c>
      <c r="C1577" s="39" t="s">
        <v>5175</v>
      </c>
    </row>
    <row r="1578" spans="1:6">
      <c r="C1578" s="39" t="s">
        <v>52</v>
      </c>
    </row>
    <row r="1579" spans="1:6">
      <c r="A1579" s="38">
        <v>18.899999999999999</v>
      </c>
      <c r="B1579" s="38" t="s">
        <v>132</v>
      </c>
      <c r="C1579" s="39" t="s">
        <v>615</v>
      </c>
      <c r="D1579" s="38">
        <v>233.76</v>
      </c>
      <c r="E1579" s="38" t="s">
        <v>132</v>
      </c>
      <c r="F1579" s="38">
        <v>4418.0600000000004</v>
      </c>
    </row>
    <row r="1580" spans="1:6">
      <c r="A1580" s="38">
        <v>18.63</v>
      </c>
      <c r="B1580" s="38" t="s">
        <v>132</v>
      </c>
      <c r="C1580" s="39" t="s">
        <v>616</v>
      </c>
      <c r="D1580" s="38">
        <v>40.65</v>
      </c>
      <c r="E1580" s="38" t="s">
        <v>132</v>
      </c>
      <c r="F1580" s="38">
        <v>757.31</v>
      </c>
    </row>
    <row r="1581" spans="1:6" ht="31.5">
      <c r="A1581" s="38">
        <v>30</v>
      </c>
      <c r="B1581" s="38" t="s">
        <v>282</v>
      </c>
      <c r="C1581" s="39" t="s">
        <v>5182</v>
      </c>
      <c r="D1581" s="38">
        <v>277</v>
      </c>
      <c r="E1581" s="38" t="s">
        <v>282</v>
      </c>
      <c r="F1581" s="38">
        <v>8310</v>
      </c>
    </row>
    <row r="1583" spans="1:6">
      <c r="A1583" s="38">
        <v>30</v>
      </c>
      <c r="B1583" s="38" t="s">
        <v>282</v>
      </c>
      <c r="C1583" s="39" t="s">
        <v>617</v>
      </c>
      <c r="D1583" s="38">
        <v>17.399999999999999</v>
      </c>
      <c r="E1583" s="38" t="s">
        <v>282</v>
      </c>
      <c r="F1583" s="38">
        <v>522</v>
      </c>
    </row>
    <row r="1584" spans="1:6">
      <c r="C1584" s="39" t="s">
        <v>618</v>
      </c>
    </row>
    <row r="1585" spans="1:6">
      <c r="C1585" s="39" t="s">
        <v>619</v>
      </c>
    </row>
    <row r="1586" spans="1:6">
      <c r="C1586" s="39" t="s">
        <v>620</v>
      </c>
    </row>
    <row r="1587" spans="1:6" ht="31.5">
      <c r="C1587" s="39" t="s">
        <v>5184</v>
      </c>
    </row>
    <row r="1589" spans="1:6">
      <c r="A1589" s="38">
        <v>5</v>
      </c>
      <c r="B1589" s="38" t="s">
        <v>237</v>
      </c>
      <c r="C1589" s="39" t="s">
        <v>5185</v>
      </c>
      <c r="D1589" s="38">
        <v>40.9</v>
      </c>
      <c r="E1589" s="38" t="s">
        <v>237</v>
      </c>
      <c r="F1589" s="38">
        <v>204.5</v>
      </c>
    </row>
    <row r="1590" spans="1:6">
      <c r="A1590" s="38">
        <v>1</v>
      </c>
      <c r="B1590" s="38" t="s">
        <v>145</v>
      </c>
      <c r="C1590" s="39" t="s">
        <v>629</v>
      </c>
      <c r="D1590" s="38">
        <v>12.1</v>
      </c>
      <c r="E1590" s="38" t="s">
        <v>145</v>
      </c>
      <c r="F1590" s="38">
        <v>12.1</v>
      </c>
    </row>
    <row r="1591" spans="1:6">
      <c r="B1591" s="38" t="s">
        <v>145</v>
      </c>
      <c r="C1591" s="39" t="s">
        <v>146</v>
      </c>
      <c r="E1591" s="38" t="s">
        <v>145</v>
      </c>
      <c r="F1591" s="38">
        <v>17.100000000000001</v>
      </c>
    </row>
    <row r="1593" spans="1:6">
      <c r="F1593" s="38" t="s">
        <v>52</v>
      </c>
    </row>
    <row r="1594" spans="1:6">
      <c r="C1594" s="39" t="s">
        <v>631</v>
      </c>
      <c r="F1594" s="38">
        <v>14241.07</v>
      </c>
    </row>
    <row r="1595" spans="1:6">
      <c r="F1595" s="38" t="s">
        <v>52</v>
      </c>
    </row>
    <row r="1596" spans="1:6">
      <c r="C1596" s="39" t="s">
        <v>632</v>
      </c>
      <c r="F1596" s="38">
        <v>474.7</v>
      </c>
    </row>
    <row r="1597" spans="1:6">
      <c r="F1597" s="38" t="s">
        <v>52</v>
      </c>
    </row>
    <row r="1598" spans="1:6">
      <c r="B1598" s="38" t="s">
        <v>634</v>
      </c>
      <c r="C1598" s="39" t="s">
        <v>5186</v>
      </c>
    </row>
    <row r="1599" spans="1:6">
      <c r="C1599" s="39" t="s">
        <v>52</v>
      </c>
    </row>
    <row r="1600" spans="1:6">
      <c r="A1600" s="38">
        <v>18.899999999999999</v>
      </c>
      <c r="B1600" s="38" t="s">
        <v>132</v>
      </c>
      <c r="C1600" s="39" t="s">
        <v>615</v>
      </c>
      <c r="D1600" s="38">
        <v>233.76</v>
      </c>
      <c r="E1600" s="38" t="s">
        <v>132</v>
      </c>
      <c r="F1600" s="38">
        <v>4418.0600000000004</v>
      </c>
    </row>
    <row r="1601" spans="1:6">
      <c r="A1601" s="38">
        <v>18.3</v>
      </c>
      <c r="B1601" s="38" t="s">
        <v>132</v>
      </c>
      <c r="C1601" s="39" t="s">
        <v>616</v>
      </c>
      <c r="D1601" s="38">
        <v>40.65</v>
      </c>
      <c r="E1601" s="38" t="s">
        <v>132</v>
      </c>
      <c r="F1601" s="38">
        <v>743.9</v>
      </c>
    </row>
    <row r="1602" spans="1:6" ht="31.5">
      <c r="A1602" s="38">
        <v>30</v>
      </c>
      <c r="B1602" s="38" t="s">
        <v>282</v>
      </c>
      <c r="C1602" s="39" t="s">
        <v>5188</v>
      </c>
      <c r="D1602" s="38">
        <v>581</v>
      </c>
      <c r="E1602" s="38" t="s">
        <v>282</v>
      </c>
      <c r="F1602" s="38">
        <v>17430</v>
      </c>
    </row>
    <row r="1604" spans="1:6">
      <c r="A1604" s="38">
        <v>30</v>
      </c>
      <c r="C1604" s="39" t="s">
        <v>617</v>
      </c>
      <c r="D1604" s="38">
        <v>24.6</v>
      </c>
      <c r="E1604" s="38" t="s">
        <v>282</v>
      </c>
      <c r="F1604" s="38">
        <v>738</v>
      </c>
    </row>
    <row r="1605" spans="1:6">
      <c r="C1605" s="39" t="s">
        <v>618</v>
      </c>
    </row>
    <row r="1606" spans="1:6">
      <c r="C1606" s="39" t="s">
        <v>619</v>
      </c>
    </row>
    <row r="1607" spans="1:6">
      <c r="C1607" s="39" t="s">
        <v>620</v>
      </c>
    </row>
    <row r="1608" spans="1:6" ht="31.5">
      <c r="C1608" s="39" t="s">
        <v>5184</v>
      </c>
    </row>
    <row r="1610" spans="1:6">
      <c r="A1610" s="38">
        <v>5</v>
      </c>
      <c r="B1610" s="38" t="s">
        <v>145</v>
      </c>
      <c r="C1610" s="39" t="s">
        <v>5185</v>
      </c>
      <c r="D1610" s="38">
        <v>40.9</v>
      </c>
      <c r="E1610" s="38" t="s">
        <v>237</v>
      </c>
      <c r="F1610" s="38">
        <v>204.5</v>
      </c>
    </row>
    <row r="1611" spans="1:6">
      <c r="A1611" s="38">
        <v>1</v>
      </c>
      <c r="C1611" s="39" t="s">
        <v>629</v>
      </c>
      <c r="D1611" s="38">
        <v>12.1</v>
      </c>
      <c r="E1611" s="38" t="s">
        <v>145</v>
      </c>
      <c r="F1611" s="38">
        <v>12.1</v>
      </c>
    </row>
    <row r="1612" spans="1:6">
      <c r="C1612" s="39" t="s">
        <v>146</v>
      </c>
      <c r="E1612" s="38" t="s">
        <v>145</v>
      </c>
      <c r="F1612" s="38">
        <v>24.3</v>
      </c>
    </row>
    <row r="1614" spans="1:6">
      <c r="C1614" s="39" t="s">
        <v>631</v>
      </c>
      <c r="F1614" s="38">
        <v>23570.86</v>
      </c>
    </row>
    <row r="1615" spans="1:6">
      <c r="F1615" s="38" t="s">
        <v>52</v>
      </c>
    </row>
    <row r="1616" spans="1:6">
      <c r="C1616" s="39" t="s">
        <v>632</v>
      </c>
      <c r="F1616" s="38">
        <v>785.7</v>
      </c>
    </row>
    <row r="1617" spans="1:6">
      <c r="A1617" s="38" t="s">
        <v>1853</v>
      </c>
      <c r="B1617" s="38" t="s">
        <v>111</v>
      </c>
      <c r="C1617" s="39" t="s">
        <v>1854</v>
      </c>
    </row>
    <row r="1618" spans="1:6">
      <c r="C1618" s="39" t="s">
        <v>1855</v>
      </c>
    </row>
    <row r="1619" spans="1:6">
      <c r="C1619" s="39" t="s">
        <v>1856</v>
      </c>
    </row>
    <row r="1620" spans="1:6">
      <c r="C1620" s="39" t="s">
        <v>1857</v>
      </c>
    </row>
    <row r="1621" spans="1:6">
      <c r="C1621" s="39" t="s">
        <v>52</v>
      </c>
    </row>
    <row r="1622" spans="1:6">
      <c r="A1622" s="38">
        <v>1</v>
      </c>
      <c r="B1622" s="38" t="s">
        <v>131</v>
      </c>
      <c r="C1622" s="39" t="s">
        <v>1858</v>
      </c>
      <c r="D1622" s="38">
        <v>1201</v>
      </c>
      <c r="E1622" s="38" t="s">
        <v>131</v>
      </c>
      <c r="F1622" s="38">
        <v>1201</v>
      </c>
    </row>
    <row r="1623" spans="1:6">
      <c r="A1623" s="38">
        <v>0.65</v>
      </c>
      <c r="B1623" s="38" t="s">
        <v>132</v>
      </c>
      <c r="C1623" s="39" t="s">
        <v>1859</v>
      </c>
      <c r="D1623" s="38">
        <v>233.76</v>
      </c>
      <c r="E1623" s="38" t="s">
        <v>132</v>
      </c>
      <c r="F1623" s="38">
        <v>151.94</v>
      </c>
    </row>
    <row r="1624" spans="1:6">
      <c r="A1624" s="38">
        <v>0.56999999999999995</v>
      </c>
      <c r="B1624" s="38" t="s">
        <v>132</v>
      </c>
      <c r="C1624" s="39" t="s">
        <v>1860</v>
      </c>
      <c r="D1624" s="38">
        <v>40.65</v>
      </c>
      <c r="E1624" s="38" t="s">
        <v>132</v>
      </c>
      <c r="F1624" s="38">
        <v>23.17</v>
      </c>
    </row>
    <row r="1625" spans="1:6">
      <c r="A1625" s="38">
        <v>0.08</v>
      </c>
      <c r="B1625" s="38" t="s">
        <v>132</v>
      </c>
      <c r="C1625" s="39" t="s">
        <v>1861</v>
      </c>
      <c r="D1625" s="38">
        <v>4181.9399999999996</v>
      </c>
      <c r="E1625" s="38" t="s">
        <v>132</v>
      </c>
      <c r="F1625" s="38">
        <v>338.74</v>
      </c>
    </row>
    <row r="1626" spans="1:6">
      <c r="A1626" s="38">
        <v>1</v>
      </c>
      <c r="B1626" s="38" t="s">
        <v>131</v>
      </c>
      <c r="C1626" s="39" t="s">
        <v>1695</v>
      </c>
      <c r="D1626" s="38">
        <v>903.1</v>
      </c>
      <c r="E1626" s="38" t="s">
        <v>131</v>
      </c>
      <c r="F1626" s="38">
        <v>903.1</v>
      </c>
    </row>
    <row r="1627" spans="1:6">
      <c r="A1627" s="38">
        <v>0.5</v>
      </c>
      <c r="B1627" s="38" t="s">
        <v>131</v>
      </c>
      <c r="C1627" s="39" t="s">
        <v>302</v>
      </c>
      <c r="D1627" s="38">
        <v>972.4</v>
      </c>
      <c r="E1627" s="38" t="s">
        <v>131</v>
      </c>
      <c r="F1627" s="38">
        <v>486.2</v>
      </c>
    </row>
    <row r="1628" spans="1:6">
      <c r="A1628" s="38">
        <v>0.5</v>
      </c>
      <c r="B1628" s="38" t="s">
        <v>131</v>
      </c>
      <c r="C1628" s="39" t="s">
        <v>304</v>
      </c>
      <c r="D1628" s="38">
        <v>679.8</v>
      </c>
      <c r="E1628" s="38" t="s">
        <v>131</v>
      </c>
      <c r="F1628" s="38">
        <v>339.9</v>
      </c>
    </row>
    <row r="1629" spans="1:6">
      <c r="C1629" s="39" t="s">
        <v>4447</v>
      </c>
      <c r="D1629" s="38" t="s">
        <v>85</v>
      </c>
      <c r="F1629" s="38">
        <v>-164</v>
      </c>
    </row>
    <row r="1630" spans="1:6">
      <c r="C1630" s="39" t="s">
        <v>4448</v>
      </c>
      <c r="F1630" s="38">
        <v>134.1</v>
      </c>
    </row>
    <row r="1631" spans="1:6">
      <c r="B1631" s="38" t="s">
        <v>49</v>
      </c>
      <c r="C1631" s="39" t="s">
        <v>1557</v>
      </c>
      <c r="F1631" s="38">
        <v>0.39</v>
      </c>
    </row>
    <row r="1632" spans="1:6">
      <c r="C1632" s="39" t="s">
        <v>767</v>
      </c>
      <c r="F1632" s="38">
        <v>3414.54</v>
      </c>
    </row>
    <row r="1635" spans="1:6">
      <c r="A1635" s="38" t="s">
        <v>1862</v>
      </c>
      <c r="B1635" s="38" t="s">
        <v>111</v>
      </c>
      <c r="C1635" s="39" t="s">
        <v>1854</v>
      </c>
    </row>
    <row r="1636" spans="1:6">
      <c r="C1636" s="39" t="s">
        <v>1855</v>
      </c>
    </row>
    <row r="1637" spans="1:6">
      <c r="C1637" s="39" t="s">
        <v>1856</v>
      </c>
    </row>
    <row r="1638" spans="1:6">
      <c r="C1638" s="39" t="s">
        <v>1863</v>
      </c>
    </row>
    <row r="1639" spans="1:6">
      <c r="C1639" s="39" t="s">
        <v>52</v>
      </c>
    </row>
    <row r="1640" spans="1:6">
      <c r="A1640" s="38">
        <v>1</v>
      </c>
      <c r="B1640" s="38" t="s">
        <v>131</v>
      </c>
      <c r="C1640" s="39" t="s">
        <v>1858</v>
      </c>
      <c r="D1640" s="38">
        <v>1201</v>
      </c>
      <c r="E1640" s="38" t="s">
        <v>131</v>
      </c>
      <c r="F1640" s="38">
        <v>1201</v>
      </c>
    </row>
    <row r="1641" spans="1:6">
      <c r="A1641" s="38">
        <v>0.41</v>
      </c>
      <c r="B1641" s="38" t="s">
        <v>132</v>
      </c>
      <c r="C1641" s="39" t="s">
        <v>4449</v>
      </c>
      <c r="D1641" s="38">
        <v>3934.05</v>
      </c>
      <c r="E1641" s="38" t="s">
        <v>132</v>
      </c>
      <c r="F1641" s="38">
        <v>1593.29</v>
      </c>
    </row>
    <row r="1642" spans="1:6">
      <c r="C1642" s="39" t="s">
        <v>1865</v>
      </c>
      <c r="D1642" s="38" t="s">
        <v>85</v>
      </c>
      <c r="F1642" s="38" t="s">
        <v>85</v>
      </c>
    </row>
    <row r="1643" spans="1:6">
      <c r="A1643" s="38">
        <v>1.89</v>
      </c>
      <c r="B1643" s="38" t="s">
        <v>425</v>
      </c>
      <c r="C1643" s="39" t="s">
        <v>1866</v>
      </c>
      <c r="D1643" s="38">
        <v>282.44</v>
      </c>
      <c r="E1643" s="38" t="s">
        <v>425</v>
      </c>
      <c r="F1643" s="38">
        <v>533.80999999999995</v>
      </c>
    </row>
    <row r="1644" spans="1:6">
      <c r="C1644" s="39" t="s">
        <v>1867</v>
      </c>
      <c r="D1644" s="38" t="s">
        <v>85</v>
      </c>
      <c r="F1644" s="38" t="s">
        <v>85</v>
      </c>
    </row>
    <row r="1645" spans="1:6">
      <c r="A1645" s="38">
        <v>0.08</v>
      </c>
      <c r="B1645" s="38" t="s">
        <v>132</v>
      </c>
      <c r="C1645" s="39" t="s">
        <v>1868</v>
      </c>
      <c r="D1645" s="38">
        <v>4181.9399999999996</v>
      </c>
      <c r="E1645" s="38" t="s">
        <v>132</v>
      </c>
      <c r="F1645" s="38">
        <v>338.74</v>
      </c>
    </row>
    <row r="1646" spans="1:6">
      <c r="C1646" s="39" t="s">
        <v>1869</v>
      </c>
    </row>
    <row r="1647" spans="1:6">
      <c r="A1647" s="38">
        <v>1</v>
      </c>
      <c r="B1647" s="38" t="s">
        <v>237</v>
      </c>
      <c r="C1647" s="39" t="s">
        <v>1695</v>
      </c>
      <c r="D1647" s="38">
        <v>903.1</v>
      </c>
      <c r="E1647" s="38" t="s">
        <v>237</v>
      </c>
      <c r="F1647" s="38">
        <v>903.1</v>
      </c>
    </row>
    <row r="1648" spans="1:6">
      <c r="A1648" s="38">
        <v>0.5</v>
      </c>
      <c r="B1648" s="38" t="s">
        <v>131</v>
      </c>
      <c r="C1648" s="39" t="s">
        <v>302</v>
      </c>
      <c r="D1648" s="38">
        <v>972.4</v>
      </c>
      <c r="E1648" s="38" t="s">
        <v>131</v>
      </c>
      <c r="F1648" s="38">
        <v>486.2</v>
      </c>
    </row>
    <row r="1649" spans="1:6">
      <c r="A1649" s="38">
        <v>0.5</v>
      </c>
      <c r="B1649" s="38" t="s">
        <v>131</v>
      </c>
      <c r="C1649" s="39" t="s">
        <v>304</v>
      </c>
      <c r="D1649" s="38">
        <v>679.8</v>
      </c>
      <c r="E1649" s="38" t="s">
        <v>131</v>
      </c>
      <c r="F1649" s="38">
        <v>339.9</v>
      </c>
    </row>
    <row r="1650" spans="1:6">
      <c r="C1650" s="39" t="s">
        <v>4447</v>
      </c>
      <c r="D1650" s="38" t="s">
        <v>85</v>
      </c>
      <c r="F1650" s="38">
        <v>-164</v>
      </c>
    </row>
    <row r="1651" spans="1:6">
      <c r="C1651" s="39" t="s">
        <v>4448</v>
      </c>
      <c r="F1651" s="38">
        <v>134.1</v>
      </c>
    </row>
    <row r="1652" spans="1:6">
      <c r="B1652" s="38" t="s">
        <v>49</v>
      </c>
      <c r="C1652" s="39" t="s">
        <v>1557</v>
      </c>
      <c r="F1652" s="38">
        <v>0.47</v>
      </c>
    </row>
    <row r="1653" spans="1:6">
      <c r="C1653" s="39" t="s">
        <v>767</v>
      </c>
      <c r="F1653" s="38">
        <v>5366.61</v>
      </c>
    </row>
    <row r="1656" spans="1:6" ht="31.5">
      <c r="A1656" s="38">
        <v>57</v>
      </c>
      <c r="B1656" s="38" t="s">
        <v>111</v>
      </c>
      <c r="C1656" s="39" t="s">
        <v>6450</v>
      </c>
    </row>
    <row r="1657" spans="1:6">
      <c r="C1657" s="39" t="s">
        <v>1871</v>
      </c>
    </row>
    <row r="1658" spans="1:6">
      <c r="C1658" s="39" t="s">
        <v>1872</v>
      </c>
    </row>
    <row r="1659" spans="1:6">
      <c r="C1659" s="39" t="s">
        <v>52</v>
      </c>
    </row>
    <row r="1660" spans="1:6" ht="78.75">
      <c r="A1660" s="38">
        <v>1</v>
      </c>
      <c r="B1660" s="38" t="s">
        <v>781</v>
      </c>
      <c r="C1660" s="39" t="s">
        <v>1873</v>
      </c>
      <c r="D1660" s="38">
        <v>3090</v>
      </c>
      <c r="E1660" s="38" t="s">
        <v>781</v>
      </c>
      <c r="F1660" s="38">
        <v>3090</v>
      </c>
    </row>
    <row r="1661" spans="1:6">
      <c r="C1661" s="39" t="s">
        <v>1874</v>
      </c>
    </row>
    <row r="1662" spans="1:6">
      <c r="A1662" s="38">
        <v>1</v>
      </c>
      <c r="B1662" s="38" t="s">
        <v>131</v>
      </c>
      <c r="C1662" s="39" t="s">
        <v>345</v>
      </c>
      <c r="D1662" s="38">
        <v>1041.7</v>
      </c>
      <c r="E1662" s="38" t="s">
        <v>131</v>
      </c>
      <c r="F1662" s="38">
        <v>1041.7</v>
      </c>
    </row>
    <row r="1663" spans="1:6">
      <c r="A1663" s="38">
        <v>2</v>
      </c>
      <c r="B1663" s="38" t="s">
        <v>131</v>
      </c>
      <c r="C1663" s="39" t="s">
        <v>1695</v>
      </c>
      <c r="D1663" s="38">
        <v>903.1</v>
      </c>
      <c r="E1663" s="38" t="s">
        <v>131</v>
      </c>
      <c r="F1663" s="38">
        <v>1806.2</v>
      </c>
    </row>
    <row r="1664" spans="1:6">
      <c r="A1664" s="38">
        <v>1</v>
      </c>
      <c r="B1664" s="38" t="s">
        <v>131</v>
      </c>
      <c r="C1664" s="39" t="s">
        <v>306</v>
      </c>
      <c r="D1664" s="38">
        <v>557.70000000000005</v>
      </c>
      <c r="E1664" s="38" t="s">
        <v>131</v>
      </c>
      <c r="F1664" s="38">
        <v>557.70000000000005</v>
      </c>
    </row>
    <row r="1665" spans="1:6">
      <c r="C1665" s="39" t="s">
        <v>1875</v>
      </c>
    </row>
    <row r="1666" spans="1:6">
      <c r="A1666" s="38">
        <v>0.5</v>
      </c>
      <c r="B1666" s="38" t="s">
        <v>131</v>
      </c>
      <c r="C1666" s="39" t="s">
        <v>1695</v>
      </c>
      <c r="D1666" s="38">
        <v>903.1</v>
      </c>
      <c r="E1666" s="38" t="s">
        <v>131</v>
      </c>
      <c r="F1666" s="38">
        <v>451.55</v>
      </c>
    </row>
    <row r="1667" spans="1:6">
      <c r="A1667" s="38">
        <v>0.5</v>
      </c>
      <c r="B1667" s="38" t="s">
        <v>131</v>
      </c>
      <c r="C1667" s="39" t="s">
        <v>304</v>
      </c>
      <c r="D1667" s="38">
        <v>679.8</v>
      </c>
      <c r="E1667" s="38" t="s">
        <v>131</v>
      </c>
      <c r="F1667" s="38">
        <v>339.9</v>
      </c>
    </row>
    <row r="1668" spans="1:6">
      <c r="C1668" s="39" t="s">
        <v>4447</v>
      </c>
      <c r="D1668" s="38">
        <v>0</v>
      </c>
      <c r="F1668" s="38">
        <v>-164</v>
      </c>
    </row>
    <row r="1669" spans="1:6">
      <c r="C1669" s="39" t="s">
        <v>4448</v>
      </c>
      <c r="F1669" s="38">
        <v>134.1</v>
      </c>
    </row>
    <row r="1670" spans="1:6">
      <c r="B1670" s="38" t="s">
        <v>145</v>
      </c>
      <c r="C1670" s="39" t="s">
        <v>146</v>
      </c>
      <c r="E1670" s="38" t="s">
        <v>145</v>
      </c>
      <c r="F1670" s="38">
        <v>0.7</v>
      </c>
    </row>
    <row r="1671" spans="1:6">
      <c r="C1671" s="39" t="s">
        <v>767</v>
      </c>
    </row>
    <row r="1672" spans="1:6">
      <c r="F1672" s="38">
        <v>7257.85</v>
      </c>
    </row>
    <row r="1673" spans="1:6">
      <c r="A1673" s="38" t="s">
        <v>85</v>
      </c>
    </row>
    <row r="1674" spans="1:6" ht="31.5">
      <c r="A1674" s="38">
        <v>57</v>
      </c>
      <c r="B1674" s="38" t="s">
        <v>111</v>
      </c>
      <c r="C1674" s="39" t="s">
        <v>6451</v>
      </c>
    </row>
    <row r="1675" spans="1:6">
      <c r="C1675" s="39" t="s">
        <v>1871</v>
      </c>
    </row>
    <row r="1676" spans="1:6">
      <c r="C1676" s="39" t="s">
        <v>1872</v>
      </c>
    </row>
    <row r="1677" spans="1:6">
      <c r="C1677" s="39" t="s">
        <v>52</v>
      </c>
    </row>
    <row r="1678" spans="1:6" ht="78.75">
      <c r="A1678" s="38">
        <v>1</v>
      </c>
      <c r="B1678" s="38" t="s">
        <v>781</v>
      </c>
      <c r="C1678" s="39" t="s">
        <v>1873</v>
      </c>
      <c r="D1678" s="38">
        <v>3484</v>
      </c>
      <c r="E1678" s="38" t="s">
        <v>781</v>
      </c>
      <c r="F1678" s="38">
        <v>3484</v>
      </c>
    </row>
    <row r="1679" spans="1:6">
      <c r="C1679" s="39" t="s">
        <v>1874</v>
      </c>
    </row>
    <row r="1680" spans="1:6">
      <c r="A1680" s="38">
        <v>1</v>
      </c>
      <c r="B1680" s="38" t="s">
        <v>131</v>
      </c>
      <c r="C1680" s="39" t="s">
        <v>345</v>
      </c>
      <c r="D1680" s="38">
        <v>1041.7</v>
      </c>
      <c r="E1680" s="38" t="s">
        <v>131</v>
      </c>
      <c r="F1680" s="38">
        <v>1041.7</v>
      </c>
    </row>
    <row r="1681" spans="1:6">
      <c r="A1681" s="38">
        <v>2</v>
      </c>
      <c r="B1681" s="38" t="s">
        <v>131</v>
      </c>
      <c r="C1681" s="39" t="s">
        <v>1695</v>
      </c>
      <c r="D1681" s="38">
        <v>903.1</v>
      </c>
      <c r="E1681" s="38" t="s">
        <v>131</v>
      </c>
      <c r="F1681" s="38">
        <v>1806.2</v>
      </c>
    </row>
    <row r="1682" spans="1:6">
      <c r="A1682" s="38">
        <v>1</v>
      </c>
      <c r="B1682" s="38" t="s">
        <v>131</v>
      </c>
      <c r="C1682" s="39" t="s">
        <v>306</v>
      </c>
      <c r="D1682" s="38">
        <v>557.70000000000005</v>
      </c>
      <c r="E1682" s="38" t="s">
        <v>131</v>
      </c>
      <c r="F1682" s="38">
        <v>557.70000000000005</v>
      </c>
    </row>
    <row r="1683" spans="1:6">
      <c r="C1683" s="39" t="s">
        <v>1875</v>
      </c>
    </row>
    <row r="1684" spans="1:6">
      <c r="A1684" s="38">
        <v>0.5</v>
      </c>
      <c r="B1684" s="38" t="s">
        <v>131</v>
      </c>
      <c r="C1684" s="39" t="s">
        <v>1695</v>
      </c>
      <c r="D1684" s="38">
        <v>903.1</v>
      </c>
      <c r="E1684" s="38" t="s">
        <v>131</v>
      </c>
      <c r="F1684" s="38">
        <v>451.55</v>
      </c>
    </row>
    <row r="1685" spans="1:6">
      <c r="A1685" s="38">
        <v>0.5</v>
      </c>
      <c r="B1685" s="38" t="s">
        <v>131</v>
      </c>
      <c r="C1685" s="39" t="s">
        <v>304</v>
      </c>
      <c r="D1685" s="38">
        <v>679.8</v>
      </c>
      <c r="E1685" s="38" t="s">
        <v>131</v>
      </c>
      <c r="F1685" s="38">
        <v>339.9</v>
      </c>
    </row>
    <row r="1686" spans="1:6">
      <c r="C1686" s="39" t="s">
        <v>4447</v>
      </c>
      <c r="D1686" s="38">
        <v>0</v>
      </c>
      <c r="F1686" s="38">
        <v>-164</v>
      </c>
    </row>
    <row r="1687" spans="1:6">
      <c r="C1687" s="39" t="s">
        <v>4448</v>
      </c>
      <c r="F1687" s="38">
        <v>134.1</v>
      </c>
    </row>
    <row r="1688" spans="1:6">
      <c r="B1688" s="38" t="s">
        <v>145</v>
      </c>
      <c r="C1688" s="39" t="s">
        <v>146</v>
      </c>
      <c r="E1688" s="38" t="s">
        <v>145</v>
      </c>
      <c r="F1688" s="38">
        <v>0.7</v>
      </c>
    </row>
    <row r="1689" spans="1:6">
      <c r="F1689" s="38" t="s">
        <v>52</v>
      </c>
    </row>
    <row r="1690" spans="1:6">
      <c r="C1690" s="39" t="s">
        <v>767</v>
      </c>
    </row>
    <row r="1691" spans="1:6">
      <c r="C1691" s="39" t="s">
        <v>4855</v>
      </c>
    </row>
    <row r="1692" spans="1:6">
      <c r="C1692" s="39" t="s">
        <v>2138</v>
      </c>
    </row>
    <row r="1693" spans="1:6">
      <c r="C1693" s="39" t="s">
        <v>4859</v>
      </c>
    </row>
    <row r="1694" spans="1:6">
      <c r="A1694" s="38">
        <v>0.1</v>
      </c>
      <c r="B1694" s="38" t="s">
        <v>41</v>
      </c>
      <c r="C1694" s="39" t="s">
        <v>4501</v>
      </c>
      <c r="D1694" s="38">
        <v>919.6</v>
      </c>
      <c r="E1694" s="38" t="s">
        <v>729</v>
      </c>
      <c r="F1694" s="38">
        <v>91.96</v>
      </c>
    </row>
    <row r="1695" spans="1:6">
      <c r="A1695" s="38">
        <v>0.1</v>
      </c>
      <c r="B1695" s="38" t="s">
        <v>4861</v>
      </c>
      <c r="C1695" s="39" t="s">
        <v>2199</v>
      </c>
      <c r="D1695" s="38">
        <v>679.8</v>
      </c>
      <c r="E1695" s="38" t="s">
        <v>729</v>
      </c>
      <c r="F1695" s="38">
        <v>67.98</v>
      </c>
    </row>
    <row r="1696" spans="1:6">
      <c r="A1696" s="38">
        <v>10</v>
      </c>
      <c r="B1696" s="38" t="s">
        <v>4863</v>
      </c>
      <c r="C1696" s="39" t="s">
        <v>4864</v>
      </c>
      <c r="D1696" s="38">
        <v>18.45</v>
      </c>
      <c r="E1696" s="38" t="s">
        <v>4865</v>
      </c>
      <c r="F1696" s="38">
        <v>1.85</v>
      </c>
    </row>
    <row r="1697" spans="1:6">
      <c r="A1697" s="38">
        <v>0.25</v>
      </c>
      <c r="B1697" s="38" t="s">
        <v>41</v>
      </c>
      <c r="C1697" s="39" t="s">
        <v>4868</v>
      </c>
      <c r="D1697" s="38">
        <v>3.6</v>
      </c>
      <c r="E1697" s="38" t="s">
        <v>729</v>
      </c>
      <c r="F1697" s="38">
        <v>1</v>
      </c>
    </row>
    <row r="1698" spans="1:6">
      <c r="D1698" s="38" t="s">
        <v>4871</v>
      </c>
      <c r="F1698" s="38">
        <v>162.79</v>
      </c>
    </row>
    <row r="1700" spans="1:6">
      <c r="C1700" s="39" t="s">
        <v>4749</v>
      </c>
      <c r="D1700" s="38" t="s">
        <v>4873</v>
      </c>
      <c r="E1700" s="38" t="s">
        <v>4873</v>
      </c>
      <c r="F1700" s="38" t="s">
        <v>4874</v>
      </c>
    </row>
    <row r="1701" spans="1:6">
      <c r="D1701" s="38">
        <v>331</v>
      </c>
      <c r="E1701" s="38">
        <v>331</v>
      </c>
      <c r="F1701" s="38">
        <v>283</v>
      </c>
    </row>
    <row r="1702" spans="1:6">
      <c r="C1702" s="39" t="s">
        <v>4876</v>
      </c>
      <c r="D1702" s="38">
        <v>162.79</v>
      </c>
      <c r="E1702" s="38">
        <v>162.79</v>
      </c>
      <c r="F1702" s="38">
        <v>162.79</v>
      </c>
    </row>
    <row r="1703" spans="1:6">
      <c r="C1703" s="39" t="s">
        <v>2234</v>
      </c>
      <c r="D1703" s="38">
        <v>493.79</v>
      </c>
      <c r="E1703" s="38">
        <v>493.79</v>
      </c>
      <c r="F1703" s="38">
        <v>445.79</v>
      </c>
    </row>
    <row r="1704" spans="1:6">
      <c r="D1704" s="38">
        <v>494</v>
      </c>
      <c r="E1704" s="38">
        <v>494</v>
      </c>
      <c r="F1704" s="38">
        <v>446</v>
      </c>
    </row>
    <row r="1705" spans="1:6">
      <c r="A1705" s="38" t="s">
        <v>2960</v>
      </c>
    </row>
    <row r="1706" spans="1:6">
      <c r="A1706" s="38">
        <v>1</v>
      </c>
      <c r="B1706" s="38" t="s">
        <v>1034</v>
      </c>
      <c r="C1706" s="39" t="s">
        <v>2961</v>
      </c>
      <c r="D1706" s="38">
        <v>7000</v>
      </c>
      <c r="E1706" s="38" t="s">
        <v>2962</v>
      </c>
      <c r="F1706" s="38">
        <v>7000</v>
      </c>
    </row>
    <row r="1707" spans="1:6">
      <c r="A1707" s="38">
        <v>2</v>
      </c>
      <c r="B1707" s="38" t="s">
        <v>1521</v>
      </c>
      <c r="C1707" s="39" t="s">
        <v>2678</v>
      </c>
      <c r="D1707" s="38">
        <v>35</v>
      </c>
      <c r="E1707" s="38" t="s">
        <v>1521</v>
      </c>
      <c r="F1707" s="38">
        <v>70</v>
      </c>
    </row>
    <row r="1708" spans="1:6" ht="47.25">
      <c r="A1708" s="38">
        <v>1</v>
      </c>
      <c r="B1708" s="38" t="s">
        <v>1034</v>
      </c>
      <c r="C1708" s="39" t="s">
        <v>2683</v>
      </c>
      <c r="D1708" s="38">
        <v>1690</v>
      </c>
      <c r="E1708" s="38" t="s">
        <v>729</v>
      </c>
      <c r="F1708" s="38">
        <v>1690</v>
      </c>
    </row>
    <row r="1709" spans="1:6" ht="31.5">
      <c r="C1709" s="39" t="s">
        <v>2684</v>
      </c>
      <c r="D1709" s="38" t="s">
        <v>49</v>
      </c>
      <c r="F1709" s="38">
        <v>17.329999999999998</v>
      </c>
    </row>
    <row r="1710" spans="1:6">
      <c r="C1710" s="39" t="s">
        <v>2058</v>
      </c>
      <c r="F1710" s="38">
        <v>8777.33</v>
      </c>
    </row>
    <row r="1711" spans="1:6">
      <c r="C1711" s="39" t="s">
        <v>2685</v>
      </c>
    </row>
    <row r="1712" spans="1:6">
      <c r="A1712" s="38">
        <v>1</v>
      </c>
      <c r="B1712" s="38" t="s">
        <v>1034</v>
      </c>
      <c r="C1712" s="39" t="s">
        <v>2627</v>
      </c>
      <c r="D1712" s="38">
        <v>898</v>
      </c>
      <c r="E1712" s="38" t="s">
        <v>1034</v>
      </c>
      <c r="F1712" s="38">
        <v>898</v>
      </c>
    </row>
    <row r="1713" spans="1:6">
      <c r="A1713" s="38">
        <v>1</v>
      </c>
      <c r="B1713" s="38" t="s">
        <v>1034</v>
      </c>
      <c r="C1713" s="39" t="s">
        <v>2472</v>
      </c>
      <c r="D1713" s="38">
        <v>783</v>
      </c>
      <c r="E1713" s="38" t="s">
        <v>1034</v>
      </c>
      <c r="F1713" s="38">
        <v>783</v>
      </c>
    </row>
    <row r="1714" spans="1:6">
      <c r="A1714" s="38">
        <v>2</v>
      </c>
      <c r="B1714" s="38" t="s">
        <v>1034</v>
      </c>
      <c r="C1714" s="39" t="s">
        <v>2463</v>
      </c>
      <c r="D1714" s="38">
        <v>778</v>
      </c>
      <c r="E1714" s="38" t="s">
        <v>1034</v>
      </c>
      <c r="F1714" s="38">
        <v>1556</v>
      </c>
    </row>
    <row r="1715" spans="1:6">
      <c r="A1715" s="38">
        <v>3</v>
      </c>
      <c r="B1715" s="38" t="s">
        <v>1034</v>
      </c>
      <c r="C1715" s="39" t="s">
        <v>2166</v>
      </c>
      <c r="D1715" s="38">
        <v>611</v>
      </c>
      <c r="E1715" s="38" t="s">
        <v>1034</v>
      </c>
      <c r="F1715" s="38">
        <v>1833</v>
      </c>
    </row>
    <row r="1716" spans="1:6">
      <c r="C1716" s="39" t="s">
        <v>2617</v>
      </c>
      <c r="F1716" s="38">
        <v>5070</v>
      </c>
    </row>
    <row r="1717" spans="1:6">
      <c r="C1717" s="39" t="s">
        <v>2058</v>
      </c>
      <c r="F1717" s="38">
        <v>1690</v>
      </c>
    </row>
    <row r="1718" spans="1:6">
      <c r="C1718" s="39" t="s">
        <v>3008</v>
      </c>
    </row>
    <row r="1719" spans="1:6">
      <c r="A1719" s="38">
        <v>1</v>
      </c>
      <c r="B1719" s="38" t="s">
        <v>1034</v>
      </c>
      <c r="C1719" s="39" t="s">
        <v>3009</v>
      </c>
      <c r="D1719" s="38">
        <v>391</v>
      </c>
      <c r="E1719" s="38" t="s">
        <v>1034</v>
      </c>
      <c r="F1719" s="38">
        <v>391</v>
      </c>
    </row>
    <row r="1720" spans="1:6">
      <c r="E1720" s="38" t="s">
        <v>1034</v>
      </c>
      <c r="F1720" s="38">
        <v>0</v>
      </c>
    </row>
    <row r="1721" spans="1:6">
      <c r="C1721" s="39" t="s">
        <v>3010</v>
      </c>
      <c r="F1721" s="38">
        <v>298.8</v>
      </c>
    </row>
    <row r="1722" spans="1:6">
      <c r="C1722" s="39" t="s">
        <v>1557</v>
      </c>
      <c r="F1722" s="38">
        <v>0.2</v>
      </c>
    </row>
    <row r="1723" spans="1:6">
      <c r="C1723" s="39" t="s">
        <v>2738</v>
      </c>
      <c r="F1723" s="38">
        <v>690</v>
      </c>
    </row>
    <row r="1724" spans="1:6">
      <c r="A1724" s="49"/>
      <c r="B1724" s="50"/>
      <c r="C1724" s="49" t="s">
        <v>2603</v>
      </c>
      <c r="D1724" s="49"/>
      <c r="E1724" s="49"/>
    </row>
    <row r="1725" spans="1:6">
      <c r="A1725" s="49"/>
      <c r="B1725" s="50"/>
      <c r="C1725" s="49"/>
      <c r="D1725" s="49"/>
      <c r="E1725" s="49"/>
    </row>
    <row r="1726" spans="1:6">
      <c r="A1726" s="49"/>
      <c r="B1726" s="50"/>
      <c r="C1726" s="49" t="s">
        <v>2955</v>
      </c>
      <c r="D1726" s="49"/>
      <c r="E1726" s="49"/>
    </row>
    <row r="1727" spans="1:6">
      <c r="A1727" s="49"/>
      <c r="B1727" s="50"/>
      <c r="C1727" s="49"/>
      <c r="D1727" s="49"/>
      <c r="E1727" s="49"/>
    </row>
    <row r="1728" spans="1:6">
      <c r="A1728" s="49">
        <v>1</v>
      </c>
      <c r="B1728" s="51" t="s">
        <v>1034</v>
      </c>
      <c r="C1728" s="52" t="s">
        <v>2959</v>
      </c>
      <c r="D1728" s="49">
        <v>1856</v>
      </c>
      <c r="E1728" s="49" t="s">
        <v>1034</v>
      </c>
      <c r="F1728" s="38">
        <v>1856</v>
      </c>
    </row>
    <row r="1729" spans="1:10">
      <c r="A1729" s="49">
        <v>1</v>
      </c>
      <c r="B1729" s="51" t="s">
        <v>1034</v>
      </c>
      <c r="C1729" s="49" t="s">
        <v>478</v>
      </c>
      <c r="D1729" s="49">
        <v>2174</v>
      </c>
      <c r="E1729" s="49" t="s">
        <v>1034</v>
      </c>
      <c r="F1729" s="38">
        <v>2174</v>
      </c>
    </row>
    <row r="1730" spans="1:10">
      <c r="A1730" s="49"/>
      <c r="B1730" s="51"/>
      <c r="C1730" s="49" t="s">
        <v>1557</v>
      </c>
      <c r="D1730" s="49"/>
      <c r="E1730" s="49"/>
    </row>
    <row r="1731" spans="1:10">
      <c r="A1731" s="49"/>
      <c r="B1731" s="50"/>
      <c r="C1731" s="49" t="s">
        <v>2400</v>
      </c>
      <c r="D1731" s="49"/>
      <c r="E1731" s="50"/>
      <c r="F1731" s="38">
        <v>4030</v>
      </c>
    </row>
    <row r="1732" spans="1:10" ht="31.5">
      <c r="C1732" s="39" t="s">
        <v>6452</v>
      </c>
    </row>
    <row r="1734" spans="1:10">
      <c r="C1734" s="39" t="s">
        <v>5236</v>
      </c>
    </row>
    <row r="1735" spans="1:10">
      <c r="A1735" s="38">
        <v>5</v>
      </c>
      <c r="B1735" s="38" t="s">
        <v>39</v>
      </c>
      <c r="C1735" s="39" t="s">
        <v>5237</v>
      </c>
      <c r="D1735" s="38">
        <v>27.45</v>
      </c>
      <c r="E1735" s="38" t="s">
        <v>39</v>
      </c>
      <c r="F1735" s="38">
        <v>137.25</v>
      </c>
    </row>
    <row r="1736" spans="1:10">
      <c r="A1736" s="38">
        <v>1</v>
      </c>
      <c r="B1736" s="38" t="s">
        <v>1034</v>
      </c>
      <c r="C1736" s="39" t="s">
        <v>5238</v>
      </c>
      <c r="D1736" s="38">
        <v>831.6</v>
      </c>
      <c r="E1736" s="38" t="s">
        <v>1034</v>
      </c>
      <c r="F1736" s="38">
        <v>831.6</v>
      </c>
    </row>
    <row r="1737" spans="1:10">
      <c r="B1737" s="38" t="s">
        <v>49</v>
      </c>
      <c r="C1737" s="39" t="s">
        <v>4918</v>
      </c>
      <c r="E1737" s="38" t="s">
        <v>49</v>
      </c>
      <c r="F1737" s="38">
        <v>17.670000000000002</v>
      </c>
      <c r="J1737" s="38">
        <v>2653.18</v>
      </c>
    </row>
    <row r="1738" spans="1:10">
      <c r="C1738" s="39" t="s">
        <v>4554</v>
      </c>
      <c r="F1738" s="38">
        <v>986.52</v>
      </c>
      <c r="J1738" s="38">
        <v>1319.43</v>
      </c>
    </row>
    <row r="1739" spans="1:10">
      <c r="C1739" s="39" t="s">
        <v>2137</v>
      </c>
      <c r="F1739" s="38">
        <v>98.65</v>
      </c>
      <c r="J1739" s="38">
        <v>8867.23</v>
      </c>
    </row>
    <row r="1740" spans="1:10">
      <c r="J1740" s="38">
        <v>300</v>
      </c>
    </row>
    <row r="1741" spans="1:10">
      <c r="J1741" s="38">
        <v>5135.9399999999996</v>
      </c>
    </row>
    <row r="1742" spans="1:10">
      <c r="J1742" s="38">
        <v>621.09</v>
      </c>
    </row>
    <row r="1743" spans="1:10">
      <c r="J1743" s="38">
        <v>19209.2</v>
      </c>
    </row>
    <row r="1744" spans="1:10">
      <c r="J1744" s="38">
        <v>77476.95</v>
      </c>
    </row>
    <row r="1745" spans="10:11">
      <c r="J1745" s="38">
        <v>93395.81</v>
      </c>
      <c r="K1745" s="38">
        <v>412299.56</v>
      </c>
    </row>
    <row r="1746" spans="10:11">
      <c r="J1746" s="38">
        <v>3728</v>
      </c>
      <c r="K1746" s="38">
        <v>99644.58</v>
      </c>
    </row>
    <row r="1747" spans="10:11">
      <c r="J1747" s="38">
        <v>97548.62</v>
      </c>
      <c r="K1747" s="38">
        <f>K1745-K1746</f>
        <v>312654.98</v>
      </c>
    </row>
    <row r="1748" spans="10:11">
      <c r="J1748" s="431">
        <f>SUM(J1737:J1747)</f>
        <v>310255.45</v>
      </c>
    </row>
  </sheetData>
  <pageMargins left="0.47222222222222221" right="0.47222222222222221" top="0.21249999999999999" bottom="1.5277777777777777E-2" header="0.5" footer="0.5"/>
  <pageSetup paperSize="9" orientation="portrait" verticalDpi="0"/>
</worksheet>
</file>

<file path=xl/worksheets/sheet17.xml><?xml version="1.0" encoding="utf-8"?>
<worksheet xmlns="http://schemas.openxmlformats.org/spreadsheetml/2006/main" xmlns:r="http://schemas.openxmlformats.org/officeDocument/2006/relationships">
  <sheetPr codeName="Sheet16"/>
  <dimension ref="A1:H84"/>
  <sheetViews>
    <sheetView view="pageBreakPreview" topLeftCell="A77" zoomScaleSheetLayoutView="100" workbookViewId="0">
      <selection activeCell="E79" sqref="E79"/>
    </sheetView>
  </sheetViews>
  <sheetFormatPr defaultColWidth="7.6640625" defaultRowHeight="12.75"/>
  <cols>
    <col min="1" max="1" width="5.33203125" style="4" customWidth="1"/>
    <col min="2" max="2" width="38.6640625" style="4" customWidth="1"/>
    <col min="3" max="3" width="9.77734375" style="4" customWidth="1"/>
    <col min="4" max="4" width="8.44140625" style="4" customWidth="1"/>
    <col min="5" max="5" width="7.44140625" style="4" customWidth="1"/>
    <col min="6" max="6" width="7.21875" style="4" customWidth="1"/>
    <col min="7" max="7" width="8.6640625" style="5" customWidth="1"/>
    <col min="8" max="8" width="9.88671875" style="5" customWidth="1"/>
    <col min="9" max="16384" width="7.6640625" style="4"/>
  </cols>
  <sheetData>
    <row r="1" spans="1:8" ht="20.25">
      <c r="A1" s="1827" t="s">
        <v>5292</v>
      </c>
      <c r="B1" s="1828"/>
      <c r="C1" s="1828"/>
      <c r="D1" s="1828"/>
      <c r="E1" s="1828"/>
      <c r="F1" s="1828"/>
      <c r="G1" s="1829"/>
      <c r="H1" s="6"/>
    </row>
    <row r="2" spans="1:8" ht="15">
      <c r="A2" s="1830" t="s">
        <v>3361</v>
      </c>
      <c r="B2" s="1831"/>
      <c r="C2" s="1831"/>
      <c r="D2" s="1831"/>
      <c r="E2" s="1831"/>
      <c r="F2" s="1831"/>
      <c r="G2" s="1832"/>
      <c r="H2" s="6"/>
    </row>
    <row r="3" spans="1:8" s="3" customFormat="1" ht="28.5">
      <c r="A3" s="7" t="s">
        <v>6453</v>
      </c>
      <c r="B3" s="8" t="s">
        <v>2061</v>
      </c>
      <c r="C3" s="9" t="s">
        <v>3081</v>
      </c>
      <c r="D3" s="9" t="s">
        <v>6454</v>
      </c>
      <c r="E3" s="9" t="s">
        <v>6455</v>
      </c>
      <c r="F3" s="9" t="s">
        <v>6456</v>
      </c>
      <c r="G3" s="8" t="s">
        <v>6457</v>
      </c>
      <c r="H3" s="8" t="s">
        <v>3199</v>
      </c>
    </row>
    <row r="4" spans="1:8" ht="15">
      <c r="A4" s="10"/>
      <c r="B4" s="11" t="s">
        <v>6458</v>
      </c>
      <c r="C4" s="12"/>
      <c r="D4" s="12"/>
      <c r="E4" s="12"/>
      <c r="F4" s="12"/>
      <c r="G4" s="6"/>
      <c r="H4" s="6"/>
    </row>
    <row r="5" spans="1:8" ht="165">
      <c r="A5" s="13">
        <v>1</v>
      </c>
      <c r="B5" s="14" t="s">
        <v>6459</v>
      </c>
      <c r="C5" s="12"/>
      <c r="D5" s="12"/>
      <c r="E5" s="12"/>
      <c r="F5" s="12"/>
      <c r="G5" s="6"/>
      <c r="H5" s="6"/>
    </row>
    <row r="6" spans="1:8" ht="15">
      <c r="A6" s="13" t="s">
        <v>85</v>
      </c>
      <c r="B6" s="11" t="s">
        <v>6460</v>
      </c>
      <c r="C6" s="12"/>
      <c r="D6" s="12"/>
      <c r="E6" s="12"/>
      <c r="F6" s="12"/>
      <c r="G6" s="6"/>
      <c r="H6" s="6"/>
    </row>
    <row r="7" spans="1:8" ht="14.25" customHeight="1">
      <c r="A7" s="13"/>
      <c r="B7" s="11" t="s">
        <v>6461</v>
      </c>
      <c r="C7" s="12"/>
      <c r="D7" s="12"/>
      <c r="E7" s="12"/>
      <c r="F7" s="12"/>
      <c r="G7" s="6"/>
      <c r="H7" s="6"/>
    </row>
    <row r="8" spans="1:8" ht="150">
      <c r="A8" s="13"/>
      <c r="B8" s="14" t="s">
        <v>6462</v>
      </c>
      <c r="C8" s="12"/>
      <c r="D8" s="12"/>
      <c r="E8" s="12"/>
      <c r="F8" s="12"/>
      <c r="G8" s="6"/>
      <c r="H8" s="6"/>
    </row>
    <row r="9" spans="1:8" ht="165">
      <c r="A9" s="13"/>
      <c r="B9" s="14" t="s">
        <v>6463</v>
      </c>
      <c r="C9" s="12"/>
      <c r="D9" s="12"/>
      <c r="E9" s="12"/>
      <c r="F9" s="12"/>
      <c r="G9" s="6"/>
      <c r="H9" s="6"/>
    </row>
    <row r="10" spans="1:8" ht="120">
      <c r="A10" s="13"/>
      <c r="B10" s="14" t="s">
        <v>6464</v>
      </c>
      <c r="C10" s="12"/>
      <c r="D10" s="12"/>
      <c r="E10" s="12"/>
      <c r="F10" s="12"/>
      <c r="G10" s="6"/>
      <c r="H10" s="6"/>
    </row>
    <row r="11" spans="1:8" ht="15">
      <c r="A11" s="13"/>
      <c r="B11" s="11" t="s">
        <v>6465</v>
      </c>
      <c r="C11" s="12"/>
      <c r="D11" s="12"/>
      <c r="E11" s="12"/>
      <c r="F11" s="12"/>
      <c r="G11" s="6"/>
      <c r="H11" s="6"/>
    </row>
    <row r="12" spans="1:8" ht="135">
      <c r="A12" s="13"/>
      <c r="B12" s="15" t="s">
        <v>6466</v>
      </c>
      <c r="C12" s="12"/>
      <c r="D12" s="12"/>
      <c r="E12" s="12"/>
      <c r="F12" s="12"/>
      <c r="G12" s="6"/>
      <c r="H12" s="6"/>
    </row>
    <row r="13" spans="1:8" ht="15">
      <c r="A13" s="13"/>
      <c r="B13" s="11" t="s">
        <v>6467</v>
      </c>
      <c r="C13" s="12"/>
      <c r="D13" s="12"/>
      <c r="E13" s="12"/>
      <c r="F13" s="12"/>
      <c r="G13" s="6"/>
      <c r="H13" s="6"/>
    </row>
    <row r="14" spans="1:8" ht="165">
      <c r="A14" s="13"/>
      <c r="B14" s="16" t="s">
        <v>6468</v>
      </c>
      <c r="C14" s="12"/>
      <c r="D14" s="12"/>
      <c r="E14" s="12"/>
      <c r="F14" s="12"/>
      <c r="G14" s="6"/>
      <c r="H14" s="6"/>
    </row>
    <row r="15" spans="1:8" ht="105">
      <c r="A15" s="13"/>
      <c r="B15" s="17" t="s">
        <v>6469</v>
      </c>
      <c r="C15" s="12"/>
      <c r="D15" s="12"/>
      <c r="E15" s="12"/>
      <c r="F15" s="12"/>
      <c r="G15" s="6"/>
      <c r="H15" s="6"/>
    </row>
    <row r="16" spans="1:8" ht="15">
      <c r="A16" s="13"/>
      <c r="B16" s="18" t="s">
        <v>6470</v>
      </c>
      <c r="C16" s="12"/>
      <c r="D16" s="12"/>
      <c r="E16" s="12"/>
      <c r="F16" s="12"/>
      <c r="G16" s="6"/>
      <c r="H16" s="6"/>
    </row>
    <row r="17" spans="1:8" ht="15">
      <c r="A17" s="13"/>
      <c r="B17" s="14" t="s">
        <v>6471</v>
      </c>
      <c r="C17" s="12"/>
      <c r="D17" s="19"/>
      <c r="E17" s="12"/>
      <c r="F17" s="12"/>
      <c r="G17" s="20"/>
      <c r="H17" s="6"/>
    </row>
    <row r="18" spans="1:8" ht="15">
      <c r="A18" s="13"/>
      <c r="B18" s="14" t="s">
        <v>6472</v>
      </c>
      <c r="C18" s="12"/>
      <c r="D18" s="12"/>
      <c r="E18" s="12"/>
      <c r="F18" s="12"/>
      <c r="G18" s="6"/>
      <c r="H18" s="6"/>
    </row>
    <row r="19" spans="1:8" ht="15">
      <c r="A19" s="13"/>
      <c r="B19" s="14" t="s">
        <v>6473</v>
      </c>
      <c r="C19" s="12"/>
      <c r="D19" s="12"/>
      <c r="E19" s="12"/>
      <c r="F19" s="12"/>
      <c r="G19" s="6"/>
      <c r="H19" s="6"/>
    </row>
    <row r="20" spans="1:8" ht="15">
      <c r="A20" s="13"/>
      <c r="B20" s="14" t="s">
        <v>6474</v>
      </c>
      <c r="C20" s="12"/>
      <c r="D20" s="12"/>
      <c r="E20" s="12"/>
      <c r="F20" s="12"/>
      <c r="G20" s="6"/>
      <c r="H20" s="6"/>
    </row>
    <row r="21" spans="1:8" ht="20.25" customHeight="1">
      <c r="A21" s="13"/>
      <c r="B21" s="14" t="s">
        <v>6475</v>
      </c>
      <c r="C21" s="19"/>
      <c r="D21" s="12"/>
      <c r="E21" s="12"/>
      <c r="F21" s="12"/>
      <c r="G21" s="20"/>
      <c r="H21" s="6"/>
    </row>
    <row r="22" spans="1:8" ht="15">
      <c r="A22" s="13"/>
      <c r="B22" s="14" t="s">
        <v>6476</v>
      </c>
      <c r="C22" s="12"/>
      <c r="D22" s="12"/>
      <c r="E22" s="12"/>
      <c r="F22" s="12"/>
      <c r="G22" s="6"/>
      <c r="H22" s="6"/>
    </row>
    <row r="23" spans="1:8" ht="75" customHeight="1">
      <c r="A23" s="13"/>
      <c r="B23" s="11" t="s">
        <v>6477</v>
      </c>
      <c r="C23" s="12"/>
      <c r="D23" s="12"/>
      <c r="E23" s="12"/>
      <c r="F23" s="12"/>
      <c r="G23" s="6"/>
      <c r="H23" s="6"/>
    </row>
    <row r="24" spans="1:8" ht="90">
      <c r="A24" s="13"/>
      <c r="B24" s="11" t="s">
        <v>6478</v>
      </c>
      <c r="C24" s="12"/>
      <c r="D24" s="12"/>
      <c r="E24" s="12"/>
      <c r="F24" s="12"/>
      <c r="G24" s="6"/>
      <c r="H24" s="6"/>
    </row>
    <row r="25" spans="1:8" ht="78">
      <c r="A25" s="13"/>
      <c r="B25" s="14" t="s">
        <v>6479</v>
      </c>
      <c r="C25" s="19"/>
      <c r="D25" s="12"/>
      <c r="E25" s="12"/>
      <c r="F25" s="12"/>
      <c r="G25" s="20"/>
      <c r="H25" s="6"/>
    </row>
    <row r="26" spans="1:8" ht="30">
      <c r="A26" s="13"/>
      <c r="B26" s="14" t="s">
        <v>6480</v>
      </c>
      <c r="C26" s="12"/>
      <c r="D26" s="12"/>
      <c r="E26" s="12"/>
      <c r="F26" s="12"/>
      <c r="G26" s="6"/>
      <c r="H26" s="6"/>
    </row>
    <row r="27" spans="1:8" ht="15">
      <c r="A27" s="13"/>
      <c r="B27" s="14" t="s">
        <v>6481</v>
      </c>
      <c r="C27" s="12"/>
      <c r="D27" s="12"/>
      <c r="E27" s="12"/>
      <c r="F27" s="12"/>
      <c r="G27" s="6"/>
      <c r="H27" s="6"/>
    </row>
    <row r="28" spans="1:8" ht="30">
      <c r="A28" s="13"/>
      <c r="B28" s="14" t="s">
        <v>6482</v>
      </c>
      <c r="C28" s="12"/>
      <c r="D28" s="12"/>
      <c r="E28" s="12"/>
      <c r="F28" s="12"/>
      <c r="G28" s="6"/>
      <c r="H28" s="6"/>
    </row>
    <row r="29" spans="1:8" ht="45">
      <c r="A29" s="13"/>
      <c r="B29" s="21" t="s">
        <v>6483</v>
      </c>
      <c r="C29" s="19"/>
      <c r="D29" s="12"/>
      <c r="E29" s="12"/>
      <c r="F29" s="12"/>
      <c r="G29" s="20"/>
      <c r="H29" s="6"/>
    </row>
    <row r="30" spans="1:8" ht="15">
      <c r="A30" s="13"/>
      <c r="B30" s="11" t="s">
        <v>6484</v>
      </c>
      <c r="C30" s="12"/>
      <c r="D30" s="12"/>
      <c r="E30" s="12"/>
      <c r="F30" s="12"/>
      <c r="G30" s="6"/>
      <c r="H30" s="6"/>
    </row>
    <row r="31" spans="1:8" ht="28.5">
      <c r="A31" s="1618"/>
      <c r="B31" s="1629" t="s">
        <v>6485</v>
      </c>
      <c r="C31" s="1620" t="s">
        <v>6486</v>
      </c>
      <c r="D31" s="1620"/>
      <c r="E31" s="1620"/>
      <c r="F31" s="1620"/>
      <c r="G31" s="1621">
        <v>1</v>
      </c>
      <c r="H31" s="1621" t="s">
        <v>727</v>
      </c>
    </row>
    <row r="32" spans="1:8" ht="15">
      <c r="A32" s="13"/>
      <c r="B32" s="11"/>
      <c r="C32" s="12"/>
      <c r="D32" s="12"/>
      <c r="E32" s="12"/>
      <c r="F32" s="12"/>
      <c r="G32" s="6"/>
      <c r="H32" s="6"/>
    </row>
    <row r="33" spans="1:8" ht="28.5">
      <c r="A33" s="13" t="s">
        <v>85</v>
      </c>
      <c r="B33" s="11" t="s">
        <v>6487</v>
      </c>
      <c r="C33" s="12"/>
      <c r="D33" s="12"/>
      <c r="E33" s="12"/>
      <c r="F33" s="12"/>
      <c r="G33" s="6"/>
      <c r="H33" s="6"/>
    </row>
    <row r="34" spans="1:8" ht="30">
      <c r="A34" s="1618">
        <v>2</v>
      </c>
      <c r="B34" s="1628" t="s">
        <v>6488</v>
      </c>
      <c r="C34" s="1620"/>
      <c r="D34" s="1620"/>
      <c r="E34" s="1620"/>
      <c r="F34" s="1620"/>
      <c r="G34" s="1621">
        <v>1</v>
      </c>
      <c r="H34" s="1621" t="s">
        <v>727</v>
      </c>
    </row>
    <row r="35" spans="1:8" ht="15">
      <c r="A35" s="13"/>
      <c r="B35" s="14"/>
      <c r="C35" s="12"/>
      <c r="D35" s="12"/>
      <c r="E35" s="12"/>
      <c r="F35" s="12"/>
      <c r="G35" s="6"/>
      <c r="H35" s="6"/>
    </row>
    <row r="36" spans="1:8" ht="45">
      <c r="A36" s="1618">
        <v>3</v>
      </c>
      <c r="B36" s="1623" t="s">
        <v>6204</v>
      </c>
      <c r="C36" s="1620" t="s">
        <v>6486</v>
      </c>
      <c r="D36" s="1620"/>
      <c r="E36" s="1620"/>
      <c r="F36" s="1620"/>
      <c r="G36" s="1621">
        <v>1</v>
      </c>
      <c r="H36" s="1621" t="s">
        <v>727</v>
      </c>
    </row>
    <row r="37" spans="1:8" ht="15">
      <c r="A37" s="13"/>
      <c r="B37" s="14"/>
      <c r="C37" s="12"/>
      <c r="D37" s="12"/>
      <c r="E37" s="12"/>
      <c r="F37" s="12"/>
      <c r="G37" s="6"/>
      <c r="H37" s="6"/>
    </row>
    <row r="38" spans="1:8" ht="120">
      <c r="A38" s="1618">
        <v>4</v>
      </c>
      <c r="B38" s="1628" t="s">
        <v>6489</v>
      </c>
      <c r="C38" s="1620" t="s">
        <v>6486</v>
      </c>
      <c r="D38" s="1620"/>
      <c r="E38" s="1620"/>
      <c r="F38" s="1620"/>
      <c r="G38" s="1621">
        <v>1</v>
      </c>
      <c r="H38" s="1621" t="s">
        <v>727</v>
      </c>
    </row>
    <row r="39" spans="1:8" ht="15">
      <c r="A39" s="13"/>
      <c r="B39" s="14"/>
      <c r="C39" s="12"/>
      <c r="D39" s="12"/>
      <c r="E39" s="12"/>
      <c r="F39" s="12"/>
      <c r="G39" s="6"/>
      <c r="H39" s="6"/>
    </row>
    <row r="40" spans="1:8" ht="15">
      <c r="A40" s="13"/>
      <c r="B40" s="22" t="s">
        <v>6208</v>
      </c>
      <c r="C40" s="12"/>
      <c r="D40" s="12"/>
      <c r="E40" s="12"/>
      <c r="F40" s="12"/>
      <c r="G40" s="6"/>
      <c r="H40" s="6"/>
    </row>
    <row r="41" spans="1:8" ht="60">
      <c r="A41" s="1618">
        <v>5</v>
      </c>
      <c r="B41" s="1627" t="s">
        <v>6209</v>
      </c>
      <c r="C41" s="1620"/>
      <c r="D41" s="1620"/>
      <c r="E41" s="1620"/>
      <c r="F41" s="1620"/>
      <c r="G41" s="1621">
        <v>5</v>
      </c>
      <c r="H41" s="1621" t="s">
        <v>3101</v>
      </c>
    </row>
    <row r="42" spans="1:8" ht="15">
      <c r="A42" s="13"/>
      <c r="B42" s="23"/>
      <c r="C42" s="12"/>
      <c r="D42" s="12"/>
      <c r="E42" s="12"/>
      <c r="F42" s="12"/>
      <c r="G42" s="6"/>
      <c r="H42" s="6"/>
    </row>
    <row r="43" spans="1:8" ht="45">
      <c r="A43" s="1618">
        <v>6</v>
      </c>
      <c r="B43" s="1627" t="s">
        <v>6490</v>
      </c>
      <c r="C43" s="1620"/>
      <c r="D43" s="1620"/>
      <c r="E43" s="1620"/>
      <c r="F43" s="1620"/>
      <c r="G43" s="1621">
        <v>5</v>
      </c>
      <c r="H43" s="1621" t="s">
        <v>3101</v>
      </c>
    </row>
    <row r="44" spans="1:8" ht="15">
      <c r="A44" s="13"/>
      <c r="B44" s="23"/>
      <c r="C44" s="12"/>
      <c r="D44" s="12"/>
      <c r="E44" s="12"/>
      <c r="F44" s="12"/>
      <c r="G44" s="6"/>
      <c r="H44" s="6"/>
    </row>
    <row r="45" spans="1:8" ht="75">
      <c r="A45" s="1618">
        <v>7</v>
      </c>
      <c r="B45" s="1627" t="s">
        <v>6211</v>
      </c>
      <c r="C45" s="1620"/>
      <c r="D45" s="1620"/>
      <c r="E45" s="1620"/>
      <c r="F45" s="1620"/>
      <c r="G45" s="1621">
        <v>8</v>
      </c>
      <c r="H45" s="1621" t="s">
        <v>3101</v>
      </c>
    </row>
    <row r="46" spans="1:8" ht="15">
      <c r="A46" s="13"/>
      <c r="B46" s="23"/>
      <c r="C46" s="12"/>
      <c r="D46" s="12"/>
      <c r="E46" s="12"/>
      <c r="F46" s="12"/>
      <c r="G46" s="6"/>
      <c r="H46" s="6"/>
    </row>
    <row r="47" spans="1:8" ht="60">
      <c r="A47" s="1618">
        <v>8</v>
      </c>
      <c r="B47" s="1627" t="s">
        <v>6212</v>
      </c>
      <c r="C47" s="1620"/>
      <c r="D47" s="1620"/>
      <c r="E47" s="1620"/>
      <c r="F47" s="1620"/>
      <c r="G47" s="1621">
        <v>1</v>
      </c>
      <c r="H47" s="1621" t="s">
        <v>3101</v>
      </c>
    </row>
    <row r="48" spans="1:8" ht="15.75">
      <c r="A48" s="24"/>
      <c r="B48" s="25" t="s">
        <v>6213</v>
      </c>
      <c r="C48" s="12"/>
      <c r="D48" s="12"/>
      <c r="E48" s="12"/>
      <c r="F48" s="12"/>
      <c r="G48" s="6"/>
      <c r="H48" s="6"/>
    </row>
    <row r="49" spans="1:8" ht="110.25">
      <c r="A49" s="1626">
        <v>9</v>
      </c>
      <c r="B49" s="1619" t="s">
        <v>6491</v>
      </c>
      <c r="C49" s="1620"/>
      <c r="D49" s="1620"/>
      <c r="E49" s="1620"/>
      <c r="F49" s="1620"/>
      <c r="G49" s="1621">
        <v>1</v>
      </c>
      <c r="H49" s="1621" t="s">
        <v>6492</v>
      </c>
    </row>
    <row r="50" spans="1:8" ht="15">
      <c r="A50" s="10"/>
      <c r="B50" s="14"/>
      <c r="C50" s="12"/>
      <c r="D50" s="12"/>
      <c r="E50" s="12"/>
      <c r="F50" s="12"/>
      <c r="G50" s="6"/>
      <c r="H50" s="6"/>
    </row>
    <row r="51" spans="1:8" ht="15">
      <c r="A51" s="13">
        <v>10</v>
      </c>
      <c r="B51" s="22" t="s">
        <v>6493</v>
      </c>
      <c r="C51" s="12"/>
      <c r="D51" s="12"/>
      <c r="E51" s="12"/>
      <c r="F51" s="12"/>
      <c r="G51" s="6"/>
      <c r="H51" s="6"/>
    </row>
    <row r="52" spans="1:8" ht="60">
      <c r="A52" s="13"/>
      <c r="B52" s="27" t="s">
        <v>6218</v>
      </c>
      <c r="C52" s="12"/>
      <c r="D52" s="12"/>
      <c r="E52" s="12"/>
      <c r="F52" s="12"/>
      <c r="G52" s="6"/>
      <c r="H52" s="6"/>
    </row>
    <row r="53" spans="1:8" ht="75">
      <c r="A53" s="10"/>
      <c r="B53" s="27" t="s">
        <v>6151</v>
      </c>
      <c r="C53" s="12"/>
      <c r="D53" s="12"/>
      <c r="E53" s="12"/>
      <c r="F53" s="12"/>
      <c r="G53" s="6"/>
      <c r="H53" s="6"/>
    </row>
    <row r="54" spans="1:8" ht="30">
      <c r="A54" s="1624"/>
      <c r="B54" s="1623" t="s">
        <v>6494</v>
      </c>
      <c r="C54" s="1620"/>
      <c r="D54" s="1620"/>
      <c r="E54" s="1620"/>
      <c r="F54" s="1620"/>
      <c r="G54" s="1621">
        <v>75</v>
      </c>
      <c r="H54" s="1621" t="s">
        <v>3101</v>
      </c>
    </row>
    <row r="55" spans="1:8" s="1622" customFormat="1" ht="45">
      <c r="A55" s="1618">
        <v>11</v>
      </c>
      <c r="B55" s="1625" t="s">
        <v>6156</v>
      </c>
      <c r="C55" s="1620"/>
      <c r="D55" s="1620"/>
      <c r="E55" s="1620"/>
      <c r="F55" s="1620"/>
      <c r="G55" s="1621"/>
      <c r="H55" s="1621"/>
    </row>
    <row r="56" spans="1:8" s="1622" customFormat="1" ht="15">
      <c r="A56" s="1624"/>
      <c r="B56" s="1623" t="s">
        <v>6495</v>
      </c>
      <c r="C56" s="1620"/>
      <c r="D56" s="1620"/>
      <c r="E56" s="1620"/>
      <c r="F56" s="1620"/>
      <c r="G56" s="1621">
        <v>4</v>
      </c>
      <c r="H56" s="1621" t="s">
        <v>727</v>
      </c>
    </row>
    <row r="57" spans="1:8" ht="15">
      <c r="A57" s="10"/>
      <c r="B57" s="27"/>
      <c r="C57" s="12"/>
      <c r="D57" s="12"/>
      <c r="E57" s="12"/>
      <c r="F57" s="12"/>
      <c r="G57" s="6"/>
      <c r="H57" s="6"/>
    </row>
    <row r="58" spans="1:8" s="1622" customFormat="1" ht="60">
      <c r="A58" s="1618">
        <v>12</v>
      </c>
      <c r="B58" s="1623" t="s">
        <v>6162</v>
      </c>
      <c r="C58" s="1620"/>
      <c r="D58" s="1620"/>
      <c r="E58" s="1620"/>
      <c r="F58" s="1620"/>
      <c r="G58" s="1621"/>
      <c r="H58" s="1621"/>
    </row>
    <row r="59" spans="1:8" s="1622" customFormat="1" ht="15">
      <c r="A59" s="1624"/>
      <c r="B59" s="1623" t="s">
        <v>6496</v>
      </c>
      <c r="C59" s="1620"/>
      <c r="D59" s="1620"/>
      <c r="E59" s="1620"/>
      <c r="F59" s="1620"/>
      <c r="G59" s="1621">
        <v>4</v>
      </c>
      <c r="H59" s="1621" t="s">
        <v>727</v>
      </c>
    </row>
    <row r="60" spans="1:8" ht="15">
      <c r="A60" s="10"/>
      <c r="B60" s="27"/>
      <c r="C60" s="12"/>
      <c r="D60" s="12"/>
      <c r="E60" s="12"/>
      <c r="F60" s="12"/>
      <c r="G60" s="6"/>
      <c r="H60" s="6"/>
    </row>
    <row r="61" spans="1:8" ht="15">
      <c r="A61" s="10"/>
      <c r="B61" s="28" t="s">
        <v>6497</v>
      </c>
      <c r="C61" s="12"/>
      <c r="D61" s="12"/>
      <c r="E61" s="12"/>
      <c r="F61" s="12"/>
      <c r="G61" s="6"/>
      <c r="H61" s="6"/>
    </row>
    <row r="62" spans="1:8" ht="90">
      <c r="A62" s="13">
        <v>13</v>
      </c>
      <c r="B62" s="27" t="s">
        <v>6498</v>
      </c>
      <c r="C62" s="12"/>
      <c r="D62" s="12"/>
      <c r="E62" s="12"/>
      <c r="F62" s="12"/>
      <c r="G62" s="6">
        <v>3</v>
      </c>
      <c r="H62" s="6" t="s">
        <v>727</v>
      </c>
    </row>
    <row r="63" spans="1:8" ht="15">
      <c r="A63" s="10"/>
      <c r="B63" s="27"/>
      <c r="C63" s="12"/>
      <c r="D63" s="12"/>
      <c r="E63" s="12"/>
      <c r="F63" s="12"/>
      <c r="G63" s="6"/>
      <c r="H63" s="6"/>
    </row>
    <row r="64" spans="1:8" ht="110.25">
      <c r="A64" s="13">
        <v>14</v>
      </c>
      <c r="B64" s="29" t="s">
        <v>6499</v>
      </c>
      <c r="C64" s="12"/>
      <c r="D64" s="12"/>
      <c r="E64" s="12"/>
      <c r="F64" s="12"/>
      <c r="G64" s="6">
        <v>2</v>
      </c>
      <c r="H64" s="6" t="s">
        <v>6500</v>
      </c>
    </row>
    <row r="65" spans="1:8" ht="15.75">
      <c r="A65" s="13"/>
      <c r="B65" s="29"/>
      <c r="C65" s="12"/>
      <c r="D65" s="12"/>
      <c r="E65" s="12"/>
      <c r="F65" s="12"/>
      <c r="G65" s="6"/>
      <c r="H65" s="6"/>
    </row>
    <row r="66" spans="1:8" ht="30">
      <c r="A66" s="13">
        <v>15</v>
      </c>
      <c r="B66" s="30" t="s">
        <v>6501</v>
      </c>
      <c r="C66" s="12"/>
      <c r="D66" s="12"/>
      <c r="E66" s="12"/>
      <c r="F66" s="12"/>
      <c r="G66" s="6">
        <v>100</v>
      </c>
      <c r="H66" s="6" t="s">
        <v>3101</v>
      </c>
    </row>
    <row r="67" spans="1:8" ht="15">
      <c r="A67" s="13"/>
      <c r="B67" s="30"/>
      <c r="C67" s="12"/>
      <c r="D67" s="12"/>
      <c r="E67" s="12"/>
      <c r="F67" s="12"/>
      <c r="G67" s="6"/>
      <c r="H67" s="6"/>
    </row>
    <row r="68" spans="1:8" ht="104.25">
      <c r="A68" s="13">
        <v>16</v>
      </c>
      <c r="B68" s="27" t="s">
        <v>6502</v>
      </c>
      <c r="C68" s="12"/>
      <c r="D68" s="12"/>
      <c r="E68" s="12"/>
      <c r="F68" s="12"/>
      <c r="G68" s="6">
        <v>40</v>
      </c>
      <c r="H68" s="6" t="s">
        <v>3101</v>
      </c>
    </row>
    <row r="69" spans="1:8" ht="15">
      <c r="A69" s="13"/>
      <c r="B69" s="27"/>
      <c r="C69" s="12"/>
      <c r="D69" s="12"/>
      <c r="E69" s="12"/>
      <c r="F69" s="12"/>
      <c r="G69" s="6"/>
      <c r="H69" s="6"/>
    </row>
    <row r="70" spans="1:8" ht="90">
      <c r="A70" s="13">
        <v>17</v>
      </c>
      <c r="B70" s="27" t="s">
        <v>6503</v>
      </c>
      <c r="C70" s="12"/>
      <c r="D70" s="12"/>
      <c r="E70" s="12"/>
      <c r="F70" s="12"/>
      <c r="G70" s="6">
        <v>30</v>
      </c>
      <c r="H70" s="6" t="s">
        <v>3101</v>
      </c>
    </row>
    <row r="71" spans="1:8" ht="15">
      <c r="A71" s="13"/>
      <c r="B71" s="27"/>
      <c r="C71" s="12"/>
      <c r="D71" s="12"/>
      <c r="E71" s="12"/>
      <c r="F71" s="12"/>
      <c r="G71" s="6"/>
      <c r="H71" s="6"/>
    </row>
    <row r="72" spans="1:8" ht="15">
      <c r="A72" s="13"/>
      <c r="B72" s="31" t="s">
        <v>6221</v>
      </c>
      <c r="C72" s="12"/>
      <c r="D72" s="12"/>
      <c r="E72" s="12"/>
      <c r="F72" s="12"/>
      <c r="G72" s="6"/>
      <c r="H72" s="6"/>
    </row>
    <row r="73" spans="1:8" s="1622" customFormat="1" ht="78.75">
      <c r="A73" s="1618">
        <v>18</v>
      </c>
      <c r="B73" s="1619" t="s">
        <v>6504</v>
      </c>
      <c r="C73" s="1620"/>
      <c r="D73" s="1620"/>
      <c r="E73" s="1620"/>
      <c r="F73" s="1620"/>
      <c r="G73" s="1621">
        <v>50</v>
      </c>
      <c r="H73" s="1621" t="s">
        <v>6505</v>
      </c>
    </row>
    <row r="74" spans="1:8" ht="15">
      <c r="A74" s="13"/>
      <c r="B74" s="27"/>
      <c r="C74" s="12"/>
      <c r="D74" s="12"/>
      <c r="E74" s="12"/>
      <c r="F74" s="12"/>
      <c r="G74" s="6"/>
      <c r="H74" s="6"/>
    </row>
    <row r="75" spans="1:8" ht="15">
      <c r="A75" s="13"/>
      <c r="B75" s="32" t="s">
        <v>6506</v>
      </c>
      <c r="C75" s="12"/>
      <c r="D75" s="12"/>
      <c r="E75" s="12"/>
      <c r="F75" s="12"/>
      <c r="G75" s="6"/>
      <c r="H75" s="6"/>
    </row>
    <row r="76" spans="1:8" ht="270">
      <c r="A76" s="33">
        <v>19</v>
      </c>
      <c r="B76" s="34" t="s">
        <v>6507</v>
      </c>
      <c r="C76" s="12"/>
      <c r="D76" s="12"/>
      <c r="E76" s="12"/>
      <c r="F76" s="12"/>
      <c r="G76" s="6"/>
      <c r="H76" s="6"/>
    </row>
    <row r="77" spans="1:8" ht="73.5">
      <c r="A77" s="35"/>
      <c r="B77" s="34" t="s">
        <v>6508</v>
      </c>
      <c r="C77" s="12"/>
      <c r="D77" s="12"/>
      <c r="E77" s="12"/>
      <c r="F77" s="12"/>
      <c r="G77" s="6"/>
      <c r="H77" s="6"/>
    </row>
    <row r="78" spans="1:8" ht="45">
      <c r="A78" s="35"/>
      <c r="B78" s="34" t="s">
        <v>6509</v>
      </c>
      <c r="C78" s="12"/>
      <c r="D78" s="12"/>
      <c r="E78" s="12"/>
      <c r="F78" s="12"/>
      <c r="G78" s="6"/>
      <c r="H78" s="6"/>
    </row>
    <row r="79" spans="1:8" ht="15">
      <c r="A79" s="36"/>
      <c r="B79" s="37" t="s">
        <v>6510</v>
      </c>
      <c r="C79" s="12"/>
      <c r="D79" s="12"/>
      <c r="E79" s="12"/>
      <c r="F79" s="12"/>
      <c r="G79" s="6">
        <v>1</v>
      </c>
      <c r="H79" s="6" t="s">
        <v>727</v>
      </c>
    </row>
    <row r="80" spans="1:8" ht="15.75">
      <c r="A80" s="24"/>
      <c r="B80" s="25" t="s">
        <v>6511</v>
      </c>
      <c r="C80" s="12"/>
      <c r="D80" s="12"/>
      <c r="E80" s="12"/>
      <c r="F80" s="12"/>
      <c r="G80" s="6"/>
      <c r="H80" s="6"/>
    </row>
    <row r="81" spans="1:8" ht="31.5">
      <c r="A81" s="24">
        <v>20</v>
      </c>
      <c r="B81" s="26" t="s">
        <v>6512</v>
      </c>
      <c r="C81" s="12"/>
      <c r="D81" s="12"/>
      <c r="E81" s="12"/>
      <c r="F81" s="12"/>
      <c r="G81" s="6">
        <v>1</v>
      </c>
      <c r="H81" s="6"/>
    </row>
    <row r="82" spans="1:8" ht="31.5">
      <c r="A82" s="24"/>
      <c r="B82" s="26" t="s">
        <v>6513</v>
      </c>
      <c r="C82" s="12"/>
      <c r="D82" s="12"/>
      <c r="E82" s="12"/>
      <c r="F82" s="12"/>
      <c r="G82" s="6">
        <v>1</v>
      </c>
      <c r="H82" s="6"/>
    </row>
    <row r="83" spans="1:8" ht="31.5">
      <c r="A83" s="1626"/>
      <c r="B83" s="1619" t="s">
        <v>6514</v>
      </c>
      <c r="C83" s="1620"/>
      <c r="D83" s="1620"/>
      <c r="E83" s="1620"/>
      <c r="F83" s="1620"/>
      <c r="G83" s="1621">
        <v>1</v>
      </c>
      <c r="H83" s="1621"/>
    </row>
    <row r="84" spans="1:8" ht="31.5">
      <c r="A84" s="1626"/>
      <c r="B84" s="1619" t="s">
        <v>6515</v>
      </c>
      <c r="C84" s="1620"/>
      <c r="D84" s="1620"/>
      <c r="E84" s="1620"/>
      <c r="F84" s="1620"/>
      <c r="G84" s="1621">
        <v>1</v>
      </c>
      <c r="H84" s="1621" t="s">
        <v>3092</v>
      </c>
    </row>
  </sheetData>
  <mergeCells count="2">
    <mergeCell ref="A1:G1"/>
    <mergeCell ref="A2:G2"/>
  </mergeCells>
  <pageMargins left="0.75" right="0.71" top="1" bottom="1" header="0.5" footer="0.5"/>
  <pageSetup paperSize="9" scale="76" orientation="portrait" r:id="rId1"/>
  <rowBreaks count="2" manualBreakCount="2">
    <brk id="44" max="7" man="1"/>
    <brk id="62" max="7" man="1"/>
  </rowBreaks>
</worksheet>
</file>

<file path=xl/worksheets/sheet18.xml><?xml version="1.0" encoding="utf-8"?>
<worksheet xmlns="http://schemas.openxmlformats.org/spreadsheetml/2006/main" xmlns:r="http://schemas.openxmlformats.org/officeDocument/2006/relationships">
  <sheetPr codeName="Sheet17">
    <tabColor rgb="FFFFFF00"/>
  </sheetPr>
  <dimension ref="A1:IV2739"/>
  <sheetViews>
    <sheetView view="pageBreakPreview" topLeftCell="A243" zoomScale="120" zoomScaleSheetLayoutView="120" workbookViewId="0">
      <selection activeCell="K577" sqref="K577"/>
    </sheetView>
  </sheetViews>
  <sheetFormatPr defaultRowHeight="15.75"/>
  <cols>
    <col min="1" max="1" width="6.109375" style="1175" bestFit="1" customWidth="1"/>
    <col min="2" max="2" width="30.21875" style="1205" customWidth="1"/>
    <col min="3" max="3" width="3.88671875" style="1175" customWidth="1"/>
    <col min="4" max="4" width="2.44140625" style="1175" customWidth="1"/>
    <col min="5" max="5" width="2.77734375" style="1175" customWidth="1"/>
    <col min="6" max="6" width="7.109375" style="1175" customWidth="1"/>
    <col min="7" max="7" width="6.44140625" style="1175" customWidth="1"/>
    <col min="8" max="8" width="6" style="1175" customWidth="1"/>
    <col min="9" max="9" width="8.5546875" style="1175" customWidth="1"/>
    <col min="10" max="10" width="6.44140625" style="1175" customWidth="1"/>
    <col min="11" max="16384" width="8.88671875" style="1175"/>
  </cols>
  <sheetData>
    <row r="1" spans="1:11" ht="45" customHeight="1">
      <c r="A1" s="1834" t="s">
        <v>6516</v>
      </c>
      <c r="B1" s="1834"/>
      <c r="C1" s="1834"/>
      <c r="D1" s="1834"/>
      <c r="E1" s="1834"/>
      <c r="F1" s="1834"/>
      <c r="G1" s="1834"/>
      <c r="H1" s="1834"/>
      <c r="I1" s="1834"/>
      <c r="J1" s="1834"/>
    </row>
    <row r="2" spans="1:11" ht="20.25">
      <c r="A2" s="1835" t="s">
        <v>6517</v>
      </c>
      <c r="B2" s="1835"/>
      <c r="C2" s="1835"/>
      <c r="D2" s="1835"/>
      <c r="E2" s="1835"/>
      <c r="F2" s="1835"/>
      <c r="G2" s="1835"/>
      <c r="H2" s="1835"/>
      <c r="I2" s="1835"/>
      <c r="J2" s="1835"/>
    </row>
    <row r="3" spans="1:11" ht="16.5">
      <c r="A3" s="1836" t="s">
        <v>5288</v>
      </c>
      <c r="B3" s="1837" t="s">
        <v>6518</v>
      </c>
      <c r="C3" s="1838" t="s">
        <v>3081</v>
      </c>
      <c r="D3" s="1838"/>
      <c r="E3" s="1838"/>
      <c r="F3" s="1839" t="s">
        <v>6519</v>
      </c>
      <c r="G3" s="1839"/>
      <c r="H3" s="1839"/>
      <c r="I3" s="1839" t="s">
        <v>6520</v>
      </c>
      <c r="J3" s="1839" t="s">
        <v>3199</v>
      </c>
    </row>
    <row r="4" spans="1:11" ht="16.5">
      <c r="A4" s="1836"/>
      <c r="B4" s="1837"/>
      <c r="C4" s="1838"/>
      <c r="D4" s="1838"/>
      <c r="E4" s="1838"/>
      <c r="F4" s="1223" t="s">
        <v>3362</v>
      </c>
      <c r="G4" s="1223" t="s">
        <v>634</v>
      </c>
      <c r="H4" s="1223" t="s">
        <v>3363</v>
      </c>
      <c r="I4" s="1839"/>
      <c r="J4" s="1839"/>
    </row>
    <row r="5" spans="1:11" s="1209" customFormat="1" ht="106.5" customHeight="1">
      <c r="A5" s="1176">
        <v>1.1000000000000001</v>
      </c>
      <c r="B5" s="1187" t="s">
        <v>3367</v>
      </c>
      <c r="C5" s="1251"/>
      <c r="D5" s="1251"/>
      <c r="E5" s="1251"/>
      <c r="F5" s="1177"/>
      <c r="G5" s="1177"/>
      <c r="H5" s="1177"/>
      <c r="I5" s="1178"/>
      <c r="J5" s="1179"/>
    </row>
    <row r="6" spans="1:11" s="1209" customFormat="1">
      <c r="A6" s="1176"/>
      <c r="B6" s="1199" t="s">
        <v>3368</v>
      </c>
      <c r="C6" s="1251"/>
      <c r="D6" s="1251"/>
      <c r="E6" s="1251"/>
      <c r="F6" s="1177"/>
      <c r="G6" s="1177"/>
      <c r="H6" s="1177"/>
      <c r="I6" s="1178"/>
      <c r="J6" s="1179"/>
    </row>
    <row r="7" spans="1:11" s="1209" customFormat="1">
      <c r="A7" s="1176"/>
      <c r="B7" s="1199" t="s">
        <v>6521</v>
      </c>
      <c r="C7" s="1251">
        <v>1</v>
      </c>
      <c r="D7" s="1251" t="s">
        <v>3364</v>
      </c>
      <c r="E7" s="1251">
        <v>8</v>
      </c>
      <c r="F7" s="1177">
        <f>2.5+0.3</f>
        <v>2.8</v>
      </c>
      <c r="G7" s="1177">
        <f>2.5+0.3</f>
        <v>2.8</v>
      </c>
      <c r="H7" s="1177">
        <v>2</v>
      </c>
      <c r="I7" s="1178">
        <f t="shared" ref="I7:I12" si="0">PRODUCT(C7:H7)</f>
        <v>125.44</v>
      </c>
      <c r="J7" s="1179"/>
    </row>
    <row r="8" spans="1:11" s="1209" customFormat="1" ht="16.5" customHeight="1">
      <c r="A8" s="1176"/>
      <c r="B8" s="1199" t="s">
        <v>6522</v>
      </c>
      <c r="C8" s="1251">
        <v>1</v>
      </c>
      <c r="D8" s="1251" t="s">
        <v>3364</v>
      </c>
      <c r="E8" s="1251">
        <v>2</v>
      </c>
      <c r="F8" s="1177">
        <f>2.7+0.3</f>
        <v>3</v>
      </c>
      <c r="G8" s="1177">
        <f>2.7+0.3</f>
        <v>3</v>
      </c>
      <c r="H8" s="1177">
        <v>2</v>
      </c>
      <c r="I8" s="1178">
        <f t="shared" si="0"/>
        <v>36</v>
      </c>
      <c r="J8" s="1179"/>
    </row>
    <row r="9" spans="1:11" s="1209" customFormat="1">
      <c r="A9" s="1176"/>
      <c r="B9" s="1199" t="s">
        <v>6523</v>
      </c>
      <c r="C9" s="1251">
        <v>1</v>
      </c>
      <c r="D9" s="1251" t="s">
        <v>3364</v>
      </c>
      <c r="E9" s="1251">
        <v>13</v>
      </c>
      <c r="F9" s="1177">
        <f>3.25+0.3</f>
        <v>3.55</v>
      </c>
      <c r="G9" s="1177">
        <f>3.25+0.3</f>
        <v>3.55</v>
      </c>
      <c r="H9" s="1177">
        <v>2</v>
      </c>
      <c r="I9" s="1178">
        <f t="shared" si="0"/>
        <v>327.67</v>
      </c>
      <c r="J9" s="1179"/>
    </row>
    <row r="10" spans="1:11" s="1209" customFormat="1">
      <c r="A10" s="1176"/>
      <c r="B10" s="1199" t="s">
        <v>6524</v>
      </c>
      <c r="C10" s="1251">
        <v>1</v>
      </c>
      <c r="D10" s="1251" t="s">
        <v>3364</v>
      </c>
      <c r="E10" s="1251">
        <v>3</v>
      </c>
      <c r="F10" s="1177">
        <f>3.3+0.3</f>
        <v>3.6</v>
      </c>
      <c r="G10" s="1177">
        <f>3.3+0.3</f>
        <v>3.6</v>
      </c>
      <c r="H10" s="1177">
        <v>2</v>
      </c>
      <c r="I10" s="1178">
        <f t="shared" si="0"/>
        <v>77.760000000000005</v>
      </c>
      <c r="J10" s="1179"/>
    </row>
    <row r="11" spans="1:11" s="1209" customFormat="1">
      <c r="A11" s="1176"/>
      <c r="B11" s="1199" t="s">
        <v>6956</v>
      </c>
      <c r="C11" s="1251">
        <v>1</v>
      </c>
      <c r="D11" s="1251" t="s">
        <v>3364</v>
      </c>
      <c r="E11" s="1251">
        <v>5</v>
      </c>
      <c r="F11" s="1177">
        <f>3.45+0.3</f>
        <v>3.75</v>
      </c>
      <c r="G11" s="1177">
        <f>3.45+0.3</f>
        <v>3.75</v>
      </c>
      <c r="H11" s="1177">
        <v>2</v>
      </c>
      <c r="I11" s="1178">
        <f t="shared" si="0"/>
        <v>140.63</v>
      </c>
      <c r="J11" s="1179"/>
    </row>
    <row r="12" spans="1:11" s="1209" customFormat="1">
      <c r="A12" s="1176"/>
      <c r="B12" s="1199" t="s">
        <v>6957</v>
      </c>
      <c r="C12" s="1251">
        <v>1</v>
      </c>
      <c r="D12" s="1251" t="s">
        <v>3364</v>
      </c>
      <c r="E12" s="1251">
        <v>1</v>
      </c>
      <c r="F12" s="1177">
        <f>2.165+0.23+0.6+0.6</f>
        <v>3.5950000000000002</v>
      </c>
      <c r="G12" s="1177">
        <f>2.82+0.23+0.6+0.6</f>
        <v>4.25</v>
      </c>
      <c r="H12" s="1177">
        <v>2</v>
      </c>
      <c r="I12" s="1178">
        <f t="shared" si="0"/>
        <v>30.56</v>
      </c>
      <c r="J12" s="1179"/>
      <c r="K12" s="1209">
        <f>1.65+0.45+0.1+0.2</f>
        <v>2.4</v>
      </c>
    </row>
    <row r="13" spans="1:11" s="1209" customFormat="1">
      <c r="A13" s="1176"/>
      <c r="B13" s="1199" t="s">
        <v>6963</v>
      </c>
      <c r="C13" s="1251"/>
      <c r="D13" s="1251"/>
      <c r="E13" s="1251"/>
      <c r="F13" s="1177"/>
      <c r="G13" s="1177"/>
      <c r="H13" s="1177"/>
      <c r="I13" s="1178"/>
      <c r="J13" s="1179"/>
    </row>
    <row r="14" spans="1:11" s="1209" customFormat="1">
      <c r="A14" s="1176"/>
      <c r="B14" s="1252" t="s">
        <v>6959</v>
      </c>
      <c r="C14" s="1251">
        <v>1</v>
      </c>
      <c r="D14" s="1251" t="s">
        <v>3364</v>
      </c>
      <c r="E14" s="1251">
        <v>2</v>
      </c>
      <c r="F14" s="1177">
        <f>35.215+0.23</f>
        <v>35.445</v>
      </c>
      <c r="G14" s="1177">
        <v>0.38</v>
      </c>
      <c r="H14" s="1177">
        <v>0.4</v>
      </c>
      <c r="I14" s="1178">
        <f>PRODUCT(C14:H14)</f>
        <v>10.78</v>
      </c>
      <c r="J14" s="1179"/>
    </row>
    <row r="15" spans="1:11" s="1209" customFormat="1">
      <c r="A15" s="1176"/>
      <c r="B15" s="1252" t="s">
        <v>6958</v>
      </c>
      <c r="C15" s="1251">
        <v>1</v>
      </c>
      <c r="D15" s="1251" t="s">
        <v>3364</v>
      </c>
      <c r="E15" s="1251">
        <v>1</v>
      </c>
      <c r="F15" s="1177">
        <v>26.745000000000001</v>
      </c>
      <c r="G15" s="1177">
        <v>0.38</v>
      </c>
      <c r="H15" s="1177">
        <v>0.4</v>
      </c>
      <c r="I15" s="1178">
        <f>PRODUCT(C15:H15)</f>
        <v>4.07</v>
      </c>
      <c r="J15" s="1179"/>
    </row>
    <row r="16" spans="1:11" s="1209" customFormat="1">
      <c r="A16" s="1176"/>
      <c r="B16" s="1252" t="s">
        <v>6960</v>
      </c>
      <c r="C16" s="1251">
        <v>1</v>
      </c>
      <c r="D16" s="1251" t="s">
        <v>3364</v>
      </c>
      <c r="E16" s="1251">
        <v>1</v>
      </c>
      <c r="F16" s="1177">
        <v>8.4700000000000006</v>
      </c>
      <c r="G16" s="1177">
        <v>0.38</v>
      </c>
      <c r="H16" s="1177">
        <v>0.4</v>
      </c>
      <c r="I16" s="1178">
        <f>PRODUCT(C16:H16)</f>
        <v>1.29</v>
      </c>
      <c r="J16" s="1179"/>
    </row>
    <row r="17" spans="1:11" s="1209" customFormat="1">
      <c r="A17" s="1176"/>
      <c r="B17" s="1252" t="s">
        <v>6961</v>
      </c>
      <c r="C17" s="1251">
        <v>1</v>
      </c>
      <c r="D17" s="1251" t="s">
        <v>3364</v>
      </c>
      <c r="E17" s="1251">
        <v>1</v>
      </c>
      <c r="F17" s="1177">
        <v>25.335000000000001</v>
      </c>
      <c r="G17" s="1177">
        <v>0.38</v>
      </c>
      <c r="H17" s="1177">
        <v>0.4</v>
      </c>
      <c r="I17" s="1178">
        <f>PRODUCT(C17:H17)</f>
        <v>3.85</v>
      </c>
      <c r="J17" s="1179"/>
    </row>
    <row r="18" spans="1:11" s="1209" customFormat="1">
      <c r="A18" s="1176"/>
      <c r="B18" s="1199" t="s">
        <v>6962</v>
      </c>
      <c r="C18" s="1251"/>
      <c r="D18" s="1251"/>
      <c r="E18" s="1251"/>
      <c r="F18" s="1177"/>
      <c r="G18" s="1177"/>
      <c r="H18" s="1177"/>
      <c r="I18" s="1178"/>
      <c r="J18" s="1179"/>
    </row>
    <row r="19" spans="1:11" s="1209" customFormat="1">
      <c r="A19" s="1176"/>
      <c r="B19" s="1252" t="s">
        <v>6972</v>
      </c>
      <c r="C19" s="1251">
        <v>1</v>
      </c>
      <c r="D19" s="1251" t="s">
        <v>3364</v>
      </c>
      <c r="E19" s="1251">
        <v>2</v>
      </c>
      <c r="F19" s="1177">
        <v>13.08</v>
      </c>
      <c r="G19" s="1177">
        <v>0.38</v>
      </c>
      <c r="H19" s="1177">
        <v>0.4</v>
      </c>
      <c r="I19" s="1178">
        <f t="shared" ref="I19:I25" si="1">PRODUCT(C19:H19)</f>
        <v>3.98</v>
      </c>
      <c r="J19" s="1179"/>
    </row>
    <row r="20" spans="1:11" s="1209" customFormat="1">
      <c r="A20" s="1176"/>
      <c r="B20" s="1252" t="s">
        <v>6973</v>
      </c>
      <c r="C20" s="1251">
        <v>1</v>
      </c>
      <c r="D20" s="1251" t="s">
        <v>3364</v>
      </c>
      <c r="E20" s="1251">
        <v>5</v>
      </c>
      <c r="F20" s="1177">
        <f>15.9+0.23</f>
        <v>16.13</v>
      </c>
      <c r="G20" s="1177">
        <v>0.38</v>
      </c>
      <c r="H20" s="1177">
        <v>0.4</v>
      </c>
      <c r="I20" s="1178">
        <f t="shared" si="1"/>
        <v>12.26</v>
      </c>
      <c r="J20" s="1179"/>
    </row>
    <row r="21" spans="1:11" s="1209" customFormat="1">
      <c r="A21" s="1176"/>
      <c r="B21" s="1252" t="s">
        <v>6974</v>
      </c>
      <c r="C21" s="1251">
        <v>1</v>
      </c>
      <c r="D21" s="1251" t="s">
        <v>3364</v>
      </c>
      <c r="E21" s="1251">
        <v>1</v>
      </c>
      <c r="F21" s="1177">
        <v>12.67</v>
      </c>
      <c r="G21" s="1177">
        <v>0.38</v>
      </c>
      <c r="H21" s="1177">
        <v>0.4</v>
      </c>
      <c r="I21" s="1178">
        <f t="shared" si="1"/>
        <v>1.93</v>
      </c>
      <c r="J21" s="1179"/>
    </row>
    <row r="22" spans="1:11" s="1209" customFormat="1">
      <c r="A22" s="1176"/>
      <c r="B22" s="1252" t="s">
        <v>6975</v>
      </c>
      <c r="C22" s="1251">
        <v>1</v>
      </c>
      <c r="D22" s="1251" t="s">
        <v>3364</v>
      </c>
      <c r="E22" s="1251">
        <v>2</v>
      </c>
      <c r="F22" s="1177">
        <v>2.82</v>
      </c>
      <c r="G22" s="1177">
        <v>0.38</v>
      </c>
      <c r="H22" s="1177">
        <v>0.4</v>
      </c>
      <c r="I22" s="1178">
        <f t="shared" si="1"/>
        <v>0.86</v>
      </c>
      <c r="J22" s="1179"/>
      <c r="K22" s="1209">
        <f>1.75+0.9</f>
        <v>2.65</v>
      </c>
    </row>
    <row r="23" spans="1:11" s="1209" customFormat="1">
      <c r="A23" s="1176"/>
      <c r="B23" s="1199" t="s">
        <v>6525</v>
      </c>
      <c r="C23" s="1251">
        <v>1</v>
      </c>
      <c r="D23" s="1251" t="s">
        <v>3364</v>
      </c>
      <c r="E23" s="1251">
        <v>2</v>
      </c>
      <c r="F23" s="1177">
        <f>35.215+0.23</f>
        <v>35.445</v>
      </c>
      <c r="G23" s="1177">
        <v>1.5</v>
      </c>
      <c r="H23" s="1177">
        <v>0.5</v>
      </c>
      <c r="I23" s="1178">
        <f t="shared" si="1"/>
        <v>53.17</v>
      </c>
      <c r="J23" s="1179"/>
      <c r="K23" s="1209">
        <f>1.75+0.9</f>
        <v>2.65</v>
      </c>
    </row>
    <row r="24" spans="1:11" s="1209" customFormat="1">
      <c r="A24" s="1176"/>
      <c r="B24" s="1199" t="s">
        <v>3370</v>
      </c>
      <c r="C24" s="1251">
        <v>2</v>
      </c>
      <c r="D24" s="1251" t="s">
        <v>3364</v>
      </c>
      <c r="E24" s="1251">
        <v>5</v>
      </c>
      <c r="F24" s="1177">
        <f>0.6+0.46</f>
        <v>1.06</v>
      </c>
      <c r="G24" s="1177">
        <f>0.6+0.46</f>
        <v>1.06</v>
      </c>
      <c r="H24" s="1177">
        <v>1.75</v>
      </c>
      <c r="I24" s="1178">
        <f t="shared" si="1"/>
        <v>19.66</v>
      </c>
      <c r="J24" s="1179"/>
    </row>
    <row r="25" spans="1:11" s="1209" customFormat="1">
      <c r="A25" s="1176"/>
      <c r="B25" s="1199" t="s">
        <v>3371</v>
      </c>
      <c r="C25" s="1251">
        <v>1</v>
      </c>
      <c r="D25" s="1251" t="s">
        <v>3364</v>
      </c>
      <c r="E25" s="1251">
        <v>1</v>
      </c>
      <c r="F25" s="1177">
        <v>25</v>
      </c>
      <c r="G25" s="1177">
        <v>33.299999999999997</v>
      </c>
      <c r="H25" s="1177">
        <v>0.1</v>
      </c>
      <c r="I25" s="1178">
        <f t="shared" si="1"/>
        <v>83.25</v>
      </c>
      <c r="J25" s="1179"/>
    </row>
    <row r="26" spans="1:11" s="1209" customFormat="1">
      <c r="A26" s="1176"/>
      <c r="B26" s="1199"/>
      <c r="C26" s="1251"/>
      <c r="D26" s="1251"/>
      <c r="E26" s="1251"/>
      <c r="F26" s="1177"/>
      <c r="G26" s="1253" t="s">
        <v>104</v>
      </c>
      <c r="H26" s="1177"/>
      <c r="I26" s="1181">
        <f>SUM(I7:I25)</f>
        <v>933.16</v>
      </c>
      <c r="J26" s="1179"/>
      <c r="K26" s="1209">
        <f>K23-0.2-0.125-0.3-0.15</f>
        <v>1.875</v>
      </c>
    </row>
    <row r="27" spans="1:11" s="1209" customFormat="1">
      <c r="A27" s="1176"/>
      <c r="B27" s="1199"/>
      <c r="C27" s="1251"/>
      <c r="D27" s="1251"/>
      <c r="E27" s="1251"/>
      <c r="F27" s="1177"/>
      <c r="G27" s="1177"/>
      <c r="H27" s="1253" t="s">
        <v>2981</v>
      </c>
      <c r="I27" s="1181">
        <f>CEILING(I26,0.1)</f>
        <v>933.2</v>
      </c>
      <c r="J27" s="1179" t="s">
        <v>5</v>
      </c>
    </row>
    <row r="28" spans="1:11" s="1209" customFormat="1">
      <c r="A28" s="1176"/>
      <c r="B28" s="1199" t="s">
        <v>6982</v>
      </c>
      <c r="C28" s="1251"/>
      <c r="D28" s="1251"/>
      <c r="E28" s="1251"/>
      <c r="F28" s="1177"/>
      <c r="G28" s="1177"/>
      <c r="H28" s="1177"/>
      <c r="I28" s="1178"/>
      <c r="J28" s="1179"/>
    </row>
    <row r="29" spans="1:11" s="1209" customFormat="1">
      <c r="A29" s="1176"/>
      <c r="B29" s="1199" t="s">
        <v>6521</v>
      </c>
      <c r="C29" s="1251">
        <v>1</v>
      </c>
      <c r="D29" s="1251" t="s">
        <v>3364</v>
      </c>
      <c r="E29" s="1251">
        <v>8</v>
      </c>
      <c r="F29" s="1177">
        <f>2.5+0.3</f>
        <v>2.8</v>
      </c>
      <c r="G29" s="1177">
        <f>2.5+0.3</f>
        <v>2.8</v>
      </c>
      <c r="H29" s="1177">
        <v>1</v>
      </c>
      <c r="I29" s="1178">
        <f t="shared" ref="I29:I34" si="2">PRODUCT(C29:H29)</f>
        <v>62.72</v>
      </c>
      <c r="J29" s="1179"/>
    </row>
    <row r="30" spans="1:11" s="1209" customFormat="1" ht="16.5" customHeight="1">
      <c r="A30" s="1176"/>
      <c r="B30" s="1199" t="s">
        <v>6522</v>
      </c>
      <c r="C30" s="1251">
        <v>1</v>
      </c>
      <c r="D30" s="1251" t="s">
        <v>3364</v>
      </c>
      <c r="E30" s="1251">
        <v>2</v>
      </c>
      <c r="F30" s="1177">
        <f>2.7+0.3</f>
        <v>3</v>
      </c>
      <c r="G30" s="1177">
        <f>2.7+0.3</f>
        <v>3</v>
      </c>
      <c r="H30" s="1177">
        <v>1</v>
      </c>
      <c r="I30" s="1178">
        <f t="shared" si="2"/>
        <v>18</v>
      </c>
      <c r="J30" s="1179"/>
    </row>
    <row r="31" spans="1:11" s="1209" customFormat="1">
      <c r="A31" s="1176"/>
      <c r="B31" s="1199" t="s">
        <v>6523</v>
      </c>
      <c r="C31" s="1251">
        <v>1</v>
      </c>
      <c r="D31" s="1251" t="s">
        <v>3364</v>
      </c>
      <c r="E31" s="1251">
        <v>13</v>
      </c>
      <c r="F31" s="1177">
        <f>3.25+0.3</f>
        <v>3.55</v>
      </c>
      <c r="G31" s="1177">
        <f>3.25+0.3</f>
        <v>3.55</v>
      </c>
      <c r="H31" s="1177">
        <v>1</v>
      </c>
      <c r="I31" s="1178">
        <f t="shared" si="2"/>
        <v>163.83000000000001</v>
      </c>
      <c r="J31" s="1179"/>
    </row>
    <row r="32" spans="1:11" s="1209" customFormat="1">
      <c r="A32" s="1176"/>
      <c r="B32" s="1199" t="s">
        <v>6524</v>
      </c>
      <c r="C32" s="1251">
        <v>1</v>
      </c>
      <c r="D32" s="1251" t="s">
        <v>3364</v>
      </c>
      <c r="E32" s="1251">
        <v>3</v>
      </c>
      <c r="F32" s="1177">
        <f>3.3+0.3</f>
        <v>3.6</v>
      </c>
      <c r="G32" s="1177">
        <f>3.3+0.3</f>
        <v>3.6</v>
      </c>
      <c r="H32" s="1177">
        <v>1</v>
      </c>
      <c r="I32" s="1178">
        <f t="shared" si="2"/>
        <v>38.880000000000003</v>
      </c>
      <c r="J32" s="1179"/>
    </row>
    <row r="33" spans="1:11" s="1209" customFormat="1">
      <c r="A33" s="1176"/>
      <c r="B33" s="1199" t="s">
        <v>6956</v>
      </c>
      <c r="C33" s="1251">
        <v>1</v>
      </c>
      <c r="D33" s="1251" t="s">
        <v>3364</v>
      </c>
      <c r="E33" s="1251">
        <v>5</v>
      </c>
      <c r="F33" s="1177">
        <f>3.45+0.3</f>
        <v>3.75</v>
      </c>
      <c r="G33" s="1177">
        <f>3.45+0.3</f>
        <v>3.75</v>
      </c>
      <c r="H33" s="1177">
        <v>1</v>
      </c>
      <c r="I33" s="1178">
        <f t="shared" si="2"/>
        <v>70.31</v>
      </c>
      <c r="J33" s="1179"/>
    </row>
    <row r="34" spans="1:11" s="1209" customFormat="1">
      <c r="A34" s="1176"/>
      <c r="B34" s="1199" t="s">
        <v>6957</v>
      </c>
      <c r="C34" s="1251">
        <v>1</v>
      </c>
      <c r="D34" s="1251" t="s">
        <v>3364</v>
      </c>
      <c r="E34" s="1251">
        <v>1</v>
      </c>
      <c r="F34" s="1177">
        <f>2.165+0.23+0.6+0.6</f>
        <v>3.5950000000000002</v>
      </c>
      <c r="G34" s="1177">
        <f>2.82+0.23+0.6+0.6</f>
        <v>4.25</v>
      </c>
      <c r="H34" s="1177">
        <v>0.4</v>
      </c>
      <c r="I34" s="1178">
        <f t="shared" si="2"/>
        <v>6.11</v>
      </c>
      <c r="J34" s="1179"/>
      <c r="K34" s="1209">
        <f>1.65+0.45+0.1+0.2</f>
        <v>2.4</v>
      </c>
    </row>
    <row r="35" spans="1:11" s="1209" customFormat="1">
      <c r="A35" s="1176"/>
      <c r="B35" s="1199"/>
      <c r="C35" s="1251"/>
      <c r="D35" s="1251"/>
      <c r="E35" s="1251"/>
      <c r="F35" s="1177"/>
      <c r="G35" s="1253" t="s">
        <v>104</v>
      </c>
      <c r="H35" s="1177"/>
      <c r="I35" s="1181">
        <f>SUM(I29:I34)</f>
        <v>359.85</v>
      </c>
      <c r="J35" s="1179"/>
    </row>
    <row r="36" spans="1:11" s="1209" customFormat="1">
      <c r="A36" s="1176"/>
      <c r="B36" s="1199"/>
      <c r="C36" s="1251"/>
      <c r="D36" s="1251"/>
      <c r="E36" s="1251"/>
      <c r="F36" s="1177"/>
      <c r="G36" s="1177"/>
      <c r="H36" s="1253" t="s">
        <v>2981</v>
      </c>
      <c r="I36" s="1181">
        <f>CEILING(I35,0.1)</f>
        <v>359.9</v>
      </c>
      <c r="J36" s="1179" t="s">
        <v>5</v>
      </c>
    </row>
    <row r="37" spans="1:11" s="1209" customFormat="1" ht="31.5">
      <c r="A37" s="1176"/>
      <c r="B37" s="1254" t="s">
        <v>5562</v>
      </c>
      <c r="C37" s="1251"/>
      <c r="D37" s="1251"/>
      <c r="E37" s="1251"/>
      <c r="F37" s="1177"/>
      <c r="G37" s="1177"/>
      <c r="H37" s="1177"/>
      <c r="I37" s="1178"/>
      <c r="J37" s="1179"/>
    </row>
    <row r="38" spans="1:11" s="1209" customFormat="1">
      <c r="A38" s="1176"/>
      <c r="B38" s="1199" t="s">
        <v>6521</v>
      </c>
      <c r="C38" s="1251">
        <v>1</v>
      </c>
      <c r="D38" s="1251" t="s">
        <v>3364</v>
      </c>
      <c r="E38" s="1251">
        <v>8</v>
      </c>
      <c r="F38" s="1177">
        <f>2.5+0.3</f>
        <v>2.8</v>
      </c>
      <c r="G38" s="1177">
        <f>2.5+0.3</f>
        <v>2.8</v>
      </c>
      <c r="H38" s="1177">
        <v>0.2</v>
      </c>
      <c r="I38" s="1178">
        <f t="shared" ref="I38:I43" si="3">PRODUCT(C38:H38)</f>
        <v>12.54</v>
      </c>
      <c r="J38" s="1179"/>
    </row>
    <row r="39" spans="1:11" s="1209" customFormat="1">
      <c r="A39" s="1176"/>
      <c r="B39" s="1199" t="s">
        <v>6522</v>
      </c>
      <c r="C39" s="1251">
        <v>1</v>
      </c>
      <c r="D39" s="1251" t="s">
        <v>3364</v>
      </c>
      <c r="E39" s="1251">
        <v>2</v>
      </c>
      <c r="F39" s="1177">
        <f>2.7+0.3</f>
        <v>3</v>
      </c>
      <c r="G39" s="1177">
        <f>2.7+0.3</f>
        <v>3</v>
      </c>
      <c r="H39" s="1177">
        <v>0.2</v>
      </c>
      <c r="I39" s="1178">
        <f t="shared" si="3"/>
        <v>3.6</v>
      </c>
      <c r="J39" s="1179"/>
    </row>
    <row r="40" spans="1:11" s="1209" customFormat="1">
      <c r="A40" s="1176"/>
      <c r="B40" s="1199" t="s">
        <v>6523</v>
      </c>
      <c r="C40" s="1251">
        <v>1</v>
      </c>
      <c r="D40" s="1251" t="s">
        <v>3364</v>
      </c>
      <c r="E40" s="1251">
        <v>13</v>
      </c>
      <c r="F40" s="1177">
        <f>3.25+0.3</f>
        <v>3.55</v>
      </c>
      <c r="G40" s="1177">
        <f>3.25+0.3</f>
        <v>3.55</v>
      </c>
      <c r="H40" s="1177">
        <v>0.2</v>
      </c>
      <c r="I40" s="1178">
        <f t="shared" si="3"/>
        <v>32.770000000000003</v>
      </c>
      <c r="J40" s="1179"/>
    </row>
    <row r="41" spans="1:11" s="1209" customFormat="1">
      <c r="A41" s="1176"/>
      <c r="B41" s="1199" t="s">
        <v>6524</v>
      </c>
      <c r="C41" s="1251">
        <v>1</v>
      </c>
      <c r="D41" s="1251" t="s">
        <v>3364</v>
      </c>
      <c r="E41" s="1251">
        <v>3</v>
      </c>
      <c r="F41" s="1177">
        <f>3.3+0.3</f>
        <v>3.6</v>
      </c>
      <c r="G41" s="1177">
        <f>3.3+0.3</f>
        <v>3.6</v>
      </c>
      <c r="H41" s="1177">
        <v>0.2</v>
      </c>
      <c r="I41" s="1178">
        <f t="shared" si="3"/>
        <v>7.78</v>
      </c>
      <c r="J41" s="1179"/>
    </row>
    <row r="42" spans="1:11" s="1209" customFormat="1">
      <c r="A42" s="1176"/>
      <c r="B42" s="1199" t="s">
        <v>6956</v>
      </c>
      <c r="C42" s="1251">
        <v>1</v>
      </c>
      <c r="D42" s="1251" t="s">
        <v>3364</v>
      </c>
      <c r="E42" s="1251">
        <v>5</v>
      </c>
      <c r="F42" s="1177">
        <f>3.45+0.3</f>
        <v>3.75</v>
      </c>
      <c r="G42" s="1177">
        <f>3.45+0.3</f>
        <v>3.75</v>
      </c>
      <c r="H42" s="1177">
        <v>0.2</v>
      </c>
      <c r="I42" s="1178">
        <f t="shared" si="3"/>
        <v>14.06</v>
      </c>
      <c r="J42" s="1179"/>
    </row>
    <row r="43" spans="1:11" s="1209" customFormat="1">
      <c r="A43" s="1176"/>
      <c r="B43" s="1199" t="s">
        <v>6957</v>
      </c>
      <c r="C43" s="1251">
        <v>1</v>
      </c>
      <c r="D43" s="1251" t="s">
        <v>3364</v>
      </c>
      <c r="E43" s="1251">
        <v>1</v>
      </c>
      <c r="F43" s="1177">
        <f>2.165+0.23+0.6+0.6</f>
        <v>3.5950000000000002</v>
      </c>
      <c r="G43" s="1177">
        <f>2.82+0.23+0.6+0.6</f>
        <v>4.25</v>
      </c>
      <c r="H43" s="1177">
        <v>0.2</v>
      </c>
      <c r="I43" s="1178">
        <f t="shared" si="3"/>
        <v>3.06</v>
      </c>
      <c r="J43" s="1179"/>
      <c r="K43" s="1209">
        <f>1.65+0.45+0.1+0.2</f>
        <v>2.4</v>
      </c>
    </row>
    <row r="44" spans="1:11" s="1209" customFormat="1">
      <c r="A44" s="1176"/>
      <c r="B44" s="1199"/>
      <c r="C44" s="1251"/>
      <c r="D44" s="1251"/>
      <c r="E44" s="1251"/>
      <c r="F44" s="1177"/>
      <c r="G44" s="1253" t="s">
        <v>104</v>
      </c>
      <c r="H44" s="1177"/>
      <c r="I44" s="1181">
        <f>SUM(I38:I43)</f>
        <v>73.81</v>
      </c>
      <c r="J44" s="1179"/>
    </row>
    <row r="45" spans="1:11" s="1209" customFormat="1">
      <c r="A45" s="1176"/>
      <c r="B45" s="1199"/>
      <c r="C45" s="1251"/>
      <c r="D45" s="1251"/>
      <c r="E45" s="1251"/>
      <c r="F45" s="1177"/>
      <c r="G45" s="1177"/>
      <c r="H45" s="1253" t="s">
        <v>2981</v>
      </c>
      <c r="I45" s="1181">
        <f>CEILING(I44,0.1)</f>
        <v>73.900000000000006</v>
      </c>
      <c r="J45" s="1179" t="s">
        <v>5</v>
      </c>
    </row>
    <row r="46" spans="1:11" s="1209" customFormat="1" ht="94.5">
      <c r="A46" s="1176">
        <v>2.1</v>
      </c>
      <c r="B46" s="1200" t="s">
        <v>7003</v>
      </c>
      <c r="C46" s="1251"/>
      <c r="D46" s="1251"/>
      <c r="E46" s="1251"/>
      <c r="F46" s="1177"/>
      <c r="G46" s="1177"/>
      <c r="H46" s="1177"/>
      <c r="I46" s="1178"/>
      <c r="J46" s="1179"/>
    </row>
    <row r="47" spans="1:11" s="1209" customFormat="1">
      <c r="A47" s="1176"/>
      <c r="B47" s="1199" t="s">
        <v>6521</v>
      </c>
      <c r="C47" s="1251">
        <v>1</v>
      </c>
      <c r="D47" s="1251" t="s">
        <v>3364</v>
      </c>
      <c r="E47" s="1251">
        <v>8</v>
      </c>
      <c r="F47" s="1177">
        <f>2.5+0.3</f>
        <v>2.8</v>
      </c>
      <c r="G47" s="1177">
        <f>2.5+0.3</f>
        <v>2.8</v>
      </c>
      <c r="H47" s="1177">
        <v>0.1</v>
      </c>
      <c r="I47" s="1178">
        <f t="shared" ref="I47:I52" si="4">PRODUCT(C47:H47)</f>
        <v>6.27</v>
      </c>
      <c r="J47" s="1179"/>
    </row>
    <row r="48" spans="1:11" s="1209" customFormat="1" ht="16.5" customHeight="1">
      <c r="A48" s="1176"/>
      <c r="B48" s="1199" t="s">
        <v>6522</v>
      </c>
      <c r="C48" s="1251">
        <v>1</v>
      </c>
      <c r="D48" s="1251" t="s">
        <v>3364</v>
      </c>
      <c r="E48" s="1251">
        <v>2</v>
      </c>
      <c r="F48" s="1177">
        <f>2.7+0.3</f>
        <v>3</v>
      </c>
      <c r="G48" s="1177">
        <f>2.7+0.3</f>
        <v>3</v>
      </c>
      <c r="H48" s="1177">
        <v>0.1</v>
      </c>
      <c r="I48" s="1178">
        <f t="shared" si="4"/>
        <v>1.8</v>
      </c>
      <c r="J48" s="1179"/>
    </row>
    <row r="49" spans="1:11" s="1209" customFormat="1">
      <c r="A49" s="1176"/>
      <c r="B49" s="1199" t="s">
        <v>6523</v>
      </c>
      <c r="C49" s="1251">
        <v>1</v>
      </c>
      <c r="D49" s="1251" t="s">
        <v>3364</v>
      </c>
      <c r="E49" s="1251">
        <v>13</v>
      </c>
      <c r="F49" s="1177">
        <f>3.25+0.3</f>
        <v>3.55</v>
      </c>
      <c r="G49" s="1177">
        <f>3.25+0.3</f>
        <v>3.55</v>
      </c>
      <c r="H49" s="1177">
        <v>0.1</v>
      </c>
      <c r="I49" s="1178">
        <f t="shared" si="4"/>
        <v>16.38</v>
      </c>
      <c r="J49" s="1179"/>
    </row>
    <row r="50" spans="1:11" s="1209" customFormat="1">
      <c r="A50" s="1176"/>
      <c r="B50" s="1199" t="s">
        <v>6524</v>
      </c>
      <c r="C50" s="1251">
        <v>1</v>
      </c>
      <c r="D50" s="1251" t="s">
        <v>3364</v>
      </c>
      <c r="E50" s="1251">
        <v>3</v>
      </c>
      <c r="F50" s="1177">
        <f>3.3+0.3</f>
        <v>3.6</v>
      </c>
      <c r="G50" s="1177">
        <f>3.3+0.3</f>
        <v>3.6</v>
      </c>
      <c r="H50" s="1177">
        <v>0.1</v>
      </c>
      <c r="I50" s="1178">
        <f t="shared" si="4"/>
        <v>3.89</v>
      </c>
      <c r="J50" s="1179"/>
    </row>
    <row r="51" spans="1:11" s="1209" customFormat="1">
      <c r="A51" s="1176"/>
      <c r="B51" s="1199" t="s">
        <v>6956</v>
      </c>
      <c r="C51" s="1251">
        <v>1</v>
      </c>
      <c r="D51" s="1251" t="s">
        <v>3364</v>
      </c>
      <c r="E51" s="1251">
        <v>5</v>
      </c>
      <c r="F51" s="1177">
        <f>3.45+0.3</f>
        <v>3.75</v>
      </c>
      <c r="G51" s="1177">
        <f>3.45+0.3</f>
        <v>3.75</v>
      </c>
      <c r="H51" s="1177">
        <v>0.1</v>
      </c>
      <c r="I51" s="1178">
        <f t="shared" si="4"/>
        <v>7.03</v>
      </c>
      <c r="J51" s="1179"/>
    </row>
    <row r="52" spans="1:11" s="1209" customFormat="1">
      <c r="A52" s="1176"/>
      <c r="B52" s="1199" t="s">
        <v>6957</v>
      </c>
      <c r="C52" s="1251">
        <v>1</v>
      </c>
      <c r="D52" s="1251" t="s">
        <v>3364</v>
      </c>
      <c r="E52" s="1251">
        <v>1</v>
      </c>
      <c r="F52" s="1177">
        <f>2.165+0.23+0.6+0.6</f>
        <v>3.5950000000000002</v>
      </c>
      <c r="G52" s="1177">
        <f>2.82+0.23+0.6+0.6</f>
        <v>4.25</v>
      </c>
      <c r="H52" s="1177">
        <v>0.1</v>
      </c>
      <c r="I52" s="1178">
        <f t="shared" si="4"/>
        <v>1.53</v>
      </c>
      <c r="J52" s="1179"/>
      <c r="K52" s="1209">
        <f>1.65+0.45+0.1+0.2</f>
        <v>2.4</v>
      </c>
    </row>
    <row r="53" spans="1:11" s="1209" customFormat="1">
      <c r="A53" s="1176"/>
      <c r="B53" s="1199" t="s">
        <v>6963</v>
      </c>
      <c r="C53" s="1251"/>
      <c r="D53" s="1251"/>
      <c r="E53" s="1251"/>
      <c r="F53" s="1177"/>
      <c r="G53" s="1177"/>
      <c r="H53" s="1177"/>
      <c r="I53" s="1178"/>
      <c r="J53" s="1179"/>
    </row>
    <row r="54" spans="1:11" s="1209" customFormat="1">
      <c r="A54" s="1176"/>
      <c r="B54" s="1252" t="s">
        <v>6959</v>
      </c>
      <c r="C54" s="1251">
        <v>1</v>
      </c>
      <c r="D54" s="1251" t="s">
        <v>3364</v>
      </c>
      <c r="E54" s="1251">
        <v>2</v>
      </c>
      <c r="F54" s="1177">
        <f>35.215+0.23</f>
        <v>35.445</v>
      </c>
      <c r="G54" s="1177">
        <v>0.38</v>
      </c>
      <c r="H54" s="1177">
        <v>0.1</v>
      </c>
      <c r="I54" s="1178">
        <f>PRODUCT(C54:H54)</f>
        <v>2.69</v>
      </c>
      <c r="J54" s="1179"/>
    </row>
    <row r="55" spans="1:11" s="1209" customFormat="1">
      <c r="A55" s="1176"/>
      <c r="B55" s="1252" t="s">
        <v>6958</v>
      </c>
      <c r="C55" s="1251">
        <v>1</v>
      </c>
      <c r="D55" s="1251" t="s">
        <v>3364</v>
      </c>
      <c r="E55" s="1251">
        <v>1</v>
      </c>
      <c r="F55" s="1177">
        <v>26.745000000000001</v>
      </c>
      <c r="G55" s="1177">
        <v>0.38</v>
      </c>
      <c r="H55" s="1177">
        <v>0.1</v>
      </c>
      <c r="I55" s="1178">
        <f>PRODUCT(C55:H55)</f>
        <v>1.02</v>
      </c>
      <c r="J55" s="1179"/>
    </row>
    <row r="56" spans="1:11" s="1209" customFormat="1">
      <c r="A56" s="1176"/>
      <c r="B56" s="1252" t="s">
        <v>6960</v>
      </c>
      <c r="C56" s="1251">
        <v>1</v>
      </c>
      <c r="D56" s="1251" t="s">
        <v>3364</v>
      </c>
      <c r="E56" s="1251">
        <v>1</v>
      </c>
      <c r="F56" s="1177">
        <v>8.4700000000000006</v>
      </c>
      <c r="G56" s="1177">
        <v>0.38</v>
      </c>
      <c r="H56" s="1177">
        <v>0.1</v>
      </c>
      <c r="I56" s="1178">
        <f>PRODUCT(C56:H56)</f>
        <v>0.32</v>
      </c>
      <c r="J56" s="1179"/>
    </row>
    <row r="57" spans="1:11" s="1209" customFormat="1">
      <c r="A57" s="1176"/>
      <c r="B57" s="1252" t="s">
        <v>6961</v>
      </c>
      <c r="C57" s="1251">
        <v>1</v>
      </c>
      <c r="D57" s="1251" t="s">
        <v>3364</v>
      </c>
      <c r="E57" s="1251">
        <v>1</v>
      </c>
      <c r="F57" s="1177">
        <v>25.335000000000001</v>
      </c>
      <c r="G57" s="1177">
        <v>0.38</v>
      </c>
      <c r="H57" s="1177">
        <v>0.1</v>
      </c>
      <c r="I57" s="1178">
        <f>PRODUCT(C57:H57)</f>
        <v>0.96</v>
      </c>
      <c r="J57" s="1179"/>
    </row>
    <row r="58" spans="1:11" s="1209" customFormat="1">
      <c r="A58" s="1176"/>
      <c r="B58" s="1199" t="s">
        <v>6962</v>
      </c>
      <c r="C58" s="1251"/>
      <c r="D58" s="1251"/>
      <c r="E58" s="1251"/>
      <c r="F58" s="1177"/>
      <c r="G58" s="1177"/>
      <c r="H58" s="1177"/>
      <c r="I58" s="1178"/>
      <c r="J58" s="1179"/>
    </row>
    <row r="59" spans="1:11" s="1209" customFormat="1">
      <c r="A59" s="1176"/>
      <c r="B59" s="1252" t="s">
        <v>6972</v>
      </c>
      <c r="C59" s="1251">
        <v>1</v>
      </c>
      <c r="D59" s="1251" t="s">
        <v>3364</v>
      </c>
      <c r="E59" s="1251">
        <v>2</v>
      </c>
      <c r="F59" s="1177">
        <v>13.08</v>
      </c>
      <c r="G59" s="1177">
        <v>0.38</v>
      </c>
      <c r="H59" s="1177">
        <v>0.1</v>
      </c>
      <c r="I59" s="1178">
        <f t="shared" ref="I59:I65" si="5">PRODUCT(C59:H59)</f>
        <v>0.99</v>
      </c>
      <c r="J59" s="1179"/>
    </row>
    <row r="60" spans="1:11" s="1209" customFormat="1">
      <c r="A60" s="1176"/>
      <c r="B60" s="1252" t="s">
        <v>6973</v>
      </c>
      <c r="C60" s="1251">
        <v>1</v>
      </c>
      <c r="D60" s="1251" t="s">
        <v>3364</v>
      </c>
      <c r="E60" s="1251">
        <v>5</v>
      </c>
      <c r="F60" s="1177">
        <f>15.9+0.23</f>
        <v>16.13</v>
      </c>
      <c r="G60" s="1177">
        <v>0.38</v>
      </c>
      <c r="H60" s="1177">
        <v>0.1</v>
      </c>
      <c r="I60" s="1178">
        <f t="shared" si="5"/>
        <v>3.06</v>
      </c>
      <c r="J60" s="1179"/>
    </row>
    <row r="61" spans="1:11" s="1209" customFormat="1">
      <c r="A61" s="1176"/>
      <c r="B61" s="1252" t="s">
        <v>6974</v>
      </c>
      <c r="C61" s="1251">
        <v>1</v>
      </c>
      <c r="D61" s="1251" t="s">
        <v>3364</v>
      </c>
      <c r="E61" s="1251">
        <v>1</v>
      </c>
      <c r="F61" s="1177">
        <v>12.67</v>
      </c>
      <c r="G61" s="1177">
        <v>0.38</v>
      </c>
      <c r="H61" s="1177">
        <v>0.1</v>
      </c>
      <c r="I61" s="1178">
        <f t="shared" si="5"/>
        <v>0.48</v>
      </c>
      <c r="J61" s="1179"/>
    </row>
    <row r="62" spans="1:11" s="1209" customFormat="1">
      <c r="A62" s="1176"/>
      <c r="B62" s="1252" t="s">
        <v>6975</v>
      </c>
      <c r="C62" s="1251">
        <v>1</v>
      </c>
      <c r="D62" s="1251" t="s">
        <v>3364</v>
      </c>
      <c r="E62" s="1251">
        <v>2</v>
      </c>
      <c r="F62" s="1177">
        <v>2.82</v>
      </c>
      <c r="G62" s="1177">
        <v>0.38</v>
      </c>
      <c r="H62" s="1177">
        <v>0.1</v>
      </c>
      <c r="I62" s="1178">
        <f t="shared" si="5"/>
        <v>0.21</v>
      </c>
      <c r="J62" s="1179"/>
      <c r="K62" s="1209">
        <f>1.75+0.9</f>
        <v>2.65</v>
      </c>
    </row>
    <row r="63" spans="1:11" s="1209" customFormat="1">
      <c r="A63" s="1176"/>
      <c r="B63" s="1199" t="s">
        <v>6525</v>
      </c>
      <c r="C63" s="1251">
        <v>1</v>
      </c>
      <c r="D63" s="1251" t="s">
        <v>3364</v>
      </c>
      <c r="E63" s="1251">
        <v>2</v>
      </c>
      <c r="F63" s="1177">
        <f>35.215+0.23</f>
        <v>35.445</v>
      </c>
      <c r="G63" s="1177">
        <v>1.5</v>
      </c>
      <c r="H63" s="1177">
        <v>0.1</v>
      </c>
      <c r="I63" s="1178">
        <f t="shared" si="5"/>
        <v>10.63</v>
      </c>
      <c r="J63" s="1179"/>
      <c r="K63" s="1209">
        <f>1.75+0.9</f>
        <v>2.65</v>
      </c>
    </row>
    <row r="64" spans="1:11" s="1209" customFormat="1">
      <c r="A64" s="1176"/>
      <c r="B64" s="1199" t="s">
        <v>3370</v>
      </c>
      <c r="C64" s="1251">
        <v>2</v>
      </c>
      <c r="D64" s="1251" t="s">
        <v>3364</v>
      </c>
      <c r="E64" s="1251">
        <v>5</v>
      </c>
      <c r="F64" s="1177">
        <f>0.6+0.46</f>
        <v>1.06</v>
      </c>
      <c r="G64" s="1177">
        <f>0.6+0.46</f>
        <v>1.06</v>
      </c>
      <c r="H64" s="1177">
        <v>0.1</v>
      </c>
      <c r="I64" s="1178">
        <f t="shared" si="5"/>
        <v>1.1200000000000001</v>
      </c>
      <c r="J64" s="1179"/>
    </row>
    <row r="65" spans="1:11" s="1209" customFormat="1">
      <c r="A65" s="1176"/>
      <c r="B65" s="1199" t="s">
        <v>3371</v>
      </c>
      <c r="C65" s="1251">
        <v>1</v>
      </c>
      <c r="D65" s="1251" t="s">
        <v>3364</v>
      </c>
      <c r="E65" s="1251">
        <v>1</v>
      </c>
      <c r="F65" s="1177">
        <v>25</v>
      </c>
      <c r="G65" s="1177">
        <v>33.299999999999997</v>
      </c>
      <c r="H65" s="1177">
        <v>0.1</v>
      </c>
      <c r="I65" s="1178">
        <f t="shared" si="5"/>
        <v>83.25</v>
      </c>
      <c r="J65" s="1179"/>
    </row>
    <row r="66" spans="1:11" s="1209" customFormat="1">
      <c r="A66" s="1176"/>
      <c r="B66" s="1255"/>
      <c r="C66" s="1251"/>
      <c r="D66" s="1251"/>
      <c r="E66" s="1251"/>
      <c r="F66" s="1177"/>
      <c r="G66" s="1177"/>
      <c r="H66" s="1177"/>
      <c r="I66" s="1178">
        <f>SUM(I47:I65)</f>
        <v>141.63</v>
      </c>
      <c r="J66" s="1179"/>
    </row>
    <row r="67" spans="1:11" s="1209" customFormat="1">
      <c r="A67" s="1176"/>
      <c r="B67" s="1255"/>
      <c r="C67" s="1251"/>
      <c r="D67" s="1251"/>
      <c r="E67" s="1251"/>
      <c r="F67" s="1177"/>
      <c r="G67" s="1177"/>
      <c r="H67" s="1253" t="s">
        <v>2981</v>
      </c>
      <c r="I67" s="1181">
        <f>CEILING(I66,0.1)</f>
        <v>141.69999999999999</v>
      </c>
      <c r="J67" s="1179" t="s">
        <v>5</v>
      </c>
    </row>
    <row r="68" spans="1:11" s="181" customFormat="1" ht="31.5">
      <c r="A68" s="1256">
        <v>50.2</v>
      </c>
      <c r="B68" s="1257" t="s">
        <v>3521</v>
      </c>
      <c r="C68" s="1258"/>
      <c r="D68" s="1258"/>
      <c r="E68" s="1258"/>
      <c r="F68" s="1259"/>
      <c r="G68" s="1259"/>
      <c r="H68" s="1259"/>
      <c r="I68" s="1260"/>
      <c r="J68" s="1261"/>
    </row>
    <row r="69" spans="1:11" s="181" customFormat="1">
      <c r="A69" s="1256"/>
      <c r="B69" s="1257" t="s">
        <v>3522</v>
      </c>
      <c r="C69" s="1258">
        <v>1</v>
      </c>
      <c r="D69" s="1258" t="s">
        <v>3364</v>
      </c>
      <c r="E69" s="1258">
        <v>1</v>
      </c>
      <c r="F69" s="1259">
        <v>54.6</v>
      </c>
      <c r="G69" s="1259"/>
      <c r="H69" s="1259"/>
      <c r="I69" s="1262">
        <f>PRODUCT(C69:H69)</f>
        <v>54.6</v>
      </c>
      <c r="J69" s="1261" t="s">
        <v>13</v>
      </c>
    </row>
    <row r="70" spans="1:11" s="1209" customFormat="1" ht="47.25">
      <c r="A70" s="1176">
        <v>3.1</v>
      </c>
      <c r="B70" s="1187" t="s">
        <v>3373</v>
      </c>
      <c r="C70" s="1251"/>
      <c r="D70" s="1251"/>
      <c r="E70" s="1251"/>
      <c r="F70" s="1177"/>
      <c r="G70" s="1177"/>
      <c r="H70" s="1177"/>
      <c r="I70" s="1178"/>
      <c r="J70" s="1179"/>
    </row>
    <row r="71" spans="1:11" s="1209" customFormat="1">
      <c r="A71" s="1176"/>
      <c r="B71" s="1199" t="s">
        <v>6521</v>
      </c>
      <c r="C71" s="1251">
        <v>1</v>
      </c>
      <c r="D71" s="1251" t="s">
        <v>3364</v>
      </c>
      <c r="E71" s="1251">
        <v>8</v>
      </c>
      <c r="F71" s="1177">
        <f>2.5+0.3</f>
        <v>2.8</v>
      </c>
      <c r="G71" s="1177">
        <f>2.5+0.3</f>
        <v>2.8</v>
      </c>
      <c r="H71" s="1177">
        <v>0.15</v>
      </c>
      <c r="I71" s="1178">
        <f t="shared" ref="I71:I76" si="6">PRODUCT(C71:H71)</f>
        <v>9.41</v>
      </c>
      <c r="J71" s="1179"/>
    </row>
    <row r="72" spans="1:11" s="1209" customFormat="1" ht="16.5" customHeight="1">
      <c r="A72" s="1176"/>
      <c r="B72" s="1199" t="s">
        <v>6522</v>
      </c>
      <c r="C72" s="1251">
        <v>1</v>
      </c>
      <c r="D72" s="1251" t="s">
        <v>3364</v>
      </c>
      <c r="E72" s="1251">
        <v>2</v>
      </c>
      <c r="F72" s="1177">
        <f>2.7+0.3</f>
        <v>3</v>
      </c>
      <c r="G72" s="1177">
        <f>2.7+0.3</f>
        <v>3</v>
      </c>
      <c r="H72" s="1177">
        <v>0.15</v>
      </c>
      <c r="I72" s="1178">
        <f t="shared" si="6"/>
        <v>2.7</v>
      </c>
      <c r="J72" s="1179"/>
    </row>
    <row r="73" spans="1:11" s="1209" customFormat="1">
      <c r="A73" s="1176"/>
      <c r="B73" s="1199" t="s">
        <v>6523</v>
      </c>
      <c r="C73" s="1251">
        <v>1</v>
      </c>
      <c r="D73" s="1251" t="s">
        <v>3364</v>
      </c>
      <c r="E73" s="1251">
        <v>13</v>
      </c>
      <c r="F73" s="1177">
        <f>3.25+0.3</f>
        <v>3.55</v>
      </c>
      <c r="G73" s="1177">
        <f>3.25+0.3</f>
        <v>3.55</v>
      </c>
      <c r="H73" s="1177">
        <v>0.15</v>
      </c>
      <c r="I73" s="1178">
        <f t="shared" si="6"/>
        <v>24.57</v>
      </c>
      <c r="J73" s="1179"/>
    </row>
    <row r="74" spans="1:11" s="1209" customFormat="1">
      <c r="A74" s="1176"/>
      <c r="B74" s="1199" t="s">
        <v>6524</v>
      </c>
      <c r="C74" s="1251">
        <v>1</v>
      </c>
      <c r="D74" s="1251" t="s">
        <v>3364</v>
      </c>
      <c r="E74" s="1251">
        <v>3</v>
      </c>
      <c r="F74" s="1177">
        <f>3.3+0.3</f>
        <v>3.6</v>
      </c>
      <c r="G74" s="1177">
        <f>3.3+0.3</f>
        <v>3.6</v>
      </c>
      <c r="H74" s="1177">
        <v>0.15</v>
      </c>
      <c r="I74" s="1178">
        <f t="shared" si="6"/>
        <v>5.83</v>
      </c>
      <c r="J74" s="1179"/>
    </row>
    <row r="75" spans="1:11" s="1209" customFormat="1">
      <c r="A75" s="1176"/>
      <c r="B75" s="1199" t="s">
        <v>6956</v>
      </c>
      <c r="C75" s="1251">
        <v>1</v>
      </c>
      <c r="D75" s="1251" t="s">
        <v>3364</v>
      </c>
      <c r="E75" s="1251">
        <v>5</v>
      </c>
      <c r="F75" s="1177">
        <f>3.45+0.3</f>
        <v>3.75</v>
      </c>
      <c r="G75" s="1177">
        <f>3.45+0.3</f>
        <v>3.75</v>
      </c>
      <c r="H75" s="1177">
        <v>0.15</v>
      </c>
      <c r="I75" s="1178">
        <f t="shared" si="6"/>
        <v>10.55</v>
      </c>
      <c r="J75" s="1179"/>
    </row>
    <row r="76" spans="1:11" s="1209" customFormat="1">
      <c r="A76" s="1176"/>
      <c r="B76" s="1199" t="s">
        <v>6957</v>
      </c>
      <c r="C76" s="1251">
        <v>1</v>
      </c>
      <c r="D76" s="1251" t="s">
        <v>3364</v>
      </c>
      <c r="E76" s="1251">
        <v>1</v>
      </c>
      <c r="F76" s="1177">
        <f>2.165+0.23+0.6+0.6</f>
        <v>3.5950000000000002</v>
      </c>
      <c r="G76" s="1177">
        <f>2.82+0.23+0.6+0.6</f>
        <v>4.25</v>
      </c>
      <c r="H76" s="1177">
        <v>0.15</v>
      </c>
      <c r="I76" s="1178">
        <f t="shared" si="6"/>
        <v>2.29</v>
      </c>
      <c r="J76" s="1179"/>
      <c r="K76" s="1209">
        <f>1.65+0.45+0.1+0.2</f>
        <v>2.4</v>
      </c>
    </row>
    <row r="77" spans="1:11" s="1209" customFormat="1">
      <c r="A77" s="1176"/>
      <c r="B77" s="1199" t="s">
        <v>6963</v>
      </c>
      <c r="C77" s="1251"/>
      <c r="D77" s="1251"/>
      <c r="E77" s="1251"/>
      <c r="F77" s="1177"/>
      <c r="G77" s="1177"/>
      <c r="H77" s="1177"/>
      <c r="I77" s="1178"/>
      <c r="J77" s="1179"/>
    </row>
    <row r="78" spans="1:11" s="1209" customFormat="1">
      <c r="A78" s="1176"/>
      <c r="B78" s="1252" t="s">
        <v>6959</v>
      </c>
      <c r="C78" s="1251">
        <v>1</v>
      </c>
      <c r="D78" s="1251" t="s">
        <v>3364</v>
      </c>
      <c r="E78" s="1251">
        <v>2</v>
      </c>
      <c r="F78" s="1177">
        <f>35.215+0.23</f>
        <v>35.445</v>
      </c>
      <c r="G78" s="1177">
        <v>0.38</v>
      </c>
      <c r="H78" s="1177">
        <v>0.15</v>
      </c>
      <c r="I78" s="1178">
        <f>PRODUCT(C78:H78)</f>
        <v>4.04</v>
      </c>
      <c r="J78" s="1179"/>
    </row>
    <row r="79" spans="1:11" s="1209" customFormat="1">
      <c r="A79" s="1176"/>
      <c r="B79" s="1252" t="s">
        <v>6958</v>
      </c>
      <c r="C79" s="1251">
        <v>1</v>
      </c>
      <c r="D79" s="1251" t="s">
        <v>3364</v>
      </c>
      <c r="E79" s="1251">
        <v>1</v>
      </c>
      <c r="F79" s="1177">
        <v>26.745000000000001</v>
      </c>
      <c r="G79" s="1177">
        <v>0.38</v>
      </c>
      <c r="H79" s="1177">
        <v>0.15</v>
      </c>
      <c r="I79" s="1178">
        <f>PRODUCT(C79:H79)</f>
        <v>1.52</v>
      </c>
      <c r="J79" s="1179"/>
    </row>
    <row r="80" spans="1:11" s="1209" customFormat="1">
      <c r="A80" s="1176"/>
      <c r="B80" s="1252" t="s">
        <v>6960</v>
      </c>
      <c r="C80" s="1251">
        <v>1</v>
      </c>
      <c r="D80" s="1251" t="s">
        <v>3364</v>
      </c>
      <c r="E80" s="1251">
        <v>1</v>
      </c>
      <c r="F80" s="1177">
        <v>8.4700000000000006</v>
      </c>
      <c r="G80" s="1177">
        <v>0.38</v>
      </c>
      <c r="H80" s="1177">
        <v>0.15</v>
      </c>
      <c r="I80" s="1178">
        <f>PRODUCT(C80:H80)</f>
        <v>0.48</v>
      </c>
      <c r="J80" s="1179"/>
    </row>
    <row r="81" spans="1:53" s="1209" customFormat="1">
      <c r="A81" s="1176"/>
      <c r="B81" s="1252" t="s">
        <v>6961</v>
      </c>
      <c r="C81" s="1251">
        <v>1</v>
      </c>
      <c r="D81" s="1251" t="s">
        <v>3364</v>
      </c>
      <c r="E81" s="1251">
        <v>1</v>
      </c>
      <c r="F81" s="1177">
        <v>25.335000000000001</v>
      </c>
      <c r="G81" s="1177">
        <v>0.38</v>
      </c>
      <c r="H81" s="1177">
        <v>0.15</v>
      </c>
      <c r="I81" s="1178">
        <f>PRODUCT(C81:H81)</f>
        <v>1.44</v>
      </c>
      <c r="J81" s="1179"/>
    </row>
    <row r="82" spans="1:53" s="1209" customFormat="1">
      <c r="A82" s="1176"/>
      <c r="B82" s="1199" t="s">
        <v>6962</v>
      </c>
      <c r="C82" s="1251"/>
      <c r="D82" s="1251"/>
      <c r="E82" s="1251"/>
      <c r="F82" s="1177"/>
      <c r="G82" s="1177"/>
      <c r="H82" s="1177"/>
      <c r="I82" s="1178"/>
      <c r="J82" s="1179"/>
    </row>
    <row r="83" spans="1:53" s="1209" customFormat="1">
      <c r="A83" s="1176"/>
      <c r="B83" s="1252" t="s">
        <v>6972</v>
      </c>
      <c r="C83" s="1251">
        <v>1</v>
      </c>
      <c r="D83" s="1251" t="s">
        <v>3364</v>
      </c>
      <c r="E83" s="1251">
        <v>2</v>
      </c>
      <c r="F83" s="1177">
        <v>13.08</v>
      </c>
      <c r="G83" s="1177">
        <v>0.38</v>
      </c>
      <c r="H83" s="1177">
        <v>0.15</v>
      </c>
      <c r="I83" s="1178">
        <f t="shared" ref="I83:I89" si="7">PRODUCT(C83:H83)</f>
        <v>1.49</v>
      </c>
      <c r="J83" s="1179"/>
    </row>
    <row r="84" spans="1:53" s="1209" customFormat="1">
      <c r="A84" s="1176"/>
      <c r="B84" s="1252" t="s">
        <v>6973</v>
      </c>
      <c r="C84" s="1251">
        <v>1</v>
      </c>
      <c r="D84" s="1251" t="s">
        <v>3364</v>
      </c>
      <c r="E84" s="1251">
        <v>5</v>
      </c>
      <c r="F84" s="1177">
        <f>15.9+0.23</f>
        <v>16.13</v>
      </c>
      <c r="G84" s="1177">
        <v>0.38</v>
      </c>
      <c r="H84" s="1177">
        <v>0.15</v>
      </c>
      <c r="I84" s="1178">
        <f t="shared" si="7"/>
        <v>4.5999999999999996</v>
      </c>
      <c r="J84" s="1179"/>
    </row>
    <row r="85" spans="1:53" s="1209" customFormat="1">
      <c r="A85" s="1176"/>
      <c r="B85" s="1252" t="s">
        <v>6974</v>
      </c>
      <c r="C85" s="1251">
        <v>1</v>
      </c>
      <c r="D85" s="1251" t="s">
        <v>3364</v>
      </c>
      <c r="E85" s="1251">
        <v>1</v>
      </c>
      <c r="F85" s="1177">
        <v>12.67</v>
      </c>
      <c r="G85" s="1177">
        <v>0.38</v>
      </c>
      <c r="H85" s="1177">
        <v>0.15</v>
      </c>
      <c r="I85" s="1178">
        <f t="shared" si="7"/>
        <v>0.72</v>
      </c>
      <c r="J85" s="1179"/>
    </row>
    <row r="86" spans="1:53" s="1209" customFormat="1">
      <c r="A86" s="1176"/>
      <c r="B86" s="1252" t="s">
        <v>6975</v>
      </c>
      <c r="C86" s="1251">
        <v>1</v>
      </c>
      <c r="D86" s="1251" t="s">
        <v>3364</v>
      </c>
      <c r="E86" s="1251">
        <v>2</v>
      </c>
      <c r="F86" s="1177">
        <v>2.82</v>
      </c>
      <c r="G86" s="1177">
        <v>0.38</v>
      </c>
      <c r="H86" s="1177">
        <v>0.15</v>
      </c>
      <c r="I86" s="1178">
        <f t="shared" si="7"/>
        <v>0.32</v>
      </c>
      <c r="J86" s="1179"/>
      <c r="K86" s="1209">
        <f>1.75+0.9</f>
        <v>2.65</v>
      </c>
    </row>
    <row r="87" spans="1:53" s="1209" customFormat="1">
      <c r="A87" s="1176"/>
      <c r="B87" s="1199" t="s">
        <v>6525</v>
      </c>
      <c r="C87" s="1251">
        <v>1</v>
      </c>
      <c r="D87" s="1251" t="s">
        <v>3364</v>
      </c>
      <c r="E87" s="1251">
        <v>2</v>
      </c>
      <c r="F87" s="1177">
        <f>35.215+0.23</f>
        <v>35.445</v>
      </c>
      <c r="G87" s="1177">
        <v>1.5</v>
      </c>
      <c r="H87" s="1177">
        <v>0.15</v>
      </c>
      <c r="I87" s="1178">
        <f t="shared" si="7"/>
        <v>15.95</v>
      </c>
      <c r="J87" s="1179"/>
      <c r="K87" s="1209">
        <f>1.75+0.9</f>
        <v>2.65</v>
      </c>
    </row>
    <row r="88" spans="1:53" s="1209" customFormat="1">
      <c r="A88" s="1176"/>
      <c r="B88" s="1199" t="s">
        <v>3370</v>
      </c>
      <c r="C88" s="1251">
        <v>2</v>
      </c>
      <c r="D88" s="1251" t="s">
        <v>3364</v>
      </c>
      <c r="E88" s="1251">
        <v>5</v>
      </c>
      <c r="F88" s="1177">
        <f>0.6+0.46</f>
        <v>1.06</v>
      </c>
      <c r="G88" s="1177">
        <f>0.6+0.46</f>
        <v>1.06</v>
      </c>
      <c r="H88" s="1177">
        <v>0.15</v>
      </c>
      <c r="I88" s="1178">
        <f t="shared" si="7"/>
        <v>1.69</v>
      </c>
      <c r="J88" s="1179"/>
    </row>
    <row r="89" spans="1:53" s="1209" customFormat="1">
      <c r="A89" s="1176"/>
      <c r="B89" s="1199" t="s">
        <v>3371</v>
      </c>
      <c r="C89" s="1251">
        <v>1</v>
      </c>
      <c r="D89" s="1251" t="s">
        <v>3364</v>
      </c>
      <c r="E89" s="1251">
        <v>1</v>
      </c>
      <c r="F89" s="1177">
        <v>25</v>
      </c>
      <c r="G89" s="1177">
        <v>33.299999999999997</v>
      </c>
      <c r="H89" s="1177">
        <v>0.15</v>
      </c>
      <c r="I89" s="1178">
        <f t="shared" si="7"/>
        <v>124.88</v>
      </c>
      <c r="J89" s="1179"/>
    </row>
    <row r="90" spans="1:53" s="1209" customFormat="1">
      <c r="A90" s="1176"/>
      <c r="B90" s="1199"/>
      <c r="C90" s="1251"/>
      <c r="D90" s="1251"/>
      <c r="E90" s="1251"/>
      <c r="F90" s="1177"/>
      <c r="G90" s="1253" t="s">
        <v>104</v>
      </c>
      <c r="H90" s="1177"/>
      <c r="I90" s="1178">
        <f>SUM(I71:I89)</f>
        <v>212.48</v>
      </c>
      <c r="J90" s="1179"/>
    </row>
    <row r="91" spans="1:53" s="1209" customFormat="1">
      <c r="A91" s="1176"/>
      <c r="B91" s="1199"/>
      <c r="C91" s="1251"/>
      <c r="D91" s="1251"/>
      <c r="E91" s="1251"/>
      <c r="F91" s="1177"/>
      <c r="G91" s="1177"/>
      <c r="H91" s="1253" t="s">
        <v>2981</v>
      </c>
      <c r="I91" s="1181">
        <f>CEILING(I90,0.1)</f>
        <v>212.5</v>
      </c>
      <c r="J91" s="1179" t="s">
        <v>5</v>
      </c>
    </row>
    <row r="92" spans="1:53" s="1209" customFormat="1">
      <c r="A92" s="1176">
        <v>3.2</v>
      </c>
      <c r="B92" s="1187" t="s">
        <v>3374</v>
      </c>
      <c r="C92" s="1251"/>
      <c r="D92" s="1251"/>
      <c r="E92" s="1251"/>
      <c r="F92" s="1177"/>
      <c r="G92" s="1177"/>
      <c r="H92" s="1177"/>
      <c r="I92" s="1178"/>
      <c r="J92" s="1179"/>
    </row>
    <row r="93" spans="1:53" s="1211" customFormat="1">
      <c r="A93" s="1263"/>
      <c r="B93" s="1264" t="s">
        <v>3371</v>
      </c>
      <c r="C93" s="1265">
        <v>1</v>
      </c>
      <c r="D93" s="1265" t="s">
        <v>3364</v>
      </c>
      <c r="E93" s="1265">
        <v>1</v>
      </c>
      <c r="F93" s="1266">
        <v>25</v>
      </c>
      <c r="G93" s="1266">
        <v>33.299999999999997</v>
      </c>
      <c r="H93" s="1266">
        <v>0.15</v>
      </c>
      <c r="I93" s="1178">
        <f>PRODUCT(C93:H93)</f>
        <v>124.88</v>
      </c>
      <c r="J93" s="1267"/>
      <c r="K93" s="1210"/>
      <c r="L93" s="1210"/>
      <c r="M93" s="1210"/>
      <c r="N93" s="1210"/>
      <c r="O93" s="1210"/>
      <c r="P93" s="1210"/>
      <c r="Q93" s="1210"/>
      <c r="R93" s="1210"/>
      <c r="S93" s="1210"/>
      <c r="T93" s="1210"/>
      <c r="U93" s="1210"/>
      <c r="V93" s="1210"/>
      <c r="W93" s="1210"/>
      <c r="X93" s="1210"/>
      <c r="Y93" s="1210"/>
      <c r="Z93" s="1210"/>
      <c r="AA93" s="1210"/>
      <c r="AB93" s="1210"/>
      <c r="AC93" s="1210"/>
      <c r="AD93" s="1210"/>
      <c r="AE93" s="1210"/>
      <c r="AF93" s="1210"/>
      <c r="AG93" s="1210"/>
      <c r="AH93" s="1210"/>
      <c r="AI93" s="1210"/>
      <c r="AJ93" s="1210"/>
      <c r="AK93" s="1210"/>
      <c r="AL93" s="1210"/>
      <c r="AM93" s="1210"/>
      <c r="AN93" s="1210"/>
      <c r="AO93" s="1210"/>
      <c r="AP93" s="1210"/>
      <c r="AQ93" s="1210"/>
      <c r="AR93" s="1210"/>
      <c r="AS93" s="1210"/>
      <c r="AT93" s="1210"/>
      <c r="AU93" s="1210"/>
      <c r="AV93" s="1210"/>
      <c r="AW93" s="1210"/>
      <c r="AX93" s="1210"/>
      <c r="AY93" s="1210"/>
      <c r="AZ93" s="1210"/>
      <c r="BA93" s="1210"/>
    </row>
    <row r="94" spans="1:53" s="1211" customFormat="1">
      <c r="A94" s="1263"/>
      <c r="B94" s="1264"/>
      <c r="C94" s="1265"/>
      <c r="D94" s="1265"/>
      <c r="E94" s="1265"/>
      <c r="F94" s="1266"/>
      <c r="G94" s="1266"/>
      <c r="H94" s="1253" t="s">
        <v>2981</v>
      </c>
      <c r="I94" s="1181">
        <f>CEILING(I93,0.1)</f>
        <v>124.9</v>
      </c>
      <c r="J94" s="1179" t="s">
        <v>5</v>
      </c>
      <c r="K94" s="1210"/>
      <c r="L94" s="1210"/>
      <c r="M94" s="1210"/>
      <c r="N94" s="1210"/>
      <c r="O94" s="1210"/>
      <c r="P94" s="1210"/>
      <c r="Q94" s="1210"/>
      <c r="R94" s="1210"/>
      <c r="S94" s="1210"/>
      <c r="T94" s="1210"/>
      <c r="U94" s="1210"/>
      <c r="V94" s="1210"/>
      <c r="W94" s="1210"/>
      <c r="X94" s="1210"/>
      <c r="Y94" s="1210"/>
      <c r="Z94" s="1210"/>
      <c r="AA94" s="1210"/>
      <c r="AB94" s="1210"/>
      <c r="AC94" s="1210"/>
      <c r="AD94" s="1210"/>
      <c r="AE94" s="1210"/>
      <c r="AF94" s="1210"/>
      <c r="AG94" s="1210"/>
      <c r="AH94" s="1210"/>
      <c r="AI94" s="1210"/>
      <c r="AJ94" s="1210"/>
      <c r="AK94" s="1210"/>
      <c r="AL94" s="1210"/>
      <c r="AM94" s="1210"/>
      <c r="AN94" s="1210"/>
      <c r="AO94" s="1210"/>
      <c r="AP94" s="1210"/>
      <c r="AQ94" s="1210"/>
      <c r="AR94" s="1210"/>
      <c r="AS94" s="1210"/>
      <c r="AT94" s="1210"/>
      <c r="AU94" s="1210"/>
      <c r="AV94" s="1210"/>
      <c r="AW94" s="1210"/>
      <c r="AX94" s="1210"/>
      <c r="AY94" s="1210"/>
      <c r="AZ94" s="1210"/>
      <c r="BA94" s="1210"/>
    </row>
    <row r="95" spans="1:53" s="1211" customFormat="1" ht="31.5">
      <c r="A95" s="1263"/>
      <c r="B95" s="1187" t="s">
        <v>3375</v>
      </c>
      <c r="C95" s="1265"/>
      <c r="D95" s="1265"/>
      <c r="E95" s="1265"/>
      <c r="F95" s="1266"/>
      <c r="G95" s="1266"/>
      <c r="H95" s="1253"/>
      <c r="I95" s="1181"/>
      <c r="J95" s="1179"/>
      <c r="K95" s="1210"/>
      <c r="L95" s="1210"/>
      <c r="M95" s="1210"/>
      <c r="N95" s="1210"/>
      <c r="O95" s="1210"/>
      <c r="P95" s="1210"/>
      <c r="Q95" s="1210"/>
      <c r="R95" s="1210"/>
      <c r="S95" s="1210"/>
      <c r="T95" s="1210"/>
      <c r="U95" s="1210"/>
      <c r="V95" s="1210"/>
      <c r="W95" s="1210"/>
      <c r="X95" s="1210"/>
      <c r="Y95" s="1210"/>
      <c r="Z95" s="1210"/>
      <c r="AA95" s="1210"/>
      <c r="AB95" s="1210"/>
      <c r="AC95" s="1210"/>
      <c r="AD95" s="1210"/>
      <c r="AE95" s="1210"/>
      <c r="AF95" s="1210"/>
      <c r="AG95" s="1210"/>
      <c r="AH95" s="1210"/>
      <c r="AI95" s="1210"/>
      <c r="AJ95" s="1210"/>
      <c r="AK95" s="1210"/>
      <c r="AL95" s="1210"/>
      <c r="AM95" s="1210"/>
      <c r="AN95" s="1210"/>
      <c r="AO95" s="1210"/>
      <c r="AP95" s="1210"/>
      <c r="AQ95" s="1210"/>
      <c r="AR95" s="1210"/>
      <c r="AS95" s="1210"/>
      <c r="AT95" s="1210"/>
      <c r="AU95" s="1210"/>
      <c r="AV95" s="1210"/>
      <c r="AW95" s="1210"/>
      <c r="AX95" s="1210"/>
      <c r="AY95" s="1210"/>
      <c r="AZ95" s="1210"/>
      <c r="BA95" s="1210"/>
    </row>
    <row r="96" spans="1:53" s="1211" customFormat="1">
      <c r="A96" s="1263"/>
      <c r="B96" s="1264" t="s">
        <v>3371</v>
      </c>
      <c r="C96" s="1265">
        <v>2</v>
      </c>
      <c r="D96" s="1265" t="s">
        <v>3364</v>
      </c>
      <c r="E96" s="1265">
        <v>4</v>
      </c>
      <c r="F96" s="1266">
        <v>25</v>
      </c>
      <c r="G96" s="1266"/>
      <c r="H96" s="1266">
        <v>0.3</v>
      </c>
      <c r="I96" s="1178">
        <f>PRODUCT(C96:H96)</f>
        <v>60</v>
      </c>
      <c r="J96" s="1267"/>
      <c r="K96" s="1210"/>
      <c r="L96" s="1210"/>
      <c r="M96" s="1210"/>
      <c r="N96" s="1210"/>
      <c r="O96" s="1210"/>
      <c r="P96" s="1210"/>
      <c r="Q96" s="1210"/>
      <c r="R96" s="1210"/>
      <c r="S96" s="1210"/>
      <c r="T96" s="1210"/>
      <c r="U96" s="1210"/>
      <c r="V96" s="1210"/>
      <c r="W96" s="1210"/>
      <c r="X96" s="1210"/>
      <c r="Y96" s="1210"/>
      <c r="Z96" s="1210"/>
      <c r="AA96" s="1210"/>
      <c r="AB96" s="1210"/>
      <c r="AC96" s="1210"/>
      <c r="AD96" s="1210"/>
      <c r="AE96" s="1210"/>
      <c r="AF96" s="1210"/>
      <c r="AG96" s="1210"/>
      <c r="AH96" s="1210"/>
      <c r="AI96" s="1210"/>
      <c r="AJ96" s="1210"/>
      <c r="AK96" s="1210"/>
      <c r="AL96" s="1210"/>
      <c r="AM96" s="1210"/>
      <c r="AN96" s="1210"/>
      <c r="AO96" s="1210"/>
      <c r="AP96" s="1210"/>
      <c r="AQ96" s="1210"/>
      <c r="AR96" s="1210"/>
      <c r="AS96" s="1210"/>
      <c r="AT96" s="1210"/>
      <c r="AU96" s="1210"/>
      <c r="AV96" s="1210"/>
      <c r="AW96" s="1210"/>
      <c r="AX96" s="1210"/>
      <c r="AY96" s="1210"/>
      <c r="AZ96" s="1210"/>
      <c r="BA96" s="1210"/>
    </row>
    <row r="97" spans="1:53" s="1211" customFormat="1">
      <c r="A97" s="1263"/>
      <c r="B97" s="1264"/>
      <c r="C97" s="1265"/>
      <c r="D97" s="1265"/>
      <c r="E97" s="1265"/>
      <c r="F97" s="1266"/>
      <c r="G97" s="1266"/>
      <c r="H97" s="1253" t="s">
        <v>2981</v>
      </c>
      <c r="I97" s="1181">
        <f>CEILING(I96,0.1)</f>
        <v>60</v>
      </c>
      <c r="J97" s="1179" t="s">
        <v>468</v>
      </c>
      <c r="K97" s="1210"/>
      <c r="L97" s="1210"/>
      <c r="M97" s="1210"/>
      <c r="N97" s="1210"/>
      <c r="O97" s="1210"/>
      <c r="P97" s="1210"/>
      <c r="Q97" s="1210"/>
      <c r="R97" s="1210"/>
      <c r="S97" s="1210"/>
      <c r="T97" s="1210"/>
      <c r="U97" s="1210"/>
      <c r="V97" s="1210"/>
      <c r="W97" s="1210"/>
      <c r="X97" s="1210"/>
      <c r="Y97" s="1210"/>
      <c r="Z97" s="1210"/>
      <c r="AA97" s="1210"/>
      <c r="AB97" s="1210"/>
      <c r="AC97" s="1210"/>
      <c r="AD97" s="1210"/>
      <c r="AE97" s="1210"/>
      <c r="AF97" s="1210"/>
      <c r="AG97" s="1210"/>
      <c r="AH97" s="1210"/>
      <c r="AI97" s="1210"/>
      <c r="AJ97" s="1210"/>
      <c r="AK97" s="1210"/>
      <c r="AL97" s="1210"/>
      <c r="AM97" s="1210"/>
      <c r="AN97" s="1210"/>
      <c r="AO97" s="1210"/>
      <c r="AP97" s="1210"/>
      <c r="AQ97" s="1210"/>
      <c r="AR97" s="1210"/>
      <c r="AS97" s="1210"/>
      <c r="AT97" s="1210"/>
      <c r="AU97" s="1210"/>
      <c r="AV97" s="1210"/>
      <c r="AW97" s="1210"/>
      <c r="AX97" s="1210"/>
      <c r="AY97" s="1210"/>
      <c r="AZ97" s="1210"/>
      <c r="BA97" s="1210"/>
    </row>
    <row r="98" spans="1:53" s="1209" customFormat="1" ht="110.25">
      <c r="A98" s="1182">
        <v>6.2</v>
      </c>
      <c r="B98" s="1200" t="s">
        <v>3442</v>
      </c>
      <c r="C98" s="1251"/>
      <c r="D98" s="1251"/>
      <c r="E98" s="1251"/>
      <c r="F98" s="1177"/>
      <c r="G98" s="1177"/>
      <c r="H98" s="1177"/>
      <c r="I98" s="1178"/>
      <c r="J98" s="1179"/>
    </row>
    <row r="99" spans="1:53" s="1209" customFormat="1">
      <c r="A99" s="1176"/>
      <c r="B99" s="1252" t="s">
        <v>6959</v>
      </c>
      <c r="C99" s="1251">
        <v>1</v>
      </c>
      <c r="D99" s="1251" t="s">
        <v>3364</v>
      </c>
      <c r="E99" s="1251">
        <v>2</v>
      </c>
      <c r="F99" s="1177">
        <f>35.215+0.23</f>
        <v>35.445</v>
      </c>
      <c r="G99" s="1177">
        <v>0.23</v>
      </c>
      <c r="H99" s="1177">
        <v>1.2</v>
      </c>
      <c r="I99" s="1178">
        <f t="shared" ref="I99:I116" si="8">PRODUCT(C99:H99)</f>
        <v>19.57</v>
      </c>
      <c r="J99" s="1179"/>
    </row>
    <row r="100" spans="1:53" s="1209" customFormat="1">
      <c r="A100" s="1176"/>
      <c r="B100" s="1252" t="s">
        <v>6958</v>
      </c>
      <c r="C100" s="1251">
        <v>1</v>
      </c>
      <c r="D100" s="1251" t="s">
        <v>3364</v>
      </c>
      <c r="E100" s="1251">
        <v>1</v>
      </c>
      <c r="F100" s="1177">
        <v>26.745000000000001</v>
      </c>
      <c r="G100" s="1177">
        <v>0.23</v>
      </c>
      <c r="H100" s="1177">
        <v>1.2</v>
      </c>
      <c r="I100" s="1178">
        <f t="shared" si="8"/>
        <v>7.38</v>
      </c>
      <c r="J100" s="1179"/>
    </row>
    <row r="101" spans="1:53" s="1209" customFormat="1">
      <c r="A101" s="1176"/>
      <c r="B101" s="1252" t="s">
        <v>6960</v>
      </c>
      <c r="C101" s="1251">
        <v>1</v>
      </c>
      <c r="D101" s="1251" t="s">
        <v>3364</v>
      </c>
      <c r="E101" s="1251">
        <v>1</v>
      </c>
      <c r="F101" s="1177">
        <v>8.4700000000000006</v>
      </c>
      <c r="G101" s="1177">
        <v>0.23</v>
      </c>
      <c r="H101" s="1177">
        <v>1.2</v>
      </c>
      <c r="I101" s="1178">
        <f t="shared" si="8"/>
        <v>2.34</v>
      </c>
      <c r="J101" s="1179"/>
    </row>
    <row r="102" spans="1:53" s="1209" customFormat="1">
      <c r="A102" s="1176"/>
      <c r="B102" s="1252" t="s">
        <v>6961</v>
      </c>
      <c r="C102" s="1251">
        <v>1</v>
      </c>
      <c r="D102" s="1251" t="s">
        <v>3364</v>
      </c>
      <c r="E102" s="1251">
        <v>1</v>
      </c>
      <c r="F102" s="1177">
        <v>25.335000000000001</v>
      </c>
      <c r="G102" s="1177">
        <v>0.23</v>
      </c>
      <c r="H102" s="1177">
        <v>1.2</v>
      </c>
      <c r="I102" s="1178">
        <f t="shared" si="8"/>
        <v>6.99</v>
      </c>
      <c r="J102" s="1179"/>
    </row>
    <row r="103" spans="1:53" s="1209" customFormat="1">
      <c r="A103" s="1176"/>
      <c r="B103" s="1252" t="s">
        <v>6972</v>
      </c>
      <c r="C103" s="1251">
        <v>1</v>
      </c>
      <c r="D103" s="1251" t="s">
        <v>3364</v>
      </c>
      <c r="E103" s="1251">
        <v>2</v>
      </c>
      <c r="F103" s="1177">
        <v>13.08</v>
      </c>
      <c r="G103" s="1177">
        <v>0.23</v>
      </c>
      <c r="H103" s="1177">
        <v>1.2</v>
      </c>
      <c r="I103" s="1178">
        <f t="shared" si="8"/>
        <v>7.22</v>
      </c>
      <c r="J103" s="1179"/>
    </row>
    <row r="104" spans="1:53" s="1209" customFormat="1">
      <c r="A104" s="1176"/>
      <c r="B104" s="1252" t="s">
        <v>6973</v>
      </c>
      <c r="C104" s="1251">
        <v>1</v>
      </c>
      <c r="D104" s="1251" t="s">
        <v>3364</v>
      </c>
      <c r="E104" s="1251">
        <v>5</v>
      </c>
      <c r="F104" s="1177">
        <f>15.9+0.23</f>
        <v>16.13</v>
      </c>
      <c r="G104" s="1177">
        <v>0.23</v>
      </c>
      <c r="H104" s="1177">
        <v>1.2</v>
      </c>
      <c r="I104" s="1178">
        <f t="shared" si="8"/>
        <v>22.26</v>
      </c>
      <c r="J104" s="1179"/>
    </row>
    <row r="105" spans="1:53" s="1209" customFormat="1">
      <c r="A105" s="1176"/>
      <c r="B105" s="1252" t="s">
        <v>6974</v>
      </c>
      <c r="C105" s="1251">
        <v>1</v>
      </c>
      <c r="D105" s="1251" t="s">
        <v>3364</v>
      </c>
      <c r="E105" s="1251">
        <v>1</v>
      </c>
      <c r="F105" s="1177">
        <v>12.67</v>
      </c>
      <c r="G105" s="1177">
        <v>0.23</v>
      </c>
      <c r="H105" s="1177">
        <v>1.2</v>
      </c>
      <c r="I105" s="1178">
        <f t="shared" si="8"/>
        <v>3.5</v>
      </c>
      <c r="J105" s="1179"/>
    </row>
    <row r="106" spans="1:53" s="1209" customFormat="1">
      <c r="A106" s="1176"/>
      <c r="B106" s="1252" t="s">
        <v>6975</v>
      </c>
      <c r="C106" s="1251">
        <v>1</v>
      </c>
      <c r="D106" s="1251" t="s">
        <v>3364</v>
      </c>
      <c r="E106" s="1251">
        <v>2</v>
      </c>
      <c r="F106" s="1177">
        <v>2.82</v>
      </c>
      <c r="G106" s="1177">
        <v>0.23</v>
      </c>
      <c r="H106" s="1177">
        <v>1.2</v>
      </c>
      <c r="I106" s="1178">
        <f t="shared" si="8"/>
        <v>1.56</v>
      </c>
      <c r="J106" s="1179"/>
      <c r="K106" s="1209">
        <f>1.75+0.9</f>
        <v>2.65</v>
      </c>
    </row>
    <row r="107" spans="1:53" s="1209" customFormat="1">
      <c r="A107" s="1176"/>
      <c r="B107" s="1199" t="s">
        <v>3369</v>
      </c>
      <c r="C107" s="1251">
        <v>2</v>
      </c>
      <c r="D107" s="1251" t="s">
        <v>3364</v>
      </c>
      <c r="E107" s="1251">
        <v>5</v>
      </c>
      <c r="F107" s="1177">
        <f>0.83+0.83+0.83+0.83</f>
        <v>3.32</v>
      </c>
      <c r="G107" s="1177">
        <v>0.23</v>
      </c>
      <c r="H107" s="1177">
        <v>1.5</v>
      </c>
      <c r="I107" s="1178">
        <f t="shared" si="8"/>
        <v>11.45</v>
      </c>
      <c r="J107" s="1179"/>
    </row>
    <row r="108" spans="1:53" s="1209" customFormat="1">
      <c r="A108" s="1176"/>
      <c r="B108" s="1199" t="s">
        <v>6525</v>
      </c>
      <c r="C108" s="1251">
        <v>1</v>
      </c>
      <c r="D108" s="1251" t="s">
        <v>3364</v>
      </c>
      <c r="E108" s="1251">
        <v>1</v>
      </c>
      <c r="F108" s="1177">
        <v>35.271999999999998</v>
      </c>
      <c r="G108" s="1177">
        <v>0.23</v>
      </c>
      <c r="H108" s="1177">
        <v>1</v>
      </c>
      <c r="I108" s="1178">
        <f t="shared" si="8"/>
        <v>8.11</v>
      </c>
      <c r="J108" s="1179"/>
      <c r="K108" s="1209">
        <f>1.75+0.9</f>
        <v>2.65</v>
      </c>
    </row>
    <row r="109" spans="1:53" s="1209" customFormat="1" ht="18.75" customHeight="1">
      <c r="A109" s="1176"/>
      <c r="B109" s="1199" t="s">
        <v>6526</v>
      </c>
      <c r="C109" s="1251">
        <v>4</v>
      </c>
      <c r="D109" s="1251" t="s">
        <v>3364</v>
      </c>
      <c r="E109" s="1251">
        <v>-1</v>
      </c>
      <c r="F109" s="1177">
        <v>0.3</v>
      </c>
      <c r="G109" s="1177">
        <v>0.23</v>
      </c>
      <c r="H109" s="1177">
        <v>1.2</v>
      </c>
      <c r="I109" s="1178">
        <f t="shared" si="8"/>
        <v>-0.33</v>
      </c>
      <c r="J109" s="1179"/>
    </row>
    <row r="110" spans="1:53" s="1209" customFormat="1" ht="18.75" customHeight="1">
      <c r="A110" s="1176"/>
      <c r="B110" s="1199" t="s">
        <v>6527</v>
      </c>
      <c r="C110" s="1251">
        <v>6</v>
      </c>
      <c r="D110" s="1251" t="s">
        <v>3364</v>
      </c>
      <c r="E110" s="1251">
        <v>-1</v>
      </c>
      <c r="F110" s="1177">
        <v>0.38</v>
      </c>
      <c r="G110" s="1177">
        <v>0.23</v>
      </c>
      <c r="H110" s="1177">
        <v>1.2</v>
      </c>
      <c r="I110" s="1178">
        <f t="shared" si="8"/>
        <v>-0.63</v>
      </c>
      <c r="J110" s="1179"/>
    </row>
    <row r="111" spans="1:53" s="1209" customFormat="1" ht="18.75" customHeight="1">
      <c r="A111" s="1176"/>
      <c r="B111" s="1199" t="s">
        <v>6976</v>
      </c>
      <c r="C111" s="1251">
        <v>2</v>
      </c>
      <c r="D111" s="1251" t="s">
        <v>3364</v>
      </c>
      <c r="E111" s="1251">
        <v>-1</v>
      </c>
      <c r="F111" s="1177">
        <v>0.38</v>
      </c>
      <c r="G111" s="1177">
        <v>0.23</v>
      </c>
      <c r="H111" s="1177">
        <v>1.2</v>
      </c>
      <c r="I111" s="1178">
        <f t="shared" si="8"/>
        <v>-0.21</v>
      </c>
      <c r="J111" s="1179"/>
    </row>
    <row r="112" spans="1:53" s="1209" customFormat="1" ht="18.75" customHeight="1">
      <c r="A112" s="1176"/>
      <c r="B112" s="1199" t="s">
        <v>6977</v>
      </c>
      <c r="C112" s="1251">
        <v>3</v>
      </c>
      <c r="D112" s="1251" t="s">
        <v>3364</v>
      </c>
      <c r="E112" s="1251">
        <v>-1</v>
      </c>
      <c r="F112" s="1177">
        <v>0.45</v>
      </c>
      <c r="G112" s="1177">
        <v>0.23</v>
      </c>
      <c r="H112" s="1177">
        <v>1.2</v>
      </c>
      <c r="I112" s="1178">
        <f t="shared" si="8"/>
        <v>-0.37</v>
      </c>
      <c r="J112" s="1179"/>
    </row>
    <row r="113" spans="1:13" s="1209" customFormat="1" ht="18.75" customHeight="1">
      <c r="A113" s="1176"/>
      <c r="B113" s="1199" t="s">
        <v>6978</v>
      </c>
      <c r="C113" s="1251">
        <v>3</v>
      </c>
      <c r="D113" s="1251" t="s">
        <v>3364</v>
      </c>
      <c r="E113" s="1251">
        <v>-1</v>
      </c>
      <c r="F113" s="1177">
        <v>0.45</v>
      </c>
      <c r="G113" s="1177">
        <v>0.23</v>
      </c>
      <c r="H113" s="1177">
        <v>1.2</v>
      </c>
      <c r="I113" s="1178">
        <f t="shared" si="8"/>
        <v>-0.37</v>
      </c>
      <c r="J113" s="1179"/>
    </row>
    <row r="114" spans="1:13" s="1209" customFormat="1" ht="18.75" customHeight="1">
      <c r="A114" s="1176"/>
      <c r="B114" s="1199" t="s">
        <v>6979</v>
      </c>
      <c r="C114" s="1251">
        <v>5</v>
      </c>
      <c r="D114" s="1251" t="s">
        <v>3364</v>
      </c>
      <c r="E114" s="1251">
        <v>-1</v>
      </c>
      <c r="F114" s="1177">
        <v>0.45</v>
      </c>
      <c r="G114" s="1177">
        <v>0.23</v>
      </c>
      <c r="H114" s="1177">
        <v>1.2</v>
      </c>
      <c r="I114" s="1178">
        <f t="shared" si="8"/>
        <v>-0.62</v>
      </c>
      <c r="J114" s="1179"/>
    </row>
    <row r="115" spans="1:13" s="1209" customFormat="1" ht="18.75" customHeight="1">
      <c r="A115" s="1176"/>
      <c r="B115" s="1199" t="s">
        <v>6980</v>
      </c>
      <c r="C115" s="1251">
        <v>4</v>
      </c>
      <c r="D115" s="1251" t="s">
        <v>3364</v>
      </c>
      <c r="E115" s="1251">
        <v>-1</v>
      </c>
      <c r="F115" s="1177">
        <v>0.45</v>
      </c>
      <c r="G115" s="1177">
        <v>0.23</v>
      </c>
      <c r="H115" s="1177">
        <v>1.2</v>
      </c>
      <c r="I115" s="1178">
        <f t="shared" si="8"/>
        <v>-0.5</v>
      </c>
      <c r="J115" s="1179"/>
    </row>
    <row r="116" spans="1:13" s="1209" customFormat="1" ht="18.75" customHeight="1">
      <c r="A116" s="1176"/>
      <c r="B116" s="1199" t="s">
        <v>6981</v>
      </c>
      <c r="C116" s="1251">
        <v>8</v>
      </c>
      <c r="D116" s="1251" t="s">
        <v>3364</v>
      </c>
      <c r="E116" s="1251">
        <v>-1</v>
      </c>
      <c r="F116" s="1177">
        <v>0.45</v>
      </c>
      <c r="G116" s="1177">
        <v>0.23</v>
      </c>
      <c r="H116" s="1177">
        <v>1.2</v>
      </c>
      <c r="I116" s="1178">
        <f t="shared" si="8"/>
        <v>-0.99</v>
      </c>
      <c r="J116" s="1179"/>
    </row>
    <row r="117" spans="1:13" s="1209" customFormat="1">
      <c r="A117" s="1176"/>
      <c r="B117" s="1201"/>
      <c r="C117" s="1268"/>
      <c r="D117" s="1268"/>
      <c r="E117" s="1268"/>
      <c r="F117" s="1269"/>
      <c r="G117" s="1253" t="s">
        <v>104</v>
      </c>
      <c r="H117" s="1177"/>
      <c r="I117" s="1183">
        <f>SUM(I99:I116)</f>
        <v>86.36</v>
      </c>
      <c r="J117" s="1179"/>
    </row>
    <row r="118" spans="1:13" s="1209" customFormat="1">
      <c r="A118" s="1176"/>
      <c r="B118" s="1199"/>
      <c r="C118" s="1268"/>
      <c r="D118" s="1268"/>
      <c r="E118" s="1268"/>
      <c r="F118" s="1269"/>
      <c r="G118" s="1177"/>
      <c r="H118" s="1253" t="s">
        <v>2981</v>
      </c>
      <c r="I118" s="1181">
        <f>CEILING(I117,0.1)</f>
        <v>86.4</v>
      </c>
      <c r="J118" s="1179" t="s">
        <v>5</v>
      </c>
    </row>
    <row r="119" spans="1:13" s="1209" customFormat="1" ht="126">
      <c r="A119" s="1182">
        <v>9.1999999999999993</v>
      </c>
      <c r="B119" s="1187" t="s">
        <v>3444</v>
      </c>
      <c r="C119" s="1251"/>
      <c r="D119" s="1251"/>
      <c r="E119" s="1251"/>
      <c r="F119" s="1177"/>
      <c r="G119" s="1177"/>
      <c r="H119" s="1177"/>
      <c r="I119" s="1178"/>
      <c r="J119" s="1184"/>
      <c r="L119" s="1209">
        <f>63/236</f>
        <v>0.266949152542373</v>
      </c>
      <c r="M119" s="1209">
        <f>3.84*400</f>
        <v>1536</v>
      </c>
    </row>
    <row r="120" spans="1:13" s="1209" customFormat="1">
      <c r="A120" s="1185"/>
      <c r="B120" s="1270" t="s">
        <v>3445</v>
      </c>
      <c r="C120" s="1251"/>
      <c r="D120" s="1251"/>
      <c r="E120" s="1251"/>
      <c r="F120" s="1177"/>
      <c r="G120" s="1177"/>
      <c r="H120" s="1177"/>
      <c r="I120" s="1178"/>
      <c r="J120" s="1184"/>
      <c r="L120" s="1209">
        <f>L119*395</f>
        <v>105.444915254237</v>
      </c>
    </row>
    <row r="121" spans="1:13" s="1209" customFormat="1">
      <c r="A121" s="1176"/>
      <c r="B121" s="1199" t="s">
        <v>6528</v>
      </c>
      <c r="C121" s="1251">
        <v>3</v>
      </c>
      <c r="D121" s="1251" t="s">
        <v>3364</v>
      </c>
      <c r="E121" s="1251">
        <v>1</v>
      </c>
      <c r="F121" s="1177">
        <v>13.2</v>
      </c>
      <c r="G121" s="1177">
        <v>0.23</v>
      </c>
      <c r="H121" s="1177">
        <f>3.05-0.4</f>
        <v>2.65</v>
      </c>
      <c r="I121" s="1178">
        <f t="shared" ref="I121:I134" si="9">PRODUCT(C121:H121)</f>
        <v>24.14</v>
      </c>
      <c r="J121" s="1179"/>
    </row>
    <row r="122" spans="1:13" s="1209" customFormat="1">
      <c r="A122" s="1176"/>
      <c r="B122" s="1199" t="s">
        <v>6529</v>
      </c>
      <c r="C122" s="1251">
        <v>6</v>
      </c>
      <c r="D122" s="1251" t="s">
        <v>3364</v>
      </c>
      <c r="E122" s="1251">
        <v>1</v>
      </c>
      <c r="F122" s="1177">
        <v>16.09</v>
      </c>
      <c r="G122" s="1177">
        <v>0.23</v>
      </c>
      <c r="H122" s="1177">
        <f>3.05-0.4</f>
        <v>2.65</v>
      </c>
      <c r="I122" s="1178">
        <f t="shared" si="9"/>
        <v>58.84</v>
      </c>
      <c r="J122" s="1179"/>
    </row>
    <row r="123" spans="1:13" s="1209" customFormat="1">
      <c r="A123" s="1176"/>
      <c r="B123" s="1199" t="s">
        <v>6530</v>
      </c>
      <c r="C123" s="1251">
        <v>2</v>
      </c>
      <c r="D123" s="1251" t="s">
        <v>3364</v>
      </c>
      <c r="E123" s="1251">
        <v>1</v>
      </c>
      <c r="F123" s="1177">
        <v>25.58</v>
      </c>
      <c r="G123" s="1177">
        <v>0.23</v>
      </c>
      <c r="H123" s="1177">
        <f>3.05-0.4</f>
        <v>2.65</v>
      </c>
      <c r="I123" s="1178">
        <f t="shared" si="9"/>
        <v>31.18</v>
      </c>
      <c r="J123" s="1179"/>
    </row>
    <row r="124" spans="1:13" s="1209" customFormat="1">
      <c r="A124" s="1176"/>
      <c r="B124" s="1199" t="s">
        <v>6531</v>
      </c>
      <c r="C124" s="1251">
        <v>1</v>
      </c>
      <c r="D124" s="1251" t="s">
        <v>3364</v>
      </c>
      <c r="E124" s="1251">
        <v>1</v>
      </c>
      <c r="F124" s="1177">
        <v>9.7140000000000004</v>
      </c>
      <c r="G124" s="1177">
        <v>0.23</v>
      </c>
      <c r="H124" s="1177">
        <f>3.05-0.4</f>
        <v>2.65</v>
      </c>
      <c r="I124" s="1178">
        <f t="shared" si="9"/>
        <v>5.92</v>
      </c>
      <c r="J124" s="1179"/>
    </row>
    <row r="125" spans="1:13" s="1209" customFormat="1">
      <c r="A125" s="1176"/>
      <c r="B125" s="1199" t="s">
        <v>6532</v>
      </c>
      <c r="C125" s="1251">
        <v>2</v>
      </c>
      <c r="D125" s="1251" t="s">
        <v>3364</v>
      </c>
      <c r="E125" s="1251">
        <v>1</v>
      </c>
      <c r="F125" s="1177">
        <v>5.39</v>
      </c>
      <c r="G125" s="1177">
        <v>0.23</v>
      </c>
      <c r="H125" s="1177">
        <f>3.05-0.4</f>
        <v>2.65</v>
      </c>
      <c r="I125" s="1178">
        <f t="shared" si="9"/>
        <v>6.57</v>
      </c>
      <c r="J125" s="1179"/>
    </row>
    <row r="126" spans="1:13" s="1209" customFormat="1">
      <c r="A126" s="1176"/>
      <c r="B126" s="1271" t="s">
        <v>6987</v>
      </c>
      <c r="C126" s="1251"/>
      <c r="D126" s="1251"/>
      <c r="E126" s="1251"/>
      <c r="F126" s="1177"/>
      <c r="G126" s="1177"/>
      <c r="H126" s="1177"/>
      <c r="I126" s="1178"/>
      <c r="J126" s="1179"/>
    </row>
    <row r="127" spans="1:13" s="1209" customFormat="1">
      <c r="A127" s="1176"/>
      <c r="B127" s="1199" t="s">
        <v>3363</v>
      </c>
      <c r="C127" s="1251">
        <v>6</v>
      </c>
      <c r="D127" s="1251" t="s">
        <v>3364</v>
      </c>
      <c r="E127" s="1251">
        <v>-1</v>
      </c>
      <c r="F127" s="1272">
        <v>1</v>
      </c>
      <c r="G127" s="1272">
        <v>0.23</v>
      </c>
      <c r="H127" s="1177">
        <v>2.4</v>
      </c>
      <c r="I127" s="1178">
        <f>PRODUCT(C127:H127)</f>
        <v>-3.31</v>
      </c>
      <c r="J127" s="1179"/>
    </row>
    <row r="128" spans="1:13" s="1209" customFormat="1">
      <c r="A128" s="1176"/>
      <c r="B128" s="1199" t="s">
        <v>6971</v>
      </c>
      <c r="C128" s="1251">
        <v>2</v>
      </c>
      <c r="D128" s="1251" t="s">
        <v>3364</v>
      </c>
      <c r="E128" s="1251">
        <v>-1</v>
      </c>
      <c r="F128" s="1272">
        <v>0.75</v>
      </c>
      <c r="G128" s="1272">
        <v>0.23</v>
      </c>
      <c r="H128" s="1177">
        <v>2.1</v>
      </c>
      <c r="I128" s="1178">
        <f>PRODUCT(C128:H128)</f>
        <v>-0.72</v>
      </c>
      <c r="J128" s="1179"/>
    </row>
    <row r="129" spans="1:10" s="1209" customFormat="1">
      <c r="A129" s="1176"/>
      <c r="B129" s="1199" t="s">
        <v>3414</v>
      </c>
      <c r="C129" s="1251">
        <v>9</v>
      </c>
      <c r="D129" s="1251" t="s">
        <v>3364</v>
      </c>
      <c r="E129" s="1251">
        <v>-1</v>
      </c>
      <c r="F129" s="1272">
        <v>1.5</v>
      </c>
      <c r="G129" s="1272">
        <v>0.23</v>
      </c>
      <c r="H129" s="1177">
        <v>1.35</v>
      </c>
      <c r="I129" s="1178">
        <f>PRODUCT(C129:H129)</f>
        <v>-4.1900000000000004</v>
      </c>
      <c r="J129" s="1179"/>
    </row>
    <row r="130" spans="1:10" s="1209" customFormat="1">
      <c r="A130" s="1176"/>
      <c r="B130" s="1199" t="s">
        <v>6964</v>
      </c>
      <c r="C130" s="1251">
        <v>9</v>
      </c>
      <c r="D130" s="1251" t="s">
        <v>3364</v>
      </c>
      <c r="E130" s="1251">
        <v>-1</v>
      </c>
      <c r="F130" s="1272">
        <v>0.9</v>
      </c>
      <c r="G130" s="1272">
        <v>0.23</v>
      </c>
      <c r="H130" s="1177">
        <v>0.6</v>
      </c>
      <c r="I130" s="1178">
        <f>PRODUCT(C130:H130)</f>
        <v>-1.1200000000000001</v>
      </c>
      <c r="J130" s="1179"/>
    </row>
    <row r="131" spans="1:10" s="1209" customFormat="1">
      <c r="A131" s="1176"/>
      <c r="B131" s="1199" t="s">
        <v>6965</v>
      </c>
      <c r="C131" s="1251">
        <v>2</v>
      </c>
      <c r="D131" s="1251" t="s">
        <v>3364</v>
      </c>
      <c r="E131" s="1251">
        <v>-1</v>
      </c>
      <c r="F131" s="1272">
        <v>0.9</v>
      </c>
      <c r="G131" s="1272">
        <v>0.23</v>
      </c>
      <c r="H131" s="1177">
        <v>0.6</v>
      </c>
      <c r="I131" s="1178">
        <f>PRODUCT(C131:H131)</f>
        <v>-0.25</v>
      </c>
      <c r="J131" s="1179"/>
    </row>
    <row r="132" spans="1:10" s="1209" customFormat="1">
      <c r="A132" s="1176"/>
      <c r="B132" s="1199" t="s">
        <v>6967</v>
      </c>
      <c r="C132" s="1251">
        <v>4</v>
      </c>
      <c r="D132" s="1251" t="s">
        <v>3364</v>
      </c>
      <c r="E132" s="1251">
        <v>-1</v>
      </c>
      <c r="F132" s="1272">
        <v>0.75</v>
      </c>
      <c r="G132" s="1272">
        <v>0.23</v>
      </c>
      <c r="H132" s="1177">
        <v>0.6</v>
      </c>
      <c r="I132" s="1178">
        <f t="shared" si="9"/>
        <v>-0.41</v>
      </c>
      <c r="J132" s="1179"/>
    </row>
    <row r="133" spans="1:10" s="1209" customFormat="1">
      <c r="A133" s="1176"/>
      <c r="B133" s="1199" t="s">
        <v>3399</v>
      </c>
      <c r="C133" s="1251">
        <v>1</v>
      </c>
      <c r="D133" s="1251" t="s">
        <v>3364</v>
      </c>
      <c r="E133" s="1251">
        <v>-1</v>
      </c>
      <c r="F133" s="1272">
        <v>0.9</v>
      </c>
      <c r="G133" s="1272">
        <v>0.23</v>
      </c>
      <c r="H133" s="1177">
        <v>2</v>
      </c>
      <c r="I133" s="1178">
        <f t="shared" si="9"/>
        <v>-0.41</v>
      </c>
      <c r="J133" s="1179"/>
    </row>
    <row r="134" spans="1:10" s="1209" customFormat="1">
      <c r="A134" s="1176"/>
      <c r="B134" s="1199" t="s">
        <v>6969</v>
      </c>
      <c r="C134" s="1251">
        <v>1</v>
      </c>
      <c r="D134" s="1251" t="s">
        <v>3364</v>
      </c>
      <c r="E134" s="1251">
        <v>-1</v>
      </c>
      <c r="F134" s="1272">
        <v>1.5</v>
      </c>
      <c r="G134" s="1272">
        <v>0.23</v>
      </c>
      <c r="H134" s="1177">
        <v>1.35</v>
      </c>
      <c r="I134" s="1178">
        <f t="shared" si="9"/>
        <v>-0.47</v>
      </c>
      <c r="J134" s="1179"/>
    </row>
    <row r="135" spans="1:10" s="1209" customFormat="1" ht="18.75" customHeight="1">
      <c r="A135" s="1176"/>
      <c r="B135" s="1271" t="s">
        <v>6534</v>
      </c>
      <c r="C135" s="1251"/>
      <c r="D135" s="1251"/>
      <c r="E135" s="1251"/>
      <c r="F135" s="1177"/>
      <c r="G135" s="1177"/>
      <c r="H135" s="1177"/>
      <c r="I135" s="1178"/>
      <c r="J135" s="1179"/>
    </row>
    <row r="136" spans="1:10" s="1209" customFormat="1">
      <c r="A136" s="1176"/>
      <c r="B136" s="1199" t="s">
        <v>3363</v>
      </c>
      <c r="C136" s="1251">
        <v>6</v>
      </c>
      <c r="D136" s="1251" t="s">
        <v>3364</v>
      </c>
      <c r="E136" s="1251">
        <v>-1</v>
      </c>
      <c r="F136" s="1272">
        <v>1.46</v>
      </c>
      <c r="G136" s="1272">
        <v>0.23</v>
      </c>
      <c r="H136" s="1177">
        <v>0.15</v>
      </c>
      <c r="I136" s="1178">
        <f t="shared" ref="I136:I143" si="10">PRODUCT(C136:H136)</f>
        <v>-0.3</v>
      </c>
      <c r="J136" s="1179"/>
    </row>
    <row r="137" spans="1:10" s="1209" customFormat="1">
      <c r="A137" s="1176"/>
      <c r="B137" s="1199" t="s">
        <v>6971</v>
      </c>
      <c r="C137" s="1251">
        <v>2</v>
      </c>
      <c r="D137" s="1251" t="s">
        <v>3364</v>
      </c>
      <c r="E137" s="1251">
        <v>-1</v>
      </c>
      <c r="F137" s="1272">
        <f>0.75+0.46</f>
        <v>1.21</v>
      </c>
      <c r="G137" s="1272">
        <v>0.23</v>
      </c>
      <c r="H137" s="1177">
        <v>0.15</v>
      </c>
      <c r="I137" s="1178">
        <f t="shared" si="10"/>
        <v>-0.08</v>
      </c>
      <c r="J137" s="1179"/>
    </row>
    <row r="138" spans="1:10" s="1209" customFormat="1">
      <c r="A138" s="1176"/>
      <c r="B138" s="1199" t="s">
        <v>3414</v>
      </c>
      <c r="C138" s="1251">
        <v>9</v>
      </c>
      <c r="D138" s="1251" t="s">
        <v>3364</v>
      </c>
      <c r="E138" s="1251">
        <v>-1</v>
      </c>
      <c r="F138" s="1272">
        <v>1.96</v>
      </c>
      <c r="G138" s="1272">
        <v>0.23</v>
      </c>
      <c r="H138" s="1177">
        <v>0.15</v>
      </c>
      <c r="I138" s="1178">
        <f t="shared" si="10"/>
        <v>-0.61</v>
      </c>
      <c r="J138" s="1179"/>
    </row>
    <row r="139" spans="1:10" s="1209" customFormat="1">
      <c r="A139" s="1176"/>
      <c r="B139" s="1199" t="s">
        <v>6964</v>
      </c>
      <c r="C139" s="1251">
        <v>9</v>
      </c>
      <c r="D139" s="1251" t="s">
        <v>3364</v>
      </c>
      <c r="E139" s="1251">
        <v>-1</v>
      </c>
      <c r="F139" s="1272">
        <v>1.36</v>
      </c>
      <c r="G139" s="1272">
        <v>0.23</v>
      </c>
      <c r="H139" s="1177">
        <v>0.15</v>
      </c>
      <c r="I139" s="1178">
        <f t="shared" si="10"/>
        <v>-0.42</v>
      </c>
      <c r="J139" s="1179"/>
    </row>
    <row r="140" spans="1:10" s="1209" customFormat="1">
      <c r="A140" s="1176"/>
      <c r="B140" s="1199" t="s">
        <v>6965</v>
      </c>
      <c r="C140" s="1251">
        <v>2</v>
      </c>
      <c r="D140" s="1251" t="s">
        <v>3364</v>
      </c>
      <c r="E140" s="1251">
        <v>-1</v>
      </c>
      <c r="F140" s="1272">
        <v>1.36</v>
      </c>
      <c r="G140" s="1272">
        <v>0.23</v>
      </c>
      <c r="H140" s="1177">
        <v>0.15</v>
      </c>
      <c r="I140" s="1178">
        <f t="shared" si="10"/>
        <v>-0.09</v>
      </c>
      <c r="J140" s="1179"/>
    </row>
    <row r="141" spans="1:10" s="1209" customFormat="1">
      <c r="A141" s="1176"/>
      <c r="B141" s="1199" t="s">
        <v>6967</v>
      </c>
      <c r="C141" s="1251">
        <v>4</v>
      </c>
      <c r="D141" s="1251" t="s">
        <v>3364</v>
      </c>
      <c r="E141" s="1251">
        <v>-1</v>
      </c>
      <c r="F141" s="1272">
        <v>1.21</v>
      </c>
      <c r="G141" s="1272">
        <v>0.23</v>
      </c>
      <c r="H141" s="1177">
        <v>0.15</v>
      </c>
      <c r="I141" s="1178">
        <f t="shared" si="10"/>
        <v>-0.17</v>
      </c>
      <c r="J141" s="1179"/>
    </row>
    <row r="142" spans="1:10" s="1209" customFormat="1">
      <c r="A142" s="1176"/>
      <c r="B142" s="1199" t="s">
        <v>3399</v>
      </c>
      <c r="C142" s="1251">
        <v>1</v>
      </c>
      <c r="D142" s="1251" t="s">
        <v>3364</v>
      </c>
      <c r="E142" s="1251">
        <v>-1</v>
      </c>
      <c r="F142" s="1272">
        <v>1.36</v>
      </c>
      <c r="G142" s="1272">
        <v>0.23</v>
      </c>
      <c r="H142" s="1177">
        <v>0.15</v>
      </c>
      <c r="I142" s="1178">
        <f t="shared" si="10"/>
        <v>-0.05</v>
      </c>
      <c r="J142" s="1179"/>
    </row>
    <row r="143" spans="1:10" s="1209" customFormat="1">
      <c r="A143" s="1176"/>
      <c r="B143" s="1199" t="s">
        <v>6969</v>
      </c>
      <c r="C143" s="1251">
        <v>1</v>
      </c>
      <c r="D143" s="1251" t="s">
        <v>3364</v>
      </c>
      <c r="E143" s="1251">
        <v>-1</v>
      </c>
      <c r="F143" s="1272">
        <v>1.96</v>
      </c>
      <c r="G143" s="1272">
        <v>0.23</v>
      </c>
      <c r="H143" s="1177">
        <v>0.15</v>
      </c>
      <c r="I143" s="1178">
        <f t="shared" si="10"/>
        <v>-7.0000000000000007E-2</v>
      </c>
      <c r="J143" s="1179"/>
    </row>
    <row r="144" spans="1:10" s="1209" customFormat="1">
      <c r="A144" s="1185"/>
      <c r="B144" s="1199"/>
      <c r="C144" s="1186"/>
      <c r="D144" s="1186"/>
      <c r="E144" s="1186"/>
      <c r="F144" s="1177"/>
      <c r="G144" s="1253" t="s">
        <v>104</v>
      </c>
      <c r="H144" s="1253"/>
      <c r="I144" s="1181">
        <f>SUM(I121:I143)</f>
        <v>113.98</v>
      </c>
      <c r="J144" s="1184"/>
    </row>
    <row r="145" spans="1:10" s="1209" customFormat="1">
      <c r="A145" s="1185"/>
      <c r="B145" s="1199"/>
      <c r="C145" s="1186"/>
      <c r="D145" s="1186"/>
      <c r="E145" s="1186"/>
      <c r="F145" s="1177"/>
      <c r="G145" s="1253"/>
      <c r="H145" s="1253" t="s">
        <v>2981</v>
      </c>
      <c r="I145" s="1181">
        <f>CEILING(I144,0.1)</f>
        <v>114</v>
      </c>
      <c r="J145" s="1184" t="s">
        <v>5</v>
      </c>
    </row>
    <row r="146" spans="1:10" s="1209" customFormat="1">
      <c r="A146" s="1185"/>
      <c r="B146" s="1202" t="s">
        <v>6983</v>
      </c>
      <c r="C146" s="1186"/>
      <c r="D146" s="1186"/>
      <c r="E146" s="1186"/>
      <c r="F146" s="1177"/>
      <c r="G146" s="1253"/>
      <c r="H146" s="1253"/>
      <c r="I146" s="1181"/>
      <c r="J146" s="1184"/>
    </row>
    <row r="147" spans="1:10" s="1209" customFormat="1">
      <c r="A147" s="1185"/>
      <c r="B147" s="1199" t="s">
        <v>6535</v>
      </c>
      <c r="C147" s="1186">
        <v>1</v>
      </c>
      <c r="D147" s="1186" t="s">
        <v>3364</v>
      </c>
      <c r="E147" s="1186">
        <v>1</v>
      </c>
      <c r="F147" s="1177">
        <v>13.202</v>
      </c>
      <c r="G147" s="1177">
        <v>0.23</v>
      </c>
      <c r="H147" s="1177">
        <f t="shared" ref="H147:H154" si="11">3.05-0.4</f>
        <v>2.65</v>
      </c>
      <c r="I147" s="1178">
        <f t="shared" ref="I147:I156" si="12">PRODUCT(C147:H147)</f>
        <v>8.0500000000000007</v>
      </c>
      <c r="J147" s="1184"/>
    </row>
    <row r="148" spans="1:10" s="1209" customFormat="1">
      <c r="A148" s="1176"/>
      <c r="B148" s="1199" t="s">
        <v>6536</v>
      </c>
      <c r="C148" s="1251">
        <v>1</v>
      </c>
      <c r="D148" s="1251" t="s">
        <v>3364</v>
      </c>
      <c r="E148" s="1251">
        <v>1</v>
      </c>
      <c r="F148" s="1177">
        <f>((25.58+16.13)*2)-0.92</f>
        <v>82.5</v>
      </c>
      <c r="G148" s="1177">
        <v>0.23</v>
      </c>
      <c r="H148" s="1177">
        <f t="shared" si="11"/>
        <v>2.65</v>
      </c>
      <c r="I148" s="1178">
        <f t="shared" si="12"/>
        <v>50.28</v>
      </c>
      <c r="J148" s="1179"/>
    </row>
    <row r="149" spans="1:10" s="1209" customFormat="1">
      <c r="A149" s="1176"/>
      <c r="B149" s="1199" t="s">
        <v>6537</v>
      </c>
      <c r="C149" s="1251">
        <v>1</v>
      </c>
      <c r="D149" s="1251" t="s">
        <v>3364</v>
      </c>
      <c r="E149" s="1251">
        <v>1</v>
      </c>
      <c r="F149" s="1177">
        <v>13.199</v>
      </c>
      <c r="G149" s="1177">
        <v>0.23</v>
      </c>
      <c r="H149" s="1177">
        <f t="shared" si="11"/>
        <v>2.65</v>
      </c>
      <c r="I149" s="1178">
        <f t="shared" si="12"/>
        <v>8.0399999999999991</v>
      </c>
      <c r="J149" s="1179"/>
    </row>
    <row r="150" spans="1:10" s="1209" customFormat="1">
      <c r="A150" s="1176"/>
      <c r="B150" s="1199" t="s">
        <v>6538</v>
      </c>
      <c r="C150" s="1251">
        <v>1</v>
      </c>
      <c r="D150" s="1251" t="s">
        <v>3364</v>
      </c>
      <c r="E150" s="1251">
        <v>1</v>
      </c>
      <c r="F150" s="1177">
        <v>13.199</v>
      </c>
      <c r="G150" s="1177">
        <v>0.23</v>
      </c>
      <c r="H150" s="1177">
        <f t="shared" si="11"/>
        <v>2.65</v>
      </c>
      <c r="I150" s="1178">
        <f t="shared" si="12"/>
        <v>8.0399999999999991</v>
      </c>
      <c r="J150" s="1179"/>
    </row>
    <row r="151" spans="1:10" s="1209" customFormat="1">
      <c r="A151" s="1176"/>
      <c r="B151" s="1199" t="s">
        <v>6539</v>
      </c>
      <c r="C151" s="1251">
        <v>1</v>
      </c>
      <c r="D151" s="1251" t="s">
        <v>3364</v>
      </c>
      <c r="E151" s="1251">
        <v>1</v>
      </c>
      <c r="F151" s="1177">
        <v>14.346</v>
      </c>
      <c r="G151" s="1177">
        <v>0.23</v>
      </c>
      <c r="H151" s="1177">
        <f t="shared" si="11"/>
        <v>2.65</v>
      </c>
      <c r="I151" s="1178">
        <f t="shared" si="12"/>
        <v>8.74</v>
      </c>
      <c r="J151" s="1179"/>
    </row>
    <row r="152" spans="1:10" s="1209" customFormat="1">
      <c r="A152" s="1176"/>
      <c r="B152" s="1199" t="s">
        <v>6540</v>
      </c>
      <c r="C152" s="1251">
        <v>1</v>
      </c>
      <c r="D152" s="1251" t="s">
        <v>3364</v>
      </c>
      <c r="E152" s="1251">
        <v>1</v>
      </c>
      <c r="F152" s="1177">
        <v>5.39</v>
      </c>
      <c r="G152" s="1177">
        <v>0.23</v>
      </c>
      <c r="H152" s="1177">
        <f t="shared" si="11"/>
        <v>2.65</v>
      </c>
      <c r="I152" s="1178">
        <f t="shared" si="12"/>
        <v>3.29</v>
      </c>
      <c r="J152" s="1179"/>
    </row>
    <row r="153" spans="1:10" s="1209" customFormat="1">
      <c r="A153" s="1176"/>
      <c r="B153" s="1199" t="s">
        <v>6541</v>
      </c>
      <c r="C153" s="1251">
        <v>1</v>
      </c>
      <c r="D153" s="1251" t="s">
        <v>3364</v>
      </c>
      <c r="E153" s="1251">
        <v>1</v>
      </c>
      <c r="F153" s="1177">
        <v>25.58</v>
      </c>
      <c r="G153" s="1177">
        <v>0.23</v>
      </c>
      <c r="H153" s="1177">
        <f t="shared" si="11"/>
        <v>2.65</v>
      </c>
      <c r="I153" s="1178">
        <f t="shared" si="12"/>
        <v>15.59</v>
      </c>
      <c r="J153" s="1179"/>
    </row>
    <row r="154" spans="1:10" s="1209" customFormat="1">
      <c r="A154" s="1176"/>
      <c r="B154" s="1199" t="s">
        <v>6542</v>
      </c>
      <c r="C154" s="1251">
        <v>2</v>
      </c>
      <c r="D154" s="1251" t="s">
        <v>3364</v>
      </c>
      <c r="E154" s="1251">
        <v>1</v>
      </c>
      <c r="F154" s="1177">
        <v>2.7</v>
      </c>
      <c r="G154" s="1177">
        <v>0.23</v>
      </c>
      <c r="H154" s="1177">
        <f t="shared" si="11"/>
        <v>2.65</v>
      </c>
      <c r="I154" s="1178">
        <f t="shared" si="12"/>
        <v>3.29</v>
      </c>
      <c r="J154" s="1179"/>
    </row>
    <row r="155" spans="1:10" s="1209" customFormat="1">
      <c r="A155" s="1176"/>
      <c r="B155" s="1199" t="s">
        <v>6543</v>
      </c>
      <c r="C155" s="1251">
        <v>1</v>
      </c>
      <c r="D155" s="1251" t="s">
        <v>3364</v>
      </c>
      <c r="E155" s="1251">
        <v>1</v>
      </c>
      <c r="F155" s="1177">
        <v>4.67</v>
      </c>
      <c r="G155" s="1177">
        <v>0.23</v>
      </c>
      <c r="H155" s="1177">
        <v>2.65</v>
      </c>
      <c r="I155" s="1178">
        <f t="shared" si="12"/>
        <v>2.85</v>
      </c>
      <c r="J155" s="1179"/>
    </row>
    <row r="156" spans="1:10" s="1209" customFormat="1">
      <c r="A156" s="1176"/>
      <c r="B156" s="1199" t="s">
        <v>6544</v>
      </c>
      <c r="C156" s="1251">
        <v>1</v>
      </c>
      <c r="D156" s="1251" t="s">
        <v>3364</v>
      </c>
      <c r="E156" s="1251">
        <v>1</v>
      </c>
      <c r="F156" s="1177">
        <v>15.167999999999999</v>
      </c>
      <c r="G156" s="1177">
        <v>0.23</v>
      </c>
      <c r="H156" s="1177">
        <v>0.27500000000000002</v>
      </c>
      <c r="I156" s="1178">
        <f t="shared" si="12"/>
        <v>0.96</v>
      </c>
      <c r="J156" s="1179"/>
    </row>
    <row r="157" spans="1:10" s="1209" customFormat="1">
      <c r="A157" s="1176"/>
      <c r="B157" s="1202" t="s">
        <v>3446</v>
      </c>
      <c r="C157" s="1251"/>
      <c r="D157" s="1251"/>
      <c r="E157" s="1251"/>
      <c r="F157" s="1177"/>
      <c r="G157" s="1177"/>
      <c r="H157" s="1177"/>
      <c r="I157" s="1178"/>
      <c r="J157" s="1179"/>
    </row>
    <row r="158" spans="1:10" s="1209" customFormat="1">
      <c r="A158" s="1176"/>
      <c r="B158" s="1271" t="s">
        <v>6987</v>
      </c>
      <c r="C158" s="1251"/>
      <c r="D158" s="1251"/>
      <c r="E158" s="1251"/>
      <c r="F158" s="1177"/>
      <c r="G158" s="1177"/>
      <c r="H158" s="1177"/>
      <c r="I158" s="1178"/>
      <c r="J158" s="1179"/>
    </row>
    <row r="159" spans="1:10" s="1209" customFormat="1">
      <c r="A159" s="1176"/>
      <c r="B159" s="1199" t="s">
        <v>3363</v>
      </c>
      <c r="C159" s="1251">
        <v>4</v>
      </c>
      <c r="D159" s="1251" t="s">
        <v>3364</v>
      </c>
      <c r="E159" s="1251">
        <v>-1</v>
      </c>
      <c r="F159" s="1272">
        <v>1</v>
      </c>
      <c r="G159" s="1272">
        <v>0.23</v>
      </c>
      <c r="H159" s="1272">
        <v>2.4</v>
      </c>
      <c r="I159" s="1178">
        <f t="shared" ref="I159:I165" si="13">PRODUCT(C159:H159)</f>
        <v>-2.21</v>
      </c>
      <c r="J159" s="1179"/>
    </row>
    <row r="160" spans="1:10" s="1209" customFormat="1">
      <c r="A160" s="1176"/>
      <c r="B160" s="1199" t="s">
        <v>6971</v>
      </c>
      <c r="C160" s="1251">
        <v>13</v>
      </c>
      <c r="D160" s="1251" t="s">
        <v>3364</v>
      </c>
      <c r="E160" s="1251">
        <v>-1</v>
      </c>
      <c r="F160" s="1272">
        <v>0.75</v>
      </c>
      <c r="G160" s="1272">
        <v>0.23</v>
      </c>
      <c r="H160" s="1272">
        <v>2.1</v>
      </c>
      <c r="I160" s="1178">
        <f t="shared" si="13"/>
        <v>-4.71</v>
      </c>
      <c r="J160" s="1179"/>
    </row>
    <row r="161" spans="1:10" s="1209" customFormat="1">
      <c r="A161" s="1176"/>
      <c r="B161" s="1199" t="s">
        <v>3414</v>
      </c>
      <c r="C161" s="1251">
        <v>14</v>
      </c>
      <c r="D161" s="1251" t="s">
        <v>3364</v>
      </c>
      <c r="E161" s="1251">
        <v>-1</v>
      </c>
      <c r="F161" s="1272">
        <v>1.5</v>
      </c>
      <c r="G161" s="1272">
        <v>0.23</v>
      </c>
      <c r="H161" s="1272">
        <v>1.35</v>
      </c>
      <c r="I161" s="1178">
        <f t="shared" si="13"/>
        <v>-6.52</v>
      </c>
      <c r="J161" s="1179"/>
    </row>
    <row r="162" spans="1:10" s="1209" customFormat="1">
      <c r="A162" s="1176"/>
      <c r="B162" s="1199" t="s">
        <v>6965</v>
      </c>
      <c r="C162" s="1251">
        <v>1</v>
      </c>
      <c r="D162" s="1251" t="s">
        <v>3364</v>
      </c>
      <c r="E162" s="1251">
        <v>-1</v>
      </c>
      <c r="F162" s="1272">
        <v>0.9</v>
      </c>
      <c r="G162" s="1272">
        <v>0.23</v>
      </c>
      <c r="H162" s="1272">
        <v>0.6</v>
      </c>
      <c r="I162" s="1178">
        <f t="shared" si="13"/>
        <v>-0.12</v>
      </c>
      <c r="J162" s="1179"/>
    </row>
    <row r="163" spans="1:10" s="1209" customFormat="1">
      <c r="A163" s="1176"/>
      <c r="B163" s="1199" t="s">
        <v>6967</v>
      </c>
      <c r="C163" s="1251">
        <v>4</v>
      </c>
      <c r="D163" s="1251" t="s">
        <v>3364</v>
      </c>
      <c r="E163" s="1251">
        <v>-1</v>
      </c>
      <c r="F163" s="1272">
        <v>0.75</v>
      </c>
      <c r="G163" s="1272">
        <v>0.23</v>
      </c>
      <c r="H163" s="1272">
        <v>0.6</v>
      </c>
      <c r="I163" s="1178">
        <f t="shared" si="13"/>
        <v>-0.41</v>
      </c>
      <c r="J163" s="1179"/>
    </row>
    <row r="164" spans="1:10" s="1209" customFormat="1">
      <c r="A164" s="1176"/>
      <c r="B164" s="1199" t="s">
        <v>3399</v>
      </c>
      <c r="C164" s="1251">
        <v>1</v>
      </c>
      <c r="D164" s="1251" t="s">
        <v>3364</v>
      </c>
      <c r="E164" s="1251">
        <v>-1</v>
      </c>
      <c r="F164" s="1272">
        <v>0.9</v>
      </c>
      <c r="G164" s="1272">
        <v>0.23</v>
      </c>
      <c r="H164" s="1272">
        <v>2</v>
      </c>
      <c r="I164" s="1178">
        <f t="shared" si="13"/>
        <v>-0.41</v>
      </c>
      <c r="J164" s="1179"/>
    </row>
    <row r="165" spans="1:10" s="1209" customFormat="1">
      <c r="A165" s="1176"/>
      <c r="B165" s="1199" t="s">
        <v>6969</v>
      </c>
      <c r="C165" s="1251">
        <v>1</v>
      </c>
      <c r="D165" s="1251" t="s">
        <v>3364</v>
      </c>
      <c r="E165" s="1251">
        <v>-1</v>
      </c>
      <c r="F165" s="1272">
        <v>1.5</v>
      </c>
      <c r="G165" s="1272">
        <v>0.23</v>
      </c>
      <c r="H165" s="1272">
        <v>1.35</v>
      </c>
      <c r="I165" s="1178">
        <f t="shared" si="13"/>
        <v>-0.47</v>
      </c>
      <c r="J165" s="1179"/>
    </row>
    <row r="166" spans="1:10" s="1209" customFormat="1" ht="18.75" customHeight="1">
      <c r="A166" s="1176"/>
      <c r="B166" s="1271" t="s">
        <v>6534</v>
      </c>
      <c r="C166" s="1251"/>
      <c r="D166" s="1251"/>
      <c r="E166" s="1251"/>
      <c r="F166" s="1177"/>
      <c r="G166" s="1177"/>
      <c r="H166" s="1177"/>
      <c r="I166" s="1178"/>
      <c r="J166" s="1179"/>
    </row>
    <row r="167" spans="1:10" s="1209" customFormat="1">
      <c r="A167" s="1176"/>
      <c r="B167" s="1199" t="s">
        <v>3363</v>
      </c>
      <c r="C167" s="1251">
        <v>4</v>
      </c>
      <c r="D167" s="1251" t="s">
        <v>3364</v>
      </c>
      <c r="E167" s="1251">
        <v>-1</v>
      </c>
      <c r="F167" s="1272">
        <v>1.46</v>
      </c>
      <c r="G167" s="1272">
        <v>0.23</v>
      </c>
      <c r="H167" s="1272">
        <v>0.15</v>
      </c>
      <c r="I167" s="1178">
        <f t="shared" ref="I167:I173" si="14">PRODUCT(C167:H167)</f>
        <v>-0.2</v>
      </c>
      <c r="J167" s="1179"/>
    </row>
    <row r="168" spans="1:10" s="1209" customFormat="1">
      <c r="A168" s="1176"/>
      <c r="B168" s="1199" t="s">
        <v>6971</v>
      </c>
      <c r="C168" s="1251">
        <v>13</v>
      </c>
      <c r="D168" s="1251" t="s">
        <v>3364</v>
      </c>
      <c r="E168" s="1251">
        <v>-1</v>
      </c>
      <c r="F168" s="1272">
        <f>0.75+0.46</f>
        <v>1.21</v>
      </c>
      <c r="G168" s="1272">
        <v>0.23</v>
      </c>
      <c r="H168" s="1272">
        <v>0.15</v>
      </c>
      <c r="I168" s="1178">
        <f t="shared" si="14"/>
        <v>-0.54</v>
      </c>
      <c r="J168" s="1179"/>
    </row>
    <row r="169" spans="1:10" s="1209" customFormat="1">
      <c r="A169" s="1176"/>
      <c r="B169" s="1199" t="s">
        <v>3414</v>
      </c>
      <c r="C169" s="1251">
        <v>14</v>
      </c>
      <c r="D169" s="1251" t="s">
        <v>3364</v>
      </c>
      <c r="E169" s="1251">
        <v>-1</v>
      </c>
      <c r="F169" s="1272">
        <v>1.96</v>
      </c>
      <c r="G169" s="1272">
        <v>0.23</v>
      </c>
      <c r="H169" s="1272">
        <v>0.15</v>
      </c>
      <c r="I169" s="1178">
        <f t="shared" si="14"/>
        <v>-0.95</v>
      </c>
      <c r="J169" s="1179"/>
    </row>
    <row r="170" spans="1:10" s="1209" customFormat="1">
      <c r="A170" s="1176"/>
      <c r="B170" s="1199" t="s">
        <v>6964</v>
      </c>
      <c r="C170" s="1251">
        <v>1</v>
      </c>
      <c r="D170" s="1251" t="s">
        <v>3364</v>
      </c>
      <c r="E170" s="1251">
        <v>-1</v>
      </c>
      <c r="F170" s="1272">
        <v>1.36</v>
      </c>
      <c r="G170" s="1272">
        <v>0.23</v>
      </c>
      <c r="H170" s="1272">
        <v>0.15</v>
      </c>
      <c r="I170" s="1178">
        <f t="shared" si="14"/>
        <v>-0.05</v>
      </c>
      <c r="J170" s="1179"/>
    </row>
    <row r="171" spans="1:10" s="1209" customFormat="1">
      <c r="A171" s="1176"/>
      <c r="B171" s="1199" t="s">
        <v>6965</v>
      </c>
      <c r="C171" s="1251">
        <v>4</v>
      </c>
      <c r="D171" s="1251" t="s">
        <v>3364</v>
      </c>
      <c r="E171" s="1251">
        <v>-1</v>
      </c>
      <c r="F171" s="1272">
        <v>1.36</v>
      </c>
      <c r="G171" s="1272">
        <v>0.23</v>
      </c>
      <c r="H171" s="1272">
        <v>0.15</v>
      </c>
      <c r="I171" s="1178">
        <f t="shared" si="14"/>
        <v>-0.19</v>
      </c>
      <c r="J171" s="1179"/>
    </row>
    <row r="172" spans="1:10" s="1209" customFormat="1">
      <c r="A172" s="1176"/>
      <c r="B172" s="1199" t="s">
        <v>6967</v>
      </c>
      <c r="C172" s="1251">
        <v>1</v>
      </c>
      <c r="D172" s="1251" t="s">
        <v>3364</v>
      </c>
      <c r="E172" s="1251">
        <v>-1</v>
      </c>
      <c r="F172" s="1272">
        <v>1.21</v>
      </c>
      <c r="G172" s="1272">
        <v>0.23</v>
      </c>
      <c r="H172" s="1272">
        <v>0.15</v>
      </c>
      <c r="I172" s="1178">
        <f t="shared" si="14"/>
        <v>-0.04</v>
      </c>
      <c r="J172" s="1179"/>
    </row>
    <row r="173" spans="1:10" s="1209" customFormat="1">
      <c r="A173" s="1176"/>
      <c r="B173" s="1199" t="s">
        <v>3399</v>
      </c>
      <c r="C173" s="1251">
        <v>1</v>
      </c>
      <c r="D173" s="1251" t="s">
        <v>3364</v>
      </c>
      <c r="E173" s="1251">
        <v>-1</v>
      </c>
      <c r="F173" s="1272">
        <v>1.36</v>
      </c>
      <c r="G173" s="1272">
        <v>0.23</v>
      </c>
      <c r="H173" s="1272">
        <v>0.15</v>
      </c>
      <c r="I173" s="1178">
        <f t="shared" si="14"/>
        <v>-0.05</v>
      </c>
      <c r="J173" s="1179"/>
    </row>
    <row r="174" spans="1:10" s="1209" customFormat="1">
      <c r="A174" s="1185"/>
      <c r="B174" s="1199"/>
      <c r="C174" s="1186"/>
      <c r="D174" s="1186"/>
      <c r="E174" s="1186"/>
      <c r="F174" s="1177"/>
      <c r="G174" s="1253" t="s">
        <v>104</v>
      </c>
      <c r="H174" s="1253"/>
      <c r="I174" s="1181">
        <f>SUM(I147:I173)</f>
        <v>92.26</v>
      </c>
      <c r="J174" s="1184"/>
    </row>
    <row r="175" spans="1:10" s="1209" customFormat="1">
      <c r="A175" s="1185"/>
      <c r="B175" s="1199"/>
      <c r="C175" s="1186"/>
      <c r="D175" s="1186"/>
      <c r="E175" s="1186"/>
      <c r="F175" s="1177"/>
      <c r="G175" s="1253"/>
      <c r="H175" s="1253" t="s">
        <v>2981</v>
      </c>
      <c r="I175" s="1181">
        <f>CEILING(I174,0.1)</f>
        <v>92.3</v>
      </c>
      <c r="J175" s="1184" t="s">
        <v>5</v>
      </c>
    </row>
    <row r="176" spans="1:10" s="1209" customFormat="1">
      <c r="A176" s="1185"/>
      <c r="B176" s="1202" t="s">
        <v>3447</v>
      </c>
      <c r="C176" s="1186"/>
      <c r="D176" s="1186"/>
      <c r="E176" s="1186"/>
      <c r="F176" s="1177"/>
      <c r="G176" s="1253"/>
      <c r="H176" s="1253"/>
      <c r="I176" s="1181"/>
      <c r="J176" s="1184"/>
    </row>
    <row r="177" spans="1:10" s="1209" customFormat="1">
      <c r="A177" s="1185"/>
      <c r="B177" s="1199" t="s">
        <v>6547</v>
      </c>
      <c r="C177" s="1186">
        <v>1</v>
      </c>
      <c r="D177" s="1186" t="s">
        <v>3364</v>
      </c>
      <c r="E177" s="1186">
        <v>1</v>
      </c>
      <c r="F177" s="1177">
        <v>13.202</v>
      </c>
      <c r="G177" s="1177">
        <v>0.23</v>
      </c>
      <c r="H177" s="1177">
        <f t="shared" ref="H177:H186" si="15">3.05-0.4</f>
        <v>2.65</v>
      </c>
      <c r="I177" s="1178">
        <f t="shared" ref="I177:I187" si="16">PRODUCT(C177:H177)</f>
        <v>8.0500000000000007</v>
      </c>
      <c r="J177" s="1184"/>
    </row>
    <row r="178" spans="1:10" s="1209" customFormat="1">
      <c r="A178" s="1185"/>
      <c r="B178" s="1199" t="s">
        <v>6548</v>
      </c>
      <c r="C178" s="1186">
        <v>3</v>
      </c>
      <c r="D178" s="1186" t="s">
        <v>3364</v>
      </c>
      <c r="E178" s="1186">
        <v>1</v>
      </c>
      <c r="F178" s="1177">
        <v>9.6050000000000004</v>
      </c>
      <c r="G178" s="1177">
        <v>0.23</v>
      </c>
      <c r="H178" s="1177">
        <f t="shared" si="15"/>
        <v>2.65</v>
      </c>
      <c r="I178" s="1178">
        <f t="shared" si="16"/>
        <v>17.559999999999999</v>
      </c>
      <c r="J178" s="1184"/>
    </row>
    <row r="179" spans="1:10" s="1209" customFormat="1">
      <c r="A179" s="1176"/>
      <c r="B179" s="1199" t="s">
        <v>6536</v>
      </c>
      <c r="C179" s="1251">
        <v>1</v>
      </c>
      <c r="D179" s="1251" t="s">
        <v>3364</v>
      </c>
      <c r="E179" s="1251">
        <v>1</v>
      </c>
      <c r="F179" s="1177">
        <f>((25.58+16.13)*2)-0.92</f>
        <v>82.5</v>
      </c>
      <c r="G179" s="1177">
        <v>0.23</v>
      </c>
      <c r="H179" s="1177">
        <f t="shared" si="15"/>
        <v>2.65</v>
      </c>
      <c r="I179" s="1178">
        <f t="shared" si="16"/>
        <v>50.28</v>
      </c>
      <c r="J179" s="1179"/>
    </row>
    <row r="180" spans="1:10" s="1209" customFormat="1">
      <c r="A180" s="1176"/>
      <c r="B180" s="1199" t="s">
        <v>6549</v>
      </c>
      <c r="C180" s="1251">
        <v>1</v>
      </c>
      <c r="D180" s="1251" t="s">
        <v>3364</v>
      </c>
      <c r="E180" s="1251">
        <v>1</v>
      </c>
      <c r="F180" s="1177">
        <v>21.82</v>
      </c>
      <c r="G180" s="1177">
        <v>0.23</v>
      </c>
      <c r="H180" s="1177">
        <f t="shared" si="15"/>
        <v>2.65</v>
      </c>
      <c r="I180" s="1178">
        <f t="shared" si="16"/>
        <v>13.3</v>
      </c>
      <c r="J180" s="1179"/>
    </row>
    <row r="181" spans="1:10" s="1209" customFormat="1">
      <c r="A181" s="1176"/>
      <c r="B181" s="1199" t="s">
        <v>6541</v>
      </c>
      <c r="C181" s="1251">
        <v>1</v>
      </c>
      <c r="D181" s="1251" t="s">
        <v>3364</v>
      </c>
      <c r="E181" s="1251">
        <v>1</v>
      </c>
      <c r="F181" s="1177">
        <v>25.58</v>
      </c>
      <c r="G181" s="1177">
        <v>0.23</v>
      </c>
      <c r="H181" s="1177">
        <f t="shared" si="15"/>
        <v>2.65</v>
      </c>
      <c r="I181" s="1178">
        <f t="shared" si="16"/>
        <v>15.59</v>
      </c>
      <c r="J181" s="1179"/>
    </row>
    <row r="182" spans="1:10" s="1209" customFormat="1">
      <c r="A182" s="1176"/>
      <c r="B182" s="1199" t="s">
        <v>6542</v>
      </c>
      <c r="C182" s="1251">
        <v>2</v>
      </c>
      <c r="D182" s="1251" t="s">
        <v>3364</v>
      </c>
      <c r="E182" s="1251">
        <v>1</v>
      </c>
      <c r="F182" s="1177">
        <v>2.7</v>
      </c>
      <c r="G182" s="1177">
        <v>0.23</v>
      </c>
      <c r="H182" s="1177">
        <f t="shared" si="15"/>
        <v>2.65</v>
      </c>
      <c r="I182" s="1178">
        <f t="shared" si="16"/>
        <v>3.29</v>
      </c>
      <c r="J182" s="1179"/>
    </row>
    <row r="183" spans="1:10" s="1209" customFormat="1">
      <c r="A183" s="1176"/>
      <c r="B183" s="1199" t="s">
        <v>6544</v>
      </c>
      <c r="C183" s="1251">
        <v>1</v>
      </c>
      <c r="D183" s="1251" t="s">
        <v>3364</v>
      </c>
      <c r="E183" s="1251">
        <v>1</v>
      </c>
      <c r="F183" s="1177">
        <v>15.167999999999999</v>
      </c>
      <c r="G183" s="1177">
        <v>0.23</v>
      </c>
      <c r="H183" s="1177">
        <v>0.27500000000000002</v>
      </c>
      <c r="I183" s="1178">
        <f t="shared" si="16"/>
        <v>0.96</v>
      </c>
      <c r="J183" s="1179"/>
    </row>
    <row r="184" spans="1:10" s="1209" customFormat="1">
      <c r="A184" s="1176"/>
      <c r="B184" s="1199" t="s">
        <v>6550</v>
      </c>
      <c r="C184" s="1251">
        <v>2</v>
      </c>
      <c r="D184" s="1251" t="s">
        <v>3364</v>
      </c>
      <c r="E184" s="1251">
        <v>1</v>
      </c>
      <c r="F184" s="1177">
        <v>5.39</v>
      </c>
      <c r="G184" s="1177">
        <v>0.23</v>
      </c>
      <c r="H184" s="1177">
        <f t="shared" si="15"/>
        <v>2.65</v>
      </c>
      <c r="I184" s="1178">
        <f t="shared" si="16"/>
        <v>6.57</v>
      </c>
      <c r="J184" s="1179"/>
    </row>
    <row r="185" spans="1:10" s="1209" customFormat="1">
      <c r="A185" s="1176"/>
      <c r="B185" s="1199" t="s">
        <v>6551</v>
      </c>
      <c r="C185" s="1251">
        <v>1</v>
      </c>
      <c r="D185" s="1251" t="s">
        <v>3364</v>
      </c>
      <c r="E185" s="1251">
        <v>1</v>
      </c>
      <c r="F185" s="1177">
        <v>13.202</v>
      </c>
      <c r="G185" s="1177">
        <v>0.23</v>
      </c>
      <c r="H185" s="1177">
        <f t="shared" si="15"/>
        <v>2.65</v>
      </c>
      <c r="I185" s="1178">
        <f t="shared" si="16"/>
        <v>8.0500000000000007</v>
      </c>
      <c r="J185" s="1179"/>
    </row>
    <row r="186" spans="1:10" s="1209" customFormat="1">
      <c r="A186" s="1176"/>
      <c r="B186" s="1199" t="s">
        <v>6545</v>
      </c>
      <c r="C186" s="1251">
        <v>-1</v>
      </c>
      <c r="D186" s="1251" t="s">
        <v>3364</v>
      </c>
      <c r="E186" s="1251">
        <v>1</v>
      </c>
      <c r="F186" s="1177">
        <v>2.92</v>
      </c>
      <c r="G186" s="1177">
        <v>0.23</v>
      </c>
      <c r="H186" s="1177">
        <f t="shared" si="15"/>
        <v>2.65</v>
      </c>
      <c r="I186" s="1178">
        <f t="shared" si="16"/>
        <v>-1.78</v>
      </c>
      <c r="J186" s="1179"/>
    </row>
    <row r="187" spans="1:10" s="1209" customFormat="1">
      <c r="A187" s="1176"/>
      <c r="B187" s="1199" t="s">
        <v>6552</v>
      </c>
      <c r="C187" s="1251">
        <v>1</v>
      </c>
      <c r="D187" s="1251" t="s">
        <v>3364</v>
      </c>
      <c r="E187" s="1251">
        <v>1</v>
      </c>
      <c r="F187" s="1177">
        <v>2</v>
      </c>
      <c r="G187" s="1177">
        <v>0.23</v>
      </c>
      <c r="H187" s="1177">
        <v>2.65</v>
      </c>
      <c r="I187" s="1178">
        <f t="shared" si="16"/>
        <v>1.22</v>
      </c>
      <c r="J187" s="1179"/>
    </row>
    <row r="188" spans="1:10" s="1209" customFormat="1">
      <c r="A188" s="1176"/>
      <c r="B188" s="1271" t="s">
        <v>6987</v>
      </c>
      <c r="C188" s="1251"/>
      <c r="D188" s="1251"/>
      <c r="E188" s="1251"/>
      <c r="F188" s="1177"/>
      <c r="G188" s="1177"/>
      <c r="H188" s="1177"/>
      <c r="I188" s="1178"/>
      <c r="J188" s="1179"/>
    </row>
    <row r="189" spans="1:10" s="1209" customFormat="1">
      <c r="A189" s="1176"/>
      <c r="B189" s="1199" t="s">
        <v>3363</v>
      </c>
      <c r="C189" s="1251">
        <v>4</v>
      </c>
      <c r="D189" s="1251" t="s">
        <v>3364</v>
      </c>
      <c r="E189" s="1251">
        <v>-1</v>
      </c>
      <c r="F189" s="1272">
        <v>1</v>
      </c>
      <c r="G189" s="1272">
        <v>0.23</v>
      </c>
      <c r="H189" s="1272">
        <v>2.4</v>
      </c>
      <c r="I189" s="1178">
        <f t="shared" ref="I189:I194" si="17">PRODUCT(C189:H189)</f>
        <v>-2.21</v>
      </c>
      <c r="J189" s="1179"/>
    </row>
    <row r="190" spans="1:10" s="1209" customFormat="1">
      <c r="A190" s="1176"/>
      <c r="B190" s="1199" t="s">
        <v>6971</v>
      </c>
      <c r="C190" s="1251">
        <v>7</v>
      </c>
      <c r="D190" s="1251" t="s">
        <v>3364</v>
      </c>
      <c r="E190" s="1251">
        <v>-1</v>
      </c>
      <c r="F190" s="1272">
        <v>0.75</v>
      </c>
      <c r="G190" s="1272">
        <v>0.23</v>
      </c>
      <c r="H190" s="1272">
        <v>2.1</v>
      </c>
      <c r="I190" s="1178">
        <f t="shared" si="17"/>
        <v>-2.54</v>
      </c>
      <c r="J190" s="1179"/>
    </row>
    <row r="191" spans="1:10" s="1209" customFormat="1">
      <c r="A191" s="1176"/>
      <c r="B191" s="1199" t="s">
        <v>3414</v>
      </c>
      <c r="C191" s="1251">
        <v>17</v>
      </c>
      <c r="D191" s="1251" t="s">
        <v>3364</v>
      </c>
      <c r="E191" s="1251">
        <v>-1</v>
      </c>
      <c r="F191" s="1272">
        <v>1.5</v>
      </c>
      <c r="G191" s="1272">
        <v>0.23</v>
      </c>
      <c r="H191" s="1272">
        <v>1.35</v>
      </c>
      <c r="I191" s="1178">
        <f t="shared" si="17"/>
        <v>-7.92</v>
      </c>
      <c r="J191" s="1179"/>
    </row>
    <row r="192" spans="1:10" s="1209" customFormat="1">
      <c r="A192" s="1176"/>
      <c r="B192" s="1199" t="s">
        <v>6965</v>
      </c>
      <c r="C192" s="1251">
        <v>2</v>
      </c>
      <c r="D192" s="1251" t="s">
        <v>3364</v>
      </c>
      <c r="E192" s="1251">
        <v>-1</v>
      </c>
      <c r="F192" s="1272">
        <v>0.9</v>
      </c>
      <c r="G192" s="1272">
        <v>0.23</v>
      </c>
      <c r="H192" s="1272">
        <v>0.6</v>
      </c>
      <c r="I192" s="1178">
        <f t="shared" si="17"/>
        <v>-0.25</v>
      </c>
      <c r="J192" s="1179"/>
    </row>
    <row r="193" spans="1:10" s="1209" customFormat="1">
      <c r="A193" s="1176"/>
      <c r="B193" s="1199" t="s">
        <v>3399</v>
      </c>
      <c r="C193" s="1251">
        <v>1</v>
      </c>
      <c r="D193" s="1251" t="s">
        <v>3364</v>
      </c>
      <c r="E193" s="1251">
        <v>-1</v>
      </c>
      <c r="F193" s="1272">
        <v>0.9</v>
      </c>
      <c r="G193" s="1272">
        <v>0.23</v>
      </c>
      <c r="H193" s="1272">
        <v>2</v>
      </c>
      <c r="I193" s="1178">
        <f t="shared" si="17"/>
        <v>-0.41</v>
      </c>
      <c r="J193" s="1179"/>
    </row>
    <row r="194" spans="1:10" s="1209" customFormat="1">
      <c r="A194" s="1176"/>
      <c r="B194" s="1199" t="s">
        <v>6969</v>
      </c>
      <c r="C194" s="1251">
        <v>1</v>
      </c>
      <c r="D194" s="1251" t="s">
        <v>3364</v>
      </c>
      <c r="E194" s="1251">
        <v>-1</v>
      </c>
      <c r="F194" s="1272">
        <v>1.5</v>
      </c>
      <c r="G194" s="1272">
        <v>0.23</v>
      </c>
      <c r="H194" s="1272">
        <v>1.35</v>
      </c>
      <c r="I194" s="1178">
        <f t="shared" si="17"/>
        <v>-0.47</v>
      </c>
      <c r="J194" s="1179"/>
    </row>
    <row r="195" spans="1:10" s="1209" customFormat="1" ht="18.75" customHeight="1">
      <c r="A195" s="1176"/>
      <c r="B195" s="1271" t="s">
        <v>6534</v>
      </c>
      <c r="C195" s="1251"/>
      <c r="D195" s="1251"/>
      <c r="E195" s="1251"/>
      <c r="F195" s="1177"/>
      <c r="G195" s="1177"/>
      <c r="H195" s="1177"/>
      <c r="I195" s="1178"/>
      <c r="J195" s="1179"/>
    </row>
    <row r="196" spans="1:10" s="1209" customFormat="1">
      <c r="A196" s="1176"/>
      <c r="B196" s="1199" t="s">
        <v>3363</v>
      </c>
      <c r="C196" s="1251">
        <v>4</v>
      </c>
      <c r="D196" s="1251" t="s">
        <v>3364</v>
      </c>
      <c r="E196" s="1251">
        <v>-1</v>
      </c>
      <c r="F196" s="1272">
        <v>1.46</v>
      </c>
      <c r="G196" s="1272">
        <v>0.23</v>
      </c>
      <c r="H196" s="1272">
        <v>0.15</v>
      </c>
      <c r="I196" s="1178">
        <f t="shared" ref="I196:I201" si="18">PRODUCT(C196:H196)</f>
        <v>-0.2</v>
      </c>
      <c r="J196" s="1179"/>
    </row>
    <row r="197" spans="1:10" s="1209" customFormat="1">
      <c r="A197" s="1176"/>
      <c r="B197" s="1199" t="s">
        <v>6971</v>
      </c>
      <c r="C197" s="1251">
        <v>7</v>
      </c>
      <c r="D197" s="1251" t="s">
        <v>3364</v>
      </c>
      <c r="E197" s="1251">
        <v>-1</v>
      </c>
      <c r="F197" s="1272">
        <f>0.75+0.46</f>
        <v>1.21</v>
      </c>
      <c r="G197" s="1272">
        <v>0.23</v>
      </c>
      <c r="H197" s="1272">
        <v>0.15</v>
      </c>
      <c r="I197" s="1178">
        <f t="shared" si="18"/>
        <v>-0.28999999999999998</v>
      </c>
      <c r="J197" s="1179"/>
    </row>
    <row r="198" spans="1:10" s="1209" customFormat="1">
      <c r="A198" s="1176"/>
      <c r="B198" s="1199" t="s">
        <v>3414</v>
      </c>
      <c r="C198" s="1251">
        <v>17</v>
      </c>
      <c r="D198" s="1251" t="s">
        <v>3364</v>
      </c>
      <c r="E198" s="1251">
        <v>-1</v>
      </c>
      <c r="F198" s="1272">
        <v>1.96</v>
      </c>
      <c r="G198" s="1272">
        <v>0.23</v>
      </c>
      <c r="H198" s="1272">
        <v>0.15</v>
      </c>
      <c r="I198" s="1178">
        <f t="shared" si="18"/>
        <v>-1.1499999999999999</v>
      </c>
      <c r="J198" s="1179"/>
    </row>
    <row r="199" spans="1:10" s="1209" customFormat="1">
      <c r="A199" s="1176"/>
      <c r="B199" s="1199" t="s">
        <v>6965</v>
      </c>
      <c r="C199" s="1251">
        <v>2</v>
      </c>
      <c r="D199" s="1251" t="s">
        <v>3364</v>
      </c>
      <c r="E199" s="1251">
        <v>-1</v>
      </c>
      <c r="F199" s="1272">
        <v>1.36</v>
      </c>
      <c r="G199" s="1272">
        <v>0.23</v>
      </c>
      <c r="H199" s="1272">
        <v>0.15</v>
      </c>
      <c r="I199" s="1178">
        <f t="shared" si="18"/>
        <v>-0.09</v>
      </c>
      <c r="J199" s="1179"/>
    </row>
    <row r="200" spans="1:10" s="1209" customFormat="1">
      <c r="A200" s="1176"/>
      <c r="B200" s="1199" t="s">
        <v>3399</v>
      </c>
      <c r="C200" s="1251">
        <v>1</v>
      </c>
      <c r="D200" s="1251" t="s">
        <v>3364</v>
      </c>
      <c r="E200" s="1251">
        <v>-1</v>
      </c>
      <c r="F200" s="1272">
        <v>1.36</v>
      </c>
      <c r="G200" s="1272">
        <v>0.23</v>
      </c>
      <c r="H200" s="1272">
        <v>0.15</v>
      </c>
      <c r="I200" s="1178">
        <f t="shared" si="18"/>
        <v>-0.05</v>
      </c>
      <c r="J200" s="1179"/>
    </row>
    <row r="201" spans="1:10" s="1209" customFormat="1">
      <c r="A201" s="1176"/>
      <c r="B201" s="1199" t="s">
        <v>6969</v>
      </c>
      <c r="C201" s="1251">
        <v>1</v>
      </c>
      <c r="D201" s="1251" t="s">
        <v>3364</v>
      </c>
      <c r="E201" s="1251">
        <v>-1</v>
      </c>
      <c r="F201" s="1272">
        <v>1.96</v>
      </c>
      <c r="G201" s="1272">
        <v>0.23</v>
      </c>
      <c r="H201" s="1272">
        <v>0.15</v>
      </c>
      <c r="I201" s="1178">
        <f t="shared" si="18"/>
        <v>-7.0000000000000007E-2</v>
      </c>
      <c r="J201" s="1179"/>
    </row>
    <row r="202" spans="1:10" s="1209" customFormat="1">
      <c r="A202" s="1185"/>
      <c r="B202" s="1199"/>
      <c r="C202" s="1186"/>
      <c r="D202" s="1186"/>
      <c r="E202" s="1186"/>
      <c r="F202" s="1177"/>
      <c r="G202" s="1253" t="s">
        <v>104</v>
      </c>
      <c r="H202" s="1253"/>
      <c r="I202" s="1181">
        <f>SUM(I177:I201)</f>
        <v>107.44</v>
      </c>
      <c r="J202" s="1184"/>
    </row>
    <row r="203" spans="1:10" s="1209" customFormat="1">
      <c r="A203" s="1185"/>
      <c r="B203" s="1199"/>
      <c r="C203" s="1186"/>
      <c r="D203" s="1186"/>
      <c r="E203" s="1186"/>
      <c r="F203" s="1177"/>
      <c r="G203" s="1253"/>
      <c r="H203" s="1253" t="s">
        <v>2981</v>
      </c>
      <c r="I203" s="1181">
        <f>CEILING(I202,0.1)</f>
        <v>107.5</v>
      </c>
      <c r="J203" s="1184" t="s">
        <v>5</v>
      </c>
    </row>
    <row r="204" spans="1:10" s="1209" customFormat="1">
      <c r="A204" s="1185"/>
      <c r="B204" s="1202" t="s">
        <v>3448</v>
      </c>
      <c r="C204" s="1186"/>
      <c r="D204" s="1186"/>
      <c r="E204" s="1186"/>
      <c r="F204" s="1177"/>
      <c r="G204" s="1253"/>
      <c r="H204" s="1253"/>
      <c r="I204" s="1181"/>
      <c r="J204" s="1184"/>
    </row>
    <row r="205" spans="1:10" s="1209" customFormat="1">
      <c r="A205" s="1185"/>
      <c r="B205" s="1199" t="s">
        <v>6553</v>
      </c>
      <c r="C205" s="1186">
        <v>1</v>
      </c>
      <c r="D205" s="1186" t="s">
        <v>3364</v>
      </c>
      <c r="E205" s="1186">
        <v>1</v>
      </c>
      <c r="F205" s="1177">
        <f>((35.272+16.13)*2)-0.92</f>
        <v>101.884</v>
      </c>
      <c r="G205" s="1177">
        <v>0.23</v>
      </c>
      <c r="H205" s="1177">
        <f t="shared" ref="H205:H211" si="19">3.05-0.4</f>
        <v>2.65</v>
      </c>
      <c r="I205" s="1178">
        <f t="shared" ref="I205:I216" si="20">PRODUCT(C205:H205)</f>
        <v>62.1</v>
      </c>
      <c r="J205" s="1184"/>
    </row>
    <row r="206" spans="1:10" s="1209" customFormat="1">
      <c r="A206" s="1185"/>
      <c r="B206" s="1199" t="s">
        <v>6554</v>
      </c>
      <c r="C206" s="1186">
        <v>1</v>
      </c>
      <c r="D206" s="1186" t="s">
        <v>3364</v>
      </c>
      <c r="E206" s="1186">
        <v>1</v>
      </c>
      <c r="F206" s="1177">
        <v>7.9950000000000001</v>
      </c>
      <c r="G206" s="1177">
        <v>0.23</v>
      </c>
      <c r="H206" s="1177">
        <f t="shared" si="19"/>
        <v>2.65</v>
      </c>
      <c r="I206" s="1178">
        <f t="shared" si="20"/>
        <v>4.87</v>
      </c>
      <c r="J206" s="1184"/>
    </row>
    <row r="207" spans="1:10" s="1209" customFormat="1">
      <c r="A207" s="1185"/>
      <c r="B207" s="1199" t="s">
        <v>6555</v>
      </c>
      <c r="C207" s="1186">
        <v>1</v>
      </c>
      <c r="D207" s="1186" t="s">
        <v>3364</v>
      </c>
      <c r="E207" s="1186">
        <v>1</v>
      </c>
      <c r="F207" s="1177">
        <v>13.198</v>
      </c>
      <c r="G207" s="1177">
        <v>0.23</v>
      </c>
      <c r="H207" s="1177">
        <f t="shared" si="19"/>
        <v>2.65</v>
      </c>
      <c r="I207" s="1178">
        <f t="shared" si="20"/>
        <v>8.0399999999999991</v>
      </c>
      <c r="J207" s="1184"/>
    </row>
    <row r="208" spans="1:10" s="1209" customFormat="1">
      <c r="A208" s="1185"/>
      <c r="B208" s="1199" t="s">
        <v>6556</v>
      </c>
      <c r="C208" s="1186">
        <v>2</v>
      </c>
      <c r="D208" s="1186" t="s">
        <v>3364</v>
      </c>
      <c r="E208" s="1186">
        <v>1</v>
      </c>
      <c r="F208" s="1177">
        <f>35.272-0.23-5.39-0.23</f>
        <v>29.422000000000001</v>
      </c>
      <c r="G208" s="1177">
        <v>0.23</v>
      </c>
      <c r="H208" s="1177">
        <f t="shared" si="19"/>
        <v>2.65</v>
      </c>
      <c r="I208" s="1178">
        <f t="shared" si="20"/>
        <v>35.869999999999997</v>
      </c>
      <c r="J208" s="1184"/>
    </row>
    <row r="209" spans="1:10" s="1209" customFormat="1">
      <c r="A209" s="1185"/>
      <c r="B209" s="1199" t="s">
        <v>6557</v>
      </c>
      <c r="C209" s="1186">
        <v>1</v>
      </c>
      <c r="D209" s="1186" t="s">
        <v>3364</v>
      </c>
      <c r="E209" s="1186">
        <v>1</v>
      </c>
      <c r="F209" s="1177">
        <f>2.7+1.9</f>
        <v>4.5999999999999996</v>
      </c>
      <c r="G209" s="1177">
        <v>0.23</v>
      </c>
      <c r="H209" s="1177">
        <f t="shared" si="19"/>
        <v>2.65</v>
      </c>
      <c r="I209" s="1178">
        <f t="shared" si="20"/>
        <v>2.8</v>
      </c>
      <c r="J209" s="1184"/>
    </row>
    <row r="210" spans="1:10" s="1209" customFormat="1">
      <c r="A210" s="1185"/>
      <c r="B210" s="1199" t="s">
        <v>6558</v>
      </c>
      <c r="C210" s="1186">
        <v>2</v>
      </c>
      <c r="D210" s="1186" t="s">
        <v>3364</v>
      </c>
      <c r="E210" s="1186">
        <v>1</v>
      </c>
      <c r="F210" s="1177">
        <v>4.93</v>
      </c>
      <c r="G210" s="1177">
        <v>0.23</v>
      </c>
      <c r="H210" s="1177">
        <f t="shared" si="19"/>
        <v>2.65</v>
      </c>
      <c r="I210" s="1178">
        <f t="shared" si="20"/>
        <v>6.01</v>
      </c>
      <c r="J210" s="1184"/>
    </row>
    <row r="211" spans="1:10" s="1209" customFormat="1">
      <c r="A211" s="1185"/>
      <c r="B211" s="1199" t="s">
        <v>6559</v>
      </c>
      <c r="C211" s="1186">
        <v>2</v>
      </c>
      <c r="D211" s="1186" t="s">
        <v>3364</v>
      </c>
      <c r="E211" s="1186">
        <v>1</v>
      </c>
      <c r="F211" s="1177">
        <v>2</v>
      </c>
      <c r="G211" s="1177">
        <v>0.23</v>
      </c>
      <c r="H211" s="1177">
        <f t="shared" si="19"/>
        <v>2.65</v>
      </c>
      <c r="I211" s="1178">
        <f t="shared" si="20"/>
        <v>2.44</v>
      </c>
      <c r="J211" s="1184"/>
    </row>
    <row r="212" spans="1:10" s="1209" customFormat="1">
      <c r="A212" s="1185"/>
      <c r="B212" s="1199" t="s">
        <v>6560</v>
      </c>
      <c r="C212" s="1186">
        <v>1</v>
      </c>
      <c r="D212" s="1186" t="s">
        <v>3364</v>
      </c>
      <c r="E212" s="1186">
        <v>1</v>
      </c>
      <c r="F212" s="1177">
        <v>4.7050000000000001</v>
      </c>
      <c r="G212" s="1177">
        <v>0.23</v>
      </c>
      <c r="H212" s="1177">
        <v>0.27500000000000002</v>
      </c>
      <c r="I212" s="1178">
        <f t="shared" si="20"/>
        <v>0.3</v>
      </c>
      <c r="J212" s="1184"/>
    </row>
    <row r="213" spans="1:10" s="1209" customFormat="1">
      <c r="A213" s="1185"/>
      <c r="B213" s="1199" t="s">
        <v>6560</v>
      </c>
      <c r="C213" s="1186">
        <v>1</v>
      </c>
      <c r="D213" s="1186" t="s">
        <v>3364</v>
      </c>
      <c r="E213" s="1186">
        <v>1</v>
      </c>
      <c r="F213" s="1177">
        <v>1.5</v>
      </c>
      <c r="G213" s="1177">
        <v>0.23</v>
      </c>
      <c r="H213" s="1177">
        <v>0.27500000000000002</v>
      </c>
      <c r="I213" s="1178">
        <f t="shared" si="20"/>
        <v>0.09</v>
      </c>
      <c r="J213" s="1184"/>
    </row>
    <row r="214" spans="1:10" s="1209" customFormat="1">
      <c r="A214" s="1185"/>
      <c r="B214" s="1199" t="s">
        <v>6561</v>
      </c>
      <c r="C214" s="1186">
        <v>1</v>
      </c>
      <c r="D214" s="1186" t="s">
        <v>3364</v>
      </c>
      <c r="E214" s="1186">
        <v>1</v>
      </c>
      <c r="F214" s="1177">
        <f>2+0.115+2.115</f>
        <v>4.2300000000000004</v>
      </c>
      <c r="G214" s="1177">
        <v>0.23</v>
      </c>
      <c r="H214" s="1177">
        <v>0.27500000000000002</v>
      </c>
      <c r="I214" s="1178">
        <f t="shared" si="20"/>
        <v>0.27</v>
      </c>
      <c r="J214" s="1184"/>
    </row>
    <row r="215" spans="1:10" s="1209" customFormat="1">
      <c r="A215" s="1185"/>
      <c r="B215" s="1199" t="s">
        <v>6562</v>
      </c>
      <c r="C215" s="1186">
        <v>1</v>
      </c>
      <c r="D215" s="1186" t="s">
        <v>3364</v>
      </c>
      <c r="E215" s="1186">
        <v>1</v>
      </c>
      <c r="F215" s="1177">
        <f>2.115+1.35</f>
        <v>3.4649999999999999</v>
      </c>
      <c r="G215" s="1177">
        <v>0.23</v>
      </c>
      <c r="H215" s="1177">
        <v>0.27500000000000002</v>
      </c>
      <c r="I215" s="1178">
        <f t="shared" si="20"/>
        <v>0.22</v>
      </c>
      <c r="J215" s="1184"/>
    </row>
    <row r="216" spans="1:10" s="1209" customFormat="1">
      <c r="A216" s="1185"/>
      <c r="B216" s="1199" t="s">
        <v>6563</v>
      </c>
      <c r="C216" s="1186">
        <v>3</v>
      </c>
      <c r="D216" s="1186" t="s">
        <v>3364</v>
      </c>
      <c r="E216" s="1186">
        <v>1</v>
      </c>
      <c r="F216" s="1177">
        <v>1.5</v>
      </c>
      <c r="G216" s="1177">
        <v>0.23</v>
      </c>
      <c r="H216" s="1177">
        <v>0.27500000000000002</v>
      </c>
      <c r="I216" s="1178">
        <f t="shared" si="20"/>
        <v>0.28000000000000003</v>
      </c>
      <c r="J216" s="1184"/>
    </row>
    <row r="217" spans="1:10" s="1209" customFormat="1">
      <c r="A217" s="1176"/>
      <c r="B217" s="1271" t="s">
        <v>6987</v>
      </c>
      <c r="C217" s="1251"/>
      <c r="D217" s="1251"/>
      <c r="E217" s="1251"/>
      <c r="F217" s="1177"/>
      <c r="G217" s="1177"/>
      <c r="H217" s="1177"/>
      <c r="I217" s="1178"/>
      <c r="J217" s="1179"/>
    </row>
    <row r="218" spans="1:10" s="1209" customFormat="1">
      <c r="A218" s="1176"/>
      <c r="B218" s="1199" t="s">
        <v>6629</v>
      </c>
      <c r="C218" s="1251">
        <v>4</v>
      </c>
      <c r="D218" s="1251" t="s">
        <v>3364</v>
      </c>
      <c r="E218" s="1251">
        <v>-1</v>
      </c>
      <c r="F218" s="1177">
        <v>1.2</v>
      </c>
      <c r="G218" s="1177">
        <v>0.23</v>
      </c>
      <c r="H218" s="1177">
        <v>2.4</v>
      </c>
      <c r="I218" s="1178">
        <f t="shared" ref="I218:I223" si="21">PRODUCT(C218:H218)</f>
        <v>-2.65</v>
      </c>
      <c r="J218" s="1179"/>
    </row>
    <row r="219" spans="1:10" s="1209" customFormat="1">
      <c r="A219" s="1176"/>
      <c r="B219" s="1199" t="s">
        <v>3363</v>
      </c>
      <c r="C219" s="1251">
        <v>6</v>
      </c>
      <c r="D219" s="1251" t="s">
        <v>3364</v>
      </c>
      <c r="E219" s="1251">
        <v>-1</v>
      </c>
      <c r="F219" s="1177">
        <v>1</v>
      </c>
      <c r="G219" s="1177">
        <v>0.23</v>
      </c>
      <c r="H219" s="1177">
        <v>2.4</v>
      </c>
      <c r="I219" s="1178">
        <f t="shared" si="21"/>
        <v>-3.31</v>
      </c>
      <c r="J219" s="1179"/>
    </row>
    <row r="220" spans="1:10" s="1209" customFormat="1">
      <c r="A220" s="1176"/>
      <c r="B220" s="1199" t="s">
        <v>3398</v>
      </c>
      <c r="C220" s="1251">
        <v>2</v>
      </c>
      <c r="D220" s="1251" t="s">
        <v>3364</v>
      </c>
      <c r="E220" s="1251">
        <v>-1</v>
      </c>
      <c r="F220" s="1177">
        <v>0.9</v>
      </c>
      <c r="G220" s="1177">
        <v>0.23</v>
      </c>
      <c r="H220" s="1177">
        <v>2.4</v>
      </c>
      <c r="I220" s="1178">
        <f t="shared" si="21"/>
        <v>-0.99</v>
      </c>
      <c r="J220" s="1179"/>
    </row>
    <row r="221" spans="1:10" s="1209" customFormat="1">
      <c r="A221" s="1176"/>
      <c r="B221" s="1199" t="s">
        <v>6971</v>
      </c>
      <c r="C221" s="1251">
        <v>9</v>
      </c>
      <c r="D221" s="1251" t="s">
        <v>3364</v>
      </c>
      <c r="E221" s="1251">
        <v>-1</v>
      </c>
      <c r="F221" s="1177">
        <v>0.75</v>
      </c>
      <c r="G221" s="1177">
        <v>0.23</v>
      </c>
      <c r="H221" s="1177">
        <v>2.1</v>
      </c>
      <c r="I221" s="1178">
        <f t="shared" si="21"/>
        <v>-3.26</v>
      </c>
      <c r="J221" s="1179"/>
    </row>
    <row r="222" spans="1:10" s="1209" customFormat="1">
      <c r="A222" s="1176"/>
      <c r="B222" s="1199" t="s">
        <v>3414</v>
      </c>
      <c r="C222" s="1251">
        <v>7</v>
      </c>
      <c r="D222" s="1251" t="s">
        <v>3364</v>
      </c>
      <c r="E222" s="1251">
        <v>-1</v>
      </c>
      <c r="F222" s="1177">
        <v>1.5</v>
      </c>
      <c r="G222" s="1177">
        <v>0.23</v>
      </c>
      <c r="H222" s="1177">
        <v>1.35</v>
      </c>
      <c r="I222" s="1178">
        <f t="shared" si="21"/>
        <v>-3.26</v>
      </c>
      <c r="J222" s="1179"/>
    </row>
    <row r="223" spans="1:10" s="1209" customFormat="1">
      <c r="A223" s="1176"/>
      <c r="B223" s="1199" t="s">
        <v>3400</v>
      </c>
      <c r="C223" s="1251">
        <v>7</v>
      </c>
      <c r="D223" s="1251" t="s">
        <v>3364</v>
      </c>
      <c r="E223" s="1251">
        <v>-1</v>
      </c>
      <c r="F223" s="1177">
        <v>2</v>
      </c>
      <c r="G223" s="1177">
        <v>0.23</v>
      </c>
      <c r="H223" s="1177">
        <v>1.65</v>
      </c>
      <c r="I223" s="1178">
        <f t="shared" si="21"/>
        <v>-5.31</v>
      </c>
      <c r="J223" s="1179"/>
    </row>
    <row r="224" spans="1:10" s="1209" customFormat="1">
      <c r="A224" s="1176"/>
      <c r="B224" s="1199" t="s">
        <v>6964</v>
      </c>
      <c r="C224" s="1251">
        <v>1</v>
      </c>
      <c r="D224" s="1251" t="s">
        <v>3364</v>
      </c>
      <c r="E224" s="1251">
        <v>-1</v>
      </c>
      <c r="F224" s="1177">
        <v>0.9</v>
      </c>
      <c r="G224" s="1177">
        <v>0.23</v>
      </c>
      <c r="H224" s="1177">
        <v>0.6</v>
      </c>
      <c r="I224" s="1178">
        <f t="shared" ref="I224:I229" si="22">PRODUCT(C224:H224)</f>
        <v>-0.12</v>
      </c>
      <c r="J224" s="1179"/>
    </row>
    <row r="225" spans="1:10" s="1209" customFormat="1">
      <c r="A225" s="1176"/>
      <c r="B225" s="1199" t="s">
        <v>6965</v>
      </c>
      <c r="C225" s="1251">
        <v>6</v>
      </c>
      <c r="D225" s="1251" t="s">
        <v>3364</v>
      </c>
      <c r="E225" s="1251">
        <v>-1</v>
      </c>
      <c r="F225" s="1177">
        <v>0.9</v>
      </c>
      <c r="G225" s="1177">
        <v>0.23</v>
      </c>
      <c r="H225" s="1177">
        <v>0.6</v>
      </c>
      <c r="I225" s="1178">
        <f t="shared" si="22"/>
        <v>-0.75</v>
      </c>
      <c r="J225" s="1179"/>
    </row>
    <row r="226" spans="1:10" s="1209" customFormat="1">
      <c r="A226" s="1176"/>
      <c r="B226" s="1199" t="s">
        <v>6966</v>
      </c>
      <c r="C226" s="1251">
        <v>4</v>
      </c>
      <c r="D226" s="1251" t="s">
        <v>3364</v>
      </c>
      <c r="E226" s="1251">
        <v>-1</v>
      </c>
      <c r="F226" s="1177">
        <v>0.75</v>
      </c>
      <c r="G226" s="1177">
        <v>0.23</v>
      </c>
      <c r="H226" s="1177">
        <v>0.6</v>
      </c>
      <c r="I226" s="1178">
        <f t="shared" si="22"/>
        <v>-0.41</v>
      </c>
      <c r="J226" s="1179"/>
    </row>
    <row r="227" spans="1:10" s="1209" customFormat="1">
      <c r="A227" s="1176"/>
      <c r="B227" s="1199" t="s">
        <v>3399</v>
      </c>
      <c r="C227" s="1251">
        <v>1</v>
      </c>
      <c r="D227" s="1251" t="s">
        <v>3364</v>
      </c>
      <c r="E227" s="1251">
        <v>-1</v>
      </c>
      <c r="F227" s="1177">
        <v>0.9</v>
      </c>
      <c r="G227" s="1177">
        <v>0.23</v>
      </c>
      <c r="H227" s="1177">
        <v>2</v>
      </c>
      <c r="I227" s="1178">
        <f t="shared" si="22"/>
        <v>-0.41</v>
      </c>
      <c r="J227" s="1179"/>
    </row>
    <row r="228" spans="1:10" s="1209" customFormat="1">
      <c r="A228" s="1176"/>
      <c r="B228" s="1199" t="s">
        <v>6968</v>
      </c>
      <c r="C228" s="1251">
        <v>1</v>
      </c>
      <c r="D228" s="1251" t="s">
        <v>3364</v>
      </c>
      <c r="E228" s="1251">
        <v>-1</v>
      </c>
      <c r="F228" s="1177">
        <v>1.8</v>
      </c>
      <c r="G228" s="1177">
        <v>0.23</v>
      </c>
      <c r="H228" s="1177">
        <v>1.05</v>
      </c>
      <c r="I228" s="1178">
        <f t="shared" si="22"/>
        <v>-0.43</v>
      </c>
      <c r="J228" s="1179"/>
    </row>
    <row r="229" spans="1:10" s="1209" customFormat="1">
      <c r="A229" s="1176"/>
      <c r="B229" s="1199" t="s">
        <v>6969</v>
      </c>
      <c r="C229" s="1251">
        <v>1</v>
      </c>
      <c r="D229" s="1251" t="s">
        <v>3364</v>
      </c>
      <c r="E229" s="1251">
        <v>-1</v>
      </c>
      <c r="F229" s="1177">
        <v>1.5</v>
      </c>
      <c r="G229" s="1177">
        <v>0.23</v>
      </c>
      <c r="H229" s="1177">
        <v>1.35</v>
      </c>
      <c r="I229" s="1178">
        <f t="shared" si="22"/>
        <v>-0.47</v>
      </c>
      <c r="J229" s="1179"/>
    </row>
    <row r="230" spans="1:10" s="1209" customFormat="1" ht="18.75" customHeight="1">
      <c r="A230" s="1176"/>
      <c r="B230" s="1271" t="s">
        <v>6534</v>
      </c>
      <c r="C230" s="1251"/>
      <c r="D230" s="1251"/>
      <c r="E230" s="1251"/>
      <c r="F230" s="1177"/>
      <c r="G230" s="1177"/>
      <c r="H230" s="1177"/>
      <c r="I230" s="1178"/>
      <c r="J230" s="1179"/>
    </row>
    <row r="231" spans="1:10" s="1209" customFormat="1">
      <c r="A231" s="1176"/>
      <c r="B231" s="1199" t="s">
        <v>6629</v>
      </c>
      <c r="C231" s="1251">
        <v>4</v>
      </c>
      <c r="D231" s="1251" t="s">
        <v>3364</v>
      </c>
      <c r="E231" s="1251">
        <v>-1</v>
      </c>
      <c r="F231" s="1177">
        <v>1.66</v>
      </c>
      <c r="G231" s="1272">
        <v>0.23</v>
      </c>
      <c r="H231" s="1272">
        <v>0.15</v>
      </c>
      <c r="I231" s="1178">
        <f t="shared" ref="I231:I236" si="23">PRODUCT(C231:H231)</f>
        <v>-0.23</v>
      </c>
      <c r="J231" s="1179"/>
    </row>
    <row r="232" spans="1:10" s="1209" customFormat="1">
      <c r="A232" s="1176"/>
      <c r="B232" s="1199" t="s">
        <v>3363</v>
      </c>
      <c r="C232" s="1251">
        <v>6</v>
      </c>
      <c r="D232" s="1251" t="s">
        <v>3364</v>
      </c>
      <c r="E232" s="1251">
        <v>-1</v>
      </c>
      <c r="F232" s="1177">
        <v>1.46</v>
      </c>
      <c r="G232" s="1272">
        <v>0.23</v>
      </c>
      <c r="H232" s="1272">
        <v>0.15</v>
      </c>
      <c r="I232" s="1178">
        <f t="shared" si="23"/>
        <v>-0.3</v>
      </c>
      <c r="J232" s="1179"/>
    </row>
    <row r="233" spans="1:10" s="1209" customFormat="1">
      <c r="A233" s="1176"/>
      <c r="B233" s="1199" t="s">
        <v>3398</v>
      </c>
      <c r="C233" s="1251">
        <v>2</v>
      </c>
      <c r="D233" s="1251" t="s">
        <v>3364</v>
      </c>
      <c r="E233" s="1251">
        <v>-1</v>
      </c>
      <c r="F233" s="1177">
        <v>1.36</v>
      </c>
      <c r="G233" s="1272">
        <v>0.23</v>
      </c>
      <c r="H233" s="1272">
        <v>0.15</v>
      </c>
      <c r="I233" s="1178">
        <f t="shared" si="23"/>
        <v>-0.09</v>
      </c>
      <c r="J233" s="1179"/>
    </row>
    <row r="234" spans="1:10" s="1209" customFormat="1">
      <c r="A234" s="1176"/>
      <c r="B234" s="1199" t="s">
        <v>6971</v>
      </c>
      <c r="C234" s="1251">
        <v>9</v>
      </c>
      <c r="D234" s="1251" t="s">
        <v>3364</v>
      </c>
      <c r="E234" s="1251">
        <v>-1</v>
      </c>
      <c r="F234" s="1177">
        <v>1.21</v>
      </c>
      <c r="G234" s="1272">
        <v>0.23</v>
      </c>
      <c r="H234" s="1272">
        <v>0.15</v>
      </c>
      <c r="I234" s="1178">
        <f t="shared" si="23"/>
        <v>-0.38</v>
      </c>
      <c r="J234" s="1179"/>
    </row>
    <row r="235" spans="1:10" s="1209" customFormat="1">
      <c r="A235" s="1176"/>
      <c r="B235" s="1199" t="s">
        <v>3414</v>
      </c>
      <c r="C235" s="1251">
        <v>7</v>
      </c>
      <c r="D235" s="1251" t="s">
        <v>3364</v>
      </c>
      <c r="E235" s="1251">
        <v>-1</v>
      </c>
      <c r="F235" s="1177">
        <v>1.96</v>
      </c>
      <c r="G235" s="1272">
        <v>0.23</v>
      </c>
      <c r="H235" s="1272">
        <v>0.15</v>
      </c>
      <c r="I235" s="1178">
        <f t="shared" si="23"/>
        <v>-0.47</v>
      </c>
      <c r="J235" s="1179"/>
    </row>
    <row r="236" spans="1:10" s="1209" customFormat="1">
      <c r="A236" s="1176"/>
      <c r="B236" s="1199" t="s">
        <v>3400</v>
      </c>
      <c r="C236" s="1251">
        <v>7</v>
      </c>
      <c r="D236" s="1251" t="s">
        <v>3364</v>
      </c>
      <c r="E236" s="1251">
        <v>-1</v>
      </c>
      <c r="F236" s="1177">
        <v>2.46</v>
      </c>
      <c r="G236" s="1272">
        <v>0.23</v>
      </c>
      <c r="H236" s="1272">
        <v>0.15</v>
      </c>
      <c r="I236" s="1178">
        <f t="shared" si="23"/>
        <v>-0.59</v>
      </c>
      <c r="J236" s="1179"/>
    </row>
    <row r="237" spans="1:10" s="1209" customFormat="1">
      <c r="A237" s="1176"/>
      <c r="B237" s="1199" t="s">
        <v>6964</v>
      </c>
      <c r="C237" s="1251">
        <v>1</v>
      </c>
      <c r="D237" s="1251" t="s">
        <v>3364</v>
      </c>
      <c r="E237" s="1251">
        <v>-1</v>
      </c>
      <c r="F237" s="1177">
        <v>1.36</v>
      </c>
      <c r="G237" s="1272">
        <v>0.23</v>
      </c>
      <c r="H237" s="1272">
        <v>0.15</v>
      </c>
      <c r="I237" s="1178">
        <f t="shared" ref="I237:I242" si="24">PRODUCT(C237:H237)</f>
        <v>-0.05</v>
      </c>
      <c r="J237" s="1179"/>
    </row>
    <row r="238" spans="1:10" s="1209" customFormat="1">
      <c r="A238" s="1176"/>
      <c r="B238" s="1199" t="s">
        <v>6965</v>
      </c>
      <c r="C238" s="1251">
        <v>6</v>
      </c>
      <c r="D238" s="1251" t="s">
        <v>3364</v>
      </c>
      <c r="E238" s="1251">
        <v>-1</v>
      </c>
      <c r="F238" s="1177">
        <v>1.36</v>
      </c>
      <c r="G238" s="1272">
        <v>0.23</v>
      </c>
      <c r="H238" s="1272">
        <v>0.15</v>
      </c>
      <c r="I238" s="1178">
        <f t="shared" si="24"/>
        <v>-0.28000000000000003</v>
      </c>
      <c r="J238" s="1179"/>
    </row>
    <row r="239" spans="1:10" s="1209" customFormat="1">
      <c r="A239" s="1176"/>
      <c r="B239" s="1199" t="s">
        <v>6966</v>
      </c>
      <c r="C239" s="1251">
        <v>4</v>
      </c>
      <c r="D239" s="1251" t="s">
        <v>3364</v>
      </c>
      <c r="E239" s="1251">
        <v>-1</v>
      </c>
      <c r="F239" s="1177">
        <v>1.21</v>
      </c>
      <c r="G239" s="1272">
        <v>0.23</v>
      </c>
      <c r="H239" s="1272">
        <v>0.15</v>
      </c>
      <c r="I239" s="1178">
        <f t="shared" si="24"/>
        <v>-0.17</v>
      </c>
      <c r="J239" s="1179"/>
    </row>
    <row r="240" spans="1:10" s="1209" customFormat="1">
      <c r="A240" s="1176"/>
      <c r="B240" s="1199" t="s">
        <v>3399</v>
      </c>
      <c r="C240" s="1251">
        <v>1</v>
      </c>
      <c r="D240" s="1251" t="s">
        <v>3364</v>
      </c>
      <c r="E240" s="1251">
        <v>-1</v>
      </c>
      <c r="F240" s="1177">
        <v>1.36</v>
      </c>
      <c r="G240" s="1272">
        <v>0.23</v>
      </c>
      <c r="H240" s="1272">
        <v>0.15</v>
      </c>
      <c r="I240" s="1178">
        <f t="shared" si="24"/>
        <v>-0.05</v>
      </c>
      <c r="J240" s="1179"/>
    </row>
    <row r="241" spans="1:10" s="1209" customFormat="1">
      <c r="A241" s="1176"/>
      <c r="B241" s="1199" t="s">
        <v>6968</v>
      </c>
      <c r="C241" s="1251">
        <v>1</v>
      </c>
      <c r="D241" s="1251" t="s">
        <v>3364</v>
      </c>
      <c r="E241" s="1251">
        <v>-1</v>
      </c>
      <c r="F241" s="1177">
        <v>2.2599999999999998</v>
      </c>
      <c r="G241" s="1272">
        <v>0.23</v>
      </c>
      <c r="H241" s="1272">
        <v>0.15</v>
      </c>
      <c r="I241" s="1178">
        <f t="shared" si="24"/>
        <v>-0.08</v>
      </c>
      <c r="J241" s="1179"/>
    </row>
    <row r="242" spans="1:10" s="1209" customFormat="1">
      <c r="A242" s="1176"/>
      <c r="B242" s="1199" t="s">
        <v>6969</v>
      </c>
      <c r="C242" s="1251">
        <v>1</v>
      </c>
      <c r="D242" s="1251" t="s">
        <v>3364</v>
      </c>
      <c r="E242" s="1251">
        <v>-1</v>
      </c>
      <c r="F242" s="1177">
        <v>1.96</v>
      </c>
      <c r="G242" s="1272">
        <v>0.23</v>
      </c>
      <c r="H242" s="1272">
        <v>0.15</v>
      </c>
      <c r="I242" s="1178">
        <f t="shared" si="24"/>
        <v>-7.0000000000000007E-2</v>
      </c>
      <c r="J242" s="1179"/>
    </row>
    <row r="243" spans="1:10" s="1209" customFormat="1">
      <c r="A243" s="1185"/>
      <c r="B243" s="1199"/>
      <c r="C243" s="1186"/>
      <c r="D243" s="1186"/>
      <c r="E243" s="1186"/>
      <c r="F243" s="1177"/>
      <c r="G243" s="1253"/>
      <c r="H243" s="1253"/>
      <c r="I243" s="1178"/>
      <c r="J243" s="1184"/>
    </row>
    <row r="244" spans="1:10" s="1209" customFormat="1">
      <c r="A244" s="1185"/>
      <c r="B244" s="1202" t="s">
        <v>6564</v>
      </c>
      <c r="C244" s="1186">
        <v>1</v>
      </c>
      <c r="D244" s="1186" t="s">
        <v>3364</v>
      </c>
      <c r="E244" s="1186">
        <v>1</v>
      </c>
      <c r="F244" s="1177">
        <f>7.8+2.36+7.8+2.36+2.925+2.925</f>
        <v>26.17</v>
      </c>
      <c r="G244" s="1253">
        <v>0.23</v>
      </c>
      <c r="H244" s="1253">
        <v>2.65</v>
      </c>
      <c r="I244" s="1178">
        <f>PRODUCT(C244:H244)</f>
        <v>15.95</v>
      </c>
      <c r="J244" s="1184"/>
    </row>
    <row r="245" spans="1:10" s="1209" customFormat="1">
      <c r="A245" s="1185"/>
      <c r="B245" s="1202" t="s">
        <v>6542</v>
      </c>
      <c r="C245" s="1186">
        <v>1</v>
      </c>
      <c r="D245" s="1186" t="s">
        <v>3364</v>
      </c>
      <c r="E245" s="1186">
        <v>1</v>
      </c>
      <c r="F245" s="1177">
        <v>2.7</v>
      </c>
      <c r="G245" s="1253">
        <v>0.23</v>
      </c>
      <c r="H245" s="1253">
        <v>2.65</v>
      </c>
      <c r="I245" s="1178">
        <f>PRODUCT(C245:H245)</f>
        <v>1.65</v>
      </c>
      <c r="J245" s="1184"/>
    </row>
    <row r="246" spans="1:10" s="1209" customFormat="1">
      <c r="A246" s="1176"/>
      <c r="B246" s="1199" t="s">
        <v>3449</v>
      </c>
      <c r="C246" s="1251">
        <v>1</v>
      </c>
      <c r="D246" s="1251" t="s">
        <v>3364</v>
      </c>
      <c r="E246" s="1251">
        <v>1</v>
      </c>
      <c r="F246" s="1177">
        <f>((35.272+16.13)*2)-0.92</f>
        <v>101.884</v>
      </c>
      <c r="G246" s="1177">
        <v>0.23</v>
      </c>
      <c r="H246" s="1177">
        <v>1.2</v>
      </c>
      <c r="I246" s="1178">
        <f>PRODUCT(C246:H246)</f>
        <v>28.12</v>
      </c>
      <c r="J246" s="1179"/>
    </row>
    <row r="247" spans="1:10" s="1209" customFormat="1">
      <c r="A247" s="1176"/>
      <c r="B247" s="1199" t="s">
        <v>3450</v>
      </c>
      <c r="C247" s="1251">
        <v>1</v>
      </c>
      <c r="D247" s="1251" t="s">
        <v>3364</v>
      </c>
      <c r="E247" s="1251">
        <v>1</v>
      </c>
      <c r="F247" s="1177">
        <v>26.17</v>
      </c>
      <c r="G247" s="1177">
        <v>0.23</v>
      </c>
      <c r="H247" s="1177">
        <v>1.2</v>
      </c>
      <c r="I247" s="1178">
        <f>PRODUCT(C247:H247)</f>
        <v>7.22</v>
      </c>
      <c r="J247" s="1179"/>
    </row>
    <row r="248" spans="1:10" s="1209" customFormat="1" ht="18.75" customHeight="1">
      <c r="A248" s="1176"/>
      <c r="B248" s="1199" t="s">
        <v>3451</v>
      </c>
      <c r="C248" s="1251">
        <v>-1</v>
      </c>
      <c r="D248" s="1251" t="s">
        <v>3364</v>
      </c>
      <c r="E248" s="1251">
        <v>2</v>
      </c>
      <c r="F248" s="1177">
        <v>1</v>
      </c>
      <c r="G248" s="1177">
        <v>0.23</v>
      </c>
      <c r="H248" s="1177">
        <v>2.1</v>
      </c>
      <c r="I248" s="1178">
        <f>PRODUCT(C248:H248)</f>
        <v>-0.97</v>
      </c>
      <c r="J248" s="1179"/>
    </row>
    <row r="249" spans="1:10" s="1209" customFormat="1">
      <c r="A249" s="1185"/>
      <c r="B249" s="1199"/>
      <c r="C249" s="1186"/>
      <c r="D249" s="1186"/>
      <c r="E249" s="1186"/>
      <c r="F249" s="1177"/>
      <c r="G249" s="1253" t="s">
        <v>104</v>
      </c>
      <c r="H249" s="1253"/>
      <c r="I249" s="1181">
        <f>SUM(I205:I248)</f>
        <v>151.13</v>
      </c>
      <c r="J249" s="1184"/>
    </row>
    <row r="250" spans="1:10" s="1209" customFormat="1">
      <c r="A250" s="1185"/>
      <c r="B250" s="1199"/>
      <c r="C250" s="1186"/>
      <c r="D250" s="1186"/>
      <c r="E250" s="1186"/>
      <c r="F250" s="1177"/>
      <c r="G250" s="1253"/>
      <c r="H250" s="1253" t="s">
        <v>2981</v>
      </c>
      <c r="I250" s="1181">
        <f>CEILING(I249,0.1)</f>
        <v>151.19999999999999</v>
      </c>
      <c r="J250" s="1184" t="s">
        <v>5</v>
      </c>
    </row>
    <row r="251" spans="1:10" s="1209" customFormat="1" ht="173.25">
      <c r="A251" s="1182">
        <v>10.199999999999999</v>
      </c>
      <c r="B251" s="1187" t="s">
        <v>3452</v>
      </c>
      <c r="C251" s="1186"/>
      <c r="D251" s="1186"/>
      <c r="E251" s="1186"/>
      <c r="F251" s="1177"/>
      <c r="G251" s="1177"/>
      <c r="H251" s="1177"/>
      <c r="I251" s="1178"/>
      <c r="J251" s="1184"/>
    </row>
    <row r="252" spans="1:10" s="1209" customFormat="1">
      <c r="A252" s="1185"/>
      <c r="B252" s="1202" t="s">
        <v>3453</v>
      </c>
      <c r="C252" s="1186"/>
      <c r="D252" s="1186"/>
      <c r="E252" s="1186"/>
      <c r="F252" s="1177"/>
      <c r="G252" s="1177"/>
      <c r="H252" s="1177"/>
      <c r="I252" s="1178"/>
      <c r="J252" s="1184"/>
    </row>
    <row r="253" spans="1:10" s="1209" customFormat="1">
      <c r="A253" s="1176"/>
      <c r="B253" s="1199" t="s">
        <v>6565</v>
      </c>
      <c r="C253" s="1251">
        <v>1</v>
      </c>
      <c r="D253" s="1251" t="s">
        <v>3364</v>
      </c>
      <c r="E253" s="1251">
        <v>1</v>
      </c>
      <c r="F253" s="1177">
        <f>1.8+1.35</f>
        <v>3.15</v>
      </c>
      <c r="G253" s="1177"/>
      <c r="H253" s="1177">
        <v>3.15</v>
      </c>
      <c r="I253" s="1178">
        <f t="shared" ref="I253:I268" si="25">PRODUCT(C253:H253)</f>
        <v>9.92</v>
      </c>
      <c r="J253" s="1179"/>
    </row>
    <row r="254" spans="1:10" s="1209" customFormat="1" ht="15.75" customHeight="1">
      <c r="A254" s="1176"/>
      <c r="B254" s="1199" t="s">
        <v>6566</v>
      </c>
      <c r="C254" s="1251">
        <v>1</v>
      </c>
      <c r="D254" s="1251" t="s">
        <v>3364</v>
      </c>
      <c r="E254" s="1251">
        <v>1</v>
      </c>
      <c r="F254" s="1177">
        <f>2+1.43</f>
        <v>3.43</v>
      </c>
      <c r="G254" s="1177"/>
      <c r="H254" s="1177">
        <v>3.15</v>
      </c>
      <c r="I254" s="1178">
        <f t="shared" si="25"/>
        <v>10.8</v>
      </c>
      <c r="J254" s="1179"/>
    </row>
    <row r="255" spans="1:10" s="1209" customFormat="1" ht="15.75" customHeight="1">
      <c r="A255" s="1176"/>
      <c r="B255" s="1199" t="s">
        <v>6567</v>
      </c>
      <c r="C255" s="1251">
        <v>-2</v>
      </c>
      <c r="D255" s="1251" t="s">
        <v>3364</v>
      </c>
      <c r="E255" s="1251">
        <v>-1</v>
      </c>
      <c r="F255" s="1177">
        <v>0.75</v>
      </c>
      <c r="G255" s="1177"/>
      <c r="H255" s="1177">
        <v>2.1</v>
      </c>
      <c r="I255" s="1178">
        <f t="shared" si="25"/>
        <v>3.15</v>
      </c>
      <c r="J255" s="1179"/>
    </row>
    <row r="256" spans="1:10" s="1209" customFormat="1" ht="15.75" customHeight="1">
      <c r="A256" s="1176"/>
      <c r="B256" s="1199" t="s">
        <v>6568</v>
      </c>
      <c r="C256" s="1251">
        <v>-2</v>
      </c>
      <c r="D256" s="1251" t="s">
        <v>3364</v>
      </c>
      <c r="E256" s="1251">
        <v>1</v>
      </c>
      <c r="F256" s="1177">
        <v>1.21</v>
      </c>
      <c r="G256" s="1177"/>
      <c r="H256" s="1177">
        <v>0.1</v>
      </c>
      <c r="I256" s="1178">
        <f t="shared" si="25"/>
        <v>-0.24</v>
      </c>
      <c r="J256" s="1179"/>
    </row>
    <row r="257" spans="1:10" s="1209" customFormat="1">
      <c r="A257" s="1185"/>
      <c r="B257" s="1270"/>
      <c r="C257" s="1186"/>
      <c r="D257" s="1186"/>
      <c r="E257" s="1186"/>
      <c r="F257" s="1177"/>
      <c r="G257" s="1177"/>
      <c r="H257" s="1177"/>
      <c r="I257" s="1178">
        <f>SUM(I253:I255)</f>
        <v>23.87</v>
      </c>
      <c r="J257" s="1184"/>
    </row>
    <row r="258" spans="1:10" s="1209" customFormat="1">
      <c r="A258" s="1185"/>
      <c r="B258" s="1199"/>
      <c r="C258" s="1186"/>
      <c r="D258" s="1186"/>
      <c r="E258" s="1186"/>
      <c r="F258" s="1177"/>
      <c r="G258" s="1253"/>
      <c r="H258" s="1253" t="s">
        <v>2981</v>
      </c>
      <c r="I258" s="1181">
        <f>CEILING(I257,0.1)</f>
        <v>23.9</v>
      </c>
      <c r="J258" s="1184" t="s">
        <v>724</v>
      </c>
    </row>
    <row r="259" spans="1:10" s="1209" customFormat="1">
      <c r="A259" s="1185"/>
      <c r="B259" s="1202" t="s">
        <v>6988</v>
      </c>
      <c r="C259" s="1186"/>
      <c r="D259" s="1186"/>
      <c r="E259" s="1186"/>
      <c r="F259" s="1177"/>
      <c r="G259" s="1177"/>
      <c r="H259" s="1177"/>
      <c r="I259" s="1178"/>
      <c r="J259" s="1184"/>
    </row>
    <row r="260" spans="1:10" s="1209" customFormat="1">
      <c r="A260" s="1176"/>
      <c r="B260" s="1199" t="s">
        <v>6569</v>
      </c>
      <c r="C260" s="1251">
        <v>2</v>
      </c>
      <c r="D260" s="1251" t="s">
        <v>3364</v>
      </c>
      <c r="E260" s="1251">
        <v>1</v>
      </c>
      <c r="F260" s="1177">
        <f>2+1.315</f>
        <v>3.3149999999999999</v>
      </c>
      <c r="G260" s="1177"/>
      <c r="H260" s="1177">
        <v>3.15</v>
      </c>
      <c r="I260" s="1178">
        <f>PRODUCT(C260:H260)</f>
        <v>20.88</v>
      </c>
      <c r="J260" s="1179"/>
    </row>
    <row r="261" spans="1:10" s="1209" customFormat="1">
      <c r="A261" s="1176"/>
      <c r="B261" s="1199" t="s">
        <v>6570</v>
      </c>
      <c r="C261" s="1251">
        <v>1</v>
      </c>
      <c r="D261" s="1251" t="s">
        <v>3364</v>
      </c>
      <c r="E261" s="1251">
        <v>1</v>
      </c>
      <c r="F261" s="1177">
        <v>1.3149999999999999</v>
      </c>
      <c r="G261" s="1177"/>
      <c r="H261" s="1177">
        <v>3.15</v>
      </c>
      <c r="I261" s="1178">
        <f>PRODUCT(C261:H261)</f>
        <v>4.1399999999999997</v>
      </c>
      <c r="J261" s="1179"/>
    </row>
    <row r="262" spans="1:10" s="1209" customFormat="1" ht="15.75" customHeight="1">
      <c r="A262" s="1176"/>
      <c r="B262" s="1199" t="s">
        <v>6571</v>
      </c>
      <c r="C262" s="1251">
        <v>1</v>
      </c>
      <c r="D262" s="1251" t="s">
        <v>3364</v>
      </c>
      <c r="E262" s="1251">
        <v>1</v>
      </c>
      <c r="F262" s="1177">
        <v>4.67</v>
      </c>
      <c r="G262" s="1177"/>
      <c r="H262" s="1177">
        <v>3.15</v>
      </c>
      <c r="I262" s="1178">
        <f t="shared" si="25"/>
        <v>14.71</v>
      </c>
      <c r="J262" s="1179"/>
    </row>
    <row r="263" spans="1:10" s="1209" customFormat="1" ht="15.75" customHeight="1">
      <c r="A263" s="1176"/>
      <c r="B263" s="1199" t="s">
        <v>6572</v>
      </c>
      <c r="C263" s="1251">
        <v>1</v>
      </c>
      <c r="D263" s="1251" t="s">
        <v>3364</v>
      </c>
      <c r="E263" s="1251">
        <v>1</v>
      </c>
      <c r="F263" s="1177">
        <v>15.167999999999999</v>
      </c>
      <c r="G263" s="1177"/>
      <c r="H263" s="1177">
        <v>2.85</v>
      </c>
      <c r="I263" s="1178">
        <f t="shared" si="25"/>
        <v>43.23</v>
      </c>
      <c r="J263" s="1179"/>
    </row>
    <row r="264" spans="1:10" s="1209" customFormat="1" ht="15.75" customHeight="1">
      <c r="A264" s="1176"/>
      <c r="B264" s="1199" t="s">
        <v>6573</v>
      </c>
      <c r="C264" s="1251">
        <v>10</v>
      </c>
      <c r="D264" s="1251" t="s">
        <v>3364</v>
      </c>
      <c r="E264" s="1251">
        <v>1</v>
      </c>
      <c r="F264" s="1177">
        <v>1.5</v>
      </c>
      <c r="G264" s="1177"/>
      <c r="H264" s="1177">
        <v>2.85</v>
      </c>
      <c r="I264" s="1178">
        <f t="shared" si="25"/>
        <v>42.75</v>
      </c>
      <c r="J264" s="1179"/>
    </row>
    <row r="265" spans="1:10" s="1209" customFormat="1" ht="15.75" customHeight="1">
      <c r="A265" s="1176"/>
      <c r="B265" s="1199" t="s">
        <v>6574</v>
      </c>
      <c r="C265" s="1251">
        <v>1</v>
      </c>
      <c r="D265" s="1251" t="s">
        <v>3364</v>
      </c>
      <c r="E265" s="1251">
        <v>1</v>
      </c>
      <c r="F265" s="1177">
        <v>1</v>
      </c>
      <c r="G265" s="1177"/>
      <c r="H265" s="1177">
        <v>2.85</v>
      </c>
      <c r="I265" s="1178">
        <f t="shared" si="25"/>
        <v>2.85</v>
      </c>
      <c r="J265" s="1179"/>
    </row>
    <row r="266" spans="1:10" s="1209" customFormat="1" ht="15.75" customHeight="1">
      <c r="A266" s="1176"/>
      <c r="B266" s="1199" t="s">
        <v>6575</v>
      </c>
      <c r="C266" s="1251">
        <v>12</v>
      </c>
      <c r="D266" s="1251" t="s">
        <v>3364</v>
      </c>
      <c r="E266" s="1251">
        <v>1</v>
      </c>
      <c r="F266" s="1177">
        <v>0.75</v>
      </c>
      <c r="G266" s="1177"/>
      <c r="H266" s="1177">
        <v>2.85</v>
      </c>
      <c r="I266" s="1178">
        <f t="shared" si="25"/>
        <v>25.65</v>
      </c>
      <c r="J266" s="1179"/>
    </row>
    <row r="267" spans="1:10" s="1209" customFormat="1" ht="18.75" customHeight="1">
      <c r="A267" s="1176"/>
      <c r="B267" s="1199" t="s">
        <v>3451</v>
      </c>
      <c r="C267" s="1251">
        <v>-1</v>
      </c>
      <c r="D267" s="1251" t="s">
        <v>3364</v>
      </c>
      <c r="E267" s="1251">
        <v>1</v>
      </c>
      <c r="F267" s="1177">
        <v>1</v>
      </c>
      <c r="G267" s="1177"/>
      <c r="H267" s="1177">
        <v>2.1</v>
      </c>
      <c r="I267" s="1178">
        <f t="shared" si="25"/>
        <v>-2.1</v>
      </c>
      <c r="J267" s="1179"/>
    </row>
    <row r="268" spans="1:10" s="1209" customFormat="1" ht="18.75" customHeight="1">
      <c r="A268" s="1176"/>
      <c r="B268" s="1199" t="s">
        <v>6576</v>
      </c>
      <c r="C268" s="1251">
        <v>-12</v>
      </c>
      <c r="D268" s="1251" t="s">
        <v>3364</v>
      </c>
      <c r="E268" s="1251">
        <v>1</v>
      </c>
      <c r="F268" s="1177">
        <v>1.21</v>
      </c>
      <c r="G268" s="1177"/>
      <c r="H268" s="1177">
        <v>0.1</v>
      </c>
      <c r="I268" s="1178">
        <f t="shared" si="25"/>
        <v>-1.45</v>
      </c>
      <c r="J268" s="1179"/>
    </row>
    <row r="269" spans="1:10" s="1209" customFormat="1">
      <c r="A269" s="1185"/>
      <c r="B269" s="1270"/>
      <c r="C269" s="1186"/>
      <c r="D269" s="1186"/>
      <c r="E269" s="1186"/>
      <c r="F269" s="1177"/>
      <c r="G269" s="1177"/>
      <c r="H269" s="1177"/>
      <c r="I269" s="1178">
        <f>SUM(I260:I268)</f>
        <v>150.66</v>
      </c>
      <c r="J269" s="1184"/>
    </row>
    <row r="270" spans="1:10" s="1209" customFormat="1">
      <c r="A270" s="1185"/>
      <c r="B270" s="1199"/>
      <c r="C270" s="1186"/>
      <c r="D270" s="1186"/>
      <c r="E270" s="1186"/>
      <c r="F270" s="1177"/>
      <c r="G270" s="1253"/>
      <c r="H270" s="1253" t="s">
        <v>2981</v>
      </c>
      <c r="I270" s="1181">
        <f>CEILING(I269,0.1)</f>
        <v>150.69999999999999</v>
      </c>
      <c r="J270" s="1184" t="s">
        <v>724</v>
      </c>
    </row>
    <row r="271" spans="1:10" s="1209" customFormat="1">
      <c r="A271" s="1185"/>
      <c r="B271" s="1202" t="s">
        <v>6577</v>
      </c>
      <c r="C271" s="1186"/>
      <c r="D271" s="1186"/>
      <c r="E271" s="1186"/>
      <c r="F271" s="1177"/>
      <c r="G271" s="1177"/>
      <c r="H271" s="1177"/>
      <c r="I271" s="1178"/>
      <c r="J271" s="1184"/>
    </row>
    <row r="272" spans="1:10" s="1209" customFormat="1">
      <c r="A272" s="1176"/>
      <c r="B272" s="1199" t="s">
        <v>6578</v>
      </c>
      <c r="C272" s="1251">
        <v>1</v>
      </c>
      <c r="D272" s="1251" t="s">
        <v>3364</v>
      </c>
      <c r="E272" s="1251">
        <v>1</v>
      </c>
      <c r="F272" s="1177">
        <f>2+1.315</f>
        <v>3.3149999999999999</v>
      </c>
      <c r="G272" s="1177"/>
      <c r="H272" s="1177">
        <v>3.15</v>
      </c>
      <c r="I272" s="1178">
        <f>PRODUCT(C272:H272)</f>
        <v>10.44</v>
      </c>
      <c r="J272" s="1179"/>
    </row>
    <row r="273" spans="1:10" s="1209" customFormat="1">
      <c r="A273" s="1176"/>
      <c r="B273" s="1199" t="s">
        <v>6579</v>
      </c>
      <c r="C273" s="1251">
        <v>1</v>
      </c>
      <c r="D273" s="1251" t="s">
        <v>3364</v>
      </c>
      <c r="E273" s="1251">
        <v>1</v>
      </c>
      <c r="F273" s="1177">
        <f>2.99+1.5</f>
        <v>4.49</v>
      </c>
      <c r="G273" s="1177"/>
      <c r="H273" s="1177">
        <v>3.15</v>
      </c>
      <c r="I273" s="1178">
        <f>PRODUCT(C273:H273)</f>
        <v>14.14</v>
      </c>
      <c r="J273" s="1179"/>
    </row>
    <row r="274" spans="1:10" s="1209" customFormat="1" ht="15.75" customHeight="1">
      <c r="A274" s="1176"/>
      <c r="B274" s="1199" t="s">
        <v>6572</v>
      </c>
      <c r="C274" s="1251">
        <v>1</v>
      </c>
      <c r="D274" s="1251" t="s">
        <v>3364</v>
      </c>
      <c r="E274" s="1251">
        <v>1</v>
      </c>
      <c r="F274" s="1177">
        <v>15.167999999999999</v>
      </c>
      <c r="G274" s="1177"/>
      <c r="H274" s="1177">
        <v>2.85</v>
      </c>
      <c r="I274" s="1178">
        <f t="shared" ref="I274:I279" si="26">PRODUCT(C274:H274)</f>
        <v>43.23</v>
      </c>
      <c r="J274" s="1179"/>
    </row>
    <row r="275" spans="1:10" s="1209" customFormat="1" ht="15.75" customHeight="1">
      <c r="A275" s="1176"/>
      <c r="B275" s="1199" t="s">
        <v>6573</v>
      </c>
      <c r="C275" s="1251">
        <v>10</v>
      </c>
      <c r="D275" s="1251" t="s">
        <v>3364</v>
      </c>
      <c r="E275" s="1251">
        <v>1</v>
      </c>
      <c r="F275" s="1177">
        <v>1.5</v>
      </c>
      <c r="G275" s="1177"/>
      <c r="H275" s="1177">
        <v>2.85</v>
      </c>
      <c r="I275" s="1178">
        <f t="shared" si="26"/>
        <v>42.75</v>
      </c>
      <c r="J275" s="1179"/>
    </row>
    <row r="276" spans="1:10" s="1209" customFormat="1" ht="15.75" customHeight="1">
      <c r="A276" s="1176"/>
      <c r="B276" s="1199" t="s">
        <v>6574</v>
      </c>
      <c r="C276" s="1251">
        <v>1</v>
      </c>
      <c r="D276" s="1251" t="s">
        <v>3364</v>
      </c>
      <c r="E276" s="1251">
        <v>1</v>
      </c>
      <c r="F276" s="1177">
        <v>1</v>
      </c>
      <c r="G276" s="1177"/>
      <c r="H276" s="1177">
        <v>2.85</v>
      </c>
      <c r="I276" s="1178">
        <f t="shared" si="26"/>
        <v>2.85</v>
      </c>
      <c r="J276" s="1179"/>
    </row>
    <row r="277" spans="1:10" s="1209" customFormat="1" ht="15.75" customHeight="1">
      <c r="A277" s="1176"/>
      <c r="B277" s="1199" t="s">
        <v>6575</v>
      </c>
      <c r="C277" s="1251">
        <v>12</v>
      </c>
      <c r="D277" s="1251" t="s">
        <v>3364</v>
      </c>
      <c r="E277" s="1251">
        <v>1</v>
      </c>
      <c r="F277" s="1177">
        <v>0.75</v>
      </c>
      <c r="G277" s="1177"/>
      <c r="H277" s="1177">
        <v>2.85</v>
      </c>
      <c r="I277" s="1178">
        <f t="shared" si="26"/>
        <v>25.65</v>
      </c>
      <c r="J277" s="1179"/>
    </row>
    <row r="278" spans="1:10" s="1209" customFormat="1" ht="18.75" customHeight="1">
      <c r="A278" s="1176"/>
      <c r="B278" s="1199" t="s">
        <v>3451</v>
      </c>
      <c r="C278" s="1251">
        <v>-1</v>
      </c>
      <c r="D278" s="1251" t="s">
        <v>3364</v>
      </c>
      <c r="E278" s="1251">
        <v>1</v>
      </c>
      <c r="F278" s="1177">
        <v>1</v>
      </c>
      <c r="G278" s="1177"/>
      <c r="H278" s="1177">
        <v>2.1</v>
      </c>
      <c r="I278" s="1178">
        <f t="shared" si="26"/>
        <v>-2.1</v>
      </c>
      <c r="J278" s="1179"/>
    </row>
    <row r="279" spans="1:10" s="1209" customFormat="1" ht="18.75" customHeight="1">
      <c r="A279" s="1176"/>
      <c r="B279" s="1199" t="s">
        <v>6576</v>
      </c>
      <c r="C279" s="1251">
        <v>-12</v>
      </c>
      <c r="D279" s="1251" t="s">
        <v>3364</v>
      </c>
      <c r="E279" s="1251">
        <v>1</v>
      </c>
      <c r="F279" s="1177">
        <v>1.21</v>
      </c>
      <c r="G279" s="1177"/>
      <c r="H279" s="1177">
        <v>0.1</v>
      </c>
      <c r="I279" s="1178">
        <f t="shared" si="26"/>
        <v>-1.45</v>
      </c>
      <c r="J279" s="1179"/>
    </row>
    <row r="280" spans="1:10" s="1209" customFormat="1">
      <c r="A280" s="1185"/>
      <c r="B280" s="1270"/>
      <c r="C280" s="1186"/>
      <c r="D280" s="1186"/>
      <c r="E280" s="1186"/>
      <c r="F280" s="1177"/>
      <c r="G280" s="1177"/>
      <c r="H280" s="1177"/>
      <c r="I280" s="1178">
        <f>SUM(I272:I279)</f>
        <v>135.51</v>
      </c>
      <c r="J280" s="1184"/>
    </row>
    <row r="281" spans="1:10" s="1209" customFormat="1">
      <c r="A281" s="1185"/>
      <c r="B281" s="1199"/>
      <c r="C281" s="1186"/>
      <c r="D281" s="1186"/>
      <c r="E281" s="1186"/>
      <c r="F281" s="1177"/>
      <c r="G281" s="1253"/>
      <c r="H281" s="1253" t="s">
        <v>2981</v>
      </c>
      <c r="I281" s="1181">
        <f>CEILING(I280,0.1)</f>
        <v>135.6</v>
      </c>
      <c r="J281" s="1184" t="s">
        <v>724</v>
      </c>
    </row>
    <row r="282" spans="1:10" s="1209" customFormat="1">
      <c r="A282" s="1185"/>
      <c r="B282" s="1202" t="s">
        <v>6580</v>
      </c>
      <c r="C282" s="1186"/>
      <c r="D282" s="1186"/>
      <c r="E282" s="1186"/>
      <c r="F282" s="1177"/>
      <c r="G282" s="1177"/>
      <c r="H282" s="1177"/>
      <c r="I282" s="1178"/>
      <c r="J282" s="1184"/>
    </row>
    <row r="283" spans="1:10" s="1209" customFormat="1">
      <c r="A283" s="1176"/>
      <c r="B283" s="1199" t="s">
        <v>6581</v>
      </c>
      <c r="C283" s="1251">
        <v>1</v>
      </c>
      <c r="D283" s="1251" t="s">
        <v>3364</v>
      </c>
      <c r="E283" s="1251">
        <v>1</v>
      </c>
      <c r="F283" s="1177">
        <f>2+1.315</f>
        <v>3.3149999999999999</v>
      </c>
      <c r="G283" s="1177"/>
      <c r="H283" s="1177">
        <v>3.15</v>
      </c>
      <c r="I283" s="1178">
        <f>PRODUCT(C283:H283)</f>
        <v>10.44</v>
      </c>
      <c r="J283" s="1179"/>
    </row>
    <row r="284" spans="1:10" s="1209" customFormat="1" ht="15.75" customHeight="1">
      <c r="A284" s="1176"/>
      <c r="B284" s="1199" t="s">
        <v>6582</v>
      </c>
      <c r="C284" s="1251">
        <v>2</v>
      </c>
      <c r="D284" s="1251" t="s">
        <v>3364</v>
      </c>
      <c r="E284" s="1251">
        <v>1</v>
      </c>
      <c r="F284" s="1177">
        <f>1.5+1.8</f>
        <v>3.3</v>
      </c>
      <c r="G284" s="1177"/>
      <c r="H284" s="1177">
        <v>3.15</v>
      </c>
      <c r="I284" s="1178">
        <f t="shared" ref="I284:I290" si="27">PRODUCT(C284:H284)</f>
        <v>20.79</v>
      </c>
      <c r="J284" s="1179"/>
    </row>
    <row r="285" spans="1:10" s="1209" customFormat="1" ht="15.75" customHeight="1">
      <c r="A285" s="1176"/>
      <c r="B285" s="1199" t="s">
        <v>6583</v>
      </c>
      <c r="C285" s="1251">
        <v>1</v>
      </c>
      <c r="D285" s="1251" t="s">
        <v>3364</v>
      </c>
      <c r="E285" s="1251">
        <v>1</v>
      </c>
      <c r="F285" s="1177">
        <f>2.99+1.5</f>
        <v>4.49</v>
      </c>
      <c r="G285" s="1177"/>
      <c r="H285" s="1177">
        <v>3.15</v>
      </c>
      <c r="I285" s="1178">
        <f t="shared" si="27"/>
        <v>14.14</v>
      </c>
      <c r="J285" s="1179"/>
    </row>
    <row r="286" spans="1:10" s="1209" customFormat="1" ht="15.75" customHeight="1">
      <c r="A286" s="1176"/>
      <c r="B286" s="1199" t="s">
        <v>6584</v>
      </c>
      <c r="C286" s="1251">
        <v>1</v>
      </c>
      <c r="D286" s="1251" t="s">
        <v>3364</v>
      </c>
      <c r="E286" s="1251">
        <v>1</v>
      </c>
      <c r="F286" s="1177">
        <v>1.2</v>
      </c>
      <c r="G286" s="1177"/>
      <c r="H286" s="1177">
        <v>2.85</v>
      </c>
      <c r="I286" s="1178">
        <f t="shared" si="27"/>
        <v>3.42</v>
      </c>
      <c r="J286" s="1179"/>
    </row>
    <row r="287" spans="1:10" s="1209" customFormat="1" ht="15.75" customHeight="1">
      <c r="A287" s="1176"/>
      <c r="B287" s="1199" t="s">
        <v>6585</v>
      </c>
      <c r="C287" s="1251">
        <v>3</v>
      </c>
      <c r="D287" s="1251" t="s">
        <v>3364</v>
      </c>
      <c r="E287" s="1251">
        <v>1</v>
      </c>
      <c r="F287" s="1177">
        <f>1.5+1.4</f>
        <v>2.9</v>
      </c>
      <c r="G287" s="1177"/>
      <c r="H287" s="1177">
        <v>2.85</v>
      </c>
      <c r="I287" s="1178">
        <f t="shared" si="27"/>
        <v>24.8</v>
      </c>
      <c r="J287" s="1179"/>
    </row>
    <row r="288" spans="1:10" s="1209" customFormat="1" ht="15.75" customHeight="1">
      <c r="A288" s="1176"/>
      <c r="B288" s="1199" t="s">
        <v>6586</v>
      </c>
      <c r="C288" s="1251">
        <v>1</v>
      </c>
      <c r="D288" s="1251" t="s">
        <v>3364</v>
      </c>
      <c r="E288" s="1251">
        <v>1</v>
      </c>
      <c r="F288" s="1177">
        <f>2.115+2.115+1.35</f>
        <v>5.58</v>
      </c>
      <c r="G288" s="1177"/>
      <c r="H288" s="1177">
        <v>2.85</v>
      </c>
      <c r="I288" s="1178">
        <f t="shared" si="27"/>
        <v>15.9</v>
      </c>
      <c r="J288" s="1179"/>
    </row>
    <row r="289" spans="1:13" s="1209" customFormat="1" ht="18.75" customHeight="1">
      <c r="A289" s="1176"/>
      <c r="B289" s="1199" t="s">
        <v>6587</v>
      </c>
      <c r="C289" s="1251">
        <v>-1</v>
      </c>
      <c r="D289" s="1251" t="s">
        <v>3364</v>
      </c>
      <c r="E289" s="1251">
        <v>8</v>
      </c>
      <c r="F289" s="1177">
        <v>0.75</v>
      </c>
      <c r="G289" s="1177"/>
      <c r="H289" s="1177">
        <v>2.1</v>
      </c>
      <c r="I289" s="1178">
        <f t="shared" si="27"/>
        <v>-12.6</v>
      </c>
      <c r="J289" s="1179"/>
    </row>
    <row r="290" spans="1:13" s="1209" customFormat="1">
      <c r="A290" s="1176"/>
      <c r="B290" s="1199" t="s">
        <v>3450</v>
      </c>
      <c r="C290" s="1251">
        <v>1</v>
      </c>
      <c r="D290" s="1251" t="s">
        <v>3364</v>
      </c>
      <c r="E290" s="1251">
        <v>1</v>
      </c>
      <c r="F290" s="1177">
        <v>26.17</v>
      </c>
      <c r="G290" s="1177"/>
      <c r="H290" s="1177">
        <v>0.5</v>
      </c>
      <c r="I290" s="1178">
        <f t="shared" si="27"/>
        <v>13.09</v>
      </c>
      <c r="J290" s="1179"/>
    </row>
    <row r="291" spans="1:13" s="1209" customFormat="1">
      <c r="A291" s="1185"/>
      <c r="B291" s="1270"/>
      <c r="C291" s="1186"/>
      <c r="D291" s="1186"/>
      <c r="E291" s="1186"/>
      <c r="F291" s="1177"/>
      <c r="G291" s="1177"/>
      <c r="H291" s="1177"/>
      <c r="I291" s="1178">
        <f>SUM(I283:I290)</f>
        <v>89.98</v>
      </c>
      <c r="J291" s="1184"/>
    </row>
    <row r="292" spans="1:13" s="1209" customFormat="1">
      <c r="A292" s="1185"/>
      <c r="B292" s="1199"/>
      <c r="C292" s="1186"/>
      <c r="D292" s="1186"/>
      <c r="E292" s="1186"/>
      <c r="F292" s="1177"/>
      <c r="G292" s="1253"/>
      <c r="H292" s="1253" t="s">
        <v>2981</v>
      </c>
      <c r="I292" s="1181">
        <f>CEILING(I291,0.1)</f>
        <v>90</v>
      </c>
      <c r="J292" s="1184" t="s">
        <v>724</v>
      </c>
    </row>
    <row r="293" spans="1:13" s="1209" customFormat="1" ht="173.25">
      <c r="A293" s="1182">
        <v>11.2</v>
      </c>
      <c r="B293" s="1187" t="s">
        <v>3455</v>
      </c>
      <c r="C293" s="1186"/>
      <c r="D293" s="1186"/>
      <c r="E293" s="1186"/>
      <c r="F293" s="1177"/>
      <c r="G293" s="1177"/>
      <c r="H293" s="1177"/>
      <c r="I293" s="1178"/>
      <c r="J293" s="1184"/>
      <c r="M293" s="1209">
        <f>3.3/2</f>
        <v>1.65</v>
      </c>
    </row>
    <row r="294" spans="1:13" s="1209" customFormat="1">
      <c r="A294" s="1182"/>
      <c r="B294" s="1187" t="s">
        <v>3456</v>
      </c>
      <c r="C294" s="1186"/>
      <c r="D294" s="1186"/>
      <c r="E294" s="1186"/>
      <c r="F294" s="1177"/>
      <c r="G294" s="1177"/>
      <c r="H294" s="1177"/>
      <c r="I294" s="1178"/>
      <c r="J294" s="1184"/>
    </row>
    <row r="295" spans="1:13" s="1209" customFormat="1">
      <c r="A295" s="1176"/>
      <c r="B295" s="1199" t="s">
        <v>3372</v>
      </c>
      <c r="C295" s="1251">
        <v>2</v>
      </c>
      <c r="D295" s="1251" t="s">
        <v>3364</v>
      </c>
      <c r="E295" s="1251">
        <v>8</v>
      </c>
      <c r="F295" s="1177">
        <v>0.6</v>
      </c>
      <c r="G295" s="1177"/>
      <c r="H295" s="1177">
        <v>2.1</v>
      </c>
      <c r="I295" s="1178">
        <f t="shared" ref="I295:I307" si="28">PRODUCT(C295:H295)</f>
        <v>20.16</v>
      </c>
      <c r="J295" s="1179"/>
    </row>
    <row r="296" spans="1:13" s="1209" customFormat="1">
      <c r="A296" s="1176"/>
      <c r="B296" s="1199" t="s">
        <v>6588</v>
      </c>
      <c r="C296" s="1251">
        <v>2</v>
      </c>
      <c r="D296" s="1251" t="s">
        <v>3364</v>
      </c>
      <c r="E296" s="1251">
        <v>8</v>
      </c>
      <c r="F296" s="1177">
        <v>0.6</v>
      </c>
      <c r="G296" s="1177"/>
      <c r="H296" s="1177">
        <v>2.1</v>
      </c>
      <c r="I296" s="1178">
        <f t="shared" si="28"/>
        <v>20.16</v>
      </c>
      <c r="J296" s="1179"/>
    </row>
    <row r="297" spans="1:13" s="1209" customFormat="1">
      <c r="A297" s="1176"/>
      <c r="B297" s="1199" t="s">
        <v>6589</v>
      </c>
      <c r="C297" s="1251">
        <v>1</v>
      </c>
      <c r="D297" s="1251" t="s">
        <v>3364</v>
      </c>
      <c r="E297" s="1251">
        <v>4</v>
      </c>
      <c r="F297" s="1177">
        <v>0.45</v>
      </c>
      <c r="G297" s="1177"/>
      <c r="H297" s="1177">
        <v>2.1</v>
      </c>
      <c r="I297" s="1178">
        <f t="shared" si="28"/>
        <v>3.78</v>
      </c>
      <c r="J297" s="1179"/>
    </row>
    <row r="298" spans="1:13" s="1209" customFormat="1">
      <c r="A298" s="1176"/>
      <c r="B298" s="1199" t="s">
        <v>6590</v>
      </c>
      <c r="C298" s="1251">
        <v>8</v>
      </c>
      <c r="D298" s="1251" t="s">
        <v>3364</v>
      </c>
      <c r="E298" s="1251">
        <v>4</v>
      </c>
      <c r="F298" s="1177">
        <v>0.45</v>
      </c>
      <c r="G298" s="1177"/>
      <c r="H298" s="1177">
        <v>2.1</v>
      </c>
      <c r="I298" s="1178">
        <f t="shared" si="28"/>
        <v>30.24</v>
      </c>
      <c r="J298" s="1179"/>
    </row>
    <row r="299" spans="1:13" s="1209" customFormat="1">
      <c r="A299" s="1176"/>
      <c r="B299" s="1199" t="s">
        <v>6591</v>
      </c>
      <c r="C299" s="1251">
        <v>15</v>
      </c>
      <c r="D299" s="1251" t="s">
        <v>3364</v>
      </c>
      <c r="E299" s="1251">
        <v>2</v>
      </c>
      <c r="F299" s="1177">
        <v>0.45</v>
      </c>
      <c r="G299" s="1177"/>
      <c r="H299" s="1177">
        <v>2.1</v>
      </c>
      <c r="I299" s="1178">
        <f t="shared" si="28"/>
        <v>28.35</v>
      </c>
      <c r="J299" s="1179"/>
    </row>
    <row r="300" spans="1:13" s="1209" customFormat="1">
      <c r="A300" s="1176"/>
      <c r="B300" s="1199" t="s">
        <v>6592</v>
      </c>
      <c r="C300" s="1251">
        <v>4</v>
      </c>
      <c r="D300" s="1251" t="s">
        <v>3364</v>
      </c>
      <c r="E300" s="1251">
        <v>1</v>
      </c>
      <c r="F300" s="1177">
        <v>0.6</v>
      </c>
      <c r="G300" s="1177"/>
      <c r="H300" s="1177">
        <v>0.8</v>
      </c>
      <c r="I300" s="1178">
        <f t="shared" si="28"/>
        <v>1.92</v>
      </c>
      <c r="J300" s="1179"/>
    </row>
    <row r="301" spans="1:13" s="1209" customFormat="1" ht="15.75" customHeight="1">
      <c r="A301" s="1176"/>
      <c r="B301" s="1199"/>
      <c r="C301" s="1251"/>
      <c r="D301" s="1251"/>
      <c r="E301" s="1251"/>
      <c r="F301" s="1177"/>
      <c r="G301" s="1177"/>
      <c r="H301" s="1177"/>
      <c r="I301" s="1178">
        <f>SUM(I295:I300)</f>
        <v>104.61</v>
      </c>
      <c r="J301" s="1179"/>
    </row>
    <row r="302" spans="1:13" s="1212" customFormat="1" ht="15.75" customHeight="1">
      <c r="A302" s="1273"/>
      <c r="B302" s="1202"/>
      <c r="C302" s="1274"/>
      <c r="D302" s="1274"/>
      <c r="E302" s="1274"/>
      <c r="F302" s="1253"/>
      <c r="G302" s="1253"/>
      <c r="H302" s="1253" t="s">
        <v>2981</v>
      </c>
      <c r="I302" s="1181">
        <f>CEILING(I301,0.1)</f>
        <v>104.7</v>
      </c>
      <c r="J302" s="1179" t="s">
        <v>724</v>
      </c>
    </row>
    <row r="303" spans="1:13" s="1209" customFormat="1">
      <c r="A303" s="1182"/>
      <c r="B303" s="1187" t="s">
        <v>3457</v>
      </c>
      <c r="C303" s="1186"/>
      <c r="D303" s="1186"/>
      <c r="E303" s="1186"/>
      <c r="F303" s="1177"/>
      <c r="G303" s="1177"/>
      <c r="H303" s="1177"/>
      <c r="I303" s="1178"/>
      <c r="J303" s="1184"/>
    </row>
    <row r="304" spans="1:13" s="1209" customFormat="1">
      <c r="A304" s="1176"/>
      <c r="B304" s="1199" t="s">
        <v>6594</v>
      </c>
      <c r="C304" s="1251">
        <v>1</v>
      </c>
      <c r="D304" s="1251" t="s">
        <v>3364</v>
      </c>
      <c r="E304" s="1251">
        <v>4</v>
      </c>
      <c r="F304" s="1177">
        <v>0.6</v>
      </c>
      <c r="G304" s="1177"/>
      <c r="H304" s="1177">
        <v>2.1</v>
      </c>
      <c r="I304" s="1178">
        <f t="shared" si="28"/>
        <v>5.04</v>
      </c>
      <c r="J304" s="1179"/>
    </row>
    <row r="305" spans="1:10" s="1209" customFormat="1">
      <c r="A305" s="1176"/>
      <c r="B305" s="1199" t="s">
        <v>6595</v>
      </c>
      <c r="C305" s="1251">
        <v>2</v>
      </c>
      <c r="D305" s="1251" t="s">
        <v>3364</v>
      </c>
      <c r="E305" s="1251">
        <v>4</v>
      </c>
      <c r="F305" s="1177">
        <v>0.6</v>
      </c>
      <c r="G305" s="1177"/>
      <c r="H305" s="1177">
        <v>2.1</v>
      </c>
      <c r="I305" s="1178">
        <f t="shared" si="28"/>
        <v>10.08</v>
      </c>
      <c r="J305" s="1179"/>
    </row>
    <row r="306" spans="1:10" s="1209" customFormat="1">
      <c r="A306" s="1176"/>
      <c r="B306" s="1199" t="s">
        <v>6596</v>
      </c>
      <c r="C306" s="1251">
        <v>6</v>
      </c>
      <c r="D306" s="1251" t="s">
        <v>3364</v>
      </c>
      <c r="E306" s="1251">
        <v>4</v>
      </c>
      <c r="F306" s="1177">
        <v>0.6</v>
      </c>
      <c r="G306" s="1177"/>
      <c r="H306" s="1177">
        <v>2.1</v>
      </c>
      <c r="I306" s="1178">
        <f t="shared" si="28"/>
        <v>30.24</v>
      </c>
      <c r="J306" s="1179"/>
    </row>
    <row r="307" spans="1:10" s="1209" customFormat="1">
      <c r="A307" s="1176"/>
      <c r="B307" s="1199" t="s">
        <v>6597</v>
      </c>
      <c r="C307" s="1251">
        <v>6</v>
      </c>
      <c r="D307" s="1251" t="s">
        <v>3364</v>
      </c>
      <c r="E307" s="1251">
        <v>8</v>
      </c>
      <c r="F307" s="1177">
        <v>0.6</v>
      </c>
      <c r="G307" s="1177"/>
      <c r="H307" s="1177">
        <v>2.1</v>
      </c>
      <c r="I307" s="1178">
        <f t="shared" si="28"/>
        <v>60.48</v>
      </c>
      <c r="J307" s="1179"/>
    </row>
    <row r="308" spans="1:10" s="1209" customFormat="1" ht="15.75" customHeight="1">
      <c r="A308" s="1176"/>
      <c r="B308" s="1199"/>
      <c r="C308" s="1251"/>
      <c r="D308" s="1251"/>
      <c r="E308" s="1251"/>
      <c r="F308" s="1177"/>
      <c r="G308" s="1177"/>
      <c r="H308" s="1177"/>
      <c r="I308" s="1178">
        <f>SUM(I304:I307)</f>
        <v>105.84</v>
      </c>
      <c r="J308" s="1179"/>
    </row>
    <row r="309" spans="1:10" s="1212" customFormat="1" ht="15.75" customHeight="1">
      <c r="A309" s="1273"/>
      <c r="B309" s="1202"/>
      <c r="C309" s="1274"/>
      <c r="D309" s="1274"/>
      <c r="E309" s="1274"/>
      <c r="F309" s="1253"/>
      <c r="G309" s="1253"/>
      <c r="H309" s="1253" t="s">
        <v>2981</v>
      </c>
      <c r="I309" s="1181">
        <f>CEILING(I308,0.1)</f>
        <v>105.9</v>
      </c>
      <c r="J309" s="1179" t="s">
        <v>724</v>
      </c>
    </row>
    <row r="310" spans="1:10" s="1209" customFormat="1">
      <c r="A310" s="1182"/>
      <c r="B310" s="1187" t="s">
        <v>3461</v>
      </c>
      <c r="C310" s="1186"/>
      <c r="D310" s="1186"/>
      <c r="E310" s="1186"/>
      <c r="F310" s="1177"/>
      <c r="G310" s="1177"/>
      <c r="H310" s="1177"/>
      <c r="I310" s="1178"/>
      <c r="J310" s="1184"/>
    </row>
    <row r="311" spans="1:10" s="1209" customFormat="1">
      <c r="A311" s="1176"/>
      <c r="B311" s="1199" t="s">
        <v>6594</v>
      </c>
      <c r="C311" s="1251">
        <v>2</v>
      </c>
      <c r="D311" s="1251" t="s">
        <v>3364</v>
      </c>
      <c r="E311" s="1251">
        <v>4</v>
      </c>
      <c r="F311" s="1177">
        <v>0.6</v>
      </c>
      <c r="G311" s="1177"/>
      <c r="H311" s="1177">
        <v>2.1</v>
      </c>
      <c r="I311" s="1178">
        <f>PRODUCT(C311:H311)</f>
        <v>10.08</v>
      </c>
      <c r="J311" s="1179"/>
    </row>
    <row r="312" spans="1:10" s="1209" customFormat="1">
      <c r="A312" s="1176"/>
      <c r="B312" s="1199" t="s">
        <v>6590</v>
      </c>
      <c r="C312" s="1251">
        <v>8</v>
      </c>
      <c r="D312" s="1251" t="s">
        <v>3364</v>
      </c>
      <c r="E312" s="1251">
        <v>4</v>
      </c>
      <c r="F312" s="1177">
        <v>0.45</v>
      </c>
      <c r="G312" s="1177"/>
      <c r="H312" s="1177">
        <v>2.1</v>
      </c>
      <c r="I312" s="1178">
        <f>PRODUCT(C312:H312)</f>
        <v>30.24</v>
      </c>
      <c r="J312" s="1179"/>
    </row>
    <row r="313" spans="1:10" s="1209" customFormat="1">
      <c r="A313" s="1176"/>
      <c r="B313" s="1199" t="s">
        <v>6598</v>
      </c>
      <c r="C313" s="1251">
        <v>3</v>
      </c>
      <c r="D313" s="1251" t="s">
        <v>3364</v>
      </c>
      <c r="E313" s="1251">
        <v>4</v>
      </c>
      <c r="F313" s="1177">
        <v>0.6</v>
      </c>
      <c r="G313" s="1177"/>
      <c r="H313" s="1177">
        <v>2.1</v>
      </c>
      <c r="I313" s="1178">
        <f>PRODUCT(C313:H313)</f>
        <v>15.12</v>
      </c>
      <c r="J313" s="1179"/>
    </row>
    <row r="314" spans="1:10" s="1209" customFormat="1">
      <c r="A314" s="1176"/>
      <c r="B314" s="1199" t="s">
        <v>6579</v>
      </c>
      <c r="C314" s="1251">
        <v>2</v>
      </c>
      <c r="D314" s="1251" t="s">
        <v>3364</v>
      </c>
      <c r="E314" s="1251">
        <v>4</v>
      </c>
      <c r="F314" s="1177">
        <v>0.6</v>
      </c>
      <c r="G314" s="1177"/>
      <c r="H314" s="1177">
        <v>2.1</v>
      </c>
      <c r="I314" s="1178">
        <f>PRODUCT(C314:H314)</f>
        <v>10.08</v>
      </c>
      <c r="J314" s="1179"/>
    </row>
    <row r="315" spans="1:10" s="1209" customFormat="1" ht="15.75" customHeight="1">
      <c r="A315" s="1176"/>
      <c r="B315" s="1199"/>
      <c r="C315" s="1251"/>
      <c r="D315" s="1251"/>
      <c r="E315" s="1251"/>
      <c r="F315" s="1177"/>
      <c r="G315" s="1177"/>
      <c r="H315" s="1177"/>
      <c r="I315" s="1178">
        <f>SUM(I311:I314)</f>
        <v>65.52</v>
      </c>
      <c r="J315" s="1179"/>
    </row>
    <row r="316" spans="1:10" s="1212" customFormat="1" ht="15.75" customHeight="1">
      <c r="A316" s="1273"/>
      <c r="B316" s="1202"/>
      <c r="C316" s="1274"/>
      <c r="D316" s="1274"/>
      <c r="E316" s="1274"/>
      <c r="F316" s="1253"/>
      <c r="G316" s="1253"/>
      <c r="H316" s="1253" t="s">
        <v>2981</v>
      </c>
      <c r="I316" s="1181">
        <f>CEILING(I315,0.1)</f>
        <v>65.599999999999994</v>
      </c>
      <c r="J316" s="1179" t="s">
        <v>724</v>
      </c>
    </row>
    <row r="317" spans="1:10" s="1209" customFormat="1">
      <c r="A317" s="1182"/>
      <c r="B317" s="1187" t="s">
        <v>3448</v>
      </c>
      <c r="C317" s="1186"/>
      <c r="D317" s="1186"/>
      <c r="E317" s="1186"/>
      <c r="F317" s="1177"/>
      <c r="G317" s="1177"/>
      <c r="H317" s="1177"/>
      <c r="I317" s="1178"/>
      <c r="J317" s="1184"/>
    </row>
    <row r="318" spans="1:10" s="1209" customFormat="1">
      <c r="A318" s="1176"/>
      <c r="B318" s="1199" t="s">
        <v>6599</v>
      </c>
      <c r="C318" s="1251">
        <v>1</v>
      </c>
      <c r="D318" s="1251" t="s">
        <v>3364</v>
      </c>
      <c r="E318" s="1251">
        <v>2</v>
      </c>
      <c r="F318" s="1177">
        <v>0.6</v>
      </c>
      <c r="G318" s="1177"/>
      <c r="H318" s="1177">
        <v>2.1</v>
      </c>
      <c r="I318" s="1178">
        <f t="shared" ref="I318:I325" si="29">PRODUCT(C318:H318)</f>
        <v>2.52</v>
      </c>
      <c r="J318" s="1179"/>
    </row>
    <row r="319" spans="1:10" s="1209" customFormat="1">
      <c r="A319" s="1176"/>
      <c r="B319" s="1199" t="s">
        <v>6600</v>
      </c>
      <c r="C319" s="1251">
        <v>8</v>
      </c>
      <c r="D319" s="1251" t="s">
        <v>3364</v>
      </c>
      <c r="E319" s="1251">
        <v>5</v>
      </c>
      <c r="F319" s="1177">
        <v>0.3</v>
      </c>
      <c r="G319" s="1177"/>
      <c r="H319" s="1177">
        <v>2.1</v>
      </c>
      <c r="I319" s="1178">
        <f t="shared" si="29"/>
        <v>25.2</v>
      </c>
      <c r="J319" s="1179"/>
    </row>
    <row r="320" spans="1:10" s="1209" customFormat="1">
      <c r="A320" s="1176"/>
      <c r="B320" s="1199" t="s">
        <v>6601</v>
      </c>
      <c r="C320" s="1251">
        <v>3</v>
      </c>
      <c r="D320" s="1251" t="s">
        <v>3364</v>
      </c>
      <c r="E320" s="1251">
        <v>5</v>
      </c>
      <c r="F320" s="1177">
        <v>0.6</v>
      </c>
      <c r="G320" s="1177"/>
      <c r="H320" s="1177">
        <v>2.1</v>
      </c>
      <c r="I320" s="1178">
        <f t="shared" si="29"/>
        <v>18.899999999999999</v>
      </c>
      <c r="J320" s="1179"/>
    </row>
    <row r="321" spans="1:10" s="1209" customFormat="1">
      <c r="A321" s="1176"/>
      <c r="B321" s="1199" t="s">
        <v>6602</v>
      </c>
      <c r="C321" s="1251">
        <v>3</v>
      </c>
      <c r="D321" s="1251" t="s">
        <v>3364</v>
      </c>
      <c r="E321" s="1251">
        <v>2</v>
      </c>
      <c r="F321" s="1177">
        <v>0.6</v>
      </c>
      <c r="G321" s="1177"/>
      <c r="H321" s="1177">
        <v>2.1</v>
      </c>
      <c r="I321" s="1178">
        <f t="shared" si="29"/>
        <v>7.56</v>
      </c>
      <c r="J321" s="1179"/>
    </row>
    <row r="322" spans="1:10" s="1209" customFormat="1">
      <c r="A322" s="1176"/>
      <c r="B322" s="1199" t="s">
        <v>6603</v>
      </c>
      <c r="C322" s="1251">
        <v>2</v>
      </c>
      <c r="D322" s="1251" t="s">
        <v>3364</v>
      </c>
      <c r="E322" s="1251">
        <v>2</v>
      </c>
      <c r="F322" s="1177">
        <v>0.45</v>
      </c>
      <c r="G322" s="1177"/>
      <c r="H322" s="1177">
        <v>2.1</v>
      </c>
      <c r="I322" s="1178">
        <f t="shared" si="29"/>
        <v>3.78</v>
      </c>
      <c r="J322" s="1179"/>
    </row>
    <row r="323" spans="1:10" s="1209" customFormat="1">
      <c r="A323" s="1176"/>
      <c r="B323" s="1199" t="s">
        <v>6604</v>
      </c>
      <c r="C323" s="1251">
        <v>2</v>
      </c>
      <c r="D323" s="1251" t="s">
        <v>3364</v>
      </c>
      <c r="E323" s="1251">
        <v>3</v>
      </c>
      <c r="F323" s="1177">
        <v>0.45</v>
      </c>
      <c r="G323" s="1177"/>
      <c r="H323" s="1177">
        <v>2.1</v>
      </c>
      <c r="I323" s="1178">
        <f t="shared" si="29"/>
        <v>5.67</v>
      </c>
      <c r="J323" s="1179"/>
    </row>
    <row r="324" spans="1:10" s="1209" customFormat="1">
      <c r="A324" s="1176"/>
      <c r="B324" s="1199" t="s">
        <v>6605</v>
      </c>
      <c r="C324" s="1251">
        <v>2</v>
      </c>
      <c r="D324" s="1251" t="s">
        <v>3364</v>
      </c>
      <c r="E324" s="1251">
        <v>1</v>
      </c>
      <c r="F324" s="1177">
        <v>0.6</v>
      </c>
      <c r="G324" s="1177"/>
      <c r="H324" s="1177">
        <v>2.1</v>
      </c>
      <c r="I324" s="1178">
        <f t="shared" si="29"/>
        <v>2.52</v>
      </c>
      <c r="J324" s="1179"/>
    </row>
    <row r="325" spans="1:10" s="1209" customFormat="1">
      <c r="A325" s="1176"/>
      <c r="B325" s="1199" t="s">
        <v>6606</v>
      </c>
      <c r="C325" s="1251">
        <v>3</v>
      </c>
      <c r="D325" s="1251" t="s">
        <v>3364</v>
      </c>
      <c r="E325" s="1251">
        <v>2</v>
      </c>
      <c r="F325" s="1177">
        <v>0.6</v>
      </c>
      <c r="G325" s="1177"/>
      <c r="H325" s="1177">
        <v>2.1</v>
      </c>
      <c r="I325" s="1178">
        <f t="shared" si="29"/>
        <v>7.56</v>
      </c>
      <c r="J325" s="1179"/>
    </row>
    <row r="326" spans="1:10" s="1209" customFormat="1" ht="15.75" customHeight="1">
      <c r="A326" s="1176"/>
      <c r="B326" s="1199"/>
      <c r="C326" s="1251"/>
      <c r="D326" s="1251"/>
      <c r="E326" s="1251"/>
      <c r="F326" s="1177"/>
      <c r="G326" s="1177"/>
      <c r="H326" s="1177"/>
      <c r="I326" s="1178">
        <f>SUM(I318:I325)</f>
        <v>73.709999999999994</v>
      </c>
      <c r="J326" s="1179"/>
    </row>
    <row r="327" spans="1:10" s="1212" customFormat="1" ht="15.75" customHeight="1">
      <c r="A327" s="1273"/>
      <c r="B327" s="1202"/>
      <c r="C327" s="1274"/>
      <c r="D327" s="1274"/>
      <c r="E327" s="1274"/>
      <c r="F327" s="1253"/>
      <c r="G327" s="1253"/>
      <c r="H327" s="1253" t="s">
        <v>2981</v>
      </c>
      <c r="I327" s="1181">
        <f>CEILING(I326,0.1)</f>
        <v>73.8</v>
      </c>
      <c r="J327" s="1179" t="s">
        <v>724</v>
      </c>
    </row>
    <row r="328" spans="1:10" s="1209" customFormat="1">
      <c r="A328" s="1182">
        <v>11.2</v>
      </c>
      <c r="B328" s="1187" t="s">
        <v>7004</v>
      </c>
      <c r="C328" s="1186"/>
      <c r="D328" s="1186"/>
      <c r="E328" s="1186"/>
      <c r="F328" s="1177"/>
      <c r="G328" s="1177"/>
      <c r="H328" s="1177"/>
      <c r="I328" s="1178"/>
      <c r="J328" s="1184"/>
    </row>
    <row r="329" spans="1:10" s="1209" customFormat="1" ht="18.75">
      <c r="A329" s="1185"/>
      <c r="B329" s="1199" t="s">
        <v>6607</v>
      </c>
      <c r="C329" s="1186">
        <v>1</v>
      </c>
      <c r="D329" s="1186" t="s">
        <v>3364</v>
      </c>
      <c r="E329" s="1186">
        <v>1</v>
      </c>
      <c r="F329" s="1177">
        <v>3.69</v>
      </c>
      <c r="G329" s="1177"/>
      <c r="H329" s="1177">
        <v>0.9</v>
      </c>
      <c r="I329" s="1178">
        <f t="shared" ref="I329:I339" si="30">PRODUCT(C329:H329)</f>
        <v>3.32</v>
      </c>
      <c r="J329" s="1275"/>
    </row>
    <row r="330" spans="1:10" s="1209" customFormat="1" ht="18.75">
      <c r="A330" s="1185"/>
      <c r="B330" s="1199" t="s">
        <v>6608</v>
      </c>
      <c r="C330" s="1186">
        <v>1</v>
      </c>
      <c r="D330" s="1186" t="s">
        <v>3364</v>
      </c>
      <c r="E330" s="1186">
        <v>1</v>
      </c>
      <c r="F330" s="1177">
        <v>3.69</v>
      </c>
      <c r="G330" s="1177"/>
      <c r="H330" s="1177">
        <v>0.9</v>
      </c>
      <c r="I330" s="1178">
        <f t="shared" si="30"/>
        <v>3.32</v>
      </c>
      <c r="J330" s="1275"/>
    </row>
    <row r="331" spans="1:10" s="1209" customFormat="1" ht="18.75">
      <c r="A331" s="1185"/>
      <c r="B331" s="1199" t="s">
        <v>6609</v>
      </c>
      <c r="C331" s="1186">
        <v>1</v>
      </c>
      <c r="D331" s="1186" t="s">
        <v>3364</v>
      </c>
      <c r="E331" s="1186">
        <v>1</v>
      </c>
      <c r="F331" s="1177">
        <v>3.69</v>
      </c>
      <c r="G331" s="1177"/>
      <c r="H331" s="1177">
        <v>0.9</v>
      </c>
      <c r="I331" s="1178">
        <f t="shared" si="30"/>
        <v>3.32</v>
      </c>
      <c r="J331" s="1275"/>
    </row>
    <row r="332" spans="1:10" s="1209" customFormat="1" ht="18.75">
      <c r="A332" s="1185"/>
      <c r="B332" s="1199" t="s">
        <v>6610</v>
      </c>
      <c r="C332" s="1186">
        <v>1</v>
      </c>
      <c r="D332" s="1186" t="s">
        <v>3364</v>
      </c>
      <c r="E332" s="1186">
        <v>1</v>
      </c>
      <c r="F332" s="1177">
        <v>3.69</v>
      </c>
      <c r="G332" s="1177"/>
      <c r="H332" s="1177">
        <v>0.9</v>
      </c>
      <c r="I332" s="1178">
        <f t="shared" si="30"/>
        <v>3.32</v>
      </c>
      <c r="J332" s="1275"/>
    </row>
    <row r="333" spans="1:10" s="1209" customFormat="1" ht="18.75">
      <c r="A333" s="1185"/>
      <c r="B333" s="1199" t="s">
        <v>6611</v>
      </c>
      <c r="C333" s="1186">
        <v>1</v>
      </c>
      <c r="D333" s="1186" t="s">
        <v>3364</v>
      </c>
      <c r="E333" s="1186">
        <v>1</v>
      </c>
      <c r="F333" s="1177">
        <v>3.69</v>
      </c>
      <c r="G333" s="1177"/>
      <c r="H333" s="1177">
        <v>0.9</v>
      </c>
      <c r="I333" s="1178">
        <f t="shared" si="30"/>
        <v>3.32</v>
      </c>
      <c r="J333" s="1275"/>
    </row>
    <row r="334" spans="1:10" s="1209" customFormat="1" ht="18.75">
      <c r="A334" s="1185"/>
      <c r="B334" s="1199" t="s">
        <v>6612</v>
      </c>
      <c r="C334" s="1186">
        <v>1</v>
      </c>
      <c r="D334" s="1186" t="s">
        <v>3364</v>
      </c>
      <c r="E334" s="1186">
        <v>1</v>
      </c>
      <c r="F334" s="1177">
        <v>3.69</v>
      </c>
      <c r="G334" s="1177"/>
      <c r="H334" s="1177">
        <v>0.9</v>
      </c>
      <c r="I334" s="1178">
        <f t="shared" si="30"/>
        <v>3.32</v>
      </c>
      <c r="J334" s="1275"/>
    </row>
    <row r="335" spans="1:10" s="1209" customFormat="1" ht="18.75">
      <c r="A335" s="1185"/>
      <c r="B335" s="1199" t="s">
        <v>6613</v>
      </c>
      <c r="C335" s="1186">
        <v>1</v>
      </c>
      <c r="D335" s="1186" t="s">
        <v>3364</v>
      </c>
      <c r="E335" s="1186">
        <v>1</v>
      </c>
      <c r="F335" s="1177">
        <v>3.69</v>
      </c>
      <c r="G335" s="1177"/>
      <c r="H335" s="1177">
        <v>0.9</v>
      </c>
      <c r="I335" s="1178">
        <f t="shared" si="30"/>
        <v>3.32</v>
      </c>
      <c r="J335" s="1275"/>
    </row>
    <row r="336" spans="1:10" s="1209" customFormat="1" ht="18.75">
      <c r="A336" s="1185"/>
      <c r="B336" s="1199" t="s">
        <v>6614</v>
      </c>
      <c r="C336" s="1186">
        <v>1</v>
      </c>
      <c r="D336" s="1186" t="s">
        <v>3364</v>
      </c>
      <c r="E336" s="1186">
        <v>1</v>
      </c>
      <c r="F336" s="1177">
        <v>3.69</v>
      </c>
      <c r="G336" s="1177"/>
      <c r="H336" s="1177">
        <v>0.9</v>
      </c>
      <c r="I336" s="1178">
        <f t="shared" si="30"/>
        <v>3.32</v>
      </c>
      <c r="J336" s="1275"/>
    </row>
    <row r="337" spans="1:10" s="1209" customFormat="1" ht="18.75">
      <c r="A337" s="1185"/>
      <c r="B337" s="1199" t="s">
        <v>6615</v>
      </c>
      <c r="C337" s="1186">
        <v>1</v>
      </c>
      <c r="D337" s="1186" t="s">
        <v>3364</v>
      </c>
      <c r="E337" s="1186">
        <v>1</v>
      </c>
      <c r="F337" s="1177">
        <v>3.69</v>
      </c>
      <c r="G337" s="1177"/>
      <c r="H337" s="1177">
        <v>0.9</v>
      </c>
      <c r="I337" s="1178">
        <f t="shared" si="30"/>
        <v>3.32</v>
      </c>
      <c r="J337" s="1275"/>
    </row>
    <row r="338" spans="1:10" s="1209" customFormat="1" ht="18.75">
      <c r="A338" s="1185"/>
      <c r="B338" s="1199" t="s">
        <v>6616</v>
      </c>
      <c r="C338" s="1186">
        <v>1</v>
      </c>
      <c r="D338" s="1186" t="s">
        <v>3364</v>
      </c>
      <c r="E338" s="1186">
        <v>1</v>
      </c>
      <c r="F338" s="1177">
        <v>3.69</v>
      </c>
      <c r="G338" s="1177"/>
      <c r="H338" s="1177">
        <v>0.9</v>
      </c>
      <c r="I338" s="1178">
        <f t="shared" si="30"/>
        <v>3.32</v>
      </c>
      <c r="J338" s="1275"/>
    </row>
    <row r="339" spans="1:10" s="1209" customFormat="1">
      <c r="A339" s="1185"/>
      <c r="B339" s="1199" t="s">
        <v>6617</v>
      </c>
      <c r="C339" s="1186">
        <v>1</v>
      </c>
      <c r="D339" s="1186" t="s">
        <v>3364</v>
      </c>
      <c r="E339" s="1186">
        <v>1</v>
      </c>
      <c r="F339" s="1177">
        <v>1.35</v>
      </c>
      <c r="G339" s="1177"/>
      <c r="H339" s="1177">
        <v>0.9</v>
      </c>
      <c r="I339" s="1178">
        <f t="shared" si="30"/>
        <v>1.22</v>
      </c>
      <c r="J339" s="1184"/>
    </row>
    <row r="340" spans="1:10" s="1209" customFormat="1" ht="15" customHeight="1">
      <c r="A340" s="1185"/>
      <c r="B340" s="1199"/>
      <c r="C340" s="1186"/>
      <c r="D340" s="1186"/>
      <c r="E340" s="1186"/>
      <c r="F340" s="1177"/>
      <c r="G340" s="1177"/>
      <c r="H340" s="1177"/>
      <c r="I340" s="1178">
        <f>SUM(I329:I339)</f>
        <v>34.42</v>
      </c>
      <c r="J340" s="1275"/>
    </row>
    <row r="341" spans="1:10" s="1209" customFormat="1" ht="15" customHeight="1">
      <c r="A341" s="1185"/>
      <c r="B341" s="1199"/>
      <c r="C341" s="1186"/>
      <c r="D341" s="1186"/>
      <c r="E341" s="1186"/>
      <c r="F341" s="1177"/>
      <c r="G341" s="1177"/>
      <c r="H341" s="1177" t="s">
        <v>2981</v>
      </c>
      <c r="I341" s="1181">
        <f>CEILING(I340,0.1)</f>
        <v>34.5</v>
      </c>
      <c r="J341" s="1275" t="s">
        <v>724</v>
      </c>
    </row>
    <row r="342" spans="1:10" s="1209" customFormat="1" ht="110.25">
      <c r="A342" s="1185">
        <v>13.1</v>
      </c>
      <c r="B342" s="1187" t="s">
        <v>3462</v>
      </c>
      <c r="C342" s="1186"/>
      <c r="D342" s="1186"/>
      <c r="E342" s="1186"/>
      <c r="F342" s="1177"/>
      <c r="G342" s="1177"/>
      <c r="H342" s="1177"/>
      <c r="I342" s="1178"/>
      <c r="J342" s="1184"/>
    </row>
    <row r="343" spans="1:10" s="1209" customFormat="1">
      <c r="A343" s="1176"/>
      <c r="B343" s="1199" t="s">
        <v>3626</v>
      </c>
      <c r="C343" s="1251">
        <v>6</v>
      </c>
      <c r="D343" s="1251" t="s">
        <v>3364</v>
      </c>
      <c r="E343" s="1251">
        <v>1</v>
      </c>
      <c r="F343" s="1177">
        <v>13.202</v>
      </c>
      <c r="G343" s="1177">
        <v>4.9000000000000004</v>
      </c>
      <c r="H343" s="1177">
        <v>0.2</v>
      </c>
      <c r="I343" s="1178">
        <f t="shared" ref="I343:I351" si="31">PRODUCT(C343:H343)</f>
        <v>77.63</v>
      </c>
      <c r="J343" s="1179"/>
    </row>
    <row r="344" spans="1:10" s="1209" customFormat="1">
      <c r="A344" s="1176"/>
      <c r="B344" s="1199" t="s">
        <v>6618</v>
      </c>
      <c r="C344" s="1251">
        <v>1</v>
      </c>
      <c r="D344" s="1251" t="s">
        <v>3364</v>
      </c>
      <c r="E344" s="1251">
        <v>1</v>
      </c>
      <c r="F344" s="1177">
        <v>4.67</v>
      </c>
      <c r="G344" s="1177">
        <v>2.6970000000000001</v>
      </c>
      <c r="H344" s="1177">
        <v>0.2</v>
      </c>
      <c r="I344" s="1178">
        <f t="shared" si="31"/>
        <v>2.52</v>
      </c>
      <c r="J344" s="1179"/>
    </row>
    <row r="345" spans="1:10" s="1209" customFormat="1">
      <c r="A345" s="1176"/>
      <c r="B345" s="1199" t="s">
        <v>6591</v>
      </c>
      <c r="C345" s="1251">
        <v>1</v>
      </c>
      <c r="D345" s="1251" t="s">
        <v>3364</v>
      </c>
      <c r="E345" s="1251">
        <v>1</v>
      </c>
      <c r="F345" s="1177">
        <v>4.681</v>
      </c>
      <c r="G345" s="1177">
        <v>2.6970000000000001</v>
      </c>
      <c r="H345" s="1177">
        <v>0.2</v>
      </c>
      <c r="I345" s="1178">
        <f t="shared" si="31"/>
        <v>2.52</v>
      </c>
      <c r="J345" s="1179"/>
    </row>
    <row r="346" spans="1:10" s="1209" customFormat="1">
      <c r="A346" s="1176"/>
      <c r="B346" s="1199" t="s">
        <v>6590</v>
      </c>
      <c r="C346" s="1251">
        <v>1</v>
      </c>
      <c r="D346" s="1251" t="s">
        <v>3364</v>
      </c>
      <c r="E346" s="1251">
        <v>1</v>
      </c>
      <c r="F346" s="1177">
        <v>5.24</v>
      </c>
      <c r="G346" s="1177">
        <v>2.6970000000000001</v>
      </c>
      <c r="H346" s="1177">
        <v>0.2</v>
      </c>
      <c r="I346" s="1178">
        <f t="shared" si="31"/>
        <v>2.83</v>
      </c>
      <c r="J346" s="1179"/>
    </row>
    <row r="347" spans="1:10" s="1209" customFormat="1">
      <c r="A347" s="1176"/>
      <c r="B347" s="1199" t="s">
        <v>6619</v>
      </c>
      <c r="C347" s="1251">
        <v>1</v>
      </c>
      <c r="D347" s="1251" t="s">
        <v>3364</v>
      </c>
      <c r="E347" s="1251">
        <v>1</v>
      </c>
      <c r="F347" s="1177">
        <v>7.8</v>
      </c>
      <c r="G347" s="1177">
        <v>2.9249999999999998</v>
      </c>
      <c r="H347" s="1177">
        <v>0.2</v>
      </c>
      <c r="I347" s="1178">
        <f t="shared" si="31"/>
        <v>4.5599999999999996</v>
      </c>
      <c r="J347" s="1179"/>
    </row>
    <row r="348" spans="1:10" s="1209" customFormat="1">
      <c r="A348" s="1176"/>
      <c r="B348" s="1199" t="s">
        <v>6620</v>
      </c>
      <c r="C348" s="1251">
        <v>1</v>
      </c>
      <c r="D348" s="1251" t="s">
        <v>3364</v>
      </c>
      <c r="E348" s="1251">
        <v>1</v>
      </c>
      <c r="F348" s="1177">
        <v>6.3390000000000004</v>
      </c>
      <c r="G348" s="1177">
        <v>5.39</v>
      </c>
      <c r="H348" s="1177">
        <v>0.2</v>
      </c>
      <c r="I348" s="1178">
        <f t="shared" si="31"/>
        <v>6.83</v>
      </c>
      <c r="J348" s="1179"/>
    </row>
    <row r="349" spans="1:10" s="1209" customFormat="1">
      <c r="A349" s="1176"/>
      <c r="B349" s="1199" t="s">
        <v>6621</v>
      </c>
      <c r="C349" s="1251">
        <v>1</v>
      </c>
      <c r="D349" s="1251" t="s">
        <v>3364</v>
      </c>
      <c r="E349" s="1251">
        <v>1</v>
      </c>
      <c r="F349" s="1177">
        <v>6.1120000000000001</v>
      </c>
      <c r="G349" s="1177">
        <v>5.39</v>
      </c>
      <c r="H349" s="1177">
        <v>0.2</v>
      </c>
      <c r="I349" s="1178">
        <f t="shared" si="31"/>
        <v>6.59</v>
      </c>
      <c r="J349" s="1179"/>
    </row>
    <row r="350" spans="1:10" s="1209" customFormat="1">
      <c r="A350" s="1176"/>
      <c r="B350" s="1199" t="s">
        <v>6622</v>
      </c>
      <c r="C350" s="1276">
        <v>0.5</v>
      </c>
      <c r="D350" s="1251" t="s">
        <v>3364</v>
      </c>
      <c r="E350" s="1251">
        <v>1</v>
      </c>
      <c r="F350" s="1177">
        <v>35.271999999999998</v>
      </c>
      <c r="G350" s="1177">
        <v>1.5</v>
      </c>
      <c r="H350" s="1177">
        <v>0.15</v>
      </c>
      <c r="I350" s="1178">
        <f t="shared" si="31"/>
        <v>3.97</v>
      </c>
      <c r="J350" s="1179"/>
    </row>
    <row r="351" spans="1:10" s="1209" customFormat="1">
      <c r="A351" s="1176"/>
      <c r="B351" s="1199" t="s">
        <v>6623</v>
      </c>
      <c r="C351" s="1276">
        <v>1.5</v>
      </c>
      <c r="D351" s="1251" t="s">
        <v>3364</v>
      </c>
      <c r="E351" s="1251">
        <v>1</v>
      </c>
      <c r="F351" s="1177">
        <v>9.7140000000000004</v>
      </c>
      <c r="G351" s="1177">
        <v>1.5</v>
      </c>
      <c r="H351" s="1177">
        <v>0.15</v>
      </c>
      <c r="I351" s="1178">
        <f t="shared" si="31"/>
        <v>3.28</v>
      </c>
      <c r="J351" s="1179"/>
    </row>
    <row r="352" spans="1:10" s="1209" customFormat="1">
      <c r="A352" s="1185"/>
      <c r="B352" s="1199"/>
      <c r="C352" s="1186"/>
      <c r="D352" s="1186"/>
      <c r="E352" s="1186"/>
      <c r="F352" s="1177"/>
      <c r="G352" s="1253" t="s">
        <v>104</v>
      </c>
      <c r="H352" s="1253"/>
      <c r="I352" s="1181">
        <f>SUM(I343:I351)</f>
        <v>110.73</v>
      </c>
      <c r="J352" s="1184"/>
    </row>
    <row r="353" spans="1:10" s="1209" customFormat="1">
      <c r="A353" s="1185"/>
      <c r="B353" s="1199"/>
      <c r="C353" s="1186"/>
      <c r="D353" s="1186"/>
      <c r="E353" s="1186"/>
      <c r="F353" s="1177"/>
      <c r="G353" s="1253"/>
      <c r="H353" s="1253" t="s">
        <v>2981</v>
      </c>
      <c r="I353" s="1181">
        <f>CEILING(I352,0.1)</f>
        <v>110.8</v>
      </c>
      <c r="J353" s="1184" t="s">
        <v>5</v>
      </c>
    </row>
    <row r="354" spans="1:10" s="1209" customFormat="1" ht="173.25">
      <c r="A354" s="1182">
        <v>15.1</v>
      </c>
      <c r="B354" s="1200" t="s">
        <v>6624</v>
      </c>
      <c r="C354" s="1186"/>
      <c r="D354" s="1186"/>
      <c r="E354" s="1186"/>
      <c r="F354" s="1177"/>
      <c r="G354" s="1177"/>
      <c r="H354" s="1177"/>
      <c r="I354" s="1178"/>
      <c r="J354" s="1184"/>
    </row>
    <row r="355" spans="1:10" s="1209" customFormat="1">
      <c r="A355" s="1182"/>
      <c r="B355" s="1202" t="s">
        <v>3464</v>
      </c>
      <c r="C355" s="1186"/>
      <c r="D355" s="1186"/>
      <c r="E355" s="1186"/>
      <c r="F355" s="1177"/>
      <c r="G355" s="1177"/>
      <c r="H355" s="1177"/>
      <c r="I355" s="1178"/>
      <c r="J355" s="1184"/>
    </row>
    <row r="356" spans="1:10" s="1209" customFormat="1">
      <c r="A356" s="1182"/>
      <c r="B356" s="1187" t="s">
        <v>3456</v>
      </c>
      <c r="C356" s="1186"/>
      <c r="D356" s="1186"/>
      <c r="E356" s="1186"/>
      <c r="F356" s="1177"/>
      <c r="G356" s="1177"/>
      <c r="H356" s="1177"/>
      <c r="I356" s="1178"/>
      <c r="J356" s="1184"/>
    </row>
    <row r="357" spans="1:10" s="1209" customFormat="1">
      <c r="A357" s="1176"/>
      <c r="B357" s="1199" t="s">
        <v>3372</v>
      </c>
      <c r="C357" s="1251">
        <v>2</v>
      </c>
      <c r="D357" s="1251" t="s">
        <v>3364</v>
      </c>
      <c r="E357" s="1251">
        <v>4</v>
      </c>
      <c r="F357" s="1177">
        <v>1.2</v>
      </c>
      <c r="G357" s="1177">
        <v>0.6</v>
      </c>
      <c r="H357" s="1177"/>
      <c r="I357" s="1178">
        <f t="shared" ref="I357:I362" si="32">PRODUCT(C357:H357)</f>
        <v>5.76</v>
      </c>
      <c r="J357" s="1179"/>
    </row>
    <row r="358" spans="1:10" s="1209" customFormat="1">
      <c r="A358" s="1176"/>
      <c r="B358" s="1199" t="s">
        <v>6588</v>
      </c>
      <c r="C358" s="1251">
        <v>2</v>
      </c>
      <c r="D358" s="1251" t="s">
        <v>3364</v>
      </c>
      <c r="E358" s="1251">
        <v>4</v>
      </c>
      <c r="F358" s="1177">
        <v>1.2</v>
      </c>
      <c r="G358" s="1177">
        <v>0.6</v>
      </c>
      <c r="H358" s="1177"/>
      <c r="I358" s="1178">
        <f t="shared" si="32"/>
        <v>5.76</v>
      </c>
      <c r="J358" s="1179"/>
    </row>
    <row r="359" spans="1:10" s="1209" customFormat="1">
      <c r="A359" s="1176"/>
      <c r="B359" s="1199" t="s">
        <v>6589</v>
      </c>
      <c r="C359" s="1251">
        <v>1</v>
      </c>
      <c r="D359" s="1251" t="s">
        <v>3364</v>
      </c>
      <c r="E359" s="1251">
        <v>4</v>
      </c>
      <c r="F359" s="1177">
        <v>1.2</v>
      </c>
      <c r="G359" s="1177">
        <v>0.6</v>
      </c>
      <c r="H359" s="1177"/>
      <c r="I359" s="1178">
        <f t="shared" si="32"/>
        <v>2.88</v>
      </c>
      <c r="J359" s="1179"/>
    </row>
    <row r="360" spans="1:10" s="1209" customFormat="1">
      <c r="A360" s="1176"/>
      <c r="B360" s="1199" t="s">
        <v>6590</v>
      </c>
      <c r="C360" s="1251">
        <v>8</v>
      </c>
      <c r="D360" s="1251" t="s">
        <v>3364</v>
      </c>
      <c r="E360" s="1251">
        <v>4</v>
      </c>
      <c r="F360" s="1177">
        <v>1.2</v>
      </c>
      <c r="G360" s="1177">
        <v>0.6</v>
      </c>
      <c r="H360" s="1177"/>
      <c r="I360" s="1178">
        <f t="shared" si="32"/>
        <v>23.04</v>
      </c>
      <c r="J360" s="1179"/>
    </row>
    <row r="361" spans="1:10" s="1209" customFormat="1">
      <c r="A361" s="1176"/>
      <c r="B361" s="1199" t="s">
        <v>6591</v>
      </c>
      <c r="C361" s="1251">
        <v>15</v>
      </c>
      <c r="D361" s="1251" t="s">
        <v>3364</v>
      </c>
      <c r="E361" s="1251">
        <v>4</v>
      </c>
      <c r="F361" s="1177">
        <v>1.2</v>
      </c>
      <c r="G361" s="1177">
        <v>0.6</v>
      </c>
      <c r="H361" s="1177"/>
      <c r="I361" s="1178">
        <f t="shared" si="32"/>
        <v>43.2</v>
      </c>
      <c r="J361" s="1179"/>
    </row>
    <row r="362" spans="1:10" s="1209" customFormat="1">
      <c r="A362" s="1176"/>
      <c r="B362" s="1199" t="s">
        <v>6592</v>
      </c>
      <c r="C362" s="1251">
        <v>4</v>
      </c>
      <c r="D362" s="1251" t="s">
        <v>3364</v>
      </c>
      <c r="E362" s="1251">
        <v>4</v>
      </c>
      <c r="F362" s="1177">
        <v>1.2</v>
      </c>
      <c r="G362" s="1177">
        <v>0.6</v>
      </c>
      <c r="H362" s="1177"/>
      <c r="I362" s="1178">
        <f t="shared" si="32"/>
        <v>11.52</v>
      </c>
      <c r="J362" s="1179"/>
    </row>
    <row r="363" spans="1:10" s="1209" customFormat="1" ht="15.75" customHeight="1">
      <c r="A363" s="1176"/>
      <c r="B363" s="1199"/>
      <c r="C363" s="1251"/>
      <c r="D363" s="1251"/>
      <c r="E363" s="1251"/>
      <c r="F363" s="1177"/>
      <c r="G363" s="1177"/>
      <c r="H363" s="1177"/>
      <c r="I363" s="1178">
        <f>SUM(I357:I362)</f>
        <v>92.16</v>
      </c>
      <c r="J363" s="1179"/>
    </row>
    <row r="364" spans="1:10" s="1212" customFormat="1" ht="15.75" customHeight="1">
      <c r="A364" s="1273"/>
      <c r="B364" s="1202"/>
      <c r="C364" s="1274"/>
      <c r="D364" s="1274"/>
      <c r="E364" s="1274"/>
      <c r="F364" s="1253"/>
      <c r="G364" s="1253"/>
      <c r="H364" s="1253" t="s">
        <v>2981</v>
      </c>
      <c r="I364" s="1181">
        <f>CEILING(I363,0.1)</f>
        <v>92.2</v>
      </c>
      <c r="J364" s="1179" t="s">
        <v>724</v>
      </c>
    </row>
    <row r="365" spans="1:10" s="1209" customFormat="1">
      <c r="A365" s="1182"/>
      <c r="B365" s="1187" t="s">
        <v>6593</v>
      </c>
      <c r="C365" s="1186"/>
      <c r="D365" s="1186"/>
      <c r="E365" s="1186"/>
      <c r="F365" s="1177"/>
      <c r="G365" s="1177"/>
      <c r="H365" s="1177"/>
      <c r="I365" s="1178"/>
      <c r="J365" s="1184"/>
    </row>
    <row r="366" spans="1:10" s="1209" customFormat="1">
      <c r="A366" s="1176"/>
      <c r="B366" s="1199" t="s">
        <v>6594</v>
      </c>
      <c r="C366" s="1251">
        <v>1</v>
      </c>
      <c r="D366" s="1251" t="s">
        <v>3364</v>
      </c>
      <c r="E366" s="1251">
        <v>4</v>
      </c>
      <c r="F366" s="1177">
        <v>1.2</v>
      </c>
      <c r="G366" s="1177">
        <v>0.6</v>
      </c>
      <c r="H366" s="1177"/>
      <c r="I366" s="1178">
        <f>PRODUCT(C366:H366)</f>
        <v>2.88</v>
      </c>
      <c r="J366" s="1179"/>
    </row>
    <row r="367" spans="1:10" s="1209" customFormat="1">
      <c r="A367" s="1176"/>
      <c r="B367" s="1199" t="s">
        <v>6595</v>
      </c>
      <c r="C367" s="1251">
        <v>2</v>
      </c>
      <c r="D367" s="1251" t="s">
        <v>3364</v>
      </c>
      <c r="E367" s="1251">
        <v>4</v>
      </c>
      <c r="F367" s="1177">
        <v>1.2</v>
      </c>
      <c r="G367" s="1177">
        <v>0.6</v>
      </c>
      <c r="H367" s="1177"/>
      <c r="I367" s="1178">
        <f>PRODUCT(C367:H367)</f>
        <v>5.76</v>
      </c>
      <c r="J367" s="1179"/>
    </row>
    <row r="368" spans="1:10" s="1209" customFormat="1">
      <c r="A368" s="1176"/>
      <c r="B368" s="1199" t="s">
        <v>6596</v>
      </c>
      <c r="C368" s="1251">
        <v>6</v>
      </c>
      <c r="D368" s="1251" t="s">
        <v>3364</v>
      </c>
      <c r="E368" s="1251">
        <v>4</v>
      </c>
      <c r="F368" s="1177">
        <v>1.2</v>
      </c>
      <c r="G368" s="1177">
        <v>0.6</v>
      </c>
      <c r="H368" s="1177"/>
      <c r="I368" s="1178">
        <f>PRODUCT(C368:H368)</f>
        <v>17.28</v>
      </c>
      <c r="J368" s="1179"/>
    </row>
    <row r="369" spans="1:10" s="1209" customFormat="1">
      <c r="A369" s="1176"/>
      <c r="B369" s="1199" t="s">
        <v>6597</v>
      </c>
      <c r="C369" s="1251">
        <v>6</v>
      </c>
      <c r="D369" s="1251" t="s">
        <v>3364</v>
      </c>
      <c r="E369" s="1251">
        <v>4</v>
      </c>
      <c r="F369" s="1177">
        <v>1.2</v>
      </c>
      <c r="G369" s="1177">
        <v>0.6</v>
      </c>
      <c r="H369" s="1177"/>
      <c r="I369" s="1178">
        <f>PRODUCT(C369:H369)</f>
        <v>17.28</v>
      </c>
      <c r="J369" s="1179"/>
    </row>
    <row r="370" spans="1:10" s="1209" customFormat="1" ht="15.75" customHeight="1">
      <c r="A370" s="1176"/>
      <c r="B370" s="1199"/>
      <c r="C370" s="1251"/>
      <c r="D370" s="1251"/>
      <c r="E370" s="1251"/>
      <c r="F370" s="1177"/>
      <c r="G370" s="1177"/>
      <c r="H370" s="1177"/>
      <c r="I370" s="1178">
        <f>SUM(I366:I369)</f>
        <v>43.2</v>
      </c>
      <c r="J370" s="1179"/>
    </row>
    <row r="371" spans="1:10" s="1212" customFormat="1" ht="15.75" customHeight="1">
      <c r="A371" s="1273"/>
      <c r="B371" s="1202"/>
      <c r="C371" s="1274"/>
      <c r="D371" s="1274"/>
      <c r="E371" s="1274"/>
      <c r="F371" s="1253"/>
      <c r="G371" s="1253"/>
      <c r="H371" s="1253" t="s">
        <v>2981</v>
      </c>
      <c r="I371" s="1181">
        <f>CEILING(I370,0.1)</f>
        <v>43.2</v>
      </c>
      <c r="J371" s="1179" t="s">
        <v>724</v>
      </c>
    </row>
    <row r="372" spans="1:10" s="1209" customFormat="1">
      <c r="A372" s="1182"/>
      <c r="B372" s="1187" t="s">
        <v>3461</v>
      </c>
      <c r="C372" s="1186"/>
      <c r="D372" s="1186"/>
      <c r="E372" s="1186"/>
      <c r="F372" s="1177"/>
      <c r="G372" s="1177"/>
      <c r="H372" s="1177"/>
      <c r="I372" s="1178"/>
      <c r="J372" s="1184"/>
    </row>
    <row r="373" spans="1:10" s="1209" customFormat="1">
      <c r="A373" s="1176"/>
      <c r="B373" s="1199" t="s">
        <v>6594</v>
      </c>
      <c r="C373" s="1251">
        <v>1</v>
      </c>
      <c r="D373" s="1251" t="s">
        <v>3364</v>
      </c>
      <c r="E373" s="1251">
        <v>4</v>
      </c>
      <c r="F373" s="1177">
        <v>1.2</v>
      </c>
      <c r="G373" s="1177">
        <v>0.6</v>
      </c>
      <c r="H373" s="1177"/>
      <c r="I373" s="1178">
        <f>PRODUCT(C373:H373)</f>
        <v>2.88</v>
      </c>
      <c r="J373" s="1179"/>
    </row>
    <row r="374" spans="1:10" s="1209" customFormat="1">
      <c r="A374" s="1176"/>
      <c r="B374" s="1199" t="s">
        <v>6590</v>
      </c>
      <c r="C374" s="1251">
        <v>8</v>
      </c>
      <c r="D374" s="1251" t="s">
        <v>3364</v>
      </c>
      <c r="E374" s="1251">
        <v>4</v>
      </c>
      <c r="F374" s="1177">
        <v>1.2</v>
      </c>
      <c r="G374" s="1177">
        <v>0.6</v>
      </c>
      <c r="H374" s="1177"/>
      <c r="I374" s="1178">
        <f>PRODUCT(C374:H374)</f>
        <v>23.04</v>
      </c>
      <c r="J374" s="1179"/>
    </row>
    <row r="375" spans="1:10" s="1209" customFormat="1">
      <c r="A375" s="1176"/>
      <c r="B375" s="1199" t="s">
        <v>6598</v>
      </c>
      <c r="C375" s="1251">
        <v>3</v>
      </c>
      <c r="D375" s="1251" t="s">
        <v>3364</v>
      </c>
      <c r="E375" s="1251">
        <v>4</v>
      </c>
      <c r="F375" s="1177">
        <v>1.2</v>
      </c>
      <c r="G375" s="1177">
        <v>0.6</v>
      </c>
      <c r="H375" s="1177"/>
      <c r="I375" s="1178">
        <f>PRODUCT(C375:H375)</f>
        <v>8.64</v>
      </c>
      <c r="J375" s="1179"/>
    </row>
    <row r="376" spans="1:10" s="1209" customFormat="1">
      <c r="A376" s="1176"/>
      <c r="B376" s="1199" t="s">
        <v>6579</v>
      </c>
      <c r="C376" s="1251">
        <v>1</v>
      </c>
      <c r="D376" s="1251" t="s">
        <v>3364</v>
      </c>
      <c r="E376" s="1251">
        <v>4</v>
      </c>
      <c r="F376" s="1177">
        <v>1.2</v>
      </c>
      <c r="G376" s="1177">
        <v>0.6</v>
      </c>
      <c r="H376" s="1177"/>
      <c r="I376" s="1178">
        <f>PRODUCT(C376:H376)</f>
        <v>2.88</v>
      </c>
      <c r="J376" s="1179"/>
    </row>
    <row r="377" spans="1:10" s="1209" customFormat="1" ht="15.75" customHeight="1">
      <c r="A377" s="1176"/>
      <c r="B377" s="1199"/>
      <c r="C377" s="1251"/>
      <c r="D377" s="1251"/>
      <c r="E377" s="1251"/>
      <c r="F377" s="1177"/>
      <c r="G377" s="1177"/>
      <c r="H377" s="1177"/>
      <c r="I377" s="1178">
        <f>SUM(I373:I376)</f>
        <v>37.44</v>
      </c>
      <c r="J377" s="1179"/>
    </row>
    <row r="378" spans="1:10" s="1212" customFormat="1" ht="15.75" customHeight="1">
      <c r="A378" s="1273"/>
      <c r="B378" s="1202"/>
      <c r="C378" s="1274"/>
      <c r="D378" s="1274"/>
      <c r="E378" s="1274"/>
      <c r="F378" s="1253"/>
      <c r="G378" s="1253"/>
      <c r="H378" s="1253" t="s">
        <v>2981</v>
      </c>
      <c r="I378" s="1181">
        <f>CEILING(I377,0.1)</f>
        <v>37.5</v>
      </c>
      <c r="J378" s="1179" t="s">
        <v>724</v>
      </c>
    </row>
    <row r="379" spans="1:10" s="1209" customFormat="1">
      <c r="A379" s="1182"/>
      <c r="B379" s="1187" t="s">
        <v>3448</v>
      </c>
      <c r="C379" s="1186"/>
      <c r="D379" s="1186"/>
      <c r="E379" s="1186"/>
      <c r="F379" s="1177"/>
      <c r="G379" s="1177"/>
      <c r="H379" s="1177"/>
      <c r="I379" s="1178"/>
      <c r="J379" s="1184"/>
    </row>
    <row r="380" spans="1:10" s="1209" customFormat="1">
      <c r="A380" s="1176"/>
      <c r="B380" s="1199" t="s">
        <v>6599</v>
      </c>
      <c r="C380" s="1251">
        <v>1</v>
      </c>
      <c r="D380" s="1251" t="s">
        <v>3364</v>
      </c>
      <c r="E380" s="1251">
        <v>4</v>
      </c>
      <c r="F380" s="1177">
        <v>1.2</v>
      </c>
      <c r="G380" s="1177">
        <v>0.6</v>
      </c>
      <c r="H380" s="1177"/>
      <c r="I380" s="1178">
        <f t="shared" ref="I380:I387" si="33">PRODUCT(C380:H380)</f>
        <v>2.88</v>
      </c>
      <c r="J380" s="1179"/>
    </row>
    <row r="381" spans="1:10" s="1209" customFormat="1">
      <c r="A381" s="1176"/>
      <c r="B381" s="1199" t="s">
        <v>6600</v>
      </c>
      <c r="C381" s="1251">
        <v>8</v>
      </c>
      <c r="D381" s="1251" t="s">
        <v>3364</v>
      </c>
      <c r="E381" s="1251">
        <v>4</v>
      </c>
      <c r="F381" s="1177">
        <v>1.2</v>
      </c>
      <c r="G381" s="1177">
        <v>0.6</v>
      </c>
      <c r="H381" s="1177"/>
      <c r="I381" s="1178">
        <f t="shared" si="33"/>
        <v>23.04</v>
      </c>
      <c r="J381" s="1179"/>
    </row>
    <row r="382" spans="1:10" s="1209" customFormat="1">
      <c r="A382" s="1176"/>
      <c r="B382" s="1199" t="s">
        <v>6601</v>
      </c>
      <c r="C382" s="1251">
        <v>3</v>
      </c>
      <c r="D382" s="1251" t="s">
        <v>3364</v>
      </c>
      <c r="E382" s="1251">
        <v>4</v>
      </c>
      <c r="F382" s="1177">
        <v>1.2</v>
      </c>
      <c r="G382" s="1177">
        <v>0.6</v>
      </c>
      <c r="H382" s="1177"/>
      <c r="I382" s="1178">
        <f t="shared" si="33"/>
        <v>8.64</v>
      </c>
      <c r="J382" s="1179"/>
    </row>
    <row r="383" spans="1:10" s="1209" customFormat="1">
      <c r="A383" s="1176"/>
      <c r="B383" s="1199" t="s">
        <v>6602</v>
      </c>
      <c r="C383" s="1251">
        <v>3</v>
      </c>
      <c r="D383" s="1251" t="s">
        <v>3364</v>
      </c>
      <c r="E383" s="1251">
        <v>4</v>
      </c>
      <c r="F383" s="1177">
        <v>1.2</v>
      </c>
      <c r="G383" s="1177">
        <v>0.6</v>
      </c>
      <c r="H383" s="1177"/>
      <c r="I383" s="1178">
        <f t="shared" si="33"/>
        <v>8.64</v>
      </c>
      <c r="J383" s="1179"/>
    </row>
    <row r="384" spans="1:10" s="1209" customFormat="1">
      <c r="A384" s="1176"/>
      <c r="B384" s="1199" t="s">
        <v>6603</v>
      </c>
      <c r="C384" s="1251">
        <v>2</v>
      </c>
      <c r="D384" s="1251" t="s">
        <v>3364</v>
      </c>
      <c r="E384" s="1251">
        <v>4</v>
      </c>
      <c r="F384" s="1177">
        <v>1.2</v>
      </c>
      <c r="G384" s="1177">
        <v>0.6</v>
      </c>
      <c r="H384" s="1177"/>
      <c r="I384" s="1178">
        <f t="shared" si="33"/>
        <v>5.76</v>
      </c>
      <c r="J384" s="1179"/>
    </row>
    <row r="385" spans="1:10" s="1209" customFormat="1">
      <c r="A385" s="1176"/>
      <c r="B385" s="1199" t="s">
        <v>6604</v>
      </c>
      <c r="C385" s="1251">
        <v>2</v>
      </c>
      <c r="D385" s="1251" t="s">
        <v>3364</v>
      </c>
      <c r="E385" s="1251">
        <v>4</v>
      </c>
      <c r="F385" s="1177">
        <v>1.2</v>
      </c>
      <c r="G385" s="1177">
        <v>0.6</v>
      </c>
      <c r="H385" s="1177"/>
      <c r="I385" s="1178">
        <f t="shared" si="33"/>
        <v>5.76</v>
      </c>
      <c r="J385" s="1179"/>
    </row>
    <row r="386" spans="1:10" s="1209" customFormat="1">
      <c r="A386" s="1176"/>
      <c r="B386" s="1199" t="s">
        <v>6605</v>
      </c>
      <c r="C386" s="1251">
        <v>2</v>
      </c>
      <c r="D386" s="1251" t="s">
        <v>3364</v>
      </c>
      <c r="E386" s="1251">
        <v>4</v>
      </c>
      <c r="F386" s="1177">
        <v>1.2</v>
      </c>
      <c r="G386" s="1177">
        <v>0.6</v>
      </c>
      <c r="H386" s="1177"/>
      <c r="I386" s="1178">
        <f t="shared" si="33"/>
        <v>5.76</v>
      </c>
      <c r="J386" s="1179"/>
    </row>
    <row r="387" spans="1:10" s="1209" customFormat="1">
      <c r="A387" s="1176"/>
      <c r="B387" s="1199" t="s">
        <v>6606</v>
      </c>
      <c r="C387" s="1251">
        <v>3</v>
      </c>
      <c r="D387" s="1251" t="s">
        <v>3364</v>
      </c>
      <c r="E387" s="1251">
        <v>4</v>
      </c>
      <c r="F387" s="1177">
        <v>1.2</v>
      </c>
      <c r="G387" s="1177">
        <v>0.6</v>
      </c>
      <c r="H387" s="1177"/>
      <c r="I387" s="1178">
        <f t="shared" si="33"/>
        <v>8.64</v>
      </c>
      <c r="J387" s="1179"/>
    </row>
    <row r="388" spans="1:10" s="1209" customFormat="1" ht="15.75" customHeight="1">
      <c r="A388" s="1176"/>
      <c r="B388" s="1199"/>
      <c r="C388" s="1251"/>
      <c r="D388" s="1251"/>
      <c r="E388" s="1251"/>
      <c r="F388" s="1177"/>
      <c r="G388" s="1177"/>
      <c r="H388" s="1177"/>
      <c r="I388" s="1178">
        <f>SUM(I380:I387)</f>
        <v>69.12</v>
      </c>
      <c r="J388" s="1179"/>
    </row>
    <row r="389" spans="1:10" s="1212" customFormat="1" ht="15.75" customHeight="1">
      <c r="A389" s="1273"/>
      <c r="B389" s="1202"/>
      <c r="C389" s="1274"/>
      <c r="D389" s="1274"/>
      <c r="E389" s="1274"/>
      <c r="F389" s="1253"/>
      <c r="G389" s="1253"/>
      <c r="H389" s="1253" t="s">
        <v>2981</v>
      </c>
      <c r="I389" s="1181">
        <f>CEILING(I388,0.1)</f>
        <v>69.2</v>
      </c>
      <c r="J389" s="1179" t="s">
        <v>724</v>
      </c>
    </row>
    <row r="390" spans="1:10" s="1209" customFormat="1">
      <c r="A390" s="1182" t="s">
        <v>3465</v>
      </c>
      <c r="B390" s="1203" t="s">
        <v>6625</v>
      </c>
      <c r="C390" s="1186"/>
      <c r="D390" s="1186"/>
      <c r="E390" s="1186"/>
      <c r="F390" s="1177"/>
      <c r="G390" s="1177"/>
      <c r="H390" s="1177"/>
      <c r="I390" s="1178"/>
      <c r="J390" s="1184"/>
    </row>
    <row r="391" spans="1:10" s="1209" customFormat="1">
      <c r="A391" s="1182"/>
      <c r="B391" s="1187" t="s">
        <v>3456</v>
      </c>
      <c r="C391" s="1186"/>
      <c r="D391" s="1186"/>
      <c r="E391" s="1186"/>
      <c r="F391" s="1177"/>
      <c r="G391" s="1177"/>
      <c r="H391" s="1177"/>
      <c r="I391" s="1178"/>
      <c r="J391" s="1184"/>
    </row>
    <row r="392" spans="1:10" s="1209" customFormat="1">
      <c r="A392" s="1176"/>
      <c r="B392" s="1199" t="s">
        <v>3372</v>
      </c>
      <c r="C392" s="1251">
        <v>2</v>
      </c>
      <c r="D392" s="1251" t="s">
        <v>3364</v>
      </c>
      <c r="E392" s="1251">
        <v>1</v>
      </c>
      <c r="F392" s="1177">
        <v>1.2</v>
      </c>
      <c r="G392" s="1177">
        <v>0.6</v>
      </c>
      <c r="H392" s="1177"/>
      <c r="I392" s="1178">
        <f t="shared" ref="I392:I397" si="34">PRODUCT(C392:H392)</f>
        <v>1.44</v>
      </c>
      <c r="J392" s="1179"/>
    </row>
    <row r="393" spans="1:10" s="1209" customFormat="1">
      <c r="A393" s="1176"/>
      <c r="B393" s="1199" t="s">
        <v>6588</v>
      </c>
      <c r="C393" s="1251">
        <v>2</v>
      </c>
      <c r="D393" s="1251" t="s">
        <v>3364</v>
      </c>
      <c r="E393" s="1251">
        <v>1</v>
      </c>
      <c r="F393" s="1177">
        <v>1.2</v>
      </c>
      <c r="G393" s="1177">
        <v>0.6</v>
      </c>
      <c r="H393" s="1177"/>
      <c r="I393" s="1178">
        <f t="shared" si="34"/>
        <v>1.44</v>
      </c>
      <c r="J393" s="1179"/>
    </row>
    <row r="394" spans="1:10" s="1209" customFormat="1">
      <c r="A394" s="1176"/>
      <c r="B394" s="1199" t="s">
        <v>6589</v>
      </c>
      <c r="C394" s="1251">
        <v>1</v>
      </c>
      <c r="D394" s="1251" t="s">
        <v>3364</v>
      </c>
      <c r="E394" s="1251">
        <v>1</v>
      </c>
      <c r="F394" s="1177">
        <v>1.2</v>
      </c>
      <c r="G394" s="1177">
        <v>0.6</v>
      </c>
      <c r="H394" s="1177"/>
      <c r="I394" s="1178">
        <f t="shared" si="34"/>
        <v>0.72</v>
      </c>
      <c r="J394" s="1179"/>
    </row>
    <row r="395" spans="1:10" s="1209" customFormat="1">
      <c r="A395" s="1176"/>
      <c r="B395" s="1199" t="s">
        <v>6590</v>
      </c>
      <c r="C395" s="1251">
        <v>8</v>
      </c>
      <c r="D395" s="1251" t="s">
        <v>3364</v>
      </c>
      <c r="E395" s="1251">
        <v>1</v>
      </c>
      <c r="F395" s="1177">
        <v>1.2</v>
      </c>
      <c r="G395" s="1177">
        <v>0.6</v>
      </c>
      <c r="H395" s="1177"/>
      <c r="I395" s="1178">
        <f t="shared" si="34"/>
        <v>5.76</v>
      </c>
      <c r="J395" s="1179"/>
    </row>
    <row r="396" spans="1:10" s="1209" customFormat="1">
      <c r="A396" s="1176"/>
      <c r="B396" s="1199" t="s">
        <v>6591</v>
      </c>
      <c r="C396" s="1251">
        <v>15</v>
      </c>
      <c r="D396" s="1251" t="s">
        <v>3364</v>
      </c>
      <c r="E396" s="1251">
        <v>1</v>
      </c>
      <c r="F396" s="1177">
        <v>1.2</v>
      </c>
      <c r="G396" s="1177">
        <v>0.6</v>
      </c>
      <c r="H396" s="1177"/>
      <c r="I396" s="1178">
        <f t="shared" si="34"/>
        <v>10.8</v>
      </c>
      <c r="J396" s="1179"/>
    </row>
    <row r="397" spans="1:10" s="1209" customFormat="1">
      <c r="A397" s="1176"/>
      <c r="B397" s="1199" t="s">
        <v>6592</v>
      </c>
      <c r="C397" s="1251">
        <v>4</v>
      </c>
      <c r="D397" s="1251" t="s">
        <v>3364</v>
      </c>
      <c r="E397" s="1251">
        <v>1</v>
      </c>
      <c r="F397" s="1177">
        <v>1.2</v>
      </c>
      <c r="G397" s="1177">
        <v>0.6</v>
      </c>
      <c r="H397" s="1177"/>
      <c r="I397" s="1178">
        <f t="shared" si="34"/>
        <v>2.88</v>
      </c>
      <c r="J397" s="1179"/>
    </row>
    <row r="398" spans="1:10" s="1209" customFormat="1" ht="15.75" customHeight="1">
      <c r="A398" s="1176"/>
      <c r="B398" s="1199"/>
      <c r="C398" s="1251"/>
      <c r="D398" s="1251"/>
      <c r="E398" s="1251"/>
      <c r="F398" s="1177"/>
      <c r="G398" s="1177"/>
      <c r="H398" s="1177"/>
      <c r="I398" s="1178">
        <f>SUM(I392:I397)</f>
        <v>23.04</v>
      </c>
      <c r="J398" s="1179"/>
    </row>
    <row r="399" spans="1:10" s="1212" customFormat="1" ht="15.75" customHeight="1">
      <c r="A399" s="1273"/>
      <c r="B399" s="1202"/>
      <c r="C399" s="1274"/>
      <c r="D399" s="1274"/>
      <c r="E399" s="1274"/>
      <c r="F399" s="1253"/>
      <c r="G399" s="1253"/>
      <c r="H399" s="1253" t="s">
        <v>2981</v>
      </c>
      <c r="I399" s="1181">
        <f>CEILING(I398,0.1)</f>
        <v>23.1</v>
      </c>
      <c r="J399" s="1179" t="s">
        <v>724</v>
      </c>
    </row>
    <row r="400" spans="1:10" s="1209" customFormat="1">
      <c r="A400" s="1182"/>
      <c r="B400" s="1187" t="s">
        <v>6989</v>
      </c>
      <c r="C400" s="1186"/>
      <c r="D400" s="1186"/>
      <c r="E400" s="1186"/>
      <c r="F400" s="1177"/>
      <c r="G400" s="1177"/>
      <c r="H400" s="1177"/>
      <c r="I400" s="1178"/>
      <c r="J400" s="1184"/>
    </row>
    <row r="401" spans="1:10" s="1209" customFormat="1">
      <c r="A401" s="1176"/>
      <c r="B401" s="1199" t="s">
        <v>6594</v>
      </c>
      <c r="C401" s="1251">
        <v>1</v>
      </c>
      <c r="D401" s="1251" t="s">
        <v>3364</v>
      </c>
      <c r="E401" s="1251">
        <v>1</v>
      </c>
      <c r="F401" s="1177">
        <v>1.2</v>
      </c>
      <c r="G401" s="1177">
        <v>0.6</v>
      </c>
      <c r="H401" s="1177"/>
      <c r="I401" s="1178">
        <f>PRODUCT(C401:H401)</f>
        <v>0.72</v>
      </c>
      <c r="J401" s="1179"/>
    </row>
    <row r="402" spans="1:10" s="1209" customFormat="1">
      <c r="A402" s="1176"/>
      <c r="B402" s="1199" t="s">
        <v>6595</v>
      </c>
      <c r="C402" s="1251">
        <v>2</v>
      </c>
      <c r="D402" s="1251" t="s">
        <v>3364</v>
      </c>
      <c r="E402" s="1251">
        <v>1</v>
      </c>
      <c r="F402" s="1177">
        <v>1.2</v>
      </c>
      <c r="G402" s="1177">
        <v>0.6</v>
      </c>
      <c r="H402" s="1177"/>
      <c r="I402" s="1178">
        <f>PRODUCT(C402:H402)</f>
        <v>1.44</v>
      </c>
      <c r="J402" s="1179"/>
    </row>
    <row r="403" spans="1:10" s="1209" customFormat="1">
      <c r="A403" s="1176"/>
      <c r="B403" s="1199" t="s">
        <v>6596</v>
      </c>
      <c r="C403" s="1251">
        <v>6</v>
      </c>
      <c r="D403" s="1251" t="s">
        <v>3364</v>
      </c>
      <c r="E403" s="1251">
        <v>1</v>
      </c>
      <c r="F403" s="1177">
        <v>1.2</v>
      </c>
      <c r="G403" s="1177">
        <v>0.6</v>
      </c>
      <c r="H403" s="1177"/>
      <c r="I403" s="1178">
        <f>PRODUCT(C403:H403)</f>
        <v>4.32</v>
      </c>
      <c r="J403" s="1179"/>
    </row>
    <row r="404" spans="1:10" s="1209" customFormat="1">
      <c r="A404" s="1176"/>
      <c r="B404" s="1199" t="s">
        <v>6597</v>
      </c>
      <c r="C404" s="1251">
        <v>6</v>
      </c>
      <c r="D404" s="1251" t="s">
        <v>3364</v>
      </c>
      <c r="E404" s="1251">
        <v>1</v>
      </c>
      <c r="F404" s="1177">
        <v>1.2</v>
      </c>
      <c r="G404" s="1177">
        <v>0.6</v>
      </c>
      <c r="H404" s="1177"/>
      <c r="I404" s="1178">
        <f>PRODUCT(C404:H404)</f>
        <v>4.32</v>
      </c>
      <c r="J404" s="1179"/>
    </row>
    <row r="405" spans="1:10" s="1209" customFormat="1" ht="15.75" customHeight="1">
      <c r="A405" s="1176"/>
      <c r="B405" s="1199"/>
      <c r="C405" s="1251"/>
      <c r="D405" s="1251"/>
      <c r="E405" s="1251"/>
      <c r="F405" s="1177"/>
      <c r="G405" s="1177"/>
      <c r="H405" s="1177"/>
      <c r="I405" s="1178">
        <f>SUM(I401:I404)</f>
        <v>10.8</v>
      </c>
      <c r="J405" s="1179"/>
    </row>
    <row r="406" spans="1:10" s="1212" customFormat="1" ht="15.75" customHeight="1">
      <c r="A406" s="1273"/>
      <c r="B406" s="1202"/>
      <c r="C406" s="1274"/>
      <c r="D406" s="1274"/>
      <c r="E406" s="1274"/>
      <c r="F406" s="1253"/>
      <c r="G406" s="1253"/>
      <c r="H406" s="1253" t="s">
        <v>2981</v>
      </c>
      <c r="I406" s="1181">
        <f>CEILING(I405,0.1)</f>
        <v>10.8</v>
      </c>
      <c r="J406" s="1179" t="s">
        <v>724</v>
      </c>
    </row>
    <row r="407" spans="1:10" s="1209" customFormat="1">
      <c r="A407" s="1182"/>
      <c r="B407" s="1187" t="s">
        <v>3461</v>
      </c>
      <c r="C407" s="1186"/>
      <c r="D407" s="1186"/>
      <c r="E407" s="1186"/>
      <c r="F407" s="1177"/>
      <c r="G407" s="1177"/>
      <c r="H407" s="1177"/>
      <c r="I407" s="1178"/>
      <c r="J407" s="1184"/>
    </row>
    <row r="408" spans="1:10" s="1209" customFormat="1">
      <c r="A408" s="1176"/>
      <c r="B408" s="1199" t="s">
        <v>6594</v>
      </c>
      <c r="C408" s="1251">
        <v>1</v>
      </c>
      <c r="D408" s="1251" t="s">
        <v>3364</v>
      </c>
      <c r="E408" s="1251">
        <v>1</v>
      </c>
      <c r="F408" s="1177">
        <v>1.2</v>
      </c>
      <c r="G408" s="1177">
        <v>0.6</v>
      </c>
      <c r="H408" s="1177"/>
      <c r="I408" s="1178">
        <f>PRODUCT(C408:H408)</f>
        <v>0.72</v>
      </c>
      <c r="J408" s="1179"/>
    </row>
    <row r="409" spans="1:10" s="1209" customFormat="1">
      <c r="A409" s="1176"/>
      <c r="B409" s="1199" t="s">
        <v>6590</v>
      </c>
      <c r="C409" s="1251">
        <v>8</v>
      </c>
      <c r="D409" s="1251" t="s">
        <v>3364</v>
      </c>
      <c r="E409" s="1251">
        <v>1</v>
      </c>
      <c r="F409" s="1177">
        <v>1.2</v>
      </c>
      <c r="G409" s="1177">
        <v>0.6</v>
      </c>
      <c r="H409" s="1177"/>
      <c r="I409" s="1178">
        <f>PRODUCT(C409:H409)</f>
        <v>5.76</v>
      </c>
      <c r="J409" s="1179"/>
    </row>
    <row r="410" spans="1:10" s="1209" customFormat="1">
      <c r="A410" s="1176"/>
      <c r="B410" s="1199" t="s">
        <v>6598</v>
      </c>
      <c r="C410" s="1251">
        <v>3</v>
      </c>
      <c r="D410" s="1251" t="s">
        <v>3364</v>
      </c>
      <c r="E410" s="1251">
        <v>1</v>
      </c>
      <c r="F410" s="1177">
        <v>1.2</v>
      </c>
      <c r="G410" s="1177">
        <v>0.6</v>
      </c>
      <c r="H410" s="1177"/>
      <c r="I410" s="1178">
        <f>PRODUCT(C410:H410)</f>
        <v>2.16</v>
      </c>
      <c r="J410" s="1179"/>
    </row>
    <row r="411" spans="1:10" s="1209" customFormat="1">
      <c r="A411" s="1176"/>
      <c r="B411" s="1199" t="s">
        <v>6579</v>
      </c>
      <c r="C411" s="1251">
        <v>1</v>
      </c>
      <c r="D411" s="1251" t="s">
        <v>3364</v>
      </c>
      <c r="E411" s="1251">
        <v>1</v>
      </c>
      <c r="F411" s="1177">
        <v>1.2</v>
      </c>
      <c r="G411" s="1177">
        <v>0.6</v>
      </c>
      <c r="H411" s="1177"/>
      <c r="I411" s="1178">
        <f>PRODUCT(C411:H411)</f>
        <v>0.72</v>
      </c>
      <c r="J411" s="1179"/>
    </row>
    <row r="412" spans="1:10" s="1209" customFormat="1" ht="15.75" customHeight="1">
      <c r="A412" s="1176"/>
      <c r="B412" s="1199"/>
      <c r="C412" s="1251"/>
      <c r="D412" s="1251"/>
      <c r="E412" s="1251"/>
      <c r="F412" s="1177"/>
      <c r="G412" s="1177"/>
      <c r="H412" s="1177"/>
      <c r="I412" s="1178">
        <f>SUM(I408:I411)</f>
        <v>9.36</v>
      </c>
      <c r="J412" s="1179"/>
    </row>
    <row r="413" spans="1:10" s="1212" customFormat="1" ht="15.75" customHeight="1">
      <c r="A413" s="1273"/>
      <c r="B413" s="1202"/>
      <c r="C413" s="1274"/>
      <c r="D413" s="1274"/>
      <c r="E413" s="1274"/>
      <c r="F413" s="1253"/>
      <c r="G413" s="1253"/>
      <c r="H413" s="1253" t="s">
        <v>2981</v>
      </c>
      <c r="I413" s="1181">
        <f>CEILING(I412,0.1)</f>
        <v>9.4</v>
      </c>
      <c r="J413" s="1179" t="s">
        <v>724</v>
      </c>
    </row>
    <row r="414" spans="1:10" s="1209" customFormat="1">
      <c r="A414" s="1182"/>
      <c r="B414" s="1187" t="s">
        <v>3448</v>
      </c>
      <c r="C414" s="1186"/>
      <c r="D414" s="1186"/>
      <c r="E414" s="1186"/>
      <c r="F414" s="1177"/>
      <c r="G414" s="1177"/>
      <c r="H414" s="1177"/>
      <c r="I414" s="1178"/>
      <c r="J414" s="1184"/>
    </row>
    <row r="415" spans="1:10" s="1209" customFormat="1">
      <c r="A415" s="1176"/>
      <c r="B415" s="1199" t="s">
        <v>6599</v>
      </c>
      <c r="C415" s="1251">
        <v>1</v>
      </c>
      <c r="D415" s="1251" t="s">
        <v>3364</v>
      </c>
      <c r="E415" s="1251">
        <v>1</v>
      </c>
      <c r="F415" s="1177">
        <v>1.2</v>
      </c>
      <c r="G415" s="1177">
        <v>0.6</v>
      </c>
      <c r="H415" s="1177"/>
      <c r="I415" s="1178">
        <f t="shared" ref="I415:I422" si="35">PRODUCT(C415:H415)</f>
        <v>0.72</v>
      </c>
      <c r="J415" s="1179"/>
    </row>
    <row r="416" spans="1:10" s="1209" customFormat="1">
      <c r="A416" s="1176"/>
      <c r="B416" s="1199" t="s">
        <v>6600</v>
      </c>
      <c r="C416" s="1251">
        <v>8</v>
      </c>
      <c r="D416" s="1251" t="s">
        <v>3364</v>
      </c>
      <c r="E416" s="1251">
        <v>1</v>
      </c>
      <c r="F416" s="1177">
        <v>1.2</v>
      </c>
      <c r="G416" s="1177">
        <v>0.6</v>
      </c>
      <c r="H416" s="1177"/>
      <c r="I416" s="1178">
        <f t="shared" si="35"/>
        <v>5.76</v>
      </c>
      <c r="J416" s="1179"/>
    </row>
    <row r="417" spans="1:10" s="1209" customFormat="1">
      <c r="A417" s="1176"/>
      <c r="B417" s="1199" t="s">
        <v>6601</v>
      </c>
      <c r="C417" s="1251">
        <v>3</v>
      </c>
      <c r="D417" s="1251" t="s">
        <v>3364</v>
      </c>
      <c r="E417" s="1251">
        <v>1</v>
      </c>
      <c r="F417" s="1177">
        <v>1.2</v>
      </c>
      <c r="G417" s="1177">
        <v>0.6</v>
      </c>
      <c r="H417" s="1177"/>
      <c r="I417" s="1178">
        <f t="shared" si="35"/>
        <v>2.16</v>
      </c>
      <c r="J417" s="1179"/>
    </row>
    <row r="418" spans="1:10" s="1209" customFormat="1">
      <c r="A418" s="1176"/>
      <c r="B418" s="1199" t="s">
        <v>6602</v>
      </c>
      <c r="C418" s="1251">
        <v>3</v>
      </c>
      <c r="D418" s="1251" t="s">
        <v>3364</v>
      </c>
      <c r="E418" s="1251">
        <v>1</v>
      </c>
      <c r="F418" s="1177">
        <v>1.2</v>
      </c>
      <c r="G418" s="1177">
        <v>0.6</v>
      </c>
      <c r="H418" s="1177"/>
      <c r="I418" s="1178">
        <f t="shared" si="35"/>
        <v>2.16</v>
      </c>
      <c r="J418" s="1179"/>
    </row>
    <row r="419" spans="1:10" s="1209" customFormat="1">
      <c r="A419" s="1176"/>
      <c r="B419" s="1199" t="s">
        <v>6603</v>
      </c>
      <c r="C419" s="1251">
        <v>2</v>
      </c>
      <c r="D419" s="1251" t="s">
        <v>3364</v>
      </c>
      <c r="E419" s="1251">
        <v>1</v>
      </c>
      <c r="F419" s="1177">
        <v>1.2</v>
      </c>
      <c r="G419" s="1177">
        <v>0.6</v>
      </c>
      <c r="H419" s="1177"/>
      <c r="I419" s="1178">
        <f t="shared" si="35"/>
        <v>1.44</v>
      </c>
      <c r="J419" s="1179"/>
    </row>
    <row r="420" spans="1:10" s="1209" customFormat="1">
      <c r="A420" s="1176"/>
      <c r="B420" s="1199" t="s">
        <v>6604</v>
      </c>
      <c r="C420" s="1251">
        <v>2</v>
      </c>
      <c r="D420" s="1251" t="s">
        <v>3364</v>
      </c>
      <c r="E420" s="1251">
        <v>1</v>
      </c>
      <c r="F420" s="1177">
        <v>1.2</v>
      </c>
      <c r="G420" s="1177">
        <v>0.6</v>
      </c>
      <c r="H420" s="1177"/>
      <c r="I420" s="1178">
        <f t="shared" si="35"/>
        <v>1.44</v>
      </c>
      <c r="J420" s="1179"/>
    </row>
    <row r="421" spans="1:10" s="1209" customFormat="1">
      <c r="A421" s="1176"/>
      <c r="B421" s="1199" t="s">
        <v>6605</v>
      </c>
      <c r="C421" s="1251">
        <v>2</v>
      </c>
      <c r="D421" s="1251" t="s">
        <v>3364</v>
      </c>
      <c r="E421" s="1251">
        <v>1</v>
      </c>
      <c r="F421" s="1177">
        <v>1.2</v>
      </c>
      <c r="G421" s="1177">
        <v>0.6</v>
      </c>
      <c r="H421" s="1177"/>
      <c r="I421" s="1178">
        <f t="shared" si="35"/>
        <v>1.44</v>
      </c>
      <c r="J421" s="1179"/>
    </row>
    <row r="422" spans="1:10" s="1209" customFormat="1">
      <c r="A422" s="1176"/>
      <c r="B422" s="1199" t="s">
        <v>6606</v>
      </c>
      <c r="C422" s="1251">
        <v>3</v>
      </c>
      <c r="D422" s="1251" t="s">
        <v>3364</v>
      </c>
      <c r="E422" s="1251">
        <v>1</v>
      </c>
      <c r="F422" s="1177">
        <v>1.2</v>
      </c>
      <c r="G422" s="1177">
        <v>0.6</v>
      </c>
      <c r="H422" s="1177"/>
      <c r="I422" s="1178">
        <f t="shared" si="35"/>
        <v>2.16</v>
      </c>
      <c r="J422" s="1179"/>
    </row>
    <row r="423" spans="1:10" s="1209" customFormat="1" ht="15.75" customHeight="1">
      <c r="A423" s="1176"/>
      <c r="B423" s="1199"/>
      <c r="C423" s="1251"/>
      <c r="D423" s="1251"/>
      <c r="E423" s="1251"/>
      <c r="F423" s="1177"/>
      <c r="G423" s="1177"/>
      <c r="H423" s="1177"/>
      <c r="I423" s="1178">
        <f>SUM(I415:I422)</f>
        <v>17.28</v>
      </c>
      <c r="J423" s="1179"/>
    </row>
    <row r="424" spans="1:10" s="1212" customFormat="1" ht="15.75" customHeight="1">
      <c r="A424" s="1273"/>
      <c r="B424" s="1202"/>
      <c r="C424" s="1274"/>
      <c r="D424" s="1274"/>
      <c r="E424" s="1274"/>
      <c r="F424" s="1253"/>
      <c r="G424" s="1253"/>
      <c r="H424" s="1253" t="s">
        <v>2981</v>
      </c>
      <c r="I424" s="1181">
        <f>CEILING(I423,0.1)</f>
        <v>17.3</v>
      </c>
      <c r="J424" s="1179" t="s">
        <v>724</v>
      </c>
    </row>
    <row r="425" spans="1:10" s="1209" customFormat="1">
      <c r="A425" s="1185">
        <v>21.2</v>
      </c>
      <c r="B425" s="1277" t="s">
        <v>3467</v>
      </c>
      <c r="C425" s="1186"/>
      <c r="D425" s="1186"/>
      <c r="E425" s="1186"/>
      <c r="F425" s="1177"/>
      <c r="G425" s="1253"/>
      <c r="H425" s="1177"/>
      <c r="I425" s="1278"/>
      <c r="J425" s="1184"/>
    </row>
    <row r="426" spans="1:10" s="1209" customFormat="1">
      <c r="A426" s="1185"/>
      <c r="B426" s="1277" t="s">
        <v>3468</v>
      </c>
      <c r="C426" s="1186"/>
      <c r="D426" s="1186"/>
      <c r="E426" s="1186"/>
      <c r="F426" s="1177"/>
      <c r="G426" s="1253"/>
      <c r="H426" s="1177"/>
      <c r="I426" s="1278"/>
      <c r="J426" s="1184"/>
    </row>
    <row r="427" spans="1:10" s="1209" customFormat="1">
      <c r="A427" s="1185"/>
      <c r="B427" s="1277" t="s">
        <v>6629</v>
      </c>
      <c r="C427" s="1186">
        <v>9</v>
      </c>
      <c r="D427" s="1186" t="s">
        <v>3364</v>
      </c>
      <c r="E427" s="1186">
        <v>2</v>
      </c>
      <c r="F427" s="1177">
        <v>0.1</v>
      </c>
      <c r="G427" s="1253">
        <v>7.4999999999999997E-2</v>
      </c>
      <c r="H427" s="1177">
        <v>2.4</v>
      </c>
      <c r="I427" s="1279">
        <f>PRODUCT(C427:H427)</f>
        <v>0.32400000000000001</v>
      </c>
      <c r="J427" s="1184"/>
    </row>
    <row r="428" spans="1:10" s="1209" customFormat="1">
      <c r="A428" s="1185"/>
      <c r="B428" s="1277"/>
      <c r="C428" s="1186"/>
      <c r="D428" s="1186"/>
      <c r="E428" s="1186"/>
      <c r="F428" s="1177"/>
      <c r="G428" s="1253"/>
      <c r="H428" s="1177"/>
      <c r="I428" s="1279">
        <f>SUM(I427:I427)</f>
        <v>0.32400000000000001</v>
      </c>
      <c r="J428" s="1184"/>
    </row>
    <row r="429" spans="1:10" s="1209" customFormat="1">
      <c r="A429" s="1185"/>
      <c r="B429" s="1277"/>
      <c r="C429" s="1186"/>
      <c r="D429" s="1186"/>
      <c r="E429" s="1186"/>
      <c r="F429" s="1177"/>
      <c r="G429" s="1253"/>
      <c r="H429" s="1177" t="s">
        <v>2981</v>
      </c>
      <c r="I429" s="1280">
        <f>I428</f>
        <v>0.32400000000000001</v>
      </c>
      <c r="J429" s="1184" t="s">
        <v>5</v>
      </c>
    </row>
    <row r="430" spans="1:10" s="1209" customFormat="1">
      <c r="A430" s="1185"/>
      <c r="B430" s="1277" t="s">
        <v>3469</v>
      </c>
      <c r="C430" s="1186"/>
      <c r="D430" s="1186"/>
      <c r="E430" s="1186"/>
      <c r="F430" s="1177"/>
      <c r="G430" s="1253"/>
      <c r="H430" s="1177"/>
      <c r="I430" s="1278"/>
      <c r="J430" s="1184"/>
    </row>
    <row r="431" spans="1:10" s="1209" customFormat="1">
      <c r="A431" s="1185"/>
      <c r="B431" s="1277" t="s">
        <v>6629</v>
      </c>
      <c r="C431" s="1186">
        <v>9</v>
      </c>
      <c r="D431" s="1186" t="s">
        <v>3364</v>
      </c>
      <c r="E431" s="1186">
        <v>2</v>
      </c>
      <c r="F431" s="1177">
        <v>0.1</v>
      </c>
      <c r="G431" s="1253">
        <v>7.4999999999999997E-2</v>
      </c>
      <c r="H431" s="1177">
        <v>1.05</v>
      </c>
      <c r="I431" s="1279">
        <f>PRODUCT(C431:H431)</f>
        <v>0.14199999999999999</v>
      </c>
      <c r="J431" s="1184"/>
    </row>
    <row r="432" spans="1:10" s="1209" customFormat="1">
      <c r="A432" s="1185"/>
      <c r="B432" s="1277"/>
      <c r="C432" s="1186"/>
      <c r="D432" s="1186"/>
      <c r="E432" s="1186"/>
      <c r="F432" s="1177"/>
      <c r="G432" s="1253"/>
      <c r="H432" s="1177"/>
      <c r="I432" s="1280">
        <f>SUM(I431:I431)</f>
        <v>0.14199999999999999</v>
      </c>
      <c r="J432" s="1184"/>
    </row>
    <row r="433" spans="1:10" s="1209" customFormat="1">
      <c r="A433" s="1185"/>
      <c r="B433" s="1277"/>
      <c r="C433" s="1186"/>
      <c r="D433" s="1186"/>
      <c r="E433" s="1186"/>
      <c r="F433" s="1177"/>
      <c r="G433" s="1253"/>
      <c r="H433" s="1177" t="s">
        <v>2981</v>
      </c>
      <c r="I433" s="1280">
        <f>I432</f>
        <v>0.14199999999999999</v>
      </c>
      <c r="J433" s="1184" t="s">
        <v>5</v>
      </c>
    </row>
    <row r="434" spans="1:10" s="1209" customFormat="1" ht="31.5">
      <c r="A434" s="1185">
        <v>22.1</v>
      </c>
      <c r="B434" s="1255" t="s">
        <v>3631</v>
      </c>
      <c r="C434" s="1186"/>
      <c r="D434" s="1186"/>
      <c r="E434" s="1186"/>
      <c r="F434" s="1177"/>
      <c r="G434" s="1269"/>
      <c r="H434" s="1188"/>
      <c r="I434" s="1181"/>
      <c r="J434" s="1184"/>
    </row>
    <row r="435" spans="1:10" s="1209" customFormat="1">
      <c r="A435" s="1185"/>
      <c r="B435" s="1255" t="s">
        <v>3632</v>
      </c>
      <c r="C435" s="1186">
        <v>9</v>
      </c>
      <c r="D435" s="1186" t="s">
        <v>3364</v>
      </c>
      <c r="E435" s="1186">
        <v>1</v>
      </c>
      <c r="F435" s="1177">
        <v>1.2</v>
      </c>
      <c r="G435" s="1269"/>
      <c r="H435" s="1188">
        <v>2.4</v>
      </c>
      <c r="I435" s="1178">
        <f>PRODUCT(C435:H435)</f>
        <v>25.92</v>
      </c>
      <c r="J435" s="1184"/>
    </row>
    <row r="436" spans="1:10" s="1209" customFormat="1">
      <c r="A436" s="1185"/>
      <c r="B436" s="1199"/>
      <c r="C436" s="1186"/>
      <c r="D436" s="1186"/>
      <c r="E436" s="1186"/>
      <c r="F436" s="1177"/>
      <c r="G436" s="1269"/>
      <c r="H436" s="1188" t="s">
        <v>2981</v>
      </c>
      <c r="I436" s="1181">
        <f>CEILING(I435,0.1)</f>
        <v>26</v>
      </c>
      <c r="J436" s="1184" t="s">
        <v>724</v>
      </c>
    </row>
    <row r="437" spans="1:10" s="1209" customFormat="1" ht="31.5">
      <c r="A437" s="1182" t="s">
        <v>3633</v>
      </c>
      <c r="B437" s="1203" t="s">
        <v>6626</v>
      </c>
      <c r="C437" s="1268"/>
      <c r="D437" s="1268"/>
      <c r="E437" s="1268"/>
      <c r="F437" s="1269"/>
      <c r="G437" s="1269"/>
      <c r="H437" s="1269"/>
      <c r="I437" s="1278"/>
      <c r="J437" s="1189"/>
    </row>
    <row r="438" spans="1:10" s="1209" customFormat="1">
      <c r="A438" s="1182"/>
      <c r="B438" s="1203" t="s">
        <v>6627</v>
      </c>
      <c r="C438" s="1268"/>
      <c r="D438" s="1268"/>
      <c r="E438" s="1268"/>
      <c r="F438" s="1269"/>
      <c r="G438" s="1269"/>
      <c r="H438" s="1269"/>
      <c r="I438" s="1278"/>
      <c r="J438" s="1189"/>
    </row>
    <row r="439" spans="1:10" s="1209" customFormat="1">
      <c r="A439" s="1185"/>
      <c r="B439" s="1201" t="s">
        <v>6628</v>
      </c>
      <c r="C439" s="1186">
        <v>20</v>
      </c>
      <c r="D439" s="1268" t="s">
        <v>3364</v>
      </c>
      <c r="E439" s="1186">
        <v>1</v>
      </c>
      <c r="F439" s="1177">
        <v>1</v>
      </c>
      <c r="G439" s="1177"/>
      <c r="H439" s="1177">
        <v>2.4</v>
      </c>
      <c r="I439" s="1278">
        <f>PRODUCT(C439:H439)</f>
        <v>48</v>
      </c>
      <c r="J439" s="1184"/>
    </row>
    <row r="440" spans="1:10" s="1209" customFormat="1">
      <c r="A440" s="1185"/>
      <c r="B440" s="1201"/>
      <c r="C440" s="1186"/>
      <c r="D440" s="1268"/>
      <c r="E440" s="1186"/>
      <c r="F440" s="1177"/>
      <c r="G440" s="1177" t="s">
        <v>2981</v>
      </c>
      <c r="H440" s="1177"/>
      <c r="I440" s="1181">
        <f>CEILING(I439,0.1)</f>
        <v>48</v>
      </c>
      <c r="J440" s="1184" t="s">
        <v>724</v>
      </c>
    </row>
    <row r="441" spans="1:10" s="1209" customFormat="1" ht="141.75">
      <c r="A441" s="1182">
        <v>23.3</v>
      </c>
      <c r="B441" s="1200" t="s">
        <v>3470</v>
      </c>
      <c r="C441" s="1268"/>
      <c r="D441" s="1268"/>
      <c r="E441" s="1268"/>
      <c r="F441" s="1269"/>
      <c r="G441" s="1269"/>
      <c r="H441" s="1269"/>
      <c r="I441" s="1278"/>
      <c r="J441" s="1184"/>
    </row>
    <row r="442" spans="1:10" s="1209" customFormat="1">
      <c r="A442" s="1182"/>
      <c r="B442" s="1201" t="s">
        <v>3363</v>
      </c>
      <c r="C442" s="1268">
        <v>20</v>
      </c>
      <c r="D442" s="1268" t="s">
        <v>3364</v>
      </c>
      <c r="E442" s="1268">
        <v>1</v>
      </c>
      <c r="F442" s="1269"/>
      <c r="G442" s="1269"/>
      <c r="H442" s="1269"/>
      <c r="I442" s="1278">
        <f>PRODUCT(C442:H442)</f>
        <v>20</v>
      </c>
      <c r="J442" s="1184"/>
    </row>
    <row r="443" spans="1:10" s="1209" customFormat="1">
      <c r="A443" s="1182"/>
      <c r="B443" s="1201" t="s">
        <v>6629</v>
      </c>
      <c r="C443" s="1268">
        <v>9</v>
      </c>
      <c r="D443" s="1268" t="s">
        <v>3364</v>
      </c>
      <c r="E443" s="1268">
        <v>1</v>
      </c>
      <c r="F443" s="1269"/>
      <c r="G443" s="1269"/>
      <c r="H443" s="1269"/>
      <c r="I443" s="1278">
        <f>PRODUCT(C443:H443)</f>
        <v>9</v>
      </c>
      <c r="J443" s="1184"/>
    </row>
    <row r="444" spans="1:10" s="1209" customFormat="1">
      <c r="A444" s="1185"/>
      <c r="B444" s="1199"/>
      <c r="C444" s="1186"/>
      <c r="D444" s="1186"/>
      <c r="E444" s="1186"/>
      <c r="F444" s="1177"/>
      <c r="G444" s="1177"/>
      <c r="H444" s="1177"/>
      <c r="I444" s="1181">
        <f>SUM(I442:I443)</f>
        <v>29</v>
      </c>
      <c r="J444" s="1184" t="s">
        <v>3471</v>
      </c>
    </row>
    <row r="445" spans="1:10" s="1209" customFormat="1" ht="47.25">
      <c r="A445" s="1182">
        <v>25</v>
      </c>
      <c r="B445" s="1200" t="s">
        <v>3472</v>
      </c>
      <c r="C445" s="1268"/>
      <c r="D445" s="1268"/>
      <c r="E445" s="1268"/>
      <c r="F445" s="1269"/>
      <c r="G445" s="1269"/>
      <c r="H445" s="1269"/>
      <c r="I445" s="1278"/>
      <c r="J445" s="1184"/>
    </row>
    <row r="446" spans="1:10" s="1209" customFormat="1">
      <c r="A446" s="1182"/>
      <c r="B446" s="1201" t="s">
        <v>3363</v>
      </c>
      <c r="C446" s="1268">
        <v>25</v>
      </c>
      <c r="D446" s="1268" t="s">
        <v>3364</v>
      </c>
      <c r="E446" s="1268">
        <v>6</v>
      </c>
      <c r="F446" s="1269"/>
      <c r="G446" s="1269"/>
      <c r="H446" s="1269"/>
      <c r="I446" s="1278">
        <f>PRODUCT(C446:H446)</f>
        <v>150</v>
      </c>
      <c r="J446" s="1184"/>
    </row>
    <row r="447" spans="1:10" s="1209" customFormat="1">
      <c r="A447" s="1182"/>
      <c r="B447" s="1201" t="s">
        <v>6629</v>
      </c>
      <c r="C447" s="1268">
        <v>8</v>
      </c>
      <c r="D447" s="1268" t="s">
        <v>3364</v>
      </c>
      <c r="E447" s="1268">
        <v>6</v>
      </c>
      <c r="F447" s="1269"/>
      <c r="G447" s="1269"/>
      <c r="H447" s="1269"/>
      <c r="I447" s="1278">
        <f>PRODUCT(C447:H447)</f>
        <v>48</v>
      </c>
      <c r="J447" s="1184"/>
    </row>
    <row r="448" spans="1:10" s="1209" customFormat="1">
      <c r="A448" s="1185"/>
      <c r="B448" s="1199"/>
      <c r="C448" s="1186"/>
      <c r="D448" s="1186"/>
      <c r="E448" s="1186"/>
      <c r="F448" s="1177"/>
      <c r="G448" s="1177"/>
      <c r="H448" s="1188" t="s">
        <v>3473</v>
      </c>
      <c r="I448" s="1181">
        <f>SUM(I446:I447)</f>
        <v>198</v>
      </c>
      <c r="J448" s="1184" t="s">
        <v>3471</v>
      </c>
    </row>
    <row r="449" spans="1:10" s="1209" customFormat="1" ht="126">
      <c r="A449" s="1182">
        <v>26</v>
      </c>
      <c r="B449" s="1187" t="s">
        <v>3474</v>
      </c>
      <c r="C449" s="1186"/>
      <c r="D449" s="1186"/>
      <c r="E449" s="1186"/>
      <c r="F449" s="1177"/>
      <c r="G449" s="1177"/>
      <c r="H449" s="1177"/>
      <c r="I449" s="1178"/>
      <c r="J449" s="1184"/>
    </row>
    <row r="450" spans="1:10" s="1209" customFormat="1">
      <c r="A450" s="1176"/>
      <c r="B450" s="1199" t="s">
        <v>3626</v>
      </c>
      <c r="C450" s="1251">
        <v>6</v>
      </c>
      <c r="D450" s="1251" t="s">
        <v>3364</v>
      </c>
      <c r="E450" s="1251">
        <v>1</v>
      </c>
      <c r="F450" s="1177">
        <v>13.202</v>
      </c>
      <c r="G450" s="1177">
        <v>4.9000000000000004</v>
      </c>
      <c r="H450" s="1177">
        <v>0.15</v>
      </c>
      <c r="I450" s="1178">
        <f t="shared" ref="I450:I458" si="36">PRODUCT(C450:H450)</f>
        <v>58.22</v>
      </c>
      <c r="J450" s="1179"/>
    </row>
    <row r="451" spans="1:10" s="1209" customFormat="1">
      <c r="A451" s="1176"/>
      <c r="B451" s="1199" t="s">
        <v>6618</v>
      </c>
      <c r="C451" s="1251">
        <v>1</v>
      </c>
      <c r="D451" s="1251" t="s">
        <v>3364</v>
      </c>
      <c r="E451" s="1251">
        <v>1</v>
      </c>
      <c r="F451" s="1177">
        <v>4.67</v>
      </c>
      <c r="G451" s="1177">
        <v>2.6970000000000001</v>
      </c>
      <c r="H451" s="1177">
        <v>0.15</v>
      </c>
      <c r="I451" s="1178">
        <f t="shared" si="36"/>
        <v>1.89</v>
      </c>
      <c r="J451" s="1179"/>
    </row>
    <row r="452" spans="1:10" s="1209" customFormat="1">
      <c r="A452" s="1176"/>
      <c r="B452" s="1199" t="s">
        <v>6591</v>
      </c>
      <c r="C452" s="1251">
        <v>1</v>
      </c>
      <c r="D452" s="1251" t="s">
        <v>3364</v>
      </c>
      <c r="E452" s="1251">
        <v>1</v>
      </c>
      <c r="F452" s="1177">
        <v>4.681</v>
      </c>
      <c r="G452" s="1177">
        <v>2.6970000000000001</v>
      </c>
      <c r="H452" s="1177">
        <v>0.15</v>
      </c>
      <c r="I452" s="1178">
        <f t="shared" si="36"/>
        <v>1.89</v>
      </c>
      <c r="J452" s="1179"/>
    </row>
    <row r="453" spans="1:10" s="1209" customFormat="1">
      <c r="A453" s="1176"/>
      <c r="B453" s="1199" t="s">
        <v>6590</v>
      </c>
      <c r="C453" s="1251">
        <v>1</v>
      </c>
      <c r="D453" s="1251" t="s">
        <v>3364</v>
      </c>
      <c r="E453" s="1251">
        <v>1</v>
      </c>
      <c r="F453" s="1177">
        <v>5.24</v>
      </c>
      <c r="G453" s="1177">
        <v>2.6970000000000001</v>
      </c>
      <c r="H453" s="1177">
        <v>0.15</v>
      </c>
      <c r="I453" s="1178">
        <f t="shared" si="36"/>
        <v>2.12</v>
      </c>
      <c r="J453" s="1179"/>
    </row>
    <row r="454" spans="1:10" s="1209" customFormat="1">
      <c r="A454" s="1176"/>
      <c r="B454" s="1199" t="s">
        <v>6619</v>
      </c>
      <c r="C454" s="1251">
        <v>1</v>
      </c>
      <c r="D454" s="1251" t="s">
        <v>3364</v>
      </c>
      <c r="E454" s="1251">
        <v>1</v>
      </c>
      <c r="F454" s="1177">
        <v>7.8</v>
      </c>
      <c r="G454" s="1177">
        <v>2.9249999999999998</v>
      </c>
      <c r="H454" s="1177">
        <v>0.15</v>
      </c>
      <c r="I454" s="1178">
        <f t="shared" si="36"/>
        <v>3.42</v>
      </c>
      <c r="J454" s="1179"/>
    </row>
    <row r="455" spans="1:10" s="1209" customFormat="1">
      <c r="A455" s="1176"/>
      <c r="B455" s="1199" t="s">
        <v>6620</v>
      </c>
      <c r="C455" s="1251">
        <v>1</v>
      </c>
      <c r="D455" s="1251" t="s">
        <v>3364</v>
      </c>
      <c r="E455" s="1251">
        <v>1</v>
      </c>
      <c r="F455" s="1177">
        <v>6.3390000000000004</v>
      </c>
      <c r="G455" s="1177">
        <v>5.39</v>
      </c>
      <c r="H455" s="1177">
        <v>0.15</v>
      </c>
      <c r="I455" s="1178">
        <f t="shared" si="36"/>
        <v>5.13</v>
      </c>
      <c r="J455" s="1179"/>
    </row>
    <row r="456" spans="1:10" s="1209" customFormat="1">
      <c r="A456" s="1176"/>
      <c r="B456" s="1199" t="s">
        <v>6621</v>
      </c>
      <c r="C456" s="1251">
        <v>1</v>
      </c>
      <c r="D456" s="1251" t="s">
        <v>3364</v>
      </c>
      <c r="E456" s="1251">
        <v>1</v>
      </c>
      <c r="F456" s="1177">
        <v>6.1120000000000001</v>
      </c>
      <c r="G456" s="1177">
        <v>5.39</v>
      </c>
      <c r="H456" s="1177">
        <v>0.15</v>
      </c>
      <c r="I456" s="1178">
        <f t="shared" si="36"/>
        <v>4.9400000000000004</v>
      </c>
      <c r="J456" s="1179"/>
    </row>
    <row r="457" spans="1:10" s="1209" customFormat="1">
      <c r="A457" s="1176"/>
      <c r="B457" s="1199" t="s">
        <v>6622</v>
      </c>
      <c r="C457" s="1276">
        <v>0.5</v>
      </c>
      <c r="D457" s="1251" t="s">
        <v>3364</v>
      </c>
      <c r="E457" s="1251">
        <v>1</v>
      </c>
      <c r="F457" s="1177">
        <v>35.271999999999998</v>
      </c>
      <c r="G457" s="1177">
        <v>1.5</v>
      </c>
      <c r="H457" s="1177">
        <v>0.15</v>
      </c>
      <c r="I457" s="1178">
        <f t="shared" si="36"/>
        <v>3.97</v>
      </c>
      <c r="J457" s="1179"/>
    </row>
    <row r="458" spans="1:10" s="1209" customFormat="1">
      <c r="A458" s="1176"/>
      <c r="B458" s="1199" t="s">
        <v>6623</v>
      </c>
      <c r="C458" s="1276">
        <v>1.5</v>
      </c>
      <c r="D458" s="1251" t="s">
        <v>3364</v>
      </c>
      <c r="E458" s="1251">
        <v>1</v>
      </c>
      <c r="F458" s="1177">
        <v>9.7140000000000004</v>
      </c>
      <c r="G458" s="1177">
        <v>1.5</v>
      </c>
      <c r="H458" s="1177">
        <v>0.15</v>
      </c>
      <c r="I458" s="1178">
        <f t="shared" si="36"/>
        <v>3.28</v>
      </c>
      <c r="J458" s="1179"/>
    </row>
    <row r="459" spans="1:10" s="1209" customFormat="1">
      <c r="A459" s="1185"/>
      <c r="B459" s="1199"/>
      <c r="C459" s="1186"/>
      <c r="D459" s="1186"/>
      <c r="E459" s="1186"/>
      <c r="F459" s="1177"/>
      <c r="G459" s="1253" t="s">
        <v>104</v>
      </c>
      <c r="H459" s="1253"/>
      <c r="I459" s="1181">
        <f>SUM(I450:I458)</f>
        <v>84.86</v>
      </c>
      <c r="J459" s="1184"/>
    </row>
    <row r="460" spans="1:10" s="1209" customFormat="1">
      <c r="A460" s="1185"/>
      <c r="B460" s="1199"/>
      <c r="C460" s="1186"/>
      <c r="D460" s="1186"/>
      <c r="E460" s="1186"/>
      <c r="F460" s="1177"/>
      <c r="G460" s="1253"/>
      <c r="H460" s="1253" t="s">
        <v>2981</v>
      </c>
      <c r="I460" s="1181">
        <f>CEILING(I459,0.1)</f>
        <v>84.9</v>
      </c>
      <c r="J460" s="1184" t="s">
        <v>724</v>
      </c>
    </row>
    <row r="461" spans="1:10" s="1209" customFormat="1" ht="110.25">
      <c r="A461" s="1182">
        <v>28</v>
      </c>
      <c r="B461" s="1187" t="s">
        <v>3475</v>
      </c>
      <c r="C461" s="1268"/>
      <c r="D461" s="1268"/>
      <c r="E461" s="1268"/>
      <c r="F461" s="1269"/>
      <c r="G461" s="1269"/>
      <c r="H461" s="1269"/>
      <c r="I461" s="1278"/>
      <c r="J461" s="1184"/>
    </row>
    <row r="462" spans="1:10" s="1209" customFormat="1">
      <c r="A462" s="1182"/>
      <c r="B462" s="1201" t="s">
        <v>3476</v>
      </c>
      <c r="C462" s="1268">
        <v>2</v>
      </c>
      <c r="D462" s="1268" t="s">
        <v>3364</v>
      </c>
      <c r="E462" s="1268">
        <v>5</v>
      </c>
      <c r="F462" s="1269">
        <v>0.6</v>
      </c>
      <c r="G462" s="1269">
        <v>0.6</v>
      </c>
      <c r="H462" s="1269"/>
      <c r="I462" s="1278">
        <f>PRODUCT(C462:H462)</f>
        <v>3.6</v>
      </c>
      <c r="J462" s="1184"/>
    </row>
    <row r="463" spans="1:10" s="1209" customFormat="1">
      <c r="A463" s="1182"/>
      <c r="B463" s="1201" t="s">
        <v>6630</v>
      </c>
      <c r="C463" s="1268">
        <v>1</v>
      </c>
      <c r="D463" s="1268" t="s">
        <v>3364</v>
      </c>
      <c r="E463" s="1268">
        <v>1</v>
      </c>
      <c r="F463" s="1269">
        <v>3.5</v>
      </c>
      <c r="G463" s="1269"/>
      <c r="H463" s="1269">
        <v>0.45</v>
      </c>
      <c r="I463" s="1278">
        <f t="shared" ref="I463:I469" si="37">PRODUCT(C463:H463)</f>
        <v>1.58</v>
      </c>
      <c r="J463" s="1184"/>
    </row>
    <row r="464" spans="1:10" s="1209" customFormat="1">
      <c r="A464" s="1182"/>
      <c r="B464" s="1201" t="s">
        <v>6630</v>
      </c>
      <c r="C464" s="1268">
        <v>1</v>
      </c>
      <c r="D464" s="1268" t="s">
        <v>3364</v>
      </c>
      <c r="E464" s="1268">
        <v>2</v>
      </c>
      <c r="F464" s="1269">
        <v>3.5</v>
      </c>
      <c r="G464" s="1269"/>
      <c r="H464" s="1269">
        <v>0.15</v>
      </c>
      <c r="I464" s="1278">
        <f t="shared" si="37"/>
        <v>1.05</v>
      </c>
      <c r="J464" s="1184"/>
    </row>
    <row r="465" spans="1:53" s="1209" customFormat="1">
      <c r="A465" s="1182"/>
      <c r="B465" s="1201" t="s">
        <v>6631</v>
      </c>
      <c r="C465" s="1268">
        <v>1</v>
      </c>
      <c r="D465" s="1268" t="s">
        <v>3364</v>
      </c>
      <c r="E465" s="1268">
        <v>2</v>
      </c>
      <c r="F465" s="1269">
        <v>3.5</v>
      </c>
      <c r="G465" s="1269">
        <v>0.3</v>
      </c>
      <c r="H465" s="1269"/>
      <c r="I465" s="1278">
        <f t="shared" si="37"/>
        <v>2.1</v>
      </c>
      <c r="J465" s="1184"/>
    </row>
    <row r="466" spans="1:53" s="1209" customFormat="1">
      <c r="A466" s="1182"/>
      <c r="B466" s="1201" t="s">
        <v>6631</v>
      </c>
      <c r="C466" s="1268">
        <v>1</v>
      </c>
      <c r="D466" s="1268" t="s">
        <v>3364</v>
      </c>
      <c r="E466" s="1268">
        <v>1</v>
      </c>
      <c r="F466" s="1269">
        <v>3.5</v>
      </c>
      <c r="G466" s="1269">
        <v>0.9</v>
      </c>
      <c r="H466" s="1269"/>
      <c r="I466" s="1278">
        <f t="shared" si="37"/>
        <v>3.15</v>
      </c>
      <c r="J466" s="1184"/>
    </row>
    <row r="467" spans="1:53" s="1209" customFormat="1">
      <c r="A467" s="1182"/>
      <c r="B467" s="1201" t="s">
        <v>6632</v>
      </c>
      <c r="C467" s="1268">
        <v>1</v>
      </c>
      <c r="D467" s="1268" t="s">
        <v>3364</v>
      </c>
      <c r="E467" s="1268">
        <v>1</v>
      </c>
      <c r="F467" s="1269">
        <v>1.5</v>
      </c>
      <c r="G467" s="1269"/>
      <c r="H467" s="1269">
        <v>0.45</v>
      </c>
      <c r="I467" s="1278">
        <f t="shared" si="37"/>
        <v>0.68</v>
      </c>
      <c r="J467" s="1184"/>
    </row>
    <row r="468" spans="1:53" s="1209" customFormat="1">
      <c r="A468" s="1182"/>
      <c r="B468" s="1201" t="s">
        <v>6632</v>
      </c>
      <c r="C468" s="1268">
        <v>1</v>
      </c>
      <c r="D468" s="1268" t="s">
        <v>3364</v>
      </c>
      <c r="E468" s="1268">
        <v>1</v>
      </c>
      <c r="F468" s="1269">
        <v>1.2</v>
      </c>
      <c r="G468" s="1269"/>
      <c r="H468" s="1269">
        <v>0.15</v>
      </c>
      <c r="I468" s="1278">
        <f t="shared" si="37"/>
        <v>0.18</v>
      </c>
      <c r="J468" s="1184"/>
    </row>
    <row r="469" spans="1:53" s="1209" customFormat="1">
      <c r="A469" s="1182"/>
      <c r="B469" s="1201" t="s">
        <v>6632</v>
      </c>
      <c r="C469" s="1268">
        <v>1</v>
      </c>
      <c r="D469" s="1268" t="s">
        <v>3364</v>
      </c>
      <c r="E469" s="1268">
        <v>1</v>
      </c>
      <c r="F469" s="1269">
        <v>0.9</v>
      </c>
      <c r="G469" s="1269"/>
      <c r="H469" s="1269">
        <v>0.15</v>
      </c>
      <c r="I469" s="1278">
        <f t="shared" si="37"/>
        <v>0.14000000000000001</v>
      </c>
      <c r="J469" s="1184"/>
    </row>
    <row r="470" spans="1:53" s="1209" customFormat="1">
      <c r="A470" s="1182"/>
      <c r="B470" s="1200"/>
      <c r="C470" s="1268"/>
      <c r="D470" s="1268"/>
      <c r="E470" s="1268"/>
      <c r="F470" s="1269"/>
      <c r="G470" s="1269"/>
      <c r="H470" s="1269"/>
      <c r="I470" s="1178">
        <f>SUM(I462:I469)</f>
        <v>12.48</v>
      </c>
      <c r="J470" s="1184"/>
      <c r="L470" s="1213"/>
      <c r="M470" s="1213"/>
      <c r="N470" s="1213"/>
    </row>
    <row r="471" spans="1:53" s="1209" customFormat="1">
      <c r="A471" s="1182"/>
      <c r="B471" s="1187"/>
      <c r="C471" s="1268"/>
      <c r="D471" s="1268"/>
      <c r="E471" s="1268"/>
      <c r="F471" s="1269"/>
      <c r="G471" s="1269"/>
      <c r="H471" s="1269"/>
      <c r="I471" s="1181">
        <f>CEILING(I470,0.1)</f>
        <v>12.5</v>
      </c>
      <c r="J471" s="1184" t="s">
        <v>724</v>
      </c>
      <c r="L471" s="1209">
        <f>2.04+0.46</f>
        <v>2.5</v>
      </c>
    </row>
    <row r="472" spans="1:53" s="1209" customFormat="1">
      <c r="A472" s="1182"/>
      <c r="B472" s="1187" t="s">
        <v>3697</v>
      </c>
      <c r="C472" s="1268"/>
      <c r="D472" s="1268"/>
      <c r="E472" s="1268"/>
      <c r="F472" s="1269"/>
      <c r="G472" s="1269"/>
      <c r="H472" s="1269"/>
      <c r="I472" s="1278"/>
      <c r="J472" s="1184"/>
      <c r="L472" s="1213"/>
      <c r="M472" s="1213"/>
      <c r="N472" s="1213"/>
    </row>
    <row r="473" spans="1:53" s="1209" customFormat="1">
      <c r="A473" s="1185"/>
      <c r="B473" s="1199" t="s">
        <v>3698</v>
      </c>
      <c r="C473" s="1186"/>
      <c r="D473" s="1186"/>
      <c r="E473" s="1186"/>
      <c r="F473" s="1177"/>
      <c r="G473" s="1177"/>
      <c r="H473" s="1177"/>
      <c r="I473" s="1278">
        <f t="shared" ref="I473:I489" si="38">PRODUCT(C473:H473)</f>
        <v>0</v>
      </c>
      <c r="J473" s="1184"/>
      <c r="L473" s="1213"/>
      <c r="M473" s="1213"/>
      <c r="N473" s="1213"/>
    </row>
    <row r="474" spans="1:53" s="1209" customFormat="1">
      <c r="A474" s="1182"/>
      <c r="B474" s="1200" t="s">
        <v>6633</v>
      </c>
      <c r="C474" s="1268">
        <v>2</v>
      </c>
      <c r="D474" s="1268" t="s">
        <v>3364</v>
      </c>
      <c r="E474" s="1268">
        <v>1</v>
      </c>
      <c r="F474" s="1269">
        <v>5.39</v>
      </c>
      <c r="G474" s="1269">
        <v>1.3149999999999999</v>
      </c>
      <c r="H474" s="1269"/>
      <c r="I474" s="1278">
        <f t="shared" si="38"/>
        <v>14.18</v>
      </c>
      <c r="J474" s="1275"/>
    </row>
    <row r="475" spans="1:53" s="1209" customFormat="1">
      <c r="A475" s="1182"/>
      <c r="B475" s="1200" t="s">
        <v>6633</v>
      </c>
      <c r="C475" s="1268">
        <v>2</v>
      </c>
      <c r="D475" s="1268" t="s">
        <v>3364</v>
      </c>
      <c r="E475" s="1268">
        <v>1</v>
      </c>
      <c r="F475" s="1269">
        <v>3.7749999999999999</v>
      </c>
      <c r="G475" s="1269">
        <v>1.4350000000000001</v>
      </c>
      <c r="H475" s="1269"/>
      <c r="I475" s="1278">
        <f t="shared" si="38"/>
        <v>10.83</v>
      </c>
      <c r="J475" s="1275"/>
    </row>
    <row r="476" spans="1:53" s="1209" customFormat="1">
      <c r="A476" s="1281"/>
      <c r="B476" s="1200" t="s">
        <v>6633</v>
      </c>
      <c r="C476" s="1282">
        <v>2</v>
      </c>
      <c r="D476" s="1282" t="s">
        <v>3364</v>
      </c>
      <c r="E476" s="1282">
        <v>1</v>
      </c>
      <c r="F476" s="1283">
        <v>15.167999999999999</v>
      </c>
      <c r="G476" s="1283">
        <v>2.9249999999999998</v>
      </c>
      <c r="H476" s="1283"/>
      <c r="I476" s="1278">
        <f t="shared" si="38"/>
        <v>88.73</v>
      </c>
      <c r="J476" s="1284"/>
      <c r="K476" s="1214"/>
      <c r="O476" s="1213"/>
      <c r="P476" s="1213"/>
      <c r="Q476" s="1213"/>
      <c r="R476" s="1213"/>
      <c r="S476" s="1213"/>
      <c r="T476" s="1213"/>
      <c r="U476" s="1213"/>
      <c r="V476" s="1213"/>
      <c r="W476" s="1213"/>
      <c r="X476" s="1213"/>
      <c r="Y476" s="1213"/>
      <c r="Z476" s="1213"/>
      <c r="AA476" s="1213"/>
      <c r="AB476" s="1213"/>
      <c r="AC476" s="1213"/>
      <c r="AD476" s="1213"/>
      <c r="AE476" s="1213"/>
      <c r="AF476" s="1213"/>
      <c r="AG476" s="1213"/>
      <c r="AH476" s="1213"/>
      <c r="AI476" s="1213"/>
      <c r="AJ476" s="1213"/>
      <c r="AK476" s="1213"/>
      <c r="AL476" s="1213"/>
      <c r="AM476" s="1213"/>
      <c r="AN476" s="1213"/>
      <c r="AO476" s="1213"/>
      <c r="AP476" s="1213"/>
      <c r="AQ476" s="1213"/>
      <c r="AR476" s="1213"/>
      <c r="AS476" s="1213"/>
      <c r="AT476" s="1213"/>
      <c r="AU476" s="1213"/>
      <c r="AV476" s="1213"/>
      <c r="AW476" s="1213"/>
      <c r="AX476" s="1213"/>
      <c r="AY476" s="1213"/>
      <c r="AZ476" s="1213"/>
      <c r="BA476" s="1213"/>
    </row>
    <row r="477" spans="1:53" s="1209" customFormat="1">
      <c r="A477" s="1281"/>
      <c r="B477" s="1200" t="s">
        <v>6634</v>
      </c>
      <c r="C477" s="1282">
        <v>2</v>
      </c>
      <c r="D477" s="1282" t="s">
        <v>3364</v>
      </c>
      <c r="E477" s="1282">
        <v>1</v>
      </c>
      <c r="F477" s="1283">
        <f>F474+G474</f>
        <v>6.7050000000000001</v>
      </c>
      <c r="G477" s="1283"/>
      <c r="H477" s="1283">
        <v>0.45</v>
      </c>
      <c r="I477" s="1278">
        <f t="shared" si="38"/>
        <v>6.03</v>
      </c>
      <c r="J477" s="1284"/>
      <c r="K477" s="1214"/>
      <c r="O477" s="1213"/>
      <c r="P477" s="1213"/>
      <c r="Q477" s="1213"/>
      <c r="R477" s="1213"/>
      <c r="S477" s="1213"/>
      <c r="T477" s="1213"/>
      <c r="U477" s="1213"/>
      <c r="V477" s="1213"/>
      <c r="W477" s="1213"/>
      <c r="X477" s="1213"/>
      <c r="Y477" s="1213"/>
      <c r="Z477" s="1213"/>
      <c r="AA477" s="1213"/>
      <c r="AB477" s="1213"/>
      <c r="AC477" s="1213"/>
      <c r="AD477" s="1213"/>
      <c r="AE477" s="1213"/>
      <c r="AF477" s="1213"/>
      <c r="AG477" s="1213"/>
      <c r="AH477" s="1213"/>
      <c r="AI477" s="1213"/>
      <c r="AJ477" s="1213"/>
      <c r="AK477" s="1213"/>
      <c r="AL477" s="1213"/>
      <c r="AM477" s="1213"/>
      <c r="AN477" s="1213"/>
      <c r="AO477" s="1213"/>
      <c r="AP477" s="1213"/>
      <c r="AQ477" s="1213"/>
      <c r="AR477" s="1213"/>
      <c r="AS477" s="1213"/>
      <c r="AT477" s="1213"/>
      <c r="AU477" s="1213"/>
      <c r="AV477" s="1213"/>
      <c r="AW477" s="1213"/>
      <c r="AX477" s="1213"/>
      <c r="AY477" s="1213"/>
      <c r="AZ477" s="1213"/>
      <c r="BA477" s="1213"/>
    </row>
    <row r="478" spans="1:53" s="1209" customFormat="1">
      <c r="A478" s="1281"/>
      <c r="B478" s="1200" t="s">
        <v>6634</v>
      </c>
      <c r="C478" s="1282">
        <v>2</v>
      </c>
      <c r="D478" s="1282" t="s">
        <v>3364</v>
      </c>
      <c r="E478" s="1282">
        <v>1</v>
      </c>
      <c r="F478" s="1283">
        <f>F475+G475</f>
        <v>5.21</v>
      </c>
      <c r="G478" s="1283"/>
      <c r="H478" s="1283">
        <v>0.45</v>
      </c>
      <c r="I478" s="1278">
        <f t="shared" si="38"/>
        <v>4.6900000000000004</v>
      </c>
      <c r="J478" s="1284"/>
      <c r="K478" s="1214"/>
      <c r="O478" s="1213"/>
      <c r="P478" s="1213"/>
      <c r="Q478" s="1213"/>
      <c r="R478" s="1213"/>
      <c r="S478" s="1213"/>
      <c r="T478" s="1213"/>
      <c r="U478" s="1213"/>
      <c r="V478" s="1213"/>
      <c r="W478" s="1213"/>
      <c r="X478" s="1213"/>
      <c r="Y478" s="1213"/>
      <c r="Z478" s="1213"/>
      <c r="AA478" s="1213"/>
      <c r="AB478" s="1213"/>
      <c r="AC478" s="1213"/>
      <c r="AD478" s="1213"/>
      <c r="AE478" s="1213"/>
      <c r="AF478" s="1213"/>
      <c r="AG478" s="1213"/>
      <c r="AH478" s="1213"/>
      <c r="AI478" s="1213"/>
      <c r="AJ478" s="1213"/>
      <c r="AK478" s="1213"/>
      <c r="AL478" s="1213"/>
      <c r="AM478" s="1213"/>
      <c r="AN478" s="1213"/>
      <c r="AO478" s="1213"/>
      <c r="AP478" s="1213"/>
      <c r="AQ478" s="1213"/>
      <c r="AR478" s="1213"/>
      <c r="AS478" s="1213"/>
      <c r="AT478" s="1213"/>
      <c r="AU478" s="1213"/>
      <c r="AV478" s="1213"/>
      <c r="AW478" s="1213"/>
      <c r="AX478" s="1213"/>
      <c r="AY478" s="1213"/>
      <c r="AZ478" s="1213"/>
      <c r="BA478" s="1213"/>
    </row>
    <row r="479" spans="1:53" s="1209" customFormat="1">
      <c r="A479" s="1281"/>
      <c r="B479" s="1200" t="s">
        <v>6634</v>
      </c>
      <c r="C479" s="1282">
        <v>2</v>
      </c>
      <c r="D479" s="1282" t="s">
        <v>3364</v>
      </c>
      <c r="E479" s="1282">
        <v>1</v>
      </c>
      <c r="F479" s="1283">
        <f>F476+G476</f>
        <v>18.093</v>
      </c>
      <c r="G479" s="1283"/>
      <c r="H479" s="1283">
        <v>0.45</v>
      </c>
      <c r="I479" s="1278">
        <f t="shared" si="38"/>
        <v>16.28</v>
      </c>
      <c r="J479" s="1284"/>
      <c r="K479" s="1214"/>
      <c r="O479" s="1213"/>
      <c r="P479" s="1213"/>
      <c r="Q479" s="1213"/>
      <c r="R479" s="1213"/>
      <c r="S479" s="1213"/>
      <c r="T479" s="1213"/>
      <c r="U479" s="1213"/>
      <c r="V479" s="1213"/>
      <c r="W479" s="1213"/>
      <c r="X479" s="1213"/>
      <c r="Y479" s="1213"/>
      <c r="Z479" s="1213"/>
      <c r="AA479" s="1213"/>
      <c r="AB479" s="1213"/>
      <c r="AC479" s="1213"/>
      <c r="AD479" s="1213"/>
      <c r="AE479" s="1213"/>
      <c r="AF479" s="1213"/>
      <c r="AG479" s="1213"/>
      <c r="AH479" s="1213"/>
      <c r="AI479" s="1213"/>
      <c r="AJ479" s="1213"/>
      <c r="AK479" s="1213"/>
      <c r="AL479" s="1213"/>
      <c r="AM479" s="1213"/>
      <c r="AN479" s="1213"/>
      <c r="AO479" s="1213"/>
      <c r="AP479" s="1213"/>
      <c r="AQ479" s="1213"/>
      <c r="AR479" s="1213"/>
      <c r="AS479" s="1213"/>
      <c r="AT479" s="1213"/>
      <c r="AU479" s="1213"/>
      <c r="AV479" s="1213"/>
      <c r="AW479" s="1213"/>
      <c r="AX479" s="1213"/>
      <c r="AY479" s="1213"/>
      <c r="AZ479" s="1213"/>
      <c r="BA479" s="1213"/>
    </row>
    <row r="480" spans="1:53" s="1209" customFormat="1">
      <c r="A480" s="1182"/>
      <c r="B480" s="1200" t="s">
        <v>6635</v>
      </c>
      <c r="C480" s="1268">
        <v>1</v>
      </c>
      <c r="D480" s="1268" t="s">
        <v>3364</v>
      </c>
      <c r="E480" s="1268">
        <v>1</v>
      </c>
      <c r="F480" s="1269">
        <v>4.7050000000000001</v>
      </c>
      <c r="G480" s="1269">
        <v>0.66</v>
      </c>
      <c r="H480" s="1269"/>
      <c r="I480" s="1278">
        <f t="shared" si="38"/>
        <v>3.11</v>
      </c>
      <c r="J480" s="1275"/>
      <c r="K480" s="1209">
        <f>3.04+0.46</f>
        <v>3.5</v>
      </c>
      <c r="L480" s="1213"/>
      <c r="M480" s="1213"/>
      <c r="N480" s="1213"/>
    </row>
    <row r="481" spans="1:53" s="1209" customFormat="1">
      <c r="A481" s="1182"/>
      <c r="B481" s="1200" t="s">
        <v>6636</v>
      </c>
      <c r="C481" s="1268">
        <v>3</v>
      </c>
      <c r="D481" s="1268" t="s">
        <v>3364</v>
      </c>
      <c r="E481" s="1268">
        <v>1</v>
      </c>
      <c r="F481" s="1269">
        <v>1.5</v>
      </c>
      <c r="G481" s="1269">
        <v>1.8</v>
      </c>
      <c r="H481" s="1269"/>
      <c r="I481" s="1278">
        <f t="shared" si="38"/>
        <v>8.1</v>
      </c>
      <c r="J481" s="1275"/>
      <c r="L481" s="1213"/>
      <c r="M481" s="1213"/>
      <c r="N481" s="1213"/>
    </row>
    <row r="482" spans="1:53" s="1209" customFormat="1">
      <c r="A482" s="1182"/>
      <c r="B482" s="1200" t="s">
        <v>6637</v>
      </c>
      <c r="C482" s="1268">
        <v>1</v>
      </c>
      <c r="D482" s="1268" t="s">
        <v>3364</v>
      </c>
      <c r="E482" s="1268">
        <v>1</v>
      </c>
      <c r="F482" s="1269">
        <v>2.99</v>
      </c>
      <c r="G482" s="1269">
        <v>1.5</v>
      </c>
      <c r="H482" s="1269"/>
      <c r="I482" s="1278">
        <f t="shared" si="38"/>
        <v>4.49</v>
      </c>
      <c r="J482" s="1275"/>
      <c r="L482" s="1213"/>
      <c r="M482" s="1213"/>
      <c r="N482" s="1213"/>
    </row>
    <row r="483" spans="1:53" s="1209" customFormat="1">
      <c r="A483" s="1182"/>
      <c r="B483" s="1200" t="s">
        <v>6581</v>
      </c>
      <c r="C483" s="1268">
        <v>1</v>
      </c>
      <c r="D483" s="1268" t="s">
        <v>3364</v>
      </c>
      <c r="E483" s="1268">
        <v>1</v>
      </c>
      <c r="F483" s="1269">
        <v>2</v>
      </c>
      <c r="G483" s="1269">
        <v>1.4350000000000001</v>
      </c>
      <c r="H483" s="1269"/>
      <c r="I483" s="1278">
        <f t="shared" si="38"/>
        <v>2.87</v>
      </c>
      <c r="J483" s="1275"/>
      <c r="L483" s="1213"/>
      <c r="M483" s="1213"/>
      <c r="N483" s="1213"/>
    </row>
    <row r="484" spans="1:53" s="1209" customFormat="1">
      <c r="A484" s="1182"/>
      <c r="B484" s="1200" t="s">
        <v>6636</v>
      </c>
      <c r="C484" s="1268">
        <v>1</v>
      </c>
      <c r="D484" s="1268" t="s">
        <v>3364</v>
      </c>
      <c r="E484" s="1268">
        <v>1</v>
      </c>
      <c r="F484" s="1269">
        <f>F480+G480</f>
        <v>5.3650000000000002</v>
      </c>
      <c r="G484" s="1269"/>
      <c r="H484" s="1269">
        <v>0.45</v>
      </c>
      <c r="I484" s="1278">
        <f t="shared" si="38"/>
        <v>2.41</v>
      </c>
      <c r="J484" s="1275"/>
      <c r="L484" s="1213"/>
      <c r="M484" s="1213"/>
      <c r="N484" s="1213"/>
    </row>
    <row r="485" spans="1:53" s="1209" customFormat="1">
      <c r="A485" s="1182"/>
      <c r="B485" s="1200" t="s">
        <v>6638</v>
      </c>
      <c r="C485" s="1268">
        <v>3</v>
      </c>
      <c r="D485" s="1268" t="s">
        <v>3364</v>
      </c>
      <c r="E485" s="1268">
        <v>1</v>
      </c>
      <c r="F485" s="1269">
        <f>F481+G481</f>
        <v>3.3</v>
      </c>
      <c r="G485" s="1269"/>
      <c r="H485" s="1269">
        <v>0.45</v>
      </c>
      <c r="I485" s="1278">
        <f t="shared" si="38"/>
        <v>4.46</v>
      </c>
      <c r="J485" s="1275"/>
      <c r="L485" s="1213"/>
      <c r="M485" s="1213"/>
      <c r="N485" s="1213"/>
    </row>
    <row r="486" spans="1:53" s="1209" customFormat="1">
      <c r="A486" s="1182"/>
      <c r="B486" s="1200" t="s">
        <v>6639</v>
      </c>
      <c r="C486" s="1268">
        <v>1</v>
      </c>
      <c r="D486" s="1268" t="s">
        <v>3364</v>
      </c>
      <c r="E486" s="1268">
        <v>1</v>
      </c>
      <c r="F486" s="1269">
        <f>F482+G482</f>
        <v>4.49</v>
      </c>
      <c r="G486" s="1269"/>
      <c r="H486" s="1269">
        <v>0.45</v>
      </c>
      <c r="I486" s="1278">
        <f t="shared" si="38"/>
        <v>2.02</v>
      </c>
      <c r="J486" s="1275"/>
      <c r="L486" s="1213"/>
      <c r="M486" s="1213"/>
      <c r="N486" s="1213"/>
    </row>
    <row r="487" spans="1:53" s="1209" customFormat="1">
      <c r="A487" s="1182"/>
      <c r="B487" s="1200" t="s">
        <v>6640</v>
      </c>
      <c r="C487" s="1268">
        <v>1</v>
      </c>
      <c r="D487" s="1268" t="s">
        <v>3364</v>
      </c>
      <c r="E487" s="1268">
        <v>1</v>
      </c>
      <c r="F487" s="1269">
        <f>F483+G483</f>
        <v>3.4350000000000001</v>
      </c>
      <c r="G487" s="1269"/>
      <c r="H487" s="1269">
        <v>0.45</v>
      </c>
      <c r="I487" s="1278">
        <f t="shared" si="38"/>
        <v>1.55</v>
      </c>
      <c r="J487" s="1275"/>
      <c r="L487" s="1213"/>
      <c r="M487" s="1213"/>
      <c r="N487" s="1213"/>
    </row>
    <row r="488" spans="1:53" s="1209" customFormat="1">
      <c r="A488" s="1281"/>
      <c r="B488" s="1277" t="s">
        <v>3699</v>
      </c>
      <c r="C488" s="1282">
        <v>1</v>
      </c>
      <c r="D488" s="1282" t="s">
        <v>3364</v>
      </c>
      <c r="E488" s="1282">
        <v>1</v>
      </c>
      <c r="F488" s="1283">
        <f>25</f>
        <v>25</v>
      </c>
      <c r="G488" s="1283"/>
      <c r="H488" s="1283">
        <v>1.1000000000000001</v>
      </c>
      <c r="I488" s="1278">
        <f t="shared" si="38"/>
        <v>27.5</v>
      </c>
      <c r="J488" s="1284"/>
      <c r="K488" s="1214"/>
      <c r="O488" s="1213"/>
      <c r="P488" s="1213"/>
      <c r="Q488" s="1213"/>
      <c r="R488" s="1213"/>
      <c r="S488" s="1213"/>
      <c r="T488" s="1213"/>
      <c r="U488" s="1213"/>
      <c r="V488" s="1213"/>
      <c r="W488" s="1213"/>
      <c r="X488" s="1213"/>
      <c r="Y488" s="1213"/>
      <c r="Z488" s="1213"/>
      <c r="AA488" s="1213"/>
      <c r="AB488" s="1213"/>
      <c r="AC488" s="1213"/>
      <c r="AD488" s="1213"/>
      <c r="AE488" s="1213"/>
      <c r="AF488" s="1213"/>
      <c r="AG488" s="1213"/>
      <c r="AH488" s="1213"/>
      <c r="AI488" s="1213"/>
      <c r="AJ488" s="1213"/>
      <c r="AK488" s="1213"/>
      <c r="AL488" s="1213"/>
      <c r="AM488" s="1213"/>
      <c r="AN488" s="1213"/>
      <c r="AO488" s="1213"/>
      <c r="AP488" s="1213"/>
      <c r="AQ488" s="1213"/>
      <c r="AR488" s="1213"/>
      <c r="AS488" s="1213"/>
      <c r="AT488" s="1213"/>
      <c r="AU488" s="1213"/>
      <c r="AV488" s="1213"/>
      <c r="AW488" s="1213"/>
      <c r="AX488" s="1213"/>
      <c r="AY488" s="1213"/>
      <c r="AZ488" s="1213"/>
      <c r="BA488" s="1213"/>
    </row>
    <row r="489" spans="1:53" s="1209" customFormat="1">
      <c r="A489" s="1285"/>
      <c r="B489" s="1286" t="s">
        <v>3700</v>
      </c>
      <c r="C489" s="1287">
        <v>1</v>
      </c>
      <c r="D489" s="1282" t="s">
        <v>3364</v>
      </c>
      <c r="E489" s="1287">
        <v>1</v>
      </c>
      <c r="F489" s="1288">
        <v>5</v>
      </c>
      <c r="G489" s="1288">
        <v>5</v>
      </c>
      <c r="H489" s="1288"/>
      <c r="I489" s="1278">
        <f t="shared" si="38"/>
        <v>25</v>
      </c>
      <c r="J489" s="1289"/>
      <c r="K489" s="1214"/>
      <c r="O489" s="1213"/>
      <c r="P489" s="1213"/>
      <c r="Q489" s="1213"/>
      <c r="R489" s="1213"/>
      <c r="S489" s="1213"/>
      <c r="T489" s="1213"/>
      <c r="U489" s="1213"/>
      <c r="V489" s="1213"/>
      <c r="W489" s="1213"/>
      <c r="X489" s="1213"/>
      <c r="Y489" s="1213"/>
      <c r="Z489" s="1213"/>
      <c r="AA489" s="1213"/>
      <c r="AB489" s="1213"/>
      <c r="AC489" s="1213"/>
      <c r="AD489" s="1213"/>
      <c r="AE489" s="1213"/>
      <c r="AF489" s="1213"/>
      <c r="AG489" s="1213"/>
      <c r="AH489" s="1213"/>
      <c r="AI489" s="1213"/>
      <c r="AJ489" s="1213"/>
      <c r="AK489" s="1213"/>
      <c r="AL489" s="1213"/>
      <c r="AM489" s="1213"/>
      <c r="AN489" s="1213"/>
      <c r="AO489" s="1213"/>
      <c r="AP489" s="1213"/>
      <c r="AQ489" s="1213"/>
      <c r="AR489" s="1213"/>
      <c r="AS489" s="1213"/>
      <c r="AT489" s="1213"/>
      <c r="AU489" s="1213"/>
      <c r="AV489" s="1213"/>
      <c r="AW489" s="1213"/>
      <c r="AX489" s="1213"/>
      <c r="AY489" s="1213"/>
      <c r="AZ489" s="1213"/>
      <c r="BA489" s="1213"/>
    </row>
    <row r="490" spans="1:53" s="1209" customFormat="1">
      <c r="A490" s="1185"/>
      <c r="B490" s="1199"/>
      <c r="C490" s="1186"/>
      <c r="D490" s="1186"/>
      <c r="E490" s="1186"/>
      <c r="F490" s="1177"/>
      <c r="G490" s="1188" t="s">
        <v>104</v>
      </c>
      <c r="H490" s="1269"/>
      <c r="I490" s="1181">
        <f>SUM(I474:I489)</f>
        <v>222.25</v>
      </c>
      <c r="J490" s="1184"/>
    </row>
    <row r="491" spans="1:53" s="1209" customFormat="1">
      <c r="A491" s="1185"/>
      <c r="B491" s="1199"/>
      <c r="C491" s="1186"/>
      <c r="D491" s="1186"/>
      <c r="E491" s="1186"/>
      <c r="F491" s="1177"/>
      <c r="G491" s="1269"/>
      <c r="H491" s="1188" t="s">
        <v>3473</v>
      </c>
      <c r="I491" s="1181">
        <f>CEILING(I490,0.1)</f>
        <v>222.3</v>
      </c>
      <c r="J491" s="1184" t="s">
        <v>724</v>
      </c>
    </row>
    <row r="492" spans="1:53" s="1209" customFormat="1" ht="157.5">
      <c r="A492" s="1182">
        <v>30</v>
      </c>
      <c r="B492" s="1200" t="s">
        <v>3477</v>
      </c>
      <c r="C492" s="1186"/>
      <c r="D492" s="1186"/>
      <c r="E492" s="1186"/>
      <c r="F492" s="1177"/>
      <c r="G492" s="1177"/>
      <c r="H492" s="1177"/>
      <c r="I492" s="1178"/>
      <c r="J492" s="1184"/>
    </row>
    <row r="493" spans="1:53" s="1209" customFormat="1">
      <c r="A493" s="1281"/>
      <c r="B493" s="1290" t="s">
        <v>3478</v>
      </c>
      <c r="C493" s="1282">
        <v>2</v>
      </c>
      <c r="D493" s="1282" t="s">
        <v>3364</v>
      </c>
      <c r="E493" s="1282">
        <v>1</v>
      </c>
      <c r="F493" s="1283">
        <v>5</v>
      </c>
      <c r="G493" s="1283">
        <v>5</v>
      </c>
      <c r="H493" s="1283"/>
      <c r="I493" s="1278">
        <f>PRODUCT(C493:H493)</f>
        <v>50</v>
      </c>
      <c r="J493" s="1284"/>
      <c r="K493" s="1214"/>
      <c r="O493" s="1213"/>
      <c r="P493" s="1213"/>
      <c r="Q493" s="1213"/>
      <c r="R493" s="1213"/>
      <c r="S493" s="1213"/>
      <c r="T493" s="1213"/>
      <c r="U493" s="1213"/>
      <c r="V493" s="1213"/>
      <c r="W493" s="1213"/>
      <c r="X493" s="1213"/>
      <c r="Y493" s="1213"/>
      <c r="Z493" s="1213"/>
      <c r="AA493" s="1213"/>
      <c r="AB493" s="1213"/>
      <c r="AC493" s="1213"/>
      <c r="AD493" s="1213"/>
      <c r="AE493" s="1213"/>
      <c r="AF493" s="1213"/>
      <c r="AG493" s="1213"/>
      <c r="AH493" s="1213"/>
      <c r="AI493" s="1213"/>
      <c r="AJ493" s="1213"/>
      <c r="AK493" s="1213"/>
      <c r="AL493" s="1213"/>
      <c r="AM493" s="1213"/>
      <c r="AN493" s="1213"/>
      <c r="AO493" s="1213"/>
      <c r="AP493" s="1213"/>
      <c r="AQ493" s="1213"/>
      <c r="AR493" s="1213"/>
      <c r="AS493" s="1213"/>
      <c r="AT493" s="1213"/>
      <c r="AU493" s="1213"/>
      <c r="AV493" s="1213"/>
      <c r="AW493" s="1213"/>
      <c r="AX493" s="1213"/>
      <c r="AY493" s="1213"/>
      <c r="AZ493" s="1213"/>
      <c r="BA493" s="1213"/>
    </row>
    <row r="494" spans="1:53" s="1209" customFormat="1">
      <c r="A494" s="1185"/>
      <c r="B494" s="1199"/>
      <c r="C494" s="1186"/>
      <c r="D494" s="1186"/>
      <c r="E494" s="1186"/>
      <c r="F494" s="1177"/>
      <c r="G494" s="1269"/>
      <c r="H494" s="1188" t="s">
        <v>3473</v>
      </c>
      <c r="I494" s="1181">
        <f>CEILING(I493,0.1)</f>
        <v>50</v>
      </c>
      <c r="J494" s="1184" t="s">
        <v>724</v>
      </c>
    </row>
    <row r="495" spans="1:53" s="1209" customFormat="1">
      <c r="A495" s="1185">
        <v>31</v>
      </c>
      <c r="B495" s="1200" t="s">
        <v>3479</v>
      </c>
      <c r="C495" s="1186"/>
      <c r="D495" s="1186"/>
      <c r="E495" s="1186"/>
      <c r="F495" s="1177"/>
      <c r="G495" s="1269"/>
      <c r="H495" s="1188"/>
      <c r="I495" s="1181"/>
      <c r="J495" s="1184"/>
    </row>
    <row r="496" spans="1:53" s="1209" customFormat="1">
      <c r="A496" s="1182"/>
      <c r="B496" s="1200" t="s">
        <v>6633</v>
      </c>
      <c r="C496" s="1268">
        <v>2</v>
      </c>
      <c r="D496" s="1268" t="s">
        <v>3364</v>
      </c>
      <c r="E496" s="1268">
        <v>1</v>
      </c>
      <c r="F496" s="1269">
        <v>5.39</v>
      </c>
      <c r="G496" s="1269">
        <v>1.3149999999999999</v>
      </c>
      <c r="H496" s="1269">
        <v>0.3</v>
      </c>
      <c r="I496" s="1278">
        <f t="shared" ref="I496:I502" si="39">PRODUCT(C496:H496)</f>
        <v>4.25</v>
      </c>
      <c r="J496" s="1275"/>
    </row>
    <row r="497" spans="1:53" s="1209" customFormat="1">
      <c r="A497" s="1182"/>
      <c r="B497" s="1200" t="s">
        <v>6633</v>
      </c>
      <c r="C497" s="1268">
        <v>2</v>
      </c>
      <c r="D497" s="1268" t="s">
        <v>3364</v>
      </c>
      <c r="E497" s="1268">
        <v>1</v>
      </c>
      <c r="F497" s="1269">
        <v>3.7749999999999999</v>
      </c>
      <c r="G497" s="1269">
        <v>1.4350000000000001</v>
      </c>
      <c r="H497" s="1269">
        <v>0.3</v>
      </c>
      <c r="I497" s="1278">
        <f t="shared" si="39"/>
        <v>3.25</v>
      </c>
      <c r="J497" s="1275"/>
    </row>
    <row r="498" spans="1:53" s="1209" customFormat="1">
      <c r="A498" s="1281"/>
      <c r="B498" s="1200" t="s">
        <v>6633</v>
      </c>
      <c r="C498" s="1282">
        <v>2</v>
      </c>
      <c r="D498" s="1282" t="s">
        <v>3364</v>
      </c>
      <c r="E498" s="1282">
        <v>1</v>
      </c>
      <c r="F498" s="1283">
        <v>15.167999999999999</v>
      </c>
      <c r="G498" s="1283">
        <v>2.9249999999999998</v>
      </c>
      <c r="H498" s="1269">
        <v>0.3</v>
      </c>
      <c r="I498" s="1278">
        <f t="shared" si="39"/>
        <v>26.62</v>
      </c>
      <c r="J498" s="1284"/>
      <c r="K498" s="1214"/>
      <c r="O498" s="1213"/>
      <c r="P498" s="1213"/>
      <c r="Q498" s="1213"/>
      <c r="R498" s="1213"/>
      <c r="S498" s="1213"/>
      <c r="T498" s="1213"/>
      <c r="U498" s="1213"/>
      <c r="V498" s="1213"/>
      <c r="W498" s="1213"/>
      <c r="X498" s="1213"/>
      <c r="Y498" s="1213"/>
      <c r="Z498" s="1213"/>
      <c r="AA498" s="1213"/>
      <c r="AB498" s="1213"/>
      <c r="AC498" s="1213"/>
      <c r="AD498" s="1213"/>
      <c r="AE498" s="1213"/>
      <c r="AF498" s="1213"/>
      <c r="AG498" s="1213"/>
      <c r="AH498" s="1213"/>
      <c r="AI498" s="1213"/>
      <c r="AJ498" s="1213"/>
      <c r="AK498" s="1213"/>
      <c r="AL498" s="1213"/>
      <c r="AM498" s="1213"/>
      <c r="AN498" s="1213"/>
      <c r="AO498" s="1213"/>
      <c r="AP498" s="1213"/>
      <c r="AQ498" s="1213"/>
      <c r="AR498" s="1213"/>
      <c r="AS498" s="1213"/>
      <c r="AT498" s="1213"/>
      <c r="AU498" s="1213"/>
      <c r="AV498" s="1213"/>
      <c r="AW498" s="1213"/>
      <c r="AX498" s="1213"/>
      <c r="AY498" s="1213"/>
      <c r="AZ498" s="1213"/>
      <c r="BA498" s="1213"/>
    </row>
    <row r="499" spans="1:53" s="1209" customFormat="1">
      <c r="A499" s="1182"/>
      <c r="B499" s="1200" t="s">
        <v>6635</v>
      </c>
      <c r="C499" s="1268">
        <v>1</v>
      </c>
      <c r="D499" s="1268" t="s">
        <v>3364</v>
      </c>
      <c r="E499" s="1268">
        <v>1</v>
      </c>
      <c r="F499" s="1269">
        <v>4.7050000000000001</v>
      </c>
      <c r="G499" s="1269">
        <v>0.66</v>
      </c>
      <c r="H499" s="1269">
        <v>0.3</v>
      </c>
      <c r="I499" s="1278">
        <f t="shared" si="39"/>
        <v>0.93</v>
      </c>
      <c r="J499" s="1275"/>
      <c r="K499" s="1209">
        <f>3.04+0.46</f>
        <v>3.5</v>
      </c>
      <c r="L499" s="1213"/>
      <c r="M499" s="1213"/>
      <c r="N499" s="1213"/>
    </row>
    <row r="500" spans="1:53" s="1209" customFormat="1">
      <c r="A500" s="1182"/>
      <c r="B500" s="1200" t="s">
        <v>6636</v>
      </c>
      <c r="C500" s="1268">
        <v>3</v>
      </c>
      <c r="D500" s="1268" t="s">
        <v>3364</v>
      </c>
      <c r="E500" s="1268">
        <v>1</v>
      </c>
      <c r="F500" s="1269">
        <v>1.5</v>
      </c>
      <c r="G500" s="1269">
        <v>1.8</v>
      </c>
      <c r="H500" s="1269">
        <v>0.3</v>
      </c>
      <c r="I500" s="1278">
        <f t="shared" si="39"/>
        <v>2.4300000000000002</v>
      </c>
      <c r="J500" s="1275"/>
      <c r="L500" s="1213"/>
      <c r="M500" s="1213"/>
      <c r="N500" s="1213"/>
    </row>
    <row r="501" spans="1:53" s="1209" customFormat="1">
      <c r="A501" s="1182"/>
      <c r="B501" s="1200" t="s">
        <v>6637</v>
      </c>
      <c r="C501" s="1268">
        <v>1</v>
      </c>
      <c r="D501" s="1268" t="s">
        <v>3364</v>
      </c>
      <c r="E501" s="1268">
        <v>1</v>
      </c>
      <c r="F501" s="1269">
        <v>2.99</v>
      </c>
      <c r="G501" s="1269">
        <v>1.5</v>
      </c>
      <c r="H501" s="1269">
        <v>0.3</v>
      </c>
      <c r="I501" s="1278">
        <f t="shared" si="39"/>
        <v>1.35</v>
      </c>
      <c r="J501" s="1275"/>
      <c r="L501" s="1213"/>
      <c r="M501" s="1213"/>
      <c r="N501" s="1213"/>
    </row>
    <row r="502" spans="1:53" s="1209" customFormat="1">
      <c r="A502" s="1182"/>
      <c r="B502" s="1200" t="s">
        <v>6581</v>
      </c>
      <c r="C502" s="1268">
        <v>1</v>
      </c>
      <c r="D502" s="1268" t="s">
        <v>3364</v>
      </c>
      <c r="E502" s="1268">
        <v>1</v>
      </c>
      <c r="F502" s="1269">
        <v>2</v>
      </c>
      <c r="G502" s="1269">
        <v>1.4350000000000001</v>
      </c>
      <c r="H502" s="1269">
        <v>0.3</v>
      </c>
      <c r="I502" s="1278">
        <f t="shared" si="39"/>
        <v>0.86</v>
      </c>
      <c r="J502" s="1275"/>
      <c r="L502" s="1213"/>
      <c r="M502" s="1213"/>
      <c r="N502" s="1213"/>
    </row>
    <row r="503" spans="1:53" s="1209" customFormat="1">
      <c r="A503" s="1185"/>
      <c r="B503" s="1199"/>
      <c r="C503" s="1186"/>
      <c r="D503" s="1186"/>
      <c r="E503" s="1186"/>
      <c r="F503" s="1177"/>
      <c r="G503" s="1188" t="s">
        <v>104</v>
      </c>
      <c r="H503" s="1269"/>
      <c r="I503" s="1181">
        <f>SUM(I496:I502)</f>
        <v>39.69</v>
      </c>
      <c r="J503" s="1184"/>
    </row>
    <row r="504" spans="1:53" s="1209" customFormat="1">
      <c r="A504" s="1185"/>
      <c r="B504" s="1199"/>
      <c r="C504" s="1186"/>
      <c r="D504" s="1186"/>
      <c r="E504" s="1186"/>
      <c r="F504" s="1177"/>
      <c r="G504" s="1269"/>
      <c r="H504" s="1188" t="s">
        <v>3473</v>
      </c>
      <c r="I504" s="1181">
        <f>CEILING(I503,0.1)</f>
        <v>39.700000000000003</v>
      </c>
      <c r="J504" s="1184" t="s">
        <v>5</v>
      </c>
    </row>
    <row r="505" spans="1:53" s="1209" customFormat="1" ht="110.25">
      <c r="A505" s="1185">
        <v>33</v>
      </c>
      <c r="B505" s="1187" t="s">
        <v>3481</v>
      </c>
      <c r="C505" s="1186"/>
      <c r="D505" s="1186"/>
      <c r="E505" s="1186"/>
      <c r="F505" s="1177"/>
      <c r="G505" s="1177"/>
      <c r="H505" s="1177"/>
      <c r="I505" s="1178"/>
      <c r="J505" s="1184"/>
    </row>
    <row r="506" spans="1:53" s="1209" customFormat="1">
      <c r="A506" s="1185"/>
      <c r="B506" s="1202" t="s">
        <v>6641</v>
      </c>
      <c r="C506" s="1186"/>
      <c r="D506" s="1186"/>
      <c r="E506" s="1186"/>
      <c r="F506" s="1177"/>
      <c r="G506" s="1177"/>
      <c r="H506" s="1177"/>
      <c r="I506" s="1178"/>
      <c r="J506" s="1184"/>
    </row>
    <row r="507" spans="1:53" s="1209" customFormat="1">
      <c r="A507" s="1185"/>
      <c r="B507" s="1252" t="s">
        <v>6642</v>
      </c>
      <c r="C507" s="1186">
        <v>1</v>
      </c>
      <c r="D507" s="1186" t="s">
        <v>3364</v>
      </c>
      <c r="E507" s="1186">
        <v>1</v>
      </c>
      <c r="F507" s="1177">
        <v>102.816</v>
      </c>
      <c r="G507" s="1177"/>
      <c r="H507" s="1177">
        <v>1.2</v>
      </c>
      <c r="I507" s="1178">
        <f t="shared" ref="I507:I526" si="40">PRODUCT(C507:H507)</f>
        <v>123.38</v>
      </c>
      <c r="J507" s="1184"/>
    </row>
    <row r="508" spans="1:53" s="1209" customFormat="1">
      <c r="A508" s="1185"/>
      <c r="B508" s="1199" t="s">
        <v>6643</v>
      </c>
      <c r="C508" s="1186">
        <v>3</v>
      </c>
      <c r="D508" s="1186" t="s">
        <v>3364</v>
      </c>
      <c r="E508" s="1186">
        <v>1</v>
      </c>
      <c r="F508" s="1177">
        <v>35.271999999999998</v>
      </c>
      <c r="G508" s="1177"/>
      <c r="H508" s="1177">
        <v>1.2</v>
      </c>
      <c r="I508" s="1178">
        <f t="shared" si="40"/>
        <v>126.98</v>
      </c>
      <c r="J508" s="1184"/>
    </row>
    <row r="509" spans="1:53" s="1209" customFormat="1">
      <c r="A509" s="1185"/>
      <c r="B509" s="1199" t="s">
        <v>6644</v>
      </c>
      <c r="C509" s="1186">
        <v>5</v>
      </c>
      <c r="D509" s="1186" t="s">
        <v>3364</v>
      </c>
      <c r="E509" s="1186">
        <v>1</v>
      </c>
      <c r="F509" s="1177">
        <v>16.13</v>
      </c>
      <c r="G509" s="1177"/>
      <c r="H509" s="1177">
        <v>1.2</v>
      </c>
      <c r="I509" s="1178">
        <f t="shared" si="40"/>
        <v>96.78</v>
      </c>
      <c r="J509" s="1184"/>
    </row>
    <row r="510" spans="1:53" s="1209" customFormat="1">
      <c r="A510" s="1185"/>
      <c r="B510" s="1199" t="s">
        <v>6644</v>
      </c>
      <c r="C510" s="1186">
        <v>2</v>
      </c>
      <c r="D510" s="1186" t="s">
        <v>3364</v>
      </c>
      <c r="E510" s="1186">
        <v>1</v>
      </c>
      <c r="F510" s="1177">
        <v>13.202</v>
      </c>
      <c r="G510" s="1177"/>
      <c r="H510" s="1177">
        <v>1.2</v>
      </c>
      <c r="I510" s="1178">
        <f t="shared" si="40"/>
        <v>31.68</v>
      </c>
      <c r="J510" s="1184"/>
    </row>
    <row r="511" spans="1:53" s="1209" customFormat="1">
      <c r="A511" s="1185"/>
      <c r="B511" s="1199" t="s">
        <v>6645</v>
      </c>
      <c r="C511" s="1186">
        <v>2</v>
      </c>
      <c r="D511" s="1186" t="s">
        <v>3364</v>
      </c>
      <c r="E511" s="1186">
        <v>1</v>
      </c>
      <c r="F511" s="1177">
        <f>(5+1.5)*2</f>
        <v>13</v>
      </c>
      <c r="G511" s="1177"/>
      <c r="H511" s="1177">
        <v>1.5</v>
      </c>
      <c r="I511" s="1178">
        <f t="shared" si="40"/>
        <v>39</v>
      </c>
      <c r="J511" s="1184"/>
    </row>
    <row r="512" spans="1:53" s="1209" customFormat="1">
      <c r="A512" s="1185"/>
      <c r="B512" s="1199" t="s">
        <v>3482</v>
      </c>
      <c r="C512" s="1186"/>
      <c r="D512" s="1186"/>
      <c r="E512" s="1186"/>
      <c r="F512" s="1177"/>
      <c r="G512" s="1177"/>
      <c r="H512" s="1177"/>
      <c r="I512" s="1178">
        <f t="shared" si="40"/>
        <v>0</v>
      </c>
      <c r="J512" s="1291"/>
    </row>
    <row r="513" spans="1:10" s="1209" customFormat="1">
      <c r="A513" s="1185"/>
      <c r="B513" s="1199" t="s">
        <v>3626</v>
      </c>
      <c r="C513" s="1186">
        <v>1</v>
      </c>
      <c r="D513" s="1186" t="s">
        <v>3364</v>
      </c>
      <c r="E513" s="1186">
        <v>1</v>
      </c>
      <c r="F513" s="1177">
        <v>13.202</v>
      </c>
      <c r="G513" s="1177"/>
      <c r="H513" s="1177">
        <f>6.1-0.125</f>
        <v>5.9749999999999996</v>
      </c>
      <c r="I513" s="1178">
        <f t="shared" si="40"/>
        <v>78.88</v>
      </c>
      <c r="J513" s="1291"/>
    </row>
    <row r="514" spans="1:10" s="1209" customFormat="1" ht="31.5">
      <c r="A514" s="1185"/>
      <c r="B514" s="1252" t="s">
        <v>6646</v>
      </c>
      <c r="C514" s="1186">
        <v>1</v>
      </c>
      <c r="D514" s="1186" t="s">
        <v>3364</v>
      </c>
      <c r="E514" s="1186">
        <v>1</v>
      </c>
      <c r="F514" s="1177">
        <f>15.168+13.202</f>
        <v>28.37</v>
      </c>
      <c r="G514" s="1177"/>
      <c r="H514" s="1177">
        <f t="shared" ref="H514:H523" si="41">3.15-0.125</f>
        <v>3.0249999999999999</v>
      </c>
      <c r="I514" s="1178">
        <f>PRODUCT(C514:H514)</f>
        <v>85.82</v>
      </c>
      <c r="J514" s="1291"/>
    </row>
    <row r="515" spans="1:10" s="1209" customFormat="1">
      <c r="A515" s="1185"/>
      <c r="B515" s="1252" t="s">
        <v>6647</v>
      </c>
      <c r="C515" s="1186">
        <v>1</v>
      </c>
      <c r="D515" s="1186" t="s">
        <v>3364</v>
      </c>
      <c r="E515" s="1186">
        <v>1</v>
      </c>
      <c r="F515" s="1177">
        <f>(4.67+2.697)*2</f>
        <v>14.734</v>
      </c>
      <c r="G515" s="1177"/>
      <c r="H515" s="1177">
        <f t="shared" si="41"/>
        <v>3.0249999999999999</v>
      </c>
      <c r="I515" s="1178">
        <f>PRODUCT(C515:H515)</f>
        <v>44.57</v>
      </c>
      <c r="J515" s="1291"/>
    </row>
    <row r="516" spans="1:10" s="1209" customFormat="1">
      <c r="A516" s="1185"/>
      <c r="B516" s="1252" t="s">
        <v>6648</v>
      </c>
      <c r="C516" s="1186">
        <v>1</v>
      </c>
      <c r="D516" s="1186" t="s">
        <v>3364</v>
      </c>
      <c r="E516" s="1186">
        <v>1</v>
      </c>
      <c r="F516" s="1177">
        <f>(4.681+2.697)*2</f>
        <v>14.756</v>
      </c>
      <c r="G516" s="1177"/>
      <c r="H516" s="1177">
        <f t="shared" si="41"/>
        <v>3.0249999999999999</v>
      </c>
      <c r="I516" s="1178">
        <f t="shared" si="40"/>
        <v>44.64</v>
      </c>
      <c r="J516" s="1291"/>
    </row>
    <row r="517" spans="1:10" s="1209" customFormat="1">
      <c r="A517" s="1185"/>
      <c r="B517" s="1252" t="s">
        <v>6649</v>
      </c>
      <c r="C517" s="1186">
        <v>1</v>
      </c>
      <c r="D517" s="1186" t="s">
        <v>3364</v>
      </c>
      <c r="E517" s="1186">
        <v>1</v>
      </c>
      <c r="F517" s="1177">
        <f>(5.24+2.697)*2</f>
        <v>15.874000000000001</v>
      </c>
      <c r="G517" s="1177"/>
      <c r="H517" s="1177">
        <f t="shared" si="41"/>
        <v>3.0249999999999999</v>
      </c>
      <c r="I517" s="1178">
        <f t="shared" si="40"/>
        <v>48.02</v>
      </c>
      <c r="J517" s="1291"/>
    </row>
    <row r="518" spans="1:10" s="1209" customFormat="1">
      <c r="A518" s="1185"/>
      <c r="B518" s="1252" t="s">
        <v>6650</v>
      </c>
      <c r="C518" s="1186">
        <v>1</v>
      </c>
      <c r="D518" s="1186" t="s">
        <v>3364</v>
      </c>
      <c r="E518" s="1186">
        <v>1</v>
      </c>
      <c r="F518" s="1177">
        <f>(2.7+1.9)*2</f>
        <v>9.1999999999999993</v>
      </c>
      <c r="G518" s="1177"/>
      <c r="H518" s="1177">
        <f t="shared" si="41"/>
        <v>3.0249999999999999</v>
      </c>
      <c r="I518" s="1178">
        <f t="shared" si="40"/>
        <v>27.83</v>
      </c>
      <c r="J518" s="1291"/>
    </row>
    <row r="519" spans="1:10" s="1209" customFormat="1" ht="16.149999999999999" customHeight="1">
      <c r="A519" s="1185"/>
      <c r="B519" s="1252" t="s">
        <v>6651</v>
      </c>
      <c r="C519" s="1186">
        <v>1</v>
      </c>
      <c r="D519" s="1186" t="s">
        <v>3364</v>
      </c>
      <c r="E519" s="1186">
        <v>1</v>
      </c>
      <c r="F519" s="1177">
        <f>(7.8+2.925)*2</f>
        <v>21.45</v>
      </c>
      <c r="G519" s="1177"/>
      <c r="H519" s="1177">
        <f t="shared" si="41"/>
        <v>3.0249999999999999</v>
      </c>
      <c r="I519" s="1178">
        <f t="shared" si="40"/>
        <v>64.89</v>
      </c>
      <c r="J519" s="1291"/>
    </row>
    <row r="520" spans="1:10" s="1209" customFormat="1" ht="16.149999999999999" customHeight="1">
      <c r="A520" s="1185"/>
      <c r="B520" s="1252" t="s">
        <v>6652</v>
      </c>
      <c r="C520" s="1186">
        <v>1</v>
      </c>
      <c r="D520" s="1186" t="s">
        <v>3364</v>
      </c>
      <c r="E520" s="1186">
        <v>1</v>
      </c>
      <c r="F520" s="1177">
        <f>(2.7+1.35)*2</f>
        <v>8.1</v>
      </c>
      <c r="G520" s="1177"/>
      <c r="H520" s="1177">
        <v>2.85</v>
      </c>
      <c r="I520" s="1178">
        <f t="shared" si="40"/>
        <v>23.09</v>
      </c>
      <c r="J520" s="1291"/>
    </row>
    <row r="521" spans="1:10" s="1209" customFormat="1" ht="16.149999999999999" customHeight="1">
      <c r="A521" s="1185"/>
      <c r="B521" s="1252" t="s">
        <v>6566</v>
      </c>
      <c r="C521" s="1186">
        <v>1</v>
      </c>
      <c r="D521" s="1186" t="s">
        <v>3364</v>
      </c>
      <c r="E521" s="1186">
        <v>1</v>
      </c>
      <c r="F521" s="1177">
        <f>(2+1.435)*2</f>
        <v>6.87</v>
      </c>
      <c r="G521" s="1177"/>
      <c r="H521" s="1177">
        <f t="shared" si="41"/>
        <v>3.0249999999999999</v>
      </c>
      <c r="I521" s="1178">
        <f t="shared" si="40"/>
        <v>20.78</v>
      </c>
      <c r="J521" s="1291"/>
    </row>
    <row r="522" spans="1:10" s="1209" customFormat="1">
      <c r="A522" s="1185"/>
      <c r="B522" s="1199" t="s">
        <v>3485</v>
      </c>
      <c r="C522" s="1186">
        <v>1</v>
      </c>
      <c r="D522" s="1186" t="s">
        <v>3364</v>
      </c>
      <c r="E522" s="1186">
        <v>1</v>
      </c>
      <c r="F522" s="1177">
        <f>(6.339+5.39)*2</f>
        <v>23.457999999999998</v>
      </c>
      <c r="G522" s="1177"/>
      <c r="H522" s="1177">
        <f t="shared" si="41"/>
        <v>3.0249999999999999</v>
      </c>
      <c r="I522" s="1178">
        <f t="shared" si="40"/>
        <v>70.959999999999994</v>
      </c>
      <c r="J522" s="1291"/>
    </row>
    <row r="523" spans="1:10" s="1209" customFormat="1">
      <c r="A523" s="1185"/>
      <c r="B523" s="1199" t="s">
        <v>6653</v>
      </c>
      <c r="C523" s="1186">
        <v>1</v>
      </c>
      <c r="D523" s="1186" t="s">
        <v>3364</v>
      </c>
      <c r="E523" s="1186">
        <v>1</v>
      </c>
      <c r="F523" s="1177">
        <f>(5.39+6.112)*2</f>
        <v>23.004000000000001</v>
      </c>
      <c r="G523" s="1177"/>
      <c r="H523" s="1177">
        <f t="shared" si="41"/>
        <v>3.0249999999999999</v>
      </c>
      <c r="I523" s="1178">
        <f t="shared" si="40"/>
        <v>69.59</v>
      </c>
      <c r="J523" s="1291"/>
    </row>
    <row r="524" spans="1:10" s="1209" customFormat="1">
      <c r="A524" s="1185"/>
      <c r="B524" s="1199" t="s">
        <v>6654</v>
      </c>
      <c r="C524" s="1186">
        <v>1</v>
      </c>
      <c r="D524" s="1186" t="s">
        <v>3364</v>
      </c>
      <c r="E524" s="1186">
        <v>1</v>
      </c>
      <c r="F524" s="1177">
        <f>(5.77+1)*2</f>
        <v>13.54</v>
      </c>
      <c r="G524" s="1177"/>
      <c r="H524" s="1177">
        <v>1.5</v>
      </c>
      <c r="I524" s="1178">
        <f t="shared" si="40"/>
        <v>20.309999999999999</v>
      </c>
      <c r="J524" s="1291"/>
    </row>
    <row r="525" spans="1:10" s="1209" customFormat="1">
      <c r="A525" s="1185"/>
      <c r="B525" s="1199" t="s">
        <v>6655</v>
      </c>
      <c r="C525" s="1186">
        <v>2</v>
      </c>
      <c r="D525" s="1186" t="s">
        <v>3364</v>
      </c>
      <c r="E525" s="1186">
        <v>5</v>
      </c>
      <c r="F525" s="1177">
        <f>0.3*4</f>
        <v>1.2</v>
      </c>
      <c r="G525" s="1177"/>
      <c r="H525" s="1177">
        <f>6.1-0.125</f>
        <v>5.9749999999999996</v>
      </c>
      <c r="I525" s="1178">
        <f t="shared" si="40"/>
        <v>71.7</v>
      </c>
      <c r="J525" s="1291"/>
    </row>
    <row r="526" spans="1:10" s="1209" customFormat="1">
      <c r="A526" s="1185"/>
      <c r="B526" s="1199" t="s">
        <v>6656</v>
      </c>
      <c r="C526" s="1186">
        <v>5</v>
      </c>
      <c r="D526" s="1186" t="s">
        <v>3364</v>
      </c>
      <c r="E526" s="1186">
        <v>1</v>
      </c>
      <c r="F526" s="1177">
        <f>0.46+0.8</f>
        <v>1.26</v>
      </c>
      <c r="G526" s="1177"/>
      <c r="H526" s="1177">
        <f>17.77-0.23</f>
        <v>17.54</v>
      </c>
      <c r="I526" s="1178">
        <f t="shared" si="40"/>
        <v>110.5</v>
      </c>
      <c r="J526" s="1291"/>
    </row>
    <row r="527" spans="1:10" s="1209" customFormat="1">
      <c r="A527" s="1185"/>
      <c r="B527" s="1202" t="s">
        <v>6657</v>
      </c>
      <c r="C527" s="1186"/>
      <c r="D527" s="1186"/>
      <c r="E527" s="1186"/>
      <c r="F527" s="1177"/>
      <c r="G527" s="1177"/>
      <c r="H527" s="1177"/>
      <c r="I527" s="1178"/>
      <c r="J527" s="1291"/>
    </row>
    <row r="528" spans="1:10" s="1209" customFormat="1">
      <c r="A528" s="1176"/>
      <c r="B528" s="1199" t="s">
        <v>3372</v>
      </c>
      <c r="C528" s="1251">
        <v>2</v>
      </c>
      <c r="D528" s="1251" t="s">
        <v>3364</v>
      </c>
      <c r="E528" s="1251">
        <v>8</v>
      </c>
      <c r="F528" s="1177">
        <v>0.6</v>
      </c>
      <c r="G528" s="1177"/>
      <c r="H528" s="1177">
        <v>2.1</v>
      </c>
      <c r="I528" s="1178">
        <f t="shared" ref="I528:I538" si="42">PRODUCT(C528:H528)</f>
        <v>20.16</v>
      </c>
      <c r="J528" s="1179"/>
    </row>
    <row r="529" spans="1:10" s="1209" customFormat="1">
      <c r="A529" s="1176"/>
      <c r="B529" s="1199" t="s">
        <v>6588</v>
      </c>
      <c r="C529" s="1251">
        <v>2</v>
      </c>
      <c r="D529" s="1251" t="s">
        <v>3364</v>
      </c>
      <c r="E529" s="1251">
        <v>8</v>
      </c>
      <c r="F529" s="1177">
        <v>0.6</v>
      </c>
      <c r="G529" s="1177"/>
      <c r="H529" s="1177">
        <v>2.1</v>
      </c>
      <c r="I529" s="1178">
        <f t="shared" si="42"/>
        <v>20.16</v>
      </c>
      <c r="J529" s="1179"/>
    </row>
    <row r="530" spans="1:10" s="1209" customFormat="1">
      <c r="A530" s="1176"/>
      <c r="B530" s="1199" t="s">
        <v>6589</v>
      </c>
      <c r="C530" s="1251">
        <v>2</v>
      </c>
      <c r="D530" s="1251" t="s">
        <v>3364</v>
      </c>
      <c r="E530" s="1251">
        <v>2</v>
      </c>
      <c r="F530" s="1177">
        <v>0.45</v>
      </c>
      <c r="G530" s="1177"/>
      <c r="H530" s="1177">
        <v>2.1</v>
      </c>
      <c r="I530" s="1178">
        <f t="shared" si="42"/>
        <v>3.78</v>
      </c>
      <c r="J530" s="1179"/>
    </row>
    <row r="531" spans="1:10" s="1209" customFormat="1">
      <c r="A531" s="1176"/>
      <c r="B531" s="1199" t="s">
        <v>6590</v>
      </c>
      <c r="C531" s="1251">
        <v>2</v>
      </c>
      <c r="D531" s="1251" t="s">
        <v>3364</v>
      </c>
      <c r="E531" s="1251">
        <v>16</v>
      </c>
      <c r="F531" s="1177">
        <v>0.45</v>
      </c>
      <c r="G531" s="1177"/>
      <c r="H531" s="1177">
        <v>2.1</v>
      </c>
      <c r="I531" s="1178">
        <f t="shared" si="42"/>
        <v>30.24</v>
      </c>
      <c r="J531" s="1179"/>
    </row>
    <row r="532" spans="1:10" s="1209" customFormat="1">
      <c r="A532" s="1176"/>
      <c r="B532" s="1199" t="s">
        <v>6591</v>
      </c>
      <c r="C532" s="1251">
        <v>2</v>
      </c>
      <c r="D532" s="1251" t="s">
        <v>3364</v>
      </c>
      <c r="E532" s="1251">
        <v>30</v>
      </c>
      <c r="F532" s="1177">
        <v>0.45</v>
      </c>
      <c r="G532" s="1177"/>
      <c r="H532" s="1177">
        <v>2.1</v>
      </c>
      <c r="I532" s="1178">
        <f t="shared" si="42"/>
        <v>56.7</v>
      </c>
      <c r="J532" s="1179"/>
    </row>
    <row r="533" spans="1:10" s="1209" customFormat="1">
      <c r="A533" s="1176"/>
      <c r="B533" s="1199" t="s">
        <v>6592</v>
      </c>
      <c r="C533" s="1251">
        <v>2</v>
      </c>
      <c r="D533" s="1251" t="s">
        <v>3364</v>
      </c>
      <c r="E533" s="1251">
        <v>4</v>
      </c>
      <c r="F533" s="1177">
        <v>0.6</v>
      </c>
      <c r="G533" s="1177"/>
      <c r="H533" s="1177">
        <v>0.8</v>
      </c>
      <c r="I533" s="1178">
        <f t="shared" si="42"/>
        <v>3.84</v>
      </c>
      <c r="J533" s="1179"/>
    </row>
    <row r="534" spans="1:10" s="1209" customFormat="1">
      <c r="A534" s="1185"/>
      <c r="B534" s="1199" t="s">
        <v>3504</v>
      </c>
      <c r="C534" s="1186"/>
      <c r="D534" s="1186"/>
      <c r="E534" s="1186"/>
      <c r="F534" s="1177"/>
      <c r="G534" s="1177"/>
      <c r="H534" s="1177"/>
      <c r="I534" s="1178">
        <f t="shared" si="42"/>
        <v>0</v>
      </c>
      <c r="J534" s="1291"/>
    </row>
    <row r="535" spans="1:10" s="1209" customFormat="1">
      <c r="A535" s="1176"/>
      <c r="B535" s="1199" t="s">
        <v>3372</v>
      </c>
      <c r="C535" s="1251">
        <v>2</v>
      </c>
      <c r="D535" s="1251" t="s">
        <v>3364</v>
      </c>
      <c r="E535" s="1251">
        <v>1</v>
      </c>
      <c r="F535" s="1177">
        <v>5.39</v>
      </c>
      <c r="G535" s="1177">
        <v>0.6</v>
      </c>
      <c r="H535" s="1177"/>
      <c r="I535" s="1178">
        <f t="shared" si="42"/>
        <v>6.47</v>
      </c>
      <c r="J535" s="1179"/>
    </row>
    <row r="536" spans="1:10" s="1209" customFormat="1">
      <c r="A536" s="1176"/>
      <c r="B536" s="1199" t="s">
        <v>6588</v>
      </c>
      <c r="C536" s="1251">
        <v>2</v>
      </c>
      <c r="D536" s="1251" t="s">
        <v>3364</v>
      </c>
      <c r="E536" s="1251">
        <v>1</v>
      </c>
      <c r="F536" s="1177">
        <v>5.39</v>
      </c>
      <c r="G536" s="1177">
        <v>0.6</v>
      </c>
      <c r="H536" s="1177"/>
      <c r="I536" s="1178">
        <f t="shared" si="42"/>
        <v>6.47</v>
      </c>
      <c r="J536" s="1179"/>
    </row>
    <row r="537" spans="1:10" s="1209" customFormat="1">
      <c r="A537" s="1176"/>
      <c r="B537" s="1199" t="s">
        <v>6590</v>
      </c>
      <c r="C537" s="1251">
        <v>2</v>
      </c>
      <c r="D537" s="1251" t="s">
        <v>3364</v>
      </c>
      <c r="E537" s="1251">
        <v>1</v>
      </c>
      <c r="F537" s="1177">
        <v>5.24</v>
      </c>
      <c r="G537" s="1177">
        <v>0.6</v>
      </c>
      <c r="H537" s="1177"/>
      <c r="I537" s="1178">
        <f t="shared" si="42"/>
        <v>6.29</v>
      </c>
      <c r="J537" s="1179"/>
    </row>
    <row r="538" spans="1:10" s="1209" customFormat="1">
      <c r="A538" s="1176"/>
      <c r="B538" s="1199" t="s">
        <v>6591</v>
      </c>
      <c r="C538" s="1251">
        <v>2</v>
      </c>
      <c r="D538" s="1251" t="s">
        <v>3364</v>
      </c>
      <c r="E538" s="1251">
        <v>1</v>
      </c>
      <c r="F538" s="1177">
        <v>4.681</v>
      </c>
      <c r="G538" s="1177">
        <v>0.6</v>
      </c>
      <c r="H538" s="1177"/>
      <c r="I538" s="1178">
        <f t="shared" si="42"/>
        <v>5.62</v>
      </c>
      <c r="J538" s="1179"/>
    </row>
    <row r="539" spans="1:10" s="1209" customFormat="1">
      <c r="A539" s="1176"/>
      <c r="B539" s="1202" t="s">
        <v>6533</v>
      </c>
      <c r="C539" s="1251"/>
      <c r="D539" s="1251"/>
      <c r="E539" s="1251"/>
      <c r="F539" s="1177"/>
      <c r="G539" s="1177"/>
      <c r="H539" s="1177"/>
      <c r="I539" s="1178"/>
      <c r="J539" s="1179"/>
    </row>
    <row r="540" spans="1:10" s="1209" customFormat="1">
      <c r="A540" s="1176"/>
      <c r="B540" s="1271" t="s">
        <v>6987</v>
      </c>
      <c r="C540" s="1251"/>
      <c r="D540" s="1251"/>
      <c r="E540" s="1251"/>
      <c r="F540" s="1177"/>
      <c r="G540" s="1177"/>
      <c r="H540" s="1177"/>
      <c r="I540" s="1178"/>
      <c r="J540" s="1179"/>
    </row>
    <row r="541" spans="1:10" s="1209" customFormat="1">
      <c r="A541" s="1176"/>
      <c r="B541" s="1199" t="s">
        <v>3363</v>
      </c>
      <c r="C541" s="1251">
        <v>6</v>
      </c>
      <c r="D541" s="1251">
        <v>2</v>
      </c>
      <c r="E541" s="1251">
        <v>-1</v>
      </c>
      <c r="F541" s="1272">
        <v>1</v>
      </c>
      <c r="G541" s="1272"/>
      <c r="H541" s="1416">
        <v>2.4</v>
      </c>
      <c r="I541" s="1178">
        <f t="shared" ref="I541:I548" si="43">PRODUCT(C541:H541)</f>
        <v>-28.8</v>
      </c>
      <c r="J541" s="1179"/>
    </row>
    <row r="542" spans="1:10" s="1209" customFormat="1">
      <c r="A542" s="1176"/>
      <c r="B542" s="1199" t="s">
        <v>6971</v>
      </c>
      <c r="C542" s="1251">
        <v>2</v>
      </c>
      <c r="D542" s="1251">
        <v>2</v>
      </c>
      <c r="E542" s="1251">
        <v>-1</v>
      </c>
      <c r="F542" s="1272">
        <v>0.75</v>
      </c>
      <c r="G542" s="1272"/>
      <c r="H542" s="1416">
        <v>2.1</v>
      </c>
      <c r="I542" s="1178">
        <f t="shared" si="43"/>
        <v>-6.3</v>
      </c>
      <c r="J542" s="1179"/>
    </row>
    <row r="543" spans="1:10" s="1209" customFormat="1">
      <c r="A543" s="1176"/>
      <c r="B543" s="1199" t="s">
        <v>3414</v>
      </c>
      <c r="C543" s="1251">
        <v>9</v>
      </c>
      <c r="D543" s="1251">
        <v>2</v>
      </c>
      <c r="E543" s="1251">
        <v>-1</v>
      </c>
      <c r="F543" s="1272">
        <v>1.5</v>
      </c>
      <c r="G543" s="1272"/>
      <c r="H543" s="1416">
        <v>1.35</v>
      </c>
      <c r="I543" s="1178">
        <f t="shared" si="43"/>
        <v>-36.450000000000003</v>
      </c>
      <c r="J543" s="1179"/>
    </row>
    <row r="544" spans="1:10" s="1209" customFormat="1">
      <c r="A544" s="1176"/>
      <c r="B544" s="1199" t="s">
        <v>6964</v>
      </c>
      <c r="C544" s="1251">
        <v>9</v>
      </c>
      <c r="D544" s="1251">
        <v>2</v>
      </c>
      <c r="E544" s="1251">
        <v>-1</v>
      </c>
      <c r="F544" s="1272">
        <v>0.9</v>
      </c>
      <c r="G544" s="1272"/>
      <c r="H544" s="1416">
        <v>0.6</v>
      </c>
      <c r="I544" s="1178">
        <f t="shared" si="43"/>
        <v>-9.7200000000000006</v>
      </c>
      <c r="J544" s="1179"/>
    </row>
    <row r="545" spans="1:10" s="1209" customFormat="1">
      <c r="A545" s="1176"/>
      <c r="B545" s="1199" t="s">
        <v>6965</v>
      </c>
      <c r="C545" s="1251">
        <v>2</v>
      </c>
      <c r="D545" s="1251">
        <v>2</v>
      </c>
      <c r="E545" s="1251">
        <v>-1</v>
      </c>
      <c r="F545" s="1272">
        <v>0.9</v>
      </c>
      <c r="G545" s="1272"/>
      <c r="H545" s="1416">
        <v>0.6</v>
      </c>
      <c r="I545" s="1178">
        <f t="shared" si="43"/>
        <v>-2.16</v>
      </c>
      <c r="J545" s="1179"/>
    </row>
    <row r="546" spans="1:10" s="1209" customFormat="1">
      <c r="A546" s="1176"/>
      <c r="B546" s="1199" t="s">
        <v>6967</v>
      </c>
      <c r="C546" s="1251">
        <v>4</v>
      </c>
      <c r="D546" s="1251">
        <v>2</v>
      </c>
      <c r="E546" s="1251">
        <v>-1</v>
      </c>
      <c r="F546" s="1272">
        <v>0.75</v>
      </c>
      <c r="G546" s="1272"/>
      <c r="H546" s="1416">
        <v>0.6</v>
      </c>
      <c r="I546" s="1178">
        <f t="shared" si="43"/>
        <v>-3.6</v>
      </c>
      <c r="J546" s="1179"/>
    </row>
    <row r="547" spans="1:10" s="1209" customFormat="1">
      <c r="A547" s="1176"/>
      <c r="B547" s="1199" t="s">
        <v>3399</v>
      </c>
      <c r="C547" s="1251">
        <v>1</v>
      </c>
      <c r="D547" s="1251">
        <v>2</v>
      </c>
      <c r="E547" s="1251">
        <v>-1</v>
      </c>
      <c r="F547" s="1272">
        <v>0.9</v>
      </c>
      <c r="G547" s="1272"/>
      <c r="H547" s="1416">
        <v>2</v>
      </c>
      <c r="I547" s="1178">
        <f t="shared" si="43"/>
        <v>-3.6</v>
      </c>
      <c r="J547" s="1179"/>
    </row>
    <row r="548" spans="1:10" s="1209" customFormat="1">
      <c r="A548" s="1176"/>
      <c r="B548" s="1199" t="s">
        <v>6969</v>
      </c>
      <c r="C548" s="1251">
        <v>1</v>
      </c>
      <c r="D548" s="1251">
        <v>2</v>
      </c>
      <c r="E548" s="1251">
        <v>-1</v>
      </c>
      <c r="F548" s="1272">
        <v>1.5</v>
      </c>
      <c r="G548" s="1272"/>
      <c r="H548" s="1416">
        <v>1.35</v>
      </c>
      <c r="I548" s="1178">
        <f t="shared" si="43"/>
        <v>-4.05</v>
      </c>
      <c r="J548" s="1179"/>
    </row>
    <row r="549" spans="1:10" s="1209" customFormat="1">
      <c r="A549" s="1176"/>
      <c r="B549" s="1199" t="s">
        <v>6990</v>
      </c>
      <c r="C549" s="1251"/>
      <c r="D549" s="1251"/>
      <c r="E549" s="1251"/>
      <c r="F549" s="1272"/>
      <c r="G549" s="1272"/>
      <c r="H549" s="1416"/>
      <c r="I549" s="1178"/>
      <c r="J549" s="1179"/>
    </row>
    <row r="550" spans="1:10" s="1209" customFormat="1">
      <c r="A550" s="1176"/>
      <c r="B550" s="1199" t="s">
        <v>3363</v>
      </c>
      <c r="C550" s="1251">
        <v>6</v>
      </c>
      <c r="D550" s="1251">
        <v>1</v>
      </c>
      <c r="E550" s="1251">
        <v>-1</v>
      </c>
      <c r="F550" s="1272">
        <f>(F541+H541)*2</f>
        <v>6.8</v>
      </c>
      <c r="G550" s="1272">
        <v>0.23</v>
      </c>
      <c r="H550" s="1416"/>
      <c r="I550" s="1178">
        <f t="shared" ref="I550:I557" si="44">PRODUCT(C550:H550)</f>
        <v>-9.3800000000000008</v>
      </c>
      <c r="J550" s="1179"/>
    </row>
    <row r="551" spans="1:10" s="1209" customFormat="1">
      <c r="A551" s="1176"/>
      <c r="B551" s="1199" t="s">
        <v>6971</v>
      </c>
      <c r="C551" s="1251">
        <v>2</v>
      </c>
      <c r="D551" s="1251">
        <v>1</v>
      </c>
      <c r="E551" s="1251">
        <v>-1</v>
      </c>
      <c r="F551" s="1272">
        <f t="shared" ref="F551:F557" si="45">(F542+H542)*2</f>
        <v>5.7</v>
      </c>
      <c r="G551" s="1272">
        <v>0.23</v>
      </c>
      <c r="H551" s="1416"/>
      <c r="I551" s="1178">
        <f t="shared" si="44"/>
        <v>-2.62</v>
      </c>
      <c r="J551" s="1179"/>
    </row>
    <row r="552" spans="1:10" s="1209" customFormat="1">
      <c r="A552" s="1176"/>
      <c r="B552" s="1199" t="s">
        <v>3414</v>
      </c>
      <c r="C552" s="1251">
        <v>9</v>
      </c>
      <c r="D552" s="1251">
        <v>1</v>
      </c>
      <c r="E552" s="1251">
        <v>-1</v>
      </c>
      <c r="F552" s="1272">
        <f t="shared" si="45"/>
        <v>5.7</v>
      </c>
      <c r="G552" s="1272">
        <v>0.23</v>
      </c>
      <c r="H552" s="1416"/>
      <c r="I552" s="1178">
        <f t="shared" si="44"/>
        <v>-11.8</v>
      </c>
      <c r="J552" s="1179"/>
    </row>
    <row r="553" spans="1:10" s="1209" customFormat="1">
      <c r="A553" s="1176"/>
      <c r="B553" s="1199" t="s">
        <v>6964</v>
      </c>
      <c r="C553" s="1251">
        <v>9</v>
      </c>
      <c r="D553" s="1251">
        <v>1</v>
      </c>
      <c r="E553" s="1251">
        <v>-1</v>
      </c>
      <c r="F553" s="1272">
        <f t="shared" si="45"/>
        <v>3</v>
      </c>
      <c r="G553" s="1272">
        <v>0.23</v>
      </c>
      <c r="H553" s="1416"/>
      <c r="I553" s="1178">
        <f t="shared" si="44"/>
        <v>-6.21</v>
      </c>
      <c r="J553" s="1179"/>
    </row>
    <row r="554" spans="1:10" s="1209" customFormat="1">
      <c r="A554" s="1176"/>
      <c r="B554" s="1199" t="s">
        <v>6965</v>
      </c>
      <c r="C554" s="1251">
        <v>2</v>
      </c>
      <c r="D554" s="1251">
        <v>1</v>
      </c>
      <c r="E554" s="1251">
        <v>-1</v>
      </c>
      <c r="F554" s="1272">
        <f t="shared" si="45"/>
        <v>3</v>
      </c>
      <c r="G554" s="1272">
        <v>0.23</v>
      </c>
      <c r="H554" s="1416"/>
      <c r="I554" s="1178">
        <f t="shared" si="44"/>
        <v>-1.38</v>
      </c>
      <c r="J554" s="1179"/>
    </row>
    <row r="555" spans="1:10" s="1209" customFormat="1">
      <c r="A555" s="1176"/>
      <c r="B555" s="1199" t="s">
        <v>6967</v>
      </c>
      <c r="C555" s="1251">
        <v>4</v>
      </c>
      <c r="D555" s="1251">
        <v>1</v>
      </c>
      <c r="E555" s="1251">
        <v>-1</v>
      </c>
      <c r="F555" s="1272">
        <f t="shared" si="45"/>
        <v>2.7</v>
      </c>
      <c r="G555" s="1272">
        <v>0.23</v>
      </c>
      <c r="H555" s="1416"/>
      <c r="I555" s="1178">
        <f t="shared" si="44"/>
        <v>-2.48</v>
      </c>
      <c r="J555" s="1179"/>
    </row>
    <row r="556" spans="1:10" s="1209" customFormat="1">
      <c r="A556" s="1176"/>
      <c r="B556" s="1199" t="s">
        <v>3399</v>
      </c>
      <c r="C556" s="1251">
        <v>1</v>
      </c>
      <c r="D556" s="1251">
        <v>1</v>
      </c>
      <c r="E556" s="1251">
        <v>-1</v>
      </c>
      <c r="F556" s="1272">
        <f t="shared" si="45"/>
        <v>5.8</v>
      </c>
      <c r="G556" s="1272">
        <v>0.23</v>
      </c>
      <c r="H556" s="1416"/>
      <c r="I556" s="1178">
        <f t="shared" si="44"/>
        <v>-1.33</v>
      </c>
      <c r="J556" s="1179"/>
    </row>
    <row r="557" spans="1:10" s="1209" customFormat="1">
      <c r="A557" s="1176"/>
      <c r="B557" s="1199" t="s">
        <v>6969</v>
      </c>
      <c r="C557" s="1251">
        <v>1</v>
      </c>
      <c r="D557" s="1251">
        <v>1</v>
      </c>
      <c r="E557" s="1251">
        <v>-1</v>
      </c>
      <c r="F557" s="1272">
        <f t="shared" si="45"/>
        <v>5.7</v>
      </c>
      <c r="G557" s="1272">
        <v>0.23</v>
      </c>
      <c r="H557" s="1416"/>
      <c r="I557" s="1178">
        <f t="shared" si="44"/>
        <v>-1.31</v>
      </c>
      <c r="J557" s="1179"/>
    </row>
    <row r="558" spans="1:10" s="1209" customFormat="1">
      <c r="A558" s="1185"/>
      <c r="B558" s="1202" t="s">
        <v>3486</v>
      </c>
      <c r="C558" s="1186"/>
      <c r="D558" s="1186"/>
      <c r="E558" s="1186"/>
      <c r="F558" s="1177"/>
      <c r="G558" s="1177"/>
      <c r="H558" s="1177"/>
      <c r="I558" s="1178"/>
      <c r="J558" s="1291"/>
    </row>
    <row r="559" spans="1:10" s="1209" customFormat="1">
      <c r="A559" s="1185"/>
      <c r="B559" s="1199" t="s">
        <v>3626</v>
      </c>
      <c r="C559" s="1186">
        <v>1</v>
      </c>
      <c r="D559" s="1186" t="s">
        <v>3364</v>
      </c>
      <c r="E559" s="1186">
        <v>2</v>
      </c>
      <c r="F559" s="1177">
        <v>13.202</v>
      </c>
      <c r="G559" s="1177"/>
      <c r="H559" s="1177">
        <v>3.0249999999999999</v>
      </c>
      <c r="I559" s="1178">
        <f>PRODUCT(C559:H559)</f>
        <v>79.87</v>
      </c>
      <c r="J559" s="1291"/>
    </row>
    <row r="560" spans="1:10" s="1209" customFormat="1">
      <c r="A560" s="1185"/>
      <c r="B560" s="1252" t="s">
        <v>6659</v>
      </c>
      <c r="C560" s="1186">
        <v>1</v>
      </c>
      <c r="D560" s="1186" t="s">
        <v>3364</v>
      </c>
      <c r="E560" s="1186">
        <v>1</v>
      </c>
      <c r="F560" s="1177">
        <f>(12.738+4.902)*2</f>
        <v>35.28</v>
      </c>
      <c r="G560" s="1177"/>
      <c r="H560" s="1177">
        <v>3.0249999999999999</v>
      </c>
      <c r="I560" s="1178">
        <f>PRODUCT(C560:H560)</f>
        <v>106.72</v>
      </c>
      <c r="J560" s="1291"/>
    </row>
    <row r="561" spans="1:10" s="1209" customFormat="1">
      <c r="A561" s="1185"/>
      <c r="B561" s="1252" t="s">
        <v>6596</v>
      </c>
      <c r="C561" s="1186">
        <v>1</v>
      </c>
      <c r="D561" s="1186" t="s">
        <v>3364</v>
      </c>
      <c r="E561" s="1186">
        <v>1</v>
      </c>
      <c r="F561" s="1177">
        <f>(10.51+14.346)*2</f>
        <v>49.712000000000003</v>
      </c>
      <c r="G561" s="1177"/>
      <c r="H561" s="1177">
        <v>3.0249999999999999</v>
      </c>
      <c r="I561" s="1178">
        <f>PRODUCT(C561:H561)</f>
        <v>150.38</v>
      </c>
      <c r="J561" s="1291"/>
    </row>
    <row r="562" spans="1:10" s="1209" customFormat="1">
      <c r="A562" s="1185"/>
      <c r="B562" s="1252" t="s">
        <v>6594</v>
      </c>
      <c r="C562" s="1186">
        <v>1</v>
      </c>
      <c r="D562" s="1186" t="s">
        <v>3364</v>
      </c>
      <c r="E562" s="1186">
        <v>1</v>
      </c>
      <c r="F562" s="1177">
        <f>(5.39+4.86)*2</f>
        <v>20.5</v>
      </c>
      <c r="G562" s="1177"/>
      <c r="H562" s="1177">
        <v>3.0249999999999999</v>
      </c>
      <c r="I562" s="1178">
        <f t="shared" ref="I562:I572" si="46">PRODUCT(C562:H562)</f>
        <v>62.01</v>
      </c>
      <c r="J562" s="1291"/>
    </row>
    <row r="563" spans="1:10" s="1209" customFormat="1">
      <c r="A563" s="1185"/>
      <c r="B563" s="1252" t="s">
        <v>3489</v>
      </c>
      <c r="C563" s="1186">
        <v>2</v>
      </c>
      <c r="D563" s="1186" t="s">
        <v>3364</v>
      </c>
      <c r="E563" s="1186">
        <v>1</v>
      </c>
      <c r="F563" s="1177">
        <f>(2+1.315)*2</f>
        <v>6.63</v>
      </c>
      <c r="G563" s="1177"/>
      <c r="H563" s="1177">
        <v>3.0249999999999999</v>
      </c>
      <c r="I563" s="1178">
        <f t="shared" si="46"/>
        <v>40.11</v>
      </c>
      <c r="J563" s="1291"/>
    </row>
    <row r="564" spans="1:10" s="1209" customFormat="1">
      <c r="A564" s="1185"/>
      <c r="B564" s="1252" t="s">
        <v>6660</v>
      </c>
      <c r="C564" s="1186">
        <v>2</v>
      </c>
      <c r="D564" s="1186" t="s">
        <v>3364</v>
      </c>
      <c r="E564" s="1186">
        <v>1</v>
      </c>
      <c r="F564" s="1177">
        <f>1.315*2</f>
        <v>2.63</v>
      </c>
      <c r="G564" s="1177"/>
      <c r="H564" s="1177">
        <v>3.0249999999999999</v>
      </c>
      <c r="I564" s="1178">
        <f t="shared" si="46"/>
        <v>15.91</v>
      </c>
      <c r="J564" s="1291"/>
    </row>
    <row r="565" spans="1:10" s="1209" customFormat="1" ht="16.149999999999999" customHeight="1">
      <c r="A565" s="1185"/>
      <c r="B565" s="1252" t="s">
        <v>6661</v>
      </c>
      <c r="C565" s="1186">
        <v>2</v>
      </c>
      <c r="D565" s="1186" t="s">
        <v>3364</v>
      </c>
      <c r="E565" s="1186">
        <v>1</v>
      </c>
      <c r="F565" s="1177">
        <f>(3.775+6.339)*2</f>
        <v>20.228000000000002</v>
      </c>
      <c r="G565" s="1177"/>
      <c r="H565" s="1177">
        <v>3.0249999999999999</v>
      </c>
      <c r="I565" s="1178">
        <f t="shared" si="46"/>
        <v>122.38</v>
      </c>
      <c r="J565" s="1291"/>
    </row>
    <row r="566" spans="1:10" s="1209" customFormat="1" ht="16.149999999999999" customHeight="1">
      <c r="A566" s="1185"/>
      <c r="B566" s="1252" t="s">
        <v>6586</v>
      </c>
      <c r="C566" s="1186">
        <v>1</v>
      </c>
      <c r="D566" s="1186" t="s">
        <v>3364</v>
      </c>
      <c r="E566" s="1186">
        <v>1</v>
      </c>
      <c r="F566" s="1177">
        <f>(2+1.315)*2</f>
        <v>6.63</v>
      </c>
      <c r="G566" s="1177"/>
      <c r="H566" s="1177">
        <v>3.0249999999999999</v>
      </c>
      <c r="I566" s="1178">
        <f t="shared" si="46"/>
        <v>20.059999999999999</v>
      </c>
      <c r="J566" s="1291"/>
    </row>
    <row r="567" spans="1:10" s="1209" customFormat="1" ht="16.149999999999999" customHeight="1">
      <c r="A567" s="1185"/>
      <c r="B567" s="1252" t="s">
        <v>6662</v>
      </c>
      <c r="C567" s="1186">
        <v>1</v>
      </c>
      <c r="D567" s="1186" t="s">
        <v>3364</v>
      </c>
      <c r="E567" s="1186">
        <v>1</v>
      </c>
      <c r="F567" s="1177">
        <f>(4.67+1.2)*2</f>
        <v>11.74</v>
      </c>
      <c r="G567" s="1177"/>
      <c r="H567" s="1177">
        <v>3.0249999999999999</v>
      </c>
      <c r="I567" s="1178">
        <f t="shared" si="46"/>
        <v>35.51</v>
      </c>
      <c r="J567" s="1291"/>
    </row>
    <row r="568" spans="1:10" s="1209" customFormat="1">
      <c r="A568" s="1185"/>
      <c r="B568" s="1199" t="s">
        <v>6663</v>
      </c>
      <c r="C568" s="1186">
        <v>1</v>
      </c>
      <c r="D568" s="1186" t="s">
        <v>3364</v>
      </c>
      <c r="E568" s="1186">
        <v>1</v>
      </c>
      <c r="F568" s="1177">
        <f>(21.817+2)*2</f>
        <v>47.634</v>
      </c>
      <c r="G568" s="1177"/>
      <c r="H568" s="1177">
        <v>3.0249999999999999</v>
      </c>
      <c r="I568" s="1178">
        <f t="shared" si="46"/>
        <v>144.09</v>
      </c>
      <c r="J568" s="1291"/>
    </row>
    <row r="569" spans="1:10" s="1209" customFormat="1">
      <c r="A569" s="1185"/>
      <c r="B569" s="1199" t="s">
        <v>6664</v>
      </c>
      <c r="C569" s="1186">
        <v>1</v>
      </c>
      <c r="D569" s="1186" t="s">
        <v>3364</v>
      </c>
      <c r="E569" s="1186">
        <v>1</v>
      </c>
      <c r="F569" s="1177">
        <f>(15.168+2.925)*2</f>
        <v>36.186</v>
      </c>
      <c r="G569" s="1177"/>
      <c r="H569" s="1177">
        <v>3.0249999999999999</v>
      </c>
      <c r="I569" s="1178">
        <f t="shared" si="46"/>
        <v>109.46</v>
      </c>
      <c r="J569" s="1291"/>
    </row>
    <row r="570" spans="1:10" s="1209" customFormat="1">
      <c r="A570" s="1185"/>
      <c r="B570" s="1199" t="s">
        <v>6665</v>
      </c>
      <c r="C570" s="1186">
        <v>10</v>
      </c>
      <c r="D570" s="1186" t="s">
        <v>3364</v>
      </c>
      <c r="E570" s="1186">
        <v>1</v>
      </c>
      <c r="F570" s="1177">
        <f>(1.2+1.5)*2</f>
        <v>5.4</v>
      </c>
      <c r="G570" s="1177"/>
      <c r="H570" s="1177">
        <v>3.0249999999999999</v>
      </c>
      <c r="I570" s="1178">
        <f t="shared" si="46"/>
        <v>163.35</v>
      </c>
      <c r="J570" s="1291"/>
    </row>
    <row r="571" spans="1:10" s="1209" customFormat="1">
      <c r="A571" s="1185"/>
      <c r="B571" s="1199" t="s">
        <v>6666</v>
      </c>
      <c r="C571" s="1186">
        <v>1</v>
      </c>
      <c r="D571" s="1186" t="s">
        <v>3364</v>
      </c>
      <c r="E571" s="1186">
        <v>1</v>
      </c>
      <c r="F571" s="1177">
        <f>(1.9+2.7)*2</f>
        <v>9.1999999999999993</v>
      </c>
      <c r="G571" s="1177"/>
      <c r="H571" s="1177">
        <v>3.0249999999999999</v>
      </c>
      <c r="I571" s="1178">
        <f>PRODUCT(C571:H571)</f>
        <v>27.83</v>
      </c>
      <c r="J571" s="1291"/>
    </row>
    <row r="572" spans="1:10" s="1209" customFormat="1">
      <c r="A572" s="1185"/>
      <c r="B572" s="1199" t="s">
        <v>6651</v>
      </c>
      <c r="C572" s="1186">
        <v>2</v>
      </c>
      <c r="D572" s="1186" t="s">
        <v>3364</v>
      </c>
      <c r="E572" s="1186">
        <v>1</v>
      </c>
      <c r="F572" s="1177">
        <f>(7.8+2.925)</f>
        <v>10.725</v>
      </c>
      <c r="G572" s="1177"/>
      <c r="H572" s="1177">
        <v>3.0249999999999999</v>
      </c>
      <c r="I572" s="1178">
        <f t="shared" si="46"/>
        <v>64.89</v>
      </c>
      <c r="J572" s="1291"/>
    </row>
    <row r="573" spans="1:10" s="1209" customFormat="1">
      <c r="A573" s="1185"/>
      <c r="B573" s="1202" t="s">
        <v>6657</v>
      </c>
      <c r="C573" s="1186"/>
      <c r="D573" s="1186"/>
      <c r="E573" s="1186"/>
      <c r="F573" s="1177"/>
      <c r="G573" s="1177"/>
      <c r="H573" s="1177"/>
      <c r="I573" s="1178"/>
      <c r="J573" s="1291"/>
    </row>
    <row r="574" spans="1:10" s="1209" customFormat="1">
      <c r="A574" s="1176"/>
      <c r="B574" s="1199" t="s">
        <v>6594</v>
      </c>
      <c r="C574" s="1251">
        <v>2</v>
      </c>
      <c r="D574" s="1251" t="s">
        <v>3364</v>
      </c>
      <c r="E574" s="1251">
        <v>2</v>
      </c>
      <c r="F574" s="1177">
        <v>0.6</v>
      </c>
      <c r="G574" s="1177"/>
      <c r="H574" s="1177">
        <v>2.1</v>
      </c>
      <c r="I574" s="1178">
        <f t="shared" ref="I574:I581" si="47">PRODUCT(C574:H574)</f>
        <v>5.04</v>
      </c>
      <c r="J574" s="1179"/>
    </row>
    <row r="575" spans="1:10" s="1209" customFormat="1">
      <c r="A575" s="1176"/>
      <c r="B575" s="1199" t="s">
        <v>6595</v>
      </c>
      <c r="C575" s="1251">
        <v>2</v>
      </c>
      <c r="D575" s="1251" t="s">
        <v>3364</v>
      </c>
      <c r="E575" s="1251">
        <v>4</v>
      </c>
      <c r="F575" s="1177">
        <v>0.6</v>
      </c>
      <c r="G575" s="1177"/>
      <c r="H575" s="1177">
        <v>2.1</v>
      </c>
      <c r="I575" s="1178">
        <f t="shared" si="47"/>
        <v>10.08</v>
      </c>
      <c r="J575" s="1179"/>
    </row>
    <row r="576" spans="1:10" s="1209" customFormat="1">
      <c r="A576" s="1176"/>
      <c r="B576" s="1199" t="s">
        <v>6596</v>
      </c>
      <c r="C576" s="1251">
        <v>2</v>
      </c>
      <c r="D576" s="1251" t="s">
        <v>3364</v>
      </c>
      <c r="E576" s="1251">
        <v>60</v>
      </c>
      <c r="F576" s="1177">
        <v>0.6</v>
      </c>
      <c r="G576" s="1177"/>
      <c r="H576" s="1177">
        <v>2.1</v>
      </c>
      <c r="I576" s="1178">
        <f t="shared" si="47"/>
        <v>151.19999999999999</v>
      </c>
      <c r="J576" s="1179"/>
    </row>
    <row r="577" spans="1:10" s="1209" customFormat="1">
      <c r="A577" s="1176"/>
      <c r="B577" s="1199" t="s">
        <v>6597</v>
      </c>
      <c r="C577" s="1251">
        <v>2</v>
      </c>
      <c r="D577" s="1251" t="s">
        <v>3364</v>
      </c>
      <c r="E577" s="1251">
        <v>24</v>
      </c>
      <c r="F577" s="1177">
        <v>0.6</v>
      </c>
      <c r="G577" s="1177"/>
      <c r="H577" s="1177">
        <v>2.1</v>
      </c>
      <c r="I577" s="1178">
        <f>PRODUCT(C577:H577)</f>
        <v>60.48</v>
      </c>
      <c r="J577" s="1179"/>
    </row>
    <row r="578" spans="1:10" s="1209" customFormat="1">
      <c r="A578" s="1185"/>
      <c r="B578" s="1199" t="s">
        <v>3504</v>
      </c>
      <c r="C578" s="1186"/>
      <c r="D578" s="1186"/>
      <c r="E578" s="1186"/>
      <c r="F578" s="1177"/>
      <c r="G578" s="1177"/>
      <c r="H578" s="1177"/>
      <c r="I578" s="1178">
        <f t="shared" si="47"/>
        <v>0</v>
      </c>
      <c r="J578" s="1291"/>
    </row>
    <row r="579" spans="1:10" s="1209" customFormat="1">
      <c r="A579" s="1176"/>
      <c r="B579" s="1199" t="s">
        <v>6594</v>
      </c>
      <c r="C579" s="1251">
        <v>1</v>
      </c>
      <c r="D579" s="1251" t="s">
        <v>3364</v>
      </c>
      <c r="E579" s="1251">
        <v>1</v>
      </c>
      <c r="F579" s="1177">
        <v>5.39</v>
      </c>
      <c r="G579" s="1177">
        <v>0.6</v>
      </c>
      <c r="H579" s="1177"/>
      <c r="I579" s="1178">
        <f t="shared" si="47"/>
        <v>3.23</v>
      </c>
      <c r="J579" s="1179"/>
    </row>
    <row r="580" spans="1:10" s="1209" customFormat="1">
      <c r="A580" s="1176"/>
      <c r="B580" s="1199" t="s">
        <v>6667</v>
      </c>
      <c r="C580" s="1251">
        <v>1</v>
      </c>
      <c r="D580" s="1251" t="s">
        <v>3364</v>
      </c>
      <c r="E580" s="1251">
        <v>1</v>
      </c>
      <c r="F580" s="1177">
        <v>3.7749999999999999</v>
      </c>
      <c r="G580" s="1177">
        <v>0.6</v>
      </c>
      <c r="H580" s="1177"/>
      <c r="I580" s="1178">
        <f t="shared" si="47"/>
        <v>2.27</v>
      </c>
      <c r="J580" s="1179"/>
    </row>
    <row r="581" spans="1:10" s="1209" customFormat="1">
      <c r="A581" s="1176"/>
      <c r="B581" s="1199" t="s">
        <v>6597</v>
      </c>
      <c r="C581" s="1251">
        <v>2</v>
      </c>
      <c r="D581" s="1251" t="s">
        <v>3364</v>
      </c>
      <c r="E581" s="1251">
        <v>1</v>
      </c>
      <c r="F581" s="1177">
        <v>4.9000000000000004</v>
      </c>
      <c r="G581" s="1177">
        <v>0.6</v>
      </c>
      <c r="H581" s="1177"/>
      <c r="I581" s="1178">
        <f t="shared" si="47"/>
        <v>5.88</v>
      </c>
      <c r="J581" s="1179"/>
    </row>
    <row r="582" spans="1:10" s="1209" customFormat="1">
      <c r="A582" s="1176"/>
      <c r="B582" s="1202" t="s">
        <v>6533</v>
      </c>
      <c r="C582" s="1251"/>
      <c r="D582" s="1251"/>
      <c r="E582" s="1251"/>
      <c r="F582" s="1177"/>
      <c r="G582" s="1177"/>
      <c r="H582" s="1177"/>
      <c r="I582" s="1178"/>
      <c r="J582" s="1179"/>
    </row>
    <row r="583" spans="1:10" s="1209" customFormat="1">
      <c r="A583" s="1176"/>
      <c r="B583" s="1199" t="s">
        <v>3363</v>
      </c>
      <c r="C583" s="1251">
        <v>4</v>
      </c>
      <c r="D583" s="1251">
        <v>2</v>
      </c>
      <c r="E583" s="1251">
        <v>-1</v>
      </c>
      <c r="F583" s="1272">
        <v>1</v>
      </c>
      <c r="G583" s="1272"/>
      <c r="H583" s="1272">
        <v>2.4</v>
      </c>
      <c r="I583" s="1178">
        <f t="shared" ref="I583:I589" si="48">PRODUCT(C583:H583)</f>
        <v>-19.2</v>
      </c>
      <c r="J583" s="1179"/>
    </row>
    <row r="584" spans="1:10" s="1209" customFormat="1">
      <c r="A584" s="1176"/>
      <c r="B584" s="1199" t="s">
        <v>6971</v>
      </c>
      <c r="C584" s="1251">
        <v>13</v>
      </c>
      <c r="D584" s="1251">
        <v>2</v>
      </c>
      <c r="E584" s="1251">
        <v>-1</v>
      </c>
      <c r="F584" s="1272">
        <v>0.75</v>
      </c>
      <c r="G584" s="1272"/>
      <c r="H584" s="1272">
        <v>2.1</v>
      </c>
      <c r="I584" s="1178">
        <f t="shared" si="48"/>
        <v>-40.950000000000003</v>
      </c>
      <c r="J584" s="1179"/>
    </row>
    <row r="585" spans="1:10" s="1209" customFormat="1">
      <c r="A585" s="1176"/>
      <c r="B585" s="1199" t="s">
        <v>3414</v>
      </c>
      <c r="C585" s="1251">
        <v>14</v>
      </c>
      <c r="D585" s="1251">
        <v>2</v>
      </c>
      <c r="E585" s="1251">
        <v>-1</v>
      </c>
      <c r="F585" s="1272">
        <v>1.5</v>
      </c>
      <c r="G585" s="1272"/>
      <c r="H585" s="1272">
        <v>1.35</v>
      </c>
      <c r="I585" s="1178">
        <f t="shared" si="48"/>
        <v>-56.7</v>
      </c>
      <c r="J585" s="1179"/>
    </row>
    <row r="586" spans="1:10" s="1209" customFormat="1">
      <c r="A586" s="1176"/>
      <c r="B586" s="1199" t="s">
        <v>6965</v>
      </c>
      <c r="C586" s="1251">
        <v>1</v>
      </c>
      <c r="D586" s="1251">
        <v>2</v>
      </c>
      <c r="E586" s="1251">
        <v>-1</v>
      </c>
      <c r="F586" s="1272">
        <v>0.9</v>
      </c>
      <c r="G586" s="1272"/>
      <c r="H586" s="1272">
        <v>0.6</v>
      </c>
      <c r="I586" s="1178">
        <f t="shared" si="48"/>
        <v>-1.08</v>
      </c>
      <c r="J586" s="1179"/>
    </row>
    <row r="587" spans="1:10" s="1209" customFormat="1">
      <c r="A587" s="1176"/>
      <c r="B587" s="1199" t="s">
        <v>6967</v>
      </c>
      <c r="C587" s="1251">
        <v>4</v>
      </c>
      <c r="D587" s="1251">
        <v>2</v>
      </c>
      <c r="E587" s="1251">
        <v>-1</v>
      </c>
      <c r="F587" s="1272">
        <v>0.75</v>
      </c>
      <c r="G587" s="1272"/>
      <c r="H587" s="1272">
        <v>0.6</v>
      </c>
      <c r="I587" s="1178">
        <f t="shared" si="48"/>
        <v>-3.6</v>
      </c>
      <c r="J587" s="1179"/>
    </row>
    <row r="588" spans="1:10" s="1209" customFormat="1">
      <c r="A588" s="1176"/>
      <c r="B588" s="1199" t="s">
        <v>3399</v>
      </c>
      <c r="C588" s="1251">
        <v>1</v>
      </c>
      <c r="D588" s="1251">
        <v>2</v>
      </c>
      <c r="E588" s="1251">
        <v>-1</v>
      </c>
      <c r="F588" s="1272">
        <v>0.9</v>
      </c>
      <c r="G588" s="1272"/>
      <c r="H588" s="1272">
        <v>2</v>
      </c>
      <c r="I588" s="1178">
        <f t="shared" si="48"/>
        <v>-3.6</v>
      </c>
      <c r="J588" s="1179"/>
    </row>
    <row r="589" spans="1:10" s="1209" customFormat="1">
      <c r="A589" s="1176"/>
      <c r="B589" s="1199" t="s">
        <v>6969</v>
      </c>
      <c r="C589" s="1251">
        <v>1</v>
      </c>
      <c r="D589" s="1251">
        <v>2</v>
      </c>
      <c r="E589" s="1251">
        <v>-1</v>
      </c>
      <c r="F589" s="1272">
        <v>1.5</v>
      </c>
      <c r="G589" s="1272"/>
      <c r="H589" s="1272">
        <v>1.35</v>
      </c>
      <c r="I589" s="1178">
        <f t="shared" si="48"/>
        <v>-4.05</v>
      </c>
      <c r="J589" s="1179"/>
    </row>
    <row r="590" spans="1:10" s="1209" customFormat="1">
      <c r="A590" s="1185"/>
      <c r="B590" s="1202" t="s">
        <v>6658</v>
      </c>
      <c r="C590" s="1186"/>
      <c r="D590" s="1186"/>
      <c r="E590" s="1186"/>
      <c r="F590" s="1177"/>
      <c r="G590" s="1177"/>
      <c r="H590" s="1177"/>
      <c r="I590" s="1178"/>
      <c r="J590" s="1291"/>
    </row>
    <row r="591" spans="1:10" s="1209" customFormat="1">
      <c r="A591" s="1176"/>
      <c r="B591" s="1199" t="s">
        <v>3363</v>
      </c>
      <c r="C591" s="1251">
        <v>4</v>
      </c>
      <c r="D591" s="1251">
        <v>2</v>
      </c>
      <c r="E591" s="1251">
        <v>-1</v>
      </c>
      <c r="F591" s="1272">
        <f>(F583+H583)*2</f>
        <v>6.8</v>
      </c>
      <c r="G591" s="1272">
        <v>0.23</v>
      </c>
      <c r="H591" s="1272"/>
      <c r="I591" s="1178">
        <f t="shared" ref="I591:I597" si="49">PRODUCT(C591:H591)</f>
        <v>-12.51</v>
      </c>
      <c r="J591" s="1179"/>
    </row>
    <row r="592" spans="1:10" s="1209" customFormat="1">
      <c r="A592" s="1176"/>
      <c r="B592" s="1199" t="s">
        <v>6971</v>
      </c>
      <c r="C592" s="1251">
        <v>13</v>
      </c>
      <c r="D592" s="1251">
        <v>2</v>
      </c>
      <c r="E592" s="1251">
        <v>-1</v>
      </c>
      <c r="F592" s="1272">
        <f t="shared" ref="F592:F597" si="50">(F584+H584)*2</f>
        <v>5.7</v>
      </c>
      <c r="G592" s="1272">
        <v>0.23</v>
      </c>
      <c r="H592" s="1272"/>
      <c r="I592" s="1178">
        <f t="shared" si="49"/>
        <v>-34.090000000000003</v>
      </c>
      <c r="J592" s="1179"/>
    </row>
    <row r="593" spans="1:10" s="1209" customFormat="1">
      <c r="A593" s="1176"/>
      <c r="B593" s="1199" t="s">
        <v>3414</v>
      </c>
      <c r="C593" s="1251">
        <v>14</v>
      </c>
      <c r="D593" s="1251">
        <v>2</v>
      </c>
      <c r="E593" s="1251">
        <v>-1</v>
      </c>
      <c r="F593" s="1272">
        <f t="shared" si="50"/>
        <v>5.7</v>
      </c>
      <c r="G593" s="1272">
        <v>0.23</v>
      </c>
      <c r="H593" s="1272"/>
      <c r="I593" s="1178">
        <f t="shared" si="49"/>
        <v>-36.71</v>
      </c>
      <c r="J593" s="1179"/>
    </row>
    <row r="594" spans="1:10" s="1209" customFormat="1">
      <c r="A594" s="1176"/>
      <c r="B594" s="1199" t="s">
        <v>6965</v>
      </c>
      <c r="C594" s="1251">
        <v>1</v>
      </c>
      <c r="D594" s="1251">
        <v>2</v>
      </c>
      <c r="E594" s="1251">
        <v>-1</v>
      </c>
      <c r="F594" s="1272">
        <f t="shared" si="50"/>
        <v>3</v>
      </c>
      <c r="G594" s="1272">
        <v>0.23</v>
      </c>
      <c r="H594" s="1272"/>
      <c r="I594" s="1178">
        <f t="shared" si="49"/>
        <v>-1.38</v>
      </c>
      <c r="J594" s="1179"/>
    </row>
    <row r="595" spans="1:10" s="1209" customFormat="1">
      <c r="A595" s="1176"/>
      <c r="B595" s="1199" t="s">
        <v>6967</v>
      </c>
      <c r="C595" s="1251">
        <v>4</v>
      </c>
      <c r="D595" s="1251">
        <v>2</v>
      </c>
      <c r="E595" s="1251">
        <v>-1</v>
      </c>
      <c r="F595" s="1272">
        <f t="shared" si="50"/>
        <v>2.7</v>
      </c>
      <c r="G595" s="1272">
        <v>0.23</v>
      </c>
      <c r="H595" s="1272"/>
      <c r="I595" s="1178">
        <f t="shared" si="49"/>
        <v>-4.97</v>
      </c>
      <c r="J595" s="1179"/>
    </row>
    <row r="596" spans="1:10" s="1209" customFormat="1">
      <c r="A596" s="1176"/>
      <c r="B596" s="1199" t="s">
        <v>3399</v>
      </c>
      <c r="C596" s="1251">
        <v>1</v>
      </c>
      <c r="D596" s="1251">
        <v>2</v>
      </c>
      <c r="E596" s="1251">
        <v>-1</v>
      </c>
      <c r="F596" s="1272">
        <f t="shared" si="50"/>
        <v>5.8</v>
      </c>
      <c r="G596" s="1272">
        <v>0.23</v>
      </c>
      <c r="H596" s="1272"/>
      <c r="I596" s="1178">
        <f t="shared" si="49"/>
        <v>-2.67</v>
      </c>
      <c r="J596" s="1179"/>
    </row>
    <row r="597" spans="1:10" s="1209" customFormat="1">
      <c r="A597" s="1176"/>
      <c r="B597" s="1199" t="s">
        <v>6969</v>
      </c>
      <c r="C597" s="1251">
        <v>1</v>
      </c>
      <c r="D597" s="1251">
        <v>2</v>
      </c>
      <c r="E597" s="1251">
        <v>-1</v>
      </c>
      <c r="F597" s="1272">
        <f t="shared" si="50"/>
        <v>5.7</v>
      </c>
      <c r="G597" s="1272">
        <v>0.23</v>
      </c>
      <c r="H597" s="1272"/>
      <c r="I597" s="1178">
        <f t="shared" si="49"/>
        <v>-2.62</v>
      </c>
      <c r="J597" s="1179"/>
    </row>
    <row r="598" spans="1:10" s="1209" customFormat="1" ht="18.75" customHeight="1">
      <c r="A598" s="1176"/>
      <c r="B598" s="1202" t="s">
        <v>3691</v>
      </c>
      <c r="C598" s="1251"/>
      <c r="D598" s="1251"/>
      <c r="E598" s="1251"/>
      <c r="F598" s="1177"/>
      <c r="G598" s="1177"/>
      <c r="H598" s="1177"/>
      <c r="I598" s="1178">
        <f t="shared" ref="I598:I610" si="51">PRODUCT(C598:H598)</f>
        <v>0</v>
      </c>
      <c r="J598" s="1179"/>
    </row>
    <row r="599" spans="1:10" s="1209" customFormat="1" ht="18.75" customHeight="1">
      <c r="A599" s="1176"/>
      <c r="B599" s="1199" t="s">
        <v>6669</v>
      </c>
      <c r="C599" s="1186">
        <v>1</v>
      </c>
      <c r="D599" s="1186" t="s">
        <v>3364</v>
      </c>
      <c r="E599" s="1186">
        <v>1</v>
      </c>
      <c r="F599" s="1177">
        <f>(9.605+8.81)*2</f>
        <v>36.83</v>
      </c>
      <c r="G599" s="1177"/>
      <c r="H599" s="1177">
        <v>3.0249999999999999</v>
      </c>
      <c r="I599" s="1178">
        <f t="shared" si="51"/>
        <v>111.41</v>
      </c>
      <c r="J599" s="1179"/>
    </row>
    <row r="600" spans="1:10" s="1209" customFormat="1" ht="18.75" customHeight="1">
      <c r="A600" s="1176"/>
      <c r="B600" s="1199" t="s">
        <v>6670</v>
      </c>
      <c r="C600" s="1186">
        <v>1</v>
      </c>
      <c r="D600" s="1186" t="s">
        <v>3364</v>
      </c>
      <c r="E600" s="1186">
        <v>1</v>
      </c>
      <c r="F600" s="1177">
        <f>(6.5+3.7)*2</f>
        <v>20.399999999999999</v>
      </c>
      <c r="G600" s="1177"/>
      <c r="H600" s="1177">
        <v>3.0249999999999999</v>
      </c>
      <c r="I600" s="1178">
        <f t="shared" si="51"/>
        <v>61.71</v>
      </c>
      <c r="J600" s="1179"/>
    </row>
    <row r="601" spans="1:10" s="1209" customFormat="1" ht="18.75" customHeight="1">
      <c r="A601" s="1176"/>
      <c r="B601" s="1199" t="s">
        <v>6671</v>
      </c>
      <c r="C601" s="1186">
        <v>1</v>
      </c>
      <c r="D601" s="1186" t="s">
        <v>3364</v>
      </c>
      <c r="E601" s="1186">
        <v>1</v>
      </c>
      <c r="F601" s="1177">
        <f>(2.99+1.5)*2</f>
        <v>8.98</v>
      </c>
      <c r="G601" s="1177"/>
      <c r="H601" s="1177">
        <v>3.0249999999999999</v>
      </c>
      <c r="I601" s="1178">
        <f t="shared" si="51"/>
        <v>27.16</v>
      </c>
      <c r="J601" s="1179"/>
    </row>
    <row r="602" spans="1:10" s="1209" customFormat="1" ht="18.75" customHeight="1">
      <c r="A602" s="1176"/>
      <c r="B602" s="1199" t="s">
        <v>6672</v>
      </c>
      <c r="C602" s="1186">
        <v>1</v>
      </c>
      <c r="D602" s="1186" t="s">
        <v>3364</v>
      </c>
      <c r="E602" s="1186">
        <v>1</v>
      </c>
      <c r="F602" s="1177">
        <f>(19.357+10.508)*2</f>
        <v>59.73</v>
      </c>
      <c r="G602" s="1177"/>
      <c r="H602" s="1177">
        <v>3.0249999999999999</v>
      </c>
      <c r="I602" s="1178">
        <f t="shared" si="51"/>
        <v>180.68</v>
      </c>
      <c r="J602" s="1179"/>
    </row>
    <row r="603" spans="1:10" s="1209" customFormat="1" ht="18.75" customHeight="1">
      <c r="A603" s="1176"/>
      <c r="B603" s="1199" t="s">
        <v>6673</v>
      </c>
      <c r="C603" s="1186">
        <v>1</v>
      </c>
      <c r="D603" s="1186" t="s">
        <v>3364</v>
      </c>
      <c r="E603" s="1186">
        <v>1</v>
      </c>
      <c r="F603" s="1177">
        <f>(5.39+4.79)*2</f>
        <v>20.36</v>
      </c>
      <c r="G603" s="1177"/>
      <c r="H603" s="1177">
        <v>3.0249999999999999</v>
      </c>
      <c r="I603" s="1178">
        <f t="shared" si="51"/>
        <v>61.59</v>
      </c>
      <c r="J603" s="1179"/>
    </row>
    <row r="604" spans="1:10" s="1209" customFormat="1" ht="18.75" customHeight="1">
      <c r="A604" s="1176"/>
      <c r="B604" s="1199" t="s">
        <v>6674</v>
      </c>
      <c r="C604" s="1186">
        <v>1</v>
      </c>
      <c r="D604" s="1186" t="s">
        <v>3364</v>
      </c>
      <c r="E604" s="1186">
        <v>1</v>
      </c>
      <c r="F604" s="1177">
        <f>(5.39+5.531)*2</f>
        <v>21.841999999999999</v>
      </c>
      <c r="G604" s="1177"/>
      <c r="H604" s="1177">
        <v>3.0249999999999999</v>
      </c>
      <c r="I604" s="1178">
        <f t="shared" si="51"/>
        <v>66.069999999999993</v>
      </c>
      <c r="J604" s="1179"/>
    </row>
    <row r="605" spans="1:10" s="1209" customFormat="1" ht="18.75" customHeight="1">
      <c r="A605" s="1176"/>
      <c r="B605" s="1199" t="s">
        <v>6675</v>
      </c>
      <c r="C605" s="1186">
        <v>1</v>
      </c>
      <c r="D605" s="1186" t="s">
        <v>3364</v>
      </c>
      <c r="E605" s="1186">
        <v>1</v>
      </c>
      <c r="F605" s="1177">
        <f>(2+1.435)*2</f>
        <v>6.87</v>
      </c>
      <c r="G605" s="1177"/>
      <c r="H605" s="1177">
        <v>3.0249999999999999</v>
      </c>
      <c r="I605" s="1178">
        <f t="shared" si="51"/>
        <v>20.78</v>
      </c>
      <c r="J605" s="1179"/>
    </row>
    <row r="606" spans="1:10" s="1209" customFormat="1" ht="18.75" customHeight="1">
      <c r="A606" s="1176"/>
      <c r="B606" s="1199" t="s">
        <v>6676</v>
      </c>
      <c r="C606" s="1186">
        <v>1</v>
      </c>
      <c r="D606" s="1186" t="s">
        <v>3364</v>
      </c>
      <c r="E606" s="1186">
        <v>1</v>
      </c>
      <c r="F606" s="1177">
        <f>(21.817+2)*2</f>
        <v>47.634</v>
      </c>
      <c r="G606" s="1177"/>
      <c r="H606" s="1177">
        <v>3.0249999999999999</v>
      </c>
      <c r="I606" s="1178">
        <f t="shared" si="51"/>
        <v>144.09</v>
      </c>
      <c r="J606" s="1179"/>
    </row>
    <row r="607" spans="1:10" s="1209" customFormat="1">
      <c r="A607" s="1185"/>
      <c r="B607" s="1199" t="s">
        <v>6664</v>
      </c>
      <c r="C607" s="1186">
        <v>1</v>
      </c>
      <c r="D607" s="1186" t="s">
        <v>3364</v>
      </c>
      <c r="E607" s="1186">
        <v>1</v>
      </c>
      <c r="F607" s="1177">
        <f>(15.168+2.925)*2</f>
        <v>36.186</v>
      </c>
      <c r="G607" s="1177"/>
      <c r="H607" s="1177">
        <v>3.0249999999999999</v>
      </c>
      <c r="I607" s="1178">
        <f t="shared" si="51"/>
        <v>109.46</v>
      </c>
      <c r="J607" s="1291"/>
    </row>
    <row r="608" spans="1:10" s="1209" customFormat="1">
      <c r="A608" s="1185"/>
      <c r="B608" s="1199" t="s">
        <v>6665</v>
      </c>
      <c r="C608" s="1186">
        <v>10</v>
      </c>
      <c r="D608" s="1186" t="s">
        <v>3364</v>
      </c>
      <c r="E608" s="1186">
        <v>1</v>
      </c>
      <c r="F608" s="1177">
        <f>(1.2+1.5)*2</f>
        <v>5.4</v>
      </c>
      <c r="G608" s="1177"/>
      <c r="H608" s="1177">
        <v>3.0249999999999999</v>
      </c>
      <c r="I608" s="1178">
        <f t="shared" si="51"/>
        <v>163.35</v>
      </c>
      <c r="J608" s="1291"/>
    </row>
    <row r="609" spans="1:10" s="1209" customFormat="1">
      <c r="A609" s="1185"/>
      <c r="B609" s="1199" t="s">
        <v>6666</v>
      </c>
      <c r="C609" s="1186">
        <v>1</v>
      </c>
      <c r="D609" s="1186" t="s">
        <v>3364</v>
      </c>
      <c r="E609" s="1186">
        <v>2</v>
      </c>
      <c r="F609" s="1177">
        <f>(1.9+2.7)*2</f>
        <v>9.1999999999999993</v>
      </c>
      <c r="G609" s="1177"/>
      <c r="H609" s="1177">
        <v>3.0249999999999999</v>
      </c>
      <c r="I609" s="1178">
        <f t="shared" si="51"/>
        <v>55.66</v>
      </c>
      <c r="J609" s="1291"/>
    </row>
    <row r="610" spans="1:10" s="1209" customFormat="1">
      <c r="A610" s="1185"/>
      <c r="B610" s="1199" t="s">
        <v>6651</v>
      </c>
      <c r="C610" s="1186">
        <v>1</v>
      </c>
      <c r="D610" s="1186" t="s">
        <v>3364</v>
      </c>
      <c r="E610" s="1186">
        <v>1</v>
      </c>
      <c r="F610" s="1177">
        <f>(7.8+2.925)</f>
        <v>10.725</v>
      </c>
      <c r="G610" s="1177"/>
      <c r="H610" s="1177">
        <v>3.0249999999999999</v>
      </c>
      <c r="I610" s="1178">
        <f t="shared" si="51"/>
        <v>32.44</v>
      </c>
      <c r="J610" s="1291"/>
    </row>
    <row r="611" spans="1:10" s="1209" customFormat="1">
      <c r="A611" s="1185"/>
      <c r="B611" s="1202" t="s">
        <v>6657</v>
      </c>
      <c r="C611" s="1186"/>
      <c r="D611" s="1186"/>
      <c r="E611" s="1186"/>
      <c r="F611" s="1177"/>
      <c r="G611" s="1177"/>
      <c r="H611" s="1177"/>
      <c r="I611" s="1178"/>
      <c r="J611" s="1291"/>
    </row>
    <row r="612" spans="1:10" s="1209" customFormat="1">
      <c r="A612" s="1176"/>
      <c r="B612" s="1199" t="s">
        <v>6594</v>
      </c>
      <c r="C612" s="1251">
        <v>2</v>
      </c>
      <c r="D612" s="1251" t="s">
        <v>3364</v>
      </c>
      <c r="E612" s="1251">
        <v>2</v>
      </c>
      <c r="F612" s="1177">
        <v>0.6</v>
      </c>
      <c r="G612" s="1177"/>
      <c r="H612" s="1177">
        <v>2.1</v>
      </c>
      <c r="I612" s="1178">
        <f>PRODUCT(C612:H612)</f>
        <v>5.04</v>
      </c>
      <c r="J612" s="1179"/>
    </row>
    <row r="613" spans="1:10" s="1209" customFormat="1">
      <c r="A613" s="1176"/>
      <c r="B613" s="1199" t="s">
        <v>6590</v>
      </c>
      <c r="C613" s="1251">
        <v>2</v>
      </c>
      <c r="D613" s="1251" t="s">
        <v>3364</v>
      </c>
      <c r="E613" s="1251">
        <v>16</v>
      </c>
      <c r="F613" s="1177">
        <v>0.45</v>
      </c>
      <c r="G613" s="1177"/>
      <c r="H613" s="1177">
        <v>2.1</v>
      </c>
      <c r="I613" s="1178">
        <f>PRODUCT(C613:H613)</f>
        <v>30.24</v>
      </c>
      <c r="J613" s="1179"/>
    </row>
    <row r="614" spans="1:10" s="1209" customFormat="1">
      <c r="A614" s="1176"/>
      <c r="B614" s="1199" t="s">
        <v>6598</v>
      </c>
      <c r="C614" s="1251">
        <v>2</v>
      </c>
      <c r="D614" s="1251" t="s">
        <v>3364</v>
      </c>
      <c r="E614" s="1251">
        <v>6</v>
      </c>
      <c r="F614" s="1177">
        <v>0.6</v>
      </c>
      <c r="G614" s="1177"/>
      <c r="H614" s="1177">
        <v>2.1</v>
      </c>
      <c r="I614" s="1178">
        <f>PRODUCT(C614:H614)</f>
        <v>15.12</v>
      </c>
      <c r="J614" s="1179"/>
    </row>
    <row r="615" spans="1:10" s="1209" customFormat="1">
      <c r="A615" s="1176"/>
      <c r="B615" s="1199" t="s">
        <v>6579</v>
      </c>
      <c r="C615" s="1251">
        <v>2</v>
      </c>
      <c r="D615" s="1251" t="s">
        <v>3364</v>
      </c>
      <c r="E615" s="1251">
        <v>2</v>
      </c>
      <c r="F615" s="1177">
        <v>0.6</v>
      </c>
      <c r="G615" s="1177"/>
      <c r="H615" s="1177">
        <v>2.1</v>
      </c>
      <c r="I615" s="1178">
        <f>PRODUCT(C615:H615)</f>
        <v>5.04</v>
      </c>
      <c r="J615" s="1179"/>
    </row>
    <row r="616" spans="1:10" s="1209" customFormat="1">
      <c r="A616" s="1176"/>
      <c r="B616" s="1202" t="s">
        <v>6533</v>
      </c>
      <c r="C616" s="1251"/>
      <c r="D616" s="1251"/>
      <c r="E616" s="1251"/>
      <c r="F616" s="1177"/>
      <c r="G616" s="1177"/>
      <c r="H616" s="1177"/>
      <c r="I616" s="1178"/>
      <c r="J616" s="1179"/>
    </row>
    <row r="617" spans="1:10" s="1209" customFormat="1">
      <c r="A617" s="1176"/>
      <c r="B617" s="1199" t="s">
        <v>3363</v>
      </c>
      <c r="C617" s="1251">
        <v>4</v>
      </c>
      <c r="D617" s="1251">
        <v>2</v>
      </c>
      <c r="E617" s="1251">
        <v>-1</v>
      </c>
      <c r="F617" s="1272">
        <v>1</v>
      </c>
      <c r="G617" s="1272"/>
      <c r="H617" s="1272">
        <v>2.4</v>
      </c>
      <c r="I617" s="1178">
        <f t="shared" ref="I617:I622" si="52">PRODUCT(C617:H617)</f>
        <v>-19.2</v>
      </c>
      <c r="J617" s="1179"/>
    </row>
    <row r="618" spans="1:10" s="1209" customFormat="1">
      <c r="A618" s="1176"/>
      <c r="B618" s="1199" t="s">
        <v>6971</v>
      </c>
      <c r="C618" s="1251">
        <v>7</v>
      </c>
      <c r="D618" s="1251">
        <v>2</v>
      </c>
      <c r="E618" s="1251">
        <v>-1</v>
      </c>
      <c r="F618" s="1272">
        <v>0.75</v>
      </c>
      <c r="G618" s="1272"/>
      <c r="H618" s="1272">
        <v>2.1</v>
      </c>
      <c r="I618" s="1178">
        <f t="shared" si="52"/>
        <v>-22.05</v>
      </c>
      <c r="J618" s="1179"/>
    </row>
    <row r="619" spans="1:10" s="1209" customFormat="1">
      <c r="A619" s="1176"/>
      <c r="B619" s="1199" t="s">
        <v>3414</v>
      </c>
      <c r="C619" s="1251">
        <v>17</v>
      </c>
      <c r="D619" s="1251">
        <v>2</v>
      </c>
      <c r="E619" s="1251">
        <v>-1</v>
      </c>
      <c r="F619" s="1272">
        <v>1.5</v>
      </c>
      <c r="G619" s="1272"/>
      <c r="H619" s="1272">
        <v>1.35</v>
      </c>
      <c r="I619" s="1178">
        <f t="shared" si="52"/>
        <v>-68.849999999999994</v>
      </c>
      <c r="J619" s="1179"/>
    </row>
    <row r="620" spans="1:10" s="1209" customFormat="1">
      <c r="A620" s="1176"/>
      <c r="B620" s="1199" t="s">
        <v>6965</v>
      </c>
      <c r="C620" s="1251">
        <v>2</v>
      </c>
      <c r="D620" s="1251">
        <v>2</v>
      </c>
      <c r="E620" s="1251">
        <v>-1</v>
      </c>
      <c r="F620" s="1272">
        <v>0.9</v>
      </c>
      <c r="G620" s="1272"/>
      <c r="H620" s="1272">
        <v>0.6</v>
      </c>
      <c r="I620" s="1178">
        <f t="shared" si="52"/>
        <v>-2.16</v>
      </c>
      <c r="J620" s="1179"/>
    </row>
    <row r="621" spans="1:10" s="1209" customFormat="1">
      <c r="A621" s="1176"/>
      <c r="B621" s="1199" t="s">
        <v>3399</v>
      </c>
      <c r="C621" s="1251">
        <v>1</v>
      </c>
      <c r="D621" s="1251">
        <v>2</v>
      </c>
      <c r="E621" s="1251">
        <v>-1</v>
      </c>
      <c r="F621" s="1272">
        <v>0.9</v>
      </c>
      <c r="G621" s="1272"/>
      <c r="H621" s="1272">
        <v>2</v>
      </c>
      <c r="I621" s="1178">
        <f t="shared" si="52"/>
        <v>-3.6</v>
      </c>
      <c r="J621" s="1179"/>
    </row>
    <row r="622" spans="1:10" s="1209" customFormat="1">
      <c r="A622" s="1176"/>
      <c r="B622" s="1199" t="s">
        <v>6969</v>
      </c>
      <c r="C622" s="1251">
        <v>1</v>
      </c>
      <c r="D622" s="1251">
        <v>2</v>
      </c>
      <c r="E622" s="1251">
        <v>-1</v>
      </c>
      <c r="F622" s="1272">
        <v>1.5</v>
      </c>
      <c r="G622" s="1272"/>
      <c r="H622" s="1272">
        <v>1.35</v>
      </c>
      <c r="I622" s="1178">
        <f t="shared" si="52"/>
        <v>-4.05</v>
      </c>
      <c r="J622" s="1179"/>
    </row>
    <row r="623" spans="1:10" s="1209" customFormat="1">
      <c r="A623" s="1185"/>
      <c r="B623" s="1202" t="s">
        <v>6658</v>
      </c>
      <c r="C623" s="1186"/>
      <c r="D623" s="1186"/>
      <c r="E623" s="1186"/>
      <c r="F623" s="1177"/>
      <c r="G623" s="1177"/>
      <c r="H623" s="1177"/>
      <c r="I623" s="1178"/>
      <c r="J623" s="1291"/>
    </row>
    <row r="624" spans="1:10" s="1209" customFormat="1">
      <c r="A624" s="1176"/>
      <c r="B624" s="1199" t="s">
        <v>3363</v>
      </c>
      <c r="C624" s="1251">
        <v>4</v>
      </c>
      <c r="D624" s="1251">
        <v>2</v>
      </c>
      <c r="E624" s="1251">
        <v>-1</v>
      </c>
      <c r="F624" s="1272">
        <f t="shared" ref="F624:F629" si="53">(F617+H617)*2</f>
        <v>6.8</v>
      </c>
      <c r="G624" s="1272">
        <v>0.23</v>
      </c>
      <c r="H624" s="1272"/>
      <c r="I624" s="1178">
        <f t="shared" ref="I624:I629" si="54">PRODUCT(C624:H624)</f>
        <v>-12.51</v>
      </c>
      <c r="J624" s="1179"/>
    </row>
    <row r="625" spans="1:13" s="1209" customFormat="1">
      <c r="A625" s="1176"/>
      <c r="B625" s="1199" t="s">
        <v>6971</v>
      </c>
      <c r="C625" s="1251">
        <v>7</v>
      </c>
      <c r="D625" s="1251">
        <v>2</v>
      </c>
      <c r="E625" s="1251">
        <v>-1</v>
      </c>
      <c r="F625" s="1272">
        <f t="shared" si="53"/>
        <v>5.7</v>
      </c>
      <c r="G625" s="1272">
        <v>0.23</v>
      </c>
      <c r="H625" s="1272"/>
      <c r="I625" s="1178">
        <f t="shared" si="54"/>
        <v>-18.350000000000001</v>
      </c>
      <c r="J625" s="1179"/>
    </row>
    <row r="626" spans="1:13" s="1209" customFormat="1">
      <c r="A626" s="1176"/>
      <c r="B626" s="1199" t="s">
        <v>3414</v>
      </c>
      <c r="C626" s="1251">
        <v>17</v>
      </c>
      <c r="D626" s="1251">
        <v>2</v>
      </c>
      <c r="E626" s="1251">
        <v>-1</v>
      </c>
      <c r="F626" s="1272">
        <f t="shared" si="53"/>
        <v>5.7</v>
      </c>
      <c r="G626" s="1272">
        <v>0.23</v>
      </c>
      <c r="H626" s="1272"/>
      <c r="I626" s="1178">
        <f t="shared" si="54"/>
        <v>-44.57</v>
      </c>
      <c r="J626" s="1179"/>
    </row>
    <row r="627" spans="1:13" s="1209" customFormat="1">
      <c r="A627" s="1176"/>
      <c r="B627" s="1199" t="s">
        <v>6965</v>
      </c>
      <c r="C627" s="1251">
        <v>2</v>
      </c>
      <c r="D627" s="1251">
        <v>2</v>
      </c>
      <c r="E627" s="1251">
        <v>-1</v>
      </c>
      <c r="F627" s="1272">
        <f t="shared" si="53"/>
        <v>3</v>
      </c>
      <c r="G627" s="1272">
        <v>0.23</v>
      </c>
      <c r="H627" s="1272"/>
      <c r="I627" s="1178">
        <f t="shared" si="54"/>
        <v>-2.76</v>
      </c>
      <c r="J627" s="1179"/>
    </row>
    <row r="628" spans="1:13" s="1209" customFormat="1">
      <c r="A628" s="1176"/>
      <c r="B628" s="1199" t="s">
        <v>3399</v>
      </c>
      <c r="C628" s="1251">
        <v>1</v>
      </c>
      <c r="D628" s="1251">
        <v>2</v>
      </c>
      <c r="E628" s="1251">
        <v>-1</v>
      </c>
      <c r="F628" s="1272">
        <f t="shared" si="53"/>
        <v>5.8</v>
      </c>
      <c r="G628" s="1272">
        <v>0.23</v>
      </c>
      <c r="H628" s="1272"/>
      <c r="I628" s="1178">
        <f t="shared" si="54"/>
        <v>-2.67</v>
      </c>
      <c r="J628" s="1179"/>
    </row>
    <row r="629" spans="1:13" s="1209" customFormat="1">
      <c r="A629" s="1176"/>
      <c r="B629" s="1199" t="s">
        <v>6969</v>
      </c>
      <c r="C629" s="1251">
        <v>1</v>
      </c>
      <c r="D629" s="1251">
        <v>2</v>
      </c>
      <c r="E629" s="1251">
        <v>-1</v>
      </c>
      <c r="F629" s="1272">
        <f t="shared" si="53"/>
        <v>5.7</v>
      </c>
      <c r="G629" s="1272">
        <v>0.23</v>
      </c>
      <c r="H629" s="1272"/>
      <c r="I629" s="1178">
        <f t="shared" si="54"/>
        <v>-2.62</v>
      </c>
      <c r="J629" s="1179"/>
    </row>
    <row r="630" spans="1:13" s="1209" customFormat="1">
      <c r="A630" s="1185"/>
      <c r="B630" s="1202" t="s">
        <v>3692</v>
      </c>
      <c r="C630" s="1186"/>
      <c r="D630" s="1186"/>
      <c r="E630" s="1186"/>
      <c r="F630" s="1177"/>
      <c r="G630" s="1177"/>
      <c r="H630" s="1177"/>
      <c r="I630" s="1178">
        <f t="shared" ref="I630:I656" si="55">PRODUCT(C630:H630)</f>
        <v>0</v>
      </c>
      <c r="J630" s="1291"/>
    </row>
    <row r="631" spans="1:13" s="1209" customFormat="1">
      <c r="A631" s="1185"/>
      <c r="B631" s="1199" t="s">
        <v>6677</v>
      </c>
      <c r="C631" s="1186">
        <v>1</v>
      </c>
      <c r="D631" s="1186" t="s">
        <v>3364</v>
      </c>
      <c r="E631" s="1186">
        <v>1</v>
      </c>
      <c r="F631" s="1177">
        <f>(5.39+10.51)*2</f>
        <v>31.8</v>
      </c>
      <c r="G631" s="1177"/>
      <c r="H631" s="1177">
        <v>3.0249999999999999</v>
      </c>
      <c r="I631" s="1178">
        <f t="shared" si="55"/>
        <v>96.2</v>
      </c>
      <c r="J631" s="1291"/>
    </row>
    <row r="632" spans="1:13" s="1209" customFormat="1">
      <c r="A632" s="1185"/>
      <c r="B632" s="1199" t="s">
        <v>6678</v>
      </c>
      <c r="C632" s="1186">
        <v>1</v>
      </c>
      <c r="D632" s="1186" t="s">
        <v>3364</v>
      </c>
      <c r="E632" s="1186">
        <v>1</v>
      </c>
      <c r="F632" s="1177">
        <f>(2+1.345)*2</f>
        <v>6.69</v>
      </c>
      <c r="G632" s="1177"/>
      <c r="H632" s="1177">
        <v>3.0249999999999999</v>
      </c>
      <c r="I632" s="1178">
        <f t="shared" si="55"/>
        <v>20.239999999999998</v>
      </c>
      <c r="J632" s="1291"/>
    </row>
    <row r="633" spans="1:13" s="1209" customFormat="1" ht="18.75" customHeight="1">
      <c r="A633" s="1176"/>
      <c r="B633" s="1199" t="s">
        <v>6679</v>
      </c>
      <c r="C633" s="1251">
        <v>1</v>
      </c>
      <c r="D633" s="1251" t="s">
        <v>3364</v>
      </c>
      <c r="E633" s="1251">
        <v>1</v>
      </c>
      <c r="F633" s="1177">
        <f>(4.663+7.995)*2</f>
        <v>25.315999999999999</v>
      </c>
      <c r="G633" s="1177"/>
      <c r="H633" s="1177">
        <v>3.0249999999999999</v>
      </c>
      <c r="I633" s="1178">
        <f t="shared" si="55"/>
        <v>76.58</v>
      </c>
      <c r="J633" s="1179"/>
    </row>
    <row r="634" spans="1:13" s="1209" customFormat="1" ht="18.75" customHeight="1">
      <c r="A634" s="1176"/>
      <c r="B634" s="1199" t="s">
        <v>6680</v>
      </c>
      <c r="C634" s="1251">
        <v>1</v>
      </c>
      <c r="D634" s="1251" t="s">
        <v>3364</v>
      </c>
      <c r="E634" s="1251">
        <v>1</v>
      </c>
      <c r="F634" s="1177">
        <f>(9.57+7.995)*2</f>
        <v>35.130000000000003</v>
      </c>
      <c r="G634" s="1177"/>
      <c r="H634" s="1177">
        <v>3.0249999999999999</v>
      </c>
      <c r="I634" s="1178">
        <f t="shared" si="55"/>
        <v>106.27</v>
      </c>
      <c r="J634" s="1179"/>
    </row>
    <row r="635" spans="1:13" s="1209" customFormat="1" ht="18.75" customHeight="1">
      <c r="A635" s="1176"/>
      <c r="B635" s="1199" t="s">
        <v>6681</v>
      </c>
      <c r="C635" s="1251">
        <v>1</v>
      </c>
      <c r="D635" s="1251" t="s">
        <v>3364</v>
      </c>
      <c r="E635" s="1251">
        <v>1</v>
      </c>
      <c r="F635" s="1177">
        <f>(4.67+7.995)*2</f>
        <v>25.33</v>
      </c>
      <c r="G635" s="1177"/>
      <c r="H635" s="1177">
        <v>3.0249999999999999</v>
      </c>
      <c r="I635" s="1178">
        <f t="shared" si="55"/>
        <v>76.62</v>
      </c>
      <c r="J635" s="1179"/>
    </row>
    <row r="636" spans="1:13" s="1209" customFormat="1" ht="18.75" customHeight="1">
      <c r="A636" s="1176"/>
      <c r="B636" s="1199" t="s">
        <v>6682</v>
      </c>
      <c r="C636" s="1251">
        <v>1</v>
      </c>
      <c r="D636" s="1251" t="s">
        <v>3364</v>
      </c>
      <c r="E636" s="1251">
        <v>1</v>
      </c>
      <c r="F636" s="1177">
        <f>(4.665+4.625)*2</f>
        <v>18.579999999999998</v>
      </c>
      <c r="G636" s="1177"/>
      <c r="H636" s="1177">
        <v>3.0249999999999999</v>
      </c>
      <c r="I636" s="1178">
        <f t="shared" si="55"/>
        <v>56.2</v>
      </c>
      <c r="J636" s="1179"/>
    </row>
    <row r="637" spans="1:13" s="1209" customFormat="1" ht="18.75" customHeight="1">
      <c r="A637" s="1176"/>
      <c r="B637" s="1199" t="s">
        <v>6604</v>
      </c>
      <c r="C637" s="1251">
        <v>1</v>
      </c>
      <c r="D637" s="1251" t="s">
        <v>3364</v>
      </c>
      <c r="E637" s="1251">
        <v>1</v>
      </c>
      <c r="F637" s="1177">
        <f>(4.665+3.14)*2</f>
        <v>15.61</v>
      </c>
      <c r="G637" s="1177"/>
      <c r="H637" s="1177">
        <v>3.0249999999999999</v>
      </c>
      <c r="I637" s="1178">
        <f t="shared" si="55"/>
        <v>47.22</v>
      </c>
      <c r="J637" s="1179"/>
    </row>
    <row r="638" spans="1:13" s="1209" customFormat="1" ht="18.75" customHeight="1">
      <c r="A638" s="1176"/>
      <c r="B638" s="1199" t="s">
        <v>6683</v>
      </c>
      <c r="C638" s="1251">
        <v>1</v>
      </c>
      <c r="D638" s="1251" t="s">
        <v>3364</v>
      </c>
      <c r="E638" s="1251">
        <v>1</v>
      </c>
      <c r="F638" s="1177">
        <f>(4.705+6.265)*2</f>
        <v>21.94</v>
      </c>
      <c r="G638" s="1177"/>
      <c r="H638" s="1177">
        <v>3.0249999999999999</v>
      </c>
      <c r="I638" s="1178">
        <f t="shared" si="55"/>
        <v>66.37</v>
      </c>
      <c r="J638" s="1179"/>
      <c r="M638" s="1215"/>
    </row>
    <row r="639" spans="1:13" s="1209" customFormat="1" ht="18.75" customHeight="1">
      <c r="A639" s="1176"/>
      <c r="B639" s="1199" t="s">
        <v>6684</v>
      </c>
      <c r="C639" s="1251">
        <v>1</v>
      </c>
      <c r="D639" s="1251" t="s">
        <v>3364</v>
      </c>
      <c r="E639" s="1251">
        <v>1</v>
      </c>
      <c r="F639" s="1177">
        <f>(4.705+1.5)*2</f>
        <v>12.41</v>
      </c>
      <c r="G639" s="1177"/>
      <c r="H639" s="1177">
        <v>3.0249999999999999</v>
      </c>
      <c r="I639" s="1178">
        <f t="shared" si="55"/>
        <v>37.54</v>
      </c>
      <c r="J639" s="1179"/>
    </row>
    <row r="640" spans="1:13" s="1209" customFormat="1" ht="18.75" customHeight="1">
      <c r="A640" s="1176"/>
      <c r="B640" s="1199" t="s">
        <v>6685</v>
      </c>
      <c r="C640" s="1251">
        <v>1</v>
      </c>
      <c r="D640" s="1251" t="s">
        <v>3364</v>
      </c>
      <c r="E640" s="1251">
        <v>1</v>
      </c>
      <c r="F640" s="1177">
        <f>4.705+4.705+2+2+0.115+0.115+2.115+2.115</f>
        <v>17.87</v>
      </c>
      <c r="G640" s="1177"/>
      <c r="H640" s="1177">
        <v>3.0249999999999999</v>
      </c>
      <c r="I640" s="1178">
        <f t="shared" si="55"/>
        <v>54.06</v>
      </c>
      <c r="J640" s="1179"/>
    </row>
    <row r="641" spans="1:10" s="1209" customFormat="1" ht="18.75" customHeight="1">
      <c r="A641" s="1176"/>
      <c r="B641" s="1199" t="s">
        <v>6686</v>
      </c>
      <c r="C641" s="1251">
        <v>3</v>
      </c>
      <c r="D641" s="1251" t="s">
        <v>3364</v>
      </c>
      <c r="E641" s="1251">
        <v>1</v>
      </c>
      <c r="F641" s="1177">
        <f>1.5+1.4+1.5</f>
        <v>4.4000000000000004</v>
      </c>
      <c r="G641" s="1177"/>
      <c r="H641" s="1177">
        <v>3.0249999999999999</v>
      </c>
      <c r="I641" s="1178">
        <f t="shared" si="55"/>
        <v>39.93</v>
      </c>
      <c r="J641" s="1179"/>
    </row>
    <row r="642" spans="1:10" s="1209" customFormat="1" ht="18.75" customHeight="1">
      <c r="A642" s="1176"/>
      <c r="B642" s="1199" t="s">
        <v>6687</v>
      </c>
      <c r="C642" s="1251">
        <v>1</v>
      </c>
      <c r="D642" s="1251" t="s">
        <v>3364</v>
      </c>
      <c r="E642" s="1251">
        <v>1</v>
      </c>
      <c r="F642" s="1177">
        <f>(1.35+2.115)*2</f>
        <v>6.93</v>
      </c>
      <c r="G642" s="1177"/>
      <c r="H642" s="1177">
        <v>3.0249999999999999</v>
      </c>
      <c r="I642" s="1178">
        <f t="shared" si="55"/>
        <v>20.96</v>
      </c>
      <c r="J642" s="1179"/>
    </row>
    <row r="643" spans="1:10" s="1209" customFormat="1" ht="18.75" customHeight="1">
      <c r="A643" s="1176"/>
      <c r="B643" s="1199" t="s">
        <v>6688</v>
      </c>
      <c r="C643" s="1251">
        <v>1</v>
      </c>
      <c r="D643" s="1251" t="s">
        <v>3364</v>
      </c>
      <c r="E643" s="1251">
        <v>1</v>
      </c>
      <c r="F643" s="1177">
        <f>(4.665+2.115)*2</f>
        <v>13.56</v>
      </c>
      <c r="G643" s="1177"/>
      <c r="H643" s="1177">
        <v>3.0249999999999999</v>
      </c>
      <c r="I643" s="1178">
        <f t="shared" si="55"/>
        <v>41.02</v>
      </c>
      <c r="J643" s="1179"/>
    </row>
    <row r="644" spans="1:10" s="1209" customFormat="1" ht="18.75" customHeight="1">
      <c r="A644" s="1176"/>
      <c r="B644" s="1199" t="s">
        <v>6689</v>
      </c>
      <c r="C644" s="1251">
        <v>1</v>
      </c>
      <c r="D644" s="1251" t="s">
        <v>3364</v>
      </c>
      <c r="E644" s="1251">
        <v>1</v>
      </c>
      <c r="F644" s="1177">
        <f>(5.07+4.93)*2</f>
        <v>20</v>
      </c>
      <c r="G644" s="1177"/>
      <c r="H644" s="1177">
        <v>3.0249999999999999</v>
      </c>
      <c r="I644" s="1178">
        <f t="shared" si="55"/>
        <v>60.5</v>
      </c>
      <c r="J644" s="1179"/>
    </row>
    <row r="645" spans="1:10" s="1209" customFormat="1" ht="18.75" customHeight="1">
      <c r="A645" s="1176"/>
      <c r="B645" s="1199" t="s">
        <v>6690</v>
      </c>
      <c r="C645" s="1251">
        <v>1</v>
      </c>
      <c r="D645" s="1251" t="s">
        <v>3364</v>
      </c>
      <c r="E645" s="1251">
        <v>1</v>
      </c>
      <c r="F645" s="1177">
        <f>(5.21+4.93)*2</f>
        <v>20.28</v>
      </c>
      <c r="G645" s="1177"/>
      <c r="H645" s="1177">
        <v>3.0249999999999999</v>
      </c>
      <c r="I645" s="1178">
        <f t="shared" si="55"/>
        <v>61.35</v>
      </c>
      <c r="J645" s="1179"/>
    </row>
    <row r="646" spans="1:10" s="1209" customFormat="1" ht="18.75" customHeight="1">
      <c r="A646" s="1176"/>
      <c r="B646" s="1199" t="s">
        <v>6691</v>
      </c>
      <c r="C646" s="1251">
        <v>1</v>
      </c>
      <c r="D646" s="1251" t="s">
        <v>3364</v>
      </c>
      <c r="E646" s="1251">
        <v>1</v>
      </c>
      <c r="F646" s="1177">
        <f>(4.792+4.93)*2</f>
        <v>19.443999999999999</v>
      </c>
      <c r="G646" s="1177"/>
      <c r="H646" s="1177">
        <v>3.0249999999999999</v>
      </c>
      <c r="I646" s="1178">
        <f t="shared" si="55"/>
        <v>58.82</v>
      </c>
      <c r="J646" s="1179"/>
    </row>
    <row r="647" spans="1:10" s="1209" customFormat="1" ht="18.75" customHeight="1">
      <c r="A647" s="1176"/>
      <c r="B647" s="1199" t="s">
        <v>6671</v>
      </c>
      <c r="C647" s="1251">
        <v>3</v>
      </c>
      <c r="D647" s="1251" t="s">
        <v>3364</v>
      </c>
      <c r="E647" s="1251">
        <v>1</v>
      </c>
      <c r="F647" s="1177">
        <f>(1.8+1.5)*2</f>
        <v>6.6</v>
      </c>
      <c r="G647" s="1177"/>
      <c r="H647" s="1177">
        <v>3.0249999999999999</v>
      </c>
      <c r="I647" s="1178">
        <f t="shared" si="55"/>
        <v>59.9</v>
      </c>
      <c r="J647" s="1179"/>
    </row>
    <row r="648" spans="1:10" s="1209" customFormat="1" ht="18.75" customHeight="1">
      <c r="A648" s="1176"/>
      <c r="B648" s="1199" t="s">
        <v>6692</v>
      </c>
      <c r="C648" s="1251">
        <v>1</v>
      </c>
      <c r="D648" s="1251" t="s">
        <v>3364</v>
      </c>
      <c r="E648" s="1251">
        <v>1</v>
      </c>
      <c r="F648" s="1177">
        <f>(1.9+2.7)*2</f>
        <v>9.1999999999999993</v>
      </c>
      <c r="G648" s="1177"/>
      <c r="H648" s="1177">
        <v>3.0249999999999999</v>
      </c>
      <c r="I648" s="1178">
        <f t="shared" si="55"/>
        <v>27.83</v>
      </c>
      <c r="J648" s="1179"/>
    </row>
    <row r="649" spans="1:10" s="1209" customFormat="1" ht="18.75" customHeight="1">
      <c r="A649" s="1176"/>
      <c r="B649" s="1199" t="s">
        <v>6693</v>
      </c>
      <c r="C649" s="1186">
        <v>1</v>
      </c>
      <c r="D649" s="1186" t="s">
        <v>3364</v>
      </c>
      <c r="E649" s="1186">
        <v>1</v>
      </c>
      <c r="F649" s="1177">
        <f>(21.817+2)*2</f>
        <v>47.634</v>
      </c>
      <c r="G649" s="1177"/>
      <c r="H649" s="1177">
        <v>3.0249999999999999</v>
      </c>
      <c r="I649" s="1178">
        <f t="shared" si="55"/>
        <v>144.09</v>
      </c>
      <c r="J649" s="1179"/>
    </row>
    <row r="650" spans="1:10" s="1209" customFormat="1" ht="18.75" customHeight="1">
      <c r="A650" s="1176"/>
      <c r="B650" s="1199" t="s">
        <v>6651</v>
      </c>
      <c r="C650" s="1186">
        <v>2</v>
      </c>
      <c r="D650" s="1186" t="s">
        <v>3364</v>
      </c>
      <c r="E650" s="1186">
        <v>1</v>
      </c>
      <c r="F650" s="1177">
        <f>(7.8+2.925)</f>
        <v>10.725</v>
      </c>
      <c r="G650" s="1177"/>
      <c r="H650" s="1177">
        <v>3.0249999999999999</v>
      </c>
      <c r="I650" s="1178">
        <f t="shared" si="55"/>
        <v>64.89</v>
      </c>
      <c r="J650" s="1179"/>
    </row>
    <row r="651" spans="1:10" s="1209" customFormat="1">
      <c r="A651" s="1185"/>
      <c r="B651" s="1202" t="s">
        <v>6564</v>
      </c>
      <c r="C651" s="1186">
        <v>1</v>
      </c>
      <c r="D651" s="1186" t="s">
        <v>3364</v>
      </c>
      <c r="E651" s="1186">
        <v>1</v>
      </c>
      <c r="F651" s="1177">
        <f>7.8+2.36+7.8+2.36+2.925+2.925</f>
        <v>26.17</v>
      </c>
      <c r="G651" s="1253"/>
      <c r="H651" s="1177">
        <v>3.0249999999999999</v>
      </c>
      <c r="I651" s="1178">
        <f t="shared" si="55"/>
        <v>79.16</v>
      </c>
      <c r="J651" s="1184"/>
    </row>
    <row r="652" spans="1:10" s="1209" customFormat="1">
      <c r="A652" s="1185"/>
      <c r="B652" s="1202" t="s">
        <v>6542</v>
      </c>
      <c r="C652" s="1186">
        <v>1</v>
      </c>
      <c r="D652" s="1186" t="s">
        <v>3364</v>
      </c>
      <c r="E652" s="1186">
        <v>1</v>
      </c>
      <c r="F652" s="1177">
        <v>2.7</v>
      </c>
      <c r="G652" s="1253"/>
      <c r="H652" s="1177">
        <v>3.0249999999999999</v>
      </c>
      <c r="I652" s="1178">
        <f t="shared" si="55"/>
        <v>8.17</v>
      </c>
      <c r="J652" s="1184"/>
    </row>
    <row r="653" spans="1:10" s="1209" customFormat="1">
      <c r="A653" s="1176"/>
      <c r="B653" s="1199" t="s">
        <v>3449</v>
      </c>
      <c r="C653" s="1251">
        <v>1</v>
      </c>
      <c r="D653" s="1251" t="s">
        <v>3364</v>
      </c>
      <c r="E653" s="1251">
        <v>1</v>
      </c>
      <c r="F653" s="1177">
        <f>((35.272+16.13)*2)-0.92</f>
        <v>101.884</v>
      </c>
      <c r="G653" s="1177"/>
      <c r="H653" s="1177">
        <v>1.2</v>
      </c>
      <c r="I653" s="1178">
        <f t="shared" si="55"/>
        <v>122.26</v>
      </c>
      <c r="J653" s="1179"/>
    </row>
    <row r="654" spans="1:10" s="1209" customFormat="1">
      <c r="A654" s="1176"/>
      <c r="B654" s="1199" t="s">
        <v>3450</v>
      </c>
      <c r="C654" s="1251">
        <v>1</v>
      </c>
      <c r="D654" s="1251" t="s">
        <v>3364</v>
      </c>
      <c r="E654" s="1251">
        <v>1</v>
      </c>
      <c r="F654" s="1177">
        <v>26.17</v>
      </c>
      <c r="G654" s="1177"/>
      <c r="H654" s="1177">
        <v>1.2</v>
      </c>
      <c r="I654" s="1178">
        <f t="shared" si="55"/>
        <v>31.4</v>
      </c>
      <c r="J654" s="1179"/>
    </row>
    <row r="655" spans="1:10" s="1209" customFormat="1">
      <c r="A655" s="1176"/>
      <c r="B655" s="1199" t="s">
        <v>6694</v>
      </c>
      <c r="C655" s="1251">
        <v>1</v>
      </c>
      <c r="D655" s="1251" t="s">
        <v>3364</v>
      </c>
      <c r="E655" s="1251">
        <v>1</v>
      </c>
      <c r="F655" s="1177">
        <f>((35.272+16.13)*2)-0.92</f>
        <v>101.884</v>
      </c>
      <c r="G655" s="1177">
        <v>0.23</v>
      </c>
      <c r="H655" s="1177"/>
      <c r="I655" s="1178">
        <f t="shared" si="55"/>
        <v>23.43</v>
      </c>
      <c r="J655" s="1179"/>
    </row>
    <row r="656" spans="1:10" s="1209" customFormat="1">
      <c r="A656" s="1176"/>
      <c r="B656" s="1199" t="s">
        <v>6695</v>
      </c>
      <c r="C656" s="1251">
        <v>1</v>
      </c>
      <c r="D656" s="1251" t="s">
        <v>3364</v>
      </c>
      <c r="E656" s="1251">
        <v>1</v>
      </c>
      <c r="F656" s="1177">
        <v>26.17</v>
      </c>
      <c r="G656" s="1177">
        <v>0.23</v>
      </c>
      <c r="H656" s="1177"/>
      <c r="I656" s="1178">
        <f t="shared" si="55"/>
        <v>6.02</v>
      </c>
      <c r="J656" s="1179"/>
    </row>
    <row r="657" spans="1:10" s="1209" customFormat="1">
      <c r="A657" s="1176"/>
      <c r="B657" s="1202" t="s">
        <v>3446</v>
      </c>
      <c r="C657" s="1251"/>
      <c r="D657" s="1251"/>
      <c r="E657" s="1251"/>
      <c r="F657" s="1177"/>
      <c r="G657" s="1177"/>
      <c r="H657" s="1177"/>
      <c r="I657" s="1178"/>
      <c r="J657" s="1179"/>
    </row>
    <row r="658" spans="1:10" s="1209" customFormat="1">
      <c r="A658" s="1176"/>
      <c r="B658" s="1199" t="s">
        <v>6629</v>
      </c>
      <c r="C658" s="1251">
        <v>4</v>
      </c>
      <c r="D658" s="1251">
        <v>2</v>
      </c>
      <c r="E658" s="1251">
        <v>-1</v>
      </c>
      <c r="F658" s="1177">
        <v>1.2</v>
      </c>
      <c r="G658" s="1177"/>
      <c r="H658" s="1177">
        <v>2.4</v>
      </c>
      <c r="I658" s="1178">
        <f t="shared" ref="I658:I669" si="56">PRODUCT(C658:H658)</f>
        <v>-23.04</v>
      </c>
      <c r="J658" s="1179"/>
    </row>
    <row r="659" spans="1:10" s="1209" customFormat="1">
      <c r="A659" s="1176"/>
      <c r="B659" s="1199" t="s">
        <v>3363</v>
      </c>
      <c r="C659" s="1251">
        <v>6</v>
      </c>
      <c r="D659" s="1251">
        <v>2</v>
      </c>
      <c r="E659" s="1251">
        <v>-1</v>
      </c>
      <c r="F659" s="1177">
        <v>1</v>
      </c>
      <c r="G659" s="1177"/>
      <c r="H659" s="1177">
        <v>2.4</v>
      </c>
      <c r="I659" s="1178">
        <f t="shared" si="56"/>
        <v>-28.8</v>
      </c>
      <c r="J659" s="1179"/>
    </row>
    <row r="660" spans="1:10" s="1209" customFormat="1">
      <c r="A660" s="1176"/>
      <c r="B660" s="1199" t="s">
        <v>3398</v>
      </c>
      <c r="C660" s="1251">
        <v>2</v>
      </c>
      <c r="D660" s="1251">
        <v>2</v>
      </c>
      <c r="E660" s="1251">
        <v>-1</v>
      </c>
      <c r="F660" s="1177">
        <v>0.9</v>
      </c>
      <c r="G660" s="1177"/>
      <c r="H660" s="1177">
        <v>2.4</v>
      </c>
      <c r="I660" s="1178">
        <f t="shared" si="56"/>
        <v>-8.64</v>
      </c>
      <c r="J660" s="1179"/>
    </row>
    <row r="661" spans="1:10" s="1209" customFormat="1">
      <c r="A661" s="1176"/>
      <c r="B661" s="1199" t="s">
        <v>6971</v>
      </c>
      <c r="C661" s="1251">
        <v>9</v>
      </c>
      <c r="D661" s="1251">
        <v>2</v>
      </c>
      <c r="E661" s="1251">
        <v>-1</v>
      </c>
      <c r="F661" s="1177">
        <v>0.75</v>
      </c>
      <c r="G661" s="1177"/>
      <c r="H661" s="1177">
        <v>2.1</v>
      </c>
      <c r="I661" s="1178">
        <f t="shared" si="56"/>
        <v>-28.35</v>
      </c>
      <c r="J661" s="1179"/>
    </row>
    <row r="662" spans="1:10" s="1209" customFormat="1">
      <c r="A662" s="1176"/>
      <c r="B662" s="1199" t="s">
        <v>3414</v>
      </c>
      <c r="C662" s="1251">
        <v>7</v>
      </c>
      <c r="D662" s="1251">
        <v>2</v>
      </c>
      <c r="E662" s="1251">
        <v>-1</v>
      </c>
      <c r="F662" s="1177">
        <v>1.5</v>
      </c>
      <c r="G662" s="1177"/>
      <c r="H662" s="1177">
        <v>1.35</v>
      </c>
      <c r="I662" s="1178">
        <f t="shared" si="56"/>
        <v>-28.35</v>
      </c>
      <c r="J662" s="1179"/>
    </row>
    <row r="663" spans="1:10" s="1209" customFormat="1">
      <c r="A663" s="1176"/>
      <c r="B663" s="1199" t="s">
        <v>3400</v>
      </c>
      <c r="C663" s="1251">
        <v>7</v>
      </c>
      <c r="D663" s="1251">
        <v>2</v>
      </c>
      <c r="E663" s="1251">
        <v>-1</v>
      </c>
      <c r="F663" s="1177">
        <v>2</v>
      </c>
      <c r="G663" s="1177"/>
      <c r="H663" s="1177">
        <v>1.65</v>
      </c>
      <c r="I663" s="1178">
        <f t="shared" si="56"/>
        <v>-46.2</v>
      </c>
      <c r="J663" s="1179"/>
    </row>
    <row r="664" spans="1:10" s="1209" customFormat="1">
      <c r="A664" s="1176"/>
      <c r="B664" s="1199" t="s">
        <v>6964</v>
      </c>
      <c r="C664" s="1251">
        <v>1</v>
      </c>
      <c r="D664" s="1251">
        <v>2</v>
      </c>
      <c r="E664" s="1251">
        <v>-1</v>
      </c>
      <c r="F664" s="1177">
        <v>0.9</v>
      </c>
      <c r="G664" s="1177"/>
      <c r="H664" s="1177">
        <v>0.6</v>
      </c>
      <c r="I664" s="1178">
        <f t="shared" si="56"/>
        <v>-1.08</v>
      </c>
      <c r="J664" s="1179"/>
    </row>
    <row r="665" spans="1:10" s="1209" customFormat="1">
      <c r="A665" s="1176"/>
      <c r="B665" s="1199" t="s">
        <v>6965</v>
      </c>
      <c r="C665" s="1251">
        <v>6</v>
      </c>
      <c r="D665" s="1251">
        <v>2</v>
      </c>
      <c r="E665" s="1251">
        <v>-1</v>
      </c>
      <c r="F665" s="1177">
        <v>0.9</v>
      </c>
      <c r="G665" s="1177"/>
      <c r="H665" s="1177">
        <v>0.6</v>
      </c>
      <c r="I665" s="1178">
        <f t="shared" si="56"/>
        <v>-6.48</v>
      </c>
      <c r="J665" s="1179"/>
    </row>
    <row r="666" spans="1:10" s="1209" customFormat="1">
      <c r="A666" s="1176"/>
      <c r="B666" s="1199" t="s">
        <v>6966</v>
      </c>
      <c r="C666" s="1251">
        <v>4</v>
      </c>
      <c r="D666" s="1251">
        <v>2</v>
      </c>
      <c r="E666" s="1251">
        <v>-1</v>
      </c>
      <c r="F666" s="1177">
        <v>0.75</v>
      </c>
      <c r="G666" s="1177"/>
      <c r="H666" s="1177">
        <v>0.6</v>
      </c>
      <c r="I666" s="1178">
        <f t="shared" si="56"/>
        <v>-3.6</v>
      </c>
      <c r="J666" s="1179"/>
    </row>
    <row r="667" spans="1:10" s="1209" customFormat="1">
      <c r="A667" s="1176"/>
      <c r="B667" s="1199" t="s">
        <v>3399</v>
      </c>
      <c r="C667" s="1251">
        <v>1</v>
      </c>
      <c r="D667" s="1251">
        <v>2</v>
      </c>
      <c r="E667" s="1251">
        <v>-1</v>
      </c>
      <c r="F667" s="1177">
        <v>0.9</v>
      </c>
      <c r="G667" s="1177"/>
      <c r="H667" s="1177">
        <v>2</v>
      </c>
      <c r="I667" s="1178">
        <f t="shared" si="56"/>
        <v>-3.6</v>
      </c>
      <c r="J667" s="1179"/>
    </row>
    <row r="668" spans="1:10" s="1209" customFormat="1">
      <c r="A668" s="1176"/>
      <c r="B668" s="1199" t="s">
        <v>6968</v>
      </c>
      <c r="C668" s="1251">
        <v>1</v>
      </c>
      <c r="D668" s="1251">
        <v>2</v>
      </c>
      <c r="E668" s="1251">
        <v>-1</v>
      </c>
      <c r="F668" s="1177">
        <v>1.8</v>
      </c>
      <c r="G668" s="1177"/>
      <c r="H668" s="1177">
        <v>1.05</v>
      </c>
      <c r="I668" s="1178">
        <f t="shared" si="56"/>
        <v>-3.78</v>
      </c>
      <c r="J668" s="1179"/>
    </row>
    <row r="669" spans="1:10" s="1209" customFormat="1">
      <c r="A669" s="1176"/>
      <c r="B669" s="1199" t="s">
        <v>6969</v>
      </c>
      <c r="C669" s="1251">
        <v>1</v>
      </c>
      <c r="D669" s="1251">
        <v>2</v>
      </c>
      <c r="E669" s="1251">
        <v>-1</v>
      </c>
      <c r="F669" s="1177">
        <v>1.5</v>
      </c>
      <c r="G669" s="1177"/>
      <c r="H669" s="1177">
        <v>1.35</v>
      </c>
      <c r="I669" s="1178">
        <f t="shared" si="56"/>
        <v>-4.05</v>
      </c>
      <c r="J669" s="1179"/>
    </row>
    <row r="670" spans="1:10" s="1209" customFormat="1" ht="18.75" customHeight="1">
      <c r="A670" s="1176"/>
      <c r="B670" s="1202" t="s">
        <v>6658</v>
      </c>
      <c r="C670" s="1251"/>
      <c r="D670" s="1251"/>
      <c r="E670" s="1251"/>
      <c r="F670" s="1177"/>
      <c r="G670" s="1177"/>
      <c r="H670" s="1177"/>
      <c r="I670" s="1178"/>
      <c r="J670" s="1179"/>
    </row>
    <row r="671" spans="1:10" s="1209" customFormat="1">
      <c r="A671" s="1176"/>
      <c r="B671" s="1199" t="s">
        <v>6629</v>
      </c>
      <c r="C671" s="1251">
        <v>4</v>
      </c>
      <c r="D671" s="1251">
        <v>1</v>
      </c>
      <c r="E671" s="1251">
        <v>-1</v>
      </c>
      <c r="F671" s="1177">
        <f>(F658+H658)*2</f>
        <v>7.2</v>
      </c>
      <c r="G671" s="1177">
        <v>0.23</v>
      </c>
      <c r="H671" s="1177"/>
      <c r="I671" s="1178">
        <f t="shared" ref="I671:I682" si="57">PRODUCT(C671:H671)</f>
        <v>-6.62</v>
      </c>
      <c r="J671" s="1179"/>
    </row>
    <row r="672" spans="1:10" s="1209" customFormat="1">
      <c r="A672" s="1176"/>
      <c r="B672" s="1199" t="s">
        <v>3363</v>
      </c>
      <c r="C672" s="1251">
        <v>6</v>
      </c>
      <c r="D672" s="1251">
        <v>1</v>
      </c>
      <c r="E672" s="1251">
        <v>-1</v>
      </c>
      <c r="F672" s="1177">
        <f t="shared" ref="F672:F682" si="58">(F659+H659)*2</f>
        <v>6.8</v>
      </c>
      <c r="G672" s="1177">
        <v>0.23</v>
      </c>
      <c r="H672" s="1177"/>
      <c r="I672" s="1178">
        <f t="shared" si="57"/>
        <v>-9.3800000000000008</v>
      </c>
      <c r="J672" s="1179"/>
    </row>
    <row r="673" spans="1:10" s="1209" customFormat="1">
      <c r="A673" s="1176"/>
      <c r="B673" s="1199" t="s">
        <v>3398</v>
      </c>
      <c r="C673" s="1251">
        <v>2</v>
      </c>
      <c r="D673" s="1251">
        <v>1</v>
      </c>
      <c r="E673" s="1251">
        <v>-1</v>
      </c>
      <c r="F673" s="1177">
        <f t="shared" si="58"/>
        <v>6.6</v>
      </c>
      <c r="G673" s="1177">
        <v>0.23</v>
      </c>
      <c r="H673" s="1177"/>
      <c r="I673" s="1178">
        <f t="shared" si="57"/>
        <v>-3.04</v>
      </c>
      <c r="J673" s="1179"/>
    </row>
    <row r="674" spans="1:10" s="1209" customFormat="1">
      <c r="A674" s="1176"/>
      <c r="B674" s="1199" t="s">
        <v>6971</v>
      </c>
      <c r="C674" s="1251">
        <v>9</v>
      </c>
      <c r="D674" s="1251">
        <v>1</v>
      </c>
      <c r="E674" s="1251">
        <v>-1</v>
      </c>
      <c r="F674" s="1177">
        <f t="shared" si="58"/>
        <v>5.7</v>
      </c>
      <c r="G674" s="1177">
        <v>0.23</v>
      </c>
      <c r="H674" s="1177"/>
      <c r="I674" s="1178">
        <f t="shared" si="57"/>
        <v>-11.8</v>
      </c>
      <c r="J674" s="1179"/>
    </row>
    <row r="675" spans="1:10" s="1209" customFormat="1">
      <c r="A675" s="1176"/>
      <c r="B675" s="1199" t="s">
        <v>3414</v>
      </c>
      <c r="C675" s="1251">
        <v>7</v>
      </c>
      <c r="D675" s="1251">
        <v>1</v>
      </c>
      <c r="E675" s="1251">
        <v>-1</v>
      </c>
      <c r="F675" s="1177">
        <f t="shared" si="58"/>
        <v>5.7</v>
      </c>
      <c r="G675" s="1177">
        <v>0.23</v>
      </c>
      <c r="H675" s="1177"/>
      <c r="I675" s="1178">
        <f t="shared" si="57"/>
        <v>-9.18</v>
      </c>
      <c r="J675" s="1179"/>
    </row>
    <row r="676" spans="1:10" s="1209" customFormat="1">
      <c r="A676" s="1176"/>
      <c r="B676" s="1199" t="s">
        <v>3400</v>
      </c>
      <c r="C676" s="1251">
        <v>7</v>
      </c>
      <c r="D676" s="1251">
        <v>1</v>
      </c>
      <c r="E676" s="1251">
        <v>-1</v>
      </c>
      <c r="F676" s="1177">
        <f t="shared" si="58"/>
        <v>7.3</v>
      </c>
      <c r="G676" s="1177">
        <v>0.23</v>
      </c>
      <c r="H676" s="1177"/>
      <c r="I676" s="1178">
        <f t="shared" si="57"/>
        <v>-11.75</v>
      </c>
      <c r="J676" s="1179"/>
    </row>
    <row r="677" spans="1:10" s="1209" customFormat="1">
      <c r="A677" s="1176"/>
      <c r="B677" s="1199" t="s">
        <v>6964</v>
      </c>
      <c r="C677" s="1251">
        <v>1</v>
      </c>
      <c r="D677" s="1251">
        <v>1</v>
      </c>
      <c r="E677" s="1251">
        <v>-1</v>
      </c>
      <c r="F677" s="1177">
        <f t="shared" si="58"/>
        <v>3</v>
      </c>
      <c r="G677" s="1177">
        <v>0.23</v>
      </c>
      <c r="H677" s="1177"/>
      <c r="I677" s="1178">
        <f t="shared" si="57"/>
        <v>-0.69</v>
      </c>
      <c r="J677" s="1179"/>
    </row>
    <row r="678" spans="1:10" s="1209" customFormat="1">
      <c r="A678" s="1176"/>
      <c r="B678" s="1199" t="s">
        <v>6965</v>
      </c>
      <c r="C678" s="1251">
        <v>6</v>
      </c>
      <c r="D678" s="1251">
        <v>1</v>
      </c>
      <c r="E678" s="1251">
        <v>-1</v>
      </c>
      <c r="F678" s="1177">
        <f t="shared" si="58"/>
        <v>3</v>
      </c>
      <c r="G678" s="1177">
        <v>0.23</v>
      </c>
      <c r="H678" s="1177"/>
      <c r="I678" s="1178">
        <f t="shared" si="57"/>
        <v>-4.1399999999999997</v>
      </c>
      <c r="J678" s="1179"/>
    </row>
    <row r="679" spans="1:10" s="1209" customFormat="1">
      <c r="A679" s="1176"/>
      <c r="B679" s="1199" t="s">
        <v>6966</v>
      </c>
      <c r="C679" s="1251">
        <v>4</v>
      </c>
      <c r="D679" s="1251">
        <v>1</v>
      </c>
      <c r="E679" s="1251">
        <v>-1</v>
      </c>
      <c r="F679" s="1177">
        <f t="shared" si="58"/>
        <v>2.7</v>
      </c>
      <c r="G679" s="1177">
        <v>0.23</v>
      </c>
      <c r="H679" s="1177"/>
      <c r="I679" s="1178">
        <f t="shared" si="57"/>
        <v>-2.48</v>
      </c>
      <c r="J679" s="1179"/>
    </row>
    <row r="680" spans="1:10" s="1209" customFormat="1">
      <c r="A680" s="1176"/>
      <c r="B680" s="1199" t="s">
        <v>3399</v>
      </c>
      <c r="C680" s="1251">
        <v>1</v>
      </c>
      <c r="D680" s="1251">
        <v>1</v>
      </c>
      <c r="E680" s="1251">
        <v>-1</v>
      </c>
      <c r="F680" s="1177">
        <f t="shared" si="58"/>
        <v>5.8</v>
      </c>
      <c r="G680" s="1177">
        <v>0.23</v>
      </c>
      <c r="H680" s="1177"/>
      <c r="I680" s="1178">
        <f t="shared" si="57"/>
        <v>-1.33</v>
      </c>
      <c r="J680" s="1179"/>
    </row>
    <row r="681" spans="1:10" s="1209" customFormat="1">
      <c r="A681" s="1176"/>
      <c r="B681" s="1199" t="s">
        <v>6968</v>
      </c>
      <c r="C681" s="1251">
        <v>1</v>
      </c>
      <c r="D681" s="1251">
        <v>1</v>
      </c>
      <c r="E681" s="1251">
        <v>-1</v>
      </c>
      <c r="F681" s="1177">
        <f t="shared" si="58"/>
        <v>5.7</v>
      </c>
      <c r="G681" s="1177">
        <v>0.23</v>
      </c>
      <c r="H681" s="1177"/>
      <c r="I681" s="1178">
        <f t="shared" si="57"/>
        <v>-1.31</v>
      </c>
      <c r="J681" s="1179"/>
    </row>
    <row r="682" spans="1:10" s="1209" customFormat="1">
      <c r="A682" s="1176"/>
      <c r="B682" s="1199" t="s">
        <v>6969</v>
      </c>
      <c r="C682" s="1251">
        <v>1</v>
      </c>
      <c r="D682" s="1251">
        <v>1</v>
      </c>
      <c r="E682" s="1251">
        <v>-1</v>
      </c>
      <c r="F682" s="1177">
        <f t="shared" si="58"/>
        <v>5.7</v>
      </c>
      <c r="G682" s="1177">
        <v>0.23</v>
      </c>
      <c r="H682" s="1177"/>
      <c r="I682" s="1178">
        <f t="shared" si="57"/>
        <v>-1.31</v>
      </c>
      <c r="J682" s="1179"/>
    </row>
    <row r="683" spans="1:10" s="1209" customFormat="1">
      <c r="A683" s="1185"/>
      <c r="B683" s="1199"/>
      <c r="C683" s="1186"/>
      <c r="D683" s="1186"/>
      <c r="E683" s="1186"/>
      <c r="F683" s="1177"/>
      <c r="G683" s="1177"/>
      <c r="H683" s="1177"/>
      <c r="I683" s="1178">
        <f>SUM(I507:I682)</f>
        <v>4509.04</v>
      </c>
      <c r="J683" s="1291"/>
    </row>
    <row r="684" spans="1:10" s="1209" customFormat="1">
      <c r="A684" s="1185"/>
      <c r="B684" s="1199"/>
      <c r="C684" s="1186"/>
      <c r="D684" s="1186"/>
      <c r="E684" s="1186"/>
      <c r="F684" s="1177"/>
      <c r="G684" s="1253" t="s">
        <v>6696</v>
      </c>
      <c r="H684" s="1253" t="s">
        <v>2981</v>
      </c>
      <c r="I684" s="1181">
        <f>CEILING(I683,0.1)</f>
        <v>4509.1000000000004</v>
      </c>
      <c r="J684" s="1291" t="s">
        <v>724</v>
      </c>
    </row>
    <row r="685" spans="1:10" s="1209" customFormat="1">
      <c r="A685" s="1185"/>
      <c r="B685" s="1202" t="s">
        <v>3498</v>
      </c>
      <c r="C685" s="1186"/>
      <c r="D685" s="1186"/>
      <c r="E685" s="1186"/>
      <c r="F685" s="1177"/>
      <c r="G685" s="1177"/>
      <c r="H685" s="1177"/>
      <c r="I685" s="1178"/>
      <c r="J685" s="1291"/>
    </row>
    <row r="686" spans="1:10" s="1209" customFormat="1">
      <c r="A686" s="1185"/>
      <c r="B686" s="1199" t="s">
        <v>6553</v>
      </c>
      <c r="C686" s="1186">
        <v>1</v>
      </c>
      <c r="D686" s="1186" t="s">
        <v>3364</v>
      </c>
      <c r="E686" s="1186">
        <v>1</v>
      </c>
      <c r="F686" s="1177">
        <f>(35.278+16.13)*2</f>
        <v>102.816</v>
      </c>
      <c r="G686" s="1177"/>
      <c r="H686" s="1177">
        <f>6.1+6.1+1.2</f>
        <v>13.4</v>
      </c>
      <c r="I686" s="1178">
        <f t="shared" ref="I686:I693" si="59">PRODUCT(C686:H686)</f>
        <v>1377.73</v>
      </c>
      <c r="J686" s="1291"/>
    </row>
    <row r="687" spans="1:10" s="1209" customFormat="1">
      <c r="A687" s="1185"/>
      <c r="B687" s="1199" t="s">
        <v>6697</v>
      </c>
      <c r="C687" s="1186">
        <v>1</v>
      </c>
      <c r="D687" s="1186" t="s">
        <v>3364</v>
      </c>
      <c r="E687" s="1186">
        <v>1</v>
      </c>
      <c r="F687" s="1177">
        <f>(13.202+9.714)*2</f>
        <v>45.832000000000001</v>
      </c>
      <c r="G687" s="1177"/>
      <c r="H687" s="1177">
        <v>1.2</v>
      </c>
      <c r="I687" s="1178">
        <f t="shared" si="59"/>
        <v>55</v>
      </c>
      <c r="J687" s="1291"/>
    </row>
    <row r="688" spans="1:10" s="1209" customFormat="1">
      <c r="A688" s="1185"/>
      <c r="B688" s="1199" t="s">
        <v>6698</v>
      </c>
      <c r="C688" s="1186">
        <v>1</v>
      </c>
      <c r="D688" s="1186" t="s">
        <v>3364</v>
      </c>
      <c r="E688" s="1186">
        <v>1</v>
      </c>
      <c r="F688" s="1177">
        <v>102.816</v>
      </c>
      <c r="G688" s="1177"/>
      <c r="H688" s="1177">
        <v>1.2</v>
      </c>
      <c r="I688" s="1178">
        <f t="shared" si="59"/>
        <v>123.38</v>
      </c>
      <c r="J688" s="1291"/>
    </row>
    <row r="689" spans="1:10" s="1209" customFormat="1">
      <c r="A689" s="1185"/>
      <c r="B689" s="1199" t="s">
        <v>6699</v>
      </c>
      <c r="C689" s="1186">
        <v>1</v>
      </c>
      <c r="D689" s="1186" t="s">
        <v>3364</v>
      </c>
      <c r="E689" s="1186">
        <v>2</v>
      </c>
      <c r="F689" s="1177">
        <f>(7.8+2.925)*2</f>
        <v>21.45</v>
      </c>
      <c r="G689" s="1177"/>
      <c r="H689" s="1177">
        <v>3.3</v>
      </c>
      <c r="I689" s="1178">
        <f t="shared" si="59"/>
        <v>141.57</v>
      </c>
      <c r="J689" s="1291"/>
    </row>
    <row r="690" spans="1:10" s="1209" customFormat="1">
      <c r="A690" s="1185"/>
      <c r="B690" s="1199" t="s">
        <v>6700</v>
      </c>
      <c r="C690" s="1186">
        <v>1</v>
      </c>
      <c r="D690" s="1186" t="s">
        <v>3364</v>
      </c>
      <c r="E690" s="1186">
        <v>2</v>
      </c>
      <c r="F690" s="1177">
        <f>25+0.92</f>
        <v>25.92</v>
      </c>
      <c r="G690" s="1177"/>
      <c r="H690" s="1177">
        <v>1.1000000000000001</v>
      </c>
      <c r="I690" s="1178">
        <f t="shared" si="59"/>
        <v>57.02</v>
      </c>
      <c r="J690" s="1291"/>
    </row>
    <row r="691" spans="1:10" s="1209" customFormat="1">
      <c r="A691" s="1185"/>
      <c r="B691" s="1199" t="s">
        <v>6701</v>
      </c>
      <c r="C691" s="1186">
        <v>1</v>
      </c>
      <c r="D691" s="1186" t="s">
        <v>3364</v>
      </c>
      <c r="E691" s="1186">
        <v>1</v>
      </c>
      <c r="F691" s="1177">
        <f>F686-0.92</f>
        <v>101.896</v>
      </c>
      <c r="G691" s="1177"/>
      <c r="H691" s="1177">
        <v>1.2</v>
      </c>
      <c r="I691" s="1178">
        <f t="shared" si="59"/>
        <v>122.28</v>
      </c>
      <c r="J691" s="1291"/>
    </row>
    <row r="692" spans="1:10" s="1209" customFormat="1">
      <c r="A692" s="1185"/>
      <c r="B692" s="1199" t="s">
        <v>6702</v>
      </c>
      <c r="C692" s="1186">
        <v>1</v>
      </c>
      <c r="D692" s="1186" t="s">
        <v>3364</v>
      </c>
      <c r="E692" s="1186">
        <v>1</v>
      </c>
      <c r="F692" s="1177">
        <f>F689-0.46</f>
        <v>20.99</v>
      </c>
      <c r="G692" s="1177"/>
      <c r="H692" s="1177">
        <v>0.9</v>
      </c>
      <c r="I692" s="1178">
        <f t="shared" si="59"/>
        <v>18.89</v>
      </c>
      <c r="J692" s="1291"/>
    </row>
    <row r="693" spans="1:10" s="1209" customFormat="1">
      <c r="A693" s="1185"/>
      <c r="B693" s="1199" t="s">
        <v>6703</v>
      </c>
      <c r="C693" s="1251">
        <v>4</v>
      </c>
      <c r="D693" s="1251" t="s">
        <v>3364</v>
      </c>
      <c r="E693" s="1276">
        <v>0.5</v>
      </c>
      <c r="F693" s="1177">
        <v>1.5</v>
      </c>
      <c r="G693" s="1177"/>
      <c r="H693" s="1177">
        <v>0.6</v>
      </c>
      <c r="I693" s="1178">
        <f t="shared" si="59"/>
        <v>1.8</v>
      </c>
      <c r="J693" s="1179"/>
    </row>
    <row r="694" spans="1:10" s="1209" customFormat="1">
      <c r="A694" s="1185"/>
      <c r="B694" s="1202" t="s">
        <v>3443</v>
      </c>
      <c r="C694" s="1186"/>
      <c r="D694" s="1186"/>
      <c r="E694" s="1186"/>
      <c r="F694" s="1177"/>
      <c r="G694" s="1177"/>
      <c r="H694" s="1177"/>
      <c r="I694" s="1178"/>
      <c r="J694" s="1291"/>
    </row>
    <row r="695" spans="1:10" s="1209" customFormat="1">
      <c r="A695" s="1185"/>
      <c r="B695" s="1202" t="s">
        <v>6704</v>
      </c>
      <c r="C695" s="1186">
        <v>-1</v>
      </c>
      <c r="D695" s="1186" t="s">
        <v>3364</v>
      </c>
      <c r="E695" s="1186">
        <v>1</v>
      </c>
      <c r="F695" s="1177">
        <v>29.428000000000001</v>
      </c>
      <c r="G695" s="1177"/>
      <c r="H695" s="1177">
        <f>6.1-0.6</f>
        <v>5.5</v>
      </c>
      <c r="I695" s="1178">
        <f t="shared" ref="I695:I708" si="60">PRODUCT(C695:H695)</f>
        <v>-161.85</v>
      </c>
      <c r="J695" s="1291"/>
    </row>
    <row r="696" spans="1:10" s="1209" customFormat="1">
      <c r="A696" s="1185"/>
      <c r="B696" s="1292" t="s">
        <v>6705</v>
      </c>
      <c r="C696" s="1186">
        <v>-1</v>
      </c>
      <c r="D696" s="1186" t="s">
        <v>3364</v>
      </c>
      <c r="E696" s="1186">
        <v>49</v>
      </c>
      <c r="F696" s="1177">
        <v>1.5</v>
      </c>
      <c r="G696" s="1177"/>
      <c r="H696" s="1177">
        <v>1.35</v>
      </c>
      <c r="I696" s="1178">
        <f t="shared" si="60"/>
        <v>-99.23</v>
      </c>
      <c r="J696" s="1291"/>
    </row>
    <row r="697" spans="1:10" s="1209" customFormat="1">
      <c r="A697" s="1185"/>
      <c r="B697" s="1292" t="s">
        <v>6706</v>
      </c>
      <c r="C697" s="1186">
        <v>-1</v>
      </c>
      <c r="D697" s="1186" t="s">
        <v>3364</v>
      </c>
      <c r="E697" s="1186">
        <v>11</v>
      </c>
      <c r="F697" s="1177">
        <v>0.9</v>
      </c>
      <c r="G697" s="1177"/>
      <c r="H697" s="1177">
        <v>0.6</v>
      </c>
      <c r="I697" s="1178">
        <f t="shared" si="60"/>
        <v>-5.94</v>
      </c>
      <c r="J697" s="1291"/>
    </row>
    <row r="698" spans="1:10" s="1209" customFormat="1">
      <c r="A698" s="1185"/>
      <c r="B698" s="1199" t="s">
        <v>6707</v>
      </c>
      <c r="C698" s="1186">
        <v>-1</v>
      </c>
      <c r="D698" s="1186" t="s">
        <v>3364</v>
      </c>
      <c r="E698" s="1186">
        <v>36</v>
      </c>
      <c r="F698" s="1177">
        <v>0.75</v>
      </c>
      <c r="G698" s="1177"/>
      <c r="H698" s="1177">
        <v>0.6</v>
      </c>
      <c r="I698" s="1178">
        <f t="shared" si="60"/>
        <v>-16.2</v>
      </c>
      <c r="J698" s="1291"/>
    </row>
    <row r="699" spans="1:10" s="1209" customFormat="1">
      <c r="A699" s="1185"/>
      <c r="B699" s="1199" t="s">
        <v>6546</v>
      </c>
      <c r="C699" s="1186">
        <v>-1</v>
      </c>
      <c r="D699" s="1186" t="s">
        <v>3364</v>
      </c>
      <c r="E699" s="1186">
        <v>6</v>
      </c>
      <c r="F699" s="1177">
        <v>1.5</v>
      </c>
      <c r="G699" s="1177"/>
      <c r="H699" s="1177">
        <v>1.35</v>
      </c>
      <c r="I699" s="1178">
        <f t="shared" si="60"/>
        <v>-12.15</v>
      </c>
      <c r="J699" s="1291"/>
    </row>
    <row r="700" spans="1:10" s="1209" customFormat="1">
      <c r="A700" s="1185"/>
      <c r="B700" s="1199" t="s">
        <v>6708</v>
      </c>
      <c r="C700" s="1186">
        <v>-1</v>
      </c>
      <c r="D700" s="1186" t="s">
        <v>3364</v>
      </c>
      <c r="E700" s="1186">
        <v>2</v>
      </c>
      <c r="F700" s="1177">
        <v>1.35</v>
      </c>
      <c r="G700" s="1177"/>
      <c r="H700" s="1177">
        <v>1.05</v>
      </c>
      <c r="I700" s="1178">
        <f t="shared" si="60"/>
        <v>-2.84</v>
      </c>
      <c r="J700" s="1291"/>
    </row>
    <row r="701" spans="1:10" s="1209" customFormat="1">
      <c r="A701" s="1185"/>
      <c r="B701" s="1202" t="s">
        <v>6709</v>
      </c>
      <c r="C701" s="1186">
        <v>-1</v>
      </c>
      <c r="D701" s="1186" t="s">
        <v>3364</v>
      </c>
      <c r="E701" s="1186">
        <v>1</v>
      </c>
      <c r="F701" s="1177">
        <v>1</v>
      </c>
      <c r="G701" s="1177"/>
      <c r="H701" s="1177">
        <v>2.1</v>
      </c>
      <c r="I701" s="1178">
        <f t="shared" si="60"/>
        <v>-2.1</v>
      </c>
      <c r="J701" s="1291"/>
    </row>
    <row r="702" spans="1:10" s="1209" customFormat="1">
      <c r="A702" s="1185"/>
      <c r="B702" s="1292" t="s">
        <v>6710</v>
      </c>
      <c r="C702" s="1186"/>
      <c r="D702" s="1186"/>
      <c r="E702" s="1186"/>
      <c r="F702" s="1177"/>
      <c r="G702" s="1177"/>
      <c r="H702" s="1177"/>
      <c r="I702" s="1178">
        <f t="shared" si="60"/>
        <v>0</v>
      </c>
      <c r="J702" s="1291"/>
    </row>
    <row r="703" spans="1:10" s="1209" customFormat="1">
      <c r="A703" s="1185"/>
      <c r="B703" s="1292" t="s">
        <v>6705</v>
      </c>
      <c r="C703" s="1186">
        <v>1</v>
      </c>
      <c r="D703" s="1186" t="s">
        <v>3364</v>
      </c>
      <c r="E703" s="1186">
        <v>49</v>
      </c>
      <c r="F703" s="1177">
        <f>(F696+H696)*2</f>
        <v>5.7</v>
      </c>
      <c r="G703" s="1177">
        <v>0.23</v>
      </c>
      <c r="H703" s="1177"/>
      <c r="I703" s="1178">
        <f t="shared" si="60"/>
        <v>64.239999999999995</v>
      </c>
      <c r="J703" s="1291"/>
    </row>
    <row r="704" spans="1:10" s="1209" customFormat="1">
      <c r="A704" s="1185"/>
      <c r="B704" s="1292" t="s">
        <v>6706</v>
      </c>
      <c r="C704" s="1186">
        <v>1</v>
      </c>
      <c r="D704" s="1186" t="s">
        <v>3364</v>
      </c>
      <c r="E704" s="1186">
        <v>11</v>
      </c>
      <c r="F704" s="1177">
        <f>(F697+H697)*2</f>
        <v>3</v>
      </c>
      <c r="G704" s="1177">
        <v>0.23</v>
      </c>
      <c r="H704" s="1177"/>
      <c r="I704" s="1178">
        <f t="shared" si="60"/>
        <v>7.59</v>
      </c>
      <c r="J704" s="1291"/>
    </row>
    <row r="705" spans="1:256" s="1209" customFormat="1">
      <c r="A705" s="1185"/>
      <c r="B705" s="1199" t="s">
        <v>6707</v>
      </c>
      <c r="C705" s="1186">
        <v>1</v>
      </c>
      <c r="D705" s="1186" t="s">
        <v>3364</v>
      </c>
      <c r="E705" s="1186">
        <v>36</v>
      </c>
      <c r="F705" s="1177">
        <f>(F698+H698)*2</f>
        <v>2.7</v>
      </c>
      <c r="G705" s="1177">
        <v>0.23</v>
      </c>
      <c r="H705" s="1177"/>
      <c r="I705" s="1178">
        <f t="shared" si="60"/>
        <v>22.36</v>
      </c>
      <c r="J705" s="1291"/>
    </row>
    <row r="706" spans="1:256" s="1209" customFormat="1">
      <c r="A706" s="1185"/>
      <c r="B706" s="1199" t="s">
        <v>6546</v>
      </c>
      <c r="C706" s="1186">
        <v>1</v>
      </c>
      <c r="D706" s="1186" t="s">
        <v>3364</v>
      </c>
      <c r="E706" s="1186">
        <v>6</v>
      </c>
      <c r="F706" s="1177">
        <f>(F699+H699)*2</f>
        <v>5.7</v>
      </c>
      <c r="G706" s="1177">
        <v>0.23</v>
      </c>
      <c r="H706" s="1177"/>
      <c r="I706" s="1178">
        <f t="shared" si="60"/>
        <v>7.87</v>
      </c>
      <c r="J706" s="1291"/>
    </row>
    <row r="707" spans="1:256" s="1209" customFormat="1">
      <c r="A707" s="1185"/>
      <c r="B707" s="1199" t="s">
        <v>6708</v>
      </c>
      <c r="C707" s="1186">
        <v>1</v>
      </c>
      <c r="D707" s="1186" t="s">
        <v>3364</v>
      </c>
      <c r="E707" s="1186">
        <v>2</v>
      </c>
      <c r="F707" s="1177">
        <f>(F700+H700)*2</f>
        <v>4.8</v>
      </c>
      <c r="G707" s="1177">
        <v>0.23</v>
      </c>
      <c r="H707" s="1177"/>
      <c r="I707" s="1178">
        <f t="shared" si="60"/>
        <v>2.21</v>
      </c>
      <c r="J707" s="1291"/>
    </row>
    <row r="708" spans="1:256" s="1209" customFormat="1">
      <c r="A708" s="1185"/>
      <c r="B708" s="1199" t="s">
        <v>6709</v>
      </c>
      <c r="C708" s="1186">
        <v>1</v>
      </c>
      <c r="D708" s="1186" t="s">
        <v>3364</v>
      </c>
      <c r="E708" s="1186">
        <v>1</v>
      </c>
      <c r="F708" s="1177">
        <v>5.2</v>
      </c>
      <c r="G708" s="1177">
        <v>0.23</v>
      </c>
      <c r="H708" s="1177"/>
      <c r="I708" s="1178">
        <f t="shared" si="60"/>
        <v>1.2</v>
      </c>
      <c r="J708" s="1291"/>
    </row>
    <row r="709" spans="1:256" s="1209" customFormat="1">
      <c r="A709" s="1185"/>
      <c r="B709" s="1199"/>
      <c r="C709" s="1186"/>
      <c r="D709" s="1186"/>
      <c r="E709" s="1186"/>
      <c r="F709" s="1177"/>
      <c r="G709" s="1177"/>
      <c r="H709" s="1177"/>
      <c r="I709" s="1181">
        <f>SUM(I686:I708)</f>
        <v>1702.83</v>
      </c>
      <c r="J709" s="1291"/>
    </row>
    <row r="710" spans="1:256" s="1209" customFormat="1">
      <c r="A710" s="1185"/>
      <c r="B710" s="1199"/>
      <c r="C710" s="1186"/>
      <c r="D710" s="1186"/>
      <c r="E710" s="1186"/>
      <c r="F710" s="1177"/>
      <c r="G710" s="1177" t="s">
        <v>6711</v>
      </c>
      <c r="H710" s="1177"/>
      <c r="I710" s="1181">
        <f>CEILING(I709,0.1)</f>
        <v>1702.9</v>
      </c>
      <c r="J710" s="1184"/>
    </row>
    <row r="711" spans="1:256" s="1209" customFormat="1">
      <c r="A711" s="1185"/>
      <c r="B711" s="1199"/>
      <c r="C711" s="1186"/>
      <c r="D711" s="1186"/>
      <c r="E711" s="1186"/>
      <c r="F711" s="1833" t="s">
        <v>6712</v>
      </c>
      <c r="G711" s="1833"/>
      <c r="H711" s="1177"/>
      <c r="I711" s="1181">
        <f>I684+I710</f>
        <v>6212</v>
      </c>
      <c r="J711" s="1184" t="s">
        <v>724</v>
      </c>
    </row>
    <row r="712" spans="1:256" s="1180" customFormat="1" ht="18">
      <c r="A712" s="1185"/>
      <c r="B712" s="1190" t="s">
        <v>6713</v>
      </c>
      <c r="C712" s="1186"/>
      <c r="D712" s="1186"/>
      <c r="E712" s="1186"/>
      <c r="F712" s="1177"/>
      <c r="G712" s="1177"/>
      <c r="H712" s="1177"/>
      <c r="I712" s="1181"/>
      <c r="J712" s="1184"/>
    </row>
    <row r="713" spans="1:256" s="1180" customFormat="1">
      <c r="A713" s="1185"/>
      <c r="B713" s="1202"/>
      <c r="C713" s="1186"/>
      <c r="D713" s="1186"/>
      <c r="E713" s="1186"/>
      <c r="F713" s="1177"/>
      <c r="G713" s="1177"/>
      <c r="H713" s="1177"/>
      <c r="I713" s="1178"/>
      <c r="J713" s="1184"/>
    </row>
    <row r="714" spans="1:256" s="1180" customFormat="1" ht="18.75" customHeight="1">
      <c r="A714" s="1176"/>
      <c r="B714" s="1199" t="s">
        <v>6991</v>
      </c>
      <c r="C714" s="1186"/>
      <c r="D714" s="1186"/>
      <c r="E714" s="1186"/>
      <c r="F714" s="1177"/>
      <c r="G714" s="1177"/>
      <c r="H714" s="1177"/>
      <c r="I714" s="1178">
        <f>I684</f>
        <v>4509.1000000000004</v>
      </c>
      <c r="J714" s="1179"/>
    </row>
    <row r="715" spans="1:256" s="1180" customFormat="1" ht="23.25">
      <c r="A715" s="1191"/>
      <c r="B715" s="1192"/>
      <c r="C715" s="1191"/>
      <c r="D715" s="1192"/>
      <c r="E715" s="1191"/>
      <c r="F715" s="1192"/>
      <c r="G715" s="1191"/>
      <c r="H715" s="1188" t="s">
        <v>3473</v>
      </c>
      <c r="I715" s="1183">
        <f>CEILING(I714,0.1)</f>
        <v>4509.1000000000004</v>
      </c>
      <c r="J715" s="1189" t="s">
        <v>724</v>
      </c>
      <c r="K715" s="1193"/>
      <c r="L715" s="1194"/>
      <c r="M715" s="1195"/>
      <c r="N715" s="1194"/>
      <c r="O715" s="1195"/>
      <c r="P715" s="1194"/>
      <c r="Q715" s="1195"/>
      <c r="R715" s="1194"/>
      <c r="S715" s="1195"/>
      <c r="T715" s="1194"/>
      <c r="U715" s="1195"/>
      <c r="V715" s="1194"/>
      <c r="W715" s="1195"/>
      <c r="X715" s="1194"/>
      <c r="Y715" s="1195"/>
      <c r="Z715" s="1194"/>
      <c r="AA715" s="1195"/>
      <c r="AB715" s="1194"/>
      <c r="AC715" s="1195"/>
      <c r="AD715" s="1194"/>
      <c r="AE715" s="1195"/>
      <c r="AF715" s="1194"/>
      <c r="AG715" s="1195"/>
      <c r="AH715" s="1194"/>
      <c r="AI715" s="1195"/>
      <c r="AJ715" s="1194"/>
      <c r="AK715" s="1195"/>
      <c r="AL715" s="1194"/>
      <c r="AM715" s="1195"/>
      <c r="AN715" s="1194"/>
      <c r="AO715" s="1195"/>
      <c r="AP715" s="1194"/>
      <c r="AQ715" s="1195"/>
      <c r="AR715" s="1194"/>
      <c r="AS715" s="1195"/>
      <c r="AT715" s="1194"/>
      <c r="AU715" s="1195"/>
      <c r="AV715" s="1194"/>
      <c r="AW715" s="1195"/>
      <c r="AX715" s="1194"/>
      <c r="AY715" s="1195"/>
      <c r="AZ715" s="1194"/>
      <c r="BA715" s="1195"/>
      <c r="BB715" s="1194"/>
      <c r="BC715" s="1195"/>
      <c r="BD715" s="1194"/>
      <c r="BE715" s="1195"/>
      <c r="BF715" s="1194"/>
      <c r="BG715" s="1195"/>
      <c r="BH715" s="1194"/>
      <c r="BI715" s="1195"/>
      <c r="BJ715" s="1194"/>
      <c r="BK715" s="1195"/>
      <c r="BL715" s="1194"/>
      <c r="BM715" s="1195"/>
      <c r="BN715" s="1194"/>
      <c r="BO715" s="1195"/>
      <c r="BP715" s="1194"/>
      <c r="BQ715" s="1195"/>
      <c r="BR715" s="1194"/>
      <c r="BS715" s="1195"/>
      <c r="BT715" s="1194"/>
      <c r="BU715" s="1195"/>
      <c r="BV715" s="1194"/>
      <c r="BW715" s="1195"/>
      <c r="BX715" s="1194"/>
      <c r="BY715" s="1195"/>
      <c r="BZ715" s="1194"/>
      <c r="CA715" s="1195"/>
      <c r="CB715" s="1194"/>
      <c r="CC715" s="1195"/>
      <c r="CD715" s="1194"/>
      <c r="CE715" s="1195"/>
      <c r="CF715" s="1194"/>
      <c r="CG715" s="1195"/>
      <c r="CH715" s="1194"/>
      <c r="CI715" s="1195"/>
      <c r="CJ715" s="1194"/>
      <c r="CK715" s="1195"/>
      <c r="CL715" s="1194"/>
      <c r="CM715" s="1195"/>
      <c r="CN715" s="1194"/>
      <c r="CO715" s="1195"/>
      <c r="CP715" s="1194"/>
      <c r="CQ715" s="1195"/>
      <c r="CR715" s="1194"/>
      <c r="CS715" s="1195"/>
      <c r="CT715" s="1194"/>
      <c r="CU715" s="1195"/>
      <c r="CV715" s="1194"/>
      <c r="CW715" s="1195"/>
      <c r="CX715" s="1194"/>
      <c r="CY715" s="1195"/>
      <c r="CZ715" s="1194"/>
      <c r="DA715" s="1195"/>
      <c r="DB715" s="1194"/>
      <c r="DC715" s="1195"/>
      <c r="DD715" s="1194"/>
      <c r="DE715" s="1195"/>
      <c r="DF715" s="1194"/>
      <c r="DG715" s="1195"/>
      <c r="DH715" s="1194"/>
      <c r="DI715" s="1195"/>
      <c r="DJ715" s="1194"/>
      <c r="DK715" s="1195"/>
      <c r="DL715" s="1194"/>
      <c r="DM715" s="1195"/>
      <c r="DN715" s="1194"/>
      <c r="DO715" s="1195"/>
      <c r="DP715" s="1194"/>
      <c r="DQ715" s="1195"/>
      <c r="DR715" s="1194"/>
      <c r="DS715" s="1195"/>
      <c r="DT715" s="1194"/>
      <c r="DU715" s="1195"/>
      <c r="DV715" s="1194"/>
      <c r="DW715" s="1195"/>
      <c r="DX715" s="1194"/>
      <c r="DY715" s="1195"/>
      <c r="DZ715" s="1194"/>
      <c r="EA715" s="1195"/>
      <c r="EB715" s="1194"/>
      <c r="EC715" s="1195"/>
      <c r="ED715" s="1194"/>
      <c r="EE715" s="1195"/>
      <c r="EF715" s="1194"/>
      <c r="EG715" s="1195"/>
      <c r="EH715" s="1194"/>
      <c r="EI715" s="1195"/>
      <c r="EJ715" s="1194"/>
      <c r="EK715" s="1195"/>
      <c r="EL715" s="1194"/>
      <c r="EM715" s="1195"/>
      <c r="EN715" s="1194"/>
      <c r="EO715" s="1195"/>
      <c r="EP715" s="1194"/>
      <c r="EQ715" s="1195"/>
      <c r="ER715" s="1194"/>
      <c r="ES715" s="1195"/>
      <c r="ET715" s="1194"/>
      <c r="EU715" s="1195"/>
      <c r="EV715" s="1194"/>
      <c r="EW715" s="1195"/>
      <c r="EX715" s="1194"/>
      <c r="EY715" s="1195"/>
      <c r="EZ715" s="1194"/>
      <c r="FA715" s="1195"/>
      <c r="FB715" s="1194"/>
      <c r="FC715" s="1195"/>
      <c r="FD715" s="1194"/>
      <c r="FE715" s="1195"/>
      <c r="FF715" s="1194"/>
      <c r="FG715" s="1195"/>
      <c r="FH715" s="1194"/>
      <c r="FI715" s="1195"/>
      <c r="FJ715" s="1194"/>
      <c r="FK715" s="1195"/>
      <c r="FL715" s="1194"/>
      <c r="FM715" s="1195"/>
      <c r="FN715" s="1194"/>
      <c r="FO715" s="1195"/>
      <c r="FP715" s="1194"/>
      <c r="FQ715" s="1195"/>
      <c r="FR715" s="1194"/>
      <c r="FS715" s="1195"/>
      <c r="FT715" s="1194"/>
      <c r="FU715" s="1195"/>
      <c r="FV715" s="1194"/>
      <c r="FW715" s="1195"/>
      <c r="FX715" s="1194"/>
      <c r="FY715" s="1195"/>
      <c r="FZ715" s="1194"/>
      <c r="GA715" s="1195"/>
      <c r="GB715" s="1194"/>
      <c r="GC715" s="1195"/>
      <c r="GD715" s="1194"/>
      <c r="GE715" s="1195"/>
      <c r="GF715" s="1194"/>
      <c r="GG715" s="1195"/>
      <c r="GH715" s="1194"/>
      <c r="GI715" s="1195"/>
      <c r="GJ715" s="1194"/>
      <c r="GK715" s="1195"/>
      <c r="GL715" s="1194"/>
      <c r="GM715" s="1195"/>
      <c r="GN715" s="1194"/>
      <c r="GO715" s="1195"/>
      <c r="GP715" s="1194"/>
      <c r="GQ715" s="1195"/>
      <c r="GR715" s="1194"/>
      <c r="GS715" s="1195"/>
      <c r="GT715" s="1194"/>
      <c r="GU715" s="1195"/>
      <c r="GV715" s="1194"/>
      <c r="GW715" s="1195"/>
      <c r="GX715" s="1194"/>
      <c r="GY715" s="1195"/>
      <c r="GZ715" s="1194"/>
      <c r="HA715" s="1195"/>
      <c r="HB715" s="1194"/>
      <c r="HC715" s="1195"/>
      <c r="HD715" s="1194"/>
      <c r="HE715" s="1195"/>
      <c r="HF715" s="1194"/>
      <c r="HG715" s="1195"/>
      <c r="HH715" s="1194"/>
      <c r="HI715" s="1195"/>
      <c r="HJ715" s="1194"/>
      <c r="HK715" s="1195"/>
      <c r="HL715" s="1194"/>
      <c r="HM715" s="1195"/>
      <c r="HN715" s="1194"/>
      <c r="HO715" s="1195"/>
      <c r="HP715" s="1194"/>
      <c r="HQ715" s="1195"/>
      <c r="HR715" s="1194"/>
      <c r="HS715" s="1195"/>
      <c r="HT715" s="1194"/>
      <c r="HU715" s="1195"/>
      <c r="HV715" s="1194"/>
      <c r="HW715" s="1195"/>
      <c r="HX715" s="1194"/>
      <c r="HY715" s="1195"/>
      <c r="HZ715" s="1194"/>
      <c r="IA715" s="1195"/>
      <c r="IB715" s="1194"/>
      <c r="IC715" s="1195"/>
      <c r="ID715" s="1194"/>
      <c r="IE715" s="1195"/>
      <c r="IF715" s="1194"/>
      <c r="IG715" s="1195"/>
      <c r="IH715" s="1194"/>
      <c r="II715" s="1195"/>
      <c r="IJ715" s="1194"/>
      <c r="IK715" s="1195"/>
      <c r="IL715" s="1194"/>
      <c r="IM715" s="1195"/>
      <c r="IN715" s="1194"/>
      <c r="IO715" s="1195"/>
      <c r="IP715" s="1194"/>
      <c r="IQ715" s="1195"/>
      <c r="IR715" s="1194"/>
      <c r="IS715" s="1195"/>
      <c r="IT715" s="1194"/>
      <c r="IU715" s="1195"/>
      <c r="IV715" s="1194"/>
    </row>
    <row r="716" spans="1:256" s="1209" customFormat="1" ht="94.5">
      <c r="A716" s="1182">
        <v>34</v>
      </c>
      <c r="B716" s="1187" t="s">
        <v>6714</v>
      </c>
      <c r="C716" s="1268"/>
      <c r="D716" s="1268"/>
      <c r="E716" s="1268"/>
      <c r="F716" s="1269"/>
      <c r="G716" s="1269"/>
      <c r="H716" s="1269"/>
      <c r="I716" s="1278"/>
      <c r="J716" s="1189"/>
    </row>
    <row r="717" spans="1:256" s="1209" customFormat="1">
      <c r="A717" s="1182"/>
      <c r="B717" s="1201" t="s">
        <v>6715</v>
      </c>
      <c r="C717" s="1268">
        <v>2</v>
      </c>
      <c r="D717" s="1268" t="s">
        <v>3364</v>
      </c>
      <c r="E717" s="1268">
        <v>14</v>
      </c>
      <c r="F717" s="1269">
        <v>2.4</v>
      </c>
      <c r="G717" s="1269"/>
      <c r="H717" s="1269">
        <v>0.75</v>
      </c>
      <c r="I717" s="1278">
        <f>PRODUCT(C717:H717)</f>
        <v>50.4</v>
      </c>
      <c r="J717" s="1189"/>
    </row>
    <row r="718" spans="1:256" s="1209" customFormat="1">
      <c r="A718" s="1182"/>
      <c r="B718" s="1201" t="s">
        <v>6716</v>
      </c>
      <c r="C718" s="1268">
        <v>2</v>
      </c>
      <c r="D718" s="1268" t="s">
        <v>3364</v>
      </c>
      <c r="E718" s="1268">
        <v>8</v>
      </c>
      <c r="F718" s="1269">
        <v>3.69</v>
      </c>
      <c r="G718" s="1269"/>
      <c r="H718" s="1269">
        <v>0.9</v>
      </c>
      <c r="I718" s="1278">
        <f>PRODUCT(C718:H718)</f>
        <v>53.14</v>
      </c>
      <c r="J718" s="1189"/>
    </row>
    <row r="719" spans="1:256" s="1209" customFormat="1">
      <c r="A719" s="1182"/>
      <c r="B719" s="1201" t="s">
        <v>6617</v>
      </c>
      <c r="C719" s="1268">
        <v>1</v>
      </c>
      <c r="D719" s="1268" t="s">
        <v>3364</v>
      </c>
      <c r="E719" s="1268">
        <v>1</v>
      </c>
      <c r="F719" s="1269">
        <v>1.5</v>
      </c>
      <c r="G719" s="1269"/>
      <c r="H719" s="1269">
        <v>0.9</v>
      </c>
      <c r="I719" s="1278">
        <f>PRODUCT(C719:H719)</f>
        <v>1.35</v>
      </c>
      <c r="J719" s="1189"/>
    </row>
    <row r="720" spans="1:256" s="1209" customFormat="1">
      <c r="A720" s="1182"/>
      <c r="B720" s="1201" t="s">
        <v>6717</v>
      </c>
      <c r="C720" s="1268">
        <v>1</v>
      </c>
      <c r="D720" s="1268" t="s">
        <v>3364</v>
      </c>
      <c r="E720" s="1268">
        <v>6</v>
      </c>
      <c r="F720" s="1269">
        <v>3.69</v>
      </c>
      <c r="G720" s="1269"/>
      <c r="H720" s="1269">
        <v>0.05</v>
      </c>
      <c r="I720" s="1278">
        <f>PRODUCT(C720:H720)</f>
        <v>1.1100000000000001</v>
      </c>
      <c r="J720" s="1189"/>
    </row>
    <row r="721" spans="1:10" s="1209" customFormat="1">
      <c r="A721" s="1182"/>
      <c r="B721" s="1201"/>
      <c r="C721" s="1268"/>
      <c r="D721" s="1268"/>
      <c r="E721" s="1268"/>
      <c r="F721" s="1269"/>
      <c r="G721" s="1269"/>
      <c r="H721" s="1269"/>
      <c r="I721" s="1181">
        <f>SUM(I717:I720)</f>
        <v>106</v>
      </c>
      <c r="J721" s="1189"/>
    </row>
    <row r="722" spans="1:10" s="1209" customFormat="1">
      <c r="A722" s="1182"/>
      <c r="B722" s="1201"/>
      <c r="C722" s="1268"/>
      <c r="D722" s="1268"/>
      <c r="E722" s="1268"/>
      <c r="F722" s="1269"/>
      <c r="G722" s="1269"/>
      <c r="H722" s="1188" t="s">
        <v>3473</v>
      </c>
      <c r="I722" s="1183">
        <f>CEILING(I721,0.1)</f>
        <v>106</v>
      </c>
      <c r="J722" s="1189" t="s">
        <v>724</v>
      </c>
    </row>
    <row r="723" spans="1:10" s="1209" customFormat="1" ht="110.25">
      <c r="A723" s="1182">
        <v>35</v>
      </c>
      <c r="B723" s="1187" t="s">
        <v>3500</v>
      </c>
      <c r="C723" s="1186"/>
      <c r="D723" s="1186"/>
      <c r="E723" s="1186"/>
      <c r="F723" s="1177"/>
      <c r="G723" s="1177"/>
      <c r="H723" s="1177"/>
      <c r="I723" s="1178"/>
      <c r="J723" s="1184"/>
    </row>
    <row r="724" spans="1:10" s="1209" customFormat="1">
      <c r="A724" s="1182"/>
      <c r="B724" s="1201" t="s">
        <v>6718</v>
      </c>
      <c r="C724" s="1186">
        <v>1</v>
      </c>
      <c r="D724" s="1186" t="s">
        <v>3364</v>
      </c>
      <c r="E724" s="1186">
        <v>1</v>
      </c>
      <c r="F724" s="1177">
        <v>5.39</v>
      </c>
      <c r="G724" s="1177">
        <v>6.1120000000000001</v>
      </c>
      <c r="H724" s="1177"/>
      <c r="I724" s="1278">
        <f t="shared" ref="I724:I771" si="61">PRODUCT(C724:H724)</f>
        <v>32.94</v>
      </c>
      <c r="J724" s="1275"/>
    </row>
    <row r="725" spans="1:10" s="1209" customFormat="1">
      <c r="A725" s="1182"/>
      <c r="B725" s="1201" t="s">
        <v>3372</v>
      </c>
      <c r="C725" s="1186">
        <v>1</v>
      </c>
      <c r="D725" s="1186" t="s">
        <v>3364</v>
      </c>
      <c r="E725" s="1186">
        <v>1</v>
      </c>
      <c r="F725" s="1177">
        <v>5.39</v>
      </c>
      <c r="G725" s="1177">
        <v>4.1689999999999996</v>
      </c>
      <c r="H725" s="1177"/>
      <c r="I725" s="1278">
        <f t="shared" si="61"/>
        <v>22.47</v>
      </c>
      <c r="J725" s="1275"/>
    </row>
    <row r="726" spans="1:10" s="1209" customFormat="1">
      <c r="A726" s="1182"/>
      <c r="B726" s="1201" t="s">
        <v>6719</v>
      </c>
      <c r="C726" s="1186">
        <v>1</v>
      </c>
      <c r="D726" s="1186" t="s">
        <v>3364</v>
      </c>
      <c r="E726" s="1186">
        <v>2</v>
      </c>
      <c r="F726" s="1177">
        <v>2</v>
      </c>
      <c r="G726" s="1177">
        <v>1.4350000000000001</v>
      </c>
      <c r="H726" s="1177"/>
      <c r="I726" s="1278">
        <f t="shared" si="61"/>
        <v>5.74</v>
      </c>
      <c r="J726" s="1275"/>
    </row>
    <row r="727" spans="1:10" s="1209" customFormat="1">
      <c r="A727" s="1182"/>
      <c r="B727" s="1201" t="s">
        <v>6720</v>
      </c>
      <c r="C727" s="1186">
        <v>1</v>
      </c>
      <c r="D727" s="1186" t="s">
        <v>3364</v>
      </c>
      <c r="E727" s="1186">
        <v>1</v>
      </c>
      <c r="F727" s="1177">
        <v>2.2000000000000002</v>
      </c>
      <c r="G727" s="1177">
        <v>1.6</v>
      </c>
      <c r="H727" s="1177"/>
      <c r="I727" s="1278">
        <f t="shared" si="61"/>
        <v>3.52</v>
      </c>
      <c r="J727" s="1275"/>
    </row>
    <row r="728" spans="1:10" s="1209" customFormat="1">
      <c r="A728" s="1182"/>
      <c r="B728" s="1201" t="s">
        <v>6721</v>
      </c>
      <c r="C728" s="1186">
        <v>1</v>
      </c>
      <c r="D728" s="1186" t="s">
        <v>3364</v>
      </c>
      <c r="E728" s="1186">
        <v>1</v>
      </c>
      <c r="F728" s="1177">
        <v>4.67</v>
      </c>
      <c r="G728" s="1177">
        <v>2.6970000000000001</v>
      </c>
      <c r="H728" s="1177"/>
      <c r="I728" s="1278">
        <f t="shared" si="61"/>
        <v>12.59</v>
      </c>
      <c r="J728" s="1275"/>
    </row>
    <row r="729" spans="1:10" s="1209" customFormat="1">
      <c r="A729" s="1182"/>
      <c r="B729" s="1201" t="s">
        <v>6722</v>
      </c>
      <c r="C729" s="1186">
        <v>1</v>
      </c>
      <c r="D729" s="1186" t="s">
        <v>3364</v>
      </c>
      <c r="E729" s="1186">
        <v>1</v>
      </c>
      <c r="F729" s="1177">
        <v>4.681</v>
      </c>
      <c r="G729" s="1177">
        <v>2.6970000000000001</v>
      </c>
      <c r="H729" s="1177"/>
      <c r="I729" s="1278">
        <f t="shared" si="61"/>
        <v>12.62</v>
      </c>
      <c r="J729" s="1275"/>
    </row>
    <row r="730" spans="1:10" s="1209" customFormat="1">
      <c r="A730" s="1182"/>
      <c r="B730" s="1201" t="s">
        <v>6723</v>
      </c>
      <c r="C730" s="1186">
        <v>1</v>
      </c>
      <c r="D730" s="1186" t="s">
        <v>3364</v>
      </c>
      <c r="E730" s="1186">
        <v>1</v>
      </c>
      <c r="F730" s="1177">
        <v>5.24</v>
      </c>
      <c r="G730" s="1177">
        <v>2.6970000000000001</v>
      </c>
      <c r="H730" s="1177"/>
      <c r="I730" s="1278">
        <f t="shared" si="61"/>
        <v>14.13</v>
      </c>
      <c r="J730" s="1275"/>
    </row>
    <row r="731" spans="1:10" s="1209" customFormat="1">
      <c r="A731" s="1182"/>
      <c r="B731" s="1201" t="s">
        <v>6724</v>
      </c>
      <c r="C731" s="1186">
        <v>1</v>
      </c>
      <c r="D731" s="1186" t="s">
        <v>3364</v>
      </c>
      <c r="E731" s="1186">
        <v>1</v>
      </c>
      <c r="F731" s="1177">
        <v>35.271999999999998</v>
      </c>
      <c r="G731" s="1177">
        <v>13.202</v>
      </c>
      <c r="H731" s="1177"/>
      <c r="I731" s="1278">
        <f t="shared" si="61"/>
        <v>465.66</v>
      </c>
      <c r="J731" s="1275"/>
    </row>
    <row r="732" spans="1:10" s="1209" customFormat="1">
      <c r="A732" s="1182"/>
      <c r="B732" s="1201" t="s">
        <v>6725</v>
      </c>
      <c r="C732" s="1186">
        <v>1</v>
      </c>
      <c r="D732" s="1186" t="s">
        <v>3364</v>
      </c>
      <c r="E732" s="1186">
        <v>14</v>
      </c>
      <c r="F732" s="1177">
        <v>13.202</v>
      </c>
      <c r="G732" s="1177"/>
      <c r="H732" s="1177">
        <v>0.6</v>
      </c>
      <c r="I732" s="1278">
        <f t="shared" si="61"/>
        <v>110.9</v>
      </c>
      <c r="J732" s="1275"/>
    </row>
    <row r="733" spans="1:10" s="1209" customFormat="1">
      <c r="A733" s="1182"/>
      <c r="B733" s="1201" t="s">
        <v>6726</v>
      </c>
      <c r="C733" s="1186">
        <v>1</v>
      </c>
      <c r="D733" s="1186" t="s">
        <v>3364</v>
      </c>
      <c r="E733" s="1186">
        <v>1</v>
      </c>
      <c r="F733" s="1177">
        <v>10.029999999999999</v>
      </c>
      <c r="G733" s="1177">
        <v>1.2</v>
      </c>
      <c r="H733" s="1177"/>
      <c r="I733" s="1278">
        <f t="shared" si="61"/>
        <v>12.04</v>
      </c>
      <c r="J733" s="1275"/>
    </row>
    <row r="734" spans="1:10" s="1209" customFormat="1">
      <c r="A734" s="1182"/>
      <c r="B734" s="1201" t="s">
        <v>6726</v>
      </c>
      <c r="C734" s="1186">
        <v>1</v>
      </c>
      <c r="D734" s="1186" t="s">
        <v>3364</v>
      </c>
      <c r="E734" s="1186">
        <v>1</v>
      </c>
      <c r="F734" s="1177">
        <v>35.271999999999998</v>
      </c>
      <c r="G734" s="1177">
        <v>1.2</v>
      </c>
      <c r="H734" s="1177"/>
      <c r="I734" s="1278">
        <f t="shared" si="61"/>
        <v>42.33</v>
      </c>
      <c r="J734" s="1275"/>
    </row>
    <row r="735" spans="1:10" s="1209" customFormat="1">
      <c r="A735" s="1182"/>
      <c r="B735" s="1201" t="s">
        <v>6727</v>
      </c>
      <c r="C735" s="1186">
        <v>1</v>
      </c>
      <c r="D735" s="1186" t="s">
        <v>3364</v>
      </c>
      <c r="E735" s="1186">
        <v>1</v>
      </c>
      <c r="F735" s="1177">
        <v>1.35</v>
      </c>
      <c r="G735" s="1177">
        <v>1.8</v>
      </c>
      <c r="H735" s="1177"/>
      <c r="I735" s="1278">
        <f t="shared" si="61"/>
        <v>2.4300000000000002</v>
      </c>
      <c r="J735" s="1275"/>
    </row>
    <row r="736" spans="1:10" s="1209" customFormat="1">
      <c r="A736" s="1182"/>
      <c r="B736" s="1201" t="s">
        <v>6728</v>
      </c>
      <c r="C736" s="1186">
        <v>1</v>
      </c>
      <c r="D736" s="1186" t="s">
        <v>3364</v>
      </c>
      <c r="E736" s="1186">
        <v>4</v>
      </c>
      <c r="F736" s="1177">
        <v>7.84</v>
      </c>
      <c r="G736" s="1177">
        <v>0.6</v>
      </c>
      <c r="H736" s="1177"/>
      <c r="I736" s="1278">
        <f t="shared" si="61"/>
        <v>18.82</v>
      </c>
      <c r="J736" s="1275"/>
    </row>
    <row r="737" spans="1:10" s="1209" customFormat="1">
      <c r="A737" s="1182"/>
      <c r="B737" s="1203" t="s">
        <v>6729</v>
      </c>
      <c r="C737" s="1186"/>
      <c r="D737" s="1186"/>
      <c r="E737" s="1186"/>
      <c r="F737" s="1177"/>
      <c r="G737" s="1177"/>
      <c r="H737" s="1177"/>
      <c r="I737" s="1278"/>
      <c r="J737" s="1275"/>
    </row>
    <row r="738" spans="1:10" s="1209" customFormat="1">
      <c r="A738" s="1182"/>
      <c r="B738" s="1201" t="s">
        <v>3458</v>
      </c>
      <c r="C738" s="1186">
        <v>1</v>
      </c>
      <c r="D738" s="1186" t="s">
        <v>3364</v>
      </c>
      <c r="E738" s="1186">
        <v>1</v>
      </c>
      <c r="F738" s="1177">
        <v>12.738</v>
      </c>
      <c r="G738" s="1177">
        <v>4.9020000000000001</v>
      </c>
      <c r="H738" s="1177"/>
      <c r="I738" s="1278">
        <f t="shared" si="61"/>
        <v>62.44</v>
      </c>
      <c r="J738" s="1275"/>
    </row>
    <row r="739" spans="1:10" s="1209" customFormat="1">
      <c r="A739" s="1182"/>
      <c r="B739" s="1201" t="s">
        <v>6730</v>
      </c>
      <c r="C739" s="1186">
        <v>1</v>
      </c>
      <c r="D739" s="1186" t="s">
        <v>3364</v>
      </c>
      <c r="E739" s="1186">
        <v>1</v>
      </c>
      <c r="F739" s="1177">
        <v>10.51</v>
      </c>
      <c r="G739" s="1177">
        <v>14.346</v>
      </c>
      <c r="H739" s="1177"/>
      <c r="I739" s="1278">
        <f t="shared" si="61"/>
        <v>150.78</v>
      </c>
      <c r="J739" s="1275"/>
    </row>
    <row r="740" spans="1:10" s="1209" customFormat="1">
      <c r="A740" s="1182"/>
      <c r="B740" s="1201" t="s">
        <v>6731</v>
      </c>
      <c r="C740" s="1186">
        <v>1</v>
      </c>
      <c r="D740" s="1186" t="s">
        <v>3364</v>
      </c>
      <c r="E740" s="1186">
        <v>1</v>
      </c>
      <c r="F740" s="1177">
        <v>5.39</v>
      </c>
      <c r="G740" s="1177">
        <v>4.8600000000000003</v>
      </c>
      <c r="H740" s="1177"/>
      <c r="I740" s="1278">
        <f t="shared" si="61"/>
        <v>26.2</v>
      </c>
      <c r="J740" s="1275"/>
    </row>
    <row r="741" spans="1:10" s="1209" customFormat="1">
      <c r="A741" s="1182"/>
      <c r="B741" s="1201" t="s">
        <v>6732</v>
      </c>
      <c r="C741" s="1186">
        <v>1</v>
      </c>
      <c r="D741" s="1186" t="s">
        <v>3364</v>
      </c>
      <c r="E741" s="1186">
        <v>1</v>
      </c>
      <c r="F741" s="1177">
        <v>3.2749999999999999</v>
      </c>
      <c r="G741" s="1177">
        <v>1.3149999999999999</v>
      </c>
      <c r="H741" s="1177"/>
      <c r="I741" s="1278">
        <f t="shared" si="61"/>
        <v>4.3099999999999996</v>
      </c>
      <c r="J741" s="1275"/>
    </row>
    <row r="742" spans="1:10" s="1209" customFormat="1">
      <c r="A742" s="1182"/>
      <c r="B742" s="1201" t="s">
        <v>6727</v>
      </c>
      <c r="C742" s="1186">
        <v>1</v>
      </c>
      <c r="D742" s="1186" t="s">
        <v>3364</v>
      </c>
      <c r="E742" s="1186">
        <v>2</v>
      </c>
      <c r="F742" s="1177">
        <v>2.7</v>
      </c>
      <c r="G742" s="1177">
        <v>1.3149999999999999</v>
      </c>
      <c r="H742" s="1177"/>
      <c r="I742" s="1278">
        <f t="shared" si="61"/>
        <v>7.1</v>
      </c>
      <c r="J742" s="1275"/>
    </row>
    <row r="743" spans="1:10" s="1209" customFormat="1">
      <c r="A743" s="1182"/>
      <c r="B743" s="1201" t="s">
        <v>3459</v>
      </c>
      <c r="C743" s="1186">
        <v>1</v>
      </c>
      <c r="D743" s="1186" t="s">
        <v>3364</v>
      </c>
      <c r="E743" s="1186">
        <v>1</v>
      </c>
      <c r="F743" s="1177">
        <v>3.7749999999999999</v>
      </c>
      <c r="G743" s="1177">
        <v>4.67</v>
      </c>
      <c r="H743" s="1177"/>
      <c r="I743" s="1278">
        <f t="shared" si="61"/>
        <v>17.63</v>
      </c>
      <c r="J743" s="1275"/>
    </row>
    <row r="744" spans="1:10" s="1209" customFormat="1">
      <c r="A744" s="1182"/>
      <c r="B744" s="1201" t="s">
        <v>6727</v>
      </c>
      <c r="C744" s="1186">
        <v>1</v>
      </c>
      <c r="D744" s="1186" t="s">
        <v>3364</v>
      </c>
      <c r="E744" s="1186">
        <v>2</v>
      </c>
      <c r="F744" s="1177">
        <v>2</v>
      </c>
      <c r="G744" s="1177">
        <v>1.4350000000000001</v>
      </c>
      <c r="H744" s="1177"/>
      <c r="I744" s="1278">
        <f t="shared" si="61"/>
        <v>5.74</v>
      </c>
      <c r="J744" s="1275"/>
    </row>
    <row r="745" spans="1:10" s="1209" customFormat="1">
      <c r="A745" s="1182"/>
      <c r="B745" s="1201" t="s">
        <v>6733</v>
      </c>
      <c r="C745" s="1186">
        <v>1</v>
      </c>
      <c r="D745" s="1186" t="s">
        <v>3364</v>
      </c>
      <c r="E745" s="1186">
        <v>1</v>
      </c>
      <c r="F745" s="1177">
        <v>1.7749999999999999</v>
      </c>
      <c r="G745" s="1177">
        <v>1.4350000000000001</v>
      </c>
      <c r="H745" s="1177"/>
      <c r="I745" s="1278">
        <f t="shared" si="61"/>
        <v>2.5499999999999998</v>
      </c>
      <c r="J745" s="1275"/>
    </row>
    <row r="746" spans="1:10" s="1209" customFormat="1">
      <c r="A746" s="1182"/>
      <c r="B746" s="1201" t="s">
        <v>3483</v>
      </c>
      <c r="C746" s="1186">
        <v>1</v>
      </c>
      <c r="D746" s="1186" t="s">
        <v>3364</v>
      </c>
      <c r="E746" s="1186">
        <v>2</v>
      </c>
      <c r="F746" s="1177">
        <v>2</v>
      </c>
      <c r="G746" s="1177">
        <v>2.7</v>
      </c>
      <c r="H746" s="1177"/>
      <c r="I746" s="1278">
        <f t="shared" si="61"/>
        <v>10.8</v>
      </c>
      <c r="J746" s="1275"/>
    </row>
    <row r="747" spans="1:10" s="1209" customFormat="1">
      <c r="A747" s="1182"/>
      <c r="B747" s="1201" t="s">
        <v>6734</v>
      </c>
      <c r="C747" s="1186">
        <v>2</v>
      </c>
      <c r="D747" s="1186" t="s">
        <v>3364</v>
      </c>
      <c r="E747" s="1186">
        <v>10</v>
      </c>
      <c r="F747" s="1177">
        <v>1.2</v>
      </c>
      <c r="G747" s="1177">
        <v>1.5</v>
      </c>
      <c r="H747" s="1177"/>
      <c r="I747" s="1278">
        <f t="shared" si="61"/>
        <v>36</v>
      </c>
      <c r="J747" s="1275"/>
    </row>
    <row r="748" spans="1:10" s="1209" customFormat="1">
      <c r="A748" s="1185"/>
      <c r="B748" s="1199" t="s">
        <v>6735</v>
      </c>
      <c r="C748" s="1186">
        <v>2</v>
      </c>
      <c r="D748" s="1186" t="s">
        <v>3364</v>
      </c>
      <c r="E748" s="1186">
        <v>1</v>
      </c>
      <c r="F748" s="1177">
        <v>15.05</v>
      </c>
      <c r="G748" s="1177">
        <v>1.2</v>
      </c>
      <c r="H748" s="1177"/>
      <c r="I748" s="1178">
        <f t="shared" si="61"/>
        <v>36.119999999999997</v>
      </c>
      <c r="J748" s="1291"/>
    </row>
    <row r="749" spans="1:10" s="1209" customFormat="1">
      <c r="A749" s="1176"/>
      <c r="B749" s="1199" t="s">
        <v>6736</v>
      </c>
      <c r="C749" s="1251">
        <v>1</v>
      </c>
      <c r="D749" s="1251" t="s">
        <v>3364</v>
      </c>
      <c r="E749" s="1251">
        <v>1</v>
      </c>
      <c r="F749" s="1177">
        <v>1.9</v>
      </c>
      <c r="G749" s="1177">
        <v>1.2</v>
      </c>
      <c r="H749" s="1177"/>
      <c r="I749" s="1178">
        <f t="shared" si="61"/>
        <v>2.2799999999999998</v>
      </c>
      <c r="J749" s="1179"/>
    </row>
    <row r="750" spans="1:10" s="1209" customFormat="1">
      <c r="A750" s="1176"/>
      <c r="B750" s="1199" t="s">
        <v>6737</v>
      </c>
      <c r="C750" s="1251">
        <v>1</v>
      </c>
      <c r="D750" s="1251" t="s">
        <v>3364</v>
      </c>
      <c r="E750" s="1251">
        <v>1</v>
      </c>
      <c r="F750" s="1177">
        <v>17.631</v>
      </c>
      <c r="G750" s="1177">
        <v>2</v>
      </c>
      <c r="H750" s="1177"/>
      <c r="I750" s="1178">
        <f t="shared" si="61"/>
        <v>35.26</v>
      </c>
      <c r="J750" s="1179"/>
    </row>
    <row r="751" spans="1:10" s="1209" customFormat="1">
      <c r="A751" s="1185"/>
      <c r="B751" s="1293" t="s">
        <v>3505</v>
      </c>
      <c r="C751" s="1251"/>
      <c r="D751" s="1251"/>
      <c r="E751" s="1251"/>
      <c r="F751" s="1177"/>
      <c r="G751" s="1177"/>
      <c r="H751" s="1177"/>
      <c r="I751" s="1178">
        <f t="shared" si="61"/>
        <v>0</v>
      </c>
      <c r="J751" s="1179"/>
    </row>
    <row r="752" spans="1:10" s="1209" customFormat="1">
      <c r="A752" s="1185"/>
      <c r="B752" s="1199" t="s">
        <v>6738</v>
      </c>
      <c r="C752" s="1186">
        <v>2</v>
      </c>
      <c r="D752" s="1186" t="s">
        <v>3364</v>
      </c>
      <c r="E752" s="1251">
        <v>1</v>
      </c>
      <c r="F752" s="1177">
        <v>4.9020000000000001</v>
      </c>
      <c r="G752" s="1177">
        <v>0.6</v>
      </c>
      <c r="H752" s="1177"/>
      <c r="I752" s="1178">
        <f t="shared" si="61"/>
        <v>5.88</v>
      </c>
      <c r="J752" s="1291"/>
    </row>
    <row r="753" spans="1:12" s="1209" customFormat="1">
      <c r="A753" s="1185"/>
      <c r="B753" s="1199" t="s">
        <v>3415</v>
      </c>
      <c r="C753" s="1186">
        <v>1</v>
      </c>
      <c r="D753" s="1186" t="s">
        <v>3364</v>
      </c>
      <c r="E753" s="1251">
        <v>7</v>
      </c>
      <c r="F753" s="1177">
        <v>1.96</v>
      </c>
      <c r="G753" s="1177">
        <v>0.6</v>
      </c>
      <c r="H753" s="1177"/>
      <c r="I753" s="1178">
        <f t="shared" si="61"/>
        <v>8.23</v>
      </c>
      <c r="J753" s="1291"/>
    </row>
    <row r="754" spans="1:12" s="1209" customFormat="1">
      <c r="A754" s="1182"/>
      <c r="B754" s="1201" t="s">
        <v>6739</v>
      </c>
      <c r="C754" s="1186">
        <v>2</v>
      </c>
      <c r="D754" s="1186" t="s">
        <v>3364</v>
      </c>
      <c r="E754" s="1186">
        <v>1</v>
      </c>
      <c r="F754" s="1177">
        <v>10</v>
      </c>
      <c r="G754" s="1177">
        <v>0.6</v>
      </c>
      <c r="H754" s="1177"/>
      <c r="I754" s="1178">
        <f t="shared" si="61"/>
        <v>12</v>
      </c>
      <c r="J754" s="1275"/>
      <c r="L754" s="1209">
        <f>5.7+0.46</f>
        <v>6.16</v>
      </c>
    </row>
    <row r="755" spans="1:12" s="1209" customFormat="1">
      <c r="A755" s="1182"/>
      <c r="B755" s="1201" t="s">
        <v>6740</v>
      </c>
      <c r="C755" s="1186">
        <v>2</v>
      </c>
      <c r="D755" s="1186" t="s">
        <v>3364</v>
      </c>
      <c r="E755" s="1186">
        <v>1</v>
      </c>
      <c r="F755" s="1177">
        <v>3.7749999999999999</v>
      </c>
      <c r="G755" s="1177">
        <v>0.6</v>
      </c>
      <c r="H755" s="1177"/>
      <c r="I755" s="1178">
        <f t="shared" si="61"/>
        <v>4.53</v>
      </c>
      <c r="J755" s="1275"/>
      <c r="L755" s="1209">
        <f>2.7+0.46</f>
        <v>3.16</v>
      </c>
    </row>
    <row r="756" spans="1:12" s="1209" customFormat="1">
      <c r="A756" s="1182"/>
      <c r="B756" s="1203" t="s">
        <v>6741</v>
      </c>
      <c r="C756" s="1186"/>
      <c r="D756" s="1186"/>
      <c r="E756" s="1186"/>
      <c r="F756" s="1177"/>
      <c r="G756" s="1177"/>
      <c r="H756" s="1177"/>
      <c r="I756" s="1178">
        <f t="shared" si="61"/>
        <v>0</v>
      </c>
      <c r="J756" s="1275"/>
    </row>
    <row r="757" spans="1:12" s="1209" customFormat="1">
      <c r="A757" s="1182"/>
      <c r="B757" s="1201" t="s">
        <v>3502</v>
      </c>
      <c r="C757" s="1186">
        <v>2</v>
      </c>
      <c r="D757" s="1186" t="s">
        <v>3364</v>
      </c>
      <c r="E757" s="1186">
        <v>1</v>
      </c>
      <c r="F757" s="1177">
        <v>9.6050000000000004</v>
      </c>
      <c r="G757" s="1177">
        <v>8.8079999999999998</v>
      </c>
      <c r="H757" s="1177"/>
      <c r="I757" s="1178">
        <f t="shared" si="61"/>
        <v>169.2</v>
      </c>
      <c r="J757" s="1275"/>
    </row>
    <row r="758" spans="1:12" s="1209" customFormat="1">
      <c r="A758" s="1182"/>
      <c r="B758" s="1201" t="s">
        <v>6742</v>
      </c>
      <c r="C758" s="1186">
        <v>2</v>
      </c>
      <c r="D758" s="1186" t="s">
        <v>3364</v>
      </c>
      <c r="E758" s="1186">
        <v>1</v>
      </c>
      <c r="F758" s="1177">
        <v>19.356999999999999</v>
      </c>
      <c r="G758" s="1177">
        <v>10.507999999999999</v>
      </c>
      <c r="H758" s="1177"/>
      <c r="I758" s="1178">
        <f t="shared" si="61"/>
        <v>406.81</v>
      </c>
      <c r="J758" s="1275"/>
    </row>
    <row r="759" spans="1:12" s="1209" customFormat="1">
      <c r="A759" s="1182"/>
      <c r="B759" s="1201" t="s">
        <v>6723</v>
      </c>
      <c r="C759" s="1186">
        <v>2</v>
      </c>
      <c r="D759" s="1186" t="s">
        <v>3364</v>
      </c>
      <c r="E759" s="1186">
        <v>1</v>
      </c>
      <c r="F759" s="1177">
        <v>5.39</v>
      </c>
      <c r="G759" s="1177">
        <v>4.7489999999999997</v>
      </c>
      <c r="H759" s="1177"/>
      <c r="I759" s="1178">
        <f t="shared" si="61"/>
        <v>51.19</v>
      </c>
      <c r="J759" s="1275"/>
    </row>
    <row r="760" spans="1:12" s="1209" customFormat="1">
      <c r="A760" s="1182"/>
      <c r="B760" s="1201" t="s">
        <v>6731</v>
      </c>
      <c r="C760" s="1186">
        <v>1</v>
      </c>
      <c r="D760" s="1186" t="s">
        <v>3364</v>
      </c>
      <c r="E760" s="1186">
        <v>1</v>
      </c>
      <c r="F760" s="1177">
        <v>5.39</v>
      </c>
      <c r="G760" s="1177">
        <v>5.5309999999999997</v>
      </c>
      <c r="H760" s="1177"/>
      <c r="I760" s="1178">
        <f t="shared" si="61"/>
        <v>29.81</v>
      </c>
      <c r="J760" s="1275"/>
    </row>
    <row r="761" spans="1:12" s="1209" customFormat="1">
      <c r="A761" s="1182"/>
      <c r="B761" s="1201" t="s">
        <v>6743</v>
      </c>
      <c r="C761" s="1186">
        <v>2</v>
      </c>
      <c r="D761" s="1186" t="s">
        <v>3364</v>
      </c>
      <c r="E761" s="1186">
        <v>1</v>
      </c>
      <c r="F761" s="1177">
        <v>2</v>
      </c>
      <c r="G761" s="1177">
        <v>1.4350000000000001</v>
      </c>
      <c r="H761" s="1177"/>
      <c r="I761" s="1178">
        <f t="shared" si="61"/>
        <v>5.74</v>
      </c>
      <c r="J761" s="1275"/>
    </row>
    <row r="762" spans="1:12" s="1209" customFormat="1">
      <c r="A762" s="1182"/>
      <c r="B762" s="1201" t="s">
        <v>6744</v>
      </c>
      <c r="C762" s="1186">
        <v>2</v>
      </c>
      <c r="D762" s="1186" t="s">
        <v>3364</v>
      </c>
      <c r="E762" s="1186">
        <v>1</v>
      </c>
      <c r="F762" s="1177">
        <v>6.5</v>
      </c>
      <c r="G762" s="1177">
        <v>3.7</v>
      </c>
      <c r="H762" s="1177"/>
      <c r="I762" s="1178">
        <f t="shared" si="61"/>
        <v>48.1</v>
      </c>
      <c r="J762" s="1275"/>
    </row>
    <row r="763" spans="1:12" s="1209" customFormat="1">
      <c r="A763" s="1182"/>
      <c r="B763" s="1201" t="s">
        <v>6727</v>
      </c>
      <c r="C763" s="1186">
        <v>1</v>
      </c>
      <c r="D763" s="1186" t="s">
        <v>3364</v>
      </c>
      <c r="E763" s="1186">
        <v>1</v>
      </c>
      <c r="F763" s="1177">
        <v>2.9</v>
      </c>
      <c r="G763" s="1177">
        <v>1.5</v>
      </c>
      <c r="H763" s="1177"/>
      <c r="I763" s="1178">
        <f t="shared" si="61"/>
        <v>4.3499999999999996</v>
      </c>
      <c r="J763" s="1275"/>
    </row>
    <row r="764" spans="1:12" s="1209" customFormat="1">
      <c r="A764" s="1182"/>
      <c r="B764" s="1201" t="s">
        <v>6745</v>
      </c>
      <c r="C764" s="1186">
        <v>2</v>
      </c>
      <c r="D764" s="1186" t="s">
        <v>3364</v>
      </c>
      <c r="E764" s="1186">
        <v>1</v>
      </c>
      <c r="F764" s="1177">
        <v>2.9</v>
      </c>
      <c r="G764" s="1177">
        <v>2.2000000000000002</v>
      </c>
      <c r="H764" s="1177"/>
      <c r="I764" s="1178">
        <f t="shared" si="61"/>
        <v>12.76</v>
      </c>
      <c r="J764" s="1275"/>
    </row>
    <row r="765" spans="1:12" s="1209" customFormat="1">
      <c r="A765" s="1182"/>
      <c r="B765" s="1201" t="s">
        <v>6746</v>
      </c>
      <c r="C765" s="1186">
        <v>1</v>
      </c>
      <c r="D765" s="1186" t="s">
        <v>3364</v>
      </c>
      <c r="E765" s="1186">
        <v>1</v>
      </c>
      <c r="F765" s="1177">
        <v>1.7749999999999999</v>
      </c>
      <c r="G765" s="1177">
        <v>1.4350000000000001</v>
      </c>
      <c r="H765" s="1177"/>
      <c r="I765" s="1278">
        <f t="shared" si="61"/>
        <v>2.5499999999999998</v>
      </c>
      <c r="J765" s="1275"/>
    </row>
    <row r="766" spans="1:12" s="1209" customFormat="1">
      <c r="A766" s="1182"/>
      <c r="B766" s="1201" t="s">
        <v>3483</v>
      </c>
      <c r="C766" s="1186">
        <v>1</v>
      </c>
      <c r="D766" s="1186" t="s">
        <v>3364</v>
      </c>
      <c r="E766" s="1186">
        <v>1</v>
      </c>
      <c r="F766" s="1177">
        <v>2</v>
      </c>
      <c r="G766" s="1177">
        <v>2.7</v>
      </c>
      <c r="H766" s="1177"/>
      <c r="I766" s="1278">
        <f t="shared" si="61"/>
        <v>5.4</v>
      </c>
      <c r="J766" s="1275"/>
    </row>
    <row r="767" spans="1:12" s="1209" customFormat="1">
      <c r="A767" s="1182"/>
      <c r="B767" s="1201" t="s">
        <v>6734</v>
      </c>
      <c r="C767" s="1186">
        <v>1</v>
      </c>
      <c r="D767" s="1186" t="s">
        <v>3364</v>
      </c>
      <c r="E767" s="1186">
        <v>10</v>
      </c>
      <c r="F767" s="1177">
        <v>1.2</v>
      </c>
      <c r="G767" s="1177">
        <v>1.5</v>
      </c>
      <c r="H767" s="1177"/>
      <c r="I767" s="1278">
        <f t="shared" si="61"/>
        <v>18</v>
      </c>
      <c r="J767" s="1275"/>
    </row>
    <row r="768" spans="1:12" s="1209" customFormat="1">
      <c r="A768" s="1182"/>
      <c r="B768" s="1199" t="s">
        <v>6735</v>
      </c>
      <c r="C768" s="1186">
        <v>2</v>
      </c>
      <c r="D768" s="1186" t="s">
        <v>3364</v>
      </c>
      <c r="E768" s="1186">
        <v>1</v>
      </c>
      <c r="F768" s="1177">
        <v>15.05</v>
      </c>
      <c r="G768" s="1177">
        <v>1.2</v>
      </c>
      <c r="H768" s="1177"/>
      <c r="I768" s="1178">
        <f t="shared" si="61"/>
        <v>36.119999999999997</v>
      </c>
      <c r="J768" s="1275"/>
    </row>
    <row r="769" spans="1:12" s="1209" customFormat="1">
      <c r="A769" s="1182"/>
      <c r="B769" s="1199" t="s">
        <v>6736</v>
      </c>
      <c r="C769" s="1251">
        <v>1</v>
      </c>
      <c r="D769" s="1251" t="s">
        <v>3364</v>
      </c>
      <c r="E769" s="1251">
        <v>1</v>
      </c>
      <c r="F769" s="1177">
        <v>1.9</v>
      </c>
      <c r="G769" s="1177">
        <v>1.2</v>
      </c>
      <c r="H769" s="1177"/>
      <c r="I769" s="1178">
        <f t="shared" si="61"/>
        <v>2.2799999999999998</v>
      </c>
      <c r="J769" s="1275"/>
    </row>
    <row r="770" spans="1:12" s="1209" customFormat="1">
      <c r="A770" s="1182"/>
      <c r="B770" s="1199" t="s">
        <v>6737</v>
      </c>
      <c r="C770" s="1251">
        <v>2</v>
      </c>
      <c r="D770" s="1251" t="s">
        <v>3364</v>
      </c>
      <c r="E770" s="1251">
        <v>1</v>
      </c>
      <c r="F770" s="1177">
        <v>17.631</v>
      </c>
      <c r="G770" s="1177">
        <v>2</v>
      </c>
      <c r="H770" s="1177"/>
      <c r="I770" s="1178">
        <f t="shared" si="61"/>
        <v>70.52</v>
      </c>
      <c r="J770" s="1275"/>
    </row>
    <row r="771" spans="1:12" s="1209" customFormat="1">
      <c r="A771" s="1182"/>
      <c r="B771" s="1199" t="s">
        <v>6747</v>
      </c>
      <c r="C771" s="1251"/>
      <c r="D771" s="1251"/>
      <c r="E771" s="1251"/>
      <c r="F771" s="1177">
        <v>17.631</v>
      </c>
      <c r="G771" s="1177">
        <v>0.6</v>
      </c>
      <c r="H771" s="1177"/>
      <c r="I771" s="1178">
        <f t="shared" si="61"/>
        <v>10.58</v>
      </c>
      <c r="J771" s="1275"/>
    </row>
    <row r="772" spans="1:12" s="1209" customFormat="1">
      <c r="A772" s="1182"/>
      <c r="B772" s="1293" t="s">
        <v>3505</v>
      </c>
      <c r="C772" s="1294"/>
      <c r="D772" s="1186"/>
      <c r="E772" s="1186"/>
      <c r="F772" s="1177"/>
      <c r="G772" s="1177"/>
      <c r="H772" s="1177"/>
      <c r="I772" s="1178"/>
      <c r="J772" s="1275"/>
    </row>
    <row r="773" spans="1:12" s="1209" customFormat="1">
      <c r="A773" s="1182"/>
      <c r="B773" s="1199" t="s">
        <v>3415</v>
      </c>
      <c r="C773" s="1186">
        <v>1</v>
      </c>
      <c r="D773" s="1186" t="s">
        <v>3364</v>
      </c>
      <c r="E773" s="1251">
        <v>13</v>
      </c>
      <c r="F773" s="1177">
        <v>1.96</v>
      </c>
      <c r="G773" s="1177">
        <v>0.6</v>
      </c>
      <c r="H773" s="1177"/>
      <c r="I773" s="1178">
        <f t="shared" ref="I773:I808" si="62">PRODUCT(C773:H773)</f>
        <v>15.29</v>
      </c>
      <c r="J773" s="1291"/>
    </row>
    <row r="774" spans="1:12" s="1209" customFormat="1">
      <c r="A774" s="1182"/>
      <c r="B774" s="1201" t="s">
        <v>6748</v>
      </c>
      <c r="C774" s="1186">
        <v>1</v>
      </c>
      <c r="D774" s="1186" t="s">
        <v>3364</v>
      </c>
      <c r="E774" s="1186">
        <v>1</v>
      </c>
      <c r="F774" s="1177">
        <v>9.6050000000000004</v>
      </c>
      <c r="G774" s="1177">
        <v>0.6</v>
      </c>
      <c r="H774" s="1177"/>
      <c r="I774" s="1178">
        <f t="shared" si="62"/>
        <v>5.76</v>
      </c>
      <c r="J774" s="1275"/>
      <c r="L774" s="1209">
        <f>L754+L755</f>
        <v>9.32</v>
      </c>
    </row>
    <row r="775" spans="1:12" s="1209" customFormat="1">
      <c r="A775" s="1182"/>
      <c r="B775" s="1201" t="s">
        <v>6749</v>
      </c>
      <c r="C775" s="1186">
        <v>1</v>
      </c>
      <c r="D775" s="1186" t="s">
        <v>3364</v>
      </c>
      <c r="E775" s="1186">
        <v>1</v>
      </c>
      <c r="F775" s="1177">
        <v>4.7489999999999997</v>
      </c>
      <c r="G775" s="1177">
        <v>0.6</v>
      </c>
      <c r="H775" s="1177"/>
      <c r="I775" s="1178">
        <f t="shared" si="62"/>
        <v>2.85</v>
      </c>
      <c r="J775" s="1275"/>
    </row>
    <row r="776" spans="1:12" s="1209" customFormat="1">
      <c r="A776" s="1182"/>
      <c r="B776" s="1201" t="s">
        <v>6750</v>
      </c>
      <c r="C776" s="1186">
        <v>1</v>
      </c>
      <c r="D776" s="1186" t="s">
        <v>3364</v>
      </c>
      <c r="E776" s="1186">
        <v>1</v>
      </c>
      <c r="F776" s="1177">
        <v>5.5309999999999997</v>
      </c>
      <c r="G776" s="1177">
        <v>0.6</v>
      </c>
      <c r="H776" s="1177"/>
      <c r="I776" s="1178">
        <f t="shared" si="62"/>
        <v>3.32</v>
      </c>
      <c r="J776" s="1275"/>
    </row>
    <row r="777" spans="1:12" s="1209" customFormat="1">
      <c r="A777" s="1182"/>
      <c r="B777" s="1293" t="s">
        <v>6751</v>
      </c>
      <c r="C777" s="1186"/>
      <c r="D777" s="1186"/>
      <c r="E777" s="1186"/>
      <c r="F777" s="1177"/>
      <c r="G777" s="1177"/>
      <c r="H777" s="1177"/>
      <c r="I777" s="1178">
        <f t="shared" si="62"/>
        <v>0</v>
      </c>
      <c r="J777" s="1275"/>
    </row>
    <row r="778" spans="1:12" s="1209" customFormat="1">
      <c r="A778" s="1182"/>
      <c r="B778" s="1201" t="s">
        <v>6752</v>
      </c>
      <c r="C778" s="1186">
        <v>1</v>
      </c>
      <c r="D778" s="1186" t="s">
        <v>3364</v>
      </c>
      <c r="E778" s="1186">
        <v>1</v>
      </c>
      <c r="F778" s="1177">
        <v>4.7050000000000001</v>
      </c>
      <c r="G778" s="1177">
        <v>6.2649999999999997</v>
      </c>
      <c r="H778" s="1177"/>
      <c r="I778" s="1178">
        <f t="shared" si="62"/>
        <v>29.48</v>
      </c>
      <c r="J778" s="1275"/>
    </row>
    <row r="779" spans="1:12" s="1209" customFormat="1">
      <c r="A779" s="1182"/>
      <c r="B779" s="1201" t="s">
        <v>6753</v>
      </c>
      <c r="C779" s="1186">
        <v>1</v>
      </c>
      <c r="D779" s="1186" t="s">
        <v>3364</v>
      </c>
      <c r="E779" s="1186">
        <v>1</v>
      </c>
      <c r="F779" s="1177">
        <v>2.99</v>
      </c>
      <c r="G779" s="1177">
        <v>1.5</v>
      </c>
      <c r="H779" s="1177"/>
      <c r="I779" s="1178">
        <f t="shared" si="62"/>
        <v>4.49</v>
      </c>
      <c r="J779" s="1275"/>
    </row>
    <row r="780" spans="1:12" s="1209" customFormat="1">
      <c r="A780" s="1182"/>
      <c r="B780" s="1201" t="s">
        <v>6754</v>
      </c>
      <c r="C780" s="1186">
        <v>1</v>
      </c>
      <c r="D780" s="1186" t="s">
        <v>3364</v>
      </c>
      <c r="E780" s="1186">
        <v>1</v>
      </c>
      <c r="F780" s="1177">
        <v>1.7150000000000001</v>
      </c>
      <c r="G780" s="1177">
        <v>1.5</v>
      </c>
      <c r="H780" s="1177"/>
      <c r="I780" s="1178">
        <f t="shared" si="62"/>
        <v>2.57</v>
      </c>
      <c r="J780" s="1275"/>
    </row>
    <row r="781" spans="1:12" s="1209" customFormat="1">
      <c r="A781" s="1182"/>
      <c r="B781" s="1201" t="s">
        <v>6755</v>
      </c>
      <c r="C781" s="1186">
        <v>1</v>
      </c>
      <c r="D781" s="1186" t="s">
        <v>3364</v>
      </c>
      <c r="E781" s="1186">
        <v>1</v>
      </c>
      <c r="F781" s="1177">
        <v>4.665</v>
      </c>
      <c r="G781" s="1177">
        <v>4.625</v>
      </c>
      <c r="H781" s="1177"/>
      <c r="I781" s="1178">
        <f t="shared" si="62"/>
        <v>21.58</v>
      </c>
      <c r="J781" s="1275"/>
    </row>
    <row r="782" spans="1:12" s="1209" customFormat="1">
      <c r="A782" s="1182"/>
      <c r="B782" s="1201" t="s">
        <v>6756</v>
      </c>
      <c r="C782" s="1186">
        <v>1</v>
      </c>
      <c r="D782" s="1186" t="s">
        <v>3364</v>
      </c>
      <c r="E782" s="1186">
        <v>1</v>
      </c>
      <c r="F782" s="1177">
        <v>4.665</v>
      </c>
      <c r="G782" s="1177">
        <v>3.14</v>
      </c>
      <c r="H782" s="1177"/>
      <c r="I782" s="1178">
        <f t="shared" si="62"/>
        <v>14.65</v>
      </c>
      <c r="J782" s="1275"/>
    </row>
    <row r="783" spans="1:12" s="1209" customFormat="1">
      <c r="A783" s="1182"/>
      <c r="B783" s="1201" t="s">
        <v>6757</v>
      </c>
      <c r="C783" s="1186">
        <v>1</v>
      </c>
      <c r="D783" s="1186" t="s">
        <v>3364</v>
      </c>
      <c r="E783" s="1186">
        <v>1</v>
      </c>
      <c r="F783" s="1177">
        <v>4.67</v>
      </c>
      <c r="G783" s="1177">
        <v>7.9950000000000001</v>
      </c>
      <c r="H783" s="1177"/>
      <c r="I783" s="1178">
        <f t="shared" si="62"/>
        <v>37.340000000000003</v>
      </c>
      <c r="J783" s="1275"/>
    </row>
    <row r="784" spans="1:12" s="1209" customFormat="1">
      <c r="A784" s="1182"/>
      <c r="B784" s="1201" t="s">
        <v>6758</v>
      </c>
      <c r="C784" s="1186">
        <v>1</v>
      </c>
      <c r="D784" s="1186" t="s">
        <v>3364</v>
      </c>
      <c r="E784" s="1186">
        <v>1</v>
      </c>
      <c r="F784" s="1177">
        <v>9.57</v>
      </c>
      <c r="G784" s="1177">
        <v>7.9950000000000001</v>
      </c>
      <c r="H784" s="1177"/>
      <c r="I784" s="1178">
        <f t="shared" si="62"/>
        <v>76.510000000000005</v>
      </c>
      <c r="J784" s="1275"/>
    </row>
    <row r="785" spans="1:12" s="1209" customFormat="1">
      <c r="A785" s="1182"/>
      <c r="B785" s="1201" t="s">
        <v>6759</v>
      </c>
      <c r="C785" s="1186">
        <v>1</v>
      </c>
      <c r="D785" s="1186" t="s">
        <v>3364</v>
      </c>
      <c r="E785" s="1186">
        <v>1</v>
      </c>
      <c r="F785" s="1177">
        <v>4.6630000000000003</v>
      </c>
      <c r="G785" s="1177">
        <v>7.9950000000000001</v>
      </c>
      <c r="H785" s="1177"/>
      <c r="I785" s="1178">
        <f t="shared" si="62"/>
        <v>37.28</v>
      </c>
      <c r="J785" s="1275"/>
    </row>
    <row r="786" spans="1:12" s="1209" customFormat="1">
      <c r="A786" s="1182"/>
      <c r="B786" s="1201" t="s">
        <v>6760</v>
      </c>
      <c r="C786" s="1186">
        <v>1</v>
      </c>
      <c r="D786" s="1186" t="s">
        <v>3364</v>
      </c>
      <c r="E786" s="1186">
        <v>1</v>
      </c>
      <c r="F786" s="1177">
        <v>5.39</v>
      </c>
      <c r="G786" s="1177">
        <v>10.51</v>
      </c>
      <c r="H786" s="1177"/>
      <c r="I786" s="1178">
        <f t="shared" si="62"/>
        <v>56.65</v>
      </c>
      <c r="J786" s="1275"/>
    </row>
    <row r="787" spans="1:12" s="1209" customFormat="1">
      <c r="A787" s="1182"/>
      <c r="B787" s="1201" t="s">
        <v>6727</v>
      </c>
      <c r="C787" s="1186">
        <v>1</v>
      </c>
      <c r="D787" s="1186" t="s">
        <v>3364</v>
      </c>
      <c r="E787" s="1186">
        <v>1</v>
      </c>
      <c r="F787" s="1177">
        <v>2</v>
      </c>
      <c r="G787" s="1177">
        <v>1.4350000000000001</v>
      </c>
      <c r="H787" s="1177"/>
      <c r="I787" s="1178">
        <f t="shared" si="62"/>
        <v>2.87</v>
      </c>
      <c r="J787" s="1275"/>
    </row>
    <row r="788" spans="1:12" s="1209" customFormat="1">
      <c r="A788" s="1182"/>
      <c r="B788" s="1201" t="s">
        <v>6761</v>
      </c>
      <c r="C788" s="1186">
        <v>1</v>
      </c>
      <c r="D788" s="1186" t="s">
        <v>3364</v>
      </c>
      <c r="E788" s="1186">
        <v>1</v>
      </c>
      <c r="F788" s="1177">
        <v>3.39</v>
      </c>
      <c r="G788" s="1177">
        <v>1.4350000000000001</v>
      </c>
      <c r="H788" s="1177"/>
      <c r="I788" s="1178">
        <f t="shared" si="62"/>
        <v>4.8600000000000003</v>
      </c>
      <c r="J788" s="1275"/>
    </row>
    <row r="789" spans="1:12" s="1209" customFormat="1">
      <c r="A789" s="1182"/>
      <c r="B789" s="1201" t="s">
        <v>6762</v>
      </c>
      <c r="C789" s="1186">
        <v>1</v>
      </c>
      <c r="D789" s="1186" t="s">
        <v>3364</v>
      </c>
      <c r="E789" s="1186">
        <v>1</v>
      </c>
      <c r="F789" s="1177">
        <v>4.7919999999999998</v>
      </c>
      <c r="G789" s="1177">
        <v>4.93</v>
      </c>
      <c r="H789" s="1177"/>
      <c r="I789" s="1178">
        <f t="shared" si="62"/>
        <v>23.62</v>
      </c>
      <c r="J789" s="1275"/>
    </row>
    <row r="790" spans="1:12" s="1209" customFormat="1">
      <c r="A790" s="1182"/>
      <c r="B790" s="1201" t="s">
        <v>6727</v>
      </c>
      <c r="C790" s="1186">
        <v>1</v>
      </c>
      <c r="D790" s="1186" t="s">
        <v>3364</v>
      </c>
      <c r="E790" s="1186">
        <v>1</v>
      </c>
      <c r="F790" s="1177">
        <v>1.5</v>
      </c>
      <c r="G790" s="1177">
        <v>1.8</v>
      </c>
      <c r="H790" s="1177"/>
      <c r="I790" s="1178">
        <f t="shared" si="62"/>
        <v>2.7</v>
      </c>
      <c r="J790" s="1275"/>
    </row>
    <row r="791" spans="1:12" s="1209" customFormat="1">
      <c r="A791" s="1182"/>
      <c r="B791" s="1201" t="s">
        <v>6689</v>
      </c>
      <c r="C791" s="1186">
        <v>2</v>
      </c>
      <c r="D791" s="1186" t="s">
        <v>3364</v>
      </c>
      <c r="E791" s="1186">
        <v>1</v>
      </c>
      <c r="F791" s="1177">
        <v>5.21</v>
      </c>
      <c r="G791" s="1177">
        <v>4.93</v>
      </c>
      <c r="H791" s="1177"/>
      <c r="I791" s="1178">
        <f t="shared" si="62"/>
        <v>51.37</v>
      </c>
      <c r="J791" s="1275"/>
    </row>
    <row r="792" spans="1:12" s="1209" customFormat="1">
      <c r="A792" s="1182"/>
      <c r="B792" s="1201" t="s">
        <v>6763</v>
      </c>
      <c r="C792" s="1186">
        <v>1</v>
      </c>
      <c r="D792" s="1186" t="s">
        <v>3364</v>
      </c>
      <c r="E792" s="1186">
        <v>1</v>
      </c>
      <c r="F792" s="1177">
        <v>1.5</v>
      </c>
      <c r="G792" s="1177">
        <v>1.8</v>
      </c>
      <c r="H792" s="1177"/>
      <c r="I792" s="1178">
        <f t="shared" si="62"/>
        <v>2.7</v>
      </c>
      <c r="J792" s="1275"/>
    </row>
    <row r="793" spans="1:12" s="1209" customFormat="1">
      <c r="A793" s="1182"/>
      <c r="B793" s="1201" t="s">
        <v>6764</v>
      </c>
      <c r="C793" s="1186">
        <v>2</v>
      </c>
      <c r="D793" s="1186" t="s">
        <v>3364</v>
      </c>
      <c r="E793" s="1186">
        <v>1</v>
      </c>
      <c r="F793" s="1177">
        <v>5.07</v>
      </c>
      <c r="G793" s="1177">
        <v>4.93</v>
      </c>
      <c r="H793" s="1177"/>
      <c r="I793" s="1178">
        <f t="shared" si="62"/>
        <v>49.99</v>
      </c>
      <c r="J793" s="1275"/>
      <c r="L793" s="1209">
        <v>-1</v>
      </c>
    </row>
    <row r="794" spans="1:12" s="1209" customFormat="1">
      <c r="A794" s="1182"/>
      <c r="B794" s="1201" t="s">
        <v>6765</v>
      </c>
      <c r="C794" s="1186">
        <v>2</v>
      </c>
      <c r="D794" s="1186" t="s">
        <v>3364</v>
      </c>
      <c r="E794" s="1186">
        <v>1</v>
      </c>
      <c r="F794" s="1177">
        <v>4.5999999999999996</v>
      </c>
      <c r="G794" s="1177">
        <v>2.1150000000000002</v>
      </c>
      <c r="H794" s="1177"/>
      <c r="I794" s="1178">
        <f t="shared" si="62"/>
        <v>19.46</v>
      </c>
      <c r="J794" s="1275"/>
    </row>
    <row r="795" spans="1:12" s="1209" customFormat="1">
      <c r="A795" s="1182"/>
      <c r="B795" s="1201" t="s">
        <v>6586</v>
      </c>
      <c r="C795" s="1186">
        <v>1</v>
      </c>
      <c r="D795" s="1186" t="s">
        <v>3364</v>
      </c>
      <c r="E795" s="1186">
        <v>1</v>
      </c>
      <c r="F795" s="1177">
        <v>1.35</v>
      </c>
      <c r="G795" s="1177">
        <v>2.1150000000000002</v>
      </c>
      <c r="H795" s="1177"/>
      <c r="I795" s="1178">
        <f t="shared" si="62"/>
        <v>2.86</v>
      </c>
      <c r="J795" s="1275"/>
    </row>
    <row r="796" spans="1:12" s="1209" customFormat="1">
      <c r="A796" s="1182"/>
      <c r="B796" s="1201" t="s">
        <v>6766</v>
      </c>
      <c r="C796" s="1186">
        <v>2</v>
      </c>
      <c r="D796" s="1186" t="s">
        <v>3364</v>
      </c>
      <c r="E796" s="1186">
        <v>4</v>
      </c>
      <c r="F796" s="1177">
        <v>1.5</v>
      </c>
      <c r="G796" s="1177">
        <v>1.4</v>
      </c>
      <c r="H796" s="1177"/>
      <c r="I796" s="1178">
        <f t="shared" si="62"/>
        <v>16.8</v>
      </c>
      <c r="J796" s="1275"/>
    </row>
    <row r="797" spans="1:12" s="1209" customFormat="1">
      <c r="A797" s="1182"/>
      <c r="B797" s="1201" t="s">
        <v>6737</v>
      </c>
      <c r="C797" s="1186">
        <v>1</v>
      </c>
      <c r="D797" s="1186" t="s">
        <v>3364</v>
      </c>
      <c r="E797" s="1186">
        <v>1</v>
      </c>
      <c r="F797" s="1177">
        <v>28.251999999999999</v>
      </c>
      <c r="G797" s="1177">
        <v>2</v>
      </c>
      <c r="H797" s="1177"/>
      <c r="I797" s="1178">
        <f t="shared" si="62"/>
        <v>56.5</v>
      </c>
      <c r="J797" s="1275"/>
    </row>
    <row r="798" spans="1:12" s="1209" customFormat="1">
      <c r="A798" s="1182"/>
      <c r="B798" s="1201" t="s">
        <v>6767</v>
      </c>
      <c r="C798" s="1186">
        <v>1</v>
      </c>
      <c r="D798" s="1186" t="s">
        <v>3364</v>
      </c>
      <c r="E798" s="1186">
        <v>2</v>
      </c>
      <c r="F798" s="1177">
        <v>4.7919999999999998</v>
      </c>
      <c r="G798" s="1177">
        <v>4.93</v>
      </c>
      <c r="H798" s="1177"/>
      <c r="I798" s="1178">
        <f t="shared" si="62"/>
        <v>47.25</v>
      </c>
      <c r="J798" s="1275"/>
    </row>
    <row r="799" spans="1:12" s="1209" customFormat="1">
      <c r="A799" s="1182"/>
      <c r="B799" s="1201" t="s">
        <v>6768</v>
      </c>
      <c r="C799" s="1186">
        <v>-1</v>
      </c>
      <c r="D799" s="1186" t="s">
        <v>3364</v>
      </c>
      <c r="E799" s="1186">
        <v>1</v>
      </c>
      <c r="F799" s="1177">
        <v>1.9</v>
      </c>
      <c r="G799" s="1177">
        <v>2.7</v>
      </c>
      <c r="H799" s="1177"/>
      <c r="I799" s="1178">
        <f t="shared" si="62"/>
        <v>-5.13</v>
      </c>
      <c r="J799" s="1275"/>
    </row>
    <row r="800" spans="1:12" s="1209" customFormat="1">
      <c r="A800" s="1182"/>
      <c r="B800" s="1201" t="s">
        <v>6769</v>
      </c>
      <c r="C800" s="1186"/>
      <c r="D800" s="1186"/>
      <c r="E800" s="1186"/>
      <c r="F800" s="1177"/>
      <c r="G800" s="1177"/>
      <c r="H800" s="1177"/>
      <c r="I800" s="1178">
        <f t="shared" si="62"/>
        <v>0</v>
      </c>
      <c r="J800" s="1275"/>
    </row>
    <row r="801" spans="1:10" s="1209" customFormat="1">
      <c r="A801" s="1182"/>
      <c r="B801" s="1199" t="s">
        <v>3415</v>
      </c>
      <c r="C801" s="1186">
        <v>1</v>
      </c>
      <c r="D801" s="1186" t="s">
        <v>3364</v>
      </c>
      <c r="E801" s="1186">
        <v>15</v>
      </c>
      <c r="F801" s="1177">
        <v>1.96</v>
      </c>
      <c r="G801" s="1177">
        <v>0.6</v>
      </c>
      <c r="H801" s="1177"/>
      <c r="I801" s="1178">
        <f t="shared" si="62"/>
        <v>17.64</v>
      </c>
      <c r="J801" s="1275"/>
    </row>
    <row r="802" spans="1:10" s="1209" customFormat="1">
      <c r="A802" s="1182"/>
      <c r="B802" s="1201" t="s">
        <v>6770</v>
      </c>
      <c r="C802" s="1186">
        <v>2</v>
      </c>
      <c r="D802" s="1186" t="s">
        <v>3364</v>
      </c>
      <c r="E802" s="1186">
        <v>2</v>
      </c>
      <c r="F802" s="1177">
        <v>1.96</v>
      </c>
      <c r="G802" s="1177">
        <v>0.6</v>
      </c>
      <c r="H802" s="1177"/>
      <c r="I802" s="1178">
        <f t="shared" si="62"/>
        <v>4.7</v>
      </c>
      <c r="J802" s="1275"/>
    </row>
    <row r="803" spans="1:10" s="1209" customFormat="1">
      <c r="A803" s="1182"/>
      <c r="B803" s="1201" t="s">
        <v>6771</v>
      </c>
      <c r="C803" s="1186">
        <v>1</v>
      </c>
      <c r="D803" s="1186" t="s">
        <v>3364</v>
      </c>
      <c r="E803" s="1186">
        <v>1</v>
      </c>
      <c r="F803" s="1177">
        <v>6.2649999999999997</v>
      </c>
      <c r="G803" s="1177">
        <v>0.6</v>
      </c>
      <c r="H803" s="1177"/>
      <c r="I803" s="1178">
        <f t="shared" si="62"/>
        <v>3.76</v>
      </c>
      <c r="J803" s="1275"/>
    </row>
    <row r="804" spans="1:10" s="1209" customFormat="1">
      <c r="A804" s="1182"/>
      <c r="B804" s="1201" t="s">
        <v>6772</v>
      </c>
      <c r="C804" s="1186">
        <v>1</v>
      </c>
      <c r="D804" s="1186" t="s">
        <v>3364</v>
      </c>
      <c r="E804" s="1186">
        <v>1</v>
      </c>
      <c r="F804" s="1177">
        <v>7.8049999999999997</v>
      </c>
      <c r="G804" s="1177">
        <v>0.6</v>
      </c>
      <c r="H804" s="1177"/>
      <c r="I804" s="1178">
        <f t="shared" si="62"/>
        <v>4.68</v>
      </c>
      <c r="J804" s="1275"/>
    </row>
    <row r="805" spans="1:10" s="1209" customFormat="1">
      <c r="A805" s="1182"/>
      <c r="B805" s="1201" t="s">
        <v>6773</v>
      </c>
      <c r="C805" s="1186">
        <v>2</v>
      </c>
      <c r="D805" s="1186" t="s">
        <v>3364</v>
      </c>
      <c r="E805" s="1186">
        <v>1</v>
      </c>
      <c r="F805" s="1177">
        <v>4.6630000000000003</v>
      </c>
      <c r="G805" s="1177">
        <v>0.6</v>
      </c>
      <c r="H805" s="1177"/>
      <c r="I805" s="1178">
        <f t="shared" si="62"/>
        <v>5.6</v>
      </c>
      <c r="J805" s="1275"/>
    </row>
    <row r="806" spans="1:10" s="1209" customFormat="1">
      <c r="A806" s="1182"/>
      <c r="B806" s="1201" t="s">
        <v>6774</v>
      </c>
      <c r="C806" s="1186">
        <v>1</v>
      </c>
      <c r="D806" s="1186" t="s">
        <v>3364</v>
      </c>
      <c r="E806" s="1186">
        <v>2</v>
      </c>
      <c r="F806" s="1177">
        <v>5.07</v>
      </c>
      <c r="G806" s="1177">
        <v>0.6</v>
      </c>
      <c r="H806" s="1177"/>
      <c r="I806" s="1178">
        <f t="shared" si="62"/>
        <v>6.08</v>
      </c>
      <c r="J806" s="1275"/>
    </row>
    <row r="807" spans="1:10" s="1209" customFormat="1">
      <c r="A807" s="1182"/>
      <c r="B807" s="1201" t="s">
        <v>6774</v>
      </c>
      <c r="C807" s="1186">
        <v>1</v>
      </c>
      <c r="D807" s="1186" t="s">
        <v>3364</v>
      </c>
      <c r="E807" s="1186">
        <v>1</v>
      </c>
      <c r="F807" s="1177">
        <v>5.21</v>
      </c>
      <c r="G807" s="1177">
        <v>0.6</v>
      </c>
      <c r="H807" s="1177"/>
      <c r="I807" s="1178">
        <f t="shared" si="62"/>
        <v>3.13</v>
      </c>
      <c r="J807" s="1275"/>
    </row>
    <row r="808" spans="1:10" s="1209" customFormat="1">
      <c r="A808" s="1182"/>
      <c r="B808" s="1201" t="s">
        <v>6774</v>
      </c>
      <c r="C808" s="1186">
        <v>2</v>
      </c>
      <c r="D808" s="1186" t="s">
        <v>3364</v>
      </c>
      <c r="E808" s="1186">
        <v>1</v>
      </c>
      <c r="F808" s="1177">
        <v>4.7919999999999998</v>
      </c>
      <c r="G808" s="1177">
        <v>0.6</v>
      </c>
      <c r="H808" s="1177"/>
      <c r="I808" s="1178">
        <f t="shared" si="62"/>
        <v>5.75</v>
      </c>
      <c r="J808" s="1275"/>
    </row>
    <row r="809" spans="1:10" s="1209" customFormat="1">
      <c r="A809" s="1182"/>
      <c r="B809" s="1201"/>
      <c r="C809" s="1186"/>
      <c r="D809" s="1186"/>
      <c r="E809" s="1186"/>
      <c r="F809" s="1177"/>
      <c r="G809" s="1177"/>
      <c r="H809" s="1177"/>
      <c r="I809" s="1181">
        <f>SUM(I724:I808)</f>
        <v>2692.41</v>
      </c>
      <c r="J809" s="1275"/>
    </row>
    <row r="810" spans="1:10" s="1209" customFormat="1">
      <c r="A810" s="1185"/>
      <c r="B810" s="1199"/>
      <c r="C810" s="1186"/>
      <c r="D810" s="1186"/>
      <c r="E810" s="1186"/>
      <c r="F810" s="1177"/>
      <c r="G810" s="1177"/>
      <c r="H810" s="1253" t="s">
        <v>2981</v>
      </c>
      <c r="I810" s="1181">
        <f>CEILING(I809,0.1)</f>
        <v>2692.5</v>
      </c>
      <c r="J810" s="1184" t="s">
        <v>724</v>
      </c>
    </row>
    <row r="811" spans="1:10" s="1209" customFormat="1" ht="78.75">
      <c r="A811" s="1182">
        <v>36</v>
      </c>
      <c r="B811" s="1200" t="s">
        <v>3507</v>
      </c>
      <c r="C811" s="1186"/>
      <c r="D811" s="1186"/>
      <c r="E811" s="1186"/>
      <c r="F811" s="1177"/>
      <c r="G811" s="1177"/>
      <c r="H811" s="1177"/>
      <c r="I811" s="1178"/>
      <c r="J811" s="1184"/>
    </row>
    <row r="812" spans="1:10" s="1209" customFormat="1">
      <c r="A812" s="1185"/>
      <c r="B812" s="1203" t="s">
        <v>3508</v>
      </c>
      <c r="C812" s="1186"/>
      <c r="D812" s="1186"/>
      <c r="E812" s="1186"/>
      <c r="F812" s="1177"/>
      <c r="G812" s="1177"/>
      <c r="H812" s="1177"/>
      <c r="I812" s="1178"/>
      <c r="J812" s="1184"/>
    </row>
    <row r="813" spans="1:10" s="1209" customFormat="1">
      <c r="A813" s="1185"/>
      <c r="B813" s="1199" t="s">
        <v>6553</v>
      </c>
      <c r="C813" s="1186">
        <v>1</v>
      </c>
      <c r="D813" s="1186" t="s">
        <v>3364</v>
      </c>
      <c r="E813" s="1186">
        <v>4</v>
      </c>
      <c r="F813" s="1177">
        <f>(35.278+16.13)*2</f>
        <v>102.816</v>
      </c>
      <c r="G813" s="1177"/>
      <c r="H813" s="1177"/>
      <c r="I813" s="1178">
        <f>PRODUCT(C813:H813)</f>
        <v>411.26</v>
      </c>
      <c r="J813" s="1291"/>
    </row>
    <row r="814" spans="1:10" s="1209" customFormat="1">
      <c r="A814" s="1185"/>
      <c r="B814" s="1199" t="s">
        <v>6699</v>
      </c>
      <c r="C814" s="1186">
        <v>1</v>
      </c>
      <c r="D814" s="1186" t="s">
        <v>3364</v>
      </c>
      <c r="E814" s="1186">
        <v>1</v>
      </c>
      <c r="F814" s="1177">
        <f>(7.8+2.925)*2</f>
        <v>21.45</v>
      </c>
      <c r="G814" s="1177"/>
      <c r="H814" s="1177"/>
      <c r="I814" s="1178">
        <f>PRODUCT(C814:H814)</f>
        <v>21.45</v>
      </c>
      <c r="J814" s="1291"/>
    </row>
    <row r="815" spans="1:10" s="1209" customFormat="1">
      <c r="A815" s="1185"/>
      <c r="B815" s="1199" t="s">
        <v>6700</v>
      </c>
      <c r="C815" s="1186">
        <v>1</v>
      </c>
      <c r="D815" s="1186" t="s">
        <v>3364</v>
      </c>
      <c r="E815" s="1186">
        <v>1</v>
      </c>
      <c r="F815" s="1177">
        <f>25+0.92</f>
        <v>25.92</v>
      </c>
      <c r="G815" s="1177"/>
      <c r="H815" s="1177"/>
      <c r="I815" s="1178">
        <f>PRODUCT(C815:H815)</f>
        <v>25.92</v>
      </c>
      <c r="J815" s="1291"/>
    </row>
    <row r="816" spans="1:10" s="1209" customFormat="1">
      <c r="A816" s="1185"/>
      <c r="B816" s="1199"/>
      <c r="C816" s="1186"/>
      <c r="D816" s="1186"/>
      <c r="E816" s="1186"/>
      <c r="F816" s="1177"/>
      <c r="G816" s="1253" t="s">
        <v>104</v>
      </c>
      <c r="H816" s="1177"/>
      <c r="I816" s="1181">
        <f>SUM(I813:I815)</f>
        <v>458.63</v>
      </c>
      <c r="J816" s="1184"/>
    </row>
    <row r="817" spans="1:10" s="1209" customFormat="1">
      <c r="A817" s="1185"/>
      <c r="B817" s="1199"/>
      <c r="C817" s="1186"/>
      <c r="D817" s="1186"/>
      <c r="E817" s="1186"/>
      <c r="F817" s="1177"/>
      <c r="G817" s="1177"/>
      <c r="H817" s="1253" t="s">
        <v>2981</v>
      </c>
      <c r="I817" s="1181">
        <f>CEILING(I816,0.1)</f>
        <v>458.7</v>
      </c>
      <c r="J817" s="1184" t="s">
        <v>13</v>
      </c>
    </row>
    <row r="818" spans="1:10" s="1209" customFormat="1">
      <c r="A818" s="1185"/>
      <c r="B818" s="1199"/>
      <c r="C818" s="1186"/>
      <c r="D818" s="1186"/>
      <c r="E818" s="1186"/>
      <c r="F818" s="1177"/>
      <c r="G818" s="1177"/>
      <c r="H818" s="1177"/>
      <c r="I818" s="1178"/>
      <c r="J818" s="1184"/>
    </row>
    <row r="819" spans="1:10" s="1209" customFormat="1">
      <c r="A819" s="1185"/>
      <c r="B819" s="1203" t="s">
        <v>3509</v>
      </c>
      <c r="C819" s="1186"/>
      <c r="D819" s="1186"/>
      <c r="E819" s="1186"/>
      <c r="F819" s="1177"/>
      <c r="G819" s="1177"/>
      <c r="H819" s="1177"/>
      <c r="I819" s="1178"/>
      <c r="J819" s="1184"/>
    </row>
    <row r="820" spans="1:10" s="1209" customFormat="1">
      <c r="A820" s="1185"/>
      <c r="B820" s="1199" t="s">
        <v>6553</v>
      </c>
      <c r="C820" s="1186">
        <v>1</v>
      </c>
      <c r="D820" s="1186" t="s">
        <v>3364</v>
      </c>
      <c r="E820" s="1186">
        <v>4</v>
      </c>
      <c r="F820" s="1177">
        <f>(35.278+16.13)*2</f>
        <v>102.816</v>
      </c>
      <c r="G820" s="1177"/>
      <c r="H820" s="1177"/>
      <c r="I820" s="1178">
        <f>PRODUCT(C820:H820)</f>
        <v>411.26</v>
      </c>
      <c r="J820" s="1291"/>
    </row>
    <row r="821" spans="1:10" s="1209" customFormat="1">
      <c r="A821" s="1185"/>
      <c r="B821" s="1199" t="s">
        <v>6699</v>
      </c>
      <c r="C821" s="1186">
        <v>1</v>
      </c>
      <c r="D821" s="1186" t="s">
        <v>3364</v>
      </c>
      <c r="E821" s="1186">
        <v>1</v>
      </c>
      <c r="F821" s="1177">
        <f>(7.8+2.925)*2</f>
        <v>21.45</v>
      </c>
      <c r="G821" s="1177"/>
      <c r="H821" s="1177"/>
      <c r="I821" s="1178">
        <f>PRODUCT(C821:H821)</f>
        <v>21.45</v>
      </c>
      <c r="J821" s="1291"/>
    </row>
    <row r="822" spans="1:10" s="1209" customFormat="1">
      <c r="A822" s="1185"/>
      <c r="B822" s="1199" t="s">
        <v>6700</v>
      </c>
      <c r="C822" s="1186">
        <v>1</v>
      </c>
      <c r="D822" s="1186" t="s">
        <v>3364</v>
      </c>
      <c r="E822" s="1186">
        <v>1</v>
      </c>
      <c r="F822" s="1177">
        <f>25+0.92</f>
        <v>25.92</v>
      </c>
      <c r="G822" s="1177"/>
      <c r="H822" s="1177"/>
      <c r="I822" s="1178">
        <f>PRODUCT(C822:H822)</f>
        <v>25.92</v>
      </c>
      <c r="J822" s="1291"/>
    </row>
    <row r="823" spans="1:10" s="1209" customFormat="1">
      <c r="A823" s="1185"/>
      <c r="B823" s="1199"/>
      <c r="C823" s="1186"/>
      <c r="D823" s="1186"/>
      <c r="E823" s="1186"/>
      <c r="F823" s="1177"/>
      <c r="G823" s="1253" t="s">
        <v>104</v>
      </c>
      <c r="H823" s="1177"/>
      <c r="I823" s="1181">
        <f>SUM(I820:I822)</f>
        <v>458.63</v>
      </c>
      <c r="J823" s="1184"/>
    </row>
    <row r="824" spans="1:10" s="1209" customFormat="1">
      <c r="A824" s="1185"/>
      <c r="B824" s="1199"/>
      <c r="C824" s="1186"/>
      <c r="D824" s="1186"/>
      <c r="E824" s="1186"/>
      <c r="F824" s="1177"/>
      <c r="G824" s="1177"/>
      <c r="H824" s="1253" t="s">
        <v>2981</v>
      </c>
      <c r="I824" s="1181">
        <f>CEILING(I823,0.1)</f>
        <v>458.7</v>
      </c>
      <c r="J824" s="1184" t="s">
        <v>13</v>
      </c>
    </row>
    <row r="825" spans="1:10" s="1209" customFormat="1">
      <c r="A825" s="1185"/>
      <c r="B825" s="1203" t="s">
        <v>3510</v>
      </c>
      <c r="C825" s="1186"/>
      <c r="D825" s="1186"/>
      <c r="E825" s="1186"/>
      <c r="F825" s="1177"/>
      <c r="G825" s="1177"/>
      <c r="H825" s="1177"/>
      <c r="I825" s="1178"/>
      <c r="J825" s="1184"/>
    </row>
    <row r="826" spans="1:10" s="1209" customFormat="1">
      <c r="A826" s="1185"/>
      <c r="B826" s="1199" t="s">
        <v>6553</v>
      </c>
      <c r="C826" s="1186">
        <v>3</v>
      </c>
      <c r="D826" s="1186" t="s">
        <v>3364</v>
      </c>
      <c r="E826" s="1186">
        <v>2</v>
      </c>
      <c r="F826" s="1177">
        <f>(35.278+16.13)*2</f>
        <v>102.816</v>
      </c>
      <c r="G826" s="1177"/>
      <c r="H826" s="1177"/>
      <c r="I826" s="1178">
        <f>PRODUCT(C826:H826)</f>
        <v>616.9</v>
      </c>
      <c r="J826" s="1291"/>
    </row>
    <row r="827" spans="1:10" s="1209" customFormat="1">
      <c r="A827" s="1185"/>
      <c r="B827" s="1199" t="s">
        <v>6699</v>
      </c>
      <c r="C827" s="1186">
        <v>1</v>
      </c>
      <c r="D827" s="1186" t="s">
        <v>3364</v>
      </c>
      <c r="E827" s="1186">
        <v>1</v>
      </c>
      <c r="F827" s="1177">
        <f>(7.8+2.925)*2</f>
        <v>21.45</v>
      </c>
      <c r="G827" s="1177"/>
      <c r="H827" s="1177"/>
      <c r="I827" s="1178">
        <f>PRODUCT(C827:H827)</f>
        <v>21.45</v>
      </c>
      <c r="J827" s="1291"/>
    </row>
    <row r="828" spans="1:10" s="1209" customFormat="1">
      <c r="A828" s="1185"/>
      <c r="B828" s="1199" t="s">
        <v>6700</v>
      </c>
      <c r="C828" s="1186">
        <v>1</v>
      </c>
      <c r="D828" s="1186" t="s">
        <v>3364</v>
      </c>
      <c r="E828" s="1186">
        <v>1</v>
      </c>
      <c r="F828" s="1177">
        <f>25+0.92</f>
        <v>25.92</v>
      </c>
      <c r="G828" s="1177"/>
      <c r="H828" s="1177"/>
      <c r="I828" s="1178">
        <f>PRODUCT(C828:H828)</f>
        <v>25.92</v>
      </c>
      <c r="J828" s="1291"/>
    </row>
    <row r="829" spans="1:10" s="1209" customFormat="1">
      <c r="A829" s="1185"/>
      <c r="B829" s="1199"/>
      <c r="C829" s="1186"/>
      <c r="D829" s="1186"/>
      <c r="E829" s="1186"/>
      <c r="F829" s="1177"/>
      <c r="G829" s="1253" t="s">
        <v>104</v>
      </c>
      <c r="H829" s="1177"/>
      <c r="I829" s="1181">
        <f>SUM(I826:I828)</f>
        <v>664.27</v>
      </c>
      <c r="J829" s="1184"/>
    </row>
    <row r="830" spans="1:10" s="1209" customFormat="1">
      <c r="A830" s="1185"/>
      <c r="B830" s="1199"/>
      <c r="C830" s="1186"/>
      <c r="D830" s="1186"/>
      <c r="E830" s="1186"/>
      <c r="F830" s="1177"/>
      <c r="G830" s="1177"/>
      <c r="H830" s="1253" t="s">
        <v>2981</v>
      </c>
      <c r="I830" s="1181">
        <f>CEILING(I829,0.1)</f>
        <v>664.3</v>
      </c>
      <c r="J830" s="1184" t="s">
        <v>13</v>
      </c>
    </row>
    <row r="831" spans="1:10" s="1209" customFormat="1" ht="31.5">
      <c r="A831" s="1295">
        <v>38.6</v>
      </c>
      <c r="B831" s="1293" t="s">
        <v>5668</v>
      </c>
      <c r="C831" s="1186"/>
      <c r="D831" s="1186"/>
      <c r="E831" s="1186"/>
      <c r="F831" s="1177"/>
      <c r="G831" s="1177"/>
      <c r="H831" s="1177"/>
      <c r="I831" s="1178"/>
      <c r="J831" s="1184"/>
    </row>
    <row r="832" spans="1:10" s="1209" customFormat="1">
      <c r="A832" s="1185"/>
      <c r="B832" s="1199" t="s">
        <v>6775</v>
      </c>
      <c r="C832" s="1186"/>
      <c r="D832" s="1186"/>
      <c r="E832" s="1186"/>
      <c r="F832" s="1177"/>
      <c r="G832" s="1177"/>
      <c r="H832" s="1177"/>
      <c r="I832" s="1178">
        <f>I684</f>
        <v>4509.1000000000004</v>
      </c>
      <c r="J832" s="1184" t="s">
        <v>6776</v>
      </c>
    </row>
    <row r="833" spans="1:10" s="1209" customFormat="1">
      <c r="A833" s="1185"/>
      <c r="B833" s="1199"/>
      <c r="C833" s="1186"/>
      <c r="D833" s="1186"/>
      <c r="E833" s="1186"/>
      <c r="F833" s="1177"/>
      <c r="G833" s="1177"/>
      <c r="H833" s="1177"/>
      <c r="I833" s="1178"/>
      <c r="J833" s="1184"/>
    </row>
    <row r="834" spans="1:10" s="1209" customFormat="1">
      <c r="A834" s="1185"/>
      <c r="B834" s="1199"/>
      <c r="C834" s="1186"/>
      <c r="D834" s="1186"/>
      <c r="E834" s="1186"/>
      <c r="F834" s="1177"/>
      <c r="G834" s="1177"/>
      <c r="H834" s="1177"/>
      <c r="I834" s="1178"/>
      <c r="J834" s="1184"/>
    </row>
    <row r="835" spans="1:10" s="1209" customFormat="1" ht="63">
      <c r="A835" s="1182">
        <v>37.1</v>
      </c>
      <c r="B835" s="1293" t="s">
        <v>3511</v>
      </c>
      <c r="C835" s="1268"/>
      <c r="D835" s="1268"/>
      <c r="E835" s="1268"/>
      <c r="F835" s="1269"/>
      <c r="G835" s="1269"/>
      <c r="H835" s="1269"/>
      <c r="I835" s="1278"/>
      <c r="J835" s="1184"/>
    </row>
    <row r="836" spans="1:10" s="1209" customFormat="1">
      <c r="A836" s="1182"/>
      <c r="B836" s="1201" t="s">
        <v>3512</v>
      </c>
      <c r="C836" s="1268"/>
      <c r="D836" s="1268"/>
      <c r="E836" s="1268"/>
      <c r="F836" s="1269"/>
      <c r="G836" s="1269"/>
      <c r="H836" s="1269"/>
      <c r="I836" s="1183">
        <f>I810</f>
        <v>2692.5</v>
      </c>
      <c r="J836" s="1184" t="s">
        <v>724</v>
      </c>
    </row>
    <row r="837" spans="1:10" s="1209" customFormat="1">
      <c r="A837" s="1296">
        <v>39</v>
      </c>
      <c r="B837" s="1200" t="s">
        <v>3513</v>
      </c>
      <c r="C837" s="1186"/>
      <c r="D837" s="1186"/>
      <c r="E837" s="1186"/>
      <c r="F837" s="1177"/>
      <c r="G837" s="1177"/>
      <c r="H837" s="1177"/>
      <c r="I837" s="1178"/>
      <c r="J837" s="1184"/>
    </row>
    <row r="838" spans="1:10" s="1209" customFormat="1">
      <c r="A838" s="1296"/>
      <c r="B838" s="1201" t="s">
        <v>3414</v>
      </c>
      <c r="C838" s="1186">
        <v>49</v>
      </c>
      <c r="D838" s="1186" t="s">
        <v>3364</v>
      </c>
      <c r="E838" s="1186">
        <v>1</v>
      </c>
      <c r="F838" s="1177">
        <v>1.5</v>
      </c>
      <c r="G838" s="1177">
        <v>35</v>
      </c>
      <c r="H838" s="1177">
        <v>1.35</v>
      </c>
      <c r="I838" s="1178">
        <f t="shared" ref="I838:I848" si="63">PRODUCT(C838:H838)</f>
        <v>3472.88</v>
      </c>
      <c r="J838" s="1184"/>
    </row>
    <row r="839" spans="1:10" s="1209" customFormat="1">
      <c r="A839" s="1296"/>
      <c r="B839" s="1201" t="s">
        <v>3400</v>
      </c>
      <c r="C839" s="1186">
        <v>9</v>
      </c>
      <c r="D839" s="1186" t="s">
        <v>3364</v>
      </c>
      <c r="E839" s="1186">
        <v>1</v>
      </c>
      <c r="F839" s="1177">
        <v>2</v>
      </c>
      <c r="G839" s="1177">
        <v>35</v>
      </c>
      <c r="H839" s="1177">
        <v>1.65</v>
      </c>
      <c r="I839" s="1178">
        <f t="shared" si="63"/>
        <v>1039.5</v>
      </c>
      <c r="J839" s="1184"/>
    </row>
    <row r="840" spans="1:10" s="1209" customFormat="1">
      <c r="A840" s="1296"/>
      <c r="B840" s="1201" t="s">
        <v>6964</v>
      </c>
      <c r="C840" s="1186">
        <v>36</v>
      </c>
      <c r="D840" s="1186" t="s">
        <v>3364</v>
      </c>
      <c r="E840" s="1186">
        <v>1</v>
      </c>
      <c r="F840" s="1177">
        <v>0.9</v>
      </c>
      <c r="G840" s="1177">
        <v>35</v>
      </c>
      <c r="H840" s="1177">
        <v>0.6</v>
      </c>
      <c r="I840" s="1178">
        <f t="shared" si="63"/>
        <v>680.4</v>
      </c>
      <c r="J840" s="1184"/>
    </row>
    <row r="841" spans="1:10" s="1209" customFormat="1">
      <c r="A841" s="1296"/>
      <c r="B841" s="1201" t="s">
        <v>3401</v>
      </c>
      <c r="C841" s="1186">
        <v>6</v>
      </c>
      <c r="D841" s="1186" t="s">
        <v>3364</v>
      </c>
      <c r="E841" s="1186">
        <v>1</v>
      </c>
      <c r="F841" s="1177">
        <v>0.75</v>
      </c>
      <c r="G841" s="1177">
        <v>35</v>
      </c>
      <c r="H841" s="1177">
        <v>0.6</v>
      </c>
      <c r="I841" s="1178">
        <f t="shared" si="63"/>
        <v>94.5</v>
      </c>
      <c r="J841" s="1184"/>
    </row>
    <row r="842" spans="1:10" s="1209" customFormat="1">
      <c r="A842" s="1296"/>
      <c r="B842" s="1201" t="s">
        <v>6965</v>
      </c>
      <c r="C842" s="1186">
        <v>2</v>
      </c>
      <c r="D842" s="1186" t="s">
        <v>3364</v>
      </c>
      <c r="E842" s="1186">
        <v>1</v>
      </c>
      <c r="F842" s="1177">
        <v>0.9</v>
      </c>
      <c r="G842" s="1177">
        <v>35</v>
      </c>
      <c r="H842" s="1177">
        <v>0.6</v>
      </c>
      <c r="I842" s="1178">
        <f t="shared" si="63"/>
        <v>37.799999999999997</v>
      </c>
      <c r="J842" s="1184"/>
    </row>
    <row r="843" spans="1:10" s="1209" customFormat="1">
      <c r="A843" s="1296"/>
      <c r="B843" s="1201" t="s">
        <v>6966</v>
      </c>
      <c r="C843" s="1186">
        <v>49</v>
      </c>
      <c r="D843" s="1186" t="s">
        <v>3364</v>
      </c>
      <c r="E843" s="1186">
        <v>1</v>
      </c>
      <c r="F843" s="1177">
        <v>0.75</v>
      </c>
      <c r="G843" s="1177">
        <v>35</v>
      </c>
      <c r="H843" s="1177">
        <v>0.6</v>
      </c>
      <c r="I843" s="1178">
        <f>PRODUCT(C843:H843)</f>
        <v>771.75</v>
      </c>
      <c r="J843" s="1184"/>
    </row>
    <row r="844" spans="1:10" s="1209" customFormat="1">
      <c r="A844" s="1296"/>
      <c r="B844" s="1201" t="s">
        <v>6967</v>
      </c>
      <c r="C844" s="1186">
        <v>9</v>
      </c>
      <c r="D844" s="1186" t="s">
        <v>3364</v>
      </c>
      <c r="E844" s="1186">
        <v>1</v>
      </c>
      <c r="F844" s="1177">
        <v>0.75</v>
      </c>
      <c r="G844" s="1177">
        <v>35</v>
      </c>
      <c r="H844" s="1177">
        <v>0.6</v>
      </c>
      <c r="I844" s="1178">
        <f>PRODUCT(C844:H844)</f>
        <v>141.75</v>
      </c>
      <c r="J844" s="1184"/>
    </row>
    <row r="845" spans="1:10" s="1209" customFormat="1">
      <c r="A845" s="1296"/>
      <c r="B845" s="1201" t="s">
        <v>3399</v>
      </c>
      <c r="C845" s="1186">
        <v>36</v>
      </c>
      <c r="D845" s="1186" t="s">
        <v>3364</v>
      </c>
      <c r="E845" s="1186">
        <v>1</v>
      </c>
      <c r="F845" s="1177">
        <v>0.9</v>
      </c>
      <c r="G845" s="1177">
        <v>35</v>
      </c>
      <c r="H845" s="1177">
        <v>2</v>
      </c>
      <c r="I845" s="1178">
        <f>PRODUCT(C845:H845)</f>
        <v>2268</v>
      </c>
      <c r="J845" s="1184"/>
    </row>
    <row r="846" spans="1:10" s="1209" customFormat="1">
      <c r="A846" s="1296"/>
      <c r="B846" s="1201" t="s">
        <v>6968</v>
      </c>
      <c r="C846" s="1186">
        <v>6</v>
      </c>
      <c r="D846" s="1186" t="s">
        <v>3364</v>
      </c>
      <c r="E846" s="1186">
        <v>1</v>
      </c>
      <c r="F846" s="1177">
        <v>1.8</v>
      </c>
      <c r="G846" s="1177">
        <v>35</v>
      </c>
      <c r="H846" s="1177">
        <v>1.05</v>
      </c>
      <c r="I846" s="1178">
        <f>PRODUCT(C846:H846)</f>
        <v>396.9</v>
      </c>
      <c r="J846" s="1184"/>
    </row>
    <row r="847" spans="1:10" s="1209" customFormat="1">
      <c r="A847" s="1296"/>
      <c r="B847" s="1201" t="s">
        <v>3497</v>
      </c>
      <c r="C847" s="1186">
        <v>2</v>
      </c>
      <c r="D847" s="1186" t="s">
        <v>3364</v>
      </c>
      <c r="E847" s="1186">
        <v>1</v>
      </c>
      <c r="F847" s="1177">
        <v>1.5</v>
      </c>
      <c r="G847" s="1177">
        <v>35</v>
      </c>
      <c r="H847" s="1177">
        <v>1.35</v>
      </c>
      <c r="I847" s="1178">
        <f>PRODUCT(C847:H847)</f>
        <v>141.75</v>
      </c>
      <c r="J847" s="1184"/>
    </row>
    <row r="848" spans="1:10" s="1209" customFormat="1">
      <c r="A848" s="1296"/>
      <c r="B848" s="1201" t="s">
        <v>6969</v>
      </c>
      <c r="C848" s="1186">
        <v>1</v>
      </c>
      <c r="D848" s="1186" t="s">
        <v>3364</v>
      </c>
      <c r="E848" s="1186">
        <v>1</v>
      </c>
      <c r="F848" s="1177">
        <v>1.5</v>
      </c>
      <c r="G848" s="1177">
        <v>35</v>
      </c>
      <c r="H848" s="1177">
        <v>1.35</v>
      </c>
      <c r="I848" s="1178">
        <f t="shared" si="63"/>
        <v>70.88</v>
      </c>
      <c r="J848" s="1184"/>
    </row>
    <row r="849" spans="1:10" s="1209" customFormat="1">
      <c r="A849" s="1296"/>
      <c r="B849" s="1201" t="s">
        <v>6992</v>
      </c>
      <c r="C849" s="1186">
        <v>1</v>
      </c>
      <c r="D849" s="1186" t="s">
        <v>3364</v>
      </c>
      <c r="E849" s="1186">
        <v>1</v>
      </c>
      <c r="F849" s="1177">
        <v>1</v>
      </c>
      <c r="G849" s="1177">
        <v>45</v>
      </c>
      <c r="H849" s="1177">
        <v>2.1</v>
      </c>
      <c r="I849" s="1178">
        <f>PRODUCT(C849:H849)</f>
        <v>94.5</v>
      </c>
      <c r="J849" s="1184"/>
    </row>
    <row r="850" spans="1:10" s="1209" customFormat="1">
      <c r="A850" s="1185"/>
      <c r="B850" s="1201"/>
      <c r="C850" s="1268"/>
      <c r="D850" s="1268"/>
      <c r="E850" s="1186"/>
      <c r="F850" s="1177"/>
      <c r="G850" s="1253" t="s">
        <v>104</v>
      </c>
      <c r="H850" s="1177"/>
      <c r="I850" s="1178">
        <f>SUM(I838:I849)</f>
        <v>9210.61</v>
      </c>
      <c r="J850" s="1184"/>
    </row>
    <row r="851" spans="1:10" s="1209" customFormat="1">
      <c r="A851" s="1185"/>
      <c r="B851" s="1201"/>
      <c r="C851" s="1268"/>
      <c r="D851" s="1268"/>
      <c r="E851" s="1186"/>
      <c r="F851" s="1177"/>
      <c r="G851" s="1269"/>
      <c r="H851" s="1253" t="s">
        <v>2981</v>
      </c>
      <c r="I851" s="1181">
        <f>CEILING(I850,0.1)</f>
        <v>9210.7000000000007</v>
      </c>
      <c r="J851" s="1184" t="s">
        <v>39</v>
      </c>
    </row>
    <row r="852" spans="1:10" s="1209" customFormat="1">
      <c r="A852" s="1182">
        <v>40</v>
      </c>
      <c r="B852" s="1187" t="s">
        <v>3514</v>
      </c>
      <c r="C852" s="1186"/>
      <c r="D852" s="1186"/>
      <c r="E852" s="1186"/>
      <c r="F852" s="1177"/>
      <c r="G852" s="1177"/>
      <c r="H852" s="1177"/>
      <c r="I852" s="1178"/>
      <c r="J852" s="1184"/>
    </row>
    <row r="853" spans="1:10" s="1209" customFormat="1">
      <c r="A853" s="1185"/>
      <c r="B853" s="1292" t="s">
        <v>6778</v>
      </c>
      <c r="C853" s="1186">
        <v>1</v>
      </c>
      <c r="D853" s="1186" t="s">
        <v>3364</v>
      </c>
      <c r="E853" s="1186">
        <v>20</v>
      </c>
      <c r="F853" s="1177">
        <v>1.2</v>
      </c>
      <c r="G853" s="1177">
        <v>2.6</v>
      </c>
      <c r="H853" s="1177">
        <v>2.4</v>
      </c>
      <c r="I853" s="1178">
        <f>PRODUCT(C853:H853)</f>
        <v>149.76</v>
      </c>
      <c r="J853" s="1291"/>
    </row>
    <row r="854" spans="1:10" s="1209" customFormat="1">
      <c r="A854" s="1185"/>
      <c r="B854" s="1292" t="s">
        <v>6779</v>
      </c>
      <c r="C854" s="1186">
        <v>1</v>
      </c>
      <c r="D854" s="1186" t="s">
        <v>3364</v>
      </c>
      <c r="E854" s="1186">
        <v>9</v>
      </c>
      <c r="F854" s="1177">
        <v>1.2</v>
      </c>
      <c r="G854" s="1177">
        <v>2.6</v>
      </c>
      <c r="H854" s="1177">
        <v>2.4</v>
      </c>
      <c r="I854" s="1178">
        <f>PRODUCT(C854:H854)</f>
        <v>67.39</v>
      </c>
      <c r="J854" s="1291"/>
    </row>
    <row r="855" spans="1:10" s="1209" customFormat="1">
      <c r="A855" s="1182"/>
      <c r="B855" s="1292"/>
      <c r="C855" s="1186"/>
      <c r="D855" s="1186"/>
      <c r="E855" s="1186"/>
      <c r="F855" s="1177"/>
      <c r="G855" s="1177"/>
      <c r="H855" s="1177"/>
      <c r="I855" s="1178">
        <f>SUM(I853:I854)</f>
        <v>217.15</v>
      </c>
      <c r="J855" s="1184"/>
    </row>
    <row r="856" spans="1:10" s="1209" customFormat="1" ht="15.75" customHeight="1">
      <c r="A856" s="1185"/>
      <c r="B856" s="1255"/>
      <c r="C856" s="1251"/>
      <c r="D856" s="1251"/>
      <c r="E856" s="1251"/>
      <c r="F856" s="1177"/>
      <c r="G856" s="1177"/>
      <c r="H856" s="1253" t="s">
        <v>2981</v>
      </c>
      <c r="I856" s="1181">
        <f>CEILING(I855,0.1)</f>
        <v>217.2</v>
      </c>
      <c r="J856" s="1184" t="s">
        <v>724</v>
      </c>
    </row>
    <row r="857" spans="1:10" s="1209" customFormat="1" ht="173.25">
      <c r="A857" s="1182">
        <v>41</v>
      </c>
      <c r="B857" s="1187" t="s">
        <v>3515</v>
      </c>
      <c r="C857" s="1186"/>
      <c r="D857" s="1186"/>
      <c r="E857" s="1186"/>
      <c r="F857" s="1177"/>
      <c r="G857" s="1177"/>
      <c r="H857" s="1177"/>
      <c r="I857" s="1178"/>
      <c r="J857" s="1184"/>
    </row>
    <row r="858" spans="1:10" s="1209" customFormat="1">
      <c r="A858" s="1296"/>
      <c r="B858" s="1201" t="s">
        <v>3414</v>
      </c>
      <c r="C858" s="1186">
        <v>49</v>
      </c>
      <c r="D858" s="1186" t="s">
        <v>3364</v>
      </c>
      <c r="E858" s="1186">
        <v>1</v>
      </c>
      <c r="F858" s="1177">
        <v>1.5</v>
      </c>
      <c r="G858" s="1177"/>
      <c r="H858" s="1177">
        <v>1.35</v>
      </c>
      <c r="I858" s="1178">
        <f t="shared" ref="I858:I869" si="64">PRODUCT(C858:H858)</f>
        <v>99.23</v>
      </c>
      <c r="J858" s="1184"/>
    </row>
    <row r="859" spans="1:10" s="1209" customFormat="1">
      <c r="A859" s="1296"/>
      <c r="B859" s="1201" t="s">
        <v>3400</v>
      </c>
      <c r="C859" s="1186">
        <v>9</v>
      </c>
      <c r="D859" s="1186" t="s">
        <v>3364</v>
      </c>
      <c r="E859" s="1186">
        <v>1</v>
      </c>
      <c r="F859" s="1177">
        <v>2</v>
      </c>
      <c r="G859" s="1177"/>
      <c r="H859" s="1177">
        <v>1.65</v>
      </c>
      <c r="I859" s="1178">
        <f t="shared" si="64"/>
        <v>29.7</v>
      </c>
      <c r="J859" s="1184"/>
    </row>
    <row r="860" spans="1:10" s="1209" customFormat="1">
      <c r="A860" s="1296"/>
      <c r="B860" s="1201" t="s">
        <v>6964</v>
      </c>
      <c r="C860" s="1186">
        <v>36</v>
      </c>
      <c r="D860" s="1186" t="s">
        <v>3364</v>
      </c>
      <c r="E860" s="1186">
        <v>1</v>
      </c>
      <c r="F860" s="1177">
        <v>0.9</v>
      </c>
      <c r="G860" s="1177"/>
      <c r="H860" s="1177">
        <v>0.6</v>
      </c>
      <c r="I860" s="1178">
        <f t="shared" si="64"/>
        <v>19.440000000000001</v>
      </c>
      <c r="J860" s="1184"/>
    </row>
    <row r="861" spans="1:10" s="1209" customFormat="1">
      <c r="A861" s="1296"/>
      <c r="B861" s="1201" t="s">
        <v>3401</v>
      </c>
      <c r="C861" s="1186">
        <v>6</v>
      </c>
      <c r="D861" s="1186" t="s">
        <v>3364</v>
      </c>
      <c r="E861" s="1186">
        <v>1</v>
      </c>
      <c r="F861" s="1177">
        <v>0.75</v>
      </c>
      <c r="G861" s="1177"/>
      <c r="H861" s="1177">
        <v>0.6</v>
      </c>
      <c r="I861" s="1178">
        <f t="shared" si="64"/>
        <v>2.7</v>
      </c>
      <c r="J861" s="1184"/>
    </row>
    <row r="862" spans="1:10" s="1209" customFormat="1">
      <c r="A862" s="1296"/>
      <c r="B862" s="1201" t="s">
        <v>6965</v>
      </c>
      <c r="C862" s="1186">
        <v>2</v>
      </c>
      <c r="D862" s="1186" t="s">
        <v>3364</v>
      </c>
      <c r="E862" s="1186">
        <v>1</v>
      </c>
      <c r="F862" s="1177">
        <v>0.9</v>
      </c>
      <c r="G862" s="1177"/>
      <c r="H862" s="1177">
        <v>0.6</v>
      </c>
      <c r="I862" s="1178">
        <f t="shared" si="64"/>
        <v>1.08</v>
      </c>
      <c r="J862" s="1184"/>
    </row>
    <row r="863" spans="1:10" s="1209" customFormat="1">
      <c r="A863" s="1296"/>
      <c r="B863" s="1201" t="s">
        <v>6966</v>
      </c>
      <c r="C863" s="1186">
        <v>49</v>
      </c>
      <c r="D863" s="1186" t="s">
        <v>3364</v>
      </c>
      <c r="E863" s="1186">
        <v>1</v>
      </c>
      <c r="F863" s="1177">
        <v>0.75</v>
      </c>
      <c r="G863" s="1177"/>
      <c r="H863" s="1177">
        <v>0.6</v>
      </c>
      <c r="I863" s="1178">
        <f t="shared" si="64"/>
        <v>22.05</v>
      </c>
      <c r="J863" s="1184"/>
    </row>
    <row r="864" spans="1:10" s="1209" customFormat="1">
      <c r="A864" s="1296"/>
      <c r="B864" s="1201" t="s">
        <v>6967</v>
      </c>
      <c r="C864" s="1186">
        <v>9</v>
      </c>
      <c r="D864" s="1186" t="s">
        <v>3364</v>
      </c>
      <c r="E864" s="1186">
        <v>1</v>
      </c>
      <c r="F864" s="1177">
        <v>0.75</v>
      </c>
      <c r="G864" s="1177"/>
      <c r="H864" s="1177">
        <v>0.6</v>
      </c>
      <c r="I864" s="1178">
        <f t="shared" si="64"/>
        <v>4.05</v>
      </c>
      <c r="J864" s="1184"/>
    </row>
    <row r="865" spans="1:10" s="1209" customFormat="1">
      <c r="A865" s="1296"/>
      <c r="B865" s="1201" t="s">
        <v>3399</v>
      </c>
      <c r="C865" s="1186">
        <v>36</v>
      </c>
      <c r="D865" s="1186" t="s">
        <v>3364</v>
      </c>
      <c r="E865" s="1186">
        <v>1</v>
      </c>
      <c r="F865" s="1177">
        <v>0.9</v>
      </c>
      <c r="G865" s="1177"/>
      <c r="H865" s="1177">
        <v>2</v>
      </c>
      <c r="I865" s="1178">
        <f t="shared" si="64"/>
        <v>64.8</v>
      </c>
      <c r="J865" s="1184"/>
    </row>
    <row r="866" spans="1:10" s="1209" customFormat="1">
      <c r="A866" s="1296"/>
      <c r="B866" s="1201" t="s">
        <v>6968</v>
      </c>
      <c r="C866" s="1186">
        <v>6</v>
      </c>
      <c r="D866" s="1186" t="s">
        <v>3364</v>
      </c>
      <c r="E866" s="1186">
        <v>1</v>
      </c>
      <c r="F866" s="1177">
        <v>1.8</v>
      </c>
      <c r="G866" s="1177"/>
      <c r="H866" s="1177">
        <v>1.05</v>
      </c>
      <c r="I866" s="1178">
        <f t="shared" si="64"/>
        <v>11.34</v>
      </c>
      <c r="J866" s="1184"/>
    </row>
    <row r="867" spans="1:10" s="1209" customFormat="1">
      <c r="A867" s="1296"/>
      <c r="B867" s="1201" t="s">
        <v>3497</v>
      </c>
      <c r="C867" s="1186">
        <v>2</v>
      </c>
      <c r="D867" s="1186" t="s">
        <v>3364</v>
      </c>
      <c r="E867" s="1186">
        <v>1</v>
      </c>
      <c r="F867" s="1177">
        <v>1.5</v>
      </c>
      <c r="G867" s="1177"/>
      <c r="H867" s="1177">
        <v>1.35</v>
      </c>
      <c r="I867" s="1178">
        <f t="shared" si="64"/>
        <v>4.05</v>
      </c>
      <c r="J867" s="1184"/>
    </row>
    <row r="868" spans="1:10" s="1209" customFormat="1">
      <c r="A868" s="1296"/>
      <c r="B868" s="1201" t="s">
        <v>6969</v>
      </c>
      <c r="C868" s="1186">
        <v>1</v>
      </c>
      <c r="D868" s="1186" t="s">
        <v>3364</v>
      </c>
      <c r="E868" s="1186">
        <v>1</v>
      </c>
      <c r="F868" s="1177">
        <v>1.5</v>
      </c>
      <c r="G868" s="1177"/>
      <c r="H868" s="1177">
        <v>1.35</v>
      </c>
      <c r="I868" s="1178">
        <f t="shared" si="64"/>
        <v>2.0299999999999998</v>
      </c>
      <c r="J868" s="1184"/>
    </row>
    <row r="869" spans="1:10" s="1209" customFormat="1">
      <c r="A869" s="1296"/>
      <c r="B869" s="1201" t="s">
        <v>6992</v>
      </c>
      <c r="C869" s="1186">
        <v>1</v>
      </c>
      <c r="D869" s="1186" t="s">
        <v>3364</v>
      </c>
      <c r="E869" s="1186">
        <v>1</v>
      </c>
      <c r="F869" s="1177">
        <v>1</v>
      </c>
      <c r="G869" s="1177"/>
      <c r="H869" s="1177">
        <v>2.1</v>
      </c>
      <c r="I869" s="1178">
        <f t="shared" si="64"/>
        <v>2.1</v>
      </c>
      <c r="J869" s="1184"/>
    </row>
    <row r="870" spans="1:10" s="1209" customFormat="1">
      <c r="A870" s="1185"/>
      <c r="B870" s="1203" t="s">
        <v>3528</v>
      </c>
      <c r="C870" s="1268"/>
      <c r="D870" s="1268"/>
      <c r="E870" s="1268"/>
      <c r="F870" s="1269"/>
      <c r="G870" s="1269"/>
      <c r="H870" s="1269"/>
      <c r="I870" s="1178">
        <f>PRODUCT(C870:H870)</f>
        <v>0</v>
      </c>
      <c r="J870" s="1291"/>
    </row>
    <row r="871" spans="1:10" s="1209" customFormat="1">
      <c r="A871" s="1185"/>
      <c r="B871" s="1201" t="s">
        <v>6780</v>
      </c>
      <c r="C871" s="1268">
        <v>1</v>
      </c>
      <c r="D871" s="1268" t="s">
        <v>3364</v>
      </c>
      <c r="E871" s="1268">
        <v>1</v>
      </c>
      <c r="F871" s="1269">
        <f>0.75+9.9+1+2+3.2+6.3</f>
        <v>23.15</v>
      </c>
      <c r="G871" s="1269">
        <f>3.14*0.032</f>
        <v>0.1</v>
      </c>
      <c r="H871" s="1269"/>
      <c r="I871" s="1178">
        <f>PRODUCT(C871:H871)</f>
        <v>2.3199999999999998</v>
      </c>
      <c r="J871" s="1291"/>
    </row>
    <row r="872" spans="1:10" s="1209" customFormat="1">
      <c r="A872" s="1185"/>
      <c r="B872" s="1201" t="s">
        <v>6781</v>
      </c>
      <c r="C872" s="1268">
        <v>3</v>
      </c>
      <c r="D872" s="1268" t="s">
        <v>3364</v>
      </c>
      <c r="E872" s="1268">
        <v>1</v>
      </c>
      <c r="F872" s="1269">
        <v>73.256</v>
      </c>
      <c r="G872" s="1269">
        <f>3.14*0.032</f>
        <v>0.1</v>
      </c>
      <c r="H872" s="1269"/>
      <c r="I872" s="1178">
        <f>PRODUCT(C872:H872)</f>
        <v>21.98</v>
      </c>
      <c r="J872" s="1291"/>
    </row>
    <row r="873" spans="1:10" s="1209" customFormat="1">
      <c r="A873" s="1185"/>
      <c r="B873" s="1201" t="s">
        <v>6782</v>
      </c>
      <c r="C873" s="1268">
        <v>7</v>
      </c>
      <c r="D873" s="1268" t="s">
        <v>3364</v>
      </c>
      <c r="E873" s="1268">
        <v>1</v>
      </c>
      <c r="F873" s="1269">
        <v>33.08</v>
      </c>
      <c r="G873" s="1269">
        <v>0.1</v>
      </c>
      <c r="H873" s="1269"/>
      <c r="I873" s="1178">
        <f>PRODUCT(C873:H873)</f>
        <v>23.16</v>
      </c>
      <c r="J873" s="1291"/>
    </row>
    <row r="874" spans="1:10" s="1209" customFormat="1">
      <c r="A874" s="1185"/>
      <c r="B874" s="1201" t="s">
        <v>6783</v>
      </c>
      <c r="C874" s="1268">
        <v>12</v>
      </c>
      <c r="D874" s="1268" t="s">
        <v>3364</v>
      </c>
      <c r="E874" s="1268">
        <v>1</v>
      </c>
      <c r="F874" s="1269">
        <v>26.652000000000001</v>
      </c>
      <c r="G874" s="1269">
        <v>0.1</v>
      </c>
      <c r="H874" s="1269"/>
      <c r="I874" s="1178">
        <f>PRODUCT(C874:H874)</f>
        <v>31.98</v>
      </c>
      <c r="J874" s="1291"/>
    </row>
    <row r="875" spans="1:10" s="1209" customFormat="1">
      <c r="A875" s="1185"/>
      <c r="B875" s="1203" t="s">
        <v>3530</v>
      </c>
      <c r="C875" s="1268"/>
      <c r="D875" s="1268"/>
      <c r="E875" s="1268"/>
      <c r="F875" s="1269"/>
      <c r="G875" s="1269"/>
      <c r="H875" s="1269"/>
      <c r="I875" s="1178"/>
      <c r="J875" s="1291"/>
    </row>
    <row r="876" spans="1:10" s="1209" customFormat="1">
      <c r="A876" s="1185"/>
      <c r="B876" s="1201" t="s">
        <v>6784</v>
      </c>
      <c r="C876" s="1268">
        <v>1</v>
      </c>
      <c r="D876" s="1268" t="s">
        <v>3364</v>
      </c>
      <c r="E876" s="1268">
        <v>1</v>
      </c>
      <c r="F876" s="1269">
        <v>6.8</v>
      </c>
      <c r="G876" s="1269">
        <f>3.14*0.025</f>
        <v>7.9000000000000001E-2</v>
      </c>
      <c r="H876" s="1269"/>
      <c r="I876" s="1178">
        <f t="shared" ref="I876:I887" si="65">PRODUCT(C876:H876)</f>
        <v>0.54</v>
      </c>
      <c r="J876" s="1291"/>
    </row>
    <row r="877" spans="1:10" s="1209" customFormat="1">
      <c r="A877" s="1185"/>
      <c r="B877" s="1201" t="s">
        <v>6785</v>
      </c>
      <c r="C877" s="1268">
        <v>14</v>
      </c>
      <c r="D877" s="1268" t="s">
        <v>3364</v>
      </c>
      <c r="E877" s="1268">
        <v>1</v>
      </c>
      <c r="F877" s="1269">
        <v>26.34</v>
      </c>
      <c r="G877" s="1269">
        <f>3.14*0.025</f>
        <v>7.9000000000000001E-2</v>
      </c>
      <c r="H877" s="1269"/>
      <c r="I877" s="1178">
        <f t="shared" si="65"/>
        <v>29.13</v>
      </c>
      <c r="J877" s="1291"/>
    </row>
    <row r="878" spans="1:10" s="1209" customFormat="1">
      <c r="A878" s="1185"/>
      <c r="B878" s="1201" t="s">
        <v>6785</v>
      </c>
      <c r="C878" s="1268">
        <v>14</v>
      </c>
      <c r="D878" s="1268" t="s">
        <v>3364</v>
      </c>
      <c r="E878" s="1268">
        <v>1</v>
      </c>
      <c r="F878" s="1269">
        <v>23.65</v>
      </c>
      <c r="G878" s="1269">
        <f>3.14*0.025</f>
        <v>7.9000000000000001E-2</v>
      </c>
      <c r="H878" s="1269"/>
      <c r="I878" s="1178">
        <f t="shared" si="65"/>
        <v>26.16</v>
      </c>
      <c r="J878" s="1291"/>
    </row>
    <row r="879" spans="1:10" s="1209" customFormat="1">
      <c r="A879" s="1185"/>
      <c r="B879" s="1201" t="s">
        <v>6786</v>
      </c>
      <c r="C879" s="1268">
        <v>8</v>
      </c>
      <c r="D879" s="1268" t="s">
        <v>3364</v>
      </c>
      <c r="E879" s="1268">
        <v>1</v>
      </c>
      <c r="F879" s="1269">
        <v>22.885000000000002</v>
      </c>
      <c r="G879" s="1269">
        <f>3.14*0.025</f>
        <v>7.9000000000000001E-2</v>
      </c>
      <c r="H879" s="1269"/>
      <c r="I879" s="1178">
        <f t="shared" si="65"/>
        <v>14.46</v>
      </c>
      <c r="J879" s="1291"/>
    </row>
    <row r="880" spans="1:10" s="1209" customFormat="1">
      <c r="A880" s="1185"/>
      <c r="B880" s="1202" t="s">
        <v>3665</v>
      </c>
      <c r="C880" s="1186"/>
      <c r="D880" s="1268"/>
      <c r="E880" s="1186"/>
      <c r="F880" s="1177"/>
      <c r="G880" s="1269"/>
      <c r="H880" s="1177"/>
      <c r="I880" s="1178">
        <f t="shared" si="65"/>
        <v>0</v>
      </c>
      <c r="J880" s="1184"/>
    </row>
    <row r="881" spans="1:10" s="1209" customFormat="1">
      <c r="A881" s="1185"/>
      <c r="B881" s="1199" t="s">
        <v>3688</v>
      </c>
      <c r="C881" s="1186">
        <v>1</v>
      </c>
      <c r="D881" s="1268" t="s">
        <v>3364</v>
      </c>
      <c r="E881" s="1186">
        <v>8</v>
      </c>
      <c r="F881" s="1177">
        <f>9.9+0.75</f>
        <v>10.65</v>
      </c>
      <c r="G881" s="1269">
        <f t="shared" ref="G881:G887" si="66">3.14*0.11</f>
        <v>0.34499999999999997</v>
      </c>
      <c r="H881" s="1177"/>
      <c r="I881" s="1178">
        <f t="shared" si="65"/>
        <v>29.39</v>
      </c>
      <c r="J881" s="1184"/>
    </row>
    <row r="882" spans="1:10" s="1209" customFormat="1">
      <c r="A882" s="1185"/>
      <c r="B882" s="1201" t="s">
        <v>6787</v>
      </c>
      <c r="C882" s="1186">
        <v>1</v>
      </c>
      <c r="D882" s="1268" t="s">
        <v>3364</v>
      </c>
      <c r="E882" s="1186">
        <v>2</v>
      </c>
      <c r="F882" s="1269">
        <v>3.3</v>
      </c>
      <c r="G882" s="1269">
        <f t="shared" si="66"/>
        <v>0.34499999999999997</v>
      </c>
      <c r="H882" s="1269"/>
      <c r="I882" s="1178">
        <f t="shared" si="65"/>
        <v>2.2799999999999998</v>
      </c>
      <c r="J882" s="1184"/>
    </row>
    <row r="883" spans="1:10" s="1209" customFormat="1">
      <c r="A883" s="1185"/>
      <c r="B883" s="1199" t="s">
        <v>6788</v>
      </c>
      <c r="C883" s="1186">
        <v>6</v>
      </c>
      <c r="D883" s="1268" t="s">
        <v>3364</v>
      </c>
      <c r="E883" s="1186">
        <v>3</v>
      </c>
      <c r="F883" s="1177">
        <f>9.9+0.75</f>
        <v>10.65</v>
      </c>
      <c r="G883" s="1269">
        <f t="shared" si="66"/>
        <v>0.34499999999999997</v>
      </c>
      <c r="H883" s="1177"/>
      <c r="I883" s="1178">
        <f t="shared" si="65"/>
        <v>66.14</v>
      </c>
      <c r="J883" s="1184"/>
    </row>
    <row r="884" spans="1:10" s="1209" customFormat="1">
      <c r="A884" s="1185"/>
      <c r="B884" s="1199"/>
      <c r="C884" s="1186">
        <v>7</v>
      </c>
      <c r="D884" s="1268" t="s">
        <v>3364</v>
      </c>
      <c r="E884" s="1186">
        <v>4</v>
      </c>
      <c r="F884" s="1177">
        <f>9.9+0.75</f>
        <v>10.65</v>
      </c>
      <c r="G884" s="1269">
        <f t="shared" si="66"/>
        <v>0.34499999999999997</v>
      </c>
      <c r="H884" s="1177"/>
      <c r="I884" s="1178">
        <f t="shared" si="65"/>
        <v>102.88</v>
      </c>
      <c r="J884" s="1184"/>
    </row>
    <row r="885" spans="1:10" s="1209" customFormat="1">
      <c r="A885" s="1185"/>
      <c r="B885" s="1201" t="s">
        <v>6786</v>
      </c>
      <c r="C885" s="1186">
        <v>8</v>
      </c>
      <c r="D885" s="1268" t="s">
        <v>3364</v>
      </c>
      <c r="E885" s="1186">
        <v>5</v>
      </c>
      <c r="F885" s="1177">
        <f>9.9+0.75</f>
        <v>10.65</v>
      </c>
      <c r="G885" s="1269">
        <f t="shared" si="66"/>
        <v>0.34499999999999997</v>
      </c>
      <c r="H885" s="1177"/>
      <c r="I885" s="1178">
        <f t="shared" si="65"/>
        <v>146.97</v>
      </c>
      <c r="J885" s="1184"/>
    </row>
    <row r="886" spans="1:10" s="1209" customFormat="1">
      <c r="A886" s="1185"/>
      <c r="B886" s="1201"/>
      <c r="C886" s="1186">
        <v>2</v>
      </c>
      <c r="D886" s="1268" t="s">
        <v>3364</v>
      </c>
      <c r="E886" s="1186">
        <v>3</v>
      </c>
      <c r="F886" s="1269">
        <v>4</v>
      </c>
      <c r="G886" s="1269">
        <f t="shared" si="66"/>
        <v>0.34499999999999997</v>
      </c>
      <c r="H886" s="1269"/>
      <c r="I886" s="1178">
        <f t="shared" si="65"/>
        <v>8.2799999999999994</v>
      </c>
      <c r="J886" s="1184"/>
    </row>
    <row r="887" spans="1:10" s="1209" customFormat="1">
      <c r="A887" s="1185"/>
      <c r="B887" s="1201" t="s">
        <v>6789</v>
      </c>
      <c r="C887" s="1186">
        <v>8</v>
      </c>
      <c r="D887" s="1268" t="s">
        <v>3364</v>
      </c>
      <c r="E887" s="1186">
        <v>4</v>
      </c>
      <c r="F887" s="1269">
        <v>0.6</v>
      </c>
      <c r="G887" s="1269">
        <f t="shared" si="66"/>
        <v>0.34499999999999997</v>
      </c>
      <c r="H887" s="1269"/>
      <c r="I887" s="1178">
        <f t="shared" si="65"/>
        <v>6.62</v>
      </c>
      <c r="J887" s="1184"/>
    </row>
    <row r="888" spans="1:10" s="1209" customFormat="1">
      <c r="A888" s="1185"/>
      <c r="B888" s="1203" t="s">
        <v>3666</v>
      </c>
      <c r="C888" s="1186"/>
      <c r="D888" s="1268"/>
      <c r="E888" s="1186"/>
      <c r="F888" s="1269"/>
      <c r="G888" s="1269"/>
      <c r="H888" s="1269"/>
      <c r="I888" s="1178"/>
      <c r="J888" s="1184"/>
    </row>
    <row r="889" spans="1:10" s="1209" customFormat="1">
      <c r="A889" s="1185"/>
      <c r="B889" s="1199" t="s">
        <v>6788</v>
      </c>
      <c r="C889" s="1186">
        <v>8</v>
      </c>
      <c r="D889" s="1268" t="s">
        <v>3364</v>
      </c>
      <c r="E889" s="1186">
        <v>3</v>
      </c>
      <c r="F889" s="1177">
        <f>9.9+0.75</f>
        <v>10.65</v>
      </c>
      <c r="G889" s="1269">
        <f>3.14*0.075</f>
        <v>0.23599999999999999</v>
      </c>
      <c r="H889" s="1177"/>
      <c r="I889" s="1178">
        <f>PRODUCT(C889:H889)</f>
        <v>60.32</v>
      </c>
      <c r="J889" s="1184"/>
    </row>
    <row r="890" spans="1:10" s="1209" customFormat="1">
      <c r="A890" s="1185"/>
      <c r="B890" s="1201" t="s">
        <v>6787</v>
      </c>
      <c r="C890" s="1186">
        <v>2</v>
      </c>
      <c r="D890" s="1268" t="s">
        <v>3364</v>
      </c>
      <c r="E890" s="1186">
        <v>3</v>
      </c>
      <c r="F890" s="1177">
        <f>F889+5</f>
        <v>15.65</v>
      </c>
      <c r="G890" s="1269">
        <f>3.14*0.075</f>
        <v>0.23599999999999999</v>
      </c>
      <c r="H890" s="1177"/>
      <c r="I890" s="1178">
        <f>PRODUCT(C890:H890)</f>
        <v>22.16</v>
      </c>
      <c r="J890" s="1184"/>
    </row>
    <row r="891" spans="1:10" s="1209" customFormat="1">
      <c r="A891" s="1185"/>
      <c r="B891" s="1199" t="s">
        <v>6788</v>
      </c>
      <c r="C891" s="1186">
        <v>2</v>
      </c>
      <c r="D891" s="1268" t="s">
        <v>3364</v>
      </c>
      <c r="E891" s="1186">
        <v>3</v>
      </c>
      <c r="F891" s="1177">
        <f>F890+5</f>
        <v>20.65</v>
      </c>
      <c r="G891" s="1269">
        <f>3.14*0.075</f>
        <v>0.23599999999999999</v>
      </c>
      <c r="H891" s="1177"/>
      <c r="I891" s="1178">
        <f>PRODUCT(C891:H891)</f>
        <v>29.24</v>
      </c>
      <c r="J891" s="1184"/>
    </row>
    <row r="892" spans="1:10" s="1209" customFormat="1">
      <c r="A892" s="1185"/>
      <c r="B892" s="1201"/>
      <c r="C892" s="1186">
        <v>1</v>
      </c>
      <c r="D892" s="1268" t="s">
        <v>3364</v>
      </c>
      <c r="E892" s="1186">
        <v>3</v>
      </c>
      <c r="F892" s="1269">
        <v>4</v>
      </c>
      <c r="G892" s="1269">
        <f>3.14*0.075</f>
        <v>0.23599999999999999</v>
      </c>
      <c r="H892" s="1269"/>
      <c r="I892" s="1178">
        <f>PRODUCT(C892:H892)</f>
        <v>2.83</v>
      </c>
      <c r="J892" s="1184"/>
    </row>
    <row r="893" spans="1:10" s="1209" customFormat="1">
      <c r="A893" s="1185"/>
      <c r="B893" s="1201" t="s">
        <v>6789</v>
      </c>
      <c r="C893" s="1186">
        <v>8</v>
      </c>
      <c r="D893" s="1268" t="s">
        <v>3364</v>
      </c>
      <c r="E893" s="1186">
        <v>3</v>
      </c>
      <c r="F893" s="1269">
        <v>0.6</v>
      </c>
      <c r="G893" s="1269">
        <f>3.14*0.075</f>
        <v>0.23599999999999999</v>
      </c>
      <c r="H893" s="1269"/>
      <c r="I893" s="1178">
        <f>PRODUCT(C893:H893)</f>
        <v>3.4</v>
      </c>
      <c r="J893" s="1184"/>
    </row>
    <row r="894" spans="1:10" s="1209" customFormat="1">
      <c r="A894" s="1185"/>
      <c r="B894" s="1199"/>
      <c r="C894" s="1186"/>
      <c r="D894" s="1186"/>
      <c r="E894" s="1186"/>
      <c r="F894" s="1177"/>
      <c r="G894" s="1253" t="s">
        <v>104</v>
      </c>
      <c r="H894" s="1177"/>
      <c r="I894" s="1183">
        <f>SUM(I858:I893)</f>
        <v>892.81</v>
      </c>
      <c r="J894" s="1184"/>
    </row>
    <row r="895" spans="1:10" s="1209" customFormat="1">
      <c r="A895" s="1185"/>
      <c r="B895" s="1199"/>
      <c r="C895" s="1186"/>
      <c r="D895" s="1186"/>
      <c r="E895" s="1186"/>
      <c r="F895" s="1177"/>
      <c r="G895" s="1269"/>
      <c r="H895" s="1253" t="s">
        <v>2981</v>
      </c>
      <c r="I895" s="1183">
        <f>CEILING(I894,0.1)</f>
        <v>892.9</v>
      </c>
      <c r="J895" s="1184" t="s">
        <v>724</v>
      </c>
    </row>
    <row r="896" spans="1:10" s="1209" customFormat="1" ht="110.25">
      <c r="A896" s="1182">
        <v>46</v>
      </c>
      <c r="B896" s="1293" t="s">
        <v>3516</v>
      </c>
      <c r="C896" s="1186"/>
      <c r="D896" s="1186"/>
      <c r="E896" s="1186"/>
      <c r="F896" s="1177"/>
      <c r="G896" s="1177"/>
      <c r="H896" s="1177"/>
      <c r="I896" s="1178"/>
      <c r="J896" s="1184"/>
    </row>
    <row r="897" spans="1:10" s="1209" customFormat="1">
      <c r="A897" s="1185"/>
      <c r="B897" s="1297" t="s">
        <v>3517</v>
      </c>
      <c r="C897" s="1251">
        <v>1</v>
      </c>
      <c r="D897" s="1251" t="s">
        <v>3364</v>
      </c>
      <c r="E897" s="1251">
        <v>30</v>
      </c>
      <c r="F897" s="1177">
        <v>1</v>
      </c>
      <c r="G897" s="1269"/>
      <c r="H897" s="1269"/>
      <c r="I897" s="1278">
        <f>PRODUCT(C897:H897)</f>
        <v>30</v>
      </c>
      <c r="J897" s="1275"/>
    </row>
    <row r="898" spans="1:10" s="1209" customFormat="1">
      <c r="A898" s="1185"/>
      <c r="B898" s="1297"/>
      <c r="C898" s="1251"/>
      <c r="D898" s="1251"/>
      <c r="E898" s="1251"/>
      <c r="F898" s="1177"/>
      <c r="G898" s="1269"/>
      <c r="H898" s="1269"/>
      <c r="I898" s="1183">
        <f>CEILING(I897,0.1)</f>
        <v>30</v>
      </c>
      <c r="J898" s="1184" t="s">
        <v>13</v>
      </c>
    </row>
    <row r="899" spans="1:10" s="1209" customFormat="1" ht="94.5">
      <c r="A899" s="1182">
        <v>47</v>
      </c>
      <c r="B899" s="1200" t="s">
        <v>3518</v>
      </c>
      <c r="C899" s="1186"/>
      <c r="D899" s="1186"/>
      <c r="E899" s="1186"/>
      <c r="F899" s="1177"/>
      <c r="G899" s="1177"/>
      <c r="H899" s="1177"/>
      <c r="I899" s="1178"/>
      <c r="J899" s="1184"/>
    </row>
    <row r="900" spans="1:10" s="1209" customFormat="1">
      <c r="A900" s="1182"/>
      <c r="B900" s="1187" t="s">
        <v>6790</v>
      </c>
      <c r="C900" s="1186"/>
      <c r="D900" s="1186"/>
      <c r="E900" s="1186"/>
      <c r="F900" s="1177"/>
      <c r="G900" s="1177"/>
      <c r="H900" s="1177"/>
      <c r="I900" s="1178"/>
      <c r="J900" s="1184"/>
    </row>
    <row r="901" spans="1:10" s="1209" customFormat="1">
      <c r="A901" s="1182"/>
      <c r="B901" s="1200" t="s">
        <v>6791</v>
      </c>
      <c r="C901" s="1186">
        <v>2</v>
      </c>
      <c r="D901" s="1186" t="s">
        <v>3364</v>
      </c>
      <c r="E901" s="1186">
        <v>1</v>
      </c>
      <c r="F901" s="1177"/>
      <c r="G901" s="1177"/>
      <c r="H901" s="1177"/>
      <c r="I901" s="1178">
        <f t="shared" ref="I901:I923" si="67">PRODUCT(C901:H901)</f>
        <v>2</v>
      </c>
      <c r="J901" s="1184"/>
    </row>
    <row r="902" spans="1:10" s="1209" customFormat="1">
      <c r="A902" s="1182"/>
      <c r="B902" s="1200" t="s">
        <v>6792</v>
      </c>
      <c r="C902" s="1186">
        <v>2</v>
      </c>
      <c r="D902" s="1186" t="s">
        <v>3364</v>
      </c>
      <c r="E902" s="1186">
        <v>1</v>
      </c>
      <c r="F902" s="1177"/>
      <c r="G902" s="1177"/>
      <c r="H902" s="1177"/>
      <c r="I902" s="1178">
        <f t="shared" si="67"/>
        <v>2</v>
      </c>
      <c r="J902" s="1184"/>
    </row>
    <row r="903" spans="1:10" s="1209" customFormat="1">
      <c r="A903" s="1182"/>
      <c r="B903" s="1187" t="s">
        <v>6793</v>
      </c>
      <c r="C903" s="1186"/>
      <c r="D903" s="1186"/>
      <c r="E903" s="1186"/>
      <c r="F903" s="1177"/>
      <c r="G903" s="1177"/>
      <c r="H903" s="1177"/>
      <c r="I903" s="1178">
        <f t="shared" si="67"/>
        <v>0</v>
      </c>
      <c r="J903" s="1184"/>
    </row>
    <row r="904" spans="1:10" s="1209" customFormat="1">
      <c r="A904" s="1182"/>
      <c r="B904" s="1200" t="s">
        <v>6597</v>
      </c>
      <c r="C904" s="1186">
        <v>5</v>
      </c>
      <c r="D904" s="1186" t="s">
        <v>3364</v>
      </c>
      <c r="E904" s="1186">
        <v>1</v>
      </c>
      <c r="F904" s="1177"/>
      <c r="G904" s="1177"/>
      <c r="H904" s="1177"/>
      <c r="I904" s="1178">
        <f t="shared" si="67"/>
        <v>5</v>
      </c>
      <c r="J904" s="1184"/>
    </row>
    <row r="905" spans="1:10" s="1209" customFormat="1">
      <c r="A905" s="1182"/>
      <c r="B905" s="1200" t="s">
        <v>6794</v>
      </c>
      <c r="C905" s="1186">
        <v>12</v>
      </c>
      <c r="D905" s="1186" t="s">
        <v>3364</v>
      </c>
      <c r="E905" s="1186">
        <v>1</v>
      </c>
      <c r="F905" s="1177"/>
      <c r="G905" s="1177"/>
      <c r="H905" s="1177"/>
      <c r="I905" s="1178">
        <f t="shared" si="67"/>
        <v>12</v>
      </c>
      <c r="J905" s="1184"/>
    </row>
    <row r="906" spans="1:10" s="1209" customFormat="1">
      <c r="A906" s="1182"/>
      <c r="B906" s="1200" t="s">
        <v>6795</v>
      </c>
      <c r="C906" s="1186">
        <v>2</v>
      </c>
      <c r="D906" s="1186" t="s">
        <v>3364</v>
      </c>
      <c r="E906" s="1186">
        <v>1</v>
      </c>
      <c r="F906" s="1177"/>
      <c r="G906" s="1177"/>
      <c r="H906" s="1177"/>
      <c r="I906" s="1178">
        <f t="shared" si="67"/>
        <v>2</v>
      </c>
      <c r="J906" s="1184"/>
    </row>
    <row r="907" spans="1:10" s="1209" customFormat="1">
      <c r="A907" s="1182"/>
      <c r="B907" s="1200" t="s">
        <v>6796</v>
      </c>
      <c r="C907" s="1186">
        <v>2</v>
      </c>
      <c r="D907" s="1186" t="s">
        <v>3364</v>
      </c>
      <c r="E907" s="1186">
        <v>1</v>
      </c>
      <c r="F907" s="1177"/>
      <c r="G907" s="1177"/>
      <c r="H907" s="1177"/>
      <c r="I907" s="1178">
        <f t="shared" si="67"/>
        <v>2</v>
      </c>
      <c r="J907" s="1184"/>
    </row>
    <row r="908" spans="1:10" s="1209" customFormat="1">
      <c r="A908" s="1182"/>
      <c r="B908" s="1200" t="s">
        <v>6797</v>
      </c>
      <c r="C908" s="1186">
        <v>12</v>
      </c>
      <c r="D908" s="1186" t="s">
        <v>3364</v>
      </c>
      <c r="E908" s="1186">
        <v>1</v>
      </c>
      <c r="F908" s="1177"/>
      <c r="G908" s="1177"/>
      <c r="H908" s="1177"/>
      <c r="I908" s="1178">
        <f t="shared" si="67"/>
        <v>12</v>
      </c>
      <c r="J908" s="1184"/>
    </row>
    <row r="909" spans="1:10" s="1209" customFormat="1">
      <c r="A909" s="1182"/>
      <c r="B909" s="1200" t="s">
        <v>6585</v>
      </c>
      <c r="C909" s="1186">
        <v>5</v>
      </c>
      <c r="D909" s="1186" t="s">
        <v>3364</v>
      </c>
      <c r="E909" s="1186">
        <v>1</v>
      </c>
      <c r="F909" s="1177"/>
      <c r="G909" s="1177"/>
      <c r="H909" s="1177"/>
      <c r="I909" s="1178">
        <f t="shared" si="67"/>
        <v>5</v>
      </c>
      <c r="J909" s="1184"/>
    </row>
    <row r="910" spans="1:10" s="1209" customFormat="1">
      <c r="A910" s="1182"/>
      <c r="B910" s="1187" t="s">
        <v>6668</v>
      </c>
      <c r="C910" s="1186"/>
      <c r="D910" s="1186"/>
      <c r="E910" s="1186"/>
      <c r="F910" s="1177"/>
      <c r="G910" s="1177"/>
      <c r="H910" s="1177"/>
      <c r="I910" s="1178">
        <f t="shared" si="67"/>
        <v>0</v>
      </c>
      <c r="J910" s="1184"/>
    </row>
    <row r="911" spans="1:10" s="1209" customFormat="1">
      <c r="A911" s="1182"/>
      <c r="B911" s="1200" t="s">
        <v>6798</v>
      </c>
      <c r="C911" s="1186">
        <v>2</v>
      </c>
      <c r="D911" s="1186" t="s">
        <v>3364</v>
      </c>
      <c r="E911" s="1186">
        <v>1</v>
      </c>
      <c r="F911" s="1177"/>
      <c r="G911" s="1177"/>
      <c r="H911" s="1177"/>
      <c r="I911" s="1178">
        <f t="shared" si="67"/>
        <v>2</v>
      </c>
      <c r="J911" s="1184"/>
    </row>
    <row r="912" spans="1:10" s="1209" customFormat="1">
      <c r="A912" s="1182"/>
      <c r="B912" s="1200" t="s">
        <v>6799</v>
      </c>
      <c r="C912" s="1186">
        <v>2</v>
      </c>
      <c r="D912" s="1186" t="s">
        <v>3364</v>
      </c>
      <c r="E912" s="1186">
        <v>1</v>
      </c>
      <c r="F912" s="1177"/>
      <c r="G912" s="1177"/>
      <c r="H912" s="1177"/>
      <c r="I912" s="1178">
        <f t="shared" si="67"/>
        <v>2</v>
      </c>
      <c r="J912" s="1184"/>
    </row>
    <row r="913" spans="1:10" s="1209" customFormat="1">
      <c r="A913" s="1182"/>
      <c r="B913" s="1200" t="s">
        <v>6795</v>
      </c>
      <c r="C913" s="1186">
        <v>2</v>
      </c>
      <c r="D913" s="1186" t="s">
        <v>3364</v>
      </c>
      <c r="E913" s="1186">
        <v>1</v>
      </c>
      <c r="F913" s="1177"/>
      <c r="G913" s="1177"/>
      <c r="H913" s="1177"/>
      <c r="I913" s="1178">
        <f t="shared" si="67"/>
        <v>2</v>
      </c>
      <c r="J913" s="1184"/>
    </row>
    <row r="914" spans="1:10" s="1209" customFormat="1">
      <c r="A914" s="1182"/>
      <c r="B914" s="1200" t="s">
        <v>6800</v>
      </c>
      <c r="C914" s="1186">
        <v>12</v>
      </c>
      <c r="D914" s="1186" t="s">
        <v>3364</v>
      </c>
      <c r="E914" s="1186">
        <v>1</v>
      </c>
      <c r="F914" s="1177"/>
      <c r="G914" s="1177"/>
      <c r="H914" s="1177"/>
      <c r="I914" s="1178">
        <f t="shared" si="67"/>
        <v>12</v>
      </c>
      <c r="J914" s="1184"/>
    </row>
    <row r="915" spans="1:10" s="1209" customFormat="1">
      <c r="A915" s="1182"/>
      <c r="B915" s="1200" t="s">
        <v>6800</v>
      </c>
      <c r="C915" s="1186">
        <v>5</v>
      </c>
      <c r="D915" s="1186" t="s">
        <v>3364</v>
      </c>
      <c r="E915" s="1186">
        <v>1</v>
      </c>
      <c r="F915" s="1177"/>
      <c r="G915" s="1177"/>
      <c r="H915" s="1177"/>
      <c r="I915" s="1178">
        <f t="shared" si="67"/>
        <v>5</v>
      </c>
      <c r="J915" s="1184"/>
    </row>
    <row r="916" spans="1:10" s="1209" customFormat="1">
      <c r="A916" s="1182"/>
      <c r="B916" s="1187" t="s">
        <v>3691</v>
      </c>
      <c r="C916" s="1186"/>
      <c r="D916" s="1186"/>
      <c r="E916" s="1186"/>
      <c r="F916" s="1177"/>
      <c r="G916" s="1177"/>
      <c r="H916" s="1177"/>
      <c r="I916" s="1178">
        <f t="shared" si="67"/>
        <v>0</v>
      </c>
      <c r="J916" s="1184"/>
    </row>
    <row r="917" spans="1:10" s="1209" customFormat="1">
      <c r="A917" s="1182"/>
      <c r="B917" s="1200" t="s">
        <v>6801</v>
      </c>
      <c r="C917" s="1186">
        <v>2</v>
      </c>
      <c r="D917" s="1186" t="s">
        <v>3364</v>
      </c>
      <c r="E917" s="1186">
        <v>1</v>
      </c>
      <c r="F917" s="1177"/>
      <c r="G917" s="1177"/>
      <c r="H917" s="1177"/>
      <c r="I917" s="1178">
        <f t="shared" si="67"/>
        <v>2</v>
      </c>
      <c r="J917" s="1184"/>
    </row>
    <row r="918" spans="1:10" s="1209" customFormat="1">
      <c r="A918" s="1182"/>
      <c r="B918" s="1200" t="s">
        <v>6802</v>
      </c>
      <c r="C918" s="1186">
        <v>4</v>
      </c>
      <c r="D918" s="1186" t="s">
        <v>3364</v>
      </c>
      <c r="E918" s="1186">
        <v>1</v>
      </c>
      <c r="F918" s="1177"/>
      <c r="G918" s="1177"/>
      <c r="H918" s="1177"/>
      <c r="I918" s="1178">
        <f t="shared" si="67"/>
        <v>4</v>
      </c>
      <c r="J918" s="1184"/>
    </row>
    <row r="919" spans="1:10" s="1209" customFormat="1">
      <c r="A919" s="1182"/>
      <c r="B919" s="1200" t="s">
        <v>6604</v>
      </c>
      <c r="C919" s="1186">
        <v>2</v>
      </c>
      <c r="D919" s="1186" t="s">
        <v>3364</v>
      </c>
      <c r="E919" s="1186">
        <v>1</v>
      </c>
      <c r="F919" s="1177"/>
      <c r="G919" s="1177"/>
      <c r="H919" s="1177"/>
      <c r="I919" s="1178">
        <f t="shared" si="67"/>
        <v>2</v>
      </c>
      <c r="J919" s="1184"/>
    </row>
    <row r="920" spans="1:10" s="1209" customFormat="1">
      <c r="A920" s="1182"/>
      <c r="B920" s="1200" t="s">
        <v>6803</v>
      </c>
      <c r="C920" s="1186">
        <v>2</v>
      </c>
      <c r="D920" s="1186" t="s">
        <v>3364</v>
      </c>
      <c r="E920" s="1186">
        <v>1</v>
      </c>
      <c r="F920" s="1177"/>
      <c r="G920" s="1177"/>
      <c r="H920" s="1177"/>
      <c r="I920" s="1178">
        <f t="shared" si="67"/>
        <v>2</v>
      </c>
      <c r="J920" s="1184"/>
    </row>
    <row r="921" spans="1:10" s="1209" customFormat="1">
      <c r="A921" s="1182"/>
      <c r="B921" s="1200" t="s">
        <v>6800</v>
      </c>
      <c r="C921" s="1186">
        <v>6</v>
      </c>
      <c r="D921" s="1186" t="s">
        <v>3364</v>
      </c>
      <c r="E921" s="1186">
        <v>1</v>
      </c>
      <c r="F921" s="1177"/>
      <c r="G921" s="1177"/>
      <c r="H921" s="1177"/>
      <c r="I921" s="1178">
        <f t="shared" si="67"/>
        <v>6</v>
      </c>
      <c r="J921" s="1184"/>
    </row>
    <row r="922" spans="1:10" s="1209" customFormat="1">
      <c r="A922" s="1182"/>
      <c r="B922" s="1200" t="s">
        <v>6586</v>
      </c>
      <c r="C922" s="1186">
        <v>1</v>
      </c>
      <c r="D922" s="1186" t="s">
        <v>3364</v>
      </c>
      <c r="E922" s="1186">
        <v>1</v>
      </c>
      <c r="F922" s="1177"/>
      <c r="G922" s="1177"/>
      <c r="H922" s="1177"/>
      <c r="I922" s="1178">
        <f t="shared" si="67"/>
        <v>1</v>
      </c>
      <c r="J922" s="1184"/>
    </row>
    <row r="923" spans="1:10" s="1209" customFormat="1">
      <c r="A923" s="1182"/>
      <c r="B923" s="1200" t="s">
        <v>6804</v>
      </c>
      <c r="C923" s="1186">
        <v>3</v>
      </c>
      <c r="D923" s="1186" t="s">
        <v>3364</v>
      </c>
      <c r="E923" s="1186">
        <v>2</v>
      </c>
      <c r="F923" s="1177"/>
      <c r="G923" s="1177"/>
      <c r="H923" s="1177"/>
      <c r="I923" s="1178">
        <f t="shared" si="67"/>
        <v>6</v>
      </c>
      <c r="J923" s="1184"/>
    </row>
    <row r="924" spans="1:10" s="1209" customFormat="1">
      <c r="A924" s="1182"/>
      <c r="B924" s="1200"/>
      <c r="C924" s="1186"/>
      <c r="D924" s="1186"/>
      <c r="E924" s="1186"/>
      <c r="F924" s="1177"/>
      <c r="G924" s="1177"/>
      <c r="H924" s="1177"/>
      <c r="I924" s="1178">
        <f>SUM(I901:I923)</f>
        <v>88</v>
      </c>
      <c r="J924" s="1184"/>
    </row>
    <row r="925" spans="1:10" s="1209" customFormat="1">
      <c r="A925" s="1185"/>
      <c r="B925" s="1199"/>
      <c r="C925" s="1186"/>
      <c r="D925" s="1186"/>
      <c r="E925" s="1186"/>
      <c r="F925" s="1177"/>
      <c r="G925" s="1177"/>
      <c r="H925" s="1177"/>
      <c r="I925" s="1183">
        <f>CEILING(I924,0.1)</f>
        <v>88</v>
      </c>
      <c r="J925" s="1184" t="s">
        <v>3471</v>
      </c>
    </row>
    <row r="926" spans="1:10" s="1209" customFormat="1" ht="78.75">
      <c r="A926" s="1182">
        <v>48</v>
      </c>
      <c r="B926" s="1200" t="s">
        <v>3519</v>
      </c>
      <c r="C926" s="1186"/>
      <c r="D926" s="1186"/>
      <c r="E926" s="1186"/>
      <c r="F926" s="1177"/>
      <c r="G926" s="1177"/>
      <c r="H926" s="1177"/>
      <c r="I926" s="1178"/>
      <c r="J926" s="1184"/>
    </row>
    <row r="927" spans="1:10" s="1209" customFormat="1">
      <c r="A927" s="1185"/>
      <c r="B927" s="1202" t="s">
        <v>3486</v>
      </c>
      <c r="C927" s="1186"/>
      <c r="D927" s="1186"/>
      <c r="E927" s="1186"/>
      <c r="F927" s="1177"/>
      <c r="G927" s="1177"/>
      <c r="H927" s="1177"/>
      <c r="I927" s="1178"/>
      <c r="J927" s="1184"/>
    </row>
    <row r="928" spans="1:10" s="1209" customFormat="1">
      <c r="A928" s="1182"/>
      <c r="B928" s="1187" t="s">
        <v>6790</v>
      </c>
      <c r="C928" s="1186"/>
      <c r="D928" s="1186"/>
      <c r="E928" s="1186"/>
      <c r="F928" s="1177"/>
      <c r="G928" s="1177"/>
      <c r="H928" s="1177"/>
      <c r="I928" s="1178"/>
      <c r="J928" s="1184"/>
    </row>
    <row r="929" spans="1:10" s="1209" customFormat="1">
      <c r="A929" s="1182"/>
      <c r="B929" s="1200" t="s">
        <v>6620</v>
      </c>
      <c r="C929" s="1186">
        <v>2</v>
      </c>
      <c r="D929" s="1186" t="s">
        <v>3364</v>
      </c>
      <c r="E929" s="1186">
        <v>1</v>
      </c>
      <c r="F929" s="1177"/>
      <c r="G929" s="1177"/>
      <c r="H929" s="1177"/>
      <c r="I929" s="1178">
        <f t="shared" ref="I929:I945" si="68">PRODUCT(C929:H929)</f>
        <v>2</v>
      </c>
      <c r="J929" s="1184"/>
    </row>
    <row r="930" spans="1:10" s="1209" customFormat="1">
      <c r="A930" s="1182"/>
      <c r="B930" s="1200" t="s">
        <v>6792</v>
      </c>
      <c r="C930" s="1186">
        <v>2</v>
      </c>
      <c r="D930" s="1186" t="s">
        <v>3364</v>
      </c>
      <c r="E930" s="1186">
        <v>1</v>
      </c>
      <c r="F930" s="1177"/>
      <c r="G930" s="1177"/>
      <c r="H930" s="1177"/>
      <c r="I930" s="1178">
        <f t="shared" si="68"/>
        <v>2</v>
      </c>
      <c r="J930" s="1184"/>
    </row>
    <row r="931" spans="1:10" s="1209" customFormat="1">
      <c r="A931" s="1182"/>
      <c r="B931" s="1187" t="s">
        <v>6793</v>
      </c>
      <c r="C931" s="1186"/>
      <c r="D931" s="1186"/>
      <c r="E931" s="1186"/>
      <c r="F931" s="1177"/>
      <c r="G931" s="1177"/>
      <c r="H931" s="1177"/>
      <c r="I931" s="1178">
        <f t="shared" si="68"/>
        <v>0</v>
      </c>
      <c r="J931" s="1184"/>
    </row>
    <row r="932" spans="1:10" s="1209" customFormat="1">
      <c r="A932" s="1182"/>
      <c r="B932" s="1200" t="s">
        <v>6597</v>
      </c>
      <c r="C932" s="1186">
        <v>5</v>
      </c>
      <c r="D932" s="1186" t="s">
        <v>3364</v>
      </c>
      <c r="E932" s="1186">
        <v>2</v>
      </c>
      <c r="F932" s="1177"/>
      <c r="G932" s="1177"/>
      <c r="H932" s="1177"/>
      <c r="I932" s="1178">
        <f t="shared" si="68"/>
        <v>10</v>
      </c>
      <c r="J932" s="1184"/>
    </row>
    <row r="933" spans="1:10" s="1209" customFormat="1">
      <c r="A933" s="1182"/>
      <c r="B933" s="1200" t="s">
        <v>6794</v>
      </c>
      <c r="C933" s="1186">
        <v>12</v>
      </c>
      <c r="D933" s="1186" t="s">
        <v>3364</v>
      </c>
      <c r="E933" s="1186">
        <v>2</v>
      </c>
      <c r="F933" s="1177"/>
      <c r="G933" s="1177"/>
      <c r="H933" s="1177"/>
      <c r="I933" s="1178">
        <f t="shared" si="68"/>
        <v>24</v>
      </c>
      <c r="J933" s="1184"/>
    </row>
    <row r="934" spans="1:10" s="1209" customFormat="1">
      <c r="A934" s="1182"/>
      <c r="B934" s="1200" t="s">
        <v>6795</v>
      </c>
      <c r="C934" s="1186">
        <v>2</v>
      </c>
      <c r="D934" s="1186" t="s">
        <v>3364</v>
      </c>
      <c r="E934" s="1186">
        <v>1</v>
      </c>
      <c r="F934" s="1177"/>
      <c r="G934" s="1177"/>
      <c r="H934" s="1177"/>
      <c r="I934" s="1178">
        <f t="shared" si="68"/>
        <v>2</v>
      </c>
      <c r="J934" s="1184"/>
    </row>
    <row r="935" spans="1:10" s="1209" customFormat="1">
      <c r="A935" s="1182"/>
      <c r="B935" s="1200" t="s">
        <v>6796</v>
      </c>
      <c r="C935" s="1186">
        <v>2</v>
      </c>
      <c r="D935" s="1186" t="s">
        <v>3364</v>
      </c>
      <c r="E935" s="1186">
        <v>1</v>
      </c>
      <c r="F935" s="1177"/>
      <c r="G935" s="1177"/>
      <c r="H935" s="1177"/>
      <c r="I935" s="1178">
        <f t="shared" si="68"/>
        <v>2</v>
      </c>
      <c r="J935" s="1184"/>
    </row>
    <row r="936" spans="1:10" s="1209" customFormat="1">
      <c r="A936" s="1182"/>
      <c r="B936" s="1200" t="s">
        <v>6585</v>
      </c>
      <c r="C936" s="1186">
        <v>5</v>
      </c>
      <c r="D936" s="1186" t="s">
        <v>3364</v>
      </c>
      <c r="E936" s="1186">
        <v>1</v>
      </c>
      <c r="F936" s="1177"/>
      <c r="G936" s="1177"/>
      <c r="H936" s="1177"/>
      <c r="I936" s="1178">
        <f t="shared" si="68"/>
        <v>5</v>
      </c>
      <c r="J936" s="1184"/>
    </row>
    <row r="937" spans="1:10" s="1209" customFormat="1">
      <c r="A937" s="1182"/>
      <c r="B937" s="1187" t="s">
        <v>6668</v>
      </c>
      <c r="C937" s="1186"/>
      <c r="D937" s="1186"/>
      <c r="E937" s="1186"/>
      <c r="F937" s="1177"/>
      <c r="G937" s="1177"/>
      <c r="H937" s="1177"/>
      <c r="I937" s="1178">
        <f t="shared" si="68"/>
        <v>0</v>
      </c>
      <c r="J937" s="1184"/>
    </row>
    <row r="938" spans="1:10" s="1209" customFormat="1">
      <c r="A938" s="1182"/>
      <c r="B938" s="1200" t="s">
        <v>6798</v>
      </c>
      <c r="C938" s="1186">
        <v>2</v>
      </c>
      <c r="D938" s="1186" t="s">
        <v>3364</v>
      </c>
      <c r="E938" s="1186">
        <v>1</v>
      </c>
      <c r="F938" s="1177"/>
      <c r="G938" s="1177"/>
      <c r="H938" s="1177"/>
      <c r="I938" s="1178">
        <f t="shared" si="68"/>
        <v>2</v>
      </c>
      <c r="J938" s="1184"/>
    </row>
    <row r="939" spans="1:10" s="1209" customFormat="1">
      <c r="A939" s="1182"/>
      <c r="B939" s="1200" t="s">
        <v>6799</v>
      </c>
      <c r="C939" s="1186">
        <v>2</v>
      </c>
      <c r="D939" s="1186" t="s">
        <v>3364</v>
      </c>
      <c r="E939" s="1186">
        <v>1</v>
      </c>
      <c r="F939" s="1177"/>
      <c r="G939" s="1177"/>
      <c r="H939" s="1177"/>
      <c r="I939" s="1178">
        <f t="shared" si="68"/>
        <v>2</v>
      </c>
      <c r="J939" s="1184"/>
    </row>
    <row r="940" spans="1:10" s="1209" customFormat="1">
      <c r="A940" s="1182"/>
      <c r="B940" s="1200" t="s">
        <v>6795</v>
      </c>
      <c r="C940" s="1186">
        <v>2</v>
      </c>
      <c r="D940" s="1186" t="s">
        <v>3364</v>
      </c>
      <c r="E940" s="1186">
        <v>1</v>
      </c>
      <c r="F940" s="1177"/>
      <c r="G940" s="1177"/>
      <c r="H940" s="1177"/>
      <c r="I940" s="1178">
        <f t="shared" si="68"/>
        <v>2</v>
      </c>
      <c r="J940" s="1184"/>
    </row>
    <row r="941" spans="1:10" s="1209" customFormat="1">
      <c r="A941" s="1182"/>
      <c r="B941" s="1200" t="s">
        <v>6800</v>
      </c>
      <c r="C941" s="1186">
        <v>5</v>
      </c>
      <c r="D941" s="1186" t="s">
        <v>3364</v>
      </c>
      <c r="E941" s="1186">
        <v>1</v>
      </c>
      <c r="F941" s="1177"/>
      <c r="G941" s="1177"/>
      <c r="H941" s="1177"/>
      <c r="I941" s="1178">
        <f t="shared" si="68"/>
        <v>5</v>
      </c>
      <c r="J941" s="1184"/>
    </row>
    <row r="942" spans="1:10" s="1209" customFormat="1">
      <c r="A942" s="1182"/>
      <c r="B942" s="1187" t="s">
        <v>3691</v>
      </c>
      <c r="C942" s="1186"/>
      <c r="D942" s="1186"/>
      <c r="E942" s="1186"/>
      <c r="F942" s="1177"/>
      <c r="G942" s="1177"/>
      <c r="H942" s="1177"/>
      <c r="I942" s="1178">
        <f t="shared" si="68"/>
        <v>0</v>
      </c>
      <c r="J942" s="1184"/>
    </row>
    <row r="943" spans="1:10" s="1209" customFormat="1">
      <c r="A943" s="1182"/>
      <c r="B943" s="1200" t="s">
        <v>6802</v>
      </c>
      <c r="C943" s="1186">
        <v>4</v>
      </c>
      <c r="D943" s="1186" t="s">
        <v>3364</v>
      </c>
      <c r="E943" s="1186">
        <v>1</v>
      </c>
      <c r="F943" s="1177"/>
      <c r="G943" s="1177"/>
      <c r="H943" s="1177"/>
      <c r="I943" s="1178">
        <f t="shared" si="68"/>
        <v>4</v>
      </c>
      <c r="J943" s="1184"/>
    </row>
    <row r="944" spans="1:10" s="1209" customFormat="1">
      <c r="A944" s="1182"/>
      <c r="B944" s="1200" t="s">
        <v>6803</v>
      </c>
      <c r="C944" s="1186">
        <v>2</v>
      </c>
      <c r="D944" s="1186" t="s">
        <v>3364</v>
      </c>
      <c r="E944" s="1186">
        <v>1</v>
      </c>
      <c r="F944" s="1177"/>
      <c r="G944" s="1177"/>
      <c r="H944" s="1177"/>
      <c r="I944" s="1178">
        <f t="shared" si="68"/>
        <v>2</v>
      </c>
      <c r="J944" s="1184"/>
    </row>
    <row r="945" spans="1:10" s="1209" customFormat="1">
      <c r="A945" s="1182"/>
      <c r="B945" s="1200" t="s">
        <v>6804</v>
      </c>
      <c r="C945" s="1186">
        <v>3</v>
      </c>
      <c r="D945" s="1186" t="s">
        <v>3364</v>
      </c>
      <c r="E945" s="1186">
        <v>2</v>
      </c>
      <c r="F945" s="1177"/>
      <c r="G945" s="1177"/>
      <c r="H945" s="1177"/>
      <c r="I945" s="1178">
        <f t="shared" si="68"/>
        <v>6</v>
      </c>
      <c r="J945" s="1184"/>
    </row>
    <row r="946" spans="1:10" s="1209" customFormat="1">
      <c r="A946" s="1185"/>
      <c r="B946" s="1199"/>
      <c r="C946" s="1186"/>
      <c r="D946" s="1186"/>
      <c r="E946" s="1186"/>
      <c r="F946" s="1177"/>
      <c r="G946" s="1177"/>
      <c r="H946" s="1177"/>
      <c r="I946" s="1278">
        <f>SUM(I929:I945)</f>
        <v>70</v>
      </c>
      <c r="J946" s="1184"/>
    </row>
    <row r="947" spans="1:10" s="1209" customFormat="1">
      <c r="A947" s="1185"/>
      <c r="B947" s="1199"/>
      <c r="C947" s="1186"/>
      <c r="D947" s="1186"/>
      <c r="E947" s="1186"/>
      <c r="F947" s="1177"/>
      <c r="G947" s="1177"/>
      <c r="H947" s="1177"/>
      <c r="I947" s="1183">
        <f>CEILING(I946,0.1)</f>
        <v>70</v>
      </c>
      <c r="J947" s="1184" t="s">
        <v>3471</v>
      </c>
    </row>
    <row r="948" spans="1:10" s="1209" customFormat="1" ht="78.75">
      <c r="A948" s="1182">
        <v>49</v>
      </c>
      <c r="B948" s="1200" t="s">
        <v>3520</v>
      </c>
      <c r="C948" s="1186"/>
      <c r="D948" s="1186"/>
      <c r="E948" s="1186"/>
      <c r="F948" s="1177"/>
      <c r="G948" s="1177"/>
      <c r="H948" s="1177"/>
      <c r="I948" s="1178"/>
      <c r="J948" s="1184"/>
    </row>
    <row r="949" spans="1:10" s="1209" customFormat="1">
      <c r="A949" s="1185"/>
      <c r="B949" s="1298" t="s">
        <v>3414</v>
      </c>
      <c r="C949" s="1186">
        <v>2</v>
      </c>
      <c r="D949" s="1186" t="s">
        <v>3364</v>
      </c>
      <c r="E949" s="1186">
        <v>49</v>
      </c>
      <c r="F949" s="1177"/>
      <c r="G949" s="1177"/>
      <c r="H949" s="1177"/>
      <c r="I949" s="1278">
        <f>PRODUCT(C949:H949)</f>
        <v>98</v>
      </c>
      <c r="J949" s="1184"/>
    </row>
    <row r="950" spans="1:10" s="1209" customFormat="1">
      <c r="A950" s="1185"/>
      <c r="B950" s="1298" t="s">
        <v>3497</v>
      </c>
      <c r="C950" s="1186">
        <v>2</v>
      </c>
      <c r="D950" s="1186" t="s">
        <v>3364</v>
      </c>
      <c r="E950" s="1186">
        <v>6</v>
      </c>
      <c r="F950" s="1177"/>
      <c r="G950" s="1177"/>
      <c r="H950" s="1177"/>
      <c r="I950" s="1278">
        <f>PRODUCT(C950:H950)</f>
        <v>12</v>
      </c>
      <c r="J950" s="1184"/>
    </row>
    <row r="951" spans="1:10" s="1209" customFormat="1">
      <c r="A951" s="1185"/>
      <c r="B951" s="1298" t="s">
        <v>6777</v>
      </c>
      <c r="C951" s="1186">
        <v>2</v>
      </c>
      <c r="D951" s="1186" t="s">
        <v>3364</v>
      </c>
      <c r="E951" s="1186">
        <v>2</v>
      </c>
      <c r="F951" s="1177"/>
      <c r="G951" s="1177"/>
      <c r="H951" s="1177"/>
      <c r="I951" s="1278">
        <f>PRODUCT(C951:H951)</f>
        <v>4</v>
      </c>
      <c r="J951" s="1184"/>
    </row>
    <row r="952" spans="1:10" s="1209" customFormat="1">
      <c r="A952" s="1185"/>
      <c r="B952" s="1199"/>
      <c r="C952" s="1186"/>
      <c r="D952" s="1186"/>
      <c r="E952" s="1186"/>
      <c r="F952" s="1177"/>
      <c r="G952" s="1177"/>
      <c r="H952" s="1177"/>
      <c r="I952" s="1183">
        <f>SUM(I949:I951)</f>
        <v>114</v>
      </c>
      <c r="J952" s="1184" t="s">
        <v>3471</v>
      </c>
    </row>
    <row r="953" spans="1:10" s="1209" customFormat="1" ht="31.5" hidden="1">
      <c r="A953" s="1182">
        <v>50.2</v>
      </c>
      <c r="B953" s="1200" t="s">
        <v>3521</v>
      </c>
      <c r="C953" s="1186"/>
      <c r="D953" s="1186"/>
      <c r="E953" s="1186"/>
      <c r="F953" s="1177"/>
      <c r="G953" s="1177"/>
      <c r="H953" s="1177"/>
      <c r="I953" s="1181"/>
      <c r="J953" s="1184"/>
    </row>
    <row r="954" spans="1:10" s="1209" customFormat="1" hidden="1">
      <c r="A954" s="1182"/>
      <c r="B954" s="1200" t="s">
        <v>3522</v>
      </c>
      <c r="C954" s="1186"/>
      <c r="D954" s="1186"/>
      <c r="E954" s="1186"/>
      <c r="F954" s="1177"/>
      <c r="G954" s="1177"/>
      <c r="H954" s="1177"/>
      <c r="I954" s="1278"/>
      <c r="J954" s="1184" t="s">
        <v>13</v>
      </c>
    </row>
    <row r="955" spans="1:10" s="1209" customFormat="1" ht="94.5">
      <c r="A955" s="1182">
        <v>50.3</v>
      </c>
      <c r="B955" s="1252" t="s">
        <v>3523</v>
      </c>
      <c r="C955" s="1268"/>
      <c r="D955" s="1268"/>
      <c r="E955" s="1268"/>
      <c r="F955" s="1269"/>
      <c r="G955" s="1269"/>
      <c r="H955" s="1269"/>
      <c r="I955" s="1278"/>
      <c r="J955" s="1189"/>
    </row>
    <row r="956" spans="1:10" s="1209" customFormat="1">
      <c r="A956" s="1182"/>
      <c r="B956" s="1201" t="s">
        <v>3524</v>
      </c>
      <c r="C956" s="1268">
        <v>1</v>
      </c>
      <c r="D956" s="1268" t="s">
        <v>3364</v>
      </c>
      <c r="E956" s="1268">
        <v>10</v>
      </c>
      <c r="F956" s="1269"/>
      <c r="G956" s="1269"/>
      <c r="H956" s="1269"/>
      <c r="I956" s="1183">
        <f t="shared" ref="I956:I961" si="69">PRODUCT(C956:H956)</f>
        <v>10</v>
      </c>
      <c r="J956" s="1189" t="s">
        <v>3471</v>
      </c>
    </row>
    <row r="957" spans="1:10" s="1209" customFormat="1" ht="126">
      <c r="A957" s="1182">
        <v>50.4</v>
      </c>
      <c r="B957" s="1252" t="s">
        <v>3525</v>
      </c>
      <c r="C957" s="1268"/>
      <c r="D957" s="1268"/>
      <c r="E957" s="1268"/>
      <c r="F957" s="1269"/>
      <c r="G957" s="1269"/>
      <c r="H957" s="1269"/>
      <c r="I957" s="1278"/>
      <c r="J957" s="1189"/>
    </row>
    <row r="958" spans="1:10" s="1209" customFormat="1">
      <c r="A958" s="1182"/>
      <c r="B958" s="1201" t="s">
        <v>3524</v>
      </c>
      <c r="C958" s="1268">
        <v>1</v>
      </c>
      <c r="D958" s="1268" t="s">
        <v>3364</v>
      </c>
      <c r="E958" s="1268">
        <v>10</v>
      </c>
      <c r="F958" s="1269"/>
      <c r="G958" s="1269"/>
      <c r="H958" s="1269"/>
      <c r="I958" s="1278">
        <f t="shared" si="69"/>
        <v>10</v>
      </c>
      <c r="J958" s="1189"/>
    </row>
    <row r="959" spans="1:10" s="1209" customFormat="1">
      <c r="A959" s="1182"/>
      <c r="B959" s="1201"/>
      <c r="C959" s="1268"/>
      <c r="D959" s="1268"/>
      <c r="E959" s="1268"/>
      <c r="F959" s="1269"/>
      <c r="G959" s="1188" t="s">
        <v>104</v>
      </c>
      <c r="H959" s="1269"/>
      <c r="I959" s="1183">
        <f>I958</f>
        <v>10</v>
      </c>
      <c r="J959" s="1189" t="s">
        <v>3471</v>
      </c>
    </row>
    <row r="960" spans="1:10" s="1209" customFormat="1" ht="47.25">
      <c r="A960" s="1182">
        <v>50.5</v>
      </c>
      <c r="B960" s="1200" t="s">
        <v>3526</v>
      </c>
      <c r="C960" s="1268"/>
      <c r="D960" s="1268"/>
      <c r="E960" s="1268"/>
      <c r="F960" s="1269"/>
      <c r="G960" s="1269"/>
      <c r="H960" s="1269"/>
      <c r="I960" s="1278"/>
      <c r="J960" s="1189"/>
    </row>
    <row r="961" spans="1:10" s="1209" customFormat="1">
      <c r="A961" s="1182"/>
      <c r="B961" s="1201"/>
      <c r="C961" s="1268">
        <v>1</v>
      </c>
      <c r="D961" s="1268" t="s">
        <v>3364</v>
      </c>
      <c r="E961" s="1268">
        <v>1</v>
      </c>
      <c r="F961" s="1269"/>
      <c r="G961" s="1269"/>
      <c r="H961" s="1269"/>
      <c r="I961" s="1278">
        <f t="shared" si="69"/>
        <v>1</v>
      </c>
      <c r="J961" s="1189"/>
    </row>
    <row r="962" spans="1:10" s="1209" customFormat="1">
      <c r="A962" s="1182"/>
      <c r="B962" s="1201"/>
      <c r="C962" s="1268"/>
      <c r="D962" s="1268"/>
      <c r="E962" s="1268"/>
      <c r="F962" s="1269"/>
      <c r="G962" s="1188" t="s">
        <v>104</v>
      </c>
      <c r="H962" s="1269"/>
      <c r="I962" s="1183">
        <f>I961</f>
        <v>1</v>
      </c>
      <c r="J962" s="1299" t="s">
        <v>727</v>
      </c>
    </row>
    <row r="963" spans="1:10" s="1209" customFormat="1" ht="236.25">
      <c r="A963" s="1182">
        <v>52</v>
      </c>
      <c r="B963" s="1252" t="s">
        <v>3527</v>
      </c>
      <c r="C963" s="1268"/>
      <c r="D963" s="1268"/>
      <c r="E963" s="1268"/>
      <c r="F963" s="1269"/>
      <c r="G963" s="1269"/>
      <c r="H963" s="1269"/>
      <c r="I963" s="1278"/>
      <c r="J963" s="1189"/>
    </row>
    <row r="964" spans="1:10" s="1209" customFormat="1">
      <c r="A964" s="1182"/>
      <c r="B964" s="1203" t="s">
        <v>6805</v>
      </c>
      <c r="C964" s="1268"/>
      <c r="D964" s="1268"/>
      <c r="E964" s="1268"/>
      <c r="F964" s="1269"/>
      <c r="G964" s="1269"/>
      <c r="H964" s="1269"/>
      <c r="I964" s="1278"/>
      <c r="J964" s="1189"/>
    </row>
    <row r="965" spans="1:10" s="1209" customFormat="1">
      <c r="A965" s="1185"/>
      <c r="B965" s="1201" t="s">
        <v>6780</v>
      </c>
      <c r="C965" s="1268">
        <v>1</v>
      </c>
      <c r="D965" s="1268" t="s">
        <v>3364</v>
      </c>
      <c r="E965" s="1268">
        <v>1</v>
      </c>
      <c r="F965" s="1269">
        <f>0.75+9.9+1+2+3.2+6.3</f>
        <v>23.15</v>
      </c>
      <c r="G965" s="1269"/>
      <c r="H965" s="1269"/>
      <c r="I965" s="1178">
        <f t="shared" ref="I965:I970" si="70">PRODUCT(C965:H965)</f>
        <v>23.15</v>
      </c>
      <c r="J965" s="1291"/>
    </row>
    <row r="966" spans="1:10" s="1209" customFormat="1">
      <c r="A966" s="1185"/>
      <c r="B966" s="1201" t="s">
        <v>6781</v>
      </c>
      <c r="C966" s="1268">
        <v>3</v>
      </c>
      <c r="D966" s="1268" t="s">
        <v>3364</v>
      </c>
      <c r="E966" s="1268">
        <v>1</v>
      </c>
      <c r="F966" s="1269">
        <v>73.256</v>
      </c>
      <c r="G966" s="1269"/>
      <c r="H966" s="1269"/>
      <c r="I966" s="1178">
        <f t="shared" si="70"/>
        <v>219.77</v>
      </c>
      <c r="J966" s="1291"/>
    </row>
    <row r="967" spans="1:10" s="1209" customFormat="1">
      <c r="A967" s="1185"/>
      <c r="B967" s="1201" t="s">
        <v>6782</v>
      </c>
      <c r="C967" s="1268">
        <v>7</v>
      </c>
      <c r="D967" s="1268" t="s">
        <v>3364</v>
      </c>
      <c r="E967" s="1268">
        <v>1</v>
      </c>
      <c r="F967" s="1269">
        <v>33.08</v>
      </c>
      <c r="G967" s="1269"/>
      <c r="H967" s="1269"/>
      <c r="I967" s="1178">
        <f t="shared" si="70"/>
        <v>231.56</v>
      </c>
      <c r="J967" s="1291"/>
    </row>
    <row r="968" spans="1:10" s="1209" customFormat="1">
      <c r="A968" s="1185"/>
      <c r="B968" s="1201" t="s">
        <v>6783</v>
      </c>
      <c r="C968" s="1268">
        <v>12</v>
      </c>
      <c r="D968" s="1268" t="s">
        <v>3364</v>
      </c>
      <c r="E968" s="1268">
        <v>1</v>
      </c>
      <c r="F968" s="1269">
        <v>26.652000000000001</v>
      </c>
      <c r="G968" s="1269"/>
      <c r="H968" s="1269"/>
      <c r="I968" s="1178">
        <f t="shared" si="70"/>
        <v>319.82</v>
      </c>
      <c r="J968" s="1291"/>
    </row>
    <row r="969" spans="1:10" s="1209" customFormat="1">
      <c r="A969" s="1185"/>
      <c r="B969" s="1201" t="s">
        <v>6806</v>
      </c>
      <c r="C969" s="1268">
        <v>1</v>
      </c>
      <c r="D969" s="1268" t="s">
        <v>3364</v>
      </c>
      <c r="E969" s="1268">
        <v>1</v>
      </c>
      <c r="F969" s="1269">
        <v>11</v>
      </c>
      <c r="G969" s="1269"/>
      <c r="H969" s="1269"/>
      <c r="I969" s="1178">
        <f t="shared" si="70"/>
        <v>11</v>
      </c>
      <c r="J969" s="1291"/>
    </row>
    <row r="970" spans="1:10" s="1209" customFormat="1">
      <c r="A970" s="1182"/>
      <c r="B970" s="1201" t="s">
        <v>6807</v>
      </c>
      <c r="C970" s="1268">
        <v>1</v>
      </c>
      <c r="D970" s="1268" t="s">
        <v>3364</v>
      </c>
      <c r="E970" s="1268">
        <v>1</v>
      </c>
      <c r="F970" s="1269">
        <v>1.5</v>
      </c>
      <c r="G970" s="1269"/>
      <c r="H970" s="1269"/>
      <c r="I970" s="1278">
        <f t="shared" si="70"/>
        <v>1.5</v>
      </c>
      <c r="J970" s="1189"/>
    </row>
    <row r="971" spans="1:10" s="1209" customFormat="1">
      <c r="A971" s="1182"/>
      <c r="B971" s="1201" t="s">
        <v>6808</v>
      </c>
      <c r="C971" s="1268">
        <v>1</v>
      </c>
      <c r="D971" s="1268" t="s">
        <v>3364</v>
      </c>
      <c r="E971" s="1268">
        <v>1</v>
      </c>
      <c r="F971" s="1269">
        <v>1</v>
      </c>
      <c r="G971" s="1269"/>
      <c r="H971" s="1269"/>
      <c r="I971" s="1278">
        <f>PRODUCT(C971:H971)</f>
        <v>1</v>
      </c>
      <c r="J971" s="1189"/>
    </row>
    <row r="972" spans="1:10" s="1209" customFormat="1">
      <c r="A972" s="1182"/>
      <c r="B972" s="1201"/>
      <c r="C972" s="1268"/>
      <c r="D972" s="1268"/>
      <c r="E972" s="1268"/>
      <c r="F972" s="1269"/>
      <c r="G972" s="1188" t="s">
        <v>104</v>
      </c>
      <c r="H972" s="1269"/>
      <c r="I972" s="1183">
        <f>SUM(I964:I971)</f>
        <v>807.8</v>
      </c>
      <c r="J972" s="1189"/>
    </row>
    <row r="973" spans="1:10" s="1209" customFormat="1">
      <c r="A973" s="1182"/>
      <c r="B973" s="1201"/>
      <c r="C973" s="1268"/>
      <c r="D973" s="1268"/>
      <c r="E973" s="1268"/>
      <c r="F973" s="1269"/>
      <c r="G973" s="1188"/>
      <c r="H973" s="1269"/>
      <c r="I973" s="1183">
        <f>CEILING(I972,0.1)</f>
        <v>807.8</v>
      </c>
      <c r="J973" s="1189" t="s">
        <v>13</v>
      </c>
    </row>
    <row r="974" spans="1:10" s="1209" customFormat="1">
      <c r="A974" s="1185"/>
      <c r="B974" s="1203" t="s">
        <v>6809</v>
      </c>
      <c r="C974" s="1186"/>
      <c r="D974" s="1186"/>
      <c r="E974" s="1186"/>
      <c r="F974" s="1177"/>
      <c r="G974" s="1177"/>
      <c r="H974" s="1177"/>
      <c r="I974" s="1178"/>
      <c r="J974" s="1184"/>
    </row>
    <row r="975" spans="1:10" s="1209" customFormat="1">
      <c r="A975" s="1185"/>
      <c r="B975" s="1201" t="s">
        <v>6784</v>
      </c>
      <c r="C975" s="1268">
        <v>2</v>
      </c>
      <c r="D975" s="1268" t="s">
        <v>3364</v>
      </c>
      <c r="E975" s="1268">
        <v>2</v>
      </c>
      <c r="F975" s="1269">
        <v>9.3800000000000008</v>
      </c>
      <c r="G975" s="1269">
        <f>3.14*0.025</f>
        <v>7.9000000000000001E-2</v>
      </c>
      <c r="H975" s="1269"/>
      <c r="I975" s="1178">
        <f>PRODUCT(C975:H975)</f>
        <v>2.96</v>
      </c>
      <c r="J975" s="1291"/>
    </row>
    <row r="976" spans="1:10" s="1209" customFormat="1">
      <c r="A976" s="1185"/>
      <c r="B976" s="1201" t="s">
        <v>6785</v>
      </c>
      <c r="C976" s="1268">
        <v>14</v>
      </c>
      <c r="D976" s="1268" t="s">
        <v>3364</v>
      </c>
      <c r="E976" s="1268">
        <v>2</v>
      </c>
      <c r="F976" s="1269">
        <v>26.34</v>
      </c>
      <c r="G976" s="1269">
        <f>3.14*0.025</f>
        <v>7.9000000000000001E-2</v>
      </c>
      <c r="H976" s="1269"/>
      <c r="I976" s="1178">
        <f>PRODUCT(C976:H976)</f>
        <v>58.26</v>
      </c>
      <c r="J976" s="1291"/>
    </row>
    <row r="977" spans="1:12" s="1209" customFormat="1">
      <c r="A977" s="1185"/>
      <c r="B977" s="1201" t="s">
        <v>6785</v>
      </c>
      <c r="C977" s="1268">
        <v>14</v>
      </c>
      <c r="D977" s="1268" t="s">
        <v>3364</v>
      </c>
      <c r="E977" s="1268">
        <v>2</v>
      </c>
      <c r="F977" s="1269">
        <v>23.65</v>
      </c>
      <c r="G977" s="1269">
        <f>3.14*0.025</f>
        <v>7.9000000000000001E-2</v>
      </c>
      <c r="H977" s="1269"/>
      <c r="I977" s="1178">
        <f>PRODUCT(C977:H977)</f>
        <v>52.31</v>
      </c>
      <c r="J977" s="1291"/>
    </row>
    <row r="978" spans="1:12" s="1209" customFormat="1">
      <c r="A978" s="1185"/>
      <c r="B978" s="1201" t="s">
        <v>6786</v>
      </c>
      <c r="C978" s="1268">
        <v>8</v>
      </c>
      <c r="D978" s="1268" t="s">
        <v>3364</v>
      </c>
      <c r="E978" s="1268">
        <v>1</v>
      </c>
      <c r="F978" s="1269">
        <v>22.885000000000002</v>
      </c>
      <c r="G978" s="1269">
        <f>3.14*0.025</f>
        <v>7.9000000000000001E-2</v>
      </c>
      <c r="H978" s="1269"/>
      <c r="I978" s="1178">
        <f>PRODUCT(C978:H978)</f>
        <v>14.46</v>
      </c>
      <c r="J978" s="1291"/>
    </row>
    <row r="979" spans="1:12" s="1209" customFormat="1">
      <c r="A979" s="1185"/>
      <c r="B979" s="1199"/>
      <c r="C979" s="1186"/>
      <c r="D979" s="1186"/>
      <c r="E979" s="1186"/>
      <c r="F979" s="1177"/>
      <c r="G979" s="1188"/>
      <c r="H979" s="1177"/>
      <c r="I979" s="1181">
        <f>SUM(I975:I978)</f>
        <v>127.99</v>
      </c>
      <c r="J979" s="1189"/>
    </row>
    <row r="980" spans="1:12" s="1209" customFormat="1">
      <c r="A980" s="1185"/>
      <c r="B980" s="1199"/>
      <c r="C980" s="1186"/>
      <c r="D980" s="1186"/>
      <c r="E980" s="1186"/>
      <c r="F980" s="1177"/>
      <c r="G980" s="1188" t="s">
        <v>104</v>
      </c>
      <c r="H980" s="1177"/>
      <c r="I980" s="1183">
        <f>CEILING(I979,0.1)</f>
        <v>128</v>
      </c>
      <c r="J980" s="1189" t="s">
        <v>13</v>
      </c>
    </row>
    <row r="981" spans="1:12" s="1209" customFormat="1" ht="31.5">
      <c r="A981" s="1185">
        <v>52.1</v>
      </c>
      <c r="B981" s="1252" t="s">
        <v>3531</v>
      </c>
      <c r="C981" s="1186"/>
      <c r="D981" s="1186"/>
      <c r="E981" s="1186"/>
      <c r="F981" s="1177"/>
      <c r="G981" s="1188"/>
      <c r="H981" s="1177"/>
      <c r="I981" s="1181"/>
      <c r="J981" s="1189"/>
      <c r="L981" s="1209">
        <v>1</v>
      </c>
    </row>
    <row r="982" spans="1:12" s="1209" customFormat="1">
      <c r="A982" s="1185"/>
      <c r="B982" s="1199" t="s">
        <v>3489</v>
      </c>
      <c r="C982" s="1186">
        <v>3</v>
      </c>
      <c r="D982" s="1186" t="s">
        <v>3364</v>
      </c>
      <c r="E982" s="1186">
        <v>4</v>
      </c>
      <c r="F982" s="1177">
        <v>2</v>
      </c>
      <c r="G982" s="1188"/>
      <c r="H982" s="1177"/>
      <c r="I982" s="1278">
        <f>PRODUCT(C982:H982)</f>
        <v>24</v>
      </c>
      <c r="J982" s="1189"/>
    </row>
    <row r="983" spans="1:12" s="1209" customFormat="1">
      <c r="A983" s="1185"/>
      <c r="B983" s="1252"/>
      <c r="C983" s="1186"/>
      <c r="D983" s="1186"/>
      <c r="E983" s="1186"/>
      <c r="F983" s="1177"/>
      <c r="G983" s="1188" t="s">
        <v>104</v>
      </c>
      <c r="H983" s="1177"/>
      <c r="I983" s="1181">
        <f>SUM(I982:I982)</f>
        <v>24</v>
      </c>
      <c r="J983" s="1189" t="s">
        <v>13</v>
      </c>
      <c r="L983" s="1209">
        <v>1</v>
      </c>
    </row>
    <row r="984" spans="1:12" s="1209" customFormat="1" ht="28.5" customHeight="1">
      <c r="A984" s="1185">
        <v>53.3</v>
      </c>
      <c r="B984" s="1252" t="s">
        <v>3532</v>
      </c>
      <c r="C984" s="1186"/>
      <c r="D984" s="1186"/>
      <c r="E984" s="1186"/>
      <c r="F984" s="1177"/>
      <c r="G984" s="1188"/>
      <c r="H984" s="1177"/>
      <c r="I984" s="1181"/>
      <c r="J984" s="1189"/>
    </row>
    <row r="985" spans="1:12" s="1209" customFormat="1">
      <c r="A985" s="1185"/>
      <c r="B985" s="1199" t="s">
        <v>3653</v>
      </c>
      <c r="C985" s="1186">
        <v>1</v>
      </c>
      <c r="D985" s="1186" t="s">
        <v>3364</v>
      </c>
      <c r="E985" s="1186">
        <v>6</v>
      </c>
      <c r="F985" s="1177"/>
      <c r="G985" s="1188"/>
      <c r="H985" s="1177"/>
      <c r="I985" s="1278">
        <f>PRODUCT(C985:H985)</f>
        <v>6</v>
      </c>
      <c r="J985" s="1189" t="s">
        <v>1034</v>
      </c>
    </row>
    <row r="986" spans="1:12" s="1209" customFormat="1" ht="31.5">
      <c r="A986" s="1182" t="s">
        <v>3656</v>
      </c>
      <c r="B986" s="1201" t="s">
        <v>3657</v>
      </c>
      <c r="C986" s="1186"/>
      <c r="D986" s="1186"/>
      <c r="E986" s="1186"/>
      <c r="F986" s="1177"/>
      <c r="G986" s="1177"/>
      <c r="H986" s="1177"/>
      <c r="I986" s="1178"/>
      <c r="J986" s="1184"/>
    </row>
    <row r="987" spans="1:12" s="1209" customFormat="1">
      <c r="A987" s="1182"/>
      <c r="B987" s="1203" t="s">
        <v>6810</v>
      </c>
      <c r="C987" s="1186"/>
      <c r="D987" s="1186"/>
      <c r="E987" s="1186"/>
      <c r="F987" s="1177"/>
      <c r="G987" s="1177"/>
      <c r="H987" s="1177"/>
      <c r="I987" s="1178"/>
      <c r="J987" s="1184"/>
    </row>
    <row r="988" spans="1:12" s="1209" customFormat="1">
      <c r="A988" s="1182"/>
      <c r="B988" s="1201" t="s">
        <v>6618</v>
      </c>
      <c r="C988" s="1186">
        <v>1</v>
      </c>
      <c r="D988" s="1186" t="s">
        <v>3364</v>
      </c>
      <c r="E988" s="1186">
        <v>1</v>
      </c>
      <c r="F988" s="1177"/>
      <c r="G988" s="1177"/>
      <c r="H988" s="1177"/>
      <c r="I988" s="1278">
        <f t="shared" ref="I988:I1000" si="71">PRODUCT(C988:H988)</f>
        <v>1</v>
      </c>
      <c r="J988" s="1184"/>
    </row>
    <row r="989" spans="1:12" s="1209" customFormat="1">
      <c r="A989" s="1182"/>
      <c r="B989" s="1201" t="s">
        <v>6675</v>
      </c>
      <c r="C989" s="1186">
        <v>2</v>
      </c>
      <c r="D989" s="1186" t="s">
        <v>3364</v>
      </c>
      <c r="E989" s="1186">
        <v>1</v>
      </c>
      <c r="F989" s="1177"/>
      <c r="G989" s="1177"/>
      <c r="H989" s="1177"/>
      <c r="I989" s="1278">
        <f t="shared" si="71"/>
        <v>2</v>
      </c>
      <c r="J989" s="1184"/>
    </row>
    <row r="990" spans="1:12" s="1209" customFormat="1">
      <c r="A990" s="1182"/>
      <c r="B990" s="1201" t="s">
        <v>6811</v>
      </c>
      <c r="C990" s="1186">
        <v>2</v>
      </c>
      <c r="D990" s="1186" t="s">
        <v>3364</v>
      </c>
      <c r="E990" s="1186">
        <v>2</v>
      </c>
      <c r="F990" s="1177"/>
      <c r="G990" s="1177"/>
      <c r="H990" s="1177"/>
      <c r="I990" s="1278">
        <f t="shared" si="71"/>
        <v>4</v>
      </c>
      <c r="J990" s="1184"/>
    </row>
    <row r="991" spans="1:12" s="1209" customFormat="1">
      <c r="A991" s="1182"/>
      <c r="B991" s="1203" t="s">
        <v>6812</v>
      </c>
      <c r="C991" s="1186"/>
      <c r="D991" s="1186"/>
      <c r="E991" s="1186"/>
      <c r="F991" s="1177"/>
      <c r="G991" s="1177"/>
      <c r="H991" s="1177"/>
      <c r="I991" s="1278">
        <f t="shared" si="71"/>
        <v>0</v>
      </c>
      <c r="J991" s="1184"/>
    </row>
    <row r="992" spans="1:12" s="1209" customFormat="1">
      <c r="A992" s="1182"/>
      <c r="B992" s="1201" t="s">
        <v>6675</v>
      </c>
      <c r="C992" s="1186">
        <v>12</v>
      </c>
      <c r="D992" s="1186" t="s">
        <v>3364</v>
      </c>
      <c r="E992" s="1186">
        <v>1</v>
      </c>
      <c r="F992" s="1177"/>
      <c r="G992" s="1177"/>
      <c r="H992" s="1177"/>
      <c r="I992" s="1278">
        <f t="shared" si="71"/>
        <v>12</v>
      </c>
      <c r="J992" s="1184"/>
    </row>
    <row r="993" spans="1:12" s="1209" customFormat="1">
      <c r="A993" s="1182"/>
      <c r="B993" s="1201" t="s">
        <v>6813</v>
      </c>
      <c r="C993" s="1186">
        <v>2</v>
      </c>
      <c r="D993" s="1186" t="s">
        <v>3364</v>
      </c>
      <c r="E993" s="1186">
        <v>2</v>
      </c>
      <c r="F993" s="1177"/>
      <c r="G993" s="1177"/>
      <c r="H993" s="1177"/>
      <c r="I993" s="1278">
        <f t="shared" si="71"/>
        <v>4</v>
      </c>
      <c r="J993" s="1184"/>
    </row>
    <row r="994" spans="1:12" s="1209" customFormat="1">
      <c r="A994" s="1182"/>
      <c r="B994" s="1203" t="s">
        <v>6668</v>
      </c>
      <c r="C994" s="1186"/>
      <c r="D994" s="1186"/>
      <c r="E994" s="1186"/>
      <c r="F994" s="1177"/>
      <c r="G994" s="1177"/>
      <c r="H994" s="1177"/>
      <c r="I994" s="1278">
        <f t="shared" si="71"/>
        <v>0</v>
      </c>
      <c r="J994" s="1184"/>
    </row>
    <row r="995" spans="1:12" s="1209" customFormat="1">
      <c r="A995" s="1182"/>
      <c r="B995" s="1201" t="s">
        <v>6675</v>
      </c>
      <c r="C995" s="1186">
        <v>12</v>
      </c>
      <c r="D995" s="1186" t="s">
        <v>3364</v>
      </c>
      <c r="E995" s="1186">
        <v>1</v>
      </c>
      <c r="F995" s="1177"/>
      <c r="G995" s="1177"/>
      <c r="H995" s="1177"/>
      <c r="I995" s="1278">
        <f t="shared" si="71"/>
        <v>12</v>
      </c>
      <c r="J995" s="1184"/>
    </row>
    <row r="996" spans="1:12" s="1209" customFormat="1">
      <c r="A996" s="1182"/>
      <c r="B996" s="1201" t="s">
        <v>6814</v>
      </c>
      <c r="C996" s="1186">
        <v>2</v>
      </c>
      <c r="D996" s="1186" t="s">
        <v>3364</v>
      </c>
      <c r="E996" s="1186">
        <v>2</v>
      </c>
      <c r="F996" s="1177"/>
      <c r="G996" s="1177"/>
      <c r="H996" s="1177"/>
      <c r="I996" s="1278">
        <f t="shared" si="71"/>
        <v>4</v>
      </c>
      <c r="J996" s="1184"/>
    </row>
    <row r="997" spans="1:12" s="1209" customFormat="1">
      <c r="A997" s="1182"/>
      <c r="B997" s="1203" t="s">
        <v>3488</v>
      </c>
      <c r="C997" s="1186"/>
      <c r="D997" s="1186"/>
      <c r="E997" s="1186"/>
      <c r="F997" s="1177"/>
      <c r="G997" s="1177"/>
      <c r="H997" s="1177"/>
      <c r="I997" s="1278">
        <f t="shared" si="71"/>
        <v>0</v>
      </c>
      <c r="J997" s="1184"/>
    </row>
    <row r="998" spans="1:12" s="1209" customFormat="1">
      <c r="A998" s="1182"/>
      <c r="B998" s="1201" t="s">
        <v>6675</v>
      </c>
      <c r="C998" s="1186">
        <v>10</v>
      </c>
      <c r="D998" s="1186" t="s">
        <v>3364</v>
      </c>
      <c r="E998" s="1186">
        <v>1</v>
      </c>
      <c r="F998" s="1177"/>
      <c r="G998" s="1177"/>
      <c r="H998" s="1177"/>
      <c r="I998" s="1278">
        <f t="shared" si="71"/>
        <v>10</v>
      </c>
      <c r="J998" s="1184"/>
    </row>
    <row r="999" spans="1:12" s="1209" customFormat="1">
      <c r="A999" s="1185"/>
      <c r="B999" s="1255" t="s">
        <v>6604</v>
      </c>
      <c r="C999" s="1186">
        <v>1</v>
      </c>
      <c r="D999" s="1186" t="s">
        <v>3364</v>
      </c>
      <c r="E999" s="1186">
        <v>2</v>
      </c>
      <c r="F999" s="1177"/>
      <c r="G999" s="1177"/>
      <c r="H999" s="1177"/>
      <c r="I999" s="1278">
        <f t="shared" si="71"/>
        <v>2</v>
      </c>
      <c r="J999" s="1184"/>
      <c r="L999" s="1209">
        <v>1</v>
      </c>
    </row>
    <row r="1000" spans="1:12" s="1209" customFormat="1">
      <c r="A1000" s="1185"/>
      <c r="B1000" s="1255" t="s">
        <v>6815</v>
      </c>
      <c r="C1000" s="1186">
        <v>1</v>
      </c>
      <c r="D1000" s="1186" t="s">
        <v>3364</v>
      </c>
      <c r="E1000" s="1186">
        <v>2</v>
      </c>
      <c r="F1000" s="1177"/>
      <c r="G1000" s="1177"/>
      <c r="H1000" s="1177"/>
      <c r="I1000" s="1278">
        <f t="shared" si="71"/>
        <v>2</v>
      </c>
      <c r="J1000" s="1184"/>
    </row>
    <row r="1001" spans="1:12" s="1209" customFormat="1">
      <c r="A1001" s="1185"/>
      <c r="B1001" s="1255"/>
      <c r="C1001" s="1186"/>
      <c r="D1001" s="1186"/>
      <c r="E1001" s="1186"/>
      <c r="F1001" s="1177"/>
      <c r="G1001" s="1177"/>
      <c r="H1001" s="1177"/>
      <c r="I1001" s="1178">
        <f>SUM(I988:I1000)</f>
        <v>53</v>
      </c>
      <c r="J1001" s="1184"/>
    </row>
    <row r="1002" spans="1:12" s="1209" customFormat="1">
      <c r="A1002" s="1185"/>
      <c r="B1002" s="1199"/>
      <c r="C1002" s="1186"/>
      <c r="D1002" s="1186"/>
      <c r="E1002" s="1186"/>
      <c r="F1002" s="1177"/>
      <c r="G1002" s="1177"/>
      <c r="H1002" s="1253" t="s">
        <v>104</v>
      </c>
      <c r="I1002" s="1183">
        <f>CEILING(I1001,0.1)</f>
        <v>53</v>
      </c>
      <c r="J1002" s="1184" t="s">
        <v>3471</v>
      </c>
    </row>
    <row r="1003" spans="1:12" s="1209" customFormat="1" ht="31.5">
      <c r="A1003" s="1182" t="s">
        <v>3658</v>
      </c>
      <c r="B1003" s="1201" t="s">
        <v>3659</v>
      </c>
      <c r="C1003" s="1186"/>
      <c r="D1003" s="1186"/>
      <c r="E1003" s="1186"/>
      <c r="F1003" s="1177"/>
      <c r="G1003" s="1177"/>
      <c r="H1003" s="1177"/>
      <c r="I1003" s="1178"/>
      <c r="J1003" s="1184"/>
    </row>
    <row r="1004" spans="1:12" s="1209" customFormat="1">
      <c r="A1004" s="1182"/>
      <c r="B1004" s="1203" t="s">
        <v>6810</v>
      </c>
      <c r="C1004" s="1186"/>
      <c r="D1004" s="1186"/>
      <c r="E1004" s="1186"/>
      <c r="F1004" s="1177"/>
      <c r="G1004" s="1177"/>
      <c r="H1004" s="1177"/>
      <c r="I1004" s="1178"/>
      <c r="J1004" s="1184"/>
    </row>
    <row r="1005" spans="1:12" s="1209" customFormat="1">
      <c r="A1005" s="1182"/>
      <c r="B1005" s="1201" t="s">
        <v>6618</v>
      </c>
      <c r="C1005" s="1186">
        <v>1</v>
      </c>
      <c r="D1005" s="1186" t="s">
        <v>3364</v>
      </c>
      <c r="E1005" s="1186">
        <v>1</v>
      </c>
      <c r="F1005" s="1177"/>
      <c r="G1005" s="1177"/>
      <c r="H1005" s="1177"/>
      <c r="I1005" s="1278">
        <f t="shared" ref="I1005:I1017" si="72">PRODUCT(C1005:H1005)</f>
        <v>1</v>
      </c>
      <c r="J1005" s="1184"/>
    </row>
    <row r="1006" spans="1:12" s="1209" customFormat="1">
      <c r="A1006" s="1182"/>
      <c r="B1006" s="1201" t="s">
        <v>6675</v>
      </c>
      <c r="C1006" s="1186">
        <v>2</v>
      </c>
      <c r="D1006" s="1186" t="s">
        <v>3364</v>
      </c>
      <c r="E1006" s="1186">
        <v>1</v>
      </c>
      <c r="F1006" s="1177"/>
      <c r="G1006" s="1177"/>
      <c r="H1006" s="1177"/>
      <c r="I1006" s="1278">
        <f t="shared" si="72"/>
        <v>2</v>
      </c>
      <c r="J1006" s="1184"/>
    </row>
    <row r="1007" spans="1:12" s="1209" customFormat="1">
      <c r="A1007" s="1182"/>
      <c r="B1007" s="1201" t="s">
        <v>6811</v>
      </c>
      <c r="C1007" s="1186">
        <v>2</v>
      </c>
      <c r="D1007" s="1186" t="s">
        <v>3364</v>
      </c>
      <c r="E1007" s="1186">
        <v>1</v>
      </c>
      <c r="F1007" s="1177"/>
      <c r="G1007" s="1177"/>
      <c r="H1007" s="1177"/>
      <c r="I1007" s="1278">
        <f t="shared" si="72"/>
        <v>2</v>
      </c>
      <c r="J1007" s="1184"/>
    </row>
    <row r="1008" spans="1:12" s="1209" customFormat="1">
      <c r="A1008" s="1182"/>
      <c r="B1008" s="1203" t="s">
        <v>6812</v>
      </c>
      <c r="C1008" s="1186"/>
      <c r="D1008" s="1186"/>
      <c r="E1008" s="1186"/>
      <c r="F1008" s="1177"/>
      <c r="G1008" s="1177"/>
      <c r="H1008" s="1177"/>
      <c r="I1008" s="1278">
        <f t="shared" si="72"/>
        <v>0</v>
      </c>
      <c r="J1008" s="1184"/>
    </row>
    <row r="1009" spans="1:12" s="1209" customFormat="1">
      <c r="A1009" s="1182"/>
      <c r="B1009" s="1201" t="s">
        <v>6675</v>
      </c>
      <c r="C1009" s="1186">
        <v>12</v>
      </c>
      <c r="D1009" s="1186" t="s">
        <v>3364</v>
      </c>
      <c r="E1009" s="1186">
        <v>1</v>
      </c>
      <c r="F1009" s="1177"/>
      <c r="G1009" s="1177"/>
      <c r="H1009" s="1177"/>
      <c r="I1009" s="1278">
        <f t="shared" si="72"/>
        <v>12</v>
      </c>
      <c r="J1009" s="1184"/>
    </row>
    <row r="1010" spans="1:12" s="1209" customFormat="1">
      <c r="A1010" s="1182"/>
      <c r="B1010" s="1201" t="s">
        <v>6813</v>
      </c>
      <c r="C1010" s="1186">
        <v>2</v>
      </c>
      <c r="D1010" s="1186" t="s">
        <v>3364</v>
      </c>
      <c r="E1010" s="1186">
        <v>1</v>
      </c>
      <c r="F1010" s="1177"/>
      <c r="G1010" s="1177"/>
      <c r="H1010" s="1177"/>
      <c r="I1010" s="1278">
        <f t="shared" si="72"/>
        <v>2</v>
      </c>
      <c r="J1010" s="1184"/>
    </row>
    <row r="1011" spans="1:12" s="1209" customFormat="1">
      <c r="A1011" s="1182"/>
      <c r="B1011" s="1203" t="s">
        <v>6668</v>
      </c>
      <c r="C1011" s="1186"/>
      <c r="D1011" s="1186"/>
      <c r="E1011" s="1186"/>
      <c r="F1011" s="1177"/>
      <c r="G1011" s="1177"/>
      <c r="H1011" s="1177"/>
      <c r="I1011" s="1278">
        <f t="shared" si="72"/>
        <v>0</v>
      </c>
      <c r="J1011" s="1184"/>
    </row>
    <row r="1012" spans="1:12" s="1209" customFormat="1">
      <c r="A1012" s="1182"/>
      <c r="B1012" s="1201" t="s">
        <v>6675</v>
      </c>
      <c r="C1012" s="1186">
        <v>12</v>
      </c>
      <c r="D1012" s="1186" t="s">
        <v>3364</v>
      </c>
      <c r="E1012" s="1186">
        <v>1</v>
      </c>
      <c r="F1012" s="1177"/>
      <c r="G1012" s="1177"/>
      <c r="H1012" s="1177"/>
      <c r="I1012" s="1278">
        <f t="shared" si="72"/>
        <v>12</v>
      </c>
      <c r="J1012" s="1184"/>
    </row>
    <row r="1013" spans="1:12" s="1209" customFormat="1">
      <c r="A1013" s="1182"/>
      <c r="B1013" s="1201" t="s">
        <v>6814</v>
      </c>
      <c r="C1013" s="1186">
        <v>2</v>
      </c>
      <c r="D1013" s="1186" t="s">
        <v>3364</v>
      </c>
      <c r="E1013" s="1186">
        <v>1</v>
      </c>
      <c r="F1013" s="1177"/>
      <c r="G1013" s="1177"/>
      <c r="H1013" s="1177"/>
      <c r="I1013" s="1278">
        <f t="shared" si="72"/>
        <v>2</v>
      </c>
      <c r="J1013" s="1184"/>
    </row>
    <row r="1014" spans="1:12" s="1209" customFormat="1">
      <c r="A1014" s="1182"/>
      <c r="B1014" s="1203" t="s">
        <v>3488</v>
      </c>
      <c r="C1014" s="1186"/>
      <c r="D1014" s="1186"/>
      <c r="E1014" s="1186"/>
      <c r="F1014" s="1177"/>
      <c r="G1014" s="1177"/>
      <c r="H1014" s="1177"/>
      <c r="I1014" s="1278">
        <f t="shared" si="72"/>
        <v>0</v>
      </c>
      <c r="J1014" s="1184"/>
    </row>
    <row r="1015" spans="1:12" s="1209" customFormat="1">
      <c r="A1015" s="1182"/>
      <c r="B1015" s="1201" t="s">
        <v>6675</v>
      </c>
      <c r="C1015" s="1186">
        <v>10</v>
      </c>
      <c r="D1015" s="1186" t="s">
        <v>3364</v>
      </c>
      <c r="E1015" s="1186">
        <v>1</v>
      </c>
      <c r="F1015" s="1177"/>
      <c r="G1015" s="1177"/>
      <c r="H1015" s="1177"/>
      <c r="I1015" s="1278">
        <f t="shared" si="72"/>
        <v>10</v>
      </c>
      <c r="J1015" s="1184"/>
    </row>
    <row r="1016" spans="1:12" s="1209" customFormat="1">
      <c r="A1016" s="1185"/>
      <c r="B1016" s="1255" t="s">
        <v>6604</v>
      </c>
      <c r="C1016" s="1186">
        <v>1</v>
      </c>
      <c r="D1016" s="1186" t="s">
        <v>3364</v>
      </c>
      <c r="E1016" s="1186">
        <v>1</v>
      </c>
      <c r="F1016" s="1177"/>
      <c r="G1016" s="1177"/>
      <c r="H1016" s="1177"/>
      <c r="I1016" s="1278">
        <f t="shared" si="72"/>
        <v>1</v>
      </c>
      <c r="J1016" s="1184"/>
      <c r="L1016" s="1209">
        <v>1</v>
      </c>
    </row>
    <row r="1017" spans="1:12" s="1209" customFormat="1">
      <c r="A1017" s="1185"/>
      <c r="B1017" s="1255" t="s">
        <v>6815</v>
      </c>
      <c r="C1017" s="1186">
        <v>1</v>
      </c>
      <c r="D1017" s="1186" t="s">
        <v>3364</v>
      </c>
      <c r="E1017" s="1186">
        <v>1</v>
      </c>
      <c r="F1017" s="1177"/>
      <c r="G1017" s="1177"/>
      <c r="H1017" s="1177"/>
      <c r="I1017" s="1278">
        <f t="shared" si="72"/>
        <v>1</v>
      </c>
      <c r="J1017" s="1184"/>
    </row>
    <row r="1018" spans="1:12" s="1209" customFormat="1">
      <c r="A1018" s="1185"/>
      <c r="B1018" s="1199"/>
      <c r="C1018" s="1186"/>
      <c r="D1018" s="1186"/>
      <c r="E1018" s="1186"/>
      <c r="F1018" s="1177"/>
      <c r="G1018" s="1177"/>
      <c r="H1018" s="1253" t="s">
        <v>104</v>
      </c>
      <c r="I1018" s="1181">
        <f>SUM(I1005:I1017)</f>
        <v>45</v>
      </c>
      <c r="J1018" s="1184" t="s">
        <v>3471</v>
      </c>
    </row>
    <row r="1019" spans="1:12" s="1209" customFormat="1" ht="31.5">
      <c r="A1019" s="1182">
        <v>57.1</v>
      </c>
      <c r="B1019" s="1203" t="s">
        <v>3660</v>
      </c>
      <c r="C1019" s="1186"/>
      <c r="D1019" s="1186"/>
      <c r="E1019" s="1186"/>
      <c r="F1019" s="1177"/>
      <c r="G1019" s="1177"/>
      <c r="H1019" s="1177"/>
      <c r="I1019" s="1178"/>
      <c r="J1019" s="1291"/>
    </row>
    <row r="1020" spans="1:12" s="1209" customFormat="1">
      <c r="A1020" s="1185"/>
      <c r="B1020" s="1202" t="s">
        <v>6816</v>
      </c>
      <c r="C1020" s="1186"/>
      <c r="D1020" s="1186"/>
      <c r="E1020" s="1186"/>
      <c r="F1020" s="1177"/>
      <c r="G1020" s="1177"/>
      <c r="H1020" s="1177"/>
      <c r="I1020" s="1178"/>
      <c r="J1020" s="1291"/>
    </row>
    <row r="1021" spans="1:12" s="1209" customFormat="1">
      <c r="A1021" s="1185"/>
      <c r="B1021" s="1199" t="s">
        <v>6817</v>
      </c>
      <c r="C1021" s="1186">
        <v>1</v>
      </c>
      <c r="D1021" s="1186" t="s">
        <v>3364</v>
      </c>
      <c r="E1021" s="1186">
        <v>20</v>
      </c>
      <c r="F1021" s="1177"/>
      <c r="G1021" s="1177"/>
      <c r="H1021" s="1177"/>
      <c r="I1021" s="1278">
        <f>PRODUCT(C1021:H1021)</f>
        <v>20</v>
      </c>
      <c r="J1021" s="1291"/>
    </row>
    <row r="1022" spans="1:12" s="1209" customFormat="1">
      <c r="A1022" s="1185"/>
      <c r="B1022" s="1199"/>
      <c r="C1022" s="1186"/>
      <c r="D1022" s="1186"/>
      <c r="E1022" s="1186"/>
      <c r="F1022" s="1177"/>
      <c r="G1022" s="1177"/>
      <c r="H1022" s="1253" t="s">
        <v>2981</v>
      </c>
      <c r="I1022" s="1181">
        <f>SUM(I1021:I1021)</f>
        <v>20</v>
      </c>
      <c r="J1022" s="1184" t="s">
        <v>3471</v>
      </c>
    </row>
    <row r="1023" spans="1:12" s="1209" customFormat="1" ht="70.5">
      <c r="A1023" s="1185"/>
      <c r="B1023" s="1203" t="s">
        <v>6818</v>
      </c>
      <c r="C1023" s="1186"/>
      <c r="D1023" s="1186"/>
      <c r="E1023" s="1186"/>
      <c r="F1023" s="1177"/>
      <c r="G1023" s="1177"/>
      <c r="H1023" s="1253"/>
      <c r="I1023" s="1181"/>
      <c r="J1023" s="1184"/>
    </row>
    <row r="1024" spans="1:12" s="1209" customFormat="1">
      <c r="A1024" s="1185"/>
      <c r="B1024" s="1203" t="s">
        <v>6586</v>
      </c>
      <c r="C1024" s="1186">
        <v>1</v>
      </c>
      <c r="D1024" s="1186" t="s">
        <v>3364</v>
      </c>
      <c r="E1024" s="1186">
        <v>1</v>
      </c>
      <c r="F1024" s="1177"/>
      <c r="G1024" s="1177"/>
      <c r="H1024" s="1177"/>
      <c r="I1024" s="1278">
        <f>PRODUCT(C1024:H1024)</f>
        <v>1</v>
      </c>
      <c r="J1024" s="1291"/>
    </row>
    <row r="1025" spans="1:10" s="1209" customFormat="1">
      <c r="A1025" s="1185"/>
      <c r="B1025" s="1203"/>
      <c r="C1025" s="1186"/>
      <c r="D1025" s="1186"/>
      <c r="E1025" s="1186"/>
      <c r="F1025" s="1177"/>
      <c r="G1025" s="1177"/>
      <c r="H1025" s="1253" t="s">
        <v>2981</v>
      </c>
      <c r="I1025" s="1181">
        <f>SUM(I1024:I1024)</f>
        <v>1</v>
      </c>
      <c r="J1025" s="1184" t="s">
        <v>3471</v>
      </c>
    </row>
    <row r="1026" spans="1:10" s="1209" customFormat="1" ht="69.75">
      <c r="A1026" s="1185"/>
      <c r="B1026" s="1203" t="s">
        <v>6819</v>
      </c>
      <c r="C1026" s="1186"/>
      <c r="D1026" s="1186"/>
      <c r="E1026" s="1186"/>
      <c r="F1026" s="1177"/>
      <c r="G1026" s="1177"/>
      <c r="H1026" s="1253"/>
      <c r="I1026" s="1181"/>
      <c r="J1026" s="1184"/>
    </row>
    <row r="1027" spans="1:10" s="1209" customFormat="1">
      <c r="A1027" s="1185"/>
      <c r="B1027" s="1199" t="s">
        <v>6820</v>
      </c>
      <c r="C1027" s="1186">
        <v>1</v>
      </c>
      <c r="D1027" s="1186" t="s">
        <v>3364</v>
      </c>
      <c r="E1027" s="1186">
        <v>3</v>
      </c>
      <c r="F1027" s="1177"/>
      <c r="G1027" s="1177"/>
      <c r="H1027" s="1177"/>
      <c r="I1027" s="1278">
        <f>PRODUCT(C1027:H1027)</f>
        <v>3</v>
      </c>
      <c r="J1027" s="1291"/>
    </row>
    <row r="1028" spans="1:10" s="1209" customFormat="1">
      <c r="A1028" s="1185"/>
      <c r="B1028" s="1199"/>
      <c r="C1028" s="1186"/>
      <c r="D1028" s="1186"/>
      <c r="E1028" s="1186"/>
      <c r="F1028" s="1177"/>
      <c r="G1028" s="1177"/>
      <c r="H1028" s="1253" t="s">
        <v>2981</v>
      </c>
      <c r="I1028" s="1181">
        <f>SUM(I1027:I1027)</f>
        <v>3</v>
      </c>
      <c r="J1028" s="1184" t="s">
        <v>3471</v>
      </c>
    </row>
    <row r="1029" spans="1:10" s="1209" customFormat="1" ht="220.5">
      <c r="A1029" s="1185">
        <v>59.5</v>
      </c>
      <c r="B1029" s="1200" t="s">
        <v>3533</v>
      </c>
      <c r="C1029" s="1186"/>
      <c r="D1029" s="1186"/>
      <c r="E1029" s="1186"/>
      <c r="F1029" s="1177"/>
      <c r="G1029" s="1177"/>
      <c r="H1029" s="1177"/>
      <c r="I1029" s="1178"/>
      <c r="J1029" s="1184"/>
    </row>
    <row r="1030" spans="1:10" s="1209" customFormat="1">
      <c r="A1030" s="1182"/>
      <c r="B1030" s="1203" t="s">
        <v>6810</v>
      </c>
      <c r="C1030" s="1186"/>
      <c r="D1030" s="1186"/>
      <c r="E1030" s="1186"/>
      <c r="F1030" s="1177"/>
      <c r="G1030" s="1177"/>
      <c r="H1030" s="1177"/>
      <c r="I1030" s="1178"/>
      <c r="J1030" s="1184"/>
    </row>
    <row r="1031" spans="1:10" s="1209" customFormat="1">
      <c r="A1031" s="1182"/>
      <c r="B1031" s="1201" t="s">
        <v>6618</v>
      </c>
      <c r="C1031" s="1186">
        <v>1</v>
      </c>
      <c r="D1031" s="1186" t="s">
        <v>3364</v>
      </c>
      <c r="E1031" s="1186">
        <v>2</v>
      </c>
      <c r="F1031" s="1177"/>
      <c r="G1031" s="1177"/>
      <c r="H1031" s="1177"/>
      <c r="I1031" s="1278">
        <f>PRODUCT(C1031:H1031)</f>
        <v>2</v>
      </c>
      <c r="J1031" s="1184"/>
    </row>
    <row r="1032" spans="1:10" s="1209" customFormat="1">
      <c r="A1032" s="1182"/>
      <c r="B1032" s="1201" t="s">
        <v>6675</v>
      </c>
      <c r="C1032" s="1186">
        <v>2</v>
      </c>
      <c r="D1032" s="1186" t="s">
        <v>3364</v>
      </c>
      <c r="E1032" s="1186">
        <v>3</v>
      </c>
      <c r="F1032" s="1177"/>
      <c r="G1032" s="1177"/>
      <c r="H1032" s="1177"/>
      <c r="I1032" s="1278">
        <f>PRODUCT(C1032:H1032)</f>
        <v>6</v>
      </c>
      <c r="J1032" s="1184"/>
    </row>
    <row r="1033" spans="1:10" s="1209" customFormat="1">
      <c r="A1033" s="1185"/>
      <c r="B1033" s="1255"/>
      <c r="C1033" s="1186"/>
      <c r="D1033" s="1186"/>
      <c r="E1033" s="1186"/>
      <c r="F1033" s="1177"/>
      <c r="G1033" s="1177"/>
      <c r="H1033" s="1177"/>
      <c r="I1033" s="1178">
        <f>SUM(I1031:I1032)</f>
        <v>8</v>
      </c>
      <c r="J1033" s="1189" t="s">
        <v>41</v>
      </c>
    </row>
    <row r="1034" spans="1:10" s="1209" customFormat="1" ht="47.25">
      <c r="A1034" s="1182">
        <v>60</v>
      </c>
      <c r="B1034" s="1200" t="s">
        <v>3534</v>
      </c>
      <c r="C1034" s="1186"/>
      <c r="D1034" s="1186"/>
      <c r="E1034" s="1186"/>
      <c r="F1034" s="1177"/>
      <c r="G1034" s="1177"/>
      <c r="H1034" s="1177"/>
      <c r="I1034" s="1178"/>
      <c r="J1034" s="1184"/>
    </row>
    <row r="1035" spans="1:10" s="1209" customFormat="1">
      <c r="A1035" s="1182"/>
      <c r="B1035" s="1203" t="s">
        <v>6810</v>
      </c>
      <c r="C1035" s="1186"/>
      <c r="D1035" s="1186"/>
      <c r="E1035" s="1186"/>
      <c r="F1035" s="1177"/>
      <c r="G1035" s="1177"/>
      <c r="H1035" s="1177"/>
      <c r="I1035" s="1178"/>
      <c r="J1035" s="1184"/>
    </row>
    <row r="1036" spans="1:10" s="1209" customFormat="1">
      <c r="A1036" s="1182"/>
      <c r="B1036" s="1201" t="s">
        <v>6618</v>
      </c>
      <c r="C1036" s="1186">
        <v>1</v>
      </c>
      <c r="D1036" s="1186" t="s">
        <v>3364</v>
      </c>
      <c r="E1036" s="1186">
        <v>1</v>
      </c>
      <c r="F1036" s="1177"/>
      <c r="G1036" s="1177"/>
      <c r="H1036" s="1177"/>
      <c r="I1036" s="1278">
        <f t="shared" ref="I1036:I1089" si="73">PRODUCT(C1036:H1036)</f>
        <v>1</v>
      </c>
      <c r="J1036" s="1184"/>
    </row>
    <row r="1037" spans="1:10" s="1209" customFormat="1">
      <c r="A1037" s="1182"/>
      <c r="B1037" s="1201" t="s">
        <v>6675</v>
      </c>
      <c r="C1037" s="1186">
        <v>2</v>
      </c>
      <c r="D1037" s="1186" t="s">
        <v>3364</v>
      </c>
      <c r="E1037" s="1186">
        <v>1</v>
      </c>
      <c r="F1037" s="1177"/>
      <c r="G1037" s="1177"/>
      <c r="H1037" s="1177"/>
      <c r="I1037" s="1278">
        <f t="shared" si="73"/>
        <v>2</v>
      </c>
      <c r="J1037" s="1184"/>
    </row>
    <row r="1038" spans="1:10" s="1209" customFormat="1">
      <c r="A1038" s="1182"/>
      <c r="B1038" s="1203" t="s">
        <v>6668</v>
      </c>
      <c r="C1038" s="1186"/>
      <c r="D1038" s="1186"/>
      <c r="E1038" s="1186"/>
      <c r="F1038" s="1177"/>
      <c r="G1038" s="1177"/>
      <c r="H1038" s="1177"/>
      <c r="I1038" s="1278">
        <f t="shared" si="73"/>
        <v>0</v>
      </c>
      <c r="J1038" s="1184"/>
    </row>
    <row r="1039" spans="1:10" s="1209" customFormat="1">
      <c r="A1039" s="1182"/>
      <c r="B1039" s="1201" t="s">
        <v>6675</v>
      </c>
      <c r="C1039" s="1186">
        <v>12</v>
      </c>
      <c r="D1039" s="1186" t="s">
        <v>3364</v>
      </c>
      <c r="E1039" s="1186">
        <v>1</v>
      </c>
      <c r="F1039" s="1177"/>
      <c r="G1039" s="1177"/>
      <c r="H1039" s="1177"/>
      <c r="I1039" s="1278">
        <f t="shared" si="73"/>
        <v>12</v>
      </c>
      <c r="J1039" s="1184"/>
    </row>
    <row r="1040" spans="1:10" s="1209" customFormat="1">
      <c r="A1040" s="1182"/>
      <c r="B1040" s="1201" t="s">
        <v>6813</v>
      </c>
      <c r="C1040" s="1186">
        <v>2</v>
      </c>
      <c r="D1040" s="1186" t="s">
        <v>3364</v>
      </c>
      <c r="E1040" s="1186">
        <v>3</v>
      </c>
      <c r="F1040" s="1177"/>
      <c r="G1040" s="1177"/>
      <c r="H1040" s="1177"/>
      <c r="I1040" s="1278">
        <f t="shared" si="73"/>
        <v>6</v>
      </c>
      <c r="J1040" s="1184"/>
    </row>
    <row r="1041" spans="1:12" s="1209" customFormat="1">
      <c r="A1041" s="1182"/>
      <c r="B1041" s="1203" t="s">
        <v>3488</v>
      </c>
      <c r="C1041" s="1186"/>
      <c r="D1041" s="1186"/>
      <c r="E1041" s="1186"/>
      <c r="F1041" s="1177"/>
      <c r="G1041" s="1177"/>
      <c r="H1041" s="1177"/>
      <c r="I1041" s="1278">
        <f t="shared" si="73"/>
        <v>0</v>
      </c>
      <c r="J1041" s="1184"/>
    </row>
    <row r="1042" spans="1:12" s="1209" customFormat="1">
      <c r="A1042" s="1182"/>
      <c r="B1042" s="1201" t="s">
        <v>6675</v>
      </c>
      <c r="C1042" s="1186">
        <v>12</v>
      </c>
      <c r="D1042" s="1186" t="s">
        <v>3364</v>
      </c>
      <c r="E1042" s="1186">
        <v>1</v>
      </c>
      <c r="F1042" s="1177"/>
      <c r="G1042" s="1177"/>
      <c r="H1042" s="1177"/>
      <c r="I1042" s="1278">
        <f t="shared" si="73"/>
        <v>12</v>
      </c>
      <c r="J1042" s="1184"/>
    </row>
    <row r="1043" spans="1:12" s="1209" customFormat="1">
      <c r="A1043" s="1182"/>
      <c r="B1043" s="1201" t="s">
        <v>6814</v>
      </c>
      <c r="C1043" s="1186">
        <v>2</v>
      </c>
      <c r="D1043" s="1186" t="s">
        <v>3364</v>
      </c>
      <c r="E1043" s="1186">
        <v>2</v>
      </c>
      <c r="F1043" s="1177"/>
      <c r="G1043" s="1177"/>
      <c r="H1043" s="1177"/>
      <c r="I1043" s="1278">
        <f t="shared" si="73"/>
        <v>4</v>
      </c>
      <c r="J1043" s="1184"/>
    </row>
    <row r="1044" spans="1:12" s="1209" customFormat="1">
      <c r="A1044" s="1182"/>
      <c r="B1044" s="1203" t="s">
        <v>3495</v>
      </c>
      <c r="C1044" s="1186"/>
      <c r="D1044" s="1186"/>
      <c r="E1044" s="1186"/>
      <c r="F1044" s="1177"/>
      <c r="G1044" s="1177"/>
      <c r="H1044" s="1177"/>
      <c r="I1044" s="1278">
        <f t="shared" si="73"/>
        <v>0</v>
      </c>
      <c r="J1044" s="1184"/>
    </row>
    <row r="1045" spans="1:12" s="1209" customFormat="1">
      <c r="A1045" s="1182"/>
      <c r="B1045" s="1201" t="s">
        <v>6675</v>
      </c>
      <c r="C1045" s="1186">
        <v>10</v>
      </c>
      <c r="D1045" s="1186" t="s">
        <v>3364</v>
      </c>
      <c r="E1045" s="1186">
        <v>1</v>
      </c>
      <c r="F1045" s="1177"/>
      <c r="G1045" s="1177"/>
      <c r="H1045" s="1177"/>
      <c r="I1045" s="1278">
        <f t="shared" si="73"/>
        <v>10</v>
      </c>
      <c r="J1045" s="1184"/>
    </row>
    <row r="1046" spans="1:12" s="1209" customFormat="1">
      <c r="A1046" s="1185"/>
      <c r="B1046" s="1255" t="s">
        <v>6604</v>
      </c>
      <c r="C1046" s="1186">
        <v>1</v>
      </c>
      <c r="D1046" s="1186" t="s">
        <v>3364</v>
      </c>
      <c r="E1046" s="1186">
        <v>2</v>
      </c>
      <c r="F1046" s="1177"/>
      <c r="G1046" s="1177"/>
      <c r="H1046" s="1177"/>
      <c r="I1046" s="1278">
        <f t="shared" si="73"/>
        <v>2</v>
      </c>
      <c r="J1046" s="1184"/>
      <c r="L1046" s="1209">
        <v>1</v>
      </c>
    </row>
    <row r="1047" spans="1:12" s="1209" customFormat="1">
      <c r="A1047" s="1185"/>
      <c r="B1047" s="1255" t="s">
        <v>6815</v>
      </c>
      <c r="C1047" s="1186">
        <v>1</v>
      </c>
      <c r="D1047" s="1186" t="s">
        <v>3364</v>
      </c>
      <c r="E1047" s="1186">
        <v>2</v>
      </c>
      <c r="F1047" s="1177"/>
      <c r="G1047" s="1177"/>
      <c r="H1047" s="1177"/>
      <c r="I1047" s="1278">
        <f t="shared" si="73"/>
        <v>2</v>
      </c>
      <c r="J1047" s="1184"/>
    </row>
    <row r="1048" spans="1:12" s="1209" customFormat="1">
      <c r="A1048" s="1185"/>
      <c r="B1048" s="1199" t="s">
        <v>6821</v>
      </c>
      <c r="C1048" s="1186">
        <v>1</v>
      </c>
      <c r="D1048" s="1186" t="s">
        <v>3364</v>
      </c>
      <c r="E1048" s="1186">
        <v>9</v>
      </c>
      <c r="F1048" s="1177"/>
      <c r="G1048" s="1177"/>
      <c r="H1048" s="1177"/>
      <c r="I1048" s="1278">
        <f t="shared" si="73"/>
        <v>9</v>
      </c>
      <c r="J1048" s="1184"/>
    </row>
    <row r="1049" spans="1:12" s="1209" customFormat="1">
      <c r="A1049" s="1185"/>
      <c r="B1049" s="1199"/>
      <c r="C1049" s="1186"/>
      <c r="D1049" s="1186"/>
      <c r="E1049" s="1186"/>
      <c r="F1049" s="1177"/>
      <c r="G1049" s="1269"/>
      <c r="H1049" s="1253" t="s">
        <v>2981</v>
      </c>
      <c r="I1049" s="1181">
        <f>SUM(I1036:I1048)</f>
        <v>60</v>
      </c>
      <c r="J1049" s="1184" t="s">
        <v>3471</v>
      </c>
    </row>
    <row r="1050" spans="1:12" s="1209" customFormat="1" ht="94.5">
      <c r="A1050" s="1182">
        <v>64.099999999999994</v>
      </c>
      <c r="B1050" s="1203" t="s">
        <v>3667</v>
      </c>
      <c r="C1050" s="1186"/>
      <c r="D1050" s="1186"/>
      <c r="E1050" s="1186"/>
      <c r="F1050" s="1177"/>
      <c r="G1050" s="1177"/>
      <c r="H1050" s="1177"/>
      <c r="I1050" s="1178"/>
      <c r="J1050" s="1184"/>
    </row>
    <row r="1051" spans="1:12" s="1209" customFormat="1">
      <c r="A1051" s="1182"/>
      <c r="B1051" s="1203" t="s">
        <v>3668</v>
      </c>
      <c r="C1051" s="1186"/>
      <c r="D1051" s="1186"/>
      <c r="E1051" s="1186"/>
      <c r="F1051" s="1177"/>
      <c r="G1051" s="1177"/>
      <c r="H1051" s="1177"/>
      <c r="I1051" s="1178"/>
      <c r="J1051" s="1184"/>
    </row>
    <row r="1052" spans="1:12" s="1209" customFormat="1">
      <c r="A1052" s="1182"/>
      <c r="B1052" s="1203" t="s">
        <v>6790</v>
      </c>
      <c r="C1052" s="1186"/>
      <c r="D1052" s="1186"/>
      <c r="E1052" s="1186"/>
      <c r="F1052" s="1177"/>
      <c r="G1052" s="1177"/>
      <c r="H1052" s="1177"/>
      <c r="I1052" s="1178"/>
      <c r="J1052" s="1184"/>
    </row>
    <row r="1053" spans="1:12" s="1209" customFormat="1">
      <c r="A1053" s="1182"/>
      <c r="B1053" s="1201" t="s">
        <v>3626</v>
      </c>
      <c r="C1053" s="1186">
        <v>6</v>
      </c>
      <c r="D1053" s="1186" t="s">
        <v>3364</v>
      </c>
      <c r="E1053" s="1186">
        <v>4</v>
      </c>
      <c r="F1053" s="1177"/>
      <c r="G1053" s="1177"/>
      <c r="H1053" s="1177"/>
      <c r="I1053" s="1278">
        <f t="shared" si="73"/>
        <v>24</v>
      </c>
      <c r="J1053" s="1275"/>
    </row>
    <row r="1054" spans="1:12" s="1209" customFormat="1">
      <c r="A1054" s="1182"/>
      <c r="B1054" s="1201" t="s">
        <v>6618</v>
      </c>
      <c r="C1054" s="1186">
        <v>2</v>
      </c>
      <c r="D1054" s="1186" t="s">
        <v>3364</v>
      </c>
      <c r="E1054" s="1186">
        <v>1</v>
      </c>
      <c r="F1054" s="1177"/>
      <c r="G1054" s="1177"/>
      <c r="H1054" s="1177"/>
      <c r="I1054" s="1278">
        <f t="shared" si="73"/>
        <v>2</v>
      </c>
      <c r="J1054" s="1275"/>
    </row>
    <row r="1055" spans="1:12" s="1209" customFormat="1">
      <c r="A1055" s="1185"/>
      <c r="B1055" s="1199" t="s">
        <v>6822</v>
      </c>
      <c r="C1055" s="1186">
        <v>2</v>
      </c>
      <c r="D1055" s="1186" t="s">
        <v>3364</v>
      </c>
      <c r="E1055" s="1186">
        <v>1</v>
      </c>
      <c r="F1055" s="1177"/>
      <c r="G1055" s="1177"/>
      <c r="H1055" s="1177"/>
      <c r="I1055" s="1278">
        <f t="shared" si="73"/>
        <v>2</v>
      </c>
      <c r="J1055" s="1275"/>
    </row>
    <row r="1056" spans="1:12" s="1209" customFormat="1">
      <c r="A1056" s="1185"/>
      <c r="B1056" s="1199" t="s">
        <v>6590</v>
      </c>
      <c r="C1056" s="1186">
        <v>2</v>
      </c>
      <c r="D1056" s="1186" t="s">
        <v>3364</v>
      </c>
      <c r="E1056" s="1186">
        <v>1</v>
      </c>
      <c r="F1056" s="1177"/>
      <c r="G1056" s="1177"/>
      <c r="H1056" s="1177"/>
      <c r="I1056" s="1278">
        <f t="shared" si="73"/>
        <v>2</v>
      </c>
      <c r="J1056" s="1275"/>
    </row>
    <row r="1057" spans="1:10" s="1209" customFormat="1">
      <c r="A1057" s="1185"/>
      <c r="B1057" s="1199" t="s">
        <v>3492</v>
      </c>
      <c r="C1057" s="1186">
        <v>3</v>
      </c>
      <c r="D1057" s="1186" t="s">
        <v>3364</v>
      </c>
      <c r="E1057" s="1186">
        <v>1</v>
      </c>
      <c r="F1057" s="1177"/>
      <c r="G1057" s="1177"/>
      <c r="H1057" s="1177"/>
      <c r="I1057" s="1278">
        <f t="shared" si="73"/>
        <v>3</v>
      </c>
      <c r="J1057" s="1275"/>
    </row>
    <row r="1058" spans="1:10" s="1209" customFormat="1">
      <c r="A1058" s="1185"/>
      <c r="B1058" s="1199" t="s">
        <v>6620</v>
      </c>
      <c r="C1058" s="1186">
        <v>3</v>
      </c>
      <c r="D1058" s="1186" t="s">
        <v>3364</v>
      </c>
      <c r="E1058" s="1186">
        <v>1</v>
      </c>
      <c r="F1058" s="1177"/>
      <c r="G1058" s="1177"/>
      <c r="H1058" s="1177"/>
      <c r="I1058" s="1278">
        <f t="shared" si="73"/>
        <v>3</v>
      </c>
      <c r="J1058" s="1275"/>
    </row>
    <row r="1059" spans="1:10" s="1209" customFormat="1" ht="17.25" customHeight="1">
      <c r="A1059" s="1185"/>
      <c r="B1059" s="1199" t="s">
        <v>6823</v>
      </c>
      <c r="C1059" s="1186">
        <v>3</v>
      </c>
      <c r="D1059" s="1186" t="s">
        <v>3364</v>
      </c>
      <c r="E1059" s="1186">
        <v>1</v>
      </c>
      <c r="F1059" s="1177"/>
      <c r="G1059" s="1177"/>
      <c r="H1059" s="1177"/>
      <c r="I1059" s="1278">
        <f t="shared" si="73"/>
        <v>3</v>
      </c>
      <c r="J1059" s="1275"/>
    </row>
    <row r="1060" spans="1:10" s="1209" customFormat="1" ht="17.25" customHeight="1">
      <c r="A1060" s="1185"/>
      <c r="B1060" s="1202" t="s">
        <v>6668</v>
      </c>
      <c r="C1060" s="1186"/>
      <c r="D1060" s="1186"/>
      <c r="E1060" s="1186"/>
      <c r="F1060" s="1177"/>
      <c r="G1060" s="1177"/>
      <c r="H1060" s="1177"/>
      <c r="I1060" s="1278">
        <f t="shared" si="73"/>
        <v>0</v>
      </c>
      <c r="J1060" s="1275"/>
    </row>
    <row r="1061" spans="1:10" s="1209" customFormat="1" ht="17.25" customHeight="1">
      <c r="A1061" s="1185"/>
      <c r="B1061" s="1199" t="s">
        <v>6824</v>
      </c>
      <c r="C1061" s="1186">
        <v>6</v>
      </c>
      <c r="D1061" s="1186" t="s">
        <v>3364</v>
      </c>
      <c r="E1061" s="1186">
        <v>1</v>
      </c>
      <c r="F1061" s="1177"/>
      <c r="G1061" s="1177"/>
      <c r="H1061" s="1177"/>
      <c r="I1061" s="1278">
        <f t="shared" si="73"/>
        <v>6</v>
      </c>
      <c r="J1061" s="1275"/>
    </row>
    <row r="1062" spans="1:10" s="1209" customFormat="1" ht="17.25" customHeight="1">
      <c r="A1062" s="1185"/>
      <c r="B1062" s="1199" t="s">
        <v>6825</v>
      </c>
      <c r="C1062" s="1186">
        <v>12</v>
      </c>
      <c r="D1062" s="1186" t="s">
        <v>3364</v>
      </c>
      <c r="E1062" s="1186">
        <v>1</v>
      </c>
      <c r="F1062" s="1177"/>
      <c r="G1062" s="1177"/>
      <c r="H1062" s="1177"/>
      <c r="I1062" s="1278">
        <f t="shared" si="73"/>
        <v>12</v>
      </c>
      <c r="J1062" s="1275"/>
    </row>
    <row r="1063" spans="1:10" s="1209" customFormat="1" ht="17.25" customHeight="1">
      <c r="A1063" s="1185"/>
      <c r="B1063" s="1199" t="s">
        <v>6826</v>
      </c>
      <c r="C1063" s="1186">
        <v>3</v>
      </c>
      <c r="D1063" s="1186" t="s">
        <v>3364</v>
      </c>
      <c r="E1063" s="1186">
        <v>1</v>
      </c>
      <c r="F1063" s="1177"/>
      <c r="G1063" s="1177"/>
      <c r="H1063" s="1177"/>
      <c r="I1063" s="1278">
        <f t="shared" si="73"/>
        <v>3</v>
      </c>
      <c r="J1063" s="1275"/>
    </row>
    <row r="1064" spans="1:10" s="1209" customFormat="1" ht="17.25" customHeight="1">
      <c r="A1064" s="1185"/>
      <c r="B1064" s="1199" t="s">
        <v>6827</v>
      </c>
      <c r="C1064" s="1186">
        <v>2</v>
      </c>
      <c r="D1064" s="1186" t="s">
        <v>3364</v>
      </c>
      <c r="E1064" s="1186">
        <v>1</v>
      </c>
      <c r="F1064" s="1177"/>
      <c r="G1064" s="1177"/>
      <c r="H1064" s="1177"/>
      <c r="I1064" s="1278">
        <f t="shared" si="73"/>
        <v>2</v>
      </c>
      <c r="J1064" s="1275"/>
    </row>
    <row r="1065" spans="1:10" s="1209" customFormat="1" ht="17.25" customHeight="1">
      <c r="A1065" s="1185"/>
      <c r="B1065" s="1199" t="s">
        <v>6828</v>
      </c>
      <c r="C1065" s="1186">
        <v>7</v>
      </c>
      <c r="D1065" s="1186" t="s">
        <v>3364</v>
      </c>
      <c r="E1065" s="1186">
        <v>1</v>
      </c>
      <c r="F1065" s="1177"/>
      <c r="G1065" s="1177"/>
      <c r="H1065" s="1177"/>
      <c r="I1065" s="1278">
        <f t="shared" si="73"/>
        <v>7</v>
      </c>
      <c r="J1065" s="1275"/>
    </row>
    <row r="1066" spans="1:10" s="1209" customFormat="1" ht="17.25" customHeight="1">
      <c r="A1066" s="1185"/>
      <c r="B1066" s="1199" t="s">
        <v>3492</v>
      </c>
      <c r="C1066" s="1186">
        <v>3</v>
      </c>
      <c r="D1066" s="1186" t="s">
        <v>3364</v>
      </c>
      <c r="E1066" s="1186">
        <v>1</v>
      </c>
      <c r="F1066" s="1177"/>
      <c r="G1066" s="1177"/>
      <c r="H1066" s="1177"/>
      <c r="I1066" s="1278">
        <f t="shared" si="73"/>
        <v>3</v>
      </c>
      <c r="J1066" s="1275"/>
    </row>
    <row r="1067" spans="1:10" s="1209" customFormat="1" ht="17.25" customHeight="1">
      <c r="A1067" s="1185"/>
      <c r="B1067" s="1199" t="s">
        <v>6829</v>
      </c>
      <c r="C1067" s="1186">
        <v>4</v>
      </c>
      <c r="D1067" s="1186" t="s">
        <v>3364</v>
      </c>
      <c r="E1067" s="1186">
        <v>1</v>
      </c>
      <c r="F1067" s="1177"/>
      <c r="G1067" s="1177"/>
      <c r="H1067" s="1177"/>
      <c r="I1067" s="1278">
        <f t="shared" si="73"/>
        <v>4</v>
      </c>
      <c r="J1067" s="1275"/>
    </row>
    <row r="1068" spans="1:10" s="1209" customFormat="1" ht="17.25" customHeight="1">
      <c r="A1068" s="1185"/>
      <c r="B1068" s="1199" t="s">
        <v>6830</v>
      </c>
      <c r="C1068" s="1186">
        <v>1</v>
      </c>
      <c r="D1068" s="1186" t="s">
        <v>3364</v>
      </c>
      <c r="E1068" s="1186">
        <v>1</v>
      </c>
      <c r="F1068" s="1177"/>
      <c r="G1068" s="1177"/>
      <c r="H1068" s="1177"/>
      <c r="I1068" s="1278">
        <f t="shared" si="73"/>
        <v>1</v>
      </c>
      <c r="J1068" s="1275"/>
    </row>
    <row r="1069" spans="1:10" s="1209" customFormat="1" ht="17.25" customHeight="1">
      <c r="A1069" s="1185"/>
      <c r="B1069" s="1202" t="s">
        <v>3691</v>
      </c>
      <c r="C1069" s="1186"/>
      <c r="D1069" s="1186"/>
      <c r="E1069" s="1186"/>
      <c r="F1069" s="1177"/>
      <c r="G1069" s="1177"/>
      <c r="H1069" s="1177"/>
      <c r="I1069" s="1278">
        <f t="shared" si="73"/>
        <v>0</v>
      </c>
      <c r="J1069" s="1275"/>
    </row>
    <row r="1070" spans="1:10" s="1209" customFormat="1" ht="17.25" customHeight="1">
      <c r="A1070" s="1185"/>
      <c r="B1070" s="1199" t="s">
        <v>6831</v>
      </c>
      <c r="C1070" s="1186">
        <v>5</v>
      </c>
      <c r="D1070" s="1186" t="s">
        <v>3364</v>
      </c>
      <c r="E1070" s="1186">
        <v>1</v>
      </c>
      <c r="F1070" s="1177"/>
      <c r="G1070" s="1177"/>
      <c r="H1070" s="1177"/>
      <c r="I1070" s="1278">
        <f t="shared" si="73"/>
        <v>5</v>
      </c>
      <c r="J1070" s="1275"/>
    </row>
    <row r="1071" spans="1:10" s="1209" customFormat="1" ht="17.25" customHeight="1">
      <c r="A1071" s="1185"/>
      <c r="B1071" s="1199" t="s">
        <v>6814</v>
      </c>
      <c r="C1071" s="1186">
        <v>3</v>
      </c>
      <c r="D1071" s="1186" t="s">
        <v>3364</v>
      </c>
      <c r="E1071" s="1186">
        <v>1</v>
      </c>
      <c r="F1071" s="1177"/>
      <c r="G1071" s="1177"/>
      <c r="H1071" s="1177"/>
      <c r="I1071" s="1278">
        <f t="shared" si="73"/>
        <v>3</v>
      </c>
      <c r="J1071" s="1275"/>
    </row>
    <row r="1072" spans="1:10" s="1209" customFormat="1" ht="17.25" customHeight="1">
      <c r="A1072" s="1185"/>
      <c r="B1072" s="1199" t="s">
        <v>6832</v>
      </c>
      <c r="C1072" s="1186">
        <v>12</v>
      </c>
      <c r="D1072" s="1186" t="s">
        <v>3364</v>
      </c>
      <c r="E1072" s="1186">
        <v>1</v>
      </c>
      <c r="F1072" s="1177"/>
      <c r="G1072" s="1177"/>
      <c r="H1072" s="1177"/>
      <c r="I1072" s="1278">
        <f t="shared" si="73"/>
        <v>12</v>
      </c>
      <c r="J1072" s="1275"/>
    </row>
    <row r="1073" spans="1:10" s="1209" customFormat="1" ht="17.25" customHeight="1">
      <c r="A1073" s="1185"/>
      <c r="B1073" s="1199" t="s">
        <v>6833</v>
      </c>
      <c r="C1073" s="1186">
        <v>2</v>
      </c>
      <c r="D1073" s="1186" t="s">
        <v>3364</v>
      </c>
      <c r="E1073" s="1186">
        <v>1</v>
      </c>
      <c r="F1073" s="1177"/>
      <c r="G1073" s="1177"/>
      <c r="H1073" s="1177"/>
      <c r="I1073" s="1278">
        <f t="shared" si="73"/>
        <v>2</v>
      </c>
      <c r="J1073" s="1275"/>
    </row>
    <row r="1074" spans="1:10" s="1209" customFormat="1" ht="17.25" customHeight="1">
      <c r="A1074" s="1185"/>
      <c r="B1074" s="1199" t="s">
        <v>6834</v>
      </c>
      <c r="C1074" s="1186">
        <v>2</v>
      </c>
      <c r="D1074" s="1186" t="s">
        <v>3364</v>
      </c>
      <c r="E1074" s="1186">
        <v>1</v>
      </c>
      <c r="F1074" s="1177"/>
      <c r="G1074" s="1177"/>
      <c r="H1074" s="1177"/>
      <c r="I1074" s="1278">
        <f t="shared" si="73"/>
        <v>2</v>
      </c>
      <c r="J1074" s="1275"/>
    </row>
    <row r="1075" spans="1:10" s="1209" customFormat="1" ht="17.25" customHeight="1">
      <c r="A1075" s="1185"/>
      <c r="B1075" s="1199" t="s">
        <v>6835</v>
      </c>
      <c r="C1075" s="1186">
        <v>7</v>
      </c>
      <c r="D1075" s="1186" t="s">
        <v>3364</v>
      </c>
      <c r="E1075" s="1186">
        <v>1</v>
      </c>
      <c r="F1075" s="1177"/>
      <c r="G1075" s="1177"/>
      <c r="H1075" s="1177"/>
      <c r="I1075" s="1278">
        <f t="shared" si="73"/>
        <v>7</v>
      </c>
      <c r="J1075" s="1275"/>
    </row>
    <row r="1076" spans="1:10" s="1209" customFormat="1" ht="17.25" customHeight="1">
      <c r="A1076" s="1185"/>
      <c r="B1076" s="1199" t="s">
        <v>6829</v>
      </c>
      <c r="C1076" s="1186">
        <v>5</v>
      </c>
      <c r="D1076" s="1186" t="s">
        <v>3364</v>
      </c>
      <c r="E1076" s="1186">
        <v>1</v>
      </c>
      <c r="F1076" s="1177"/>
      <c r="G1076" s="1177"/>
      <c r="H1076" s="1177"/>
      <c r="I1076" s="1278">
        <f t="shared" si="73"/>
        <v>5</v>
      </c>
      <c r="J1076" s="1275"/>
    </row>
    <row r="1077" spans="1:10" s="1209" customFormat="1" ht="17.25" customHeight="1">
      <c r="A1077" s="1185"/>
      <c r="B1077" s="1199" t="s">
        <v>6836</v>
      </c>
      <c r="C1077" s="1186">
        <v>3</v>
      </c>
      <c r="D1077" s="1186" t="s">
        <v>3364</v>
      </c>
      <c r="E1077" s="1186">
        <v>1</v>
      </c>
      <c r="F1077" s="1177"/>
      <c r="G1077" s="1177"/>
      <c r="H1077" s="1177"/>
      <c r="I1077" s="1278">
        <f t="shared" si="73"/>
        <v>3</v>
      </c>
      <c r="J1077" s="1275"/>
    </row>
    <row r="1078" spans="1:10" s="1209" customFormat="1" ht="17.25" customHeight="1">
      <c r="A1078" s="1185"/>
      <c r="B1078" s="1202" t="s">
        <v>3692</v>
      </c>
      <c r="C1078" s="1186"/>
      <c r="D1078" s="1186"/>
      <c r="E1078" s="1186"/>
      <c r="F1078" s="1177"/>
      <c r="G1078" s="1177"/>
      <c r="H1078" s="1177"/>
      <c r="I1078" s="1278">
        <f t="shared" si="73"/>
        <v>0</v>
      </c>
      <c r="J1078" s="1275"/>
    </row>
    <row r="1079" spans="1:10" s="1209" customFormat="1" ht="17.25" customHeight="1">
      <c r="A1079" s="1185"/>
      <c r="B1079" s="1199" t="s">
        <v>6837</v>
      </c>
      <c r="C1079" s="1186">
        <v>8</v>
      </c>
      <c r="D1079" s="1186" t="s">
        <v>3364</v>
      </c>
      <c r="E1079" s="1186">
        <v>1</v>
      </c>
      <c r="F1079" s="1177"/>
      <c r="G1079" s="1177"/>
      <c r="H1079" s="1177"/>
      <c r="I1079" s="1278">
        <f t="shared" si="73"/>
        <v>8</v>
      </c>
      <c r="J1079" s="1275"/>
    </row>
    <row r="1080" spans="1:10" s="1209" customFormat="1" ht="17.25" customHeight="1">
      <c r="A1080" s="1185"/>
      <c r="B1080" s="1199" t="s">
        <v>6600</v>
      </c>
      <c r="C1080" s="1186">
        <v>6</v>
      </c>
      <c r="D1080" s="1186" t="s">
        <v>3364</v>
      </c>
      <c r="E1080" s="1186">
        <v>1</v>
      </c>
      <c r="F1080" s="1177"/>
      <c r="G1080" s="1177"/>
      <c r="H1080" s="1177"/>
      <c r="I1080" s="1278">
        <f t="shared" si="73"/>
        <v>6</v>
      </c>
      <c r="J1080" s="1275"/>
    </row>
    <row r="1081" spans="1:10" s="1209" customFormat="1" ht="17.25" customHeight="1">
      <c r="A1081" s="1185"/>
      <c r="B1081" s="1199" t="s">
        <v>6838</v>
      </c>
      <c r="C1081" s="1186">
        <v>6</v>
      </c>
      <c r="D1081" s="1186" t="s">
        <v>3364</v>
      </c>
      <c r="E1081" s="1186">
        <v>1</v>
      </c>
      <c r="F1081" s="1177"/>
      <c r="G1081" s="1177"/>
      <c r="H1081" s="1177"/>
      <c r="I1081" s="1278">
        <f t="shared" si="73"/>
        <v>6</v>
      </c>
      <c r="J1081" s="1275"/>
    </row>
    <row r="1082" spans="1:10" s="1209" customFormat="1" ht="17.25" customHeight="1">
      <c r="A1082" s="1185"/>
      <c r="B1082" s="1199" t="s">
        <v>6602</v>
      </c>
      <c r="C1082" s="1186">
        <v>5</v>
      </c>
      <c r="D1082" s="1186" t="s">
        <v>3364</v>
      </c>
      <c r="E1082" s="1186">
        <v>1</v>
      </c>
      <c r="F1082" s="1177"/>
      <c r="G1082" s="1177"/>
      <c r="H1082" s="1177"/>
      <c r="I1082" s="1278">
        <f t="shared" si="73"/>
        <v>5</v>
      </c>
      <c r="J1082" s="1275"/>
    </row>
    <row r="1083" spans="1:10" s="1209" customFormat="1" ht="17.25" customHeight="1">
      <c r="A1083" s="1185"/>
      <c r="B1083" s="1199" t="s">
        <v>6839</v>
      </c>
      <c r="C1083" s="1186">
        <v>3</v>
      </c>
      <c r="D1083" s="1186" t="s">
        <v>3364</v>
      </c>
      <c r="E1083" s="1186">
        <v>1</v>
      </c>
      <c r="F1083" s="1177"/>
      <c r="G1083" s="1177"/>
      <c r="H1083" s="1177"/>
      <c r="I1083" s="1278">
        <f t="shared" si="73"/>
        <v>3</v>
      </c>
      <c r="J1083" s="1275"/>
    </row>
    <row r="1084" spans="1:10" s="1209" customFormat="1" ht="17.25" customHeight="1">
      <c r="A1084" s="1185"/>
      <c r="B1084" s="1199" t="s">
        <v>6683</v>
      </c>
      <c r="C1084" s="1186">
        <v>3</v>
      </c>
      <c r="D1084" s="1186" t="s">
        <v>3364</v>
      </c>
      <c r="E1084" s="1186">
        <v>1</v>
      </c>
      <c r="F1084" s="1177"/>
      <c r="G1084" s="1177"/>
      <c r="H1084" s="1177"/>
      <c r="I1084" s="1278">
        <f t="shared" si="73"/>
        <v>3</v>
      </c>
      <c r="J1084" s="1275"/>
    </row>
    <row r="1085" spans="1:10" s="1209" customFormat="1" ht="17.25" customHeight="1">
      <c r="A1085" s="1185"/>
      <c r="B1085" s="1199" t="s">
        <v>6800</v>
      </c>
      <c r="C1085" s="1186">
        <v>2</v>
      </c>
      <c r="D1085" s="1186" t="s">
        <v>3364</v>
      </c>
      <c r="E1085" s="1186">
        <v>1</v>
      </c>
      <c r="F1085" s="1177"/>
      <c r="G1085" s="1177"/>
      <c r="H1085" s="1177"/>
      <c r="I1085" s="1278">
        <f t="shared" si="73"/>
        <v>2</v>
      </c>
      <c r="J1085" s="1275"/>
    </row>
    <row r="1086" spans="1:10" s="1209" customFormat="1" ht="17.25" customHeight="1">
      <c r="A1086" s="1185"/>
      <c r="B1086" s="1199" t="s">
        <v>3484</v>
      </c>
      <c r="C1086" s="1186">
        <v>7</v>
      </c>
      <c r="D1086" s="1186" t="s">
        <v>3364</v>
      </c>
      <c r="E1086" s="1186">
        <v>1</v>
      </c>
      <c r="F1086" s="1177"/>
      <c r="G1086" s="1177"/>
      <c r="H1086" s="1177"/>
      <c r="I1086" s="1278">
        <f t="shared" si="73"/>
        <v>7</v>
      </c>
      <c r="J1086" s="1275"/>
    </row>
    <row r="1087" spans="1:10" s="1209" customFormat="1" ht="17.25" customHeight="1">
      <c r="A1087" s="1185"/>
      <c r="B1087" s="1199" t="s">
        <v>6840</v>
      </c>
      <c r="C1087" s="1186">
        <v>3</v>
      </c>
      <c r="D1087" s="1186" t="s">
        <v>3364</v>
      </c>
      <c r="E1087" s="1186">
        <v>2</v>
      </c>
      <c r="F1087" s="1177"/>
      <c r="G1087" s="1177"/>
      <c r="H1087" s="1177"/>
      <c r="I1087" s="1278">
        <f t="shared" si="73"/>
        <v>6</v>
      </c>
      <c r="J1087" s="1275"/>
    </row>
    <row r="1088" spans="1:10" s="1209" customFormat="1" ht="17.25" customHeight="1">
      <c r="A1088" s="1185"/>
      <c r="B1088" s="1199" t="s">
        <v>6836</v>
      </c>
      <c r="C1088" s="1186">
        <v>3</v>
      </c>
      <c r="D1088" s="1186" t="s">
        <v>3364</v>
      </c>
      <c r="E1088" s="1186">
        <v>2</v>
      </c>
      <c r="F1088" s="1177"/>
      <c r="G1088" s="1177"/>
      <c r="H1088" s="1177"/>
      <c r="I1088" s="1278">
        <f t="shared" si="73"/>
        <v>6</v>
      </c>
      <c r="J1088" s="1275"/>
    </row>
    <row r="1089" spans="1:10" s="1209" customFormat="1" ht="17.25" customHeight="1">
      <c r="A1089" s="1185"/>
      <c r="B1089" s="1199" t="s">
        <v>6841</v>
      </c>
      <c r="C1089" s="1186">
        <v>1</v>
      </c>
      <c r="D1089" s="1186" t="s">
        <v>3364</v>
      </c>
      <c r="E1089" s="1186">
        <v>1</v>
      </c>
      <c r="F1089" s="1177"/>
      <c r="G1089" s="1177"/>
      <c r="H1089" s="1177"/>
      <c r="I1089" s="1278">
        <f t="shared" si="73"/>
        <v>1</v>
      </c>
      <c r="J1089" s="1275"/>
    </row>
    <row r="1090" spans="1:10" s="1209" customFormat="1">
      <c r="A1090" s="1185"/>
      <c r="B1090" s="1199"/>
      <c r="C1090" s="1186"/>
      <c r="D1090" s="1186"/>
      <c r="E1090" s="1186"/>
      <c r="F1090" s="1177"/>
      <c r="G1090" s="1253" t="s">
        <v>104</v>
      </c>
      <c r="H1090" s="1177"/>
      <c r="I1090" s="1181">
        <f>SUM(I1053:I1089)</f>
        <v>169</v>
      </c>
      <c r="J1090" s="1184" t="s">
        <v>3471</v>
      </c>
    </row>
    <row r="1091" spans="1:10" s="1209" customFormat="1">
      <c r="A1091" s="1182"/>
      <c r="B1091" s="1202" t="s">
        <v>3669</v>
      </c>
      <c r="C1091" s="1186"/>
      <c r="D1091" s="1186"/>
      <c r="E1091" s="1186"/>
      <c r="F1091" s="1177"/>
      <c r="G1091" s="1177"/>
      <c r="H1091" s="1177"/>
      <c r="I1091" s="1178"/>
      <c r="J1091" s="1184"/>
    </row>
    <row r="1092" spans="1:10" s="1209" customFormat="1">
      <c r="A1092" s="1182"/>
      <c r="B1092" s="1203" t="s">
        <v>6790</v>
      </c>
      <c r="C1092" s="1186"/>
      <c r="D1092" s="1186"/>
      <c r="E1092" s="1186"/>
      <c r="F1092" s="1177"/>
      <c r="G1092" s="1177"/>
      <c r="H1092" s="1177"/>
      <c r="I1092" s="1178"/>
      <c r="J1092" s="1184"/>
    </row>
    <row r="1093" spans="1:10" s="1209" customFormat="1">
      <c r="A1093" s="1182"/>
      <c r="B1093" s="1201" t="s">
        <v>3626</v>
      </c>
      <c r="C1093" s="1186">
        <v>6</v>
      </c>
      <c r="D1093" s="1186" t="s">
        <v>3364</v>
      </c>
      <c r="E1093" s="1186">
        <v>3</v>
      </c>
      <c r="F1093" s="1177"/>
      <c r="G1093" s="1177"/>
      <c r="H1093" s="1177"/>
      <c r="I1093" s="1278">
        <f t="shared" ref="I1093:I1129" si="74">PRODUCT(C1093:H1093)</f>
        <v>18</v>
      </c>
      <c r="J1093" s="1275"/>
    </row>
    <row r="1094" spans="1:10" s="1209" customFormat="1">
      <c r="A1094" s="1182"/>
      <c r="B1094" s="1201" t="s">
        <v>6618</v>
      </c>
      <c r="C1094" s="1186">
        <v>1</v>
      </c>
      <c r="D1094" s="1186" t="s">
        <v>3364</v>
      </c>
      <c r="E1094" s="1186">
        <v>1</v>
      </c>
      <c r="F1094" s="1177"/>
      <c r="G1094" s="1177"/>
      <c r="H1094" s="1177"/>
      <c r="I1094" s="1278">
        <f t="shared" si="74"/>
        <v>1</v>
      </c>
      <c r="J1094" s="1275"/>
    </row>
    <row r="1095" spans="1:10" s="1209" customFormat="1">
      <c r="A1095" s="1185"/>
      <c r="B1095" s="1199" t="s">
        <v>6822</v>
      </c>
      <c r="C1095" s="1186">
        <v>1</v>
      </c>
      <c r="D1095" s="1186" t="s">
        <v>3364</v>
      </c>
      <c r="E1095" s="1186">
        <v>1</v>
      </c>
      <c r="F1095" s="1177"/>
      <c r="G1095" s="1177"/>
      <c r="H1095" s="1177"/>
      <c r="I1095" s="1278">
        <f t="shared" si="74"/>
        <v>1</v>
      </c>
      <c r="J1095" s="1275"/>
    </row>
    <row r="1096" spans="1:10" s="1209" customFormat="1">
      <c r="A1096" s="1185"/>
      <c r="B1096" s="1199" t="s">
        <v>6590</v>
      </c>
      <c r="C1096" s="1186">
        <v>1</v>
      </c>
      <c r="D1096" s="1186" t="s">
        <v>3364</v>
      </c>
      <c r="E1096" s="1186">
        <v>1</v>
      </c>
      <c r="F1096" s="1177"/>
      <c r="G1096" s="1177"/>
      <c r="H1096" s="1177"/>
      <c r="I1096" s="1278">
        <f t="shared" si="74"/>
        <v>1</v>
      </c>
      <c r="J1096" s="1275"/>
    </row>
    <row r="1097" spans="1:10" s="1209" customFormat="1">
      <c r="A1097" s="1185"/>
      <c r="B1097" s="1199" t="s">
        <v>3492</v>
      </c>
      <c r="C1097" s="1186">
        <v>3</v>
      </c>
      <c r="D1097" s="1186" t="s">
        <v>3364</v>
      </c>
      <c r="E1097" s="1186">
        <v>1</v>
      </c>
      <c r="F1097" s="1177"/>
      <c r="G1097" s="1177"/>
      <c r="H1097" s="1177"/>
      <c r="I1097" s="1278">
        <f t="shared" si="74"/>
        <v>3</v>
      </c>
      <c r="J1097" s="1275"/>
    </row>
    <row r="1098" spans="1:10" s="1209" customFormat="1">
      <c r="A1098" s="1185"/>
      <c r="B1098" s="1199" t="s">
        <v>6620</v>
      </c>
      <c r="C1098" s="1186">
        <v>2</v>
      </c>
      <c r="D1098" s="1186" t="s">
        <v>3364</v>
      </c>
      <c r="E1098" s="1186">
        <v>1</v>
      </c>
      <c r="F1098" s="1177"/>
      <c r="G1098" s="1177"/>
      <c r="H1098" s="1177"/>
      <c r="I1098" s="1278">
        <f t="shared" si="74"/>
        <v>2</v>
      </c>
      <c r="J1098" s="1275"/>
    </row>
    <row r="1099" spans="1:10" s="1209" customFormat="1" ht="17.25" customHeight="1">
      <c r="A1099" s="1185"/>
      <c r="B1099" s="1199" t="s">
        <v>6823</v>
      </c>
      <c r="C1099" s="1186">
        <v>2</v>
      </c>
      <c r="D1099" s="1186" t="s">
        <v>3364</v>
      </c>
      <c r="E1099" s="1186">
        <v>1</v>
      </c>
      <c r="F1099" s="1177"/>
      <c r="G1099" s="1177"/>
      <c r="H1099" s="1177"/>
      <c r="I1099" s="1278">
        <f t="shared" si="74"/>
        <v>2</v>
      </c>
      <c r="J1099" s="1275"/>
    </row>
    <row r="1100" spans="1:10" s="1209" customFormat="1" ht="17.25" customHeight="1">
      <c r="A1100" s="1185"/>
      <c r="B1100" s="1202" t="s">
        <v>6668</v>
      </c>
      <c r="C1100" s="1186"/>
      <c r="D1100" s="1186"/>
      <c r="E1100" s="1186"/>
      <c r="F1100" s="1177"/>
      <c r="G1100" s="1177"/>
      <c r="H1100" s="1177"/>
      <c r="I1100" s="1278">
        <f t="shared" si="74"/>
        <v>0</v>
      </c>
      <c r="J1100" s="1275"/>
    </row>
    <row r="1101" spans="1:10" s="1209" customFormat="1" ht="17.25" customHeight="1">
      <c r="A1101" s="1185"/>
      <c r="B1101" s="1199" t="s">
        <v>6824</v>
      </c>
      <c r="C1101" s="1186">
        <v>5</v>
      </c>
      <c r="D1101" s="1186" t="s">
        <v>3364</v>
      </c>
      <c r="E1101" s="1186">
        <v>1</v>
      </c>
      <c r="F1101" s="1177"/>
      <c r="G1101" s="1177"/>
      <c r="H1101" s="1177"/>
      <c r="I1101" s="1278">
        <f t="shared" si="74"/>
        <v>5</v>
      </c>
      <c r="J1101" s="1275"/>
    </row>
    <row r="1102" spans="1:10" s="1209" customFormat="1" ht="17.25" customHeight="1">
      <c r="A1102" s="1185"/>
      <c r="B1102" s="1199" t="s">
        <v>6825</v>
      </c>
      <c r="C1102" s="1186">
        <v>10</v>
      </c>
      <c r="D1102" s="1186" t="s">
        <v>3364</v>
      </c>
      <c r="E1102" s="1186">
        <v>1</v>
      </c>
      <c r="F1102" s="1177"/>
      <c r="G1102" s="1177"/>
      <c r="H1102" s="1177"/>
      <c r="I1102" s="1278">
        <f t="shared" si="74"/>
        <v>10</v>
      </c>
      <c r="J1102" s="1275"/>
    </row>
    <row r="1103" spans="1:10" s="1209" customFormat="1" ht="17.25" customHeight="1">
      <c r="A1103" s="1185"/>
      <c r="B1103" s="1199" t="s">
        <v>6826</v>
      </c>
      <c r="C1103" s="1186">
        <v>2</v>
      </c>
      <c r="D1103" s="1186" t="s">
        <v>3364</v>
      </c>
      <c r="E1103" s="1186">
        <v>1</v>
      </c>
      <c r="F1103" s="1177"/>
      <c r="G1103" s="1177"/>
      <c r="H1103" s="1177"/>
      <c r="I1103" s="1278">
        <f t="shared" si="74"/>
        <v>2</v>
      </c>
      <c r="J1103" s="1275"/>
    </row>
    <row r="1104" spans="1:10" s="1209" customFormat="1" ht="17.25" customHeight="1">
      <c r="A1104" s="1185"/>
      <c r="B1104" s="1199" t="s">
        <v>6827</v>
      </c>
      <c r="C1104" s="1186">
        <v>1</v>
      </c>
      <c r="D1104" s="1186" t="s">
        <v>3364</v>
      </c>
      <c r="E1104" s="1186">
        <v>1</v>
      </c>
      <c r="F1104" s="1177"/>
      <c r="G1104" s="1177"/>
      <c r="H1104" s="1177"/>
      <c r="I1104" s="1278">
        <f t="shared" si="74"/>
        <v>1</v>
      </c>
      <c r="J1104" s="1275"/>
    </row>
    <row r="1105" spans="1:10" s="1209" customFormat="1" ht="17.25" customHeight="1">
      <c r="A1105" s="1185"/>
      <c r="B1105" s="1199" t="s">
        <v>6828</v>
      </c>
      <c r="C1105" s="1186">
        <v>5</v>
      </c>
      <c r="D1105" s="1186" t="s">
        <v>3364</v>
      </c>
      <c r="E1105" s="1186">
        <v>1</v>
      </c>
      <c r="F1105" s="1177"/>
      <c r="G1105" s="1177"/>
      <c r="H1105" s="1177"/>
      <c r="I1105" s="1278">
        <f t="shared" si="74"/>
        <v>5</v>
      </c>
      <c r="J1105" s="1275"/>
    </row>
    <row r="1106" spans="1:10" s="1209" customFormat="1" ht="17.25" customHeight="1">
      <c r="A1106" s="1185"/>
      <c r="B1106" s="1199" t="s">
        <v>3492</v>
      </c>
      <c r="C1106" s="1186">
        <v>2</v>
      </c>
      <c r="D1106" s="1186" t="s">
        <v>3364</v>
      </c>
      <c r="E1106" s="1186">
        <v>1</v>
      </c>
      <c r="F1106" s="1177"/>
      <c r="G1106" s="1177"/>
      <c r="H1106" s="1177"/>
      <c r="I1106" s="1278">
        <f t="shared" si="74"/>
        <v>2</v>
      </c>
      <c r="J1106" s="1275"/>
    </row>
    <row r="1107" spans="1:10" s="1209" customFormat="1" ht="17.25" customHeight="1">
      <c r="A1107" s="1185"/>
      <c r="B1107" s="1199" t="s">
        <v>6829</v>
      </c>
      <c r="C1107" s="1186">
        <v>12</v>
      </c>
      <c r="D1107" s="1186" t="s">
        <v>3364</v>
      </c>
      <c r="E1107" s="1186">
        <v>1</v>
      </c>
      <c r="F1107" s="1177"/>
      <c r="G1107" s="1177"/>
      <c r="H1107" s="1177"/>
      <c r="I1107" s="1278">
        <f t="shared" si="74"/>
        <v>12</v>
      </c>
      <c r="J1107" s="1275"/>
    </row>
    <row r="1108" spans="1:10" s="1209" customFormat="1" ht="17.25" customHeight="1">
      <c r="A1108" s="1185"/>
      <c r="B1108" s="1199" t="s">
        <v>6830</v>
      </c>
      <c r="C1108" s="1186">
        <v>1</v>
      </c>
      <c r="D1108" s="1186" t="s">
        <v>3364</v>
      </c>
      <c r="E1108" s="1186">
        <v>1</v>
      </c>
      <c r="F1108" s="1177"/>
      <c r="G1108" s="1177"/>
      <c r="H1108" s="1177"/>
      <c r="I1108" s="1278">
        <f t="shared" si="74"/>
        <v>1</v>
      </c>
      <c r="J1108" s="1275"/>
    </row>
    <row r="1109" spans="1:10" s="1209" customFormat="1" ht="17.25" customHeight="1">
      <c r="A1109" s="1185"/>
      <c r="B1109" s="1202" t="s">
        <v>3691</v>
      </c>
      <c r="C1109" s="1186"/>
      <c r="D1109" s="1186"/>
      <c r="E1109" s="1186"/>
      <c r="F1109" s="1177"/>
      <c r="G1109" s="1177"/>
      <c r="H1109" s="1177"/>
      <c r="I1109" s="1278">
        <f t="shared" si="74"/>
        <v>0</v>
      </c>
      <c r="J1109" s="1275"/>
    </row>
    <row r="1110" spans="1:10" s="1209" customFormat="1" ht="17.25" customHeight="1">
      <c r="A1110" s="1185"/>
      <c r="B1110" s="1199" t="s">
        <v>6831</v>
      </c>
      <c r="C1110" s="1186">
        <v>4</v>
      </c>
      <c r="D1110" s="1186" t="s">
        <v>3364</v>
      </c>
      <c r="E1110" s="1186">
        <v>1</v>
      </c>
      <c r="F1110" s="1177"/>
      <c r="G1110" s="1177"/>
      <c r="H1110" s="1177"/>
      <c r="I1110" s="1278">
        <f t="shared" si="74"/>
        <v>4</v>
      </c>
      <c r="J1110" s="1275"/>
    </row>
    <row r="1111" spans="1:10" s="1209" customFormat="1" ht="17.25" customHeight="1">
      <c r="A1111" s="1185"/>
      <c r="B1111" s="1199" t="s">
        <v>6814</v>
      </c>
      <c r="C1111" s="1186">
        <v>3</v>
      </c>
      <c r="D1111" s="1186" t="s">
        <v>3364</v>
      </c>
      <c r="E1111" s="1186">
        <v>1</v>
      </c>
      <c r="F1111" s="1177"/>
      <c r="G1111" s="1177"/>
      <c r="H1111" s="1177"/>
      <c r="I1111" s="1278">
        <f t="shared" si="74"/>
        <v>3</v>
      </c>
      <c r="J1111" s="1275"/>
    </row>
    <row r="1112" spans="1:10" s="1209" customFormat="1" ht="17.25" customHeight="1">
      <c r="A1112" s="1185"/>
      <c r="B1112" s="1199" t="s">
        <v>6832</v>
      </c>
      <c r="C1112" s="1186">
        <v>12</v>
      </c>
      <c r="D1112" s="1186" t="s">
        <v>3364</v>
      </c>
      <c r="E1112" s="1186">
        <v>1</v>
      </c>
      <c r="F1112" s="1177"/>
      <c r="G1112" s="1177"/>
      <c r="H1112" s="1177"/>
      <c r="I1112" s="1278">
        <f t="shared" si="74"/>
        <v>12</v>
      </c>
      <c r="J1112" s="1275"/>
    </row>
    <row r="1113" spans="1:10" s="1209" customFormat="1" ht="17.25" customHeight="1">
      <c r="A1113" s="1185"/>
      <c r="B1113" s="1199" t="s">
        <v>6833</v>
      </c>
      <c r="C1113" s="1186">
        <v>2</v>
      </c>
      <c r="D1113" s="1186" t="s">
        <v>3364</v>
      </c>
      <c r="E1113" s="1186">
        <v>1</v>
      </c>
      <c r="F1113" s="1177"/>
      <c r="G1113" s="1177"/>
      <c r="H1113" s="1177"/>
      <c r="I1113" s="1278">
        <f t="shared" si="74"/>
        <v>2</v>
      </c>
      <c r="J1113" s="1275"/>
    </row>
    <row r="1114" spans="1:10" s="1209" customFormat="1" ht="17.25" customHeight="1">
      <c r="A1114" s="1185"/>
      <c r="B1114" s="1199" t="s">
        <v>6834</v>
      </c>
      <c r="C1114" s="1186">
        <v>2</v>
      </c>
      <c r="D1114" s="1186" t="s">
        <v>3364</v>
      </c>
      <c r="E1114" s="1186">
        <v>1</v>
      </c>
      <c r="F1114" s="1177"/>
      <c r="G1114" s="1177"/>
      <c r="H1114" s="1177"/>
      <c r="I1114" s="1278">
        <f t="shared" si="74"/>
        <v>2</v>
      </c>
      <c r="J1114" s="1275"/>
    </row>
    <row r="1115" spans="1:10" s="1209" customFormat="1" ht="17.25" customHeight="1">
      <c r="A1115" s="1185"/>
      <c r="B1115" s="1199" t="s">
        <v>6835</v>
      </c>
      <c r="C1115" s="1186">
        <v>7</v>
      </c>
      <c r="D1115" s="1186" t="s">
        <v>3364</v>
      </c>
      <c r="E1115" s="1186">
        <v>1</v>
      </c>
      <c r="F1115" s="1177"/>
      <c r="G1115" s="1177"/>
      <c r="H1115" s="1177"/>
      <c r="I1115" s="1278">
        <f t="shared" si="74"/>
        <v>7</v>
      </c>
      <c r="J1115" s="1275"/>
    </row>
    <row r="1116" spans="1:10" s="1209" customFormat="1" ht="17.25" customHeight="1">
      <c r="A1116" s="1185"/>
      <c r="B1116" s="1199" t="s">
        <v>6829</v>
      </c>
      <c r="C1116" s="1186">
        <v>5</v>
      </c>
      <c r="D1116" s="1186" t="s">
        <v>3364</v>
      </c>
      <c r="E1116" s="1186">
        <v>1</v>
      </c>
      <c r="F1116" s="1177"/>
      <c r="G1116" s="1177"/>
      <c r="H1116" s="1177"/>
      <c r="I1116" s="1278">
        <f t="shared" si="74"/>
        <v>5</v>
      </c>
      <c r="J1116" s="1275"/>
    </row>
    <row r="1117" spans="1:10" s="1209" customFormat="1" ht="17.25" customHeight="1">
      <c r="A1117" s="1185"/>
      <c r="B1117" s="1199" t="s">
        <v>6836</v>
      </c>
      <c r="C1117" s="1186">
        <v>3</v>
      </c>
      <c r="D1117" s="1186" t="s">
        <v>3364</v>
      </c>
      <c r="E1117" s="1186">
        <v>1</v>
      </c>
      <c r="F1117" s="1177"/>
      <c r="G1117" s="1177"/>
      <c r="H1117" s="1177"/>
      <c r="I1117" s="1278">
        <f t="shared" si="74"/>
        <v>3</v>
      </c>
      <c r="J1117" s="1275"/>
    </row>
    <row r="1118" spans="1:10" s="1209" customFormat="1" ht="17.25" customHeight="1">
      <c r="A1118" s="1185"/>
      <c r="B1118" s="1202" t="s">
        <v>3692</v>
      </c>
      <c r="C1118" s="1186"/>
      <c r="D1118" s="1186"/>
      <c r="E1118" s="1186"/>
      <c r="F1118" s="1177"/>
      <c r="G1118" s="1177"/>
      <c r="H1118" s="1177"/>
      <c r="I1118" s="1278">
        <f t="shared" si="74"/>
        <v>0</v>
      </c>
      <c r="J1118" s="1275"/>
    </row>
    <row r="1119" spans="1:10" s="1209" customFormat="1" ht="17.25" customHeight="1">
      <c r="A1119" s="1185"/>
      <c r="B1119" s="1199" t="s">
        <v>6837</v>
      </c>
      <c r="C1119" s="1186">
        <v>8</v>
      </c>
      <c r="D1119" s="1186" t="s">
        <v>3364</v>
      </c>
      <c r="E1119" s="1186">
        <v>1</v>
      </c>
      <c r="F1119" s="1177"/>
      <c r="G1119" s="1177"/>
      <c r="H1119" s="1177"/>
      <c r="I1119" s="1278">
        <f t="shared" si="74"/>
        <v>8</v>
      </c>
      <c r="J1119" s="1275"/>
    </row>
    <row r="1120" spans="1:10" s="1209" customFormat="1" ht="17.25" customHeight="1">
      <c r="A1120" s="1185"/>
      <c r="B1120" s="1199" t="s">
        <v>6600</v>
      </c>
      <c r="C1120" s="1186">
        <v>5</v>
      </c>
      <c r="D1120" s="1186" t="s">
        <v>3364</v>
      </c>
      <c r="E1120" s="1186">
        <v>1</v>
      </c>
      <c r="F1120" s="1177"/>
      <c r="G1120" s="1177"/>
      <c r="H1120" s="1177"/>
      <c r="I1120" s="1278">
        <f t="shared" si="74"/>
        <v>5</v>
      </c>
      <c r="J1120" s="1275"/>
    </row>
    <row r="1121" spans="1:10" s="1209" customFormat="1" ht="17.25" customHeight="1">
      <c r="A1121" s="1185"/>
      <c r="B1121" s="1199" t="s">
        <v>6838</v>
      </c>
      <c r="C1121" s="1186">
        <v>5</v>
      </c>
      <c r="D1121" s="1186" t="s">
        <v>3364</v>
      </c>
      <c r="E1121" s="1186">
        <v>1</v>
      </c>
      <c r="F1121" s="1177"/>
      <c r="G1121" s="1177"/>
      <c r="H1121" s="1177"/>
      <c r="I1121" s="1278">
        <f t="shared" si="74"/>
        <v>5</v>
      </c>
      <c r="J1121" s="1275"/>
    </row>
    <row r="1122" spans="1:10" s="1209" customFormat="1" ht="17.25" customHeight="1">
      <c r="A1122" s="1185"/>
      <c r="B1122" s="1199" t="s">
        <v>6602</v>
      </c>
      <c r="C1122" s="1186">
        <v>4</v>
      </c>
      <c r="D1122" s="1186" t="s">
        <v>3364</v>
      </c>
      <c r="E1122" s="1186">
        <v>1</v>
      </c>
      <c r="F1122" s="1177"/>
      <c r="G1122" s="1177"/>
      <c r="H1122" s="1177"/>
      <c r="I1122" s="1278">
        <f t="shared" si="74"/>
        <v>4</v>
      </c>
      <c r="J1122" s="1275"/>
    </row>
    <row r="1123" spans="1:10" s="1209" customFormat="1" ht="17.25" customHeight="1">
      <c r="A1123" s="1185"/>
      <c r="B1123" s="1199" t="s">
        <v>6839</v>
      </c>
      <c r="C1123" s="1186">
        <v>3</v>
      </c>
      <c r="D1123" s="1186" t="s">
        <v>3364</v>
      </c>
      <c r="E1123" s="1186">
        <v>1</v>
      </c>
      <c r="F1123" s="1177"/>
      <c r="G1123" s="1177"/>
      <c r="H1123" s="1177"/>
      <c r="I1123" s="1278">
        <f t="shared" si="74"/>
        <v>3</v>
      </c>
      <c r="J1123" s="1275"/>
    </row>
    <row r="1124" spans="1:10" s="1209" customFormat="1" ht="17.25" customHeight="1">
      <c r="A1124" s="1185"/>
      <c r="B1124" s="1199" t="s">
        <v>6683</v>
      </c>
      <c r="C1124" s="1186">
        <v>2</v>
      </c>
      <c r="D1124" s="1186" t="s">
        <v>3364</v>
      </c>
      <c r="E1124" s="1186">
        <v>1</v>
      </c>
      <c r="F1124" s="1177"/>
      <c r="G1124" s="1177"/>
      <c r="H1124" s="1177"/>
      <c r="I1124" s="1278">
        <f t="shared" si="74"/>
        <v>2</v>
      </c>
      <c r="J1124" s="1275"/>
    </row>
    <row r="1125" spans="1:10" s="1209" customFormat="1" ht="17.25" customHeight="1">
      <c r="A1125" s="1185"/>
      <c r="B1125" s="1199" t="s">
        <v>6800</v>
      </c>
      <c r="C1125" s="1186">
        <v>2</v>
      </c>
      <c r="D1125" s="1186" t="s">
        <v>3364</v>
      </c>
      <c r="E1125" s="1186">
        <v>1</v>
      </c>
      <c r="F1125" s="1177"/>
      <c r="G1125" s="1177"/>
      <c r="H1125" s="1177"/>
      <c r="I1125" s="1278">
        <f t="shared" si="74"/>
        <v>2</v>
      </c>
      <c r="J1125" s="1275"/>
    </row>
    <row r="1126" spans="1:10" s="1209" customFormat="1" ht="17.25" customHeight="1">
      <c r="A1126" s="1185"/>
      <c r="B1126" s="1199" t="s">
        <v>3484</v>
      </c>
      <c r="C1126" s="1186">
        <v>5</v>
      </c>
      <c r="D1126" s="1186" t="s">
        <v>3364</v>
      </c>
      <c r="E1126" s="1186">
        <v>1</v>
      </c>
      <c r="F1126" s="1177"/>
      <c r="G1126" s="1177"/>
      <c r="H1126" s="1177"/>
      <c r="I1126" s="1278">
        <f t="shared" si="74"/>
        <v>5</v>
      </c>
      <c r="J1126" s="1275"/>
    </row>
    <row r="1127" spans="1:10" s="1209" customFormat="1" ht="17.25" customHeight="1">
      <c r="A1127" s="1185"/>
      <c r="B1127" s="1199" t="s">
        <v>6840</v>
      </c>
      <c r="C1127" s="1186">
        <v>2</v>
      </c>
      <c r="D1127" s="1186" t="s">
        <v>3364</v>
      </c>
      <c r="E1127" s="1186">
        <v>2</v>
      </c>
      <c r="F1127" s="1177"/>
      <c r="G1127" s="1177"/>
      <c r="H1127" s="1177"/>
      <c r="I1127" s="1278">
        <f t="shared" si="74"/>
        <v>4</v>
      </c>
      <c r="J1127" s="1275"/>
    </row>
    <row r="1128" spans="1:10" s="1209" customFormat="1" ht="17.25" customHeight="1">
      <c r="A1128" s="1185"/>
      <c r="B1128" s="1199" t="s">
        <v>6836</v>
      </c>
      <c r="C1128" s="1186">
        <v>2</v>
      </c>
      <c r="D1128" s="1186" t="s">
        <v>3364</v>
      </c>
      <c r="E1128" s="1186">
        <v>2</v>
      </c>
      <c r="F1128" s="1177"/>
      <c r="G1128" s="1177"/>
      <c r="H1128" s="1177"/>
      <c r="I1128" s="1278">
        <f t="shared" si="74"/>
        <v>4</v>
      </c>
      <c r="J1128" s="1275"/>
    </row>
    <row r="1129" spans="1:10" s="1209" customFormat="1" ht="17.25" customHeight="1">
      <c r="A1129" s="1185"/>
      <c r="B1129" s="1199" t="s">
        <v>6841</v>
      </c>
      <c r="C1129" s="1186">
        <v>2</v>
      </c>
      <c r="D1129" s="1186" t="s">
        <v>3364</v>
      </c>
      <c r="E1129" s="1186">
        <v>1</v>
      </c>
      <c r="F1129" s="1177"/>
      <c r="G1129" s="1177"/>
      <c r="H1129" s="1177"/>
      <c r="I1129" s="1278">
        <f t="shared" si="74"/>
        <v>2</v>
      </c>
      <c r="J1129" s="1275"/>
    </row>
    <row r="1130" spans="1:10" s="1209" customFormat="1">
      <c r="A1130" s="1185"/>
      <c r="B1130" s="1199"/>
      <c r="C1130" s="1186"/>
      <c r="D1130" s="1186"/>
      <c r="E1130" s="1186"/>
      <c r="F1130" s="1177"/>
      <c r="G1130" s="1253" t="s">
        <v>104</v>
      </c>
      <c r="H1130" s="1177"/>
      <c r="I1130" s="1181">
        <f>SUM(I1093:I1129)</f>
        <v>148</v>
      </c>
      <c r="J1130" s="1184" t="s">
        <v>3471</v>
      </c>
    </row>
    <row r="1131" spans="1:10" s="1209" customFormat="1">
      <c r="A1131" s="1182"/>
      <c r="B1131" s="1203" t="s">
        <v>3670</v>
      </c>
      <c r="C1131" s="1268"/>
      <c r="D1131" s="1268"/>
      <c r="E1131" s="1268"/>
      <c r="F1131" s="1269"/>
      <c r="G1131" s="1269"/>
      <c r="H1131" s="1269"/>
      <c r="I1131" s="1183"/>
      <c r="J1131" s="1189"/>
    </row>
    <row r="1132" spans="1:10" s="1209" customFormat="1">
      <c r="A1132" s="1185"/>
      <c r="B1132" s="1199" t="s">
        <v>3372</v>
      </c>
      <c r="C1132" s="1186">
        <v>1</v>
      </c>
      <c r="D1132" s="1186" t="s">
        <v>3364</v>
      </c>
      <c r="E1132" s="1186">
        <v>1</v>
      </c>
      <c r="F1132" s="1177"/>
      <c r="G1132" s="1177"/>
      <c r="H1132" s="1177"/>
      <c r="I1132" s="1278">
        <f>PRODUCT(C1132:H1132)</f>
        <v>1</v>
      </c>
      <c r="J1132" s="1184"/>
    </row>
    <row r="1133" spans="1:10" s="1209" customFormat="1">
      <c r="A1133" s="1185"/>
      <c r="B1133" s="1199" t="s">
        <v>6842</v>
      </c>
      <c r="C1133" s="1186">
        <v>1</v>
      </c>
      <c r="D1133" s="1186" t="s">
        <v>3364</v>
      </c>
      <c r="E1133" s="1186">
        <v>1</v>
      </c>
      <c r="F1133" s="1177"/>
      <c r="G1133" s="1177"/>
      <c r="H1133" s="1177"/>
      <c r="I1133" s="1278">
        <f>PRODUCT(C1133:H1133)</f>
        <v>1</v>
      </c>
      <c r="J1133" s="1184"/>
    </row>
    <row r="1134" spans="1:10" s="1209" customFormat="1">
      <c r="A1134" s="1185"/>
      <c r="B1134" s="1199" t="s">
        <v>3645</v>
      </c>
      <c r="C1134" s="1186">
        <v>1</v>
      </c>
      <c r="D1134" s="1186" t="s">
        <v>3364</v>
      </c>
      <c r="E1134" s="1186">
        <v>1</v>
      </c>
      <c r="F1134" s="1177"/>
      <c r="G1134" s="1177"/>
      <c r="H1134" s="1177"/>
      <c r="I1134" s="1278">
        <f>PRODUCT(C1134:H1134)</f>
        <v>1</v>
      </c>
      <c r="J1134" s="1184"/>
    </row>
    <row r="1135" spans="1:10" s="1209" customFormat="1">
      <c r="A1135" s="1185"/>
      <c r="B1135" s="1199" t="s">
        <v>6826</v>
      </c>
      <c r="C1135" s="1186">
        <v>1</v>
      </c>
      <c r="D1135" s="1186" t="s">
        <v>3364</v>
      </c>
      <c r="E1135" s="1186">
        <v>1</v>
      </c>
      <c r="F1135" s="1177"/>
      <c r="G1135" s="1177"/>
      <c r="H1135" s="1177"/>
      <c r="I1135" s="1278">
        <f>PRODUCT(C1135:H1135)</f>
        <v>1</v>
      </c>
      <c r="J1135" s="1184"/>
    </row>
    <row r="1136" spans="1:10" s="1209" customFormat="1">
      <c r="A1136" s="1185"/>
      <c r="B1136" s="1199" t="s">
        <v>6840</v>
      </c>
      <c r="C1136" s="1186">
        <v>3</v>
      </c>
      <c r="D1136" s="1186" t="s">
        <v>3364</v>
      </c>
      <c r="E1136" s="1186">
        <v>1</v>
      </c>
      <c r="F1136" s="1177"/>
      <c r="G1136" s="1177"/>
      <c r="H1136" s="1177"/>
      <c r="I1136" s="1278">
        <f>PRODUCT(C1136:H1136)</f>
        <v>3</v>
      </c>
      <c r="J1136" s="1184"/>
    </row>
    <row r="1137" spans="1:10" s="1209" customFormat="1">
      <c r="A1137" s="1185"/>
      <c r="B1137" s="1199"/>
      <c r="C1137" s="1186"/>
      <c r="D1137" s="1186"/>
      <c r="E1137" s="1186"/>
      <c r="F1137" s="1177"/>
      <c r="G1137" s="1177"/>
      <c r="H1137" s="1253" t="s">
        <v>2981</v>
      </c>
      <c r="I1137" s="1181">
        <f>SUM(I1132:I1136)</f>
        <v>7</v>
      </c>
      <c r="J1137" s="1184" t="str">
        <f>J1130</f>
        <v>No.s</v>
      </c>
    </row>
    <row r="1138" spans="1:10" s="1209" customFormat="1" ht="94.5" customHeight="1">
      <c r="A1138" s="1182">
        <v>65.099999999999994</v>
      </c>
      <c r="B1138" s="1203" t="s">
        <v>3671</v>
      </c>
      <c r="C1138" s="1186"/>
      <c r="D1138" s="1186"/>
      <c r="E1138" s="1186"/>
      <c r="F1138" s="1177"/>
      <c r="G1138" s="1177"/>
      <c r="H1138" s="1177"/>
      <c r="I1138" s="1178"/>
      <c r="J1138" s="1184"/>
    </row>
    <row r="1139" spans="1:10" s="1209" customFormat="1">
      <c r="A1139" s="1182"/>
      <c r="B1139" s="1203" t="s">
        <v>6790</v>
      </c>
      <c r="C1139" s="1186"/>
      <c r="D1139" s="1186"/>
      <c r="E1139" s="1186"/>
      <c r="F1139" s="1177"/>
      <c r="G1139" s="1177"/>
      <c r="H1139" s="1177"/>
      <c r="I1139" s="1178"/>
      <c r="J1139" s="1184"/>
    </row>
    <row r="1140" spans="1:10" s="1209" customFormat="1">
      <c r="A1140" s="1182"/>
      <c r="B1140" s="1201" t="s">
        <v>6618</v>
      </c>
      <c r="C1140" s="1186">
        <v>1</v>
      </c>
      <c r="D1140" s="1186" t="s">
        <v>3364</v>
      </c>
      <c r="E1140" s="1186">
        <v>1</v>
      </c>
      <c r="F1140" s="1177"/>
      <c r="G1140" s="1177"/>
      <c r="H1140" s="1177"/>
      <c r="I1140" s="1278">
        <f t="shared" ref="I1140:I1174" si="75">PRODUCT(C1140:H1140)</f>
        <v>1</v>
      </c>
      <c r="J1140" s="1275"/>
    </row>
    <row r="1141" spans="1:10" s="1209" customFormat="1">
      <c r="A1141" s="1185"/>
      <c r="B1141" s="1199" t="s">
        <v>6822</v>
      </c>
      <c r="C1141" s="1186">
        <v>2</v>
      </c>
      <c r="D1141" s="1186" t="s">
        <v>3364</v>
      </c>
      <c r="E1141" s="1186">
        <v>1</v>
      </c>
      <c r="F1141" s="1177"/>
      <c r="G1141" s="1177"/>
      <c r="H1141" s="1177"/>
      <c r="I1141" s="1278">
        <f t="shared" si="75"/>
        <v>2</v>
      </c>
      <c r="J1141" s="1275"/>
    </row>
    <row r="1142" spans="1:10" s="1209" customFormat="1">
      <c r="A1142" s="1185"/>
      <c r="B1142" s="1199" t="s">
        <v>6590</v>
      </c>
      <c r="C1142" s="1186">
        <v>2</v>
      </c>
      <c r="D1142" s="1186" t="s">
        <v>3364</v>
      </c>
      <c r="E1142" s="1186">
        <v>1</v>
      </c>
      <c r="F1142" s="1177"/>
      <c r="G1142" s="1177"/>
      <c r="H1142" s="1177"/>
      <c r="I1142" s="1278">
        <f t="shared" si="75"/>
        <v>2</v>
      </c>
      <c r="J1142" s="1275"/>
    </row>
    <row r="1143" spans="1:10" s="1209" customFormat="1">
      <c r="A1143" s="1185"/>
      <c r="B1143" s="1199" t="s">
        <v>3492</v>
      </c>
      <c r="C1143" s="1186">
        <v>2</v>
      </c>
      <c r="D1143" s="1186" t="s">
        <v>3364</v>
      </c>
      <c r="E1143" s="1186">
        <v>1</v>
      </c>
      <c r="F1143" s="1177"/>
      <c r="G1143" s="1177"/>
      <c r="H1143" s="1177"/>
      <c r="I1143" s="1278">
        <f t="shared" si="75"/>
        <v>2</v>
      </c>
      <c r="J1143" s="1275"/>
    </row>
    <row r="1144" spans="1:10" s="1209" customFormat="1">
      <c r="A1144" s="1185"/>
      <c r="B1144" s="1199" t="s">
        <v>6620</v>
      </c>
      <c r="C1144" s="1186">
        <v>4</v>
      </c>
      <c r="D1144" s="1186" t="s">
        <v>3364</v>
      </c>
      <c r="E1144" s="1186">
        <v>1</v>
      </c>
      <c r="F1144" s="1177"/>
      <c r="G1144" s="1177"/>
      <c r="H1144" s="1177"/>
      <c r="I1144" s="1278">
        <f t="shared" si="75"/>
        <v>4</v>
      </c>
      <c r="J1144" s="1275"/>
    </row>
    <row r="1145" spans="1:10" s="1209" customFormat="1" ht="17.25" customHeight="1">
      <c r="A1145" s="1185"/>
      <c r="B1145" s="1199" t="s">
        <v>6823</v>
      </c>
      <c r="C1145" s="1186">
        <v>4</v>
      </c>
      <c r="D1145" s="1186" t="s">
        <v>3364</v>
      </c>
      <c r="E1145" s="1186">
        <v>1</v>
      </c>
      <c r="F1145" s="1177"/>
      <c r="G1145" s="1177"/>
      <c r="H1145" s="1177"/>
      <c r="I1145" s="1278">
        <f t="shared" si="75"/>
        <v>4</v>
      </c>
      <c r="J1145" s="1275"/>
    </row>
    <row r="1146" spans="1:10" s="1209" customFormat="1" ht="17.25" customHeight="1">
      <c r="A1146" s="1185"/>
      <c r="B1146" s="1202" t="s">
        <v>6668</v>
      </c>
      <c r="C1146" s="1186"/>
      <c r="D1146" s="1186"/>
      <c r="E1146" s="1186"/>
      <c r="F1146" s="1177"/>
      <c r="G1146" s="1177"/>
      <c r="H1146" s="1177"/>
      <c r="I1146" s="1278">
        <f t="shared" si="75"/>
        <v>0</v>
      </c>
      <c r="J1146" s="1275"/>
    </row>
    <row r="1147" spans="1:10" s="1209" customFormat="1" ht="17.25" customHeight="1">
      <c r="A1147" s="1185"/>
      <c r="B1147" s="1199" t="s">
        <v>6824</v>
      </c>
      <c r="C1147" s="1186">
        <v>8</v>
      </c>
      <c r="D1147" s="1186" t="s">
        <v>3364</v>
      </c>
      <c r="E1147" s="1186">
        <v>1</v>
      </c>
      <c r="F1147" s="1177"/>
      <c r="G1147" s="1177"/>
      <c r="H1147" s="1177"/>
      <c r="I1147" s="1278">
        <f t="shared" si="75"/>
        <v>8</v>
      </c>
      <c r="J1147" s="1275"/>
    </row>
    <row r="1148" spans="1:10" s="1209" customFormat="1" ht="17.25" customHeight="1">
      <c r="A1148" s="1185"/>
      <c r="B1148" s="1199" t="s">
        <v>6825</v>
      </c>
      <c r="C1148" s="1186">
        <v>6</v>
      </c>
      <c r="D1148" s="1186" t="s">
        <v>3364</v>
      </c>
      <c r="E1148" s="1186">
        <v>3</v>
      </c>
      <c r="F1148" s="1177"/>
      <c r="G1148" s="1177"/>
      <c r="H1148" s="1177"/>
      <c r="I1148" s="1278">
        <f t="shared" si="75"/>
        <v>18</v>
      </c>
      <c r="J1148" s="1275"/>
    </row>
    <row r="1149" spans="1:10" s="1209" customFormat="1" ht="17.25" customHeight="1">
      <c r="A1149" s="1185"/>
      <c r="B1149" s="1199" t="s">
        <v>6826</v>
      </c>
      <c r="C1149" s="1186">
        <v>1</v>
      </c>
      <c r="D1149" s="1186" t="s">
        <v>3364</v>
      </c>
      <c r="E1149" s="1186">
        <v>2</v>
      </c>
      <c r="F1149" s="1177"/>
      <c r="G1149" s="1177"/>
      <c r="H1149" s="1177"/>
      <c r="I1149" s="1278">
        <f t="shared" si="75"/>
        <v>2</v>
      </c>
      <c r="J1149" s="1275"/>
    </row>
    <row r="1150" spans="1:10" s="1209" customFormat="1" ht="17.25" customHeight="1">
      <c r="A1150" s="1185"/>
      <c r="B1150" s="1199" t="s">
        <v>6827</v>
      </c>
      <c r="C1150" s="1186">
        <v>1</v>
      </c>
      <c r="D1150" s="1186" t="s">
        <v>3364</v>
      </c>
      <c r="E1150" s="1186">
        <v>1</v>
      </c>
      <c r="F1150" s="1177"/>
      <c r="G1150" s="1177"/>
      <c r="H1150" s="1177"/>
      <c r="I1150" s="1278">
        <f t="shared" si="75"/>
        <v>1</v>
      </c>
      <c r="J1150" s="1275"/>
    </row>
    <row r="1151" spans="1:10" s="1209" customFormat="1" ht="17.25" customHeight="1">
      <c r="A1151" s="1185"/>
      <c r="B1151" s="1199" t="s">
        <v>6828</v>
      </c>
      <c r="C1151" s="1186">
        <v>6</v>
      </c>
      <c r="D1151" s="1186" t="s">
        <v>3364</v>
      </c>
      <c r="E1151" s="1186">
        <v>1</v>
      </c>
      <c r="F1151" s="1177"/>
      <c r="G1151" s="1177"/>
      <c r="H1151" s="1177"/>
      <c r="I1151" s="1278">
        <f t="shared" si="75"/>
        <v>6</v>
      </c>
      <c r="J1151" s="1275"/>
    </row>
    <row r="1152" spans="1:10" s="1209" customFormat="1" ht="17.25" customHeight="1">
      <c r="A1152" s="1185"/>
      <c r="B1152" s="1199" t="s">
        <v>3492</v>
      </c>
      <c r="C1152" s="1186">
        <v>2</v>
      </c>
      <c r="D1152" s="1186" t="s">
        <v>3364</v>
      </c>
      <c r="E1152" s="1186">
        <v>1</v>
      </c>
      <c r="F1152" s="1177"/>
      <c r="G1152" s="1177"/>
      <c r="H1152" s="1177"/>
      <c r="I1152" s="1278">
        <f t="shared" si="75"/>
        <v>2</v>
      </c>
      <c r="J1152" s="1275"/>
    </row>
    <row r="1153" spans="1:10" s="1209" customFormat="1" ht="17.25" customHeight="1">
      <c r="A1153" s="1185"/>
      <c r="B1153" s="1199" t="s">
        <v>6830</v>
      </c>
      <c r="C1153" s="1186">
        <v>1</v>
      </c>
      <c r="D1153" s="1186" t="s">
        <v>3364</v>
      </c>
      <c r="E1153" s="1186">
        <v>1</v>
      </c>
      <c r="F1153" s="1177"/>
      <c r="G1153" s="1177"/>
      <c r="H1153" s="1177"/>
      <c r="I1153" s="1278">
        <f t="shared" si="75"/>
        <v>1</v>
      </c>
      <c r="J1153" s="1275"/>
    </row>
    <row r="1154" spans="1:10" s="1209" customFormat="1" ht="17.25" customHeight="1">
      <c r="A1154" s="1185"/>
      <c r="B1154" s="1202" t="s">
        <v>3691</v>
      </c>
      <c r="C1154" s="1186"/>
      <c r="D1154" s="1186"/>
      <c r="E1154" s="1186"/>
      <c r="F1154" s="1177"/>
      <c r="G1154" s="1177"/>
      <c r="H1154" s="1177"/>
      <c r="I1154" s="1278">
        <f t="shared" si="75"/>
        <v>0</v>
      </c>
      <c r="J1154" s="1275"/>
    </row>
    <row r="1155" spans="1:10" s="1209" customFormat="1" ht="17.25" customHeight="1">
      <c r="A1155" s="1185"/>
      <c r="B1155" s="1199" t="s">
        <v>6831</v>
      </c>
      <c r="C1155" s="1186">
        <v>6</v>
      </c>
      <c r="D1155" s="1186" t="s">
        <v>3364</v>
      </c>
      <c r="E1155" s="1186">
        <v>1</v>
      </c>
      <c r="F1155" s="1177"/>
      <c r="G1155" s="1177"/>
      <c r="H1155" s="1177"/>
      <c r="I1155" s="1278">
        <f t="shared" si="75"/>
        <v>6</v>
      </c>
      <c r="J1155" s="1275"/>
    </row>
    <row r="1156" spans="1:10" s="1209" customFormat="1" ht="17.25" customHeight="1">
      <c r="A1156" s="1185"/>
      <c r="B1156" s="1199" t="s">
        <v>6814</v>
      </c>
      <c r="C1156" s="1186">
        <v>2</v>
      </c>
      <c r="D1156" s="1186" t="s">
        <v>3364</v>
      </c>
      <c r="E1156" s="1186">
        <v>1</v>
      </c>
      <c r="F1156" s="1177"/>
      <c r="G1156" s="1177"/>
      <c r="H1156" s="1177"/>
      <c r="I1156" s="1278">
        <f t="shared" si="75"/>
        <v>2</v>
      </c>
      <c r="J1156" s="1275"/>
    </row>
    <row r="1157" spans="1:10" s="1209" customFormat="1" ht="17.25" customHeight="1">
      <c r="A1157" s="1185"/>
      <c r="B1157" s="1199" t="s">
        <v>6832</v>
      </c>
      <c r="C1157" s="1186">
        <v>6</v>
      </c>
      <c r="D1157" s="1186" t="s">
        <v>3364</v>
      </c>
      <c r="E1157" s="1186">
        <v>3</v>
      </c>
      <c r="F1157" s="1177"/>
      <c r="G1157" s="1177"/>
      <c r="H1157" s="1177"/>
      <c r="I1157" s="1278">
        <f t="shared" si="75"/>
        <v>18</v>
      </c>
      <c r="J1157" s="1275"/>
    </row>
    <row r="1158" spans="1:10" s="1209" customFormat="1" ht="17.25" customHeight="1">
      <c r="A1158" s="1185"/>
      <c r="B1158" s="1199" t="s">
        <v>6833</v>
      </c>
      <c r="C1158" s="1186">
        <v>2</v>
      </c>
      <c r="D1158" s="1186" t="s">
        <v>3364</v>
      </c>
      <c r="E1158" s="1186">
        <v>1</v>
      </c>
      <c r="F1158" s="1177"/>
      <c r="G1158" s="1177"/>
      <c r="H1158" s="1177"/>
      <c r="I1158" s="1278">
        <f t="shared" si="75"/>
        <v>2</v>
      </c>
      <c r="J1158" s="1275"/>
    </row>
    <row r="1159" spans="1:10" s="1209" customFormat="1" ht="17.25" customHeight="1">
      <c r="A1159" s="1185"/>
      <c r="B1159" s="1199" t="s">
        <v>6834</v>
      </c>
      <c r="C1159" s="1186">
        <v>2</v>
      </c>
      <c r="D1159" s="1186" t="s">
        <v>3364</v>
      </c>
      <c r="E1159" s="1186">
        <v>1</v>
      </c>
      <c r="F1159" s="1177"/>
      <c r="G1159" s="1177"/>
      <c r="H1159" s="1177"/>
      <c r="I1159" s="1278">
        <f t="shared" si="75"/>
        <v>2</v>
      </c>
      <c r="J1159" s="1275"/>
    </row>
    <row r="1160" spans="1:10" s="1209" customFormat="1" ht="17.25" customHeight="1">
      <c r="A1160" s="1185"/>
      <c r="B1160" s="1199" t="s">
        <v>6835</v>
      </c>
      <c r="C1160" s="1186">
        <v>6</v>
      </c>
      <c r="D1160" s="1186" t="s">
        <v>3364</v>
      </c>
      <c r="E1160" s="1186">
        <v>1</v>
      </c>
      <c r="F1160" s="1177"/>
      <c r="G1160" s="1177"/>
      <c r="H1160" s="1177"/>
      <c r="I1160" s="1278">
        <f t="shared" si="75"/>
        <v>6</v>
      </c>
      <c r="J1160" s="1275"/>
    </row>
    <row r="1161" spans="1:10" s="1209" customFormat="1" ht="17.25" customHeight="1">
      <c r="A1161" s="1185"/>
      <c r="B1161" s="1199" t="s">
        <v>6829</v>
      </c>
      <c r="C1161" s="1186">
        <v>5</v>
      </c>
      <c r="D1161" s="1186" t="s">
        <v>3364</v>
      </c>
      <c r="E1161" s="1186">
        <v>1</v>
      </c>
      <c r="F1161" s="1177"/>
      <c r="G1161" s="1177"/>
      <c r="H1161" s="1177"/>
      <c r="I1161" s="1278">
        <f t="shared" si="75"/>
        <v>5</v>
      </c>
      <c r="J1161" s="1275"/>
    </row>
    <row r="1162" spans="1:10" s="1209" customFormat="1" ht="17.25" customHeight="1">
      <c r="A1162" s="1185"/>
      <c r="B1162" s="1199" t="s">
        <v>6836</v>
      </c>
      <c r="C1162" s="1186">
        <v>3</v>
      </c>
      <c r="D1162" s="1186" t="s">
        <v>3364</v>
      </c>
      <c r="E1162" s="1186">
        <v>1</v>
      </c>
      <c r="F1162" s="1177"/>
      <c r="G1162" s="1177"/>
      <c r="H1162" s="1177"/>
      <c r="I1162" s="1278">
        <f t="shared" si="75"/>
        <v>3</v>
      </c>
      <c r="J1162" s="1275"/>
    </row>
    <row r="1163" spans="1:10" s="1209" customFormat="1" ht="17.25" customHeight="1">
      <c r="A1163" s="1185"/>
      <c r="B1163" s="1202" t="s">
        <v>3692</v>
      </c>
      <c r="C1163" s="1186"/>
      <c r="D1163" s="1186"/>
      <c r="E1163" s="1186"/>
      <c r="F1163" s="1177"/>
      <c r="G1163" s="1177"/>
      <c r="H1163" s="1177"/>
      <c r="I1163" s="1278">
        <f t="shared" si="75"/>
        <v>0</v>
      </c>
      <c r="J1163" s="1275"/>
    </row>
    <row r="1164" spans="1:10" s="1209" customFormat="1" ht="17.25" customHeight="1">
      <c r="A1164" s="1185"/>
      <c r="B1164" s="1199" t="s">
        <v>6837</v>
      </c>
      <c r="C1164" s="1186">
        <v>6</v>
      </c>
      <c r="D1164" s="1186" t="s">
        <v>3364</v>
      </c>
      <c r="E1164" s="1186">
        <v>1</v>
      </c>
      <c r="F1164" s="1177"/>
      <c r="G1164" s="1177"/>
      <c r="H1164" s="1177"/>
      <c r="I1164" s="1278">
        <f t="shared" si="75"/>
        <v>6</v>
      </c>
      <c r="J1164" s="1275"/>
    </row>
    <row r="1165" spans="1:10" s="1209" customFormat="1" ht="17.25" customHeight="1">
      <c r="A1165" s="1185"/>
      <c r="B1165" s="1199" t="s">
        <v>6600</v>
      </c>
      <c r="C1165" s="1186">
        <v>4</v>
      </c>
      <c r="D1165" s="1186" t="s">
        <v>3364</v>
      </c>
      <c r="E1165" s="1186">
        <v>1</v>
      </c>
      <c r="F1165" s="1177"/>
      <c r="G1165" s="1177"/>
      <c r="H1165" s="1177"/>
      <c r="I1165" s="1278">
        <f t="shared" si="75"/>
        <v>4</v>
      </c>
      <c r="J1165" s="1275"/>
    </row>
    <row r="1166" spans="1:10" s="1209" customFormat="1" ht="17.25" customHeight="1">
      <c r="A1166" s="1185"/>
      <c r="B1166" s="1199" t="s">
        <v>6838</v>
      </c>
      <c r="C1166" s="1186">
        <v>8</v>
      </c>
      <c r="D1166" s="1186" t="s">
        <v>3364</v>
      </c>
      <c r="E1166" s="1186">
        <v>1</v>
      </c>
      <c r="F1166" s="1177"/>
      <c r="G1166" s="1177"/>
      <c r="H1166" s="1177"/>
      <c r="I1166" s="1278">
        <f t="shared" si="75"/>
        <v>8</v>
      </c>
      <c r="J1166" s="1275"/>
    </row>
    <row r="1167" spans="1:10" s="1209" customFormat="1" ht="17.25" customHeight="1">
      <c r="A1167" s="1185"/>
      <c r="B1167" s="1199" t="s">
        <v>6602</v>
      </c>
      <c r="C1167" s="1186">
        <v>4</v>
      </c>
      <c r="D1167" s="1186" t="s">
        <v>3364</v>
      </c>
      <c r="E1167" s="1186">
        <v>1</v>
      </c>
      <c r="F1167" s="1177"/>
      <c r="G1167" s="1177"/>
      <c r="H1167" s="1177"/>
      <c r="I1167" s="1278">
        <f t="shared" si="75"/>
        <v>4</v>
      </c>
      <c r="J1167" s="1275"/>
    </row>
    <row r="1168" spans="1:10" s="1209" customFormat="1" ht="17.25" customHeight="1">
      <c r="A1168" s="1185"/>
      <c r="B1168" s="1199" t="s">
        <v>6839</v>
      </c>
      <c r="C1168" s="1186">
        <v>3</v>
      </c>
      <c r="D1168" s="1186" t="s">
        <v>3364</v>
      </c>
      <c r="E1168" s="1186">
        <v>1</v>
      </c>
      <c r="F1168" s="1177"/>
      <c r="G1168" s="1177"/>
      <c r="H1168" s="1177"/>
      <c r="I1168" s="1278">
        <f t="shared" si="75"/>
        <v>3</v>
      </c>
      <c r="J1168" s="1275"/>
    </row>
    <row r="1169" spans="1:10" s="1209" customFormat="1" ht="17.25" customHeight="1">
      <c r="A1169" s="1185"/>
      <c r="B1169" s="1199" t="s">
        <v>6683</v>
      </c>
      <c r="C1169" s="1186">
        <v>3</v>
      </c>
      <c r="D1169" s="1186" t="s">
        <v>3364</v>
      </c>
      <c r="E1169" s="1186">
        <v>1</v>
      </c>
      <c r="F1169" s="1177"/>
      <c r="G1169" s="1177"/>
      <c r="H1169" s="1177"/>
      <c r="I1169" s="1278">
        <f t="shared" si="75"/>
        <v>3</v>
      </c>
      <c r="J1169" s="1275"/>
    </row>
    <row r="1170" spans="1:10" s="1209" customFormat="1" ht="17.25" customHeight="1">
      <c r="A1170" s="1185"/>
      <c r="B1170" s="1199" t="s">
        <v>6800</v>
      </c>
      <c r="C1170" s="1186">
        <v>1</v>
      </c>
      <c r="D1170" s="1186" t="s">
        <v>3364</v>
      </c>
      <c r="E1170" s="1186">
        <v>1</v>
      </c>
      <c r="F1170" s="1177"/>
      <c r="G1170" s="1177"/>
      <c r="H1170" s="1177"/>
      <c r="I1170" s="1278">
        <f t="shared" si="75"/>
        <v>1</v>
      </c>
      <c r="J1170" s="1275"/>
    </row>
    <row r="1171" spans="1:10" s="1209" customFormat="1" ht="17.25" customHeight="1">
      <c r="A1171" s="1185"/>
      <c r="B1171" s="1199" t="s">
        <v>3484</v>
      </c>
      <c r="C1171" s="1186">
        <v>6</v>
      </c>
      <c r="D1171" s="1186" t="s">
        <v>3364</v>
      </c>
      <c r="E1171" s="1186">
        <v>1</v>
      </c>
      <c r="F1171" s="1177"/>
      <c r="G1171" s="1177"/>
      <c r="H1171" s="1177"/>
      <c r="I1171" s="1278">
        <f t="shared" si="75"/>
        <v>6</v>
      </c>
      <c r="J1171" s="1275"/>
    </row>
    <row r="1172" spans="1:10" s="1209" customFormat="1" ht="17.25" customHeight="1">
      <c r="A1172" s="1185"/>
      <c r="B1172" s="1199" t="s">
        <v>6840</v>
      </c>
      <c r="C1172" s="1186">
        <v>3</v>
      </c>
      <c r="D1172" s="1186" t="s">
        <v>3364</v>
      </c>
      <c r="E1172" s="1186">
        <v>2</v>
      </c>
      <c r="F1172" s="1177"/>
      <c r="G1172" s="1177"/>
      <c r="H1172" s="1177"/>
      <c r="I1172" s="1278">
        <f t="shared" si="75"/>
        <v>6</v>
      </c>
      <c r="J1172" s="1275"/>
    </row>
    <row r="1173" spans="1:10" s="1209" customFormat="1" ht="17.25" customHeight="1">
      <c r="A1173" s="1185"/>
      <c r="B1173" s="1199" t="s">
        <v>6836</v>
      </c>
      <c r="C1173" s="1186">
        <v>3</v>
      </c>
      <c r="D1173" s="1186" t="s">
        <v>3364</v>
      </c>
      <c r="E1173" s="1186">
        <v>2</v>
      </c>
      <c r="F1173" s="1177"/>
      <c r="G1173" s="1177"/>
      <c r="H1173" s="1177"/>
      <c r="I1173" s="1278">
        <f t="shared" si="75"/>
        <v>6</v>
      </c>
      <c r="J1173" s="1275"/>
    </row>
    <row r="1174" spans="1:10" s="1209" customFormat="1" ht="17.25" customHeight="1">
      <c r="A1174" s="1185"/>
      <c r="B1174" s="1199" t="s">
        <v>6841</v>
      </c>
      <c r="C1174" s="1186">
        <v>1</v>
      </c>
      <c r="D1174" s="1186" t="s">
        <v>3364</v>
      </c>
      <c r="E1174" s="1186">
        <v>1</v>
      </c>
      <c r="F1174" s="1177"/>
      <c r="G1174" s="1177"/>
      <c r="H1174" s="1177"/>
      <c r="I1174" s="1278">
        <f t="shared" si="75"/>
        <v>1</v>
      </c>
      <c r="J1174" s="1275"/>
    </row>
    <row r="1175" spans="1:10" s="1209" customFormat="1">
      <c r="A1175" s="1185"/>
      <c r="B1175" s="1199"/>
      <c r="C1175" s="1186"/>
      <c r="D1175" s="1186"/>
      <c r="E1175" s="1186"/>
      <c r="F1175" s="1177"/>
      <c r="G1175" s="1253" t="s">
        <v>104</v>
      </c>
      <c r="H1175" s="1177"/>
      <c r="I1175" s="1181">
        <f>SUM(I1140:I1174)</f>
        <v>145</v>
      </c>
      <c r="J1175" s="1184" t="s">
        <v>3471</v>
      </c>
    </row>
    <row r="1176" spans="1:10" s="1209" customFormat="1" ht="78.75">
      <c r="A1176" s="1182">
        <v>66.099999999999994</v>
      </c>
      <c r="B1176" s="1200" t="s">
        <v>3672</v>
      </c>
      <c r="C1176" s="1268"/>
      <c r="D1176" s="1268"/>
      <c r="E1176" s="1268"/>
      <c r="F1176" s="1269"/>
      <c r="G1176" s="1269"/>
      <c r="H1176" s="1269"/>
      <c r="I1176" s="1183"/>
      <c r="J1176" s="1189"/>
    </row>
    <row r="1177" spans="1:10" s="1209" customFormat="1">
      <c r="A1177" s="1182"/>
      <c r="B1177" s="1201" t="s">
        <v>3673</v>
      </c>
      <c r="C1177" s="1268">
        <v>2</v>
      </c>
      <c r="D1177" s="1268" t="s">
        <v>3364</v>
      </c>
      <c r="E1177" s="1268">
        <v>5</v>
      </c>
      <c r="F1177" s="1269"/>
      <c r="G1177" s="1269"/>
      <c r="H1177" s="1269"/>
      <c r="I1177" s="1183">
        <f>PRODUCT(C1177:H1177)</f>
        <v>10</v>
      </c>
      <c r="J1177" s="1189" t="s">
        <v>3471</v>
      </c>
    </row>
    <row r="1178" spans="1:10" s="1209" customFormat="1" ht="94.5">
      <c r="A1178" s="1182">
        <v>67.099999999999994</v>
      </c>
      <c r="B1178" s="1300" t="s">
        <v>3674</v>
      </c>
      <c r="C1178" s="1186"/>
      <c r="D1178" s="1186"/>
      <c r="E1178" s="1186"/>
      <c r="F1178" s="1177"/>
      <c r="G1178" s="1177"/>
      <c r="H1178" s="1177"/>
      <c r="I1178" s="1178"/>
      <c r="J1178" s="1184"/>
    </row>
    <row r="1179" spans="1:10" s="1209" customFormat="1">
      <c r="A1179" s="1182"/>
      <c r="B1179" s="1203" t="s">
        <v>6790</v>
      </c>
      <c r="C1179" s="1186"/>
      <c r="D1179" s="1186"/>
      <c r="E1179" s="1186"/>
      <c r="F1179" s="1177"/>
      <c r="G1179" s="1177"/>
      <c r="H1179" s="1177"/>
      <c r="I1179" s="1178"/>
      <c r="J1179" s="1184"/>
    </row>
    <row r="1180" spans="1:10" s="1209" customFormat="1">
      <c r="A1180" s="1182"/>
      <c r="B1180" s="1201" t="s">
        <v>3626</v>
      </c>
      <c r="C1180" s="1186">
        <v>3</v>
      </c>
      <c r="D1180" s="1186" t="s">
        <v>3364</v>
      </c>
      <c r="E1180" s="1186">
        <v>4</v>
      </c>
      <c r="F1180" s="1177"/>
      <c r="G1180" s="1177"/>
      <c r="H1180" s="1177"/>
      <c r="I1180" s="1278">
        <f t="shared" ref="I1180:I1216" si="76">PRODUCT(C1180:H1180)</f>
        <v>12</v>
      </c>
      <c r="J1180" s="1275"/>
    </row>
    <row r="1181" spans="1:10" s="1209" customFormat="1">
      <c r="A1181" s="1182"/>
      <c r="B1181" s="1201" t="s">
        <v>6618</v>
      </c>
      <c r="C1181" s="1186">
        <v>1</v>
      </c>
      <c r="D1181" s="1186" t="s">
        <v>3364</v>
      </c>
      <c r="E1181" s="1186">
        <v>1</v>
      </c>
      <c r="F1181" s="1177"/>
      <c r="G1181" s="1177"/>
      <c r="H1181" s="1177"/>
      <c r="I1181" s="1278">
        <f t="shared" si="76"/>
        <v>1</v>
      </c>
      <c r="J1181" s="1275"/>
    </row>
    <row r="1182" spans="1:10" s="1209" customFormat="1">
      <c r="A1182" s="1185"/>
      <c r="B1182" s="1199" t="s">
        <v>6822</v>
      </c>
      <c r="C1182" s="1186">
        <v>1</v>
      </c>
      <c r="D1182" s="1186" t="s">
        <v>3364</v>
      </c>
      <c r="E1182" s="1186">
        <v>1</v>
      </c>
      <c r="F1182" s="1177"/>
      <c r="G1182" s="1177"/>
      <c r="H1182" s="1177"/>
      <c r="I1182" s="1278">
        <f t="shared" si="76"/>
        <v>1</v>
      </c>
      <c r="J1182" s="1275"/>
    </row>
    <row r="1183" spans="1:10" s="1209" customFormat="1">
      <c r="A1183" s="1185"/>
      <c r="B1183" s="1199" t="s">
        <v>6590</v>
      </c>
      <c r="C1183" s="1186">
        <v>1</v>
      </c>
      <c r="D1183" s="1186" t="s">
        <v>3364</v>
      </c>
      <c r="E1183" s="1186">
        <v>1</v>
      </c>
      <c r="F1183" s="1177"/>
      <c r="G1183" s="1177"/>
      <c r="H1183" s="1177"/>
      <c r="I1183" s="1278">
        <f t="shared" si="76"/>
        <v>1</v>
      </c>
      <c r="J1183" s="1275"/>
    </row>
    <row r="1184" spans="1:10" s="1209" customFormat="1">
      <c r="A1184" s="1185"/>
      <c r="B1184" s="1199" t="s">
        <v>3492</v>
      </c>
      <c r="C1184" s="1186">
        <v>2</v>
      </c>
      <c r="D1184" s="1186" t="s">
        <v>3364</v>
      </c>
      <c r="E1184" s="1186">
        <v>1</v>
      </c>
      <c r="F1184" s="1177"/>
      <c r="G1184" s="1177"/>
      <c r="H1184" s="1177"/>
      <c r="I1184" s="1278">
        <f t="shared" si="76"/>
        <v>2</v>
      </c>
      <c r="J1184" s="1275"/>
    </row>
    <row r="1185" spans="1:10" s="1209" customFormat="1">
      <c r="A1185" s="1185"/>
      <c r="B1185" s="1199" t="s">
        <v>6620</v>
      </c>
      <c r="C1185" s="1186">
        <v>2</v>
      </c>
      <c r="D1185" s="1186" t="s">
        <v>3364</v>
      </c>
      <c r="E1185" s="1186">
        <v>1</v>
      </c>
      <c r="F1185" s="1177"/>
      <c r="G1185" s="1177"/>
      <c r="H1185" s="1177"/>
      <c r="I1185" s="1278">
        <f t="shared" si="76"/>
        <v>2</v>
      </c>
      <c r="J1185" s="1275"/>
    </row>
    <row r="1186" spans="1:10" s="1209" customFormat="1" ht="17.25" customHeight="1">
      <c r="A1186" s="1185"/>
      <c r="B1186" s="1199" t="s">
        <v>6823</v>
      </c>
      <c r="C1186" s="1186">
        <v>3</v>
      </c>
      <c r="D1186" s="1186" t="s">
        <v>3364</v>
      </c>
      <c r="E1186" s="1186">
        <v>1</v>
      </c>
      <c r="F1186" s="1177"/>
      <c r="G1186" s="1177"/>
      <c r="H1186" s="1177"/>
      <c r="I1186" s="1278">
        <f t="shared" si="76"/>
        <v>3</v>
      </c>
      <c r="J1186" s="1275"/>
    </row>
    <row r="1187" spans="1:10" s="1209" customFormat="1" ht="17.25" customHeight="1">
      <c r="A1187" s="1185"/>
      <c r="B1187" s="1202" t="s">
        <v>6668</v>
      </c>
      <c r="C1187" s="1186"/>
      <c r="D1187" s="1186"/>
      <c r="E1187" s="1186"/>
      <c r="F1187" s="1177"/>
      <c r="G1187" s="1177"/>
      <c r="H1187" s="1177"/>
      <c r="I1187" s="1278">
        <f t="shared" si="76"/>
        <v>0</v>
      </c>
      <c r="J1187" s="1275"/>
    </row>
    <row r="1188" spans="1:10" s="1209" customFormat="1" ht="17.25" customHeight="1">
      <c r="A1188" s="1185"/>
      <c r="B1188" s="1199" t="s">
        <v>6824</v>
      </c>
      <c r="C1188" s="1186">
        <v>3</v>
      </c>
      <c r="D1188" s="1186" t="s">
        <v>3364</v>
      </c>
      <c r="E1188" s="1186">
        <v>1</v>
      </c>
      <c r="F1188" s="1177"/>
      <c r="G1188" s="1177"/>
      <c r="H1188" s="1177"/>
      <c r="I1188" s="1278">
        <f t="shared" si="76"/>
        <v>3</v>
      </c>
      <c r="J1188" s="1275"/>
    </row>
    <row r="1189" spans="1:10" s="1209" customFormat="1" ht="17.25" customHeight="1">
      <c r="A1189" s="1185"/>
      <c r="B1189" s="1199" t="s">
        <v>6825</v>
      </c>
      <c r="C1189" s="1186">
        <v>6</v>
      </c>
      <c r="D1189" s="1186" t="s">
        <v>3364</v>
      </c>
      <c r="E1189" s="1186">
        <v>1</v>
      </c>
      <c r="F1189" s="1177"/>
      <c r="G1189" s="1177"/>
      <c r="H1189" s="1177"/>
      <c r="I1189" s="1278">
        <f t="shared" si="76"/>
        <v>6</v>
      </c>
      <c r="J1189" s="1275"/>
    </row>
    <row r="1190" spans="1:10" s="1209" customFormat="1" ht="17.25" customHeight="1">
      <c r="A1190" s="1185"/>
      <c r="B1190" s="1199" t="s">
        <v>6826</v>
      </c>
      <c r="C1190" s="1186">
        <v>2</v>
      </c>
      <c r="D1190" s="1186" t="s">
        <v>3364</v>
      </c>
      <c r="E1190" s="1186">
        <v>1</v>
      </c>
      <c r="F1190" s="1177"/>
      <c r="G1190" s="1177"/>
      <c r="H1190" s="1177"/>
      <c r="I1190" s="1278">
        <f t="shared" si="76"/>
        <v>2</v>
      </c>
      <c r="J1190" s="1275"/>
    </row>
    <row r="1191" spans="1:10" s="1209" customFormat="1" ht="17.25" customHeight="1">
      <c r="A1191" s="1185"/>
      <c r="B1191" s="1199" t="s">
        <v>6827</v>
      </c>
      <c r="C1191" s="1186">
        <v>1</v>
      </c>
      <c r="D1191" s="1186" t="s">
        <v>3364</v>
      </c>
      <c r="E1191" s="1186">
        <v>1</v>
      </c>
      <c r="F1191" s="1177"/>
      <c r="G1191" s="1177"/>
      <c r="H1191" s="1177"/>
      <c r="I1191" s="1278">
        <f t="shared" si="76"/>
        <v>1</v>
      </c>
      <c r="J1191" s="1275"/>
    </row>
    <row r="1192" spans="1:10" s="1209" customFormat="1" ht="17.25" customHeight="1">
      <c r="A1192" s="1185"/>
      <c r="B1192" s="1199" t="s">
        <v>6828</v>
      </c>
      <c r="C1192" s="1186">
        <v>3</v>
      </c>
      <c r="D1192" s="1186" t="s">
        <v>3364</v>
      </c>
      <c r="E1192" s="1186">
        <v>1</v>
      </c>
      <c r="F1192" s="1177"/>
      <c r="G1192" s="1177"/>
      <c r="H1192" s="1177"/>
      <c r="I1192" s="1278">
        <f t="shared" si="76"/>
        <v>3</v>
      </c>
      <c r="J1192" s="1275"/>
    </row>
    <row r="1193" spans="1:10" s="1209" customFormat="1" ht="17.25" customHeight="1">
      <c r="A1193" s="1185"/>
      <c r="B1193" s="1199" t="s">
        <v>3492</v>
      </c>
      <c r="C1193" s="1186">
        <v>2</v>
      </c>
      <c r="D1193" s="1186" t="s">
        <v>3364</v>
      </c>
      <c r="E1193" s="1186">
        <v>1</v>
      </c>
      <c r="F1193" s="1177"/>
      <c r="G1193" s="1177"/>
      <c r="H1193" s="1177"/>
      <c r="I1193" s="1278">
        <f t="shared" si="76"/>
        <v>2</v>
      </c>
      <c r="J1193" s="1275"/>
    </row>
    <row r="1194" spans="1:10" s="1209" customFormat="1" ht="17.25" customHeight="1">
      <c r="A1194" s="1185"/>
      <c r="B1194" s="1199" t="s">
        <v>6829</v>
      </c>
      <c r="C1194" s="1186">
        <v>2</v>
      </c>
      <c r="D1194" s="1186" t="s">
        <v>3364</v>
      </c>
      <c r="E1194" s="1186">
        <v>1</v>
      </c>
      <c r="F1194" s="1177"/>
      <c r="G1194" s="1177"/>
      <c r="H1194" s="1177"/>
      <c r="I1194" s="1278">
        <f t="shared" si="76"/>
        <v>2</v>
      </c>
      <c r="J1194" s="1275"/>
    </row>
    <row r="1195" spans="1:10" s="1209" customFormat="1" ht="17.25" customHeight="1">
      <c r="A1195" s="1185"/>
      <c r="B1195" s="1199" t="s">
        <v>6830</v>
      </c>
      <c r="C1195" s="1186">
        <v>1</v>
      </c>
      <c r="D1195" s="1186" t="s">
        <v>3364</v>
      </c>
      <c r="E1195" s="1186">
        <v>1</v>
      </c>
      <c r="F1195" s="1177"/>
      <c r="G1195" s="1177"/>
      <c r="H1195" s="1177"/>
      <c r="I1195" s="1278">
        <f t="shared" si="76"/>
        <v>1</v>
      </c>
      <c r="J1195" s="1275"/>
    </row>
    <row r="1196" spans="1:10" s="1209" customFormat="1" ht="17.25" customHeight="1">
      <c r="A1196" s="1185"/>
      <c r="B1196" s="1202" t="s">
        <v>3691</v>
      </c>
      <c r="C1196" s="1186"/>
      <c r="D1196" s="1186"/>
      <c r="E1196" s="1186"/>
      <c r="F1196" s="1177"/>
      <c r="G1196" s="1177"/>
      <c r="H1196" s="1177"/>
      <c r="I1196" s="1278">
        <f t="shared" si="76"/>
        <v>0</v>
      </c>
      <c r="J1196" s="1275"/>
    </row>
    <row r="1197" spans="1:10" s="1209" customFormat="1" ht="17.25" customHeight="1">
      <c r="A1197" s="1185"/>
      <c r="B1197" s="1199" t="s">
        <v>6831</v>
      </c>
      <c r="C1197" s="1186">
        <v>3</v>
      </c>
      <c r="D1197" s="1186" t="s">
        <v>3364</v>
      </c>
      <c r="E1197" s="1186">
        <v>1</v>
      </c>
      <c r="F1197" s="1177"/>
      <c r="G1197" s="1177"/>
      <c r="H1197" s="1177"/>
      <c r="I1197" s="1278">
        <f t="shared" si="76"/>
        <v>3</v>
      </c>
      <c r="J1197" s="1275"/>
    </row>
    <row r="1198" spans="1:10" s="1209" customFormat="1" ht="17.25" customHeight="1">
      <c r="A1198" s="1185"/>
      <c r="B1198" s="1199" t="s">
        <v>6814</v>
      </c>
      <c r="C1198" s="1186">
        <v>2</v>
      </c>
      <c r="D1198" s="1186" t="s">
        <v>3364</v>
      </c>
      <c r="E1198" s="1186">
        <v>1</v>
      </c>
      <c r="F1198" s="1177"/>
      <c r="G1198" s="1177"/>
      <c r="H1198" s="1177"/>
      <c r="I1198" s="1278">
        <f t="shared" si="76"/>
        <v>2</v>
      </c>
      <c r="J1198" s="1275"/>
    </row>
    <row r="1199" spans="1:10" s="1209" customFormat="1" ht="17.25" customHeight="1">
      <c r="A1199" s="1185"/>
      <c r="B1199" s="1199" t="s">
        <v>6832</v>
      </c>
      <c r="C1199" s="1186">
        <v>8</v>
      </c>
      <c r="D1199" s="1186" t="s">
        <v>3364</v>
      </c>
      <c r="E1199" s="1186">
        <v>1</v>
      </c>
      <c r="F1199" s="1177"/>
      <c r="G1199" s="1177"/>
      <c r="H1199" s="1177"/>
      <c r="I1199" s="1278">
        <f t="shared" si="76"/>
        <v>8</v>
      </c>
      <c r="J1199" s="1275"/>
    </row>
    <row r="1200" spans="1:10" s="1209" customFormat="1" ht="17.25" customHeight="1">
      <c r="A1200" s="1185"/>
      <c r="B1200" s="1199" t="s">
        <v>6833</v>
      </c>
      <c r="C1200" s="1186">
        <v>1</v>
      </c>
      <c r="D1200" s="1186" t="s">
        <v>3364</v>
      </c>
      <c r="E1200" s="1186">
        <v>1</v>
      </c>
      <c r="F1200" s="1177"/>
      <c r="G1200" s="1177"/>
      <c r="H1200" s="1177"/>
      <c r="I1200" s="1278">
        <f t="shared" si="76"/>
        <v>1</v>
      </c>
      <c r="J1200" s="1275"/>
    </row>
    <row r="1201" spans="1:10" s="1209" customFormat="1" ht="17.25" customHeight="1">
      <c r="A1201" s="1185"/>
      <c r="B1201" s="1199" t="s">
        <v>6834</v>
      </c>
      <c r="C1201" s="1186">
        <v>2</v>
      </c>
      <c r="D1201" s="1186" t="s">
        <v>3364</v>
      </c>
      <c r="E1201" s="1186">
        <v>1</v>
      </c>
      <c r="F1201" s="1177"/>
      <c r="G1201" s="1177"/>
      <c r="H1201" s="1177"/>
      <c r="I1201" s="1278">
        <f t="shared" si="76"/>
        <v>2</v>
      </c>
      <c r="J1201" s="1275"/>
    </row>
    <row r="1202" spans="1:10" s="1209" customFormat="1" ht="17.25" customHeight="1">
      <c r="A1202" s="1185"/>
      <c r="B1202" s="1199" t="s">
        <v>6835</v>
      </c>
      <c r="C1202" s="1186">
        <v>5</v>
      </c>
      <c r="D1202" s="1186" t="s">
        <v>3364</v>
      </c>
      <c r="E1202" s="1186">
        <v>1</v>
      </c>
      <c r="F1202" s="1177"/>
      <c r="G1202" s="1177"/>
      <c r="H1202" s="1177"/>
      <c r="I1202" s="1278">
        <f t="shared" si="76"/>
        <v>5</v>
      </c>
      <c r="J1202" s="1275"/>
    </row>
    <row r="1203" spans="1:10" s="1209" customFormat="1" ht="17.25" customHeight="1">
      <c r="A1203" s="1185"/>
      <c r="B1203" s="1199" t="s">
        <v>6829</v>
      </c>
      <c r="C1203" s="1186">
        <v>4</v>
      </c>
      <c r="D1203" s="1186" t="s">
        <v>3364</v>
      </c>
      <c r="E1203" s="1186">
        <v>1</v>
      </c>
      <c r="F1203" s="1177"/>
      <c r="G1203" s="1177"/>
      <c r="H1203" s="1177"/>
      <c r="I1203" s="1278">
        <f t="shared" si="76"/>
        <v>4</v>
      </c>
      <c r="J1203" s="1275"/>
    </row>
    <row r="1204" spans="1:10" s="1209" customFormat="1" ht="17.25" customHeight="1">
      <c r="A1204" s="1185"/>
      <c r="B1204" s="1199" t="s">
        <v>6836</v>
      </c>
      <c r="C1204" s="1186">
        <v>2</v>
      </c>
      <c r="D1204" s="1186" t="s">
        <v>3364</v>
      </c>
      <c r="E1204" s="1186">
        <v>1</v>
      </c>
      <c r="F1204" s="1177"/>
      <c r="G1204" s="1177"/>
      <c r="H1204" s="1177"/>
      <c r="I1204" s="1278">
        <f t="shared" si="76"/>
        <v>2</v>
      </c>
      <c r="J1204" s="1275"/>
    </row>
    <row r="1205" spans="1:10" s="1209" customFormat="1" ht="17.25" customHeight="1">
      <c r="A1205" s="1185"/>
      <c r="B1205" s="1202" t="s">
        <v>3692</v>
      </c>
      <c r="C1205" s="1186"/>
      <c r="D1205" s="1186"/>
      <c r="E1205" s="1186"/>
      <c r="F1205" s="1177"/>
      <c r="G1205" s="1177"/>
      <c r="H1205" s="1177"/>
      <c r="I1205" s="1278">
        <f t="shared" si="76"/>
        <v>0</v>
      </c>
      <c r="J1205" s="1275"/>
    </row>
    <row r="1206" spans="1:10" s="1209" customFormat="1" ht="17.25" customHeight="1">
      <c r="A1206" s="1185"/>
      <c r="B1206" s="1199" t="s">
        <v>6837</v>
      </c>
      <c r="C1206" s="1186">
        <v>6</v>
      </c>
      <c r="D1206" s="1186" t="s">
        <v>3364</v>
      </c>
      <c r="E1206" s="1186">
        <v>1</v>
      </c>
      <c r="F1206" s="1177"/>
      <c r="G1206" s="1177"/>
      <c r="H1206" s="1177"/>
      <c r="I1206" s="1278">
        <f t="shared" si="76"/>
        <v>6</v>
      </c>
      <c r="J1206" s="1275"/>
    </row>
    <row r="1207" spans="1:10" s="1209" customFormat="1" ht="17.25" customHeight="1">
      <c r="A1207" s="1185"/>
      <c r="B1207" s="1199" t="s">
        <v>6600</v>
      </c>
      <c r="C1207" s="1186">
        <v>4</v>
      </c>
      <c r="D1207" s="1186" t="s">
        <v>3364</v>
      </c>
      <c r="E1207" s="1186">
        <v>1</v>
      </c>
      <c r="F1207" s="1177"/>
      <c r="G1207" s="1177"/>
      <c r="H1207" s="1177"/>
      <c r="I1207" s="1278">
        <f t="shared" si="76"/>
        <v>4</v>
      </c>
      <c r="J1207" s="1275"/>
    </row>
    <row r="1208" spans="1:10" s="1209" customFormat="1" ht="17.25" customHeight="1">
      <c r="A1208" s="1185"/>
      <c r="B1208" s="1199" t="s">
        <v>6838</v>
      </c>
      <c r="C1208" s="1186">
        <v>4</v>
      </c>
      <c r="D1208" s="1186" t="s">
        <v>3364</v>
      </c>
      <c r="E1208" s="1186">
        <v>1</v>
      </c>
      <c r="F1208" s="1177"/>
      <c r="G1208" s="1177"/>
      <c r="H1208" s="1177"/>
      <c r="I1208" s="1278">
        <f t="shared" si="76"/>
        <v>4</v>
      </c>
      <c r="J1208" s="1275"/>
    </row>
    <row r="1209" spans="1:10" s="1209" customFormat="1" ht="17.25" customHeight="1">
      <c r="A1209" s="1185"/>
      <c r="B1209" s="1199" t="s">
        <v>6602</v>
      </c>
      <c r="C1209" s="1186">
        <v>3</v>
      </c>
      <c r="D1209" s="1186" t="s">
        <v>3364</v>
      </c>
      <c r="E1209" s="1186">
        <v>1</v>
      </c>
      <c r="F1209" s="1177"/>
      <c r="G1209" s="1177"/>
      <c r="H1209" s="1177"/>
      <c r="I1209" s="1278">
        <f t="shared" si="76"/>
        <v>3</v>
      </c>
      <c r="J1209" s="1275"/>
    </row>
    <row r="1210" spans="1:10" s="1209" customFormat="1" ht="17.25" customHeight="1">
      <c r="A1210" s="1185"/>
      <c r="B1210" s="1199" t="s">
        <v>6839</v>
      </c>
      <c r="C1210" s="1186">
        <v>2</v>
      </c>
      <c r="D1210" s="1186" t="s">
        <v>3364</v>
      </c>
      <c r="E1210" s="1186">
        <v>1</v>
      </c>
      <c r="F1210" s="1177"/>
      <c r="G1210" s="1177"/>
      <c r="H1210" s="1177"/>
      <c r="I1210" s="1278">
        <f t="shared" si="76"/>
        <v>2</v>
      </c>
      <c r="J1210" s="1275"/>
    </row>
    <row r="1211" spans="1:10" s="1209" customFormat="1" ht="17.25" customHeight="1">
      <c r="A1211" s="1185"/>
      <c r="B1211" s="1199" t="s">
        <v>6683</v>
      </c>
      <c r="C1211" s="1186">
        <v>2</v>
      </c>
      <c r="D1211" s="1186" t="s">
        <v>3364</v>
      </c>
      <c r="E1211" s="1186">
        <v>1</v>
      </c>
      <c r="F1211" s="1177"/>
      <c r="G1211" s="1177"/>
      <c r="H1211" s="1177"/>
      <c r="I1211" s="1278">
        <f t="shared" si="76"/>
        <v>2</v>
      </c>
      <c r="J1211" s="1275"/>
    </row>
    <row r="1212" spans="1:10" s="1209" customFormat="1" ht="17.25" customHeight="1">
      <c r="A1212" s="1185"/>
      <c r="B1212" s="1199" t="s">
        <v>6800</v>
      </c>
      <c r="C1212" s="1186">
        <v>1</v>
      </c>
      <c r="D1212" s="1186" t="s">
        <v>3364</v>
      </c>
      <c r="E1212" s="1186">
        <v>1</v>
      </c>
      <c r="F1212" s="1177"/>
      <c r="G1212" s="1177"/>
      <c r="H1212" s="1177"/>
      <c r="I1212" s="1278">
        <f t="shared" si="76"/>
        <v>1</v>
      </c>
      <c r="J1212" s="1275"/>
    </row>
    <row r="1213" spans="1:10" s="1209" customFormat="1" ht="17.25" customHeight="1">
      <c r="A1213" s="1185"/>
      <c r="B1213" s="1199" t="s">
        <v>3484</v>
      </c>
      <c r="C1213" s="1186">
        <v>5</v>
      </c>
      <c r="D1213" s="1186" t="s">
        <v>3364</v>
      </c>
      <c r="E1213" s="1186">
        <v>1</v>
      </c>
      <c r="F1213" s="1177"/>
      <c r="G1213" s="1177"/>
      <c r="H1213" s="1177"/>
      <c r="I1213" s="1278">
        <f t="shared" si="76"/>
        <v>5</v>
      </c>
      <c r="J1213" s="1275"/>
    </row>
    <row r="1214" spans="1:10" s="1209" customFormat="1" ht="17.25" customHeight="1">
      <c r="A1214" s="1185"/>
      <c r="B1214" s="1199" t="s">
        <v>6840</v>
      </c>
      <c r="C1214" s="1186">
        <v>2</v>
      </c>
      <c r="D1214" s="1186" t="s">
        <v>3364</v>
      </c>
      <c r="E1214" s="1186">
        <v>2</v>
      </c>
      <c r="F1214" s="1177"/>
      <c r="G1214" s="1177"/>
      <c r="H1214" s="1177"/>
      <c r="I1214" s="1278">
        <f t="shared" si="76"/>
        <v>4</v>
      </c>
      <c r="J1214" s="1275"/>
    </row>
    <row r="1215" spans="1:10" s="1209" customFormat="1" ht="17.25" customHeight="1">
      <c r="A1215" s="1185"/>
      <c r="B1215" s="1199" t="s">
        <v>6836</v>
      </c>
      <c r="C1215" s="1186">
        <v>2</v>
      </c>
      <c r="D1215" s="1186" t="s">
        <v>3364</v>
      </c>
      <c r="E1215" s="1186">
        <v>2</v>
      </c>
      <c r="F1215" s="1177"/>
      <c r="G1215" s="1177"/>
      <c r="H1215" s="1177"/>
      <c r="I1215" s="1278">
        <f t="shared" si="76"/>
        <v>4</v>
      </c>
      <c r="J1215" s="1275"/>
    </row>
    <row r="1216" spans="1:10" s="1209" customFormat="1" ht="17.25" customHeight="1">
      <c r="A1216" s="1185"/>
      <c r="B1216" s="1199" t="s">
        <v>6841</v>
      </c>
      <c r="C1216" s="1186">
        <v>2</v>
      </c>
      <c r="D1216" s="1186" t="s">
        <v>3364</v>
      </c>
      <c r="E1216" s="1186">
        <v>1</v>
      </c>
      <c r="F1216" s="1177"/>
      <c r="G1216" s="1177"/>
      <c r="H1216" s="1177"/>
      <c r="I1216" s="1278">
        <f t="shared" si="76"/>
        <v>2</v>
      </c>
      <c r="J1216" s="1275"/>
    </row>
    <row r="1217" spans="1:10" s="1209" customFormat="1">
      <c r="A1217" s="1185"/>
      <c r="B1217" s="1199"/>
      <c r="C1217" s="1186"/>
      <c r="D1217" s="1186"/>
      <c r="E1217" s="1186"/>
      <c r="F1217" s="1177"/>
      <c r="G1217" s="1253" t="s">
        <v>104</v>
      </c>
      <c r="H1217" s="1177"/>
      <c r="I1217" s="1181">
        <f>SUM(I1180:I1216)</f>
        <v>106</v>
      </c>
      <c r="J1217" s="1184" t="s">
        <v>3471</v>
      </c>
    </row>
    <row r="1218" spans="1:10" s="1209" customFormat="1" ht="94.5">
      <c r="A1218" s="1182">
        <v>68.2</v>
      </c>
      <c r="B1218" s="1300" t="s">
        <v>3675</v>
      </c>
      <c r="C1218" s="1186"/>
      <c r="D1218" s="1186"/>
      <c r="E1218" s="1186"/>
      <c r="F1218" s="1177"/>
      <c r="G1218" s="1177"/>
      <c r="H1218" s="1177"/>
      <c r="I1218" s="1178"/>
      <c r="J1218" s="1184"/>
    </row>
    <row r="1219" spans="1:10" s="1209" customFormat="1">
      <c r="A1219" s="1182"/>
      <c r="B1219" s="1203" t="s">
        <v>6790</v>
      </c>
      <c r="C1219" s="1186"/>
      <c r="D1219" s="1186"/>
      <c r="E1219" s="1186"/>
      <c r="F1219" s="1177"/>
      <c r="G1219" s="1177"/>
      <c r="H1219" s="1177"/>
      <c r="I1219" s="1178"/>
      <c r="J1219" s="1184"/>
    </row>
    <row r="1220" spans="1:10" s="1209" customFormat="1">
      <c r="A1220" s="1182"/>
      <c r="B1220" s="1201" t="s">
        <v>3626</v>
      </c>
      <c r="C1220" s="1186">
        <v>3</v>
      </c>
      <c r="D1220" s="1186" t="s">
        <v>3364</v>
      </c>
      <c r="E1220" s="1186">
        <v>2</v>
      </c>
      <c r="F1220" s="1177"/>
      <c r="G1220" s="1177"/>
      <c r="H1220" s="1177"/>
      <c r="I1220" s="1278">
        <f t="shared" ref="I1220:I1256" si="77">PRODUCT(C1220:H1220)</f>
        <v>6</v>
      </c>
      <c r="J1220" s="1275"/>
    </row>
    <row r="1221" spans="1:10" s="1209" customFormat="1">
      <c r="A1221" s="1182"/>
      <c r="B1221" s="1201" t="s">
        <v>6618</v>
      </c>
      <c r="C1221" s="1186">
        <v>1</v>
      </c>
      <c r="D1221" s="1186" t="s">
        <v>3364</v>
      </c>
      <c r="E1221" s="1186">
        <v>1</v>
      </c>
      <c r="F1221" s="1177"/>
      <c r="G1221" s="1177"/>
      <c r="H1221" s="1177"/>
      <c r="I1221" s="1278">
        <f t="shared" si="77"/>
        <v>1</v>
      </c>
      <c r="J1221" s="1275"/>
    </row>
    <row r="1222" spans="1:10" s="1209" customFormat="1">
      <c r="A1222" s="1185"/>
      <c r="B1222" s="1199" t="s">
        <v>6822</v>
      </c>
      <c r="C1222" s="1186">
        <v>1</v>
      </c>
      <c r="D1222" s="1186" t="s">
        <v>3364</v>
      </c>
      <c r="E1222" s="1186">
        <v>1</v>
      </c>
      <c r="F1222" s="1177"/>
      <c r="G1222" s="1177"/>
      <c r="H1222" s="1177"/>
      <c r="I1222" s="1278">
        <f t="shared" si="77"/>
        <v>1</v>
      </c>
      <c r="J1222" s="1275"/>
    </row>
    <row r="1223" spans="1:10" s="1209" customFormat="1">
      <c r="A1223" s="1185"/>
      <c r="B1223" s="1199" t="s">
        <v>6590</v>
      </c>
      <c r="C1223" s="1186">
        <v>1</v>
      </c>
      <c r="D1223" s="1186" t="s">
        <v>3364</v>
      </c>
      <c r="E1223" s="1186">
        <v>1</v>
      </c>
      <c r="F1223" s="1177"/>
      <c r="G1223" s="1177"/>
      <c r="H1223" s="1177"/>
      <c r="I1223" s="1278">
        <f t="shared" si="77"/>
        <v>1</v>
      </c>
      <c r="J1223" s="1275"/>
    </row>
    <row r="1224" spans="1:10" s="1209" customFormat="1">
      <c r="A1224" s="1185"/>
      <c r="B1224" s="1199" t="s">
        <v>3492</v>
      </c>
      <c r="C1224" s="1186">
        <v>2</v>
      </c>
      <c r="D1224" s="1186" t="s">
        <v>3364</v>
      </c>
      <c r="E1224" s="1186">
        <v>1</v>
      </c>
      <c r="F1224" s="1177"/>
      <c r="G1224" s="1177"/>
      <c r="H1224" s="1177"/>
      <c r="I1224" s="1278">
        <f t="shared" si="77"/>
        <v>2</v>
      </c>
      <c r="J1224" s="1275"/>
    </row>
    <row r="1225" spans="1:10" s="1209" customFormat="1">
      <c r="A1225" s="1185"/>
      <c r="B1225" s="1199" t="s">
        <v>6620</v>
      </c>
      <c r="C1225" s="1186">
        <v>2</v>
      </c>
      <c r="D1225" s="1186" t="s">
        <v>3364</v>
      </c>
      <c r="E1225" s="1186">
        <v>1</v>
      </c>
      <c r="F1225" s="1177"/>
      <c r="G1225" s="1177"/>
      <c r="H1225" s="1177"/>
      <c r="I1225" s="1278">
        <f t="shared" si="77"/>
        <v>2</v>
      </c>
      <c r="J1225" s="1275"/>
    </row>
    <row r="1226" spans="1:10" s="1209" customFormat="1" ht="17.25" customHeight="1">
      <c r="A1226" s="1185"/>
      <c r="B1226" s="1199" t="s">
        <v>6823</v>
      </c>
      <c r="C1226" s="1186">
        <v>3</v>
      </c>
      <c r="D1226" s="1186" t="s">
        <v>3364</v>
      </c>
      <c r="E1226" s="1186">
        <v>1</v>
      </c>
      <c r="F1226" s="1177"/>
      <c r="G1226" s="1177"/>
      <c r="H1226" s="1177"/>
      <c r="I1226" s="1278">
        <f t="shared" si="77"/>
        <v>3</v>
      </c>
      <c r="J1226" s="1275"/>
    </row>
    <row r="1227" spans="1:10" s="1209" customFormat="1" ht="17.25" customHeight="1">
      <c r="A1227" s="1185"/>
      <c r="B1227" s="1202" t="s">
        <v>6668</v>
      </c>
      <c r="C1227" s="1186"/>
      <c r="D1227" s="1186"/>
      <c r="E1227" s="1186"/>
      <c r="F1227" s="1177"/>
      <c r="G1227" s="1177"/>
      <c r="H1227" s="1177"/>
      <c r="I1227" s="1278">
        <f t="shared" si="77"/>
        <v>0</v>
      </c>
      <c r="J1227" s="1275"/>
    </row>
    <row r="1228" spans="1:10" s="1209" customFormat="1" ht="17.25" customHeight="1">
      <c r="A1228" s="1185"/>
      <c r="B1228" s="1199" t="s">
        <v>6824</v>
      </c>
      <c r="C1228" s="1186">
        <v>3</v>
      </c>
      <c r="D1228" s="1186" t="s">
        <v>3364</v>
      </c>
      <c r="E1228" s="1186">
        <v>1</v>
      </c>
      <c r="F1228" s="1177"/>
      <c r="G1228" s="1177"/>
      <c r="H1228" s="1177"/>
      <c r="I1228" s="1278">
        <f t="shared" si="77"/>
        <v>3</v>
      </c>
      <c r="J1228" s="1275"/>
    </row>
    <row r="1229" spans="1:10" s="1209" customFormat="1" ht="17.25" customHeight="1">
      <c r="A1229" s="1185"/>
      <c r="B1229" s="1199" t="s">
        <v>6825</v>
      </c>
      <c r="C1229" s="1186">
        <v>8</v>
      </c>
      <c r="D1229" s="1186" t="s">
        <v>3364</v>
      </c>
      <c r="E1229" s="1186">
        <v>1</v>
      </c>
      <c r="F1229" s="1177"/>
      <c r="G1229" s="1177"/>
      <c r="H1229" s="1177"/>
      <c r="I1229" s="1278">
        <f t="shared" si="77"/>
        <v>8</v>
      </c>
      <c r="J1229" s="1275"/>
    </row>
    <row r="1230" spans="1:10" s="1209" customFormat="1" ht="17.25" customHeight="1">
      <c r="A1230" s="1185"/>
      <c r="B1230" s="1199" t="s">
        <v>6826</v>
      </c>
      <c r="C1230" s="1186">
        <v>2</v>
      </c>
      <c r="D1230" s="1186" t="s">
        <v>3364</v>
      </c>
      <c r="E1230" s="1186">
        <v>1</v>
      </c>
      <c r="F1230" s="1177"/>
      <c r="G1230" s="1177"/>
      <c r="H1230" s="1177"/>
      <c r="I1230" s="1278">
        <f t="shared" si="77"/>
        <v>2</v>
      </c>
      <c r="J1230" s="1275"/>
    </row>
    <row r="1231" spans="1:10" s="1209" customFormat="1" ht="17.25" customHeight="1">
      <c r="A1231" s="1185"/>
      <c r="B1231" s="1199" t="s">
        <v>6827</v>
      </c>
      <c r="C1231" s="1186">
        <v>1</v>
      </c>
      <c r="D1231" s="1186" t="s">
        <v>3364</v>
      </c>
      <c r="E1231" s="1186">
        <v>1</v>
      </c>
      <c r="F1231" s="1177"/>
      <c r="G1231" s="1177"/>
      <c r="H1231" s="1177"/>
      <c r="I1231" s="1278">
        <f t="shared" si="77"/>
        <v>1</v>
      </c>
      <c r="J1231" s="1275"/>
    </row>
    <row r="1232" spans="1:10" s="1209" customFormat="1" ht="17.25" customHeight="1">
      <c r="A1232" s="1185"/>
      <c r="B1232" s="1199" t="s">
        <v>6828</v>
      </c>
      <c r="C1232" s="1186">
        <v>3</v>
      </c>
      <c r="D1232" s="1186" t="s">
        <v>3364</v>
      </c>
      <c r="E1232" s="1186">
        <v>1</v>
      </c>
      <c r="F1232" s="1177"/>
      <c r="G1232" s="1177"/>
      <c r="H1232" s="1177"/>
      <c r="I1232" s="1278">
        <f t="shared" si="77"/>
        <v>3</v>
      </c>
      <c r="J1232" s="1275"/>
    </row>
    <row r="1233" spans="1:10" s="1209" customFormat="1" ht="17.25" customHeight="1">
      <c r="A1233" s="1185"/>
      <c r="B1233" s="1199" t="s">
        <v>3492</v>
      </c>
      <c r="C1233" s="1186">
        <v>2</v>
      </c>
      <c r="D1233" s="1186" t="s">
        <v>3364</v>
      </c>
      <c r="E1233" s="1186">
        <v>1</v>
      </c>
      <c r="F1233" s="1177"/>
      <c r="G1233" s="1177"/>
      <c r="H1233" s="1177"/>
      <c r="I1233" s="1278">
        <f t="shared" si="77"/>
        <v>2</v>
      </c>
      <c r="J1233" s="1275"/>
    </row>
    <row r="1234" spans="1:10" s="1209" customFormat="1" ht="17.25" customHeight="1">
      <c r="A1234" s="1185"/>
      <c r="B1234" s="1199" t="s">
        <v>6829</v>
      </c>
      <c r="C1234" s="1186">
        <v>2</v>
      </c>
      <c r="D1234" s="1186" t="s">
        <v>3364</v>
      </c>
      <c r="E1234" s="1186">
        <v>1</v>
      </c>
      <c r="F1234" s="1177"/>
      <c r="G1234" s="1177"/>
      <c r="H1234" s="1177"/>
      <c r="I1234" s="1278">
        <f t="shared" si="77"/>
        <v>2</v>
      </c>
      <c r="J1234" s="1275"/>
    </row>
    <row r="1235" spans="1:10" s="1209" customFormat="1" ht="17.25" customHeight="1">
      <c r="A1235" s="1185"/>
      <c r="B1235" s="1199" t="s">
        <v>6830</v>
      </c>
      <c r="C1235" s="1186">
        <v>1</v>
      </c>
      <c r="D1235" s="1186" t="s">
        <v>3364</v>
      </c>
      <c r="E1235" s="1186">
        <v>1</v>
      </c>
      <c r="F1235" s="1177"/>
      <c r="G1235" s="1177"/>
      <c r="H1235" s="1177"/>
      <c r="I1235" s="1278">
        <f t="shared" si="77"/>
        <v>1</v>
      </c>
      <c r="J1235" s="1275"/>
    </row>
    <row r="1236" spans="1:10" s="1209" customFormat="1" ht="17.25" customHeight="1">
      <c r="A1236" s="1185"/>
      <c r="B1236" s="1202" t="s">
        <v>3691</v>
      </c>
      <c r="C1236" s="1186"/>
      <c r="D1236" s="1186"/>
      <c r="E1236" s="1186"/>
      <c r="F1236" s="1177"/>
      <c r="G1236" s="1177"/>
      <c r="H1236" s="1177"/>
      <c r="I1236" s="1278">
        <f t="shared" si="77"/>
        <v>0</v>
      </c>
      <c r="J1236" s="1275"/>
    </row>
    <row r="1237" spans="1:10" s="1209" customFormat="1" ht="17.25" customHeight="1">
      <c r="A1237" s="1185"/>
      <c r="B1237" s="1199" t="s">
        <v>6831</v>
      </c>
      <c r="C1237" s="1186">
        <v>3</v>
      </c>
      <c r="D1237" s="1186" t="s">
        <v>3364</v>
      </c>
      <c r="E1237" s="1186">
        <v>1</v>
      </c>
      <c r="F1237" s="1177"/>
      <c r="G1237" s="1177"/>
      <c r="H1237" s="1177"/>
      <c r="I1237" s="1278">
        <f t="shared" si="77"/>
        <v>3</v>
      </c>
      <c r="J1237" s="1275"/>
    </row>
    <row r="1238" spans="1:10" s="1209" customFormat="1" ht="17.25" customHeight="1">
      <c r="A1238" s="1185"/>
      <c r="B1238" s="1199" t="s">
        <v>6814</v>
      </c>
      <c r="C1238" s="1186">
        <v>2</v>
      </c>
      <c r="D1238" s="1186" t="s">
        <v>3364</v>
      </c>
      <c r="E1238" s="1186">
        <v>1</v>
      </c>
      <c r="F1238" s="1177"/>
      <c r="G1238" s="1177"/>
      <c r="H1238" s="1177"/>
      <c r="I1238" s="1278">
        <f t="shared" si="77"/>
        <v>2</v>
      </c>
      <c r="J1238" s="1275"/>
    </row>
    <row r="1239" spans="1:10" s="1209" customFormat="1" ht="17.25" customHeight="1">
      <c r="A1239" s="1185"/>
      <c r="B1239" s="1199" t="s">
        <v>6832</v>
      </c>
      <c r="C1239" s="1186">
        <v>8</v>
      </c>
      <c r="D1239" s="1186" t="s">
        <v>3364</v>
      </c>
      <c r="E1239" s="1186">
        <v>1</v>
      </c>
      <c r="F1239" s="1177"/>
      <c r="G1239" s="1177"/>
      <c r="H1239" s="1177"/>
      <c r="I1239" s="1278">
        <f t="shared" si="77"/>
        <v>8</v>
      </c>
      <c r="J1239" s="1275"/>
    </row>
    <row r="1240" spans="1:10" s="1209" customFormat="1" ht="17.25" customHeight="1">
      <c r="A1240" s="1185"/>
      <c r="B1240" s="1199" t="s">
        <v>6833</v>
      </c>
      <c r="C1240" s="1186">
        <v>1</v>
      </c>
      <c r="D1240" s="1186" t="s">
        <v>3364</v>
      </c>
      <c r="E1240" s="1186">
        <v>1</v>
      </c>
      <c r="F1240" s="1177"/>
      <c r="G1240" s="1177"/>
      <c r="H1240" s="1177"/>
      <c r="I1240" s="1278">
        <f t="shared" si="77"/>
        <v>1</v>
      </c>
      <c r="J1240" s="1275"/>
    </row>
    <row r="1241" spans="1:10" s="1209" customFormat="1" ht="17.25" customHeight="1">
      <c r="A1241" s="1185"/>
      <c r="B1241" s="1199" t="s">
        <v>6834</v>
      </c>
      <c r="C1241" s="1186">
        <v>2</v>
      </c>
      <c r="D1241" s="1186" t="s">
        <v>3364</v>
      </c>
      <c r="E1241" s="1186">
        <v>1</v>
      </c>
      <c r="F1241" s="1177"/>
      <c r="G1241" s="1177"/>
      <c r="H1241" s="1177"/>
      <c r="I1241" s="1278">
        <f t="shared" si="77"/>
        <v>2</v>
      </c>
      <c r="J1241" s="1275"/>
    </row>
    <row r="1242" spans="1:10" s="1209" customFormat="1" ht="17.25" customHeight="1">
      <c r="A1242" s="1185"/>
      <c r="B1242" s="1199" t="s">
        <v>6835</v>
      </c>
      <c r="C1242" s="1186">
        <v>5</v>
      </c>
      <c r="D1242" s="1186" t="s">
        <v>3364</v>
      </c>
      <c r="E1242" s="1186">
        <v>1</v>
      </c>
      <c r="F1242" s="1177"/>
      <c r="G1242" s="1177"/>
      <c r="H1242" s="1177"/>
      <c r="I1242" s="1278">
        <f t="shared" si="77"/>
        <v>5</v>
      </c>
      <c r="J1242" s="1275"/>
    </row>
    <row r="1243" spans="1:10" s="1209" customFormat="1" ht="17.25" customHeight="1">
      <c r="A1243" s="1185"/>
      <c r="B1243" s="1199" t="s">
        <v>6829</v>
      </c>
      <c r="C1243" s="1186">
        <v>4</v>
      </c>
      <c r="D1243" s="1186" t="s">
        <v>3364</v>
      </c>
      <c r="E1243" s="1186">
        <v>1</v>
      </c>
      <c r="F1243" s="1177"/>
      <c r="G1243" s="1177"/>
      <c r="H1243" s="1177"/>
      <c r="I1243" s="1278">
        <f t="shared" si="77"/>
        <v>4</v>
      </c>
      <c r="J1243" s="1275"/>
    </row>
    <row r="1244" spans="1:10" s="1209" customFormat="1" ht="17.25" customHeight="1">
      <c r="A1244" s="1185"/>
      <c r="B1244" s="1199" t="s">
        <v>6836</v>
      </c>
      <c r="C1244" s="1186">
        <v>2</v>
      </c>
      <c r="D1244" s="1186" t="s">
        <v>3364</v>
      </c>
      <c r="E1244" s="1186">
        <v>1</v>
      </c>
      <c r="F1244" s="1177"/>
      <c r="G1244" s="1177"/>
      <c r="H1244" s="1177"/>
      <c r="I1244" s="1278">
        <f t="shared" si="77"/>
        <v>2</v>
      </c>
      <c r="J1244" s="1275"/>
    </row>
    <row r="1245" spans="1:10" s="1209" customFormat="1" ht="17.25" customHeight="1">
      <c r="A1245" s="1185"/>
      <c r="B1245" s="1202" t="s">
        <v>3692</v>
      </c>
      <c r="C1245" s="1186"/>
      <c r="D1245" s="1186"/>
      <c r="E1245" s="1186"/>
      <c r="F1245" s="1177"/>
      <c r="G1245" s="1177"/>
      <c r="H1245" s="1177"/>
      <c r="I1245" s="1278">
        <f t="shared" si="77"/>
        <v>0</v>
      </c>
      <c r="J1245" s="1275"/>
    </row>
    <row r="1246" spans="1:10" s="1209" customFormat="1" ht="17.25" customHeight="1">
      <c r="A1246" s="1185"/>
      <c r="B1246" s="1199" t="s">
        <v>6837</v>
      </c>
      <c r="C1246" s="1186">
        <v>6</v>
      </c>
      <c r="D1246" s="1186" t="s">
        <v>3364</v>
      </c>
      <c r="E1246" s="1186">
        <v>1</v>
      </c>
      <c r="F1246" s="1177"/>
      <c r="G1246" s="1177"/>
      <c r="H1246" s="1177"/>
      <c r="I1246" s="1278">
        <f t="shared" si="77"/>
        <v>6</v>
      </c>
      <c r="J1246" s="1275"/>
    </row>
    <row r="1247" spans="1:10" s="1209" customFormat="1" ht="17.25" customHeight="1">
      <c r="A1247" s="1185"/>
      <c r="B1247" s="1199" t="s">
        <v>6600</v>
      </c>
      <c r="C1247" s="1186">
        <v>4</v>
      </c>
      <c r="D1247" s="1186" t="s">
        <v>3364</v>
      </c>
      <c r="E1247" s="1186">
        <v>1</v>
      </c>
      <c r="F1247" s="1177"/>
      <c r="G1247" s="1177"/>
      <c r="H1247" s="1177"/>
      <c r="I1247" s="1278">
        <f t="shared" si="77"/>
        <v>4</v>
      </c>
      <c r="J1247" s="1275"/>
    </row>
    <row r="1248" spans="1:10" s="1209" customFormat="1" ht="17.25" customHeight="1">
      <c r="A1248" s="1185"/>
      <c r="B1248" s="1199" t="s">
        <v>6838</v>
      </c>
      <c r="C1248" s="1186">
        <v>4</v>
      </c>
      <c r="D1248" s="1186" t="s">
        <v>3364</v>
      </c>
      <c r="E1248" s="1186">
        <v>1</v>
      </c>
      <c r="F1248" s="1177"/>
      <c r="G1248" s="1177"/>
      <c r="H1248" s="1177"/>
      <c r="I1248" s="1278">
        <f t="shared" si="77"/>
        <v>4</v>
      </c>
      <c r="J1248" s="1275"/>
    </row>
    <row r="1249" spans="1:10" s="1209" customFormat="1" ht="17.25" customHeight="1">
      <c r="A1249" s="1185"/>
      <c r="B1249" s="1199" t="s">
        <v>6602</v>
      </c>
      <c r="C1249" s="1186">
        <v>3</v>
      </c>
      <c r="D1249" s="1186" t="s">
        <v>3364</v>
      </c>
      <c r="E1249" s="1186">
        <v>1</v>
      </c>
      <c r="F1249" s="1177"/>
      <c r="G1249" s="1177"/>
      <c r="H1249" s="1177"/>
      <c r="I1249" s="1278">
        <f t="shared" si="77"/>
        <v>3</v>
      </c>
      <c r="J1249" s="1275"/>
    </row>
    <row r="1250" spans="1:10" s="1209" customFormat="1" ht="17.25" customHeight="1">
      <c r="A1250" s="1185"/>
      <c r="B1250" s="1199" t="s">
        <v>6839</v>
      </c>
      <c r="C1250" s="1186">
        <v>2</v>
      </c>
      <c r="D1250" s="1186" t="s">
        <v>3364</v>
      </c>
      <c r="E1250" s="1186">
        <v>1</v>
      </c>
      <c r="F1250" s="1177"/>
      <c r="G1250" s="1177"/>
      <c r="H1250" s="1177"/>
      <c r="I1250" s="1278">
        <f t="shared" si="77"/>
        <v>2</v>
      </c>
      <c r="J1250" s="1275"/>
    </row>
    <row r="1251" spans="1:10" s="1209" customFormat="1" ht="17.25" customHeight="1">
      <c r="A1251" s="1185"/>
      <c r="B1251" s="1199" t="s">
        <v>6683</v>
      </c>
      <c r="C1251" s="1186">
        <v>2</v>
      </c>
      <c r="D1251" s="1186" t="s">
        <v>3364</v>
      </c>
      <c r="E1251" s="1186">
        <v>1</v>
      </c>
      <c r="F1251" s="1177"/>
      <c r="G1251" s="1177"/>
      <c r="H1251" s="1177"/>
      <c r="I1251" s="1278">
        <f t="shared" si="77"/>
        <v>2</v>
      </c>
      <c r="J1251" s="1275"/>
    </row>
    <row r="1252" spans="1:10" s="1209" customFormat="1" ht="17.25" customHeight="1">
      <c r="A1252" s="1185"/>
      <c r="B1252" s="1199" t="s">
        <v>6800</v>
      </c>
      <c r="C1252" s="1186">
        <v>1</v>
      </c>
      <c r="D1252" s="1186" t="s">
        <v>3364</v>
      </c>
      <c r="E1252" s="1186">
        <v>1</v>
      </c>
      <c r="F1252" s="1177"/>
      <c r="G1252" s="1177"/>
      <c r="H1252" s="1177"/>
      <c r="I1252" s="1278">
        <f t="shared" si="77"/>
        <v>1</v>
      </c>
      <c r="J1252" s="1275"/>
    </row>
    <row r="1253" spans="1:10" s="1209" customFormat="1" ht="17.25" customHeight="1">
      <c r="A1253" s="1185"/>
      <c r="B1253" s="1199" t="s">
        <v>3484</v>
      </c>
      <c r="C1253" s="1186">
        <v>5</v>
      </c>
      <c r="D1253" s="1186" t="s">
        <v>3364</v>
      </c>
      <c r="E1253" s="1186">
        <v>1</v>
      </c>
      <c r="F1253" s="1177"/>
      <c r="G1253" s="1177"/>
      <c r="H1253" s="1177"/>
      <c r="I1253" s="1278">
        <f t="shared" si="77"/>
        <v>5</v>
      </c>
      <c r="J1253" s="1275"/>
    </row>
    <row r="1254" spans="1:10" s="1209" customFormat="1" ht="17.25" customHeight="1">
      <c r="A1254" s="1185"/>
      <c r="B1254" s="1199" t="s">
        <v>6840</v>
      </c>
      <c r="C1254" s="1186">
        <v>2</v>
      </c>
      <c r="D1254" s="1186" t="s">
        <v>3364</v>
      </c>
      <c r="E1254" s="1186">
        <v>2</v>
      </c>
      <c r="F1254" s="1177"/>
      <c r="G1254" s="1177"/>
      <c r="H1254" s="1177"/>
      <c r="I1254" s="1278">
        <f t="shared" si="77"/>
        <v>4</v>
      </c>
      <c r="J1254" s="1275"/>
    </row>
    <row r="1255" spans="1:10" s="1209" customFormat="1" ht="17.25" customHeight="1">
      <c r="A1255" s="1185"/>
      <c r="B1255" s="1199" t="s">
        <v>6836</v>
      </c>
      <c r="C1255" s="1186">
        <v>2</v>
      </c>
      <c r="D1255" s="1186" t="s">
        <v>3364</v>
      </c>
      <c r="E1255" s="1186">
        <v>2</v>
      </c>
      <c r="F1255" s="1177"/>
      <c r="G1255" s="1177"/>
      <c r="H1255" s="1177"/>
      <c r="I1255" s="1278">
        <f t="shared" si="77"/>
        <v>4</v>
      </c>
      <c r="J1255" s="1275"/>
    </row>
    <row r="1256" spans="1:10" s="1209" customFormat="1" ht="17.25" customHeight="1">
      <c r="A1256" s="1185"/>
      <c r="B1256" s="1199" t="s">
        <v>6841</v>
      </c>
      <c r="C1256" s="1186">
        <v>2</v>
      </c>
      <c r="D1256" s="1186" t="s">
        <v>3364</v>
      </c>
      <c r="E1256" s="1186">
        <v>1</v>
      </c>
      <c r="F1256" s="1177"/>
      <c r="G1256" s="1177"/>
      <c r="H1256" s="1177"/>
      <c r="I1256" s="1278">
        <f t="shared" si="77"/>
        <v>2</v>
      </c>
      <c r="J1256" s="1275"/>
    </row>
    <row r="1257" spans="1:10" s="1209" customFormat="1">
      <c r="A1257" s="1185"/>
      <c r="B1257" s="1199"/>
      <c r="C1257" s="1186"/>
      <c r="D1257" s="1186"/>
      <c r="E1257" s="1186"/>
      <c r="F1257" s="1177"/>
      <c r="G1257" s="1253" t="s">
        <v>104</v>
      </c>
      <c r="H1257" s="1177"/>
      <c r="I1257" s="1181">
        <f>SUM(I1220:I1256)</f>
        <v>102</v>
      </c>
      <c r="J1257" s="1184" t="s">
        <v>3471</v>
      </c>
    </row>
    <row r="1258" spans="1:10" s="1209" customFormat="1" ht="47.25">
      <c r="A1258" s="1182">
        <v>69</v>
      </c>
      <c r="B1258" s="1300" t="s">
        <v>3676</v>
      </c>
      <c r="C1258" s="1186"/>
      <c r="D1258" s="1186"/>
      <c r="E1258" s="1186"/>
      <c r="F1258" s="1177"/>
      <c r="G1258" s="1177"/>
      <c r="H1258" s="1177"/>
      <c r="I1258" s="1178"/>
      <c r="J1258" s="1184"/>
    </row>
    <row r="1259" spans="1:10" s="1209" customFormat="1">
      <c r="A1259" s="1182"/>
      <c r="B1259" s="1203" t="s">
        <v>6790</v>
      </c>
      <c r="C1259" s="1186"/>
      <c r="D1259" s="1186"/>
      <c r="E1259" s="1186"/>
      <c r="F1259" s="1177"/>
      <c r="G1259" s="1177"/>
      <c r="H1259" s="1177"/>
      <c r="I1259" s="1178"/>
      <c r="J1259" s="1184"/>
    </row>
    <row r="1260" spans="1:10" s="1209" customFormat="1">
      <c r="A1260" s="1182"/>
      <c r="B1260" s="1201" t="s">
        <v>3626</v>
      </c>
      <c r="C1260" s="1186">
        <v>3</v>
      </c>
      <c r="D1260" s="1186" t="s">
        <v>3364</v>
      </c>
      <c r="E1260" s="1186">
        <v>1</v>
      </c>
      <c r="F1260" s="1177"/>
      <c r="G1260" s="1177"/>
      <c r="H1260" s="1177"/>
      <c r="I1260" s="1278">
        <f t="shared" ref="I1260:I1287" si="78">PRODUCT(C1260:H1260)</f>
        <v>3</v>
      </c>
      <c r="J1260" s="1275"/>
    </row>
    <row r="1261" spans="1:10" s="1209" customFormat="1">
      <c r="A1261" s="1182"/>
      <c r="B1261" s="1201" t="s">
        <v>6618</v>
      </c>
      <c r="C1261" s="1186">
        <v>1</v>
      </c>
      <c r="D1261" s="1186" t="s">
        <v>3364</v>
      </c>
      <c r="E1261" s="1186">
        <v>1</v>
      </c>
      <c r="F1261" s="1177"/>
      <c r="G1261" s="1177"/>
      <c r="H1261" s="1177"/>
      <c r="I1261" s="1278">
        <f t="shared" si="78"/>
        <v>1</v>
      </c>
      <c r="J1261" s="1275"/>
    </row>
    <row r="1262" spans="1:10" s="1209" customFormat="1">
      <c r="A1262" s="1185"/>
      <c r="B1262" s="1199" t="s">
        <v>6822</v>
      </c>
      <c r="C1262" s="1186">
        <v>1</v>
      </c>
      <c r="D1262" s="1186" t="s">
        <v>3364</v>
      </c>
      <c r="E1262" s="1186">
        <v>1</v>
      </c>
      <c r="F1262" s="1177"/>
      <c r="G1262" s="1177"/>
      <c r="H1262" s="1177"/>
      <c r="I1262" s="1278">
        <f t="shared" si="78"/>
        <v>1</v>
      </c>
      <c r="J1262" s="1275"/>
    </row>
    <row r="1263" spans="1:10" s="1209" customFormat="1">
      <c r="A1263" s="1185"/>
      <c r="B1263" s="1199" t="s">
        <v>6590</v>
      </c>
      <c r="C1263" s="1186">
        <v>1</v>
      </c>
      <c r="D1263" s="1186" t="s">
        <v>3364</v>
      </c>
      <c r="E1263" s="1186">
        <v>1</v>
      </c>
      <c r="F1263" s="1177"/>
      <c r="G1263" s="1177"/>
      <c r="H1263" s="1177"/>
      <c r="I1263" s="1278">
        <f t="shared" si="78"/>
        <v>1</v>
      </c>
      <c r="J1263" s="1275"/>
    </row>
    <row r="1264" spans="1:10" s="1209" customFormat="1">
      <c r="A1264" s="1185"/>
      <c r="B1264" s="1199" t="s">
        <v>3492</v>
      </c>
      <c r="C1264" s="1186">
        <v>1</v>
      </c>
      <c r="D1264" s="1186" t="s">
        <v>3364</v>
      </c>
      <c r="E1264" s="1186">
        <v>1</v>
      </c>
      <c r="F1264" s="1177"/>
      <c r="G1264" s="1177"/>
      <c r="H1264" s="1177"/>
      <c r="I1264" s="1278">
        <f t="shared" si="78"/>
        <v>1</v>
      </c>
      <c r="J1264" s="1275"/>
    </row>
    <row r="1265" spans="1:10" s="1209" customFormat="1">
      <c r="A1265" s="1185"/>
      <c r="B1265" s="1199" t="s">
        <v>6620</v>
      </c>
      <c r="C1265" s="1186">
        <v>2</v>
      </c>
      <c r="D1265" s="1186" t="s">
        <v>3364</v>
      </c>
      <c r="E1265" s="1186">
        <v>1</v>
      </c>
      <c r="F1265" s="1177"/>
      <c r="G1265" s="1177"/>
      <c r="H1265" s="1177"/>
      <c r="I1265" s="1278">
        <f t="shared" si="78"/>
        <v>2</v>
      </c>
      <c r="J1265" s="1275"/>
    </row>
    <row r="1266" spans="1:10" s="1209" customFormat="1" ht="17.25" customHeight="1">
      <c r="A1266" s="1185"/>
      <c r="B1266" s="1199" t="s">
        <v>6823</v>
      </c>
      <c r="C1266" s="1186">
        <v>3</v>
      </c>
      <c r="D1266" s="1186" t="s">
        <v>3364</v>
      </c>
      <c r="E1266" s="1186">
        <v>1</v>
      </c>
      <c r="F1266" s="1177"/>
      <c r="G1266" s="1177"/>
      <c r="H1266" s="1177"/>
      <c r="I1266" s="1278">
        <f t="shared" si="78"/>
        <v>3</v>
      </c>
      <c r="J1266" s="1275"/>
    </row>
    <row r="1267" spans="1:10" s="1209" customFormat="1" ht="17.25" customHeight="1">
      <c r="A1267" s="1185"/>
      <c r="B1267" s="1202" t="s">
        <v>6668</v>
      </c>
      <c r="C1267" s="1186"/>
      <c r="D1267" s="1186"/>
      <c r="E1267" s="1186"/>
      <c r="F1267" s="1177"/>
      <c r="G1267" s="1177"/>
      <c r="H1267" s="1177"/>
      <c r="I1267" s="1278">
        <f t="shared" si="78"/>
        <v>0</v>
      </c>
      <c r="J1267" s="1275"/>
    </row>
    <row r="1268" spans="1:10" s="1209" customFormat="1" ht="17.25" customHeight="1">
      <c r="A1268" s="1185"/>
      <c r="B1268" s="1199" t="s">
        <v>6824</v>
      </c>
      <c r="C1268" s="1186">
        <v>2</v>
      </c>
      <c r="D1268" s="1186" t="s">
        <v>3364</v>
      </c>
      <c r="E1268" s="1186">
        <v>1</v>
      </c>
      <c r="F1268" s="1177"/>
      <c r="G1268" s="1177"/>
      <c r="H1268" s="1177"/>
      <c r="I1268" s="1278">
        <f t="shared" si="78"/>
        <v>2</v>
      </c>
      <c r="J1268" s="1275"/>
    </row>
    <row r="1269" spans="1:10" s="1209" customFormat="1" ht="17.25" customHeight="1">
      <c r="A1269" s="1185"/>
      <c r="B1269" s="1199" t="s">
        <v>6825</v>
      </c>
      <c r="C1269" s="1186">
        <v>4</v>
      </c>
      <c r="D1269" s="1186" t="s">
        <v>3364</v>
      </c>
      <c r="E1269" s="1186">
        <v>1</v>
      </c>
      <c r="F1269" s="1177"/>
      <c r="G1269" s="1177"/>
      <c r="H1269" s="1177"/>
      <c r="I1269" s="1278">
        <f t="shared" si="78"/>
        <v>4</v>
      </c>
      <c r="J1269" s="1275"/>
    </row>
    <row r="1270" spans="1:10" s="1209" customFormat="1" ht="17.25" customHeight="1">
      <c r="A1270" s="1185"/>
      <c r="B1270" s="1199" t="s">
        <v>6826</v>
      </c>
      <c r="C1270" s="1186">
        <v>1</v>
      </c>
      <c r="D1270" s="1186" t="s">
        <v>3364</v>
      </c>
      <c r="E1270" s="1186">
        <v>1</v>
      </c>
      <c r="F1270" s="1177"/>
      <c r="G1270" s="1177"/>
      <c r="H1270" s="1177"/>
      <c r="I1270" s="1278">
        <f t="shared" si="78"/>
        <v>1</v>
      </c>
      <c r="J1270" s="1275"/>
    </row>
    <row r="1271" spans="1:10" s="1209" customFormat="1" ht="17.25" customHeight="1">
      <c r="A1271" s="1185"/>
      <c r="B1271" s="1199" t="s">
        <v>6827</v>
      </c>
      <c r="C1271" s="1186">
        <v>1</v>
      </c>
      <c r="D1271" s="1186" t="s">
        <v>3364</v>
      </c>
      <c r="E1271" s="1186">
        <v>1</v>
      </c>
      <c r="F1271" s="1177"/>
      <c r="G1271" s="1177"/>
      <c r="H1271" s="1177"/>
      <c r="I1271" s="1278">
        <f t="shared" si="78"/>
        <v>1</v>
      </c>
      <c r="J1271" s="1275"/>
    </row>
    <row r="1272" spans="1:10" s="1209" customFormat="1" ht="17.25" customHeight="1">
      <c r="A1272" s="1185"/>
      <c r="B1272" s="1202" t="s">
        <v>3691</v>
      </c>
      <c r="C1272" s="1186"/>
      <c r="D1272" s="1186"/>
      <c r="E1272" s="1186"/>
      <c r="F1272" s="1177"/>
      <c r="G1272" s="1177"/>
      <c r="H1272" s="1177"/>
      <c r="I1272" s="1278">
        <f t="shared" si="78"/>
        <v>0</v>
      </c>
      <c r="J1272" s="1275"/>
    </row>
    <row r="1273" spans="1:10" s="1209" customFormat="1" ht="17.25" customHeight="1">
      <c r="A1273" s="1185"/>
      <c r="B1273" s="1199" t="s">
        <v>6831</v>
      </c>
      <c r="C1273" s="1186">
        <v>3</v>
      </c>
      <c r="D1273" s="1186" t="s">
        <v>3364</v>
      </c>
      <c r="E1273" s="1186">
        <v>1</v>
      </c>
      <c r="F1273" s="1177"/>
      <c r="G1273" s="1177"/>
      <c r="H1273" s="1177"/>
      <c r="I1273" s="1278">
        <f t="shared" si="78"/>
        <v>3</v>
      </c>
      <c r="J1273" s="1275"/>
    </row>
    <row r="1274" spans="1:10" s="1209" customFormat="1" ht="17.25" customHeight="1">
      <c r="A1274" s="1185"/>
      <c r="B1274" s="1199" t="s">
        <v>6814</v>
      </c>
      <c r="C1274" s="1186">
        <v>2</v>
      </c>
      <c r="D1274" s="1186" t="s">
        <v>3364</v>
      </c>
      <c r="E1274" s="1186">
        <v>1</v>
      </c>
      <c r="F1274" s="1177"/>
      <c r="G1274" s="1177"/>
      <c r="H1274" s="1177"/>
      <c r="I1274" s="1278">
        <f t="shared" si="78"/>
        <v>2</v>
      </c>
      <c r="J1274" s="1275"/>
    </row>
    <row r="1275" spans="1:10" s="1209" customFormat="1" ht="17.25" customHeight="1">
      <c r="A1275" s="1185"/>
      <c r="B1275" s="1199" t="s">
        <v>6832</v>
      </c>
      <c r="C1275" s="1186">
        <v>4</v>
      </c>
      <c r="D1275" s="1186" t="s">
        <v>3364</v>
      </c>
      <c r="E1275" s="1186">
        <v>1</v>
      </c>
      <c r="F1275" s="1177"/>
      <c r="G1275" s="1177"/>
      <c r="H1275" s="1177"/>
      <c r="I1275" s="1278">
        <f t="shared" si="78"/>
        <v>4</v>
      </c>
      <c r="J1275" s="1275"/>
    </row>
    <row r="1276" spans="1:10" s="1209" customFormat="1" ht="17.25" customHeight="1">
      <c r="A1276" s="1185"/>
      <c r="B1276" s="1199" t="s">
        <v>6833</v>
      </c>
      <c r="C1276" s="1186">
        <v>1</v>
      </c>
      <c r="D1276" s="1186" t="s">
        <v>3364</v>
      </c>
      <c r="E1276" s="1186">
        <v>1</v>
      </c>
      <c r="F1276" s="1177"/>
      <c r="G1276" s="1177"/>
      <c r="H1276" s="1177"/>
      <c r="I1276" s="1278">
        <f t="shared" si="78"/>
        <v>1</v>
      </c>
      <c r="J1276" s="1275"/>
    </row>
    <row r="1277" spans="1:10" s="1209" customFormat="1" ht="17.25" customHeight="1">
      <c r="A1277" s="1185"/>
      <c r="B1277" s="1199" t="s">
        <v>6834</v>
      </c>
      <c r="C1277" s="1186">
        <v>2</v>
      </c>
      <c r="D1277" s="1186" t="s">
        <v>3364</v>
      </c>
      <c r="E1277" s="1186">
        <v>1</v>
      </c>
      <c r="F1277" s="1177"/>
      <c r="G1277" s="1177"/>
      <c r="H1277" s="1177"/>
      <c r="I1277" s="1278">
        <f t="shared" si="78"/>
        <v>2</v>
      </c>
      <c r="J1277" s="1275"/>
    </row>
    <row r="1278" spans="1:10" s="1209" customFormat="1" ht="17.25" customHeight="1">
      <c r="A1278" s="1185"/>
      <c r="B1278" s="1202" t="s">
        <v>3692</v>
      </c>
      <c r="C1278" s="1186"/>
      <c r="D1278" s="1186"/>
      <c r="E1278" s="1186"/>
      <c r="F1278" s="1177"/>
      <c r="G1278" s="1177"/>
      <c r="H1278" s="1177"/>
      <c r="I1278" s="1278">
        <f t="shared" si="78"/>
        <v>0</v>
      </c>
      <c r="J1278" s="1275"/>
    </row>
    <row r="1279" spans="1:10" s="1209" customFormat="1" ht="17.25" customHeight="1">
      <c r="A1279" s="1185"/>
      <c r="B1279" s="1199" t="s">
        <v>6837</v>
      </c>
      <c r="C1279" s="1186">
        <v>4</v>
      </c>
      <c r="D1279" s="1186" t="s">
        <v>3364</v>
      </c>
      <c r="E1279" s="1186">
        <v>1</v>
      </c>
      <c r="F1279" s="1177"/>
      <c r="G1279" s="1177"/>
      <c r="H1279" s="1177"/>
      <c r="I1279" s="1278">
        <f t="shared" si="78"/>
        <v>4</v>
      </c>
      <c r="J1279" s="1275"/>
    </row>
    <row r="1280" spans="1:10" s="1209" customFormat="1" ht="17.25" customHeight="1">
      <c r="A1280" s="1185"/>
      <c r="B1280" s="1199" t="s">
        <v>6600</v>
      </c>
      <c r="C1280" s="1186">
        <v>2</v>
      </c>
      <c r="D1280" s="1186" t="s">
        <v>3364</v>
      </c>
      <c r="E1280" s="1186">
        <v>1</v>
      </c>
      <c r="F1280" s="1177"/>
      <c r="G1280" s="1177"/>
      <c r="H1280" s="1177"/>
      <c r="I1280" s="1278">
        <f t="shared" si="78"/>
        <v>2</v>
      </c>
      <c r="J1280" s="1275"/>
    </row>
    <row r="1281" spans="1:10" s="1209" customFormat="1" ht="17.25" customHeight="1">
      <c r="A1281" s="1185"/>
      <c r="B1281" s="1199" t="s">
        <v>6838</v>
      </c>
      <c r="C1281" s="1186">
        <v>2</v>
      </c>
      <c r="D1281" s="1186" t="s">
        <v>3364</v>
      </c>
      <c r="E1281" s="1186">
        <v>1</v>
      </c>
      <c r="F1281" s="1177"/>
      <c r="G1281" s="1177"/>
      <c r="H1281" s="1177"/>
      <c r="I1281" s="1278">
        <f t="shared" si="78"/>
        <v>2</v>
      </c>
      <c r="J1281" s="1275"/>
    </row>
    <row r="1282" spans="1:10" s="1209" customFormat="1" ht="17.25" customHeight="1">
      <c r="A1282" s="1185"/>
      <c r="B1282" s="1199" t="s">
        <v>6602</v>
      </c>
      <c r="C1282" s="1186">
        <v>3</v>
      </c>
      <c r="D1282" s="1186" t="s">
        <v>3364</v>
      </c>
      <c r="E1282" s="1186">
        <v>1</v>
      </c>
      <c r="F1282" s="1177"/>
      <c r="G1282" s="1177"/>
      <c r="H1282" s="1177"/>
      <c r="I1282" s="1278">
        <f t="shared" si="78"/>
        <v>3</v>
      </c>
      <c r="J1282" s="1275"/>
    </row>
    <row r="1283" spans="1:10" s="1209" customFormat="1" ht="17.25" customHeight="1">
      <c r="A1283" s="1185"/>
      <c r="B1283" s="1199" t="s">
        <v>6839</v>
      </c>
      <c r="C1283" s="1186">
        <v>2</v>
      </c>
      <c r="D1283" s="1186" t="s">
        <v>3364</v>
      </c>
      <c r="E1283" s="1186">
        <v>1</v>
      </c>
      <c r="F1283" s="1177"/>
      <c r="G1283" s="1177"/>
      <c r="H1283" s="1177"/>
      <c r="I1283" s="1278">
        <f t="shared" si="78"/>
        <v>2</v>
      </c>
      <c r="J1283" s="1275"/>
    </row>
    <row r="1284" spans="1:10" s="1209" customFormat="1" ht="17.25" customHeight="1">
      <c r="A1284" s="1185"/>
      <c r="B1284" s="1199" t="s">
        <v>6683</v>
      </c>
      <c r="C1284" s="1186">
        <v>2</v>
      </c>
      <c r="D1284" s="1186" t="s">
        <v>3364</v>
      </c>
      <c r="E1284" s="1186">
        <v>1</v>
      </c>
      <c r="F1284" s="1177"/>
      <c r="G1284" s="1177"/>
      <c r="H1284" s="1177"/>
      <c r="I1284" s="1278">
        <f t="shared" si="78"/>
        <v>2</v>
      </c>
      <c r="J1284" s="1275"/>
    </row>
    <row r="1285" spans="1:10" s="1209" customFormat="1" ht="17.25" customHeight="1">
      <c r="A1285" s="1185"/>
      <c r="B1285" s="1199" t="s">
        <v>6840</v>
      </c>
      <c r="C1285" s="1186">
        <v>2</v>
      </c>
      <c r="D1285" s="1186" t="s">
        <v>3364</v>
      </c>
      <c r="E1285" s="1186">
        <v>1</v>
      </c>
      <c r="F1285" s="1177"/>
      <c r="G1285" s="1177"/>
      <c r="H1285" s="1177"/>
      <c r="I1285" s="1278">
        <f t="shared" si="78"/>
        <v>2</v>
      </c>
      <c r="J1285" s="1275"/>
    </row>
    <row r="1286" spans="1:10" s="1209" customFormat="1" ht="17.25" customHeight="1">
      <c r="A1286" s="1185"/>
      <c r="B1286" s="1199" t="s">
        <v>6836</v>
      </c>
      <c r="C1286" s="1186">
        <v>2</v>
      </c>
      <c r="D1286" s="1186" t="s">
        <v>3364</v>
      </c>
      <c r="E1286" s="1186">
        <v>1</v>
      </c>
      <c r="F1286" s="1177"/>
      <c r="G1286" s="1177"/>
      <c r="H1286" s="1177"/>
      <c r="I1286" s="1278">
        <f t="shared" si="78"/>
        <v>2</v>
      </c>
      <c r="J1286" s="1275"/>
    </row>
    <row r="1287" spans="1:10" s="1209" customFormat="1" ht="17.25" customHeight="1">
      <c r="A1287" s="1185"/>
      <c r="B1287" s="1199" t="s">
        <v>6841</v>
      </c>
      <c r="C1287" s="1186">
        <v>2</v>
      </c>
      <c r="D1287" s="1186" t="s">
        <v>3364</v>
      </c>
      <c r="E1287" s="1186">
        <v>1</v>
      </c>
      <c r="F1287" s="1177"/>
      <c r="G1287" s="1177"/>
      <c r="H1287" s="1177"/>
      <c r="I1287" s="1278">
        <f t="shared" si="78"/>
        <v>2</v>
      </c>
      <c r="J1287" s="1275"/>
    </row>
    <row r="1288" spans="1:10" s="1209" customFormat="1">
      <c r="A1288" s="1185"/>
      <c r="B1288" s="1199"/>
      <c r="C1288" s="1186"/>
      <c r="D1288" s="1186"/>
      <c r="E1288" s="1186"/>
      <c r="F1288" s="1177"/>
      <c r="G1288" s="1177"/>
      <c r="H1288" s="1253" t="s">
        <v>2981</v>
      </c>
      <c r="I1288" s="1181">
        <f>SUM(I1260:I1287)</f>
        <v>53</v>
      </c>
      <c r="J1288" s="1184" t="s">
        <v>3471</v>
      </c>
    </row>
    <row r="1289" spans="1:10" s="1209" customFormat="1" ht="126">
      <c r="A1289" s="1182">
        <v>72</v>
      </c>
      <c r="B1289" s="1200" t="s">
        <v>3540</v>
      </c>
      <c r="C1289" s="1186"/>
      <c r="D1289" s="1186"/>
      <c r="E1289" s="1186"/>
      <c r="F1289" s="1177"/>
      <c r="G1289" s="1177"/>
      <c r="H1289" s="1177"/>
      <c r="I1289" s="1178"/>
      <c r="J1289" s="1184"/>
    </row>
    <row r="1290" spans="1:10" s="1209" customFormat="1">
      <c r="A1290" s="1182"/>
      <c r="B1290" s="1203" t="s">
        <v>6790</v>
      </c>
      <c r="C1290" s="1186"/>
      <c r="D1290" s="1186"/>
      <c r="E1290" s="1186"/>
      <c r="F1290" s="1177"/>
      <c r="G1290" s="1177"/>
      <c r="H1290" s="1177"/>
      <c r="I1290" s="1178"/>
      <c r="J1290" s="1184"/>
    </row>
    <row r="1291" spans="1:10" s="1209" customFormat="1">
      <c r="A1291" s="1182"/>
      <c r="B1291" s="1201" t="s">
        <v>6618</v>
      </c>
      <c r="C1291" s="1186">
        <v>1</v>
      </c>
      <c r="D1291" s="1186" t="s">
        <v>3364</v>
      </c>
      <c r="E1291" s="1186">
        <v>1</v>
      </c>
      <c r="F1291" s="1177"/>
      <c r="G1291" s="1177"/>
      <c r="H1291" s="1177"/>
      <c r="I1291" s="1278">
        <f t="shared" ref="I1291:I1324" si="79">PRODUCT(C1291:H1291)</f>
        <v>1</v>
      </c>
      <c r="J1291" s="1275"/>
    </row>
    <row r="1292" spans="1:10" s="1209" customFormat="1">
      <c r="A1292" s="1185"/>
      <c r="B1292" s="1199" t="s">
        <v>6822</v>
      </c>
      <c r="C1292" s="1186">
        <v>2</v>
      </c>
      <c r="D1292" s="1186" t="s">
        <v>3364</v>
      </c>
      <c r="E1292" s="1186">
        <v>1</v>
      </c>
      <c r="F1292" s="1177"/>
      <c r="G1292" s="1177"/>
      <c r="H1292" s="1177"/>
      <c r="I1292" s="1278">
        <f t="shared" si="79"/>
        <v>2</v>
      </c>
      <c r="J1292" s="1275"/>
    </row>
    <row r="1293" spans="1:10" s="1209" customFormat="1">
      <c r="A1293" s="1185"/>
      <c r="B1293" s="1199" t="s">
        <v>6590</v>
      </c>
      <c r="C1293" s="1186">
        <v>2</v>
      </c>
      <c r="D1293" s="1186" t="s">
        <v>3364</v>
      </c>
      <c r="E1293" s="1186">
        <v>1</v>
      </c>
      <c r="F1293" s="1177"/>
      <c r="G1293" s="1177"/>
      <c r="H1293" s="1177"/>
      <c r="I1293" s="1278">
        <f t="shared" si="79"/>
        <v>2</v>
      </c>
      <c r="J1293" s="1275"/>
    </row>
    <row r="1294" spans="1:10" s="1209" customFormat="1">
      <c r="A1294" s="1185"/>
      <c r="B1294" s="1199" t="s">
        <v>3492</v>
      </c>
      <c r="C1294" s="1186">
        <v>2</v>
      </c>
      <c r="D1294" s="1186" t="s">
        <v>3364</v>
      </c>
      <c r="E1294" s="1186">
        <v>1</v>
      </c>
      <c r="F1294" s="1177"/>
      <c r="G1294" s="1177"/>
      <c r="H1294" s="1177"/>
      <c r="I1294" s="1278">
        <f t="shared" si="79"/>
        <v>2</v>
      </c>
      <c r="J1294" s="1275"/>
    </row>
    <row r="1295" spans="1:10" s="1209" customFormat="1">
      <c r="A1295" s="1185"/>
      <c r="B1295" s="1199" t="s">
        <v>6620</v>
      </c>
      <c r="C1295" s="1186">
        <v>4</v>
      </c>
      <c r="D1295" s="1186" t="s">
        <v>3364</v>
      </c>
      <c r="E1295" s="1186">
        <v>1</v>
      </c>
      <c r="F1295" s="1177"/>
      <c r="G1295" s="1177"/>
      <c r="H1295" s="1177"/>
      <c r="I1295" s="1278">
        <f t="shared" si="79"/>
        <v>4</v>
      </c>
      <c r="J1295" s="1275"/>
    </row>
    <row r="1296" spans="1:10" s="1209" customFormat="1" ht="17.25" customHeight="1">
      <c r="A1296" s="1185"/>
      <c r="B1296" s="1199" t="s">
        <v>6823</v>
      </c>
      <c r="C1296" s="1186">
        <v>4</v>
      </c>
      <c r="D1296" s="1186" t="s">
        <v>3364</v>
      </c>
      <c r="E1296" s="1186">
        <v>1</v>
      </c>
      <c r="F1296" s="1177"/>
      <c r="G1296" s="1177"/>
      <c r="H1296" s="1177"/>
      <c r="I1296" s="1278">
        <f t="shared" si="79"/>
        <v>4</v>
      </c>
      <c r="J1296" s="1275"/>
    </row>
    <row r="1297" spans="1:10" s="1209" customFormat="1" ht="17.25" customHeight="1">
      <c r="A1297" s="1185"/>
      <c r="B1297" s="1202" t="s">
        <v>6668</v>
      </c>
      <c r="C1297" s="1186"/>
      <c r="D1297" s="1186"/>
      <c r="E1297" s="1186"/>
      <c r="F1297" s="1177"/>
      <c r="G1297" s="1177"/>
      <c r="H1297" s="1177"/>
      <c r="I1297" s="1278">
        <f t="shared" si="79"/>
        <v>0</v>
      </c>
      <c r="J1297" s="1275"/>
    </row>
    <row r="1298" spans="1:10" s="1209" customFormat="1" ht="17.25" customHeight="1">
      <c r="A1298" s="1185"/>
      <c r="B1298" s="1199" t="s">
        <v>6824</v>
      </c>
      <c r="C1298" s="1186">
        <v>8</v>
      </c>
      <c r="D1298" s="1186" t="s">
        <v>3364</v>
      </c>
      <c r="E1298" s="1186">
        <v>1</v>
      </c>
      <c r="F1298" s="1177"/>
      <c r="G1298" s="1177"/>
      <c r="H1298" s="1177"/>
      <c r="I1298" s="1278">
        <f t="shared" si="79"/>
        <v>8</v>
      </c>
      <c r="J1298" s="1275"/>
    </row>
    <row r="1299" spans="1:10" s="1209" customFormat="1" ht="17.25" customHeight="1">
      <c r="A1299" s="1185"/>
      <c r="B1299" s="1199" t="s">
        <v>6825</v>
      </c>
      <c r="C1299" s="1186">
        <v>6</v>
      </c>
      <c r="D1299" s="1186" t="s">
        <v>3364</v>
      </c>
      <c r="E1299" s="1186">
        <v>3</v>
      </c>
      <c r="F1299" s="1177"/>
      <c r="G1299" s="1177"/>
      <c r="H1299" s="1177"/>
      <c r="I1299" s="1278">
        <f t="shared" si="79"/>
        <v>18</v>
      </c>
      <c r="J1299" s="1275"/>
    </row>
    <row r="1300" spans="1:10" s="1209" customFormat="1" ht="17.25" customHeight="1">
      <c r="A1300" s="1185"/>
      <c r="B1300" s="1199" t="s">
        <v>6826</v>
      </c>
      <c r="C1300" s="1186">
        <v>1</v>
      </c>
      <c r="D1300" s="1186" t="s">
        <v>3364</v>
      </c>
      <c r="E1300" s="1186">
        <v>2</v>
      </c>
      <c r="F1300" s="1177"/>
      <c r="G1300" s="1177"/>
      <c r="H1300" s="1177"/>
      <c r="I1300" s="1278">
        <f t="shared" si="79"/>
        <v>2</v>
      </c>
      <c r="J1300" s="1275"/>
    </row>
    <row r="1301" spans="1:10" s="1209" customFormat="1" ht="17.25" customHeight="1">
      <c r="A1301" s="1185"/>
      <c r="B1301" s="1199" t="s">
        <v>6827</v>
      </c>
      <c r="C1301" s="1186">
        <v>1</v>
      </c>
      <c r="D1301" s="1186" t="s">
        <v>3364</v>
      </c>
      <c r="E1301" s="1186">
        <v>1</v>
      </c>
      <c r="F1301" s="1177"/>
      <c r="G1301" s="1177"/>
      <c r="H1301" s="1177"/>
      <c r="I1301" s="1278">
        <f t="shared" si="79"/>
        <v>1</v>
      </c>
      <c r="J1301" s="1275"/>
    </row>
    <row r="1302" spans="1:10" s="1209" customFormat="1" ht="17.25" customHeight="1">
      <c r="A1302" s="1185"/>
      <c r="B1302" s="1199" t="s">
        <v>6828</v>
      </c>
      <c r="C1302" s="1186">
        <v>6</v>
      </c>
      <c r="D1302" s="1186" t="s">
        <v>3364</v>
      </c>
      <c r="E1302" s="1186">
        <v>1</v>
      </c>
      <c r="F1302" s="1177"/>
      <c r="G1302" s="1177"/>
      <c r="H1302" s="1177"/>
      <c r="I1302" s="1278">
        <f t="shared" si="79"/>
        <v>6</v>
      </c>
      <c r="J1302" s="1275"/>
    </row>
    <row r="1303" spans="1:10" s="1209" customFormat="1" ht="17.25" customHeight="1">
      <c r="A1303" s="1185"/>
      <c r="B1303" s="1199" t="s">
        <v>3492</v>
      </c>
      <c r="C1303" s="1186">
        <v>2</v>
      </c>
      <c r="D1303" s="1186" t="s">
        <v>3364</v>
      </c>
      <c r="E1303" s="1186">
        <v>1</v>
      </c>
      <c r="F1303" s="1177"/>
      <c r="G1303" s="1177"/>
      <c r="H1303" s="1177"/>
      <c r="I1303" s="1278">
        <f t="shared" si="79"/>
        <v>2</v>
      </c>
      <c r="J1303" s="1275"/>
    </row>
    <row r="1304" spans="1:10" s="1209" customFormat="1" ht="17.25" customHeight="1">
      <c r="A1304" s="1185"/>
      <c r="B1304" s="1199" t="s">
        <v>6830</v>
      </c>
      <c r="C1304" s="1186">
        <v>1</v>
      </c>
      <c r="D1304" s="1186" t="s">
        <v>3364</v>
      </c>
      <c r="E1304" s="1186">
        <v>1</v>
      </c>
      <c r="F1304" s="1177"/>
      <c r="G1304" s="1177"/>
      <c r="H1304" s="1177"/>
      <c r="I1304" s="1278">
        <f t="shared" si="79"/>
        <v>1</v>
      </c>
      <c r="J1304" s="1275"/>
    </row>
    <row r="1305" spans="1:10" s="1209" customFormat="1" ht="17.25" customHeight="1">
      <c r="A1305" s="1185"/>
      <c r="B1305" s="1202" t="s">
        <v>3691</v>
      </c>
      <c r="C1305" s="1186"/>
      <c r="D1305" s="1186"/>
      <c r="E1305" s="1186"/>
      <c r="F1305" s="1177"/>
      <c r="G1305" s="1177"/>
      <c r="H1305" s="1177"/>
      <c r="I1305" s="1278">
        <f t="shared" si="79"/>
        <v>0</v>
      </c>
      <c r="J1305" s="1275"/>
    </row>
    <row r="1306" spans="1:10" s="1209" customFormat="1" ht="17.25" customHeight="1">
      <c r="A1306" s="1185"/>
      <c r="B1306" s="1199" t="s">
        <v>6831</v>
      </c>
      <c r="C1306" s="1186">
        <v>6</v>
      </c>
      <c r="D1306" s="1186" t="s">
        <v>3364</v>
      </c>
      <c r="E1306" s="1186">
        <v>1</v>
      </c>
      <c r="F1306" s="1177"/>
      <c r="G1306" s="1177"/>
      <c r="H1306" s="1177"/>
      <c r="I1306" s="1278">
        <f t="shared" si="79"/>
        <v>6</v>
      </c>
      <c r="J1306" s="1275"/>
    </row>
    <row r="1307" spans="1:10" s="1209" customFormat="1" ht="17.25" customHeight="1">
      <c r="A1307" s="1185"/>
      <c r="B1307" s="1199" t="s">
        <v>6814</v>
      </c>
      <c r="C1307" s="1186">
        <v>2</v>
      </c>
      <c r="D1307" s="1186" t="s">
        <v>3364</v>
      </c>
      <c r="E1307" s="1186">
        <v>1</v>
      </c>
      <c r="F1307" s="1177"/>
      <c r="G1307" s="1177"/>
      <c r="H1307" s="1177"/>
      <c r="I1307" s="1278">
        <f t="shared" si="79"/>
        <v>2</v>
      </c>
      <c r="J1307" s="1275"/>
    </row>
    <row r="1308" spans="1:10" s="1209" customFormat="1" ht="17.25" customHeight="1">
      <c r="A1308" s="1185"/>
      <c r="B1308" s="1199" t="s">
        <v>6832</v>
      </c>
      <c r="C1308" s="1186">
        <v>6</v>
      </c>
      <c r="D1308" s="1186" t="s">
        <v>3364</v>
      </c>
      <c r="E1308" s="1186">
        <v>3</v>
      </c>
      <c r="F1308" s="1177"/>
      <c r="G1308" s="1177"/>
      <c r="H1308" s="1177"/>
      <c r="I1308" s="1278">
        <f t="shared" si="79"/>
        <v>18</v>
      </c>
      <c r="J1308" s="1275"/>
    </row>
    <row r="1309" spans="1:10" s="1209" customFormat="1" ht="17.25" customHeight="1">
      <c r="A1309" s="1185"/>
      <c r="B1309" s="1199" t="s">
        <v>6833</v>
      </c>
      <c r="C1309" s="1186">
        <v>2</v>
      </c>
      <c r="D1309" s="1186" t="s">
        <v>3364</v>
      </c>
      <c r="E1309" s="1186">
        <v>1</v>
      </c>
      <c r="F1309" s="1177"/>
      <c r="G1309" s="1177"/>
      <c r="H1309" s="1177"/>
      <c r="I1309" s="1278">
        <f t="shared" si="79"/>
        <v>2</v>
      </c>
      <c r="J1309" s="1275"/>
    </row>
    <row r="1310" spans="1:10" s="1209" customFormat="1" ht="17.25" customHeight="1">
      <c r="A1310" s="1185"/>
      <c r="B1310" s="1199" t="s">
        <v>6834</v>
      </c>
      <c r="C1310" s="1186">
        <v>2</v>
      </c>
      <c r="D1310" s="1186" t="s">
        <v>3364</v>
      </c>
      <c r="E1310" s="1186">
        <v>1</v>
      </c>
      <c r="F1310" s="1177"/>
      <c r="G1310" s="1177"/>
      <c r="H1310" s="1177"/>
      <c r="I1310" s="1278">
        <f t="shared" si="79"/>
        <v>2</v>
      </c>
      <c r="J1310" s="1275"/>
    </row>
    <row r="1311" spans="1:10" s="1209" customFormat="1" ht="17.25" customHeight="1">
      <c r="A1311" s="1185"/>
      <c r="B1311" s="1199" t="s">
        <v>6835</v>
      </c>
      <c r="C1311" s="1186">
        <v>6</v>
      </c>
      <c r="D1311" s="1186" t="s">
        <v>3364</v>
      </c>
      <c r="E1311" s="1186">
        <v>1</v>
      </c>
      <c r="F1311" s="1177"/>
      <c r="G1311" s="1177"/>
      <c r="H1311" s="1177"/>
      <c r="I1311" s="1278">
        <f t="shared" si="79"/>
        <v>6</v>
      </c>
      <c r="J1311" s="1275"/>
    </row>
    <row r="1312" spans="1:10" s="1209" customFormat="1" ht="17.25" customHeight="1">
      <c r="A1312" s="1185"/>
      <c r="B1312" s="1199" t="s">
        <v>6836</v>
      </c>
      <c r="C1312" s="1186">
        <v>3</v>
      </c>
      <c r="D1312" s="1186" t="s">
        <v>3364</v>
      </c>
      <c r="E1312" s="1186">
        <v>1</v>
      </c>
      <c r="F1312" s="1177"/>
      <c r="G1312" s="1177"/>
      <c r="H1312" s="1177"/>
      <c r="I1312" s="1278">
        <f t="shared" si="79"/>
        <v>3</v>
      </c>
      <c r="J1312" s="1275"/>
    </row>
    <row r="1313" spans="1:10" s="1209" customFormat="1" ht="17.25" customHeight="1">
      <c r="A1313" s="1185"/>
      <c r="B1313" s="1202" t="s">
        <v>3692</v>
      </c>
      <c r="C1313" s="1186"/>
      <c r="D1313" s="1186"/>
      <c r="E1313" s="1186"/>
      <c r="F1313" s="1177"/>
      <c r="G1313" s="1177"/>
      <c r="H1313" s="1177"/>
      <c r="I1313" s="1278">
        <f t="shared" si="79"/>
        <v>0</v>
      </c>
      <c r="J1313" s="1275"/>
    </row>
    <row r="1314" spans="1:10" s="1209" customFormat="1" ht="17.25" customHeight="1">
      <c r="A1314" s="1185"/>
      <c r="B1314" s="1199" t="s">
        <v>6837</v>
      </c>
      <c r="C1314" s="1186">
        <v>6</v>
      </c>
      <c r="D1314" s="1186" t="s">
        <v>3364</v>
      </c>
      <c r="E1314" s="1186">
        <v>1</v>
      </c>
      <c r="F1314" s="1177"/>
      <c r="G1314" s="1177"/>
      <c r="H1314" s="1177"/>
      <c r="I1314" s="1278">
        <f t="shared" si="79"/>
        <v>6</v>
      </c>
      <c r="J1314" s="1275"/>
    </row>
    <row r="1315" spans="1:10" s="1209" customFormat="1" ht="17.25" customHeight="1">
      <c r="A1315" s="1185"/>
      <c r="B1315" s="1199" t="s">
        <v>6600</v>
      </c>
      <c r="C1315" s="1186">
        <v>4</v>
      </c>
      <c r="D1315" s="1186" t="s">
        <v>3364</v>
      </c>
      <c r="E1315" s="1186">
        <v>1</v>
      </c>
      <c r="F1315" s="1177"/>
      <c r="G1315" s="1177"/>
      <c r="H1315" s="1177"/>
      <c r="I1315" s="1278">
        <f t="shared" si="79"/>
        <v>4</v>
      </c>
      <c r="J1315" s="1275"/>
    </row>
    <row r="1316" spans="1:10" s="1209" customFormat="1" ht="17.25" customHeight="1">
      <c r="A1316" s="1185"/>
      <c r="B1316" s="1199" t="s">
        <v>6838</v>
      </c>
      <c r="C1316" s="1186">
        <v>8</v>
      </c>
      <c r="D1316" s="1186" t="s">
        <v>3364</v>
      </c>
      <c r="E1316" s="1186">
        <v>1</v>
      </c>
      <c r="F1316" s="1177"/>
      <c r="G1316" s="1177"/>
      <c r="H1316" s="1177"/>
      <c r="I1316" s="1278">
        <f t="shared" si="79"/>
        <v>8</v>
      </c>
      <c r="J1316" s="1275"/>
    </row>
    <row r="1317" spans="1:10" s="1209" customFormat="1" ht="17.25" customHeight="1">
      <c r="A1317" s="1185"/>
      <c r="B1317" s="1199" t="s">
        <v>6602</v>
      </c>
      <c r="C1317" s="1186">
        <v>4</v>
      </c>
      <c r="D1317" s="1186" t="s">
        <v>3364</v>
      </c>
      <c r="E1317" s="1186">
        <v>1</v>
      </c>
      <c r="F1317" s="1177"/>
      <c r="G1317" s="1177"/>
      <c r="H1317" s="1177"/>
      <c r="I1317" s="1278">
        <f t="shared" si="79"/>
        <v>4</v>
      </c>
      <c r="J1317" s="1275"/>
    </row>
    <row r="1318" spans="1:10" s="1209" customFormat="1" ht="17.25" customHeight="1">
      <c r="A1318" s="1185"/>
      <c r="B1318" s="1199" t="s">
        <v>6839</v>
      </c>
      <c r="C1318" s="1186">
        <v>3</v>
      </c>
      <c r="D1318" s="1186" t="s">
        <v>3364</v>
      </c>
      <c r="E1318" s="1186">
        <v>1</v>
      </c>
      <c r="F1318" s="1177"/>
      <c r="G1318" s="1177"/>
      <c r="H1318" s="1177"/>
      <c r="I1318" s="1278">
        <f t="shared" si="79"/>
        <v>3</v>
      </c>
      <c r="J1318" s="1275"/>
    </row>
    <row r="1319" spans="1:10" s="1209" customFormat="1" ht="17.25" customHeight="1">
      <c r="A1319" s="1185"/>
      <c r="B1319" s="1199" t="s">
        <v>6683</v>
      </c>
      <c r="C1319" s="1186">
        <v>3</v>
      </c>
      <c r="D1319" s="1186" t="s">
        <v>3364</v>
      </c>
      <c r="E1319" s="1186">
        <v>1</v>
      </c>
      <c r="F1319" s="1177"/>
      <c r="G1319" s="1177"/>
      <c r="H1319" s="1177"/>
      <c r="I1319" s="1278">
        <f t="shared" si="79"/>
        <v>3</v>
      </c>
      <c r="J1319" s="1275"/>
    </row>
    <row r="1320" spans="1:10" s="1209" customFormat="1" ht="17.25" customHeight="1">
      <c r="A1320" s="1185"/>
      <c r="B1320" s="1199" t="s">
        <v>6800</v>
      </c>
      <c r="C1320" s="1186">
        <v>1</v>
      </c>
      <c r="D1320" s="1186" t="s">
        <v>3364</v>
      </c>
      <c r="E1320" s="1186">
        <v>1</v>
      </c>
      <c r="F1320" s="1177"/>
      <c r="G1320" s="1177"/>
      <c r="H1320" s="1177"/>
      <c r="I1320" s="1278">
        <f t="shared" si="79"/>
        <v>1</v>
      </c>
      <c r="J1320" s="1275"/>
    </row>
    <row r="1321" spans="1:10" s="1209" customFormat="1" ht="17.25" customHeight="1">
      <c r="A1321" s="1185"/>
      <c r="B1321" s="1199" t="s">
        <v>3484</v>
      </c>
      <c r="C1321" s="1186">
        <v>6</v>
      </c>
      <c r="D1321" s="1186" t="s">
        <v>3364</v>
      </c>
      <c r="E1321" s="1186">
        <v>1</v>
      </c>
      <c r="F1321" s="1177"/>
      <c r="G1321" s="1177"/>
      <c r="H1321" s="1177"/>
      <c r="I1321" s="1278">
        <f t="shared" si="79"/>
        <v>6</v>
      </c>
      <c r="J1321" s="1275"/>
    </row>
    <row r="1322" spans="1:10" s="1209" customFormat="1" ht="17.25" customHeight="1">
      <c r="A1322" s="1185"/>
      <c r="B1322" s="1199" t="s">
        <v>6840</v>
      </c>
      <c r="C1322" s="1186">
        <v>3</v>
      </c>
      <c r="D1322" s="1186" t="s">
        <v>3364</v>
      </c>
      <c r="E1322" s="1186">
        <v>2</v>
      </c>
      <c r="F1322" s="1177"/>
      <c r="G1322" s="1177"/>
      <c r="H1322" s="1177"/>
      <c r="I1322" s="1278">
        <f t="shared" si="79"/>
        <v>6</v>
      </c>
      <c r="J1322" s="1275"/>
    </row>
    <row r="1323" spans="1:10" s="1209" customFormat="1" ht="17.25" customHeight="1">
      <c r="A1323" s="1185"/>
      <c r="B1323" s="1199" t="s">
        <v>6836</v>
      </c>
      <c r="C1323" s="1186">
        <v>3</v>
      </c>
      <c r="D1323" s="1186" t="s">
        <v>3364</v>
      </c>
      <c r="E1323" s="1186">
        <v>1</v>
      </c>
      <c r="F1323" s="1177"/>
      <c r="G1323" s="1177"/>
      <c r="H1323" s="1177"/>
      <c r="I1323" s="1278">
        <f t="shared" si="79"/>
        <v>3</v>
      </c>
      <c r="J1323" s="1275"/>
    </row>
    <row r="1324" spans="1:10" s="1209" customFormat="1" ht="17.25" customHeight="1">
      <c r="A1324" s="1185"/>
      <c r="B1324" s="1199" t="s">
        <v>6841</v>
      </c>
      <c r="C1324" s="1186">
        <v>1</v>
      </c>
      <c r="D1324" s="1186" t="s">
        <v>3364</v>
      </c>
      <c r="E1324" s="1186">
        <v>1</v>
      </c>
      <c r="F1324" s="1177"/>
      <c r="G1324" s="1177"/>
      <c r="H1324" s="1177"/>
      <c r="I1324" s="1278">
        <f t="shared" si="79"/>
        <v>1</v>
      </c>
      <c r="J1324" s="1275"/>
    </row>
    <row r="1325" spans="1:10" s="1209" customFormat="1">
      <c r="A1325" s="1185"/>
      <c r="B1325" s="1199"/>
      <c r="C1325" s="1186"/>
      <c r="D1325" s="1186"/>
      <c r="E1325" s="1186"/>
      <c r="F1325" s="1177"/>
      <c r="G1325" s="1253" t="s">
        <v>104</v>
      </c>
      <c r="H1325" s="1177"/>
      <c r="I1325" s="1181">
        <f>SUM(I1291:I1324)</f>
        <v>137</v>
      </c>
      <c r="J1325" s="1184" t="s">
        <v>3471</v>
      </c>
    </row>
    <row r="1326" spans="1:10" s="1209" customFormat="1" ht="110.25">
      <c r="A1326" s="1185"/>
      <c r="B1326" s="1200" t="s">
        <v>6843</v>
      </c>
      <c r="C1326" s="1268"/>
      <c r="D1326" s="1268"/>
      <c r="E1326" s="1268"/>
      <c r="F1326" s="1269"/>
      <c r="G1326" s="1269"/>
      <c r="H1326" s="1269"/>
      <c r="I1326" s="1183"/>
      <c r="J1326" s="1301"/>
    </row>
    <row r="1327" spans="1:10" s="1209" customFormat="1">
      <c r="A1327" s="1185"/>
      <c r="B1327" s="1201" t="s">
        <v>6844</v>
      </c>
      <c r="C1327" s="1268">
        <v>4</v>
      </c>
      <c r="D1327" s="1268" t="s">
        <v>3364</v>
      </c>
      <c r="E1327" s="1268">
        <v>2</v>
      </c>
      <c r="F1327" s="1269"/>
      <c r="G1327" s="1269"/>
      <c r="H1327" s="1269"/>
      <c r="I1327" s="1183">
        <f>PRODUCT(C1327:H1327)</f>
        <v>8</v>
      </c>
      <c r="J1327" s="1189" t="s">
        <v>3471</v>
      </c>
    </row>
    <row r="1328" spans="1:10" s="1209" customFormat="1" ht="78.75">
      <c r="A1328" s="1182">
        <v>74</v>
      </c>
      <c r="B1328" s="1200" t="s">
        <v>3541</v>
      </c>
      <c r="C1328" s="1186"/>
      <c r="D1328" s="1186"/>
      <c r="E1328" s="1186"/>
      <c r="F1328" s="1177"/>
      <c r="G1328" s="1177"/>
      <c r="H1328" s="1177"/>
      <c r="I1328" s="1178"/>
      <c r="J1328" s="1184"/>
    </row>
    <row r="1329" spans="1:10" s="1209" customFormat="1">
      <c r="A1329" s="1182"/>
      <c r="B1329" s="1203" t="s">
        <v>6790</v>
      </c>
      <c r="C1329" s="1186"/>
      <c r="D1329" s="1186"/>
      <c r="E1329" s="1186"/>
      <c r="F1329" s="1177"/>
      <c r="G1329" s="1177"/>
      <c r="H1329" s="1177"/>
      <c r="I1329" s="1178"/>
      <c r="J1329" s="1184"/>
    </row>
    <row r="1330" spans="1:10" s="1209" customFormat="1">
      <c r="A1330" s="1182"/>
      <c r="B1330" s="1201" t="s">
        <v>6618</v>
      </c>
      <c r="C1330" s="1186">
        <v>1</v>
      </c>
      <c r="D1330" s="1186" t="s">
        <v>3364</v>
      </c>
      <c r="E1330" s="1186">
        <v>1</v>
      </c>
      <c r="F1330" s="1177"/>
      <c r="G1330" s="1177"/>
      <c r="H1330" s="1177"/>
      <c r="I1330" s="1278">
        <f t="shared" ref="I1330:I1363" si="80">PRODUCT(C1330:H1330)</f>
        <v>1</v>
      </c>
      <c r="J1330" s="1275"/>
    </row>
    <row r="1331" spans="1:10" s="1209" customFormat="1">
      <c r="A1331" s="1185"/>
      <c r="B1331" s="1199" t="s">
        <v>6822</v>
      </c>
      <c r="C1331" s="1186">
        <v>2</v>
      </c>
      <c r="D1331" s="1186" t="s">
        <v>3364</v>
      </c>
      <c r="E1331" s="1186">
        <v>1</v>
      </c>
      <c r="F1331" s="1177"/>
      <c r="G1331" s="1177"/>
      <c r="H1331" s="1177"/>
      <c r="I1331" s="1278">
        <f t="shared" si="80"/>
        <v>2</v>
      </c>
      <c r="J1331" s="1275"/>
    </row>
    <row r="1332" spans="1:10" s="1209" customFormat="1">
      <c r="A1332" s="1185"/>
      <c r="B1332" s="1199" t="s">
        <v>6590</v>
      </c>
      <c r="C1332" s="1186">
        <v>2</v>
      </c>
      <c r="D1332" s="1186" t="s">
        <v>3364</v>
      </c>
      <c r="E1332" s="1186">
        <v>1</v>
      </c>
      <c r="F1332" s="1177"/>
      <c r="G1332" s="1177"/>
      <c r="H1332" s="1177"/>
      <c r="I1332" s="1278">
        <f t="shared" si="80"/>
        <v>2</v>
      </c>
      <c r="J1332" s="1275"/>
    </row>
    <row r="1333" spans="1:10" s="1209" customFormat="1">
      <c r="A1333" s="1185"/>
      <c r="B1333" s="1199" t="s">
        <v>3492</v>
      </c>
      <c r="C1333" s="1186">
        <v>2</v>
      </c>
      <c r="D1333" s="1186" t="s">
        <v>3364</v>
      </c>
      <c r="E1333" s="1186">
        <v>1</v>
      </c>
      <c r="F1333" s="1177"/>
      <c r="G1333" s="1177"/>
      <c r="H1333" s="1177"/>
      <c r="I1333" s="1278">
        <f t="shared" si="80"/>
        <v>2</v>
      </c>
      <c r="J1333" s="1275"/>
    </row>
    <row r="1334" spans="1:10" s="1209" customFormat="1">
      <c r="A1334" s="1185"/>
      <c r="B1334" s="1199" t="s">
        <v>6620</v>
      </c>
      <c r="C1334" s="1186">
        <v>4</v>
      </c>
      <c r="D1334" s="1186" t="s">
        <v>3364</v>
      </c>
      <c r="E1334" s="1186">
        <v>1</v>
      </c>
      <c r="F1334" s="1177"/>
      <c r="G1334" s="1177"/>
      <c r="H1334" s="1177"/>
      <c r="I1334" s="1278">
        <f t="shared" si="80"/>
        <v>4</v>
      </c>
      <c r="J1334" s="1275"/>
    </row>
    <row r="1335" spans="1:10" s="1209" customFormat="1" ht="17.25" customHeight="1">
      <c r="A1335" s="1185"/>
      <c r="B1335" s="1199" t="s">
        <v>6823</v>
      </c>
      <c r="C1335" s="1186">
        <v>4</v>
      </c>
      <c r="D1335" s="1186" t="s">
        <v>3364</v>
      </c>
      <c r="E1335" s="1186">
        <v>1</v>
      </c>
      <c r="F1335" s="1177"/>
      <c r="G1335" s="1177"/>
      <c r="H1335" s="1177"/>
      <c r="I1335" s="1278">
        <f t="shared" si="80"/>
        <v>4</v>
      </c>
      <c r="J1335" s="1275"/>
    </row>
    <row r="1336" spans="1:10" s="1209" customFormat="1" ht="17.25" customHeight="1">
      <c r="A1336" s="1185"/>
      <c r="B1336" s="1202" t="s">
        <v>6668</v>
      </c>
      <c r="C1336" s="1186"/>
      <c r="D1336" s="1186"/>
      <c r="E1336" s="1186"/>
      <c r="F1336" s="1177"/>
      <c r="G1336" s="1177"/>
      <c r="H1336" s="1177"/>
      <c r="I1336" s="1278">
        <f t="shared" si="80"/>
        <v>0</v>
      </c>
      <c r="J1336" s="1275"/>
    </row>
    <row r="1337" spans="1:10" s="1209" customFormat="1" ht="17.25" customHeight="1">
      <c r="A1337" s="1185"/>
      <c r="B1337" s="1199" t="s">
        <v>6824</v>
      </c>
      <c r="C1337" s="1186">
        <v>8</v>
      </c>
      <c r="D1337" s="1186" t="s">
        <v>3364</v>
      </c>
      <c r="E1337" s="1186">
        <v>1</v>
      </c>
      <c r="F1337" s="1177"/>
      <c r="G1337" s="1177"/>
      <c r="H1337" s="1177"/>
      <c r="I1337" s="1278">
        <f t="shared" si="80"/>
        <v>8</v>
      </c>
      <c r="J1337" s="1275"/>
    </row>
    <row r="1338" spans="1:10" s="1209" customFormat="1" ht="17.25" customHeight="1">
      <c r="A1338" s="1185"/>
      <c r="B1338" s="1199" t="s">
        <v>6825</v>
      </c>
      <c r="C1338" s="1186">
        <v>6</v>
      </c>
      <c r="D1338" s="1186" t="s">
        <v>3364</v>
      </c>
      <c r="E1338" s="1186">
        <v>3</v>
      </c>
      <c r="F1338" s="1177"/>
      <c r="G1338" s="1177"/>
      <c r="H1338" s="1177"/>
      <c r="I1338" s="1278">
        <f t="shared" si="80"/>
        <v>18</v>
      </c>
      <c r="J1338" s="1275"/>
    </row>
    <row r="1339" spans="1:10" s="1209" customFormat="1" ht="17.25" customHeight="1">
      <c r="A1339" s="1185"/>
      <c r="B1339" s="1199" t="s">
        <v>6826</v>
      </c>
      <c r="C1339" s="1186">
        <v>1</v>
      </c>
      <c r="D1339" s="1186" t="s">
        <v>3364</v>
      </c>
      <c r="E1339" s="1186">
        <v>2</v>
      </c>
      <c r="F1339" s="1177"/>
      <c r="G1339" s="1177"/>
      <c r="H1339" s="1177"/>
      <c r="I1339" s="1278">
        <f t="shared" si="80"/>
        <v>2</v>
      </c>
      <c r="J1339" s="1275"/>
    </row>
    <row r="1340" spans="1:10" s="1209" customFormat="1" ht="17.25" customHeight="1">
      <c r="A1340" s="1185"/>
      <c r="B1340" s="1199" t="s">
        <v>6827</v>
      </c>
      <c r="C1340" s="1186">
        <v>1</v>
      </c>
      <c r="D1340" s="1186" t="s">
        <v>3364</v>
      </c>
      <c r="E1340" s="1186">
        <v>1</v>
      </c>
      <c r="F1340" s="1177"/>
      <c r="G1340" s="1177"/>
      <c r="H1340" s="1177"/>
      <c r="I1340" s="1278">
        <f t="shared" si="80"/>
        <v>1</v>
      </c>
      <c r="J1340" s="1275"/>
    </row>
    <row r="1341" spans="1:10" s="1209" customFormat="1" ht="17.25" customHeight="1">
      <c r="A1341" s="1185"/>
      <c r="B1341" s="1199" t="s">
        <v>6828</v>
      </c>
      <c r="C1341" s="1186">
        <v>6</v>
      </c>
      <c r="D1341" s="1186" t="s">
        <v>3364</v>
      </c>
      <c r="E1341" s="1186">
        <v>1</v>
      </c>
      <c r="F1341" s="1177"/>
      <c r="G1341" s="1177"/>
      <c r="H1341" s="1177"/>
      <c r="I1341" s="1278">
        <f t="shared" si="80"/>
        <v>6</v>
      </c>
      <c r="J1341" s="1275"/>
    </row>
    <row r="1342" spans="1:10" s="1209" customFormat="1" ht="17.25" customHeight="1">
      <c r="A1342" s="1185"/>
      <c r="B1342" s="1199" t="s">
        <v>3492</v>
      </c>
      <c r="C1342" s="1186">
        <v>2</v>
      </c>
      <c r="D1342" s="1186" t="s">
        <v>3364</v>
      </c>
      <c r="E1342" s="1186">
        <v>1</v>
      </c>
      <c r="F1342" s="1177"/>
      <c r="G1342" s="1177"/>
      <c r="H1342" s="1177"/>
      <c r="I1342" s="1278">
        <f t="shared" si="80"/>
        <v>2</v>
      </c>
      <c r="J1342" s="1275"/>
    </row>
    <row r="1343" spans="1:10" s="1209" customFormat="1" ht="17.25" customHeight="1">
      <c r="A1343" s="1185"/>
      <c r="B1343" s="1199" t="s">
        <v>6830</v>
      </c>
      <c r="C1343" s="1186">
        <v>1</v>
      </c>
      <c r="D1343" s="1186" t="s">
        <v>3364</v>
      </c>
      <c r="E1343" s="1186">
        <v>1</v>
      </c>
      <c r="F1343" s="1177"/>
      <c r="G1343" s="1177"/>
      <c r="H1343" s="1177"/>
      <c r="I1343" s="1278">
        <f t="shared" si="80"/>
        <v>1</v>
      </c>
      <c r="J1343" s="1275"/>
    </row>
    <row r="1344" spans="1:10" s="1209" customFormat="1" ht="17.25" customHeight="1">
      <c r="A1344" s="1185"/>
      <c r="B1344" s="1202" t="s">
        <v>3691</v>
      </c>
      <c r="C1344" s="1186"/>
      <c r="D1344" s="1186"/>
      <c r="E1344" s="1186"/>
      <c r="F1344" s="1177"/>
      <c r="G1344" s="1177"/>
      <c r="H1344" s="1177"/>
      <c r="I1344" s="1278">
        <f t="shared" si="80"/>
        <v>0</v>
      </c>
      <c r="J1344" s="1275"/>
    </row>
    <row r="1345" spans="1:10" s="1209" customFormat="1" ht="17.25" customHeight="1">
      <c r="A1345" s="1185"/>
      <c r="B1345" s="1199" t="s">
        <v>6831</v>
      </c>
      <c r="C1345" s="1186">
        <v>6</v>
      </c>
      <c r="D1345" s="1186" t="s">
        <v>3364</v>
      </c>
      <c r="E1345" s="1186">
        <v>1</v>
      </c>
      <c r="F1345" s="1177"/>
      <c r="G1345" s="1177"/>
      <c r="H1345" s="1177"/>
      <c r="I1345" s="1278">
        <f t="shared" si="80"/>
        <v>6</v>
      </c>
      <c r="J1345" s="1275"/>
    </row>
    <row r="1346" spans="1:10" s="1209" customFormat="1" ht="17.25" customHeight="1">
      <c r="A1346" s="1185"/>
      <c r="B1346" s="1199" t="s">
        <v>6814</v>
      </c>
      <c r="C1346" s="1186">
        <v>2</v>
      </c>
      <c r="D1346" s="1186" t="s">
        <v>3364</v>
      </c>
      <c r="E1346" s="1186">
        <v>1</v>
      </c>
      <c r="F1346" s="1177"/>
      <c r="G1346" s="1177"/>
      <c r="H1346" s="1177"/>
      <c r="I1346" s="1278">
        <f t="shared" si="80"/>
        <v>2</v>
      </c>
      <c r="J1346" s="1275"/>
    </row>
    <row r="1347" spans="1:10" s="1209" customFormat="1" ht="17.25" customHeight="1">
      <c r="A1347" s="1185"/>
      <c r="B1347" s="1199" t="s">
        <v>6832</v>
      </c>
      <c r="C1347" s="1186">
        <v>6</v>
      </c>
      <c r="D1347" s="1186" t="s">
        <v>3364</v>
      </c>
      <c r="E1347" s="1186">
        <v>3</v>
      </c>
      <c r="F1347" s="1177"/>
      <c r="G1347" s="1177"/>
      <c r="H1347" s="1177"/>
      <c r="I1347" s="1278">
        <f t="shared" si="80"/>
        <v>18</v>
      </c>
      <c r="J1347" s="1275"/>
    </row>
    <row r="1348" spans="1:10" s="1209" customFormat="1" ht="17.25" customHeight="1">
      <c r="A1348" s="1185"/>
      <c r="B1348" s="1199" t="s">
        <v>6833</v>
      </c>
      <c r="C1348" s="1186">
        <v>2</v>
      </c>
      <c r="D1348" s="1186" t="s">
        <v>3364</v>
      </c>
      <c r="E1348" s="1186">
        <v>1</v>
      </c>
      <c r="F1348" s="1177"/>
      <c r="G1348" s="1177"/>
      <c r="H1348" s="1177"/>
      <c r="I1348" s="1278">
        <f t="shared" si="80"/>
        <v>2</v>
      </c>
      <c r="J1348" s="1275"/>
    </row>
    <row r="1349" spans="1:10" s="1209" customFormat="1" ht="17.25" customHeight="1">
      <c r="A1349" s="1185"/>
      <c r="B1349" s="1199" t="s">
        <v>6834</v>
      </c>
      <c r="C1349" s="1186">
        <v>2</v>
      </c>
      <c r="D1349" s="1186" t="s">
        <v>3364</v>
      </c>
      <c r="E1349" s="1186">
        <v>1</v>
      </c>
      <c r="F1349" s="1177"/>
      <c r="G1349" s="1177"/>
      <c r="H1349" s="1177"/>
      <c r="I1349" s="1278">
        <f t="shared" si="80"/>
        <v>2</v>
      </c>
      <c r="J1349" s="1275"/>
    </row>
    <row r="1350" spans="1:10" s="1209" customFormat="1" ht="17.25" customHeight="1">
      <c r="A1350" s="1185"/>
      <c r="B1350" s="1199" t="s">
        <v>6835</v>
      </c>
      <c r="C1350" s="1186">
        <v>6</v>
      </c>
      <c r="D1350" s="1186" t="s">
        <v>3364</v>
      </c>
      <c r="E1350" s="1186">
        <v>1</v>
      </c>
      <c r="F1350" s="1177"/>
      <c r="G1350" s="1177"/>
      <c r="H1350" s="1177"/>
      <c r="I1350" s="1278">
        <f t="shared" si="80"/>
        <v>6</v>
      </c>
      <c r="J1350" s="1275"/>
    </row>
    <row r="1351" spans="1:10" s="1209" customFormat="1" ht="17.25" customHeight="1">
      <c r="A1351" s="1185"/>
      <c r="B1351" s="1199" t="s">
        <v>6836</v>
      </c>
      <c r="C1351" s="1186">
        <v>3</v>
      </c>
      <c r="D1351" s="1186" t="s">
        <v>3364</v>
      </c>
      <c r="E1351" s="1186">
        <v>1</v>
      </c>
      <c r="F1351" s="1177"/>
      <c r="G1351" s="1177"/>
      <c r="H1351" s="1177"/>
      <c r="I1351" s="1278">
        <f t="shared" si="80"/>
        <v>3</v>
      </c>
      <c r="J1351" s="1275"/>
    </row>
    <row r="1352" spans="1:10" s="1209" customFormat="1" ht="17.25" customHeight="1">
      <c r="A1352" s="1185"/>
      <c r="B1352" s="1202" t="s">
        <v>3692</v>
      </c>
      <c r="C1352" s="1186"/>
      <c r="D1352" s="1186"/>
      <c r="E1352" s="1186"/>
      <c r="F1352" s="1177"/>
      <c r="G1352" s="1177"/>
      <c r="H1352" s="1177"/>
      <c r="I1352" s="1278">
        <f t="shared" si="80"/>
        <v>0</v>
      </c>
      <c r="J1352" s="1275"/>
    </row>
    <row r="1353" spans="1:10" s="1209" customFormat="1" ht="17.25" customHeight="1">
      <c r="A1353" s="1185"/>
      <c r="B1353" s="1199" t="s">
        <v>6837</v>
      </c>
      <c r="C1353" s="1186">
        <v>6</v>
      </c>
      <c r="D1353" s="1186" t="s">
        <v>3364</v>
      </c>
      <c r="E1353" s="1186">
        <v>1</v>
      </c>
      <c r="F1353" s="1177"/>
      <c r="G1353" s="1177"/>
      <c r="H1353" s="1177"/>
      <c r="I1353" s="1278">
        <f t="shared" si="80"/>
        <v>6</v>
      </c>
      <c r="J1353" s="1275"/>
    </row>
    <row r="1354" spans="1:10" s="1209" customFormat="1" ht="17.25" customHeight="1">
      <c r="A1354" s="1185"/>
      <c r="B1354" s="1199" t="s">
        <v>6600</v>
      </c>
      <c r="C1354" s="1186">
        <v>4</v>
      </c>
      <c r="D1354" s="1186" t="s">
        <v>3364</v>
      </c>
      <c r="E1354" s="1186">
        <v>1</v>
      </c>
      <c r="F1354" s="1177"/>
      <c r="G1354" s="1177"/>
      <c r="H1354" s="1177"/>
      <c r="I1354" s="1278">
        <f t="shared" si="80"/>
        <v>4</v>
      </c>
      <c r="J1354" s="1275"/>
    </row>
    <row r="1355" spans="1:10" s="1209" customFormat="1" ht="17.25" customHeight="1">
      <c r="A1355" s="1185"/>
      <c r="B1355" s="1199" t="s">
        <v>6838</v>
      </c>
      <c r="C1355" s="1186">
        <v>8</v>
      </c>
      <c r="D1355" s="1186" t="s">
        <v>3364</v>
      </c>
      <c r="E1355" s="1186">
        <v>1</v>
      </c>
      <c r="F1355" s="1177"/>
      <c r="G1355" s="1177"/>
      <c r="H1355" s="1177"/>
      <c r="I1355" s="1278">
        <f t="shared" si="80"/>
        <v>8</v>
      </c>
      <c r="J1355" s="1275"/>
    </row>
    <row r="1356" spans="1:10" s="1209" customFormat="1" ht="17.25" customHeight="1">
      <c r="A1356" s="1185"/>
      <c r="B1356" s="1199" t="s">
        <v>6602</v>
      </c>
      <c r="C1356" s="1186">
        <v>4</v>
      </c>
      <c r="D1356" s="1186" t="s">
        <v>3364</v>
      </c>
      <c r="E1356" s="1186">
        <v>1</v>
      </c>
      <c r="F1356" s="1177"/>
      <c r="G1356" s="1177"/>
      <c r="H1356" s="1177"/>
      <c r="I1356" s="1278">
        <f t="shared" si="80"/>
        <v>4</v>
      </c>
      <c r="J1356" s="1275"/>
    </row>
    <row r="1357" spans="1:10" s="1209" customFormat="1" ht="17.25" customHeight="1">
      <c r="A1357" s="1185"/>
      <c r="B1357" s="1199" t="s">
        <v>6839</v>
      </c>
      <c r="C1357" s="1186">
        <v>3</v>
      </c>
      <c r="D1357" s="1186" t="s">
        <v>3364</v>
      </c>
      <c r="E1357" s="1186">
        <v>1</v>
      </c>
      <c r="F1357" s="1177"/>
      <c r="G1357" s="1177"/>
      <c r="H1357" s="1177"/>
      <c r="I1357" s="1278">
        <f t="shared" si="80"/>
        <v>3</v>
      </c>
      <c r="J1357" s="1275"/>
    </row>
    <row r="1358" spans="1:10" s="1209" customFormat="1" ht="17.25" customHeight="1">
      <c r="A1358" s="1185"/>
      <c r="B1358" s="1199" t="s">
        <v>6683</v>
      </c>
      <c r="C1358" s="1186">
        <v>3</v>
      </c>
      <c r="D1358" s="1186" t="s">
        <v>3364</v>
      </c>
      <c r="E1358" s="1186">
        <v>1</v>
      </c>
      <c r="F1358" s="1177"/>
      <c r="G1358" s="1177"/>
      <c r="H1358" s="1177"/>
      <c r="I1358" s="1278">
        <f t="shared" si="80"/>
        <v>3</v>
      </c>
      <c r="J1358" s="1275"/>
    </row>
    <row r="1359" spans="1:10" s="1209" customFormat="1" ht="17.25" customHeight="1">
      <c r="A1359" s="1185"/>
      <c r="B1359" s="1199" t="s">
        <v>6800</v>
      </c>
      <c r="C1359" s="1186">
        <v>1</v>
      </c>
      <c r="D1359" s="1186" t="s">
        <v>3364</v>
      </c>
      <c r="E1359" s="1186">
        <v>1</v>
      </c>
      <c r="F1359" s="1177"/>
      <c r="G1359" s="1177"/>
      <c r="H1359" s="1177"/>
      <c r="I1359" s="1278">
        <f t="shared" si="80"/>
        <v>1</v>
      </c>
      <c r="J1359" s="1275"/>
    </row>
    <row r="1360" spans="1:10" s="1209" customFormat="1" ht="17.25" customHeight="1">
      <c r="A1360" s="1185"/>
      <c r="B1360" s="1199" t="s">
        <v>3484</v>
      </c>
      <c r="C1360" s="1186">
        <v>6</v>
      </c>
      <c r="D1360" s="1186" t="s">
        <v>3364</v>
      </c>
      <c r="E1360" s="1186">
        <v>1</v>
      </c>
      <c r="F1360" s="1177"/>
      <c r="G1360" s="1177"/>
      <c r="H1360" s="1177"/>
      <c r="I1360" s="1278">
        <f t="shared" si="80"/>
        <v>6</v>
      </c>
      <c r="J1360" s="1275"/>
    </row>
    <row r="1361" spans="1:10" s="1209" customFormat="1" ht="17.25" customHeight="1">
      <c r="A1361" s="1185"/>
      <c r="B1361" s="1199" t="s">
        <v>6840</v>
      </c>
      <c r="C1361" s="1186">
        <v>3</v>
      </c>
      <c r="D1361" s="1186" t="s">
        <v>3364</v>
      </c>
      <c r="E1361" s="1186">
        <v>2</v>
      </c>
      <c r="F1361" s="1177"/>
      <c r="G1361" s="1177"/>
      <c r="H1361" s="1177"/>
      <c r="I1361" s="1278">
        <f t="shared" si="80"/>
        <v>6</v>
      </c>
      <c r="J1361" s="1275"/>
    </row>
    <row r="1362" spans="1:10" s="1209" customFormat="1" ht="17.25" customHeight="1">
      <c r="A1362" s="1185"/>
      <c r="B1362" s="1199" t="s">
        <v>6836</v>
      </c>
      <c r="C1362" s="1186">
        <v>3</v>
      </c>
      <c r="D1362" s="1186" t="s">
        <v>3364</v>
      </c>
      <c r="E1362" s="1186">
        <v>1</v>
      </c>
      <c r="F1362" s="1177"/>
      <c r="G1362" s="1177"/>
      <c r="H1362" s="1177"/>
      <c r="I1362" s="1278">
        <f t="shared" si="80"/>
        <v>3</v>
      </c>
      <c r="J1362" s="1275"/>
    </row>
    <row r="1363" spans="1:10" s="1209" customFormat="1" ht="17.25" customHeight="1">
      <c r="A1363" s="1185"/>
      <c r="B1363" s="1199" t="s">
        <v>6841</v>
      </c>
      <c r="C1363" s="1186">
        <v>1</v>
      </c>
      <c r="D1363" s="1186" t="s">
        <v>3364</v>
      </c>
      <c r="E1363" s="1186">
        <v>1</v>
      </c>
      <c r="F1363" s="1177"/>
      <c r="G1363" s="1177"/>
      <c r="H1363" s="1177"/>
      <c r="I1363" s="1278">
        <f t="shared" si="80"/>
        <v>1</v>
      </c>
      <c r="J1363" s="1275"/>
    </row>
    <row r="1364" spans="1:10" s="1209" customFormat="1">
      <c r="A1364" s="1185"/>
      <c r="B1364" s="1199"/>
      <c r="C1364" s="1186"/>
      <c r="D1364" s="1186"/>
      <c r="E1364" s="1186"/>
      <c r="F1364" s="1177"/>
      <c r="G1364" s="1253" t="s">
        <v>104</v>
      </c>
      <c r="H1364" s="1177"/>
      <c r="I1364" s="1181">
        <f>SUM(I1330:I1363)</f>
        <v>137</v>
      </c>
      <c r="J1364" s="1184" t="s">
        <v>3471</v>
      </c>
    </row>
    <row r="1365" spans="1:10" s="1209" customFormat="1" ht="78.75">
      <c r="A1365" s="1182">
        <v>76</v>
      </c>
      <c r="B1365" s="1200" t="s">
        <v>3542</v>
      </c>
      <c r="C1365" s="1268"/>
      <c r="D1365" s="1268"/>
      <c r="E1365" s="1268"/>
      <c r="F1365" s="1269"/>
      <c r="G1365" s="1269"/>
      <c r="H1365" s="1269"/>
      <c r="I1365" s="1183"/>
      <c r="J1365" s="1189"/>
    </row>
    <row r="1366" spans="1:10" s="1209" customFormat="1">
      <c r="A1366" s="1182"/>
      <c r="B1366" s="1201" t="s">
        <v>3543</v>
      </c>
      <c r="C1366" s="1268">
        <v>1</v>
      </c>
      <c r="D1366" s="1268" t="s">
        <v>3364</v>
      </c>
      <c r="E1366" s="1268">
        <v>1</v>
      </c>
      <c r="F1366" s="1269">
        <v>84.6</v>
      </c>
      <c r="G1366" s="1269"/>
      <c r="H1366" s="1269"/>
      <c r="I1366" s="1183">
        <f>PRODUCT(C1366:H1366)</f>
        <v>84.6</v>
      </c>
      <c r="J1366" s="1189" t="s">
        <v>13</v>
      </c>
    </row>
    <row r="1367" spans="1:10" s="1209" customFormat="1" ht="204.75">
      <c r="A1367" s="1185">
        <v>77.5</v>
      </c>
      <c r="B1367" s="1187" t="s">
        <v>6845</v>
      </c>
      <c r="C1367" s="1186"/>
      <c r="D1367" s="1186"/>
      <c r="E1367" s="1186"/>
      <c r="F1367" s="1177"/>
      <c r="G1367" s="1177"/>
      <c r="H1367" s="1253"/>
      <c r="I1367" s="1181"/>
      <c r="J1367" s="1184"/>
    </row>
    <row r="1368" spans="1:10" s="1209" customFormat="1">
      <c r="A1368" s="1185"/>
      <c r="B1368" s="1187" t="s">
        <v>6846</v>
      </c>
      <c r="C1368" s="1186"/>
      <c r="D1368" s="1186"/>
      <c r="E1368" s="1186"/>
      <c r="F1368" s="1177"/>
      <c r="G1368" s="1177"/>
      <c r="H1368" s="1253"/>
      <c r="I1368" s="1181"/>
      <c r="J1368" s="1184"/>
    </row>
    <row r="1369" spans="1:10" s="1209" customFormat="1">
      <c r="A1369" s="1182"/>
      <c r="B1369" s="1203" t="s">
        <v>6790</v>
      </c>
      <c r="C1369" s="1186"/>
      <c r="D1369" s="1186"/>
      <c r="E1369" s="1186"/>
      <c r="F1369" s="1177"/>
      <c r="G1369" s="1177"/>
      <c r="H1369" s="1177"/>
      <c r="I1369" s="1178"/>
      <c r="J1369" s="1184"/>
    </row>
    <row r="1370" spans="1:10" s="1209" customFormat="1">
      <c r="A1370" s="1182"/>
      <c r="B1370" s="1201" t="s">
        <v>3626</v>
      </c>
      <c r="C1370" s="1186">
        <v>4</v>
      </c>
      <c r="D1370" s="1186" t="s">
        <v>3364</v>
      </c>
      <c r="E1370" s="1186">
        <v>2</v>
      </c>
      <c r="F1370" s="1177">
        <v>18.91</v>
      </c>
      <c r="G1370" s="1177"/>
      <c r="H1370" s="1177"/>
      <c r="I1370" s="1278">
        <f t="shared" ref="I1370:I1406" si="81">PRODUCT(C1370:H1370)</f>
        <v>151.28</v>
      </c>
      <c r="J1370" s="1275"/>
    </row>
    <row r="1371" spans="1:10" s="1209" customFormat="1">
      <c r="A1371" s="1182"/>
      <c r="B1371" s="1201" t="s">
        <v>6618</v>
      </c>
      <c r="C1371" s="1186">
        <v>1</v>
      </c>
      <c r="D1371" s="1186" t="s">
        <v>3364</v>
      </c>
      <c r="E1371" s="1186">
        <v>1</v>
      </c>
      <c r="F1371" s="1177">
        <v>18.32</v>
      </c>
      <c r="G1371" s="1177"/>
      <c r="H1371" s="1177"/>
      <c r="I1371" s="1278">
        <f t="shared" si="81"/>
        <v>18.32</v>
      </c>
      <c r="J1371" s="1275"/>
    </row>
    <row r="1372" spans="1:10" s="1209" customFormat="1">
      <c r="A1372" s="1185"/>
      <c r="B1372" s="1199" t="s">
        <v>6822</v>
      </c>
      <c r="C1372" s="1186">
        <v>1</v>
      </c>
      <c r="D1372" s="1186" t="s">
        <v>3364</v>
      </c>
      <c r="E1372" s="1186">
        <v>1</v>
      </c>
      <c r="F1372" s="1177">
        <v>13.2</v>
      </c>
      <c r="G1372" s="1177"/>
      <c r="H1372" s="1177"/>
      <c r="I1372" s="1278">
        <f t="shared" si="81"/>
        <v>13.2</v>
      </c>
      <c r="J1372" s="1275"/>
    </row>
    <row r="1373" spans="1:10" s="1209" customFormat="1">
      <c r="A1373" s="1185"/>
      <c r="B1373" s="1199" t="s">
        <v>6590</v>
      </c>
      <c r="C1373" s="1186">
        <v>1</v>
      </c>
      <c r="D1373" s="1186" t="s">
        <v>3364</v>
      </c>
      <c r="E1373" s="1186">
        <v>1</v>
      </c>
      <c r="F1373" s="1177">
        <v>9.68</v>
      </c>
      <c r="G1373" s="1177"/>
      <c r="H1373" s="1177"/>
      <c r="I1373" s="1278">
        <f t="shared" si="81"/>
        <v>9.68</v>
      </c>
      <c r="J1373" s="1275"/>
    </row>
    <row r="1374" spans="1:10" s="1209" customFormat="1">
      <c r="A1374" s="1185"/>
      <c r="B1374" s="1199" t="s">
        <v>3492</v>
      </c>
      <c r="C1374" s="1186">
        <v>1</v>
      </c>
      <c r="D1374" s="1186" t="s">
        <v>3364</v>
      </c>
      <c r="E1374" s="1186">
        <v>1</v>
      </c>
      <c r="F1374" s="1177">
        <v>3.2</v>
      </c>
      <c r="G1374" s="1177"/>
      <c r="H1374" s="1177"/>
      <c r="I1374" s="1278">
        <f t="shared" si="81"/>
        <v>3.2</v>
      </c>
      <c r="J1374" s="1275"/>
    </row>
    <row r="1375" spans="1:10" s="1209" customFormat="1">
      <c r="A1375" s="1185"/>
      <c r="B1375" s="1199" t="s">
        <v>6620</v>
      </c>
      <c r="C1375" s="1186">
        <v>2</v>
      </c>
      <c r="D1375" s="1186" t="s">
        <v>3364</v>
      </c>
      <c r="E1375" s="1186">
        <v>1</v>
      </c>
      <c r="F1375" s="1177">
        <v>13.55</v>
      </c>
      <c r="G1375" s="1177"/>
      <c r="H1375" s="1177"/>
      <c r="I1375" s="1278">
        <f t="shared" si="81"/>
        <v>27.1</v>
      </c>
      <c r="J1375" s="1275"/>
    </row>
    <row r="1376" spans="1:10" s="1209" customFormat="1" ht="17.25" customHeight="1">
      <c r="A1376" s="1185"/>
      <c r="B1376" s="1199" t="s">
        <v>6823</v>
      </c>
      <c r="C1376" s="1186">
        <v>2</v>
      </c>
      <c r="D1376" s="1186" t="s">
        <v>3364</v>
      </c>
      <c r="E1376" s="1186">
        <v>1</v>
      </c>
      <c r="F1376" s="1177">
        <v>17.260000000000002</v>
      </c>
      <c r="G1376" s="1177"/>
      <c r="H1376" s="1177"/>
      <c r="I1376" s="1278">
        <f t="shared" si="81"/>
        <v>34.520000000000003</v>
      </c>
      <c r="J1376" s="1275"/>
    </row>
    <row r="1377" spans="1:10" s="1209" customFormat="1" ht="17.25" customHeight="1">
      <c r="A1377" s="1185"/>
      <c r="B1377" s="1202" t="s">
        <v>6668</v>
      </c>
      <c r="C1377" s="1186"/>
      <c r="D1377" s="1186"/>
      <c r="E1377" s="1186"/>
      <c r="F1377" s="1177"/>
      <c r="G1377" s="1177"/>
      <c r="H1377" s="1177"/>
      <c r="I1377" s="1278">
        <f t="shared" si="81"/>
        <v>0</v>
      </c>
      <c r="J1377" s="1275"/>
    </row>
    <row r="1378" spans="1:10" s="1209" customFormat="1" ht="17.25" customHeight="1">
      <c r="A1378" s="1185"/>
      <c r="B1378" s="1199" t="s">
        <v>6824</v>
      </c>
      <c r="C1378" s="1186">
        <v>2</v>
      </c>
      <c r="D1378" s="1186" t="s">
        <v>3364</v>
      </c>
      <c r="E1378" s="1186">
        <v>1</v>
      </c>
      <c r="F1378" s="1177">
        <v>14.36</v>
      </c>
      <c r="G1378" s="1177"/>
      <c r="H1378" s="1177"/>
      <c r="I1378" s="1278">
        <f t="shared" si="81"/>
        <v>28.72</v>
      </c>
      <c r="J1378" s="1275"/>
    </row>
    <row r="1379" spans="1:10" s="1209" customFormat="1" ht="17.25" customHeight="1">
      <c r="A1379" s="1185"/>
      <c r="B1379" s="1199" t="s">
        <v>6825</v>
      </c>
      <c r="C1379" s="1186">
        <v>3</v>
      </c>
      <c r="D1379" s="1186" t="s">
        <v>3364</v>
      </c>
      <c r="E1379" s="1186">
        <v>2</v>
      </c>
      <c r="F1379" s="1177">
        <v>8.98</v>
      </c>
      <c r="G1379" s="1177"/>
      <c r="H1379" s="1177"/>
      <c r="I1379" s="1278">
        <f t="shared" si="81"/>
        <v>53.88</v>
      </c>
      <c r="J1379" s="1275"/>
    </row>
    <row r="1380" spans="1:10" s="1209" customFormat="1" ht="17.25" customHeight="1">
      <c r="A1380" s="1185"/>
      <c r="B1380" s="1199" t="s">
        <v>6826</v>
      </c>
      <c r="C1380" s="1186">
        <v>3</v>
      </c>
      <c r="D1380" s="1186" t="s">
        <v>3364</v>
      </c>
      <c r="E1380" s="1186">
        <v>2</v>
      </c>
      <c r="F1380" s="1177">
        <v>11.54</v>
      </c>
      <c r="G1380" s="1177"/>
      <c r="H1380" s="1177"/>
      <c r="I1380" s="1278">
        <f t="shared" si="81"/>
        <v>69.239999999999995</v>
      </c>
      <c r="J1380" s="1275"/>
    </row>
    <row r="1381" spans="1:10" s="1209" customFormat="1" ht="17.25" customHeight="1">
      <c r="A1381" s="1185"/>
      <c r="B1381" s="1199" t="s">
        <v>6827</v>
      </c>
      <c r="C1381" s="1186">
        <v>1</v>
      </c>
      <c r="D1381" s="1186" t="s">
        <v>3364</v>
      </c>
      <c r="E1381" s="1186">
        <v>1</v>
      </c>
      <c r="F1381" s="1177">
        <v>35.26</v>
      </c>
      <c r="G1381" s="1177"/>
      <c r="H1381" s="1177"/>
      <c r="I1381" s="1278">
        <f t="shared" si="81"/>
        <v>35.26</v>
      </c>
      <c r="J1381" s="1275"/>
    </row>
    <row r="1382" spans="1:10" s="1209" customFormat="1" ht="17.25" customHeight="1">
      <c r="A1382" s="1185"/>
      <c r="B1382" s="1199" t="s">
        <v>6828</v>
      </c>
      <c r="C1382" s="1186">
        <v>5</v>
      </c>
      <c r="D1382" s="1186" t="s">
        <v>3364</v>
      </c>
      <c r="E1382" s="1186">
        <v>1</v>
      </c>
      <c r="F1382" s="1177">
        <v>3.65</v>
      </c>
      <c r="G1382" s="1177"/>
      <c r="H1382" s="1177"/>
      <c r="I1382" s="1278">
        <f t="shared" si="81"/>
        <v>18.25</v>
      </c>
      <c r="J1382" s="1275"/>
    </row>
    <row r="1383" spans="1:10" s="1209" customFormat="1" ht="17.25" customHeight="1">
      <c r="A1383" s="1185"/>
      <c r="B1383" s="1199" t="s">
        <v>3492</v>
      </c>
      <c r="C1383" s="1186">
        <v>1</v>
      </c>
      <c r="D1383" s="1186" t="s">
        <v>3364</v>
      </c>
      <c r="E1383" s="1186">
        <v>2</v>
      </c>
      <c r="F1383" s="1177">
        <v>3.2</v>
      </c>
      <c r="G1383" s="1177"/>
      <c r="H1383" s="1177"/>
      <c r="I1383" s="1278">
        <f t="shared" si="81"/>
        <v>6.4</v>
      </c>
      <c r="J1383" s="1275"/>
    </row>
    <row r="1384" spans="1:10" s="1209" customFormat="1" ht="17.25" customHeight="1">
      <c r="A1384" s="1185"/>
      <c r="B1384" s="1199" t="s">
        <v>6829</v>
      </c>
      <c r="C1384" s="1186">
        <v>2</v>
      </c>
      <c r="D1384" s="1186" t="s">
        <v>3364</v>
      </c>
      <c r="E1384" s="1186">
        <v>2</v>
      </c>
      <c r="F1384" s="1177">
        <v>7.67</v>
      </c>
      <c r="G1384" s="1177"/>
      <c r="H1384" s="1177"/>
      <c r="I1384" s="1278">
        <f t="shared" si="81"/>
        <v>30.68</v>
      </c>
      <c r="J1384" s="1275"/>
    </row>
    <row r="1385" spans="1:10" s="1209" customFormat="1" ht="17.25" customHeight="1">
      <c r="A1385" s="1185"/>
      <c r="B1385" s="1199" t="s">
        <v>6830</v>
      </c>
      <c r="C1385" s="1186">
        <v>1</v>
      </c>
      <c r="D1385" s="1186" t="s">
        <v>3364</v>
      </c>
      <c r="E1385" s="1186">
        <v>1</v>
      </c>
      <c r="F1385" s="1177">
        <v>2.91</v>
      </c>
      <c r="G1385" s="1177"/>
      <c r="H1385" s="1177"/>
      <c r="I1385" s="1278">
        <f t="shared" si="81"/>
        <v>2.91</v>
      </c>
      <c r="J1385" s="1275"/>
    </row>
    <row r="1386" spans="1:10" s="1209" customFormat="1" ht="17.25" customHeight="1">
      <c r="A1386" s="1185"/>
      <c r="B1386" s="1202" t="s">
        <v>3691</v>
      </c>
      <c r="C1386" s="1186"/>
      <c r="D1386" s="1186"/>
      <c r="E1386" s="1186"/>
      <c r="F1386" s="1177"/>
      <c r="G1386" s="1177"/>
      <c r="H1386" s="1177"/>
      <c r="I1386" s="1278">
        <f t="shared" si="81"/>
        <v>0</v>
      </c>
      <c r="J1386" s="1275"/>
    </row>
    <row r="1387" spans="1:10" s="1209" customFormat="1" ht="17.25" customHeight="1">
      <c r="A1387" s="1185"/>
      <c r="B1387" s="1199" t="s">
        <v>6831</v>
      </c>
      <c r="C1387" s="1186">
        <v>5</v>
      </c>
      <c r="D1387" s="1186" t="s">
        <v>3364</v>
      </c>
      <c r="E1387" s="1186">
        <v>1</v>
      </c>
      <c r="F1387" s="1177">
        <v>14.36</v>
      </c>
      <c r="G1387" s="1177"/>
      <c r="H1387" s="1177"/>
      <c r="I1387" s="1278">
        <f t="shared" si="81"/>
        <v>71.8</v>
      </c>
      <c r="J1387" s="1275"/>
    </row>
    <row r="1388" spans="1:10" s="1209" customFormat="1" ht="17.25" customHeight="1">
      <c r="A1388" s="1185"/>
      <c r="B1388" s="1199" t="s">
        <v>6814</v>
      </c>
      <c r="C1388" s="1186">
        <v>3</v>
      </c>
      <c r="D1388" s="1186" t="s">
        <v>3364</v>
      </c>
      <c r="E1388" s="1186">
        <v>1</v>
      </c>
      <c r="F1388" s="1177">
        <v>8.98</v>
      </c>
      <c r="G1388" s="1177"/>
      <c r="H1388" s="1177"/>
      <c r="I1388" s="1278">
        <f t="shared" si="81"/>
        <v>26.94</v>
      </c>
      <c r="J1388" s="1275"/>
    </row>
    <row r="1389" spans="1:10" s="1209" customFormat="1" ht="17.25" customHeight="1">
      <c r="A1389" s="1185"/>
      <c r="B1389" s="1199" t="s">
        <v>6832</v>
      </c>
      <c r="C1389" s="1186">
        <v>8</v>
      </c>
      <c r="D1389" s="1186" t="s">
        <v>3364</v>
      </c>
      <c r="E1389" s="1186">
        <v>2</v>
      </c>
      <c r="F1389" s="1177">
        <v>11.54</v>
      </c>
      <c r="G1389" s="1177"/>
      <c r="H1389" s="1177"/>
      <c r="I1389" s="1278">
        <f t="shared" si="81"/>
        <v>184.64</v>
      </c>
      <c r="J1389" s="1275"/>
    </row>
    <row r="1390" spans="1:10" s="1209" customFormat="1" ht="17.25" customHeight="1">
      <c r="A1390" s="1185"/>
      <c r="B1390" s="1199" t="s">
        <v>6833</v>
      </c>
      <c r="C1390" s="1186">
        <v>1</v>
      </c>
      <c r="D1390" s="1186" t="s">
        <v>3364</v>
      </c>
      <c r="E1390" s="1186">
        <v>1</v>
      </c>
      <c r="F1390" s="1177">
        <v>35.26</v>
      </c>
      <c r="G1390" s="1177"/>
      <c r="H1390" s="1177"/>
      <c r="I1390" s="1278">
        <f t="shared" si="81"/>
        <v>35.26</v>
      </c>
      <c r="J1390" s="1275"/>
    </row>
    <row r="1391" spans="1:10" s="1209" customFormat="1" ht="17.25" customHeight="1">
      <c r="A1391" s="1185"/>
      <c r="B1391" s="1199" t="s">
        <v>6834</v>
      </c>
      <c r="C1391" s="1186">
        <v>2</v>
      </c>
      <c r="D1391" s="1186" t="s">
        <v>3364</v>
      </c>
      <c r="E1391" s="1186">
        <v>2</v>
      </c>
      <c r="F1391" s="1177">
        <v>3.65</v>
      </c>
      <c r="G1391" s="1177"/>
      <c r="H1391" s="1177"/>
      <c r="I1391" s="1278">
        <f t="shared" si="81"/>
        <v>14.6</v>
      </c>
      <c r="J1391" s="1275"/>
    </row>
    <row r="1392" spans="1:10" s="1209" customFormat="1" ht="17.25" customHeight="1">
      <c r="A1392" s="1185"/>
      <c r="B1392" s="1199" t="s">
        <v>6835</v>
      </c>
      <c r="C1392" s="1186">
        <v>5</v>
      </c>
      <c r="D1392" s="1186" t="s">
        <v>3364</v>
      </c>
      <c r="E1392" s="1186">
        <v>1</v>
      </c>
      <c r="F1392" s="1177">
        <v>3.2</v>
      </c>
      <c r="G1392" s="1177"/>
      <c r="H1392" s="1177"/>
      <c r="I1392" s="1278">
        <f t="shared" si="81"/>
        <v>16</v>
      </c>
      <c r="J1392" s="1275"/>
    </row>
    <row r="1393" spans="1:10" s="1209" customFormat="1" ht="17.25" customHeight="1">
      <c r="A1393" s="1185"/>
      <c r="B1393" s="1199" t="s">
        <v>6829</v>
      </c>
      <c r="C1393" s="1186">
        <v>2</v>
      </c>
      <c r="D1393" s="1186" t="s">
        <v>3364</v>
      </c>
      <c r="E1393" s="1186">
        <v>2</v>
      </c>
      <c r="F1393" s="1177">
        <v>7.67</v>
      </c>
      <c r="G1393" s="1177"/>
      <c r="H1393" s="1177"/>
      <c r="I1393" s="1278">
        <f t="shared" si="81"/>
        <v>30.68</v>
      </c>
      <c r="J1393" s="1275"/>
    </row>
    <row r="1394" spans="1:10" s="1209" customFormat="1" ht="17.25" customHeight="1">
      <c r="A1394" s="1185"/>
      <c r="B1394" s="1199" t="s">
        <v>6836</v>
      </c>
      <c r="C1394" s="1186">
        <v>1</v>
      </c>
      <c r="D1394" s="1186" t="s">
        <v>3364</v>
      </c>
      <c r="E1394" s="1186">
        <v>1</v>
      </c>
      <c r="F1394" s="1177">
        <v>2.91</v>
      </c>
      <c r="G1394" s="1177"/>
      <c r="H1394" s="1177"/>
      <c r="I1394" s="1278">
        <f t="shared" si="81"/>
        <v>2.91</v>
      </c>
      <c r="J1394" s="1275"/>
    </row>
    <row r="1395" spans="1:10" s="1209" customFormat="1" ht="17.25" customHeight="1">
      <c r="A1395" s="1185"/>
      <c r="B1395" s="1202" t="s">
        <v>3692</v>
      </c>
      <c r="C1395" s="1186"/>
      <c r="D1395" s="1186"/>
      <c r="E1395" s="1186"/>
      <c r="F1395" s="1177"/>
      <c r="G1395" s="1177"/>
      <c r="H1395" s="1177"/>
      <c r="I1395" s="1278">
        <f t="shared" si="81"/>
        <v>0</v>
      </c>
      <c r="J1395" s="1275"/>
    </row>
    <row r="1396" spans="1:10" s="1209" customFormat="1" ht="17.25" customHeight="1">
      <c r="A1396" s="1185"/>
      <c r="B1396" s="1199" t="s">
        <v>6837</v>
      </c>
      <c r="C1396" s="1186">
        <v>4</v>
      </c>
      <c r="D1396" s="1186" t="s">
        <v>3364</v>
      </c>
      <c r="E1396" s="1186">
        <v>1</v>
      </c>
      <c r="F1396" s="1177">
        <v>14.36</v>
      </c>
      <c r="G1396" s="1177"/>
      <c r="H1396" s="1177"/>
      <c r="I1396" s="1278">
        <f t="shared" si="81"/>
        <v>57.44</v>
      </c>
      <c r="J1396" s="1275"/>
    </row>
    <row r="1397" spans="1:10" s="1209" customFormat="1" ht="17.25" customHeight="1">
      <c r="A1397" s="1185"/>
      <c r="B1397" s="1199" t="s">
        <v>6600</v>
      </c>
      <c r="C1397" s="1186">
        <v>4</v>
      </c>
      <c r="D1397" s="1186" t="s">
        <v>3364</v>
      </c>
      <c r="E1397" s="1186">
        <v>2</v>
      </c>
      <c r="F1397" s="1177">
        <v>8.98</v>
      </c>
      <c r="G1397" s="1177"/>
      <c r="H1397" s="1177"/>
      <c r="I1397" s="1278">
        <f t="shared" si="81"/>
        <v>71.84</v>
      </c>
      <c r="J1397" s="1275"/>
    </row>
    <row r="1398" spans="1:10" s="1209" customFormat="1" ht="17.25" customHeight="1">
      <c r="A1398" s="1185"/>
      <c r="B1398" s="1199" t="s">
        <v>6838</v>
      </c>
      <c r="C1398" s="1186">
        <v>4</v>
      </c>
      <c r="D1398" s="1186" t="s">
        <v>3364</v>
      </c>
      <c r="E1398" s="1186">
        <v>2</v>
      </c>
      <c r="F1398" s="1177">
        <v>11.54</v>
      </c>
      <c r="G1398" s="1177"/>
      <c r="H1398" s="1177"/>
      <c r="I1398" s="1278">
        <f t="shared" si="81"/>
        <v>92.32</v>
      </c>
      <c r="J1398" s="1275"/>
    </row>
    <row r="1399" spans="1:10" s="1209" customFormat="1" ht="17.25" customHeight="1">
      <c r="A1399" s="1185"/>
      <c r="B1399" s="1199" t="s">
        <v>6602</v>
      </c>
      <c r="C1399" s="1186">
        <v>3</v>
      </c>
      <c r="D1399" s="1186" t="s">
        <v>3364</v>
      </c>
      <c r="E1399" s="1186">
        <v>2</v>
      </c>
      <c r="F1399" s="1177">
        <v>35.26</v>
      </c>
      <c r="G1399" s="1177"/>
      <c r="H1399" s="1177"/>
      <c r="I1399" s="1278">
        <f t="shared" si="81"/>
        <v>211.56</v>
      </c>
      <c r="J1399" s="1275"/>
    </row>
    <row r="1400" spans="1:10" s="1209" customFormat="1" ht="17.25" customHeight="1">
      <c r="A1400" s="1185"/>
      <c r="B1400" s="1199" t="s">
        <v>6839</v>
      </c>
      <c r="C1400" s="1186">
        <v>2</v>
      </c>
      <c r="D1400" s="1186" t="s">
        <v>3364</v>
      </c>
      <c r="E1400" s="1186">
        <v>1</v>
      </c>
      <c r="F1400" s="1177">
        <v>13.5</v>
      </c>
      <c r="G1400" s="1177"/>
      <c r="H1400" s="1177"/>
      <c r="I1400" s="1278">
        <f t="shared" si="81"/>
        <v>27</v>
      </c>
      <c r="J1400" s="1275"/>
    </row>
    <row r="1401" spans="1:10" s="1209" customFormat="1" ht="17.25" customHeight="1">
      <c r="A1401" s="1185"/>
      <c r="B1401" s="1199" t="s">
        <v>6683</v>
      </c>
      <c r="C1401" s="1186">
        <v>1</v>
      </c>
      <c r="D1401" s="1186" t="s">
        <v>3364</v>
      </c>
      <c r="E1401" s="1186">
        <v>2</v>
      </c>
      <c r="F1401" s="1177">
        <v>3.2</v>
      </c>
      <c r="G1401" s="1177"/>
      <c r="H1401" s="1177"/>
      <c r="I1401" s="1278">
        <f t="shared" si="81"/>
        <v>6.4</v>
      </c>
      <c r="J1401" s="1275"/>
    </row>
    <row r="1402" spans="1:10" s="1209" customFormat="1" ht="17.25" customHeight="1">
      <c r="A1402" s="1185"/>
      <c r="B1402" s="1199" t="s">
        <v>6800</v>
      </c>
      <c r="C1402" s="1186">
        <v>1</v>
      </c>
      <c r="D1402" s="1186" t="s">
        <v>3364</v>
      </c>
      <c r="E1402" s="1186">
        <v>1</v>
      </c>
      <c r="F1402" s="1177">
        <v>7.67</v>
      </c>
      <c r="G1402" s="1177"/>
      <c r="H1402" s="1177"/>
      <c r="I1402" s="1278">
        <f t="shared" si="81"/>
        <v>7.67</v>
      </c>
      <c r="J1402" s="1275"/>
    </row>
    <row r="1403" spans="1:10" s="1209" customFormat="1" ht="17.25" customHeight="1">
      <c r="A1403" s="1185"/>
      <c r="B1403" s="1199" t="s">
        <v>3484</v>
      </c>
      <c r="C1403" s="1186">
        <v>2</v>
      </c>
      <c r="D1403" s="1186" t="s">
        <v>3364</v>
      </c>
      <c r="E1403" s="1186">
        <v>1</v>
      </c>
      <c r="F1403" s="1177">
        <v>2.91</v>
      </c>
      <c r="G1403" s="1177"/>
      <c r="H1403" s="1177"/>
      <c r="I1403" s="1278">
        <f t="shared" si="81"/>
        <v>5.82</v>
      </c>
      <c r="J1403" s="1275"/>
    </row>
    <row r="1404" spans="1:10" s="1209" customFormat="1" ht="17.25" customHeight="1">
      <c r="A1404" s="1185"/>
      <c r="B1404" s="1199" t="s">
        <v>6840</v>
      </c>
      <c r="C1404" s="1186">
        <v>3</v>
      </c>
      <c r="D1404" s="1186" t="s">
        <v>3364</v>
      </c>
      <c r="E1404" s="1186">
        <v>2</v>
      </c>
      <c r="F1404" s="1177">
        <v>6.5</v>
      </c>
      <c r="G1404" s="1177"/>
      <c r="H1404" s="1177"/>
      <c r="I1404" s="1278">
        <f t="shared" si="81"/>
        <v>39</v>
      </c>
      <c r="J1404" s="1275"/>
    </row>
    <row r="1405" spans="1:10" s="1209" customFormat="1" ht="17.25" customHeight="1">
      <c r="A1405" s="1185"/>
      <c r="B1405" s="1199" t="s">
        <v>6836</v>
      </c>
      <c r="C1405" s="1186">
        <v>1</v>
      </c>
      <c r="D1405" s="1186" t="s">
        <v>3364</v>
      </c>
      <c r="E1405" s="1186">
        <v>2</v>
      </c>
      <c r="F1405" s="1177">
        <v>2.91</v>
      </c>
      <c r="G1405" s="1177"/>
      <c r="H1405" s="1177"/>
      <c r="I1405" s="1278">
        <f t="shared" si="81"/>
        <v>5.82</v>
      </c>
      <c r="J1405" s="1275"/>
    </row>
    <row r="1406" spans="1:10" s="1209" customFormat="1" ht="17.25" customHeight="1">
      <c r="A1406" s="1185"/>
      <c r="B1406" s="1199" t="s">
        <v>6841</v>
      </c>
      <c r="C1406" s="1186">
        <v>1</v>
      </c>
      <c r="D1406" s="1186" t="s">
        <v>3364</v>
      </c>
      <c r="E1406" s="1186">
        <v>2</v>
      </c>
      <c r="F1406" s="1177">
        <v>5.22</v>
      </c>
      <c r="G1406" s="1177"/>
      <c r="H1406" s="1177"/>
      <c r="I1406" s="1278">
        <f t="shared" si="81"/>
        <v>10.44</v>
      </c>
      <c r="J1406" s="1275"/>
    </row>
    <row r="1407" spans="1:10" s="1209" customFormat="1" ht="17.25" customHeight="1">
      <c r="A1407" s="1185"/>
      <c r="B1407" s="1199"/>
      <c r="C1407" s="1186"/>
      <c r="D1407" s="1186"/>
      <c r="E1407" s="1186"/>
      <c r="F1407" s="1177"/>
      <c r="G1407" s="1177"/>
      <c r="H1407" s="1177"/>
      <c r="I1407" s="1278">
        <f>SUM(I1370:I1406)</f>
        <v>1420.78</v>
      </c>
      <c r="J1407" s="1275"/>
    </row>
    <row r="1408" spans="1:10" s="1209" customFormat="1">
      <c r="A1408" s="1185"/>
      <c r="B1408" s="1199"/>
      <c r="C1408" s="1186"/>
      <c r="D1408" s="1186"/>
      <c r="E1408" s="1186"/>
      <c r="F1408" s="1177"/>
      <c r="G1408" s="1253" t="s">
        <v>104</v>
      </c>
      <c r="H1408" s="1177"/>
      <c r="I1408" s="1181">
        <f>CEILING(I1407,0.1)</f>
        <v>1420.8</v>
      </c>
      <c r="J1408" s="1184" t="s">
        <v>13</v>
      </c>
    </row>
    <row r="1409" spans="1:10" s="1209" customFormat="1" ht="94.5">
      <c r="A1409" s="1182">
        <v>77.3</v>
      </c>
      <c r="B1409" s="1200" t="s">
        <v>3544</v>
      </c>
      <c r="C1409" s="1186"/>
      <c r="D1409" s="1186"/>
      <c r="E1409" s="1186"/>
      <c r="F1409" s="1177"/>
      <c r="G1409" s="1177"/>
      <c r="H1409" s="1177"/>
      <c r="I1409" s="1178"/>
      <c r="J1409" s="1184"/>
    </row>
    <row r="1410" spans="1:10" s="1209" customFormat="1">
      <c r="A1410" s="1185"/>
      <c r="B1410" s="1199" t="s">
        <v>3372</v>
      </c>
      <c r="C1410" s="1186">
        <v>1</v>
      </c>
      <c r="D1410" s="1186" t="s">
        <v>3364</v>
      </c>
      <c r="E1410" s="1186">
        <v>2</v>
      </c>
      <c r="F1410" s="1177"/>
      <c r="G1410" s="1177"/>
      <c r="H1410" s="1177"/>
      <c r="I1410" s="1278">
        <f t="shared" ref="I1410:I1415" si="82">PRODUCT(C1410:H1410)</f>
        <v>2</v>
      </c>
      <c r="J1410" s="1184"/>
    </row>
    <row r="1411" spans="1:10" s="1209" customFormat="1">
      <c r="A1411" s="1185"/>
      <c r="B1411" s="1199" t="s">
        <v>6842</v>
      </c>
      <c r="C1411" s="1186">
        <v>1</v>
      </c>
      <c r="D1411" s="1186" t="s">
        <v>3364</v>
      </c>
      <c r="E1411" s="1186">
        <v>2</v>
      </c>
      <c r="F1411" s="1177"/>
      <c r="G1411" s="1177"/>
      <c r="H1411" s="1177"/>
      <c r="I1411" s="1278">
        <f t="shared" si="82"/>
        <v>2</v>
      </c>
      <c r="J1411" s="1184"/>
    </row>
    <row r="1412" spans="1:10" s="1209" customFormat="1">
      <c r="A1412" s="1185"/>
      <c r="B1412" s="1199" t="s">
        <v>3645</v>
      </c>
      <c r="C1412" s="1186">
        <v>1</v>
      </c>
      <c r="D1412" s="1186" t="s">
        <v>3364</v>
      </c>
      <c r="E1412" s="1186">
        <v>2</v>
      </c>
      <c r="F1412" s="1177"/>
      <c r="G1412" s="1177"/>
      <c r="H1412" s="1177"/>
      <c r="I1412" s="1278">
        <f t="shared" si="82"/>
        <v>2</v>
      </c>
      <c r="J1412" s="1184"/>
    </row>
    <row r="1413" spans="1:10" s="1209" customFormat="1">
      <c r="A1413" s="1185"/>
      <c r="B1413" s="1199" t="s">
        <v>6826</v>
      </c>
      <c r="C1413" s="1186">
        <v>1</v>
      </c>
      <c r="D1413" s="1186" t="s">
        <v>3364</v>
      </c>
      <c r="E1413" s="1186">
        <v>2</v>
      </c>
      <c r="F1413" s="1177"/>
      <c r="G1413" s="1177"/>
      <c r="H1413" s="1177"/>
      <c r="I1413" s="1278">
        <f t="shared" si="82"/>
        <v>2</v>
      </c>
      <c r="J1413" s="1184"/>
    </row>
    <row r="1414" spans="1:10" s="1209" customFormat="1">
      <c r="A1414" s="1185"/>
      <c r="B1414" s="1199" t="s">
        <v>6840</v>
      </c>
      <c r="C1414" s="1186">
        <v>3</v>
      </c>
      <c r="D1414" s="1186" t="s">
        <v>3364</v>
      </c>
      <c r="E1414" s="1186">
        <v>2</v>
      </c>
      <c r="F1414" s="1177"/>
      <c r="G1414" s="1177"/>
      <c r="H1414" s="1177"/>
      <c r="I1414" s="1278">
        <f t="shared" si="82"/>
        <v>6</v>
      </c>
      <c r="J1414" s="1184"/>
    </row>
    <row r="1415" spans="1:10" s="1209" customFormat="1" ht="17.25" customHeight="1">
      <c r="A1415" s="1185"/>
      <c r="B1415" s="1199" t="s">
        <v>3494</v>
      </c>
      <c r="C1415" s="1186">
        <v>1</v>
      </c>
      <c r="D1415" s="1186" t="s">
        <v>3364</v>
      </c>
      <c r="E1415" s="1186">
        <v>2</v>
      </c>
      <c r="F1415" s="1177"/>
      <c r="G1415" s="1177"/>
      <c r="H1415" s="1177"/>
      <c r="I1415" s="1278">
        <f t="shared" si="82"/>
        <v>2</v>
      </c>
      <c r="J1415" s="1184"/>
    </row>
    <row r="1416" spans="1:10" s="1209" customFormat="1">
      <c r="A1416" s="1185"/>
      <c r="B1416" s="1199"/>
      <c r="C1416" s="1186"/>
      <c r="D1416" s="1186"/>
      <c r="E1416" s="1186"/>
      <c r="F1416" s="1177"/>
      <c r="G1416" s="1253" t="s">
        <v>104</v>
      </c>
      <c r="H1416" s="1177"/>
      <c r="I1416" s="1181">
        <f>SUM(I1410:I1415)</f>
        <v>16</v>
      </c>
      <c r="J1416" s="1184" t="s">
        <v>3471</v>
      </c>
    </row>
    <row r="1417" spans="1:10" s="1209" customFormat="1" ht="110.25">
      <c r="A1417" s="1182">
        <v>77.400000000000006</v>
      </c>
      <c r="B1417" s="1200" t="s">
        <v>3545</v>
      </c>
      <c r="C1417" s="1186"/>
      <c r="D1417" s="1186"/>
      <c r="E1417" s="1186"/>
      <c r="F1417" s="1177"/>
      <c r="G1417" s="1177"/>
      <c r="H1417" s="1177"/>
      <c r="I1417" s="1178"/>
      <c r="J1417" s="1184"/>
    </row>
    <row r="1418" spans="1:10" s="1209" customFormat="1">
      <c r="A1418" s="1185"/>
      <c r="B1418" s="1199" t="s">
        <v>3372</v>
      </c>
      <c r="C1418" s="1186">
        <v>1</v>
      </c>
      <c r="D1418" s="1186" t="s">
        <v>3364</v>
      </c>
      <c r="E1418" s="1186">
        <v>2</v>
      </c>
      <c r="F1418" s="1177">
        <v>8</v>
      </c>
      <c r="G1418" s="1177"/>
      <c r="H1418" s="1177"/>
      <c r="I1418" s="1278">
        <f t="shared" ref="I1418:I1423" si="83">PRODUCT(C1418:H1418)</f>
        <v>16</v>
      </c>
      <c r="J1418" s="1184"/>
    </row>
    <row r="1419" spans="1:10" s="1209" customFormat="1">
      <c r="A1419" s="1185"/>
      <c r="B1419" s="1199" t="s">
        <v>6842</v>
      </c>
      <c r="C1419" s="1186">
        <v>1</v>
      </c>
      <c r="D1419" s="1186" t="s">
        <v>3364</v>
      </c>
      <c r="E1419" s="1186">
        <v>2</v>
      </c>
      <c r="F1419" s="1177">
        <v>8</v>
      </c>
      <c r="G1419" s="1177"/>
      <c r="H1419" s="1177"/>
      <c r="I1419" s="1278">
        <f t="shared" si="83"/>
        <v>16</v>
      </c>
      <c r="J1419" s="1184"/>
    </row>
    <row r="1420" spans="1:10" s="1209" customFormat="1">
      <c r="A1420" s="1185"/>
      <c r="B1420" s="1199" t="s">
        <v>3645</v>
      </c>
      <c r="C1420" s="1186">
        <v>1</v>
      </c>
      <c r="D1420" s="1186" t="s">
        <v>3364</v>
      </c>
      <c r="E1420" s="1186">
        <v>2</v>
      </c>
      <c r="F1420" s="1177">
        <v>8</v>
      </c>
      <c r="G1420" s="1177"/>
      <c r="H1420" s="1177"/>
      <c r="I1420" s="1278">
        <f t="shared" si="83"/>
        <v>16</v>
      </c>
      <c r="J1420" s="1184"/>
    </row>
    <row r="1421" spans="1:10" s="1209" customFormat="1">
      <c r="A1421" s="1185"/>
      <c r="B1421" s="1199" t="s">
        <v>6826</v>
      </c>
      <c r="C1421" s="1186">
        <v>1</v>
      </c>
      <c r="D1421" s="1186" t="s">
        <v>3364</v>
      </c>
      <c r="E1421" s="1186">
        <v>2</v>
      </c>
      <c r="F1421" s="1177">
        <v>8</v>
      </c>
      <c r="G1421" s="1177"/>
      <c r="H1421" s="1177"/>
      <c r="I1421" s="1278">
        <f t="shared" si="83"/>
        <v>16</v>
      </c>
      <c r="J1421" s="1184"/>
    </row>
    <row r="1422" spans="1:10" s="1209" customFormat="1">
      <c r="A1422" s="1185"/>
      <c r="B1422" s="1199" t="s">
        <v>6840</v>
      </c>
      <c r="C1422" s="1186">
        <v>3</v>
      </c>
      <c r="D1422" s="1186" t="s">
        <v>3364</v>
      </c>
      <c r="E1422" s="1186">
        <v>2</v>
      </c>
      <c r="F1422" s="1177">
        <v>8</v>
      </c>
      <c r="G1422" s="1177"/>
      <c r="H1422" s="1177"/>
      <c r="I1422" s="1278">
        <f t="shared" si="83"/>
        <v>48</v>
      </c>
      <c r="J1422" s="1184"/>
    </row>
    <row r="1423" spans="1:10" s="1209" customFormat="1" ht="17.25" customHeight="1">
      <c r="A1423" s="1185"/>
      <c r="B1423" s="1199" t="s">
        <v>3494</v>
      </c>
      <c r="C1423" s="1186">
        <v>1</v>
      </c>
      <c r="D1423" s="1186" t="s">
        <v>3364</v>
      </c>
      <c r="E1423" s="1186">
        <v>2</v>
      </c>
      <c r="F1423" s="1177">
        <v>8</v>
      </c>
      <c r="G1423" s="1177"/>
      <c r="H1423" s="1177"/>
      <c r="I1423" s="1278">
        <f t="shared" si="83"/>
        <v>16</v>
      </c>
      <c r="J1423" s="1184"/>
    </row>
    <row r="1424" spans="1:10" s="1209" customFormat="1">
      <c r="A1424" s="1185"/>
      <c r="B1424" s="1199"/>
      <c r="C1424" s="1186"/>
      <c r="D1424" s="1186"/>
      <c r="E1424" s="1186"/>
      <c r="F1424" s="1177"/>
      <c r="G1424" s="1177"/>
      <c r="H1424" s="1177"/>
      <c r="I1424" s="1181">
        <f>SUM(I1418:I1423)</f>
        <v>128</v>
      </c>
      <c r="J1424" s="1184" t="s">
        <v>13</v>
      </c>
    </row>
    <row r="1425" spans="1:14" s="1212" customFormat="1" ht="31.5">
      <c r="A1425" s="1302">
        <v>78</v>
      </c>
      <c r="B1425" s="1187" t="s">
        <v>3546</v>
      </c>
      <c r="C1425" s="1303"/>
      <c r="D1425" s="1303"/>
      <c r="E1425" s="1303"/>
      <c r="F1425" s="1253"/>
      <c r="G1425" s="1253"/>
      <c r="H1425" s="1253"/>
      <c r="I1425" s="1181"/>
      <c r="J1425" s="1184"/>
      <c r="L1425" s="1209"/>
      <c r="M1425" s="1209"/>
      <c r="N1425" s="1209"/>
    </row>
    <row r="1426" spans="1:14" s="1209" customFormat="1">
      <c r="A1426" s="1182"/>
      <c r="B1426" s="1200" t="s">
        <v>6847</v>
      </c>
      <c r="C1426" s="1186">
        <v>1</v>
      </c>
      <c r="D1426" s="1186" t="s">
        <v>3364</v>
      </c>
      <c r="E1426" s="1186">
        <v>2</v>
      </c>
      <c r="F1426" s="1177"/>
      <c r="G1426" s="1177"/>
      <c r="H1426" s="1177"/>
      <c r="I1426" s="1183">
        <f t="shared" ref="I1426:I1431" si="84">PRODUCT(C1426:H1426)</f>
        <v>2</v>
      </c>
      <c r="J1426" s="1184" t="s">
        <v>3471</v>
      </c>
    </row>
    <row r="1427" spans="1:14" s="1196" customFormat="1" hidden="1">
      <c r="A1427" s="1182">
        <v>79.2</v>
      </c>
      <c r="B1427" s="1203" t="s">
        <v>6848</v>
      </c>
      <c r="C1427" s="1186"/>
      <c r="D1427" s="1186"/>
      <c r="E1427" s="1186"/>
      <c r="F1427" s="1177"/>
      <c r="G1427" s="1177"/>
      <c r="H1427" s="1177"/>
      <c r="I1427" s="1178"/>
      <c r="J1427" s="1184"/>
    </row>
    <row r="1428" spans="1:14" s="1196" customFormat="1" hidden="1">
      <c r="A1428" s="1182"/>
      <c r="B1428" s="1201" t="s">
        <v>6849</v>
      </c>
      <c r="C1428" s="1186">
        <v>1</v>
      </c>
      <c r="D1428" s="1186" t="s">
        <v>3364</v>
      </c>
      <c r="E1428" s="1186">
        <v>1</v>
      </c>
      <c r="F1428" s="1177"/>
      <c r="G1428" s="1177"/>
      <c r="H1428" s="1177"/>
      <c r="I1428" s="1183">
        <f t="shared" si="84"/>
        <v>1</v>
      </c>
      <c r="J1428" s="1184" t="s">
        <v>3471</v>
      </c>
    </row>
    <row r="1429" spans="1:14" s="1196" customFormat="1" hidden="1">
      <c r="A1429" s="1182"/>
      <c r="B1429" s="1201"/>
      <c r="C1429" s="1186"/>
      <c r="D1429" s="1186"/>
      <c r="E1429" s="1186"/>
      <c r="F1429" s="1177"/>
      <c r="G1429" s="1177"/>
      <c r="H1429" s="1177"/>
      <c r="I1429" s="1178"/>
      <c r="J1429" s="1184"/>
    </row>
    <row r="1430" spans="1:14" s="1209" customFormat="1" ht="126">
      <c r="A1430" s="1182">
        <v>80</v>
      </c>
      <c r="B1430" s="1200" t="s">
        <v>3547</v>
      </c>
      <c r="C1430" s="1186"/>
      <c r="D1430" s="1186"/>
      <c r="E1430" s="1186"/>
      <c r="F1430" s="1177"/>
      <c r="G1430" s="1177"/>
      <c r="H1430" s="1177"/>
      <c r="I1430" s="1178"/>
      <c r="J1430" s="1184"/>
    </row>
    <row r="1431" spans="1:14" s="1209" customFormat="1">
      <c r="A1431" s="1182"/>
      <c r="B1431" s="1200" t="s">
        <v>3548</v>
      </c>
      <c r="C1431" s="1186">
        <v>2</v>
      </c>
      <c r="D1431" s="1186" t="s">
        <v>3364</v>
      </c>
      <c r="E1431" s="1186">
        <v>1</v>
      </c>
      <c r="F1431" s="1177"/>
      <c r="G1431" s="1177"/>
      <c r="H1431" s="1177"/>
      <c r="I1431" s="1183">
        <f t="shared" si="84"/>
        <v>2</v>
      </c>
      <c r="J1431" s="1184" t="s">
        <v>3471</v>
      </c>
    </row>
    <row r="1432" spans="1:14" s="1209" customFormat="1" ht="94.5">
      <c r="A1432" s="1182">
        <v>86</v>
      </c>
      <c r="B1432" s="1252" t="s">
        <v>3549</v>
      </c>
      <c r="C1432" s="1186"/>
      <c r="D1432" s="1186"/>
      <c r="E1432" s="1186"/>
      <c r="F1432" s="1177"/>
      <c r="G1432" s="1177"/>
      <c r="H1432" s="1177"/>
      <c r="I1432" s="1178"/>
      <c r="J1432" s="1184"/>
    </row>
    <row r="1433" spans="1:14" s="1209" customFormat="1">
      <c r="A1433" s="1185"/>
      <c r="B1433" s="1199" t="s">
        <v>3550</v>
      </c>
      <c r="C1433" s="1186">
        <v>1</v>
      </c>
      <c r="D1433" s="1186" t="s">
        <v>3364</v>
      </c>
      <c r="E1433" s="1186">
        <v>1</v>
      </c>
      <c r="F1433" s="1177">
        <v>35.271999999999998</v>
      </c>
      <c r="G1433" s="1177">
        <v>13.202</v>
      </c>
      <c r="H1433" s="1177"/>
      <c r="I1433" s="1278">
        <f>PRODUCT(C1433:H1433)</f>
        <v>465.66</v>
      </c>
      <c r="J1433" s="1184"/>
    </row>
    <row r="1434" spans="1:14" s="1209" customFormat="1">
      <c r="A1434" s="1185"/>
      <c r="B1434" s="1199"/>
      <c r="C1434" s="1186">
        <v>1</v>
      </c>
      <c r="D1434" s="1186" t="s">
        <v>3364</v>
      </c>
      <c r="E1434" s="1186">
        <v>1</v>
      </c>
      <c r="F1434" s="1177">
        <v>2.9249999999999998</v>
      </c>
      <c r="G1434" s="1177">
        <v>25.558</v>
      </c>
      <c r="H1434" s="1177"/>
      <c r="I1434" s="1278">
        <f>PRODUCT(C1434:H1434)</f>
        <v>74.760000000000005</v>
      </c>
      <c r="J1434" s="1184"/>
    </row>
    <row r="1435" spans="1:14" s="1209" customFormat="1">
      <c r="A1435" s="1185"/>
      <c r="B1435" s="1199"/>
      <c r="C1435" s="1186"/>
      <c r="D1435" s="1186"/>
      <c r="E1435" s="1186"/>
      <c r="F1435" s="1177"/>
      <c r="G1435" s="1177"/>
      <c r="H1435" s="1177"/>
      <c r="I1435" s="1278">
        <f>SUM(I1433:I1434)</f>
        <v>540.41999999999996</v>
      </c>
      <c r="J1435" s="1184"/>
    </row>
    <row r="1436" spans="1:14" s="1209" customFormat="1">
      <c r="A1436" s="1185"/>
      <c r="B1436" s="1199"/>
      <c r="C1436" s="1186"/>
      <c r="D1436" s="1186"/>
      <c r="E1436" s="1186"/>
      <c r="F1436" s="1177"/>
      <c r="G1436" s="1253"/>
      <c r="H1436" s="1253" t="s">
        <v>2981</v>
      </c>
      <c r="I1436" s="1181">
        <f>CEILING(I1435,0.1)</f>
        <v>540.5</v>
      </c>
      <c r="J1436" s="1184" t="s">
        <v>724</v>
      </c>
    </row>
    <row r="1437" spans="1:14" s="1209" customFormat="1" ht="31.5">
      <c r="A1437" s="1182">
        <v>112.1</v>
      </c>
      <c r="B1437" s="1200" t="s">
        <v>3551</v>
      </c>
      <c r="C1437" s="1186"/>
      <c r="D1437" s="1186"/>
      <c r="E1437" s="1186"/>
      <c r="F1437" s="1177"/>
      <c r="G1437" s="1177"/>
      <c r="H1437" s="1177"/>
      <c r="I1437" s="1178"/>
      <c r="J1437" s="1184"/>
    </row>
    <row r="1438" spans="1:14" s="1209" customFormat="1">
      <c r="A1438" s="1182"/>
      <c r="B1438" s="1200" t="s">
        <v>6850</v>
      </c>
      <c r="C1438" s="1186">
        <v>1</v>
      </c>
      <c r="D1438" s="1186" t="s">
        <v>3364</v>
      </c>
      <c r="E1438" s="1186">
        <v>30</v>
      </c>
      <c r="F1438" s="1177"/>
      <c r="G1438" s="1177"/>
      <c r="H1438" s="1177"/>
      <c r="I1438" s="1278">
        <f>PRODUCT(C1438:H1438)</f>
        <v>30</v>
      </c>
      <c r="J1438" s="1184"/>
    </row>
    <row r="1439" spans="1:14" s="1209" customFormat="1">
      <c r="A1439" s="1185"/>
      <c r="B1439" s="1199"/>
      <c r="C1439" s="1186"/>
      <c r="D1439" s="1186"/>
      <c r="E1439" s="1186"/>
      <c r="F1439" s="1177"/>
      <c r="G1439" s="1177"/>
      <c r="H1439" s="1253"/>
      <c r="I1439" s="1181">
        <f>SUM(I1438:I1438)</f>
        <v>30</v>
      </c>
      <c r="J1439" s="1184" t="s">
        <v>41</v>
      </c>
    </row>
    <row r="1440" spans="1:14" s="1209" customFormat="1">
      <c r="A1440" s="1185">
        <v>238.1</v>
      </c>
      <c r="B1440" s="1252" t="s">
        <v>6851</v>
      </c>
      <c r="C1440" s="1186"/>
      <c r="D1440" s="1186"/>
      <c r="E1440" s="1186"/>
      <c r="F1440" s="1177"/>
      <c r="G1440" s="1177"/>
      <c r="H1440" s="1253"/>
      <c r="I1440" s="1181"/>
      <c r="J1440" s="1184"/>
    </row>
    <row r="1441" spans="1:11" s="1209" customFormat="1">
      <c r="A1441" s="1185"/>
      <c r="B1441" s="1199" t="s">
        <v>6852</v>
      </c>
      <c r="C1441" s="1186"/>
      <c r="D1441" s="1186"/>
      <c r="E1441" s="1186"/>
      <c r="F1441" s="1304">
        <f>I851</f>
        <v>9210.7000000000007</v>
      </c>
      <c r="G1441" s="1177"/>
      <c r="H1441" s="1253"/>
      <c r="I1441" s="1181">
        <f>F1441/1000</f>
        <v>9.2100000000000009</v>
      </c>
      <c r="J1441" s="1184"/>
    </row>
    <row r="1442" spans="1:11" s="1209" customFormat="1">
      <c r="A1442" s="1185"/>
      <c r="B1442" s="1199"/>
      <c r="C1442" s="1186"/>
      <c r="D1442" s="1186"/>
      <c r="E1442" s="1186"/>
      <c r="F1442" s="1177"/>
      <c r="G1442" s="1177"/>
      <c r="H1442" s="1253"/>
      <c r="I1442" s="1181">
        <f>CEILING(I1441,0.1)</f>
        <v>9.3000000000000007</v>
      </c>
      <c r="J1442" s="1184" t="s">
        <v>11</v>
      </c>
    </row>
    <row r="1443" spans="1:11" s="1209" customFormat="1" ht="31.5">
      <c r="A1443" s="1185">
        <v>238</v>
      </c>
      <c r="B1443" s="1252" t="s">
        <v>3552</v>
      </c>
      <c r="C1443" s="1186"/>
      <c r="D1443" s="1186"/>
      <c r="E1443" s="1186"/>
      <c r="F1443" s="1177"/>
      <c r="G1443" s="1177"/>
      <c r="H1443" s="1177"/>
      <c r="I1443" s="1178"/>
      <c r="J1443" s="1184"/>
    </row>
    <row r="1444" spans="1:11" s="1209" customFormat="1">
      <c r="A1444" s="1185"/>
      <c r="B1444" s="1199" t="s">
        <v>3553</v>
      </c>
      <c r="C1444" s="1186"/>
      <c r="D1444" s="1186"/>
      <c r="E1444" s="1186"/>
      <c r="F1444" s="1177"/>
      <c r="G1444" s="1177"/>
      <c r="H1444" s="1177"/>
      <c r="I1444" s="1305">
        <f>I2479</f>
        <v>82.525000000000006</v>
      </c>
      <c r="J1444" s="1184" t="s">
        <v>122</v>
      </c>
    </row>
    <row r="1445" spans="1:11" s="1209" customFormat="1">
      <c r="A1445" s="1185"/>
      <c r="B1445" s="1199"/>
      <c r="C1445" s="1186"/>
      <c r="D1445" s="1186"/>
      <c r="E1445" s="1186"/>
      <c r="F1445" s="1177"/>
      <c r="G1445" s="1177"/>
      <c r="H1445" s="1177"/>
      <c r="I1445" s="1178"/>
      <c r="J1445" s="1184"/>
    </row>
    <row r="1446" spans="1:11" s="1197" customFormat="1">
      <c r="A1446" s="1182"/>
      <c r="B1446" s="1187" t="s">
        <v>3554</v>
      </c>
      <c r="C1446" s="1186"/>
      <c r="D1446" s="1186"/>
      <c r="E1446" s="1186"/>
      <c r="F1446" s="1177"/>
      <c r="G1446" s="1177"/>
      <c r="H1446" s="1177"/>
      <c r="I1446" s="1178"/>
      <c r="J1446" s="1184"/>
    </row>
    <row r="1447" spans="1:11" s="1209" customFormat="1" ht="126">
      <c r="A1447" s="1182">
        <v>8.1999999999999993</v>
      </c>
      <c r="B1447" s="1200" t="s">
        <v>3376</v>
      </c>
      <c r="C1447" s="1251"/>
      <c r="D1447" s="1251"/>
      <c r="E1447" s="1251"/>
      <c r="F1447" s="1177"/>
      <c r="G1447" s="1177"/>
      <c r="H1447" s="1177"/>
      <c r="I1447" s="1178"/>
      <c r="J1447" s="1179"/>
    </row>
    <row r="1448" spans="1:11" s="1209" customFormat="1">
      <c r="A1448" s="1182"/>
      <c r="B1448" s="1187" t="s">
        <v>3377</v>
      </c>
      <c r="C1448" s="1251"/>
      <c r="D1448" s="1251"/>
      <c r="E1448" s="1251"/>
      <c r="F1448" s="1177"/>
      <c r="G1448" s="1177"/>
      <c r="H1448" s="1177"/>
      <c r="I1448" s="1178"/>
      <c r="J1448" s="1179"/>
    </row>
    <row r="1449" spans="1:11" s="1209" customFormat="1">
      <c r="A1449" s="1176"/>
      <c r="B1449" s="1199" t="s">
        <v>6521</v>
      </c>
      <c r="C1449" s="1251">
        <v>1</v>
      </c>
      <c r="D1449" s="1251" t="s">
        <v>3364</v>
      </c>
      <c r="E1449" s="1251">
        <v>8</v>
      </c>
      <c r="F1449" s="1177">
        <f>2.5</f>
        <v>2.5</v>
      </c>
      <c r="G1449" s="1177">
        <f>2.5</f>
        <v>2.5</v>
      </c>
      <c r="H1449" s="1177">
        <v>0.6</v>
      </c>
      <c r="I1449" s="1178">
        <f t="shared" ref="I1449:I1454" si="85">PRODUCT(C1449:H1449)</f>
        <v>30</v>
      </c>
      <c r="J1449" s="1179"/>
    </row>
    <row r="1450" spans="1:11" s="1209" customFormat="1" ht="16.5" customHeight="1">
      <c r="A1450" s="1176"/>
      <c r="B1450" s="1199" t="s">
        <v>6522</v>
      </c>
      <c r="C1450" s="1251">
        <v>1</v>
      </c>
      <c r="D1450" s="1251" t="s">
        <v>3364</v>
      </c>
      <c r="E1450" s="1251">
        <v>2</v>
      </c>
      <c r="F1450" s="1177">
        <f>2.7</f>
        <v>2.7</v>
      </c>
      <c r="G1450" s="1177">
        <f>2.7</f>
        <v>2.7</v>
      </c>
      <c r="H1450" s="1177">
        <v>0.6</v>
      </c>
      <c r="I1450" s="1178">
        <f t="shared" si="85"/>
        <v>8.75</v>
      </c>
      <c r="J1450" s="1179"/>
    </row>
    <row r="1451" spans="1:11" s="1209" customFormat="1">
      <c r="A1451" s="1176"/>
      <c r="B1451" s="1199" t="s">
        <v>6523</v>
      </c>
      <c r="C1451" s="1251">
        <v>1</v>
      </c>
      <c r="D1451" s="1251" t="s">
        <v>3364</v>
      </c>
      <c r="E1451" s="1251">
        <v>13</v>
      </c>
      <c r="F1451" s="1177">
        <f>3.25</f>
        <v>3.25</v>
      </c>
      <c r="G1451" s="1177">
        <f>3.25</f>
        <v>3.25</v>
      </c>
      <c r="H1451" s="1177">
        <v>0.6</v>
      </c>
      <c r="I1451" s="1178">
        <f t="shared" si="85"/>
        <v>82.39</v>
      </c>
      <c r="J1451" s="1179"/>
    </row>
    <row r="1452" spans="1:11" s="1209" customFormat="1">
      <c r="A1452" s="1176"/>
      <c r="B1452" s="1199" t="s">
        <v>6524</v>
      </c>
      <c r="C1452" s="1251">
        <v>1</v>
      </c>
      <c r="D1452" s="1251" t="s">
        <v>3364</v>
      </c>
      <c r="E1452" s="1251">
        <v>3</v>
      </c>
      <c r="F1452" s="1177">
        <f>3.3</f>
        <v>3.3</v>
      </c>
      <c r="G1452" s="1177">
        <f>3.3</f>
        <v>3.3</v>
      </c>
      <c r="H1452" s="1177">
        <v>0.6</v>
      </c>
      <c r="I1452" s="1178">
        <f t="shared" si="85"/>
        <v>19.600000000000001</v>
      </c>
      <c r="J1452" s="1179"/>
    </row>
    <row r="1453" spans="1:11" s="1209" customFormat="1">
      <c r="A1453" s="1176"/>
      <c r="B1453" s="1199" t="s">
        <v>6956</v>
      </c>
      <c r="C1453" s="1251">
        <v>1</v>
      </c>
      <c r="D1453" s="1251" t="s">
        <v>3364</v>
      </c>
      <c r="E1453" s="1251">
        <v>5</v>
      </c>
      <c r="F1453" s="1177">
        <f>3.45</f>
        <v>3.45</v>
      </c>
      <c r="G1453" s="1177">
        <f>3.45</f>
        <v>3.45</v>
      </c>
      <c r="H1453" s="1177">
        <v>0.6</v>
      </c>
      <c r="I1453" s="1178">
        <f t="shared" si="85"/>
        <v>35.71</v>
      </c>
      <c r="J1453" s="1179"/>
    </row>
    <row r="1454" spans="1:11" s="1209" customFormat="1">
      <c r="A1454" s="1176"/>
      <c r="B1454" s="1199" t="s">
        <v>6957</v>
      </c>
      <c r="C1454" s="1251">
        <v>1</v>
      </c>
      <c r="D1454" s="1251" t="s">
        <v>3364</v>
      </c>
      <c r="E1454" s="1251">
        <v>1</v>
      </c>
      <c r="F1454" s="1177">
        <f>2.165+0.23+0.6+0.6</f>
        <v>3.5950000000000002</v>
      </c>
      <c r="G1454" s="1177">
        <f>2.82+0.23+0.6+0.6</f>
        <v>4.25</v>
      </c>
      <c r="H1454" s="1177">
        <v>0.45</v>
      </c>
      <c r="I1454" s="1178">
        <f t="shared" si="85"/>
        <v>6.88</v>
      </c>
      <c r="J1454" s="1179"/>
      <c r="K1454" s="1209">
        <f>1.65+0.45+0.1+0.2</f>
        <v>2.4</v>
      </c>
    </row>
    <row r="1455" spans="1:11" s="1209" customFormat="1">
      <c r="A1455" s="1176"/>
      <c r="B1455" s="1199" t="s">
        <v>6963</v>
      </c>
      <c r="C1455" s="1251"/>
      <c r="D1455" s="1251"/>
      <c r="E1455" s="1251"/>
      <c r="F1455" s="1177"/>
      <c r="G1455" s="1177"/>
      <c r="H1455" s="1177"/>
      <c r="I1455" s="1178"/>
      <c r="J1455" s="1179"/>
    </row>
    <row r="1456" spans="1:11" s="1209" customFormat="1">
      <c r="A1456" s="1176"/>
      <c r="B1456" s="1252" t="s">
        <v>6959</v>
      </c>
      <c r="C1456" s="1251">
        <v>1</v>
      </c>
      <c r="D1456" s="1251" t="s">
        <v>3364</v>
      </c>
      <c r="E1456" s="1251">
        <v>2</v>
      </c>
      <c r="F1456" s="1177">
        <f>35.215+0.23</f>
        <v>35.445</v>
      </c>
      <c r="G1456" s="1177">
        <v>0.23</v>
      </c>
      <c r="H1456" s="1177">
        <v>0.4</v>
      </c>
      <c r="I1456" s="1178">
        <f>PRODUCT(C1456:H1456)</f>
        <v>6.52</v>
      </c>
      <c r="J1456" s="1179"/>
    </row>
    <row r="1457" spans="1:14" s="1209" customFormat="1">
      <c r="A1457" s="1176"/>
      <c r="B1457" s="1252" t="s">
        <v>6958</v>
      </c>
      <c r="C1457" s="1251">
        <v>1</v>
      </c>
      <c r="D1457" s="1251" t="s">
        <v>3364</v>
      </c>
      <c r="E1457" s="1251">
        <v>1</v>
      </c>
      <c r="F1457" s="1177">
        <v>26.745000000000001</v>
      </c>
      <c r="G1457" s="1177">
        <v>0.23</v>
      </c>
      <c r="H1457" s="1177">
        <v>0.4</v>
      </c>
      <c r="I1457" s="1178">
        <f>PRODUCT(C1457:H1457)</f>
        <v>2.46</v>
      </c>
      <c r="J1457" s="1179"/>
    </row>
    <row r="1458" spans="1:14" s="1209" customFormat="1">
      <c r="A1458" s="1176"/>
      <c r="B1458" s="1252" t="s">
        <v>6960</v>
      </c>
      <c r="C1458" s="1251">
        <v>1</v>
      </c>
      <c r="D1458" s="1251" t="s">
        <v>3364</v>
      </c>
      <c r="E1458" s="1251">
        <v>1</v>
      </c>
      <c r="F1458" s="1177">
        <v>8.4700000000000006</v>
      </c>
      <c r="G1458" s="1177">
        <v>0.23</v>
      </c>
      <c r="H1458" s="1177">
        <v>0.4</v>
      </c>
      <c r="I1458" s="1178">
        <f>PRODUCT(C1458:H1458)</f>
        <v>0.78</v>
      </c>
      <c r="J1458" s="1179"/>
    </row>
    <row r="1459" spans="1:14" s="1209" customFormat="1">
      <c r="A1459" s="1176"/>
      <c r="B1459" s="1252" t="s">
        <v>6961</v>
      </c>
      <c r="C1459" s="1251">
        <v>1</v>
      </c>
      <c r="D1459" s="1251" t="s">
        <v>3364</v>
      </c>
      <c r="E1459" s="1251">
        <v>1</v>
      </c>
      <c r="F1459" s="1177">
        <v>25.335000000000001</v>
      </c>
      <c r="G1459" s="1177">
        <v>0.23</v>
      </c>
      <c r="H1459" s="1177">
        <v>0.4</v>
      </c>
      <c r="I1459" s="1178">
        <f>PRODUCT(C1459:H1459)</f>
        <v>2.33</v>
      </c>
      <c r="J1459" s="1179"/>
    </row>
    <row r="1460" spans="1:14" s="1209" customFormat="1">
      <c r="A1460" s="1176"/>
      <c r="B1460" s="1199" t="s">
        <v>6962</v>
      </c>
      <c r="C1460" s="1251"/>
      <c r="D1460" s="1251"/>
      <c r="E1460" s="1251"/>
      <c r="F1460" s="1177"/>
      <c r="G1460" s="1177"/>
      <c r="H1460" s="1177"/>
      <c r="I1460" s="1178"/>
      <c r="J1460" s="1179"/>
    </row>
    <row r="1461" spans="1:14" s="1209" customFormat="1">
      <c r="A1461" s="1176"/>
      <c r="B1461" s="1252" t="s">
        <v>6972</v>
      </c>
      <c r="C1461" s="1251">
        <v>1</v>
      </c>
      <c r="D1461" s="1251" t="s">
        <v>3364</v>
      </c>
      <c r="E1461" s="1251">
        <v>2</v>
      </c>
      <c r="F1461" s="1177">
        <v>13.08</v>
      </c>
      <c r="G1461" s="1177">
        <v>0.23</v>
      </c>
      <c r="H1461" s="1177">
        <v>0.4</v>
      </c>
      <c r="I1461" s="1178">
        <f t="shared" ref="I1461:I1472" si="86">PRODUCT(C1461:H1461)</f>
        <v>2.41</v>
      </c>
      <c r="J1461" s="1179"/>
    </row>
    <row r="1462" spans="1:14" s="1209" customFormat="1">
      <c r="A1462" s="1176"/>
      <c r="B1462" s="1252" t="s">
        <v>6973</v>
      </c>
      <c r="C1462" s="1251">
        <v>1</v>
      </c>
      <c r="D1462" s="1251" t="s">
        <v>3364</v>
      </c>
      <c r="E1462" s="1251">
        <v>5</v>
      </c>
      <c r="F1462" s="1177">
        <f>15.9+0.23</f>
        <v>16.13</v>
      </c>
      <c r="G1462" s="1177">
        <v>0.23</v>
      </c>
      <c r="H1462" s="1177">
        <v>0.4</v>
      </c>
      <c r="I1462" s="1178">
        <f t="shared" si="86"/>
        <v>7.42</v>
      </c>
      <c r="J1462" s="1179"/>
    </row>
    <row r="1463" spans="1:14" s="1209" customFormat="1">
      <c r="A1463" s="1176"/>
      <c r="B1463" s="1252" t="s">
        <v>6974</v>
      </c>
      <c r="C1463" s="1251">
        <v>1</v>
      </c>
      <c r="D1463" s="1251" t="s">
        <v>3364</v>
      </c>
      <c r="E1463" s="1251">
        <v>1</v>
      </c>
      <c r="F1463" s="1177">
        <v>12.67</v>
      </c>
      <c r="G1463" s="1177">
        <v>0.23</v>
      </c>
      <c r="H1463" s="1177">
        <v>0.4</v>
      </c>
      <c r="I1463" s="1178">
        <f t="shared" si="86"/>
        <v>1.17</v>
      </c>
      <c r="J1463" s="1179"/>
    </row>
    <row r="1464" spans="1:14" s="1209" customFormat="1">
      <c r="A1464" s="1176"/>
      <c r="B1464" s="1252" t="s">
        <v>6975</v>
      </c>
      <c r="C1464" s="1251">
        <v>1</v>
      </c>
      <c r="D1464" s="1251" t="s">
        <v>3364</v>
      </c>
      <c r="E1464" s="1251">
        <v>2</v>
      </c>
      <c r="F1464" s="1177">
        <v>2.82</v>
      </c>
      <c r="G1464" s="1177">
        <v>0.23</v>
      </c>
      <c r="H1464" s="1177">
        <v>0.4</v>
      </c>
      <c r="I1464" s="1178">
        <f t="shared" si="86"/>
        <v>0.52</v>
      </c>
      <c r="J1464" s="1179"/>
      <c r="K1464" s="1209">
        <f>1.75+0.9</f>
        <v>2.65</v>
      </c>
    </row>
    <row r="1465" spans="1:14" s="1212" customFormat="1">
      <c r="A1465" s="1273"/>
      <c r="B1465" s="1306" t="s">
        <v>6526</v>
      </c>
      <c r="C1465" s="1307">
        <v>4</v>
      </c>
      <c r="D1465" s="1307" t="s">
        <v>3364</v>
      </c>
      <c r="E1465" s="1307">
        <v>1</v>
      </c>
      <c r="F1465" s="1308">
        <v>0.3</v>
      </c>
      <c r="G1465" s="1308">
        <v>0.23</v>
      </c>
      <c r="H1465" s="1308">
        <f>1.95+1</f>
        <v>2.95</v>
      </c>
      <c r="I1465" s="1178">
        <f t="shared" si="86"/>
        <v>0.81</v>
      </c>
      <c r="J1465" s="1179"/>
      <c r="L1465" s="1209"/>
      <c r="M1465" s="1209"/>
      <c r="N1465" s="1209"/>
    </row>
    <row r="1466" spans="1:14" s="1212" customFormat="1">
      <c r="A1466" s="1273"/>
      <c r="B1466" s="1306" t="s">
        <v>6527</v>
      </c>
      <c r="C1466" s="1307">
        <v>6</v>
      </c>
      <c r="D1466" s="1307" t="s">
        <v>3364</v>
      </c>
      <c r="E1466" s="1307">
        <v>1</v>
      </c>
      <c r="F1466" s="1308">
        <v>0.38</v>
      </c>
      <c r="G1466" s="1308">
        <v>0.23</v>
      </c>
      <c r="H1466" s="1308">
        <f t="shared" ref="H1466:H1472" si="87">1.95+1</f>
        <v>2.95</v>
      </c>
      <c r="I1466" s="1178">
        <f t="shared" si="86"/>
        <v>1.55</v>
      </c>
      <c r="J1466" s="1179"/>
      <c r="L1466" s="1209"/>
      <c r="M1466" s="1209"/>
      <c r="N1466" s="1209"/>
    </row>
    <row r="1467" spans="1:14" s="1212" customFormat="1">
      <c r="A1467" s="1273"/>
      <c r="B1467" s="1306" t="s">
        <v>6976</v>
      </c>
      <c r="C1467" s="1307">
        <v>2</v>
      </c>
      <c r="D1467" s="1307" t="s">
        <v>3364</v>
      </c>
      <c r="E1467" s="1307">
        <v>1</v>
      </c>
      <c r="F1467" s="1308">
        <v>0.38</v>
      </c>
      <c r="G1467" s="1308">
        <v>0.23</v>
      </c>
      <c r="H1467" s="1308">
        <f t="shared" si="87"/>
        <v>2.95</v>
      </c>
      <c r="I1467" s="1178">
        <f t="shared" si="86"/>
        <v>0.52</v>
      </c>
      <c r="J1467" s="1179"/>
      <c r="L1467" s="1209"/>
      <c r="M1467" s="1209"/>
      <c r="N1467" s="1209"/>
    </row>
    <row r="1468" spans="1:14" s="1212" customFormat="1">
      <c r="A1468" s="1273"/>
      <c r="B1468" s="1306" t="s">
        <v>6977</v>
      </c>
      <c r="C1468" s="1307">
        <v>3</v>
      </c>
      <c r="D1468" s="1307" t="s">
        <v>3364</v>
      </c>
      <c r="E1468" s="1307">
        <v>1</v>
      </c>
      <c r="F1468" s="1308">
        <v>0.45</v>
      </c>
      <c r="G1468" s="1308">
        <v>0.23</v>
      </c>
      <c r="H1468" s="1308">
        <f t="shared" si="87"/>
        <v>2.95</v>
      </c>
      <c r="I1468" s="1178">
        <f t="shared" si="86"/>
        <v>0.92</v>
      </c>
      <c r="J1468" s="1179"/>
      <c r="L1468" s="1209"/>
      <c r="M1468" s="1209"/>
      <c r="N1468" s="1209"/>
    </row>
    <row r="1469" spans="1:14" s="1212" customFormat="1">
      <c r="A1469" s="1273"/>
      <c r="B1469" s="1306" t="s">
        <v>6978</v>
      </c>
      <c r="C1469" s="1307">
        <v>3</v>
      </c>
      <c r="D1469" s="1307" t="s">
        <v>3364</v>
      </c>
      <c r="E1469" s="1307">
        <v>1</v>
      </c>
      <c r="F1469" s="1308">
        <v>0.45</v>
      </c>
      <c r="G1469" s="1308">
        <v>0.23</v>
      </c>
      <c r="H1469" s="1308">
        <f t="shared" si="87"/>
        <v>2.95</v>
      </c>
      <c r="I1469" s="1178">
        <f t="shared" si="86"/>
        <v>0.92</v>
      </c>
      <c r="J1469" s="1179"/>
      <c r="L1469" s="1209"/>
      <c r="M1469" s="1209"/>
      <c r="N1469" s="1209"/>
    </row>
    <row r="1470" spans="1:14" s="1212" customFormat="1">
      <c r="A1470" s="1273"/>
      <c r="B1470" s="1306" t="s">
        <v>6979</v>
      </c>
      <c r="C1470" s="1307">
        <v>5</v>
      </c>
      <c r="D1470" s="1307" t="s">
        <v>3364</v>
      </c>
      <c r="E1470" s="1307">
        <v>1</v>
      </c>
      <c r="F1470" s="1308">
        <v>0.45</v>
      </c>
      <c r="G1470" s="1308">
        <v>0.3</v>
      </c>
      <c r="H1470" s="1308">
        <f t="shared" si="87"/>
        <v>2.95</v>
      </c>
      <c r="I1470" s="1178">
        <f t="shared" si="86"/>
        <v>1.99</v>
      </c>
      <c r="J1470" s="1179"/>
      <c r="L1470" s="1209"/>
      <c r="M1470" s="1209"/>
      <c r="N1470" s="1209"/>
    </row>
    <row r="1471" spans="1:14" s="1212" customFormat="1">
      <c r="A1471" s="1273"/>
      <c r="B1471" s="1306" t="s">
        <v>6980</v>
      </c>
      <c r="C1471" s="1307">
        <v>4</v>
      </c>
      <c r="D1471" s="1307" t="s">
        <v>3364</v>
      </c>
      <c r="E1471" s="1307">
        <v>1</v>
      </c>
      <c r="F1471" s="1308">
        <v>0.45</v>
      </c>
      <c r="G1471" s="1308">
        <v>0.3</v>
      </c>
      <c r="H1471" s="1308">
        <f t="shared" si="87"/>
        <v>2.95</v>
      </c>
      <c r="I1471" s="1178">
        <f t="shared" si="86"/>
        <v>1.59</v>
      </c>
      <c r="J1471" s="1179"/>
      <c r="L1471" s="1209"/>
      <c r="M1471" s="1209"/>
      <c r="N1471" s="1209"/>
    </row>
    <row r="1472" spans="1:14" s="1212" customFormat="1">
      <c r="A1472" s="1273"/>
      <c r="B1472" s="1306" t="s">
        <v>6981</v>
      </c>
      <c r="C1472" s="1307">
        <v>8</v>
      </c>
      <c r="D1472" s="1307" t="s">
        <v>3364</v>
      </c>
      <c r="E1472" s="1307">
        <v>1</v>
      </c>
      <c r="F1472" s="1308">
        <v>0.45</v>
      </c>
      <c r="G1472" s="1308">
        <v>0.3</v>
      </c>
      <c r="H1472" s="1308">
        <f t="shared" si="87"/>
        <v>2.95</v>
      </c>
      <c r="I1472" s="1178">
        <f t="shared" si="86"/>
        <v>3.19</v>
      </c>
      <c r="J1472" s="1179"/>
      <c r="L1472" s="1209"/>
      <c r="M1472" s="1209"/>
      <c r="N1472" s="1209"/>
    </row>
    <row r="1473" spans="1:14" s="1212" customFormat="1">
      <c r="A1473" s="1273"/>
      <c r="B1473" s="1202"/>
      <c r="C1473" s="1274"/>
      <c r="D1473" s="1274"/>
      <c r="E1473" s="1274"/>
      <c r="F1473" s="1253"/>
      <c r="G1473" s="1253"/>
      <c r="H1473" s="1253"/>
      <c r="I1473" s="1181">
        <f>SUM(I1449:I1472)</f>
        <v>218.43</v>
      </c>
      <c r="J1473" s="1179"/>
      <c r="L1473" s="1209"/>
      <c r="M1473" s="1209"/>
      <c r="N1473" s="1209"/>
    </row>
    <row r="1474" spans="1:14" s="1212" customFormat="1">
      <c r="A1474" s="1273"/>
      <c r="B1474" s="1202"/>
      <c r="C1474" s="1274"/>
      <c r="D1474" s="1274"/>
      <c r="E1474" s="1274"/>
      <c r="F1474" s="1253"/>
      <c r="G1474" s="1253"/>
      <c r="H1474" s="1253" t="s">
        <v>2981</v>
      </c>
      <c r="I1474" s="1181">
        <f>CEILING(I1473,0.1)</f>
        <v>218.5</v>
      </c>
      <c r="J1474" s="1179" t="s">
        <v>5</v>
      </c>
      <c r="L1474" s="1209"/>
      <c r="M1474" s="1209"/>
      <c r="N1474" s="1209"/>
    </row>
    <row r="1475" spans="1:14" s="1212" customFormat="1">
      <c r="A1475" s="1273"/>
      <c r="B1475" s="1202" t="s">
        <v>5368</v>
      </c>
      <c r="C1475" s="1274"/>
      <c r="D1475" s="1274"/>
      <c r="E1475" s="1274"/>
      <c r="F1475" s="1253"/>
      <c r="G1475" s="1253"/>
      <c r="H1475" s="1253"/>
      <c r="I1475" s="1181"/>
      <c r="J1475" s="1179"/>
      <c r="L1475" s="1209"/>
      <c r="M1475" s="1209"/>
      <c r="N1475" s="1209"/>
    </row>
    <row r="1476" spans="1:14" s="1212" customFormat="1">
      <c r="A1476" s="1273"/>
      <c r="B1476" s="1306" t="s">
        <v>6526</v>
      </c>
      <c r="C1476" s="1307">
        <v>4</v>
      </c>
      <c r="D1476" s="1307" t="s">
        <v>3364</v>
      </c>
      <c r="E1476" s="1307">
        <v>1</v>
      </c>
      <c r="F1476" s="1308">
        <v>0.3</v>
      </c>
      <c r="G1476" s="1308">
        <v>0.23</v>
      </c>
      <c r="H1476" s="1308">
        <v>2.65</v>
      </c>
      <c r="I1476" s="1178">
        <f t="shared" ref="I1476:I1499" si="88">PRODUCT(C1476:H1476)</f>
        <v>0.73</v>
      </c>
      <c r="J1476" s="1179"/>
      <c r="L1476" s="1209"/>
      <c r="M1476" s="1209"/>
      <c r="N1476" s="1209"/>
    </row>
    <row r="1477" spans="1:14" s="1212" customFormat="1">
      <c r="A1477" s="1273"/>
      <c r="B1477" s="1306" t="s">
        <v>6527</v>
      </c>
      <c r="C1477" s="1307">
        <v>6</v>
      </c>
      <c r="D1477" s="1307" t="s">
        <v>3364</v>
      </c>
      <c r="E1477" s="1307">
        <v>1</v>
      </c>
      <c r="F1477" s="1308">
        <v>0.38</v>
      </c>
      <c r="G1477" s="1308">
        <v>0.23</v>
      </c>
      <c r="H1477" s="1308">
        <v>2.65</v>
      </c>
      <c r="I1477" s="1178">
        <f t="shared" si="88"/>
        <v>1.39</v>
      </c>
      <c r="J1477" s="1179"/>
      <c r="L1477" s="1209"/>
      <c r="M1477" s="1209"/>
      <c r="N1477" s="1209"/>
    </row>
    <row r="1478" spans="1:14" s="1212" customFormat="1">
      <c r="A1478" s="1273"/>
      <c r="B1478" s="1306" t="s">
        <v>6976</v>
      </c>
      <c r="C1478" s="1307">
        <v>2</v>
      </c>
      <c r="D1478" s="1307" t="s">
        <v>3364</v>
      </c>
      <c r="E1478" s="1307">
        <v>1</v>
      </c>
      <c r="F1478" s="1308">
        <v>0.38</v>
      </c>
      <c r="G1478" s="1308">
        <v>0.23</v>
      </c>
      <c r="H1478" s="1308">
        <v>2.65</v>
      </c>
      <c r="I1478" s="1178">
        <f t="shared" si="88"/>
        <v>0.46</v>
      </c>
      <c r="J1478" s="1179"/>
      <c r="L1478" s="1209"/>
      <c r="M1478" s="1209"/>
      <c r="N1478" s="1209"/>
    </row>
    <row r="1479" spans="1:14" s="1212" customFormat="1">
      <c r="A1479" s="1273"/>
      <c r="B1479" s="1306" t="s">
        <v>6977</v>
      </c>
      <c r="C1479" s="1307">
        <v>3</v>
      </c>
      <c r="D1479" s="1307" t="s">
        <v>3364</v>
      </c>
      <c r="E1479" s="1307">
        <v>1</v>
      </c>
      <c r="F1479" s="1308">
        <v>0.45</v>
      </c>
      <c r="G1479" s="1308">
        <v>0.23</v>
      </c>
      <c r="H1479" s="1308">
        <v>2.65</v>
      </c>
      <c r="I1479" s="1178">
        <f t="shared" si="88"/>
        <v>0.82</v>
      </c>
      <c r="J1479" s="1179"/>
      <c r="L1479" s="1209"/>
      <c r="M1479" s="1209"/>
      <c r="N1479" s="1209"/>
    </row>
    <row r="1480" spans="1:14" s="1212" customFormat="1">
      <c r="A1480" s="1273"/>
      <c r="B1480" s="1306" t="s">
        <v>6978</v>
      </c>
      <c r="C1480" s="1307">
        <v>3</v>
      </c>
      <c r="D1480" s="1307" t="s">
        <v>3364</v>
      </c>
      <c r="E1480" s="1307">
        <v>1</v>
      </c>
      <c r="F1480" s="1308">
        <v>0.45</v>
      </c>
      <c r="G1480" s="1308">
        <v>0.23</v>
      </c>
      <c r="H1480" s="1308">
        <v>2.65</v>
      </c>
      <c r="I1480" s="1178">
        <f t="shared" si="88"/>
        <v>0.82</v>
      </c>
      <c r="J1480" s="1179"/>
      <c r="L1480" s="1209"/>
      <c r="M1480" s="1209"/>
      <c r="N1480" s="1209"/>
    </row>
    <row r="1481" spans="1:14" s="1212" customFormat="1">
      <c r="A1481" s="1273"/>
      <c r="B1481" s="1306" t="s">
        <v>6979</v>
      </c>
      <c r="C1481" s="1307">
        <v>5</v>
      </c>
      <c r="D1481" s="1307" t="s">
        <v>3364</v>
      </c>
      <c r="E1481" s="1307">
        <v>1</v>
      </c>
      <c r="F1481" s="1308">
        <v>0.45</v>
      </c>
      <c r="G1481" s="1308">
        <v>0.3</v>
      </c>
      <c r="H1481" s="1308">
        <v>2.65</v>
      </c>
      <c r="I1481" s="1178">
        <f t="shared" si="88"/>
        <v>1.79</v>
      </c>
      <c r="J1481" s="1179"/>
      <c r="L1481" s="1209"/>
      <c r="M1481" s="1209"/>
      <c r="N1481" s="1209"/>
    </row>
    <row r="1482" spans="1:14" s="1212" customFormat="1">
      <c r="A1482" s="1273"/>
      <c r="B1482" s="1306" t="s">
        <v>6980</v>
      </c>
      <c r="C1482" s="1307">
        <v>4</v>
      </c>
      <c r="D1482" s="1307" t="s">
        <v>3364</v>
      </c>
      <c r="E1482" s="1307">
        <v>1</v>
      </c>
      <c r="F1482" s="1308">
        <v>0.45</v>
      </c>
      <c r="G1482" s="1308">
        <v>0.3</v>
      </c>
      <c r="H1482" s="1308">
        <v>2.65</v>
      </c>
      <c r="I1482" s="1178">
        <f t="shared" si="88"/>
        <v>1.43</v>
      </c>
      <c r="J1482" s="1179"/>
      <c r="L1482" s="1209"/>
      <c r="M1482" s="1209"/>
      <c r="N1482" s="1209"/>
    </row>
    <row r="1483" spans="1:14" s="1212" customFormat="1">
      <c r="A1483" s="1273"/>
      <c r="B1483" s="1306" t="s">
        <v>6981</v>
      </c>
      <c r="C1483" s="1307">
        <v>8</v>
      </c>
      <c r="D1483" s="1307" t="s">
        <v>3364</v>
      </c>
      <c r="E1483" s="1307">
        <v>1</v>
      </c>
      <c r="F1483" s="1308">
        <v>0.45</v>
      </c>
      <c r="G1483" s="1308">
        <v>0.3</v>
      </c>
      <c r="H1483" s="1308">
        <v>2.65</v>
      </c>
      <c r="I1483" s="1178">
        <f t="shared" si="88"/>
        <v>2.86</v>
      </c>
      <c r="J1483" s="1179"/>
      <c r="L1483" s="1209"/>
      <c r="M1483" s="1209"/>
      <c r="N1483" s="1209"/>
    </row>
    <row r="1484" spans="1:14" s="1212" customFormat="1">
      <c r="A1484" s="1273"/>
      <c r="B1484" s="1306" t="s">
        <v>3381</v>
      </c>
      <c r="C1484" s="1307">
        <v>1</v>
      </c>
      <c r="D1484" s="1307" t="s">
        <v>3364</v>
      </c>
      <c r="E1484" s="1307">
        <v>3</v>
      </c>
      <c r="F1484" s="1308">
        <v>17</v>
      </c>
      <c r="G1484" s="1308">
        <v>0.23</v>
      </c>
      <c r="H1484" s="1308">
        <v>0.45</v>
      </c>
      <c r="I1484" s="1309">
        <f t="shared" si="88"/>
        <v>5.28</v>
      </c>
      <c r="J1484" s="1179"/>
      <c r="L1484" s="1209"/>
      <c r="M1484" s="1209"/>
      <c r="N1484" s="1209"/>
    </row>
    <row r="1485" spans="1:14" s="1212" customFormat="1" ht="31.5">
      <c r="A1485" s="1273"/>
      <c r="B1485" s="1310" t="s">
        <v>6853</v>
      </c>
      <c r="C1485" s="1307"/>
      <c r="D1485" s="1307"/>
      <c r="E1485" s="1307"/>
      <c r="F1485" s="1308"/>
      <c r="G1485" s="1308"/>
      <c r="H1485" s="1308"/>
      <c r="I1485" s="1309">
        <f t="shared" si="88"/>
        <v>0</v>
      </c>
      <c r="J1485" s="1179"/>
      <c r="L1485" s="1209"/>
      <c r="M1485" s="1209"/>
      <c r="N1485" s="1209"/>
    </row>
    <row r="1486" spans="1:14" s="1212" customFormat="1">
      <c r="A1486" s="1273"/>
      <c r="B1486" s="1306" t="s">
        <v>3561</v>
      </c>
      <c r="C1486" s="1307">
        <v>1</v>
      </c>
      <c r="D1486" s="1307" t="s">
        <v>3364</v>
      </c>
      <c r="E1486" s="1307">
        <v>1</v>
      </c>
      <c r="F1486" s="1308">
        <v>9.6</v>
      </c>
      <c r="G1486" s="1308">
        <v>17</v>
      </c>
      <c r="H1486" s="1308">
        <v>0.125</v>
      </c>
      <c r="I1486" s="1309">
        <f t="shared" si="88"/>
        <v>20.399999999999999</v>
      </c>
      <c r="J1486" s="1179"/>
      <c r="L1486" s="1209"/>
      <c r="M1486" s="1209"/>
      <c r="N1486" s="1209"/>
    </row>
    <row r="1487" spans="1:14" s="1212" customFormat="1">
      <c r="A1487" s="1273"/>
      <c r="B1487" s="1306" t="s">
        <v>3382</v>
      </c>
      <c r="C1487" s="1307">
        <v>1</v>
      </c>
      <c r="D1487" s="1307" t="s">
        <v>3364</v>
      </c>
      <c r="E1487" s="1307">
        <v>1</v>
      </c>
      <c r="F1487" s="1308">
        <v>12.12</v>
      </c>
      <c r="G1487" s="1308">
        <f>0.46+8.82</f>
        <v>9.2799999999999994</v>
      </c>
      <c r="H1487" s="1308">
        <v>0.125</v>
      </c>
      <c r="I1487" s="1309">
        <f t="shared" si="88"/>
        <v>14.06</v>
      </c>
      <c r="J1487" s="1179"/>
      <c r="L1487" s="1209"/>
      <c r="M1487" s="1209"/>
      <c r="N1487" s="1209"/>
    </row>
    <row r="1488" spans="1:14" s="1212" customFormat="1">
      <c r="A1488" s="1273"/>
      <c r="B1488" s="1306" t="s">
        <v>3562</v>
      </c>
      <c r="C1488" s="1307">
        <v>1</v>
      </c>
      <c r="D1488" s="1307" t="s">
        <v>3364</v>
      </c>
      <c r="E1488" s="1307">
        <v>1</v>
      </c>
      <c r="F1488" s="1308">
        <v>4.46</v>
      </c>
      <c r="G1488" s="1308">
        <f>0.46+2.5+1.8+0.23</f>
        <v>4.99</v>
      </c>
      <c r="H1488" s="1308">
        <v>0.125</v>
      </c>
      <c r="I1488" s="1309">
        <f t="shared" si="88"/>
        <v>2.78</v>
      </c>
      <c r="J1488" s="1179"/>
      <c r="L1488" s="1209"/>
      <c r="M1488" s="1209"/>
      <c r="N1488" s="1209"/>
    </row>
    <row r="1489" spans="1:14" s="1212" customFormat="1">
      <c r="A1489" s="1273"/>
      <c r="B1489" s="1306" t="s">
        <v>3383</v>
      </c>
      <c r="C1489" s="1307">
        <v>-1</v>
      </c>
      <c r="D1489" s="1307" t="s">
        <v>3364</v>
      </c>
      <c r="E1489" s="1307">
        <v>1</v>
      </c>
      <c r="F1489" s="1308">
        <v>3</v>
      </c>
      <c r="G1489" s="1308">
        <f>8.82-1.5</f>
        <v>7.32</v>
      </c>
      <c r="H1489" s="1308">
        <v>0.125</v>
      </c>
      <c r="I1489" s="1309">
        <f t="shared" si="88"/>
        <v>-2.75</v>
      </c>
      <c r="J1489" s="1179"/>
      <c r="L1489" s="1209"/>
      <c r="M1489" s="1209"/>
      <c r="N1489" s="1209"/>
    </row>
    <row r="1490" spans="1:14" s="1212" customFormat="1">
      <c r="A1490" s="1273"/>
      <c r="B1490" s="1306" t="s">
        <v>3563</v>
      </c>
      <c r="C1490" s="1307">
        <v>1</v>
      </c>
      <c r="D1490" s="1307" t="s">
        <v>3364</v>
      </c>
      <c r="E1490" s="1307">
        <v>3</v>
      </c>
      <c r="F1490" s="1308">
        <v>17</v>
      </c>
      <c r="G1490" s="1308">
        <v>0.23</v>
      </c>
      <c r="H1490" s="1308">
        <f t="shared" ref="H1490:H1495" si="89">0.45-0.125</f>
        <v>0.32500000000000001</v>
      </c>
      <c r="I1490" s="1309">
        <f t="shared" si="88"/>
        <v>3.81</v>
      </c>
      <c r="J1490" s="1179"/>
      <c r="L1490" s="1209"/>
      <c r="M1490" s="1209"/>
      <c r="N1490" s="1209"/>
    </row>
    <row r="1491" spans="1:14" s="1212" customFormat="1">
      <c r="A1491" s="1273"/>
      <c r="B1491" s="1306" t="s">
        <v>3384</v>
      </c>
      <c r="C1491" s="1307">
        <v>1</v>
      </c>
      <c r="D1491" s="1307" t="s">
        <v>3364</v>
      </c>
      <c r="E1491" s="1307">
        <v>4</v>
      </c>
      <c r="F1491" s="1308">
        <v>9.6</v>
      </c>
      <c r="G1491" s="1308">
        <v>0.23</v>
      </c>
      <c r="H1491" s="1308">
        <f t="shared" si="89"/>
        <v>0.32500000000000001</v>
      </c>
      <c r="I1491" s="1309">
        <f t="shared" si="88"/>
        <v>2.87</v>
      </c>
      <c r="J1491" s="1179"/>
      <c r="L1491" s="1209"/>
      <c r="M1491" s="1209"/>
      <c r="N1491" s="1209"/>
    </row>
    <row r="1492" spans="1:14" s="1212" customFormat="1">
      <c r="A1492" s="1273"/>
      <c r="B1492" s="1306" t="s">
        <v>3385</v>
      </c>
      <c r="C1492" s="1307">
        <v>1</v>
      </c>
      <c r="D1492" s="1307" t="s">
        <v>3364</v>
      </c>
      <c r="E1492" s="1307">
        <v>1</v>
      </c>
      <c r="F1492" s="1308">
        <f>0.46+4.14+8.97+0.23</f>
        <v>13.8</v>
      </c>
      <c r="G1492" s="1308">
        <v>0.23</v>
      </c>
      <c r="H1492" s="1308">
        <f t="shared" si="89"/>
        <v>0.32500000000000001</v>
      </c>
      <c r="I1492" s="1309">
        <f t="shared" si="88"/>
        <v>1.03</v>
      </c>
      <c r="J1492" s="1179"/>
      <c r="L1492" s="1209"/>
      <c r="M1492" s="1209"/>
      <c r="N1492" s="1209"/>
    </row>
    <row r="1493" spans="1:14" s="1212" customFormat="1">
      <c r="A1493" s="1273"/>
      <c r="B1493" s="1306" t="s">
        <v>3386</v>
      </c>
      <c r="C1493" s="1307">
        <v>1</v>
      </c>
      <c r="D1493" s="1307" t="s">
        <v>3364</v>
      </c>
      <c r="E1493" s="1307">
        <v>2</v>
      </c>
      <c r="F1493" s="1308">
        <f>0.46+8.82</f>
        <v>9.2799999999999994</v>
      </c>
      <c r="G1493" s="1308">
        <v>0.23</v>
      </c>
      <c r="H1493" s="1308">
        <f t="shared" si="89"/>
        <v>0.32500000000000001</v>
      </c>
      <c r="I1493" s="1309">
        <f t="shared" si="88"/>
        <v>1.39</v>
      </c>
      <c r="J1493" s="1179"/>
      <c r="L1493" s="1209"/>
      <c r="M1493" s="1209"/>
      <c r="N1493" s="1209"/>
    </row>
    <row r="1494" spans="1:14" s="1212" customFormat="1">
      <c r="A1494" s="1273"/>
      <c r="B1494" s="1306" t="s">
        <v>3388</v>
      </c>
      <c r="C1494" s="1307">
        <v>1</v>
      </c>
      <c r="D1494" s="1307" t="s">
        <v>3364</v>
      </c>
      <c r="E1494" s="1307">
        <v>1</v>
      </c>
      <c r="F1494" s="1308">
        <f>2.3+0.46+2.5</f>
        <v>5.26</v>
      </c>
      <c r="G1494" s="1308">
        <v>0.23</v>
      </c>
      <c r="H1494" s="1308">
        <f t="shared" si="89"/>
        <v>0.32500000000000001</v>
      </c>
      <c r="I1494" s="1309">
        <f t="shared" si="88"/>
        <v>0.39</v>
      </c>
      <c r="J1494" s="1179"/>
      <c r="L1494" s="1209"/>
      <c r="M1494" s="1209"/>
      <c r="N1494" s="1209"/>
    </row>
    <row r="1495" spans="1:14" s="1212" customFormat="1">
      <c r="A1495" s="1273"/>
      <c r="B1495" s="1306" t="s">
        <v>3389</v>
      </c>
      <c r="C1495" s="1307">
        <v>1</v>
      </c>
      <c r="D1495" s="1307" t="s">
        <v>3364</v>
      </c>
      <c r="E1495" s="1307">
        <v>1</v>
      </c>
      <c r="F1495" s="1308">
        <v>4</v>
      </c>
      <c r="G1495" s="1308">
        <v>0.23</v>
      </c>
      <c r="H1495" s="1308">
        <f t="shared" si="89"/>
        <v>0.32500000000000001</v>
      </c>
      <c r="I1495" s="1309">
        <f t="shared" si="88"/>
        <v>0.3</v>
      </c>
      <c r="J1495" s="1179"/>
      <c r="L1495" s="1209"/>
      <c r="M1495" s="1209"/>
      <c r="N1495" s="1209"/>
    </row>
    <row r="1496" spans="1:14" s="1212" customFormat="1">
      <c r="A1496" s="1273"/>
      <c r="B1496" s="1306" t="s">
        <v>3391</v>
      </c>
      <c r="C1496" s="1307">
        <v>1</v>
      </c>
      <c r="D1496" s="1307" t="s">
        <v>3364</v>
      </c>
      <c r="E1496" s="1307">
        <v>1</v>
      </c>
      <c r="F1496" s="1308">
        <v>3</v>
      </c>
      <c r="G1496" s="1308">
        <v>1.5</v>
      </c>
      <c r="H1496" s="1308">
        <v>0.15</v>
      </c>
      <c r="I1496" s="1309">
        <f t="shared" si="88"/>
        <v>0.68</v>
      </c>
      <c r="J1496" s="1179"/>
      <c r="L1496" s="1209"/>
      <c r="M1496" s="1209"/>
      <c r="N1496" s="1209"/>
    </row>
    <row r="1497" spans="1:14" s="1212" customFormat="1">
      <c r="A1497" s="1273"/>
      <c r="B1497" s="1306" t="s">
        <v>3392</v>
      </c>
      <c r="C1497" s="1307">
        <v>1</v>
      </c>
      <c r="D1497" s="1307" t="s">
        <v>3364</v>
      </c>
      <c r="E1497" s="1307">
        <v>1</v>
      </c>
      <c r="F1497" s="1308">
        <v>3.46</v>
      </c>
      <c r="G1497" s="1308">
        <v>0.23</v>
      </c>
      <c r="H1497" s="1308">
        <v>0.45</v>
      </c>
      <c r="I1497" s="1309">
        <f t="shared" si="88"/>
        <v>0.36</v>
      </c>
      <c r="J1497" s="1179"/>
      <c r="L1497" s="1209"/>
      <c r="M1497" s="1209"/>
      <c r="N1497" s="1209"/>
    </row>
    <row r="1498" spans="1:14" s="1212" customFormat="1">
      <c r="A1498" s="1273"/>
      <c r="B1498" s="1306" t="s">
        <v>3393</v>
      </c>
      <c r="C1498" s="1311">
        <v>0.5</v>
      </c>
      <c r="D1498" s="1307" t="s">
        <v>3364</v>
      </c>
      <c r="E1498" s="1307">
        <v>22</v>
      </c>
      <c r="F1498" s="1308">
        <v>1.35</v>
      </c>
      <c r="G1498" s="1308">
        <v>0.3</v>
      </c>
      <c r="H1498" s="1308">
        <v>0.15</v>
      </c>
      <c r="I1498" s="1309">
        <f t="shared" si="88"/>
        <v>0.67</v>
      </c>
      <c r="J1498" s="1179"/>
      <c r="L1498" s="1209"/>
      <c r="M1498" s="1209"/>
      <c r="N1498" s="1209"/>
    </row>
    <row r="1499" spans="1:14" s="1212" customFormat="1">
      <c r="A1499" s="1273"/>
      <c r="B1499" s="1306" t="s">
        <v>3394</v>
      </c>
      <c r="C1499" s="1307">
        <v>1</v>
      </c>
      <c r="D1499" s="1307" t="s">
        <v>3364</v>
      </c>
      <c r="E1499" s="1307">
        <v>1</v>
      </c>
      <c r="F1499" s="1308">
        <v>6</v>
      </c>
      <c r="G1499" s="1308">
        <v>0.6</v>
      </c>
      <c r="H1499" s="1308">
        <v>0.08</v>
      </c>
      <c r="I1499" s="1309">
        <f t="shared" si="88"/>
        <v>0.28999999999999998</v>
      </c>
      <c r="J1499" s="1179"/>
      <c r="L1499" s="1209"/>
      <c r="M1499" s="1209"/>
      <c r="N1499" s="1209"/>
    </row>
    <row r="1500" spans="1:14" s="1212" customFormat="1">
      <c r="A1500" s="1273"/>
      <c r="B1500" s="1312" t="s">
        <v>3395</v>
      </c>
      <c r="C1500" s="1307"/>
      <c r="D1500" s="1307"/>
      <c r="E1500" s="1307"/>
      <c r="F1500" s="1308"/>
      <c r="G1500" s="1308"/>
      <c r="H1500" s="1308"/>
      <c r="I1500" s="1309"/>
      <c r="J1500" s="1179"/>
      <c r="L1500" s="1209"/>
      <c r="M1500" s="1209"/>
      <c r="N1500" s="1209"/>
    </row>
    <row r="1501" spans="1:14" s="1212" customFormat="1">
      <c r="A1501" s="1273"/>
      <c r="B1501" s="1306" t="s">
        <v>3396</v>
      </c>
      <c r="C1501" s="1307">
        <v>1</v>
      </c>
      <c r="D1501" s="1307" t="s">
        <v>3364</v>
      </c>
      <c r="E1501" s="1307">
        <v>1</v>
      </c>
      <c r="F1501" s="1308">
        <v>1.96</v>
      </c>
      <c r="G1501" s="1308">
        <v>0.23</v>
      </c>
      <c r="H1501" s="1308">
        <v>0.23</v>
      </c>
      <c r="I1501" s="1309">
        <f t="shared" ref="I1501:I1507" si="90">PRODUCT(C1501:H1501)</f>
        <v>0.1</v>
      </c>
      <c r="J1501" s="1179"/>
      <c r="L1501" s="1209"/>
      <c r="M1501" s="1209"/>
      <c r="N1501" s="1209"/>
    </row>
    <row r="1502" spans="1:14" s="1212" customFormat="1">
      <c r="A1502" s="1273"/>
      <c r="B1502" s="1306" t="s">
        <v>3397</v>
      </c>
      <c r="C1502" s="1307">
        <v>1</v>
      </c>
      <c r="D1502" s="1307" t="s">
        <v>3364</v>
      </c>
      <c r="E1502" s="1307">
        <v>2</v>
      </c>
      <c r="F1502" s="1308">
        <f>1+0.46</f>
        <v>1.46</v>
      </c>
      <c r="G1502" s="1308">
        <v>0.23</v>
      </c>
      <c r="H1502" s="1308">
        <v>0.15</v>
      </c>
      <c r="I1502" s="1309">
        <f t="shared" si="90"/>
        <v>0.1</v>
      </c>
      <c r="J1502" s="1179"/>
      <c r="L1502" s="1209"/>
      <c r="M1502" s="1209"/>
      <c r="N1502" s="1209"/>
    </row>
    <row r="1503" spans="1:14" s="1212" customFormat="1">
      <c r="A1503" s="1273"/>
      <c r="B1503" s="1306" t="s">
        <v>3398</v>
      </c>
      <c r="C1503" s="1307">
        <v>1</v>
      </c>
      <c r="D1503" s="1307" t="s">
        <v>3364</v>
      </c>
      <c r="E1503" s="1307">
        <v>2</v>
      </c>
      <c r="F1503" s="1308">
        <v>1.46</v>
      </c>
      <c r="G1503" s="1308">
        <v>0.23</v>
      </c>
      <c r="H1503" s="1308">
        <v>0.15</v>
      </c>
      <c r="I1503" s="1309">
        <f t="shared" si="90"/>
        <v>0.1</v>
      </c>
      <c r="J1503" s="1179"/>
      <c r="L1503" s="1209"/>
      <c r="M1503" s="1209"/>
      <c r="N1503" s="1209"/>
    </row>
    <row r="1504" spans="1:14" s="1212" customFormat="1">
      <c r="A1504" s="1273"/>
      <c r="B1504" s="1306" t="s">
        <v>3399</v>
      </c>
      <c r="C1504" s="1307">
        <v>1</v>
      </c>
      <c r="D1504" s="1307" t="s">
        <v>3364</v>
      </c>
      <c r="E1504" s="1307">
        <v>1</v>
      </c>
      <c r="F1504" s="1308">
        <v>1.46</v>
      </c>
      <c r="G1504" s="1308">
        <v>0.23</v>
      </c>
      <c r="H1504" s="1308">
        <v>0.15</v>
      </c>
      <c r="I1504" s="1309">
        <f t="shared" si="90"/>
        <v>0.05</v>
      </c>
      <c r="J1504" s="1179"/>
      <c r="L1504" s="1209"/>
      <c r="M1504" s="1209"/>
      <c r="N1504" s="1209"/>
    </row>
    <row r="1505" spans="1:14" s="1212" customFormat="1">
      <c r="A1505" s="1273"/>
      <c r="B1505" s="1306" t="s">
        <v>3397</v>
      </c>
      <c r="C1505" s="1307">
        <v>1</v>
      </c>
      <c r="D1505" s="1307" t="s">
        <v>3364</v>
      </c>
      <c r="E1505" s="1307">
        <v>1</v>
      </c>
      <c r="F1505" s="1308">
        <v>1.1100000000000001</v>
      </c>
      <c r="G1505" s="1308">
        <v>0.115</v>
      </c>
      <c r="H1505" s="1308">
        <v>0.15</v>
      </c>
      <c r="I1505" s="1309">
        <f t="shared" si="90"/>
        <v>0.02</v>
      </c>
      <c r="J1505" s="1179"/>
      <c r="L1505" s="1209"/>
      <c r="M1505" s="1209"/>
      <c r="N1505" s="1209"/>
    </row>
    <row r="1506" spans="1:14" s="1212" customFormat="1">
      <c r="A1506" s="1273"/>
      <c r="B1506" s="1306" t="s">
        <v>3400</v>
      </c>
      <c r="C1506" s="1307">
        <v>1</v>
      </c>
      <c r="D1506" s="1307" t="s">
        <v>3364</v>
      </c>
      <c r="E1506" s="1307">
        <v>5</v>
      </c>
      <c r="F1506" s="1308">
        <v>1.96</v>
      </c>
      <c r="G1506" s="1308">
        <v>0.23</v>
      </c>
      <c r="H1506" s="1308">
        <v>0.15</v>
      </c>
      <c r="I1506" s="1309">
        <f t="shared" si="90"/>
        <v>0.34</v>
      </c>
      <c r="J1506" s="1179"/>
      <c r="L1506" s="1209"/>
      <c r="M1506" s="1209"/>
      <c r="N1506" s="1209"/>
    </row>
    <row r="1507" spans="1:14" s="1212" customFormat="1">
      <c r="A1507" s="1273"/>
      <c r="B1507" s="1306" t="s">
        <v>3401</v>
      </c>
      <c r="C1507" s="1307">
        <v>1</v>
      </c>
      <c r="D1507" s="1307" t="s">
        <v>3364</v>
      </c>
      <c r="E1507" s="1307">
        <v>1</v>
      </c>
      <c r="F1507" s="1308">
        <f>0.75+0.46</f>
        <v>1.21</v>
      </c>
      <c r="G1507" s="1308">
        <v>0.23</v>
      </c>
      <c r="H1507" s="1308">
        <v>0.15</v>
      </c>
      <c r="I1507" s="1309">
        <f t="shared" si="90"/>
        <v>0.04</v>
      </c>
      <c r="J1507" s="1179"/>
      <c r="L1507" s="1209"/>
      <c r="M1507" s="1209"/>
      <c r="N1507" s="1209"/>
    </row>
    <row r="1508" spans="1:14" s="1212" customFormat="1">
      <c r="A1508" s="1273"/>
      <c r="B1508" s="1306" t="s">
        <v>3402</v>
      </c>
      <c r="C1508" s="1307"/>
      <c r="D1508" s="1307"/>
      <c r="E1508" s="1307"/>
      <c r="F1508" s="1308"/>
      <c r="G1508" s="1308"/>
      <c r="H1508" s="1308"/>
      <c r="I1508" s="1309"/>
      <c r="J1508" s="1179"/>
      <c r="L1508" s="1209"/>
      <c r="M1508" s="1209"/>
      <c r="N1508" s="1209"/>
    </row>
    <row r="1509" spans="1:14" s="1212" customFormat="1">
      <c r="A1509" s="1273"/>
      <c r="B1509" s="1306" t="s">
        <v>3400</v>
      </c>
      <c r="C1509" s="1307">
        <v>1</v>
      </c>
      <c r="D1509" s="1307" t="s">
        <v>3364</v>
      </c>
      <c r="E1509" s="1307">
        <v>5</v>
      </c>
      <c r="F1509" s="1308">
        <v>1.96</v>
      </c>
      <c r="G1509" s="1308">
        <v>0.23</v>
      </c>
      <c r="H1509" s="1308">
        <v>0.05</v>
      </c>
      <c r="I1509" s="1309">
        <f>PRODUCT(C1509:H1509)</f>
        <v>0.11</v>
      </c>
      <c r="J1509" s="1179"/>
      <c r="L1509" s="1209"/>
      <c r="M1509" s="1209"/>
      <c r="N1509" s="1209"/>
    </row>
    <row r="1510" spans="1:14" s="1212" customFormat="1">
      <c r="A1510" s="1273"/>
      <c r="B1510" s="1306" t="s">
        <v>3403</v>
      </c>
      <c r="C1510" s="1307">
        <v>1</v>
      </c>
      <c r="D1510" s="1307" t="s">
        <v>3364</v>
      </c>
      <c r="E1510" s="1307">
        <v>5</v>
      </c>
      <c r="F1510" s="1308">
        <v>1.96</v>
      </c>
      <c r="G1510" s="1308">
        <v>0.6</v>
      </c>
      <c r="H1510" s="1308">
        <v>0.08</v>
      </c>
      <c r="I1510" s="1309">
        <f>PRODUCT(C1510:H1510)</f>
        <v>0.47</v>
      </c>
      <c r="J1510" s="1179"/>
      <c r="L1510" s="1209"/>
      <c r="M1510" s="1209"/>
      <c r="N1510" s="1209"/>
    </row>
    <row r="1511" spans="1:14" s="1212" customFormat="1">
      <c r="A1511" s="1273"/>
      <c r="B1511" s="1306"/>
      <c r="C1511" s="1307"/>
      <c r="D1511" s="1307"/>
      <c r="E1511" s="1307"/>
      <c r="F1511" s="1308"/>
      <c r="G1511" s="1308"/>
      <c r="H1511" s="1308"/>
      <c r="I1511" s="1309">
        <f>SUM(I1476:I1510)</f>
        <v>63.19</v>
      </c>
      <c r="J1511" s="1179"/>
      <c r="L1511" s="1209"/>
      <c r="M1511" s="1209"/>
      <c r="N1511" s="1209"/>
    </row>
    <row r="1512" spans="1:14" s="1212" customFormat="1">
      <c r="A1512" s="1273"/>
      <c r="B1512" s="1202"/>
      <c r="C1512" s="1274"/>
      <c r="D1512" s="1274"/>
      <c r="E1512" s="1274"/>
      <c r="F1512" s="1253"/>
      <c r="G1512" s="1253"/>
      <c r="H1512" s="1253" t="s">
        <v>2981</v>
      </c>
      <c r="I1512" s="1181">
        <f>CEILING(I1511,0.1)</f>
        <v>63.2</v>
      </c>
      <c r="J1512" s="1179" t="s">
        <v>5</v>
      </c>
      <c r="L1512" s="1209"/>
      <c r="M1512" s="1209"/>
      <c r="N1512" s="1209"/>
    </row>
    <row r="1513" spans="1:14" s="1209" customFormat="1">
      <c r="A1513" s="1185"/>
      <c r="B1513" s="1270" t="s">
        <v>7007</v>
      </c>
      <c r="C1513" s="1251"/>
      <c r="D1513" s="1251"/>
      <c r="E1513" s="1251"/>
      <c r="F1513" s="1177"/>
      <c r="G1513" s="1177"/>
      <c r="H1513" s="1177"/>
      <c r="I1513" s="1178"/>
      <c r="J1513" s="1179"/>
    </row>
    <row r="1514" spans="1:14" s="1212" customFormat="1">
      <c r="A1514" s="1273"/>
      <c r="B1514" s="1306" t="s">
        <v>6526</v>
      </c>
      <c r="C1514" s="1307">
        <v>4</v>
      </c>
      <c r="D1514" s="1307" t="s">
        <v>3364</v>
      </c>
      <c r="E1514" s="1307">
        <v>1</v>
      </c>
      <c r="F1514" s="1308">
        <v>0.3</v>
      </c>
      <c r="G1514" s="1308">
        <v>0.23</v>
      </c>
      <c r="H1514" s="1308">
        <v>2.65</v>
      </c>
      <c r="I1514" s="1178">
        <f t="shared" ref="I1514:I1537" si="91">PRODUCT(C1514:H1514)</f>
        <v>0.73</v>
      </c>
      <c r="J1514" s="1179"/>
      <c r="L1514" s="1209"/>
      <c r="M1514" s="1209"/>
      <c r="N1514" s="1209"/>
    </row>
    <row r="1515" spans="1:14" s="1212" customFormat="1">
      <c r="A1515" s="1273"/>
      <c r="B1515" s="1306" t="s">
        <v>6527</v>
      </c>
      <c r="C1515" s="1307">
        <v>6</v>
      </c>
      <c r="D1515" s="1307" t="s">
        <v>3364</v>
      </c>
      <c r="E1515" s="1307">
        <v>1</v>
      </c>
      <c r="F1515" s="1308">
        <v>0.38</v>
      </c>
      <c r="G1515" s="1308">
        <v>0.23</v>
      </c>
      <c r="H1515" s="1308">
        <v>2.65</v>
      </c>
      <c r="I1515" s="1178">
        <f t="shared" si="91"/>
        <v>1.39</v>
      </c>
      <c r="J1515" s="1179"/>
      <c r="L1515" s="1209"/>
      <c r="M1515" s="1209"/>
      <c r="N1515" s="1209"/>
    </row>
    <row r="1516" spans="1:14" s="1212" customFormat="1">
      <c r="A1516" s="1273"/>
      <c r="B1516" s="1306" t="s">
        <v>6976</v>
      </c>
      <c r="C1516" s="1307">
        <v>2</v>
      </c>
      <c r="D1516" s="1307" t="s">
        <v>3364</v>
      </c>
      <c r="E1516" s="1307">
        <v>1</v>
      </c>
      <c r="F1516" s="1308">
        <v>0.38</v>
      </c>
      <c r="G1516" s="1308">
        <v>0.23</v>
      </c>
      <c r="H1516" s="1308">
        <v>2.65</v>
      </c>
      <c r="I1516" s="1178">
        <f t="shared" si="91"/>
        <v>0.46</v>
      </c>
      <c r="J1516" s="1179"/>
      <c r="L1516" s="1209"/>
      <c r="M1516" s="1209"/>
      <c r="N1516" s="1209"/>
    </row>
    <row r="1517" spans="1:14" s="1212" customFormat="1">
      <c r="A1517" s="1273"/>
      <c r="B1517" s="1306" t="s">
        <v>6977</v>
      </c>
      <c r="C1517" s="1307">
        <v>3</v>
      </c>
      <c r="D1517" s="1307" t="s">
        <v>3364</v>
      </c>
      <c r="E1517" s="1307">
        <v>1</v>
      </c>
      <c r="F1517" s="1308">
        <v>0.45</v>
      </c>
      <c r="G1517" s="1308">
        <v>0.23</v>
      </c>
      <c r="H1517" s="1308">
        <v>2.65</v>
      </c>
      <c r="I1517" s="1178">
        <f t="shared" si="91"/>
        <v>0.82</v>
      </c>
      <c r="J1517" s="1179"/>
      <c r="L1517" s="1209"/>
      <c r="M1517" s="1209"/>
      <c r="N1517" s="1209"/>
    </row>
    <row r="1518" spans="1:14" s="1212" customFormat="1">
      <c r="A1518" s="1273"/>
      <c r="B1518" s="1306" t="s">
        <v>6978</v>
      </c>
      <c r="C1518" s="1307">
        <v>3</v>
      </c>
      <c r="D1518" s="1307" t="s">
        <v>3364</v>
      </c>
      <c r="E1518" s="1307">
        <v>1</v>
      </c>
      <c r="F1518" s="1308">
        <v>0.45</v>
      </c>
      <c r="G1518" s="1308">
        <v>0.23</v>
      </c>
      <c r="H1518" s="1308">
        <v>2.65</v>
      </c>
      <c r="I1518" s="1178">
        <f t="shared" si="91"/>
        <v>0.82</v>
      </c>
      <c r="J1518" s="1179"/>
      <c r="L1518" s="1209"/>
      <c r="M1518" s="1209"/>
      <c r="N1518" s="1209"/>
    </row>
    <row r="1519" spans="1:14" s="1212" customFormat="1">
      <c r="A1519" s="1273"/>
      <c r="B1519" s="1306" t="s">
        <v>6979</v>
      </c>
      <c r="C1519" s="1307">
        <v>5</v>
      </c>
      <c r="D1519" s="1307" t="s">
        <v>3364</v>
      </c>
      <c r="E1519" s="1307">
        <v>1</v>
      </c>
      <c r="F1519" s="1308">
        <v>0.45</v>
      </c>
      <c r="G1519" s="1308">
        <v>0.3</v>
      </c>
      <c r="H1519" s="1308">
        <v>2.65</v>
      </c>
      <c r="I1519" s="1178">
        <f t="shared" si="91"/>
        <v>1.79</v>
      </c>
      <c r="J1519" s="1179"/>
      <c r="L1519" s="1209"/>
      <c r="M1519" s="1209"/>
      <c r="N1519" s="1209"/>
    </row>
    <row r="1520" spans="1:14" s="1212" customFormat="1">
      <c r="A1520" s="1273"/>
      <c r="B1520" s="1306" t="s">
        <v>6980</v>
      </c>
      <c r="C1520" s="1307">
        <v>4</v>
      </c>
      <c r="D1520" s="1307" t="s">
        <v>3364</v>
      </c>
      <c r="E1520" s="1307">
        <v>1</v>
      </c>
      <c r="F1520" s="1308">
        <v>0.45</v>
      </c>
      <c r="G1520" s="1308">
        <v>0.3</v>
      </c>
      <c r="H1520" s="1308">
        <v>2.65</v>
      </c>
      <c r="I1520" s="1178">
        <f t="shared" si="91"/>
        <v>1.43</v>
      </c>
      <c r="J1520" s="1179"/>
      <c r="L1520" s="1209"/>
      <c r="M1520" s="1209"/>
      <c r="N1520" s="1209"/>
    </row>
    <row r="1521" spans="1:14" s="1212" customFormat="1">
      <c r="A1521" s="1273"/>
      <c r="B1521" s="1306" t="s">
        <v>6981</v>
      </c>
      <c r="C1521" s="1307">
        <v>8</v>
      </c>
      <c r="D1521" s="1307" t="s">
        <v>3364</v>
      </c>
      <c r="E1521" s="1307">
        <v>1</v>
      </c>
      <c r="F1521" s="1308">
        <v>0.45</v>
      </c>
      <c r="G1521" s="1308">
        <v>0.3</v>
      </c>
      <c r="H1521" s="1308">
        <v>2.65</v>
      </c>
      <c r="I1521" s="1178">
        <f t="shared" si="91"/>
        <v>2.86</v>
      </c>
      <c r="J1521" s="1179"/>
      <c r="L1521" s="1209"/>
      <c r="M1521" s="1209"/>
      <c r="N1521" s="1209"/>
    </row>
    <row r="1522" spans="1:14" s="1209" customFormat="1">
      <c r="A1522" s="1185"/>
      <c r="B1522" s="1310" t="s">
        <v>3413</v>
      </c>
      <c r="C1522" s="1307"/>
      <c r="D1522" s="1307"/>
      <c r="E1522" s="1307"/>
      <c r="F1522" s="1308"/>
      <c r="G1522" s="1308"/>
      <c r="H1522" s="1308"/>
      <c r="I1522" s="1309">
        <f t="shared" si="91"/>
        <v>0</v>
      </c>
      <c r="J1522" s="1179"/>
    </row>
    <row r="1523" spans="1:14" s="1209" customFormat="1">
      <c r="A1523" s="1185"/>
      <c r="B1523" s="1306" t="s">
        <v>3576</v>
      </c>
      <c r="C1523" s="1307">
        <v>1</v>
      </c>
      <c r="D1523" s="1307" t="s">
        <v>3364</v>
      </c>
      <c r="E1523" s="1307">
        <v>1</v>
      </c>
      <c r="F1523" s="1308">
        <v>24.64</v>
      </c>
      <c r="G1523" s="1308">
        <v>17</v>
      </c>
      <c r="H1523" s="1308">
        <v>0.15</v>
      </c>
      <c r="I1523" s="1309">
        <f t="shared" si="91"/>
        <v>62.83</v>
      </c>
      <c r="J1523" s="1179"/>
    </row>
    <row r="1524" spans="1:14" s="1209" customFormat="1">
      <c r="A1524" s="1185"/>
      <c r="B1524" s="1306" t="s">
        <v>3382</v>
      </c>
      <c r="C1524" s="1307">
        <v>1</v>
      </c>
      <c r="D1524" s="1307" t="s">
        <v>3364</v>
      </c>
      <c r="E1524" s="1307">
        <v>1</v>
      </c>
      <c r="F1524" s="1308">
        <v>12.12</v>
      </c>
      <c r="G1524" s="1308">
        <f>0.46+8.82</f>
        <v>9.2799999999999994</v>
      </c>
      <c r="H1524" s="1308">
        <v>0.125</v>
      </c>
      <c r="I1524" s="1309">
        <f t="shared" si="91"/>
        <v>14.06</v>
      </c>
      <c r="J1524" s="1179"/>
    </row>
    <row r="1525" spans="1:14" s="1209" customFormat="1">
      <c r="A1525" s="1185"/>
      <c r="B1525" s="1306" t="s">
        <v>3562</v>
      </c>
      <c r="C1525" s="1307">
        <v>1</v>
      </c>
      <c r="D1525" s="1307" t="s">
        <v>3364</v>
      </c>
      <c r="E1525" s="1307">
        <v>1</v>
      </c>
      <c r="F1525" s="1308">
        <v>4.46</v>
      </c>
      <c r="G1525" s="1308">
        <f>0.46+2.5+1.8+0.23</f>
        <v>4.99</v>
      </c>
      <c r="H1525" s="1308">
        <v>0.125</v>
      </c>
      <c r="I1525" s="1309">
        <f t="shared" si="91"/>
        <v>2.78</v>
      </c>
      <c r="J1525" s="1179"/>
    </row>
    <row r="1526" spans="1:14" s="1209" customFormat="1">
      <c r="A1526" s="1185"/>
      <c r="B1526" s="1306" t="s">
        <v>3383</v>
      </c>
      <c r="C1526" s="1307">
        <v>-1</v>
      </c>
      <c r="D1526" s="1307" t="s">
        <v>3364</v>
      </c>
      <c r="E1526" s="1307">
        <v>1</v>
      </c>
      <c r="F1526" s="1308">
        <v>3</v>
      </c>
      <c r="G1526" s="1308">
        <f>8.82-1.5</f>
        <v>7.32</v>
      </c>
      <c r="H1526" s="1308">
        <v>0.125</v>
      </c>
      <c r="I1526" s="1309">
        <f t="shared" si="91"/>
        <v>-2.75</v>
      </c>
      <c r="J1526" s="1179"/>
    </row>
    <row r="1527" spans="1:14" s="1209" customFormat="1">
      <c r="A1527" s="1185"/>
      <c r="B1527" s="1306" t="s">
        <v>3405</v>
      </c>
      <c r="C1527" s="1307">
        <v>1</v>
      </c>
      <c r="D1527" s="1307" t="s">
        <v>3364</v>
      </c>
      <c r="E1527" s="1307">
        <v>6</v>
      </c>
      <c r="F1527" s="1308">
        <v>17</v>
      </c>
      <c r="G1527" s="1308">
        <v>0.23</v>
      </c>
      <c r="H1527" s="1308">
        <f t="shared" ref="H1527:H1533" si="92">0.45-0.125</f>
        <v>0.32500000000000001</v>
      </c>
      <c r="I1527" s="1309">
        <f t="shared" si="91"/>
        <v>7.62</v>
      </c>
      <c r="J1527" s="1179"/>
    </row>
    <row r="1528" spans="1:14" s="1209" customFormat="1">
      <c r="A1528" s="1185"/>
      <c r="B1528" s="1306" t="s">
        <v>3406</v>
      </c>
      <c r="C1528" s="1307">
        <v>1</v>
      </c>
      <c r="D1528" s="1307" t="s">
        <v>3364</v>
      </c>
      <c r="E1528" s="1307">
        <v>4</v>
      </c>
      <c r="F1528" s="1308">
        <v>24.64</v>
      </c>
      <c r="G1528" s="1308">
        <v>0.23</v>
      </c>
      <c r="H1528" s="1308">
        <f t="shared" si="92"/>
        <v>0.32500000000000001</v>
      </c>
      <c r="I1528" s="1309">
        <f t="shared" si="91"/>
        <v>7.37</v>
      </c>
      <c r="J1528" s="1179"/>
    </row>
    <row r="1529" spans="1:14" s="1209" customFormat="1">
      <c r="A1529" s="1185"/>
      <c r="B1529" s="1306" t="s">
        <v>3385</v>
      </c>
      <c r="C1529" s="1307">
        <v>1</v>
      </c>
      <c r="D1529" s="1307" t="s">
        <v>3364</v>
      </c>
      <c r="E1529" s="1307">
        <v>1</v>
      </c>
      <c r="F1529" s="1308">
        <f>0.46+4.14+8.97+0.23</f>
        <v>13.8</v>
      </c>
      <c r="G1529" s="1308">
        <v>0.23</v>
      </c>
      <c r="H1529" s="1308">
        <f t="shared" si="92"/>
        <v>0.32500000000000001</v>
      </c>
      <c r="I1529" s="1309">
        <f t="shared" si="91"/>
        <v>1.03</v>
      </c>
      <c r="J1529" s="1179"/>
    </row>
    <row r="1530" spans="1:14" s="1209" customFormat="1">
      <c r="A1530" s="1185"/>
      <c r="B1530" s="1306" t="s">
        <v>3386</v>
      </c>
      <c r="C1530" s="1307">
        <v>1</v>
      </c>
      <c r="D1530" s="1307" t="s">
        <v>3364</v>
      </c>
      <c r="E1530" s="1307">
        <v>2</v>
      </c>
      <c r="F1530" s="1308">
        <f>0.46+8.82</f>
        <v>9.2799999999999994</v>
      </c>
      <c r="G1530" s="1308">
        <v>0.23</v>
      </c>
      <c r="H1530" s="1308">
        <f t="shared" si="92"/>
        <v>0.32500000000000001</v>
      </c>
      <c r="I1530" s="1309">
        <f t="shared" si="91"/>
        <v>1.39</v>
      </c>
      <c r="J1530" s="1179"/>
    </row>
    <row r="1531" spans="1:14" s="1209" customFormat="1">
      <c r="A1531" s="1185"/>
      <c r="B1531" s="1306" t="s">
        <v>3387</v>
      </c>
      <c r="C1531" s="1307">
        <v>1</v>
      </c>
      <c r="D1531" s="1307" t="s">
        <v>3364</v>
      </c>
      <c r="E1531" s="1307">
        <v>3</v>
      </c>
      <c r="F1531" s="1308">
        <v>12.12</v>
      </c>
      <c r="G1531" s="1308">
        <v>0.23</v>
      </c>
      <c r="H1531" s="1308">
        <f t="shared" si="92"/>
        <v>0.32500000000000001</v>
      </c>
      <c r="I1531" s="1309">
        <f t="shared" si="91"/>
        <v>2.72</v>
      </c>
      <c r="J1531" s="1179"/>
    </row>
    <row r="1532" spans="1:14" s="1209" customFormat="1">
      <c r="A1532" s="1185"/>
      <c r="B1532" s="1306" t="s">
        <v>3388</v>
      </c>
      <c r="C1532" s="1307">
        <v>1</v>
      </c>
      <c r="D1532" s="1307" t="s">
        <v>3364</v>
      </c>
      <c r="E1532" s="1307">
        <v>1</v>
      </c>
      <c r="F1532" s="1308">
        <f>2.3+0.46+2.5</f>
        <v>5.26</v>
      </c>
      <c r="G1532" s="1308">
        <v>0.23</v>
      </c>
      <c r="H1532" s="1308">
        <f t="shared" si="92"/>
        <v>0.32500000000000001</v>
      </c>
      <c r="I1532" s="1309">
        <f t="shared" si="91"/>
        <v>0.39</v>
      </c>
      <c r="J1532" s="1179"/>
    </row>
    <row r="1533" spans="1:14" s="1209" customFormat="1">
      <c r="A1533" s="1185"/>
      <c r="B1533" s="1306" t="s">
        <v>3389</v>
      </c>
      <c r="C1533" s="1307">
        <v>1</v>
      </c>
      <c r="D1533" s="1307" t="s">
        <v>3364</v>
      </c>
      <c r="E1533" s="1307">
        <v>1</v>
      </c>
      <c r="F1533" s="1308">
        <v>4</v>
      </c>
      <c r="G1533" s="1308">
        <v>0.23</v>
      </c>
      <c r="H1533" s="1308">
        <f t="shared" si="92"/>
        <v>0.32500000000000001</v>
      </c>
      <c r="I1533" s="1309">
        <f t="shared" si="91"/>
        <v>0.3</v>
      </c>
      <c r="J1533" s="1179"/>
    </row>
    <row r="1534" spans="1:14" s="1209" customFormat="1">
      <c r="A1534" s="1185"/>
      <c r="B1534" s="1306" t="s">
        <v>3390</v>
      </c>
      <c r="C1534" s="1307">
        <v>1</v>
      </c>
      <c r="D1534" s="1307" t="s">
        <v>3364</v>
      </c>
      <c r="E1534" s="1307">
        <v>2</v>
      </c>
      <c r="F1534" s="1308">
        <v>7.32</v>
      </c>
      <c r="G1534" s="1308">
        <v>1.5</v>
      </c>
      <c r="H1534" s="1308">
        <v>0.15</v>
      </c>
      <c r="I1534" s="1309">
        <f t="shared" si="91"/>
        <v>3.29</v>
      </c>
      <c r="J1534" s="1179"/>
    </row>
    <row r="1535" spans="1:14" s="1209" customFormat="1">
      <c r="A1535" s="1185"/>
      <c r="B1535" s="1306" t="s">
        <v>3391</v>
      </c>
      <c r="C1535" s="1307">
        <v>1</v>
      </c>
      <c r="D1535" s="1307" t="s">
        <v>3364</v>
      </c>
      <c r="E1535" s="1307">
        <v>1</v>
      </c>
      <c r="F1535" s="1308">
        <v>3</v>
      </c>
      <c r="G1535" s="1308">
        <v>1.5</v>
      </c>
      <c r="H1535" s="1308">
        <v>0.15</v>
      </c>
      <c r="I1535" s="1309">
        <f t="shared" si="91"/>
        <v>0.68</v>
      </c>
      <c r="J1535" s="1179"/>
    </row>
    <row r="1536" spans="1:14" s="1209" customFormat="1">
      <c r="A1536" s="1185"/>
      <c r="B1536" s="1306" t="s">
        <v>3392</v>
      </c>
      <c r="C1536" s="1307">
        <v>1</v>
      </c>
      <c r="D1536" s="1307" t="s">
        <v>3364</v>
      </c>
      <c r="E1536" s="1307">
        <v>1</v>
      </c>
      <c r="F1536" s="1308">
        <v>3.46</v>
      </c>
      <c r="G1536" s="1308">
        <v>0.23</v>
      </c>
      <c r="H1536" s="1308">
        <v>0.45</v>
      </c>
      <c r="I1536" s="1309">
        <f t="shared" si="91"/>
        <v>0.36</v>
      </c>
      <c r="J1536" s="1179"/>
    </row>
    <row r="1537" spans="1:10" s="1209" customFormat="1">
      <c r="A1537" s="1185"/>
      <c r="B1537" s="1306" t="s">
        <v>3393</v>
      </c>
      <c r="C1537" s="1311">
        <v>0.5</v>
      </c>
      <c r="D1537" s="1307" t="s">
        <v>3364</v>
      </c>
      <c r="E1537" s="1307">
        <v>22</v>
      </c>
      <c r="F1537" s="1308">
        <v>1.35</v>
      </c>
      <c r="G1537" s="1308">
        <v>0.3</v>
      </c>
      <c r="H1537" s="1308">
        <v>0.15</v>
      </c>
      <c r="I1537" s="1309">
        <f t="shared" si="91"/>
        <v>0.67</v>
      </c>
      <c r="J1537" s="1179"/>
    </row>
    <row r="1538" spans="1:10" s="1209" customFormat="1">
      <c r="A1538" s="1185"/>
      <c r="B1538" s="1312" t="s">
        <v>3395</v>
      </c>
      <c r="C1538" s="1307"/>
      <c r="D1538" s="1307"/>
      <c r="E1538" s="1307"/>
      <c r="F1538" s="1308"/>
      <c r="G1538" s="1308"/>
      <c r="H1538" s="1308"/>
      <c r="I1538" s="1309"/>
      <c r="J1538" s="1179"/>
    </row>
    <row r="1539" spans="1:10" s="1209" customFormat="1">
      <c r="A1539" s="1185"/>
      <c r="B1539" s="1306" t="s">
        <v>3396</v>
      </c>
      <c r="C1539" s="1307">
        <v>1</v>
      </c>
      <c r="D1539" s="1307" t="s">
        <v>3364</v>
      </c>
      <c r="E1539" s="1307">
        <v>1</v>
      </c>
      <c r="F1539" s="1308">
        <v>1.96</v>
      </c>
      <c r="G1539" s="1308">
        <v>0.23</v>
      </c>
      <c r="H1539" s="1308">
        <v>0.23</v>
      </c>
      <c r="I1539" s="1309">
        <f t="shared" ref="I1539:I1544" si="93">PRODUCT(C1539:H1539)</f>
        <v>0.1</v>
      </c>
      <c r="J1539" s="1179"/>
    </row>
    <row r="1540" spans="1:10" s="1209" customFormat="1">
      <c r="A1540" s="1185"/>
      <c r="B1540" s="1306" t="s">
        <v>3398</v>
      </c>
      <c r="C1540" s="1307">
        <v>1</v>
      </c>
      <c r="D1540" s="1307" t="s">
        <v>3364</v>
      </c>
      <c r="E1540" s="1307">
        <v>3</v>
      </c>
      <c r="F1540" s="1308">
        <v>1.46</v>
      </c>
      <c r="G1540" s="1308">
        <v>0.23</v>
      </c>
      <c r="H1540" s="1308">
        <v>0.15</v>
      </c>
      <c r="I1540" s="1309">
        <f t="shared" si="93"/>
        <v>0.15</v>
      </c>
      <c r="J1540" s="1179"/>
    </row>
    <row r="1541" spans="1:10" s="1209" customFormat="1">
      <c r="A1541" s="1185"/>
      <c r="B1541" s="1306" t="s">
        <v>3399</v>
      </c>
      <c r="C1541" s="1307">
        <v>1</v>
      </c>
      <c r="D1541" s="1307" t="s">
        <v>3364</v>
      </c>
      <c r="E1541" s="1307">
        <v>1</v>
      </c>
      <c r="F1541" s="1308">
        <v>1.46</v>
      </c>
      <c r="G1541" s="1308">
        <v>0.23</v>
      </c>
      <c r="H1541" s="1308">
        <v>0.15</v>
      </c>
      <c r="I1541" s="1309">
        <f t="shared" si="93"/>
        <v>0.05</v>
      </c>
      <c r="J1541" s="1179"/>
    </row>
    <row r="1542" spans="1:10" s="1209" customFormat="1">
      <c r="A1542" s="1185"/>
      <c r="B1542" s="1306" t="s">
        <v>3407</v>
      </c>
      <c r="C1542" s="1307">
        <v>1</v>
      </c>
      <c r="D1542" s="1307" t="s">
        <v>3364</v>
      </c>
      <c r="E1542" s="1307">
        <v>5</v>
      </c>
      <c r="F1542" s="1308">
        <v>1.1100000000000001</v>
      </c>
      <c r="G1542" s="1308">
        <v>0.115</v>
      </c>
      <c r="H1542" s="1308">
        <v>0.15</v>
      </c>
      <c r="I1542" s="1309">
        <f t="shared" si="93"/>
        <v>0.1</v>
      </c>
      <c r="J1542" s="1179"/>
    </row>
    <row r="1543" spans="1:10" s="1209" customFormat="1">
      <c r="A1543" s="1185"/>
      <c r="B1543" s="1306" t="s">
        <v>3400</v>
      </c>
      <c r="C1543" s="1307">
        <v>1</v>
      </c>
      <c r="D1543" s="1307" t="s">
        <v>3364</v>
      </c>
      <c r="E1543" s="1307">
        <v>11</v>
      </c>
      <c r="F1543" s="1308">
        <v>1.96</v>
      </c>
      <c r="G1543" s="1308">
        <v>0.23</v>
      </c>
      <c r="H1543" s="1308">
        <v>0.15</v>
      </c>
      <c r="I1543" s="1309">
        <f t="shared" si="93"/>
        <v>0.74</v>
      </c>
      <c r="J1543" s="1179"/>
    </row>
    <row r="1544" spans="1:10" s="1209" customFormat="1">
      <c r="A1544" s="1185"/>
      <c r="B1544" s="1306" t="s">
        <v>3401</v>
      </c>
      <c r="C1544" s="1307">
        <v>1</v>
      </c>
      <c r="D1544" s="1307" t="s">
        <v>3364</v>
      </c>
      <c r="E1544" s="1307">
        <v>1</v>
      </c>
      <c r="F1544" s="1308">
        <f>0.75+0.46</f>
        <v>1.21</v>
      </c>
      <c r="G1544" s="1308">
        <v>0.23</v>
      </c>
      <c r="H1544" s="1308">
        <v>0.15</v>
      </c>
      <c r="I1544" s="1309">
        <f t="shared" si="93"/>
        <v>0.04</v>
      </c>
      <c r="J1544" s="1179"/>
    </row>
    <row r="1545" spans="1:10" s="1209" customFormat="1">
      <c r="A1545" s="1185"/>
      <c r="B1545" s="1306" t="s">
        <v>3402</v>
      </c>
      <c r="C1545" s="1307"/>
      <c r="D1545" s="1307"/>
      <c r="E1545" s="1307"/>
      <c r="F1545" s="1308"/>
      <c r="G1545" s="1308"/>
      <c r="H1545" s="1308"/>
      <c r="I1545" s="1309"/>
      <c r="J1545" s="1179"/>
    </row>
    <row r="1546" spans="1:10" s="1209" customFormat="1">
      <c r="A1546" s="1185"/>
      <c r="B1546" s="1306" t="s">
        <v>3400</v>
      </c>
      <c r="C1546" s="1307">
        <v>1</v>
      </c>
      <c r="D1546" s="1307" t="s">
        <v>3364</v>
      </c>
      <c r="E1546" s="1307">
        <v>11</v>
      </c>
      <c r="F1546" s="1308">
        <v>1.96</v>
      </c>
      <c r="G1546" s="1308">
        <v>0.23</v>
      </c>
      <c r="H1546" s="1308">
        <v>0.05</v>
      </c>
      <c r="I1546" s="1309">
        <f t="shared" ref="I1546:I1551" si="94">PRODUCT(C1546:H1546)</f>
        <v>0.25</v>
      </c>
      <c r="J1546" s="1179"/>
    </row>
    <row r="1547" spans="1:10" s="1209" customFormat="1">
      <c r="A1547" s="1185"/>
      <c r="B1547" s="1306" t="s">
        <v>3403</v>
      </c>
      <c r="C1547" s="1307">
        <v>1</v>
      </c>
      <c r="D1547" s="1307" t="s">
        <v>3364</v>
      </c>
      <c r="E1547" s="1307">
        <v>11</v>
      </c>
      <c r="F1547" s="1308">
        <v>1.96</v>
      </c>
      <c r="G1547" s="1308">
        <v>0.6</v>
      </c>
      <c r="H1547" s="1308">
        <v>0.08</v>
      </c>
      <c r="I1547" s="1309">
        <f t="shared" si="94"/>
        <v>1.03</v>
      </c>
      <c r="J1547" s="1179"/>
    </row>
    <row r="1548" spans="1:10" s="1209" customFormat="1">
      <c r="A1548" s="1185"/>
      <c r="B1548" s="1306" t="s">
        <v>3408</v>
      </c>
      <c r="C1548" s="1307">
        <v>1</v>
      </c>
      <c r="D1548" s="1307" t="s">
        <v>3364</v>
      </c>
      <c r="E1548" s="1307">
        <v>1</v>
      </c>
      <c r="F1548" s="1308">
        <v>13.34</v>
      </c>
      <c r="G1548" s="1308">
        <v>0.23</v>
      </c>
      <c r="H1548" s="1308">
        <v>0.125</v>
      </c>
      <c r="I1548" s="1309">
        <f t="shared" si="94"/>
        <v>0.38</v>
      </c>
      <c r="J1548" s="1179"/>
    </row>
    <row r="1549" spans="1:10" s="1209" customFormat="1">
      <c r="A1549" s="1185"/>
      <c r="B1549" s="1306" t="s">
        <v>3409</v>
      </c>
      <c r="C1549" s="1307">
        <v>1</v>
      </c>
      <c r="D1549" s="1307" t="s">
        <v>3364</v>
      </c>
      <c r="E1549" s="1307">
        <v>1</v>
      </c>
      <c r="F1549" s="1308">
        <v>13.34</v>
      </c>
      <c r="G1549" s="1308">
        <v>0.6</v>
      </c>
      <c r="H1549" s="1308">
        <v>0.08</v>
      </c>
      <c r="I1549" s="1309">
        <f t="shared" si="94"/>
        <v>0.64</v>
      </c>
      <c r="J1549" s="1179"/>
    </row>
    <row r="1550" spans="1:10" s="1209" customFormat="1">
      <c r="A1550" s="1185"/>
      <c r="B1550" s="1306" t="s">
        <v>3410</v>
      </c>
      <c r="C1550" s="1307">
        <v>1</v>
      </c>
      <c r="D1550" s="1307" t="s">
        <v>3364</v>
      </c>
      <c r="E1550" s="1307">
        <v>2</v>
      </c>
      <c r="F1550" s="1308">
        <v>4</v>
      </c>
      <c r="G1550" s="1308">
        <v>0.23</v>
      </c>
      <c r="H1550" s="1308">
        <v>0.125</v>
      </c>
      <c r="I1550" s="1309">
        <f t="shared" si="94"/>
        <v>0.23</v>
      </c>
      <c r="J1550" s="1179"/>
    </row>
    <row r="1551" spans="1:10" s="1209" customFormat="1">
      <c r="A1551" s="1185"/>
      <c r="B1551" s="1306" t="s">
        <v>3411</v>
      </c>
      <c r="C1551" s="1307">
        <v>1</v>
      </c>
      <c r="D1551" s="1307" t="s">
        <v>3364</v>
      </c>
      <c r="E1551" s="1307">
        <v>2</v>
      </c>
      <c r="F1551" s="1308">
        <v>4</v>
      </c>
      <c r="G1551" s="1308">
        <v>0.6</v>
      </c>
      <c r="H1551" s="1308">
        <v>0.08</v>
      </c>
      <c r="I1551" s="1309">
        <f t="shared" si="94"/>
        <v>0.38</v>
      </c>
      <c r="J1551" s="1179"/>
    </row>
    <row r="1552" spans="1:10" s="1209" customFormat="1">
      <c r="A1552" s="1176"/>
      <c r="B1552" s="1199"/>
      <c r="C1552" s="1251"/>
      <c r="D1552" s="1251"/>
      <c r="E1552" s="1251"/>
      <c r="F1552" s="1177"/>
      <c r="G1552" s="1177"/>
      <c r="H1552" s="1177"/>
      <c r="I1552" s="1178">
        <f>SUM(I1514:I1551)</f>
        <v>117.13</v>
      </c>
      <c r="J1552" s="1179"/>
    </row>
    <row r="1553" spans="1:14" s="1212" customFormat="1">
      <c r="A1553" s="1273"/>
      <c r="B1553" s="1202"/>
      <c r="C1553" s="1274"/>
      <c r="D1553" s="1274"/>
      <c r="E1553" s="1274"/>
      <c r="F1553" s="1253"/>
      <c r="G1553" s="1253"/>
      <c r="H1553" s="1253" t="s">
        <v>2981</v>
      </c>
      <c r="I1553" s="1181">
        <f>CEILING(I1552,0.1)</f>
        <v>117.2</v>
      </c>
      <c r="J1553" s="1179" t="s">
        <v>5</v>
      </c>
      <c r="L1553" s="1209"/>
      <c r="M1553" s="1209"/>
      <c r="N1553" s="1209"/>
    </row>
    <row r="1554" spans="1:14" s="1209" customFormat="1">
      <c r="A1554" s="1185"/>
      <c r="B1554" s="1270" t="s">
        <v>5607</v>
      </c>
      <c r="C1554" s="1251"/>
      <c r="D1554" s="1251"/>
      <c r="E1554" s="1251"/>
      <c r="F1554" s="1177"/>
      <c r="G1554" s="1177"/>
      <c r="H1554" s="1177"/>
      <c r="I1554" s="1178"/>
      <c r="J1554" s="1179"/>
    </row>
    <row r="1555" spans="1:14" s="1212" customFormat="1">
      <c r="A1555" s="1273"/>
      <c r="B1555" s="1306" t="s">
        <v>6526</v>
      </c>
      <c r="C1555" s="1307">
        <v>4</v>
      </c>
      <c r="D1555" s="1307" t="s">
        <v>3364</v>
      </c>
      <c r="E1555" s="1307">
        <v>1</v>
      </c>
      <c r="F1555" s="1308">
        <v>0.3</v>
      </c>
      <c r="G1555" s="1308">
        <v>0.23</v>
      </c>
      <c r="H1555" s="1308">
        <v>2.65</v>
      </c>
      <c r="I1555" s="1178">
        <f t="shared" ref="I1555:I1578" si="95">PRODUCT(C1555:H1555)</f>
        <v>0.73</v>
      </c>
      <c r="J1555" s="1179"/>
      <c r="L1555" s="1209"/>
      <c r="M1555" s="1209"/>
      <c r="N1555" s="1209"/>
    </row>
    <row r="1556" spans="1:14" s="1212" customFormat="1">
      <c r="A1556" s="1273"/>
      <c r="B1556" s="1306" t="s">
        <v>6527</v>
      </c>
      <c r="C1556" s="1307">
        <v>6</v>
      </c>
      <c r="D1556" s="1307" t="s">
        <v>3364</v>
      </c>
      <c r="E1556" s="1307">
        <v>1</v>
      </c>
      <c r="F1556" s="1308">
        <v>0.38</v>
      </c>
      <c r="G1556" s="1308">
        <v>0.23</v>
      </c>
      <c r="H1556" s="1308">
        <v>2.65</v>
      </c>
      <c r="I1556" s="1178">
        <f t="shared" si="95"/>
        <v>1.39</v>
      </c>
      <c r="J1556" s="1179"/>
      <c r="L1556" s="1209"/>
      <c r="M1556" s="1209"/>
      <c r="N1556" s="1209"/>
    </row>
    <row r="1557" spans="1:14" s="1212" customFormat="1">
      <c r="A1557" s="1273"/>
      <c r="B1557" s="1306" t="s">
        <v>6976</v>
      </c>
      <c r="C1557" s="1307">
        <v>2</v>
      </c>
      <c r="D1557" s="1307" t="s">
        <v>3364</v>
      </c>
      <c r="E1557" s="1307">
        <v>1</v>
      </c>
      <c r="F1557" s="1308">
        <v>0.38</v>
      </c>
      <c r="G1557" s="1308">
        <v>0.23</v>
      </c>
      <c r="H1557" s="1308">
        <v>2.65</v>
      </c>
      <c r="I1557" s="1178">
        <f t="shared" si="95"/>
        <v>0.46</v>
      </c>
      <c r="J1557" s="1179"/>
      <c r="L1557" s="1209"/>
      <c r="M1557" s="1209"/>
      <c r="N1557" s="1209"/>
    </row>
    <row r="1558" spans="1:14" s="1212" customFormat="1">
      <c r="A1558" s="1273"/>
      <c r="B1558" s="1306" t="s">
        <v>6977</v>
      </c>
      <c r="C1558" s="1307">
        <v>3</v>
      </c>
      <c r="D1558" s="1307" t="s">
        <v>3364</v>
      </c>
      <c r="E1558" s="1307">
        <v>1</v>
      </c>
      <c r="F1558" s="1308">
        <v>0.45</v>
      </c>
      <c r="G1558" s="1308">
        <v>0.23</v>
      </c>
      <c r="H1558" s="1308">
        <v>2.65</v>
      </c>
      <c r="I1558" s="1178">
        <f t="shared" si="95"/>
        <v>0.82</v>
      </c>
      <c r="J1558" s="1179"/>
      <c r="L1558" s="1209"/>
      <c r="M1558" s="1209"/>
      <c r="N1558" s="1209"/>
    </row>
    <row r="1559" spans="1:14" s="1212" customFormat="1">
      <c r="A1559" s="1273"/>
      <c r="B1559" s="1306" t="s">
        <v>6978</v>
      </c>
      <c r="C1559" s="1307">
        <v>3</v>
      </c>
      <c r="D1559" s="1307" t="s">
        <v>3364</v>
      </c>
      <c r="E1559" s="1307">
        <v>1</v>
      </c>
      <c r="F1559" s="1308">
        <v>0.45</v>
      </c>
      <c r="G1559" s="1308">
        <v>0.23</v>
      </c>
      <c r="H1559" s="1308">
        <v>2.65</v>
      </c>
      <c r="I1559" s="1178">
        <f t="shared" si="95"/>
        <v>0.82</v>
      </c>
      <c r="J1559" s="1179"/>
      <c r="L1559" s="1209"/>
      <c r="M1559" s="1209"/>
      <c r="N1559" s="1209"/>
    </row>
    <row r="1560" spans="1:14" s="1212" customFormat="1">
      <c r="A1560" s="1273"/>
      <c r="B1560" s="1306" t="s">
        <v>6979</v>
      </c>
      <c r="C1560" s="1307">
        <v>5</v>
      </c>
      <c r="D1560" s="1307" t="s">
        <v>3364</v>
      </c>
      <c r="E1560" s="1307">
        <v>1</v>
      </c>
      <c r="F1560" s="1308">
        <v>0.45</v>
      </c>
      <c r="G1560" s="1308">
        <v>0.3</v>
      </c>
      <c r="H1560" s="1308">
        <v>2.65</v>
      </c>
      <c r="I1560" s="1178">
        <f t="shared" si="95"/>
        <v>1.79</v>
      </c>
      <c r="J1560" s="1179"/>
      <c r="L1560" s="1209"/>
      <c r="M1560" s="1209"/>
      <c r="N1560" s="1209"/>
    </row>
    <row r="1561" spans="1:14" s="1212" customFormat="1">
      <c r="A1561" s="1273"/>
      <c r="B1561" s="1306" t="s">
        <v>6980</v>
      </c>
      <c r="C1561" s="1307">
        <v>4</v>
      </c>
      <c r="D1561" s="1307" t="s">
        <v>3364</v>
      </c>
      <c r="E1561" s="1307">
        <v>1</v>
      </c>
      <c r="F1561" s="1308">
        <v>0.45</v>
      </c>
      <c r="G1561" s="1308">
        <v>0.3</v>
      </c>
      <c r="H1561" s="1308">
        <v>2.65</v>
      </c>
      <c r="I1561" s="1178">
        <f t="shared" si="95"/>
        <v>1.43</v>
      </c>
      <c r="J1561" s="1179"/>
      <c r="L1561" s="1209"/>
      <c r="M1561" s="1209"/>
      <c r="N1561" s="1209"/>
    </row>
    <row r="1562" spans="1:14" s="1212" customFormat="1">
      <c r="A1562" s="1273"/>
      <c r="B1562" s="1306" t="s">
        <v>6981</v>
      </c>
      <c r="C1562" s="1307">
        <v>8</v>
      </c>
      <c r="D1562" s="1307" t="s">
        <v>3364</v>
      </c>
      <c r="E1562" s="1307">
        <v>1</v>
      </c>
      <c r="F1562" s="1308">
        <v>0.45</v>
      </c>
      <c r="G1562" s="1308">
        <v>0.3</v>
      </c>
      <c r="H1562" s="1308">
        <v>2.65</v>
      </c>
      <c r="I1562" s="1178">
        <f t="shared" si="95"/>
        <v>2.86</v>
      </c>
      <c r="J1562" s="1179"/>
      <c r="L1562" s="1209"/>
      <c r="M1562" s="1209"/>
      <c r="N1562" s="1209"/>
    </row>
    <row r="1563" spans="1:14" s="1209" customFormat="1">
      <c r="A1563" s="1185"/>
      <c r="B1563" s="1310" t="s">
        <v>3413</v>
      </c>
      <c r="C1563" s="1307"/>
      <c r="D1563" s="1307"/>
      <c r="E1563" s="1307"/>
      <c r="F1563" s="1308"/>
      <c r="G1563" s="1308"/>
      <c r="H1563" s="1308"/>
      <c r="I1563" s="1309">
        <f t="shared" si="95"/>
        <v>0</v>
      </c>
      <c r="J1563" s="1179"/>
    </row>
    <row r="1564" spans="1:14" s="1209" customFormat="1">
      <c r="A1564" s="1185"/>
      <c r="B1564" s="1306" t="s">
        <v>3424</v>
      </c>
      <c r="C1564" s="1307">
        <v>1</v>
      </c>
      <c r="D1564" s="1307" t="s">
        <v>3364</v>
      </c>
      <c r="E1564" s="1307">
        <v>1</v>
      </c>
      <c r="F1564" s="1308">
        <v>24.64</v>
      </c>
      <c r="G1564" s="1308">
        <v>17</v>
      </c>
      <c r="H1564" s="1308">
        <v>0.15</v>
      </c>
      <c r="I1564" s="1309">
        <f t="shared" si="95"/>
        <v>62.83</v>
      </c>
      <c r="J1564" s="1179"/>
    </row>
    <row r="1565" spans="1:14" s="1209" customFormat="1">
      <c r="A1565" s="1185"/>
      <c r="B1565" s="1306" t="s">
        <v>3425</v>
      </c>
      <c r="C1565" s="1307">
        <v>1</v>
      </c>
      <c r="D1565" s="1307" t="s">
        <v>3364</v>
      </c>
      <c r="E1565" s="1307">
        <v>1</v>
      </c>
      <c r="F1565" s="1308">
        <v>12.12</v>
      </c>
      <c r="G1565" s="1308">
        <f>0.46+8.82</f>
        <v>9.2799999999999994</v>
      </c>
      <c r="H1565" s="1308">
        <v>0.125</v>
      </c>
      <c r="I1565" s="1309">
        <f t="shared" si="95"/>
        <v>14.06</v>
      </c>
      <c r="J1565" s="1179"/>
    </row>
    <row r="1566" spans="1:14" s="1209" customFormat="1">
      <c r="A1566" s="1185"/>
      <c r="B1566" s="1306" t="s">
        <v>3426</v>
      </c>
      <c r="C1566" s="1307">
        <v>1</v>
      </c>
      <c r="D1566" s="1307" t="s">
        <v>3364</v>
      </c>
      <c r="E1566" s="1307">
        <v>1</v>
      </c>
      <c r="F1566" s="1308">
        <v>4.46</v>
      </c>
      <c r="G1566" s="1308">
        <f>0.46+2.5+1.8+0.23</f>
        <v>4.99</v>
      </c>
      <c r="H1566" s="1308">
        <v>0.125</v>
      </c>
      <c r="I1566" s="1309">
        <f t="shared" si="95"/>
        <v>2.78</v>
      </c>
      <c r="J1566" s="1179"/>
    </row>
    <row r="1567" spans="1:14" s="1209" customFormat="1">
      <c r="A1567" s="1185"/>
      <c r="B1567" s="1306" t="s">
        <v>3383</v>
      </c>
      <c r="C1567" s="1307">
        <v>-1</v>
      </c>
      <c r="D1567" s="1307" t="s">
        <v>3364</v>
      </c>
      <c r="E1567" s="1307">
        <v>1</v>
      </c>
      <c r="F1567" s="1308">
        <v>3</v>
      </c>
      <c r="G1567" s="1308">
        <f>8.82-1.5</f>
        <v>7.32</v>
      </c>
      <c r="H1567" s="1308">
        <v>0.125</v>
      </c>
      <c r="I1567" s="1309">
        <f t="shared" si="95"/>
        <v>-2.75</v>
      </c>
      <c r="J1567" s="1179"/>
    </row>
    <row r="1568" spans="1:14" s="1209" customFormat="1">
      <c r="A1568" s="1185"/>
      <c r="B1568" s="1306" t="s">
        <v>3405</v>
      </c>
      <c r="C1568" s="1307">
        <v>1</v>
      </c>
      <c r="D1568" s="1307" t="s">
        <v>3364</v>
      </c>
      <c r="E1568" s="1307">
        <v>6</v>
      </c>
      <c r="F1568" s="1308">
        <v>17</v>
      </c>
      <c r="G1568" s="1308">
        <v>0.23</v>
      </c>
      <c r="H1568" s="1308">
        <f t="shared" ref="H1568:H1574" si="96">0.45-0.125</f>
        <v>0.32500000000000001</v>
      </c>
      <c r="I1568" s="1309">
        <f t="shared" si="95"/>
        <v>7.62</v>
      </c>
      <c r="J1568" s="1179"/>
    </row>
    <row r="1569" spans="1:10" s="1209" customFormat="1">
      <c r="A1569" s="1185"/>
      <c r="B1569" s="1306" t="s">
        <v>3406</v>
      </c>
      <c r="C1569" s="1307">
        <v>1</v>
      </c>
      <c r="D1569" s="1307" t="s">
        <v>3364</v>
      </c>
      <c r="E1569" s="1307">
        <v>4</v>
      </c>
      <c r="F1569" s="1308">
        <v>24.64</v>
      </c>
      <c r="G1569" s="1308">
        <v>0.23</v>
      </c>
      <c r="H1569" s="1308">
        <f t="shared" si="96"/>
        <v>0.32500000000000001</v>
      </c>
      <c r="I1569" s="1309">
        <f t="shared" si="95"/>
        <v>7.37</v>
      </c>
      <c r="J1569" s="1179"/>
    </row>
    <row r="1570" spans="1:10" s="1209" customFormat="1">
      <c r="A1570" s="1185"/>
      <c r="B1570" s="1306" t="s">
        <v>3385</v>
      </c>
      <c r="C1570" s="1307">
        <v>1</v>
      </c>
      <c r="D1570" s="1307" t="s">
        <v>3364</v>
      </c>
      <c r="E1570" s="1307">
        <v>1</v>
      </c>
      <c r="F1570" s="1308">
        <f>0.46+4.14+8.97+0.23</f>
        <v>13.8</v>
      </c>
      <c r="G1570" s="1308">
        <v>0.23</v>
      </c>
      <c r="H1570" s="1308">
        <f t="shared" si="96"/>
        <v>0.32500000000000001</v>
      </c>
      <c r="I1570" s="1309">
        <f t="shared" si="95"/>
        <v>1.03</v>
      </c>
      <c r="J1570" s="1179"/>
    </row>
    <row r="1571" spans="1:10" s="1209" customFormat="1">
      <c r="A1571" s="1185"/>
      <c r="B1571" s="1306" t="s">
        <v>3386</v>
      </c>
      <c r="C1571" s="1307">
        <v>1</v>
      </c>
      <c r="D1571" s="1307" t="s">
        <v>3364</v>
      </c>
      <c r="E1571" s="1307">
        <v>2</v>
      </c>
      <c r="F1571" s="1308">
        <f>0.46+8.82</f>
        <v>9.2799999999999994</v>
      </c>
      <c r="G1571" s="1308">
        <v>0.23</v>
      </c>
      <c r="H1571" s="1308">
        <f t="shared" si="96"/>
        <v>0.32500000000000001</v>
      </c>
      <c r="I1571" s="1309">
        <f t="shared" si="95"/>
        <v>1.39</v>
      </c>
      <c r="J1571" s="1179"/>
    </row>
    <row r="1572" spans="1:10" s="1209" customFormat="1">
      <c r="A1572" s="1185"/>
      <c r="B1572" s="1306" t="s">
        <v>3387</v>
      </c>
      <c r="C1572" s="1307">
        <v>1</v>
      </c>
      <c r="D1572" s="1307" t="s">
        <v>3364</v>
      </c>
      <c r="E1572" s="1307">
        <v>3</v>
      </c>
      <c r="F1572" s="1308">
        <v>12.12</v>
      </c>
      <c r="G1572" s="1308">
        <v>0.23</v>
      </c>
      <c r="H1572" s="1308">
        <f t="shared" si="96"/>
        <v>0.32500000000000001</v>
      </c>
      <c r="I1572" s="1309">
        <f t="shared" si="95"/>
        <v>2.72</v>
      </c>
      <c r="J1572" s="1179"/>
    </row>
    <row r="1573" spans="1:10" s="1209" customFormat="1">
      <c r="A1573" s="1185"/>
      <c r="B1573" s="1306" t="s">
        <v>3388</v>
      </c>
      <c r="C1573" s="1307">
        <v>1</v>
      </c>
      <c r="D1573" s="1307" t="s">
        <v>3364</v>
      </c>
      <c r="E1573" s="1307">
        <v>1</v>
      </c>
      <c r="F1573" s="1308">
        <f>2.3+0.46+2.5</f>
        <v>5.26</v>
      </c>
      <c r="G1573" s="1308">
        <v>0.23</v>
      </c>
      <c r="H1573" s="1308">
        <f t="shared" si="96"/>
        <v>0.32500000000000001</v>
      </c>
      <c r="I1573" s="1309">
        <f t="shared" si="95"/>
        <v>0.39</v>
      </c>
      <c r="J1573" s="1179"/>
    </row>
    <row r="1574" spans="1:10" s="1209" customFormat="1">
      <c r="A1574" s="1185"/>
      <c r="B1574" s="1306" t="s">
        <v>3389</v>
      </c>
      <c r="C1574" s="1307">
        <v>1</v>
      </c>
      <c r="D1574" s="1307" t="s">
        <v>3364</v>
      </c>
      <c r="E1574" s="1307">
        <v>1</v>
      </c>
      <c r="F1574" s="1308">
        <v>4</v>
      </c>
      <c r="G1574" s="1308">
        <v>0.23</v>
      </c>
      <c r="H1574" s="1308">
        <f t="shared" si="96"/>
        <v>0.32500000000000001</v>
      </c>
      <c r="I1574" s="1309">
        <f t="shared" si="95"/>
        <v>0.3</v>
      </c>
      <c r="J1574" s="1179"/>
    </row>
    <row r="1575" spans="1:10" s="1209" customFormat="1">
      <c r="A1575" s="1185"/>
      <c r="B1575" s="1306" t="s">
        <v>3390</v>
      </c>
      <c r="C1575" s="1307">
        <v>1</v>
      </c>
      <c r="D1575" s="1307" t="s">
        <v>3364</v>
      </c>
      <c r="E1575" s="1307">
        <v>2</v>
      </c>
      <c r="F1575" s="1308">
        <v>7.32</v>
      </c>
      <c r="G1575" s="1308">
        <v>1.5</v>
      </c>
      <c r="H1575" s="1308">
        <v>0.15</v>
      </c>
      <c r="I1575" s="1309">
        <f t="shared" si="95"/>
        <v>3.29</v>
      </c>
      <c r="J1575" s="1179"/>
    </row>
    <row r="1576" spans="1:10" s="1209" customFormat="1">
      <c r="A1576" s="1185"/>
      <c r="B1576" s="1306" t="s">
        <v>3391</v>
      </c>
      <c r="C1576" s="1307">
        <v>1</v>
      </c>
      <c r="D1576" s="1307" t="s">
        <v>3364</v>
      </c>
      <c r="E1576" s="1307">
        <v>1</v>
      </c>
      <c r="F1576" s="1308">
        <v>3</v>
      </c>
      <c r="G1576" s="1308">
        <v>1.5</v>
      </c>
      <c r="H1576" s="1308">
        <v>0.15</v>
      </c>
      <c r="I1576" s="1309">
        <f t="shared" si="95"/>
        <v>0.68</v>
      </c>
      <c r="J1576" s="1179"/>
    </row>
    <row r="1577" spans="1:10" s="1209" customFormat="1">
      <c r="A1577" s="1185"/>
      <c r="B1577" s="1306" t="s">
        <v>3392</v>
      </c>
      <c r="C1577" s="1307">
        <v>1</v>
      </c>
      <c r="D1577" s="1307" t="s">
        <v>3364</v>
      </c>
      <c r="E1577" s="1307">
        <v>1</v>
      </c>
      <c r="F1577" s="1308">
        <v>3.46</v>
      </c>
      <c r="G1577" s="1308">
        <v>0.23</v>
      </c>
      <c r="H1577" s="1308">
        <v>0.45</v>
      </c>
      <c r="I1577" s="1309">
        <f t="shared" si="95"/>
        <v>0.36</v>
      </c>
      <c r="J1577" s="1179"/>
    </row>
    <row r="1578" spans="1:10" s="1209" customFormat="1">
      <c r="A1578" s="1185"/>
      <c r="B1578" s="1306" t="s">
        <v>3393</v>
      </c>
      <c r="C1578" s="1311">
        <v>0.5</v>
      </c>
      <c r="D1578" s="1307" t="s">
        <v>3364</v>
      </c>
      <c r="E1578" s="1307">
        <v>22</v>
      </c>
      <c r="F1578" s="1308">
        <v>1.35</v>
      </c>
      <c r="G1578" s="1308">
        <v>0.3</v>
      </c>
      <c r="H1578" s="1308">
        <v>0.15</v>
      </c>
      <c r="I1578" s="1309">
        <f t="shared" si="95"/>
        <v>0.67</v>
      </c>
      <c r="J1578" s="1179"/>
    </row>
    <row r="1579" spans="1:10" s="1209" customFormat="1">
      <c r="A1579" s="1185"/>
      <c r="B1579" s="1312" t="s">
        <v>3395</v>
      </c>
      <c r="C1579" s="1307"/>
      <c r="D1579" s="1307"/>
      <c r="E1579" s="1307"/>
      <c r="F1579" s="1308"/>
      <c r="G1579" s="1308"/>
      <c r="H1579" s="1308"/>
      <c r="I1579" s="1309"/>
      <c r="J1579" s="1179"/>
    </row>
    <row r="1580" spans="1:10" s="1209" customFormat="1">
      <c r="A1580" s="1185"/>
      <c r="B1580" s="1306" t="s">
        <v>3397</v>
      </c>
      <c r="C1580" s="1307">
        <v>1</v>
      </c>
      <c r="D1580" s="1307" t="s">
        <v>3364</v>
      </c>
      <c r="E1580" s="1307">
        <v>4</v>
      </c>
      <c r="F1580" s="1308">
        <v>1.96</v>
      </c>
      <c r="G1580" s="1308">
        <v>0.23</v>
      </c>
      <c r="H1580" s="1308">
        <v>0.23</v>
      </c>
      <c r="I1580" s="1309">
        <f t="shared" ref="I1580:I1587" si="97">PRODUCT(C1580:H1580)</f>
        <v>0.41</v>
      </c>
      <c r="J1580" s="1179"/>
    </row>
    <row r="1581" spans="1:10" s="1209" customFormat="1">
      <c r="A1581" s="1185"/>
      <c r="B1581" s="1306" t="s">
        <v>3396</v>
      </c>
      <c r="C1581" s="1307">
        <v>1</v>
      </c>
      <c r="D1581" s="1307" t="s">
        <v>3364</v>
      </c>
      <c r="E1581" s="1307">
        <v>1</v>
      </c>
      <c r="F1581" s="1308">
        <v>1.96</v>
      </c>
      <c r="G1581" s="1308">
        <v>0.23</v>
      </c>
      <c r="H1581" s="1308">
        <v>0.23</v>
      </c>
      <c r="I1581" s="1309">
        <f t="shared" si="97"/>
        <v>0.1</v>
      </c>
      <c r="J1581" s="1179"/>
    </row>
    <row r="1582" spans="1:10" s="1209" customFormat="1">
      <c r="A1582" s="1185"/>
      <c r="B1582" s="1306" t="s">
        <v>3398</v>
      </c>
      <c r="C1582" s="1307">
        <v>1</v>
      </c>
      <c r="D1582" s="1307" t="s">
        <v>3364</v>
      </c>
      <c r="E1582" s="1307">
        <v>6</v>
      </c>
      <c r="F1582" s="1308">
        <v>1.46</v>
      </c>
      <c r="G1582" s="1308">
        <v>0.23</v>
      </c>
      <c r="H1582" s="1308">
        <v>0.15</v>
      </c>
      <c r="I1582" s="1309">
        <f t="shared" si="97"/>
        <v>0.3</v>
      </c>
      <c r="J1582" s="1179"/>
    </row>
    <row r="1583" spans="1:10" s="1209" customFormat="1">
      <c r="A1583" s="1185"/>
      <c r="B1583" s="1306" t="s">
        <v>3399</v>
      </c>
      <c r="C1583" s="1307">
        <v>1</v>
      </c>
      <c r="D1583" s="1307" t="s">
        <v>3364</v>
      </c>
      <c r="E1583" s="1307">
        <v>1</v>
      </c>
      <c r="F1583" s="1308">
        <v>1.46</v>
      </c>
      <c r="G1583" s="1308">
        <v>0.23</v>
      </c>
      <c r="H1583" s="1308">
        <v>0.15</v>
      </c>
      <c r="I1583" s="1309">
        <f t="shared" si="97"/>
        <v>0.05</v>
      </c>
      <c r="J1583" s="1179"/>
    </row>
    <row r="1584" spans="1:10" s="1209" customFormat="1">
      <c r="A1584" s="1185"/>
      <c r="B1584" s="1306" t="s">
        <v>3407</v>
      </c>
      <c r="C1584" s="1307">
        <v>1</v>
      </c>
      <c r="D1584" s="1307" t="s">
        <v>3364</v>
      </c>
      <c r="E1584" s="1307">
        <v>5</v>
      </c>
      <c r="F1584" s="1308">
        <v>1.1100000000000001</v>
      </c>
      <c r="G1584" s="1308">
        <v>0.115</v>
      </c>
      <c r="H1584" s="1308">
        <v>0.15</v>
      </c>
      <c r="I1584" s="1309">
        <f t="shared" si="97"/>
        <v>0.1</v>
      </c>
      <c r="J1584" s="1179"/>
    </row>
    <row r="1585" spans="1:10" s="1209" customFormat="1">
      <c r="A1585" s="1185"/>
      <c r="B1585" s="1306" t="s">
        <v>3414</v>
      </c>
      <c r="C1585" s="1307">
        <v>1</v>
      </c>
      <c r="D1585" s="1307" t="s">
        <v>3364</v>
      </c>
      <c r="E1585" s="1307">
        <v>2</v>
      </c>
      <c r="F1585" s="1308">
        <f>1.8+0.46</f>
        <v>2.2599999999999998</v>
      </c>
      <c r="G1585" s="1308">
        <v>0.23</v>
      </c>
      <c r="H1585" s="1308">
        <v>0.15</v>
      </c>
      <c r="I1585" s="1309">
        <f t="shared" si="97"/>
        <v>0.16</v>
      </c>
      <c r="J1585" s="1179"/>
    </row>
    <row r="1586" spans="1:10" s="1209" customFormat="1">
      <c r="A1586" s="1185"/>
      <c r="B1586" s="1306" t="s">
        <v>3400</v>
      </c>
      <c r="C1586" s="1307">
        <v>1</v>
      </c>
      <c r="D1586" s="1307" t="s">
        <v>3364</v>
      </c>
      <c r="E1586" s="1307">
        <v>16</v>
      </c>
      <c r="F1586" s="1308">
        <v>1.96</v>
      </c>
      <c r="G1586" s="1308">
        <v>0.23</v>
      </c>
      <c r="H1586" s="1308">
        <v>0.15</v>
      </c>
      <c r="I1586" s="1309">
        <f t="shared" si="97"/>
        <v>1.08</v>
      </c>
      <c r="J1586" s="1179"/>
    </row>
    <row r="1587" spans="1:10" s="1209" customFormat="1">
      <c r="A1587" s="1185"/>
      <c r="B1587" s="1306" t="s">
        <v>3401</v>
      </c>
      <c r="C1587" s="1307">
        <v>1</v>
      </c>
      <c r="D1587" s="1307" t="s">
        <v>3364</v>
      </c>
      <c r="E1587" s="1307">
        <v>10</v>
      </c>
      <c r="F1587" s="1308">
        <f>0.75+0.46</f>
        <v>1.21</v>
      </c>
      <c r="G1587" s="1308">
        <v>0.23</v>
      </c>
      <c r="H1587" s="1308">
        <v>0.15</v>
      </c>
      <c r="I1587" s="1309">
        <f t="shared" si="97"/>
        <v>0.42</v>
      </c>
      <c r="J1587" s="1179"/>
    </row>
    <row r="1588" spans="1:10" s="1209" customFormat="1">
      <c r="A1588" s="1185"/>
      <c r="B1588" s="1306" t="s">
        <v>3402</v>
      </c>
      <c r="C1588" s="1307"/>
      <c r="D1588" s="1307"/>
      <c r="E1588" s="1307"/>
      <c r="F1588" s="1308"/>
      <c r="G1588" s="1308"/>
      <c r="H1588" s="1308"/>
      <c r="I1588" s="1309"/>
      <c r="J1588" s="1179"/>
    </row>
    <row r="1589" spans="1:10" s="1209" customFormat="1">
      <c r="A1589" s="1185"/>
      <c r="B1589" s="1306" t="s">
        <v>3414</v>
      </c>
      <c r="C1589" s="1307">
        <v>1</v>
      </c>
      <c r="D1589" s="1307" t="s">
        <v>3364</v>
      </c>
      <c r="E1589" s="1307">
        <v>2</v>
      </c>
      <c r="F1589" s="1308">
        <v>2.2599999999999998</v>
      </c>
      <c r="G1589" s="1308">
        <v>0.23</v>
      </c>
      <c r="H1589" s="1308">
        <v>0.05</v>
      </c>
      <c r="I1589" s="1309">
        <f t="shared" ref="I1589:I1598" si="98">PRODUCT(C1589:H1589)</f>
        <v>0.05</v>
      </c>
      <c r="J1589" s="1179"/>
    </row>
    <row r="1590" spans="1:10" s="1209" customFormat="1">
      <c r="A1590" s="1185"/>
      <c r="B1590" s="1306" t="s">
        <v>3415</v>
      </c>
      <c r="C1590" s="1307">
        <v>1</v>
      </c>
      <c r="D1590" s="1307" t="s">
        <v>3364</v>
      </c>
      <c r="E1590" s="1307">
        <v>2</v>
      </c>
      <c r="F1590" s="1308">
        <v>2.2599999999999998</v>
      </c>
      <c r="G1590" s="1308">
        <v>0.6</v>
      </c>
      <c r="H1590" s="1308">
        <v>0.08</v>
      </c>
      <c r="I1590" s="1309">
        <f t="shared" si="98"/>
        <v>0.22</v>
      </c>
      <c r="J1590" s="1179"/>
    </row>
    <row r="1591" spans="1:10" s="1209" customFormat="1">
      <c r="A1591" s="1176"/>
      <c r="B1591" s="1306" t="s">
        <v>3400</v>
      </c>
      <c r="C1591" s="1307">
        <v>1</v>
      </c>
      <c r="D1591" s="1307" t="s">
        <v>3364</v>
      </c>
      <c r="E1591" s="1307">
        <v>16</v>
      </c>
      <c r="F1591" s="1308">
        <v>1.96</v>
      </c>
      <c r="G1591" s="1308">
        <v>0.23</v>
      </c>
      <c r="H1591" s="1308">
        <v>0.05</v>
      </c>
      <c r="I1591" s="1309">
        <f t="shared" si="98"/>
        <v>0.36</v>
      </c>
      <c r="J1591" s="1179"/>
    </row>
    <row r="1592" spans="1:10" s="1209" customFormat="1">
      <c r="A1592" s="1176"/>
      <c r="B1592" s="1306" t="s">
        <v>3403</v>
      </c>
      <c r="C1592" s="1307">
        <v>1</v>
      </c>
      <c r="D1592" s="1307" t="s">
        <v>3364</v>
      </c>
      <c r="E1592" s="1307">
        <v>16</v>
      </c>
      <c r="F1592" s="1308">
        <v>1.96</v>
      </c>
      <c r="G1592" s="1308">
        <v>0.6</v>
      </c>
      <c r="H1592" s="1308">
        <v>0.08</v>
      </c>
      <c r="I1592" s="1309">
        <f t="shared" si="98"/>
        <v>1.51</v>
      </c>
      <c r="J1592" s="1179"/>
    </row>
    <row r="1593" spans="1:10" s="1209" customFormat="1">
      <c r="A1593" s="1176"/>
      <c r="B1593" s="1306" t="s">
        <v>3416</v>
      </c>
      <c r="C1593" s="1307">
        <v>1</v>
      </c>
      <c r="D1593" s="1307" t="s">
        <v>3364</v>
      </c>
      <c r="E1593" s="1307">
        <v>3</v>
      </c>
      <c r="F1593" s="1308">
        <v>4.3650000000000002</v>
      </c>
      <c r="G1593" s="1308">
        <v>0.23</v>
      </c>
      <c r="H1593" s="1308">
        <v>0.125</v>
      </c>
      <c r="I1593" s="1309">
        <f t="shared" si="98"/>
        <v>0.38</v>
      </c>
      <c r="J1593" s="1179"/>
    </row>
    <row r="1594" spans="1:10" s="1209" customFormat="1">
      <c r="A1594" s="1176"/>
      <c r="B1594" s="1306" t="s">
        <v>3417</v>
      </c>
      <c r="C1594" s="1307">
        <v>1</v>
      </c>
      <c r="D1594" s="1307" t="s">
        <v>3364</v>
      </c>
      <c r="E1594" s="1307">
        <v>3</v>
      </c>
      <c r="F1594" s="1308">
        <v>4.3650000000000002</v>
      </c>
      <c r="G1594" s="1308">
        <v>0.6</v>
      </c>
      <c r="H1594" s="1308">
        <v>0.08</v>
      </c>
      <c r="I1594" s="1309">
        <f t="shared" si="98"/>
        <v>0.63</v>
      </c>
      <c r="J1594" s="1179"/>
    </row>
    <row r="1595" spans="1:10" s="1209" customFormat="1">
      <c r="A1595" s="1176"/>
      <c r="B1595" s="1306" t="s">
        <v>3418</v>
      </c>
      <c r="C1595" s="1307">
        <v>1</v>
      </c>
      <c r="D1595" s="1307" t="s">
        <v>3364</v>
      </c>
      <c r="E1595" s="1307">
        <v>1</v>
      </c>
      <c r="F1595" s="1308">
        <v>5</v>
      </c>
      <c r="G1595" s="1308">
        <v>0.23</v>
      </c>
      <c r="H1595" s="1308">
        <v>0.125</v>
      </c>
      <c r="I1595" s="1309">
        <f t="shared" si="98"/>
        <v>0.14000000000000001</v>
      </c>
      <c r="J1595" s="1179"/>
    </row>
    <row r="1596" spans="1:10" s="1209" customFormat="1">
      <c r="A1596" s="1176"/>
      <c r="B1596" s="1306" t="s">
        <v>3419</v>
      </c>
      <c r="C1596" s="1307">
        <v>1</v>
      </c>
      <c r="D1596" s="1307" t="s">
        <v>3364</v>
      </c>
      <c r="E1596" s="1307">
        <v>1</v>
      </c>
      <c r="F1596" s="1308">
        <v>5</v>
      </c>
      <c r="G1596" s="1308">
        <v>0.6</v>
      </c>
      <c r="H1596" s="1308">
        <v>0.08</v>
      </c>
      <c r="I1596" s="1309">
        <f t="shared" si="98"/>
        <v>0.24</v>
      </c>
      <c r="J1596" s="1179"/>
    </row>
    <row r="1597" spans="1:10" s="1209" customFormat="1">
      <c r="A1597" s="1176"/>
      <c r="B1597" s="1306" t="s">
        <v>3420</v>
      </c>
      <c r="C1597" s="1307">
        <v>2</v>
      </c>
      <c r="D1597" s="1307" t="s">
        <v>3364</v>
      </c>
      <c r="E1597" s="1307">
        <v>2</v>
      </c>
      <c r="F1597" s="1308">
        <v>6.59</v>
      </c>
      <c r="G1597" s="1308">
        <v>0.23</v>
      </c>
      <c r="H1597" s="1308">
        <v>0.125</v>
      </c>
      <c r="I1597" s="1309">
        <f t="shared" si="98"/>
        <v>0.76</v>
      </c>
      <c r="J1597" s="1179"/>
    </row>
    <row r="1598" spans="1:10" s="1209" customFormat="1">
      <c r="A1598" s="1176"/>
      <c r="B1598" s="1306" t="s">
        <v>3421</v>
      </c>
      <c r="C1598" s="1307">
        <v>2</v>
      </c>
      <c r="D1598" s="1307" t="s">
        <v>3364</v>
      </c>
      <c r="E1598" s="1307">
        <v>2</v>
      </c>
      <c r="F1598" s="1308">
        <v>6.59</v>
      </c>
      <c r="G1598" s="1308">
        <v>0.6</v>
      </c>
      <c r="H1598" s="1308">
        <v>0.08</v>
      </c>
      <c r="I1598" s="1309">
        <f t="shared" si="98"/>
        <v>1.27</v>
      </c>
      <c r="J1598" s="1179"/>
    </row>
    <row r="1599" spans="1:10" s="1209" customFormat="1">
      <c r="A1599" s="1185"/>
      <c r="B1599" s="1255"/>
      <c r="C1599" s="1251"/>
      <c r="D1599" s="1251"/>
      <c r="E1599" s="1251"/>
      <c r="F1599" s="1177"/>
      <c r="G1599" s="1253" t="s">
        <v>104</v>
      </c>
      <c r="H1599" s="1253"/>
      <c r="I1599" s="1181">
        <f>SUM(I1555:I1598)</f>
        <v>121.22</v>
      </c>
      <c r="J1599" s="1184"/>
    </row>
    <row r="1600" spans="1:10" s="1209" customFormat="1">
      <c r="A1600" s="1185"/>
      <c r="B1600" s="1255"/>
      <c r="C1600" s="1251"/>
      <c r="D1600" s="1251"/>
      <c r="E1600" s="1251"/>
      <c r="F1600" s="1177"/>
      <c r="G1600" s="1253"/>
      <c r="H1600" s="1253" t="s">
        <v>2981</v>
      </c>
      <c r="I1600" s="1181">
        <f>CEILING(I1599,0.1)</f>
        <v>121.3</v>
      </c>
      <c r="J1600" s="1179" t="s">
        <v>5</v>
      </c>
    </row>
    <row r="1601" spans="1:14" s="1209" customFormat="1">
      <c r="A1601" s="1185"/>
      <c r="B1601" s="1270" t="s">
        <v>7006</v>
      </c>
      <c r="C1601" s="1251"/>
      <c r="D1601" s="1251"/>
      <c r="E1601" s="1251"/>
      <c r="F1601" s="1177"/>
      <c r="G1601" s="1177"/>
      <c r="H1601" s="1177"/>
      <c r="I1601" s="1178"/>
      <c r="J1601" s="1179"/>
    </row>
    <row r="1602" spans="1:14" s="1212" customFormat="1">
      <c r="A1602" s="1273"/>
      <c r="B1602" s="1306" t="s">
        <v>6526</v>
      </c>
      <c r="C1602" s="1307">
        <v>4</v>
      </c>
      <c r="D1602" s="1307" t="s">
        <v>3364</v>
      </c>
      <c r="E1602" s="1307">
        <v>1</v>
      </c>
      <c r="F1602" s="1308">
        <v>0.3</v>
      </c>
      <c r="G1602" s="1308">
        <v>0.23</v>
      </c>
      <c r="H1602" s="1308">
        <v>2.65</v>
      </c>
      <c r="I1602" s="1178">
        <f t="shared" ref="I1602:I1625" si="99">PRODUCT(C1602:H1602)</f>
        <v>0.73</v>
      </c>
      <c r="J1602" s="1179"/>
      <c r="L1602" s="1209"/>
      <c r="M1602" s="1209"/>
      <c r="N1602" s="1209"/>
    </row>
    <row r="1603" spans="1:14" s="1212" customFormat="1">
      <c r="A1603" s="1273"/>
      <c r="B1603" s="1306" t="s">
        <v>6527</v>
      </c>
      <c r="C1603" s="1307">
        <v>6</v>
      </c>
      <c r="D1603" s="1307" t="s">
        <v>3364</v>
      </c>
      <c r="E1603" s="1307">
        <v>1</v>
      </c>
      <c r="F1603" s="1308">
        <v>0.38</v>
      </c>
      <c r="G1603" s="1308">
        <v>0.23</v>
      </c>
      <c r="H1603" s="1308">
        <v>2.65</v>
      </c>
      <c r="I1603" s="1178">
        <f t="shared" si="99"/>
        <v>1.39</v>
      </c>
      <c r="J1603" s="1179"/>
      <c r="L1603" s="1209"/>
      <c r="M1603" s="1209"/>
      <c r="N1603" s="1209"/>
    </row>
    <row r="1604" spans="1:14" s="1212" customFormat="1">
      <c r="A1604" s="1273"/>
      <c r="B1604" s="1306" t="s">
        <v>6976</v>
      </c>
      <c r="C1604" s="1307">
        <v>2</v>
      </c>
      <c r="D1604" s="1307" t="s">
        <v>3364</v>
      </c>
      <c r="E1604" s="1307">
        <v>1</v>
      </c>
      <c r="F1604" s="1308">
        <v>0.38</v>
      </c>
      <c r="G1604" s="1308">
        <v>0.23</v>
      </c>
      <c r="H1604" s="1308">
        <v>2.65</v>
      </c>
      <c r="I1604" s="1178">
        <f t="shared" si="99"/>
        <v>0.46</v>
      </c>
      <c r="J1604" s="1179"/>
      <c r="L1604" s="1209"/>
      <c r="M1604" s="1209"/>
      <c r="N1604" s="1209"/>
    </row>
    <row r="1605" spans="1:14" s="1212" customFormat="1">
      <c r="A1605" s="1273"/>
      <c r="B1605" s="1306" t="s">
        <v>6977</v>
      </c>
      <c r="C1605" s="1307">
        <v>3</v>
      </c>
      <c r="D1605" s="1307" t="s">
        <v>3364</v>
      </c>
      <c r="E1605" s="1307">
        <v>1</v>
      </c>
      <c r="F1605" s="1308">
        <v>0.45</v>
      </c>
      <c r="G1605" s="1308">
        <v>0.23</v>
      </c>
      <c r="H1605" s="1308">
        <v>2.65</v>
      </c>
      <c r="I1605" s="1178">
        <f t="shared" si="99"/>
        <v>0.82</v>
      </c>
      <c r="J1605" s="1179"/>
      <c r="L1605" s="1209"/>
      <c r="M1605" s="1209"/>
      <c r="N1605" s="1209"/>
    </row>
    <row r="1606" spans="1:14" s="1212" customFormat="1">
      <c r="A1606" s="1273"/>
      <c r="B1606" s="1306" t="s">
        <v>6978</v>
      </c>
      <c r="C1606" s="1307">
        <v>3</v>
      </c>
      <c r="D1606" s="1307" t="s">
        <v>3364</v>
      </c>
      <c r="E1606" s="1307">
        <v>1</v>
      </c>
      <c r="F1606" s="1308">
        <v>0.45</v>
      </c>
      <c r="G1606" s="1308">
        <v>0.23</v>
      </c>
      <c r="H1606" s="1308">
        <v>2.65</v>
      </c>
      <c r="I1606" s="1178">
        <f t="shared" si="99"/>
        <v>0.82</v>
      </c>
      <c r="J1606" s="1179"/>
      <c r="L1606" s="1209"/>
      <c r="M1606" s="1209"/>
      <c r="N1606" s="1209"/>
    </row>
    <row r="1607" spans="1:14" s="1212" customFormat="1">
      <c r="A1607" s="1273"/>
      <c r="B1607" s="1306" t="s">
        <v>6979</v>
      </c>
      <c r="C1607" s="1307">
        <v>5</v>
      </c>
      <c r="D1607" s="1307" t="s">
        <v>3364</v>
      </c>
      <c r="E1607" s="1307">
        <v>1</v>
      </c>
      <c r="F1607" s="1308">
        <v>0.45</v>
      </c>
      <c r="G1607" s="1308">
        <v>0.3</v>
      </c>
      <c r="H1607" s="1308">
        <v>2.65</v>
      </c>
      <c r="I1607" s="1178">
        <f t="shared" si="99"/>
        <v>1.79</v>
      </c>
      <c r="J1607" s="1179"/>
      <c r="L1607" s="1209"/>
      <c r="M1607" s="1209"/>
      <c r="N1607" s="1209"/>
    </row>
    <row r="1608" spans="1:14" s="1212" customFormat="1">
      <c r="A1608" s="1273"/>
      <c r="B1608" s="1306" t="s">
        <v>6980</v>
      </c>
      <c r="C1608" s="1307">
        <v>4</v>
      </c>
      <c r="D1608" s="1307" t="s">
        <v>3364</v>
      </c>
      <c r="E1608" s="1307">
        <v>1</v>
      </c>
      <c r="F1608" s="1308">
        <v>0.45</v>
      </c>
      <c r="G1608" s="1308">
        <v>0.3</v>
      </c>
      <c r="H1608" s="1308">
        <v>2.65</v>
      </c>
      <c r="I1608" s="1178">
        <f t="shared" si="99"/>
        <v>1.43</v>
      </c>
      <c r="J1608" s="1179"/>
      <c r="L1608" s="1209"/>
      <c r="M1608" s="1209"/>
      <c r="N1608" s="1209"/>
    </row>
    <row r="1609" spans="1:14" s="1212" customFormat="1">
      <c r="A1609" s="1273"/>
      <c r="B1609" s="1306" t="s">
        <v>6981</v>
      </c>
      <c r="C1609" s="1307">
        <v>8</v>
      </c>
      <c r="D1609" s="1307" t="s">
        <v>3364</v>
      </c>
      <c r="E1609" s="1307">
        <v>1</v>
      </c>
      <c r="F1609" s="1308">
        <v>0.45</v>
      </c>
      <c r="G1609" s="1308">
        <v>0.3</v>
      </c>
      <c r="H1609" s="1308">
        <v>2.65</v>
      </c>
      <c r="I1609" s="1178">
        <f t="shared" si="99"/>
        <v>2.86</v>
      </c>
      <c r="J1609" s="1179"/>
      <c r="L1609" s="1209"/>
      <c r="M1609" s="1209"/>
      <c r="N1609" s="1209"/>
    </row>
    <row r="1610" spans="1:14" s="1209" customFormat="1">
      <c r="A1610" s="1185"/>
      <c r="B1610" s="1310" t="s">
        <v>3423</v>
      </c>
      <c r="C1610" s="1307"/>
      <c r="D1610" s="1307"/>
      <c r="E1610" s="1307"/>
      <c r="F1610" s="1308"/>
      <c r="G1610" s="1308"/>
      <c r="H1610" s="1308"/>
      <c r="I1610" s="1309">
        <f t="shared" si="99"/>
        <v>0</v>
      </c>
      <c r="J1610" s="1179"/>
    </row>
    <row r="1611" spans="1:14" s="1209" customFormat="1">
      <c r="A1611" s="1185"/>
      <c r="B1611" s="1306" t="s">
        <v>3424</v>
      </c>
      <c r="C1611" s="1307">
        <v>1</v>
      </c>
      <c r="D1611" s="1307" t="s">
        <v>3364</v>
      </c>
      <c r="E1611" s="1307">
        <v>1</v>
      </c>
      <c r="F1611" s="1308">
        <v>24.64</v>
      </c>
      <c r="G1611" s="1308">
        <v>17</v>
      </c>
      <c r="H1611" s="1308">
        <v>0.15</v>
      </c>
      <c r="I1611" s="1309">
        <f t="shared" si="99"/>
        <v>62.83</v>
      </c>
      <c r="J1611" s="1179"/>
    </row>
    <row r="1612" spans="1:14" s="1209" customFormat="1">
      <c r="A1612" s="1185"/>
      <c r="B1612" s="1306" t="s">
        <v>3425</v>
      </c>
      <c r="C1612" s="1307">
        <v>1</v>
      </c>
      <c r="D1612" s="1307" t="s">
        <v>3364</v>
      </c>
      <c r="E1612" s="1307">
        <v>1</v>
      </c>
      <c r="F1612" s="1308">
        <v>12.12</v>
      </c>
      <c r="G1612" s="1308">
        <f>0.46+8.82</f>
        <v>9.2799999999999994</v>
      </c>
      <c r="H1612" s="1308">
        <v>0.125</v>
      </c>
      <c r="I1612" s="1309">
        <f t="shared" si="99"/>
        <v>14.06</v>
      </c>
      <c r="J1612" s="1179"/>
    </row>
    <row r="1613" spans="1:14" s="1209" customFormat="1">
      <c r="A1613" s="1185"/>
      <c r="B1613" s="1306" t="s">
        <v>3426</v>
      </c>
      <c r="C1613" s="1307">
        <v>1</v>
      </c>
      <c r="D1613" s="1307" t="s">
        <v>3364</v>
      </c>
      <c r="E1613" s="1307">
        <v>1</v>
      </c>
      <c r="F1613" s="1308">
        <v>4.46</v>
      </c>
      <c r="G1613" s="1308">
        <f>0.46+2.5+1.8+0.23</f>
        <v>4.99</v>
      </c>
      <c r="H1613" s="1308">
        <v>0.125</v>
      </c>
      <c r="I1613" s="1309">
        <f t="shared" si="99"/>
        <v>2.78</v>
      </c>
      <c r="J1613" s="1179"/>
    </row>
    <row r="1614" spans="1:14" s="1209" customFormat="1">
      <c r="A1614" s="1185"/>
      <c r="B1614" s="1306" t="s">
        <v>3383</v>
      </c>
      <c r="C1614" s="1307">
        <v>-1</v>
      </c>
      <c r="D1614" s="1307" t="s">
        <v>3364</v>
      </c>
      <c r="E1614" s="1307">
        <v>1</v>
      </c>
      <c r="F1614" s="1308">
        <v>3</v>
      </c>
      <c r="G1614" s="1308">
        <f>8.82-1.5</f>
        <v>7.32</v>
      </c>
      <c r="H1614" s="1308">
        <v>0.125</v>
      </c>
      <c r="I1614" s="1309">
        <f t="shared" si="99"/>
        <v>-2.75</v>
      </c>
      <c r="J1614" s="1179"/>
    </row>
    <row r="1615" spans="1:14" s="1209" customFormat="1">
      <c r="A1615" s="1185"/>
      <c r="B1615" s="1306" t="s">
        <v>3405</v>
      </c>
      <c r="C1615" s="1307">
        <v>1</v>
      </c>
      <c r="D1615" s="1307" t="s">
        <v>3364</v>
      </c>
      <c r="E1615" s="1307">
        <v>6</v>
      </c>
      <c r="F1615" s="1308">
        <v>17</v>
      </c>
      <c r="G1615" s="1308">
        <v>0.23</v>
      </c>
      <c r="H1615" s="1308">
        <f t="shared" ref="H1615:H1621" si="100">0.45-0.125</f>
        <v>0.32500000000000001</v>
      </c>
      <c r="I1615" s="1309">
        <f t="shared" si="99"/>
        <v>7.62</v>
      </c>
      <c r="J1615" s="1179"/>
    </row>
    <row r="1616" spans="1:14" s="1209" customFormat="1">
      <c r="A1616" s="1185"/>
      <c r="B1616" s="1306" t="s">
        <v>3406</v>
      </c>
      <c r="C1616" s="1307">
        <v>1</v>
      </c>
      <c r="D1616" s="1307" t="s">
        <v>3364</v>
      </c>
      <c r="E1616" s="1307">
        <v>4</v>
      </c>
      <c r="F1616" s="1308">
        <v>24.64</v>
      </c>
      <c r="G1616" s="1308">
        <v>0.23</v>
      </c>
      <c r="H1616" s="1308">
        <f t="shared" si="100"/>
        <v>0.32500000000000001</v>
      </c>
      <c r="I1616" s="1309">
        <f t="shared" si="99"/>
        <v>7.37</v>
      </c>
      <c r="J1616" s="1179"/>
    </row>
    <row r="1617" spans="1:10" s="1209" customFormat="1">
      <c r="A1617" s="1185"/>
      <c r="B1617" s="1306" t="s">
        <v>3385</v>
      </c>
      <c r="C1617" s="1307">
        <v>1</v>
      </c>
      <c r="D1617" s="1307" t="s">
        <v>3364</v>
      </c>
      <c r="E1617" s="1307">
        <v>1</v>
      </c>
      <c r="F1617" s="1308">
        <f>0.46+4.14+8.97+0.23</f>
        <v>13.8</v>
      </c>
      <c r="G1617" s="1308">
        <v>0.23</v>
      </c>
      <c r="H1617" s="1308">
        <f t="shared" si="100"/>
        <v>0.32500000000000001</v>
      </c>
      <c r="I1617" s="1309">
        <f t="shared" si="99"/>
        <v>1.03</v>
      </c>
      <c r="J1617" s="1179"/>
    </row>
    <row r="1618" spans="1:10" s="1209" customFormat="1">
      <c r="A1618" s="1185"/>
      <c r="B1618" s="1306" t="s">
        <v>3386</v>
      </c>
      <c r="C1618" s="1307">
        <v>1</v>
      </c>
      <c r="D1618" s="1307" t="s">
        <v>3364</v>
      </c>
      <c r="E1618" s="1307">
        <v>2</v>
      </c>
      <c r="F1618" s="1308">
        <f>0.46+8.82</f>
        <v>9.2799999999999994</v>
      </c>
      <c r="G1618" s="1308">
        <v>0.23</v>
      </c>
      <c r="H1618" s="1308">
        <f t="shared" si="100"/>
        <v>0.32500000000000001</v>
      </c>
      <c r="I1618" s="1309">
        <f t="shared" si="99"/>
        <v>1.39</v>
      </c>
      <c r="J1618" s="1179"/>
    </row>
    <row r="1619" spans="1:10" s="1209" customFormat="1">
      <c r="A1619" s="1185"/>
      <c r="B1619" s="1306" t="s">
        <v>3387</v>
      </c>
      <c r="C1619" s="1307">
        <v>1</v>
      </c>
      <c r="D1619" s="1307" t="s">
        <v>3364</v>
      </c>
      <c r="E1619" s="1307">
        <v>3</v>
      </c>
      <c r="F1619" s="1308">
        <v>12.12</v>
      </c>
      <c r="G1619" s="1308">
        <v>0.23</v>
      </c>
      <c r="H1619" s="1308">
        <f t="shared" si="100"/>
        <v>0.32500000000000001</v>
      </c>
      <c r="I1619" s="1309">
        <f t="shared" si="99"/>
        <v>2.72</v>
      </c>
      <c r="J1619" s="1179"/>
    </row>
    <row r="1620" spans="1:10" s="1209" customFormat="1">
      <c r="A1620" s="1185"/>
      <c r="B1620" s="1306" t="s">
        <v>3388</v>
      </c>
      <c r="C1620" s="1307">
        <v>1</v>
      </c>
      <c r="D1620" s="1307" t="s">
        <v>3364</v>
      </c>
      <c r="E1620" s="1307">
        <v>1</v>
      </c>
      <c r="F1620" s="1308">
        <f>2.3+0.46+2.5</f>
        <v>5.26</v>
      </c>
      <c r="G1620" s="1308">
        <v>0.23</v>
      </c>
      <c r="H1620" s="1308">
        <f t="shared" si="100"/>
        <v>0.32500000000000001</v>
      </c>
      <c r="I1620" s="1309">
        <f t="shared" si="99"/>
        <v>0.39</v>
      </c>
      <c r="J1620" s="1179"/>
    </row>
    <row r="1621" spans="1:10" s="1209" customFormat="1">
      <c r="A1621" s="1185"/>
      <c r="B1621" s="1306" t="s">
        <v>3389</v>
      </c>
      <c r="C1621" s="1307">
        <v>1</v>
      </c>
      <c r="D1621" s="1307" t="s">
        <v>3364</v>
      </c>
      <c r="E1621" s="1307">
        <v>1</v>
      </c>
      <c r="F1621" s="1308">
        <v>4</v>
      </c>
      <c r="G1621" s="1308">
        <v>0.23</v>
      </c>
      <c r="H1621" s="1308">
        <f t="shared" si="100"/>
        <v>0.32500000000000001</v>
      </c>
      <c r="I1621" s="1309">
        <f t="shared" si="99"/>
        <v>0.3</v>
      </c>
      <c r="J1621" s="1179"/>
    </row>
    <row r="1622" spans="1:10" s="1209" customFormat="1">
      <c r="A1622" s="1185"/>
      <c r="B1622" s="1306" t="s">
        <v>3390</v>
      </c>
      <c r="C1622" s="1307">
        <v>1</v>
      </c>
      <c r="D1622" s="1307" t="s">
        <v>3364</v>
      </c>
      <c r="E1622" s="1307">
        <v>2</v>
      </c>
      <c r="F1622" s="1308">
        <v>7.32</v>
      </c>
      <c r="G1622" s="1308">
        <v>1.5</v>
      </c>
      <c r="H1622" s="1308">
        <v>0.15</v>
      </c>
      <c r="I1622" s="1309">
        <f t="shared" si="99"/>
        <v>3.29</v>
      </c>
      <c r="J1622" s="1179"/>
    </row>
    <row r="1623" spans="1:10" s="1209" customFormat="1">
      <c r="A1623" s="1185"/>
      <c r="B1623" s="1306" t="s">
        <v>3391</v>
      </c>
      <c r="C1623" s="1307">
        <v>1</v>
      </c>
      <c r="D1623" s="1307" t="s">
        <v>3364</v>
      </c>
      <c r="E1623" s="1307">
        <v>1</v>
      </c>
      <c r="F1623" s="1308">
        <v>3</v>
      </c>
      <c r="G1623" s="1308">
        <v>1.5</v>
      </c>
      <c r="H1623" s="1308">
        <v>0.15</v>
      </c>
      <c r="I1623" s="1309">
        <f t="shared" si="99"/>
        <v>0.68</v>
      </c>
      <c r="J1623" s="1179"/>
    </row>
    <row r="1624" spans="1:10" s="1209" customFormat="1">
      <c r="A1624" s="1185"/>
      <c r="B1624" s="1306" t="s">
        <v>3392</v>
      </c>
      <c r="C1624" s="1307">
        <v>1</v>
      </c>
      <c r="D1624" s="1307" t="s">
        <v>3364</v>
      </c>
      <c r="E1624" s="1307">
        <v>1</v>
      </c>
      <c r="F1624" s="1308">
        <v>3.46</v>
      </c>
      <c r="G1624" s="1308">
        <v>0.23</v>
      </c>
      <c r="H1624" s="1308">
        <v>0.45</v>
      </c>
      <c r="I1624" s="1309">
        <f t="shared" si="99"/>
        <v>0.36</v>
      </c>
      <c r="J1624" s="1179"/>
    </row>
    <row r="1625" spans="1:10" s="1209" customFormat="1">
      <c r="A1625" s="1185"/>
      <c r="B1625" s="1306" t="s">
        <v>3393</v>
      </c>
      <c r="C1625" s="1311">
        <v>0.5</v>
      </c>
      <c r="D1625" s="1307" t="s">
        <v>3364</v>
      </c>
      <c r="E1625" s="1307">
        <v>22</v>
      </c>
      <c r="F1625" s="1308">
        <v>1.35</v>
      </c>
      <c r="G1625" s="1308">
        <v>0.3</v>
      </c>
      <c r="H1625" s="1308">
        <v>0.15</v>
      </c>
      <c r="I1625" s="1309">
        <f t="shared" si="99"/>
        <v>0.67</v>
      </c>
      <c r="J1625" s="1179"/>
    </row>
    <row r="1626" spans="1:10" s="1209" customFormat="1">
      <c r="A1626" s="1185"/>
      <c r="B1626" s="1312" t="s">
        <v>3395</v>
      </c>
      <c r="C1626" s="1307"/>
      <c r="D1626" s="1307"/>
      <c r="E1626" s="1307"/>
      <c r="F1626" s="1308"/>
      <c r="G1626" s="1308"/>
      <c r="H1626" s="1308"/>
      <c r="I1626" s="1309"/>
      <c r="J1626" s="1179"/>
    </row>
    <row r="1627" spans="1:10" s="1209" customFormat="1">
      <c r="A1627" s="1185"/>
      <c r="B1627" s="1306" t="s">
        <v>3397</v>
      </c>
      <c r="C1627" s="1307">
        <v>1</v>
      </c>
      <c r="D1627" s="1307" t="s">
        <v>3364</v>
      </c>
      <c r="E1627" s="1307">
        <v>1</v>
      </c>
      <c r="F1627" s="1308">
        <v>1.46</v>
      </c>
      <c r="G1627" s="1308">
        <v>0.23</v>
      </c>
      <c r="H1627" s="1308">
        <v>0.23</v>
      </c>
      <c r="I1627" s="1309">
        <f t="shared" ref="I1627:I1633" si="101">PRODUCT(C1627:H1627)</f>
        <v>0.08</v>
      </c>
      <c r="J1627" s="1179"/>
    </row>
    <row r="1628" spans="1:10" s="1209" customFormat="1">
      <c r="A1628" s="1185"/>
      <c r="B1628" s="1306" t="s">
        <v>3396</v>
      </c>
      <c r="C1628" s="1307">
        <v>1</v>
      </c>
      <c r="D1628" s="1307" t="s">
        <v>3364</v>
      </c>
      <c r="E1628" s="1307">
        <v>2</v>
      </c>
      <c r="F1628" s="1308">
        <v>1.96</v>
      </c>
      <c r="G1628" s="1308">
        <v>0.23</v>
      </c>
      <c r="H1628" s="1308">
        <v>0.23</v>
      </c>
      <c r="I1628" s="1309">
        <f t="shared" si="101"/>
        <v>0.21</v>
      </c>
      <c r="J1628" s="1179"/>
    </row>
    <row r="1629" spans="1:10" s="1209" customFormat="1">
      <c r="A1629" s="1185"/>
      <c r="B1629" s="1306" t="s">
        <v>3398</v>
      </c>
      <c r="C1629" s="1307">
        <v>1</v>
      </c>
      <c r="D1629" s="1307" t="s">
        <v>3364</v>
      </c>
      <c r="E1629" s="1307">
        <v>9</v>
      </c>
      <c r="F1629" s="1308">
        <v>1.46</v>
      </c>
      <c r="G1629" s="1308">
        <v>0.23</v>
      </c>
      <c r="H1629" s="1308">
        <v>0.15</v>
      </c>
      <c r="I1629" s="1309">
        <f t="shared" si="101"/>
        <v>0.45</v>
      </c>
      <c r="J1629" s="1179"/>
    </row>
    <row r="1630" spans="1:10" s="1209" customFormat="1">
      <c r="A1630" s="1185"/>
      <c r="B1630" s="1306" t="s">
        <v>3399</v>
      </c>
      <c r="C1630" s="1307">
        <v>1</v>
      </c>
      <c r="D1630" s="1307" t="s">
        <v>3364</v>
      </c>
      <c r="E1630" s="1307">
        <v>1</v>
      </c>
      <c r="F1630" s="1308">
        <v>1.46</v>
      </c>
      <c r="G1630" s="1308">
        <v>0.23</v>
      </c>
      <c r="H1630" s="1308">
        <v>0.15</v>
      </c>
      <c r="I1630" s="1309">
        <f t="shared" si="101"/>
        <v>0.05</v>
      </c>
      <c r="J1630" s="1179"/>
    </row>
    <row r="1631" spans="1:10" s="1209" customFormat="1">
      <c r="A1631" s="1185"/>
      <c r="B1631" s="1306" t="s">
        <v>3407</v>
      </c>
      <c r="C1631" s="1307">
        <v>1</v>
      </c>
      <c r="D1631" s="1307" t="s">
        <v>3364</v>
      </c>
      <c r="E1631" s="1307">
        <v>7</v>
      </c>
      <c r="F1631" s="1308">
        <v>1.1100000000000001</v>
      </c>
      <c r="G1631" s="1308">
        <v>0.115</v>
      </c>
      <c r="H1631" s="1308">
        <v>0.15</v>
      </c>
      <c r="I1631" s="1309">
        <f t="shared" si="101"/>
        <v>0.13</v>
      </c>
      <c r="J1631" s="1179"/>
    </row>
    <row r="1632" spans="1:10" s="1209" customFormat="1">
      <c r="A1632" s="1185"/>
      <c r="B1632" s="1306" t="s">
        <v>3400</v>
      </c>
      <c r="C1632" s="1307">
        <v>1</v>
      </c>
      <c r="D1632" s="1307" t="s">
        <v>3364</v>
      </c>
      <c r="E1632" s="1307">
        <v>14</v>
      </c>
      <c r="F1632" s="1308">
        <v>1.96</v>
      </c>
      <c r="G1632" s="1308">
        <v>0.23</v>
      </c>
      <c r="H1632" s="1308">
        <v>0.15</v>
      </c>
      <c r="I1632" s="1309">
        <f t="shared" si="101"/>
        <v>0.95</v>
      </c>
      <c r="J1632" s="1179"/>
    </row>
    <row r="1633" spans="1:14" s="1209" customFormat="1">
      <c r="A1633" s="1185"/>
      <c r="B1633" s="1306" t="s">
        <v>3401</v>
      </c>
      <c r="C1633" s="1307">
        <v>1</v>
      </c>
      <c r="D1633" s="1307" t="s">
        <v>3364</v>
      </c>
      <c r="E1633" s="1307">
        <v>7</v>
      </c>
      <c r="F1633" s="1308">
        <f>0.75+0.46</f>
        <v>1.21</v>
      </c>
      <c r="G1633" s="1308">
        <v>0.23</v>
      </c>
      <c r="H1633" s="1308">
        <v>0.15</v>
      </c>
      <c r="I1633" s="1309">
        <f t="shared" si="101"/>
        <v>0.28999999999999998</v>
      </c>
      <c r="J1633" s="1179"/>
    </row>
    <row r="1634" spans="1:14" s="1209" customFormat="1">
      <c r="A1634" s="1185"/>
      <c r="B1634" s="1306" t="s">
        <v>3402</v>
      </c>
      <c r="C1634" s="1307"/>
      <c r="D1634" s="1307"/>
      <c r="E1634" s="1307"/>
      <c r="F1634" s="1308"/>
      <c r="G1634" s="1308"/>
      <c r="H1634" s="1308"/>
      <c r="I1634" s="1309"/>
      <c r="J1634" s="1179"/>
    </row>
    <row r="1635" spans="1:14" s="1209" customFormat="1">
      <c r="A1635" s="1185"/>
      <c r="B1635" s="1306" t="s">
        <v>3400</v>
      </c>
      <c r="C1635" s="1307">
        <v>1</v>
      </c>
      <c r="D1635" s="1307" t="s">
        <v>3364</v>
      </c>
      <c r="E1635" s="1307">
        <v>14</v>
      </c>
      <c r="F1635" s="1308">
        <v>1.96</v>
      </c>
      <c r="G1635" s="1308">
        <v>0.23</v>
      </c>
      <c r="H1635" s="1308">
        <v>0.05</v>
      </c>
      <c r="I1635" s="1309">
        <f t="shared" ref="I1635:I1642" si="102">PRODUCT(C1635:H1635)</f>
        <v>0.32</v>
      </c>
      <c r="J1635" s="1179"/>
    </row>
    <row r="1636" spans="1:14" s="1209" customFormat="1">
      <c r="A1636" s="1185"/>
      <c r="B1636" s="1306" t="s">
        <v>3403</v>
      </c>
      <c r="C1636" s="1307">
        <v>1</v>
      </c>
      <c r="D1636" s="1307" t="s">
        <v>3364</v>
      </c>
      <c r="E1636" s="1307">
        <v>14</v>
      </c>
      <c r="F1636" s="1308">
        <v>1.96</v>
      </c>
      <c r="G1636" s="1308">
        <v>0.6</v>
      </c>
      <c r="H1636" s="1308">
        <v>0.08</v>
      </c>
      <c r="I1636" s="1309">
        <f t="shared" si="102"/>
        <v>1.32</v>
      </c>
      <c r="J1636" s="1179"/>
    </row>
    <row r="1637" spans="1:14" s="1209" customFormat="1">
      <c r="A1637" s="1185"/>
      <c r="B1637" s="1306" t="s">
        <v>3427</v>
      </c>
      <c r="C1637" s="1307">
        <v>1</v>
      </c>
      <c r="D1637" s="1307" t="s">
        <v>3364</v>
      </c>
      <c r="E1637" s="1307">
        <v>2</v>
      </c>
      <c r="F1637" s="1308">
        <v>2</v>
      </c>
      <c r="G1637" s="1308">
        <v>0.23</v>
      </c>
      <c r="H1637" s="1308">
        <v>0.125</v>
      </c>
      <c r="I1637" s="1309">
        <f t="shared" si="102"/>
        <v>0.12</v>
      </c>
      <c r="J1637" s="1179"/>
    </row>
    <row r="1638" spans="1:14" s="1209" customFormat="1">
      <c r="A1638" s="1176"/>
      <c r="B1638" s="1306" t="s">
        <v>3428</v>
      </c>
      <c r="C1638" s="1307">
        <v>1</v>
      </c>
      <c r="D1638" s="1307" t="s">
        <v>3364</v>
      </c>
      <c r="E1638" s="1307">
        <v>2</v>
      </c>
      <c r="F1638" s="1308">
        <v>2</v>
      </c>
      <c r="G1638" s="1308">
        <v>0.6</v>
      </c>
      <c r="H1638" s="1308">
        <v>0.08</v>
      </c>
      <c r="I1638" s="1309">
        <f t="shared" si="102"/>
        <v>0.19</v>
      </c>
      <c r="J1638" s="1179"/>
    </row>
    <row r="1639" spans="1:14" s="1209" customFormat="1">
      <c r="A1639" s="1176"/>
      <c r="B1639" s="1306" t="s">
        <v>3429</v>
      </c>
      <c r="C1639" s="1307">
        <v>1</v>
      </c>
      <c r="D1639" s="1307" t="s">
        <v>3364</v>
      </c>
      <c r="E1639" s="1307">
        <v>1</v>
      </c>
      <c r="F1639" s="1308">
        <v>5</v>
      </c>
      <c r="G1639" s="1308">
        <v>0.23</v>
      </c>
      <c r="H1639" s="1308">
        <v>0.125</v>
      </c>
      <c r="I1639" s="1309">
        <f t="shared" si="102"/>
        <v>0.14000000000000001</v>
      </c>
      <c r="J1639" s="1179"/>
    </row>
    <row r="1640" spans="1:14" s="1209" customFormat="1">
      <c r="A1640" s="1176"/>
      <c r="B1640" s="1306" t="s">
        <v>3430</v>
      </c>
      <c r="C1640" s="1307">
        <v>1</v>
      </c>
      <c r="D1640" s="1307" t="s">
        <v>3364</v>
      </c>
      <c r="E1640" s="1307">
        <v>1</v>
      </c>
      <c r="F1640" s="1308">
        <v>5</v>
      </c>
      <c r="G1640" s="1308">
        <v>0.6</v>
      </c>
      <c r="H1640" s="1308">
        <v>0.08</v>
      </c>
      <c r="I1640" s="1309">
        <f t="shared" si="102"/>
        <v>0.24</v>
      </c>
      <c r="J1640" s="1179"/>
    </row>
    <row r="1641" spans="1:14" s="1209" customFormat="1">
      <c r="A1641" s="1176"/>
      <c r="B1641" s="1306" t="s">
        <v>3420</v>
      </c>
      <c r="C1641" s="1307">
        <v>2</v>
      </c>
      <c r="D1641" s="1307" t="s">
        <v>3364</v>
      </c>
      <c r="E1641" s="1307">
        <v>2</v>
      </c>
      <c r="F1641" s="1308">
        <v>6.59</v>
      </c>
      <c r="G1641" s="1308">
        <v>0.23</v>
      </c>
      <c r="H1641" s="1308">
        <v>0.125</v>
      </c>
      <c r="I1641" s="1309">
        <f t="shared" si="102"/>
        <v>0.76</v>
      </c>
      <c r="J1641" s="1179"/>
    </row>
    <row r="1642" spans="1:14" s="1209" customFormat="1">
      <c r="A1642" s="1176"/>
      <c r="B1642" s="1306" t="s">
        <v>3421</v>
      </c>
      <c r="C1642" s="1307">
        <v>2</v>
      </c>
      <c r="D1642" s="1307" t="s">
        <v>3364</v>
      </c>
      <c r="E1642" s="1307">
        <v>2</v>
      </c>
      <c r="F1642" s="1308">
        <v>6.59</v>
      </c>
      <c r="G1642" s="1308">
        <v>0.6</v>
      </c>
      <c r="H1642" s="1308">
        <v>0.08</v>
      </c>
      <c r="I1642" s="1309">
        <f t="shared" si="102"/>
        <v>1.27</v>
      </c>
      <c r="J1642" s="1179"/>
    </row>
    <row r="1643" spans="1:14" s="1209" customFormat="1">
      <c r="A1643" s="1176"/>
      <c r="B1643" s="1313"/>
      <c r="C1643" s="1307"/>
      <c r="D1643" s="1307"/>
      <c r="E1643" s="1307"/>
      <c r="F1643" s="1308"/>
      <c r="G1643" s="1253" t="s">
        <v>104</v>
      </c>
      <c r="H1643" s="1253"/>
      <c r="I1643" s="1181">
        <f>SUM(I1602:I1642)</f>
        <v>119.56</v>
      </c>
      <c r="J1643" s="1184"/>
    </row>
    <row r="1644" spans="1:14" s="1209" customFormat="1">
      <c r="A1644" s="1176"/>
      <c r="B1644" s="1313"/>
      <c r="C1644" s="1307"/>
      <c r="D1644" s="1307"/>
      <c r="E1644" s="1307"/>
      <c r="F1644" s="1308"/>
      <c r="G1644" s="1253"/>
      <c r="H1644" s="1253" t="s">
        <v>2981</v>
      </c>
      <c r="I1644" s="1181">
        <f>CEILING(I1643,0.1)</f>
        <v>119.6</v>
      </c>
      <c r="J1644" s="1179" t="s">
        <v>5</v>
      </c>
    </row>
    <row r="1645" spans="1:14" s="1209" customFormat="1">
      <c r="A1645" s="1176"/>
      <c r="B1645" s="1314" t="s">
        <v>7005</v>
      </c>
      <c r="C1645" s="1307"/>
      <c r="D1645" s="1307"/>
      <c r="E1645" s="1307"/>
      <c r="F1645" s="1308"/>
      <c r="G1645" s="1308"/>
      <c r="H1645" s="1308"/>
      <c r="I1645" s="1309"/>
      <c r="J1645" s="1179"/>
    </row>
    <row r="1646" spans="1:14" s="1212" customFormat="1">
      <c r="A1646" s="1273"/>
      <c r="B1646" s="1306" t="s">
        <v>6526</v>
      </c>
      <c r="C1646" s="1307">
        <v>4</v>
      </c>
      <c r="D1646" s="1307" t="s">
        <v>3364</v>
      </c>
      <c r="E1646" s="1307">
        <v>1</v>
      </c>
      <c r="F1646" s="1308">
        <f>0.3</f>
        <v>0.3</v>
      </c>
      <c r="G1646" s="1308">
        <v>0.23</v>
      </c>
      <c r="H1646" s="1308">
        <v>2.4</v>
      </c>
      <c r="I1646" s="1178">
        <f t="shared" ref="I1646:I1654" si="103">PRODUCT(C1646:H1646)</f>
        <v>0.66</v>
      </c>
      <c r="J1646" s="1179"/>
      <c r="L1646" s="1209"/>
      <c r="M1646" s="1209"/>
      <c r="N1646" s="1209"/>
    </row>
    <row r="1647" spans="1:14" s="1212" customFormat="1">
      <c r="A1647" s="1273"/>
      <c r="B1647" s="1306" t="s">
        <v>6527</v>
      </c>
      <c r="C1647" s="1307">
        <v>3</v>
      </c>
      <c r="D1647" s="1307" t="s">
        <v>3364</v>
      </c>
      <c r="E1647" s="1307">
        <v>1</v>
      </c>
      <c r="F1647" s="1308">
        <f>0.3</f>
        <v>0.3</v>
      </c>
      <c r="G1647" s="1308">
        <v>0.23</v>
      </c>
      <c r="H1647" s="1308">
        <v>2.4</v>
      </c>
      <c r="I1647" s="1178">
        <f t="shared" si="103"/>
        <v>0.5</v>
      </c>
      <c r="J1647" s="1179"/>
      <c r="L1647" s="1209"/>
      <c r="M1647" s="1209"/>
      <c r="N1647" s="1209"/>
    </row>
    <row r="1648" spans="1:14" s="1212" customFormat="1">
      <c r="A1648" s="1273"/>
      <c r="B1648" s="1306" t="s">
        <v>6976</v>
      </c>
      <c r="C1648" s="1307">
        <v>1</v>
      </c>
      <c r="D1648" s="1307" t="s">
        <v>3364</v>
      </c>
      <c r="E1648" s="1307">
        <v>1</v>
      </c>
      <c r="F1648" s="1308">
        <f>0.3</f>
        <v>0.3</v>
      </c>
      <c r="G1648" s="1308">
        <v>0.23</v>
      </c>
      <c r="H1648" s="1308">
        <v>2.4</v>
      </c>
      <c r="I1648" s="1178">
        <f t="shared" si="103"/>
        <v>0.17</v>
      </c>
      <c r="J1648" s="1179"/>
      <c r="L1648" s="1209"/>
      <c r="M1648" s="1209"/>
      <c r="N1648" s="1209"/>
    </row>
    <row r="1649" spans="1:14" s="1212" customFormat="1">
      <c r="A1649" s="1273"/>
      <c r="B1649" s="1306" t="s">
        <v>6977</v>
      </c>
      <c r="C1649" s="1307">
        <v>3</v>
      </c>
      <c r="D1649" s="1307" t="s">
        <v>3364</v>
      </c>
      <c r="E1649" s="1307">
        <v>1</v>
      </c>
      <c r="F1649" s="1308">
        <f>0.45</f>
        <v>0.45</v>
      </c>
      <c r="G1649" s="1308">
        <v>0.23</v>
      </c>
      <c r="H1649" s="1308">
        <v>2.4</v>
      </c>
      <c r="I1649" s="1178">
        <f t="shared" si="103"/>
        <v>0.75</v>
      </c>
      <c r="J1649" s="1179"/>
      <c r="L1649" s="1209"/>
      <c r="M1649" s="1209"/>
      <c r="N1649" s="1209"/>
    </row>
    <row r="1650" spans="1:14" s="1212" customFormat="1">
      <c r="A1650" s="1273"/>
      <c r="B1650" s="1306" t="s">
        <v>6981</v>
      </c>
      <c r="C1650" s="1307">
        <v>3</v>
      </c>
      <c r="D1650" s="1307" t="s">
        <v>3364</v>
      </c>
      <c r="E1650" s="1307">
        <v>1</v>
      </c>
      <c r="F1650" s="1308">
        <f>0.45</f>
        <v>0.45</v>
      </c>
      <c r="G1650" s="1308">
        <v>0.3</v>
      </c>
      <c r="H1650" s="1308">
        <v>1.2</v>
      </c>
      <c r="I1650" s="1178">
        <f t="shared" si="103"/>
        <v>0.49</v>
      </c>
      <c r="J1650" s="1179"/>
      <c r="L1650" s="1209"/>
      <c r="M1650" s="1209"/>
      <c r="N1650" s="1209"/>
    </row>
    <row r="1651" spans="1:14" s="1216" customFormat="1" ht="16.5">
      <c r="A1651" s="1315"/>
      <c r="B1651" s="1306" t="s">
        <v>3432</v>
      </c>
      <c r="C1651" s="1307"/>
      <c r="D1651" s="1307"/>
      <c r="E1651" s="1307"/>
      <c r="F1651" s="1308"/>
      <c r="G1651" s="1308"/>
      <c r="H1651" s="1308"/>
      <c r="I1651" s="1309">
        <f t="shared" si="103"/>
        <v>0</v>
      </c>
      <c r="J1651" s="1316"/>
    </row>
    <row r="1652" spans="1:14" s="1216" customFormat="1" ht="16.5">
      <c r="A1652" s="1315"/>
      <c r="B1652" s="1306" t="s">
        <v>3433</v>
      </c>
      <c r="C1652" s="1307">
        <v>1</v>
      </c>
      <c r="D1652" s="1307" t="s">
        <v>3364</v>
      </c>
      <c r="E1652" s="1307">
        <v>1</v>
      </c>
      <c r="F1652" s="1308">
        <f>8.82+0.46</f>
        <v>9.2799999999999994</v>
      </c>
      <c r="G1652" s="1308">
        <v>3.46</v>
      </c>
      <c r="H1652" s="1308">
        <v>0.125</v>
      </c>
      <c r="I1652" s="1309">
        <f t="shared" si="103"/>
        <v>4.01</v>
      </c>
      <c r="J1652" s="1316"/>
    </row>
    <row r="1653" spans="1:14" s="1216" customFormat="1" ht="16.5">
      <c r="A1653" s="1315"/>
      <c r="B1653" s="1306" t="s">
        <v>3434</v>
      </c>
      <c r="C1653" s="1307">
        <v>1</v>
      </c>
      <c r="D1653" s="1307" t="s">
        <v>3364</v>
      </c>
      <c r="E1653" s="1307">
        <v>2</v>
      </c>
      <c r="F1653" s="1308">
        <v>9.2799999999999994</v>
      </c>
      <c r="G1653" s="1308">
        <v>0.23</v>
      </c>
      <c r="H1653" s="1308">
        <f>0.45-0.125</f>
        <v>0.32500000000000001</v>
      </c>
      <c r="I1653" s="1309">
        <f t="shared" si="103"/>
        <v>1.39</v>
      </c>
      <c r="J1653" s="1316"/>
    </row>
    <row r="1654" spans="1:14" s="1216" customFormat="1" ht="16.5">
      <c r="A1654" s="1315"/>
      <c r="B1654" s="1306" t="s">
        <v>3435</v>
      </c>
      <c r="C1654" s="1307">
        <v>1</v>
      </c>
      <c r="D1654" s="1307" t="s">
        <v>3364</v>
      </c>
      <c r="E1654" s="1307">
        <v>2</v>
      </c>
      <c r="F1654" s="1308">
        <v>3.46</v>
      </c>
      <c r="G1654" s="1308">
        <v>0.23</v>
      </c>
      <c r="H1654" s="1308">
        <f>0.45-0.125</f>
        <v>0.32500000000000001</v>
      </c>
      <c r="I1654" s="1309">
        <f t="shared" si="103"/>
        <v>0.52</v>
      </c>
      <c r="J1654" s="1316"/>
    </row>
    <row r="1655" spans="1:14" s="1216" customFormat="1" ht="16.5">
      <c r="A1655" s="1315"/>
      <c r="B1655" s="1306" t="s">
        <v>3436</v>
      </c>
      <c r="C1655" s="1307"/>
      <c r="D1655" s="1307"/>
      <c r="E1655" s="1307"/>
      <c r="F1655" s="1308"/>
      <c r="G1655" s="1308"/>
      <c r="H1655" s="1308"/>
      <c r="I1655" s="1309"/>
      <c r="J1655" s="1316"/>
    </row>
    <row r="1656" spans="1:14" s="1216" customFormat="1" ht="16.5">
      <c r="A1656" s="1315"/>
      <c r="B1656" s="1306" t="s">
        <v>3433</v>
      </c>
      <c r="C1656" s="1307">
        <v>1</v>
      </c>
      <c r="D1656" s="1307" t="s">
        <v>3364</v>
      </c>
      <c r="E1656" s="1307">
        <v>1</v>
      </c>
      <c r="F1656" s="1308">
        <f>4.96</f>
        <v>4.96</v>
      </c>
      <c r="G1656" s="1308">
        <v>5.46</v>
      </c>
      <c r="H1656" s="1308">
        <v>0.15</v>
      </c>
      <c r="I1656" s="1309">
        <f>PRODUCT(C1656:H1656)</f>
        <v>4.0599999999999996</v>
      </c>
      <c r="J1656" s="1316"/>
    </row>
    <row r="1657" spans="1:14" s="1216" customFormat="1" ht="16.5">
      <c r="A1657" s="1315"/>
      <c r="B1657" s="1306" t="s">
        <v>3434</v>
      </c>
      <c r="C1657" s="1307">
        <v>1</v>
      </c>
      <c r="D1657" s="1307" t="s">
        <v>3364</v>
      </c>
      <c r="E1657" s="1307">
        <v>2</v>
      </c>
      <c r="F1657" s="1308">
        <v>5.46</v>
      </c>
      <c r="G1657" s="1308">
        <v>0.23</v>
      </c>
      <c r="H1657" s="1308">
        <v>0.35</v>
      </c>
      <c r="I1657" s="1309">
        <f>PRODUCT(C1657:H1657)</f>
        <v>0.88</v>
      </c>
      <c r="J1657" s="1316"/>
    </row>
    <row r="1658" spans="1:14" s="1209" customFormat="1">
      <c r="A1658" s="1176"/>
      <c r="B1658" s="1306" t="s">
        <v>3435</v>
      </c>
      <c r="C1658" s="1307">
        <v>1</v>
      </c>
      <c r="D1658" s="1307" t="s">
        <v>3364</v>
      </c>
      <c r="E1658" s="1307">
        <v>2</v>
      </c>
      <c r="F1658" s="1308">
        <v>4.96</v>
      </c>
      <c r="G1658" s="1308">
        <v>0.23</v>
      </c>
      <c r="H1658" s="1308">
        <v>0.35</v>
      </c>
      <c r="I1658" s="1309">
        <f>PRODUCT(C1658:H1658)</f>
        <v>0.8</v>
      </c>
      <c r="J1658" s="1179"/>
    </row>
    <row r="1659" spans="1:14" s="1209" customFormat="1">
      <c r="A1659" s="1176"/>
      <c r="B1659" s="1306" t="s">
        <v>3437</v>
      </c>
      <c r="C1659" s="1307">
        <v>1</v>
      </c>
      <c r="D1659" s="1307" t="s">
        <v>3364</v>
      </c>
      <c r="E1659" s="1307">
        <v>1</v>
      </c>
      <c r="F1659" s="1308">
        <f>4.5+4.5+7</f>
        <v>16</v>
      </c>
      <c r="G1659" s="1308">
        <v>0.115</v>
      </c>
      <c r="H1659" s="1308">
        <v>1</v>
      </c>
      <c r="I1659" s="1309">
        <f>PRODUCT(C1659:H1659)</f>
        <v>1.84</v>
      </c>
      <c r="J1659" s="1179"/>
    </row>
    <row r="1660" spans="1:14" s="1209" customFormat="1">
      <c r="A1660" s="1176"/>
      <c r="B1660" s="1306" t="s">
        <v>3438</v>
      </c>
      <c r="C1660" s="1307">
        <v>1</v>
      </c>
      <c r="D1660" s="1307" t="s">
        <v>3364</v>
      </c>
      <c r="E1660" s="1307">
        <v>1</v>
      </c>
      <c r="F1660" s="1308">
        <v>4.96</v>
      </c>
      <c r="G1660" s="1308">
        <v>3.96</v>
      </c>
      <c r="H1660" s="1308">
        <v>0.15</v>
      </c>
      <c r="I1660" s="1309">
        <f>PRODUCT(C1660:H1660)</f>
        <v>2.95</v>
      </c>
      <c r="J1660" s="1179"/>
    </row>
    <row r="1661" spans="1:14" s="1209" customFormat="1">
      <c r="A1661" s="1176"/>
      <c r="B1661" s="1306" t="s">
        <v>3439</v>
      </c>
      <c r="C1661" s="1307"/>
      <c r="D1661" s="1307"/>
      <c r="E1661" s="1307"/>
      <c r="F1661" s="1308"/>
      <c r="G1661" s="1308"/>
      <c r="H1661" s="1308"/>
      <c r="I1661" s="1309"/>
      <c r="J1661" s="1179"/>
    </row>
    <row r="1662" spans="1:14" s="1209" customFormat="1">
      <c r="A1662" s="1176"/>
      <c r="B1662" s="1306" t="s">
        <v>3440</v>
      </c>
      <c r="C1662" s="1307">
        <v>1</v>
      </c>
      <c r="D1662" s="1307" t="s">
        <v>3364</v>
      </c>
      <c r="E1662" s="1307">
        <v>1</v>
      </c>
      <c r="F1662" s="1308">
        <f>1+0.46</f>
        <v>1.46</v>
      </c>
      <c r="G1662" s="1308">
        <v>0.23</v>
      </c>
      <c r="H1662" s="1308">
        <v>0.15</v>
      </c>
      <c r="I1662" s="1309">
        <f>PRODUCT(C1662:H1662)</f>
        <v>0.05</v>
      </c>
      <c r="J1662" s="1179"/>
    </row>
    <row r="1663" spans="1:14" s="1209" customFormat="1">
      <c r="A1663" s="1176"/>
      <c r="B1663" s="1306" t="s">
        <v>3441</v>
      </c>
      <c r="C1663" s="1307">
        <v>1</v>
      </c>
      <c r="D1663" s="1307" t="s">
        <v>3364</v>
      </c>
      <c r="E1663" s="1307">
        <v>14</v>
      </c>
      <c r="F1663" s="1308">
        <v>1.96</v>
      </c>
      <c r="G1663" s="1308">
        <v>0.6</v>
      </c>
      <c r="H1663" s="1308">
        <v>0.08</v>
      </c>
      <c r="I1663" s="1309">
        <f>PRODUCT(C1663:H1663)</f>
        <v>1.32</v>
      </c>
      <c r="J1663" s="1179"/>
    </row>
    <row r="1664" spans="1:14" s="1209" customFormat="1">
      <c r="A1664" s="1185"/>
      <c r="B1664" s="1255"/>
      <c r="C1664" s="1251"/>
      <c r="D1664" s="1251"/>
      <c r="E1664" s="1251"/>
      <c r="F1664" s="1177"/>
      <c r="G1664" s="1253" t="s">
        <v>104</v>
      </c>
      <c r="H1664" s="1253"/>
      <c r="I1664" s="1181">
        <f>SUM(I1646:I1663)</f>
        <v>20.39</v>
      </c>
      <c r="J1664" s="1184"/>
    </row>
    <row r="1665" spans="1:10" s="1209" customFormat="1">
      <c r="A1665" s="1185"/>
      <c r="B1665" s="1255"/>
      <c r="C1665" s="1251"/>
      <c r="D1665" s="1251"/>
      <c r="E1665" s="1251"/>
      <c r="F1665" s="1177"/>
      <c r="G1665" s="1253"/>
      <c r="H1665" s="1253" t="s">
        <v>2981</v>
      </c>
      <c r="I1665" s="1181">
        <f>CEILING(I1664,0.1)</f>
        <v>20.399999999999999</v>
      </c>
      <c r="J1665" s="1179" t="s">
        <v>5</v>
      </c>
    </row>
    <row r="1666" spans="1:10" s="1209" customFormat="1" ht="94.5">
      <c r="A1666" s="1176">
        <v>2.2000000000000002</v>
      </c>
      <c r="B1666" s="1255" t="s">
        <v>6854</v>
      </c>
      <c r="C1666" s="1251"/>
      <c r="D1666" s="1251"/>
      <c r="E1666" s="1251"/>
      <c r="F1666" s="1177"/>
      <c r="G1666" s="1177"/>
      <c r="H1666" s="1177"/>
      <c r="I1666" s="1178"/>
      <c r="J1666" s="1179"/>
    </row>
    <row r="1667" spans="1:10" s="1209" customFormat="1">
      <c r="A1667" s="1176"/>
      <c r="B1667" s="1199" t="s">
        <v>3626</v>
      </c>
      <c r="C1667" s="1251">
        <v>6</v>
      </c>
      <c r="D1667" s="1251" t="s">
        <v>3364</v>
      </c>
      <c r="E1667" s="1251">
        <v>1</v>
      </c>
      <c r="F1667" s="1177">
        <v>13.202</v>
      </c>
      <c r="G1667" s="1177">
        <v>4.9000000000000004</v>
      </c>
      <c r="H1667" s="1177">
        <v>0.9</v>
      </c>
      <c r="I1667" s="1178">
        <f t="shared" ref="I1667:I1675" si="104">PRODUCT(C1667:H1667)</f>
        <v>349.32</v>
      </c>
      <c r="J1667" s="1179"/>
    </row>
    <row r="1668" spans="1:10" s="1209" customFormat="1">
      <c r="A1668" s="1176"/>
      <c r="B1668" s="1199" t="s">
        <v>6618</v>
      </c>
      <c r="C1668" s="1251">
        <v>1</v>
      </c>
      <c r="D1668" s="1251" t="s">
        <v>3364</v>
      </c>
      <c r="E1668" s="1251">
        <v>1</v>
      </c>
      <c r="F1668" s="1177">
        <v>4.67</v>
      </c>
      <c r="G1668" s="1177">
        <v>2.6970000000000001</v>
      </c>
      <c r="H1668" s="1177">
        <v>0.9</v>
      </c>
      <c r="I1668" s="1178">
        <f t="shared" si="104"/>
        <v>11.34</v>
      </c>
      <c r="J1668" s="1179"/>
    </row>
    <row r="1669" spans="1:10" s="1209" customFormat="1">
      <c r="A1669" s="1176"/>
      <c r="B1669" s="1199" t="s">
        <v>6591</v>
      </c>
      <c r="C1669" s="1251">
        <v>1</v>
      </c>
      <c r="D1669" s="1251" t="s">
        <v>3364</v>
      </c>
      <c r="E1669" s="1251">
        <v>1</v>
      </c>
      <c r="F1669" s="1177">
        <v>4.681</v>
      </c>
      <c r="G1669" s="1177">
        <v>2.6970000000000001</v>
      </c>
      <c r="H1669" s="1177">
        <v>0.9</v>
      </c>
      <c r="I1669" s="1178">
        <f t="shared" si="104"/>
        <v>11.36</v>
      </c>
      <c r="J1669" s="1179"/>
    </row>
    <row r="1670" spans="1:10" s="1209" customFormat="1">
      <c r="A1670" s="1176"/>
      <c r="B1670" s="1199" t="s">
        <v>6590</v>
      </c>
      <c r="C1670" s="1251">
        <v>1</v>
      </c>
      <c r="D1670" s="1251" t="s">
        <v>3364</v>
      </c>
      <c r="E1670" s="1251">
        <v>1</v>
      </c>
      <c r="F1670" s="1177">
        <v>5.24</v>
      </c>
      <c r="G1670" s="1177">
        <v>2.6970000000000001</v>
      </c>
      <c r="H1670" s="1177">
        <v>0.9</v>
      </c>
      <c r="I1670" s="1178">
        <f t="shared" si="104"/>
        <v>12.72</v>
      </c>
      <c r="J1670" s="1179"/>
    </row>
    <row r="1671" spans="1:10" s="1209" customFormat="1">
      <c r="A1671" s="1176"/>
      <c r="B1671" s="1199" t="s">
        <v>6619</v>
      </c>
      <c r="C1671" s="1251">
        <v>1</v>
      </c>
      <c r="D1671" s="1251" t="s">
        <v>3364</v>
      </c>
      <c r="E1671" s="1251">
        <v>1</v>
      </c>
      <c r="F1671" s="1177">
        <v>7.8</v>
      </c>
      <c r="G1671" s="1177">
        <v>2.9249999999999998</v>
      </c>
      <c r="H1671" s="1177">
        <v>0.9</v>
      </c>
      <c r="I1671" s="1178">
        <f t="shared" si="104"/>
        <v>20.53</v>
      </c>
      <c r="J1671" s="1179"/>
    </row>
    <row r="1672" spans="1:10" s="1209" customFormat="1">
      <c r="A1672" s="1176"/>
      <c r="B1672" s="1199" t="s">
        <v>6620</v>
      </c>
      <c r="C1672" s="1251">
        <v>1</v>
      </c>
      <c r="D1672" s="1251" t="s">
        <v>3364</v>
      </c>
      <c r="E1672" s="1251">
        <v>1</v>
      </c>
      <c r="F1672" s="1177">
        <v>6.3390000000000004</v>
      </c>
      <c r="G1672" s="1177">
        <v>5.39</v>
      </c>
      <c r="H1672" s="1177">
        <v>0.9</v>
      </c>
      <c r="I1672" s="1178">
        <f t="shared" si="104"/>
        <v>30.75</v>
      </c>
      <c r="J1672" s="1179"/>
    </row>
    <row r="1673" spans="1:10" s="1209" customFormat="1">
      <c r="A1673" s="1176"/>
      <c r="B1673" s="1199" t="s">
        <v>6621</v>
      </c>
      <c r="C1673" s="1251">
        <v>1</v>
      </c>
      <c r="D1673" s="1251" t="s">
        <v>3364</v>
      </c>
      <c r="E1673" s="1251">
        <v>1</v>
      </c>
      <c r="F1673" s="1177">
        <v>6.1120000000000001</v>
      </c>
      <c r="G1673" s="1177">
        <v>5.39</v>
      </c>
      <c r="H1673" s="1177">
        <v>0.9</v>
      </c>
      <c r="I1673" s="1178">
        <f t="shared" si="104"/>
        <v>29.65</v>
      </c>
      <c r="J1673" s="1179"/>
    </row>
    <row r="1674" spans="1:10" s="1209" customFormat="1">
      <c r="A1674" s="1176"/>
      <c r="B1674" s="1199" t="s">
        <v>6622</v>
      </c>
      <c r="C1674" s="1276">
        <v>0.5</v>
      </c>
      <c r="D1674" s="1251" t="s">
        <v>3364</v>
      </c>
      <c r="E1674" s="1251">
        <v>1</v>
      </c>
      <c r="F1674" s="1177">
        <v>35.271999999999998</v>
      </c>
      <c r="G1674" s="1177">
        <v>1.5</v>
      </c>
      <c r="H1674" s="1177">
        <v>0.15</v>
      </c>
      <c r="I1674" s="1178">
        <f t="shared" si="104"/>
        <v>3.97</v>
      </c>
      <c r="J1674" s="1179"/>
    </row>
    <row r="1675" spans="1:10" s="1209" customFormat="1">
      <c r="A1675" s="1176"/>
      <c r="B1675" s="1199" t="s">
        <v>6623</v>
      </c>
      <c r="C1675" s="1276">
        <v>1.5</v>
      </c>
      <c r="D1675" s="1251" t="s">
        <v>3364</v>
      </c>
      <c r="E1675" s="1251">
        <v>1</v>
      </c>
      <c r="F1675" s="1177">
        <v>9.7140000000000004</v>
      </c>
      <c r="G1675" s="1177">
        <v>1.5</v>
      </c>
      <c r="H1675" s="1177">
        <v>0.15</v>
      </c>
      <c r="I1675" s="1178">
        <f t="shared" si="104"/>
        <v>3.28</v>
      </c>
      <c r="J1675" s="1179"/>
    </row>
    <row r="1676" spans="1:10" s="1209" customFormat="1">
      <c r="A1676" s="1185"/>
      <c r="B1676" s="1199"/>
      <c r="C1676" s="1186"/>
      <c r="D1676" s="1186"/>
      <c r="E1676" s="1186"/>
      <c r="F1676" s="1177"/>
      <c r="G1676" s="1253" t="s">
        <v>104</v>
      </c>
      <c r="H1676" s="1253"/>
      <c r="I1676" s="1181">
        <f>SUM(I1667:I1675)</f>
        <v>472.92</v>
      </c>
      <c r="J1676" s="1184"/>
    </row>
    <row r="1677" spans="1:10" s="1209" customFormat="1">
      <c r="A1677" s="1176"/>
      <c r="B1677" s="1255"/>
      <c r="C1677" s="1251"/>
      <c r="D1677" s="1251"/>
      <c r="E1677" s="1251"/>
      <c r="F1677" s="1177"/>
      <c r="G1677" s="1253" t="s">
        <v>104</v>
      </c>
      <c r="H1677" s="1177"/>
      <c r="I1677" s="1181">
        <f>CEILING(I1676,0.1)</f>
        <v>473</v>
      </c>
      <c r="J1677" s="1179" t="s">
        <v>132</v>
      </c>
    </row>
    <row r="1678" spans="1:10" s="1209" customFormat="1" ht="283.5">
      <c r="A1678" s="1182">
        <v>18.100000000000001</v>
      </c>
      <c r="B1678" s="1200" t="s">
        <v>3555</v>
      </c>
      <c r="C1678" s="1186"/>
      <c r="D1678" s="1186"/>
      <c r="E1678" s="1186"/>
      <c r="F1678" s="1177"/>
      <c r="G1678" s="1177"/>
      <c r="H1678" s="1177"/>
      <c r="I1678" s="1178"/>
      <c r="J1678" s="1184"/>
    </row>
    <row r="1679" spans="1:10" s="1209" customFormat="1" ht="31.5">
      <c r="A1679" s="1182"/>
      <c r="B1679" s="1252" t="s">
        <v>3556</v>
      </c>
      <c r="C1679" s="1186"/>
      <c r="D1679" s="1186"/>
      <c r="E1679" s="1186"/>
      <c r="F1679" s="1177"/>
      <c r="G1679" s="1177"/>
      <c r="H1679" s="1177"/>
      <c r="I1679" s="1178"/>
      <c r="J1679" s="1184"/>
    </row>
    <row r="1680" spans="1:10" s="1209" customFormat="1">
      <c r="A1680" s="1182"/>
      <c r="B1680" s="1317" t="s">
        <v>3557</v>
      </c>
      <c r="C1680" s="1318"/>
      <c r="D1680" s="1318"/>
      <c r="E1680" s="1318"/>
      <c r="F1680" s="1308"/>
      <c r="G1680" s="1308"/>
      <c r="H1680" s="1308"/>
      <c r="I1680" s="1309"/>
      <c r="J1680" s="1319"/>
    </row>
    <row r="1681" spans="1:11" s="1209" customFormat="1">
      <c r="A1681" s="1176"/>
      <c r="B1681" s="1199" t="s">
        <v>6521</v>
      </c>
      <c r="C1681" s="1251">
        <v>1</v>
      </c>
      <c r="D1681" s="1251" t="s">
        <v>3364</v>
      </c>
      <c r="E1681" s="1251">
        <v>8</v>
      </c>
      <c r="F1681" s="1177">
        <f>2.5+2.5+2.5+2.5</f>
        <v>10</v>
      </c>
      <c r="G1681" s="1177"/>
      <c r="H1681" s="1177">
        <v>0.6</v>
      </c>
      <c r="I1681" s="1178">
        <f t="shared" ref="I1681:I1686" si="105">PRODUCT(C1681:H1681)</f>
        <v>48</v>
      </c>
      <c r="J1681" s="1179"/>
    </row>
    <row r="1682" spans="1:11" s="1209" customFormat="1" ht="16.5" customHeight="1">
      <c r="A1682" s="1176"/>
      <c r="B1682" s="1199" t="s">
        <v>6522</v>
      </c>
      <c r="C1682" s="1251">
        <v>1</v>
      </c>
      <c r="D1682" s="1251" t="s">
        <v>3364</v>
      </c>
      <c r="E1682" s="1251">
        <v>2</v>
      </c>
      <c r="F1682" s="1177">
        <f>2.7+2.7+2.7+2.7</f>
        <v>10.8</v>
      </c>
      <c r="G1682" s="1177"/>
      <c r="H1682" s="1177">
        <v>0.6</v>
      </c>
      <c r="I1682" s="1178">
        <f t="shared" si="105"/>
        <v>12.96</v>
      </c>
      <c r="J1682" s="1179"/>
    </row>
    <row r="1683" spans="1:11" s="1209" customFormat="1">
      <c r="A1683" s="1176"/>
      <c r="B1683" s="1199" t="s">
        <v>6523</v>
      </c>
      <c r="C1683" s="1251">
        <v>1</v>
      </c>
      <c r="D1683" s="1251" t="s">
        <v>3364</v>
      </c>
      <c r="E1683" s="1251">
        <v>13</v>
      </c>
      <c r="F1683" s="1177">
        <f>3.25+3.25+3.25+3.25</f>
        <v>13</v>
      </c>
      <c r="G1683" s="1177"/>
      <c r="H1683" s="1177">
        <v>0.6</v>
      </c>
      <c r="I1683" s="1178">
        <f t="shared" si="105"/>
        <v>101.4</v>
      </c>
      <c r="J1683" s="1179"/>
    </row>
    <row r="1684" spans="1:11" s="1209" customFormat="1">
      <c r="A1684" s="1176"/>
      <c r="B1684" s="1199" t="s">
        <v>6524</v>
      </c>
      <c r="C1684" s="1251">
        <v>1</v>
      </c>
      <c r="D1684" s="1251" t="s">
        <v>3364</v>
      </c>
      <c r="E1684" s="1251">
        <v>3</v>
      </c>
      <c r="F1684" s="1177">
        <f>3.3+3.3+3.3+3.3</f>
        <v>13.2</v>
      </c>
      <c r="G1684" s="1177"/>
      <c r="H1684" s="1177">
        <v>0.6</v>
      </c>
      <c r="I1684" s="1178">
        <f t="shared" si="105"/>
        <v>23.76</v>
      </c>
      <c r="J1684" s="1179"/>
    </row>
    <row r="1685" spans="1:11" s="1209" customFormat="1">
      <c r="A1685" s="1176"/>
      <c r="B1685" s="1199" t="s">
        <v>6956</v>
      </c>
      <c r="C1685" s="1251">
        <v>1</v>
      </c>
      <c r="D1685" s="1251" t="s">
        <v>3364</v>
      </c>
      <c r="E1685" s="1251">
        <v>5</v>
      </c>
      <c r="F1685" s="1177">
        <f>3.45+3.45+3.45+3.45</f>
        <v>13.8</v>
      </c>
      <c r="G1685" s="1177"/>
      <c r="H1685" s="1177">
        <v>0.6</v>
      </c>
      <c r="I1685" s="1178">
        <f t="shared" si="105"/>
        <v>41.4</v>
      </c>
      <c r="J1685" s="1179"/>
    </row>
    <row r="1686" spans="1:11" s="1209" customFormat="1">
      <c r="A1686" s="1176"/>
      <c r="B1686" s="1199" t="s">
        <v>6957</v>
      </c>
      <c r="C1686" s="1251">
        <v>1</v>
      </c>
      <c r="D1686" s="1251" t="s">
        <v>3364</v>
      </c>
      <c r="E1686" s="1251">
        <v>1</v>
      </c>
      <c r="F1686" s="1177">
        <f>3.595+3.595+4.25+4.25</f>
        <v>15.69</v>
      </c>
      <c r="G1686" s="1177"/>
      <c r="H1686" s="1177">
        <v>0.45</v>
      </c>
      <c r="I1686" s="1178">
        <f t="shared" si="105"/>
        <v>7.06</v>
      </c>
      <c r="J1686" s="1179"/>
      <c r="K1686" s="1209">
        <f>1.65+0.45+0.1+0.2</f>
        <v>2.4</v>
      </c>
    </row>
    <row r="1687" spans="1:11" s="1209" customFormat="1">
      <c r="A1687" s="1176"/>
      <c r="B1687" s="1199" t="s">
        <v>6963</v>
      </c>
      <c r="C1687" s="1251"/>
      <c r="D1687" s="1251"/>
      <c r="E1687" s="1251"/>
      <c r="F1687" s="1177"/>
      <c r="G1687" s="1177"/>
      <c r="H1687" s="1177"/>
      <c r="I1687" s="1178"/>
      <c r="J1687" s="1179"/>
    </row>
    <row r="1688" spans="1:11" s="1209" customFormat="1">
      <c r="A1688" s="1176"/>
      <c r="B1688" s="1252" t="s">
        <v>6959</v>
      </c>
      <c r="C1688" s="1251">
        <v>2</v>
      </c>
      <c r="D1688" s="1251" t="s">
        <v>3364</v>
      </c>
      <c r="E1688" s="1251">
        <v>2</v>
      </c>
      <c r="F1688" s="1177">
        <f>35.215+0.23</f>
        <v>35.445</v>
      </c>
      <c r="G1688" s="1177"/>
      <c r="H1688" s="1177">
        <v>0.4</v>
      </c>
      <c r="I1688" s="1178">
        <f>PRODUCT(C1688:H1688)</f>
        <v>56.71</v>
      </c>
      <c r="J1688" s="1179"/>
    </row>
    <row r="1689" spans="1:11" s="1209" customFormat="1">
      <c r="A1689" s="1176"/>
      <c r="B1689" s="1252" t="s">
        <v>6958</v>
      </c>
      <c r="C1689" s="1251">
        <v>2</v>
      </c>
      <c r="D1689" s="1251" t="s">
        <v>3364</v>
      </c>
      <c r="E1689" s="1251">
        <v>1</v>
      </c>
      <c r="F1689" s="1177">
        <v>26.745000000000001</v>
      </c>
      <c r="G1689" s="1177"/>
      <c r="H1689" s="1177">
        <v>0.4</v>
      </c>
      <c r="I1689" s="1178">
        <f>PRODUCT(C1689:H1689)</f>
        <v>21.4</v>
      </c>
      <c r="J1689" s="1179"/>
    </row>
    <row r="1690" spans="1:11" s="1209" customFormat="1">
      <c r="A1690" s="1176"/>
      <c r="B1690" s="1252" t="s">
        <v>6960</v>
      </c>
      <c r="C1690" s="1251">
        <v>2</v>
      </c>
      <c r="D1690" s="1251" t="s">
        <v>3364</v>
      </c>
      <c r="E1690" s="1251">
        <v>1</v>
      </c>
      <c r="F1690" s="1177">
        <v>8.4700000000000006</v>
      </c>
      <c r="G1690" s="1177"/>
      <c r="H1690" s="1177">
        <v>0.4</v>
      </c>
      <c r="I1690" s="1178">
        <f>PRODUCT(C1690:H1690)</f>
        <v>6.78</v>
      </c>
      <c r="J1690" s="1179"/>
    </row>
    <row r="1691" spans="1:11" s="1209" customFormat="1">
      <c r="A1691" s="1176"/>
      <c r="B1691" s="1252" t="s">
        <v>6961</v>
      </c>
      <c r="C1691" s="1251">
        <v>2</v>
      </c>
      <c r="D1691" s="1251" t="s">
        <v>3364</v>
      </c>
      <c r="E1691" s="1251">
        <v>1</v>
      </c>
      <c r="F1691" s="1177">
        <v>25.335000000000001</v>
      </c>
      <c r="G1691" s="1177"/>
      <c r="H1691" s="1177">
        <v>0.4</v>
      </c>
      <c r="I1691" s="1178">
        <f>PRODUCT(C1691:H1691)</f>
        <v>20.27</v>
      </c>
      <c r="J1691" s="1179"/>
    </row>
    <row r="1692" spans="1:11" s="1209" customFormat="1">
      <c r="A1692" s="1176"/>
      <c r="B1692" s="1199" t="s">
        <v>6962</v>
      </c>
      <c r="C1692" s="1251"/>
      <c r="D1692" s="1251"/>
      <c r="E1692" s="1251"/>
      <c r="F1692" s="1177"/>
      <c r="G1692" s="1177"/>
      <c r="H1692" s="1177"/>
      <c r="I1692" s="1178"/>
      <c r="J1692" s="1179"/>
    </row>
    <row r="1693" spans="1:11" s="1209" customFormat="1">
      <c r="A1693" s="1176"/>
      <c r="B1693" s="1252" t="s">
        <v>6972</v>
      </c>
      <c r="C1693" s="1251">
        <v>2</v>
      </c>
      <c r="D1693" s="1251" t="s">
        <v>3364</v>
      </c>
      <c r="E1693" s="1251">
        <v>2</v>
      </c>
      <c r="F1693" s="1177">
        <v>13.08</v>
      </c>
      <c r="G1693" s="1177"/>
      <c r="H1693" s="1177">
        <v>0.4</v>
      </c>
      <c r="I1693" s="1178">
        <f>PRODUCT(C1693:H1693)</f>
        <v>20.93</v>
      </c>
      <c r="J1693" s="1179"/>
    </row>
    <row r="1694" spans="1:11" s="1209" customFormat="1">
      <c r="A1694" s="1176"/>
      <c r="B1694" s="1252" t="s">
        <v>6973</v>
      </c>
      <c r="C1694" s="1251">
        <v>2</v>
      </c>
      <c r="D1694" s="1251" t="s">
        <v>3364</v>
      </c>
      <c r="E1694" s="1251">
        <v>5</v>
      </c>
      <c r="F1694" s="1177">
        <f>15.9+0.23</f>
        <v>16.13</v>
      </c>
      <c r="G1694" s="1177"/>
      <c r="H1694" s="1177">
        <v>0.4</v>
      </c>
      <c r="I1694" s="1178">
        <f>PRODUCT(C1694:H1694)</f>
        <v>64.52</v>
      </c>
      <c r="J1694" s="1179"/>
    </row>
    <row r="1695" spans="1:11" s="1209" customFormat="1">
      <c r="A1695" s="1176"/>
      <c r="B1695" s="1252" t="s">
        <v>6974</v>
      </c>
      <c r="C1695" s="1251">
        <v>2</v>
      </c>
      <c r="D1695" s="1251" t="s">
        <v>3364</v>
      </c>
      <c r="E1695" s="1251">
        <v>1</v>
      </c>
      <c r="F1695" s="1177">
        <v>12.67</v>
      </c>
      <c r="G1695" s="1177"/>
      <c r="H1695" s="1177">
        <v>0.4</v>
      </c>
      <c r="I1695" s="1178">
        <f>PRODUCT(C1695:H1695)</f>
        <v>10.14</v>
      </c>
      <c r="J1695" s="1179"/>
    </row>
    <row r="1696" spans="1:11" s="1209" customFormat="1">
      <c r="A1696" s="1176"/>
      <c r="B1696" s="1252" t="s">
        <v>6975</v>
      </c>
      <c r="C1696" s="1251">
        <v>2</v>
      </c>
      <c r="D1696" s="1251" t="s">
        <v>3364</v>
      </c>
      <c r="E1696" s="1251">
        <v>2</v>
      </c>
      <c r="F1696" s="1177">
        <v>2.82</v>
      </c>
      <c r="G1696" s="1177"/>
      <c r="H1696" s="1177">
        <v>0.4</v>
      </c>
      <c r="I1696" s="1178">
        <f>PRODUCT(C1696:H1696)</f>
        <v>4.51</v>
      </c>
      <c r="J1696" s="1179"/>
      <c r="K1696" s="1209">
        <f>1.75+0.9</f>
        <v>2.65</v>
      </c>
    </row>
    <row r="1697" spans="1:14" s="1209" customFormat="1">
      <c r="A1697" s="1182"/>
      <c r="B1697" s="1312" t="s">
        <v>3379</v>
      </c>
      <c r="C1697" s="1307"/>
      <c r="D1697" s="1307"/>
      <c r="E1697" s="1307"/>
      <c r="F1697" s="1308"/>
      <c r="G1697" s="1308"/>
      <c r="H1697" s="1308"/>
      <c r="I1697" s="1309"/>
      <c r="J1697" s="1320"/>
    </row>
    <row r="1698" spans="1:14" s="1212" customFormat="1">
      <c r="A1698" s="1273"/>
      <c r="B1698" s="1306" t="s">
        <v>6526</v>
      </c>
      <c r="C1698" s="1307">
        <v>4</v>
      </c>
      <c r="D1698" s="1307" t="s">
        <v>3364</v>
      </c>
      <c r="E1698" s="1307">
        <v>1</v>
      </c>
      <c r="F1698" s="1308">
        <f>0.3+0.3+0.23+0.23</f>
        <v>1.06</v>
      </c>
      <c r="G1698" s="1308"/>
      <c r="H1698" s="1308">
        <v>2.95</v>
      </c>
      <c r="I1698" s="1178">
        <f t="shared" ref="I1698:I1705" si="106">PRODUCT(C1698:H1698)</f>
        <v>12.51</v>
      </c>
      <c r="J1698" s="1179"/>
      <c r="L1698" s="1209"/>
      <c r="M1698" s="1209"/>
      <c r="N1698" s="1209"/>
    </row>
    <row r="1699" spans="1:14" s="1212" customFormat="1">
      <c r="A1699" s="1273"/>
      <c r="B1699" s="1306" t="s">
        <v>6527</v>
      </c>
      <c r="C1699" s="1307">
        <v>6</v>
      </c>
      <c r="D1699" s="1307" t="s">
        <v>3364</v>
      </c>
      <c r="E1699" s="1307">
        <v>1</v>
      </c>
      <c r="F1699" s="1308">
        <f>0.3+0.3+0.23+0.23</f>
        <v>1.06</v>
      </c>
      <c r="G1699" s="1308"/>
      <c r="H1699" s="1308">
        <v>2.95</v>
      </c>
      <c r="I1699" s="1178">
        <f t="shared" si="106"/>
        <v>18.760000000000002</v>
      </c>
      <c r="J1699" s="1179"/>
      <c r="L1699" s="1209"/>
      <c r="M1699" s="1209"/>
      <c r="N1699" s="1209"/>
    </row>
    <row r="1700" spans="1:14" s="1212" customFormat="1">
      <c r="A1700" s="1273"/>
      <c r="B1700" s="1306" t="s">
        <v>6976</v>
      </c>
      <c r="C1700" s="1307">
        <v>2</v>
      </c>
      <c r="D1700" s="1307" t="s">
        <v>3364</v>
      </c>
      <c r="E1700" s="1307">
        <v>1</v>
      </c>
      <c r="F1700" s="1308">
        <f>0.3+0.3+0.23+0.23</f>
        <v>1.06</v>
      </c>
      <c r="G1700" s="1308"/>
      <c r="H1700" s="1308">
        <v>2.95</v>
      </c>
      <c r="I1700" s="1178">
        <f t="shared" si="106"/>
        <v>6.25</v>
      </c>
      <c r="J1700" s="1179"/>
      <c r="L1700" s="1209"/>
      <c r="M1700" s="1209"/>
      <c r="N1700" s="1209"/>
    </row>
    <row r="1701" spans="1:14" s="1212" customFormat="1">
      <c r="A1701" s="1273"/>
      <c r="B1701" s="1306" t="s">
        <v>6977</v>
      </c>
      <c r="C1701" s="1307">
        <v>3</v>
      </c>
      <c r="D1701" s="1307" t="s">
        <v>3364</v>
      </c>
      <c r="E1701" s="1307">
        <v>1</v>
      </c>
      <c r="F1701" s="1308">
        <f>0.45+0.45+0.23+0.23</f>
        <v>1.36</v>
      </c>
      <c r="G1701" s="1308"/>
      <c r="H1701" s="1308">
        <v>2.95</v>
      </c>
      <c r="I1701" s="1178">
        <f t="shared" si="106"/>
        <v>12.04</v>
      </c>
      <c r="J1701" s="1179"/>
      <c r="L1701" s="1209"/>
      <c r="M1701" s="1209"/>
      <c r="N1701" s="1209"/>
    </row>
    <row r="1702" spans="1:14" s="1212" customFormat="1">
      <c r="A1702" s="1273"/>
      <c r="B1702" s="1306" t="s">
        <v>6978</v>
      </c>
      <c r="C1702" s="1307">
        <v>3</v>
      </c>
      <c r="D1702" s="1307" t="s">
        <v>3364</v>
      </c>
      <c r="E1702" s="1307">
        <v>1</v>
      </c>
      <c r="F1702" s="1308">
        <f>0.45+0.45+0.23+0.23</f>
        <v>1.36</v>
      </c>
      <c r="G1702" s="1308"/>
      <c r="H1702" s="1308">
        <v>2.95</v>
      </c>
      <c r="I1702" s="1178">
        <f t="shared" si="106"/>
        <v>12.04</v>
      </c>
      <c r="J1702" s="1179"/>
      <c r="L1702" s="1209"/>
      <c r="M1702" s="1209"/>
      <c r="N1702" s="1209"/>
    </row>
    <row r="1703" spans="1:14" s="1212" customFormat="1">
      <c r="A1703" s="1273"/>
      <c r="B1703" s="1306" t="s">
        <v>6979</v>
      </c>
      <c r="C1703" s="1307">
        <v>5</v>
      </c>
      <c r="D1703" s="1307" t="s">
        <v>3364</v>
      </c>
      <c r="E1703" s="1307">
        <v>1</v>
      </c>
      <c r="F1703" s="1308">
        <f>0.45+0.45+0.3+0.3</f>
        <v>1.5</v>
      </c>
      <c r="G1703" s="1308"/>
      <c r="H1703" s="1308">
        <v>2.95</v>
      </c>
      <c r="I1703" s="1178">
        <f t="shared" si="106"/>
        <v>22.13</v>
      </c>
      <c r="J1703" s="1179"/>
      <c r="L1703" s="1209"/>
      <c r="M1703" s="1209"/>
      <c r="N1703" s="1209"/>
    </row>
    <row r="1704" spans="1:14" s="1212" customFormat="1">
      <c r="A1704" s="1273"/>
      <c r="B1704" s="1306" t="s">
        <v>6980</v>
      </c>
      <c r="C1704" s="1307">
        <v>4</v>
      </c>
      <c r="D1704" s="1307" t="s">
        <v>3364</v>
      </c>
      <c r="E1704" s="1307">
        <v>1</v>
      </c>
      <c r="F1704" s="1308">
        <f>0.45+0.45+0.3+0.3</f>
        <v>1.5</v>
      </c>
      <c r="G1704" s="1308"/>
      <c r="H1704" s="1308">
        <v>2.95</v>
      </c>
      <c r="I1704" s="1178">
        <f t="shared" si="106"/>
        <v>17.7</v>
      </c>
      <c r="J1704" s="1179"/>
      <c r="L1704" s="1209"/>
      <c r="M1704" s="1209"/>
      <c r="N1704" s="1209"/>
    </row>
    <row r="1705" spans="1:14" s="1212" customFormat="1">
      <c r="A1705" s="1273"/>
      <c r="B1705" s="1306" t="s">
        <v>6981</v>
      </c>
      <c r="C1705" s="1307">
        <v>8</v>
      </c>
      <c r="D1705" s="1307" t="s">
        <v>3364</v>
      </c>
      <c r="E1705" s="1307">
        <v>1</v>
      </c>
      <c r="F1705" s="1308">
        <f>0.45+0.45+0.3+0.3</f>
        <v>1.5</v>
      </c>
      <c r="G1705" s="1308"/>
      <c r="H1705" s="1308">
        <v>2.95</v>
      </c>
      <c r="I1705" s="1178">
        <f t="shared" si="106"/>
        <v>35.4</v>
      </c>
      <c r="J1705" s="1179"/>
      <c r="L1705" s="1209"/>
      <c r="M1705" s="1209"/>
      <c r="N1705" s="1209"/>
    </row>
    <row r="1706" spans="1:14" s="1209" customFormat="1">
      <c r="A1706" s="1182"/>
      <c r="B1706" s="1306" t="s">
        <v>6525</v>
      </c>
      <c r="C1706" s="1311">
        <v>1</v>
      </c>
      <c r="D1706" s="1307" t="s">
        <v>3364</v>
      </c>
      <c r="E1706" s="1307">
        <v>1</v>
      </c>
      <c r="F1706" s="1308">
        <v>24.64</v>
      </c>
      <c r="G1706" s="1308">
        <v>6</v>
      </c>
      <c r="H1706" s="1308"/>
      <c r="I1706" s="1309">
        <f>PRODUCT(C1706:H1706)</f>
        <v>147.84</v>
      </c>
      <c r="J1706" s="1320"/>
    </row>
    <row r="1707" spans="1:14" s="1209" customFormat="1">
      <c r="A1707" s="1182"/>
      <c r="B1707" s="1306" t="s">
        <v>6855</v>
      </c>
      <c r="C1707" s="1311">
        <v>1</v>
      </c>
      <c r="D1707" s="1307" t="s">
        <v>3364</v>
      </c>
      <c r="E1707" s="1307">
        <v>2</v>
      </c>
      <c r="F1707" s="1308">
        <v>24.64</v>
      </c>
      <c r="G1707" s="1308"/>
      <c r="H1707" s="1308">
        <v>0.45</v>
      </c>
      <c r="I1707" s="1309">
        <f>PRODUCT(C1707:H1707)</f>
        <v>22.18</v>
      </c>
      <c r="J1707" s="1320"/>
    </row>
    <row r="1708" spans="1:14" s="1209" customFormat="1">
      <c r="A1708" s="1182"/>
      <c r="B1708" s="1306" t="s">
        <v>6856</v>
      </c>
      <c r="C1708" s="1311">
        <v>1</v>
      </c>
      <c r="D1708" s="1307" t="s">
        <v>3364</v>
      </c>
      <c r="E1708" s="1307">
        <v>2</v>
      </c>
      <c r="F1708" s="1308">
        <v>24.64</v>
      </c>
      <c r="G1708" s="1308"/>
      <c r="H1708" s="1308">
        <v>0.1</v>
      </c>
      <c r="I1708" s="1309">
        <f>PRODUCT(C1708:H1708)</f>
        <v>4.93</v>
      </c>
      <c r="J1708" s="1320"/>
    </row>
    <row r="1709" spans="1:14" s="1209" customFormat="1">
      <c r="A1709" s="1182"/>
      <c r="B1709" s="1306" t="s">
        <v>3378</v>
      </c>
      <c r="C1709" s="1307">
        <v>1</v>
      </c>
      <c r="D1709" s="1307" t="s">
        <v>3364</v>
      </c>
      <c r="E1709" s="1307">
        <v>1</v>
      </c>
      <c r="F1709" s="1308">
        <v>24.64</v>
      </c>
      <c r="G1709" s="1308">
        <v>17</v>
      </c>
      <c r="H1709" s="1308"/>
      <c r="I1709" s="1309">
        <f>PRODUCT(C1709:H1709)</f>
        <v>418.88</v>
      </c>
      <c r="J1709" s="1320"/>
    </row>
    <row r="1710" spans="1:14" s="1209" customFormat="1">
      <c r="A1710" s="1182"/>
      <c r="B1710" s="1317"/>
      <c r="C1710" s="1318"/>
      <c r="D1710" s="1318"/>
      <c r="E1710" s="1318"/>
      <c r="F1710" s="1308"/>
      <c r="G1710" s="1308"/>
      <c r="H1710" s="1321" t="s">
        <v>104</v>
      </c>
      <c r="I1710" s="1309">
        <f>SUM(I1681:I1709)</f>
        <v>1170.5</v>
      </c>
      <c r="J1710" s="1319"/>
    </row>
    <row r="1711" spans="1:14" s="1209" customFormat="1">
      <c r="A1711" s="1182"/>
      <c r="B1711" s="1317"/>
      <c r="C1711" s="1322"/>
      <c r="D1711" s="1322"/>
      <c r="E1711" s="1322"/>
      <c r="F1711" s="1321"/>
      <c r="G1711" s="1321"/>
      <c r="H1711" s="1321" t="s">
        <v>2981</v>
      </c>
      <c r="I1711" s="1323">
        <f>ROUNDUP(I1710,0.1)</f>
        <v>1171</v>
      </c>
      <c r="J1711" s="1319" t="s">
        <v>724</v>
      </c>
    </row>
    <row r="1712" spans="1:14" s="1209" customFormat="1" ht="63">
      <c r="A1712" s="1182"/>
      <c r="B1712" s="1324" t="s">
        <v>3558</v>
      </c>
      <c r="C1712" s="1318"/>
      <c r="D1712" s="1318"/>
      <c r="E1712" s="1318"/>
      <c r="F1712" s="1308"/>
      <c r="G1712" s="1308"/>
      <c r="H1712" s="1308"/>
      <c r="I1712" s="1309"/>
      <c r="J1712" s="1319"/>
    </row>
    <row r="1713" spans="1:10" s="1209" customFormat="1">
      <c r="A1713" s="1182"/>
      <c r="B1713" s="1312" t="s">
        <v>3559</v>
      </c>
      <c r="C1713" s="1325"/>
      <c r="D1713" s="1325"/>
      <c r="E1713" s="1325"/>
      <c r="F1713" s="1321"/>
      <c r="G1713" s="1321"/>
      <c r="H1713" s="1321"/>
      <c r="I1713" s="1323"/>
      <c r="J1713" s="1326"/>
    </row>
    <row r="1714" spans="1:10" s="1209" customFormat="1">
      <c r="A1714" s="1182"/>
      <c r="B1714" s="1306" t="s">
        <v>3560</v>
      </c>
      <c r="C1714" s="1307">
        <v>3</v>
      </c>
      <c r="D1714" s="1307" t="s">
        <v>3364</v>
      </c>
      <c r="E1714" s="1307">
        <v>3</v>
      </c>
      <c r="F1714" s="1308">
        <v>17</v>
      </c>
      <c r="G1714" s="1308"/>
      <c r="H1714" s="1308">
        <v>0.45</v>
      </c>
      <c r="I1714" s="1309">
        <f t="shared" ref="I1714:I1731" si="107">PRODUCT(C1714:H1714)</f>
        <v>68.849999999999994</v>
      </c>
      <c r="J1714" s="1326"/>
    </row>
    <row r="1715" spans="1:10" s="1209" customFormat="1">
      <c r="A1715" s="1182"/>
      <c r="B1715" s="1306" t="s">
        <v>3561</v>
      </c>
      <c r="C1715" s="1307">
        <v>1</v>
      </c>
      <c r="D1715" s="1307" t="s">
        <v>3364</v>
      </c>
      <c r="E1715" s="1307">
        <v>1</v>
      </c>
      <c r="F1715" s="1308">
        <v>9.6</v>
      </c>
      <c r="G1715" s="1308">
        <v>17</v>
      </c>
      <c r="H1715" s="1308"/>
      <c r="I1715" s="1309">
        <f t="shared" si="107"/>
        <v>163.19999999999999</v>
      </c>
      <c r="J1715" s="1326"/>
    </row>
    <row r="1716" spans="1:10" s="1209" customFormat="1">
      <c r="A1716" s="1182"/>
      <c r="B1716" s="1306" t="s">
        <v>3382</v>
      </c>
      <c r="C1716" s="1307">
        <v>1</v>
      </c>
      <c r="D1716" s="1307" t="s">
        <v>3364</v>
      </c>
      <c r="E1716" s="1307">
        <v>1</v>
      </c>
      <c r="F1716" s="1308">
        <v>12.12</v>
      </c>
      <c r="G1716" s="1308">
        <f>0.46+8.82</f>
        <v>9.2799999999999994</v>
      </c>
      <c r="H1716" s="1308"/>
      <c r="I1716" s="1309">
        <f t="shared" si="107"/>
        <v>112.47</v>
      </c>
      <c r="J1716" s="1326"/>
    </row>
    <row r="1717" spans="1:10" s="1209" customFormat="1">
      <c r="A1717" s="1182"/>
      <c r="B1717" s="1306" t="s">
        <v>3562</v>
      </c>
      <c r="C1717" s="1307">
        <v>1</v>
      </c>
      <c r="D1717" s="1307" t="s">
        <v>3364</v>
      </c>
      <c r="E1717" s="1307">
        <v>1</v>
      </c>
      <c r="F1717" s="1308">
        <v>4.46</v>
      </c>
      <c r="G1717" s="1308">
        <f>0.46+2.5+1.8+0.23</f>
        <v>4.99</v>
      </c>
      <c r="H1717" s="1308"/>
      <c r="I1717" s="1309">
        <f t="shared" si="107"/>
        <v>22.26</v>
      </c>
      <c r="J1717" s="1326"/>
    </row>
    <row r="1718" spans="1:10" s="1209" customFormat="1">
      <c r="A1718" s="1182"/>
      <c r="B1718" s="1306" t="s">
        <v>3383</v>
      </c>
      <c r="C1718" s="1307">
        <v>-1</v>
      </c>
      <c r="D1718" s="1307" t="s">
        <v>3364</v>
      </c>
      <c r="E1718" s="1307">
        <v>1</v>
      </c>
      <c r="F1718" s="1308">
        <v>3</v>
      </c>
      <c r="G1718" s="1308">
        <f>8.82-1.5</f>
        <v>7.32</v>
      </c>
      <c r="H1718" s="1308"/>
      <c r="I1718" s="1309">
        <f t="shared" si="107"/>
        <v>-21.96</v>
      </c>
      <c r="J1718" s="1326"/>
    </row>
    <row r="1719" spans="1:10" s="1209" customFormat="1">
      <c r="A1719" s="1182"/>
      <c r="B1719" s="1306" t="s">
        <v>3563</v>
      </c>
      <c r="C1719" s="1307">
        <v>2</v>
      </c>
      <c r="D1719" s="1307" t="s">
        <v>3364</v>
      </c>
      <c r="E1719" s="1307">
        <v>3</v>
      </c>
      <c r="F1719" s="1308">
        <v>17</v>
      </c>
      <c r="G1719" s="1308"/>
      <c r="H1719" s="1308">
        <f t="shared" ref="H1719:H1725" si="108">0.45-0.125</f>
        <v>0.32500000000000001</v>
      </c>
      <c r="I1719" s="1309">
        <f t="shared" si="107"/>
        <v>33.15</v>
      </c>
      <c r="J1719" s="1326"/>
    </row>
    <row r="1720" spans="1:10" s="1209" customFormat="1">
      <c r="A1720" s="1182"/>
      <c r="B1720" s="1306" t="s">
        <v>3384</v>
      </c>
      <c r="C1720" s="1307">
        <v>2</v>
      </c>
      <c r="D1720" s="1307" t="s">
        <v>3364</v>
      </c>
      <c r="E1720" s="1307">
        <v>4</v>
      </c>
      <c r="F1720" s="1308">
        <v>9.6</v>
      </c>
      <c r="G1720" s="1308"/>
      <c r="H1720" s="1308">
        <f t="shared" si="108"/>
        <v>0.32500000000000001</v>
      </c>
      <c r="I1720" s="1309">
        <f t="shared" si="107"/>
        <v>24.96</v>
      </c>
      <c r="J1720" s="1326"/>
    </row>
    <row r="1721" spans="1:10" s="1209" customFormat="1">
      <c r="A1721" s="1182"/>
      <c r="B1721" s="1306" t="s">
        <v>3385</v>
      </c>
      <c r="C1721" s="1307">
        <v>2</v>
      </c>
      <c r="D1721" s="1307" t="s">
        <v>3364</v>
      </c>
      <c r="E1721" s="1307">
        <v>1</v>
      </c>
      <c r="F1721" s="1308">
        <f>0.46+4.14+8.97+0.23</f>
        <v>13.8</v>
      </c>
      <c r="G1721" s="1308"/>
      <c r="H1721" s="1308">
        <f t="shared" si="108"/>
        <v>0.32500000000000001</v>
      </c>
      <c r="I1721" s="1309">
        <f t="shared" si="107"/>
        <v>8.9700000000000006</v>
      </c>
      <c r="J1721" s="1326"/>
    </row>
    <row r="1722" spans="1:10" s="1209" customFormat="1">
      <c r="A1722" s="1182"/>
      <c r="B1722" s="1306" t="s">
        <v>3386</v>
      </c>
      <c r="C1722" s="1307">
        <v>2</v>
      </c>
      <c r="D1722" s="1307" t="s">
        <v>3364</v>
      </c>
      <c r="E1722" s="1307">
        <v>2</v>
      </c>
      <c r="F1722" s="1308">
        <f>0.46+8.82</f>
        <v>9.2799999999999994</v>
      </c>
      <c r="G1722" s="1308"/>
      <c r="H1722" s="1308">
        <f t="shared" si="108"/>
        <v>0.32500000000000001</v>
      </c>
      <c r="I1722" s="1309">
        <f t="shared" si="107"/>
        <v>12.06</v>
      </c>
      <c r="J1722" s="1326"/>
    </row>
    <row r="1723" spans="1:10" s="1209" customFormat="1">
      <c r="A1723" s="1182"/>
      <c r="B1723" s="1306" t="s">
        <v>3387</v>
      </c>
      <c r="C1723" s="1307">
        <v>2</v>
      </c>
      <c r="D1723" s="1307" t="s">
        <v>3364</v>
      </c>
      <c r="E1723" s="1307">
        <v>3</v>
      </c>
      <c r="F1723" s="1308">
        <v>12.12</v>
      </c>
      <c r="G1723" s="1308"/>
      <c r="H1723" s="1308">
        <f t="shared" si="108"/>
        <v>0.32500000000000001</v>
      </c>
      <c r="I1723" s="1309">
        <f t="shared" si="107"/>
        <v>23.63</v>
      </c>
      <c r="J1723" s="1326"/>
    </row>
    <row r="1724" spans="1:10" s="1209" customFormat="1">
      <c r="A1724" s="1182"/>
      <c r="B1724" s="1306" t="s">
        <v>3388</v>
      </c>
      <c r="C1724" s="1307">
        <v>2</v>
      </c>
      <c r="D1724" s="1307" t="s">
        <v>3364</v>
      </c>
      <c r="E1724" s="1307">
        <v>1</v>
      </c>
      <c r="F1724" s="1308">
        <f>2.3+0.46+2.5</f>
        <v>5.26</v>
      </c>
      <c r="G1724" s="1308"/>
      <c r="H1724" s="1308">
        <f t="shared" si="108"/>
        <v>0.32500000000000001</v>
      </c>
      <c r="I1724" s="1309">
        <f t="shared" si="107"/>
        <v>3.42</v>
      </c>
      <c r="J1724" s="1326"/>
    </row>
    <row r="1725" spans="1:10" s="1209" customFormat="1">
      <c r="A1725" s="1182"/>
      <c r="B1725" s="1306" t="s">
        <v>3389</v>
      </c>
      <c r="C1725" s="1307">
        <v>2</v>
      </c>
      <c r="D1725" s="1307" t="s">
        <v>3364</v>
      </c>
      <c r="E1725" s="1307">
        <v>1</v>
      </c>
      <c r="F1725" s="1308">
        <v>4</v>
      </c>
      <c r="G1725" s="1308"/>
      <c r="H1725" s="1308">
        <f t="shared" si="108"/>
        <v>0.32500000000000001</v>
      </c>
      <c r="I1725" s="1309">
        <f t="shared" si="107"/>
        <v>2.6</v>
      </c>
      <c r="J1725" s="1326"/>
    </row>
    <row r="1726" spans="1:10" s="1209" customFormat="1">
      <c r="A1726" s="1182"/>
      <c r="B1726" s="1306" t="s">
        <v>3390</v>
      </c>
      <c r="C1726" s="1307">
        <v>1</v>
      </c>
      <c r="D1726" s="1307" t="s">
        <v>3364</v>
      </c>
      <c r="E1726" s="1307">
        <v>2</v>
      </c>
      <c r="F1726" s="1308">
        <v>7.32</v>
      </c>
      <c r="G1726" s="1308">
        <v>1.5</v>
      </c>
      <c r="H1726" s="1308"/>
      <c r="I1726" s="1309">
        <f t="shared" si="107"/>
        <v>21.96</v>
      </c>
      <c r="J1726" s="1326"/>
    </row>
    <row r="1727" spans="1:10" s="1209" customFormat="1">
      <c r="A1727" s="1182"/>
      <c r="B1727" s="1306" t="s">
        <v>3391</v>
      </c>
      <c r="C1727" s="1307">
        <v>1</v>
      </c>
      <c r="D1727" s="1307" t="s">
        <v>3364</v>
      </c>
      <c r="E1727" s="1307">
        <v>1</v>
      </c>
      <c r="F1727" s="1308">
        <v>3</v>
      </c>
      <c r="G1727" s="1308">
        <v>1.5</v>
      </c>
      <c r="H1727" s="1308"/>
      <c r="I1727" s="1309">
        <f t="shared" si="107"/>
        <v>4.5</v>
      </c>
      <c r="J1727" s="1326"/>
    </row>
    <row r="1728" spans="1:10" s="1209" customFormat="1">
      <c r="A1728" s="1182"/>
      <c r="B1728" s="1306" t="s">
        <v>3392</v>
      </c>
      <c r="C1728" s="1307">
        <v>1</v>
      </c>
      <c r="D1728" s="1307" t="s">
        <v>3364</v>
      </c>
      <c r="E1728" s="1307">
        <v>2</v>
      </c>
      <c r="F1728" s="1308">
        <v>3.46</v>
      </c>
      <c r="G1728" s="1308"/>
      <c r="H1728" s="1308">
        <v>0.45</v>
      </c>
      <c r="I1728" s="1309">
        <f t="shared" si="107"/>
        <v>3.11</v>
      </c>
      <c r="J1728" s="1326"/>
    </row>
    <row r="1729" spans="1:10" s="1209" customFormat="1">
      <c r="A1729" s="1182"/>
      <c r="B1729" s="1306" t="s">
        <v>3393</v>
      </c>
      <c r="C1729" s="1311">
        <v>1</v>
      </c>
      <c r="D1729" s="1307" t="s">
        <v>3364</v>
      </c>
      <c r="E1729" s="1307">
        <v>22</v>
      </c>
      <c r="F1729" s="1308">
        <v>1.35</v>
      </c>
      <c r="G1729" s="1308"/>
      <c r="H1729" s="1308">
        <v>0.15</v>
      </c>
      <c r="I1729" s="1309">
        <f t="shared" si="107"/>
        <v>4.46</v>
      </c>
      <c r="J1729" s="1326"/>
    </row>
    <row r="1730" spans="1:10" s="1209" customFormat="1">
      <c r="A1730" s="1182"/>
      <c r="B1730" s="1306" t="s">
        <v>3394</v>
      </c>
      <c r="C1730" s="1307">
        <v>1</v>
      </c>
      <c r="D1730" s="1307" t="s">
        <v>3364</v>
      </c>
      <c r="E1730" s="1307">
        <v>1</v>
      </c>
      <c r="F1730" s="1308">
        <v>6</v>
      </c>
      <c r="G1730" s="1308">
        <v>0.6</v>
      </c>
      <c r="H1730" s="1308"/>
      <c r="I1730" s="1309">
        <f t="shared" si="107"/>
        <v>3.6</v>
      </c>
      <c r="J1730" s="1326"/>
    </row>
    <row r="1731" spans="1:10" s="1209" customFormat="1">
      <c r="A1731" s="1182"/>
      <c r="B1731" s="1306" t="s">
        <v>3564</v>
      </c>
      <c r="C1731" s="1307">
        <v>1</v>
      </c>
      <c r="D1731" s="1307" t="s">
        <v>3364</v>
      </c>
      <c r="E1731" s="1307">
        <v>1</v>
      </c>
      <c r="F1731" s="1308">
        <v>6</v>
      </c>
      <c r="G1731" s="1308"/>
      <c r="H1731" s="1308">
        <v>0.08</v>
      </c>
      <c r="I1731" s="1309">
        <f t="shared" si="107"/>
        <v>0.48</v>
      </c>
      <c r="J1731" s="1326"/>
    </row>
    <row r="1732" spans="1:10" s="1209" customFormat="1">
      <c r="A1732" s="1182"/>
      <c r="B1732" s="1312" t="s">
        <v>3395</v>
      </c>
      <c r="C1732" s="1307"/>
      <c r="D1732" s="1307"/>
      <c r="E1732" s="1307"/>
      <c r="F1732" s="1308"/>
      <c r="G1732" s="1308"/>
      <c r="H1732" s="1308"/>
      <c r="I1732" s="1309"/>
      <c r="J1732" s="1326"/>
    </row>
    <row r="1733" spans="1:10" s="1209" customFormat="1">
      <c r="A1733" s="1182"/>
      <c r="B1733" s="1306" t="s">
        <v>3565</v>
      </c>
      <c r="C1733" s="1307">
        <v>1</v>
      </c>
      <c r="D1733" s="1307" t="s">
        <v>3364</v>
      </c>
      <c r="E1733" s="1307">
        <v>2</v>
      </c>
      <c r="F1733" s="1308">
        <v>1.96</v>
      </c>
      <c r="G1733" s="1308"/>
      <c r="H1733" s="1308">
        <v>0.23</v>
      </c>
      <c r="I1733" s="1309">
        <f t="shared" ref="I1733:I1749" si="109">PRODUCT(C1733:H1733)</f>
        <v>0.9</v>
      </c>
      <c r="J1733" s="1326"/>
    </row>
    <row r="1734" spans="1:10" s="1209" customFormat="1">
      <c r="A1734" s="1182"/>
      <c r="B1734" s="1306" t="s">
        <v>3506</v>
      </c>
      <c r="C1734" s="1307">
        <v>1</v>
      </c>
      <c r="D1734" s="1307" t="s">
        <v>3364</v>
      </c>
      <c r="E1734" s="1307">
        <v>1</v>
      </c>
      <c r="F1734" s="1308">
        <f>1.96-0.46</f>
        <v>1.5</v>
      </c>
      <c r="G1734" s="1308">
        <v>0.23</v>
      </c>
      <c r="H1734" s="1308"/>
      <c r="I1734" s="1309">
        <f t="shared" si="109"/>
        <v>0.35</v>
      </c>
      <c r="J1734" s="1326"/>
    </row>
    <row r="1735" spans="1:10" s="1209" customFormat="1">
      <c r="A1735" s="1182"/>
      <c r="B1735" s="1306" t="s">
        <v>3566</v>
      </c>
      <c r="C1735" s="1307">
        <v>2</v>
      </c>
      <c r="D1735" s="1307" t="s">
        <v>3364</v>
      </c>
      <c r="E1735" s="1307">
        <v>2</v>
      </c>
      <c r="F1735" s="1308">
        <f>1+0.46</f>
        <v>1.46</v>
      </c>
      <c r="G1735" s="1308"/>
      <c r="H1735" s="1308">
        <v>0.15</v>
      </c>
      <c r="I1735" s="1309">
        <f t="shared" si="109"/>
        <v>0.88</v>
      </c>
      <c r="J1735" s="1326"/>
    </row>
    <row r="1736" spans="1:10" s="1209" customFormat="1">
      <c r="A1736" s="1182"/>
      <c r="B1736" s="1306" t="s">
        <v>3567</v>
      </c>
      <c r="C1736" s="1307">
        <v>1</v>
      </c>
      <c r="D1736" s="1307" t="s">
        <v>3364</v>
      </c>
      <c r="E1736" s="1307">
        <v>2</v>
      </c>
      <c r="F1736" s="1308">
        <f>1.46-0.46</f>
        <v>1</v>
      </c>
      <c r="G1736" s="1308">
        <v>0.23</v>
      </c>
      <c r="H1736" s="1308"/>
      <c r="I1736" s="1309">
        <f t="shared" si="109"/>
        <v>0.46</v>
      </c>
      <c r="J1736" s="1326"/>
    </row>
    <row r="1737" spans="1:10" s="1209" customFormat="1">
      <c r="A1737" s="1182"/>
      <c r="B1737" s="1306" t="s">
        <v>3568</v>
      </c>
      <c r="C1737" s="1307">
        <v>3</v>
      </c>
      <c r="D1737" s="1307" t="s">
        <v>3364</v>
      </c>
      <c r="E1737" s="1307">
        <v>3</v>
      </c>
      <c r="F1737" s="1308">
        <v>1.46</v>
      </c>
      <c r="G1737" s="1308"/>
      <c r="H1737" s="1308">
        <v>0.15</v>
      </c>
      <c r="I1737" s="1309">
        <f t="shared" si="109"/>
        <v>1.97</v>
      </c>
      <c r="J1737" s="1326"/>
    </row>
    <row r="1738" spans="1:10" s="1209" customFormat="1">
      <c r="A1738" s="1182"/>
      <c r="B1738" s="1306" t="s">
        <v>3569</v>
      </c>
      <c r="C1738" s="1307">
        <v>2</v>
      </c>
      <c r="D1738" s="1307" t="s">
        <v>3364</v>
      </c>
      <c r="E1738" s="1307">
        <v>2</v>
      </c>
      <c r="F1738" s="1308">
        <v>1</v>
      </c>
      <c r="G1738" s="1308">
        <v>0.23</v>
      </c>
      <c r="H1738" s="1308"/>
      <c r="I1738" s="1309">
        <f t="shared" si="109"/>
        <v>0.92</v>
      </c>
      <c r="J1738" s="1326"/>
    </row>
    <row r="1739" spans="1:10" s="1209" customFormat="1">
      <c r="A1739" s="1182"/>
      <c r="B1739" s="1306" t="s">
        <v>3570</v>
      </c>
      <c r="C1739" s="1307">
        <v>2</v>
      </c>
      <c r="D1739" s="1307" t="s">
        <v>3364</v>
      </c>
      <c r="E1739" s="1307">
        <v>2</v>
      </c>
      <c r="F1739" s="1308">
        <v>1.46</v>
      </c>
      <c r="G1739" s="1308"/>
      <c r="H1739" s="1308">
        <v>0.15</v>
      </c>
      <c r="I1739" s="1309">
        <f t="shared" si="109"/>
        <v>0.88</v>
      </c>
      <c r="J1739" s="1326"/>
    </row>
    <row r="1740" spans="1:10" s="1209" customFormat="1">
      <c r="A1740" s="1182"/>
      <c r="B1740" s="1306" t="s">
        <v>3571</v>
      </c>
      <c r="C1740" s="1307">
        <v>2</v>
      </c>
      <c r="D1740" s="1307" t="s">
        <v>3364</v>
      </c>
      <c r="E1740" s="1307">
        <v>1</v>
      </c>
      <c r="F1740" s="1308">
        <v>1</v>
      </c>
      <c r="G1740" s="1308">
        <v>0.23</v>
      </c>
      <c r="H1740" s="1308"/>
      <c r="I1740" s="1309">
        <f t="shared" si="109"/>
        <v>0.46</v>
      </c>
      <c r="J1740" s="1326"/>
    </row>
    <row r="1741" spans="1:10" s="1209" customFormat="1">
      <c r="A1741" s="1182"/>
      <c r="B1741" s="1306" t="s">
        <v>3566</v>
      </c>
      <c r="C1741" s="1307">
        <v>2</v>
      </c>
      <c r="D1741" s="1307" t="s">
        <v>3364</v>
      </c>
      <c r="E1741" s="1307">
        <v>2</v>
      </c>
      <c r="F1741" s="1308">
        <v>1.1100000000000001</v>
      </c>
      <c r="G1741" s="1308"/>
      <c r="H1741" s="1308">
        <v>0.15</v>
      </c>
      <c r="I1741" s="1309">
        <f t="shared" si="109"/>
        <v>0.67</v>
      </c>
      <c r="J1741" s="1326"/>
    </row>
    <row r="1742" spans="1:10" s="1209" customFormat="1">
      <c r="A1742" s="1182"/>
      <c r="B1742" s="1306" t="s">
        <v>3567</v>
      </c>
      <c r="C1742" s="1307">
        <v>2</v>
      </c>
      <c r="D1742" s="1307" t="s">
        <v>3364</v>
      </c>
      <c r="E1742" s="1307">
        <v>1</v>
      </c>
      <c r="F1742" s="1308">
        <v>0.75</v>
      </c>
      <c r="G1742" s="1308">
        <v>0.115</v>
      </c>
      <c r="H1742" s="1308"/>
      <c r="I1742" s="1309">
        <f t="shared" si="109"/>
        <v>0.17</v>
      </c>
      <c r="J1742" s="1326"/>
    </row>
    <row r="1743" spans="1:10" s="1209" customFormat="1">
      <c r="A1743" s="1182"/>
      <c r="B1743" s="1306" t="s">
        <v>3572</v>
      </c>
      <c r="C1743" s="1307">
        <v>2</v>
      </c>
      <c r="D1743" s="1307" t="s">
        <v>3364</v>
      </c>
      <c r="E1743" s="1307">
        <v>5</v>
      </c>
      <c r="F1743" s="1308">
        <v>1.96</v>
      </c>
      <c r="G1743" s="1308"/>
      <c r="H1743" s="1308">
        <v>0.15</v>
      </c>
      <c r="I1743" s="1309">
        <f t="shared" si="109"/>
        <v>2.94</v>
      </c>
      <c r="J1743" s="1326"/>
    </row>
    <row r="1744" spans="1:10" s="1209" customFormat="1">
      <c r="A1744" s="1182"/>
      <c r="B1744" s="1306" t="s">
        <v>3573</v>
      </c>
      <c r="C1744" s="1307">
        <v>1</v>
      </c>
      <c r="D1744" s="1307" t="s">
        <v>3364</v>
      </c>
      <c r="E1744" s="1307">
        <v>5</v>
      </c>
      <c r="F1744" s="1308">
        <v>1.5</v>
      </c>
      <c r="G1744" s="1308">
        <v>0.23</v>
      </c>
      <c r="H1744" s="1308"/>
      <c r="I1744" s="1309">
        <f t="shared" si="109"/>
        <v>1.73</v>
      </c>
      <c r="J1744" s="1326"/>
    </row>
    <row r="1745" spans="1:10" s="1209" customFormat="1">
      <c r="A1745" s="1182"/>
      <c r="B1745" s="1306" t="s">
        <v>3574</v>
      </c>
      <c r="C1745" s="1307">
        <v>1</v>
      </c>
      <c r="D1745" s="1307" t="s">
        <v>3364</v>
      </c>
      <c r="E1745" s="1307">
        <v>2</v>
      </c>
      <c r="F1745" s="1308">
        <f>0.75+0.46</f>
        <v>1.21</v>
      </c>
      <c r="G1745" s="1308"/>
      <c r="H1745" s="1308">
        <v>0.15</v>
      </c>
      <c r="I1745" s="1309">
        <f t="shared" si="109"/>
        <v>0.36</v>
      </c>
      <c r="J1745" s="1326"/>
    </row>
    <row r="1746" spans="1:10" s="1209" customFormat="1">
      <c r="A1746" s="1182"/>
      <c r="B1746" s="1306" t="s">
        <v>3575</v>
      </c>
      <c r="C1746" s="1307">
        <v>1</v>
      </c>
      <c r="D1746" s="1307" t="s">
        <v>3364</v>
      </c>
      <c r="E1746" s="1307">
        <v>1</v>
      </c>
      <c r="F1746" s="1308">
        <v>0.75</v>
      </c>
      <c r="G1746" s="1308">
        <v>0.23</v>
      </c>
      <c r="H1746" s="1308"/>
      <c r="I1746" s="1309">
        <f t="shared" si="109"/>
        <v>0.17</v>
      </c>
      <c r="J1746" s="1326"/>
    </row>
    <row r="1747" spans="1:10" s="1209" customFormat="1">
      <c r="A1747" s="1182"/>
      <c r="B1747" s="1312" t="s">
        <v>3402</v>
      </c>
      <c r="C1747" s="1307"/>
      <c r="D1747" s="1307"/>
      <c r="E1747" s="1307"/>
      <c r="F1747" s="1308"/>
      <c r="G1747" s="1308"/>
      <c r="H1747" s="1308"/>
      <c r="I1747" s="1309">
        <f t="shared" si="109"/>
        <v>0</v>
      </c>
      <c r="J1747" s="1326"/>
    </row>
    <row r="1748" spans="1:10" s="1209" customFormat="1">
      <c r="A1748" s="1182"/>
      <c r="B1748" s="1306" t="s">
        <v>3400</v>
      </c>
      <c r="C1748" s="1307">
        <v>2</v>
      </c>
      <c r="D1748" s="1307" t="s">
        <v>3364</v>
      </c>
      <c r="E1748" s="1307">
        <v>5</v>
      </c>
      <c r="F1748" s="1308">
        <v>1.96</v>
      </c>
      <c r="G1748" s="1308"/>
      <c r="H1748" s="1308">
        <v>0.05</v>
      </c>
      <c r="I1748" s="1309">
        <f t="shared" si="109"/>
        <v>0.98</v>
      </c>
      <c r="J1748" s="1326"/>
    </row>
    <row r="1749" spans="1:10" s="1209" customFormat="1">
      <c r="A1749" s="1182"/>
      <c r="B1749" s="1306" t="s">
        <v>3403</v>
      </c>
      <c r="C1749" s="1307">
        <v>2</v>
      </c>
      <c r="D1749" s="1307" t="s">
        <v>3364</v>
      </c>
      <c r="E1749" s="1307">
        <v>5</v>
      </c>
      <c r="F1749" s="1308">
        <v>1.96</v>
      </c>
      <c r="G1749" s="1308"/>
      <c r="H1749" s="1308">
        <v>0.08</v>
      </c>
      <c r="I1749" s="1309">
        <f t="shared" si="109"/>
        <v>1.57</v>
      </c>
      <c r="J1749" s="1326"/>
    </row>
    <row r="1750" spans="1:10" s="1209" customFormat="1">
      <c r="A1750" s="1182"/>
      <c r="B1750" s="1306"/>
      <c r="C1750" s="1307"/>
      <c r="D1750" s="1307"/>
      <c r="E1750" s="1307"/>
      <c r="F1750" s="1308"/>
      <c r="G1750" s="1308"/>
      <c r="H1750" s="1308"/>
      <c r="I1750" s="1309"/>
      <c r="J1750" s="1326"/>
    </row>
    <row r="1751" spans="1:10" s="1209" customFormat="1">
      <c r="A1751" s="1182"/>
      <c r="B1751" s="1327" t="s">
        <v>3486</v>
      </c>
      <c r="C1751" s="1320"/>
      <c r="D1751" s="1320"/>
      <c r="E1751" s="1320"/>
      <c r="F1751" s="1320"/>
      <c r="G1751" s="1320"/>
      <c r="H1751" s="1320"/>
      <c r="I1751" s="1320"/>
      <c r="J1751" s="1320"/>
    </row>
    <row r="1752" spans="1:10" s="1209" customFormat="1">
      <c r="A1752" s="1182"/>
      <c r="B1752" s="1310" t="s">
        <v>3413</v>
      </c>
      <c r="C1752" s="1307"/>
      <c r="D1752" s="1307"/>
      <c r="E1752" s="1307"/>
      <c r="F1752" s="1308"/>
      <c r="G1752" s="1308"/>
      <c r="H1752" s="1308"/>
      <c r="I1752" s="1309">
        <f t="shared" ref="I1752:I1777" si="110">PRODUCT(C1752:H1752)</f>
        <v>0</v>
      </c>
      <c r="J1752" s="1326"/>
    </row>
    <row r="1753" spans="1:10" s="1209" customFormat="1">
      <c r="A1753" s="1182"/>
      <c r="B1753" s="1306" t="s">
        <v>3576</v>
      </c>
      <c r="C1753" s="1307">
        <v>1</v>
      </c>
      <c r="D1753" s="1307" t="s">
        <v>3364</v>
      </c>
      <c r="E1753" s="1307">
        <v>1</v>
      </c>
      <c r="F1753" s="1308">
        <v>24.64</v>
      </c>
      <c r="G1753" s="1308">
        <v>17</v>
      </c>
      <c r="H1753" s="1308"/>
      <c r="I1753" s="1309">
        <f t="shared" si="110"/>
        <v>418.88</v>
      </c>
      <c r="J1753" s="1326"/>
    </row>
    <row r="1754" spans="1:10" s="1209" customFormat="1">
      <c r="A1754" s="1182"/>
      <c r="B1754" s="1306" t="s">
        <v>3382</v>
      </c>
      <c r="C1754" s="1307">
        <v>1</v>
      </c>
      <c r="D1754" s="1307" t="s">
        <v>3364</v>
      </c>
      <c r="E1754" s="1307">
        <v>1</v>
      </c>
      <c r="F1754" s="1308">
        <v>12.12</v>
      </c>
      <c r="G1754" s="1308">
        <f>0.46+8.82</f>
        <v>9.2799999999999994</v>
      </c>
      <c r="H1754" s="1308"/>
      <c r="I1754" s="1309">
        <f t="shared" si="110"/>
        <v>112.47</v>
      </c>
      <c r="J1754" s="1326"/>
    </row>
    <row r="1755" spans="1:10" s="1209" customFormat="1">
      <c r="A1755" s="1182"/>
      <c r="B1755" s="1306" t="s">
        <v>3562</v>
      </c>
      <c r="C1755" s="1307">
        <v>1</v>
      </c>
      <c r="D1755" s="1307" t="s">
        <v>3364</v>
      </c>
      <c r="E1755" s="1307">
        <v>1</v>
      </c>
      <c r="F1755" s="1308">
        <v>4.46</v>
      </c>
      <c r="G1755" s="1308">
        <f>0.46+2.5+1.8+0.23</f>
        <v>4.99</v>
      </c>
      <c r="H1755" s="1308"/>
      <c r="I1755" s="1309">
        <f t="shared" si="110"/>
        <v>22.26</v>
      </c>
      <c r="J1755" s="1326"/>
    </row>
    <row r="1756" spans="1:10" s="1209" customFormat="1">
      <c r="A1756" s="1182"/>
      <c r="B1756" s="1306" t="s">
        <v>3383</v>
      </c>
      <c r="C1756" s="1307">
        <v>-1</v>
      </c>
      <c r="D1756" s="1307" t="s">
        <v>3364</v>
      </c>
      <c r="E1756" s="1307">
        <v>1</v>
      </c>
      <c r="F1756" s="1308">
        <v>3</v>
      </c>
      <c r="G1756" s="1308">
        <f>8.82-1.5</f>
        <v>7.32</v>
      </c>
      <c r="H1756" s="1308"/>
      <c r="I1756" s="1309">
        <f t="shared" si="110"/>
        <v>-21.96</v>
      </c>
      <c r="J1756" s="1326"/>
    </row>
    <row r="1757" spans="1:10" s="1209" customFormat="1">
      <c r="A1757" s="1182"/>
      <c r="B1757" s="1306" t="s">
        <v>3577</v>
      </c>
      <c r="C1757" s="1307">
        <v>3</v>
      </c>
      <c r="D1757" s="1307" t="s">
        <v>3364</v>
      </c>
      <c r="E1757" s="1307">
        <v>6</v>
      </c>
      <c r="F1757" s="1308">
        <v>17</v>
      </c>
      <c r="G1757" s="1308"/>
      <c r="H1757" s="1308">
        <f>0.45-0.125</f>
        <v>0.32500000000000001</v>
      </c>
      <c r="I1757" s="1309">
        <f t="shared" si="110"/>
        <v>99.45</v>
      </c>
      <c r="J1757" s="1326"/>
    </row>
    <row r="1758" spans="1:10" s="1209" customFormat="1">
      <c r="A1758" s="1182"/>
      <c r="B1758" s="1306" t="s">
        <v>3578</v>
      </c>
      <c r="C1758" s="1307">
        <v>1</v>
      </c>
      <c r="D1758" s="1307" t="s">
        <v>3364</v>
      </c>
      <c r="E1758" s="1307">
        <v>6</v>
      </c>
      <c r="F1758" s="1308">
        <v>17</v>
      </c>
      <c r="G1758" s="1308">
        <v>0.23</v>
      </c>
      <c r="H1758" s="1308"/>
      <c r="I1758" s="1309">
        <f t="shared" si="110"/>
        <v>23.46</v>
      </c>
      <c r="J1758" s="1326"/>
    </row>
    <row r="1759" spans="1:10" s="1209" customFormat="1">
      <c r="A1759" s="1182"/>
      <c r="B1759" s="1306" t="s">
        <v>3579</v>
      </c>
      <c r="C1759" s="1307">
        <v>2</v>
      </c>
      <c r="D1759" s="1307" t="s">
        <v>3364</v>
      </c>
      <c r="E1759" s="1307">
        <v>4</v>
      </c>
      <c r="F1759" s="1308">
        <v>24.64</v>
      </c>
      <c r="G1759" s="1308"/>
      <c r="H1759" s="1308">
        <f>0.45-0.125</f>
        <v>0.32500000000000001</v>
      </c>
      <c r="I1759" s="1309">
        <f t="shared" si="110"/>
        <v>64.06</v>
      </c>
      <c r="J1759" s="1326"/>
    </row>
    <row r="1760" spans="1:10" s="1209" customFormat="1">
      <c r="A1760" s="1182"/>
      <c r="B1760" s="1306" t="s">
        <v>3580</v>
      </c>
      <c r="C1760" s="1307">
        <v>1</v>
      </c>
      <c r="D1760" s="1307" t="s">
        <v>3364</v>
      </c>
      <c r="E1760" s="1307">
        <v>4</v>
      </c>
      <c r="F1760" s="1308">
        <v>24.64</v>
      </c>
      <c r="G1760" s="1308">
        <v>0.23</v>
      </c>
      <c r="H1760" s="1308"/>
      <c r="I1760" s="1309">
        <f t="shared" si="110"/>
        <v>22.67</v>
      </c>
      <c r="J1760" s="1326"/>
    </row>
    <row r="1761" spans="1:10" s="1209" customFormat="1">
      <c r="A1761" s="1182"/>
      <c r="B1761" s="1306" t="s">
        <v>3581</v>
      </c>
      <c r="C1761" s="1307">
        <v>1</v>
      </c>
      <c r="D1761" s="1307" t="s">
        <v>3364</v>
      </c>
      <c r="E1761" s="1307">
        <v>2</v>
      </c>
      <c r="F1761" s="1308">
        <f>0.46+4.14+8.97+0.23</f>
        <v>13.8</v>
      </c>
      <c r="G1761" s="1308"/>
      <c r="H1761" s="1308">
        <f>0.45-0.125</f>
        <v>0.32500000000000001</v>
      </c>
      <c r="I1761" s="1309">
        <f t="shared" si="110"/>
        <v>8.9700000000000006</v>
      </c>
      <c r="J1761" s="1326"/>
    </row>
    <row r="1762" spans="1:10" s="1209" customFormat="1">
      <c r="A1762" s="1182"/>
      <c r="B1762" s="1306" t="s">
        <v>3582</v>
      </c>
      <c r="C1762" s="1307">
        <v>1</v>
      </c>
      <c r="D1762" s="1307" t="s">
        <v>3364</v>
      </c>
      <c r="E1762" s="1307">
        <v>1</v>
      </c>
      <c r="F1762" s="1308">
        <v>13.8</v>
      </c>
      <c r="G1762" s="1308">
        <v>0.23</v>
      </c>
      <c r="H1762" s="1308"/>
      <c r="I1762" s="1309">
        <f t="shared" si="110"/>
        <v>3.17</v>
      </c>
      <c r="J1762" s="1326"/>
    </row>
    <row r="1763" spans="1:10" s="1209" customFormat="1">
      <c r="A1763" s="1182"/>
      <c r="B1763" s="1306" t="s">
        <v>3583</v>
      </c>
      <c r="C1763" s="1307">
        <v>2</v>
      </c>
      <c r="D1763" s="1307" t="s">
        <v>3364</v>
      </c>
      <c r="E1763" s="1307">
        <v>2</v>
      </c>
      <c r="F1763" s="1308">
        <f>0.46+8.82</f>
        <v>9.2799999999999994</v>
      </c>
      <c r="G1763" s="1308"/>
      <c r="H1763" s="1308">
        <f>0.45-0.125</f>
        <v>0.32500000000000001</v>
      </c>
      <c r="I1763" s="1309">
        <f t="shared" si="110"/>
        <v>12.06</v>
      </c>
      <c r="J1763" s="1326"/>
    </row>
    <row r="1764" spans="1:10" s="1209" customFormat="1">
      <c r="A1764" s="1182"/>
      <c r="B1764" s="1306" t="s">
        <v>3584</v>
      </c>
      <c r="C1764" s="1307">
        <v>3</v>
      </c>
      <c r="D1764" s="1307" t="s">
        <v>3364</v>
      </c>
      <c r="E1764" s="1307">
        <v>2</v>
      </c>
      <c r="F1764" s="1308">
        <v>9.2799999999999994</v>
      </c>
      <c r="G1764" s="1308">
        <v>0.23</v>
      </c>
      <c r="H1764" s="1308"/>
      <c r="I1764" s="1309">
        <f t="shared" si="110"/>
        <v>12.81</v>
      </c>
      <c r="J1764" s="1326"/>
    </row>
    <row r="1765" spans="1:10" s="1209" customFormat="1">
      <c r="A1765" s="1182"/>
      <c r="B1765" s="1306" t="s">
        <v>3585</v>
      </c>
      <c r="C1765" s="1307">
        <v>3</v>
      </c>
      <c r="D1765" s="1307" t="s">
        <v>3364</v>
      </c>
      <c r="E1765" s="1307">
        <v>3</v>
      </c>
      <c r="F1765" s="1308">
        <v>12.12</v>
      </c>
      <c r="G1765" s="1308"/>
      <c r="H1765" s="1308">
        <f>0.45-0.125</f>
        <v>0.32500000000000001</v>
      </c>
      <c r="I1765" s="1309">
        <f t="shared" si="110"/>
        <v>35.450000000000003</v>
      </c>
      <c r="J1765" s="1326"/>
    </row>
    <row r="1766" spans="1:10" s="1209" customFormat="1">
      <c r="A1766" s="1182"/>
      <c r="B1766" s="1306" t="s">
        <v>3586</v>
      </c>
      <c r="C1766" s="1307">
        <v>1</v>
      </c>
      <c r="D1766" s="1307" t="s">
        <v>3364</v>
      </c>
      <c r="E1766" s="1307">
        <v>3</v>
      </c>
      <c r="F1766" s="1308">
        <v>12.12</v>
      </c>
      <c r="G1766" s="1308">
        <v>0.23</v>
      </c>
      <c r="H1766" s="1308"/>
      <c r="I1766" s="1309">
        <f t="shared" si="110"/>
        <v>8.36</v>
      </c>
      <c r="J1766" s="1326"/>
    </row>
    <row r="1767" spans="1:10" s="1209" customFormat="1">
      <c r="A1767" s="1182"/>
      <c r="B1767" s="1306" t="s">
        <v>3587</v>
      </c>
      <c r="C1767" s="1307">
        <v>4</v>
      </c>
      <c r="D1767" s="1307" t="s">
        <v>3364</v>
      </c>
      <c r="E1767" s="1307">
        <v>2</v>
      </c>
      <c r="F1767" s="1308">
        <f>2.3+0.46+2.5</f>
        <v>5.26</v>
      </c>
      <c r="G1767" s="1308"/>
      <c r="H1767" s="1308">
        <f>0.45-0.125</f>
        <v>0.32500000000000001</v>
      </c>
      <c r="I1767" s="1309">
        <f t="shared" si="110"/>
        <v>13.68</v>
      </c>
      <c r="J1767" s="1326"/>
    </row>
    <row r="1768" spans="1:10" s="1209" customFormat="1">
      <c r="A1768" s="1182"/>
      <c r="B1768" s="1306" t="s">
        <v>3588</v>
      </c>
      <c r="C1768" s="1307">
        <v>1</v>
      </c>
      <c r="D1768" s="1307" t="s">
        <v>3364</v>
      </c>
      <c r="E1768" s="1307">
        <v>1</v>
      </c>
      <c r="F1768" s="1308">
        <f>2.3+0.46+2.5</f>
        <v>5.26</v>
      </c>
      <c r="G1768" s="1308">
        <v>0.23</v>
      </c>
      <c r="H1768" s="1308"/>
      <c r="I1768" s="1309">
        <f t="shared" si="110"/>
        <v>1.21</v>
      </c>
      <c r="J1768" s="1326"/>
    </row>
    <row r="1769" spans="1:10" s="1209" customFormat="1">
      <c r="A1769" s="1182"/>
      <c r="B1769" s="1306" t="s">
        <v>3389</v>
      </c>
      <c r="C1769" s="1307">
        <v>1</v>
      </c>
      <c r="D1769" s="1307" t="s">
        <v>3364</v>
      </c>
      <c r="E1769" s="1307">
        <v>2</v>
      </c>
      <c r="F1769" s="1308">
        <v>4</v>
      </c>
      <c r="G1769" s="1308"/>
      <c r="H1769" s="1308">
        <f>0.45-0.125</f>
        <v>0.32500000000000001</v>
      </c>
      <c r="I1769" s="1309">
        <f t="shared" si="110"/>
        <v>2.6</v>
      </c>
      <c r="J1769" s="1326"/>
    </row>
    <row r="1770" spans="1:10" s="1209" customFormat="1">
      <c r="A1770" s="1182"/>
      <c r="B1770" s="1306" t="s">
        <v>3389</v>
      </c>
      <c r="C1770" s="1307">
        <v>1</v>
      </c>
      <c r="D1770" s="1307" t="s">
        <v>3364</v>
      </c>
      <c r="E1770" s="1307">
        <v>1</v>
      </c>
      <c r="F1770" s="1308">
        <v>4</v>
      </c>
      <c r="G1770" s="1308">
        <v>0.23</v>
      </c>
      <c r="H1770" s="1308"/>
      <c r="I1770" s="1309">
        <f t="shared" si="110"/>
        <v>0.92</v>
      </c>
      <c r="J1770" s="1326"/>
    </row>
    <row r="1771" spans="1:10" s="1209" customFormat="1">
      <c r="A1771" s="1182"/>
      <c r="B1771" s="1306" t="s">
        <v>3589</v>
      </c>
      <c r="C1771" s="1307">
        <v>2</v>
      </c>
      <c r="D1771" s="1307" t="s">
        <v>3364</v>
      </c>
      <c r="E1771" s="1307">
        <v>2</v>
      </c>
      <c r="F1771" s="1308">
        <v>7.32</v>
      </c>
      <c r="G1771" s="1308"/>
      <c r="H1771" s="1308">
        <v>0.15</v>
      </c>
      <c r="I1771" s="1309">
        <f t="shared" si="110"/>
        <v>4.3899999999999997</v>
      </c>
      <c r="J1771" s="1326"/>
    </row>
    <row r="1772" spans="1:10" s="1209" customFormat="1">
      <c r="A1772" s="1182"/>
      <c r="B1772" s="1306" t="s">
        <v>3590</v>
      </c>
      <c r="C1772" s="1307">
        <v>1</v>
      </c>
      <c r="D1772" s="1307" t="s">
        <v>3364</v>
      </c>
      <c r="E1772" s="1307">
        <v>2</v>
      </c>
      <c r="F1772" s="1308">
        <v>7.32</v>
      </c>
      <c r="G1772" s="1308">
        <v>1.5</v>
      </c>
      <c r="H1772" s="1308"/>
      <c r="I1772" s="1309">
        <f t="shared" si="110"/>
        <v>21.96</v>
      </c>
      <c r="J1772" s="1326"/>
    </row>
    <row r="1773" spans="1:10" s="1209" customFormat="1">
      <c r="A1773" s="1182"/>
      <c r="B1773" s="1306" t="s">
        <v>3591</v>
      </c>
      <c r="C1773" s="1307">
        <v>1</v>
      </c>
      <c r="D1773" s="1307" t="s">
        <v>3364</v>
      </c>
      <c r="E1773" s="1307">
        <v>2</v>
      </c>
      <c r="F1773" s="1308">
        <v>3</v>
      </c>
      <c r="G1773" s="1308"/>
      <c r="H1773" s="1308">
        <v>0.15</v>
      </c>
      <c r="I1773" s="1309">
        <f t="shared" si="110"/>
        <v>0.9</v>
      </c>
      <c r="J1773" s="1326"/>
    </row>
    <row r="1774" spans="1:10" s="1209" customFormat="1">
      <c r="A1774" s="1182"/>
      <c r="B1774" s="1306" t="s">
        <v>3592</v>
      </c>
      <c r="C1774" s="1307">
        <v>1</v>
      </c>
      <c r="D1774" s="1307" t="s">
        <v>3364</v>
      </c>
      <c r="E1774" s="1307">
        <v>1</v>
      </c>
      <c r="F1774" s="1308">
        <v>3</v>
      </c>
      <c r="G1774" s="1308">
        <v>1.5</v>
      </c>
      <c r="H1774" s="1308"/>
      <c r="I1774" s="1309">
        <f t="shared" si="110"/>
        <v>4.5</v>
      </c>
      <c r="J1774" s="1326"/>
    </row>
    <row r="1775" spans="1:10" s="1209" customFormat="1">
      <c r="A1775" s="1182"/>
      <c r="B1775" s="1306" t="s">
        <v>3593</v>
      </c>
      <c r="C1775" s="1307">
        <v>1</v>
      </c>
      <c r="D1775" s="1307" t="s">
        <v>3364</v>
      </c>
      <c r="E1775" s="1307">
        <v>2</v>
      </c>
      <c r="F1775" s="1308">
        <v>3.46</v>
      </c>
      <c r="G1775" s="1308"/>
      <c r="H1775" s="1308">
        <v>0.45</v>
      </c>
      <c r="I1775" s="1309">
        <f t="shared" si="110"/>
        <v>3.11</v>
      </c>
      <c r="J1775" s="1326"/>
    </row>
    <row r="1776" spans="1:10" s="1209" customFormat="1">
      <c r="A1776" s="1182"/>
      <c r="B1776" s="1306" t="s">
        <v>3594</v>
      </c>
      <c r="C1776" s="1307">
        <v>1</v>
      </c>
      <c r="D1776" s="1307" t="s">
        <v>3364</v>
      </c>
      <c r="E1776" s="1307">
        <v>1</v>
      </c>
      <c r="F1776" s="1308">
        <v>3.46</v>
      </c>
      <c r="G1776" s="1308">
        <v>0.23</v>
      </c>
      <c r="H1776" s="1308"/>
      <c r="I1776" s="1309">
        <f t="shared" si="110"/>
        <v>0.8</v>
      </c>
      <c r="J1776" s="1326"/>
    </row>
    <row r="1777" spans="1:10" s="1209" customFormat="1">
      <c r="A1777" s="1182"/>
      <c r="B1777" s="1306" t="s">
        <v>3393</v>
      </c>
      <c r="C1777" s="1311">
        <v>1</v>
      </c>
      <c r="D1777" s="1307" t="s">
        <v>3364</v>
      </c>
      <c r="E1777" s="1307">
        <v>22</v>
      </c>
      <c r="F1777" s="1308">
        <v>1.35</v>
      </c>
      <c r="G1777" s="1308"/>
      <c r="H1777" s="1308">
        <v>0.15</v>
      </c>
      <c r="I1777" s="1309">
        <f t="shared" si="110"/>
        <v>4.46</v>
      </c>
      <c r="J1777" s="1326"/>
    </row>
    <row r="1778" spans="1:10" s="1209" customFormat="1">
      <c r="A1778" s="1182"/>
      <c r="B1778" s="1312" t="s">
        <v>3395</v>
      </c>
      <c r="C1778" s="1307"/>
      <c r="D1778" s="1307"/>
      <c r="E1778" s="1307"/>
      <c r="F1778" s="1308"/>
      <c r="G1778" s="1308"/>
      <c r="H1778" s="1308"/>
      <c r="I1778" s="1309"/>
      <c r="J1778" s="1326"/>
    </row>
    <row r="1779" spans="1:10" s="1209" customFormat="1">
      <c r="A1779" s="1182"/>
      <c r="B1779" s="1306" t="s">
        <v>3595</v>
      </c>
      <c r="C1779" s="1307">
        <v>1</v>
      </c>
      <c r="D1779" s="1307" t="s">
        <v>3364</v>
      </c>
      <c r="E1779" s="1307">
        <v>2</v>
      </c>
      <c r="F1779" s="1308">
        <v>1.96</v>
      </c>
      <c r="G1779" s="1308"/>
      <c r="H1779" s="1308">
        <v>0.23</v>
      </c>
      <c r="I1779" s="1309">
        <f t="shared" ref="I1779:I1790" si="111">PRODUCT(C1779:H1779)</f>
        <v>0.9</v>
      </c>
      <c r="J1779" s="1326"/>
    </row>
    <row r="1780" spans="1:10" s="1209" customFormat="1">
      <c r="A1780" s="1182"/>
      <c r="B1780" s="1306" t="s">
        <v>3506</v>
      </c>
      <c r="C1780" s="1307">
        <v>1</v>
      </c>
      <c r="D1780" s="1307" t="s">
        <v>3364</v>
      </c>
      <c r="E1780" s="1307">
        <v>1</v>
      </c>
      <c r="F1780" s="1308">
        <v>1.5</v>
      </c>
      <c r="G1780" s="1308">
        <v>0.23</v>
      </c>
      <c r="H1780" s="1308"/>
      <c r="I1780" s="1309">
        <f t="shared" si="111"/>
        <v>0.35</v>
      </c>
      <c r="J1780" s="1326"/>
    </row>
    <row r="1781" spans="1:10" s="1209" customFormat="1">
      <c r="A1781" s="1182"/>
      <c r="B1781" s="1306" t="s">
        <v>3596</v>
      </c>
      <c r="C1781" s="1307">
        <v>2</v>
      </c>
      <c r="D1781" s="1307" t="s">
        <v>3364</v>
      </c>
      <c r="E1781" s="1307">
        <v>3</v>
      </c>
      <c r="F1781" s="1308">
        <v>1.46</v>
      </c>
      <c r="G1781" s="1308"/>
      <c r="H1781" s="1308">
        <v>0.15</v>
      </c>
      <c r="I1781" s="1309">
        <f t="shared" si="111"/>
        <v>1.31</v>
      </c>
      <c r="J1781" s="1326"/>
    </row>
    <row r="1782" spans="1:10" s="1209" customFormat="1">
      <c r="A1782" s="1182"/>
      <c r="B1782" s="1306" t="s">
        <v>3569</v>
      </c>
      <c r="C1782" s="1307">
        <v>1</v>
      </c>
      <c r="D1782" s="1307" t="s">
        <v>3364</v>
      </c>
      <c r="E1782" s="1307">
        <v>3</v>
      </c>
      <c r="F1782" s="1308">
        <v>1</v>
      </c>
      <c r="G1782" s="1308">
        <v>0.23</v>
      </c>
      <c r="H1782" s="1308"/>
      <c r="I1782" s="1309">
        <f t="shared" si="111"/>
        <v>0.69</v>
      </c>
      <c r="J1782" s="1326"/>
    </row>
    <row r="1783" spans="1:10" s="1209" customFormat="1">
      <c r="A1783" s="1182"/>
      <c r="B1783" s="1306" t="s">
        <v>3597</v>
      </c>
      <c r="C1783" s="1307">
        <v>1</v>
      </c>
      <c r="D1783" s="1307" t="s">
        <v>3364</v>
      </c>
      <c r="E1783" s="1307">
        <v>1</v>
      </c>
      <c r="F1783" s="1308">
        <v>1.46</v>
      </c>
      <c r="G1783" s="1308"/>
      <c r="H1783" s="1308">
        <v>0.15</v>
      </c>
      <c r="I1783" s="1309">
        <f t="shared" si="111"/>
        <v>0.22</v>
      </c>
      <c r="J1783" s="1326"/>
    </row>
    <row r="1784" spans="1:10" s="1209" customFormat="1">
      <c r="A1784" s="1182"/>
      <c r="B1784" s="1306" t="s">
        <v>3571</v>
      </c>
      <c r="C1784" s="1307">
        <v>1</v>
      </c>
      <c r="D1784" s="1307" t="s">
        <v>3364</v>
      </c>
      <c r="E1784" s="1307">
        <v>1</v>
      </c>
      <c r="F1784" s="1308">
        <v>1</v>
      </c>
      <c r="G1784" s="1308">
        <v>0.23</v>
      </c>
      <c r="H1784" s="1308"/>
      <c r="I1784" s="1309">
        <f t="shared" si="111"/>
        <v>0.23</v>
      </c>
      <c r="J1784" s="1326"/>
    </row>
    <row r="1785" spans="1:10" s="1209" customFormat="1">
      <c r="A1785" s="1182"/>
      <c r="B1785" s="1306" t="s">
        <v>3598</v>
      </c>
      <c r="C1785" s="1307">
        <v>2</v>
      </c>
      <c r="D1785" s="1307" t="s">
        <v>3364</v>
      </c>
      <c r="E1785" s="1307">
        <v>5</v>
      </c>
      <c r="F1785" s="1308">
        <v>1.1100000000000001</v>
      </c>
      <c r="G1785" s="1308"/>
      <c r="H1785" s="1308">
        <v>0.15</v>
      </c>
      <c r="I1785" s="1309">
        <f t="shared" si="111"/>
        <v>1.67</v>
      </c>
      <c r="J1785" s="1326"/>
    </row>
    <row r="1786" spans="1:10" s="1209" customFormat="1">
      <c r="A1786" s="1182"/>
      <c r="B1786" s="1306" t="s">
        <v>3599</v>
      </c>
      <c r="C1786" s="1307">
        <v>1</v>
      </c>
      <c r="D1786" s="1307" t="s">
        <v>3364</v>
      </c>
      <c r="E1786" s="1307">
        <v>5</v>
      </c>
      <c r="F1786" s="1308">
        <v>0.75</v>
      </c>
      <c r="G1786" s="1308">
        <v>0.115</v>
      </c>
      <c r="H1786" s="1308"/>
      <c r="I1786" s="1309">
        <f t="shared" si="111"/>
        <v>0.43</v>
      </c>
      <c r="J1786" s="1326"/>
    </row>
    <row r="1787" spans="1:10" s="1209" customFormat="1">
      <c r="A1787" s="1182"/>
      <c r="B1787" s="1306" t="s">
        <v>3572</v>
      </c>
      <c r="C1787" s="1307">
        <v>2</v>
      </c>
      <c r="D1787" s="1307" t="s">
        <v>3364</v>
      </c>
      <c r="E1787" s="1307">
        <v>11</v>
      </c>
      <c r="F1787" s="1308">
        <v>1.96</v>
      </c>
      <c r="G1787" s="1308"/>
      <c r="H1787" s="1308">
        <v>0.15</v>
      </c>
      <c r="I1787" s="1309">
        <f t="shared" si="111"/>
        <v>6.47</v>
      </c>
      <c r="J1787" s="1326"/>
    </row>
    <row r="1788" spans="1:10" s="1209" customFormat="1">
      <c r="A1788" s="1182"/>
      <c r="B1788" s="1306" t="s">
        <v>3573</v>
      </c>
      <c r="C1788" s="1307">
        <v>1</v>
      </c>
      <c r="D1788" s="1307" t="s">
        <v>3364</v>
      </c>
      <c r="E1788" s="1307">
        <v>11</v>
      </c>
      <c r="F1788" s="1308">
        <v>1.5</v>
      </c>
      <c r="G1788" s="1308">
        <v>0.23</v>
      </c>
      <c r="H1788" s="1308"/>
      <c r="I1788" s="1309">
        <f t="shared" si="111"/>
        <v>3.8</v>
      </c>
      <c r="J1788" s="1326"/>
    </row>
    <row r="1789" spans="1:10" s="1209" customFormat="1">
      <c r="A1789" s="1182"/>
      <c r="B1789" s="1306" t="s">
        <v>3600</v>
      </c>
      <c r="C1789" s="1307">
        <v>1</v>
      </c>
      <c r="D1789" s="1307" t="s">
        <v>3364</v>
      </c>
      <c r="E1789" s="1307">
        <v>2</v>
      </c>
      <c r="F1789" s="1308">
        <f>0.75+0.46</f>
        <v>1.21</v>
      </c>
      <c r="G1789" s="1308"/>
      <c r="H1789" s="1308">
        <v>0.15</v>
      </c>
      <c r="I1789" s="1309">
        <f t="shared" si="111"/>
        <v>0.36</v>
      </c>
      <c r="J1789" s="1326"/>
    </row>
    <row r="1790" spans="1:10" s="1209" customFormat="1">
      <c r="A1790" s="1182"/>
      <c r="B1790" s="1306" t="s">
        <v>3575</v>
      </c>
      <c r="C1790" s="1307">
        <v>1</v>
      </c>
      <c r="D1790" s="1307" t="s">
        <v>3364</v>
      </c>
      <c r="E1790" s="1307">
        <v>1</v>
      </c>
      <c r="F1790" s="1308">
        <f>0.75+0.46</f>
        <v>1.21</v>
      </c>
      <c r="G1790" s="1308">
        <v>0.23</v>
      </c>
      <c r="H1790" s="1308"/>
      <c r="I1790" s="1309">
        <f t="shared" si="111"/>
        <v>0.28000000000000003</v>
      </c>
      <c r="J1790" s="1326"/>
    </row>
    <row r="1791" spans="1:10" s="1209" customFormat="1">
      <c r="A1791" s="1182"/>
      <c r="B1791" s="1312" t="s">
        <v>3402</v>
      </c>
      <c r="C1791" s="1307"/>
      <c r="D1791" s="1307"/>
      <c r="E1791" s="1307"/>
      <c r="F1791" s="1308"/>
      <c r="G1791" s="1308"/>
      <c r="H1791" s="1308"/>
      <c r="I1791" s="1309"/>
      <c r="J1791" s="1326"/>
    </row>
    <row r="1792" spans="1:10" s="1209" customFormat="1">
      <c r="A1792" s="1182"/>
      <c r="B1792" s="1306" t="s">
        <v>3572</v>
      </c>
      <c r="C1792" s="1307">
        <v>1</v>
      </c>
      <c r="D1792" s="1307" t="s">
        <v>3364</v>
      </c>
      <c r="E1792" s="1307">
        <v>11</v>
      </c>
      <c r="F1792" s="1308">
        <v>1.96</v>
      </c>
      <c r="G1792" s="1308"/>
      <c r="H1792" s="1308">
        <v>0.05</v>
      </c>
      <c r="I1792" s="1309">
        <f t="shared" ref="I1792:I1798" si="112">PRODUCT(C1792:H1792)</f>
        <v>1.08</v>
      </c>
      <c r="J1792" s="1326"/>
    </row>
    <row r="1793" spans="1:10" s="1209" customFormat="1">
      <c r="A1793" s="1182"/>
      <c r="B1793" s="1306" t="s">
        <v>3601</v>
      </c>
      <c r="C1793" s="1307">
        <v>1</v>
      </c>
      <c r="D1793" s="1307" t="s">
        <v>3364</v>
      </c>
      <c r="E1793" s="1307">
        <v>11</v>
      </c>
      <c r="F1793" s="1308">
        <v>1.96</v>
      </c>
      <c r="G1793" s="1308"/>
      <c r="H1793" s="1308">
        <v>0.08</v>
      </c>
      <c r="I1793" s="1309">
        <f t="shared" si="112"/>
        <v>1.72</v>
      </c>
      <c r="J1793" s="1326"/>
    </row>
    <row r="1794" spans="1:10" s="1209" customFormat="1">
      <c r="A1794" s="1182"/>
      <c r="B1794" s="1306" t="s">
        <v>3602</v>
      </c>
      <c r="C1794" s="1307">
        <v>1</v>
      </c>
      <c r="D1794" s="1307" t="s">
        <v>3364</v>
      </c>
      <c r="E1794" s="1307">
        <v>2</v>
      </c>
      <c r="F1794" s="1308">
        <v>13.34</v>
      </c>
      <c r="G1794" s="1308"/>
      <c r="H1794" s="1308">
        <v>0.125</v>
      </c>
      <c r="I1794" s="1309">
        <f t="shared" si="112"/>
        <v>3.34</v>
      </c>
      <c r="J1794" s="1326"/>
    </row>
    <row r="1795" spans="1:10" s="1209" customFormat="1">
      <c r="A1795" s="1182"/>
      <c r="B1795" s="1306" t="s">
        <v>3603</v>
      </c>
      <c r="C1795" s="1307">
        <v>1</v>
      </c>
      <c r="D1795" s="1307" t="s">
        <v>3364</v>
      </c>
      <c r="E1795" s="1307">
        <v>1</v>
      </c>
      <c r="F1795" s="1308">
        <f>13.34+1.2</f>
        <v>14.54</v>
      </c>
      <c r="G1795" s="1308"/>
      <c r="H1795" s="1308">
        <v>0.08</v>
      </c>
      <c r="I1795" s="1309">
        <f t="shared" si="112"/>
        <v>1.1599999999999999</v>
      </c>
      <c r="J1795" s="1326"/>
    </row>
    <row r="1796" spans="1:10" s="1209" customFormat="1">
      <c r="A1796" s="1182"/>
      <c r="B1796" s="1306" t="s">
        <v>3604</v>
      </c>
      <c r="C1796" s="1307">
        <v>1</v>
      </c>
      <c r="D1796" s="1307" t="s">
        <v>3364</v>
      </c>
      <c r="E1796" s="1307">
        <v>1</v>
      </c>
      <c r="F1796" s="1308">
        <v>13.34</v>
      </c>
      <c r="G1796" s="1308">
        <v>0.6</v>
      </c>
      <c r="H1796" s="1308"/>
      <c r="I1796" s="1309">
        <f t="shared" si="112"/>
        <v>8</v>
      </c>
      <c r="J1796" s="1326"/>
    </row>
    <row r="1797" spans="1:10" s="1209" customFormat="1">
      <c r="A1797" s="1182"/>
      <c r="B1797" s="1306" t="s">
        <v>3410</v>
      </c>
      <c r="C1797" s="1307">
        <v>2</v>
      </c>
      <c r="D1797" s="1307" t="s">
        <v>3364</v>
      </c>
      <c r="E1797" s="1307">
        <v>2</v>
      </c>
      <c r="F1797" s="1308">
        <v>4</v>
      </c>
      <c r="G1797" s="1308"/>
      <c r="H1797" s="1308">
        <v>0.125</v>
      </c>
      <c r="I1797" s="1309">
        <f t="shared" si="112"/>
        <v>2</v>
      </c>
      <c r="J1797" s="1326"/>
    </row>
    <row r="1798" spans="1:10" s="1209" customFormat="1">
      <c r="A1798" s="1182"/>
      <c r="B1798" s="1306" t="s">
        <v>3411</v>
      </c>
      <c r="C1798" s="1307">
        <v>1</v>
      </c>
      <c r="D1798" s="1307" t="s">
        <v>3364</v>
      </c>
      <c r="E1798" s="1307">
        <v>2</v>
      </c>
      <c r="F1798" s="1308">
        <f>4+1.2</f>
        <v>5.2</v>
      </c>
      <c r="G1798" s="1308"/>
      <c r="H1798" s="1308">
        <v>0.08</v>
      </c>
      <c r="I1798" s="1309">
        <f t="shared" si="112"/>
        <v>0.83</v>
      </c>
      <c r="J1798" s="1326"/>
    </row>
    <row r="1799" spans="1:10" s="1209" customFormat="1">
      <c r="A1799" s="1182"/>
      <c r="B1799" s="1312" t="s">
        <v>3488</v>
      </c>
      <c r="C1799" s="1307"/>
      <c r="D1799" s="1307"/>
      <c r="E1799" s="1307"/>
      <c r="F1799" s="1308"/>
      <c r="G1799" s="1308"/>
      <c r="H1799" s="1308"/>
      <c r="I1799" s="1309"/>
      <c r="J1799" s="1326"/>
    </row>
    <row r="1800" spans="1:10" s="1209" customFormat="1">
      <c r="A1800" s="1182"/>
      <c r="B1800" s="1310" t="s">
        <v>3413</v>
      </c>
      <c r="C1800" s="1307"/>
      <c r="D1800" s="1307"/>
      <c r="E1800" s="1307"/>
      <c r="F1800" s="1308"/>
      <c r="G1800" s="1308"/>
      <c r="H1800" s="1308"/>
      <c r="I1800" s="1309">
        <f t="shared" ref="I1800:I1824" si="113">PRODUCT(C1800:H1800)</f>
        <v>0</v>
      </c>
      <c r="J1800" s="1326"/>
    </row>
    <row r="1801" spans="1:10" s="1209" customFormat="1">
      <c r="A1801" s="1182"/>
      <c r="B1801" s="1306" t="s">
        <v>3424</v>
      </c>
      <c r="C1801" s="1307">
        <v>1</v>
      </c>
      <c r="D1801" s="1307" t="s">
        <v>3364</v>
      </c>
      <c r="E1801" s="1307">
        <v>1</v>
      </c>
      <c r="F1801" s="1308">
        <v>24.64</v>
      </c>
      <c r="G1801" s="1308">
        <v>17</v>
      </c>
      <c r="H1801" s="1308"/>
      <c r="I1801" s="1309">
        <f t="shared" si="113"/>
        <v>418.88</v>
      </c>
      <c r="J1801" s="1326"/>
    </row>
    <row r="1802" spans="1:10" s="1209" customFormat="1">
      <c r="A1802" s="1182"/>
      <c r="B1802" s="1306" t="s">
        <v>3425</v>
      </c>
      <c r="C1802" s="1307">
        <v>1</v>
      </c>
      <c r="D1802" s="1307" t="s">
        <v>3364</v>
      </c>
      <c r="E1802" s="1307">
        <v>1</v>
      </c>
      <c r="F1802" s="1308">
        <v>12.12</v>
      </c>
      <c r="G1802" s="1308">
        <f>0.46+8.82</f>
        <v>9.2799999999999994</v>
      </c>
      <c r="H1802" s="1308"/>
      <c r="I1802" s="1309">
        <f t="shared" si="113"/>
        <v>112.47</v>
      </c>
      <c r="J1802" s="1326"/>
    </row>
    <row r="1803" spans="1:10" s="1209" customFormat="1">
      <c r="A1803" s="1182"/>
      <c r="B1803" s="1306" t="s">
        <v>3426</v>
      </c>
      <c r="C1803" s="1307">
        <v>1</v>
      </c>
      <c r="D1803" s="1307" t="s">
        <v>3364</v>
      </c>
      <c r="E1803" s="1307">
        <v>1</v>
      </c>
      <c r="F1803" s="1308">
        <v>4.46</v>
      </c>
      <c r="G1803" s="1308">
        <f>0.46+2.5+1.8+0.23</f>
        <v>4.99</v>
      </c>
      <c r="H1803" s="1308"/>
      <c r="I1803" s="1309">
        <f t="shared" si="113"/>
        <v>22.26</v>
      </c>
      <c r="J1803" s="1326"/>
    </row>
    <row r="1804" spans="1:10" s="1209" customFormat="1">
      <c r="A1804" s="1182"/>
      <c r="B1804" s="1306" t="s">
        <v>3383</v>
      </c>
      <c r="C1804" s="1307">
        <v>-1</v>
      </c>
      <c r="D1804" s="1307" t="s">
        <v>3364</v>
      </c>
      <c r="E1804" s="1307">
        <v>1</v>
      </c>
      <c r="F1804" s="1308">
        <v>3</v>
      </c>
      <c r="G1804" s="1308">
        <f>8.82-1.5</f>
        <v>7.32</v>
      </c>
      <c r="H1804" s="1308"/>
      <c r="I1804" s="1309">
        <f t="shared" si="113"/>
        <v>-21.96</v>
      </c>
      <c r="J1804" s="1326"/>
    </row>
    <row r="1805" spans="1:10" s="1209" customFormat="1">
      <c r="A1805" s="1182"/>
      <c r="B1805" s="1306" t="s">
        <v>3577</v>
      </c>
      <c r="C1805" s="1307">
        <v>2</v>
      </c>
      <c r="D1805" s="1307" t="s">
        <v>3364</v>
      </c>
      <c r="E1805" s="1307">
        <v>6</v>
      </c>
      <c r="F1805" s="1308">
        <v>17</v>
      </c>
      <c r="G1805" s="1308"/>
      <c r="H1805" s="1308">
        <f>0.45-0.125</f>
        <v>0.32500000000000001</v>
      </c>
      <c r="I1805" s="1309">
        <f t="shared" si="113"/>
        <v>66.3</v>
      </c>
      <c r="J1805" s="1326"/>
    </row>
    <row r="1806" spans="1:10" s="1209" customFormat="1">
      <c r="A1806" s="1182"/>
      <c r="B1806" s="1306" t="s">
        <v>3578</v>
      </c>
      <c r="C1806" s="1307">
        <v>1</v>
      </c>
      <c r="D1806" s="1307" t="s">
        <v>3364</v>
      </c>
      <c r="E1806" s="1307">
        <v>6</v>
      </c>
      <c r="F1806" s="1308">
        <v>17</v>
      </c>
      <c r="G1806" s="1308">
        <v>0.23</v>
      </c>
      <c r="H1806" s="1308"/>
      <c r="I1806" s="1309">
        <f t="shared" si="113"/>
        <v>23.46</v>
      </c>
      <c r="J1806" s="1326"/>
    </row>
    <row r="1807" spans="1:10" s="1209" customFormat="1">
      <c r="A1807" s="1182"/>
      <c r="B1807" s="1306" t="s">
        <v>3579</v>
      </c>
      <c r="C1807" s="1307">
        <v>2</v>
      </c>
      <c r="D1807" s="1307" t="s">
        <v>3364</v>
      </c>
      <c r="E1807" s="1307">
        <v>4</v>
      </c>
      <c r="F1807" s="1308">
        <v>24.64</v>
      </c>
      <c r="G1807" s="1308"/>
      <c r="H1807" s="1308">
        <f>0.45-0.125</f>
        <v>0.32500000000000001</v>
      </c>
      <c r="I1807" s="1309">
        <f t="shared" si="113"/>
        <v>64.06</v>
      </c>
      <c r="J1807" s="1326"/>
    </row>
    <row r="1808" spans="1:10" s="1209" customFormat="1">
      <c r="A1808" s="1182"/>
      <c r="B1808" s="1306" t="s">
        <v>3580</v>
      </c>
      <c r="C1808" s="1307">
        <v>1</v>
      </c>
      <c r="D1808" s="1307" t="s">
        <v>3364</v>
      </c>
      <c r="E1808" s="1307">
        <v>4</v>
      </c>
      <c r="F1808" s="1308">
        <v>24.64</v>
      </c>
      <c r="G1808" s="1308">
        <v>0.23</v>
      </c>
      <c r="H1808" s="1308"/>
      <c r="I1808" s="1309">
        <f t="shared" si="113"/>
        <v>22.67</v>
      </c>
      <c r="J1808" s="1326"/>
    </row>
    <row r="1809" spans="1:10" s="1209" customFormat="1">
      <c r="A1809" s="1182"/>
      <c r="B1809" s="1306" t="s">
        <v>3581</v>
      </c>
      <c r="C1809" s="1307">
        <v>1</v>
      </c>
      <c r="D1809" s="1307" t="s">
        <v>3364</v>
      </c>
      <c r="E1809" s="1307">
        <v>2</v>
      </c>
      <c r="F1809" s="1308">
        <f>0.46+4.14+8.97+0.23</f>
        <v>13.8</v>
      </c>
      <c r="G1809" s="1308"/>
      <c r="H1809" s="1308">
        <f>0.45-0.125</f>
        <v>0.32500000000000001</v>
      </c>
      <c r="I1809" s="1309">
        <f t="shared" si="113"/>
        <v>8.9700000000000006</v>
      </c>
      <c r="J1809" s="1326"/>
    </row>
    <row r="1810" spans="1:10" s="1209" customFormat="1">
      <c r="A1810" s="1182"/>
      <c r="B1810" s="1306" t="s">
        <v>3582</v>
      </c>
      <c r="C1810" s="1307">
        <v>1</v>
      </c>
      <c r="D1810" s="1307" t="s">
        <v>3364</v>
      </c>
      <c r="E1810" s="1307">
        <v>1</v>
      </c>
      <c r="F1810" s="1308">
        <f>0.46+4.14+8.97+0.23</f>
        <v>13.8</v>
      </c>
      <c r="G1810" s="1308">
        <v>0.23</v>
      </c>
      <c r="H1810" s="1308"/>
      <c r="I1810" s="1309">
        <f t="shared" si="113"/>
        <v>3.17</v>
      </c>
      <c r="J1810" s="1326"/>
    </row>
    <row r="1811" spans="1:10" s="1209" customFormat="1">
      <c r="A1811" s="1182"/>
      <c r="B1811" s="1306" t="s">
        <v>3583</v>
      </c>
      <c r="C1811" s="1307">
        <v>2</v>
      </c>
      <c r="D1811" s="1307" t="s">
        <v>3364</v>
      </c>
      <c r="E1811" s="1307">
        <v>2</v>
      </c>
      <c r="F1811" s="1308">
        <f>0.46+8.82</f>
        <v>9.2799999999999994</v>
      </c>
      <c r="G1811" s="1308"/>
      <c r="H1811" s="1308">
        <f t="shared" ref="H1811:H1816" si="114">0.45-0.125</f>
        <v>0.32500000000000001</v>
      </c>
      <c r="I1811" s="1309">
        <f t="shared" si="113"/>
        <v>12.06</v>
      </c>
      <c r="J1811" s="1326"/>
    </row>
    <row r="1812" spans="1:10" s="1209" customFormat="1">
      <c r="A1812" s="1182"/>
      <c r="B1812" s="1306" t="s">
        <v>3584</v>
      </c>
      <c r="C1812" s="1307">
        <v>1</v>
      </c>
      <c r="D1812" s="1307" t="s">
        <v>3364</v>
      </c>
      <c r="E1812" s="1307">
        <v>2</v>
      </c>
      <c r="F1812" s="1308">
        <f>0.46+8.82</f>
        <v>9.2799999999999994</v>
      </c>
      <c r="G1812" s="1308">
        <v>0.23</v>
      </c>
      <c r="H1812" s="1308"/>
      <c r="I1812" s="1309">
        <f t="shared" si="113"/>
        <v>4.2699999999999996</v>
      </c>
      <c r="J1812" s="1326"/>
    </row>
    <row r="1813" spans="1:10" s="1209" customFormat="1">
      <c r="A1813" s="1182"/>
      <c r="B1813" s="1306" t="s">
        <v>3585</v>
      </c>
      <c r="C1813" s="1307">
        <v>3</v>
      </c>
      <c r="D1813" s="1307" t="s">
        <v>3364</v>
      </c>
      <c r="E1813" s="1307">
        <v>3</v>
      </c>
      <c r="F1813" s="1308">
        <v>12.12</v>
      </c>
      <c r="G1813" s="1308"/>
      <c r="H1813" s="1308">
        <f t="shared" si="114"/>
        <v>0.32500000000000001</v>
      </c>
      <c r="I1813" s="1309">
        <f t="shared" si="113"/>
        <v>35.450000000000003</v>
      </c>
      <c r="J1813" s="1326"/>
    </row>
    <row r="1814" spans="1:10" s="1209" customFormat="1">
      <c r="A1814" s="1182"/>
      <c r="B1814" s="1306" t="s">
        <v>3586</v>
      </c>
      <c r="C1814" s="1307">
        <v>3</v>
      </c>
      <c r="D1814" s="1307" t="s">
        <v>3364</v>
      </c>
      <c r="E1814" s="1307">
        <v>3</v>
      </c>
      <c r="F1814" s="1308">
        <v>12.12</v>
      </c>
      <c r="G1814" s="1308">
        <v>0.23</v>
      </c>
      <c r="H1814" s="1308"/>
      <c r="I1814" s="1309">
        <f t="shared" si="113"/>
        <v>25.09</v>
      </c>
      <c r="J1814" s="1326"/>
    </row>
    <row r="1815" spans="1:10" s="1209" customFormat="1">
      <c r="A1815" s="1182"/>
      <c r="B1815" s="1306" t="s">
        <v>3587</v>
      </c>
      <c r="C1815" s="1307">
        <v>3</v>
      </c>
      <c r="D1815" s="1307" t="s">
        <v>3364</v>
      </c>
      <c r="E1815" s="1307">
        <v>2</v>
      </c>
      <c r="F1815" s="1308">
        <f>2.3+0.46+2.5</f>
        <v>5.26</v>
      </c>
      <c r="G1815" s="1308"/>
      <c r="H1815" s="1308">
        <f t="shared" si="114"/>
        <v>0.32500000000000001</v>
      </c>
      <c r="I1815" s="1309">
        <f t="shared" si="113"/>
        <v>10.26</v>
      </c>
      <c r="J1815" s="1326"/>
    </row>
    <row r="1816" spans="1:10" s="1209" customFormat="1">
      <c r="A1816" s="1182"/>
      <c r="B1816" s="1306" t="s">
        <v>3389</v>
      </c>
      <c r="C1816" s="1307">
        <v>1</v>
      </c>
      <c r="D1816" s="1307" t="s">
        <v>3364</v>
      </c>
      <c r="E1816" s="1307">
        <v>2</v>
      </c>
      <c r="F1816" s="1308">
        <v>4</v>
      </c>
      <c r="G1816" s="1308"/>
      <c r="H1816" s="1308">
        <f t="shared" si="114"/>
        <v>0.32500000000000001</v>
      </c>
      <c r="I1816" s="1309">
        <f t="shared" si="113"/>
        <v>2.6</v>
      </c>
      <c r="J1816" s="1326"/>
    </row>
    <row r="1817" spans="1:10" s="1209" customFormat="1">
      <c r="A1817" s="1182"/>
      <c r="B1817" s="1306" t="s">
        <v>6857</v>
      </c>
      <c r="C1817" s="1307">
        <v>1</v>
      </c>
      <c r="D1817" s="1307" t="s">
        <v>3364</v>
      </c>
      <c r="E1817" s="1307">
        <v>1</v>
      </c>
      <c r="F1817" s="1308">
        <v>4</v>
      </c>
      <c r="G1817" s="1308">
        <v>0.23</v>
      </c>
      <c r="H1817" s="1308"/>
      <c r="I1817" s="1309">
        <f t="shared" si="113"/>
        <v>0.92</v>
      </c>
      <c r="J1817" s="1326"/>
    </row>
    <row r="1818" spans="1:10" s="1209" customFormat="1">
      <c r="A1818" s="1182"/>
      <c r="B1818" s="1306" t="s">
        <v>3589</v>
      </c>
      <c r="C1818" s="1307">
        <v>2</v>
      </c>
      <c r="D1818" s="1307" t="s">
        <v>3364</v>
      </c>
      <c r="E1818" s="1307">
        <v>2</v>
      </c>
      <c r="F1818" s="1308">
        <v>7.32</v>
      </c>
      <c r="G1818" s="1308"/>
      <c r="H1818" s="1308">
        <v>0.15</v>
      </c>
      <c r="I1818" s="1309">
        <f t="shared" si="113"/>
        <v>4.3899999999999997</v>
      </c>
      <c r="J1818" s="1326"/>
    </row>
    <row r="1819" spans="1:10" s="1209" customFormat="1">
      <c r="A1819" s="1182"/>
      <c r="B1819" s="1306" t="s">
        <v>3590</v>
      </c>
      <c r="C1819" s="1307">
        <v>1</v>
      </c>
      <c r="D1819" s="1307" t="s">
        <v>3364</v>
      </c>
      <c r="E1819" s="1307">
        <v>2</v>
      </c>
      <c r="F1819" s="1308">
        <v>7.32</v>
      </c>
      <c r="G1819" s="1308">
        <v>1.5</v>
      </c>
      <c r="H1819" s="1308"/>
      <c r="I1819" s="1309">
        <f t="shared" si="113"/>
        <v>21.96</v>
      </c>
      <c r="J1819" s="1326"/>
    </row>
    <row r="1820" spans="1:10" s="1209" customFormat="1">
      <c r="A1820" s="1182"/>
      <c r="B1820" s="1306" t="s">
        <v>3591</v>
      </c>
      <c r="C1820" s="1307">
        <v>1</v>
      </c>
      <c r="D1820" s="1307" t="s">
        <v>3364</v>
      </c>
      <c r="E1820" s="1307">
        <v>2</v>
      </c>
      <c r="F1820" s="1308">
        <v>3</v>
      </c>
      <c r="G1820" s="1308"/>
      <c r="H1820" s="1308">
        <v>0.15</v>
      </c>
      <c r="I1820" s="1309">
        <f t="shared" si="113"/>
        <v>0.9</v>
      </c>
      <c r="J1820" s="1326"/>
    </row>
    <row r="1821" spans="1:10" s="1209" customFormat="1">
      <c r="A1821" s="1182"/>
      <c r="B1821" s="1306" t="s">
        <v>3592</v>
      </c>
      <c r="C1821" s="1307">
        <v>1</v>
      </c>
      <c r="D1821" s="1307" t="s">
        <v>3364</v>
      </c>
      <c r="E1821" s="1307">
        <v>1</v>
      </c>
      <c r="F1821" s="1308">
        <v>3</v>
      </c>
      <c r="G1821" s="1308">
        <v>1.5</v>
      </c>
      <c r="H1821" s="1308"/>
      <c r="I1821" s="1309">
        <f t="shared" si="113"/>
        <v>4.5</v>
      </c>
      <c r="J1821" s="1326"/>
    </row>
    <row r="1822" spans="1:10" s="1209" customFormat="1">
      <c r="A1822" s="1182"/>
      <c r="B1822" s="1306" t="s">
        <v>3593</v>
      </c>
      <c r="C1822" s="1307">
        <v>1</v>
      </c>
      <c r="D1822" s="1307" t="s">
        <v>3364</v>
      </c>
      <c r="E1822" s="1307">
        <v>2</v>
      </c>
      <c r="F1822" s="1308">
        <v>3.46</v>
      </c>
      <c r="G1822" s="1308">
        <v>0.23</v>
      </c>
      <c r="H1822" s="1308">
        <v>0.45</v>
      </c>
      <c r="I1822" s="1309">
        <f t="shared" si="113"/>
        <v>0.72</v>
      </c>
      <c r="J1822" s="1326"/>
    </row>
    <row r="1823" spans="1:10" s="1209" customFormat="1">
      <c r="A1823" s="1182"/>
      <c r="B1823" s="1306" t="s">
        <v>3594</v>
      </c>
      <c r="C1823" s="1307">
        <v>1</v>
      </c>
      <c r="D1823" s="1307" t="s">
        <v>3364</v>
      </c>
      <c r="E1823" s="1307">
        <v>1</v>
      </c>
      <c r="F1823" s="1308">
        <v>3.46</v>
      </c>
      <c r="G1823" s="1308">
        <v>0.23</v>
      </c>
      <c r="H1823" s="1308"/>
      <c r="I1823" s="1309">
        <f t="shared" si="113"/>
        <v>0.8</v>
      </c>
      <c r="J1823" s="1326"/>
    </row>
    <row r="1824" spans="1:10" s="1209" customFormat="1">
      <c r="A1824" s="1182"/>
      <c r="B1824" s="1306" t="s">
        <v>3393</v>
      </c>
      <c r="C1824" s="1311">
        <v>1</v>
      </c>
      <c r="D1824" s="1307" t="s">
        <v>3364</v>
      </c>
      <c r="E1824" s="1307">
        <v>22</v>
      </c>
      <c r="F1824" s="1308">
        <v>1.35</v>
      </c>
      <c r="G1824" s="1308"/>
      <c r="H1824" s="1308">
        <v>0.15</v>
      </c>
      <c r="I1824" s="1309">
        <f t="shared" si="113"/>
        <v>4.46</v>
      </c>
      <c r="J1824" s="1326"/>
    </row>
    <row r="1825" spans="1:10" s="1209" customFormat="1">
      <c r="A1825" s="1182"/>
      <c r="B1825" s="1312" t="s">
        <v>3395</v>
      </c>
      <c r="C1825" s="1307"/>
      <c r="D1825" s="1307"/>
      <c r="E1825" s="1307"/>
      <c r="F1825" s="1308"/>
      <c r="G1825" s="1308"/>
      <c r="H1825" s="1308"/>
      <c r="I1825" s="1309"/>
      <c r="J1825" s="1326"/>
    </row>
    <row r="1826" spans="1:10" s="1209" customFormat="1">
      <c r="A1826" s="1182"/>
      <c r="B1826" s="1306" t="s">
        <v>3605</v>
      </c>
      <c r="C1826" s="1307">
        <v>2</v>
      </c>
      <c r="D1826" s="1307" t="s">
        <v>3364</v>
      </c>
      <c r="E1826" s="1307">
        <v>4</v>
      </c>
      <c r="F1826" s="1308">
        <v>1.96</v>
      </c>
      <c r="G1826" s="1308"/>
      <c r="H1826" s="1308">
        <v>0.23</v>
      </c>
      <c r="I1826" s="1309">
        <f t="shared" ref="I1826:I1841" si="115">PRODUCT(C1826:H1826)</f>
        <v>3.61</v>
      </c>
      <c r="J1826" s="1326"/>
    </row>
    <row r="1827" spans="1:10" s="1209" customFormat="1">
      <c r="A1827" s="1182"/>
      <c r="B1827" s="1306" t="s">
        <v>3567</v>
      </c>
      <c r="C1827" s="1307">
        <v>1</v>
      </c>
      <c r="D1827" s="1307" t="s">
        <v>3364</v>
      </c>
      <c r="E1827" s="1307">
        <v>4</v>
      </c>
      <c r="F1827" s="1308">
        <v>1.5</v>
      </c>
      <c r="G1827" s="1308">
        <v>0.23</v>
      </c>
      <c r="H1827" s="1308"/>
      <c r="I1827" s="1309">
        <f t="shared" si="115"/>
        <v>1.38</v>
      </c>
      <c r="J1827" s="1326"/>
    </row>
    <row r="1828" spans="1:10" s="1209" customFormat="1">
      <c r="A1828" s="1182"/>
      <c r="B1828" s="1306" t="s">
        <v>3565</v>
      </c>
      <c r="C1828" s="1307">
        <v>2</v>
      </c>
      <c r="D1828" s="1307" t="s">
        <v>3364</v>
      </c>
      <c r="E1828" s="1307">
        <v>1</v>
      </c>
      <c r="F1828" s="1308">
        <v>1.96</v>
      </c>
      <c r="G1828" s="1308"/>
      <c r="H1828" s="1308">
        <v>0.23</v>
      </c>
      <c r="I1828" s="1309">
        <f t="shared" si="115"/>
        <v>0.9</v>
      </c>
      <c r="J1828" s="1326"/>
    </row>
    <row r="1829" spans="1:10" s="1209" customFormat="1">
      <c r="A1829" s="1182"/>
      <c r="B1829" s="1306" t="s">
        <v>3506</v>
      </c>
      <c r="C1829" s="1307">
        <v>1</v>
      </c>
      <c r="D1829" s="1307" t="s">
        <v>3364</v>
      </c>
      <c r="E1829" s="1307">
        <v>1</v>
      </c>
      <c r="F1829" s="1308">
        <v>1.5</v>
      </c>
      <c r="G1829" s="1308">
        <v>0.23</v>
      </c>
      <c r="H1829" s="1308"/>
      <c r="I1829" s="1309">
        <f t="shared" si="115"/>
        <v>0.35</v>
      </c>
      <c r="J1829" s="1326"/>
    </row>
    <row r="1830" spans="1:10" s="1209" customFormat="1">
      <c r="A1830" s="1182"/>
      <c r="B1830" s="1306" t="s">
        <v>3568</v>
      </c>
      <c r="C1830" s="1307">
        <v>2</v>
      </c>
      <c r="D1830" s="1307" t="s">
        <v>3364</v>
      </c>
      <c r="E1830" s="1307">
        <v>6</v>
      </c>
      <c r="F1830" s="1308">
        <v>1.46</v>
      </c>
      <c r="G1830" s="1308"/>
      <c r="H1830" s="1308">
        <v>0.15</v>
      </c>
      <c r="I1830" s="1309">
        <f t="shared" si="115"/>
        <v>2.63</v>
      </c>
      <c r="J1830" s="1326"/>
    </row>
    <row r="1831" spans="1:10" s="1209" customFormat="1">
      <c r="A1831" s="1182"/>
      <c r="B1831" s="1306" t="s">
        <v>3569</v>
      </c>
      <c r="C1831" s="1307">
        <v>1</v>
      </c>
      <c r="D1831" s="1307" t="s">
        <v>3364</v>
      </c>
      <c r="E1831" s="1307">
        <v>6</v>
      </c>
      <c r="F1831" s="1308">
        <v>1</v>
      </c>
      <c r="G1831" s="1308">
        <v>0.23</v>
      </c>
      <c r="H1831" s="1308"/>
      <c r="I1831" s="1309">
        <f t="shared" si="115"/>
        <v>1.38</v>
      </c>
      <c r="J1831" s="1326"/>
    </row>
    <row r="1832" spans="1:10" s="1209" customFormat="1">
      <c r="A1832" s="1182"/>
      <c r="B1832" s="1306" t="s">
        <v>3570</v>
      </c>
      <c r="C1832" s="1307">
        <v>2</v>
      </c>
      <c r="D1832" s="1307" t="s">
        <v>3364</v>
      </c>
      <c r="E1832" s="1307">
        <v>1</v>
      </c>
      <c r="F1832" s="1308">
        <v>1.46</v>
      </c>
      <c r="G1832" s="1308"/>
      <c r="H1832" s="1308">
        <v>0.15</v>
      </c>
      <c r="I1832" s="1309">
        <f t="shared" si="115"/>
        <v>0.44</v>
      </c>
      <c r="J1832" s="1326"/>
    </row>
    <row r="1833" spans="1:10" s="1209" customFormat="1">
      <c r="A1833" s="1182"/>
      <c r="B1833" s="1306" t="s">
        <v>3571</v>
      </c>
      <c r="C1833" s="1307">
        <v>1</v>
      </c>
      <c r="D1833" s="1307" t="s">
        <v>3364</v>
      </c>
      <c r="E1833" s="1307">
        <v>1</v>
      </c>
      <c r="F1833" s="1308">
        <v>1</v>
      </c>
      <c r="G1833" s="1308">
        <v>0.23</v>
      </c>
      <c r="H1833" s="1308"/>
      <c r="I1833" s="1309">
        <f t="shared" si="115"/>
        <v>0.23</v>
      </c>
      <c r="J1833" s="1326"/>
    </row>
    <row r="1834" spans="1:10" s="1209" customFormat="1">
      <c r="A1834" s="1182"/>
      <c r="B1834" s="1306" t="s">
        <v>3598</v>
      </c>
      <c r="C1834" s="1307">
        <v>1</v>
      </c>
      <c r="D1834" s="1307" t="s">
        <v>3364</v>
      </c>
      <c r="E1834" s="1307">
        <v>5</v>
      </c>
      <c r="F1834" s="1308">
        <v>1.1100000000000001</v>
      </c>
      <c r="G1834" s="1308">
        <v>0.115</v>
      </c>
      <c r="H1834" s="1308">
        <v>0.15</v>
      </c>
      <c r="I1834" s="1309">
        <f t="shared" si="115"/>
        <v>0.1</v>
      </c>
      <c r="J1834" s="1326"/>
    </row>
    <row r="1835" spans="1:10" s="1209" customFormat="1">
      <c r="A1835" s="1182"/>
      <c r="B1835" s="1306" t="s">
        <v>3599</v>
      </c>
      <c r="C1835" s="1307">
        <v>1</v>
      </c>
      <c r="D1835" s="1307" t="s">
        <v>3364</v>
      </c>
      <c r="E1835" s="1307">
        <v>5</v>
      </c>
      <c r="F1835" s="1308">
        <f>F1834-0.46</f>
        <v>0.65</v>
      </c>
      <c r="G1835" s="1308">
        <v>0.115</v>
      </c>
      <c r="H1835" s="1308"/>
      <c r="I1835" s="1309">
        <f t="shared" si="115"/>
        <v>0.37</v>
      </c>
      <c r="J1835" s="1326"/>
    </row>
    <row r="1836" spans="1:10" s="1209" customFormat="1">
      <c r="A1836" s="1182"/>
      <c r="B1836" s="1306" t="s">
        <v>3606</v>
      </c>
      <c r="C1836" s="1307">
        <v>2</v>
      </c>
      <c r="D1836" s="1307" t="s">
        <v>3364</v>
      </c>
      <c r="E1836" s="1307">
        <v>2</v>
      </c>
      <c r="F1836" s="1308">
        <f>1.8+0.46</f>
        <v>2.2599999999999998</v>
      </c>
      <c r="G1836" s="1308"/>
      <c r="H1836" s="1308">
        <v>0.15</v>
      </c>
      <c r="I1836" s="1309">
        <f t="shared" si="115"/>
        <v>1.36</v>
      </c>
      <c r="J1836" s="1326"/>
    </row>
    <row r="1837" spans="1:10" s="1209" customFormat="1">
      <c r="A1837" s="1182"/>
      <c r="B1837" s="1306" t="s">
        <v>3607</v>
      </c>
      <c r="C1837" s="1307">
        <v>1</v>
      </c>
      <c r="D1837" s="1307" t="s">
        <v>3364</v>
      </c>
      <c r="E1837" s="1307">
        <v>2</v>
      </c>
      <c r="F1837" s="1308">
        <f>2.26-0.46</f>
        <v>1.8</v>
      </c>
      <c r="G1837" s="1308">
        <v>0.23</v>
      </c>
      <c r="H1837" s="1308"/>
      <c r="I1837" s="1309">
        <f t="shared" si="115"/>
        <v>0.83</v>
      </c>
      <c r="J1837" s="1326"/>
    </row>
    <row r="1838" spans="1:10" s="1209" customFormat="1">
      <c r="A1838" s="1182"/>
      <c r="B1838" s="1306" t="s">
        <v>3572</v>
      </c>
      <c r="C1838" s="1307">
        <v>2</v>
      </c>
      <c r="D1838" s="1307" t="s">
        <v>3364</v>
      </c>
      <c r="E1838" s="1307">
        <v>16</v>
      </c>
      <c r="F1838" s="1308">
        <v>1.96</v>
      </c>
      <c r="G1838" s="1308"/>
      <c r="H1838" s="1308">
        <v>0.15</v>
      </c>
      <c r="I1838" s="1309">
        <f t="shared" si="115"/>
        <v>9.41</v>
      </c>
      <c r="J1838" s="1326"/>
    </row>
    <row r="1839" spans="1:10" s="1209" customFormat="1">
      <c r="A1839" s="1182"/>
      <c r="B1839" s="1306" t="s">
        <v>3608</v>
      </c>
      <c r="C1839" s="1307">
        <v>1</v>
      </c>
      <c r="D1839" s="1307" t="s">
        <v>3364</v>
      </c>
      <c r="E1839" s="1307">
        <v>16</v>
      </c>
      <c r="F1839" s="1308">
        <v>1.5</v>
      </c>
      <c r="G1839" s="1308">
        <v>0.23</v>
      </c>
      <c r="H1839" s="1308"/>
      <c r="I1839" s="1309">
        <f t="shared" si="115"/>
        <v>5.52</v>
      </c>
      <c r="J1839" s="1326"/>
    </row>
    <row r="1840" spans="1:10" s="1209" customFormat="1">
      <c r="A1840" s="1182"/>
      <c r="B1840" s="1306" t="s">
        <v>3600</v>
      </c>
      <c r="C1840" s="1307">
        <v>2</v>
      </c>
      <c r="D1840" s="1307" t="s">
        <v>3364</v>
      </c>
      <c r="E1840" s="1307">
        <v>10</v>
      </c>
      <c r="F1840" s="1308">
        <f>0.75+0.46</f>
        <v>1.21</v>
      </c>
      <c r="G1840" s="1308"/>
      <c r="H1840" s="1308">
        <v>0.15</v>
      </c>
      <c r="I1840" s="1309">
        <f t="shared" si="115"/>
        <v>3.63</v>
      </c>
      <c r="J1840" s="1326"/>
    </row>
    <row r="1841" spans="1:10" s="1209" customFormat="1">
      <c r="A1841" s="1182"/>
      <c r="B1841" s="1306" t="s">
        <v>3575</v>
      </c>
      <c r="C1841" s="1307">
        <v>1</v>
      </c>
      <c r="D1841" s="1307" t="s">
        <v>3364</v>
      </c>
      <c r="E1841" s="1307">
        <v>10</v>
      </c>
      <c r="F1841" s="1308">
        <v>0.75</v>
      </c>
      <c r="G1841" s="1308">
        <v>0.23</v>
      </c>
      <c r="H1841" s="1308"/>
      <c r="I1841" s="1309">
        <f t="shared" si="115"/>
        <v>1.73</v>
      </c>
      <c r="J1841" s="1326"/>
    </row>
    <row r="1842" spans="1:10" s="1209" customFormat="1">
      <c r="A1842" s="1182"/>
      <c r="B1842" s="1312" t="s">
        <v>3402</v>
      </c>
      <c r="C1842" s="1307"/>
      <c r="D1842" s="1307"/>
      <c r="E1842" s="1307"/>
      <c r="F1842" s="1308"/>
      <c r="G1842" s="1308"/>
      <c r="H1842" s="1308"/>
      <c r="I1842" s="1309"/>
      <c r="J1842" s="1326"/>
    </row>
    <row r="1843" spans="1:10" s="1209" customFormat="1">
      <c r="A1843" s="1182"/>
      <c r="B1843" s="1306" t="s">
        <v>3606</v>
      </c>
      <c r="C1843" s="1307">
        <v>2</v>
      </c>
      <c r="D1843" s="1307" t="s">
        <v>3364</v>
      </c>
      <c r="E1843" s="1307">
        <v>2</v>
      </c>
      <c r="F1843" s="1308">
        <v>2.2599999999999998</v>
      </c>
      <c r="G1843" s="1308"/>
      <c r="H1843" s="1308">
        <v>0.05</v>
      </c>
      <c r="I1843" s="1309">
        <f t="shared" ref="I1843:I1854" si="116">PRODUCT(C1843:H1843)</f>
        <v>0.45</v>
      </c>
      <c r="J1843" s="1326"/>
    </row>
    <row r="1844" spans="1:10" s="1209" customFormat="1">
      <c r="A1844" s="1182"/>
      <c r="B1844" s="1306" t="s">
        <v>3609</v>
      </c>
      <c r="C1844" s="1307">
        <v>2</v>
      </c>
      <c r="D1844" s="1307" t="s">
        <v>3364</v>
      </c>
      <c r="E1844" s="1307">
        <v>2</v>
      </c>
      <c r="F1844" s="1308">
        <v>2.2599999999999998</v>
      </c>
      <c r="G1844" s="1308"/>
      <c r="H1844" s="1308">
        <v>0.08</v>
      </c>
      <c r="I1844" s="1309">
        <f t="shared" si="116"/>
        <v>0.72</v>
      </c>
      <c r="J1844" s="1326"/>
    </row>
    <row r="1845" spans="1:10" s="1209" customFormat="1">
      <c r="A1845" s="1182"/>
      <c r="B1845" s="1306" t="s">
        <v>3610</v>
      </c>
      <c r="C1845" s="1307">
        <v>1</v>
      </c>
      <c r="D1845" s="1307" t="s">
        <v>3364</v>
      </c>
      <c r="E1845" s="1307">
        <v>2</v>
      </c>
      <c r="F1845" s="1308">
        <v>2.2599999999999998</v>
      </c>
      <c r="G1845" s="1308">
        <v>0.6</v>
      </c>
      <c r="H1845" s="1308"/>
      <c r="I1845" s="1309">
        <f t="shared" si="116"/>
        <v>2.71</v>
      </c>
      <c r="J1845" s="1326"/>
    </row>
    <row r="1846" spans="1:10" s="1209" customFormat="1">
      <c r="A1846" s="1182"/>
      <c r="B1846" s="1306" t="s">
        <v>3400</v>
      </c>
      <c r="C1846" s="1307">
        <v>2</v>
      </c>
      <c r="D1846" s="1307" t="s">
        <v>3364</v>
      </c>
      <c r="E1846" s="1307">
        <v>16</v>
      </c>
      <c r="F1846" s="1308">
        <v>1.96</v>
      </c>
      <c r="G1846" s="1308"/>
      <c r="H1846" s="1308">
        <v>0.05</v>
      </c>
      <c r="I1846" s="1309">
        <f t="shared" si="116"/>
        <v>3.14</v>
      </c>
      <c r="J1846" s="1326"/>
    </row>
    <row r="1847" spans="1:10" s="1209" customFormat="1">
      <c r="A1847" s="1182"/>
      <c r="B1847" s="1306" t="s">
        <v>3601</v>
      </c>
      <c r="C1847" s="1307">
        <v>2</v>
      </c>
      <c r="D1847" s="1307" t="s">
        <v>3364</v>
      </c>
      <c r="E1847" s="1307">
        <v>16</v>
      </c>
      <c r="F1847" s="1308">
        <v>1.96</v>
      </c>
      <c r="G1847" s="1308"/>
      <c r="H1847" s="1308">
        <v>0.08</v>
      </c>
      <c r="I1847" s="1309">
        <f t="shared" si="116"/>
        <v>5.0199999999999996</v>
      </c>
      <c r="J1847" s="1326"/>
    </row>
    <row r="1848" spans="1:10" s="1209" customFormat="1">
      <c r="A1848" s="1182"/>
      <c r="B1848" s="1306" t="s">
        <v>3611</v>
      </c>
      <c r="C1848" s="1307">
        <v>1</v>
      </c>
      <c r="D1848" s="1307" t="s">
        <v>3364</v>
      </c>
      <c r="E1848" s="1307">
        <v>16</v>
      </c>
      <c r="F1848" s="1308">
        <v>1.96</v>
      </c>
      <c r="G1848" s="1308">
        <v>0.6</v>
      </c>
      <c r="H1848" s="1308"/>
      <c r="I1848" s="1309">
        <f t="shared" si="116"/>
        <v>18.82</v>
      </c>
      <c r="J1848" s="1326"/>
    </row>
    <row r="1849" spans="1:10" s="1209" customFormat="1">
      <c r="A1849" s="1182"/>
      <c r="B1849" s="1306" t="s">
        <v>3612</v>
      </c>
      <c r="C1849" s="1307">
        <v>2</v>
      </c>
      <c r="D1849" s="1307" t="s">
        <v>3364</v>
      </c>
      <c r="E1849" s="1307">
        <v>3</v>
      </c>
      <c r="F1849" s="1308">
        <v>4.3650000000000002</v>
      </c>
      <c r="G1849" s="1308"/>
      <c r="H1849" s="1308">
        <v>0.125</v>
      </c>
      <c r="I1849" s="1309">
        <f t="shared" si="116"/>
        <v>3.27</v>
      </c>
      <c r="J1849" s="1326"/>
    </row>
    <row r="1850" spans="1:10" s="1209" customFormat="1">
      <c r="A1850" s="1182"/>
      <c r="B1850" s="1306" t="s">
        <v>3613</v>
      </c>
      <c r="C1850" s="1307">
        <v>2</v>
      </c>
      <c r="D1850" s="1307" t="s">
        <v>3364</v>
      </c>
      <c r="E1850" s="1307">
        <v>3</v>
      </c>
      <c r="F1850" s="1308">
        <v>4.3650000000000002</v>
      </c>
      <c r="G1850" s="1308"/>
      <c r="H1850" s="1308">
        <v>0.08</v>
      </c>
      <c r="I1850" s="1309">
        <f t="shared" si="116"/>
        <v>2.1</v>
      </c>
      <c r="J1850" s="1326"/>
    </row>
    <row r="1851" spans="1:10" s="1209" customFormat="1">
      <c r="A1851" s="1182"/>
      <c r="B1851" s="1306" t="s">
        <v>3614</v>
      </c>
      <c r="C1851" s="1307">
        <v>1</v>
      </c>
      <c r="D1851" s="1307" t="s">
        <v>3364</v>
      </c>
      <c r="E1851" s="1307">
        <v>1</v>
      </c>
      <c r="F1851" s="1308">
        <v>5</v>
      </c>
      <c r="G1851" s="1308"/>
      <c r="H1851" s="1308">
        <v>0.125</v>
      </c>
      <c r="I1851" s="1309">
        <f t="shared" si="116"/>
        <v>0.63</v>
      </c>
      <c r="J1851" s="1326"/>
    </row>
    <row r="1852" spans="1:10" s="1209" customFormat="1">
      <c r="A1852" s="1182"/>
      <c r="B1852" s="1306" t="s">
        <v>3419</v>
      </c>
      <c r="C1852" s="1307">
        <v>5</v>
      </c>
      <c r="D1852" s="1307" t="s">
        <v>3364</v>
      </c>
      <c r="E1852" s="1307">
        <v>1</v>
      </c>
      <c r="F1852" s="1308">
        <v>5</v>
      </c>
      <c r="G1852" s="1308"/>
      <c r="H1852" s="1308">
        <v>0.08</v>
      </c>
      <c r="I1852" s="1309">
        <f t="shared" si="116"/>
        <v>2</v>
      </c>
      <c r="J1852" s="1326"/>
    </row>
    <row r="1853" spans="1:10" s="1209" customFormat="1">
      <c r="A1853" s="1182"/>
      <c r="B1853" s="1306" t="s">
        <v>3615</v>
      </c>
      <c r="C1853" s="1307">
        <v>5</v>
      </c>
      <c r="D1853" s="1307">
        <v>2</v>
      </c>
      <c r="E1853" s="1307">
        <v>2</v>
      </c>
      <c r="F1853" s="1308">
        <v>6.59</v>
      </c>
      <c r="G1853" s="1308"/>
      <c r="H1853" s="1308">
        <v>0.125</v>
      </c>
      <c r="I1853" s="1309">
        <f t="shared" si="116"/>
        <v>16.48</v>
      </c>
      <c r="J1853" s="1326"/>
    </row>
    <row r="1854" spans="1:10" s="1209" customFormat="1">
      <c r="A1854" s="1182"/>
      <c r="B1854" s="1306" t="s">
        <v>3421</v>
      </c>
      <c r="C1854" s="1307">
        <v>5</v>
      </c>
      <c r="D1854" s="1307" t="s">
        <v>3364</v>
      </c>
      <c r="E1854" s="1307">
        <v>2</v>
      </c>
      <c r="F1854" s="1308">
        <v>6.59</v>
      </c>
      <c r="G1854" s="1308"/>
      <c r="H1854" s="1308">
        <v>0.08</v>
      </c>
      <c r="I1854" s="1309">
        <f t="shared" si="116"/>
        <v>5.27</v>
      </c>
      <c r="J1854" s="1326"/>
    </row>
    <row r="1855" spans="1:10" s="1209" customFormat="1">
      <c r="A1855" s="1182"/>
      <c r="B1855" s="1312" t="s">
        <v>3616</v>
      </c>
      <c r="C1855" s="1307"/>
      <c r="D1855" s="1307"/>
      <c r="E1855" s="1307"/>
      <c r="F1855" s="1308"/>
      <c r="G1855" s="1308"/>
      <c r="H1855" s="1308"/>
      <c r="I1855" s="1309"/>
      <c r="J1855" s="1326"/>
    </row>
    <row r="1856" spans="1:10" s="1209" customFormat="1">
      <c r="A1856" s="1182"/>
      <c r="B1856" s="1310" t="s">
        <v>3423</v>
      </c>
      <c r="C1856" s="1307"/>
      <c r="D1856" s="1307"/>
      <c r="E1856" s="1307"/>
      <c r="F1856" s="1308"/>
      <c r="G1856" s="1308"/>
      <c r="H1856" s="1308"/>
      <c r="I1856" s="1309">
        <f t="shared" ref="I1856:I1878" si="117">PRODUCT(C1856:H1856)</f>
        <v>0</v>
      </c>
      <c r="J1856" s="1326"/>
    </row>
    <row r="1857" spans="1:10" s="1209" customFormat="1">
      <c r="A1857" s="1182"/>
      <c r="B1857" s="1306" t="s">
        <v>3424</v>
      </c>
      <c r="C1857" s="1307">
        <v>1</v>
      </c>
      <c r="D1857" s="1307" t="s">
        <v>3364</v>
      </c>
      <c r="E1857" s="1307">
        <v>1</v>
      </c>
      <c r="F1857" s="1308">
        <v>24.64</v>
      </c>
      <c r="G1857" s="1308">
        <v>17</v>
      </c>
      <c r="H1857" s="1308"/>
      <c r="I1857" s="1309">
        <f t="shared" si="117"/>
        <v>418.88</v>
      </c>
      <c r="J1857" s="1326"/>
    </row>
    <row r="1858" spans="1:10" s="1209" customFormat="1">
      <c r="A1858" s="1182"/>
      <c r="B1858" s="1306" t="s">
        <v>3425</v>
      </c>
      <c r="C1858" s="1307">
        <v>1</v>
      </c>
      <c r="D1858" s="1307" t="s">
        <v>3364</v>
      </c>
      <c r="E1858" s="1307">
        <v>1</v>
      </c>
      <c r="F1858" s="1308">
        <v>12.12</v>
      </c>
      <c r="G1858" s="1308">
        <f>0.46+8.82</f>
        <v>9.2799999999999994</v>
      </c>
      <c r="H1858" s="1308"/>
      <c r="I1858" s="1309">
        <f t="shared" si="117"/>
        <v>112.47</v>
      </c>
      <c r="J1858" s="1326"/>
    </row>
    <row r="1859" spans="1:10" s="1209" customFormat="1">
      <c r="A1859" s="1182"/>
      <c r="B1859" s="1306" t="s">
        <v>3426</v>
      </c>
      <c r="C1859" s="1307">
        <v>1</v>
      </c>
      <c r="D1859" s="1307" t="s">
        <v>3364</v>
      </c>
      <c r="E1859" s="1307">
        <v>1</v>
      </c>
      <c r="F1859" s="1308">
        <v>4.46</v>
      </c>
      <c r="G1859" s="1308">
        <f>0.46+2.5+1.8+0.23</f>
        <v>4.99</v>
      </c>
      <c r="H1859" s="1308"/>
      <c r="I1859" s="1309">
        <f t="shared" si="117"/>
        <v>22.26</v>
      </c>
      <c r="J1859" s="1326"/>
    </row>
    <row r="1860" spans="1:10" s="1209" customFormat="1">
      <c r="A1860" s="1182"/>
      <c r="B1860" s="1306" t="s">
        <v>3383</v>
      </c>
      <c r="C1860" s="1307">
        <v>-1</v>
      </c>
      <c r="D1860" s="1307" t="s">
        <v>3364</v>
      </c>
      <c r="E1860" s="1307">
        <v>1</v>
      </c>
      <c r="F1860" s="1308">
        <v>3</v>
      </c>
      <c r="G1860" s="1308">
        <f>8.82-1.5</f>
        <v>7.32</v>
      </c>
      <c r="H1860" s="1308"/>
      <c r="I1860" s="1309">
        <f t="shared" si="117"/>
        <v>-21.96</v>
      </c>
      <c r="J1860" s="1326"/>
    </row>
    <row r="1861" spans="1:10" s="1209" customFormat="1">
      <c r="A1861" s="1182"/>
      <c r="B1861" s="1306" t="s">
        <v>3577</v>
      </c>
      <c r="C1861" s="1307">
        <v>2</v>
      </c>
      <c r="D1861" s="1307" t="s">
        <v>3364</v>
      </c>
      <c r="E1861" s="1307">
        <v>6</v>
      </c>
      <c r="F1861" s="1308">
        <v>17</v>
      </c>
      <c r="G1861" s="1308"/>
      <c r="H1861" s="1308">
        <f>0.45-0.125</f>
        <v>0.32500000000000001</v>
      </c>
      <c r="I1861" s="1309">
        <f t="shared" si="117"/>
        <v>66.3</v>
      </c>
      <c r="J1861" s="1326"/>
    </row>
    <row r="1862" spans="1:10" s="1209" customFormat="1">
      <c r="A1862" s="1182"/>
      <c r="B1862" s="1306" t="s">
        <v>3578</v>
      </c>
      <c r="C1862" s="1307">
        <v>1</v>
      </c>
      <c r="D1862" s="1307" t="s">
        <v>3364</v>
      </c>
      <c r="E1862" s="1307">
        <v>6</v>
      </c>
      <c r="F1862" s="1308">
        <v>17</v>
      </c>
      <c r="G1862" s="1308">
        <v>0.23</v>
      </c>
      <c r="H1862" s="1308"/>
      <c r="I1862" s="1309">
        <f t="shared" si="117"/>
        <v>23.46</v>
      </c>
      <c r="J1862" s="1326"/>
    </row>
    <row r="1863" spans="1:10" s="1209" customFormat="1">
      <c r="A1863" s="1182"/>
      <c r="B1863" s="1306" t="s">
        <v>3579</v>
      </c>
      <c r="C1863" s="1307">
        <v>2</v>
      </c>
      <c r="D1863" s="1307" t="s">
        <v>3364</v>
      </c>
      <c r="E1863" s="1307">
        <v>4</v>
      </c>
      <c r="F1863" s="1308">
        <v>24.64</v>
      </c>
      <c r="G1863" s="1308"/>
      <c r="H1863" s="1308">
        <f>0.45-0.125</f>
        <v>0.32500000000000001</v>
      </c>
      <c r="I1863" s="1309">
        <f t="shared" si="117"/>
        <v>64.06</v>
      </c>
      <c r="J1863" s="1326"/>
    </row>
    <row r="1864" spans="1:10" s="1209" customFormat="1">
      <c r="A1864" s="1182"/>
      <c r="B1864" s="1306" t="s">
        <v>3580</v>
      </c>
      <c r="C1864" s="1307">
        <v>1</v>
      </c>
      <c r="D1864" s="1307" t="s">
        <v>3364</v>
      </c>
      <c r="E1864" s="1307">
        <v>4</v>
      </c>
      <c r="F1864" s="1308">
        <v>24.64</v>
      </c>
      <c r="G1864" s="1308">
        <v>0.23</v>
      </c>
      <c r="H1864" s="1308"/>
      <c r="I1864" s="1309">
        <f t="shared" si="117"/>
        <v>22.67</v>
      </c>
      <c r="J1864" s="1326"/>
    </row>
    <row r="1865" spans="1:10" s="1209" customFormat="1">
      <c r="A1865" s="1182"/>
      <c r="B1865" s="1306" t="s">
        <v>3581</v>
      </c>
      <c r="C1865" s="1307">
        <v>2</v>
      </c>
      <c r="D1865" s="1307" t="s">
        <v>3364</v>
      </c>
      <c r="E1865" s="1307">
        <v>1</v>
      </c>
      <c r="F1865" s="1308">
        <f>0.46+4.14+8.97+0.23</f>
        <v>13.8</v>
      </c>
      <c r="G1865" s="1308"/>
      <c r="H1865" s="1308">
        <f>0.45-0.125</f>
        <v>0.32500000000000001</v>
      </c>
      <c r="I1865" s="1309">
        <f t="shared" si="117"/>
        <v>8.9700000000000006</v>
      </c>
      <c r="J1865" s="1326"/>
    </row>
    <row r="1866" spans="1:10" s="1209" customFormat="1">
      <c r="A1866" s="1182"/>
      <c r="B1866" s="1306" t="s">
        <v>3582</v>
      </c>
      <c r="C1866" s="1307">
        <v>1</v>
      </c>
      <c r="D1866" s="1307" t="s">
        <v>3364</v>
      </c>
      <c r="E1866" s="1307">
        <v>1</v>
      </c>
      <c r="F1866" s="1308">
        <f>0.46+4.14+8.97+0.23</f>
        <v>13.8</v>
      </c>
      <c r="G1866" s="1308">
        <v>0.23</v>
      </c>
      <c r="H1866" s="1308"/>
      <c r="I1866" s="1309">
        <f t="shared" si="117"/>
        <v>3.17</v>
      </c>
      <c r="J1866" s="1326"/>
    </row>
    <row r="1867" spans="1:10" s="1209" customFormat="1">
      <c r="A1867" s="1182"/>
      <c r="B1867" s="1306" t="s">
        <v>3583</v>
      </c>
      <c r="C1867" s="1307">
        <v>2</v>
      </c>
      <c r="D1867" s="1307" t="s">
        <v>3364</v>
      </c>
      <c r="E1867" s="1307">
        <v>2</v>
      </c>
      <c r="F1867" s="1308">
        <f>0.46+8.82</f>
        <v>9.2799999999999994</v>
      </c>
      <c r="G1867" s="1308"/>
      <c r="H1867" s="1308">
        <f t="shared" ref="H1867:H1872" si="118">0.45-0.125</f>
        <v>0.32500000000000001</v>
      </c>
      <c r="I1867" s="1309">
        <f t="shared" si="117"/>
        <v>12.06</v>
      </c>
      <c r="J1867" s="1326"/>
    </row>
    <row r="1868" spans="1:10" s="1209" customFormat="1">
      <c r="A1868" s="1182"/>
      <c r="B1868" s="1306" t="s">
        <v>3584</v>
      </c>
      <c r="C1868" s="1307">
        <v>1</v>
      </c>
      <c r="D1868" s="1307" t="s">
        <v>3364</v>
      </c>
      <c r="E1868" s="1307">
        <v>2</v>
      </c>
      <c r="F1868" s="1308">
        <f>0.46+8.82</f>
        <v>9.2799999999999994</v>
      </c>
      <c r="G1868" s="1308">
        <v>0.23</v>
      </c>
      <c r="H1868" s="1308"/>
      <c r="I1868" s="1309">
        <f t="shared" si="117"/>
        <v>4.2699999999999996</v>
      </c>
      <c r="J1868" s="1326"/>
    </row>
    <row r="1869" spans="1:10" s="1209" customFormat="1">
      <c r="A1869" s="1182"/>
      <c r="B1869" s="1306" t="s">
        <v>3585</v>
      </c>
      <c r="C1869" s="1307">
        <v>2</v>
      </c>
      <c r="D1869" s="1307" t="s">
        <v>3364</v>
      </c>
      <c r="E1869" s="1307">
        <v>3</v>
      </c>
      <c r="F1869" s="1308">
        <v>12.12</v>
      </c>
      <c r="G1869" s="1308"/>
      <c r="H1869" s="1308">
        <f t="shared" si="118"/>
        <v>0.32500000000000001</v>
      </c>
      <c r="I1869" s="1309">
        <f t="shared" si="117"/>
        <v>23.63</v>
      </c>
      <c r="J1869" s="1326"/>
    </row>
    <row r="1870" spans="1:10" s="1209" customFormat="1">
      <c r="A1870" s="1182"/>
      <c r="B1870" s="1306" t="s">
        <v>3586</v>
      </c>
      <c r="C1870" s="1307">
        <v>1</v>
      </c>
      <c r="D1870" s="1307" t="s">
        <v>3364</v>
      </c>
      <c r="E1870" s="1307">
        <v>3</v>
      </c>
      <c r="F1870" s="1308">
        <v>12.12</v>
      </c>
      <c r="G1870" s="1308">
        <v>0.23</v>
      </c>
      <c r="H1870" s="1308"/>
      <c r="I1870" s="1309">
        <f t="shared" si="117"/>
        <v>8.36</v>
      </c>
      <c r="J1870" s="1326"/>
    </row>
    <row r="1871" spans="1:10" s="1209" customFormat="1">
      <c r="A1871" s="1182"/>
      <c r="B1871" s="1306" t="s">
        <v>3587</v>
      </c>
      <c r="C1871" s="1307">
        <v>1</v>
      </c>
      <c r="D1871" s="1307" t="s">
        <v>3364</v>
      </c>
      <c r="E1871" s="1307">
        <v>1</v>
      </c>
      <c r="F1871" s="1308">
        <f>2.3+0.46+2.5</f>
        <v>5.26</v>
      </c>
      <c r="G1871" s="1308"/>
      <c r="H1871" s="1308">
        <f t="shared" si="118"/>
        <v>0.32500000000000001</v>
      </c>
      <c r="I1871" s="1309">
        <f t="shared" si="117"/>
        <v>1.71</v>
      </c>
      <c r="J1871" s="1326"/>
    </row>
    <row r="1872" spans="1:10" s="1209" customFormat="1">
      <c r="A1872" s="1182"/>
      <c r="B1872" s="1306" t="s">
        <v>3389</v>
      </c>
      <c r="C1872" s="1307">
        <v>2</v>
      </c>
      <c r="D1872" s="1307" t="s">
        <v>3364</v>
      </c>
      <c r="E1872" s="1307">
        <v>1</v>
      </c>
      <c r="F1872" s="1308">
        <v>4</v>
      </c>
      <c r="G1872" s="1308"/>
      <c r="H1872" s="1308">
        <f t="shared" si="118"/>
        <v>0.32500000000000001</v>
      </c>
      <c r="I1872" s="1309">
        <f t="shared" si="117"/>
        <v>2.6</v>
      </c>
      <c r="J1872" s="1326"/>
    </row>
    <row r="1873" spans="1:10" s="1209" customFormat="1">
      <c r="A1873" s="1182"/>
      <c r="B1873" s="1306" t="s">
        <v>3589</v>
      </c>
      <c r="C1873" s="1307">
        <v>2</v>
      </c>
      <c r="D1873" s="1307" t="s">
        <v>3364</v>
      </c>
      <c r="E1873" s="1307">
        <v>2</v>
      </c>
      <c r="F1873" s="1308">
        <v>7.32</v>
      </c>
      <c r="G1873" s="1308"/>
      <c r="H1873" s="1308">
        <v>0.15</v>
      </c>
      <c r="I1873" s="1309">
        <f t="shared" si="117"/>
        <v>4.3899999999999997</v>
      </c>
      <c r="J1873" s="1326"/>
    </row>
    <row r="1874" spans="1:10" s="1209" customFormat="1">
      <c r="A1874" s="1182"/>
      <c r="B1874" s="1306" t="s">
        <v>3590</v>
      </c>
      <c r="C1874" s="1307">
        <v>1</v>
      </c>
      <c r="D1874" s="1307" t="s">
        <v>3364</v>
      </c>
      <c r="E1874" s="1307">
        <v>2</v>
      </c>
      <c r="F1874" s="1308">
        <v>7.32</v>
      </c>
      <c r="G1874" s="1308">
        <v>1.5</v>
      </c>
      <c r="H1874" s="1308"/>
      <c r="I1874" s="1309">
        <f t="shared" si="117"/>
        <v>21.96</v>
      </c>
      <c r="J1874" s="1326"/>
    </row>
    <row r="1875" spans="1:10" s="1209" customFormat="1">
      <c r="A1875" s="1182"/>
      <c r="B1875" s="1306" t="s">
        <v>3591</v>
      </c>
      <c r="C1875" s="1307">
        <v>1</v>
      </c>
      <c r="D1875" s="1307" t="s">
        <v>3364</v>
      </c>
      <c r="E1875" s="1307">
        <v>2</v>
      </c>
      <c r="F1875" s="1308">
        <v>3</v>
      </c>
      <c r="G1875" s="1308"/>
      <c r="H1875" s="1308">
        <v>0.15</v>
      </c>
      <c r="I1875" s="1309">
        <f t="shared" si="117"/>
        <v>0.9</v>
      </c>
      <c r="J1875" s="1326"/>
    </row>
    <row r="1876" spans="1:10" s="1209" customFormat="1">
      <c r="A1876" s="1182"/>
      <c r="B1876" s="1306" t="s">
        <v>3592</v>
      </c>
      <c r="C1876" s="1307">
        <v>1</v>
      </c>
      <c r="D1876" s="1307" t="s">
        <v>3364</v>
      </c>
      <c r="E1876" s="1307">
        <v>1</v>
      </c>
      <c r="F1876" s="1308">
        <v>3</v>
      </c>
      <c r="G1876" s="1308">
        <v>1.5</v>
      </c>
      <c r="H1876" s="1308"/>
      <c r="I1876" s="1309">
        <f t="shared" si="117"/>
        <v>4.5</v>
      </c>
      <c r="J1876" s="1326"/>
    </row>
    <row r="1877" spans="1:10" s="1209" customFormat="1">
      <c r="A1877" s="1182"/>
      <c r="B1877" s="1306" t="s">
        <v>3392</v>
      </c>
      <c r="C1877" s="1307">
        <v>1</v>
      </c>
      <c r="D1877" s="1307" t="s">
        <v>3364</v>
      </c>
      <c r="E1877" s="1307">
        <v>1</v>
      </c>
      <c r="F1877" s="1308">
        <v>3.46</v>
      </c>
      <c r="G1877" s="1308">
        <v>0.23</v>
      </c>
      <c r="H1877" s="1308">
        <v>0.45</v>
      </c>
      <c r="I1877" s="1309">
        <f t="shared" si="117"/>
        <v>0.36</v>
      </c>
      <c r="J1877" s="1326"/>
    </row>
    <row r="1878" spans="1:10" s="1209" customFormat="1">
      <c r="A1878" s="1182"/>
      <c r="B1878" s="1306" t="s">
        <v>3393</v>
      </c>
      <c r="C1878" s="1307">
        <v>1</v>
      </c>
      <c r="D1878" s="1307" t="s">
        <v>3364</v>
      </c>
      <c r="E1878" s="1307">
        <v>22</v>
      </c>
      <c r="F1878" s="1308">
        <v>1.35</v>
      </c>
      <c r="G1878" s="1308"/>
      <c r="H1878" s="1308">
        <v>0.15</v>
      </c>
      <c r="I1878" s="1309">
        <f t="shared" si="117"/>
        <v>4.46</v>
      </c>
      <c r="J1878" s="1326"/>
    </row>
    <row r="1879" spans="1:10" s="1209" customFormat="1">
      <c r="A1879" s="1182"/>
      <c r="B1879" s="1312" t="s">
        <v>3395</v>
      </c>
      <c r="C1879" s="1307"/>
      <c r="D1879" s="1307"/>
      <c r="E1879" s="1307"/>
      <c r="F1879" s="1308"/>
      <c r="G1879" s="1308"/>
      <c r="H1879" s="1308"/>
      <c r="I1879" s="1309"/>
      <c r="J1879" s="1326"/>
    </row>
    <row r="1880" spans="1:10" s="1209" customFormat="1">
      <c r="A1880" s="1182"/>
      <c r="B1880" s="1306" t="s">
        <v>3566</v>
      </c>
      <c r="C1880" s="1307">
        <v>2</v>
      </c>
      <c r="D1880" s="1307" t="s">
        <v>3364</v>
      </c>
      <c r="E1880" s="1307">
        <v>1</v>
      </c>
      <c r="F1880" s="1308">
        <v>1.46</v>
      </c>
      <c r="G1880" s="1308"/>
      <c r="H1880" s="1308">
        <v>0.23</v>
      </c>
      <c r="I1880" s="1309">
        <f t="shared" ref="I1880:I1893" si="119">PRODUCT(C1880:H1880)</f>
        <v>0.67</v>
      </c>
      <c r="J1880" s="1326"/>
    </row>
    <row r="1881" spans="1:10" s="1209" customFormat="1">
      <c r="A1881" s="1182"/>
      <c r="B1881" s="1306" t="s">
        <v>3567</v>
      </c>
      <c r="C1881" s="1307">
        <v>1</v>
      </c>
      <c r="D1881" s="1307" t="s">
        <v>3364</v>
      </c>
      <c r="E1881" s="1307">
        <v>1</v>
      </c>
      <c r="F1881" s="1308">
        <v>1</v>
      </c>
      <c r="G1881" s="1308">
        <v>0.23</v>
      </c>
      <c r="H1881" s="1308"/>
      <c r="I1881" s="1309">
        <f t="shared" si="119"/>
        <v>0.23</v>
      </c>
      <c r="J1881" s="1326"/>
    </row>
    <row r="1882" spans="1:10" s="1209" customFormat="1">
      <c r="A1882" s="1182"/>
      <c r="B1882" s="1306" t="s">
        <v>3565</v>
      </c>
      <c r="C1882" s="1307">
        <v>2</v>
      </c>
      <c r="D1882" s="1307" t="s">
        <v>3364</v>
      </c>
      <c r="E1882" s="1307">
        <v>2</v>
      </c>
      <c r="F1882" s="1308">
        <v>1.96</v>
      </c>
      <c r="G1882" s="1308">
        <v>0.23</v>
      </c>
      <c r="H1882" s="1308">
        <v>0.23</v>
      </c>
      <c r="I1882" s="1309">
        <f t="shared" si="119"/>
        <v>0.41</v>
      </c>
      <c r="J1882" s="1326"/>
    </row>
    <row r="1883" spans="1:10" s="1209" customFormat="1">
      <c r="A1883" s="1182"/>
      <c r="B1883" s="1306" t="s">
        <v>3506</v>
      </c>
      <c r="C1883" s="1307">
        <v>1</v>
      </c>
      <c r="D1883" s="1307" t="s">
        <v>3364</v>
      </c>
      <c r="E1883" s="1307">
        <v>2</v>
      </c>
      <c r="F1883" s="1308">
        <v>1.5</v>
      </c>
      <c r="G1883" s="1308">
        <v>0.23</v>
      </c>
      <c r="H1883" s="1308"/>
      <c r="I1883" s="1309">
        <f t="shared" si="119"/>
        <v>0.69</v>
      </c>
      <c r="J1883" s="1326"/>
    </row>
    <row r="1884" spans="1:10" s="1209" customFormat="1">
      <c r="A1884" s="1182"/>
      <c r="B1884" s="1306" t="s">
        <v>3568</v>
      </c>
      <c r="C1884" s="1307">
        <v>2</v>
      </c>
      <c r="D1884" s="1307" t="s">
        <v>3364</v>
      </c>
      <c r="E1884" s="1307">
        <v>9</v>
      </c>
      <c r="F1884" s="1308">
        <v>1.46</v>
      </c>
      <c r="G1884" s="1308"/>
      <c r="H1884" s="1308">
        <v>0.15</v>
      </c>
      <c r="I1884" s="1309">
        <f t="shared" si="119"/>
        <v>3.94</v>
      </c>
      <c r="J1884" s="1326"/>
    </row>
    <row r="1885" spans="1:10" s="1209" customFormat="1">
      <c r="A1885" s="1182"/>
      <c r="B1885" s="1306" t="s">
        <v>3569</v>
      </c>
      <c r="C1885" s="1307">
        <v>1</v>
      </c>
      <c r="D1885" s="1307" t="s">
        <v>3364</v>
      </c>
      <c r="E1885" s="1307">
        <v>9</v>
      </c>
      <c r="F1885" s="1308">
        <v>1</v>
      </c>
      <c r="G1885" s="1308">
        <v>0.23</v>
      </c>
      <c r="H1885" s="1308"/>
      <c r="I1885" s="1309">
        <f t="shared" si="119"/>
        <v>2.0699999999999998</v>
      </c>
      <c r="J1885" s="1326"/>
    </row>
    <row r="1886" spans="1:10" s="1209" customFormat="1">
      <c r="A1886" s="1182"/>
      <c r="B1886" s="1306" t="s">
        <v>3570</v>
      </c>
      <c r="C1886" s="1307">
        <v>2</v>
      </c>
      <c r="D1886" s="1307" t="s">
        <v>3364</v>
      </c>
      <c r="E1886" s="1307">
        <v>1</v>
      </c>
      <c r="F1886" s="1308">
        <v>1.46</v>
      </c>
      <c r="G1886" s="1308"/>
      <c r="H1886" s="1308">
        <v>0.15</v>
      </c>
      <c r="I1886" s="1309">
        <f t="shared" si="119"/>
        <v>0.44</v>
      </c>
      <c r="J1886" s="1326"/>
    </row>
    <row r="1887" spans="1:10" s="1209" customFormat="1">
      <c r="A1887" s="1182"/>
      <c r="B1887" s="1306" t="s">
        <v>3571</v>
      </c>
      <c r="C1887" s="1307">
        <v>1</v>
      </c>
      <c r="D1887" s="1307" t="s">
        <v>3364</v>
      </c>
      <c r="E1887" s="1307">
        <v>1</v>
      </c>
      <c r="F1887" s="1308">
        <v>1</v>
      </c>
      <c r="G1887" s="1308">
        <v>0.23</v>
      </c>
      <c r="H1887" s="1308"/>
      <c r="I1887" s="1309">
        <f t="shared" si="119"/>
        <v>0.23</v>
      </c>
      <c r="J1887" s="1326"/>
    </row>
    <row r="1888" spans="1:10" s="1209" customFormat="1">
      <c r="A1888" s="1182"/>
      <c r="B1888" s="1306" t="s">
        <v>3598</v>
      </c>
      <c r="C1888" s="1307">
        <v>2</v>
      </c>
      <c r="D1888" s="1307" t="s">
        <v>3364</v>
      </c>
      <c r="E1888" s="1307">
        <v>7</v>
      </c>
      <c r="F1888" s="1308">
        <v>1.1100000000000001</v>
      </c>
      <c r="G1888" s="1308"/>
      <c r="H1888" s="1308">
        <v>0.15</v>
      </c>
      <c r="I1888" s="1309">
        <f t="shared" si="119"/>
        <v>2.33</v>
      </c>
      <c r="J1888" s="1326"/>
    </row>
    <row r="1889" spans="1:10" s="1209" customFormat="1">
      <c r="A1889" s="1182"/>
      <c r="B1889" s="1306" t="s">
        <v>3599</v>
      </c>
      <c r="C1889" s="1307">
        <v>1</v>
      </c>
      <c r="D1889" s="1307" t="s">
        <v>3364</v>
      </c>
      <c r="E1889" s="1307">
        <v>7</v>
      </c>
      <c r="F1889" s="1308">
        <v>0.65</v>
      </c>
      <c r="G1889" s="1308">
        <v>0.115</v>
      </c>
      <c r="H1889" s="1308"/>
      <c r="I1889" s="1309">
        <f t="shared" si="119"/>
        <v>0.52</v>
      </c>
      <c r="J1889" s="1326"/>
    </row>
    <row r="1890" spans="1:10" s="1209" customFormat="1">
      <c r="A1890" s="1182"/>
      <c r="B1890" s="1306" t="s">
        <v>3572</v>
      </c>
      <c r="C1890" s="1307">
        <v>2</v>
      </c>
      <c r="D1890" s="1307" t="s">
        <v>3364</v>
      </c>
      <c r="E1890" s="1307">
        <v>14</v>
      </c>
      <c r="F1890" s="1308">
        <v>1.96</v>
      </c>
      <c r="G1890" s="1308"/>
      <c r="H1890" s="1308">
        <v>0.15</v>
      </c>
      <c r="I1890" s="1309">
        <f t="shared" si="119"/>
        <v>8.23</v>
      </c>
      <c r="J1890" s="1326"/>
    </row>
    <row r="1891" spans="1:10" s="1209" customFormat="1">
      <c r="A1891" s="1182"/>
      <c r="B1891" s="1306" t="s">
        <v>3573</v>
      </c>
      <c r="C1891" s="1307">
        <v>1</v>
      </c>
      <c r="D1891" s="1307" t="s">
        <v>3364</v>
      </c>
      <c r="E1891" s="1307">
        <v>14</v>
      </c>
      <c r="F1891" s="1308">
        <v>1.5</v>
      </c>
      <c r="G1891" s="1308">
        <v>0.23</v>
      </c>
      <c r="H1891" s="1308"/>
      <c r="I1891" s="1309">
        <f t="shared" si="119"/>
        <v>4.83</v>
      </c>
      <c r="J1891" s="1326"/>
    </row>
    <row r="1892" spans="1:10" s="1209" customFormat="1">
      <c r="A1892" s="1182"/>
      <c r="B1892" s="1306" t="s">
        <v>3600</v>
      </c>
      <c r="C1892" s="1307">
        <v>2</v>
      </c>
      <c r="D1892" s="1307" t="s">
        <v>3364</v>
      </c>
      <c r="E1892" s="1307">
        <v>7</v>
      </c>
      <c r="F1892" s="1308">
        <f>0.75+0.46</f>
        <v>1.21</v>
      </c>
      <c r="G1892" s="1308"/>
      <c r="H1892" s="1308">
        <v>0.15</v>
      </c>
      <c r="I1892" s="1309">
        <f t="shared" si="119"/>
        <v>2.54</v>
      </c>
      <c r="J1892" s="1326"/>
    </row>
    <row r="1893" spans="1:10" s="1209" customFormat="1">
      <c r="A1893" s="1182"/>
      <c r="B1893" s="1306" t="s">
        <v>3575</v>
      </c>
      <c r="C1893" s="1307">
        <v>1</v>
      </c>
      <c r="D1893" s="1307" t="s">
        <v>3364</v>
      </c>
      <c r="E1893" s="1307">
        <v>7</v>
      </c>
      <c r="F1893" s="1308">
        <f>F1892-0.46</f>
        <v>0.75</v>
      </c>
      <c r="G1893" s="1308">
        <v>0.23</v>
      </c>
      <c r="H1893" s="1308"/>
      <c r="I1893" s="1309">
        <f t="shared" si="119"/>
        <v>1.21</v>
      </c>
      <c r="J1893" s="1326"/>
    </row>
    <row r="1894" spans="1:10" s="1209" customFormat="1">
      <c r="A1894" s="1182"/>
      <c r="B1894" s="1312" t="s">
        <v>3402</v>
      </c>
      <c r="C1894" s="1307"/>
      <c r="D1894" s="1307"/>
      <c r="E1894" s="1307"/>
      <c r="F1894" s="1308"/>
      <c r="G1894" s="1308"/>
      <c r="H1894" s="1308"/>
      <c r="I1894" s="1309"/>
      <c r="J1894" s="1326"/>
    </row>
    <row r="1895" spans="1:10" s="1209" customFormat="1">
      <c r="A1895" s="1182"/>
      <c r="B1895" s="1306" t="s">
        <v>3572</v>
      </c>
      <c r="C1895" s="1307">
        <v>2</v>
      </c>
      <c r="D1895" s="1307" t="s">
        <v>3364</v>
      </c>
      <c r="E1895" s="1307">
        <v>14</v>
      </c>
      <c r="F1895" s="1308">
        <v>1.96</v>
      </c>
      <c r="G1895" s="1308"/>
      <c r="H1895" s="1308">
        <v>0.05</v>
      </c>
      <c r="I1895" s="1309">
        <f t="shared" ref="I1895:I1906" si="120">PRODUCT(C1895:H1895)</f>
        <v>2.74</v>
      </c>
      <c r="J1895" s="1326"/>
    </row>
    <row r="1896" spans="1:10" s="1209" customFormat="1">
      <c r="A1896" s="1182"/>
      <c r="B1896" s="1306" t="s">
        <v>3601</v>
      </c>
      <c r="C1896" s="1307">
        <v>2</v>
      </c>
      <c r="D1896" s="1307" t="s">
        <v>3364</v>
      </c>
      <c r="E1896" s="1307">
        <v>14</v>
      </c>
      <c r="F1896" s="1308">
        <v>1.96</v>
      </c>
      <c r="G1896" s="1308"/>
      <c r="H1896" s="1308">
        <v>0.08</v>
      </c>
      <c r="I1896" s="1309">
        <f t="shared" si="120"/>
        <v>4.3899999999999997</v>
      </c>
      <c r="J1896" s="1326"/>
    </row>
    <row r="1897" spans="1:10" s="1209" customFormat="1">
      <c r="A1897" s="1182"/>
      <c r="B1897" s="1306" t="s">
        <v>3611</v>
      </c>
      <c r="C1897" s="1307">
        <v>1</v>
      </c>
      <c r="D1897" s="1307" t="s">
        <v>3364</v>
      </c>
      <c r="E1897" s="1307">
        <v>14</v>
      </c>
      <c r="F1897" s="1308">
        <v>1.96</v>
      </c>
      <c r="G1897" s="1308">
        <v>0.6</v>
      </c>
      <c r="H1897" s="1308"/>
      <c r="I1897" s="1309">
        <f t="shared" si="120"/>
        <v>16.46</v>
      </c>
      <c r="J1897" s="1326"/>
    </row>
    <row r="1898" spans="1:10" s="1209" customFormat="1">
      <c r="A1898" s="1182"/>
      <c r="B1898" s="1306" t="s">
        <v>3427</v>
      </c>
      <c r="C1898" s="1307">
        <v>1</v>
      </c>
      <c r="D1898" s="1307" t="s">
        <v>3364</v>
      </c>
      <c r="E1898" s="1307">
        <v>2</v>
      </c>
      <c r="F1898" s="1308">
        <v>2</v>
      </c>
      <c r="G1898" s="1308"/>
      <c r="H1898" s="1308">
        <v>0.125</v>
      </c>
      <c r="I1898" s="1309">
        <f t="shared" si="120"/>
        <v>0.5</v>
      </c>
      <c r="J1898" s="1326"/>
    </row>
    <row r="1899" spans="1:10" s="1209" customFormat="1">
      <c r="A1899" s="1182"/>
      <c r="B1899" s="1306" t="s">
        <v>3618</v>
      </c>
      <c r="C1899" s="1307">
        <v>1</v>
      </c>
      <c r="D1899" s="1307" t="s">
        <v>3364</v>
      </c>
      <c r="E1899" s="1307">
        <v>2</v>
      </c>
      <c r="F1899" s="1308">
        <v>2</v>
      </c>
      <c r="G1899" s="1308"/>
      <c r="H1899" s="1308">
        <v>0.08</v>
      </c>
      <c r="I1899" s="1309">
        <f t="shared" si="120"/>
        <v>0.32</v>
      </c>
      <c r="J1899" s="1326"/>
    </row>
    <row r="1900" spans="1:10" s="1209" customFormat="1">
      <c r="A1900" s="1182"/>
      <c r="B1900" s="1306" t="s">
        <v>3619</v>
      </c>
      <c r="C1900" s="1307">
        <v>1</v>
      </c>
      <c r="D1900" s="1307" t="s">
        <v>3364</v>
      </c>
      <c r="E1900" s="1307">
        <v>2</v>
      </c>
      <c r="F1900" s="1308">
        <v>2</v>
      </c>
      <c r="G1900" s="1308">
        <v>0.6</v>
      </c>
      <c r="H1900" s="1308"/>
      <c r="I1900" s="1309">
        <f t="shared" si="120"/>
        <v>2.4</v>
      </c>
      <c r="J1900" s="1326"/>
    </row>
    <row r="1901" spans="1:10" s="1209" customFormat="1">
      <c r="A1901" s="1182"/>
      <c r="B1901" s="1306" t="s">
        <v>3429</v>
      </c>
      <c r="C1901" s="1307">
        <v>1</v>
      </c>
      <c r="D1901" s="1307" t="s">
        <v>3364</v>
      </c>
      <c r="E1901" s="1307">
        <v>1</v>
      </c>
      <c r="F1901" s="1308">
        <v>5</v>
      </c>
      <c r="G1901" s="1308"/>
      <c r="H1901" s="1308">
        <v>0.125</v>
      </c>
      <c r="I1901" s="1309">
        <f t="shared" si="120"/>
        <v>0.63</v>
      </c>
      <c r="J1901" s="1326"/>
    </row>
    <row r="1902" spans="1:10" s="1209" customFormat="1">
      <c r="A1902" s="1182"/>
      <c r="B1902" s="1306" t="s">
        <v>6858</v>
      </c>
      <c r="C1902" s="1307">
        <v>1</v>
      </c>
      <c r="D1902" s="1307" t="s">
        <v>3364</v>
      </c>
      <c r="E1902" s="1307">
        <v>1</v>
      </c>
      <c r="F1902" s="1308">
        <v>5</v>
      </c>
      <c r="G1902" s="1308"/>
      <c r="H1902" s="1308">
        <v>0.08</v>
      </c>
      <c r="I1902" s="1309">
        <f t="shared" si="120"/>
        <v>0.4</v>
      </c>
      <c r="J1902" s="1326"/>
    </row>
    <row r="1903" spans="1:10" s="1209" customFormat="1">
      <c r="A1903" s="1182"/>
      <c r="B1903" s="1306" t="s">
        <v>6859</v>
      </c>
      <c r="C1903" s="1307">
        <v>1</v>
      </c>
      <c r="D1903" s="1307" t="s">
        <v>3364</v>
      </c>
      <c r="E1903" s="1307">
        <v>1</v>
      </c>
      <c r="F1903" s="1308">
        <v>5</v>
      </c>
      <c r="G1903" s="1308">
        <v>0.6</v>
      </c>
      <c r="H1903" s="1308"/>
      <c r="I1903" s="1309">
        <f t="shared" si="120"/>
        <v>3</v>
      </c>
      <c r="J1903" s="1326"/>
    </row>
    <row r="1904" spans="1:10" s="1209" customFormat="1">
      <c r="A1904" s="1182"/>
      <c r="B1904" s="1306" t="s">
        <v>3420</v>
      </c>
      <c r="C1904" s="1307">
        <v>2</v>
      </c>
      <c r="D1904" s="1307" t="s">
        <v>3364</v>
      </c>
      <c r="E1904" s="1307">
        <v>2</v>
      </c>
      <c r="F1904" s="1308">
        <v>6.59</v>
      </c>
      <c r="G1904" s="1308"/>
      <c r="H1904" s="1308">
        <v>0.125</v>
      </c>
      <c r="I1904" s="1309">
        <f t="shared" si="120"/>
        <v>3.3</v>
      </c>
      <c r="J1904" s="1326"/>
    </row>
    <row r="1905" spans="1:10" s="1209" customFormat="1">
      <c r="A1905" s="1182"/>
      <c r="B1905" s="1306" t="s">
        <v>6860</v>
      </c>
      <c r="C1905" s="1307">
        <v>2</v>
      </c>
      <c r="D1905" s="1307" t="s">
        <v>3364</v>
      </c>
      <c r="E1905" s="1307">
        <v>2</v>
      </c>
      <c r="F1905" s="1308">
        <v>6.59</v>
      </c>
      <c r="G1905" s="1308"/>
      <c r="H1905" s="1308">
        <v>0.08</v>
      </c>
      <c r="I1905" s="1309">
        <f t="shared" si="120"/>
        <v>2.11</v>
      </c>
      <c r="J1905" s="1326"/>
    </row>
    <row r="1906" spans="1:10" s="1209" customFormat="1">
      <c r="A1906" s="1182"/>
      <c r="B1906" s="1306" t="s">
        <v>6861</v>
      </c>
      <c r="C1906" s="1307">
        <v>2</v>
      </c>
      <c r="D1906" s="1307" t="s">
        <v>3364</v>
      </c>
      <c r="E1906" s="1307">
        <v>2</v>
      </c>
      <c r="F1906" s="1308">
        <v>6.59</v>
      </c>
      <c r="G1906" s="1308">
        <v>0.6</v>
      </c>
      <c r="H1906" s="1308"/>
      <c r="I1906" s="1309">
        <f t="shared" si="120"/>
        <v>15.82</v>
      </c>
      <c r="J1906" s="1326"/>
    </row>
    <row r="1907" spans="1:10" s="1209" customFormat="1">
      <c r="A1907" s="1182"/>
      <c r="B1907" s="1312" t="s">
        <v>386</v>
      </c>
      <c r="C1907" s="1307"/>
      <c r="D1907" s="1307"/>
      <c r="E1907" s="1307"/>
      <c r="F1907" s="1308"/>
      <c r="G1907" s="1308"/>
      <c r="H1907" s="1308"/>
      <c r="I1907" s="1309"/>
      <c r="J1907" s="1326"/>
    </row>
    <row r="1908" spans="1:10" s="1209" customFormat="1">
      <c r="A1908" s="1182"/>
      <c r="B1908" s="1306" t="s">
        <v>3432</v>
      </c>
      <c r="C1908" s="1307"/>
      <c r="D1908" s="1307"/>
      <c r="E1908" s="1307"/>
      <c r="F1908" s="1308"/>
      <c r="G1908" s="1308"/>
      <c r="H1908" s="1308"/>
      <c r="I1908" s="1309">
        <f>PRODUCT(C1908:H1908)</f>
        <v>0</v>
      </c>
      <c r="J1908" s="1326"/>
    </row>
    <row r="1909" spans="1:10" s="1209" customFormat="1">
      <c r="A1909" s="1182"/>
      <c r="B1909" s="1306" t="s">
        <v>3433</v>
      </c>
      <c r="C1909" s="1307">
        <v>1</v>
      </c>
      <c r="D1909" s="1307" t="s">
        <v>3364</v>
      </c>
      <c r="E1909" s="1307">
        <v>1</v>
      </c>
      <c r="F1909" s="1308">
        <f>8.82+0.46</f>
        <v>9.2799999999999994</v>
      </c>
      <c r="G1909" s="1308">
        <v>3.46</v>
      </c>
      <c r="H1909" s="1308"/>
      <c r="I1909" s="1309">
        <f>PRODUCT(C1909:H1909)</f>
        <v>32.11</v>
      </c>
      <c r="J1909" s="1326"/>
    </row>
    <row r="1910" spans="1:10" s="1209" customFormat="1">
      <c r="A1910" s="1182"/>
      <c r="B1910" s="1306" t="s">
        <v>3434</v>
      </c>
      <c r="C1910" s="1307">
        <v>1</v>
      </c>
      <c r="D1910" s="1307" t="s">
        <v>3364</v>
      </c>
      <c r="E1910" s="1307">
        <v>2</v>
      </c>
      <c r="F1910" s="1308">
        <v>9.2799999999999994</v>
      </c>
      <c r="G1910" s="1308"/>
      <c r="H1910" s="1308">
        <f>0.45-0.125</f>
        <v>0.32500000000000001</v>
      </c>
      <c r="I1910" s="1309">
        <f>PRODUCT(C1910:H1910)</f>
        <v>6.03</v>
      </c>
      <c r="J1910" s="1326"/>
    </row>
    <row r="1911" spans="1:10" s="1209" customFormat="1">
      <c r="A1911" s="1182"/>
      <c r="B1911" s="1306" t="s">
        <v>3435</v>
      </c>
      <c r="C1911" s="1307">
        <v>1</v>
      </c>
      <c r="D1911" s="1307" t="s">
        <v>3364</v>
      </c>
      <c r="E1911" s="1307">
        <v>2</v>
      </c>
      <c r="F1911" s="1308">
        <v>3.46</v>
      </c>
      <c r="G1911" s="1308"/>
      <c r="H1911" s="1308">
        <f>0.45-0.125</f>
        <v>0.32500000000000001</v>
      </c>
      <c r="I1911" s="1309">
        <f>PRODUCT(C1911:H1911)</f>
        <v>2.25</v>
      </c>
      <c r="J1911" s="1326"/>
    </row>
    <row r="1912" spans="1:10" s="1209" customFormat="1">
      <c r="A1912" s="1182"/>
      <c r="B1912" s="1306" t="s">
        <v>3436</v>
      </c>
      <c r="C1912" s="1307"/>
      <c r="D1912" s="1307"/>
      <c r="E1912" s="1307"/>
      <c r="F1912" s="1308"/>
      <c r="G1912" s="1308"/>
      <c r="H1912" s="1308"/>
      <c r="I1912" s="1309"/>
      <c r="J1912" s="1326"/>
    </row>
    <row r="1913" spans="1:10" s="1209" customFormat="1">
      <c r="A1913" s="1182"/>
      <c r="B1913" s="1306" t="s">
        <v>3433</v>
      </c>
      <c r="C1913" s="1307">
        <v>1</v>
      </c>
      <c r="D1913" s="1307" t="s">
        <v>3364</v>
      </c>
      <c r="E1913" s="1307">
        <v>1</v>
      </c>
      <c r="F1913" s="1308">
        <f>4.96</f>
        <v>4.96</v>
      </c>
      <c r="G1913" s="1308">
        <v>5.46</v>
      </c>
      <c r="H1913" s="1308"/>
      <c r="I1913" s="1309">
        <f t="shared" ref="I1913:I1918" si="121">PRODUCT(C1913:H1913)</f>
        <v>27.08</v>
      </c>
      <c r="J1913" s="1326"/>
    </row>
    <row r="1914" spans="1:10" s="1209" customFormat="1">
      <c r="A1914" s="1182"/>
      <c r="B1914" s="1306" t="s">
        <v>3434</v>
      </c>
      <c r="C1914" s="1307">
        <v>1</v>
      </c>
      <c r="D1914" s="1307" t="s">
        <v>3364</v>
      </c>
      <c r="E1914" s="1307">
        <v>2</v>
      </c>
      <c r="F1914" s="1308">
        <v>5.46</v>
      </c>
      <c r="G1914" s="1308"/>
      <c r="H1914" s="1308">
        <v>0.35</v>
      </c>
      <c r="I1914" s="1309">
        <f t="shared" si="121"/>
        <v>3.82</v>
      </c>
      <c r="J1914" s="1326"/>
    </row>
    <row r="1915" spans="1:10" s="1209" customFormat="1">
      <c r="A1915" s="1182"/>
      <c r="B1915" s="1306" t="s">
        <v>3435</v>
      </c>
      <c r="C1915" s="1307">
        <v>1</v>
      </c>
      <c r="D1915" s="1307" t="s">
        <v>3364</v>
      </c>
      <c r="E1915" s="1307">
        <v>2</v>
      </c>
      <c r="F1915" s="1308">
        <v>4.96</v>
      </c>
      <c r="G1915" s="1308"/>
      <c r="H1915" s="1308">
        <v>0.35</v>
      </c>
      <c r="I1915" s="1309">
        <f t="shared" si="121"/>
        <v>3.47</v>
      </c>
      <c r="J1915" s="1326"/>
    </row>
    <row r="1916" spans="1:10" s="1209" customFormat="1">
      <c r="A1916" s="1182"/>
      <c r="B1916" s="1306" t="s">
        <v>3437</v>
      </c>
      <c r="C1916" s="1307">
        <v>1</v>
      </c>
      <c r="D1916" s="1307" t="s">
        <v>3364</v>
      </c>
      <c r="E1916" s="1307">
        <v>2</v>
      </c>
      <c r="F1916" s="1308">
        <f>4.5+4.5+7</f>
        <v>16</v>
      </c>
      <c r="G1916" s="1308"/>
      <c r="H1916" s="1308">
        <v>1</v>
      </c>
      <c r="I1916" s="1309">
        <f t="shared" si="121"/>
        <v>32</v>
      </c>
      <c r="J1916" s="1326"/>
    </row>
    <row r="1917" spans="1:10" s="1209" customFormat="1">
      <c r="A1917" s="1182"/>
      <c r="B1917" s="1306" t="s">
        <v>3620</v>
      </c>
      <c r="C1917" s="1307">
        <v>1</v>
      </c>
      <c r="D1917" s="1307" t="s">
        <v>3364</v>
      </c>
      <c r="E1917" s="1307">
        <v>1</v>
      </c>
      <c r="F1917" s="1308">
        <v>4.96</v>
      </c>
      <c r="G1917" s="1308">
        <v>3.96</v>
      </c>
      <c r="H1917" s="1308"/>
      <c r="I1917" s="1309">
        <f t="shared" si="121"/>
        <v>19.64</v>
      </c>
      <c r="J1917" s="1326"/>
    </row>
    <row r="1918" spans="1:10" s="1209" customFormat="1">
      <c r="A1918" s="1182"/>
      <c r="B1918" s="1306" t="s">
        <v>3621</v>
      </c>
      <c r="C1918" s="1307">
        <v>1</v>
      </c>
      <c r="D1918" s="1307" t="s">
        <v>3364</v>
      </c>
      <c r="E1918" s="1307">
        <v>2</v>
      </c>
      <c r="F1918" s="1308">
        <v>4.96</v>
      </c>
      <c r="G1918" s="1308"/>
      <c r="H1918" s="1308">
        <v>0.15</v>
      </c>
      <c r="I1918" s="1309">
        <f t="shared" si="121"/>
        <v>1.49</v>
      </c>
      <c r="J1918" s="1326"/>
    </row>
    <row r="1919" spans="1:10" s="1209" customFormat="1">
      <c r="A1919" s="1182"/>
      <c r="B1919" s="1312" t="s">
        <v>3439</v>
      </c>
      <c r="C1919" s="1307"/>
      <c r="D1919" s="1307"/>
      <c r="E1919" s="1307"/>
      <c r="F1919" s="1308"/>
      <c r="G1919" s="1308"/>
      <c r="H1919" s="1308"/>
      <c r="I1919" s="1309"/>
      <c r="J1919" s="1326"/>
    </row>
    <row r="1920" spans="1:10" s="1209" customFormat="1">
      <c r="A1920" s="1182"/>
      <c r="B1920" s="1306" t="s">
        <v>6862</v>
      </c>
      <c r="C1920" s="1307">
        <v>1</v>
      </c>
      <c r="D1920" s="1307" t="s">
        <v>3364</v>
      </c>
      <c r="E1920" s="1307">
        <v>1</v>
      </c>
      <c r="F1920" s="1308">
        <f>1+0.46</f>
        <v>1.46</v>
      </c>
      <c r="G1920" s="1308"/>
      <c r="H1920" s="1308">
        <v>0.15</v>
      </c>
      <c r="I1920" s="1309">
        <f>PRODUCT(C1920:H1920)</f>
        <v>0.22</v>
      </c>
      <c r="J1920" s="1326"/>
    </row>
    <row r="1921" spans="1:14" s="1209" customFormat="1">
      <c r="A1921" s="1182"/>
      <c r="B1921" s="1306" t="s">
        <v>6863</v>
      </c>
      <c r="C1921" s="1307">
        <v>1</v>
      </c>
      <c r="D1921" s="1307" t="s">
        <v>3364</v>
      </c>
      <c r="E1921" s="1307">
        <v>1</v>
      </c>
      <c r="F1921" s="1308">
        <f>1</f>
        <v>1</v>
      </c>
      <c r="G1921" s="1308">
        <v>0.23</v>
      </c>
      <c r="H1921" s="1308"/>
      <c r="I1921" s="1309">
        <f>PRODUCT(C1921:H1921)</f>
        <v>0.23</v>
      </c>
      <c r="J1921" s="1326"/>
    </row>
    <row r="1922" spans="1:14" s="1209" customFormat="1">
      <c r="A1922" s="1182"/>
      <c r="B1922" s="1306" t="s">
        <v>6864</v>
      </c>
      <c r="C1922" s="1307">
        <v>2</v>
      </c>
      <c r="D1922" s="1307" t="s">
        <v>3364</v>
      </c>
      <c r="E1922" s="1307">
        <v>14</v>
      </c>
      <c r="F1922" s="1308">
        <f>1.96+0.6</f>
        <v>2.56</v>
      </c>
      <c r="G1922" s="1308"/>
      <c r="H1922" s="1308">
        <v>0.08</v>
      </c>
      <c r="I1922" s="1309">
        <f>PRODUCT(C1922:H1922)</f>
        <v>5.73</v>
      </c>
      <c r="J1922" s="1326"/>
    </row>
    <row r="1923" spans="1:14" s="1209" customFormat="1">
      <c r="A1923" s="1182"/>
      <c r="B1923" s="1306" t="s">
        <v>6865</v>
      </c>
      <c r="C1923" s="1307">
        <v>1</v>
      </c>
      <c r="D1923" s="1307" t="s">
        <v>3364</v>
      </c>
      <c r="E1923" s="1307">
        <v>14</v>
      </c>
      <c r="F1923" s="1308">
        <v>1.96</v>
      </c>
      <c r="G1923" s="1308">
        <v>0.6</v>
      </c>
      <c r="H1923" s="1308"/>
      <c r="I1923" s="1309">
        <f>PRODUCT(C1923:H1923)</f>
        <v>16.46</v>
      </c>
      <c r="J1923" s="1326"/>
    </row>
    <row r="1924" spans="1:14" s="1209" customFormat="1">
      <c r="A1924" s="1182"/>
      <c r="B1924" s="1313"/>
      <c r="C1924" s="1307"/>
      <c r="D1924" s="1307"/>
      <c r="E1924" s="1307"/>
      <c r="F1924" s="1308"/>
      <c r="G1924" s="1321"/>
      <c r="H1924" s="1321"/>
      <c r="I1924" s="1323">
        <f>SUM(I1714:I1923)</f>
        <v>3406.17</v>
      </c>
      <c r="J1924" s="1319"/>
    </row>
    <row r="1925" spans="1:14" s="1209" customFormat="1">
      <c r="A1925" s="1182"/>
      <c r="B1925" s="1306"/>
      <c r="C1925" s="1318"/>
      <c r="D1925" s="1318"/>
      <c r="E1925" s="1318"/>
      <c r="F1925" s="1308"/>
      <c r="G1925" s="1321"/>
      <c r="H1925" s="1321" t="s">
        <v>2981</v>
      </c>
      <c r="I1925" s="1323">
        <f>ROUNDUP(I1924,0.1)</f>
        <v>3407</v>
      </c>
      <c r="J1925" s="1319" t="s">
        <v>724</v>
      </c>
    </row>
    <row r="1926" spans="1:14" s="1209" customFormat="1" ht="31.5">
      <c r="A1926" s="1182"/>
      <c r="B1926" s="1310" t="s">
        <v>3622</v>
      </c>
      <c r="C1926" s="1322"/>
      <c r="D1926" s="1322"/>
      <c r="E1926" s="1322"/>
      <c r="F1926" s="1321"/>
      <c r="G1926" s="1321"/>
      <c r="H1926" s="1321"/>
      <c r="I1926" s="1323"/>
      <c r="J1926" s="1319"/>
    </row>
    <row r="1927" spans="1:14" s="1209" customFormat="1">
      <c r="A1927" s="1182"/>
      <c r="B1927" s="1328" t="s">
        <v>3377</v>
      </c>
      <c r="C1927" s="1307"/>
      <c r="D1927" s="1307"/>
      <c r="E1927" s="1307"/>
      <c r="F1927" s="1308"/>
      <c r="G1927" s="1308"/>
      <c r="H1927" s="1308"/>
      <c r="I1927" s="1309"/>
      <c r="J1927" s="1326"/>
    </row>
    <row r="1928" spans="1:14" s="1212" customFormat="1">
      <c r="A1928" s="1273"/>
      <c r="B1928" s="1306" t="s">
        <v>6526</v>
      </c>
      <c r="C1928" s="1307">
        <v>4</v>
      </c>
      <c r="D1928" s="1307" t="s">
        <v>3364</v>
      </c>
      <c r="E1928" s="1307">
        <v>1</v>
      </c>
      <c r="F1928" s="1308">
        <f>0.3+0.3+0.23+0.23</f>
        <v>1.06</v>
      </c>
      <c r="G1928" s="1308"/>
      <c r="H1928" s="1308">
        <v>2.65</v>
      </c>
      <c r="I1928" s="1178">
        <f t="shared" ref="I1928:I1935" si="122">PRODUCT(C1928:H1928)</f>
        <v>11.24</v>
      </c>
      <c r="J1928" s="1179"/>
      <c r="L1928" s="1209"/>
      <c r="M1928" s="1209"/>
      <c r="N1928" s="1209"/>
    </row>
    <row r="1929" spans="1:14" s="1212" customFormat="1">
      <c r="A1929" s="1273"/>
      <c r="B1929" s="1306" t="s">
        <v>6527</v>
      </c>
      <c r="C1929" s="1307">
        <v>6</v>
      </c>
      <c r="D1929" s="1307" t="s">
        <v>3364</v>
      </c>
      <c r="E1929" s="1307">
        <v>1</v>
      </c>
      <c r="F1929" s="1308">
        <f>0.3+0.3+0.23+0.23</f>
        <v>1.06</v>
      </c>
      <c r="G1929" s="1308"/>
      <c r="H1929" s="1308">
        <v>2.65</v>
      </c>
      <c r="I1929" s="1178">
        <f t="shared" si="122"/>
        <v>16.850000000000001</v>
      </c>
      <c r="J1929" s="1179"/>
      <c r="L1929" s="1209"/>
      <c r="M1929" s="1209"/>
      <c r="N1929" s="1209"/>
    </row>
    <row r="1930" spans="1:14" s="1212" customFormat="1">
      <c r="A1930" s="1273"/>
      <c r="B1930" s="1306" t="s">
        <v>6976</v>
      </c>
      <c r="C1930" s="1307">
        <v>2</v>
      </c>
      <c r="D1930" s="1307" t="s">
        <v>3364</v>
      </c>
      <c r="E1930" s="1307">
        <v>1</v>
      </c>
      <c r="F1930" s="1308">
        <f>0.3+0.3+0.23+0.23</f>
        <v>1.06</v>
      </c>
      <c r="G1930" s="1308"/>
      <c r="H1930" s="1308">
        <v>2.65</v>
      </c>
      <c r="I1930" s="1178">
        <f t="shared" si="122"/>
        <v>5.62</v>
      </c>
      <c r="J1930" s="1179"/>
      <c r="L1930" s="1209"/>
      <c r="M1930" s="1209"/>
      <c r="N1930" s="1209"/>
    </row>
    <row r="1931" spans="1:14" s="1212" customFormat="1">
      <c r="A1931" s="1273"/>
      <c r="B1931" s="1306" t="s">
        <v>6977</v>
      </c>
      <c r="C1931" s="1307">
        <v>3</v>
      </c>
      <c r="D1931" s="1307" t="s">
        <v>3364</v>
      </c>
      <c r="E1931" s="1307">
        <v>1</v>
      </c>
      <c r="F1931" s="1308">
        <f>0.45+0.45+0.23+0.23</f>
        <v>1.36</v>
      </c>
      <c r="G1931" s="1308"/>
      <c r="H1931" s="1308">
        <v>2.65</v>
      </c>
      <c r="I1931" s="1178">
        <f t="shared" si="122"/>
        <v>10.81</v>
      </c>
      <c r="J1931" s="1179"/>
      <c r="L1931" s="1209"/>
      <c r="M1931" s="1209"/>
      <c r="N1931" s="1209"/>
    </row>
    <row r="1932" spans="1:14" s="1212" customFormat="1">
      <c r="A1932" s="1273"/>
      <c r="B1932" s="1306" t="s">
        <v>6978</v>
      </c>
      <c r="C1932" s="1307">
        <v>3</v>
      </c>
      <c r="D1932" s="1307" t="s">
        <v>3364</v>
      </c>
      <c r="E1932" s="1307">
        <v>1</v>
      </c>
      <c r="F1932" s="1308">
        <f>0.45+0.45+0.23+0.23</f>
        <v>1.36</v>
      </c>
      <c r="G1932" s="1308"/>
      <c r="H1932" s="1308">
        <v>2.65</v>
      </c>
      <c r="I1932" s="1178">
        <f t="shared" si="122"/>
        <v>10.81</v>
      </c>
      <c r="J1932" s="1179"/>
      <c r="L1932" s="1209"/>
      <c r="M1932" s="1209"/>
      <c r="N1932" s="1209"/>
    </row>
    <row r="1933" spans="1:14" s="1212" customFormat="1">
      <c r="A1933" s="1273"/>
      <c r="B1933" s="1306" t="s">
        <v>6979</v>
      </c>
      <c r="C1933" s="1307">
        <v>5</v>
      </c>
      <c r="D1933" s="1307" t="s">
        <v>3364</v>
      </c>
      <c r="E1933" s="1307">
        <v>1</v>
      </c>
      <c r="F1933" s="1308">
        <f>0.45+0.45+0.3+0.3</f>
        <v>1.5</v>
      </c>
      <c r="G1933" s="1308"/>
      <c r="H1933" s="1308">
        <v>2.65</v>
      </c>
      <c r="I1933" s="1178">
        <f t="shared" si="122"/>
        <v>19.88</v>
      </c>
      <c r="J1933" s="1179"/>
      <c r="L1933" s="1209"/>
      <c r="M1933" s="1209"/>
      <c r="N1933" s="1209"/>
    </row>
    <row r="1934" spans="1:14" s="1212" customFormat="1">
      <c r="A1934" s="1273"/>
      <c r="B1934" s="1306" t="s">
        <v>6980</v>
      </c>
      <c r="C1934" s="1307">
        <v>4</v>
      </c>
      <c r="D1934" s="1307" t="s">
        <v>3364</v>
      </c>
      <c r="E1934" s="1307">
        <v>1</v>
      </c>
      <c r="F1934" s="1308">
        <f>0.45+0.45+0.3+0.3</f>
        <v>1.5</v>
      </c>
      <c r="G1934" s="1308"/>
      <c r="H1934" s="1308">
        <v>2.65</v>
      </c>
      <c r="I1934" s="1178">
        <f t="shared" si="122"/>
        <v>15.9</v>
      </c>
      <c r="J1934" s="1179"/>
      <c r="L1934" s="1209"/>
      <c r="M1934" s="1209"/>
      <c r="N1934" s="1209"/>
    </row>
    <row r="1935" spans="1:14" s="1212" customFormat="1">
      <c r="A1935" s="1273"/>
      <c r="B1935" s="1306" t="s">
        <v>6981</v>
      </c>
      <c r="C1935" s="1307">
        <v>8</v>
      </c>
      <c r="D1935" s="1307" t="s">
        <v>3364</v>
      </c>
      <c r="E1935" s="1307">
        <v>1</v>
      </c>
      <c r="F1935" s="1308">
        <f>0.45+0.45+0.3+0.3</f>
        <v>1.5</v>
      </c>
      <c r="G1935" s="1308"/>
      <c r="H1935" s="1308">
        <v>2.65</v>
      </c>
      <c r="I1935" s="1178">
        <f t="shared" si="122"/>
        <v>31.8</v>
      </c>
      <c r="J1935" s="1179"/>
      <c r="L1935" s="1209"/>
      <c r="M1935" s="1209"/>
      <c r="N1935" s="1209"/>
    </row>
    <row r="1936" spans="1:14" s="1209" customFormat="1">
      <c r="A1936" s="1182"/>
      <c r="B1936" s="1314" t="s">
        <v>3404</v>
      </c>
      <c r="C1936" s="1307"/>
      <c r="D1936" s="1307"/>
      <c r="E1936" s="1307"/>
      <c r="F1936" s="1308"/>
      <c r="G1936" s="1308"/>
      <c r="H1936" s="1308"/>
      <c r="I1936" s="1309"/>
      <c r="J1936" s="1326"/>
    </row>
    <row r="1937" spans="1:14" s="1212" customFormat="1">
      <c r="A1937" s="1273"/>
      <c r="B1937" s="1306" t="s">
        <v>6526</v>
      </c>
      <c r="C1937" s="1307">
        <v>4</v>
      </c>
      <c r="D1937" s="1307" t="s">
        <v>3364</v>
      </c>
      <c r="E1937" s="1307">
        <v>1</v>
      </c>
      <c r="F1937" s="1308">
        <f>0.3+0.3+0.23+0.23</f>
        <v>1.06</v>
      </c>
      <c r="G1937" s="1308"/>
      <c r="H1937" s="1308">
        <v>2.65</v>
      </c>
      <c r="I1937" s="1178">
        <f t="shared" ref="I1937:I1944" si="123">PRODUCT(C1937:H1937)</f>
        <v>11.24</v>
      </c>
      <c r="J1937" s="1179"/>
      <c r="L1937" s="1209"/>
      <c r="M1937" s="1209"/>
      <c r="N1937" s="1209"/>
    </row>
    <row r="1938" spans="1:14" s="1212" customFormat="1">
      <c r="A1938" s="1273"/>
      <c r="B1938" s="1306" t="s">
        <v>6527</v>
      </c>
      <c r="C1938" s="1307">
        <v>6</v>
      </c>
      <c r="D1938" s="1307" t="s">
        <v>3364</v>
      </c>
      <c r="E1938" s="1307">
        <v>1</v>
      </c>
      <c r="F1938" s="1308">
        <f>0.3+0.3+0.23+0.23</f>
        <v>1.06</v>
      </c>
      <c r="G1938" s="1308"/>
      <c r="H1938" s="1308">
        <v>2.65</v>
      </c>
      <c r="I1938" s="1178">
        <f t="shared" si="123"/>
        <v>16.850000000000001</v>
      </c>
      <c r="J1938" s="1179"/>
      <c r="L1938" s="1209"/>
      <c r="M1938" s="1209"/>
      <c r="N1938" s="1209"/>
    </row>
    <row r="1939" spans="1:14" s="1212" customFormat="1">
      <c r="A1939" s="1273"/>
      <c r="B1939" s="1306" t="s">
        <v>6976</v>
      </c>
      <c r="C1939" s="1307">
        <v>2</v>
      </c>
      <c r="D1939" s="1307" t="s">
        <v>3364</v>
      </c>
      <c r="E1939" s="1307">
        <v>1</v>
      </c>
      <c r="F1939" s="1308">
        <f>0.3+0.3+0.23+0.23</f>
        <v>1.06</v>
      </c>
      <c r="G1939" s="1308"/>
      <c r="H1939" s="1308">
        <v>2.65</v>
      </c>
      <c r="I1939" s="1178">
        <f t="shared" si="123"/>
        <v>5.62</v>
      </c>
      <c r="J1939" s="1179"/>
      <c r="L1939" s="1209"/>
      <c r="M1939" s="1209"/>
      <c r="N1939" s="1209"/>
    </row>
    <row r="1940" spans="1:14" s="1212" customFormat="1">
      <c r="A1940" s="1273"/>
      <c r="B1940" s="1306" t="s">
        <v>6977</v>
      </c>
      <c r="C1940" s="1307">
        <v>3</v>
      </c>
      <c r="D1940" s="1307" t="s">
        <v>3364</v>
      </c>
      <c r="E1940" s="1307">
        <v>1</v>
      </c>
      <c r="F1940" s="1308">
        <f>0.45+0.45+0.23+0.23</f>
        <v>1.36</v>
      </c>
      <c r="G1940" s="1308"/>
      <c r="H1940" s="1308">
        <v>2.65</v>
      </c>
      <c r="I1940" s="1178">
        <f t="shared" si="123"/>
        <v>10.81</v>
      </c>
      <c r="J1940" s="1179"/>
      <c r="L1940" s="1209"/>
      <c r="M1940" s="1209"/>
      <c r="N1940" s="1209"/>
    </row>
    <row r="1941" spans="1:14" s="1212" customFormat="1">
      <c r="A1941" s="1273"/>
      <c r="B1941" s="1306" t="s">
        <v>6978</v>
      </c>
      <c r="C1941" s="1307">
        <v>3</v>
      </c>
      <c r="D1941" s="1307" t="s">
        <v>3364</v>
      </c>
      <c r="E1941" s="1307">
        <v>1</v>
      </c>
      <c r="F1941" s="1308">
        <f>0.45+0.45+0.23+0.23</f>
        <v>1.36</v>
      </c>
      <c r="G1941" s="1308"/>
      <c r="H1941" s="1308">
        <v>2.65</v>
      </c>
      <c r="I1941" s="1178">
        <f t="shared" si="123"/>
        <v>10.81</v>
      </c>
      <c r="J1941" s="1179"/>
      <c r="L1941" s="1209"/>
      <c r="M1941" s="1209"/>
      <c r="N1941" s="1209"/>
    </row>
    <row r="1942" spans="1:14" s="1212" customFormat="1">
      <c r="A1942" s="1273"/>
      <c r="B1942" s="1306" t="s">
        <v>6979</v>
      </c>
      <c r="C1942" s="1307">
        <v>5</v>
      </c>
      <c r="D1942" s="1307" t="s">
        <v>3364</v>
      </c>
      <c r="E1942" s="1307">
        <v>1</v>
      </c>
      <c r="F1942" s="1308">
        <f>0.45+0.45+0.3+0.3</f>
        <v>1.5</v>
      </c>
      <c r="G1942" s="1308"/>
      <c r="H1942" s="1308">
        <v>2.65</v>
      </c>
      <c r="I1942" s="1178">
        <f t="shared" si="123"/>
        <v>19.88</v>
      </c>
      <c r="J1942" s="1179"/>
      <c r="L1942" s="1209"/>
      <c r="M1942" s="1209"/>
      <c r="N1942" s="1209"/>
    </row>
    <row r="1943" spans="1:14" s="1212" customFormat="1">
      <c r="A1943" s="1273"/>
      <c r="B1943" s="1306" t="s">
        <v>6980</v>
      </c>
      <c r="C1943" s="1307">
        <v>4</v>
      </c>
      <c r="D1943" s="1307" t="s">
        <v>3364</v>
      </c>
      <c r="E1943" s="1307">
        <v>1</v>
      </c>
      <c r="F1943" s="1308">
        <f>0.45+0.45+0.3+0.3</f>
        <v>1.5</v>
      </c>
      <c r="G1943" s="1308"/>
      <c r="H1943" s="1308">
        <v>2.65</v>
      </c>
      <c r="I1943" s="1178">
        <f t="shared" si="123"/>
        <v>15.9</v>
      </c>
      <c r="J1943" s="1179"/>
      <c r="L1943" s="1209"/>
      <c r="M1943" s="1209"/>
      <c r="N1943" s="1209"/>
    </row>
    <row r="1944" spans="1:14" s="1212" customFormat="1">
      <c r="A1944" s="1273"/>
      <c r="B1944" s="1306" t="s">
        <v>6981</v>
      </c>
      <c r="C1944" s="1307">
        <v>8</v>
      </c>
      <c r="D1944" s="1307" t="s">
        <v>3364</v>
      </c>
      <c r="E1944" s="1307">
        <v>1</v>
      </c>
      <c r="F1944" s="1308">
        <f>0.45+0.45+0.3+0.3</f>
        <v>1.5</v>
      </c>
      <c r="G1944" s="1308"/>
      <c r="H1944" s="1308">
        <v>2.65</v>
      </c>
      <c r="I1944" s="1178">
        <f t="shared" si="123"/>
        <v>31.8</v>
      </c>
      <c r="J1944" s="1179"/>
      <c r="L1944" s="1209"/>
      <c r="M1944" s="1209"/>
      <c r="N1944" s="1209"/>
    </row>
    <row r="1945" spans="1:14" s="1209" customFormat="1">
      <c r="A1945" s="1182"/>
      <c r="B1945" s="1314" t="s">
        <v>3412</v>
      </c>
      <c r="C1945" s="1307"/>
      <c r="D1945" s="1307"/>
      <c r="E1945" s="1307"/>
      <c r="F1945" s="1308"/>
      <c r="G1945" s="1308"/>
      <c r="H1945" s="1308"/>
      <c r="I1945" s="1309"/>
      <c r="J1945" s="1326"/>
    </row>
    <row r="1946" spans="1:14" s="1212" customFormat="1">
      <c r="A1946" s="1273"/>
      <c r="B1946" s="1306" t="s">
        <v>6526</v>
      </c>
      <c r="C1946" s="1307">
        <v>4</v>
      </c>
      <c r="D1946" s="1307" t="s">
        <v>3364</v>
      </c>
      <c r="E1946" s="1307">
        <v>1</v>
      </c>
      <c r="F1946" s="1308">
        <f>0.3+0.3+0.23+0.23</f>
        <v>1.06</v>
      </c>
      <c r="G1946" s="1308"/>
      <c r="H1946" s="1308">
        <v>2.65</v>
      </c>
      <c r="I1946" s="1178">
        <f t="shared" ref="I1946:I1953" si="124">PRODUCT(C1946:H1946)</f>
        <v>11.24</v>
      </c>
      <c r="J1946" s="1179"/>
      <c r="L1946" s="1209"/>
      <c r="M1946" s="1209"/>
      <c r="N1946" s="1209"/>
    </row>
    <row r="1947" spans="1:14" s="1212" customFormat="1">
      <c r="A1947" s="1273"/>
      <c r="B1947" s="1306" t="s">
        <v>6527</v>
      </c>
      <c r="C1947" s="1307">
        <v>6</v>
      </c>
      <c r="D1947" s="1307" t="s">
        <v>3364</v>
      </c>
      <c r="E1947" s="1307">
        <v>1</v>
      </c>
      <c r="F1947" s="1308">
        <f>0.3+0.3+0.23+0.23</f>
        <v>1.06</v>
      </c>
      <c r="G1947" s="1308"/>
      <c r="H1947" s="1308">
        <v>2.65</v>
      </c>
      <c r="I1947" s="1178">
        <f t="shared" si="124"/>
        <v>16.850000000000001</v>
      </c>
      <c r="J1947" s="1179"/>
      <c r="L1947" s="1209"/>
      <c r="M1947" s="1209"/>
      <c r="N1947" s="1209"/>
    </row>
    <row r="1948" spans="1:14" s="1212" customFormat="1">
      <c r="A1948" s="1273"/>
      <c r="B1948" s="1306" t="s">
        <v>6976</v>
      </c>
      <c r="C1948" s="1307">
        <v>2</v>
      </c>
      <c r="D1948" s="1307" t="s">
        <v>3364</v>
      </c>
      <c r="E1948" s="1307">
        <v>1</v>
      </c>
      <c r="F1948" s="1308">
        <f>0.3+0.3+0.23+0.23</f>
        <v>1.06</v>
      </c>
      <c r="G1948" s="1308"/>
      <c r="H1948" s="1308">
        <v>2.65</v>
      </c>
      <c r="I1948" s="1178">
        <f t="shared" si="124"/>
        <v>5.62</v>
      </c>
      <c r="J1948" s="1179"/>
      <c r="L1948" s="1209"/>
      <c r="M1948" s="1209"/>
      <c r="N1948" s="1209"/>
    </row>
    <row r="1949" spans="1:14" s="1212" customFormat="1">
      <c r="A1949" s="1273"/>
      <c r="B1949" s="1306" t="s">
        <v>6977</v>
      </c>
      <c r="C1949" s="1307">
        <v>3</v>
      </c>
      <c r="D1949" s="1307" t="s">
        <v>3364</v>
      </c>
      <c r="E1949" s="1307">
        <v>1</v>
      </c>
      <c r="F1949" s="1308">
        <f>0.45+0.45+0.23+0.23</f>
        <v>1.36</v>
      </c>
      <c r="G1949" s="1308"/>
      <c r="H1949" s="1308">
        <v>2.65</v>
      </c>
      <c r="I1949" s="1178">
        <f t="shared" si="124"/>
        <v>10.81</v>
      </c>
      <c r="J1949" s="1179"/>
      <c r="L1949" s="1209"/>
      <c r="M1949" s="1209"/>
      <c r="N1949" s="1209"/>
    </row>
    <row r="1950" spans="1:14" s="1212" customFormat="1">
      <c r="A1950" s="1273"/>
      <c r="B1950" s="1306" t="s">
        <v>6978</v>
      </c>
      <c r="C1950" s="1307">
        <v>3</v>
      </c>
      <c r="D1950" s="1307" t="s">
        <v>3364</v>
      </c>
      <c r="E1950" s="1307">
        <v>1</v>
      </c>
      <c r="F1950" s="1308">
        <f>0.45+0.45+0.23+0.23</f>
        <v>1.36</v>
      </c>
      <c r="G1950" s="1308"/>
      <c r="H1950" s="1308">
        <v>2.65</v>
      </c>
      <c r="I1950" s="1178">
        <f t="shared" si="124"/>
        <v>10.81</v>
      </c>
      <c r="J1950" s="1179"/>
      <c r="L1950" s="1209"/>
      <c r="M1950" s="1209"/>
      <c r="N1950" s="1209"/>
    </row>
    <row r="1951" spans="1:14" s="1212" customFormat="1">
      <c r="A1951" s="1273"/>
      <c r="B1951" s="1306" t="s">
        <v>6979</v>
      </c>
      <c r="C1951" s="1307">
        <v>5</v>
      </c>
      <c r="D1951" s="1307" t="s">
        <v>3364</v>
      </c>
      <c r="E1951" s="1307">
        <v>1</v>
      </c>
      <c r="F1951" s="1308">
        <f>0.45+0.45+0.3+0.3</f>
        <v>1.5</v>
      </c>
      <c r="G1951" s="1308"/>
      <c r="H1951" s="1308">
        <v>2.65</v>
      </c>
      <c r="I1951" s="1178">
        <f t="shared" si="124"/>
        <v>19.88</v>
      </c>
      <c r="J1951" s="1179"/>
      <c r="L1951" s="1209"/>
      <c r="M1951" s="1209"/>
      <c r="N1951" s="1209"/>
    </row>
    <row r="1952" spans="1:14" s="1212" customFormat="1">
      <c r="A1952" s="1273"/>
      <c r="B1952" s="1306" t="s">
        <v>6980</v>
      </c>
      <c r="C1952" s="1307">
        <v>4</v>
      </c>
      <c r="D1952" s="1307" t="s">
        <v>3364</v>
      </c>
      <c r="E1952" s="1307">
        <v>1</v>
      </c>
      <c r="F1952" s="1308">
        <f>0.45+0.45+0.3+0.3</f>
        <v>1.5</v>
      </c>
      <c r="G1952" s="1308"/>
      <c r="H1952" s="1308">
        <v>2.65</v>
      </c>
      <c r="I1952" s="1178">
        <f t="shared" si="124"/>
        <v>15.9</v>
      </c>
      <c r="J1952" s="1179"/>
      <c r="L1952" s="1209"/>
      <c r="M1952" s="1209"/>
      <c r="N1952" s="1209"/>
    </row>
    <row r="1953" spans="1:14" s="1212" customFormat="1">
      <c r="A1953" s="1273"/>
      <c r="B1953" s="1306" t="s">
        <v>6981</v>
      </c>
      <c r="C1953" s="1307">
        <v>8</v>
      </c>
      <c r="D1953" s="1307" t="s">
        <v>3364</v>
      </c>
      <c r="E1953" s="1307">
        <v>1</v>
      </c>
      <c r="F1953" s="1308">
        <f>0.45+0.45+0.3+0.3</f>
        <v>1.5</v>
      </c>
      <c r="G1953" s="1308"/>
      <c r="H1953" s="1308">
        <v>2.65</v>
      </c>
      <c r="I1953" s="1178">
        <f t="shared" si="124"/>
        <v>31.8</v>
      </c>
      <c r="J1953" s="1179"/>
      <c r="L1953" s="1209"/>
      <c r="M1953" s="1209"/>
      <c r="N1953" s="1209"/>
    </row>
    <row r="1954" spans="1:14" s="1209" customFormat="1">
      <c r="A1954" s="1182"/>
      <c r="B1954" s="1314" t="s">
        <v>3422</v>
      </c>
      <c r="C1954" s="1307"/>
      <c r="D1954" s="1307"/>
      <c r="E1954" s="1307"/>
      <c r="F1954" s="1308"/>
      <c r="G1954" s="1308"/>
      <c r="H1954" s="1308"/>
      <c r="I1954" s="1309"/>
      <c r="J1954" s="1326"/>
    </row>
    <row r="1955" spans="1:14" s="1212" customFormat="1">
      <c r="A1955" s="1273"/>
      <c r="B1955" s="1306" t="s">
        <v>6526</v>
      </c>
      <c r="C1955" s="1307">
        <v>4</v>
      </c>
      <c r="D1955" s="1307" t="s">
        <v>3364</v>
      </c>
      <c r="E1955" s="1307">
        <v>1</v>
      </c>
      <c r="F1955" s="1308">
        <f>0.3+0.3+0.23+0.23</f>
        <v>1.06</v>
      </c>
      <c r="G1955" s="1308"/>
      <c r="H1955" s="1308">
        <v>2.65</v>
      </c>
      <c r="I1955" s="1178">
        <f t="shared" ref="I1955:I1962" si="125">PRODUCT(C1955:H1955)</f>
        <v>11.24</v>
      </c>
      <c r="J1955" s="1179"/>
      <c r="L1955" s="1209"/>
      <c r="M1955" s="1209"/>
      <c r="N1955" s="1209"/>
    </row>
    <row r="1956" spans="1:14" s="1212" customFormat="1">
      <c r="A1956" s="1273"/>
      <c r="B1956" s="1306" t="s">
        <v>6527</v>
      </c>
      <c r="C1956" s="1307">
        <v>6</v>
      </c>
      <c r="D1956" s="1307" t="s">
        <v>3364</v>
      </c>
      <c r="E1956" s="1307">
        <v>1</v>
      </c>
      <c r="F1956" s="1308">
        <f>0.3+0.3+0.23+0.23</f>
        <v>1.06</v>
      </c>
      <c r="G1956" s="1308"/>
      <c r="H1956" s="1308">
        <v>2.65</v>
      </c>
      <c r="I1956" s="1178">
        <f t="shared" si="125"/>
        <v>16.850000000000001</v>
      </c>
      <c r="J1956" s="1179"/>
      <c r="L1956" s="1209"/>
      <c r="M1956" s="1209"/>
      <c r="N1956" s="1209"/>
    </row>
    <row r="1957" spans="1:14" s="1212" customFormat="1">
      <c r="A1957" s="1273"/>
      <c r="B1957" s="1306" t="s">
        <v>6976</v>
      </c>
      <c r="C1957" s="1307">
        <v>2</v>
      </c>
      <c r="D1957" s="1307" t="s">
        <v>3364</v>
      </c>
      <c r="E1957" s="1307">
        <v>1</v>
      </c>
      <c r="F1957" s="1308">
        <f>0.3+0.3+0.23+0.23</f>
        <v>1.06</v>
      </c>
      <c r="G1957" s="1308"/>
      <c r="H1957" s="1308">
        <v>2.65</v>
      </c>
      <c r="I1957" s="1178">
        <f t="shared" si="125"/>
        <v>5.62</v>
      </c>
      <c r="J1957" s="1179"/>
      <c r="L1957" s="1209"/>
      <c r="M1957" s="1209"/>
      <c r="N1957" s="1209"/>
    </row>
    <row r="1958" spans="1:14" s="1212" customFormat="1">
      <c r="A1958" s="1273"/>
      <c r="B1958" s="1306" t="s">
        <v>6977</v>
      </c>
      <c r="C1958" s="1307">
        <v>3</v>
      </c>
      <c r="D1958" s="1307" t="s">
        <v>3364</v>
      </c>
      <c r="E1958" s="1307">
        <v>1</v>
      </c>
      <c r="F1958" s="1308">
        <f>0.45+0.45+0.23+0.23</f>
        <v>1.36</v>
      </c>
      <c r="G1958" s="1308"/>
      <c r="H1958" s="1308">
        <v>2.65</v>
      </c>
      <c r="I1958" s="1178">
        <f t="shared" si="125"/>
        <v>10.81</v>
      </c>
      <c r="J1958" s="1179"/>
      <c r="L1958" s="1209"/>
      <c r="M1958" s="1209"/>
      <c r="N1958" s="1209"/>
    </row>
    <row r="1959" spans="1:14" s="1212" customFormat="1">
      <c r="A1959" s="1273"/>
      <c r="B1959" s="1306" t="s">
        <v>6978</v>
      </c>
      <c r="C1959" s="1307">
        <v>3</v>
      </c>
      <c r="D1959" s="1307" t="s">
        <v>3364</v>
      </c>
      <c r="E1959" s="1307">
        <v>1</v>
      </c>
      <c r="F1959" s="1308">
        <f>0.45+0.45+0.23+0.23</f>
        <v>1.36</v>
      </c>
      <c r="G1959" s="1308"/>
      <c r="H1959" s="1308">
        <v>2.65</v>
      </c>
      <c r="I1959" s="1178">
        <f t="shared" si="125"/>
        <v>10.81</v>
      </c>
      <c r="J1959" s="1179"/>
      <c r="L1959" s="1209"/>
      <c r="M1959" s="1209"/>
      <c r="N1959" s="1209"/>
    </row>
    <row r="1960" spans="1:14" s="1212" customFormat="1">
      <c r="A1960" s="1273"/>
      <c r="B1960" s="1306" t="s">
        <v>6979</v>
      </c>
      <c r="C1960" s="1307">
        <v>5</v>
      </c>
      <c r="D1960" s="1307" t="s">
        <v>3364</v>
      </c>
      <c r="E1960" s="1307">
        <v>1</v>
      </c>
      <c r="F1960" s="1308">
        <f>0.45+0.45+0.3+0.3</f>
        <v>1.5</v>
      </c>
      <c r="G1960" s="1308"/>
      <c r="H1960" s="1308">
        <v>2.65</v>
      </c>
      <c r="I1960" s="1178">
        <f t="shared" si="125"/>
        <v>19.88</v>
      </c>
      <c r="J1960" s="1179"/>
      <c r="L1960" s="1209"/>
      <c r="M1960" s="1209"/>
      <c r="N1960" s="1209"/>
    </row>
    <row r="1961" spans="1:14" s="1212" customFormat="1">
      <c r="A1961" s="1273"/>
      <c r="B1961" s="1306" t="s">
        <v>6980</v>
      </c>
      <c r="C1961" s="1307">
        <v>4</v>
      </c>
      <c r="D1961" s="1307" t="s">
        <v>3364</v>
      </c>
      <c r="E1961" s="1307">
        <v>1</v>
      </c>
      <c r="F1961" s="1308">
        <f>0.45+0.45+0.3+0.3</f>
        <v>1.5</v>
      </c>
      <c r="G1961" s="1308"/>
      <c r="H1961" s="1308">
        <v>2.65</v>
      </c>
      <c r="I1961" s="1178">
        <f t="shared" si="125"/>
        <v>15.9</v>
      </c>
      <c r="J1961" s="1179"/>
      <c r="L1961" s="1209"/>
      <c r="M1961" s="1209"/>
      <c r="N1961" s="1209"/>
    </row>
    <row r="1962" spans="1:14" s="1212" customFormat="1">
      <c r="A1962" s="1273"/>
      <c r="B1962" s="1306" t="s">
        <v>6981</v>
      </c>
      <c r="C1962" s="1307">
        <v>8</v>
      </c>
      <c r="D1962" s="1307" t="s">
        <v>3364</v>
      </c>
      <c r="E1962" s="1307">
        <v>1</v>
      </c>
      <c r="F1962" s="1308">
        <f>0.45+0.45+0.3+0.3</f>
        <v>1.5</v>
      </c>
      <c r="G1962" s="1308"/>
      <c r="H1962" s="1308">
        <v>2.65</v>
      </c>
      <c r="I1962" s="1178">
        <f t="shared" si="125"/>
        <v>31.8</v>
      </c>
      <c r="J1962" s="1179"/>
      <c r="L1962" s="1209"/>
      <c r="M1962" s="1209"/>
      <c r="N1962" s="1209"/>
    </row>
    <row r="1963" spans="1:14" s="1209" customFormat="1">
      <c r="A1963" s="1182"/>
      <c r="B1963" s="1314" t="s">
        <v>3431</v>
      </c>
      <c r="C1963" s="1307"/>
      <c r="D1963" s="1307"/>
      <c r="E1963" s="1307"/>
      <c r="F1963" s="1308"/>
      <c r="G1963" s="1308"/>
      <c r="H1963" s="1308"/>
      <c r="I1963" s="1309"/>
      <c r="J1963" s="1326"/>
    </row>
    <row r="1964" spans="1:14" s="1212" customFormat="1">
      <c r="A1964" s="1273"/>
      <c r="B1964" s="1306" t="s">
        <v>6526</v>
      </c>
      <c r="C1964" s="1307">
        <v>4</v>
      </c>
      <c r="D1964" s="1307" t="s">
        <v>3364</v>
      </c>
      <c r="E1964" s="1307">
        <v>1</v>
      </c>
      <c r="F1964" s="1308">
        <f>0.3+0.3+0.23+0.23</f>
        <v>1.06</v>
      </c>
      <c r="G1964" s="1308"/>
      <c r="H1964" s="1308">
        <v>2.4</v>
      </c>
      <c r="I1964" s="1178">
        <f>PRODUCT(C1964:H1964)</f>
        <v>10.18</v>
      </c>
      <c r="J1964" s="1179"/>
      <c r="L1964" s="1209"/>
      <c r="M1964" s="1209"/>
      <c r="N1964" s="1209"/>
    </row>
    <row r="1965" spans="1:14" s="1212" customFormat="1">
      <c r="A1965" s="1273"/>
      <c r="B1965" s="1306" t="s">
        <v>6527</v>
      </c>
      <c r="C1965" s="1307">
        <v>3</v>
      </c>
      <c r="D1965" s="1307" t="s">
        <v>3364</v>
      </c>
      <c r="E1965" s="1307">
        <v>1</v>
      </c>
      <c r="F1965" s="1308">
        <f>0.3+0.3+0.23+0.23</f>
        <v>1.06</v>
      </c>
      <c r="G1965" s="1308"/>
      <c r="H1965" s="1308">
        <v>2.4</v>
      </c>
      <c r="I1965" s="1178">
        <f>PRODUCT(C1965:H1965)</f>
        <v>7.63</v>
      </c>
      <c r="J1965" s="1179"/>
      <c r="L1965" s="1209"/>
      <c r="M1965" s="1209"/>
      <c r="N1965" s="1209"/>
    </row>
    <row r="1966" spans="1:14" s="1212" customFormat="1">
      <c r="A1966" s="1273"/>
      <c r="B1966" s="1306" t="s">
        <v>6976</v>
      </c>
      <c r="C1966" s="1307">
        <v>1</v>
      </c>
      <c r="D1966" s="1307" t="s">
        <v>3364</v>
      </c>
      <c r="E1966" s="1307">
        <v>1</v>
      </c>
      <c r="F1966" s="1308">
        <f>0.3+0.3+0.23+0.23</f>
        <v>1.06</v>
      </c>
      <c r="G1966" s="1308"/>
      <c r="H1966" s="1308">
        <v>2.4</v>
      </c>
      <c r="I1966" s="1178">
        <f>PRODUCT(C1966:H1966)</f>
        <v>2.54</v>
      </c>
      <c r="J1966" s="1179"/>
      <c r="L1966" s="1209"/>
      <c r="M1966" s="1209"/>
      <c r="N1966" s="1209"/>
    </row>
    <row r="1967" spans="1:14" s="1212" customFormat="1">
      <c r="A1967" s="1273"/>
      <c r="B1967" s="1306" t="s">
        <v>6977</v>
      </c>
      <c r="C1967" s="1307">
        <v>3</v>
      </c>
      <c r="D1967" s="1307" t="s">
        <v>3364</v>
      </c>
      <c r="E1967" s="1307">
        <v>1</v>
      </c>
      <c r="F1967" s="1308">
        <f>0.45+0.45+0.23+0.23</f>
        <v>1.36</v>
      </c>
      <c r="G1967" s="1308"/>
      <c r="H1967" s="1308">
        <v>2.4</v>
      </c>
      <c r="I1967" s="1178">
        <f>PRODUCT(C1967:H1967)</f>
        <v>9.7899999999999991</v>
      </c>
      <c r="J1967" s="1179"/>
      <c r="L1967" s="1209"/>
      <c r="M1967" s="1209"/>
      <c r="N1967" s="1209"/>
    </row>
    <row r="1968" spans="1:14" s="1212" customFormat="1">
      <c r="A1968" s="1273"/>
      <c r="B1968" s="1306" t="s">
        <v>6981</v>
      </c>
      <c r="C1968" s="1307">
        <v>3</v>
      </c>
      <c r="D1968" s="1307" t="s">
        <v>3364</v>
      </c>
      <c r="E1968" s="1307">
        <v>1</v>
      </c>
      <c r="F1968" s="1308">
        <f>0.45+0.45+0.3+0.3</f>
        <v>1.5</v>
      </c>
      <c r="G1968" s="1308"/>
      <c r="H1968" s="1308">
        <v>1.2</v>
      </c>
      <c r="I1968" s="1178">
        <f>PRODUCT(C1968:H1968)</f>
        <v>5.4</v>
      </c>
      <c r="J1968" s="1179"/>
      <c r="L1968" s="1209"/>
      <c r="M1968" s="1209"/>
      <c r="N1968" s="1209"/>
    </row>
    <row r="1969" spans="1:10" s="1209" customFormat="1">
      <c r="A1969" s="1182"/>
      <c r="B1969" s="1306"/>
      <c r="C1969" s="1307"/>
      <c r="D1969" s="1307"/>
      <c r="E1969" s="1307"/>
      <c r="F1969" s="1308"/>
      <c r="G1969" s="1308"/>
      <c r="H1969" s="1321" t="s">
        <v>104</v>
      </c>
      <c r="I1969" s="1309">
        <f>SUM(I1928:I1968)</f>
        <v>527.17999999999995</v>
      </c>
      <c r="J1969" s="1326"/>
    </row>
    <row r="1970" spans="1:10" s="1209" customFormat="1">
      <c r="A1970" s="1182"/>
      <c r="B1970" s="1312"/>
      <c r="C1970" s="1325"/>
      <c r="D1970" s="1325"/>
      <c r="E1970" s="1325"/>
      <c r="F1970" s="1321"/>
      <c r="G1970" s="1321"/>
      <c r="H1970" s="1321" t="s">
        <v>2981</v>
      </c>
      <c r="I1970" s="1323">
        <f>ROUNDUP(I1969,0.1)</f>
        <v>528</v>
      </c>
      <c r="J1970" s="1326" t="s">
        <v>724</v>
      </c>
    </row>
    <row r="1971" spans="1:10" s="1209" customFormat="1">
      <c r="A1971" s="1182"/>
      <c r="B1971" s="1312"/>
      <c r="C1971" s="1325"/>
      <c r="D1971" s="1325"/>
      <c r="E1971" s="1325"/>
      <c r="F1971" s="1321"/>
      <c r="G1971" s="1321"/>
      <c r="H1971" s="1321"/>
      <c r="I1971" s="1323"/>
      <c r="J1971" s="1326"/>
    </row>
    <row r="1972" spans="1:10" s="1209" customFormat="1">
      <c r="A1972" s="1182"/>
      <c r="B1972" s="1317" t="s">
        <v>3623</v>
      </c>
      <c r="C1972" s="1318"/>
      <c r="D1972" s="1318"/>
      <c r="E1972" s="1318"/>
      <c r="F1972" s="1308"/>
      <c r="G1972" s="1321"/>
      <c r="H1972" s="1321"/>
      <c r="I1972" s="1323"/>
      <c r="J1972" s="1319"/>
    </row>
    <row r="1973" spans="1:10" s="1209" customFormat="1">
      <c r="A1973" s="1182"/>
      <c r="B1973" s="1306" t="s">
        <v>3624</v>
      </c>
      <c r="C1973" s="1307">
        <v>1</v>
      </c>
      <c r="D1973" s="1307" t="s">
        <v>3364</v>
      </c>
      <c r="E1973" s="1307">
        <v>2</v>
      </c>
      <c r="F1973" s="1308">
        <f>2.5+0.46+2.3</f>
        <v>5.26</v>
      </c>
      <c r="G1973" s="1308"/>
      <c r="H1973" s="1308">
        <v>1.9</v>
      </c>
      <c r="I1973" s="1309">
        <f>PRODUCT(C1973:H1973)</f>
        <v>19.989999999999998</v>
      </c>
      <c r="J1973" s="1326"/>
    </row>
    <row r="1974" spans="1:10" s="1209" customFormat="1">
      <c r="A1974" s="1182"/>
      <c r="B1974" s="1306"/>
      <c r="C1974" s="1307"/>
      <c r="D1974" s="1307"/>
      <c r="E1974" s="1307"/>
      <c r="F1974" s="1308"/>
      <c r="G1974" s="1308"/>
      <c r="H1974" s="1321" t="s">
        <v>104</v>
      </c>
      <c r="I1974" s="1323">
        <f>SUM(I1973)</f>
        <v>19.989999999999998</v>
      </c>
      <c r="J1974" s="1326" t="s">
        <v>468</v>
      </c>
    </row>
    <row r="1975" spans="1:10" s="1209" customFormat="1">
      <c r="A1975" s="1182"/>
      <c r="B1975" s="1312" t="s">
        <v>6866</v>
      </c>
      <c r="C1975" s="1307"/>
      <c r="D1975" s="1307"/>
      <c r="E1975" s="1307"/>
      <c r="F1975" s="1308"/>
      <c r="G1975" s="1308"/>
      <c r="H1975" s="1321"/>
      <c r="I1975" s="1323"/>
      <c r="J1975" s="1326"/>
    </row>
    <row r="1976" spans="1:10" s="1209" customFormat="1">
      <c r="A1976" s="1182"/>
      <c r="B1976" s="1306" t="s">
        <v>6867</v>
      </c>
      <c r="C1976" s="1307">
        <v>1</v>
      </c>
      <c r="D1976" s="1307" t="s">
        <v>3364</v>
      </c>
      <c r="E1976" s="1307">
        <v>1</v>
      </c>
      <c r="F1976" s="1308">
        <f>25.565-5.39</f>
        <v>20.175000000000001</v>
      </c>
      <c r="G1976" s="1308">
        <v>13.202</v>
      </c>
      <c r="H1976" s="1321"/>
      <c r="I1976" s="1309">
        <f>PRODUCT(C1976:H1976)</f>
        <v>266.35000000000002</v>
      </c>
      <c r="J1976" s="1326"/>
    </row>
    <row r="1977" spans="1:10" s="1209" customFormat="1">
      <c r="A1977" s="1182"/>
      <c r="B1977" s="1306" t="s">
        <v>6867</v>
      </c>
      <c r="C1977" s="1307">
        <v>1</v>
      </c>
      <c r="D1977" s="1307" t="s">
        <v>3364</v>
      </c>
      <c r="E1977" s="1307">
        <v>1</v>
      </c>
      <c r="F1977" s="1308">
        <v>9.7140000000000004</v>
      </c>
      <c r="G1977" s="1308">
        <v>13.202</v>
      </c>
      <c r="H1977" s="1321"/>
      <c r="I1977" s="1309">
        <f>PRODUCT(C1977:H1977)</f>
        <v>128.24</v>
      </c>
      <c r="J1977" s="1326"/>
    </row>
    <row r="1978" spans="1:10" s="1209" customFormat="1">
      <c r="A1978" s="1182"/>
      <c r="B1978" s="1306"/>
      <c r="C1978" s="1307"/>
      <c r="D1978" s="1307"/>
      <c r="E1978" s="1307"/>
      <c r="F1978" s="1308"/>
      <c r="G1978" s="1308"/>
      <c r="H1978" s="1321" t="s">
        <v>104</v>
      </c>
      <c r="I1978" s="1309">
        <f>SUM(I1976:I1977)</f>
        <v>394.59</v>
      </c>
      <c r="J1978" s="1326"/>
    </row>
    <row r="1979" spans="1:10" s="1209" customFormat="1">
      <c r="A1979" s="1182"/>
      <c r="B1979" s="1306"/>
      <c r="C1979" s="1307"/>
      <c r="D1979" s="1307"/>
      <c r="E1979" s="1307"/>
      <c r="F1979" s="1308"/>
      <c r="G1979" s="1308"/>
      <c r="H1979" s="1321" t="s">
        <v>2981</v>
      </c>
      <c r="I1979" s="1323">
        <f>ROUNDUP(I1978,0.1)</f>
        <v>395</v>
      </c>
      <c r="J1979" s="1326" t="s">
        <v>468</v>
      </c>
    </row>
    <row r="1980" spans="1:10" s="1209" customFormat="1" ht="315">
      <c r="A1980" s="1182">
        <v>21.6</v>
      </c>
      <c r="B1980" s="1200" t="s">
        <v>3627</v>
      </c>
      <c r="C1980" s="1186"/>
      <c r="D1980" s="1186"/>
      <c r="E1980" s="1186"/>
      <c r="F1980" s="1177"/>
      <c r="G1980" s="1177"/>
      <c r="H1980" s="1177"/>
      <c r="I1980" s="1178"/>
      <c r="J1980" s="1184"/>
    </row>
    <row r="1981" spans="1:10" s="1209" customFormat="1">
      <c r="A1981" s="1185"/>
      <c r="B1981" s="1201" t="s">
        <v>3628</v>
      </c>
      <c r="C1981" s="1186"/>
      <c r="D1981" s="1268"/>
      <c r="E1981" s="1186"/>
      <c r="F1981" s="1177"/>
      <c r="G1981" s="1177"/>
      <c r="H1981" s="1177"/>
      <c r="I1981" s="1181"/>
      <c r="J1981" s="1184"/>
    </row>
    <row r="1982" spans="1:10" s="1209" customFormat="1">
      <c r="A1982" s="1185"/>
      <c r="B1982" s="1199" t="s">
        <v>3363</v>
      </c>
      <c r="C1982" s="1186">
        <v>1</v>
      </c>
      <c r="D1982" s="1268" t="s">
        <v>3364</v>
      </c>
      <c r="E1982" s="1186">
        <f>Joineries!I3</f>
        <v>6</v>
      </c>
      <c r="F1982" s="1177"/>
      <c r="G1982" s="1177"/>
      <c r="H1982" s="1177"/>
      <c r="I1982" s="1178">
        <f>PRODUCT(C1982:H1982)</f>
        <v>6</v>
      </c>
      <c r="J1982" s="1184"/>
    </row>
    <row r="1983" spans="1:10" s="1209" customFormat="1">
      <c r="A1983" s="1185"/>
      <c r="B1983" s="1199"/>
      <c r="C1983" s="1186"/>
      <c r="D1983" s="1268"/>
      <c r="E1983" s="1186"/>
      <c r="F1983" s="1177"/>
      <c r="G1983" s="1177"/>
      <c r="H1983" s="1177"/>
      <c r="I1983" s="1181">
        <f>SUM(I1982:I1982)</f>
        <v>6</v>
      </c>
      <c r="J1983" s="1184" t="s">
        <v>41</v>
      </c>
    </row>
    <row r="1984" spans="1:10" s="1209" customFormat="1">
      <c r="A1984" s="1185"/>
      <c r="B1984" s="1329" t="str">
        <f>'A3'!C628</f>
        <v>a. 900 x 2100 mm</v>
      </c>
      <c r="C1984" s="1186"/>
      <c r="D1984" s="1268"/>
      <c r="E1984" s="1186"/>
      <c r="F1984" s="1177"/>
      <c r="G1984" s="1177"/>
      <c r="H1984" s="1177"/>
      <c r="I1984" s="1181"/>
      <c r="J1984" s="1184"/>
    </row>
    <row r="1985" spans="1:10" s="1209" customFormat="1">
      <c r="A1985" s="1185"/>
      <c r="B1985" s="1199" t="s">
        <v>3398</v>
      </c>
      <c r="C1985" s="1186">
        <v>1</v>
      </c>
      <c r="D1985" s="1268" t="s">
        <v>3364</v>
      </c>
      <c r="E1985" s="1186">
        <f>Joineries!I4</f>
        <v>0</v>
      </c>
      <c r="F1985" s="1177"/>
      <c r="G1985" s="1177"/>
      <c r="H1985" s="1177"/>
      <c r="I1985" s="1178">
        <f>PRODUCT(C1985:H1985)</f>
        <v>0</v>
      </c>
      <c r="J1985" s="1184"/>
    </row>
    <row r="1986" spans="1:10" s="1209" customFormat="1">
      <c r="A1986" s="1185"/>
      <c r="B1986" s="1199"/>
      <c r="C1986" s="1186"/>
      <c r="D1986" s="1268"/>
      <c r="E1986" s="1186"/>
      <c r="F1986" s="1177"/>
      <c r="G1986" s="1177"/>
      <c r="H1986" s="1177"/>
      <c r="I1986" s="1181">
        <f>SUM(I1985:I1985)</f>
        <v>0</v>
      </c>
      <c r="J1986" s="1184" t="s">
        <v>41</v>
      </c>
    </row>
    <row r="1987" spans="1:10" s="1209" customFormat="1" ht="31.5">
      <c r="A1987" s="1182">
        <v>22.3</v>
      </c>
      <c r="B1987" s="1203" t="s">
        <v>3629</v>
      </c>
      <c r="C1987" s="1268"/>
      <c r="D1987" s="1268"/>
      <c r="E1987" s="1268"/>
      <c r="F1987" s="1269"/>
      <c r="G1987" s="1269"/>
      <c r="H1987" s="1269"/>
      <c r="I1987" s="1278"/>
      <c r="J1987" s="1189"/>
    </row>
    <row r="1988" spans="1:10" s="1209" customFormat="1">
      <c r="A1988" s="1182"/>
      <c r="B1988" s="1187" t="s">
        <v>3456</v>
      </c>
      <c r="C1988" s="1186"/>
      <c r="D1988" s="1186"/>
      <c r="E1988" s="1186"/>
      <c r="F1988" s="1177"/>
      <c r="G1988" s="1177"/>
      <c r="H1988" s="1177"/>
      <c r="I1988" s="1178"/>
      <c r="J1988" s="1184"/>
    </row>
    <row r="1989" spans="1:10" s="1209" customFormat="1">
      <c r="A1989" s="1176"/>
      <c r="B1989" s="1199" t="s">
        <v>3372</v>
      </c>
      <c r="C1989" s="1251">
        <v>2</v>
      </c>
      <c r="D1989" s="1251" t="s">
        <v>3364</v>
      </c>
      <c r="E1989" s="1251">
        <v>1</v>
      </c>
      <c r="F1989" s="1177">
        <v>1.2</v>
      </c>
      <c r="G1989" s="1177"/>
      <c r="H1989" s="1177">
        <v>2.1</v>
      </c>
      <c r="I1989" s="1178">
        <f t="shared" ref="I1989:I1994" si="126">PRODUCT(C1989:H1989)</f>
        <v>5.04</v>
      </c>
      <c r="J1989" s="1179"/>
    </row>
    <row r="1990" spans="1:10" s="1209" customFormat="1">
      <c r="A1990" s="1176"/>
      <c r="B1990" s="1199" t="s">
        <v>6588</v>
      </c>
      <c r="C1990" s="1251">
        <v>2</v>
      </c>
      <c r="D1990" s="1251" t="s">
        <v>3364</v>
      </c>
      <c r="E1990" s="1251">
        <v>1</v>
      </c>
      <c r="F1990" s="1177">
        <v>1.2</v>
      </c>
      <c r="G1990" s="1177"/>
      <c r="H1990" s="1177">
        <v>2.1</v>
      </c>
      <c r="I1990" s="1178">
        <f t="shared" si="126"/>
        <v>5.04</v>
      </c>
      <c r="J1990" s="1179"/>
    </row>
    <row r="1991" spans="1:10" s="1209" customFormat="1">
      <c r="A1991" s="1176"/>
      <c r="B1991" s="1199" t="s">
        <v>6589</v>
      </c>
      <c r="C1991" s="1251">
        <v>1</v>
      </c>
      <c r="D1991" s="1251" t="s">
        <v>3364</v>
      </c>
      <c r="E1991" s="1251">
        <v>1</v>
      </c>
      <c r="F1991" s="1177">
        <v>1.2</v>
      </c>
      <c r="G1991" s="1177"/>
      <c r="H1991" s="1177">
        <v>2.1</v>
      </c>
      <c r="I1991" s="1178">
        <f t="shared" si="126"/>
        <v>2.52</v>
      </c>
      <c r="J1991" s="1179"/>
    </row>
    <row r="1992" spans="1:10" s="1209" customFormat="1">
      <c r="A1992" s="1176"/>
      <c r="B1992" s="1199" t="s">
        <v>6590</v>
      </c>
      <c r="C1992" s="1251">
        <v>8</v>
      </c>
      <c r="D1992" s="1251" t="s">
        <v>3364</v>
      </c>
      <c r="E1992" s="1251">
        <v>1</v>
      </c>
      <c r="F1992" s="1177">
        <v>1.2</v>
      </c>
      <c r="G1992" s="1177"/>
      <c r="H1992" s="1177">
        <v>2.1</v>
      </c>
      <c r="I1992" s="1178">
        <f t="shared" si="126"/>
        <v>20.16</v>
      </c>
      <c r="J1992" s="1179"/>
    </row>
    <row r="1993" spans="1:10" s="1209" customFormat="1">
      <c r="A1993" s="1176"/>
      <c r="B1993" s="1199" t="s">
        <v>6591</v>
      </c>
      <c r="C1993" s="1251">
        <v>15</v>
      </c>
      <c r="D1993" s="1251" t="s">
        <v>3364</v>
      </c>
      <c r="E1993" s="1251">
        <v>1</v>
      </c>
      <c r="F1993" s="1177">
        <v>1.2</v>
      </c>
      <c r="G1993" s="1177"/>
      <c r="H1993" s="1177">
        <v>2.1</v>
      </c>
      <c r="I1993" s="1178">
        <f t="shared" si="126"/>
        <v>37.799999999999997</v>
      </c>
      <c r="J1993" s="1179"/>
    </row>
    <row r="1994" spans="1:10" s="1209" customFormat="1">
      <c r="A1994" s="1176"/>
      <c r="B1994" s="1199" t="s">
        <v>6592</v>
      </c>
      <c r="C1994" s="1251">
        <v>4</v>
      </c>
      <c r="D1994" s="1251" t="s">
        <v>3364</v>
      </c>
      <c r="E1994" s="1251">
        <v>1</v>
      </c>
      <c r="F1994" s="1177">
        <v>1.2</v>
      </c>
      <c r="G1994" s="1177"/>
      <c r="H1994" s="1177">
        <v>2.1</v>
      </c>
      <c r="I1994" s="1178">
        <f t="shared" si="126"/>
        <v>10.08</v>
      </c>
      <c r="J1994" s="1179"/>
    </row>
    <row r="1995" spans="1:10" s="1209" customFormat="1">
      <c r="A1995" s="1182"/>
      <c r="B1995" s="1187" t="s">
        <v>6989</v>
      </c>
      <c r="C1995" s="1186"/>
      <c r="D1995" s="1186"/>
      <c r="E1995" s="1186"/>
      <c r="F1995" s="1177"/>
      <c r="G1995" s="1177"/>
      <c r="H1995" s="1177"/>
      <c r="I1995" s="1178"/>
      <c r="J1995" s="1184"/>
    </row>
    <row r="1996" spans="1:10" s="1209" customFormat="1">
      <c r="A1996" s="1176"/>
      <c r="B1996" s="1199" t="s">
        <v>6594</v>
      </c>
      <c r="C1996" s="1251">
        <v>1</v>
      </c>
      <c r="D1996" s="1251" t="s">
        <v>3364</v>
      </c>
      <c r="E1996" s="1251">
        <v>1</v>
      </c>
      <c r="F1996" s="1177">
        <v>1.2</v>
      </c>
      <c r="G1996" s="1177"/>
      <c r="H1996" s="1177">
        <v>2.1</v>
      </c>
      <c r="I1996" s="1178">
        <f>PRODUCT(C1996:H1996)</f>
        <v>2.52</v>
      </c>
      <c r="J1996" s="1179"/>
    </row>
    <row r="1997" spans="1:10" s="1209" customFormat="1">
      <c r="A1997" s="1176"/>
      <c r="B1997" s="1199" t="s">
        <v>6595</v>
      </c>
      <c r="C1997" s="1251">
        <v>2</v>
      </c>
      <c r="D1997" s="1251" t="s">
        <v>3364</v>
      </c>
      <c r="E1997" s="1251">
        <v>1</v>
      </c>
      <c r="F1997" s="1177">
        <v>1.2</v>
      </c>
      <c r="G1997" s="1177"/>
      <c r="H1997" s="1177">
        <v>2.1</v>
      </c>
      <c r="I1997" s="1178">
        <f>PRODUCT(C1997:H1997)</f>
        <v>5.04</v>
      </c>
      <c r="J1997" s="1179"/>
    </row>
    <row r="1998" spans="1:10" s="1209" customFormat="1">
      <c r="A1998" s="1176"/>
      <c r="B1998" s="1199" t="s">
        <v>6596</v>
      </c>
      <c r="C1998" s="1251">
        <v>6</v>
      </c>
      <c r="D1998" s="1251" t="s">
        <v>3364</v>
      </c>
      <c r="E1998" s="1251">
        <v>1</v>
      </c>
      <c r="F1998" s="1177">
        <v>1.2</v>
      </c>
      <c r="G1998" s="1177"/>
      <c r="H1998" s="1177">
        <v>2.1</v>
      </c>
      <c r="I1998" s="1178">
        <f>PRODUCT(C1998:H1998)</f>
        <v>15.12</v>
      </c>
      <c r="J1998" s="1179"/>
    </row>
    <row r="1999" spans="1:10" s="1209" customFormat="1">
      <c r="A1999" s="1176"/>
      <c r="B1999" s="1199" t="s">
        <v>6597</v>
      </c>
      <c r="C1999" s="1251">
        <v>6</v>
      </c>
      <c r="D1999" s="1251" t="s">
        <v>3364</v>
      </c>
      <c r="E1999" s="1251">
        <v>1</v>
      </c>
      <c r="F1999" s="1177">
        <v>1.2</v>
      </c>
      <c r="G1999" s="1177"/>
      <c r="H1999" s="1177">
        <v>2.1</v>
      </c>
      <c r="I1999" s="1178">
        <f>PRODUCT(C1999:H1999)</f>
        <v>15.12</v>
      </c>
      <c r="J1999" s="1179"/>
    </row>
    <row r="2000" spans="1:10" s="1209" customFormat="1">
      <c r="A2000" s="1182"/>
      <c r="B2000" s="1187" t="s">
        <v>3461</v>
      </c>
      <c r="C2000" s="1186"/>
      <c r="D2000" s="1186"/>
      <c r="E2000" s="1186"/>
      <c r="F2000" s="1177"/>
      <c r="G2000" s="1177"/>
      <c r="H2000" s="1177"/>
      <c r="I2000" s="1178"/>
      <c r="J2000" s="1184"/>
    </row>
    <row r="2001" spans="1:10" s="1209" customFormat="1">
      <c r="A2001" s="1176"/>
      <c r="B2001" s="1199" t="s">
        <v>6594</v>
      </c>
      <c r="C2001" s="1251">
        <v>1</v>
      </c>
      <c r="D2001" s="1251" t="s">
        <v>3364</v>
      </c>
      <c r="E2001" s="1251">
        <v>1</v>
      </c>
      <c r="F2001" s="1177">
        <v>1.2</v>
      </c>
      <c r="G2001" s="1177"/>
      <c r="H2001" s="1177">
        <v>2.1</v>
      </c>
      <c r="I2001" s="1178">
        <f>PRODUCT(C2001:H2001)</f>
        <v>2.52</v>
      </c>
      <c r="J2001" s="1179"/>
    </row>
    <row r="2002" spans="1:10" s="1209" customFormat="1">
      <c r="A2002" s="1176"/>
      <c r="B2002" s="1199" t="s">
        <v>6590</v>
      </c>
      <c r="C2002" s="1251">
        <v>8</v>
      </c>
      <c r="D2002" s="1251" t="s">
        <v>3364</v>
      </c>
      <c r="E2002" s="1251">
        <v>1</v>
      </c>
      <c r="F2002" s="1177">
        <v>1.2</v>
      </c>
      <c r="G2002" s="1177"/>
      <c r="H2002" s="1177">
        <v>2.1</v>
      </c>
      <c r="I2002" s="1178">
        <f>PRODUCT(C2002:H2002)</f>
        <v>20.16</v>
      </c>
      <c r="J2002" s="1179"/>
    </row>
    <row r="2003" spans="1:10" s="1209" customFormat="1">
      <c r="A2003" s="1176"/>
      <c r="B2003" s="1199" t="s">
        <v>6598</v>
      </c>
      <c r="C2003" s="1251">
        <v>3</v>
      </c>
      <c r="D2003" s="1251" t="s">
        <v>3364</v>
      </c>
      <c r="E2003" s="1251">
        <v>1</v>
      </c>
      <c r="F2003" s="1177">
        <v>1.2</v>
      </c>
      <c r="G2003" s="1177"/>
      <c r="H2003" s="1177">
        <v>2.1</v>
      </c>
      <c r="I2003" s="1178">
        <f>PRODUCT(C2003:H2003)</f>
        <v>7.56</v>
      </c>
      <c r="J2003" s="1179"/>
    </row>
    <row r="2004" spans="1:10" s="1209" customFormat="1">
      <c r="A2004" s="1176"/>
      <c r="B2004" s="1199" t="s">
        <v>6579</v>
      </c>
      <c r="C2004" s="1251">
        <v>1</v>
      </c>
      <c r="D2004" s="1251" t="s">
        <v>3364</v>
      </c>
      <c r="E2004" s="1251">
        <v>1</v>
      </c>
      <c r="F2004" s="1177">
        <v>1.2</v>
      </c>
      <c r="G2004" s="1177"/>
      <c r="H2004" s="1177">
        <v>2.1</v>
      </c>
      <c r="I2004" s="1178">
        <f>PRODUCT(C2004:H2004)</f>
        <v>2.52</v>
      </c>
      <c r="J2004" s="1179"/>
    </row>
    <row r="2005" spans="1:10" s="1209" customFormat="1">
      <c r="A2005" s="1182"/>
      <c r="B2005" s="1187" t="s">
        <v>3448</v>
      </c>
      <c r="C2005" s="1186"/>
      <c r="D2005" s="1186"/>
      <c r="E2005" s="1186"/>
      <c r="F2005" s="1177"/>
      <c r="G2005" s="1177"/>
      <c r="H2005" s="1177"/>
      <c r="I2005" s="1178"/>
      <c r="J2005" s="1184"/>
    </row>
    <row r="2006" spans="1:10" s="1209" customFormat="1">
      <c r="A2006" s="1176"/>
      <c r="B2006" s="1199" t="s">
        <v>6599</v>
      </c>
      <c r="C2006" s="1251">
        <v>1</v>
      </c>
      <c r="D2006" s="1251" t="s">
        <v>3364</v>
      </c>
      <c r="E2006" s="1251">
        <v>1</v>
      </c>
      <c r="F2006" s="1177">
        <v>1.2</v>
      </c>
      <c r="G2006" s="1177"/>
      <c r="H2006" s="1177">
        <v>2.1</v>
      </c>
      <c r="I2006" s="1178">
        <f t="shared" ref="I2006:I2013" si="127">PRODUCT(C2006:H2006)</f>
        <v>2.52</v>
      </c>
      <c r="J2006" s="1179"/>
    </row>
    <row r="2007" spans="1:10" s="1209" customFormat="1">
      <c r="A2007" s="1176"/>
      <c r="B2007" s="1199" t="s">
        <v>6600</v>
      </c>
      <c r="C2007" s="1251">
        <v>8</v>
      </c>
      <c r="D2007" s="1251" t="s">
        <v>3364</v>
      </c>
      <c r="E2007" s="1251">
        <v>1</v>
      </c>
      <c r="F2007" s="1177">
        <v>1.2</v>
      </c>
      <c r="G2007" s="1177"/>
      <c r="H2007" s="1177">
        <v>2.1</v>
      </c>
      <c r="I2007" s="1178">
        <f t="shared" si="127"/>
        <v>20.16</v>
      </c>
      <c r="J2007" s="1179"/>
    </row>
    <row r="2008" spans="1:10" s="1209" customFormat="1">
      <c r="A2008" s="1176"/>
      <c r="B2008" s="1199" t="s">
        <v>6601</v>
      </c>
      <c r="C2008" s="1251">
        <v>3</v>
      </c>
      <c r="D2008" s="1251" t="s">
        <v>3364</v>
      </c>
      <c r="E2008" s="1251">
        <v>1</v>
      </c>
      <c r="F2008" s="1177">
        <v>1.2</v>
      </c>
      <c r="G2008" s="1177"/>
      <c r="H2008" s="1177">
        <v>2.1</v>
      </c>
      <c r="I2008" s="1178">
        <f t="shared" si="127"/>
        <v>7.56</v>
      </c>
      <c r="J2008" s="1179"/>
    </row>
    <row r="2009" spans="1:10" s="1209" customFormat="1">
      <c r="A2009" s="1176"/>
      <c r="B2009" s="1199" t="s">
        <v>6602</v>
      </c>
      <c r="C2009" s="1251">
        <v>3</v>
      </c>
      <c r="D2009" s="1251" t="s">
        <v>3364</v>
      </c>
      <c r="E2009" s="1251">
        <v>1</v>
      </c>
      <c r="F2009" s="1177">
        <v>1.2</v>
      </c>
      <c r="G2009" s="1177"/>
      <c r="H2009" s="1177">
        <v>2.1</v>
      </c>
      <c r="I2009" s="1178">
        <f t="shared" si="127"/>
        <v>7.56</v>
      </c>
      <c r="J2009" s="1179"/>
    </row>
    <row r="2010" spans="1:10" s="1209" customFormat="1">
      <c r="A2010" s="1176"/>
      <c r="B2010" s="1199" t="s">
        <v>6603</v>
      </c>
      <c r="C2010" s="1251">
        <v>2</v>
      </c>
      <c r="D2010" s="1251" t="s">
        <v>3364</v>
      </c>
      <c r="E2010" s="1251">
        <v>1</v>
      </c>
      <c r="F2010" s="1177">
        <v>1.2</v>
      </c>
      <c r="G2010" s="1177"/>
      <c r="H2010" s="1177">
        <v>2.1</v>
      </c>
      <c r="I2010" s="1178">
        <f t="shared" si="127"/>
        <v>5.04</v>
      </c>
      <c r="J2010" s="1179"/>
    </row>
    <row r="2011" spans="1:10" s="1209" customFormat="1">
      <c r="A2011" s="1176"/>
      <c r="B2011" s="1199" t="s">
        <v>6604</v>
      </c>
      <c r="C2011" s="1251">
        <v>2</v>
      </c>
      <c r="D2011" s="1251" t="s">
        <v>3364</v>
      </c>
      <c r="E2011" s="1251">
        <v>1</v>
      </c>
      <c r="F2011" s="1177">
        <v>1.2</v>
      </c>
      <c r="G2011" s="1177"/>
      <c r="H2011" s="1177">
        <v>2.1</v>
      </c>
      <c r="I2011" s="1178">
        <f t="shared" si="127"/>
        <v>5.04</v>
      </c>
      <c r="J2011" s="1179"/>
    </row>
    <row r="2012" spans="1:10" s="1209" customFormat="1">
      <c r="A2012" s="1176"/>
      <c r="B2012" s="1199" t="s">
        <v>6605</v>
      </c>
      <c r="C2012" s="1251">
        <v>2</v>
      </c>
      <c r="D2012" s="1251" t="s">
        <v>3364</v>
      </c>
      <c r="E2012" s="1251">
        <v>1</v>
      </c>
      <c r="F2012" s="1177">
        <v>1.2</v>
      </c>
      <c r="G2012" s="1177"/>
      <c r="H2012" s="1177">
        <v>2.1</v>
      </c>
      <c r="I2012" s="1178">
        <f t="shared" si="127"/>
        <v>5.04</v>
      </c>
      <c r="J2012" s="1179"/>
    </row>
    <row r="2013" spans="1:10" s="1209" customFormat="1">
      <c r="A2013" s="1176"/>
      <c r="B2013" s="1199" t="s">
        <v>6606</v>
      </c>
      <c r="C2013" s="1251">
        <v>3</v>
      </c>
      <c r="D2013" s="1251" t="s">
        <v>3364</v>
      </c>
      <c r="E2013" s="1251">
        <v>1</v>
      </c>
      <c r="F2013" s="1177">
        <v>1.2</v>
      </c>
      <c r="G2013" s="1177"/>
      <c r="H2013" s="1177">
        <v>2.1</v>
      </c>
      <c r="I2013" s="1178">
        <f t="shared" si="127"/>
        <v>7.56</v>
      </c>
      <c r="J2013" s="1179"/>
    </row>
    <row r="2014" spans="1:10" s="1209" customFormat="1" ht="15.75" customHeight="1">
      <c r="A2014" s="1176"/>
      <c r="B2014" s="1199"/>
      <c r="C2014" s="1251"/>
      <c r="D2014" s="1251"/>
      <c r="E2014" s="1251"/>
      <c r="F2014" s="1177"/>
      <c r="G2014" s="1177"/>
      <c r="H2014" s="1177"/>
      <c r="I2014" s="1178">
        <f>SUM(I1988:I2013)</f>
        <v>211.68</v>
      </c>
      <c r="J2014" s="1179"/>
    </row>
    <row r="2015" spans="1:10" s="1212" customFormat="1" ht="15.75" customHeight="1">
      <c r="A2015" s="1273"/>
      <c r="B2015" s="1202"/>
      <c r="C2015" s="1274"/>
      <c r="D2015" s="1274"/>
      <c r="E2015" s="1274"/>
      <c r="F2015" s="1253"/>
      <c r="G2015" s="1253"/>
      <c r="H2015" s="1253" t="s">
        <v>2981</v>
      </c>
      <c r="I2015" s="1181">
        <f>CEILING(I2014,0.1)</f>
        <v>211.7</v>
      </c>
      <c r="J2015" s="1179" t="s">
        <v>724</v>
      </c>
    </row>
    <row r="2016" spans="1:10" s="1209" customFormat="1" ht="31.5">
      <c r="A2016" s="1182"/>
      <c r="B2016" s="1203" t="s">
        <v>3630</v>
      </c>
      <c r="C2016" s="1268"/>
      <c r="D2016" s="1268"/>
      <c r="E2016" s="1268"/>
      <c r="F2016" s="1269"/>
      <c r="G2016" s="1269"/>
      <c r="H2016" s="1269"/>
      <c r="I2016" s="1278"/>
      <c r="J2016" s="1189"/>
    </row>
    <row r="2017" spans="1:12" s="1209" customFormat="1">
      <c r="A2017" s="1176"/>
      <c r="B2017" s="1199" t="s">
        <v>3460</v>
      </c>
      <c r="C2017" s="1251">
        <v>2</v>
      </c>
      <c r="D2017" s="1251" t="s">
        <v>3364</v>
      </c>
      <c r="E2017" s="1251">
        <v>3</v>
      </c>
      <c r="F2017" s="1177">
        <v>6</v>
      </c>
      <c r="G2017" s="1177"/>
      <c r="H2017" s="1177">
        <v>2.4</v>
      </c>
      <c r="I2017" s="1178">
        <f>PRODUCT(C2017:H2017)</f>
        <v>86.4</v>
      </c>
      <c r="J2017" s="1179" t="s">
        <v>724</v>
      </c>
    </row>
    <row r="2018" spans="1:12" s="1209" customFormat="1" ht="31.5">
      <c r="A2018" s="1182" t="s">
        <v>3634</v>
      </c>
      <c r="B2018" s="1203" t="s">
        <v>3635</v>
      </c>
      <c r="C2018" s="1268"/>
      <c r="D2018" s="1268"/>
      <c r="E2018" s="1268"/>
      <c r="F2018" s="1269"/>
      <c r="G2018" s="1188"/>
      <c r="H2018" s="1269"/>
      <c r="I2018" s="1278"/>
      <c r="J2018" s="1189"/>
    </row>
    <row r="2019" spans="1:12" s="1209" customFormat="1">
      <c r="A2019" s="1182"/>
      <c r="B2019" s="1201" t="s">
        <v>3636</v>
      </c>
      <c r="C2019" s="1268">
        <v>1</v>
      </c>
      <c r="D2019" s="1268" t="s">
        <v>3364</v>
      </c>
      <c r="E2019" s="1268">
        <v>31</v>
      </c>
      <c r="F2019" s="1269">
        <v>0.75</v>
      </c>
      <c r="G2019" s="1269"/>
      <c r="H2019" s="1269">
        <v>2.1</v>
      </c>
      <c r="I2019" s="1278">
        <f>PRODUCT(C2019:H2019)</f>
        <v>48.83</v>
      </c>
      <c r="J2019" s="1189"/>
      <c r="L2019" s="1209">
        <v>1</v>
      </c>
    </row>
    <row r="2020" spans="1:12" s="1209" customFormat="1">
      <c r="A2020" s="1182"/>
      <c r="B2020" s="1201"/>
      <c r="C2020" s="1268"/>
      <c r="D2020" s="1268"/>
      <c r="E2020" s="1268"/>
      <c r="F2020" s="1269"/>
      <c r="G2020" s="1269"/>
      <c r="H2020" s="1188" t="s">
        <v>3473</v>
      </c>
      <c r="I2020" s="1181">
        <f>CEILING(I2019,0.1)</f>
        <v>48.9</v>
      </c>
      <c r="J2020" s="1189" t="s">
        <v>724</v>
      </c>
    </row>
    <row r="2021" spans="1:12" s="1217" customFormat="1" ht="31.5">
      <c r="A2021" s="1330"/>
      <c r="B2021" s="1331" t="s">
        <v>3761</v>
      </c>
      <c r="C2021" s="1332"/>
      <c r="D2021" s="1333"/>
      <c r="E2021" s="1332"/>
      <c r="F2021" s="1334"/>
      <c r="G2021" s="1334"/>
      <c r="H2021" s="1334"/>
      <c r="I2021" s="1335"/>
      <c r="J2021" s="1336"/>
    </row>
    <row r="2022" spans="1:12" s="1217" customFormat="1">
      <c r="A2022" s="1330"/>
      <c r="B2022" s="1331" t="s">
        <v>3397</v>
      </c>
      <c r="C2022" s="1332">
        <v>2</v>
      </c>
      <c r="D2022" s="1333" t="s">
        <v>3364</v>
      </c>
      <c r="E2022" s="1332">
        <v>2</v>
      </c>
      <c r="F2022" s="1334">
        <v>1</v>
      </c>
      <c r="G2022" s="1334"/>
      <c r="H2022" s="1334">
        <v>2.1</v>
      </c>
      <c r="I2022" s="1335">
        <f>PRODUCT(C2022:H2022)</f>
        <v>8.4</v>
      </c>
      <c r="J2022" s="1336"/>
    </row>
    <row r="2023" spans="1:12" s="1217" customFormat="1">
      <c r="A2023" s="1337"/>
      <c r="B2023" s="1338"/>
      <c r="C2023" s="1332"/>
      <c r="D2023" s="1333"/>
      <c r="E2023" s="1332"/>
      <c r="F2023" s="1334"/>
      <c r="G2023" s="1334"/>
      <c r="H2023" s="1334"/>
      <c r="I2023" s="1335">
        <f>SUM(I2022:I2022)</f>
        <v>8.4</v>
      </c>
      <c r="J2023" s="1336"/>
    </row>
    <row r="2024" spans="1:12" s="1217" customFormat="1">
      <c r="A2024" s="1337"/>
      <c r="B2024" s="1339"/>
      <c r="C2024" s="1332"/>
      <c r="D2024" s="1333"/>
      <c r="E2024" s="1332"/>
      <c r="F2024" s="1334"/>
      <c r="G2024" s="1334"/>
      <c r="H2024" s="1340" t="s">
        <v>2981</v>
      </c>
      <c r="I2024" s="1341">
        <f>CEILING(I2023,0.1)</f>
        <v>8.4</v>
      </c>
      <c r="J2024" s="1337" t="s">
        <v>724</v>
      </c>
    </row>
    <row r="2025" spans="1:12" s="1209" customFormat="1" ht="127.5" customHeight="1">
      <c r="A2025" s="1182">
        <v>29.8</v>
      </c>
      <c r="B2025" s="1200" t="s">
        <v>3637</v>
      </c>
      <c r="C2025" s="1186"/>
      <c r="D2025" s="1186"/>
      <c r="E2025" s="1186"/>
      <c r="F2025" s="1177"/>
      <c r="G2025" s="1177"/>
      <c r="H2025" s="1177"/>
      <c r="I2025" s="1178"/>
      <c r="J2025" s="1184"/>
    </row>
    <row r="2026" spans="1:12" s="1209" customFormat="1">
      <c r="A2026" s="1182"/>
      <c r="B2026" s="1187" t="s">
        <v>6868</v>
      </c>
      <c r="C2026" s="1186"/>
      <c r="D2026" s="1186"/>
      <c r="E2026" s="1186"/>
      <c r="F2026" s="1177"/>
      <c r="G2026" s="1177"/>
      <c r="H2026" s="1177"/>
      <c r="I2026" s="1178"/>
      <c r="J2026" s="1184"/>
    </row>
    <row r="2027" spans="1:12" s="1209" customFormat="1">
      <c r="A2027" s="1185"/>
      <c r="B2027" s="1255" t="s">
        <v>3480</v>
      </c>
      <c r="C2027" s="1186">
        <v>1</v>
      </c>
      <c r="D2027" s="1186" t="s">
        <v>3364</v>
      </c>
      <c r="E2027" s="1186">
        <v>1</v>
      </c>
      <c r="F2027" s="1177">
        <f>(2+1.5)*2</f>
        <v>7</v>
      </c>
      <c r="G2027" s="1177"/>
      <c r="H2027" s="1177">
        <v>2.1</v>
      </c>
      <c r="I2027" s="1178">
        <f t="shared" ref="I2027:I2086" si="128">PRODUCT(C2027:H2027)</f>
        <v>14.7</v>
      </c>
      <c r="J2027" s="1184"/>
    </row>
    <row r="2028" spans="1:12" s="1209" customFormat="1">
      <c r="A2028" s="1185"/>
      <c r="B2028" s="1255" t="s">
        <v>6869</v>
      </c>
      <c r="C2028" s="1186">
        <v>1</v>
      </c>
      <c r="D2028" s="1186" t="s">
        <v>3364</v>
      </c>
      <c r="E2028" s="1186">
        <v>1</v>
      </c>
      <c r="F2028" s="1177">
        <f>(1.35+1.8)*2</f>
        <v>6.3</v>
      </c>
      <c r="G2028" s="1177"/>
      <c r="H2028" s="1177">
        <v>2.1</v>
      </c>
      <c r="I2028" s="1178">
        <f t="shared" si="128"/>
        <v>13.23</v>
      </c>
      <c r="J2028" s="1184"/>
    </row>
    <row r="2029" spans="1:12" s="1209" customFormat="1">
      <c r="A2029" s="1185"/>
      <c r="B2029" s="1255" t="s">
        <v>3639</v>
      </c>
      <c r="C2029" s="1186">
        <v>-1</v>
      </c>
      <c r="D2029" s="1186" t="s">
        <v>3364</v>
      </c>
      <c r="E2029" s="1186">
        <v>2</v>
      </c>
      <c r="F2029" s="1177">
        <v>0.75</v>
      </c>
      <c r="G2029" s="1177"/>
      <c r="H2029" s="1177">
        <v>2.1</v>
      </c>
      <c r="I2029" s="1178">
        <f t="shared" si="128"/>
        <v>-3.15</v>
      </c>
      <c r="J2029" s="1184"/>
    </row>
    <row r="2030" spans="1:12" s="1209" customFormat="1">
      <c r="A2030" s="1185"/>
      <c r="B2030" s="1255" t="s">
        <v>6870</v>
      </c>
      <c r="C2030" s="1186">
        <v>1</v>
      </c>
      <c r="D2030" s="1186" t="s">
        <v>3364</v>
      </c>
      <c r="E2030" s="1186">
        <v>2</v>
      </c>
      <c r="F2030" s="1177">
        <v>4.95</v>
      </c>
      <c r="G2030" s="1177"/>
      <c r="H2030" s="1177">
        <v>0.1</v>
      </c>
      <c r="I2030" s="1178">
        <f t="shared" si="128"/>
        <v>0.99</v>
      </c>
      <c r="J2030" s="1184"/>
    </row>
    <row r="2031" spans="1:12" s="1209" customFormat="1">
      <c r="A2031" s="1185"/>
      <c r="B2031" s="1270" t="s">
        <v>3486</v>
      </c>
      <c r="C2031" s="1186"/>
      <c r="D2031" s="1186"/>
      <c r="E2031" s="1186"/>
      <c r="F2031" s="1177"/>
      <c r="G2031" s="1177"/>
      <c r="H2031" s="1177"/>
      <c r="I2031" s="1178"/>
      <c r="J2031" s="1184"/>
    </row>
    <row r="2032" spans="1:12" s="1209" customFormat="1">
      <c r="A2032" s="1185"/>
      <c r="B2032" s="1255" t="s">
        <v>6871</v>
      </c>
      <c r="C2032" s="1186">
        <v>1</v>
      </c>
      <c r="D2032" s="1186" t="s">
        <v>3364</v>
      </c>
      <c r="E2032" s="1186">
        <v>1</v>
      </c>
      <c r="F2032" s="1177">
        <f>(2+1.315)*2</f>
        <v>6.63</v>
      </c>
      <c r="G2032" s="1177"/>
      <c r="H2032" s="1177">
        <v>2.1</v>
      </c>
      <c r="I2032" s="1178">
        <f t="shared" si="128"/>
        <v>13.92</v>
      </c>
      <c r="J2032" s="1184"/>
    </row>
    <row r="2033" spans="1:10" s="1209" customFormat="1">
      <c r="A2033" s="1185"/>
      <c r="B2033" s="1255" t="s">
        <v>3454</v>
      </c>
      <c r="C2033" s="1186">
        <v>1</v>
      </c>
      <c r="D2033" s="1186" t="s">
        <v>3364</v>
      </c>
      <c r="E2033" s="1186">
        <v>1</v>
      </c>
      <c r="F2033" s="1177">
        <f>(2+1.315)*2</f>
        <v>6.63</v>
      </c>
      <c r="G2033" s="1177"/>
      <c r="H2033" s="1177">
        <v>2.1</v>
      </c>
      <c r="I2033" s="1178">
        <f t="shared" si="128"/>
        <v>13.92</v>
      </c>
      <c r="J2033" s="1184"/>
    </row>
    <row r="2034" spans="1:10" s="1209" customFormat="1">
      <c r="A2034" s="1185"/>
      <c r="B2034" s="1255" t="s">
        <v>3639</v>
      </c>
      <c r="C2034" s="1186">
        <v>-1</v>
      </c>
      <c r="D2034" s="1186" t="s">
        <v>3364</v>
      </c>
      <c r="E2034" s="1186">
        <v>2</v>
      </c>
      <c r="F2034" s="1177">
        <v>0.75</v>
      </c>
      <c r="G2034" s="1177"/>
      <c r="H2034" s="1177">
        <v>2.1</v>
      </c>
      <c r="I2034" s="1178">
        <f t="shared" si="128"/>
        <v>-3.15</v>
      </c>
      <c r="J2034" s="1184"/>
    </row>
    <row r="2035" spans="1:10" s="1209" customFormat="1">
      <c r="A2035" s="1185"/>
      <c r="B2035" s="1255" t="s">
        <v>6872</v>
      </c>
      <c r="C2035" s="1186">
        <v>1</v>
      </c>
      <c r="D2035" s="1186" t="s">
        <v>3364</v>
      </c>
      <c r="E2035" s="1186">
        <v>10</v>
      </c>
      <c r="F2035" s="1177">
        <f>(1.2+1.5)*2</f>
        <v>5.4</v>
      </c>
      <c r="G2035" s="1177"/>
      <c r="H2035" s="1177">
        <v>1.5</v>
      </c>
      <c r="I2035" s="1178">
        <f t="shared" si="128"/>
        <v>81</v>
      </c>
      <c r="J2035" s="1184"/>
    </row>
    <row r="2036" spans="1:10" s="1209" customFormat="1">
      <c r="A2036" s="1185"/>
      <c r="B2036" s="1255" t="s">
        <v>3639</v>
      </c>
      <c r="C2036" s="1186">
        <v>-1</v>
      </c>
      <c r="D2036" s="1186" t="s">
        <v>3364</v>
      </c>
      <c r="E2036" s="1186">
        <v>10</v>
      </c>
      <c r="F2036" s="1177">
        <v>0.75</v>
      </c>
      <c r="G2036" s="1177"/>
      <c r="H2036" s="1177">
        <v>1.5</v>
      </c>
      <c r="I2036" s="1178">
        <f t="shared" si="128"/>
        <v>-11.25</v>
      </c>
      <c r="J2036" s="1184"/>
    </row>
    <row r="2037" spans="1:10" s="1209" customFormat="1">
      <c r="A2037" s="1185"/>
      <c r="B2037" s="1255" t="s">
        <v>6873</v>
      </c>
      <c r="C2037" s="1186">
        <v>1</v>
      </c>
      <c r="D2037" s="1186" t="s">
        <v>3364</v>
      </c>
      <c r="E2037" s="1186">
        <v>1</v>
      </c>
      <c r="F2037" s="1177">
        <f>(10+2.7)*2</f>
        <v>25.4</v>
      </c>
      <c r="G2037" s="1177"/>
      <c r="H2037" s="1177">
        <v>1.5</v>
      </c>
      <c r="I2037" s="1178">
        <f t="shared" si="128"/>
        <v>38.1</v>
      </c>
      <c r="J2037" s="1184"/>
    </row>
    <row r="2038" spans="1:10" s="1209" customFormat="1">
      <c r="A2038" s="1185"/>
      <c r="B2038" s="1255" t="s">
        <v>3639</v>
      </c>
      <c r="C2038" s="1186">
        <v>-1</v>
      </c>
      <c r="D2038" s="1186" t="s">
        <v>3364</v>
      </c>
      <c r="E2038" s="1186">
        <v>2</v>
      </c>
      <c r="F2038" s="1177">
        <v>0.75</v>
      </c>
      <c r="G2038" s="1177"/>
      <c r="H2038" s="1177">
        <v>1.5</v>
      </c>
      <c r="I2038" s="1178">
        <f t="shared" si="128"/>
        <v>-2.25</v>
      </c>
      <c r="J2038" s="1184"/>
    </row>
    <row r="2039" spans="1:10" s="1209" customFormat="1">
      <c r="A2039" s="1185"/>
      <c r="B2039" s="1255" t="s">
        <v>3640</v>
      </c>
      <c r="C2039" s="1186">
        <v>1</v>
      </c>
      <c r="D2039" s="1186" t="s">
        <v>3364</v>
      </c>
      <c r="E2039" s="1186">
        <v>10</v>
      </c>
      <c r="F2039" s="1177">
        <f>2.1+2.1+0.75</f>
        <v>4.95</v>
      </c>
      <c r="G2039" s="1177"/>
      <c r="H2039" s="1177">
        <v>0.1</v>
      </c>
      <c r="I2039" s="1178">
        <f t="shared" si="128"/>
        <v>4.95</v>
      </c>
      <c r="J2039" s="1184"/>
    </row>
    <row r="2040" spans="1:10" s="1209" customFormat="1">
      <c r="A2040" s="1185"/>
      <c r="B2040" s="1255" t="s">
        <v>6874</v>
      </c>
      <c r="C2040" s="1186">
        <v>1</v>
      </c>
      <c r="D2040" s="1186" t="s">
        <v>3364</v>
      </c>
      <c r="E2040" s="1186">
        <v>2</v>
      </c>
      <c r="F2040" s="1177">
        <f>2.1+2.1+0.75</f>
        <v>4.95</v>
      </c>
      <c r="G2040" s="1177"/>
      <c r="H2040" s="1177">
        <v>1.5</v>
      </c>
      <c r="I2040" s="1178">
        <f t="shared" si="128"/>
        <v>14.85</v>
      </c>
      <c r="J2040" s="1184"/>
    </row>
    <row r="2041" spans="1:10" s="1209" customFormat="1">
      <c r="A2041" s="1185"/>
      <c r="B2041" s="1270" t="s">
        <v>3486</v>
      </c>
      <c r="C2041" s="1186"/>
      <c r="D2041" s="1186"/>
      <c r="E2041" s="1186"/>
      <c r="F2041" s="1177"/>
      <c r="G2041" s="1177"/>
      <c r="H2041" s="1177"/>
      <c r="I2041" s="1181"/>
      <c r="J2041" s="1184"/>
    </row>
    <row r="2042" spans="1:10" s="1209" customFormat="1">
      <c r="A2042" s="1185"/>
      <c r="B2042" s="1255" t="s">
        <v>6871</v>
      </c>
      <c r="C2042" s="1186">
        <v>1</v>
      </c>
      <c r="D2042" s="1186" t="s">
        <v>3364</v>
      </c>
      <c r="E2042" s="1186">
        <v>1</v>
      </c>
      <c r="F2042" s="1177">
        <f>(2+1.435)*2</f>
        <v>6.87</v>
      </c>
      <c r="G2042" s="1177"/>
      <c r="H2042" s="1177">
        <v>2.1</v>
      </c>
      <c r="I2042" s="1178">
        <f t="shared" si="128"/>
        <v>14.43</v>
      </c>
      <c r="J2042" s="1184"/>
    </row>
    <row r="2043" spans="1:10" s="1209" customFormat="1">
      <c r="A2043" s="1185"/>
      <c r="B2043" s="1255" t="s">
        <v>3639</v>
      </c>
      <c r="C2043" s="1186">
        <v>-1</v>
      </c>
      <c r="D2043" s="1186" t="s">
        <v>3364</v>
      </c>
      <c r="E2043" s="1186">
        <v>1</v>
      </c>
      <c r="F2043" s="1177">
        <v>0.75</v>
      </c>
      <c r="G2043" s="1177"/>
      <c r="H2043" s="1177">
        <v>2.1</v>
      </c>
      <c r="I2043" s="1178">
        <f t="shared" si="128"/>
        <v>-1.58</v>
      </c>
      <c r="J2043" s="1184"/>
    </row>
    <row r="2044" spans="1:10" s="1209" customFormat="1">
      <c r="A2044" s="1185"/>
      <c r="B2044" s="1255" t="s">
        <v>6875</v>
      </c>
      <c r="C2044" s="1186">
        <v>1</v>
      </c>
      <c r="D2044" s="1186" t="s">
        <v>3364</v>
      </c>
      <c r="E2044" s="1186">
        <v>1</v>
      </c>
      <c r="F2044" s="1177">
        <f>(2.99+1.5)*2</f>
        <v>8.98</v>
      </c>
      <c r="G2044" s="1177"/>
      <c r="H2044" s="1177">
        <v>2.1</v>
      </c>
      <c r="I2044" s="1178">
        <f t="shared" si="128"/>
        <v>18.86</v>
      </c>
      <c r="J2044" s="1184"/>
    </row>
    <row r="2045" spans="1:10" s="1209" customFormat="1">
      <c r="A2045" s="1185"/>
      <c r="B2045" s="1255" t="s">
        <v>3639</v>
      </c>
      <c r="C2045" s="1186">
        <v>-1</v>
      </c>
      <c r="D2045" s="1186" t="s">
        <v>3364</v>
      </c>
      <c r="E2045" s="1186">
        <v>1</v>
      </c>
      <c r="F2045" s="1177">
        <v>0.75</v>
      </c>
      <c r="G2045" s="1177"/>
      <c r="H2045" s="1177">
        <v>2.1</v>
      </c>
      <c r="I2045" s="1178">
        <f t="shared" si="128"/>
        <v>-1.58</v>
      </c>
      <c r="J2045" s="1184"/>
    </row>
    <row r="2046" spans="1:10" s="1209" customFormat="1">
      <c r="A2046" s="1185"/>
      <c r="B2046" s="1255" t="s">
        <v>6872</v>
      </c>
      <c r="C2046" s="1186">
        <v>1</v>
      </c>
      <c r="D2046" s="1186" t="s">
        <v>3364</v>
      </c>
      <c r="E2046" s="1186">
        <v>10</v>
      </c>
      <c r="F2046" s="1177">
        <f>(1.2+1.5)*2</f>
        <v>5.4</v>
      </c>
      <c r="G2046" s="1177"/>
      <c r="H2046" s="1177">
        <v>1.5</v>
      </c>
      <c r="I2046" s="1178">
        <f t="shared" si="128"/>
        <v>81</v>
      </c>
      <c r="J2046" s="1184"/>
    </row>
    <row r="2047" spans="1:10" s="1209" customFormat="1">
      <c r="A2047" s="1185"/>
      <c r="B2047" s="1255" t="s">
        <v>3639</v>
      </c>
      <c r="C2047" s="1186">
        <v>-1</v>
      </c>
      <c r="D2047" s="1186" t="s">
        <v>3364</v>
      </c>
      <c r="E2047" s="1186">
        <v>10</v>
      </c>
      <c r="F2047" s="1177">
        <v>0.75</v>
      </c>
      <c r="G2047" s="1177"/>
      <c r="H2047" s="1177">
        <v>1.5</v>
      </c>
      <c r="I2047" s="1178">
        <f t="shared" si="128"/>
        <v>-11.25</v>
      </c>
      <c r="J2047" s="1184"/>
    </row>
    <row r="2048" spans="1:10" s="1209" customFormat="1">
      <c r="A2048" s="1185"/>
      <c r="B2048" s="1255" t="s">
        <v>6873</v>
      </c>
      <c r="C2048" s="1186">
        <v>1</v>
      </c>
      <c r="D2048" s="1186" t="s">
        <v>3364</v>
      </c>
      <c r="E2048" s="1186">
        <v>1</v>
      </c>
      <c r="F2048" s="1177">
        <f>(10+2.7)*2</f>
        <v>25.4</v>
      </c>
      <c r="G2048" s="1177"/>
      <c r="H2048" s="1177">
        <v>1.5</v>
      </c>
      <c r="I2048" s="1178">
        <f t="shared" si="128"/>
        <v>38.1</v>
      </c>
      <c r="J2048" s="1184"/>
    </row>
    <row r="2049" spans="1:12" s="1209" customFormat="1">
      <c r="A2049" s="1185"/>
      <c r="B2049" s="1255" t="s">
        <v>3639</v>
      </c>
      <c r="C2049" s="1186">
        <v>-1</v>
      </c>
      <c r="D2049" s="1186" t="s">
        <v>3364</v>
      </c>
      <c r="E2049" s="1186">
        <v>4</v>
      </c>
      <c r="F2049" s="1177">
        <v>0.75</v>
      </c>
      <c r="G2049" s="1177"/>
      <c r="H2049" s="1177">
        <v>1.5</v>
      </c>
      <c r="I2049" s="1178">
        <f t="shared" si="128"/>
        <v>-4.5</v>
      </c>
      <c r="J2049" s="1184"/>
    </row>
    <row r="2050" spans="1:12" s="1209" customFormat="1">
      <c r="A2050" s="1185"/>
      <c r="B2050" s="1255" t="s">
        <v>3640</v>
      </c>
      <c r="C2050" s="1186">
        <v>1</v>
      </c>
      <c r="D2050" s="1186" t="s">
        <v>3364</v>
      </c>
      <c r="E2050" s="1186">
        <v>10</v>
      </c>
      <c r="F2050" s="1177">
        <f>2.1+2.1+0.75</f>
        <v>4.95</v>
      </c>
      <c r="G2050" s="1177"/>
      <c r="H2050" s="1177">
        <v>0.1</v>
      </c>
      <c r="I2050" s="1178">
        <f t="shared" si="128"/>
        <v>4.95</v>
      </c>
      <c r="J2050" s="1184"/>
      <c r="L2050" s="1209">
        <v>1</v>
      </c>
    </row>
    <row r="2051" spans="1:12" s="1209" customFormat="1">
      <c r="A2051" s="1185"/>
      <c r="B2051" s="1255" t="s">
        <v>6876</v>
      </c>
      <c r="C2051" s="1186">
        <v>1</v>
      </c>
      <c r="D2051" s="1186" t="s">
        <v>3364</v>
      </c>
      <c r="E2051" s="1186">
        <v>2</v>
      </c>
      <c r="F2051" s="1177">
        <v>0.115</v>
      </c>
      <c r="G2051" s="1177"/>
      <c r="H2051" s="1177">
        <v>0.1</v>
      </c>
      <c r="I2051" s="1178">
        <f t="shared" si="128"/>
        <v>0.02</v>
      </c>
      <c r="J2051" s="1184"/>
      <c r="L2051" s="1209">
        <v>1</v>
      </c>
    </row>
    <row r="2052" spans="1:12" s="1209" customFormat="1">
      <c r="A2052" s="1185"/>
      <c r="B2052" s="1202" t="s">
        <v>6993</v>
      </c>
      <c r="C2052" s="1186"/>
      <c r="D2052" s="1186"/>
      <c r="E2052" s="1186"/>
      <c r="F2052" s="1177"/>
      <c r="G2052" s="1177"/>
      <c r="H2052" s="1253"/>
      <c r="I2052" s="1178">
        <f t="shared" si="128"/>
        <v>0</v>
      </c>
      <c r="J2052" s="1184"/>
    </row>
    <row r="2053" spans="1:12" s="1209" customFormat="1">
      <c r="A2053" s="1185"/>
      <c r="B2053" s="1199" t="s">
        <v>6877</v>
      </c>
      <c r="C2053" s="1186">
        <v>1</v>
      </c>
      <c r="D2053" s="1186" t="s">
        <v>3364</v>
      </c>
      <c r="E2053" s="1186">
        <v>1</v>
      </c>
      <c r="F2053" s="1177">
        <f>(2.99+1.5)*2</f>
        <v>8.98</v>
      </c>
      <c r="G2053" s="1177"/>
      <c r="H2053" s="1177">
        <v>2.1</v>
      </c>
      <c r="I2053" s="1178">
        <f t="shared" si="128"/>
        <v>18.86</v>
      </c>
      <c r="J2053" s="1184"/>
    </row>
    <row r="2054" spans="1:12" s="1209" customFormat="1">
      <c r="A2054" s="1185"/>
      <c r="B2054" s="1255" t="s">
        <v>3639</v>
      </c>
      <c r="C2054" s="1186">
        <v>-1</v>
      </c>
      <c r="D2054" s="1186" t="s">
        <v>3364</v>
      </c>
      <c r="E2054" s="1186">
        <v>1</v>
      </c>
      <c r="F2054" s="1177">
        <v>0.75</v>
      </c>
      <c r="G2054" s="1177"/>
      <c r="H2054" s="1177">
        <v>2.1</v>
      </c>
      <c r="I2054" s="1178">
        <f t="shared" si="128"/>
        <v>-1.58</v>
      </c>
      <c r="J2054" s="1184"/>
    </row>
    <row r="2055" spans="1:12" s="1209" customFormat="1">
      <c r="A2055" s="1185"/>
      <c r="B2055" s="1199" t="s">
        <v>6878</v>
      </c>
      <c r="C2055" s="1186">
        <v>1</v>
      </c>
      <c r="D2055" s="1186" t="s">
        <v>3364</v>
      </c>
      <c r="E2055" s="1186">
        <v>1</v>
      </c>
      <c r="F2055" s="1177">
        <f>(2+1.435)*2</f>
        <v>6.87</v>
      </c>
      <c r="G2055" s="1177"/>
      <c r="H2055" s="1177">
        <v>2.1</v>
      </c>
      <c r="I2055" s="1178">
        <f t="shared" si="128"/>
        <v>14.43</v>
      </c>
      <c r="J2055" s="1184"/>
    </row>
    <row r="2056" spans="1:12" s="1209" customFormat="1">
      <c r="A2056" s="1185"/>
      <c r="B2056" s="1255" t="s">
        <v>3639</v>
      </c>
      <c r="C2056" s="1186">
        <v>-1</v>
      </c>
      <c r="D2056" s="1186" t="s">
        <v>3364</v>
      </c>
      <c r="E2056" s="1186">
        <v>1</v>
      </c>
      <c r="F2056" s="1177">
        <v>0.75</v>
      </c>
      <c r="G2056" s="1177"/>
      <c r="H2056" s="1177">
        <v>2.1</v>
      </c>
      <c r="I2056" s="1178">
        <f t="shared" si="128"/>
        <v>-1.58</v>
      </c>
      <c r="J2056" s="1184"/>
    </row>
    <row r="2057" spans="1:12" s="1209" customFormat="1">
      <c r="A2057" s="1185"/>
      <c r="B2057" s="1199" t="s">
        <v>6879</v>
      </c>
      <c r="C2057" s="1186">
        <v>1</v>
      </c>
      <c r="D2057" s="1186" t="s">
        <v>3364</v>
      </c>
      <c r="E2057" s="1186">
        <v>1</v>
      </c>
      <c r="F2057" s="1177">
        <f>(1.35+2.115)*2</f>
        <v>6.93</v>
      </c>
      <c r="G2057" s="1177"/>
      <c r="H2057" s="1177">
        <v>2.1</v>
      </c>
      <c r="I2057" s="1178">
        <f t="shared" si="128"/>
        <v>14.55</v>
      </c>
      <c r="J2057" s="1184"/>
    </row>
    <row r="2058" spans="1:12" s="1209" customFormat="1">
      <c r="A2058" s="1185"/>
      <c r="B2058" s="1255" t="s">
        <v>3639</v>
      </c>
      <c r="C2058" s="1186">
        <v>-1</v>
      </c>
      <c r="D2058" s="1186" t="s">
        <v>3364</v>
      </c>
      <c r="E2058" s="1186">
        <v>1</v>
      </c>
      <c r="F2058" s="1177">
        <v>0.75</v>
      </c>
      <c r="G2058" s="1177"/>
      <c r="H2058" s="1177">
        <v>2.1</v>
      </c>
      <c r="I2058" s="1178">
        <f t="shared" si="128"/>
        <v>-1.58</v>
      </c>
      <c r="J2058" s="1184"/>
    </row>
    <row r="2059" spans="1:12" s="1209" customFormat="1">
      <c r="A2059" s="1185"/>
      <c r="B2059" s="1199" t="s">
        <v>6880</v>
      </c>
      <c r="C2059" s="1186">
        <v>1</v>
      </c>
      <c r="D2059" s="1186" t="s">
        <v>3364</v>
      </c>
      <c r="E2059" s="1186">
        <v>2</v>
      </c>
      <c r="F2059" s="1177">
        <f>(1.5+1.8)*2</f>
        <v>6.6</v>
      </c>
      <c r="G2059" s="1177"/>
      <c r="H2059" s="1177">
        <v>2.1</v>
      </c>
      <c r="I2059" s="1178">
        <f t="shared" si="128"/>
        <v>27.72</v>
      </c>
      <c r="J2059" s="1184"/>
    </row>
    <row r="2060" spans="1:12" s="1209" customFormat="1">
      <c r="A2060" s="1185"/>
      <c r="B2060" s="1255" t="s">
        <v>3639</v>
      </c>
      <c r="C2060" s="1186">
        <v>-1</v>
      </c>
      <c r="D2060" s="1186" t="s">
        <v>3364</v>
      </c>
      <c r="E2060" s="1186">
        <v>2</v>
      </c>
      <c r="F2060" s="1177">
        <v>0.75</v>
      </c>
      <c r="G2060" s="1177"/>
      <c r="H2060" s="1177">
        <v>2.1</v>
      </c>
      <c r="I2060" s="1178">
        <f t="shared" si="128"/>
        <v>-3.15</v>
      </c>
      <c r="J2060" s="1184"/>
    </row>
    <row r="2061" spans="1:12" s="1209" customFormat="1">
      <c r="A2061" s="1185"/>
      <c r="B2061" s="1199" t="s">
        <v>6881</v>
      </c>
      <c r="C2061" s="1186">
        <v>1</v>
      </c>
      <c r="D2061" s="1186" t="s">
        <v>3364</v>
      </c>
      <c r="E2061" s="1186">
        <v>3</v>
      </c>
      <c r="F2061" s="1177">
        <f>(1.5+1.4)*2</f>
        <v>5.8</v>
      </c>
      <c r="G2061" s="1177"/>
      <c r="H2061" s="1177">
        <v>1.5</v>
      </c>
      <c r="I2061" s="1178">
        <f t="shared" si="128"/>
        <v>26.1</v>
      </c>
      <c r="J2061" s="1184"/>
    </row>
    <row r="2062" spans="1:12" s="1209" customFormat="1">
      <c r="A2062" s="1185"/>
      <c r="B2062" s="1255" t="s">
        <v>3639</v>
      </c>
      <c r="C2062" s="1186">
        <v>-1</v>
      </c>
      <c r="D2062" s="1186" t="s">
        <v>3364</v>
      </c>
      <c r="E2062" s="1186">
        <v>3</v>
      </c>
      <c r="F2062" s="1177">
        <v>0.75</v>
      </c>
      <c r="G2062" s="1177"/>
      <c r="H2062" s="1177">
        <v>1.5</v>
      </c>
      <c r="I2062" s="1178">
        <f t="shared" si="128"/>
        <v>-3.38</v>
      </c>
      <c r="J2062" s="1184"/>
    </row>
    <row r="2063" spans="1:12" s="1209" customFormat="1">
      <c r="A2063" s="1185"/>
      <c r="B2063" s="1199" t="s">
        <v>6882</v>
      </c>
      <c r="C2063" s="1186">
        <v>1</v>
      </c>
      <c r="D2063" s="1186" t="s">
        <v>3364</v>
      </c>
      <c r="E2063" s="1186">
        <v>3</v>
      </c>
      <c r="F2063" s="1177">
        <f>2.1+2.1+0.75</f>
        <v>4.95</v>
      </c>
      <c r="G2063" s="1177"/>
      <c r="H2063" s="1177">
        <v>0.1</v>
      </c>
      <c r="I2063" s="1178">
        <f t="shared" si="128"/>
        <v>1.49</v>
      </c>
      <c r="J2063" s="1184"/>
    </row>
    <row r="2064" spans="1:12" s="1209" customFormat="1">
      <c r="A2064" s="1185"/>
      <c r="B2064" s="1199" t="s">
        <v>6883</v>
      </c>
      <c r="C2064" s="1186">
        <v>1</v>
      </c>
      <c r="D2064" s="1186" t="s">
        <v>3364</v>
      </c>
      <c r="E2064" s="1186">
        <v>1</v>
      </c>
      <c r="F2064" s="1177">
        <v>0.75</v>
      </c>
      <c r="G2064" s="1177"/>
      <c r="H2064" s="1177">
        <v>2.1</v>
      </c>
      <c r="I2064" s="1178">
        <f t="shared" si="128"/>
        <v>1.58</v>
      </c>
      <c r="J2064" s="1184"/>
    </row>
    <row r="2065" spans="1:10" s="1209" customFormat="1">
      <c r="A2065" s="1185"/>
      <c r="B2065" s="1199" t="s">
        <v>6884</v>
      </c>
      <c r="C2065" s="1186">
        <v>1</v>
      </c>
      <c r="D2065" s="1186" t="s">
        <v>3364</v>
      </c>
      <c r="E2065" s="1186">
        <v>2</v>
      </c>
      <c r="F2065" s="1177">
        <v>0.75</v>
      </c>
      <c r="G2065" s="1177"/>
      <c r="H2065" s="1177">
        <v>2.1</v>
      </c>
      <c r="I2065" s="1178">
        <f t="shared" si="128"/>
        <v>3.15</v>
      </c>
      <c r="J2065" s="1184"/>
    </row>
    <row r="2066" spans="1:10" s="1209" customFormat="1">
      <c r="A2066" s="1185"/>
      <c r="B2066" s="1199" t="s">
        <v>6885</v>
      </c>
      <c r="C2066" s="1186">
        <v>1</v>
      </c>
      <c r="D2066" s="1186" t="s">
        <v>3364</v>
      </c>
      <c r="E2066" s="1186">
        <v>1</v>
      </c>
      <c r="F2066" s="1177">
        <v>0.75</v>
      </c>
      <c r="G2066" s="1177"/>
      <c r="H2066" s="1177">
        <v>2.1</v>
      </c>
      <c r="I2066" s="1178">
        <f t="shared" si="128"/>
        <v>1.58</v>
      </c>
      <c r="J2066" s="1184"/>
    </row>
    <row r="2067" spans="1:10" s="1209" customFormat="1">
      <c r="A2067" s="1185"/>
      <c r="B2067" s="1255" t="s">
        <v>3480</v>
      </c>
      <c r="C2067" s="1186">
        <v>1</v>
      </c>
      <c r="D2067" s="1186" t="s">
        <v>3364</v>
      </c>
      <c r="E2067" s="1186">
        <v>1</v>
      </c>
      <c r="F2067" s="1177">
        <f>(2.7+1.35)*2</f>
        <v>8.1</v>
      </c>
      <c r="G2067" s="1177"/>
      <c r="H2067" s="1177">
        <v>1.5</v>
      </c>
      <c r="I2067" s="1178">
        <f t="shared" si="128"/>
        <v>12.15</v>
      </c>
      <c r="J2067" s="1184"/>
    </row>
    <row r="2068" spans="1:10" s="1209" customFormat="1">
      <c r="A2068" s="1185"/>
      <c r="B2068" s="1255" t="s">
        <v>3640</v>
      </c>
      <c r="C2068" s="1186">
        <v>1</v>
      </c>
      <c r="D2068" s="1186" t="s">
        <v>3364</v>
      </c>
      <c r="E2068" s="1186">
        <v>2</v>
      </c>
      <c r="F2068" s="1177">
        <v>0.115</v>
      </c>
      <c r="G2068" s="1177"/>
      <c r="H2068" s="1177">
        <v>1.5</v>
      </c>
      <c r="I2068" s="1178">
        <f t="shared" si="128"/>
        <v>0.35</v>
      </c>
      <c r="J2068" s="1184"/>
    </row>
    <row r="2069" spans="1:10" s="1209" customFormat="1">
      <c r="A2069" s="1185"/>
      <c r="B2069" s="1255" t="s">
        <v>3639</v>
      </c>
      <c r="C2069" s="1186">
        <v>-1</v>
      </c>
      <c r="D2069" s="1186" t="s">
        <v>3364</v>
      </c>
      <c r="E2069" s="1186">
        <v>1</v>
      </c>
      <c r="F2069" s="1177">
        <v>0.75</v>
      </c>
      <c r="G2069" s="1177"/>
      <c r="H2069" s="1177">
        <v>1.5</v>
      </c>
      <c r="I2069" s="1178">
        <f t="shared" si="128"/>
        <v>-1.1299999999999999</v>
      </c>
      <c r="J2069" s="1184"/>
    </row>
    <row r="2070" spans="1:10" s="1209" customFormat="1">
      <c r="A2070" s="1185"/>
      <c r="B2070" s="1255" t="s">
        <v>3454</v>
      </c>
      <c r="C2070" s="1186">
        <v>1</v>
      </c>
      <c r="D2070" s="1186" t="s">
        <v>3364</v>
      </c>
      <c r="E2070" s="1186">
        <v>1</v>
      </c>
      <c r="F2070" s="1177">
        <f>(1.2+1.4)*2</f>
        <v>5.2</v>
      </c>
      <c r="G2070" s="1177"/>
      <c r="H2070" s="1177">
        <v>1.5</v>
      </c>
      <c r="I2070" s="1178">
        <f t="shared" si="128"/>
        <v>7.8</v>
      </c>
      <c r="J2070" s="1184"/>
    </row>
    <row r="2071" spans="1:10" s="1209" customFormat="1">
      <c r="A2071" s="1185"/>
      <c r="B2071" s="1255" t="s">
        <v>3640</v>
      </c>
      <c r="C2071" s="1186">
        <v>1</v>
      </c>
      <c r="D2071" s="1186" t="s">
        <v>3364</v>
      </c>
      <c r="E2071" s="1186">
        <v>2</v>
      </c>
      <c r="F2071" s="1177">
        <v>0.115</v>
      </c>
      <c r="G2071" s="1177"/>
      <c r="H2071" s="1177">
        <v>1.5</v>
      </c>
      <c r="I2071" s="1178">
        <f t="shared" si="128"/>
        <v>0.35</v>
      </c>
      <c r="J2071" s="1184"/>
    </row>
    <row r="2072" spans="1:10" s="1209" customFormat="1">
      <c r="A2072" s="1185"/>
      <c r="B2072" s="1255" t="s">
        <v>3639</v>
      </c>
      <c r="C2072" s="1186">
        <v>-1</v>
      </c>
      <c r="D2072" s="1186" t="s">
        <v>3364</v>
      </c>
      <c r="E2072" s="1186">
        <v>1</v>
      </c>
      <c r="F2072" s="1177">
        <v>0.75</v>
      </c>
      <c r="G2072" s="1177"/>
      <c r="H2072" s="1177">
        <v>1.5</v>
      </c>
      <c r="I2072" s="1178">
        <f t="shared" si="128"/>
        <v>-1.1299999999999999</v>
      </c>
      <c r="J2072" s="1184"/>
    </row>
    <row r="2073" spans="1:10" s="1209" customFormat="1">
      <c r="A2073" s="1185"/>
      <c r="B2073" s="1255" t="s">
        <v>6886</v>
      </c>
      <c r="C2073" s="1186">
        <v>1</v>
      </c>
      <c r="D2073" s="1186" t="s">
        <v>3364</v>
      </c>
      <c r="E2073" s="1186">
        <v>1</v>
      </c>
      <c r="F2073" s="1177">
        <f>(2.555+1.8)*2</f>
        <v>8.7100000000000009</v>
      </c>
      <c r="G2073" s="1177"/>
      <c r="H2073" s="1177">
        <v>1.5</v>
      </c>
      <c r="I2073" s="1178">
        <f t="shared" si="128"/>
        <v>13.07</v>
      </c>
      <c r="J2073" s="1184"/>
    </row>
    <row r="2074" spans="1:10" s="1209" customFormat="1">
      <c r="A2074" s="1185"/>
      <c r="B2074" s="1255" t="s">
        <v>3639</v>
      </c>
      <c r="C2074" s="1186">
        <v>-1</v>
      </c>
      <c r="D2074" s="1186" t="s">
        <v>3364</v>
      </c>
      <c r="E2074" s="1186">
        <v>2</v>
      </c>
      <c r="F2074" s="1177">
        <v>0.75</v>
      </c>
      <c r="G2074" s="1177"/>
      <c r="H2074" s="1177">
        <v>1.5</v>
      </c>
      <c r="I2074" s="1178">
        <f t="shared" si="128"/>
        <v>-2.25</v>
      </c>
      <c r="J2074" s="1184"/>
    </row>
    <row r="2075" spans="1:10" s="1209" customFormat="1">
      <c r="A2075" s="1185"/>
      <c r="B2075" s="1255" t="s">
        <v>3640</v>
      </c>
      <c r="C2075" s="1186">
        <v>1</v>
      </c>
      <c r="D2075" s="1186" t="s">
        <v>3364</v>
      </c>
      <c r="E2075" s="1186">
        <v>2</v>
      </c>
      <c r="F2075" s="1177">
        <v>0.115</v>
      </c>
      <c r="G2075" s="1177"/>
      <c r="H2075" s="1177">
        <v>1.5</v>
      </c>
      <c r="I2075" s="1178">
        <f t="shared" si="128"/>
        <v>0.35</v>
      </c>
      <c r="J2075" s="1184"/>
    </row>
    <row r="2076" spans="1:10" s="1209" customFormat="1">
      <c r="A2076" s="1185"/>
      <c r="B2076" s="1255" t="s">
        <v>3639</v>
      </c>
      <c r="C2076" s="1186">
        <v>-1</v>
      </c>
      <c r="D2076" s="1186" t="s">
        <v>3364</v>
      </c>
      <c r="E2076" s="1186">
        <v>1</v>
      </c>
      <c r="F2076" s="1177">
        <v>0.9</v>
      </c>
      <c r="G2076" s="1177"/>
      <c r="H2076" s="1177">
        <v>1.5</v>
      </c>
      <c r="I2076" s="1178">
        <f t="shared" si="128"/>
        <v>-1.35</v>
      </c>
      <c r="J2076" s="1184"/>
    </row>
    <row r="2077" spans="1:10" s="1209" customFormat="1">
      <c r="A2077" s="1185"/>
      <c r="B2077" s="1255" t="s">
        <v>3640</v>
      </c>
      <c r="C2077" s="1186">
        <v>1</v>
      </c>
      <c r="D2077" s="1186" t="s">
        <v>3364</v>
      </c>
      <c r="E2077" s="1186">
        <v>2</v>
      </c>
      <c r="F2077" s="1177">
        <v>0.115</v>
      </c>
      <c r="G2077" s="1177"/>
      <c r="H2077" s="1177">
        <v>1.5</v>
      </c>
      <c r="I2077" s="1178">
        <f t="shared" si="128"/>
        <v>0.35</v>
      </c>
      <c r="J2077" s="1184"/>
    </row>
    <row r="2078" spans="1:10" s="1209" customFormat="1">
      <c r="A2078" s="1185"/>
      <c r="B2078" s="1255" t="s">
        <v>6887</v>
      </c>
      <c r="C2078" s="1186">
        <v>1</v>
      </c>
      <c r="D2078" s="1186" t="s">
        <v>3364</v>
      </c>
      <c r="E2078" s="1186">
        <v>1</v>
      </c>
      <c r="F2078" s="1177">
        <f>(1.8+1.8)*2</f>
        <v>7.2</v>
      </c>
      <c r="G2078" s="1177"/>
      <c r="H2078" s="1177">
        <v>1.5</v>
      </c>
      <c r="I2078" s="1178">
        <f t="shared" si="128"/>
        <v>10.8</v>
      </c>
      <c r="J2078" s="1184"/>
    </row>
    <row r="2079" spans="1:10" s="1209" customFormat="1">
      <c r="A2079" s="1185"/>
      <c r="B2079" s="1255" t="s">
        <v>3529</v>
      </c>
      <c r="C2079" s="1186">
        <v>1</v>
      </c>
      <c r="D2079" s="1186" t="s">
        <v>3364</v>
      </c>
      <c r="E2079" s="1186">
        <v>1</v>
      </c>
      <c r="F2079" s="1177">
        <f>(1.65+1.5)*2</f>
        <v>6.3</v>
      </c>
      <c r="G2079" s="1177"/>
      <c r="H2079" s="1177">
        <v>1.5</v>
      </c>
      <c r="I2079" s="1178">
        <f t="shared" si="128"/>
        <v>9.4499999999999993</v>
      </c>
      <c r="J2079" s="1184"/>
    </row>
    <row r="2080" spans="1:10" s="1209" customFormat="1">
      <c r="A2080" s="1185"/>
      <c r="B2080" s="1255" t="s">
        <v>3739</v>
      </c>
      <c r="C2080" s="1186">
        <v>1</v>
      </c>
      <c r="D2080" s="1186" t="s">
        <v>3364</v>
      </c>
      <c r="E2080" s="1186">
        <v>2</v>
      </c>
      <c r="F2080" s="1177">
        <f>(1.5+1.5)*2</f>
        <v>6</v>
      </c>
      <c r="G2080" s="1177"/>
      <c r="H2080" s="1177">
        <v>1.5</v>
      </c>
      <c r="I2080" s="1178">
        <f t="shared" si="128"/>
        <v>18</v>
      </c>
      <c r="J2080" s="1184"/>
    </row>
    <row r="2081" spans="1:12" s="1209" customFormat="1">
      <c r="A2081" s="1185"/>
      <c r="B2081" s="1255" t="s">
        <v>3487</v>
      </c>
      <c r="C2081" s="1186">
        <v>1</v>
      </c>
      <c r="D2081" s="1186" t="s">
        <v>3364</v>
      </c>
      <c r="E2081" s="1186">
        <v>1</v>
      </c>
      <c r="F2081" s="1177">
        <f>(1.5+1.2)*2</f>
        <v>5.4</v>
      </c>
      <c r="G2081" s="1177"/>
      <c r="H2081" s="1177">
        <v>1.5</v>
      </c>
      <c r="I2081" s="1178">
        <f t="shared" si="128"/>
        <v>8.1</v>
      </c>
      <c r="J2081" s="1184"/>
    </row>
    <row r="2082" spans="1:12" s="1209" customFormat="1">
      <c r="A2082" s="1185"/>
      <c r="B2082" s="1255" t="s">
        <v>3490</v>
      </c>
      <c r="C2082" s="1186">
        <v>1</v>
      </c>
      <c r="D2082" s="1186" t="s">
        <v>3364</v>
      </c>
      <c r="E2082" s="1186">
        <v>1</v>
      </c>
      <c r="F2082" s="1177">
        <v>14.24</v>
      </c>
      <c r="G2082" s="1177"/>
      <c r="H2082" s="1177">
        <v>1.5</v>
      </c>
      <c r="I2082" s="1178">
        <f t="shared" si="128"/>
        <v>21.36</v>
      </c>
      <c r="J2082" s="1184"/>
    </row>
    <row r="2083" spans="1:12" s="1209" customFormat="1">
      <c r="A2083" s="1185"/>
      <c r="B2083" s="1255" t="s">
        <v>3639</v>
      </c>
      <c r="C2083" s="1186">
        <v>-2</v>
      </c>
      <c r="D2083" s="1186" t="s">
        <v>3364</v>
      </c>
      <c r="E2083" s="1186">
        <v>5</v>
      </c>
      <c r="F2083" s="1177">
        <v>0.75</v>
      </c>
      <c r="G2083" s="1177"/>
      <c r="H2083" s="1177">
        <v>1.5</v>
      </c>
      <c r="I2083" s="1178">
        <f t="shared" si="128"/>
        <v>-11.25</v>
      </c>
      <c r="J2083" s="1184"/>
    </row>
    <row r="2084" spans="1:12" s="1209" customFormat="1">
      <c r="A2084" s="1185"/>
      <c r="B2084" s="1255" t="s">
        <v>3640</v>
      </c>
      <c r="C2084" s="1186">
        <v>2</v>
      </c>
      <c r="D2084" s="1186" t="s">
        <v>3364</v>
      </c>
      <c r="E2084" s="1186">
        <v>5</v>
      </c>
      <c r="F2084" s="1177">
        <v>0.115</v>
      </c>
      <c r="G2084" s="1177"/>
      <c r="H2084" s="1177">
        <v>1.5</v>
      </c>
      <c r="I2084" s="1178">
        <f t="shared" si="128"/>
        <v>1.73</v>
      </c>
      <c r="J2084" s="1184"/>
      <c r="L2084" s="1209">
        <v>1</v>
      </c>
    </row>
    <row r="2085" spans="1:12" s="1209" customFormat="1">
      <c r="A2085" s="1185"/>
      <c r="B2085" s="1255" t="s">
        <v>3639</v>
      </c>
      <c r="C2085" s="1186">
        <v>-1</v>
      </c>
      <c r="D2085" s="1186" t="s">
        <v>3364</v>
      </c>
      <c r="E2085" s="1186">
        <v>1</v>
      </c>
      <c r="F2085" s="1177">
        <v>0.9</v>
      </c>
      <c r="G2085" s="1177"/>
      <c r="H2085" s="1177">
        <v>1.5</v>
      </c>
      <c r="I2085" s="1178">
        <f t="shared" si="128"/>
        <v>-1.35</v>
      </c>
      <c r="J2085" s="1184"/>
    </row>
    <row r="2086" spans="1:12" s="1209" customFormat="1">
      <c r="A2086" s="1185"/>
      <c r="B2086" s="1255" t="s">
        <v>3640</v>
      </c>
      <c r="C2086" s="1186">
        <v>1</v>
      </c>
      <c r="D2086" s="1186" t="s">
        <v>3364</v>
      </c>
      <c r="E2086" s="1186">
        <v>2</v>
      </c>
      <c r="F2086" s="1177">
        <v>0.115</v>
      </c>
      <c r="G2086" s="1177"/>
      <c r="H2086" s="1177">
        <v>1.5</v>
      </c>
      <c r="I2086" s="1178">
        <f t="shared" si="128"/>
        <v>0.35</v>
      </c>
      <c r="J2086" s="1184"/>
      <c r="L2086" s="1209">
        <v>1</v>
      </c>
    </row>
    <row r="2087" spans="1:12" s="1209" customFormat="1">
      <c r="A2087" s="1185"/>
      <c r="B2087" s="1199"/>
      <c r="C2087" s="1186"/>
      <c r="D2087" s="1186"/>
      <c r="E2087" s="1186"/>
      <c r="F2087" s="1177"/>
      <c r="G2087" s="1253" t="s">
        <v>104</v>
      </c>
      <c r="H2087" s="1177"/>
      <c r="I2087" s="1181">
        <f>SUM(I2027:I2086)</f>
        <v>498.25</v>
      </c>
      <c r="J2087" s="1184"/>
    </row>
    <row r="2088" spans="1:12" s="1209" customFormat="1">
      <c r="A2088" s="1185"/>
      <c r="B2088" s="1199"/>
      <c r="C2088" s="1186"/>
      <c r="D2088" s="1186"/>
      <c r="E2088" s="1186"/>
      <c r="F2088" s="1177"/>
      <c r="G2088" s="1177"/>
      <c r="H2088" s="1253" t="s">
        <v>2981</v>
      </c>
      <c r="I2088" s="1181">
        <f>CEILING(I2087,0.1)</f>
        <v>498.3</v>
      </c>
      <c r="J2088" s="1184" t="s">
        <v>468</v>
      </c>
    </row>
    <row r="2089" spans="1:12" s="1209" customFormat="1" ht="150.6" customHeight="1">
      <c r="A2089" s="1182">
        <v>29.9</v>
      </c>
      <c r="B2089" s="1252" t="s">
        <v>3641</v>
      </c>
      <c r="C2089" s="1186"/>
      <c r="D2089" s="1186"/>
      <c r="E2089" s="1186"/>
      <c r="F2089" s="1177"/>
      <c r="G2089" s="1177"/>
      <c r="H2089" s="1177"/>
      <c r="I2089" s="1178"/>
      <c r="J2089" s="1184"/>
    </row>
    <row r="2090" spans="1:12" s="1209" customFormat="1">
      <c r="A2090" s="1185"/>
      <c r="B2090" s="1255" t="s">
        <v>6727</v>
      </c>
      <c r="C2090" s="1186">
        <v>1</v>
      </c>
      <c r="D2090" s="1186" t="s">
        <v>3364</v>
      </c>
      <c r="E2090" s="1186">
        <v>1</v>
      </c>
      <c r="F2090" s="1177">
        <v>2.9249999999999998</v>
      </c>
      <c r="G2090" s="1177">
        <v>1.5</v>
      </c>
      <c r="H2090" s="1177"/>
      <c r="I2090" s="1178">
        <f t="shared" ref="I2090:I2106" si="129">PRODUCT(C2090:H2090)</f>
        <v>4.3899999999999997</v>
      </c>
      <c r="J2090" s="1184"/>
    </row>
    <row r="2091" spans="1:12" s="1209" customFormat="1">
      <c r="A2091" s="1185"/>
      <c r="B2091" s="1255" t="s">
        <v>6727</v>
      </c>
      <c r="C2091" s="1186">
        <v>1</v>
      </c>
      <c r="D2091" s="1186" t="s">
        <v>3364</v>
      </c>
      <c r="E2091" s="1186">
        <v>1</v>
      </c>
      <c r="F2091" s="1177">
        <v>2</v>
      </c>
      <c r="G2091" s="1177">
        <v>1.4350000000000001</v>
      </c>
      <c r="H2091" s="1177"/>
      <c r="I2091" s="1178">
        <f t="shared" si="129"/>
        <v>2.87</v>
      </c>
      <c r="J2091" s="1184"/>
    </row>
    <row r="2092" spans="1:12" s="1209" customFormat="1">
      <c r="A2092" s="1185"/>
      <c r="B2092" s="1255" t="s">
        <v>3491</v>
      </c>
      <c r="C2092" s="1186">
        <v>1</v>
      </c>
      <c r="D2092" s="1186" t="s">
        <v>3364</v>
      </c>
      <c r="E2092" s="1186">
        <v>1</v>
      </c>
      <c r="F2092" s="1177">
        <v>2</v>
      </c>
      <c r="G2092" s="1177">
        <v>1.4350000000000001</v>
      </c>
      <c r="H2092" s="1177"/>
      <c r="I2092" s="1178">
        <f t="shared" si="129"/>
        <v>2.87</v>
      </c>
      <c r="J2092" s="1184"/>
    </row>
    <row r="2093" spans="1:12" s="1209" customFormat="1">
      <c r="A2093" s="1185"/>
      <c r="B2093" s="1255" t="s">
        <v>3638</v>
      </c>
      <c r="C2093" s="1186">
        <v>1</v>
      </c>
      <c r="D2093" s="1186" t="s">
        <v>3364</v>
      </c>
      <c r="E2093" s="1186">
        <v>1</v>
      </c>
      <c r="F2093" s="1177">
        <v>2</v>
      </c>
      <c r="G2093" s="1177">
        <v>1.4350000000000001</v>
      </c>
      <c r="H2093" s="1177"/>
      <c r="I2093" s="1178">
        <f t="shared" si="129"/>
        <v>2.87</v>
      </c>
      <c r="J2093" s="1184"/>
    </row>
    <row r="2094" spans="1:12" s="1209" customFormat="1">
      <c r="A2094" s="1185"/>
      <c r="B2094" s="1255" t="s">
        <v>6734</v>
      </c>
      <c r="C2094" s="1186">
        <v>2</v>
      </c>
      <c r="D2094" s="1186" t="s">
        <v>3364</v>
      </c>
      <c r="E2094" s="1186">
        <v>12</v>
      </c>
      <c r="F2094" s="1177">
        <v>1.2</v>
      </c>
      <c r="G2094" s="1177">
        <v>1.5</v>
      </c>
      <c r="H2094" s="1177"/>
      <c r="I2094" s="1178">
        <f t="shared" si="129"/>
        <v>43.2</v>
      </c>
      <c r="J2094" s="1184"/>
    </row>
    <row r="2095" spans="1:12" s="1209" customFormat="1">
      <c r="A2095" s="1185"/>
      <c r="B2095" s="1255" t="s">
        <v>6888</v>
      </c>
      <c r="C2095" s="1186">
        <v>1</v>
      </c>
      <c r="D2095" s="1186" t="s">
        <v>3364</v>
      </c>
      <c r="E2095" s="1186">
        <v>1</v>
      </c>
      <c r="F2095" s="1177">
        <v>15.167999999999999</v>
      </c>
      <c r="G2095" s="1177">
        <v>1.2</v>
      </c>
      <c r="H2095" s="1177"/>
      <c r="I2095" s="1178">
        <f t="shared" si="129"/>
        <v>18.2</v>
      </c>
      <c r="J2095" s="1184"/>
    </row>
    <row r="2096" spans="1:12" s="1209" customFormat="1">
      <c r="A2096" s="1185"/>
      <c r="B2096" s="1255" t="s">
        <v>6744</v>
      </c>
      <c r="C2096" s="1186">
        <v>1</v>
      </c>
      <c r="D2096" s="1186" t="s">
        <v>3364</v>
      </c>
      <c r="E2096" s="1186">
        <v>1</v>
      </c>
      <c r="F2096" s="1177">
        <v>2.99</v>
      </c>
      <c r="G2096" s="1177">
        <v>1.5</v>
      </c>
      <c r="H2096" s="1177"/>
      <c r="I2096" s="1178">
        <f t="shared" si="129"/>
        <v>4.49</v>
      </c>
      <c r="J2096" s="1184"/>
    </row>
    <row r="2097" spans="1:10" s="1209" customFormat="1">
      <c r="A2097" s="1185"/>
      <c r="B2097" s="1255" t="s">
        <v>3491</v>
      </c>
      <c r="C2097" s="1186">
        <v>1</v>
      </c>
      <c r="D2097" s="1186" t="s">
        <v>3364</v>
      </c>
      <c r="E2097" s="1186">
        <v>1</v>
      </c>
      <c r="F2097" s="1177">
        <v>2</v>
      </c>
      <c r="G2097" s="1177">
        <v>1.4350000000000001</v>
      </c>
      <c r="H2097" s="1177"/>
      <c r="I2097" s="1178">
        <f t="shared" si="129"/>
        <v>2.87</v>
      </c>
      <c r="J2097" s="1184"/>
    </row>
    <row r="2098" spans="1:10" s="1209" customFormat="1">
      <c r="A2098" s="1185"/>
      <c r="B2098" s="1255" t="s">
        <v>6734</v>
      </c>
      <c r="C2098" s="1186">
        <v>1</v>
      </c>
      <c r="D2098" s="1186" t="s">
        <v>3364</v>
      </c>
      <c r="E2098" s="1186">
        <v>12</v>
      </c>
      <c r="F2098" s="1177">
        <v>1.2</v>
      </c>
      <c r="G2098" s="1177">
        <v>1.5</v>
      </c>
      <c r="H2098" s="1177"/>
      <c r="I2098" s="1178">
        <f t="shared" si="129"/>
        <v>21.6</v>
      </c>
      <c r="J2098" s="1184"/>
    </row>
    <row r="2099" spans="1:10" s="1209" customFormat="1">
      <c r="A2099" s="1185"/>
      <c r="B2099" s="1255" t="s">
        <v>6888</v>
      </c>
      <c r="C2099" s="1186">
        <v>1</v>
      </c>
      <c r="D2099" s="1186" t="s">
        <v>3364</v>
      </c>
      <c r="E2099" s="1186">
        <v>1</v>
      </c>
      <c r="F2099" s="1177">
        <v>15.167999999999999</v>
      </c>
      <c r="G2099" s="1177">
        <v>1.2</v>
      </c>
      <c r="H2099" s="1177"/>
      <c r="I2099" s="1178">
        <f t="shared" si="129"/>
        <v>18.2</v>
      </c>
      <c r="J2099" s="1184"/>
    </row>
    <row r="2100" spans="1:10" s="1209" customFormat="1">
      <c r="A2100" s="1185"/>
      <c r="B2100" s="1255" t="s">
        <v>6753</v>
      </c>
      <c r="C2100" s="1186">
        <v>1</v>
      </c>
      <c r="D2100" s="1186" t="s">
        <v>3364</v>
      </c>
      <c r="E2100" s="1186">
        <v>1</v>
      </c>
      <c r="F2100" s="1177">
        <v>2.99</v>
      </c>
      <c r="G2100" s="1177">
        <v>1.5</v>
      </c>
      <c r="H2100" s="1177"/>
      <c r="I2100" s="1178">
        <f t="shared" si="129"/>
        <v>4.49</v>
      </c>
      <c r="J2100" s="1184"/>
    </row>
    <row r="2101" spans="1:10" s="1209" customFormat="1">
      <c r="A2101" s="1185"/>
      <c r="B2101" s="1255" t="s">
        <v>6889</v>
      </c>
      <c r="C2101" s="1186">
        <v>1</v>
      </c>
      <c r="D2101" s="1186" t="s">
        <v>3364</v>
      </c>
      <c r="E2101" s="1186">
        <v>1</v>
      </c>
      <c r="F2101" s="1177">
        <v>1.69</v>
      </c>
      <c r="G2101" s="1177">
        <v>1.5</v>
      </c>
      <c r="H2101" s="1177"/>
      <c r="I2101" s="1178">
        <f t="shared" si="129"/>
        <v>2.54</v>
      </c>
      <c r="J2101" s="1184"/>
    </row>
    <row r="2102" spans="1:10" s="1209" customFormat="1">
      <c r="A2102" s="1185"/>
      <c r="B2102" s="1255" t="s">
        <v>6890</v>
      </c>
      <c r="C2102" s="1186">
        <v>1</v>
      </c>
      <c r="D2102" s="1186" t="s">
        <v>3364</v>
      </c>
      <c r="E2102" s="1186">
        <v>1</v>
      </c>
      <c r="F2102" s="1177">
        <v>2</v>
      </c>
      <c r="G2102" s="1177">
        <v>1.4350000000000001</v>
      </c>
      <c r="H2102" s="1177"/>
      <c r="I2102" s="1178">
        <f t="shared" si="129"/>
        <v>2.87</v>
      </c>
      <c r="J2102" s="1184"/>
    </row>
    <row r="2103" spans="1:10" s="1209" customFormat="1">
      <c r="A2103" s="1185"/>
      <c r="B2103" s="1255" t="s">
        <v>6891</v>
      </c>
      <c r="C2103" s="1186">
        <v>1</v>
      </c>
      <c r="D2103" s="1186" t="s">
        <v>3364</v>
      </c>
      <c r="E2103" s="1186">
        <v>2</v>
      </c>
      <c r="F2103" s="1177">
        <v>1.5</v>
      </c>
      <c r="G2103" s="1177">
        <v>1.8</v>
      </c>
      <c r="H2103" s="1177"/>
      <c r="I2103" s="1178">
        <f t="shared" si="129"/>
        <v>5.4</v>
      </c>
      <c r="J2103" s="1184"/>
    </row>
    <row r="2104" spans="1:10" s="1209" customFormat="1">
      <c r="A2104" s="1185"/>
      <c r="B2104" s="1255" t="s">
        <v>6734</v>
      </c>
      <c r="C2104" s="1186">
        <v>1</v>
      </c>
      <c r="D2104" s="1186" t="s">
        <v>3364</v>
      </c>
      <c r="E2104" s="1186">
        <v>3</v>
      </c>
      <c r="F2104" s="1177">
        <v>1.5</v>
      </c>
      <c r="G2104" s="1177">
        <v>1.4</v>
      </c>
      <c r="H2104" s="1177"/>
      <c r="I2104" s="1178">
        <f t="shared" si="129"/>
        <v>6.3</v>
      </c>
      <c r="J2104" s="1184"/>
    </row>
    <row r="2105" spans="1:10" s="1209" customFormat="1">
      <c r="A2105" s="1185"/>
      <c r="B2105" s="1255" t="s">
        <v>6727</v>
      </c>
      <c r="C2105" s="1186">
        <v>1</v>
      </c>
      <c r="D2105" s="1186" t="s">
        <v>3364</v>
      </c>
      <c r="E2105" s="1186">
        <v>1</v>
      </c>
      <c r="F2105" s="1177">
        <v>3.2050000000000001</v>
      </c>
      <c r="G2105" s="1177">
        <v>2.1150000000000002</v>
      </c>
      <c r="H2105" s="1177"/>
      <c r="I2105" s="1178">
        <f t="shared" si="129"/>
        <v>6.78</v>
      </c>
      <c r="J2105" s="1184"/>
    </row>
    <row r="2106" spans="1:10" s="1209" customFormat="1">
      <c r="A2106" s="1185"/>
      <c r="B2106" s="1255" t="s">
        <v>6888</v>
      </c>
      <c r="C2106" s="1186">
        <v>1</v>
      </c>
      <c r="D2106" s="1186" t="s">
        <v>3364</v>
      </c>
      <c r="E2106" s="1186">
        <v>1</v>
      </c>
      <c r="F2106" s="1177">
        <v>2.2000000000000002</v>
      </c>
      <c r="G2106" s="1177">
        <v>3.25</v>
      </c>
      <c r="H2106" s="1177"/>
      <c r="I2106" s="1178">
        <f t="shared" si="129"/>
        <v>7.15</v>
      </c>
      <c r="J2106" s="1184"/>
    </row>
    <row r="2107" spans="1:10" s="1209" customFormat="1">
      <c r="A2107" s="1185"/>
      <c r="B2107" s="1199"/>
      <c r="C2107" s="1186"/>
      <c r="D2107" s="1186"/>
      <c r="E2107" s="1186"/>
      <c r="F2107" s="1177"/>
      <c r="G2107" s="1253" t="s">
        <v>104</v>
      </c>
      <c r="H2107" s="1177"/>
      <c r="I2107" s="1181">
        <f>SUM(I2090:I2106)</f>
        <v>157.09</v>
      </c>
      <c r="J2107" s="1184"/>
    </row>
    <row r="2108" spans="1:10" s="1209" customFormat="1">
      <c r="A2108" s="1185"/>
      <c r="B2108" s="1199"/>
      <c r="C2108" s="1186"/>
      <c r="D2108" s="1186"/>
      <c r="E2108" s="1186"/>
      <c r="F2108" s="1177"/>
      <c r="G2108" s="1177"/>
      <c r="H2108" s="1253" t="s">
        <v>2981</v>
      </c>
      <c r="I2108" s="1181">
        <f>CEILING(I2107,0.1)</f>
        <v>157.1</v>
      </c>
      <c r="J2108" s="1184" t="s">
        <v>724</v>
      </c>
    </row>
    <row r="2109" spans="1:10" s="1180" customFormat="1" ht="108.6" customHeight="1">
      <c r="A2109" s="1182">
        <v>38.6</v>
      </c>
      <c r="B2109" s="1200" t="s">
        <v>3642</v>
      </c>
      <c r="C2109" s="1186"/>
      <c r="D2109" s="1186"/>
      <c r="E2109" s="1186"/>
      <c r="F2109" s="1177"/>
      <c r="G2109" s="1177"/>
      <c r="H2109" s="1177"/>
      <c r="I2109" s="1178"/>
      <c r="J2109" s="1184"/>
    </row>
    <row r="2110" spans="1:10" s="1180" customFormat="1" ht="31.5">
      <c r="A2110" s="1182"/>
      <c r="B2110" s="1201" t="s">
        <v>3705</v>
      </c>
      <c r="C2110" s="1186"/>
      <c r="D2110" s="1186"/>
      <c r="E2110" s="1186"/>
      <c r="F2110" s="1177"/>
      <c r="G2110" s="1177"/>
      <c r="H2110" s="1177"/>
      <c r="I2110" s="1181">
        <f>I684</f>
        <v>4509.1000000000004</v>
      </c>
      <c r="J2110" s="1184" t="s">
        <v>724</v>
      </c>
    </row>
    <row r="2111" spans="1:10" s="1209" customFormat="1">
      <c r="A2111" s="1182">
        <v>448.2</v>
      </c>
      <c r="B2111" s="1187" t="s">
        <v>5718</v>
      </c>
      <c r="C2111" s="1186"/>
      <c r="D2111" s="1186"/>
      <c r="E2111" s="1186"/>
      <c r="F2111" s="1177"/>
      <c r="G2111" s="1177"/>
      <c r="H2111" s="1177"/>
      <c r="I2111" s="1181"/>
      <c r="J2111" s="1184"/>
    </row>
    <row r="2112" spans="1:10" s="1209" customFormat="1">
      <c r="A2112" s="1182"/>
      <c r="B2112" s="1201" t="s">
        <v>6892</v>
      </c>
      <c r="C2112" s="1186">
        <v>2</v>
      </c>
      <c r="D2112" s="1186" t="s">
        <v>3364</v>
      </c>
      <c r="E2112" s="1186">
        <v>4</v>
      </c>
      <c r="F2112" s="1177"/>
      <c r="G2112" s="1177"/>
      <c r="H2112" s="1177"/>
      <c r="I2112" s="1178">
        <f>PRODUCT(C2112:H2112)</f>
        <v>8</v>
      </c>
      <c r="J2112" s="1184" t="s">
        <v>41</v>
      </c>
    </row>
    <row r="2113" spans="1:10" s="1209" customFormat="1" ht="110.25">
      <c r="A2113" s="1182"/>
      <c r="B2113" s="1200" t="s">
        <v>6893</v>
      </c>
      <c r="C2113" s="1186"/>
      <c r="D2113" s="1186"/>
      <c r="E2113" s="1186"/>
      <c r="F2113" s="1177"/>
      <c r="G2113" s="1177"/>
      <c r="H2113" s="1177"/>
      <c r="I2113" s="1181"/>
      <c r="J2113" s="1184"/>
    </row>
    <row r="2114" spans="1:10" s="1209" customFormat="1">
      <c r="A2114" s="1182"/>
      <c r="B2114" s="1200" t="s">
        <v>6894</v>
      </c>
      <c r="C2114" s="1186">
        <v>2</v>
      </c>
      <c r="D2114" s="1186" t="s">
        <v>3364</v>
      </c>
      <c r="E2114" s="1186">
        <v>2</v>
      </c>
      <c r="F2114" s="1177"/>
      <c r="G2114" s="1177"/>
      <c r="H2114" s="1177"/>
      <c r="I2114" s="1178">
        <f>PRODUCT(C2114:H2114)</f>
        <v>4</v>
      </c>
      <c r="J2114" s="1184" t="s">
        <v>41</v>
      </c>
    </row>
    <row r="2115" spans="1:10" s="1209" customFormat="1" ht="31.5">
      <c r="A2115" s="1182"/>
      <c r="B2115" s="1187" t="s">
        <v>3743</v>
      </c>
      <c r="C2115" s="1186"/>
      <c r="D2115" s="1186"/>
      <c r="E2115" s="1186"/>
      <c r="F2115" s="1177"/>
      <c r="G2115" s="1177"/>
      <c r="H2115" s="1177"/>
      <c r="I2115" s="1178"/>
      <c r="J2115" s="1184"/>
    </row>
    <row r="2116" spans="1:10" s="1209" customFormat="1">
      <c r="A2116" s="1182"/>
      <c r="B2116" s="1200" t="s">
        <v>6895</v>
      </c>
      <c r="C2116" s="1186">
        <v>4</v>
      </c>
      <c r="D2116" s="1186" t="s">
        <v>3364</v>
      </c>
      <c r="E2116" s="1186">
        <v>3</v>
      </c>
      <c r="F2116" s="1177"/>
      <c r="G2116" s="1177"/>
      <c r="H2116" s="1177"/>
      <c r="I2116" s="1178">
        <f>PRODUCT(C2116:H2116)</f>
        <v>12</v>
      </c>
      <c r="J2116" s="1184" t="s">
        <v>41</v>
      </c>
    </row>
    <row r="2117" spans="1:10" s="1209" customFormat="1" ht="31.5">
      <c r="A2117" s="1182"/>
      <c r="B2117" s="1342" t="str">
        <f>'A3'!C756</f>
        <v xml:space="preserve">Two coat of OBD over one coat white cement for inner walls </v>
      </c>
      <c r="C2117" s="1186"/>
      <c r="D2117" s="1186"/>
      <c r="E2117" s="1186"/>
      <c r="F2117" s="1177"/>
      <c r="G2117" s="1177"/>
      <c r="H2117" s="1177"/>
      <c r="I2117" s="1178"/>
      <c r="J2117" s="1184"/>
    </row>
    <row r="2118" spans="1:10" s="1209" customFormat="1" ht="31.5">
      <c r="A2118" s="1182"/>
      <c r="B2118" s="1201" t="s">
        <v>3705</v>
      </c>
      <c r="C2118" s="1186"/>
      <c r="D2118" s="1186"/>
      <c r="E2118" s="1186"/>
      <c r="F2118" s="1177"/>
      <c r="G2118" s="1177"/>
      <c r="H2118" s="1177"/>
      <c r="I2118" s="1178">
        <f>I684</f>
        <v>4509.1000000000004</v>
      </c>
      <c r="J2118" s="1184" t="s">
        <v>724</v>
      </c>
    </row>
    <row r="2119" spans="1:10" s="1209" customFormat="1">
      <c r="A2119" s="1182"/>
      <c r="B2119" s="1343"/>
      <c r="C2119" s="1186"/>
      <c r="D2119" s="1186"/>
      <c r="E2119" s="1186"/>
      <c r="F2119" s="1177"/>
      <c r="G2119" s="1177"/>
      <c r="H2119" s="1177"/>
      <c r="I2119" s="1178"/>
      <c r="J2119" s="1184"/>
    </row>
    <row r="2120" spans="1:10" s="1209" customFormat="1">
      <c r="A2120" s="1182"/>
      <c r="B2120" s="1343"/>
      <c r="C2120" s="1186"/>
      <c r="D2120" s="1186"/>
      <c r="E2120" s="1186"/>
      <c r="F2120" s="1177"/>
      <c r="G2120" s="1177"/>
      <c r="H2120" s="1177"/>
      <c r="I2120" s="1178"/>
      <c r="J2120" s="1184"/>
    </row>
    <row r="2121" spans="1:10" s="1209" customFormat="1">
      <c r="A2121" s="1182"/>
      <c r="B2121" s="1343"/>
      <c r="C2121" s="1186"/>
      <c r="D2121" s="1186"/>
      <c r="E2121" s="1186"/>
      <c r="F2121" s="1177"/>
      <c r="G2121" s="1177"/>
      <c r="H2121" s="1177"/>
      <c r="I2121" s="1178"/>
      <c r="J2121" s="1184"/>
    </row>
    <row r="2122" spans="1:10" s="1209" customFormat="1">
      <c r="A2122" s="1182"/>
      <c r="B2122" s="1343"/>
      <c r="C2122" s="1186"/>
      <c r="D2122" s="1186"/>
      <c r="E2122" s="1186"/>
      <c r="F2122" s="1177"/>
      <c r="G2122" s="1177"/>
      <c r="H2122" s="1177"/>
      <c r="I2122" s="1178"/>
      <c r="J2122" s="1184"/>
    </row>
    <row r="2123" spans="1:10" s="1209" customFormat="1" ht="93">
      <c r="A2123" s="1182"/>
      <c r="B2123" s="72" t="s">
        <v>5713</v>
      </c>
      <c r="C2123" s="1186"/>
      <c r="D2123" s="1186"/>
      <c r="E2123" s="1186"/>
      <c r="F2123" s="1177"/>
      <c r="G2123" s="1177"/>
      <c r="H2123" s="1177"/>
      <c r="I2123" s="1181"/>
      <c r="J2123" s="1184"/>
    </row>
    <row r="2124" spans="1:10" s="1209" customFormat="1">
      <c r="A2124" s="1185"/>
      <c r="B2124" s="1203" t="s">
        <v>3508</v>
      </c>
      <c r="C2124" s="1186"/>
      <c r="D2124" s="1186"/>
      <c r="E2124" s="1186"/>
      <c r="F2124" s="1177"/>
      <c r="G2124" s="1177"/>
      <c r="H2124" s="1177"/>
      <c r="I2124" s="1178"/>
      <c r="J2124" s="1184"/>
    </row>
    <row r="2125" spans="1:10" s="1209" customFormat="1">
      <c r="A2125" s="1185"/>
      <c r="B2125" s="1199" t="s">
        <v>6553</v>
      </c>
      <c r="C2125" s="1186">
        <v>1</v>
      </c>
      <c r="D2125" s="1186" t="s">
        <v>3364</v>
      </c>
      <c r="E2125" s="1186">
        <v>4</v>
      </c>
      <c r="F2125" s="1177">
        <f>(35.278+16.13)*2</f>
        <v>102.816</v>
      </c>
      <c r="G2125" s="1177"/>
      <c r="H2125" s="1177">
        <v>0.15</v>
      </c>
      <c r="I2125" s="1178">
        <f>PRODUCT(C2125:H2125)</f>
        <v>61.69</v>
      </c>
      <c r="J2125" s="1291"/>
    </row>
    <row r="2126" spans="1:10" s="1209" customFormat="1">
      <c r="A2126" s="1185"/>
      <c r="B2126" s="1199" t="s">
        <v>6699</v>
      </c>
      <c r="C2126" s="1186">
        <v>1</v>
      </c>
      <c r="D2126" s="1186" t="s">
        <v>3364</v>
      </c>
      <c r="E2126" s="1186">
        <v>1</v>
      </c>
      <c r="F2126" s="1177">
        <f>(7.8+2.925)*2</f>
        <v>21.45</v>
      </c>
      <c r="G2126" s="1177"/>
      <c r="H2126" s="1177">
        <v>0.15</v>
      </c>
      <c r="I2126" s="1178">
        <f t="shared" ref="I2126:I2140" si="130">PRODUCT(C2126:H2126)</f>
        <v>3.22</v>
      </c>
      <c r="J2126" s="1291"/>
    </row>
    <row r="2127" spans="1:10" s="1209" customFormat="1">
      <c r="A2127" s="1185"/>
      <c r="B2127" s="1199" t="s">
        <v>6700</v>
      </c>
      <c r="C2127" s="1186">
        <v>1</v>
      </c>
      <c r="D2127" s="1186" t="s">
        <v>3364</v>
      </c>
      <c r="E2127" s="1186">
        <v>1</v>
      </c>
      <c r="F2127" s="1177">
        <f>25+0.92</f>
        <v>25.92</v>
      </c>
      <c r="G2127" s="1177"/>
      <c r="H2127" s="1177">
        <v>0.15</v>
      </c>
      <c r="I2127" s="1178">
        <f t="shared" si="130"/>
        <v>3.89</v>
      </c>
      <c r="J2127" s="1291"/>
    </row>
    <row r="2128" spans="1:10" s="1209" customFormat="1">
      <c r="A2128" s="1185"/>
      <c r="B2128" s="1203" t="s">
        <v>3509</v>
      </c>
      <c r="C2128" s="1186"/>
      <c r="D2128" s="1186"/>
      <c r="E2128" s="1186"/>
      <c r="F2128" s="1177"/>
      <c r="G2128" s="1177"/>
      <c r="H2128" s="1177"/>
      <c r="I2128" s="1178">
        <f t="shared" si="130"/>
        <v>0</v>
      </c>
      <c r="J2128" s="1184"/>
    </row>
    <row r="2129" spans="1:10" s="1209" customFormat="1">
      <c r="A2129" s="1185"/>
      <c r="B2129" s="1199" t="s">
        <v>6553</v>
      </c>
      <c r="C2129" s="1186">
        <v>1</v>
      </c>
      <c r="D2129" s="1186" t="s">
        <v>3364</v>
      </c>
      <c r="E2129" s="1186">
        <v>4</v>
      </c>
      <c r="F2129" s="1177">
        <f>(35.278+16.13)*2</f>
        <v>102.816</v>
      </c>
      <c r="G2129" s="1177"/>
      <c r="H2129" s="1177">
        <v>7.4999999999999997E-2</v>
      </c>
      <c r="I2129" s="1178">
        <f t="shared" si="130"/>
        <v>30.84</v>
      </c>
      <c r="J2129" s="1291"/>
    </row>
    <row r="2130" spans="1:10" s="1209" customFormat="1">
      <c r="A2130" s="1185"/>
      <c r="B2130" s="1199" t="s">
        <v>6699</v>
      </c>
      <c r="C2130" s="1186">
        <v>1</v>
      </c>
      <c r="D2130" s="1186" t="s">
        <v>3364</v>
      </c>
      <c r="E2130" s="1186">
        <v>1</v>
      </c>
      <c r="F2130" s="1177">
        <f>(7.8+2.925)*2</f>
        <v>21.45</v>
      </c>
      <c r="G2130" s="1177"/>
      <c r="H2130" s="1177">
        <v>7.4999999999999997E-2</v>
      </c>
      <c r="I2130" s="1178">
        <f t="shared" si="130"/>
        <v>1.61</v>
      </c>
      <c r="J2130" s="1291"/>
    </row>
    <row r="2131" spans="1:10" s="1209" customFormat="1">
      <c r="A2131" s="1185"/>
      <c r="B2131" s="1199" t="s">
        <v>6700</v>
      </c>
      <c r="C2131" s="1186">
        <v>1</v>
      </c>
      <c r="D2131" s="1186" t="s">
        <v>3364</v>
      </c>
      <c r="E2131" s="1186">
        <v>1</v>
      </c>
      <c r="F2131" s="1177">
        <f>25+0.92</f>
        <v>25.92</v>
      </c>
      <c r="G2131" s="1177"/>
      <c r="H2131" s="1177">
        <v>7.4999999999999997E-2</v>
      </c>
      <c r="I2131" s="1178">
        <f t="shared" si="130"/>
        <v>1.94</v>
      </c>
      <c r="J2131" s="1291"/>
    </row>
    <row r="2132" spans="1:10" s="1209" customFormat="1">
      <c r="A2132" s="1185"/>
      <c r="B2132" s="1203" t="s">
        <v>3510</v>
      </c>
      <c r="C2132" s="1186"/>
      <c r="D2132" s="1186"/>
      <c r="E2132" s="1186"/>
      <c r="F2132" s="1177"/>
      <c r="G2132" s="1177"/>
      <c r="H2132" s="1177"/>
      <c r="I2132" s="1178">
        <f t="shared" si="130"/>
        <v>0</v>
      </c>
      <c r="J2132" s="1184"/>
    </row>
    <row r="2133" spans="1:10" s="1209" customFormat="1">
      <c r="A2133" s="1185"/>
      <c r="B2133" s="1199" t="s">
        <v>6553</v>
      </c>
      <c r="C2133" s="1186">
        <v>3</v>
      </c>
      <c r="D2133" s="1186" t="s">
        <v>3364</v>
      </c>
      <c r="E2133" s="1186">
        <v>2</v>
      </c>
      <c r="F2133" s="1177">
        <f>(35.278+16.13)*2</f>
        <v>102.816</v>
      </c>
      <c r="G2133" s="1177"/>
      <c r="H2133" s="1177">
        <v>0.05</v>
      </c>
      <c r="I2133" s="1178">
        <f t="shared" si="130"/>
        <v>30.84</v>
      </c>
      <c r="J2133" s="1291"/>
    </row>
    <row r="2134" spans="1:10" s="1209" customFormat="1">
      <c r="A2134" s="1185"/>
      <c r="B2134" s="1199" t="s">
        <v>6699</v>
      </c>
      <c r="C2134" s="1186">
        <v>1</v>
      </c>
      <c r="D2134" s="1186" t="s">
        <v>3364</v>
      </c>
      <c r="E2134" s="1186">
        <v>1</v>
      </c>
      <c r="F2134" s="1177">
        <f>(7.8+2.925)*2</f>
        <v>21.45</v>
      </c>
      <c r="G2134" s="1177"/>
      <c r="H2134" s="1177">
        <v>0.05</v>
      </c>
      <c r="I2134" s="1178">
        <f t="shared" si="130"/>
        <v>1.07</v>
      </c>
      <c r="J2134" s="1291"/>
    </row>
    <row r="2135" spans="1:10" s="1209" customFormat="1">
      <c r="A2135" s="1185"/>
      <c r="B2135" s="1199" t="s">
        <v>6700</v>
      </c>
      <c r="C2135" s="1186">
        <v>1</v>
      </c>
      <c r="D2135" s="1186" t="s">
        <v>3364</v>
      </c>
      <c r="E2135" s="1186">
        <v>1</v>
      </c>
      <c r="F2135" s="1177">
        <f>25+0.92</f>
        <v>25.92</v>
      </c>
      <c r="G2135" s="1177"/>
      <c r="H2135" s="1177">
        <v>0.05</v>
      </c>
      <c r="I2135" s="1178">
        <f t="shared" si="130"/>
        <v>1.3</v>
      </c>
      <c r="J2135" s="1291"/>
    </row>
    <row r="2136" spans="1:10" s="1209" customFormat="1">
      <c r="A2136" s="1185"/>
      <c r="B2136" s="1202" t="s">
        <v>7012</v>
      </c>
      <c r="C2136" s="1186"/>
      <c r="D2136" s="1186"/>
      <c r="E2136" s="1186"/>
      <c r="F2136" s="1177"/>
      <c r="G2136" s="1177"/>
      <c r="H2136" s="1177"/>
      <c r="I2136" s="1178">
        <f t="shared" si="130"/>
        <v>0</v>
      </c>
      <c r="J2136" s="1291"/>
    </row>
    <row r="2137" spans="1:10" s="1209" customFormat="1">
      <c r="A2137" s="1185"/>
      <c r="B2137" s="1199" t="s">
        <v>3414</v>
      </c>
      <c r="C2137" s="1186">
        <v>47</v>
      </c>
      <c r="D2137" s="1186" t="s">
        <v>3364</v>
      </c>
      <c r="E2137" s="1186">
        <v>2</v>
      </c>
      <c r="F2137" s="1344">
        <v>1.5</v>
      </c>
      <c r="G2137" s="1344">
        <v>1.35</v>
      </c>
      <c r="H2137" s="1177"/>
      <c r="I2137" s="1178">
        <f t="shared" si="130"/>
        <v>190.35</v>
      </c>
      <c r="J2137" s="1291"/>
    </row>
    <row r="2138" spans="1:10" s="1209" customFormat="1">
      <c r="A2138" s="1185"/>
      <c r="B2138" s="1199" t="s">
        <v>3400</v>
      </c>
      <c r="C2138" s="1186">
        <v>7</v>
      </c>
      <c r="D2138" s="1186" t="s">
        <v>3364</v>
      </c>
      <c r="E2138" s="1186">
        <v>2</v>
      </c>
      <c r="F2138" s="1344">
        <v>2</v>
      </c>
      <c r="G2138" s="1344">
        <v>1.65</v>
      </c>
      <c r="H2138" s="1177"/>
      <c r="I2138" s="1178">
        <f t="shared" si="130"/>
        <v>46.2</v>
      </c>
      <c r="J2138" s="1291"/>
    </row>
    <row r="2139" spans="1:10" s="1209" customFormat="1">
      <c r="A2139" s="1185"/>
      <c r="B2139" s="1199" t="s">
        <v>6968</v>
      </c>
      <c r="C2139" s="1186">
        <v>1</v>
      </c>
      <c r="D2139" s="1186" t="s">
        <v>3364</v>
      </c>
      <c r="E2139" s="1186">
        <v>2</v>
      </c>
      <c r="F2139" s="1344">
        <v>1.8</v>
      </c>
      <c r="G2139" s="1344">
        <v>1.05</v>
      </c>
      <c r="H2139" s="1177"/>
      <c r="I2139" s="1178">
        <f t="shared" si="130"/>
        <v>3.78</v>
      </c>
      <c r="J2139" s="1291"/>
    </row>
    <row r="2140" spans="1:10" s="1209" customFormat="1">
      <c r="A2140" s="1185"/>
      <c r="B2140" s="1199" t="s">
        <v>6969</v>
      </c>
      <c r="C2140" s="1186">
        <v>4</v>
      </c>
      <c r="D2140" s="1186" t="s">
        <v>3364</v>
      </c>
      <c r="E2140" s="1186">
        <v>2</v>
      </c>
      <c r="F2140" s="1344">
        <v>1.5</v>
      </c>
      <c r="G2140" s="1344">
        <v>1.35</v>
      </c>
      <c r="H2140" s="1177"/>
      <c r="I2140" s="1178">
        <f t="shared" si="130"/>
        <v>16.2</v>
      </c>
      <c r="J2140" s="1291"/>
    </row>
    <row r="2141" spans="1:10" s="1209" customFormat="1">
      <c r="A2141" s="1185"/>
      <c r="B2141" s="1199"/>
      <c r="C2141" s="1186"/>
      <c r="D2141" s="1186"/>
      <c r="E2141" s="1186"/>
      <c r="F2141" s="1344"/>
      <c r="G2141" s="1344"/>
      <c r="H2141" s="1177"/>
      <c r="I2141" s="1178">
        <f>SUM(I2125:I2140)</f>
        <v>392.93</v>
      </c>
      <c r="J2141" s="1184"/>
    </row>
    <row r="2142" spans="1:10" s="1209" customFormat="1">
      <c r="A2142" s="1185"/>
      <c r="B2142" s="1199"/>
      <c r="C2142" s="1186"/>
      <c r="D2142" s="1186"/>
      <c r="E2142" s="1186"/>
      <c r="F2142" s="1344"/>
      <c r="G2142" s="1344"/>
      <c r="H2142" s="1253" t="s">
        <v>2981</v>
      </c>
      <c r="I2142" s="1181">
        <f>CEILING(I2141,0.1)</f>
        <v>393</v>
      </c>
      <c r="J2142" s="1184" t="s">
        <v>468</v>
      </c>
    </row>
    <row r="2143" spans="1:10" s="1209" customFormat="1" ht="105.6" customHeight="1">
      <c r="A2143" s="1182">
        <v>52.4</v>
      </c>
      <c r="B2143" s="1200" t="s">
        <v>3649</v>
      </c>
      <c r="C2143" s="1186"/>
      <c r="D2143" s="1186"/>
      <c r="E2143" s="1186"/>
      <c r="F2143" s="1177"/>
      <c r="G2143" s="1177"/>
      <c r="H2143" s="1177"/>
      <c r="I2143" s="1178"/>
      <c r="J2143" s="1184"/>
    </row>
    <row r="2144" spans="1:10" s="1209" customFormat="1" ht="49.15" customHeight="1">
      <c r="A2144" s="1182"/>
      <c r="B2144" s="1200" t="s">
        <v>3650</v>
      </c>
      <c r="C2144" s="1186"/>
      <c r="D2144" s="1186"/>
      <c r="E2144" s="1186"/>
      <c r="F2144" s="1177"/>
      <c r="G2144" s="1177"/>
      <c r="H2144" s="1177"/>
      <c r="I2144" s="1178"/>
      <c r="J2144" s="1184"/>
    </row>
    <row r="2145" spans="1:10" s="1209" customFormat="1">
      <c r="A2145" s="1185"/>
      <c r="B2145" s="1255" t="s">
        <v>6727</v>
      </c>
      <c r="C2145" s="1186">
        <v>1</v>
      </c>
      <c r="D2145" s="1186" t="s">
        <v>3364</v>
      </c>
      <c r="E2145" s="1186">
        <v>1</v>
      </c>
      <c r="F2145" s="1177">
        <v>2.9249999999999998</v>
      </c>
      <c r="G2145" s="1177"/>
      <c r="H2145" s="1177"/>
      <c r="I2145" s="1178">
        <f t="shared" ref="I2145:I2161" si="131">PRODUCT(C2145:H2145)</f>
        <v>2.93</v>
      </c>
      <c r="J2145" s="1184"/>
    </row>
    <row r="2146" spans="1:10" s="1209" customFormat="1">
      <c r="A2146" s="1185"/>
      <c r="B2146" s="1255" t="s">
        <v>6727</v>
      </c>
      <c r="C2146" s="1186">
        <v>1</v>
      </c>
      <c r="D2146" s="1186" t="s">
        <v>3364</v>
      </c>
      <c r="E2146" s="1186">
        <v>1</v>
      </c>
      <c r="F2146" s="1177">
        <v>2</v>
      </c>
      <c r="G2146" s="1177"/>
      <c r="H2146" s="1177"/>
      <c r="I2146" s="1178">
        <f t="shared" si="131"/>
        <v>2</v>
      </c>
      <c r="J2146" s="1184"/>
    </row>
    <row r="2147" spans="1:10" s="1209" customFormat="1">
      <c r="A2147" s="1185"/>
      <c r="B2147" s="1255" t="s">
        <v>3491</v>
      </c>
      <c r="C2147" s="1186">
        <v>1</v>
      </c>
      <c r="D2147" s="1186" t="s">
        <v>3364</v>
      </c>
      <c r="E2147" s="1186">
        <v>1</v>
      </c>
      <c r="F2147" s="1177">
        <v>2</v>
      </c>
      <c r="G2147" s="1177"/>
      <c r="H2147" s="1177"/>
      <c r="I2147" s="1178">
        <f t="shared" si="131"/>
        <v>2</v>
      </c>
      <c r="J2147" s="1184"/>
    </row>
    <row r="2148" spans="1:10" s="1209" customFormat="1">
      <c r="A2148" s="1185"/>
      <c r="B2148" s="1255" t="s">
        <v>3638</v>
      </c>
      <c r="C2148" s="1186">
        <v>1</v>
      </c>
      <c r="D2148" s="1186" t="s">
        <v>3364</v>
      </c>
      <c r="E2148" s="1186">
        <v>1</v>
      </c>
      <c r="F2148" s="1177">
        <v>2</v>
      </c>
      <c r="G2148" s="1177"/>
      <c r="H2148" s="1177"/>
      <c r="I2148" s="1178">
        <f t="shared" si="131"/>
        <v>2</v>
      </c>
      <c r="J2148" s="1184"/>
    </row>
    <row r="2149" spans="1:10" s="1209" customFormat="1">
      <c r="A2149" s="1185"/>
      <c r="B2149" s="1255" t="s">
        <v>6734</v>
      </c>
      <c r="C2149" s="1186">
        <v>2</v>
      </c>
      <c r="D2149" s="1186" t="s">
        <v>3364</v>
      </c>
      <c r="E2149" s="1186">
        <v>12</v>
      </c>
      <c r="F2149" s="1177">
        <v>1.2</v>
      </c>
      <c r="G2149" s="1177"/>
      <c r="H2149" s="1177"/>
      <c r="I2149" s="1178">
        <f t="shared" si="131"/>
        <v>28.8</v>
      </c>
      <c r="J2149" s="1184"/>
    </row>
    <row r="2150" spans="1:10" s="1209" customFormat="1">
      <c r="A2150" s="1185"/>
      <c r="B2150" s="1255" t="s">
        <v>6888</v>
      </c>
      <c r="C2150" s="1186">
        <v>1</v>
      </c>
      <c r="D2150" s="1186" t="s">
        <v>3364</v>
      </c>
      <c r="E2150" s="1186">
        <v>1</v>
      </c>
      <c r="F2150" s="1177">
        <v>15.167999999999999</v>
      </c>
      <c r="G2150" s="1177"/>
      <c r="H2150" s="1177"/>
      <c r="I2150" s="1178">
        <f t="shared" si="131"/>
        <v>15.17</v>
      </c>
      <c r="J2150" s="1184"/>
    </row>
    <row r="2151" spans="1:10" s="1209" customFormat="1">
      <c r="A2151" s="1185"/>
      <c r="B2151" s="1255" t="s">
        <v>6744</v>
      </c>
      <c r="C2151" s="1186">
        <v>1</v>
      </c>
      <c r="D2151" s="1186" t="s">
        <v>3364</v>
      </c>
      <c r="E2151" s="1186">
        <v>1</v>
      </c>
      <c r="F2151" s="1177">
        <v>2.99</v>
      </c>
      <c r="G2151" s="1177"/>
      <c r="H2151" s="1177"/>
      <c r="I2151" s="1178">
        <f t="shared" si="131"/>
        <v>2.99</v>
      </c>
      <c r="J2151" s="1184"/>
    </row>
    <row r="2152" spans="1:10" s="1209" customFormat="1">
      <c r="A2152" s="1185"/>
      <c r="B2152" s="1255" t="s">
        <v>3491</v>
      </c>
      <c r="C2152" s="1186">
        <v>1</v>
      </c>
      <c r="D2152" s="1186" t="s">
        <v>3364</v>
      </c>
      <c r="E2152" s="1186">
        <v>1</v>
      </c>
      <c r="F2152" s="1177">
        <v>2</v>
      </c>
      <c r="G2152" s="1177"/>
      <c r="H2152" s="1177"/>
      <c r="I2152" s="1178">
        <f t="shared" si="131"/>
        <v>2</v>
      </c>
      <c r="J2152" s="1184"/>
    </row>
    <row r="2153" spans="1:10" s="1209" customFormat="1">
      <c r="A2153" s="1185"/>
      <c r="B2153" s="1255" t="s">
        <v>6734</v>
      </c>
      <c r="C2153" s="1186">
        <v>1</v>
      </c>
      <c r="D2153" s="1186" t="s">
        <v>3364</v>
      </c>
      <c r="E2153" s="1186">
        <v>12</v>
      </c>
      <c r="F2153" s="1177">
        <v>1.2</v>
      </c>
      <c r="G2153" s="1177"/>
      <c r="H2153" s="1177"/>
      <c r="I2153" s="1178">
        <f t="shared" si="131"/>
        <v>14.4</v>
      </c>
      <c r="J2153" s="1184"/>
    </row>
    <row r="2154" spans="1:10" s="1209" customFormat="1">
      <c r="A2154" s="1185"/>
      <c r="B2154" s="1255" t="s">
        <v>6888</v>
      </c>
      <c r="C2154" s="1186">
        <v>1</v>
      </c>
      <c r="D2154" s="1186" t="s">
        <v>3364</v>
      </c>
      <c r="E2154" s="1186">
        <v>1</v>
      </c>
      <c r="F2154" s="1177">
        <v>15.167999999999999</v>
      </c>
      <c r="G2154" s="1177"/>
      <c r="H2154" s="1177"/>
      <c r="I2154" s="1178">
        <f t="shared" si="131"/>
        <v>15.17</v>
      </c>
      <c r="J2154" s="1184"/>
    </row>
    <row r="2155" spans="1:10" s="1209" customFormat="1">
      <c r="A2155" s="1185"/>
      <c r="B2155" s="1255" t="s">
        <v>6753</v>
      </c>
      <c r="C2155" s="1186">
        <v>1</v>
      </c>
      <c r="D2155" s="1186" t="s">
        <v>3364</v>
      </c>
      <c r="E2155" s="1186">
        <v>1</v>
      </c>
      <c r="F2155" s="1177">
        <v>2.99</v>
      </c>
      <c r="G2155" s="1177"/>
      <c r="H2155" s="1177"/>
      <c r="I2155" s="1178">
        <f t="shared" si="131"/>
        <v>2.99</v>
      </c>
      <c r="J2155" s="1184"/>
    </row>
    <row r="2156" spans="1:10" s="1209" customFormat="1">
      <c r="A2156" s="1185"/>
      <c r="B2156" s="1255" t="s">
        <v>6889</v>
      </c>
      <c r="C2156" s="1186">
        <v>1</v>
      </c>
      <c r="D2156" s="1186" t="s">
        <v>3364</v>
      </c>
      <c r="E2156" s="1186">
        <v>1</v>
      </c>
      <c r="F2156" s="1177">
        <v>1.69</v>
      </c>
      <c r="G2156" s="1177"/>
      <c r="H2156" s="1177"/>
      <c r="I2156" s="1178">
        <f t="shared" si="131"/>
        <v>1.69</v>
      </c>
      <c r="J2156" s="1184"/>
    </row>
    <row r="2157" spans="1:10" s="1209" customFormat="1">
      <c r="A2157" s="1185"/>
      <c r="B2157" s="1255" t="s">
        <v>6890</v>
      </c>
      <c r="C2157" s="1186">
        <v>1</v>
      </c>
      <c r="D2157" s="1186" t="s">
        <v>3364</v>
      </c>
      <c r="E2157" s="1186">
        <v>1</v>
      </c>
      <c r="F2157" s="1177">
        <v>2</v>
      </c>
      <c r="G2157" s="1177"/>
      <c r="H2157" s="1177"/>
      <c r="I2157" s="1178">
        <f t="shared" si="131"/>
        <v>2</v>
      </c>
      <c r="J2157" s="1184"/>
    </row>
    <row r="2158" spans="1:10" s="1209" customFormat="1">
      <c r="A2158" s="1185"/>
      <c r="B2158" s="1255" t="s">
        <v>6891</v>
      </c>
      <c r="C2158" s="1186">
        <v>1</v>
      </c>
      <c r="D2158" s="1186" t="s">
        <v>3364</v>
      </c>
      <c r="E2158" s="1186">
        <v>2</v>
      </c>
      <c r="F2158" s="1177">
        <v>1.5</v>
      </c>
      <c r="G2158" s="1177"/>
      <c r="H2158" s="1177"/>
      <c r="I2158" s="1178">
        <f t="shared" si="131"/>
        <v>3</v>
      </c>
      <c r="J2158" s="1184"/>
    </row>
    <row r="2159" spans="1:10" s="1209" customFormat="1">
      <c r="A2159" s="1185"/>
      <c r="B2159" s="1255" t="s">
        <v>6734</v>
      </c>
      <c r="C2159" s="1186">
        <v>1</v>
      </c>
      <c r="D2159" s="1186" t="s">
        <v>3364</v>
      </c>
      <c r="E2159" s="1186">
        <v>3</v>
      </c>
      <c r="F2159" s="1177">
        <v>1.5</v>
      </c>
      <c r="G2159" s="1177"/>
      <c r="H2159" s="1177"/>
      <c r="I2159" s="1178">
        <f t="shared" si="131"/>
        <v>4.5</v>
      </c>
      <c r="J2159" s="1184"/>
    </row>
    <row r="2160" spans="1:10" s="1209" customFormat="1">
      <c r="A2160" s="1185"/>
      <c r="B2160" s="1255" t="s">
        <v>6727</v>
      </c>
      <c r="C2160" s="1186">
        <v>1</v>
      </c>
      <c r="D2160" s="1186" t="s">
        <v>3364</v>
      </c>
      <c r="E2160" s="1186">
        <v>1</v>
      </c>
      <c r="F2160" s="1177">
        <v>3.2050000000000001</v>
      </c>
      <c r="G2160" s="1177"/>
      <c r="H2160" s="1177"/>
      <c r="I2160" s="1178">
        <f t="shared" si="131"/>
        <v>3.21</v>
      </c>
      <c r="J2160" s="1184"/>
    </row>
    <row r="2161" spans="1:14" s="1209" customFormat="1">
      <c r="A2161" s="1185"/>
      <c r="B2161" s="1255" t="s">
        <v>6888</v>
      </c>
      <c r="C2161" s="1186">
        <v>1</v>
      </c>
      <c r="D2161" s="1186" t="s">
        <v>3364</v>
      </c>
      <c r="E2161" s="1186">
        <v>1</v>
      </c>
      <c r="F2161" s="1177">
        <v>2.2000000000000002</v>
      </c>
      <c r="G2161" s="1177"/>
      <c r="H2161" s="1177"/>
      <c r="I2161" s="1178">
        <f t="shared" si="131"/>
        <v>2.2000000000000002</v>
      </c>
      <c r="J2161" s="1184"/>
    </row>
    <row r="2162" spans="1:14" s="1209" customFormat="1">
      <c r="A2162" s="1185"/>
      <c r="B2162" s="1255"/>
      <c r="C2162" s="1186"/>
      <c r="D2162" s="1186"/>
      <c r="E2162" s="1186"/>
      <c r="F2162" s="1177"/>
      <c r="G2162" s="1177"/>
      <c r="H2162" s="1177"/>
      <c r="I2162" s="1178">
        <f>SUM(I2145:I2161)</f>
        <v>107.05</v>
      </c>
      <c r="J2162" s="1184"/>
    </row>
    <row r="2163" spans="1:14" s="1209" customFormat="1">
      <c r="A2163" s="1185"/>
      <c r="B2163" s="1199"/>
      <c r="C2163" s="1186"/>
      <c r="D2163" s="1186"/>
      <c r="E2163" s="1186"/>
      <c r="F2163" s="1177"/>
      <c r="G2163" s="1253"/>
      <c r="H2163" s="1253" t="s">
        <v>2981</v>
      </c>
      <c r="I2163" s="1181">
        <f>CEILING(I2162,0.1)</f>
        <v>107.1</v>
      </c>
      <c r="J2163" s="1184" t="s">
        <v>13</v>
      </c>
    </row>
    <row r="2164" spans="1:14" s="1212" customFormat="1" ht="31.5">
      <c r="A2164" s="1294">
        <v>53.4</v>
      </c>
      <c r="B2164" s="1293" t="s">
        <v>3651</v>
      </c>
      <c r="C2164" s="1303"/>
      <c r="D2164" s="1303"/>
      <c r="E2164" s="1303"/>
      <c r="F2164" s="1253"/>
      <c r="G2164" s="1253"/>
      <c r="H2164" s="1253"/>
      <c r="I2164" s="1181"/>
      <c r="J2164" s="1184"/>
      <c r="L2164" s="1209">
        <v>1</v>
      </c>
      <c r="M2164" s="1209"/>
      <c r="N2164" s="1209"/>
    </row>
    <row r="2165" spans="1:14" s="1209" customFormat="1">
      <c r="A2165" s="1345"/>
      <c r="B2165" s="1252" t="s">
        <v>3652</v>
      </c>
      <c r="C2165" s="1186">
        <v>1</v>
      </c>
      <c r="D2165" s="1186" t="s">
        <v>3364</v>
      </c>
      <c r="E2165" s="1186">
        <v>2</v>
      </c>
      <c r="F2165" s="1177"/>
      <c r="G2165" s="1177"/>
      <c r="H2165" s="1177"/>
      <c r="I2165" s="1178">
        <f>PRODUCT(C2165:H2165)</f>
        <v>2</v>
      </c>
      <c r="J2165" s="1275"/>
      <c r="L2165" s="1209">
        <v>1</v>
      </c>
    </row>
    <row r="2166" spans="1:14" s="1209" customFormat="1">
      <c r="A2166" s="1345"/>
      <c r="B2166" s="1252" t="s">
        <v>3653</v>
      </c>
      <c r="C2166" s="1186">
        <v>1</v>
      </c>
      <c r="D2166" s="1186" t="s">
        <v>3364</v>
      </c>
      <c r="E2166" s="1186">
        <v>2</v>
      </c>
      <c r="F2166" s="1177"/>
      <c r="G2166" s="1177"/>
      <c r="H2166" s="1177"/>
      <c r="I2166" s="1178">
        <f>PRODUCT(C2166:H2166)</f>
        <v>2</v>
      </c>
      <c r="J2166" s="1275"/>
    </row>
    <row r="2167" spans="1:14" s="1209" customFormat="1">
      <c r="A2167" s="1345"/>
      <c r="B2167" s="1199" t="s">
        <v>3654</v>
      </c>
      <c r="C2167" s="1186">
        <v>1</v>
      </c>
      <c r="D2167" s="1186" t="s">
        <v>3364</v>
      </c>
      <c r="E2167" s="1186">
        <v>2</v>
      </c>
      <c r="F2167" s="1177"/>
      <c r="G2167" s="1177"/>
      <c r="H2167" s="1177"/>
      <c r="I2167" s="1178">
        <f>PRODUCT(C2167:H2167)</f>
        <v>2</v>
      </c>
      <c r="J2167" s="1275"/>
    </row>
    <row r="2168" spans="1:14" s="1209" customFormat="1">
      <c r="A2168" s="1185"/>
      <c r="B2168" s="1199"/>
      <c r="C2168" s="1186"/>
      <c r="D2168" s="1186"/>
      <c r="E2168" s="1186"/>
      <c r="F2168" s="1177"/>
      <c r="G2168" s="1177"/>
      <c r="H2168" s="1177"/>
      <c r="I2168" s="1178">
        <f>SUM(I2165:I2167)</f>
        <v>6</v>
      </c>
      <c r="J2168" s="1184" t="s">
        <v>1034</v>
      </c>
    </row>
    <row r="2169" spans="1:14" s="1209" customFormat="1" ht="139.15" customHeight="1">
      <c r="A2169" s="1182">
        <v>53.5</v>
      </c>
      <c r="B2169" s="1200" t="s">
        <v>3655</v>
      </c>
      <c r="C2169" s="1186"/>
      <c r="D2169" s="1186"/>
      <c r="E2169" s="1186"/>
      <c r="F2169" s="1177"/>
      <c r="G2169" s="1177"/>
      <c r="H2169" s="1177"/>
      <c r="I2169" s="1178"/>
      <c r="J2169" s="1291"/>
    </row>
    <row r="2170" spans="1:14" s="1209" customFormat="1">
      <c r="A2170" s="1182"/>
      <c r="B2170" s="1203" t="s">
        <v>6790</v>
      </c>
      <c r="C2170" s="1186"/>
      <c r="D2170" s="1186"/>
      <c r="E2170" s="1186"/>
      <c r="F2170" s="1177"/>
      <c r="G2170" s="1177"/>
      <c r="H2170" s="1177"/>
      <c r="I2170" s="1178"/>
      <c r="J2170" s="1184"/>
    </row>
    <row r="2171" spans="1:14" s="1209" customFormat="1">
      <c r="A2171" s="1185"/>
      <c r="B2171" s="1199"/>
      <c r="C2171" s="1186">
        <v>3</v>
      </c>
      <c r="D2171" s="1186" t="s">
        <v>3364</v>
      </c>
      <c r="E2171" s="1186">
        <v>1</v>
      </c>
      <c r="F2171" s="1177"/>
      <c r="G2171" s="1177"/>
      <c r="H2171" s="1177"/>
      <c r="I2171" s="1278">
        <f t="shared" ref="I2171:I2177" si="132">PRODUCT(C2171:H2171)</f>
        <v>3</v>
      </c>
      <c r="J2171" s="1275"/>
    </row>
    <row r="2172" spans="1:14" s="1209" customFormat="1" ht="17.25" customHeight="1">
      <c r="A2172" s="1185"/>
      <c r="B2172" s="1202" t="s">
        <v>6668</v>
      </c>
      <c r="C2172" s="1186"/>
      <c r="D2172" s="1186"/>
      <c r="E2172" s="1186"/>
      <c r="F2172" s="1177"/>
      <c r="G2172" s="1177"/>
      <c r="H2172" s="1177"/>
      <c r="I2172" s="1278"/>
      <c r="J2172" s="1275"/>
    </row>
    <row r="2173" spans="1:14" s="1209" customFormat="1" ht="17.25" customHeight="1">
      <c r="A2173" s="1185"/>
      <c r="B2173" s="1199"/>
      <c r="C2173" s="1186">
        <v>7</v>
      </c>
      <c r="D2173" s="1186" t="s">
        <v>3364</v>
      </c>
      <c r="E2173" s="1186">
        <v>1</v>
      </c>
      <c r="F2173" s="1177"/>
      <c r="G2173" s="1177"/>
      <c r="H2173" s="1177"/>
      <c r="I2173" s="1278">
        <f t="shared" si="132"/>
        <v>7</v>
      </c>
      <c r="J2173" s="1275"/>
    </row>
    <row r="2174" spans="1:14" s="1209" customFormat="1" ht="17.25" customHeight="1">
      <c r="A2174" s="1185"/>
      <c r="B2174" s="1202" t="s">
        <v>3691</v>
      </c>
      <c r="C2174" s="1186"/>
      <c r="D2174" s="1186"/>
      <c r="E2174" s="1186"/>
      <c r="F2174" s="1177"/>
      <c r="G2174" s="1177"/>
      <c r="H2174" s="1177"/>
      <c r="I2174" s="1278"/>
      <c r="J2174" s="1275"/>
    </row>
    <row r="2175" spans="1:14" s="1209" customFormat="1" ht="17.25" customHeight="1">
      <c r="A2175" s="1185"/>
      <c r="B2175" s="1199"/>
      <c r="C2175" s="1186">
        <v>7</v>
      </c>
      <c r="D2175" s="1186" t="s">
        <v>3364</v>
      </c>
      <c r="E2175" s="1186">
        <v>1</v>
      </c>
      <c r="F2175" s="1177"/>
      <c r="G2175" s="1177"/>
      <c r="H2175" s="1177"/>
      <c r="I2175" s="1278">
        <f t="shared" si="132"/>
        <v>7</v>
      </c>
      <c r="J2175" s="1275"/>
    </row>
    <row r="2176" spans="1:14" s="1209" customFormat="1" ht="17.25" customHeight="1">
      <c r="A2176" s="1185"/>
      <c r="B2176" s="1202" t="s">
        <v>6994</v>
      </c>
      <c r="C2176" s="1186"/>
      <c r="D2176" s="1186"/>
      <c r="E2176" s="1186"/>
      <c r="F2176" s="1177"/>
      <c r="G2176" s="1177"/>
      <c r="H2176" s="1177"/>
      <c r="I2176" s="1278"/>
      <c r="J2176" s="1275"/>
    </row>
    <row r="2177" spans="1:10" s="1209" customFormat="1" ht="17.25" customHeight="1">
      <c r="A2177" s="1185"/>
      <c r="B2177" s="1199"/>
      <c r="C2177" s="1186">
        <v>7</v>
      </c>
      <c r="D2177" s="1186" t="s">
        <v>3364</v>
      </c>
      <c r="E2177" s="1186">
        <v>1</v>
      </c>
      <c r="F2177" s="1177"/>
      <c r="G2177" s="1177"/>
      <c r="H2177" s="1177"/>
      <c r="I2177" s="1278">
        <f t="shared" si="132"/>
        <v>7</v>
      </c>
      <c r="J2177" s="1275"/>
    </row>
    <row r="2178" spans="1:10" s="1209" customFormat="1">
      <c r="A2178" s="1185"/>
      <c r="B2178" s="1199"/>
      <c r="C2178" s="1186"/>
      <c r="D2178" s="1186"/>
      <c r="E2178" s="1186"/>
      <c r="F2178" s="1177"/>
      <c r="G2178" s="1177"/>
      <c r="H2178" s="1253" t="s">
        <v>104</v>
      </c>
      <c r="I2178" s="1181">
        <f>SUM(I2171:I2177)</f>
        <v>24</v>
      </c>
      <c r="J2178" s="1184" t="s">
        <v>3471</v>
      </c>
    </row>
    <row r="2179" spans="1:10" s="1209" customFormat="1" ht="47.25">
      <c r="A2179" s="1185"/>
      <c r="B2179" s="1252" t="s">
        <v>3661</v>
      </c>
      <c r="C2179" s="1186"/>
      <c r="D2179" s="1186"/>
      <c r="E2179" s="1186"/>
      <c r="F2179" s="1177"/>
      <c r="G2179" s="1177"/>
      <c r="H2179" s="1253"/>
      <c r="I2179" s="1181"/>
      <c r="J2179" s="1184"/>
    </row>
    <row r="2180" spans="1:10" s="1209" customFormat="1">
      <c r="A2180" s="1185"/>
      <c r="B2180" s="1199"/>
      <c r="C2180" s="1186">
        <v>3</v>
      </c>
      <c r="D2180" s="1186" t="s">
        <v>3364</v>
      </c>
      <c r="E2180" s="1186">
        <v>1</v>
      </c>
      <c r="F2180" s="1177"/>
      <c r="G2180" s="1177"/>
      <c r="H2180" s="1177"/>
      <c r="I2180" s="1178">
        <f>PRODUCT(C2180:H2180)</f>
        <v>3</v>
      </c>
      <c r="J2180" s="1184"/>
    </row>
    <row r="2181" spans="1:10" s="1209" customFormat="1">
      <c r="A2181" s="1185"/>
      <c r="B2181" s="1199"/>
      <c r="C2181" s="1186"/>
      <c r="D2181" s="1186"/>
      <c r="E2181" s="1186"/>
      <c r="F2181" s="1177"/>
      <c r="G2181" s="1177"/>
      <c r="H2181" s="1253"/>
      <c r="I2181" s="1181"/>
      <c r="J2181" s="1184"/>
    </row>
    <row r="2182" spans="1:10" s="1209" customFormat="1" ht="150.6" customHeight="1">
      <c r="A2182" s="1182">
        <v>58.3</v>
      </c>
      <c r="B2182" s="1200" t="s">
        <v>6896</v>
      </c>
      <c r="C2182" s="1186"/>
      <c r="D2182" s="1186"/>
      <c r="E2182" s="1186"/>
      <c r="F2182" s="1177"/>
      <c r="G2182" s="1177"/>
      <c r="H2182" s="1177"/>
      <c r="I2182" s="1178"/>
      <c r="J2182" s="1291"/>
    </row>
    <row r="2183" spans="1:10" s="1209" customFormat="1">
      <c r="A2183" s="1182"/>
      <c r="B2183" s="1203" t="s">
        <v>6897</v>
      </c>
      <c r="C2183" s="1186"/>
      <c r="D2183" s="1186"/>
      <c r="E2183" s="1186"/>
      <c r="F2183" s="1177"/>
      <c r="G2183" s="1177"/>
      <c r="H2183" s="1177"/>
      <c r="I2183" s="1178"/>
      <c r="J2183" s="1291"/>
    </row>
    <row r="2184" spans="1:10" s="1209" customFormat="1">
      <c r="A2184" s="1182"/>
      <c r="B2184" s="1203" t="s">
        <v>6898</v>
      </c>
      <c r="C2184" s="1186"/>
      <c r="D2184" s="1186"/>
      <c r="E2184" s="1186"/>
      <c r="F2184" s="1177"/>
      <c r="G2184" s="1177"/>
      <c r="H2184" s="1177"/>
      <c r="I2184" s="1178"/>
      <c r="J2184" s="1291"/>
    </row>
    <row r="2185" spans="1:10" s="1209" customFormat="1">
      <c r="A2185" s="1182"/>
      <c r="B2185" s="1201" t="s">
        <v>3480</v>
      </c>
      <c r="C2185" s="1186">
        <v>1</v>
      </c>
      <c r="D2185" s="1268" t="s">
        <v>3364</v>
      </c>
      <c r="E2185" s="1186">
        <v>2</v>
      </c>
      <c r="F2185" s="1177">
        <v>2.2000000000000002</v>
      </c>
      <c r="G2185" s="1269"/>
      <c r="H2185" s="1177"/>
      <c r="I2185" s="1178">
        <f t="shared" ref="I2185:I2191" si="133">PRODUCT(C2185:H2185)</f>
        <v>4.4000000000000004</v>
      </c>
      <c r="J2185" s="1291"/>
    </row>
    <row r="2186" spans="1:10" s="1209" customFormat="1">
      <c r="A2186" s="1182"/>
      <c r="B2186" s="1201" t="s">
        <v>3454</v>
      </c>
      <c r="C2186" s="1186">
        <v>1</v>
      </c>
      <c r="D2186" s="1268" t="s">
        <v>3364</v>
      </c>
      <c r="E2186" s="1186">
        <v>2</v>
      </c>
      <c r="F2186" s="1177">
        <v>2.2000000000000002</v>
      </c>
      <c r="G2186" s="1269"/>
      <c r="H2186" s="1177"/>
      <c r="I2186" s="1178">
        <f t="shared" si="133"/>
        <v>4.4000000000000004</v>
      </c>
      <c r="J2186" s="1291"/>
    </row>
    <row r="2187" spans="1:10" s="1209" customFormat="1">
      <c r="A2187" s="1182"/>
      <c r="B2187" s="1201" t="s">
        <v>6899</v>
      </c>
      <c r="C2187" s="1186">
        <v>2</v>
      </c>
      <c r="D2187" s="1268" t="s">
        <v>3364</v>
      </c>
      <c r="E2187" s="1186">
        <v>1</v>
      </c>
      <c r="F2187" s="1177">
        <v>3.5</v>
      </c>
      <c r="G2187" s="1269"/>
      <c r="H2187" s="1177"/>
      <c r="I2187" s="1178">
        <f t="shared" si="133"/>
        <v>7</v>
      </c>
      <c r="J2187" s="1291"/>
    </row>
    <row r="2188" spans="1:10" s="1209" customFormat="1">
      <c r="A2188" s="1182"/>
      <c r="B2188" s="1201" t="s">
        <v>6899</v>
      </c>
      <c r="C2188" s="1186">
        <v>2</v>
      </c>
      <c r="D2188" s="1268" t="s">
        <v>3364</v>
      </c>
      <c r="E2188" s="1186">
        <v>1</v>
      </c>
      <c r="F2188" s="1177">
        <v>2.5</v>
      </c>
      <c r="G2188" s="1269"/>
      <c r="H2188" s="1177"/>
      <c r="I2188" s="1178">
        <f t="shared" si="133"/>
        <v>5</v>
      </c>
      <c r="J2188" s="1291"/>
    </row>
    <row r="2189" spans="1:10" s="1209" customFormat="1">
      <c r="A2189" s="1182"/>
      <c r="B2189" s="1201" t="s">
        <v>6900</v>
      </c>
      <c r="C2189" s="1186">
        <v>1</v>
      </c>
      <c r="D2189" s="1268" t="s">
        <v>3364</v>
      </c>
      <c r="E2189" s="1186">
        <v>5</v>
      </c>
      <c r="F2189" s="1177">
        <v>1.2</v>
      </c>
      <c r="G2189" s="1269"/>
      <c r="H2189" s="1177"/>
      <c r="I2189" s="1178">
        <f t="shared" si="133"/>
        <v>6</v>
      </c>
      <c r="J2189" s="1291"/>
    </row>
    <row r="2190" spans="1:10" s="1209" customFormat="1">
      <c r="A2190" s="1185"/>
      <c r="B2190" s="1199" t="s">
        <v>6788</v>
      </c>
      <c r="C2190" s="1186">
        <v>2</v>
      </c>
      <c r="D2190" s="1268" t="s">
        <v>3364</v>
      </c>
      <c r="E2190" s="1186">
        <v>3</v>
      </c>
      <c r="F2190" s="1177">
        <f>9.9+0.75</f>
        <v>10.65</v>
      </c>
      <c r="G2190" s="1269"/>
      <c r="H2190" s="1177"/>
      <c r="I2190" s="1178">
        <f t="shared" si="133"/>
        <v>63.9</v>
      </c>
      <c r="J2190" s="1184"/>
    </row>
    <row r="2191" spans="1:10" s="1209" customFormat="1">
      <c r="A2191" s="1185"/>
      <c r="B2191" s="1201"/>
      <c r="C2191" s="1186">
        <v>2</v>
      </c>
      <c r="D2191" s="1268" t="s">
        <v>3364</v>
      </c>
      <c r="E2191" s="1186">
        <v>1</v>
      </c>
      <c r="F2191" s="1269">
        <v>4</v>
      </c>
      <c r="G2191" s="1269"/>
      <c r="H2191" s="1269"/>
      <c r="I2191" s="1178">
        <f t="shared" si="133"/>
        <v>8</v>
      </c>
      <c r="J2191" s="1184"/>
    </row>
    <row r="2192" spans="1:10" s="1209" customFormat="1">
      <c r="A2192" s="1185"/>
      <c r="B2192" s="1201" t="s">
        <v>6789</v>
      </c>
      <c r="C2192" s="1186">
        <v>2</v>
      </c>
      <c r="D2192" s="1268" t="s">
        <v>3364</v>
      </c>
      <c r="E2192" s="1186">
        <v>4</v>
      </c>
      <c r="F2192" s="1269">
        <v>1.6</v>
      </c>
      <c r="G2192" s="1269"/>
      <c r="H2192" s="1269"/>
      <c r="I2192" s="1178">
        <f>PRODUCT(C2192:H2192)</f>
        <v>12.8</v>
      </c>
      <c r="J2192" s="1184"/>
    </row>
    <row r="2193" spans="1:10" s="1209" customFormat="1">
      <c r="A2193" s="1185"/>
      <c r="B2193" s="1201"/>
      <c r="C2193" s="1186"/>
      <c r="D2193" s="1268"/>
      <c r="E2193" s="1186"/>
      <c r="F2193" s="1269"/>
      <c r="G2193" s="1269"/>
      <c r="H2193" s="1269"/>
      <c r="I2193" s="1178">
        <f>SUM(I2185:I2192)</f>
        <v>111.5</v>
      </c>
      <c r="J2193" s="1184"/>
    </row>
    <row r="2194" spans="1:10" s="1209" customFormat="1">
      <c r="A2194" s="1185"/>
      <c r="B2194" s="1199"/>
      <c r="C2194" s="1186"/>
      <c r="D2194" s="1186"/>
      <c r="E2194" s="1186"/>
      <c r="F2194" s="1177"/>
      <c r="G2194" s="1177"/>
      <c r="H2194" s="1253" t="s">
        <v>2981</v>
      </c>
      <c r="I2194" s="1181">
        <f>CEILING(I2193,0.1)</f>
        <v>111.5</v>
      </c>
      <c r="J2194" s="1184" t="s">
        <v>13</v>
      </c>
    </row>
    <row r="2195" spans="1:10" s="1209" customFormat="1">
      <c r="A2195" s="1185"/>
      <c r="B2195" s="1203" t="s">
        <v>6901</v>
      </c>
      <c r="C2195" s="1186"/>
      <c r="D2195" s="1186"/>
      <c r="E2195" s="1186"/>
      <c r="F2195" s="1177"/>
      <c r="G2195" s="1177"/>
      <c r="H2195" s="1177"/>
      <c r="I2195" s="1178"/>
      <c r="J2195" s="1184"/>
    </row>
    <row r="2196" spans="1:10" s="1209" customFormat="1">
      <c r="A2196" s="1185"/>
      <c r="B2196" s="1203" t="s">
        <v>6898</v>
      </c>
      <c r="C2196" s="1186"/>
      <c r="D2196" s="1186"/>
      <c r="E2196" s="1186"/>
      <c r="F2196" s="1177"/>
      <c r="G2196" s="1177"/>
      <c r="H2196" s="1177"/>
      <c r="I2196" s="1178"/>
      <c r="J2196" s="1184"/>
    </row>
    <row r="2197" spans="1:10" s="1209" customFormat="1">
      <c r="A2197" s="1182"/>
      <c r="B2197" s="1201" t="s">
        <v>3480</v>
      </c>
      <c r="C2197" s="1186">
        <v>1</v>
      </c>
      <c r="D2197" s="1268" t="s">
        <v>3364</v>
      </c>
      <c r="E2197" s="1186">
        <v>2</v>
      </c>
      <c r="F2197" s="1177">
        <v>2.2000000000000002</v>
      </c>
      <c r="G2197" s="1269"/>
      <c r="H2197" s="1177"/>
      <c r="I2197" s="1178">
        <f>PRODUCT(C2197:H2197)</f>
        <v>4.4000000000000004</v>
      </c>
      <c r="J2197" s="1291"/>
    </row>
    <row r="2198" spans="1:10" s="1209" customFormat="1">
      <c r="A2198" s="1182"/>
      <c r="B2198" s="1201" t="s">
        <v>3454</v>
      </c>
      <c r="C2198" s="1186">
        <v>1</v>
      </c>
      <c r="D2198" s="1268" t="s">
        <v>3364</v>
      </c>
      <c r="E2198" s="1186">
        <v>2</v>
      </c>
      <c r="F2198" s="1177">
        <v>2.2000000000000002</v>
      </c>
      <c r="G2198" s="1269"/>
      <c r="H2198" s="1177"/>
      <c r="I2198" s="1178">
        <f t="shared" ref="I2198:I2204" si="134">PRODUCT(C2198:H2198)</f>
        <v>4.4000000000000004</v>
      </c>
      <c r="J2198" s="1291"/>
    </row>
    <row r="2199" spans="1:10" s="1209" customFormat="1">
      <c r="A2199" s="1182"/>
      <c r="B2199" s="1201" t="s">
        <v>6899</v>
      </c>
      <c r="C2199" s="1186">
        <v>2</v>
      </c>
      <c r="D2199" s="1268" t="s">
        <v>3364</v>
      </c>
      <c r="E2199" s="1186">
        <v>1</v>
      </c>
      <c r="F2199" s="1177">
        <v>3.5</v>
      </c>
      <c r="G2199" s="1269"/>
      <c r="H2199" s="1177"/>
      <c r="I2199" s="1178">
        <f t="shared" si="134"/>
        <v>7</v>
      </c>
      <c r="J2199" s="1291"/>
    </row>
    <row r="2200" spans="1:10" s="1209" customFormat="1">
      <c r="A2200" s="1182"/>
      <c r="B2200" s="1201" t="s">
        <v>6899</v>
      </c>
      <c r="C2200" s="1186">
        <v>2</v>
      </c>
      <c r="D2200" s="1268" t="s">
        <v>3364</v>
      </c>
      <c r="E2200" s="1186">
        <v>1</v>
      </c>
      <c r="F2200" s="1177">
        <v>2.5</v>
      </c>
      <c r="G2200" s="1269"/>
      <c r="H2200" s="1177"/>
      <c r="I2200" s="1178">
        <f t="shared" si="134"/>
        <v>5</v>
      </c>
      <c r="J2200" s="1291"/>
    </row>
    <row r="2201" spans="1:10" s="1209" customFormat="1">
      <c r="A2201" s="1185"/>
      <c r="B2201" s="1201" t="s">
        <v>6900</v>
      </c>
      <c r="C2201" s="1186">
        <v>1</v>
      </c>
      <c r="D2201" s="1268" t="s">
        <v>3364</v>
      </c>
      <c r="E2201" s="1186">
        <v>5</v>
      </c>
      <c r="F2201" s="1177">
        <v>1.2</v>
      </c>
      <c r="G2201" s="1269"/>
      <c r="H2201" s="1177"/>
      <c r="I2201" s="1178">
        <f t="shared" si="134"/>
        <v>6</v>
      </c>
      <c r="J2201" s="1184"/>
    </row>
    <row r="2202" spans="1:10" s="1209" customFormat="1">
      <c r="A2202" s="1185"/>
      <c r="B2202" s="1199" t="s">
        <v>6788</v>
      </c>
      <c r="C2202" s="1186">
        <v>2</v>
      </c>
      <c r="D2202" s="1268" t="s">
        <v>3364</v>
      </c>
      <c r="E2202" s="1186">
        <v>3</v>
      </c>
      <c r="F2202" s="1177">
        <f>9.9+0.75</f>
        <v>10.65</v>
      </c>
      <c r="G2202" s="1269"/>
      <c r="H2202" s="1269"/>
      <c r="I2202" s="1178">
        <f t="shared" si="134"/>
        <v>63.9</v>
      </c>
      <c r="J2202" s="1184"/>
    </row>
    <row r="2203" spans="1:10" s="1209" customFormat="1">
      <c r="A2203" s="1185"/>
      <c r="B2203" s="1201"/>
      <c r="C2203" s="1186">
        <v>1</v>
      </c>
      <c r="D2203" s="1268" t="s">
        <v>3364</v>
      </c>
      <c r="E2203" s="1186">
        <v>1</v>
      </c>
      <c r="F2203" s="1269">
        <v>4</v>
      </c>
      <c r="G2203" s="1269"/>
      <c r="H2203" s="1269"/>
      <c r="I2203" s="1178">
        <f t="shared" si="134"/>
        <v>4</v>
      </c>
      <c r="J2203" s="1184"/>
    </row>
    <row r="2204" spans="1:10" s="1209" customFormat="1">
      <c r="A2204" s="1185"/>
      <c r="B2204" s="1201" t="s">
        <v>6789</v>
      </c>
      <c r="C2204" s="1186">
        <v>2</v>
      </c>
      <c r="D2204" s="1268" t="s">
        <v>3364</v>
      </c>
      <c r="E2204" s="1186">
        <v>4</v>
      </c>
      <c r="F2204" s="1269">
        <v>1.6</v>
      </c>
      <c r="G2204" s="1269"/>
      <c r="H2204" s="1269"/>
      <c r="I2204" s="1178">
        <f t="shared" si="134"/>
        <v>12.8</v>
      </c>
      <c r="J2204" s="1184"/>
    </row>
    <row r="2205" spans="1:10" s="1209" customFormat="1">
      <c r="A2205" s="1185"/>
      <c r="B2205" s="1201"/>
      <c r="C2205" s="1186"/>
      <c r="D2205" s="1268"/>
      <c r="E2205" s="1186"/>
      <c r="F2205" s="1269"/>
      <c r="G2205" s="1269"/>
      <c r="H2205" s="1269"/>
      <c r="I2205" s="1178">
        <f>SUM(I2197:I2204)</f>
        <v>107.5</v>
      </c>
      <c r="J2205" s="1184"/>
    </row>
    <row r="2206" spans="1:10" s="1209" customFormat="1">
      <c r="A2206" s="1185"/>
      <c r="B2206" s="1199"/>
      <c r="C2206" s="1186"/>
      <c r="D2206" s="1186"/>
      <c r="E2206" s="1186"/>
      <c r="F2206" s="1177"/>
      <c r="G2206" s="1177"/>
      <c r="H2206" s="1253" t="s">
        <v>2981</v>
      </c>
      <c r="I2206" s="1181">
        <f>CEILING(I2205,0.1)</f>
        <v>107.5</v>
      </c>
      <c r="J2206" s="1184" t="s">
        <v>13</v>
      </c>
    </row>
    <row r="2207" spans="1:10" s="1209" customFormat="1" ht="47.25">
      <c r="A2207" s="1182">
        <v>58.4</v>
      </c>
      <c r="B2207" s="1201" t="s">
        <v>3662</v>
      </c>
      <c r="C2207" s="1268"/>
      <c r="D2207" s="1268"/>
      <c r="E2207" s="1268"/>
      <c r="F2207" s="1269"/>
      <c r="G2207" s="1269"/>
      <c r="H2207" s="1188"/>
      <c r="I2207" s="1183"/>
      <c r="J2207" s="1189"/>
    </row>
    <row r="2208" spans="1:10" s="1209" customFormat="1">
      <c r="A2208" s="1185"/>
      <c r="B2208" s="1199" t="s">
        <v>3663</v>
      </c>
      <c r="C2208" s="1268">
        <v>4</v>
      </c>
      <c r="D2208" s="1268" t="s">
        <v>3364</v>
      </c>
      <c r="E2208" s="1268">
        <v>5</v>
      </c>
      <c r="F2208" s="1269">
        <v>8</v>
      </c>
      <c r="G2208" s="1269"/>
      <c r="H2208" s="1188"/>
      <c r="I2208" s="1183">
        <f>PRODUCT(C2208:H2208)</f>
        <v>160</v>
      </c>
      <c r="J2208" s="1189" t="s">
        <v>13</v>
      </c>
    </row>
    <row r="2209" spans="1:10" s="1209" customFormat="1" ht="31.5">
      <c r="A2209" s="1182">
        <v>75.2</v>
      </c>
      <c r="B2209" s="1200" t="s">
        <v>3677</v>
      </c>
      <c r="C2209" s="1186"/>
      <c r="D2209" s="1186"/>
      <c r="E2209" s="1186"/>
      <c r="F2209" s="1177"/>
      <c r="G2209" s="1177"/>
      <c r="H2209" s="1177"/>
      <c r="I2209" s="1178"/>
      <c r="J2209" s="1184"/>
    </row>
    <row r="2210" spans="1:10" s="1209" customFormat="1">
      <c r="A2210" s="1182"/>
      <c r="B2210" s="1346" t="s">
        <v>3678</v>
      </c>
      <c r="C2210" s="1186"/>
      <c r="D2210" s="1186"/>
      <c r="E2210" s="1186"/>
      <c r="F2210" s="1177"/>
      <c r="G2210" s="1177"/>
      <c r="H2210" s="1177"/>
      <c r="I2210" s="1178"/>
      <c r="J2210" s="1184"/>
    </row>
    <row r="2211" spans="1:10" s="1209" customFormat="1">
      <c r="A2211" s="1182"/>
      <c r="B2211" s="1203" t="s">
        <v>6790</v>
      </c>
      <c r="C2211" s="1186"/>
      <c r="D2211" s="1186"/>
      <c r="E2211" s="1186"/>
      <c r="F2211" s="1177"/>
      <c r="G2211" s="1177"/>
      <c r="H2211" s="1177"/>
      <c r="I2211" s="1178"/>
      <c r="J2211" s="1184"/>
    </row>
    <row r="2212" spans="1:10" s="1209" customFormat="1">
      <c r="A2212" s="1182"/>
      <c r="B2212" s="1201" t="s">
        <v>6618</v>
      </c>
      <c r="C2212" s="1186">
        <v>1</v>
      </c>
      <c r="D2212" s="1186" t="s">
        <v>3364</v>
      </c>
      <c r="E2212" s="1186">
        <v>1</v>
      </c>
      <c r="F2212" s="1177"/>
      <c r="G2212" s="1177"/>
      <c r="H2212" s="1177"/>
      <c r="I2212" s="1278">
        <f t="shared" ref="I2212:I2245" si="135">PRODUCT(C2212:H2212)</f>
        <v>1</v>
      </c>
      <c r="J2212" s="1275"/>
    </row>
    <row r="2213" spans="1:10" s="1209" customFormat="1">
      <c r="A2213" s="1185"/>
      <c r="B2213" s="1199" t="s">
        <v>6822</v>
      </c>
      <c r="C2213" s="1186">
        <v>2</v>
      </c>
      <c r="D2213" s="1186" t="s">
        <v>3364</v>
      </c>
      <c r="E2213" s="1186">
        <v>1</v>
      </c>
      <c r="F2213" s="1177"/>
      <c r="G2213" s="1177"/>
      <c r="H2213" s="1177"/>
      <c r="I2213" s="1278">
        <f t="shared" si="135"/>
        <v>2</v>
      </c>
      <c r="J2213" s="1275"/>
    </row>
    <row r="2214" spans="1:10" s="1209" customFormat="1">
      <c r="A2214" s="1185"/>
      <c r="B2214" s="1199" t="s">
        <v>6590</v>
      </c>
      <c r="C2214" s="1186">
        <v>2</v>
      </c>
      <c r="D2214" s="1186" t="s">
        <v>3364</v>
      </c>
      <c r="E2214" s="1186">
        <v>1</v>
      </c>
      <c r="F2214" s="1177"/>
      <c r="G2214" s="1177"/>
      <c r="H2214" s="1177"/>
      <c r="I2214" s="1278">
        <f t="shared" si="135"/>
        <v>2</v>
      </c>
      <c r="J2214" s="1275"/>
    </row>
    <row r="2215" spans="1:10" s="1209" customFormat="1">
      <c r="A2215" s="1185"/>
      <c r="B2215" s="1199" t="s">
        <v>3492</v>
      </c>
      <c r="C2215" s="1186">
        <v>2</v>
      </c>
      <c r="D2215" s="1186" t="s">
        <v>3364</v>
      </c>
      <c r="E2215" s="1186">
        <v>1</v>
      </c>
      <c r="F2215" s="1177"/>
      <c r="G2215" s="1177"/>
      <c r="H2215" s="1177"/>
      <c r="I2215" s="1278">
        <f t="shared" si="135"/>
        <v>2</v>
      </c>
      <c r="J2215" s="1275"/>
    </row>
    <row r="2216" spans="1:10" s="1209" customFormat="1">
      <c r="A2216" s="1185"/>
      <c r="B2216" s="1199" t="s">
        <v>6620</v>
      </c>
      <c r="C2216" s="1186">
        <v>4</v>
      </c>
      <c r="D2216" s="1186" t="s">
        <v>3364</v>
      </c>
      <c r="E2216" s="1186">
        <v>1</v>
      </c>
      <c r="F2216" s="1177"/>
      <c r="G2216" s="1177"/>
      <c r="H2216" s="1177"/>
      <c r="I2216" s="1278">
        <f t="shared" si="135"/>
        <v>4</v>
      </c>
      <c r="J2216" s="1275"/>
    </row>
    <row r="2217" spans="1:10" s="1209" customFormat="1" ht="17.25" customHeight="1">
      <c r="A2217" s="1185"/>
      <c r="B2217" s="1199" t="s">
        <v>6823</v>
      </c>
      <c r="C2217" s="1186">
        <v>4</v>
      </c>
      <c r="D2217" s="1186" t="s">
        <v>3364</v>
      </c>
      <c r="E2217" s="1186">
        <v>1</v>
      </c>
      <c r="F2217" s="1177"/>
      <c r="G2217" s="1177"/>
      <c r="H2217" s="1177"/>
      <c r="I2217" s="1278">
        <f t="shared" si="135"/>
        <v>4</v>
      </c>
      <c r="J2217" s="1275"/>
    </row>
    <row r="2218" spans="1:10" s="1209" customFormat="1" ht="17.25" customHeight="1">
      <c r="A2218" s="1185"/>
      <c r="B2218" s="1202" t="s">
        <v>6668</v>
      </c>
      <c r="C2218" s="1186"/>
      <c r="D2218" s="1186"/>
      <c r="E2218" s="1186"/>
      <c r="F2218" s="1177"/>
      <c r="G2218" s="1177"/>
      <c r="H2218" s="1177"/>
      <c r="I2218" s="1278">
        <f t="shared" si="135"/>
        <v>0</v>
      </c>
      <c r="J2218" s="1275"/>
    </row>
    <row r="2219" spans="1:10" s="1209" customFormat="1" ht="17.25" customHeight="1">
      <c r="A2219" s="1185"/>
      <c r="B2219" s="1199" t="s">
        <v>6824</v>
      </c>
      <c r="C2219" s="1186">
        <v>8</v>
      </c>
      <c r="D2219" s="1186" t="s">
        <v>3364</v>
      </c>
      <c r="E2219" s="1186">
        <v>1</v>
      </c>
      <c r="F2219" s="1177"/>
      <c r="G2219" s="1177"/>
      <c r="H2219" s="1177"/>
      <c r="I2219" s="1278">
        <f t="shared" si="135"/>
        <v>8</v>
      </c>
      <c r="J2219" s="1275"/>
    </row>
    <row r="2220" spans="1:10" s="1209" customFormat="1" ht="17.25" customHeight="1">
      <c r="A2220" s="1185"/>
      <c r="B2220" s="1199" t="s">
        <v>6825</v>
      </c>
      <c r="C2220" s="1186">
        <v>6</v>
      </c>
      <c r="D2220" s="1186" t="s">
        <v>3364</v>
      </c>
      <c r="E2220" s="1186">
        <v>3</v>
      </c>
      <c r="F2220" s="1177"/>
      <c r="G2220" s="1177"/>
      <c r="H2220" s="1177"/>
      <c r="I2220" s="1278">
        <f t="shared" si="135"/>
        <v>18</v>
      </c>
      <c r="J2220" s="1275"/>
    </row>
    <row r="2221" spans="1:10" s="1209" customFormat="1" ht="17.25" customHeight="1">
      <c r="A2221" s="1185"/>
      <c r="B2221" s="1199" t="s">
        <v>6826</v>
      </c>
      <c r="C2221" s="1186">
        <v>1</v>
      </c>
      <c r="D2221" s="1186" t="s">
        <v>3364</v>
      </c>
      <c r="E2221" s="1186">
        <v>2</v>
      </c>
      <c r="F2221" s="1177"/>
      <c r="G2221" s="1177"/>
      <c r="H2221" s="1177"/>
      <c r="I2221" s="1278">
        <f t="shared" si="135"/>
        <v>2</v>
      </c>
      <c r="J2221" s="1275"/>
    </row>
    <row r="2222" spans="1:10" s="1209" customFormat="1" ht="17.25" customHeight="1">
      <c r="A2222" s="1185"/>
      <c r="B2222" s="1199" t="s">
        <v>6827</v>
      </c>
      <c r="C2222" s="1186">
        <v>1</v>
      </c>
      <c r="D2222" s="1186" t="s">
        <v>3364</v>
      </c>
      <c r="E2222" s="1186">
        <v>1</v>
      </c>
      <c r="F2222" s="1177"/>
      <c r="G2222" s="1177"/>
      <c r="H2222" s="1177"/>
      <c r="I2222" s="1278">
        <f t="shared" si="135"/>
        <v>1</v>
      </c>
      <c r="J2222" s="1275"/>
    </row>
    <row r="2223" spans="1:10" s="1209" customFormat="1" ht="17.25" customHeight="1">
      <c r="A2223" s="1185"/>
      <c r="B2223" s="1199" t="s">
        <v>6828</v>
      </c>
      <c r="C2223" s="1186">
        <v>6</v>
      </c>
      <c r="D2223" s="1186" t="s">
        <v>3364</v>
      </c>
      <c r="E2223" s="1186">
        <v>1</v>
      </c>
      <c r="F2223" s="1177"/>
      <c r="G2223" s="1177"/>
      <c r="H2223" s="1177"/>
      <c r="I2223" s="1278">
        <f t="shared" si="135"/>
        <v>6</v>
      </c>
      <c r="J2223" s="1275"/>
    </row>
    <row r="2224" spans="1:10" s="1209" customFormat="1" ht="17.25" customHeight="1">
      <c r="A2224" s="1185"/>
      <c r="B2224" s="1199" t="s">
        <v>3492</v>
      </c>
      <c r="C2224" s="1186">
        <v>2</v>
      </c>
      <c r="D2224" s="1186" t="s">
        <v>3364</v>
      </c>
      <c r="E2224" s="1186">
        <v>1</v>
      </c>
      <c r="F2224" s="1177"/>
      <c r="G2224" s="1177"/>
      <c r="H2224" s="1177"/>
      <c r="I2224" s="1278">
        <f t="shared" si="135"/>
        <v>2</v>
      </c>
      <c r="J2224" s="1275"/>
    </row>
    <row r="2225" spans="1:10" s="1209" customFormat="1" ht="17.25" customHeight="1">
      <c r="A2225" s="1185"/>
      <c r="B2225" s="1199" t="s">
        <v>6830</v>
      </c>
      <c r="C2225" s="1186">
        <v>1</v>
      </c>
      <c r="D2225" s="1186" t="s">
        <v>3364</v>
      </c>
      <c r="E2225" s="1186">
        <v>1</v>
      </c>
      <c r="F2225" s="1177"/>
      <c r="G2225" s="1177"/>
      <c r="H2225" s="1177"/>
      <c r="I2225" s="1278">
        <f t="shared" si="135"/>
        <v>1</v>
      </c>
      <c r="J2225" s="1275"/>
    </row>
    <row r="2226" spans="1:10" s="1209" customFormat="1" ht="17.25" customHeight="1">
      <c r="A2226" s="1185"/>
      <c r="B2226" s="1202" t="s">
        <v>3691</v>
      </c>
      <c r="C2226" s="1186"/>
      <c r="D2226" s="1186"/>
      <c r="E2226" s="1186"/>
      <c r="F2226" s="1177"/>
      <c r="G2226" s="1177"/>
      <c r="H2226" s="1177"/>
      <c r="I2226" s="1278">
        <f t="shared" si="135"/>
        <v>0</v>
      </c>
      <c r="J2226" s="1275"/>
    </row>
    <row r="2227" spans="1:10" s="1209" customFormat="1" ht="17.25" customHeight="1">
      <c r="A2227" s="1185"/>
      <c r="B2227" s="1199" t="s">
        <v>6831</v>
      </c>
      <c r="C2227" s="1186">
        <v>6</v>
      </c>
      <c r="D2227" s="1186" t="s">
        <v>3364</v>
      </c>
      <c r="E2227" s="1186">
        <v>1</v>
      </c>
      <c r="F2227" s="1177"/>
      <c r="G2227" s="1177"/>
      <c r="H2227" s="1177"/>
      <c r="I2227" s="1278">
        <f t="shared" si="135"/>
        <v>6</v>
      </c>
      <c r="J2227" s="1275"/>
    </row>
    <row r="2228" spans="1:10" s="1209" customFormat="1" ht="17.25" customHeight="1">
      <c r="A2228" s="1185"/>
      <c r="B2228" s="1199" t="s">
        <v>6814</v>
      </c>
      <c r="C2228" s="1186">
        <v>2</v>
      </c>
      <c r="D2228" s="1186" t="s">
        <v>3364</v>
      </c>
      <c r="E2228" s="1186">
        <v>1</v>
      </c>
      <c r="F2228" s="1177"/>
      <c r="G2228" s="1177"/>
      <c r="H2228" s="1177"/>
      <c r="I2228" s="1278">
        <f t="shared" si="135"/>
        <v>2</v>
      </c>
      <c r="J2228" s="1275"/>
    </row>
    <row r="2229" spans="1:10" s="1209" customFormat="1" ht="17.25" customHeight="1">
      <c r="A2229" s="1185"/>
      <c r="B2229" s="1199" t="s">
        <v>6832</v>
      </c>
      <c r="C2229" s="1186">
        <v>6</v>
      </c>
      <c r="D2229" s="1186" t="s">
        <v>3364</v>
      </c>
      <c r="E2229" s="1186">
        <v>3</v>
      </c>
      <c r="F2229" s="1177"/>
      <c r="G2229" s="1177"/>
      <c r="H2229" s="1177"/>
      <c r="I2229" s="1278">
        <f t="shared" si="135"/>
        <v>18</v>
      </c>
      <c r="J2229" s="1275"/>
    </row>
    <row r="2230" spans="1:10" s="1209" customFormat="1" ht="17.25" customHeight="1">
      <c r="A2230" s="1185"/>
      <c r="B2230" s="1199" t="s">
        <v>6833</v>
      </c>
      <c r="C2230" s="1186">
        <v>2</v>
      </c>
      <c r="D2230" s="1186" t="s">
        <v>3364</v>
      </c>
      <c r="E2230" s="1186">
        <v>1</v>
      </c>
      <c r="F2230" s="1177"/>
      <c r="G2230" s="1177"/>
      <c r="H2230" s="1177"/>
      <c r="I2230" s="1278">
        <f t="shared" si="135"/>
        <v>2</v>
      </c>
      <c r="J2230" s="1275"/>
    </row>
    <row r="2231" spans="1:10" s="1209" customFormat="1" ht="17.25" customHeight="1">
      <c r="A2231" s="1185"/>
      <c r="B2231" s="1199" t="s">
        <v>6834</v>
      </c>
      <c r="C2231" s="1186">
        <v>2</v>
      </c>
      <c r="D2231" s="1186" t="s">
        <v>3364</v>
      </c>
      <c r="E2231" s="1186">
        <v>1</v>
      </c>
      <c r="F2231" s="1177"/>
      <c r="G2231" s="1177"/>
      <c r="H2231" s="1177"/>
      <c r="I2231" s="1278">
        <f t="shared" si="135"/>
        <v>2</v>
      </c>
      <c r="J2231" s="1275"/>
    </row>
    <row r="2232" spans="1:10" s="1209" customFormat="1" ht="17.25" customHeight="1">
      <c r="A2232" s="1185"/>
      <c r="B2232" s="1199" t="s">
        <v>6835</v>
      </c>
      <c r="C2232" s="1186">
        <v>6</v>
      </c>
      <c r="D2232" s="1186" t="s">
        <v>3364</v>
      </c>
      <c r="E2232" s="1186">
        <v>1</v>
      </c>
      <c r="F2232" s="1177"/>
      <c r="G2232" s="1177"/>
      <c r="H2232" s="1177"/>
      <c r="I2232" s="1278">
        <f t="shared" si="135"/>
        <v>6</v>
      </c>
      <c r="J2232" s="1275"/>
    </row>
    <row r="2233" spans="1:10" s="1209" customFormat="1" ht="17.25" customHeight="1">
      <c r="A2233" s="1185"/>
      <c r="B2233" s="1199" t="s">
        <v>6836</v>
      </c>
      <c r="C2233" s="1186">
        <v>3</v>
      </c>
      <c r="D2233" s="1186" t="s">
        <v>3364</v>
      </c>
      <c r="E2233" s="1186">
        <v>1</v>
      </c>
      <c r="F2233" s="1177"/>
      <c r="G2233" s="1177"/>
      <c r="H2233" s="1177"/>
      <c r="I2233" s="1278">
        <f t="shared" si="135"/>
        <v>3</v>
      </c>
      <c r="J2233" s="1275"/>
    </row>
    <row r="2234" spans="1:10" s="1209" customFormat="1" ht="17.25" customHeight="1">
      <c r="A2234" s="1185"/>
      <c r="B2234" s="1202" t="s">
        <v>6993</v>
      </c>
      <c r="C2234" s="1186"/>
      <c r="D2234" s="1186"/>
      <c r="E2234" s="1186"/>
      <c r="F2234" s="1177"/>
      <c r="G2234" s="1177"/>
      <c r="H2234" s="1177"/>
      <c r="I2234" s="1278">
        <f t="shared" si="135"/>
        <v>0</v>
      </c>
      <c r="J2234" s="1275"/>
    </row>
    <row r="2235" spans="1:10" s="1209" customFormat="1" ht="17.25" customHeight="1">
      <c r="A2235" s="1185"/>
      <c r="B2235" s="1199" t="s">
        <v>6837</v>
      </c>
      <c r="C2235" s="1186">
        <v>6</v>
      </c>
      <c r="D2235" s="1186" t="s">
        <v>3364</v>
      </c>
      <c r="E2235" s="1186">
        <v>1</v>
      </c>
      <c r="F2235" s="1177"/>
      <c r="G2235" s="1177"/>
      <c r="H2235" s="1177"/>
      <c r="I2235" s="1278">
        <f t="shared" si="135"/>
        <v>6</v>
      </c>
      <c r="J2235" s="1275"/>
    </row>
    <row r="2236" spans="1:10" s="1209" customFormat="1" ht="17.25" customHeight="1">
      <c r="A2236" s="1185"/>
      <c r="B2236" s="1199" t="s">
        <v>6600</v>
      </c>
      <c r="C2236" s="1186">
        <v>4</v>
      </c>
      <c r="D2236" s="1186" t="s">
        <v>3364</v>
      </c>
      <c r="E2236" s="1186">
        <v>1</v>
      </c>
      <c r="F2236" s="1177"/>
      <c r="G2236" s="1177"/>
      <c r="H2236" s="1177"/>
      <c r="I2236" s="1278">
        <f t="shared" si="135"/>
        <v>4</v>
      </c>
      <c r="J2236" s="1275"/>
    </row>
    <row r="2237" spans="1:10" s="1209" customFormat="1" ht="17.25" customHeight="1">
      <c r="A2237" s="1185"/>
      <c r="B2237" s="1199" t="s">
        <v>6838</v>
      </c>
      <c r="C2237" s="1186">
        <v>8</v>
      </c>
      <c r="D2237" s="1186" t="s">
        <v>3364</v>
      </c>
      <c r="E2237" s="1186">
        <v>1</v>
      </c>
      <c r="F2237" s="1177"/>
      <c r="G2237" s="1177"/>
      <c r="H2237" s="1177"/>
      <c r="I2237" s="1278">
        <f t="shared" si="135"/>
        <v>8</v>
      </c>
      <c r="J2237" s="1275"/>
    </row>
    <row r="2238" spans="1:10" s="1209" customFormat="1" ht="17.25" customHeight="1">
      <c r="A2238" s="1185"/>
      <c r="B2238" s="1199" t="s">
        <v>6602</v>
      </c>
      <c r="C2238" s="1186">
        <v>4</v>
      </c>
      <c r="D2238" s="1186" t="s">
        <v>3364</v>
      </c>
      <c r="E2238" s="1186">
        <v>1</v>
      </c>
      <c r="F2238" s="1177"/>
      <c r="G2238" s="1177"/>
      <c r="H2238" s="1177"/>
      <c r="I2238" s="1278">
        <f t="shared" si="135"/>
        <v>4</v>
      </c>
      <c r="J2238" s="1275"/>
    </row>
    <row r="2239" spans="1:10" s="1209" customFormat="1" ht="17.25" customHeight="1">
      <c r="A2239" s="1185"/>
      <c r="B2239" s="1199" t="s">
        <v>6839</v>
      </c>
      <c r="C2239" s="1186">
        <v>3</v>
      </c>
      <c r="D2239" s="1186" t="s">
        <v>3364</v>
      </c>
      <c r="E2239" s="1186">
        <v>1</v>
      </c>
      <c r="F2239" s="1177"/>
      <c r="G2239" s="1177"/>
      <c r="H2239" s="1177"/>
      <c r="I2239" s="1278">
        <f t="shared" si="135"/>
        <v>3</v>
      </c>
      <c r="J2239" s="1275"/>
    </row>
    <row r="2240" spans="1:10" s="1209" customFormat="1" ht="17.25" customHeight="1">
      <c r="A2240" s="1185"/>
      <c r="B2240" s="1199" t="s">
        <v>6683</v>
      </c>
      <c r="C2240" s="1186">
        <v>3</v>
      </c>
      <c r="D2240" s="1186" t="s">
        <v>3364</v>
      </c>
      <c r="E2240" s="1186">
        <v>1</v>
      </c>
      <c r="F2240" s="1177"/>
      <c r="G2240" s="1177"/>
      <c r="H2240" s="1177"/>
      <c r="I2240" s="1278">
        <f t="shared" si="135"/>
        <v>3</v>
      </c>
      <c r="J2240" s="1275"/>
    </row>
    <row r="2241" spans="1:10" s="1209" customFormat="1" ht="17.25" customHeight="1">
      <c r="A2241" s="1185"/>
      <c r="B2241" s="1199" t="s">
        <v>6800</v>
      </c>
      <c r="C2241" s="1186">
        <v>1</v>
      </c>
      <c r="D2241" s="1186" t="s">
        <v>3364</v>
      </c>
      <c r="E2241" s="1186">
        <v>1</v>
      </c>
      <c r="F2241" s="1177"/>
      <c r="G2241" s="1177"/>
      <c r="H2241" s="1177"/>
      <c r="I2241" s="1278">
        <f t="shared" si="135"/>
        <v>1</v>
      </c>
      <c r="J2241" s="1275"/>
    </row>
    <row r="2242" spans="1:10" s="1209" customFormat="1" ht="17.25" customHeight="1">
      <c r="A2242" s="1185"/>
      <c r="B2242" s="1199" t="s">
        <v>3484</v>
      </c>
      <c r="C2242" s="1186">
        <v>6</v>
      </c>
      <c r="D2242" s="1186" t="s">
        <v>3364</v>
      </c>
      <c r="E2242" s="1186">
        <v>1</v>
      </c>
      <c r="F2242" s="1177"/>
      <c r="G2242" s="1177"/>
      <c r="H2242" s="1177"/>
      <c r="I2242" s="1278">
        <f t="shared" si="135"/>
        <v>6</v>
      </c>
      <c r="J2242" s="1275"/>
    </row>
    <row r="2243" spans="1:10" s="1209" customFormat="1" ht="17.25" customHeight="1">
      <c r="A2243" s="1185"/>
      <c r="B2243" s="1199" t="s">
        <v>6840</v>
      </c>
      <c r="C2243" s="1186">
        <v>3</v>
      </c>
      <c r="D2243" s="1186" t="s">
        <v>3364</v>
      </c>
      <c r="E2243" s="1186">
        <v>2</v>
      </c>
      <c r="F2243" s="1177"/>
      <c r="G2243" s="1177"/>
      <c r="H2243" s="1177"/>
      <c r="I2243" s="1278">
        <f t="shared" si="135"/>
        <v>6</v>
      </c>
      <c r="J2243" s="1275"/>
    </row>
    <row r="2244" spans="1:10" s="1209" customFormat="1" ht="17.25" customHeight="1">
      <c r="A2244" s="1185"/>
      <c r="B2244" s="1199" t="s">
        <v>6836</v>
      </c>
      <c r="C2244" s="1186">
        <v>3</v>
      </c>
      <c r="D2244" s="1186" t="s">
        <v>3364</v>
      </c>
      <c r="E2244" s="1186">
        <v>1</v>
      </c>
      <c r="F2244" s="1177"/>
      <c r="G2244" s="1177"/>
      <c r="H2244" s="1177"/>
      <c r="I2244" s="1278">
        <f t="shared" si="135"/>
        <v>3</v>
      </c>
      <c r="J2244" s="1275"/>
    </row>
    <row r="2245" spans="1:10" s="1209" customFormat="1" ht="17.25" customHeight="1">
      <c r="A2245" s="1185"/>
      <c r="B2245" s="1199" t="s">
        <v>6841</v>
      </c>
      <c r="C2245" s="1186">
        <v>1</v>
      </c>
      <c r="D2245" s="1186" t="s">
        <v>3364</v>
      </c>
      <c r="E2245" s="1186">
        <v>1</v>
      </c>
      <c r="F2245" s="1177"/>
      <c r="G2245" s="1177"/>
      <c r="H2245" s="1177"/>
      <c r="I2245" s="1278">
        <f t="shared" si="135"/>
        <v>1</v>
      </c>
      <c r="J2245" s="1275"/>
    </row>
    <row r="2246" spans="1:10" s="1209" customFormat="1">
      <c r="A2246" s="1185"/>
      <c r="B2246" s="1199"/>
      <c r="C2246" s="1186"/>
      <c r="D2246" s="1186"/>
      <c r="E2246" s="1186"/>
      <c r="F2246" s="1177"/>
      <c r="G2246" s="1253" t="s">
        <v>104</v>
      </c>
      <c r="H2246" s="1177"/>
      <c r="I2246" s="1181">
        <f>SUM(I2212:I2245)</f>
        <v>137</v>
      </c>
      <c r="J2246" s="1184" t="s">
        <v>3471</v>
      </c>
    </row>
    <row r="2247" spans="1:10" s="1209" customFormat="1" ht="39.75" customHeight="1">
      <c r="A2247" s="1182">
        <v>84.3</v>
      </c>
      <c r="B2247" s="1201" t="s">
        <v>3679</v>
      </c>
      <c r="C2247" s="1186"/>
      <c r="D2247" s="1186"/>
      <c r="E2247" s="1186"/>
      <c r="F2247" s="1177"/>
      <c r="G2247" s="1177"/>
      <c r="H2247" s="1177"/>
      <c r="I2247" s="1178"/>
      <c r="J2247" s="1184"/>
    </row>
    <row r="2248" spans="1:10" s="1209" customFormat="1">
      <c r="A2248" s="1182"/>
      <c r="B2248" s="1203" t="s">
        <v>3680</v>
      </c>
      <c r="C2248" s="1186"/>
      <c r="D2248" s="1186"/>
      <c r="E2248" s="1186"/>
      <c r="F2248" s="1177"/>
      <c r="G2248" s="1177"/>
      <c r="H2248" s="1177"/>
      <c r="I2248" s="1178"/>
      <c r="J2248" s="1184"/>
    </row>
    <row r="2249" spans="1:10" s="1209" customFormat="1">
      <c r="A2249" s="1182"/>
      <c r="B2249" s="1201" t="s">
        <v>3372</v>
      </c>
      <c r="C2249" s="1186">
        <v>1</v>
      </c>
      <c r="D2249" s="1186" t="s">
        <v>3364</v>
      </c>
      <c r="E2249" s="1186">
        <v>1</v>
      </c>
      <c r="F2249" s="1177">
        <v>12</v>
      </c>
      <c r="G2249" s="1177"/>
      <c r="H2249" s="1177"/>
      <c r="I2249" s="1278">
        <f t="shared" ref="I2249:I2257" si="136">PRODUCT(C2249:H2249)</f>
        <v>12</v>
      </c>
      <c r="J2249" s="1184"/>
    </row>
    <row r="2250" spans="1:10" s="1209" customFormat="1">
      <c r="A2250" s="1182"/>
      <c r="B2250" s="1201" t="s">
        <v>6902</v>
      </c>
      <c r="C2250" s="1186">
        <v>1</v>
      </c>
      <c r="D2250" s="1186" t="s">
        <v>3364</v>
      </c>
      <c r="E2250" s="1186">
        <v>1</v>
      </c>
      <c r="F2250" s="1177">
        <v>16</v>
      </c>
      <c r="G2250" s="1177"/>
      <c r="H2250" s="1177"/>
      <c r="I2250" s="1278">
        <f t="shared" si="136"/>
        <v>16</v>
      </c>
      <c r="J2250" s="1184"/>
    </row>
    <row r="2251" spans="1:10" s="1209" customFormat="1">
      <c r="A2251" s="1182"/>
      <c r="B2251" s="1201" t="s">
        <v>6594</v>
      </c>
      <c r="C2251" s="1186">
        <v>1</v>
      </c>
      <c r="D2251" s="1186" t="s">
        <v>3364</v>
      </c>
      <c r="E2251" s="1186">
        <v>3</v>
      </c>
      <c r="F2251" s="1177">
        <v>14</v>
      </c>
      <c r="G2251" s="1177"/>
      <c r="H2251" s="1177"/>
      <c r="I2251" s="1278">
        <f t="shared" si="136"/>
        <v>42</v>
      </c>
      <c r="J2251" s="1184"/>
    </row>
    <row r="2252" spans="1:10" s="1209" customFormat="1">
      <c r="A2252" s="1182"/>
      <c r="B2252" s="1201" t="s">
        <v>6831</v>
      </c>
      <c r="C2252" s="1186">
        <v>1</v>
      </c>
      <c r="D2252" s="1186" t="s">
        <v>3364</v>
      </c>
      <c r="E2252" s="1186">
        <v>4</v>
      </c>
      <c r="F2252" s="1177">
        <v>13</v>
      </c>
      <c r="G2252" s="1177"/>
      <c r="H2252" s="1177"/>
      <c r="I2252" s="1278">
        <f t="shared" si="136"/>
        <v>52</v>
      </c>
      <c r="J2252" s="1184"/>
    </row>
    <row r="2253" spans="1:10" s="1209" customFormat="1">
      <c r="A2253" s="1182"/>
      <c r="B2253" s="1201" t="s">
        <v>6832</v>
      </c>
      <c r="C2253" s="1186">
        <v>2</v>
      </c>
      <c r="D2253" s="1186" t="s">
        <v>3364</v>
      </c>
      <c r="E2253" s="1186">
        <v>5</v>
      </c>
      <c r="F2253" s="1177">
        <v>16</v>
      </c>
      <c r="G2253" s="1177"/>
      <c r="H2253" s="1177"/>
      <c r="I2253" s="1278">
        <f t="shared" si="136"/>
        <v>160</v>
      </c>
      <c r="J2253" s="1184"/>
    </row>
    <row r="2254" spans="1:10" s="1209" customFormat="1">
      <c r="A2254" s="1182"/>
      <c r="B2254" s="1201" t="s">
        <v>6903</v>
      </c>
      <c r="C2254" s="1186">
        <v>2</v>
      </c>
      <c r="D2254" s="1186" t="s">
        <v>3364</v>
      </c>
      <c r="E2254" s="1186">
        <v>5</v>
      </c>
      <c r="F2254" s="1177">
        <v>15</v>
      </c>
      <c r="G2254" s="1177"/>
      <c r="H2254" s="1177"/>
      <c r="I2254" s="1278">
        <f t="shared" si="136"/>
        <v>150</v>
      </c>
      <c r="J2254" s="1184"/>
    </row>
    <row r="2255" spans="1:10" s="1209" customFormat="1">
      <c r="A2255" s="1182"/>
      <c r="B2255" s="1201" t="s">
        <v>6904</v>
      </c>
      <c r="C2255" s="1186">
        <v>1</v>
      </c>
      <c r="D2255" s="1186" t="s">
        <v>3364</v>
      </c>
      <c r="E2255" s="1186">
        <v>4</v>
      </c>
      <c r="F2255" s="1177">
        <v>10</v>
      </c>
      <c r="G2255" s="1177"/>
      <c r="H2255" s="1177"/>
      <c r="I2255" s="1278">
        <f t="shared" si="136"/>
        <v>40</v>
      </c>
      <c r="J2255" s="1184"/>
    </row>
    <row r="2256" spans="1:10" s="1209" customFormat="1">
      <c r="A2256" s="1182"/>
      <c r="B2256" s="1201" t="s">
        <v>6683</v>
      </c>
      <c r="C2256" s="1186">
        <v>1</v>
      </c>
      <c r="D2256" s="1186" t="s">
        <v>3364</v>
      </c>
      <c r="E2256" s="1186">
        <v>2</v>
      </c>
      <c r="F2256" s="1177">
        <v>23</v>
      </c>
      <c r="G2256" s="1177"/>
      <c r="H2256" s="1177"/>
      <c r="I2256" s="1278">
        <f t="shared" si="136"/>
        <v>46</v>
      </c>
      <c r="J2256" s="1184"/>
    </row>
    <row r="2257" spans="1:10" s="1209" customFormat="1">
      <c r="A2257" s="1182"/>
      <c r="B2257" s="1201" t="s">
        <v>6804</v>
      </c>
      <c r="C2257" s="1186">
        <v>3</v>
      </c>
      <c r="D2257" s="1186" t="s">
        <v>3364</v>
      </c>
      <c r="E2257" s="1186">
        <v>2</v>
      </c>
      <c r="F2257" s="1177">
        <v>13</v>
      </c>
      <c r="G2257" s="1177"/>
      <c r="H2257" s="1177"/>
      <c r="I2257" s="1278">
        <f t="shared" si="136"/>
        <v>78</v>
      </c>
      <c r="J2257" s="1184"/>
    </row>
    <row r="2258" spans="1:10" s="1209" customFormat="1">
      <c r="A2258" s="1182"/>
      <c r="B2258" s="1203"/>
      <c r="C2258" s="1186"/>
      <c r="D2258" s="1186"/>
      <c r="E2258" s="1186"/>
      <c r="F2258" s="1177"/>
      <c r="G2258" s="1177"/>
      <c r="H2258" s="1253" t="s">
        <v>104</v>
      </c>
      <c r="I2258" s="1181">
        <f>SUM(I2249:I2257)</f>
        <v>596</v>
      </c>
      <c r="J2258" s="1184" t="s">
        <v>13</v>
      </c>
    </row>
    <row r="2259" spans="1:10" s="1209" customFormat="1" ht="93.75" customHeight="1">
      <c r="A2259" s="1182">
        <v>77.7</v>
      </c>
      <c r="B2259" s="1203" t="s">
        <v>6905</v>
      </c>
      <c r="C2259" s="1186"/>
      <c r="D2259" s="1186"/>
      <c r="E2259" s="1186"/>
      <c r="F2259" s="1177"/>
      <c r="G2259" s="1177"/>
      <c r="H2259" s="1177"/>
      <c r="I2259" s="1178"/>
      <c r="J2259" s="1184"/>
    </row>
    <row r="2260" spans="1:10" s="1209" customFormat="1">
      <c r="A2260" s="1182"/>
      <c r="B2260" s="1203" t="s">
        <v>6790</v>
      </c>
      <c r="C2260" s="1186"/>
      <c r="D2260" s="1186"/>
      <c r="E2260" s="1186"/>
      <c r="F2260" s="1177"/>
      <c r="G2260" s="1177"/>
      <c r="H2260" s="1177"/>
      <c r="I2260" s="1178"/>
      <c r="J2260" s="1184"/>
    </row>
    <row r="2261" spans="1:10" s="1209" customFormat="1">
      <c r="A2261" s="1182"/>
      <c r="B2261" s="1201" t="s">
        <v>6618</v>
      </c>
      <c r="C2261" s="1186">
        <v>1</v>
      </c>
      <c r="D2261" s="1186" t="s">
        <v>3364</v>
      </c>
      <c r="E2261" s="1186">
        <v>1</v>
      </c>
      <c r="F2261" s="1177">
        <v>15</v>
      </c>
      <c r="G2261" s="1177"/>
      <c r="H2261" s="1177"/>
      <c r="I2261" s="1278">
        <f t="shared" ref="I2261:I2294" si="137">PRODUCT(C2261:H2261)</f>
        <v>15</v>
      </c>
      <c r="J2261" s="1275"/>
    </row>
    <row r="2262" spans="1:10" s="1209" customFormat="1">
      <c r="A2262" s="1185"/>
      <c r="B2262" s="1199" t="s">
        <v>6822</v>
      </c>
      <c r="C2262" s="1186">
        <v>1</v>
      </c>
      <c r="D2262" s="1186" t="s">
        <v>3364</v>
      </c>
      <c r="E2262" s="1186">
        <v>1</v>
      </c>
      <c r="F2262" s="1177">
        <v>15</v>
      </c>
      <c r="G2262" s="1177"/>
      <c r="H2262" s="1177"/>
      <c r="I2262" s="1278">
        <f t="shared" si="137"/>
        <v>15</v>
      </c>
      <c r="J2262" s="1275"/>
    </row>
    <row r="2263" spans="1:10" s="1209" customFormat="1">
      <c r="A2263" s="1185"/>
      <c r="B2263" s="1199" t="s">
        <v>6590</v>
      </c>
      <c r="C2263" s="1186">
        <v>1</v>
      </c>
      <c r="D2263" s="1186" t="s">
        <v>3364</v>
      </c>
      <c r="E2263" s="1186">
        <v>1</v>
      </c>
      <c r="F2263" s="1177">
        <v>15</v>
      </c>
      <c r="G2263" s="1177"/>
      <c r="H2263" s="1177"/>
      <c r="I2263" s="1278">
        <f t="shared" si="137"/>
        <v>15</v>
      </c>
      <c r="J2263" s="1275"/>
    </row>
    <row r="2264" spans="1:10" s="1209" customFormat="1">
      <c r="A2264" s="1185"/>
      <c r="B2264" s="1199" t="s">
        <v>3492</v>
      </c>
      <c r="C2264" s="1186">
        <v>1</v>
      </c>
      <c r="D2264" s="1186" t="s">
        <v>3364</v>
      </c>
      <c r="E2264" s="1186">
        <v>1</v>
      </c>
      <c r="F2264" s="1177">
        <v>15</v>
      </c>
      <c r="G2264" s="1177"/>
      <c r="H2264" s="1177"/>
      <c r="I2264" s="1278">
        <f t="shared" si="137"/>
        <v>15</v>
      </c>
      <c r="J2264" s="1275"/>
    </row>
    <row r="2265" spans="1:10" s="1209" customFormat="1">
      <c r="A2265" s="1185"/>
      <c r="B2265" s="1199" t="s">
        <v>6620</v>
      </c>
      <c r="C2265" s="1186">
        <v>1</v>
      </c>
      <c r="D2265" s="1186" t="s">
        <v>3364</v>
      </c>
      <c r="E2265" s="1186">
        <v>1</v>
      </c>
      <c r="F2265" s="1177">
        <v>15</v>
      </c>
      <c r="G2265" s="1177"/>
      <c r="H2265" s="1177"/>
      <c r="I2265" s="1278">
        <f t="shared" si="137"/>
        <v>15</v>
      </c>
      <c r="J2265" s="1275"/>
    </row>
    <row r="2266" spans="1:10" s="1209" customFormat="1" ht="17.25" customHeight="1">
      <c r="A2266" s="1185"/>
      <c r="B2266" s="1199" t="s">
        <v>6823</v>
      </c>
      <c r="C2266" s="1186">
        <v>1</v>
      </c>
      <c r="D2266" s="1186" t="s">
        <v>3364</v>
      </c>
      <c r="E2266" s="1186">
        <v>1</v>
      </c>
      <c r="F2266" s="1177">
        <v>15</v>
      </c>
      <c r="G2266" s="1177"/>
      <c r="H2266" s="1177"/>
      <c r="I2266" s="1278">
        <f t="shared" si="137"/>
        <v>15</v>
      </c>
      <c r="J2266" s="1275"/>
    </row>
    <row r="2267" spans="1:10" s="1209" customFormat="1" ht="17.25" customHeight="1">
      <c r="A2267" s="1185"/>
      <c r="B2267" s="1202" t="s">
        <v>6668</v>
      </c>
      <c r="C2267" s="1186"/>
      <c r="D2267" s="1186"/>
      <c r="E2267" s="1186"/>
      <c r="F2267" s="1177"/>
      <c r="G2267" s="1177"/>
      <c r="H2267" s="1177"/>
      <c r="I2267" s="1278">
        <f t="shared" si="137"/>
        <v>0</v>
      </c>
      <c r="J2267" s="1275"/>
    </row>
    <row r="2268" spans="1:10" s="1209" customFormat="1" ht="17.25" customHeight="1">
      <c r="A2268" s="1185"/>
      <c r="B2268" s="1199" t="s">
        <v>6824</v>
      </c>
      <c r="C2268" s="1186">
        <v>2</v>
      </c>
      <c r="D2268" s="1186" t="s">
        <v>3364</v>
      </c>
      <c r="E2268" s="1186">
        <v>1</v>
      </c>
      <c r="F2268" s="1177">
        <v>15</v>
      </c>
      <c r="G2268" s="1177"/>
      <c r="H2268" s="1177"/>
      <c r="I2268" s="1278">
        <f t="shared" si="137"/>
        <v>30</v>
      </c>
      <c r="J2268" s="1275"/>
    </row>
    <row r="2269" spans="1:10" s="1209" customFormat="1" ht="17.25" customHeight="1">
      <c r="A2269" s="1185"/>
      <c r="B2269" s="1199" t="s">
        <v>6825</v>
      </c>
      <c r="C2269" s="1186">
        <v>2</v>
      </c>
      <c r="D2269" s="1186" t="s">
        <v>3364</v>
      </c>
      <c r="E2269" s="1186">
        <v>3</v>
      </c>
      <c r="F2269" s="1177">
        <v>15</v>
      </c>
      <c r="G2269" s="1177"/>
      <c r="H2269" s="1177"/>
      <c r="I2269" s="1278">
        <f t="shared" si="137"/>
        <v>90</v>
      </c>
      <c r="J2269" s="1275"/>
    </row>
    <row r="2270" spans="1:10" s="1209" customFormat="1" ht="17.25" customHeight="1">
      <c r="A2270" s="1185"/>
      <c r="B2270" s="1199" t="s">
        <v>6826</v>
      </c>
      <c r="C2270" s="1186">
        <v>1</v>
      </c>
      <c r="D2270" s="1186" t="s">
        <v>3364</v>
      </c>
      <c r="E2270" s="1186">
        <v>2</v>
      </c>
      <c r="F2270" s="1177">
        <v>15</v>
      </c>
      <c r="G2270" s="1177"/>
      <c r="H2270" s="1177"/>
      <c r="I2270" s="1278">
        <f t="shared" si="137"/>
        <v>30</v>
      </c>
      <c r="J2270" s="1275"/>
    </row>
    <row r="2271" spans="1:10" s="1209" customFormat="1" ht="17.25" customHeight="1">
      <c r="A2271" s="1185"/>
      <c r="B2271" s="1199" t="s">
        <v>6827</v>
      </c>
      <c r="C2271" s="1186">
        <v>1</v>
      </c>
      <c r="D2271" s="1186" t="s">
        <v>3364</v>
      </c>
      <c r="E2271" s="1186">
        <v>1</v>
      </c>
      <c r="F2271" s="1177">
        <v>15</v>
      </c>
      <c r="G2271" s="1177"/>
      <c r="H2271" s="1177"/>
      <c r="I2271" s="1278">
        <f t="shared" si="137"/>
        <v>15</v>
      </c>
      <c r="J2271" s="1275"/>
    </row>
    <row r="2272" spans="1:10" s="1209" customFormat="1" ht="17.25" customHeight="1">
      <c r="A2272" s="1185"/>
      <c r="B2272" s="1199" t="s">
        <v>6828</v>
      </c>
      <c r="C2272" s="1186">
        <v>2</v>
      </c>
      <c r="D2272" s="1186" t="s">
        <v>3364</v>
      </c>
      <c r="E2272" s="1186">
        <v>1</v>
      </c>
      <c r="F2272" s="1177">
        <v>15</v>
      </c>
      <c r="G2272" s="1177"/>
      <c r="H2272" s="1177"/>
      <c r="I2272" s="1278">
        <f t="shared" si="137"/>
        <v>30</v>
      </c>
      <c r="J2272" s="1275"/>
    </row>
    <row r="2273" spans="1:10" s="1209" customFormat="1" ht="17.25" customHeight="1">
      <c r="A2273" s="1185"/>
      <c r="B2273" s="1199" t="s">
        <v>3492</v>
      </c>
      <c r="C2273" s="1186">
        <v>1</v>
      </c>
      <c r="D2273" s="1186" t="s">
        <v>3364</v>
      </c>
      <c r="E2273" s="1186">
        <v>1</v>
      </c>
      <c r="F2273" s="1177">
        <v>15</v>
      </c>
      <c r="G2273" s="1177"/>
      <c r="H2273" s="1177"/>
      <c r="I2273" s="1278">
        <f t="shared" si="137"/>
        <v>15</v>
      </c>
      <c r="J2273" s="1275"/>
    </row>
    <row r="2274" spans="1:10" s="1209" customFormat="1" ht="17.25" customHeight="1">
      <c r="A2274" s="1185"/>
      <c r="B2274" s="1199" t="s">
        <v>6830</v>
      </c>
      <c r="C2274" s="1186">
        <v>1</v>
      </c>
      <c r="D2274" s="1186" t="s">
        <v>3364</v>
      </c>
      <c r="E2274" s="1186">
        <v>1</v>
      </c>
      <c r="F2274" s="1177">
        <v>15</v>
      </c>
      <c r="G2274" s="1177"/>
      <c r="H2274" s="1177"/>
      <c r="I2274" s="1278">
        <f t="shared" si="137"/>
        <v>15</v>
      </c>
      <c r="J2274" s="1275"/>
    </row>
    <row r="2275" spans="1:10" s="1209" customFormat="1" ht="17.25" customHeight="1">
      <c r="A2275" s="1185"/>
      <c r="B2275" s="1202" t="s">
        <v>3691</v>
      </c>
      <c r="C2275" s="1186"/>
      <c r="D2275" s="1186"/>
      <c r="E2275" s="1186"/>
      <c r="F2275" s="1177"/>
      <c r="G2275" s="1177"/>
      <c r="H2275" s="1177"/>
      <c r="I2275" s="1278">
        <f t="shared" si="137"/>
        <v>0</v>
      </c>
      <c r="J2275" s="1275"/>
    </row>
    <row r="2276" spans="1:10" s="1209" customFormat="1" ht="17.25" customHeight="1">
      <c r="A2276" s="1185"/>
      <c r="B2276" s="1199" t="s">
        <v>6831</v>
      </c>
      <c r="C2276" s="1186">
        <v>2</v>
      </c>
      <c r="D2276" s="1186" t="s">
        <v>3364</v>
      </c>
      <c r="E2276" s="1186">
        <v>1</v>
      </c>
      <c r="F2276" s="1177">
        <v>8.4</v>
      </c>
      <c r="G2276" s="1177"/>
      <c r="H2276" s="1177"/>
      <c r="I2276" s="1278">
        <f t="shared" si="137"/>
        <v>16.8</v>
      </c>
      <c r="J2276" s="1275"/>
    </row>
    <row r="2277" spans="1:10" s="1209" customFormat="1" ht="17.25" customHeight="1">
      <c r="A2277" s="1185"/>
      <c r="B2277" s="1199" t="s">
        <v>6814</v>
      </c>
      <c r="C2277" s="1186">
        <v>2</v>
      </c>
      <c r="D2277" s="1186" t="s">
        <v>3364</v>
      </c>
      <c r="E2277" s="1186">
        <v>1</v>
      </c>
      <c r="F2277" s="1177">
        <v>15</v>
      </c>
      <c r="G2277" s="1177"/>
      <c r="H2277" s="1177"/>
      <c r="I2277" s="1278">
        <f t="shared" si="137"/>
        <v>30</v>
      </c>
      <c r="J2277" s="1275"/>
    </row>
    <row r="2278" spans="1:10" s="1209" customFormat="1" ht="17.25" customHeight="1">
      <c r="A2278" s="1185"/>
      <c r="B2278" s="1199" t="s">
        <v>6832</v>
      </c>
      <c r="C2278" s="1186">
        <v>2</v>
      </c>
      <c r="D2278" s="1186" t="s">
        <v>3364</v>
      </c>
      <c r="E2278" s="1186">
        <v>2</v>
      </c>
      <c r="F2278" s="1177">
        <v>3.2</v>
      </c>
      <c r="G2278" s="1177"/>
      <c r="H2278" s="1177"/>
      <c r="I2278" s="1278">
        <f t="shared" si="137"/>
        <v>12.8</v>
      </c>
      <c r="J2278" s="1275"/>
    </row>
    <row r="2279" spans="1:10" s="1209" customFormat="1" ht="17.25" customHeight="1">
      <c r="A2279" s="1185"/>
      <c r="B2279" s="1199" t="s">
        <v>6833</v>
      </c>
      <c r="C2279" s="1186">
        <v>1</v>
      </c>
      <c r="D2279" s="1186" t="s">
        <v>3364</v>
      </c>
      <c r="E2279" s="1186">
        <v>1</v>
      </c>
      <c r="F2279" s="1177">
        <v>6.5</v>
      </c>
      <c r="G2279" s="1177"/>
      <c r="H2279" s="1177"/>
      <c r="I2279" s="1278">
        <f t="shared" si="137"/>
        <v>6.5</v>
      </c>
      <c r="J2279" s="1275"/>
    </row>
    <row r="2280" spans="1:10" s="1209" customFormat="1" ht="17.25" customHeight="1">
      <c r="A2280" s="1185"/>
      <c r="B2280" s="1199" t="s">
        <v>6834</v>
      </c>
      <c r="C2280" s="1186">
        <v>1</v>
      </c>
      <c r="D2280" s="1186" t="s">
        <v>3364</v>
      </c>
      <c r="E2280" s="1186">
        <v>1</v>
      </c>
      <c r="F2280" s="1177">
        <v>23.6</v>
      </c>
      <c r="G2280" s="1177"/>
      <c r="H2280" s="1177"/>
      <c r="I2280" s="1278">
        <f t="shared" si="137"/>
        <v>23.6</v>
      </c>
      <c r="J2280" s="1275"/>
    </row>
    <row r="2281" spans="1:10" s="1209" customFormat="1" ht="17.25" customHeight="1">
      <c r="A2281" s="1185"/>
      <c r="B2281" s="1199" t="s">
        <v>6835</v>
      </c>
      <c r="C2281" s="1186">
        <v>1</v>
      </c>
      <c r="D2281" s="1186" t="s">
        <v>3364</v>
      </c>
      <c r="E2281" s="1186">
        <v>1</v>
      </c>
      <c r="F2281" s="1177">
        <v>15</v>
      </c>
      <c r="G2281" s="1177"/>
      <c r="H2281" s="1177"/>
      <c r="I2281" s="1278">
        <f t="shared" si="137"/>
        <v>15</v>
      </c>
      <c r="J2281" s="1275"/>
    </row>
    <row r="2282" spans="1:10" s="1209" customFormat="1" ht="17.25" customHeight="1">
      <c r="A2282" s="1185"/>
      <c r="B2282" s="1199" t="s">
        <v>6836</v>
      </c>
      <c r="C2282" s="1186">
        <v>1</v>
      </c>
      <c r="D2282" s="1186" t="s">
        <v>3364</v>
      </c>
      <c r="E2282" s="1186">
        <v>1</v>
      </c>
      <c r="F2282" s="1177">
        <v>27</v>
      </c>
      <c r="G2282" s="1177"/>
      <c r="H2282" s="1177"/>
      <c r="I2282" s="1278">
        <f t="shared" si="137"/>
        <v>27</v>
      </c>
      <c r="J2282" s="1275"/>
    </row>
    <row r="2283" spans="1:10" s="1209" customFormat="1" ht="17.25" customHeight="1">
      <c r="A2283" s="1185"/>
      <c r="B2283" s="1202" t="s">
        <v>6993</v>
      </c>
      <c r="C2283" s="1186"/>
      <c r="D2283" s="1186"/>
      <c r="E2283" s="1186"/>
      <c r="F2283" s="1177"/>
      <c r="G2283" s="1177"/>
      <c r="H2283" s="1177"/>
      <c r="I2283" s="1278">
        <f t="shared" si="137"/>
        <v>0</v>
      </c>
      <c r="J2283" s="1275"/>
    </row>
    <row r="2284" spans="1:10" s="1209" customFormat="1" ht="17.25" customHeight="1">
      <c r="A2284" s="1185"/>
      <c r="B2284" s="1199" t="s">
        <v>6837</v>
      </c>
      <c r="C2284" s="1186">
        <v>2</v>
      </c>
      <c r="D2284" s="1186" t="s">
        <v>3364</v>
      </c>
      <c r="E2284" s="1186">
        <v>1</v>
      </c>
      <c r="F2284" s="1177">
        <v>13</v>
      </c>
      <c r="G2284" s="1177"/>
      <c r="H2284" s="1177"/>
      <c r="I2284" s="1278">
        <f t="shared" si="137"/>
        <v>26</v>
      </c>
      <c r="J2284" s="1275"/>
    </row>
    <row r="2285" spans="1:10" s="1209" customFormat="1" ht="17.25" customHeight="1">
      <c r="A2285" s="1185"/>
      <c r="B2285" s="1199" t="s">
        <v>6600</v>
      </c>
      <c r="C2285" s="1186">
        <v>2</v>
      </c>
      <c r="D2285" s="1186" t="s">
        <v>3364</v>
      </c>
      <c r="E2285" s="1186">
        <v>1</v>
      </c>
      <c r="F2285" s="1177">
        <v>15</v>
      </c>
      <c r="G2285" s="1177"/>
      <c r="H2285" s="1177"/>
      <c r="I2285" s="1278">
        <f t="shared" si="137"/>
        <v>30</v>
      </c>
      <c r="J2285" s="1275"/>
    </row>
    <row r="2286" spans="1:10" s="1209" customFormat="1" ht="17.25" customHeight="1">
      <c r="A2286" s="1185"/>
      <c r="B2286" s="1199" t="s">
        <v>6838</v>
      </c>
      <c r="C2286" s="1186">
        <v>2</v>
      </c>
      <c r="D2286" s="1186" t="s">
        <v>3364</v>
      </c>
      <c r="E2286" s="1186">
        <v>1</v>
      </c>
      <c r="F2286" s="1177">
        <v>11.6</v>
      </c>
      <c r="G2286" s="1177"/>
      <c r="H2286" s="1177"/>
      <c r="I2286" s="1278">
        <f t="shared" si="137"/>
        <v>23.2</v>
      </c>
      <c r="J2286" s="1275"/>
    </row>
    <row r="2287" spans="1:10" s="1209" customFormat="1" ht="17.25" customHeight="1">
      <c r="A2287" s="1185"/>
      <c r="B2287" s="1199" t="s">
        <v>6602</v>
      </c>
      <c r="C2287" s="1186">
        <v>2</v>
      </c>
      <c r="D2287" s="1186" t="s">
        <v>3364</v>
      </c>
      <c r="E2287" s="1186">
        <v>1</v>
      </c>
      <c r="F2287" s="1177">
        <v>15</v>
      </c>
      <c r="G2287" s="1177"/>
      <c r="H2287" s="1177"/>
      <c r="I2287" s="1278">
        <f t="shared" si="137"/>
        <v>30</v>
      </c>
      <c r="J2287" s="1275"/>
    </row>
    <row r="2288" spans="1:10" s="1209" customFormat="1" ht="17.25" customHeight="1">
      <c r="A2288" s="1185"/>
      <c r="B2288" s="1199" t="s">
        <v>6839</v>
      </c>
      <c r="C2288" s="1186">
        <v>2</v>
      </c>
      <c r="D2288" s="1186" t="s">
        <v>3364</v>
      </c>
      <c r="E2288" s="1186">
        <v>1</v>
      </c>
      <c r="F2288" s="1177">
        <v>12</v>
      </c>
      <c r="G2288" s="1177"/>
      <c r="H2288" s="1177"/>
      <c r="I2288" s="1278">
        <f t="shared" si="137"/>
        <v>24</v>
      </c>
      <c r="J2288" s="1275"/>
    </row>
    <row r="2289" spans="1:10" s="1209" customFormat="1" ht="17.25" customHeight="1">
      <c r="A2289" s="1185"/>
      <c r="B2289" s="1199" t="s">
        <v>6683</v>
      </c>
      <c r="C2289" s="1186">
        <v>1</v>
      </c>
      <c r="D2289" s="1186" t="s">
        <v>3364</v>
      </c>
      <c r="E2289" s="1186">
        <v>1</v>
      </c>
      <c r="F2289" s="1177">
        <v>15</v>
      </c>
      <c r="G2289" s="1177"/>
      <c r="H2289" s="1177"/>
      <c r="I2289" s="1278">
        <f t="shared" si="137"/>
        <v>15</v>
      </c>
      <c r="J2289" s="1275"/>
    </row>
    <row r="2290" spans="1:10" s="1209" customFormat="1" ht="17.25" customHeight="1">
      <c r="A2290" s="1185"/>
      <c r="B2290" s="1199" t="s">
        <v>6800</v>
      </c>
      <c r="C2290" s="1186">
        <v>1</v>
      </c>
      <c r="D2290" s="1186" t="s">
        <v>3364</v>
      </c>
      <c r="E2290" s="1186">
        <v>1</v>
      </c>
      <c r="F2290" s="1177">
        <v>15</v>
      </c>
      <c r="G2290" s="1177"/>
      <c r="H2290" s="1177"/>
      <c r="I2290" s="1278">
        <f t="shared" si="137"/>
        <v>15</v>
      </c>
      <c r="J2290" s="1275"/>
    </row>
    <row r="2291" spans="1:10" s="1209" customFormat="1" ht="17.25" customHeight="1">
      <c r="A2291" s="1185"/>
      <c r="B2291" s="1199" t="s">
        <v>3484</v>
      </c>
      <c r="C2291" s="1186">
        <v>1</v>
      </c>
      <c r="D2291" s="1186" t="s">
        <v>3364</v>
      </c>
      <c r="E2291" s="1186">
        <v>1</v>
      </c>
      <c r="F2291" s="1177">
        <v>15</v>
      </c>
      <c r="G2291" s="1177"/>
      <c r="H2291" s="1177"/>
      <c r="I2291" s="1278">
        <f t="shared" si="137"/>
        <v>15</v>
      </c>
      <c r="J2291" s="1275"/>
    </row>
    <row r="2292" spans="1:10" s="1209" customFormat="1" ht="17.25" customHeight="1">
      <c r="A2292" s="1185"/>
      <c r="B2292" s="1199" t="s">
        <v>6840</v>
      </c>
      <c r="C2292" s="1186">
        <v>1</v>
      </c>
      <c r="D2292" s="1186" t="s">
        <v>3364</v>
      </c>
      <c r="E2292" s="1186">
        <v>2</v>
      </c>
      <c r="F2292" s="1177">
        <v>18</v>
      </c>
      <c r="G2292" s="1177"/>
      <c r="H2292" s="1177"/>
      <c r="I2292" s="1278">
        <f t="shared" si="137"/>
        <v>36</v>
      </c>
      <c r="J2292" s="1275"/>
    </row>
    <row r="2293" spans="1:10" s="1209" customFormat="1" ht="17.25" customHeight="1">
      <c r="A2293" s="1185"/>
      <c r="B2293" s="1199" t="s">
        <v>6836</v>
      </c>
      <c r="C2293" s="1186">
        <v>1</v>
      </c>
      <c r="D2293" s="1186" t="s">
        <v>3364</v>
      </c>
      <c r="E2293" s="1186">
        <v>1</v>
      </c>
      <c r="F2293" s="1177">
        <v>15.6</v>
      </c>
      <c r="G2293" s="1177"/>
      <c r="H2293" s="1177"/>
      <c r="I2293" s="1278">
        <f t="shared" si="137"/>
        <v>15.6</v>
      </c>
      <c r="J2293" s="1275"/>
    </row>
    <row r="2294" spans="1:10" s="1209" customFormat="1" ht="17.25" customHeight="1">
      <c r="A2294" s="1185"/>
      <c r="B2294" s="1199" t="s">
        <v>6841</v>
      </c>
      <c r="C2294" s="1186">
        <v>1</v>
      </c>
      <c r="D2294" s="1186" t="s">
        <v>3364</v>
      </c>
      <c r="E2294" s="1186">
        <v>1</v>
      </c>
      <c r="F2294" s="1177">
        <v>15</v>
      </c>
      <c r="G2294" s="1177"/>
      <c r="H2294" s="1177"/>
      <c r="I2294" s="1278">
        <f t="shared" si="137"/>
        <v>15</v>
      </c>
      <c r="J2294" s="1275"/>
    </row>
    <row r="2295" spans="1:10" s="1209" customFormat="1">
      <c r="A2295" s="1185"/>
      <c r="B2295" s="1199"/>
      <c r="C2295" s="1186"/>
      <c r="D2295" s="1186"/>
      <c r="E2295" s="1186"/>
      <c r="F2295" s="1177"/>
      <c r="G2295" s="1177"/>
      <c r="H2295" s="1253" t="s">
        <v>2981</v>
      </c>
      <c r="I2295" s="1181">
        <f>SUM(I2261:I2294)</f>
        <v>691.5</v>
      </c>
      <c r="J2295" s="1184" t="s">
        <v>13</v>
      </c>
    </row>
    <row r="2296" spans="1:10" s="1209" customFormat="1" ht="31.5">
      <c r="A2296" s="1185" t="s">
        <v>3681</v>
      </c>
      <c r="B2296" s="1203" t="s">
        <v>3682</v>
      </c>
      <c r="C2296" s="1186"/>
      <c r="D2296" s="1186"/>
      <c r="E2296" s="1186"/>
      <c r="F2296" s="1177"/>
      <c r="G2296" s="1177"/>
      <c r="H2296" s="1177"/>
      <c r="I2296" s="1178"/>
      <c r="J2296" s="1184"/>
    </row>
    <row r="2297" spans="1:10" s="1209" customFormat="1">
      <c r="A2297" s="1185"/>
      <c r="B2297" s="1252" t="s">
        <v>6906</v>
      </c>
      <c r="C2297" s="1186">
        <v>1</v>
      </c>
      <c r="D2297" s="1186" t="s">
        <v>3364</v>
      </c>
      <c r="E2297" s="1186">
        <v>2</v>
      </c>
      <c r="F2297" s="1177">
        <v>35</v>
      </c>
      <c r="G2297" s="1177"/>
      <c r="H2297" s="1177"/>
      <c r="I2297" s="1278">
        <f>PRODUCT(C2297:H2297)</f>
        <v>70</v>
      </c>
      <c r="J2297" s="1184"/>
    </row>
    <row r="2298" spans="1:10" s="1209" customFormat="1">
      <c r="A2298" s="1185"/>
      <c r="B2298" s="1199"/>
      <c r="C2298" s="1186"/>
      <c r="D2298" s="1186"/>
      <c r="E2298" s="1186"/>
      <c r="F2298" s="1177"/>
      <c r="G2298" s="1177"/>
      <c r="H2298" s="1253" t="s">
        <v>104</v>
      </c>
      <c r="I2298" s="1181">
        <v>70</v>
      </c>
      <c r="J2298" s="1184" t="s">
        <v>13</v>
      </c>
    </row>
    <row r="2299" spans="1:10" s="1209" customFormat="1" ht="31.5">
      <c r="A2299" s="1182">
        <v>44.2</v>
      </c>
      <c r="B2299" s="1201" t="s">
        <v>3683</v>
      </c>
      <c r="C2299" s="1268"/>
      <c r="D2299" s="1268"/>
      <c r="E2299" s="1268"/>
      <c r="F2299" s="1269"/>
      <c r="G2299" s="1188"/>
      <c r="H2299" s="1269"/>
      <c r="I2299" s="1183"/>
      <c r="J2299" s="1189"/>
    </row>
    <row r="2300" spans="1:10" s="1209" customFormat="1">
      <c r="A2300" s="1182"/>
      <c r="B2300" s="1201" t="s">
        <v>3684</v>
      </c>
      <c r="C2300" s="1268">
        <v>8</v>
      </c>
      <c r="D2300" s="1268" t="s">
        <v>3364</v>
      </c>
      <c r="E2300" s="1268">
        <v>1</v>
      </c>
      <c r="F2300" s="1269"/>
      <c r="G2300" s="1269"/>
      <c r="H2300" s="1269"/>
      <c r="I2300" s="1278">
        <f>PRODUCT(C2300:H2300)</f>
        <v>8</v>
      </c>
      <c r="J2300" s="1189"/>
    </row>
    <row r="2301" spans="1:10" s="1209" customFormat="1">
      <c r="A2301" s="1182"/>
      <c r="B2301" s="1201"/>
      <c r="C2301" s="1268"/>
      <c r="D2301" s="1268"/>
      <c r="E2301" s="1268"/>
      <c r="F2301" s="1269"/>
      <c r="G2301" s="1188" t="s">
        <v>104</v>
      </c>
      <c r="H2301" s="1269"/>
      <c r="I2301" s="1183">
        <f>SUM(I2300)</f>
        <v>8</v>
      </c>
      <c r="J2301" s="1189" t="s">
        <v>729</v>
      </c>
    </row>
    <row r="2302" spans="1:10" s="1209" customFormat="1">
      <c r="A2302" s="1182"/>
      <c r="B2302" s="1201" t="s">
        <v>3685</v>
      </c>
      <c r="C2302" s="1268"/>
      <c r="D2302" s="1268"/>
      <c r="E2302" s="1268"/>
      <c r="F2302" s="1269"/>
      <c r="G2302" s="1269"/>
      <c r="H2302" s="1269"/>
      <c r="I2302" s="1278"/>
      <c r="J2302" s="1189"/>
    </row>
    <row r="2303" spans="1:10" s="1209" customFormat="1">
      <c r="A2303" s="1182"/>
      <c r="B2303" s="1201" t="s">
        <v>3686</v>
      </c>
      <c r="C2303" s="1268">
        <v>8</v>
      </c>
      <c r="D2303" s="1268" t="s">
        <v>3364</v>
      </c>
      <c r="E2303" s="1268">
        <v>4</v>
      </c>
      <c r="F2303" s="1269">
        <v>3</v>
      </c>
      <c r="G2303" s="1269"/>
      <c r="H2303" s="1269"/>
      <c r="I2303" s="1278">
        <f>PRODUCT(C2303,E2303,F2303,G2303,H2303)</f>
        <v>96</v>
      </c>
      <c r="J2303" s="1189"/>
    </row>
    <row r="2304" spans="1:10" s="1209" customFormat="1">
      <c r="A2304" s="1182"/>
      <c r="B2304" s="1201"/>
      <c r="C2304" s="1268"/>
      <c r="D2304" s="1268"/>
      <c r="E2304" s="1268"/>
      <c r="F2304" s="1269"/>
      <c r="G2304" s="1188" t="s">
        <v>104</v>
      </c>
      <c r="H2304" s="1269"/>
      <c r="I2304" s="1183">
        <f>SUM(I2303)</f>
        <v>96</v>
      </c>
      <c r="J2304" s="1189" t="s">
        <v>13</v>
      </c>
    </row>
    <row r="2305" spans="1:10" s="1209" customFormat="1" ht="47.25">
      <c r="A2305" s="1185">
        <v>344.2</v>
      </c>
      <c r="B2305" s="1200" t="s">
        <v>3690</v>
      </c>
      <c r="C2305" s="1186"/>
      <c r="D2305" s="1186"/>
      <c r="E2305" s="1186"/>
      <c r="F2305" s="1177"/>
      <c r="G2305" s="1177"/>
      <c r="H2305" s="1177"/>
      <c r="I2305" s="1185"/>
      <c r="J2305" s="1291"/>
    </row>
    <row r="2306" spans="1:10" s="1209" customFormat="1">
      <c r="A2306" s="1182"/>
      <c r="B2306" s="1203" t="s">
        <v>6790</v>
      </c>
      <c r="C2306" s="1186"/>
      <c r="D2306" s="1186"/>
      <c r="E2306" s="1186"/>
      <c r="F2306" s="1177"/>
      <c r="G2306" s="1177"/>
      <c r="H2306" s="1177"/>
      <c r="I2306" s="1178"/>
      <c r="J2306" s="1184"/>
    </row>
    <row r="2307" spans="1:10" s="1209" customFormat="1">
      <c r="A2307" s="1185"/>
      <c r="B2307" s="1199" t="s">
        <v>6620</v>
      </c>
      <c r="C2307" s="1186">
        <v>2</v>
      </c>
      <c r="D2307" s="1186" t="s">
        <v>3364</v>
      </c>
      <c r="E2307" s="1186">
        <v>1</v>
      </c>
      <c r="F2307" s="1177"/>
      <c r="G2307" s="1177"/>
      <c r="H2307" s="1177"/>
      <c r="I2307" s="1278">
        <f t="shared" ref="I2307:I2323" si="138">PRODUCT(C2307:H2307)</f>
        <v>2</v>
      </c>
      <c r="J2307" s="1275"/>
    </row>
    <row r="2308" spans="1:10" s="1209" customFormat="1" ht="17.25" customHeight="1">
      <c r="A2308" s="1185"/>
      <c r="B2308" s="1199" t="s">
        <v>6823</v>
      </c>
      <c r="C2308" s="1186">
        <v>1</v>
      </c>
      <c r="D2308" s="1186" t="s">
        <v>3364</v>
      </c>
      <c r="E2308" s="1186">
        <v>1</v>
      </c>
      <c r="F2308" s="1177"/>
      <c r="G2308" s="1177"/>
      <c r="H2308" s="1177"/>
      <c r="I2308" s="1278">
        <f t="shared" si="138"/>
        <v>1</v>
      </c>
      <c r="J2308" s="1275"/>
    </row>
    <row r="2309" spans="1:10" s="1209" customFormat="1" ht="17.25" customHeight="1">
      <c r="A2309" s="1185"/>
      <c r="B2309" s="1202" t="s">
        <v>6668</v>
      </c>
      <c r="C2309" s="1186"/>
      <c r="D2309" s="1186"/>
      <c r="E2309" s="1186"/>
      <c r="F2309" s="1177"/>
      <c r="G2309" s="1177"/>
      <c r="H2309" s="1177"/>
      <c r="I2309" s="1278">
        <f t="shared" si="138"/>
        <v>0</v>
      </c>
      <c r="J2309" s="1275"/>
    </row>
    <row r="2310" spans="1:10" s="1209" customFormat="1" ht="17.25" customHeight="1">
      <c r="A2310" s="1185"/>
      <c r="B2310" s="1199" t="s">
        <v>6824</v>
      </c>
      <c r="C2310" s="1186">
        <v>4</v>
      </c>
      <c r="D2310" s="1186" t="s">
        <v>3364</v>
      </c>
      <c r="E2310" s="1186">
        <v>1</v>
      </c>
      <c r="F2310" s="1177"/>
      <c r="G2310" s="1177"/>
      <c r="H2310" s="1177"/>
      <c r="I2310" s="1278">
        <f t="shared" si="138"/>
        <v>4</v>
      </c>
      <c r="J2310" s="1275"/>
    </row>
    <row r="2311" spans="1:10" s="1209" customFormat="1" ht="17.25" customHeight="1">
      <c r="A2311" s="1185"/>
      <c r="B2311" s="1199" t="s">
        <v>6825</v>
      </c>
      <c r="C2311" s="1186">
        <v>6</v>
      </c>
      <c r="D2311" s="1186" t="s">
        <v>3364</v>
      </c>
      <c r="E2311" s="1186">
        <v>1</v>
      </c>
      <c r="F2311" s="1177"/>
      <c r="G2311" s="1177"/>
      <c r="H2311" s="1177"/>
      <c r="I2311" s="1278">
        <f t="shared" si="138"/>
        <v>6</v>
      </c>
      <c r="J2311" s="1275"/>
    </row>
    <row r="2312" spans="1:10" s="1209" customFormat="1" ht="17.25" customHeight="1">
      <c r="A2312" s="1185"/>
      <c r="B2312" s="1199" t="s">
        <v>6826</v>
      </c>
      <c r="C2312" s="1186">
        <v>1</v>
      </c>
      <c r="D2312" s="1186" t="s">
        <v>3364</v>
      </c>
      <c r="E2312" s="1186">
        <v>2</v>
      </c>
      <c r="F2312" s="1177"/>
      <c r="G2312" s="1177"/>
      <c r="H2312" s="1177"/>
      <c r="I2312" s="1278">
        <f t="shared" si="138"/>
        <v>2</v>
      </c>
      <c r="J2312" s="1275"/>
    </row>
    <row r="2313" spans="1:10" s="1209" customFormat="1" ht="17.25" customHeight="1">
      <c r="A2313" s="1185"/>
      <c r="B2313" s="1199" t="s">
        <v>6827</v>
      </c>
      <c r="C2313" s="1186">
        <v>1</v>
      </c>
      <c r="D2313" s="1186" t="s">
        <v>3364</v>
      </c>
      <c r="E2313" s="1186">
        <v>1</v>
      </c>
      <c r="F2313" s="1177"/>
      <c r="G2313" s="1177"/>
      <c r="H2313" s="1177"/>
      <c r="I2313" s="1278">
        <f t="shared" si="138"/>
        <v>1</v>
      </c>
      <c r="J2313" s="1275"/>
    </row>
    <row r="2314" spans="1:10" s="1209" customFormat="1" ht="17.25" customHeight="1">
      <c r="A2314" s="1185"/>
      <c r="B2314" s="1202" t="s">
        <v>3691</v>
      </c>
      <c r="C2314" s="1186"/>
      <c r="D2314" s="1186"/>
      <c r="E2314" s="1186"/>
      <c r="F2314" s="1177"/>
      <c r="G2314" s="1177"/>
      <c r="H2314" s="1177"/>
      <c r="I2314" s="1278">
        <f t="shared" si="138"/>
        <v>0</v>
      </c>
      <c r="J2314" s="1275"/>
    </row>
    <row r="2315" spans="1:10" s="1209" customFormat="1" ht="17.25" customHeight="1">
      <c r="A2315" s="1185"/>
      <c r="B2315" s="1199" t="s">
        <v>6814</v>
      </c>
      <c r="C2315" s="1186">
        <v>2</v>
      </c>
      <c r="D2315" s="1186" t="s">
        <v>3364</v>
      </c>
      <c r="E2315" s="1186">
        <v>1</v>
      </c>
      <c r="F2315" s="1177"/>
      <c r="G2315" s="1177"/>
      <c r="H2315" s="1177"/>
      <c r="I2315" s="1278">
        <f t="shared" si="138"/>
        <v>2</v>
      </c>
      <c r="J2315" s="1275"/>
    </row>
    <row r="2316" spans="1:10" s="1209" customFormat="1" ht="17.25" customHeight="1">
      <c r="A2316" s="1185"/>
      <c r="B2316" s="1199" t="s">
        <v>6834</v>
      </c>
      <c r="C2316" s="1186">
        <v>1</v>
      </c>
      <c r="D2316" s="1186" t="s">
        <v>3364</v>
      </c>
      <c r="E2316" s="1186">
        <v>1</v>
      </c>
      <c r="F2316" s="1177"/>
      <c r="G2316" s="1177"/>
      <c r="H2316" s="1177"/>
      <c r="I2316" s="1278">
        <f t="shared" si="138"/>
        <v>1</v>
      </c>
      <c r="J2316" s="1275"/>
    </row>
    <row r="2317" spans="1:10" s="1209" customFormat="1" ht="17.25" customHeight="1">
      <c r="A2317" s="1185"/>
      <c r="B2317" s="1202" t="s">
        <v>6995</v>
      </c>
      <c r="C2317" s="1186"/>
      <c r="D2317" s="1186"/>
      <c r="E2317" s="1186"/>
      <c r="F2317" s="1177"/>
      <c r="G2317" s="1177"/>
      <c r="H2317" s="1177"/>
      <c r="I2317" s="1278">
        <f t="shared" si="138"/>
        <v>0</v>
      </c>
      <c r="J2317" s="1275"/>
    </row>
    <row r="2318" spans="1:10" s="1209" customFormat="1" ht="17.25" customHeight="1">
      <c r="A2318" s="1185"/>
      <c r="B2318" s="1199" t="s">
        <v>6602</v>
      </c>
      <c r="C2318" s="1186">
        <v>4</v>
      </c>
      <c r="D2318" s="1186" t="s">
        <v>3364</v>
      </c>
      <c r="E2318" s="1186">
        <v>1</v>
      </c>
      <c r="F2318" s="1177"/>
      <c r="G2318" s="1177"/>
      <c r="H2318" s="1177"/>
      <c r="I2318" s="1278">
        <f t="shared" si="138"/>
        <v>4</v>
      </c>
      <c r="J2318" s="1275"/>
    </row>
    <row r="2319" spans="1:10" s="1209" customFormat="1" ht="17.25" customHeight="1">
      <c r="A2319" s="1185"/>
      <c r="B2319" s="1199" t="s">
        <v>6839</v>
      </c>
      <c r="C2319" s="1186">
        <v>2</v>
      </c>
      <c r="D2319" s="1186" t="s">
        <v>3364</v>
      </c>
      <c r="E2319" s="1186">
        <v>1</v>
      </c>
      <c r="F2319" s="1177"/>
      <c r="G2319" s="1177"/>
      <c r="H2319" s="1177"/>
      <c r="I2319" s="1278">
        <f t="shared" si="138"/>
        <v>2</v>
      </c>
      <c r="J2319" s="1275"/>
    </row>
    <row r="2320" spans="1:10" s="1209" customFormat="1" ht="17.25" customHeight="1">
      <c r="A2320" s="1185"/>
      <c r="B2320" s="1199" t="s">
        <v>6683</v>
      </c>
      <c r="C2320" s="1186">
        <v>2</v>
      </c>
      <c r="D2320" s="1186" t="s">
        <v>3364</v>
      </c>
      <c r="E2320" s="1186">
        <v>1</v>
      </c>
      <c r="F2320" s="1177"/>
      <c r="G2320" s="1177"/>
      <c r="H2320" s="1177"/>
      <c r="I2320" s="1278">
        <f t="shared" si="138"/>
        <v>2</v>
      </c>
      <c r="J2320" s="1275"/>
    </row>
    <row r="2321" spans="1:10" s="1209" customFormat="1" ht="17.25" customHeight="1">
      <c r="A2321" s="1185"/>
      <c r="B2321" s="1199" t="s">
        <v>6800</v>
      </c>
      <c r="C2321" s="1186">
        <v>1</v>
      </c>
      <c r="D2321" s="1186" t="s">
        <v>3364</v>
      </c>
      <c r="E2321" s="1186">
        <v>1</v>
      </c>
      <c r="F2321" s="1177"/>
      <c r="G2321" s="1177"/>
      <c r="H2321" s="1177"/>
      <c r="I2321" s="1278">
        <f t="shared" si="138"/>
        <v>1</v>
      </c>
      <c r="J2321" s="1275"/>
    </row>
    <row r="2322" spans="1:10" s="1209" customFormat="1" ht="17.25" customHeight="1">
      <c r="A2322" s="1185"/>
      <c r="B2322" s="1199" t="s">
        <v>6840</v>
      </c>
      <c r="C2322" s="1186">
        <v>3</v>
      </c>
      <c r="D2322" s="1186" t="s">
        <v>3364</v>
      </c>
      <c r="E2322" s="1186">
        <v>1</v>
      </c>
      <c r="F2322" s="1177"/>
      <c r="G2322" s="1177"/>
      <c r="H2322" s="1177"/>
      <c r="I2322" s="1278">
        <f t="shared" si="138"/>
        <v>3</v>
      </c>
      <c r="J2322" s="1275"/>
    </row>
    <row r="2323" spans="1:10" s="1209" customFormat="1" ht="17.25" customHeight="1">
      <c r="A2323" s="1185"/>
      <c r="B2323" s="1199" t="s">
        <v>6841</v>
      </c>
      <c r="C2323" s="1186">
        <v>1</v>
      </c>
      <c r="D2323" s="1186" t="s">
        <v>3364</v>
      </c>
      <c r="E2323" s="1186">
        <v>1</v>
      </c>
      <c r="F2323" s="1177"/>
      <c r="G2323" s="1177"/>
      <c r="H2323" s="1177"/>
      <c r="I2323" s="1278">
        <f t="shared" si="138"/>
        <v>1</v>
      </c>
      <c r="J2323" s="1275"/>
    </row>
    <row r="2324" spans="1:10" s="1209" customFormat="1">
      <c r="A2324" s="1185"/>
      <c r="B2324" s="1199"/>
      <c r="C2324" s="1186"/>
      <c r="D2324" s="1186"/>
      <c r="E2324" s="1186"/>
      <c r="F2324" s="1177"/>
      <c r="G2324" s="1177"/>
      <c r="H2324" s="1253" t="s">
        <v>2981</v>
      </c>
      <c r="I2324" s="1181">
        <f>SUM(I2307:I2323)</f>
        <v>32</v>
      </c>
      <c r="J2324" s="1184" t="s">
        <v>3471</v>
      </c>
    </row>
    <row r="2325" spans="1:10" s="1209" customFormat="1" hidden="1">
      <c r="A2325" s="1185">
        <v>238.1</v>
      </c>
      <c r="B2325" s="1252" t="s">
        <v>3693</v>
      </c>
      <c r="C2325" s="1186"/>
      <c r="D2325" s="1186"/>
      <c r="E2325" s="1186"/>
      <c r="F2325" s="1177"/>
      <c r="G2325" s="1177"/>
      <c r="H2325" s="1177"/>
      <c r="I2325" s="1178"/>
      <c r="J2325" s="1184"/>
    </row>
    <row r="2326" spans="1:10" s="1209" customFormat="1" ht="31.5">
      <c r="A2326" s="1182">
        <v>87</v>
      </c>
      <c r="B2326" s="1203" t="s">
        <v>3694</v>
      </c>
      <c r="C2326" s="1347"/>
      <c r="D2326" s="1268"/>
      <c r="E2326" s="1347"/>
      <c r="F2326" s="1188"/>
      <c r="G2326" s="1188"/>
      <c r="H2326" s="1188"/>
      <c r="I2326" s="1278"/>
      <c r="J2326" s="1189"/>
    </row>
    <row r="2327" spans="1:10" s="1209" customFormat="1">
      <c r="A2327" s="1185"/>
      <c r="B2327" s="1199" t="s">
        <v>3695</v>
      </c>
      <c r="C2327" s="1347">
        <v>2</v>
      </c>
      <c r="D2327" s="1268" t="s">
        <v>3364</v>
      </c>
      <c r="E2327" s="1347">
        <v>4</v>
      </c>
      <c r="F2327" s="1188"/>
      <c r="G2327" s="1188"/>
      <c r="H2327" s="1188"/>
      <c r="I2327" s="1278">
        <f>PRODUCT(C2327:H2327)</f>
        <v>8</v>
      </c>
      <c r="J2327" s="1189" t="s">
        <v>729</v>
      </c>
    </row>
    <row r="2328" spans="1:10" s="1209" customFormat="1">
      <c r="A2328" s="1182"/>
      <c r="B2328" s="1203" t="s">
        <v>3696</v>
      </c>
      <c r="C2328" s="1268"/>
      <c r="D2328" s="1268"/>
      <c r="E2328" s="1268"/>
      <c r="F2328" s="1269"/>
      <c r="G2328" s="1269"/>
      <c r="H2328" s="1269"/>
      <c r="I2328" s="1278"/>
      <c r="J2328" s="1189"/>
    </row>
    <row r="2329" spans="1:10" s="1209" customFormat="1">
      <c r="A2329" s="1182"/>
      <c r="B2329" s="1201"/>
      <c r="C2329" s="1268"/>
      <c r="D2329" s="1268"/>
      <c r="E2329" s="1268"/>
      <c r="F2329" s="1269"/>
      <c r="G2329" s="1269"/>
      <c r="H2329" s="1269"/>
      <c r="I2329" s="1183"/>
      <c r="J2329" s="1189"/>
    </row>
    <row r="2330" spans="1:10" s="1209" customFormat="1">
      <c r="A2330" s="1185" t="s">
        <v>3701</v>
      </c>
      <c r="B2330" s="1252" t="s">
        <v>6907</v>
      </c>
      <c r="C2330" s="1186"/>
      <c r="D2330" s="1186"/>
      <c r="E2330" s="1186"/>
      <c r="F2330" s="1177"/>
      <c r="G2330" s="1177"/>
      <c r="H2330" s="1253"/>
      <c r="I2330" s="1181"/>
      <c r="J2330" s="1184"/>
    </row>
    <row r="2331" spans="1:10" s="1209" customFormat="1">
      <c r="A2331" s="1185"/>
      <c r="B2331" s="1199" t="s">
        <v>3702</v>
      </c>
      <c r="C2331" s="1186"/>
      <c r="D2331" s="1186"/>
      <c r="E2331" s="1186"/>
      <c r="F2331" s="1177"/>
      <c r="G2331" s="1177"/>
      <c r="H2331" s="1253"/>
      <c r="I2331" s="1181">
        <f>I710</f>
        <v>1702.9</v>
      </c>
      <c r="J2331" s="1184" t="s">
        <v>724</v>
      </c>
    </row>
    <row r="2332" spans="1:10" s="1209" customFormat="1" ht="31.5">
      <c r="A2332" s="1185"/>
      <c r="B2332" s="1252" t="s">
        <v>3703</v>
      </c>
      <c r="C2332" s="1347"/>
      <c r="D2332" s="1268"/>
      <c r="E2332" s="1347"/>
      <c r="F2332" s="1188"/>
      <c r="G2332" s="1188"/>
      <c r="H2332" s="1188"/>
      <c r="I2332" s="1278"/>
      <c r="J2332" s="1189"/>
    </row>
    <row r="2333" spans="1:10" s="1209" customFormat="1">
      <c r="A2333" s="1185"/>
      <c r="B2333" s="1252" t="s">
        <v>3704</v>
      </c>
      <c r="C2333" s="1347">
        <v>1</v>
      </c>
      <c r="D2333" s="1268" t="s">
        <v>3364</v>
      </c>
      <c r="E2333" s="1347">
        <v>1</v>
      </c>
      <c r="F2333" s="1188">
        <v>1.8</v>
      </c>
      <c r="G2333" s="1188">
        <v>2.6</v>
      </c>
      <c r="H2333" s="1188">
        <v>2.1</v>
      </c>
      <c r="I2333" s="1183">
        <f>PRODUCT(C2333:H2333)</f>
        <v>9.83</v>
      </c>
      <c r="J2333" s="1189"/>
    </row>
    <row r="2334" spans="1:10" s="1209" customFormat="1">
      <c r="A2334" s="1185"/>
      <c r="B2334" s="1252"/>
      <c r="C2334" s="1347"/>
      <c r="D2334" s="1268"/>
      <c r="E2334" s="1347"/>
      <c r="F2334" s="1188"/>
      <c r="G2334" s="1188"/>
      <c r="H2334" s="1188"/>
      <c r="I2334" s="1183">
        <v>10</v>
      </c>
      <c r="J2334" s="1189" t="s">
        <v>724</v>
      </c>
    </row>
    <row r="2335" spans="1:10" s="1209" customFormat="1">
      <c r="A2335" s="1185"/>
      <c r="B2335" s="1201"/>
      <c r="C2335" s="1186"/>
      <c r="D2335" s="1186"/>
      <c r="E2335" s="1186"/>
      <c r="F2335" s="1177"/>
      <c r="G2335" s="1177"/>
      <c r="H2335" s="1177"/>
      <c r="I2335" s="1181"/>
      <c r="J2335" s="1184"/>
    </row>
    <row r="2336" spans="1:10" s="1209" customFormat="1" ht="31.5">
      <c r="A2336" s="1185"/>
      <c r="B2336" s="1203" t="s">
        <v>3706</v>
      </c>
      <c r="C2336" s="1186"/>
      <c r="D2336" s="1186"/>
      <c r="E2336" s="1186"/>
      <c r="F2336" s="1177"/>
      <c r="G2336" s="1177"/>
      <c r="H2336" s="1177"/>
      <c r="I2336" s="1178"/>
      <c r="J2336" s="1291"/>
    </row>
    <row r="2337" spans="1:10" s="1209" customFormat="1">
      <c r="A2337" s="1348"/>
      <c r="B2337" s="1317" t="s">
        <v>53</v>
      </c>
      <c r="C2337" s="1318"/>
      <c r="D2337" s="1318"/>
      <c r="E2337" s="1318"/>
      <c r="F2337" s="1308"/>
      <c r="G2337" s="1308"/>
      <c r="H2337" s="1308"/>
      <c r="I2337" s="1309"/>
      <c r="J2337" s="1291"/>
    </row>
    <row r="2338" spans="1:10" s="1209" customFormat="1">
      <c r="A2338" s="1349"/>
      <c r="B2338" s="1350" t="s">
        <v>6908</v>
      </c>
      <c r="C2338" s="1318">
        <v>1</v>
      </c>
      <c r="D2338" s="1318" t="s">
        <v>3364</v>
      </c>
      <c r="E2338" s="1318">
        <v>1</v>
      </c>
      <c r="F2338" s="1308">
        <v>4.67</v>
      </c>
      <c r="G2338" s="1308">
        <v>2.6970000000000001</v>
      </c>
      <c r="H2338" s="1308"/>
      <c r="I2338" s="1351">
        <f t="shared" ref="I2338:I2396" si="139">PRODUCT(C2338:H2338)</f>
        <v>12.59</v>
      </c>
      <c r="J2338" s="1291"/>
    </row>
    <row r="2339" spans="1:10" s="1209" customFormat="1">
      <c r="A2339" s="1349"/>
      <c r="B2339" s="1350" t="s">
        <v>6909</v>
      </c>
      <c r="C2339" s="1318">
        <v>1</v>
      </c>
      <c r="D2339" s="1318" t="s">
        <v>3364</v>
      </c>
      <c r="E2339" s="1318">
        <v>1</v>
      </c>
      <c r="F2339" s="1308">
        <f>(F2338+G2338)*2</f>
        <v>14.734</v>
      </c>
      <c r="G2339" s="1308"/>
      <c r="H2339" s="1308">
        <v>0.1</v>
      </c>
      <c r="I2339" s="1351">
        <f t="shared" si="139"/>
        <v>1.47</v>
      </c>
      <c r="J2339" s="1291"/>
    </row>
    <row r="2340" spans="1:10" s="1209" customFormat="1">
      <c r="A2340" s="1349"/>
      <c r="B2340" s="1350" t="s">
        <v>6722</v>
      </c>
      <c r="C2340" s="1318">
        <v>1</v>
      </c>
      <c r="D2340" s="1318" t="s">
        <v>3364</v>
      </c>
      <c r="E2340" s="1318">
        <v>1</v>
      </c>
      <c r="F2340" s="1308">
        <v>4.681</v>
      </c>
      <c r="G2340" s="1308">
        <v>2.6970000000000001</v>
      </c>
      <c r="H2340" s="1308"/>
      <c r="I2340" s="1351">
        <f t="shared" si="139"/>
        <v>12.62</v>
      </c>
      <c r="J2340" s="1291"/>
    </row>
    <row r="2341" spans="1:10" s="1209" customFormat="1">
      <c r="A2341" s="1349"/>
      <c r="B2341" s="1350" t="s">
        <v>6910</v>
      </c>
      <c r="C2341" s="1318">
        <v>1</v>
      </c>
      <c r="D2341" s="1318" t="s">
        <v>3364</v>
      </c>
      <c r="E2341" s="1318">
        <v>1</v>
      </c>
      <c r="F2341" s="1308">
        <f>(F2340+G2340)*2</f>
        <v>14.756</v>
      </c>
      <c r="G2341" s="1308"/>
      <c r="H2341" s="1308">
        <v>0.1</v>
      </c>
      <c r="I2341" s="1351">
        <f t="shared" si="139"/>
        <v>1.48</v>
      </c>
      <c r="J2341" s="1291"/>
    </row>
    <row r="2342" spans="1:10" s="1209" customFormat="1">
      <c r="A2342" s="1349"/>
      <c r="B2342" s="1350" t="s">
        <v>6723</v>
      </c>
      <c r="C2342" s="1318">
        <v>1</v>
      </c>
      <c r="D2342" s="1318" t="s">
        <v>3364</v>
      </c>
      <c r="E2342" s="1318">
        <v>1</v>
      </c>
      <c r="F2342" s="1308">
        <v>5.24</v>
      </c>
      <c r="G2342" s="1308">
        <v>2.6970000000000001</v>
      </c>
      <c r="H2342" s="1308"/>
      <c r="I2342" s="1351">
        <f t="shared" si="139"/>
        <v>14.13</v>
      </c>
      <c r="J2342" s="1291"/>
    </row>
    <row r="2343" spans="1:10" s="1209" customFormat="1">
      <c r="A2343" s="1349"/>
      <c r="B2343" s="1350" t="s">
        <v>6910</v>
      </c>
      <c r="C2343" s="1318">
        <v>1</v>
      </c>
      <c r="D2343" s="1318" t="s">
        <v>3364</v>
      </c>
      <c r="E2343" s="1318">
        <v>1</v>
      </c>
      <c r="F2343" s="1308">
        <f>(F2342+G2342)*2</f>
        <v>15.874000000000001</v>
      </c>
      <c r="G2343" s="1308"/>
      <c r="H2343" s="1308">
        <v>0.1</v>
      </c>
      <c r="I2343" s="1351">
        <f t="shared" si="139"/>
        <v>1.59</v>
      </c>
      <c r="J2343" s="1291"/>
    </row>
    <row r="2344" spans="1:10" s="1209" customFormat="1">
      <c r="A2344" s="1349"/>
      <c r="B2344" s="1350" t="s">
        <v>6911</v>
      </c>
      <c r="C2344" s="1318">
        <v>1</v>
      </c>
      <c r="D2344" s="1318" t="s">
        <v>3364</v>
      </c>
      <c r="E2344" s="1318">
        <v>1</v>
      </c>
      <c r="F2344" s="1308">
        <v>5.39</v>
      </c>
      <c r="G2344" s="1308">
        <v>4.1689999999999996</v>
      </c>
      <c r="H2344" s="1308"/>
      <c r="I2344" s="1351">
        <f t="shared" si="139"/>
        <v>22.47</v>
      </c>
      <c r="J2344" s="1291"/>
    </row>
    <row r="2345" spans="1:10" s="1209" customFormat="1">
      <c r="A2345" s="1349"/>
      <c r="B2345" s="1350" t="s">
        <v>6910</v>
      </c>
      <c r="C2345" s="1318">
        <v>1</v>
      </c>
      <c r="D2345" s="1318" t="s">
        <v>3364</v>
      </c>
      <c r="E2345" s="1318">
        <v>1</v>
      </c>
      <c r="F2345" s="1308">
        <f>(F2344+G2344)*2</f>
        <v>19.117999999999999</v>
      </c>
      <c r="G2345" s="1308"/>
      <c r="H2345" s="1308">
        <v>0.1</v>
      </c>
      <c r="I2345" s="1351">
        <f t="shared" si="139"/>
        <v>1.91</v>
      </c>
      <c r="J2345" s="1291"/>
    </row>
    <row r="2346" spans="1:10" s="1209" customFormat="1">
      <c r="A2346" s="1349"/>
      <c r="B2346" s="1350" t="s">
        <v>6912</v>
      </c>
      <c r="C2346" s="1318">
        <v>1</v>
      </c>
      <c r="D2346" s="1318" t="s">
        <v>3364</v>
      </c>
      <c r="E2346" s="1318">
        <v>1</v>
      </c>
      <c r="F2346" s="1308">
        <v>5.39</v>
      </c>
      <c r="G2346" s="1308">
        <v>6.1120000000000001</v>
      </c>
      <c r="H2346" s="1308"/>
      <c r="I2346" s="1351">
        <f t="shared" si="139"/>
        <v>32.94</v>
      </c>
      <c r="J2346" s="1291"/>
    </row>
    <row r="2347" spans="1:10" s="1209" customFormat="1">
      <c r="A2347" s="1349"/>
      <c r="B2347" s="1350" t="s">
        <v>6910</v>
      </c>
      <c r="C2347" s="1318">
        <v>1</v>
      </c>
      <c r="D2347" s="1318" t="s">
        <v>3364</v>
      </c>
      <c r="E2347" s="1318">
        <v>1</v>
      </c>
      <c r="F2347" s="1308">
        <f>(F2346+G2346)*2</f>
        <v>23.004000000000001</v>
      </c>
      <c r="G2347" s="1308"/>
      <c r="H2347" s="1308">
        <v>0.1</v>
      </c>
      <c r="I2347" s="1351">
        <f t="shared" si="139"/>
        <v>2.2999999999999998</v>
      </c>
      <c r="J2347" s="1291"/>
    </row>
    <row r="2348" spans="1:10" s="1209" customFormat="1">
      <c r="A2348" s="1349"/>
      <c r="B2348" s="1350" t="s">
        <v>6913</v>
      </c>
      <c r="C2348" s="1318">
        <v>1</v>
      </c>
      <c r="D2348" s="1318" t="s">
        <v>3364</v>
      </c>
      <c r="E2348" s="1318">
        <v>1</v>
      </c>
      <c r="F2348" s="1308">
        <v>3</v>
      </c>
      <c r="G2348" s="1308">
        <v>3</v>
      </c>
      <c r="H2348" s="1308"/>
      <c r="I2348" s="1351">
        <f t="shared" si="139"/>
        <v>9</v>
      </c>
      <c r="J2348" s="1291"/>
    </row>
    <row r="2349" spans="1:10" s="1209" customFormat="1">
      <c r="A2349" s="1349"/>
      <c r="B2349" s="1350" t="s">
        <v>6910</v>
      </c>
      <c r="C2349" s="1318">
        <v>1</v>
      </c>
      <c r="D2349" s="1318" t="s">
        <v>3364</v>
      </c>
      <c r="E2349" s="1318">
        <v>1</v>
      </c>
      <c r="F2349" s="1308">
        <f>(F2348+G2348)*2</f>
        <v>12</v>
      </c>
      <c r="G2349" s="1308"/>
      <c r="H2349" s="1308">
        <v>0.1</v>
      </c>
      <c r="I2349" s="1351">
        <f t="shared" si="139"/>
        <v>1.2</v>
      </c>
      <c r="J2349" s="1291"/>
    </row>
    <row r="2350" spans="1:10" s="1209" customFormat="1">
      <c r="A2350" s="1349"/>
      <c r="B2350" s="1312" t="s">
        <v>6917</v>
      </c>
      <c r="C2350" s="1318"/>
      <c r="D2350" s="1318"/>
      <c r="E2350" s="1318"/>
      <c r="F2350" s="1308"/>
      <c r="G2350" s="1308"/>
      <c r="H2350" s="1308"/>
      <c r="I2350" s="1351">
        <f t="shared" si="139"/>
        <v>0</v>
      </c>
      <c r="J2350" s="1291"/>
    </row>
    <row r="2351" spans="1:10" s="1209" customFormat="1">
      <c r="A2351" s="1349"/>
      <c r="B2351" s="1306" t="s">
        <v>6914</v>
      </c>
      <c r="C2351" s="1318">
        <v>1</v>
      </c>
      <c r="D2351" s="1318" t="s">
        <v>3364</v>
      </c>
      <c r="E2351" s="1318">
        <v>1</v>
      </c>
      <c r="F2351" s="1308">
        <v>12.738</v>
      </c>
      <c r="G2351" s="1308">
        <v>4.9020000000000001</v>
      </c>
      <c r="H2351" s="1308"/>
      <c r="I2351" s="1351">
        <f t="shared" si="139"/>
        <v>62.44</v>
      </c>
      <c r="J2351" s="1291"/>
    </row>
    <row r="2352" spans="1:10" s="1209" customFormat="1">
      <c r="A2352" s="1349"/>
      <c r="B2352" s="1306" t="s">
        <v>6910</v>
      </c>
      <c r="C2352" s="1318">
        <v>1</v>
      </c>
      <c r="D2352" s="1318" t="s">
        <v>3364</v>
      </c>
      <c r="E2352" s="1318">
        <v>1</v>
      </c>
      <c r="F2352" s="1308">
        <f>(F2351+G2351)*2</f>
        <v>35.28</v>
      </c>
      <c r="G2352" s="1308"/>
      <c r="H2352" s="1308">
        <v>0.1</v>
      </c>
      <c r="I2352" s="1351">
        <f t="shared" si="139"/>
        <v>3.53</v>
      </c>
      <c r="J2352" s="1291"/>
    </row>
    <row r="2353" spans="1:10" s="1209" customFormat="1">
      <c r="A2353" s="1349"/>
      <c r="B2353" s="1306" t="s">
        <v>6730</v>
      </c>
      <c r="C2353" s="1318">
        <v>1</v>
      </c>
      <c r="D2353" s="1318" t="s">
        <v>3364</v>
      </c>
      <c r="E2353" s="1318">
        <v>1</v>
      </c>
      <c r="F2353" s="1308">
        <v>10.51</v>
      </c>
      <c r="G2353" s="1308">
        <v>14.346</v>
      </c>
      <c r="H2353" s="1308"/>
      <c r="I2353" s="1351">
        <f t="shared" si="139"/>
        <v>150.78</v>
      </c>
      <c r="J2353" s="1291"/>
    </row>
    <row r="2354" spans="1:10" s="1209" customFormat="1">
      <c r="A2354" s="1349"/>
      <c r="B2354" s="1306" t="s">
        <v>6910</v>
      </c>
      <c r="C2354" s="1318">
        <v>1</v>
      </c>
      <c r="D2354" s="1318" t="s">
        <v>3364</v>
      </c>
      <c r="E2354" s="1318">
        <v>1</v>
      </c>
      <c r="F2354" s="1308">
        <f>(F2353+G2353)*2</f>
        <v>49.712000000000003</v>
      </c>
      <c r="G2354" s="1308"/>
      <c r="H2354" s="1308">
        <v>0.1</v>
      </c>
      <c r="I2354" s="1351">
        <f t="shared" si="139"/>
        <v>4.97</v>
      </c>
      <c r="J2354" s="1291"/>
    </row>
    <row r="2355" spans="1:10" s="1209" customFormat="1">
      <c r="A2355" s="1349"/>
      <c r="B2355" s="1306" t="s">
        <v>6915</v>
      </c>
      <c r="C2355" s="1318">
        <v>1</v>
      </c>
      <c r="D2355" s="1318" t="s">
        <v>3364</v>
      </c>
      <c r="E2355" s="1318">
        <v>1</v>
      </c>
      <c r="F2355" s="1308">
        <v>5.39</v>
      </c>
      <c r="G2355" s="1308">
        <v>4.8600000000000003</v>
      </c>
      <c r="H2355" s="1308"/>
      <c r="I2355" s="1351">
        <f t="shared" si="139"/>
        <v>26.2</v>
      </c>
      <c r="J2355" s="1291"/>
    </row>
    <row r="2356" spans="1:10" s="1209" customFormat="1">
      <c r="A2356" s="1349"/>
      <c r="B2356" s="1306" t="s">
        <v>6910</v>
      </c>
      <c r="C2356" s="1318">
        <v>1</v>
      </c>
      <c r="D2356" s="1318" t="s">
        <v>3364</v>
      </c>
      <c r="E2356" s="1318">
        <v>1</v>
      </c>
      <c r="F2356" s="1308">
        <f>(F2355+G2355)*2</f>
        <v>20.5</v>
      </c>
      <c r="G2356" s="1308"/>
      <c r="H2356" s="1308">
        <v>0.1</v>
      </c>
      <c r="I2356" s="1351">
        <f t="shared" si="139"/>
        <v>2.0499999999999998</v>
      </c>
      <c r="J2356" s="1291"/>
    </row>
    <row r="2357" spans="1:10" s="1209" customFormat="1">
      <c r="A2357" s="1349"/>
      <c r="B2357" s="1306" t="s">
        <v>6916</v>
      </c>
      <c r="C2357" s="1318">
        <v>1</v>
      </c>
      <c r="D2357" s="1318" t="s">
        <v>3364</v>
      </c>
      <c r="E2357" s="1318">
        <v>1</v>
      </c>
      <c r="F2357" s="1308">
        <v>3.7749999999999999</v>
      </c>
      <c r="G2357" s="1308">
        <v>4.67</v>
      </c>
      <c r="H2357" s="1308"/>
      <c r="I2357" s="1351">
        <f t="shared" si="139"/>
        <v>17.63</v>
      </c>
      <c r="J2357" s="1291"/>
    </row>
    <row r="2358" spans="1:10" s="1209" customFormat="1">
      <c r="A2358" s="1349"/>
      <c r="B2358" s="1306" t="s">
        <v>6910</v>
      </c>
      <c r="C2358" s="1318">
        <v>1</v>
      </c>
      <c r="D2358" s="1318" t="s">
        <v>3364</v>
      </c>
      <c r="E2358" s="1318">
        <v>1</v>
      </c>
      <c r="F2358" s="1308">
        <f>(F2357+G2357)*2</f>
        <v>16.89</v>
      </c>
      <c r="G2358" s="1308"/>
      <c r="H2358" s="1308">
        <v>0.1</v>
      </c>
      <c r="I2358" s="1351">
        <f t="shared" si="139"/>
        <v>1.69</v>
      </c>
      <c r="J2358" s="1291"/>
    </row>
    <row r="2359" spans="1:10" s="1209" customFormat="1">
      <c r="A2359" s="1349"/>
      <c r="B2359" s="1350" t="s">
        <v>6913</v>
      </c>
      <c r="C2359" s="1318">
        <v>1</v>
      </c>
      <c r="D2359" s="1318" t="s">
        <v>3364</v>
      </c>
      <c r="E2359" s="1318">
        <v>1</v>
      </c>
      <c r="F2359" s="1308">
        <v>3</v>
      </c>
      <c r="G2359" s="1308">
        <v>3</v>
      </c>
      <c r="H2359" s="1308"/>
      <c r="I2359" s="1351">
        <f t="shared" si="139"/>
        <v>9</v>
      </c>
      <c r="J2359" s="1291"/>
    </row>
    <row r="2360" spans="1:10" s="1209" customFormat="1">
      <c r="A2360" s="1349"/>
      <c r="B2360" s="1306" t="s">
        <v>6910</v>
      </c>
      <c r="C2360" s="1318">
        <v>1</v>
      </c>
      <c r="D2360" s="1318" t="s">
        <v>3364</v>
      </c>
      <c r="E2360" s="1318">
        <v>1</v>
      </c>
      <c r="F2360" s="1308">
        <f>(F2359+G2359)*2</f>
        <v>12</v>
      </c>
      <c r="G2360" s="1308"/>
      <c r="H2360" s="1308"/>
      <c r="I2360" s="1351">
        <f t="shared" si="139"/>
        <v>12</v>
      </c>
      <c r="J2360" s="1291"/>
    </row>
    <row r="2361" spans="1:10" s="1209" customFormat="1">
      <c r="A2361" s="1349"/>
      <c r="B2361" s="1312" t="s">
        <v>55</v>
      </c>
      <c r="C2361" s="1318"/>
      <c r="D2361" s="1318"/>
      <c r="E2361" s="1318"/>
      <c r="F2361" s="1308"/>
      <c r="G2361" s="1308"/>
      <c r="H2361" s="1308"/>
      <c r="I2361" s="1351">
        <f t="shared" si="139"/>
        <v>0</v>
      </c>
      <c r="J2361" s="1291"/>
    </row>
    <row r="2362" spans="1:10" s="1209" customFormat="1">
      <c r="A2362" s="1349"/>
      <c r="B2362" s="1306" t="s">
        <v>3501</v>
      </c>
      <c r="C2362" s="1318">
        <v>1</v>
      </c>
      <c r="D2362" s="1318" t="s">
        <v>3364</v>
      </c>
      <c r="E2362" s="1318">
        <v>1</v>
      </c>
      <c r="F2362" s="1308">
        <v>6.5</v>
      </c>
      <c r="G2362" s="1308">
        <v>3.7</v>
      </c>
      <c r="H2362" s="1308"/>
      <c r="I2362" s="1351">
        <f t="shared" si="139"/>
        <v>24.05</v>
      </c>
      <c r="J2362" s="1291"/>
    </row>
    <row r="2363" spans="1:10" s="1209" customFormat="1">
      <c r="A2363" s="1349"/>
      <c r="B2363" s="1306" t="s">
        <v>6910</v>
      </c>
      <c r="C2363" s="1318">
        <v>1</v>
      </c>
      <c r="D2363" s="1318" t="s">
        <v>3364</v>
      </c>
      <c r="E2363" s="1318">
        <v>1</v>
      </c>
      <c r="F2363" s="1308">
        <f>(F2362+G2362)*2</f>
        <v>20.399999999999999</v>
      </c>
      <c r="G2363" s="1308"/>
      <c r="H2363" s="1308">
        <v>0.1</v>
      </c>
      <c r="I2363" s="1351">
        <f t="shared" si="139"/>
        <v>2.04</v>
      </c>
      <c r="J2363" s="1291"/>
    </row>
    <row r="2364" spans="1:10" s="1209" customFormat="1">
      <c r="A2364" s="1349"/>
      <c r="B2364" s="1306" t="s">
        <v>3493</v>
      </c>
      <c r="C2364" s="1318">
        <v>1</v>
      </c>
      <c r="D2364" s="1318" t="s">
        <v>3364</v>
      </c>
      <c r="E2364" s="1318">
        <v>1</v>
      </c>
      <c r="F2364" s="1308">
        <v>9.6050000000000004</v>
      </c>
      <c r="G2364" s="1308">
        <v>8.8079999999999998</v>
      </c>
      <c r="H2364" s="1308"/>
      <c r="I2364" s="1351">
        <f t="shared" si="139"/>
        <v>84.6</v>
      </c>
      <c r="J2364" s="1291"/>
    </row>
    <row r="2365" spans="1:10" s="1209" customFormat="1">
      <c r="A2365" s="1349"/>
      <c r="B2365" s="1306" t="s">
        <v>6910</v>
      </c>
      <c r="C2365" s="1318">
        <v>1</v>
      </c>
      <c r="D2365" s="1318" t="s">
        <v>3364</v>
      </c>
      <c r="E2365" s="1318">
        <v>1</v>
      </c>
      <c r="F2365" s="1308">
        <f>(F2364+G2364)*2</f>
        <v>36.826000000000001</v>
      </c>
      <c r="G2365" s="1308"/>
      <c r="H2365" s="1308">
        <v>0.1</v>
      </c>
      <c r="I2365" s="1351">
        <f t="shared" si="139"/>
        <v>3.68</v>
      </c>
      <c r="J2365" s="1291"/>
    </row>
    <row r="2366" spans="1:10" s="1209" customFormat="1">
      <c r="A2366" s="1349"/>
      <c r="B2366" s="1306" t="s">
        <v>6918</v>
      </c>
      <c r="C2366" s="1318">
        <v>1</v>
      </c>
      <c r="D2366" s="1318" t="s">
        <v>3364</v>
      </c>
      <c r="E2366" s="1318">
        <v>1</v>
      </c>
      <c r="F2366" s="1308">
        <v>19.356999999999999</v>
      </c>
      <c r="G2366" s="1308">
        <v>10.507999999999999</v>
      </c>
      <c r="H2366" s="1308"/>
      <c r="I2366" s="1351">
        <f t="shared" si="139"/>
        <v>203.4</v>
      </c>
      <c r="J2366" s="1291"/>
    </row>
    <row r="2367" spans="1:10" s="1209" customFormat="1">
      <c r="A2367" s="1349"/>
      <c r="B2367" s="1306" t="s">
        <v>6910</v>
      </c>
      <c r="C2367" s="1318">
        <v>1</v>
      </c>
      <c r="D2367" s="1318" t="s">
        <v>3364</v>
      </c>
      <c r="E2367" s="1318">
        <v>1</v>
      </c>
      <c r="F2367" s="1308">
        <f>(F2366+G2366)*2</f>
        <v>59.73</v>
      </c>
      <c r="G2367" s="1308"/>
      <c r="H2367" s="1308">
        <v>0.1</v>
      </c>
      <c r="I2367" s="1351">
        <f t="shared" si="139"/>
        <v>5.97</v>
      </c>
      <c r="J2367" s="1291"/>
    </row>
    <row r="2368" spans="1:10" s="1209" customFormat="1">
      <c r="A2368" s="1349"/>
      <c r="B2368" s="1306" t="s">
        <v>3503</v>
      </c>
      <c r="C2368" s="1318">
        <v>1</v>
      </c>
      <c r="D2368" s="1318" t="s">
        <v>3364</v>
      </c>
      <c r="E2368" s="1318">
        <v>1</v>
      </c>
      <c r="F2368" s="1308">
        <v>5.39</v>
      </c>
      <c r="G2368" s="1308">
        <v>4.7489999999999997</v>
      </c>
      <c r="H2368" s="1308"/>
      <c r="I2368" s="1351">
        <f t="shared" si="139"/>
        <v>25.6</v>
      </c>
      <c r="J2368" s="1291"/>
    </row>
    <row r="2369" spans="1:10" s="1209" customFormat="1">
      <c r="A2369" s="1349"/>
      <c r="B2369" s="1306" t="s">
        <v>6910</v>
      </c>
      <c r="C2369" s="1318">
        <v>1</v>
      </c>
      <c r="D2369" s="1318" t="s">
        <v>3364</v>
      </c>
      <c r="E2369" s="1318">
        <v>1</v>
      </c>
      <c r="F2369" s="1308">
        <f>(F2368+G2368)*2</f>
        <v>20.277999999999999</v>
      </c>
      <c r="G2369" s="1308"/>
      <c r="H2369" s="1308">
        <v>0.1</v>
      </c>
      <c r="I2369" s="1351">
        <f t="shared" si="139"/>
        <v>2.0299999999999998</v>
      </c>
      <c r="J2369" s="1291"/>
    </row>
    <row r="2370" spans="1:10" s="1209" customFormat="1">
      <c r="A2370" s="1349"/>
      <c r="B2370" s="1306" t="s">
        <v>6919</v>
      </c>
      <c r="C2370" s="1318">
        <v>1</v>
      </c>
      <c r="D2370" s="1318" t="s">
        <v>3364</v>
      </c>
      <c r="E2370" s="1318">
        <v>1</v>
      </c>
      <c r="F2370" s="1308">
        <v>5.39</v>
      </c>
      <c r="G2370" s="1308">
        <v>5.5309999999999997</v>
      </c>
      <c r="H2370" s="1308"/>
      <c r="I2370" s="1351">
        <f t="shared" si="139"/>
        <v>29.81</v>
      </c>
      <c r="J2370" s="1291"/>
    </row>
    <row r="2371" spans="1:10" s="1209" customFormat="1">
      <c r="A2371" s="1349"/>
      <c r="B2371" s="1306" t="s">
        <v>6910</v>
      </c>
      <c r="C2371" s="1318">
        <v>1</v>
      </c>
      <c r="D2371" s="1318" t="s">
        <v>3364</v>
      </c>
      <c r="E2371" s="1318">
        <v>1</v>
      </c>
      <c r="F2371" s="1308">
        <f>(F2370+G2370)*2</f>
        <v>21.841999999999999</v>
      </c>
      <c r="G2371" s="1308"/>
      <c r="H2371" s="1308">
        <v>0.1</v>
      </c>
      <c r="I2371" s="1351">
        <f t="shared" si="139"/>
        <v>2.1800000000000002</v>
      </c>
      <c r="J2371" s="1291"/>
    </row>
    <row r="2372" spans="1:10" s="1209" customFormat="1">
      <c r="A2372" s="1349"/>
      <c r="B2372" s="1350" t="s">
        <v>6913</v>
      </c>
      <c r="C2372" s="1318">
        <v>1</v>
      </c>
      <c r="D2372" s="1318" t="s">
        <v>3364</v>
      </c>
      <c r="E2372" s="1318">
        <v>1</v>
      </c>
      <c r="F2372" s="1308">
        <v>3</v>
      </c>
      <c r="G2372" s="1308">
        <v>3</v>
      </c>
      <c r="H2372" s="1308"/>
      <c r="I2372" s="1351">
        <f t="shared" si="139"/>
        <v>9</v>
      </c>
      <c r="J2372" s="1291"/>
    </row>
    <row r="2373" spans="1:10" s="1209" customFormat="1">
      <c r="A2373" s="1349"/>
      <c r="B2373" s="1306" t="s">
        <v>6910</v>
      </c>
      <c r="C2373" s="1318">
        <v>1</v>
      </c>
      <c r="D2373" s="1318" t="s">
        <v>3364</v>
      </c>
      <c r="E2373" s="1318">
        <v>1</v>
      </c>
      <c r="F2373" s="1308">
        <f>(F2372+G2372)*2</f>
        <v>12</v>
      </c>
      <c r="G2373" s="1308"/>
      <c r="H2373" s="1308">
        <v>0.1</v>
      </c>
      <c r="I2373" s="1351">
        <f t="shared" si="139"/>
        <v>1.2</v>
      </c>
      <c r="J2373" s="1291"/>
    </row>
    <row r="2374" spans="1:10" s="1209" customFormat="1">
      <c r="A2374" s="1349"/>
      <c r="B2374" s="1312" t="s">
        <v>56</v>
      </c>
      <c r="C2374" s="1318"/>
      <c r="D2374" s="1318"/>
      <c r="E2374" s="1318"/>
      <c r="F2374" s="1308"/>
      <c r="G2374" s="1308"/>
      <c r="H2374" s="1308"/>
      <c r="I2374" s="1351">
        <f t="shared" si="139"/>
        <v>0</v>
      </c>
      <c r="J2374" s="1291"/>
    </row>
    <row r="2375" spans="1:10" s="1209" customFormat="1">
      <c r="A2375" s="1349"/>
      <c r="B2375" s="1306" t="s">
        <v>6920</v>
      </c>
      <c r="C2375" s="1318">
        <v>1</v>
      </c>
      <c r="D2375" s="1318" t="s">
        <v>3364</v>
      </c>
      <c r="E2375" s="1318">
        <v>1</v>
      </c>
      <c r="F2375" s="1308">
        <v>4.7050000000000001</v>
      </c>
      <c r="G2375" s="1308">
        <v>6.2649999999999997</v>
      </c>
      <c r="H2375" s="1308"/>
      <c r="I2375" s="1351">
        <f t="shared" si="139"/>
        <v>29.48</v>
      </c>
      <c r="J2375" s="1291"/>
    </row>
    <row r="2376" spans="1:10" s="1209" customFormat="1">
      <c r="A2376" s="1349"/>
      <c r="B2376" s="1306" t="s">
        <v>6910</v>
      </c>
      <c r="C2376" s="1318">
        <v>1</v>
      </c>
      <c r="D2376" s="1318" t="s">
        <v>3364</v>
      </c>
      <c r="E2376" s="1318">
        <v>1</v>
      </c>
      <c r="F2376" s="1308">
        <f>(F2375+G2375)*2</f>
        <v>21.94</v>
      </c>
      <c r="G2376" s="1308"/>
      <c r="H2376" s="1308">
        <v>0.1</v>
      </c>
      <c r="I2376" s="1351">
        <f t="shared" si="139"/>
        <v>2.19</v>
      </c>
      <c r="J2376" s="1291"/>
    </row>
    <row r="2377" spans="1:10" s="1209" customFormat="1">
      <c r="A2377" s="1349"/>
      <c r="B2377" s="1306" t="s">
        <v>6921</v>
      </c>
      <c r="C2377" s="1318">
        <v>1</v>
      </c>
      <c r="D2377" s="1318" t="s">
        <v>3364</v>
      </c>
      <c r="E2377" s="1318">
        <v>1</v>
      </c>
      <c r="F2377" s="1308">
        <v>4.665</v>
      </c>
      <c r="G2377" s="1308">
        <v>4.625</v>
      </c>
      <c r="H2377" s="1308"/>
      <c r="I2377" s="1351">
        <f t="shared" si="139"/>
        <v>21.58</v>
      </c>
      <c r="J2377" s="1291"/>
    </row>
    <row r="2378" spans="1:10" s="1209" customFormat="1">
      <c r="A2378" s="1349"/>
      <c r="B2378" s="1306" t="s">
        <v>6910</v>
      </c>
      <c r="C2378" s="1318">
        <v>1</v>
      </c>
      <c r="D2378" s="1318" t="s">
        <v>3364</v>
      </c>
      <c r="E2378" s="1318">
        <v>1</v>
      </c>
      <c r="F2378" s="1308">
        <f>(F2377+G2377)*2</f>
        <v>18.579999999999998</v>
      </c>
      <c r="G2378" s="1308"/>
      <c r="H2378" s="1308">
        <v>0.1</v>
      </c>
      <c r="I2378" s="1351">
        <f t="shared" si="139"/>
        <v>1.86</v>
      </c>
      <c r="J2378" s="1291"/>
    </row>
    <row r="2379" spans="1:10" s="1209" customFormat="1">
      <c r="A2379" s="1349"/>
      <c r="B2379" s="1306" t="s">
        <v>6756</v>
      </c>
      <c r="C2379" s="1318">
        <v>1</v>
      </c>
      <c r="D2379" s="1318" t="s">
        <v>3364</v>
      </c>
      <c r="E2379" s="1318">
        <v>1</v>
      </c>
      <c r="F2379" s="1308">
        <v>4.665</v>
      </c>
      <c r="G2379" s="1308">
        <v>3.14</v>
      </c>
      <c r="H2379" s="1308"/>
      <c r="I2379" s="1351">
        <f t="shared" si="139"/>
        <v>14.65</v>
      </c>
      <c r="J2379" s="1291"/>
    </row>
    <row r="2380" spans="1:10" s="1209" customFormat="1">
      <c r="A2380" s="1349"/>
      <c r="B2380" s="1306" t="s">
        <v>6910</v>
      </c>
      <c r="C2380" s="1318">
        <v>1</v>
      </c>
      <c r="D2380" s="1318" t="s">
        <v>3364</v>
      </c>
      <c r="E2380" s="1318">
        <v>1</v>
      </c>
      <c r="F2380" s="1308">
        <f>(F2379+G2379)*2</f>
        <v>15.61</v>
      </c>
      <c r="G2380" s="1308"/>
      <c r="H2380" s="1308">
        <v>0.1</v>
      </c>
      <c r="I2380" s="1351">
        <f t="shared" si="139"/>
        <v>1.56</v>
      </c>
      <c r="J2380" s="1291"/>
    </row>
    <row r="2381" spans="1:10" s="1209" customFormat="1">
      <c r="A2381" s="1349"/>
      <c r="B2381" s="1306" t="s">
        <v>6922</v>
      </c>
      <c r="C2381" s="1318">
        <v>1</v>
      </c>
      <c r="D2381" s="1318" t="s">
        <v>3364</v>
      </c>
      <c r="E2381" s="1318">
        <v>1</v>
      </c>
      <c r="F2381" s="1308">
        <v>4.67</v>
      </c>
      <c r="G2381" s="1308">
        <v>7.9950000000000001</v>
      </c>
      <c r="H2381" s="1308"/>
      <c r="I2381" s="1351">
        <f t="shared" si="139"/>
        <v>37.340000000000003</v>
      </c>
      <c r="J2381" s="1291"/>
    </row>
    <row r="2382" spans="1:10" s="1209" customFormat="1">
      <c r="A2382" s="1349"/>
      <c r="B2382" s="1306" t="s">
        <v>6910</v>
      </c>
      <c r="C2382" s="1318">
        <v>1</v>
      </c>
      <c r="D2382" s="1318" t="s">
        <v>3364</v>
      </c>
      <c r="E2382" s="1318">
        <v>1</v>
      </c>
      <c r="F2382" s="1308">
        <f>(F2381+G2381)*2</f>
        <v>25.33</v>
      </c>
      <c r="G2382" s="1308"/>
      <c r="H2382" s="1308">
        <v>0.1</v>
      </c>
      <c r="I2382" s="1351">
        <f t="shared" si="139"/>
        <v>2.5299999999999998</v>
      </c>
      <c r="J2382" s="1291"/>
    </row>
    <row r="2383" spans="1:10" s="1209" customFormat="1">
      <c r="A2383" s="1349"/>
      <c r="B2383" s="1306" t="s">
        <v>6923</v>
      </c>
      <c r="C2383" s="1318">
        <v>1</v>
      </c>
      <c r="D2383" s="1318" t="s">
        <v>3364</v>
      </c>
      <c r="E2383" s="1318">
        <v>1</v>
      </c>
      <c r="F2383" s="1308">
        <v>9.57</v>
      </c>
      <c r="G2383" s="1308">
        <v>7.9950000000000001</v>
      </c>
      <c r="H2383" s="1308"/>
      <c r="I2383" s="1351">
        <f t="shared" si="139"/>
        <v>76.510000000000005</v>
      </c>
      <c r="J2383" s="1291"/>
    </row>
    <row r="2384" spans="1:10" s="1209" customFormat="1">
      <c r="A2384" s="1349"/>
      <c r="B2384" s="1306" t="s">
        <v>6910</v>
      </c>
      <c r="C2384" s="1318">
        <v>1</v>
      </c>
      <c r="D2384" s="1318" t="s">
        <v>3364</v>
      </c>
      <c r="E2384" s="1318">
        <v>1</v>
      </c>
      <c r="F2384" s="1308">
        <f>(F2383+G2383)*2</f>
        <v>35.130000000000003</v>
      </c>
      <c r="G2384" s="1308"/>
      <c r="H2384" s="1308">
        <v>0.1</v>
      </c>
      <c r="I2384" s="1351">
        <f t="shared" si="139"/>
        <v>3.51</v>
      </c>
      <c r="J2384" s="1291"/>
    </row>
    <row r="2385" spans="1:10" s="1209" customFormat="1">
      <c r="A2385" s="1349"/>
      <c r="B2385" s="1306" t="s">
        <v>6759</v>
      </c>
      <c r="C2385" s="1318">
        <v>1</v>
      </c>
      <c r="D2385" s="1318" t="s">
        <v>3364</v>
      </c>
      <c r="E2385" s="1318">
        <v>1</v>
      </c>
      <c r="F2385" s="1308">
        <v>4.6630000000000003</v>
      </c>
      <c r="G2385" s="1308">
        <v>7.9950000000000001</v>
      </c>
      <c r="H2385" s="1308"/>
      <c r="I2385" s="1351">
        <f t="shared" si="139"/>
        <v>37.28</v>
      </c>
      <c r="J2385" s="1291"/>
    </row>
    <row r="2386" spans="1:10" s="1209" customFormat="1">
      <c r="A2386" s="1349"/>
      <c r="B2386" s="1306" t="s">
        <v>6910</v>
      </c>
      <c r="C2386" s="1318">
        <v>1</v>
      </c>
      <c r="D2386" s="1318" t="s">
        <v>3364</v>
      </c>
      <c r="E2386" s="1318">
        <v>1</v>
      </c>
      <c r="F2386" s="1308">
        <f>(F2385+G2385)*2</f>
        <v>25.315999999999999</v>
      </c>
      <c r="G2386" s="1308"/>
      <c r="H2386" s="1308">
        <v>0.1</v>
      </c>
      <c r="I2386" s="1351">
        <f t="shared" si="139"/>
        <v>2.5299999999999998</v>
      </c>
      <c r="J2386" s="1291"/>
    </row>
    <row r="2387" spans="1:10" s="1209" customFormat="1">
      <c r="A2387" s="1349"/>
      <c r="B2387" s="1306" t="s">
        <v>6924</v>
      </c>
      <c r="C2387" s="1318">
        <v>1</v>
      </c>
      <c r="D2387" s="1318" t="s">
        <v>3364</v>
      </c>
      <c r="E2387" s="1318">
        <v>1</v>
      </c>
      <c r="F2387" s="1308">
        <v>5.39</v>
      </c>
      <c r="G2387" s="1308">
        <v>10.51</v>
      </c>
      <c r="H2387" s="1308"/>
      <c r="I2387" s="1351">
        <f t="shared" si="139"/>
        <v>56.65</v>
      </c>
      <c r="J2387" s="1291"/>
    </row>
    <row r="2388" spans="1:10" s="1209" customFormat="1">
      <c r="A2388" s="1349"/>
      <c r="B2388" s="1306" t="s">
        <v>6910</v>
      </c>
      <c r="C2388" s="1318">
        <v>1</v>
      </c>
      <c r="D2388" s="1318" t="s">
        <v>3364</v>
      </c>
      <c r="E2388" s="1318">
        <v>1</v>
      </c>
      <c r="F2388" s="1308">
        <f>(F2387+G2387)*2</f>
        <v>31.8</v>
      </c>
      <c r="G2388" s="1308"/>
      <c r="H2388" s="1308">
        <v>0.1</v>
      </c>
      <c r="I2388" s="1351">
        <f t="shared" si="139"/>
        <v>3.18</v>
      </c>
      <c r="J2388" s="1291"/>
    </row>
    <row r="2389" spans="1:10" s="1209" customFormat="1">
      <c r="A2389" s="1349"/>
      <c r="B2389" s="1306" t="s">
        <v>6925</v>
      </c>
      <c r="C2389" s="1318">
        <v>1</v>
      </c>
      <c r="D2389" s="1318" t="s">
        <v>3364</v>
      </c>
      <c r="E2389" s="1318">
        <v>1</v>
      </c>
      <c r="F2389" s="1308">
        <v>5.07</v>
      </c>
      <c r="G2389" s="1308">
        <v>4.93</v>
      </c>
      <c r="H2389" s="1308"/>
      <c r="I2389" s="1351">
        <f t="shared" si="139"/>
        <v>25</v>
      </c>
      <c r="J2389" s="1291"/>
    </row>
    <row r="2390" spans="1:10" s="1209" customFormat="1">
      <c r="A2390" s="1349"/>
      <c r="B2390" s="1306" t="s">
        <v>6910</v>
      </c>
      <c r="C2390" s="1318">
        <v>1</v>
      </c>
      <c r="D2390" s="1318" t="s">
        <v>3364</v>
      </c>
      <c r="E2390" s="1318">
        <v>1</v>
      </c>
      <c r="F2390" s="1308">
        <f>(F2389+G2389)*2</f>
        <v>20</v>
      </c>
      <c r="G2390" s="1308"/>
      <c r="H2390" s="1308">
        <v>0.1</v>
      </c>
      <c r="I2390" s="1351">
        <f t="shared" si="139"/>
        <v>2</v>
      </c>
      <c r="J2390" s="1291"/>
    </row>
    <row r="2391" spans="1:10" s="1209" customFormat="1">
      <c r="A2391" s="1349"/>
      <c r="B2391" s="1306" t="s">
        <v>6926</v>
      </c>
      <c r="C2391" s="1318">
        <v>1</v>
      </c>
      <c r="D2391" s="1318" t="s">
        <v>3364</v>
      </c>
      <c r="E2391" s="1318">
        <v>1</v>
      </c>
      <c r="F2391" s="1308">
        <v>5.21</v>
      </c>
      <c r="G2391" s="1308">
        <v>4.93</v>
      </c>
      <c r="H2391" s="1308"/>
      <c r="I2391" s="1351">
        <f t="shared" si="139"/>
        <v>25.69</v>
      </c>
      <c r="J2391" s="1291"/>
    </row>
    <row r="2392" spans="1:10" s="1209" customFormat="1">
      <c r="A2392" s="1349"/>
      <c r="B2392" s="1306" t="s">
        <v>6910</v>
      </c>
      <c r="C2392" s="1318">
        <v>1</v>
      </c>
      <c r="D2392" s="1318" t="s">
        <v>3364</v>
      </c>
      <c r="E2392" s="1318">
        <v>1</v>
      </c>
      <c r="F2392" s="1308">
        <f>(F2391+G2391)*2</f>
        <v>20.28</v>
      </c>
      <c r="G2392" s="1308"/>
      <c r="H2392" s="1308">
        <v>0.1</v>
      </c>
      <c r="I2392" s="1351">
        <f t="shared" si="139"/>
        <v>2.0299999999999998</v>
      </c>
      <c r="J2392" s="1291"/>
    </row>
    <row r="2393" spans="1:10" s="1209" customFormat="1">
      <c r="A2393" s="1349"/>
      <c r="B2393" s="1306" t="s">
        <v>6926</v>
      </c>
      <c r="C2393" s="1318">
        <v>1</v>
      </c>
      <c r="D2393" s="1318" t="s">
        <v>3364</v>
      </c>
      <c r="E2393" s="1318">
        <v>1</v>
      </c>
      <c r="F2393" s="1308">
        <v>4.7919999999999998</v>
      </c>
      <c r="G2393" s="1308">
        <v>4.93</v>
      </c>
      <c r="H2393" s="1308"/>
      <c r="I2393" s="1351">
        <f t="shared" si="139"/>
        <v>23.62</v>
      </c>
      <c r="J2393" s="1291"/>
    </row>
    <row r="2394" spans="1:10" s="1209" customFormat="1">
      <c r="A2394" s="1349"/>
      <c r="B2394" s="1306" t="s">
        <v>6910</v>
      </c>
      <c r="C2394" s="1318">
        <v>1</v>
      </c>
      <c r="D2394" s="1318" t="s">
        <v>3364</v>
      </c>
      <c r="E2394" s="1318">
        <v>1</v>
      </c>
      <c r="F2394" s="1308">
        <f>(F2393+G2393)*2</f>
        <v>19.443999999999999</v>
      </c>
      <c r="G2394" s="1308"/>
      <c r="H2394" s="1308">
        <v>0.1</v>
      </c>
      <c r="I2394" s="1351">
        <f t="shared" si="139"/>
        <v>1.94</v>
      </c>
      <c r="J2394" s="1291"/>
    </row>
    <row r="2395" spans="1:10" s="1209" customFormat="1">
      <c r="A2395" s="1349"/>
      <c r="B2395" s="1306" t="s">
        <v>6927</v>
      </c>
      <c r="C2395" s="1318">
        <v>1</v>
      </c>
      <c r="D2395" s="1318" t="s">
        <v>3364</v>
      </c>
      <c r="E2395" s="1318">
        <v>1</v>
      </c>
      <c r="F2395" s="1308">
        <v>3</v>
      </c>
      <c r="G2395" s="1308">
        <v>4.93</v>
      </c>
      <c r="H2395" s="1308"/>
      <c r="I2395" s="1351">
        <f t="shared" si="139"/>
        <v>14.79</v>
      </c>
      <c r="J2395" s="1291"/>
    </row>
    <row r="2396" spans="1:10" s="1209" customFormat="1">
      <c r="A2396" s="1349"/>
      <c r="B2396" s="1306" t="s">
        <v>6910</v>
      </c>
      <c r="C2396" s="1318">
        <v>1</v>
      </c>
      <c r="D2396" s="1318" t="s">
        <v>3364</v>
      </c>
      <c r="E2396" s="1318">
        <v>1</v>
      </c>
      <c r="F2396" s="1308">
        <f>(F2395+G2395)*2</f>
        <v>15.86</v>
      </c>
      <c r="G2396" s="1308"/>
      <c r="H2396" s="1308">
        <v>0.1</v>
      </c>
      <c r="I2396" s="1351">
        <f t="shared" si="139"/>
        <v>1.59</v>
      </c>
      <c r="J2396" s="1291"/>
    </row>
    <row r="2397" spans="1:10" s="1209" customFormat="1">
      <c r="A2397" s="1182"/>
      <c r="B2397" s="1201"/>
      <c r="C2397" s="1186"/>
      <c r="D2397" s="1186"/>
      <c r="E2397" s="1186"/>
      <c r="F2397" s="1177"/>
      <c r="G2397" s="1177"/>
      <c r="H2397" s="1177"/>
      <c r="I2397" s="1181">
        <f>SUM(I2337:I2396)</f>
        <v>1185.06</v>
      </c>
      <c r="J2397" s="1275"/>
    </row>
    <row r="2398" spans="1:10" s="1209" customFormat="1">
      <c r="A2398" s="1185"/>
      <c r="B2398" s="1199"/>
      <c r="C2398" s="1186"/>
      <c r="D2398" s="1186"/>
      <c r="E2398" s="1186"/>
      <c r="F2398" s="1177"/>
      <c r="G2398" s="1177"/>
      <c r="H2398" s="1253" t="s">
        <v>2981</v>
      </c>
      <c r="I2398" s="1181">
        <f>CEILING(I2397,0.1)</f>
        <v>1185.0999999999999</v>
      </c>
      <c r="J2398" s="1184" t="s">
        <v>724</v>
      </c>
    </row>
    <row r="2399" spans="1:10" s="1212" customFormat="1" ht="36">
      <c r="A2399" s="1352"/>
      <c r="B2399" s="1190" t="s">
        <v>5727</v>
      </c>
      <c r="C2399" s="1303"/>
      <c r="D2399" s="1303"/>
      <c r="E2399" s="1303"/>
      <c r="F2399" s="1253"/>
      <c r="G2399" s="1253"/>
      <c r="H2399" s="1253"/>
      <c r="I2399" s="1181"/>
      <c r="J2399" s="1184"/>
    </row>
    <row r="2400" spans="1:10" s="1209" customFormat="1">
      <c r="A2400" s="1185"/>
      <c r="B2400" s="1201" t="s">
        <v>6928</v>
      </c>
      <c r="C2400" s="1186">
        <v>5</v>
      </c>
      <c r="D2400" s="1186" t="s">
        <v>3364</v>
      </c>
      <c r="E2400" s="1186">
        <v>22</v>
      </c>
      <c r="F2400" s="1177">
        <v>1.5</v>
      </c>
      <c r="G2400" s="1177"/>
      <c r="H2400" s="1177">
        <f>0.3+0.15</f>
        <v>0.45</v>
      </c>
      <c r="I2400" s="1178">
        <f t="shared" ref="I2400:I2406" si="140">PRODUCT(C2400:H2400)</f>
        <v>74.25</v>
      </c>
      <c r="J2400" s="1184"/>
    </row>
    <row r="2401" spans="1:10" s="1209" customFormat="1">
      <c r="A2401" s="1185"/>
      <c r="B2401" s="1201" t="s">
        <v>3707</v>
      </c>
      <c r="C2401" s="1186">
        <v>5</v>
      </c>
      <c r="D2401" s="1186" t="s">
        <v>3364</v>
      </c>
      <c r="E2401" s="1186">
        <v>1</v>
      </c>
      <c r="F2401" s="1177">
        <v>3</v>
      </c>
      <c r="G2401" s="1177">
        <v>1.35</v>
      </c>
      <c r="H2401" s="1177"/>
      <c r="I2401" s="1178">
        <f t="shared" si="140"/>
        <v>20.25</v>
      </c>
      <c r="J2401" s="1184"/>
    </row>
    <row r="2402" spans="1:10" s="1209" customFormat="1">
      <c r="A2402" s="1185"/>
      <c r="B2402" s="1203"/>
      <c r="C2402" s="1186"/>
      <c r="D2402" s="1186"/>
      <c r="E2402" s="1186"/>
      <c r="F2402" s="1177"/>
      <c r="G2402" s="1253" t="s">
        <v>104</v>
      </c>
      <c r="H2402" s="1253"/>
      <c r="I2402" s="1181">
        <f>SUM(I2400:I2401)</f>
        <v>94.5</v>
      </c>
      <c r="J2402" s="1184"/>
    </row>
    <row r="2403" spans="1:10" s="1209" customFormat="1">
      <c r="A2403" s="1185"/>
      <c r="B2403" s="1203"/>
      <c r="C2403" s="1186"/>
      <c r="D2403" s="1186"/>
      <c r="E2403" s="1186"/>
      <c r="F2403" s="1177"/>
      <c r="G2403" s="1253"/>
      <c r="H2403" s="1253" t="s">
        <v>2981</v>
      </c>
      <c r="I2403" s="1181">
        <f>CEILING(I2402,0.1)</f>
        <v>94.5</v>
      </c>
      <c r="J2403" s="1184" t="s">
        <v>724</v>
      </c>
    </row>
    <row r="2404" spans="1:10" s="1212" customFormat="1" ht="47.25">
      <c r="A2404" s="1352"/>
      <c r="B2404" s="1293" t="s">
        <v>3712</v>
      </c>
      <c r="C2404" s="1303"/>
      <c r="D2404" s="1303"/>
      <c r="E2404" s="1303"/>
      <c r="F2404" s="1253"/>
      <c r="G2404" s="1253"/>
      <c r="H2404" s="1253"/>
      <c r="I2404" s="1181"/>
      <c r="J2404" s="1184"/>
    </row>
    <row r="2405" spans="1:10" s="1212" customFormat="1">
      <c r="A2405" s="1352"/>
      <c r="B2405" s="1293" t="s">
        <v>7008</v>
      </c>
      <c r="C2405" s="1303"/>
      <c r="D2405" s="1303"/>
      <c r="E2405" s="1303"/>
      <c r="F2405" s="1253"/>
      <c r="G2405" s="1253"/>
      <c r="H2405" s="1253"/>
      <c r="I2405" s="1181"/>
      <c r="J2405" s="1184"/>
    </row>
    <row r="2406" spans="1:10" s="1209" customFormat="1">
      <c r="A2406" s="1185"/>
      <c r="B2406" s="1199" t="s">
        <v>3708</v>
      </c>
      <c r="C2406" s="1186">
        <v>1</v>
      </c>
      <c r="D2406" s="1186" t="s">
        <v>3364</v>
      </c>
      <c r="E2406" s="1186">
        <v>1</v>
      </c>
      <c r="F2406" s="1177">
        <v>15</v>
      </c>
      <c r="G2406" s="1177"/>
      <c r="H2406" s="1177"/>
      <c r="I2406" s="1183">
        <f t="shared" si="140"/>
        <v>15</v>
      </c>
      <c r="J2406" s="1184" t="s">
        <v>13</v>
      </c>
    </row>
    <row r="2407" spans="1:10" s="1212" customFormat="1">
      <c r="A2407" s="1352"/>
      <c r="B2407" s="1202" t="s">
        <v>7009</v>
      </c>
      <c r="C2407" s="1303"/>
      <c r="D2407" s="1303"/>
      <c r="E2407" s="1303"/>
      <c r="F2407" s="1253"/>
      <c r="G2407" s="1253"/>
      <c r="H2407" s="1253"/>
      <c r="I2407" s="1183"/>
      <c r="J2407" s="1184"/>
    </row>
    <row r="2408" spans="1:10" s="1209" customFormat="1">
      <c r="A2408" s="1185"/>
      <c r="B2408" s="1199" t="s">
        <v>3708</v>
      </c>
      <c r="C2408" s="1186">
        <v>1</v>
      </c>
      <c r="D2408" s="1186" t="s">
        <v>3364</v>
      </c>
      <c r="E2408" s="1186">
        <v>1</v>
      </c>
      <c r="F2408" s="1177">
        <v>45</v>
      </c>
      <c r="G2408" s="1177"/>
      <c r="H2408" s="1177"/>
      <c r="I2408" s="1183">
        <f>PRODUCT(C2408:H2408)</f>
        <v>45</v>
      </c>
      <c r="J2408" s="1184" t="s">
        <v>13</v>
      </c>
    </row>
    <row r="2409" spans="1:10" s="1209" customFormat="1">
      <c r="A2409" s="1185"/>
      <c r="B2409" s="1199"/>
      <c r="C2409" s="1186"/>
      <c r="D2409" s="1186"/>
      <c r="E2409" s="1186"/>
      <c r="F2409" s="1177"/>
      <c r="G2409" s="1177"/>
      <c r="H2409" s="1177"/>
      <c r="I2409" s="1183"/>
      <c r="J2409" s="1184"/>
    </row>
    <row r="2410" spans="1:10" s="1209" customFormat="1" ht="47.25">
      <c r="A2410" s="1185"/>
      <c r="B2410" s="1252" t="s">
        <v>3709</v>
      </c>
      <c r="C2410" s="1186"/>
      <c r="D2410" s="1186"/>
      <c r="E2410" s="1186"/>
      <c r="F2410" s="1177"/>
      <c r="G2410" s="1177"/>
      <c r="H2410" s="1177"/>
      <c r="I2410" s="1178"/>
      <c r="J2410" s="1184"/>
    </row>
    <row r="2411" spans="1:10" s="1209" customFormat="1">
      <c r="A2411" s="1185"/>
      <c r="B2411" s="1254" t="s">
        <v>3710</v>
      </c>
      <c r="C2411" s="1186">
        <v>1</v>
      </c>
      <c r="D2411" s="1186" t="s">
        <v>3364</v>
      </c>
      <c r="E2411" s="1186">
        <v>2</v>
      </c>
      <c r="F2411" s="1177"/>
      <c r="G2411" s="1177"/>
      <c r="H2411" s="1177"/>
      <c r="I2411" s="1183">
        <f>PRODUCT(C2411:H2411)</f>
        <v>2</v>
      </c>
      <c r="J2411" s="1184" t="s">
        <v>3471</v>
      </c>
    </row>
    <row r="2412" spans="1:10" s="1209" customFormat="1" ht="31.5">
      <c r="A2412" s="1185"/>
      <c r="B2412" s="1252" t="s">
        <v>3711</v>
      </c>
      <c r="C2412" s="1186"/>
      <c r="D2412" s="1186"/>
      <c r="E2412" s="1186"/>
      <c r="F2412" s="1177"/>
      <c r="G2412" s="1177"/>
      <c r="H2412" s="1177"/>
      <c r="I2412" s="1178"/>
      <c r="J2412" s="1291"/>
    </row>
    <row r="2413" spans="1:10" s="1209" customFormat="1">
      <c r="A2413" s="1185"/>
      <c r="B2413" s="1254" t="s">
        <v>3710</v>
      </c>
      <c r="C2413" s="1186">
        <v>1</v>
      </c>
      <c r="D2413" s="1186" t="s">
        <v>3364</v>
      </c>
      <c r="E2413" s="1186">
        <v>2</v>
      </c>
      <c r="F2413" s="1177"/>
      <c r="G2413" s="1177"/>
      <c r="H2413" s="1177"/>
      <c r="I2413" s="1183">
        <f>PRODUCT(C2413:H2413)</f>
        <v>2</v>
      </c>
      <c r="J2413" s="1184" t="s">
        <v>3471</v>
      </c>
    </row>
    <row r="2414" spans="1:10" s="1209" customFormat="1" ht="54.75" customHeight="1">
      <c r="A2414" s="1185">
        <v>832.3</v>
      </c>
      <c r="B2414" s="1252" t="s">
        <v>3713</v>
      </c>
      <c r="C2414" s="1186"/>
      <c r="D2414" s="1186"/>
      <c r="E2414" s="1186"/>
      <c r="F2414" s="1177"/>
      <c r="G2414" s="1177"/>
      <c r="H2414" s="1177"/>
      <c r="I2414" s="1178"/>
      <c r="J2414" s="1184"/>
    </row>
    <row r="2415" spans="1:10" s="1209" customFormat="1">
      <c r="A2415" s="1185"/>
      <c r="B2415" s="1353" t="s">
        <v>6996</v>
      </c>
      <c r="C2415" s="1186">
        <v>1</v>
      </c>
      <c r="D2415" s="1186" t="s">
        <v>3364</v>
      </c>
      <c r="E2415" s="1186">
        <v>24</v>
      </c>
      <c r="F2415" s="1177">
        <v>0.9</v>
      </c>
      <c r="G2415" s="1177"/>
      <c r="H2415" s="1177">
        <v>0.6</v>
      </c>
      <c r="I2415" s="1278">
        <f>PRODUCT(C2415:H2415)</f>
        <v>12.96</v>
      </c>
      <c r="J2415" s="1184"/>
    </row>
    <row r="2416" spans="1:10" s="1209" customFormat="1">
      <c r="A2416" s="1185"/>
      <c r="B2416" s="1353" t="s">
        <v>6997</v>
      </c>
      <c r="C2416" s="1186">
        <v>1</v>
      </c>
      <c r="D2416" s="1186" t="s">
        <v>3364</v>
      </c>
      <c r="E2416" s="1186">
        <v>25</v>
      </c>
      <c r="F2416" s="1177">
        <v>0.75</v>
      </c>
      <c r="G2416" s="1177"/>
      <c r="H2416" s="1177">
        <v>0.6</v>
      </c>
      <c r="I2416" s="1278">
        <f>PRODUCT(C2416:H2416)</f>
        <v>11.25</v>
      </c>
      <c r="J2416" s="1184"/>
    </row>
    <row r="2417" spans="1:11" s="1209" customFormat="1">
      <c r="A2417" s="1185"/>
      <c r="B2417" s="1353" t="s">
        <v>6998</v>
      </c>
      <c r="C2417" s="1186">
        <v>1</v>
      </c>
      <c r="D2417" s="1186" t="s">
        <v>3364</v>
      </c>
      <c r="E2417" s="1186">
        <v>4</v>
      </c>
      <c r="F2417" s="1177">
        <v>0.75</v>
      </c>
      <c r="G2417" s="1177"/>
      <c r="H2417" s="1177">
        <v>0.6</v>
      </c>
      <c r="I2417" s="1278">
        <f>PRODUCT(C2417:H2417)</f>
        <v>1.8</v>
      </c>
      <c r="J2417" s="1184"/>
    </row>
    <row r="2418" spans="1:11" s="1209" customFormat="1">
      <c r="A2418" s="1185"/>
      <c r="B2418" s="1353"/>
      <c r="C2418" s="1186"/>
      <c r="D2418" s="1186"/>
      <c r="E2418" s="1186"/>
      <c r="F2418" s="1177"/>
      <c r="G2418" s="1177"/>
      <c r="H2418" s="1177"/>
      <c r="I2418" s="1278">
        <f>SUM(I2415:I2417)</f>
        <v>26.01</v>
      </c>
      <c r="J2418" s="1184"/>
    </row>
    <row r="2419" spans="1:11" s="1209" customFormat="1">
      <c r="A2419" s="1185"/>
      <c r="B2419" s="1199"/>
      <c r="C2419" s="1186"/>
      <c r="D2419" s="1186"/>
      <c r="E2419" s="1186"/>
      <c r="F2419" s="1177"/>
      <c r="G2419" s="1177"/>
      <c r="H2419" s="1177" t="s">
        <v>2981</v>
      </c>
      <c r="I2419" s="1178">
        <f>CEILING(I2418,0.1)</f>
        <v>26.1</v>
      </c>
      <c r="J2419" s="1184" t="s">
        <v>724</v>
      </c>
    </row>
    <row r="2420" spans="1:11" s="1209" customFormat="1" ht="47.25">
      <c r="A2420" s="1185" t="s">
        <v>3714</v>
      </c>
      <c r="B2420" s="1252" t="s">
        <v>3715</v>
      </c>
      <c r="C2420" s="1186"/>
      <c r="D2420" s="1186"/>
      <c r="E2420" s="1186"/>
      <c r="F2420" s="1177"/>
      <c r="G2420" s="1177"/>
      <c r="H2420" s="1177"/>
      <c r="I2420" s="1178"/>
      <c r="J2420" s="1291"/>
    </row>
    <row r="2421" spans="1:11" s="1209" customFormat="1">
      <c r="A2421" s="1185"/>
      <c r="B2421" s="1353" t="s">
        <v>6929</v>
      </c>
      <c r="C2421" s="1186">
        <v>1</v>
      </c>
      <c r="D2421" s="1186" t="s">
        <v>3364</v>
      </c>
      <c r="E2421" s="1303">
        <v>47</v>
      </c>
      <c r="F2421" s="1177">
        <v>1.5</v>
      </c>
      <c r="G2421" s="1177"/>
      <c r="H2421" s="1177">
        <v>1.35</v>
      </c>
      <c r="I2421" s="1278">
        <f>PRODUCT(C2421:H2421)</f>
        <v>95.18</v>
      </c>
      <c r="J2421" s="1184"/>
      <c r="K2421" s="1218">
        <v>26</v>
      </c>
    </row>
    <row r="2422" spans="1:11" s="1209" customFormat="1">
      <c r="A2422" s="1185"/>
      <c r="B2422" s="1353" t="s">
        <v>6999</v>
      </c>
      <c r="C2422" s="1186">
        <v>1</v>
      </c>
      <c r="D2422" s="1186" t="s">
        <v>3364</v>
      </c>
      <c r="E2422" s="1303">
        <v>7</v>
      </c>
      <c r="F2422" s="1177">
        <v>2</v>
      </c>
      <c r="G2422" s="1177"/>
      <c r="H2422" s="1177">
        <v>1.65</v>
      </c>
      <c r="I2422" s="1278">
        <f>PRODUCT(C2422:H2422)</f>
        <v>23.1</v>
      </c>
      <c r="J2422" s="1184"/>
      <c r="K2422" s="1219"/>
    </row>
    <row r="2423" spans="1:11" s="1209" customFormat="1">
      <c r="A2423" s="1185"/>
      <c r="B2423" s="1353" t="s">
        <v>7000</v>
      </c>
      <c r="C2423" s="1186">
        <v>1</v>
      </c>
      <c r="D2423" s="1186" t="s">
        <v>3364</v>
      </c>
      <c r="E2423" s="1303">
        <v>1</v>
      </c>
      <c r="F2423" s="1177">
        <v>1.8</v>
      </c>
      <c r="G2423" s="1177"/>
      <c r="H2423" s="1177">
        <v>1.05</v>
      </c>
      <c r="I2423" s="1278">
        <f>PRODUCT(C2423:H2423)</f>
        <v>1.89</v>
      </c>
      <c r="J2423" s="1184"/>
      <c r="K2423" s="1219"/>
    </row>
    <row r="2424" spans="1:11" s="1209" customFormat="1">
      <c r="A2424" s="1185"/>
      <c r="B2424" s="1353" t="s">
        <v>7001</v>
      </c>
      <c r="C2424" s="1186">
        <v>1</v>
      </c>
      <c r="D2424" s="1186" t="s">
        <v>3364</v>
      </c>
      <c r="E2424" s="1303">
        <v>4</v>
      </c>
      <c r="F2424" s="1177">
        <v>1.5</v>
      </c>
      <c r="G2424" s="1177"/>
      <c r="H2424" s="1177">
        <v>1.35</v>
      </c>
      <c r="I2424" s="1278">
        <f>PRODUCT(C2424:H2424)</f>
        <v>8.1</v>
      </c>
      <c r="J2424" s="1184"/>
      <c r="K2424" s="1219"/>
    </row>
    <row r="2425" spans="1:11" s="1209" customFormat="1">
      <c r="A2425" s="1185"/>
      <c r="B2425" s="1353"/>
      <c r="C2425" s="1186"/>
      <c r="D2425" s="1186"/>
      <c r="E2425" s="1303"/>
      <c r="F2425" s="1177"/>
      <c r="G2425" s="1177"/>
      <c r="H2425" s="1177"/>
      <c r="I2425" s="1278">
        <f>SUM(I2421:I2423)</f>
        <v>120.17</v>
      </c>
      <c r="J2425" s="1184"/>
      <c r="K2425" s="1219"/>
    </row>
    <row r="2426" spans="1:11" s="1209" customFormat="1">
      <c r="A2426" s="1185"/>
      <c r="B2426" s="1254"/>
      <c r="C2426" s="1186"/>
      <c r="D2426" s="1186"/>
      <c r="E2426" s="1186"/>
      <c r="F2426" s="1177"/>
      <c r="G2426" s="1177"/>
      <c r="H2426" s="1177" t="s">
        <v>2981</v>
      </c>
      <c r="I2426" s="1178">
        <f>CEILING(I2425,0.1)</f>
        <v>120.2</v>
      </c>
      <c r="J2426" s="1184" t="s">
        <v>724</v>
      </c>
    </row>
    <row r="2427" spans="1:11" s="1209" customFormat="1" ht="31.5">
      <c r="A2427" s="1185"/>
      <c r="B2427" s="1353" t="s">
        <v>5792</v>
      </c>
      <c r="C2427" s="1186"/>
      <c r="D2427" s="1186"/>
      <c r="E2427" s="1186"/>
      <c r="F2427" s="1177"/>
      <c r="G2427" s="1177"/>
      <c r="H2427" s="1177"/>
      <c r="I2427" s="1178"/>
      <c r="J2427" s="1184"/>
    </row>
    <row r="2428" spans="1:11" s="1209" customFormat="1" ht="31.5">
      <c r="A2428" s="1185"/>
      <c r="B2428" s="1353" t="s">
        <v>6930</v>
      </c>
      <c r="C2428" s="1186"/>
      <c r="D2428" s="1186"/>
      <c r="E2428" s="1186"/>
      <c r="F2428" s="1177"/>
      <c r="G2428" s="1177"/>
      <c r="H2428" s="1177"/>
      <c r="I2428" s="1178"/>
      <c r="J2428" s="1184"/>
    </row>
    <row r="2429" spans="1:11" s="1209" customFormat="1">
      <c r="A2429" s="1185"/>
      <c r="B2429" s="1199" t="s">
        <v>3363</v>
      </c>
      <c r="C2429" s="1186">
        <v>1</v>
      </c>
      <c r="D2429" s="1186" t="s">
        <v>3364</v>
      </c>
      <c r="E2429" s="1186">
        <f>Joineries!I3</f>
        <v>6</v>
      </c>
      <c r="F2429" s="1177"/>
      <c r="G2429" s="1177"/>
      <c r="H2429" s="1177"/>
      <c r="I2429" s="1278">
        <f t="shared" ref="I2429:I2439" si="141">PRODUCT(C2429:H2429)</f>
        <v>6</v>
      </c>
      <c r="J2429" s="1184" t="s">
        <v>41</v>
      </c>
    </row>
    <row r="2430" spans="1:11" s="1209" customFormat="1">
      <c r="A2430" s="1185"/>
      <c r="B2430" s="1354" t="str">
        <f>'A3'!C849</f>
        <v>i.  door size 0.900 m x 2.100 (Single Leaf)</v>
      </c>
      <c r="C2430" s="1186"/>
      <c r="D2430" s="1186"/>
      <c r="E2430" s="1186"/>
      <c r="F2430" s="1177"/>
      <c r="G2430" s="1177"/>
      <c r="H2430" s="1177"/>
      <c r="I2430" s="1278"/>
      <c r="J2430" s="1184"/>
    </row>
    <row r="2431" spans="1:11" s="1209" customFormat="1">
      <c r="A2431" s="1185"/>
      <c r="B2431" s="1199" t="s">
        <v>3398</v>
      </c>
      <c r="C2431" s="1186">
        <v>1</v>
      </c>
      <c r="D2431" s="1186" t="s">
        <v>3364</v>
      </c>
      <c r="E2431" s="1186">
        <f>Joineries!I4</f>
        <v>0</v>
      </c>
      <c r="F2431" s="1177"/>
      <c r="G2431" s="1177"/>
      <c r="H2431" s="1177"/>
      <c r="I2431" s="1278">
        <f>PRODUCT(C2431:H2431)</f>
        <v>0</v>
      </c>
      <c r="J2431" s="1184" t="s">
        <v>41</v>
      </c>
    </row>
    <row r="2432" spans="1:11" s="1209" customFormat="1" ht="31.5">
      <c r="A2432" s="1182"/>
      <c r="B2432" s="1203" t="s">
        <v>3716</v>
      </c>
      <c r="C2432" s="1186"/>
      <c r="D2432" s="1186"/>
      <c r="E2432" s="1186"/>
      <c r="F2432" s="1177"/>
      <c r="G2432" s="1177"/>
      <c r="H2432" s="1177"/>
      <c r="I2432" s="1278"/>
      <c r="J2432" s="1184"/>
    </row>
    <row r="2433" spans="1:10" s="1209" customFormat="1">
      <c r="A2433" s="1185"/>
      <c r="B2433" s="1255" t="s">
        <v>6931</v>
      </c>
      <c r="C2433" s="1186">
        <v>4</v>
      </c>
      <c r="D2433" s="1186" t="s">
        <v>3364</v>
      </c>
      <c r="E2433" s="1186">
        <v>1</v>
      </c>
      <c r="F2433" s="1177">
        <v>3</v>
      </c>
      <c r="G2433" s="1177">
        <v>3</v>
      </c>
      <c r="H2433" s="1177"/>
      <c r="I2433" s="1278">
        <f>PRODUCT(C2433:H2433)</f>
        <v>36</v>
      </c>
      <c r="J2433" s="1184"/>
    </row>
    <row r="2434" spans="1:10" s="1209" customFormat="1">
      <c r="A2434" s="1182"/>
      <c r="B2434" s="1201" t="s">
        <v>6909</v>
      </c>
      <c r="C2434" s="1186">
        <v>4</v>
      </c>
      <c r="D2434" s="1186" t="s">
        <v>3364</v>
      </c>
      <c r="E2434" s="1186">
        <v>1</v>
      </c>
      <c r="F2434" s="1177">
        <f>(F2433+G2433)*2</f>
        <v>12</v>
      </c>
      <c r="G2434" s="1177"/>
      <c r="H2434" s="1177">
        <v>0.1</v>
      </c>
      <c r="I2434" s="1278">
        <f>PRODUCT(C2434:H2434)</f>
        <v>4.8</v>
      </c>
      <c r="J2434" s="1275"/>
    </row>
    <row r="2435" spans="1:10" s="1209" customFormat="1">
      <c r="A2435" s="1182"/>
      <c r="B2435" s="1201" t="s">
        <v>6618</v>
      </c>
      <c r="C2435" s="1186">
        <v>1</v>
      </c>
      <c r="D2435" s="1186" t="s">
        <v>3364</v>
      </c>
      <c r="E2435" s="1186">
        <v>1</v>
      </c>
      <c r="F2435" s="1177">
        <f>4.67+2.697</f>
        <v>7.367</v>
      </c>
      <c r="G2435" s="1177">
        <v>0.6</v>
      </c>
      <c r="H2435" s="1177"/>
      <c r="I2435" s="1178">
        <f t="shared" si="141"/>
        <v>4.42</v>
      </c>
      <c r="J2435" s="1275"/>
    </row>
    <row r="2436" spans="1:10" s="1209" customFormat="1">
      <c r="A2436" s="1182"/>
      <c r="B2436" s="1201" t="s">
        <v>6932</v>
      </c>
      <c r="C2436" s="1186">
        <v>3</v>
      </c>
      <c r="D2436" s="1186" t="s">
        <v>3364</v>
      </c>
      <c r="E2436" s="1186">
        <v>1</v>
      </c>
      <c r="F2436" s="1177">
        <v>16.576000000000001</v>
      </c>
      <c r="G2436" s="1177">
        <v>2</v>
      </c>
      <c r="H2436" s="1177"/>
      <c r="I2436" s="1278">
        <f t="shared" si="141"/>
        <v>99.46</v>
      </c>
      <c r="J2436" s="1275"/>
    </row>
    <row r="2437" spans="1:10" s="1209" customFormat="1">
      <c r="A2437" s="1182"/>
      <c r="B2437" s="1201" t="s">
        <v>6909</v>
      </c>
      <c r="C2437" s="1186">
        <v>3</v>
      </c>
      <c r="D2437" s="1186" t="s">
        <v>3364</v>
      </c>
      <c r="E2437" s="1186">
        <v>1</v>
      </c>
      <c r="F2437" s="1177">
        <f>(F2436+G2436)*2</f>
        <v>37.152000000000001</v>
      </c>
      <c r="G2437" s="1177"/>
      <c r="H2437" s="1177">
        <v>0.1</v>
      </c>
      <c r="I2437" s="1278">
        <f t="shared" si="141"/>
        <v>11.15</v>
      </c>
      <c r="J2437" s="1275"/>
    </row>
    <row r="2438" spans="1:10" s="1209" customFormat="1">
      <c r="A2438" s="1182"/>
      <c r="B2438" s="1201" t="s">
        <v>6933</v>
      </c>
      <c r="C2438" s="1186">
        <v>1</v>
      </c>
      <c r="D2438" s="1186" t="s">
        <v>3364</v>
      </c>
      <c r="E2438" s="1186">
        <v>1</v>
      </c>
      <c r="F2438" s="1177">
        <v>2.7</v>
      </c>
      <c r="G2438" s="1177">
        <v>1.35</v>
      </c>
      <c r="H2438" s="1177"/>
      <c r="I2438" s="1178">
        <f t="shared" si="141"/>
        <v>3.65</v>
      </c>
      <c r="J2438" s="1275"/>
    </row>
    <row r="2439" spans="1:10" s="1209" customFormat="1">
      <c r="A2439" s="1182"/>
      <c r="B2439" s="1201" t="s">
        <v>6909</v>
      </c>
      <c r="C2439" s="1186">
        <v>1</v>
      </c>
      <c r="D2439" s="1186" t="s">
        <v>3364</v>
      </c>
      <c r="E2439" s="1186">
        <v>1</v>
      </c>
      <c r="F2439" s="1177">
        <f>(F2438+G2438)*2</f>
        <v>8.1</v>
      </c>
      <c r="G2439" s="1177"/>
      <c r="H2439" s="1177">
        <v>0.1</v>
      </c>
      <c r="I2439" s="1278">
        <f t="shared" si="141"/>
        <v>0.81</v>
      </c>
      <c r="J2439" s="1275"/>
    </row>
    <row r="2440" spans="1:10" s="1209" customFormat="1">
      <c r="A2440" s="1182"/>
      <c r="B2440" s="1201"/>
      <c r="C2440" s="1186"/>
      <c r="D2440" s="1186"/>
      <c r="E2440" s="1186"/>
      <c r="F2440" s="1177"/>
      <c r="G2440" s="1177"/>
      <c r="H2440" s="1177"/>
      <c r="I2440" s="1181">
        <f>SUM(I2433:I2439)</f>
        <v>160.29</v>
      </c>
      <c r="J2440" s="1275"/>
    </row>
    <row r="2441" spans="1:10" s="1209" customFormat="1">
      <c r="A2441" s="1185"/>
      <c r="B2441" s="1255"/>
      <c r="C2441" s="1186"/>
      <c r="D2441" s="1186"/>
      <c r="E2441" s="1186"/>
      <c r="F2441" s="1177"/>
      <c r="G2441" s="1177"/>
      <c r="H2441" s="1253" t="s">
        <v>2981</v>
      </c>
      <c r="I2441" s="1178">
        <f>CEILING(I2440,0.1)</f>
        <v>160.30000000000001</v>
      </c>
      <c r="J2441" s="1184" t="s">
        <v>724</v>
      </c>
    </row>
    <row r="2442" spans="1:10" s="181" customFormat="1" ht="31.5">
      <c r="A2442" s="1258"/>
      <c r="B2442" s="1355" t="s">
        <v>3758</v>
      </c>
      <c r="C2442" s="1258"/>
      <c r="D2442" s="1258"/>
      <c r="E2442" s="1258"/>
      <c r="F2442" s="1259"/>
      <c r="G2442" s="1259"/>
      <c r="H2442" s="1259"/>
      <c r="I2442" s="1356"/>
      <c r="J2442" s="1261"/>
    </row>
    <row r="2443" spans="1:10" s="181" customFormat="1">
      <c r="A2443" s="1357"/>
      <c r="B2443" s="1257" t="s">
        <v>3759</v>
      </c>
      <c r="C2443" s="1358">
        <v>1</v>
      </c>
      <c r="D2443" s="1358" t="s">
        <v>3364</v>
      </c>
      <c r="E2443" s="1358">
        <v>4</v>
      </c>
      <c r="F2443" s="1259">
        <v>2.6</v>
      </c>
      <c r="G2443" s="1259"/>
      <c r="H2443" s="1259">
        <v>3.1749999999999998</v>
      </c>
      <c r="I2443" s="1356">
        <f>PRODUCT(C2443:H2443)</f>
        <v>33.020000000000003</v>
      </c>
      <c r="J2443" s="1260"/>
    </row>
    <row r="2444" spans="1:10" s="181" customFormat="1">
      <c r="A2444" s="1357"/>
      <c r="B2444" s="1257" t="s">
        <v>3760</v>
      </c>
      <c r="C2444" s="1358">
        <v>-1</v>
      </c>
      <c r="D2444" s="1358" t="s">
        <v>3364</v>
      </c>
      <c r="E2444" s="1358">
        <v>4</v>
      </c>
      <c r="F2444" s="1259">
        <v>1</v>
      </c>
      <c r="G2444" s="1259"/>
      <c r="H2444" s="1259">
        <v>1.5</v>
      </c>
      <c r="I2444" s="1356">
        <f>PRODUCT(C2444:H2444)</f>
        <v>-6</v>
      </c>
      <c r="J2444" s="1260"/>
    </row>
    <row r="2445" spans="1:10" s="181" customFormat="1">
      <c r="A2445" s="1258"/>
      <c r="B2445" s="1359"/>
      <c r="C2445" s="1358"/>
      <c r="D2445" s="1358"/>
      <c r="E2445" s="1358"/>
      <c r="F2445" s="1259"/>
      <c r="G2445" s="1360" t="s">
        <v>104</v>
      </c>
      <c r="H2445" s="1360"/>
      <c r="I2445" s="1260">
        <f>SUM(I2443:I2444)</f>
        <v>27.02</v>
      </c>
      <c r="J2445" s="1261"/>
    </row>
    <row r="2446" spans="1:10" s="181" customFormat="1" ht="15" customHeight="1">
      <c r="A2446" s="1258"/>
      <c r="B2446" s="1359"/>
      <c r="C2446" s="1358"/>
      <c r="D2446" s="1358"/>
      <c r="E2446" s="1358"/>
      <c r="F2446" s="1259"/>
      <c r="G2446" s="1360"/>
      <c r="H2446" s="1360" t="s">
        <v>2981</v>
      </c>
      <c r="I2446" s="1260">
        <f>CEILING(I2445,0.1)</f>
        <v>27.1</v>
      </c>
      <c r="J2446" s="1260" t="s">
        <v>5</v>
      </c>
    </row>
    <row r="2447" spans="1:10" s="1209" customFormat="1" ht="47.25">
      <c r="A2447" s="1185">
        <v>31.3</v>
      </c>
      <c r="B2447" s="1201" t="s">
        <v>3717</v>
      </c>
      <c r="C2447" s="1186"/>
      <c r="D2447" s="1186"/>
      <c r="E2447" s="1186"/>
      <c r="F2447" s="1177"/>
      <c r="G2447" s="1177"/>
      <c r="H2447" s="1177"/>
      <c r="I2447" s="1178"/>
      <c r="J2447" s="1184"/>
    </row>
    <row r="2448" spans="1:10" s="1209" customFormat="1">
      <c r="A2448" s="1185"/>
      <c r="B2448" s="1199" t="s">
        <v>6934</v>
      </c>
      <c r="C2448" s="1186">
        <v>1</v>
      </c>
      <c r="D2448" s="1186" t="s">
        <v>3364</v>
      </c>
      <c r="E2448" s="1186">
        <v>1</v>
      </c>
      <c r="F2448" s="1177">
        <v>13.202</v>
      </c>
      <c r="G2448" s="1177">
        <v>9.7140000000000004</v>
      </c>
      <c r="H2448" s="1177"/>
      <c r="I2448" s="1178">
        <f t="shared" ref="I2448:I2455" si="142">PRODUCT(C2448:H2448)</f>
        <v>128.24</v>
      </c>
      <c r="J2448" s="1184"/>
    </row>
    <row r="2449" spans="1:10" s="1209" customFormat="1">
      <c r="A2449" s="1185"/>
      <c r="B2449" s="1199" t="s">
        <v>3718</v>
      </c>
      <c r="C2449" s="1186">
        <v>1</v>
      </c>
      <c r="D2449" s="1186" t="s">
        <v>3364</v>
      </c>
      <c r="E2449" s="1186">
        <v>1</v>
      </c>
      <c r="F2449" s="1177">
        <f>(F2448+G2448)*2</f>
        <v>45.832000000000001</v>
      </c>
      <c r="G2449" s="1177"/>
      <c r="H2449" s="1177">
        <v>0.1</v>
      </c>
      <c r="I2449" s="1178">
        <f t="shared" si="142"/>
        <v>4.58</v>
      </c>
      <c r="J2449" s="1184"/>
    </row>
    <row r="2450" spans="1:10" s="1209" customFormat="1">
      <c r="A2450" s="1185"/>
      <c r="B2450" s="1199" t="s">
        <v>6935</v>
      </c>
      <c r="C2450" s="1186">
        <v>1</v>
      </c>
      <c r="D2450" s="1186" t="s">
        <v>3364</v>
      </c>
      <c r="E2450" s="1186">
        <v>1</v>
      </c>
      <c r="F2450" s="1177">
        <v>25.565000000000001</v>
      </c>
      <c r="G2450" s="1177">
        <v>16.13</v>
      </c>
      <c r="H2450" s="1177"/>
      <c r="I2450" s="1178">
        <f t="shared" si="142"/>
        <v>412.36</v>
      </c>
      <c r="J2450" s="1184"/>
    </row>
    <row r="2451" spans="1:10" s="1209" customFormat="1">
      <c r="A2451" s="1185"/>
      <c r="B2451" s="1199" t="s">
        <v>3718</v>
      </c>
      <c r="C2451" s="1186">
        <v>1</v>
      </c>
      <c r="D2451" s="1186" t="s">
        <v>3364</v>
      </c>
      <c r="E2451" s="1186">
        <v>1</v>
      </c>
      <c r="F2451" s="1177">
        <f>(F2450+G2450)*2</f>
        <v>83.39</v>
      </c>
      <c r="G2451" s="1177"/>
      <c r="H2451" s="1177">
        <v>0.1</v>
      </c>
      <c r="I2451" s="1178">
        <f t="shared" si="142"/>
        <v>8.34</v>
      </c>
      <c r="J2451" s="1184"/>
    </row>
    <row r="2452" spans="1:10" s="1209" customFormat="1">
      <c r="A2452" s="1185"/>
      <c r="B2452" s="1199" t="s">
        <v>6617</v>
      </c>
      <c r="C2452" s="1186">
        <v>1</v>
      </c>
      <c r="D2452" s="1186" t="s">
        <v>3364</v>
      </c>
      <c r="E2452" s="1186">
        <v>1</v>
      </c>
      <c r="F2452" s="1177">
        <v>7.8</v>
      </c>
      <c r="G2452" s="1177">
        <v>2.9249999999999998</v>
      </c>
      <c r="H2452" s="1177"/>
      <c r="I2452" s="1178">
        <f t="shared" si="142"/>
        <v>22.82</v>
      </c>
      <c r="J2452" s="1184"/>
    </row>
    <row r="2453" spans="1:10" s="1209" customFormat="1">
      <c r="A2453" s="1185"/>
      <c r="B2453" s="1199" t="s">
        <v>3718</v>
      </c>
      <c r="C2453" s="1186">
        <v>1</v>
      </c>
      <c r="D2453" s="1186" t="s">
        <v>3364</v>
      </c>
      <c r="E2453" s="1186">
        <v>1</v>
      </c>
      <c r="F2453" s="1177">
        <f>(F2452+G2452)*2</f>
        <v>21.45</v>
      </c>
      <c r="G2453" s="1177"/>
      <c r="H2453" s="1177">
        <v>0.1</v>
      </c>
      <c r="I2453" s="1178">
        <f t="shared" si="142"/>
        <v>2.15</v>
      </c>
      <c r="J2453" s="1184"/>
    </row>
    <row r="2454" spans="1:10" s="1209" customFormat="1">
      <c r="A2454" s="1185"/>
      <c r="B2454" s="1199" t="s">
        <v>6936</v>
      </c>
      <c r="C2454" s="1186">
        <v>1</v>
      </c>
      <c r="D2454" s="1186" t="s">
        <v>3364</v>
      </c>
      <c r="E2454" s="1186">
        <v>1</v>
      </c>
      <c r="F2454" s="1177">
        <v>9.7140000000000004</v>
      </c>
      <c r="G2454" s="1177">
        <v>1.2</v>
      </c>
      <c r="H2454" s="1177"/>
      <c r="I2454" s="1178">
        <f t="shared" si="142"/>
        <v>11.66</v>
      </c>
      <c r="J2454" s="1184"/>
    </row>
    <row r="2455" spans="1:10" s="1209" customFormat="1">
      <c r="A2455" s="1185"/>
      <c r="B2455" s="1199" t="s">
        <v>3718</v>
      </c>
      <c r="C2455" s="1186">
        <v>1</v>
      </c>
      <c r="D2455" s="1186" t="s">
        <v>3364</v>
      </c>
      <c r="E2455" s="1186">
        <v>1</v>
      </c>
      <c r="F2455" s="1177">
        <f>(F2454+G2454)*2</f>
        <v>21.827999999999999</v>
      </c>
      <c r="G2455" s="1177"/>
      <c r="H2455" s="1177">
        <v>0.1</v>
      </c>
      <c r="I2455" s="1178">
        <f t="shared" si="142"/>
        <v>2.1800000000000002</v>
      </c>
      <c r="J2455" s="1184"/>
    </row>
    <row r="2456" spans="1:10" s="1209" customFormat="1">
      <c r="A2456" s="1185"/>
      <c r="B2456" s="1199"/>
      <c r="C2456" s="1186"/>
      <c r="D2456" s="1186"/>
      <c r="E2456" s="1186"/>
      <c r="F2456" s="1177"/>
      <c r="G2456" s="1188" t="s">
        <v>104</v>
      </c>
      <c r="H2456" s="1269"/>
      <c r="I2456" s="1181">
        <f>SUM(I2448:I2455)</f>
        <v>592.33000000000004</v>
      </c>
      <c r="J2456" s="1184"/>
    </row>
    <row r="2457" spans="1:10" s="1209" customFormat="1">
      <c r="A2457" s="1185"/>
      <c r="B2457" s="1199"/>
      <c r="C2457" s="1186"/>
      <c r="D2457" s="1186"/>
      <c r="E2457" s="1186"/>
      <c r="F2457" s="1177"/>
      <c r="G2457" s="1269"/>
      <c r="H2457" s="1188" t="s">
        <v>3473</v>
      </c>
      <c r="I2457" s="1178">
        <f>CEILING(I2456,0.1)</f>
        <v>592.4</v>
      </c>
      <c r="J2457" s="1184" t="s">
        <v>724</v>
      </c>
    </row>
    <row r="2458" spans="1:10" s="1209" customFormat="1" ht="31.5">
      <c r="A2458" s="1182">
        <v>61.1</v>
      </c>
      <c r="B2458" s="1203" t="s">
        <v>3719</v>
      </c>
      <c r="C2458" s="1186"/>
      <c r="D2458" s="1186"/>
      <c r="E2458" s="1186"/>
      <c r="F2458" s="1177"/>
      <c r="G2458" s="1177"/>
      <c r="H2458" s="1177"/>
      <c r="I2458" s="1178"/>
      <c r="J2458" s="1184"/>
    </row>
    <row r="2459" spans="1:10" s="1209" customFormat="1">
      <c r="A2459" s="1182"/>
      <c r="B2459" s="1203" t="s">
        <v>3720</v>
      </c>
      <c r="C2459" s="1186"/>
      <c r="D2459" s="1186"/>
      <c r="E2459" s="1186"/>
      <c r="F2459" s="1177"/>
      <c r="G2459" s="1177"/>
      <c r="H2459" s="1177"/>
      <c r="I2459" s="1178"/>
      <c r="J2459" s="1184"/>
    </row>
    <row r="2460" spans="1:10" s="1209" customFormat="1">
      <c r="A2460" s="1182"/>
      <c r="B2460" s="1201" t="s">
        <v>3721</v>
      </c>
      <c r="C2460" s="1186">
        <v>3</v>
      </c>
      <c r="D2460" s="1186" t="s">
        <v>3364</v>
      </c>
      <c r="E2460" s="1186">
        <v>1</v>
      </c>
      <c r="F2460" s="1177">
        <v>60</v>
      </c>
      <c r="G2460" s="1177"/>
      <c r="H2460" s="1177"/>
      <c r="I2460" s="1183">
        <f t="shared" ref="I2460:I2466" si="143">PRODUCT(C2460:H2460)</f>
        <v>180</v>
      </c>
      <c r="J2460" s="1184" t="s">
        <v>13</v>
      </c>
    </row>
    <row r="2461" spans="1:10" s="1209" customFormat="1">
      <c r="A2461" s="1182"/>
      <c r="B2461" s="1201"/>
      <c r="C2461" s="1186"/>
      <c r="D2461" s="1186"/>
      <c r="E2461" s="1186"/>
      <c r="F2461" s="1177"/>
      <c r="G2461" s="1177"/>
      <c r="H2461" s="1177"/>
      <c r="I2461" s="1178"/>
      <c r="J2461" s="1184"/>
    </row>
    <row r="2462" spans="1:10" s="1209" customFormat="1">
      <c r="A2462" s="1182"/>
      <c r="B2462" s="1203" t="s">
        <v>3722</v>
      </c>
      <c r="C2462" s="1186"/>
      <c r="D2462" s="1186"/>
      <c r="E2462" s="1186"/>
      <c r="F2462" s="1177"/>
      <c r="G2462" s="1177"/>
      <c r="H2462" s="1177"/>
      <c r="I2462" s="1178"/>
      <c r="J2462" s="1184"/>
    </row>
    <row r="2463" spans="1:10" s="1209" customFormat="1">
      <c r="A2463" s="1182"/>
      <c r="B2463" s="1201" t="s">
        <v>3723</v>
      </c>
      <c r="C2463" s="1186">
        <v>3</v>
      </c>
      <c r="D2463" s="1186" t="s">
        <v>3364</v>
      </c>
      <c r="E2463" s="1186">
        <v>2</v>
      </c>
      <c r="F2463" s="1177">
        <v>10</v>
      </c>
      <c r="G2463" s="1177"/>
      <c r="H2463" s="1177"/>
      <c r="I2463" s="1183">
        <f t="shared" si="143"/>
        <v>60</v>
      </c>
      <c r="J2463" s="1184" t="s">
        <v>13</v>
      </c>
    </row>
    <row r="2464" spans="1:10" s="1209" customFormat="1" ht="31.5">
      <c r="A2464" s="1182"/>
      <c r="B2464" s="1361" t="s">
        <v>3724</v>
      </c>
      <c r="C2464" s="1186"/>
      <c r="D2464" s="1186"/>
      <c r="E2464" s="1186"/>
      <c r="F2464" s="1177"/>
      <c r="G2464" s="1177"/>
      <c r="H2464" s="1177"/>
      <c r="I2464" s="1183"/>
      <c r="J2464" s="1184"/>
    </row>
    <row r="2465" spans="1:10" s="1209" customFormat="1">
      <c r="A2465" s="1182"/>
      <c r="B2465" s="1300" t="s">
        <v>3725</v>
      </c>
      <c r="C2465" s="1186">
        <v>5</v>
      </c>
      <c r="D2465" s="1186" t="s">
        <v>3364</v>
      </c>
      <c r="E2465" s="1186">
        <v>2</v>
      </c>
      <c r="F2465" s="1177"/>
      <c r="G2465" s="1177"/>
      <c r="H2465" s="1177"/>
      <c r="I2465" s="1183">
        <f t="shared" si="143"/>
        <v>10</v>
      </c>
      <c r="J2465" s="1184" t="s">
        <v>41</v>
      </c>
    </row>
    <row r="2466" spans="1:10" s="1209" customFormat="1">
      <c r="A2466" s="1182"/>
      <c r="B2466" s="1300" t="s">
        <v>3726</v>
      </c>
      <c r="C2466" s="1186">
        <v>5</v>
      </c>
      <c r="D2466" s="1186" t="s">
        <v>3364</v>
      </c>
      <c r="E2466" s="1186">
        <v>2</v>
      </c>
      <c r="F2466" s="1177"/>
      <c r="G2466" s="1177"/>
      <c r="H2466" s="1177"/>
      <c r="I2466" s="1183">
        <f t="shared" si="143"/>
        <v>10</v>
      </c>
      <c r="J2466" s="1184" t="s">
        <v>41</v>
      </c>
    </row>
    <row r="2467" spans="1:10" s="1209" customFormat="1">
      <c r="A2467" s="1182"/>
      <c r="B2467" s="1361" t="s">
        <v>3727</v>
      </c>
      <c r="C2467" s="1186"/>
      <c r="D2467" s="1186"/>
      <c r="E2467" s="1186"/>
      <c r="F2467" s="1177"/>
      <c r="G2467" s="1177"/>
      <c r="H2467" s="1177"/>
      <c r="I2467" s="1183"/>
      <c r="J2467" s="1184"/>
    </row>
    <row r="2468" spans="1:10" s="1209" customFormat="1">
      <c r="A2468" s="1182"/>
      <c r="B2468" s="1300" t="s">
        <v>3728</v>
      </c>
      <c r="C2468" s="1186">
        <v>5</v>
      </c>
      <c r="D2468" s="1186" t="s">
        <v>3364</v>
      </c>
      <c r="E2468" s="1186">
        <v>2</v>
      </c>
      <c r="F2468" s="1177"/>
      <c r="G2468" s="1177"/>
      <c r="H2468" s="1177"/>
      <c r="I2468" s="1183">
        <f>PRODUCT(C2468:H2468)</f>
        <v>10</v>
      </c>
      <c r="J2468" s="1184" t="s">
        <v>41</v>
      </c>
    </row>
    <row r="2469" spans="1:10" s="1209" customFormat="1">
      <c r="A2469" s="1182"/>
      <c r="B2469" s="1300" t="s">
        <v>3729</v>
      </c>
      <c r="C2469" s="1186">
        <v>5</v>
      </c>
      <c r="D2469" s="1186" t="s">
        <v>3364</v>
      </c>
      <c r="E2469" s="1186">
        <v>2</v>
      </c>
      <c r="F2469" s="1177"/>
      <c r="G2469" s="1177"/>
      <c r="H2469" s="1177"/>
      <c r="I2469" s="1183">
        <f>PRODUCT(C2469:H2469)</f>
        <v>10</v>
      </c>
      <c r="J2469" s="1184" t="s">
        <v>41</v>
      </c>
    </row>
    <row r="2470" spans="1:10" s="1197" customFormat="1">
      <c r="A2470" s="1182"/>
      <c r="B2470" s="1201"/>
      <c r="C2470" s="1186"/>
      <c r="D2470" s="1186"/>
      <c r="E2470" s="1186"/>
      <c r="F2470" s="1177"/>
      <c r="G2470" s="1177"/>
      <c r="H2470" s="1177"/>
      <c r="I2470" s="1183"/>
      <c r="J2470" s="1184"/>
    </row>
    <row r="2471" spans="1:10" s="1209" customFormat="1" ht="47.25">
      <c r="A2471" s="1182">
        <v>43.1</v>
      </c>
      <c r="B2471" s="1201" t="s">
        <v>3730</v>
      </c>
      <c r="C2471" s="1186"/>
      <c r="D2471" s="1186"/>
      <c r="E2471" s="1186"/>
      <c r="F2471" s="1177"/>
      <c r="G2471" s="1177"/>
      <c r="H2471" s="1177"/>
      <c r="I2471" s="1178"/>
      <c r="J2471" s="1184"/>
    </row>
    <row r="2472" spans="1:10" s="1209" customFormat="1">
      <c r="A2472" s="1182"/>
      <c r="B2472" s="1201" t="s">
        <v>3731</v>
      </c>
      <c r="C2472" s="1186">
        <v>1</v>
      </c>
      <c r="D2472" s="1186" t="s">
        <v>3364</v>
      </c>
      <c r="E2472" s="1186">
        <v>1</v>
      </c>
      <c r="F2472" s="1177">
        <f>I1474</f>
        <v>218.5</v>
      </c>
      <c r="G2472" s="1177">
        <v>125</v>
      </c>
      <c r="H2472" s="1177"/>
      <c r="I2472" s="1278">
        <f t="shared" ref="I2472:I2477" si="144">PRODUCT(C2472:H2472)</f>
        <v>27312.5</v>
      </c>
      <c r="J2472" s="1184"/>
    </row>
    <row r="2473" spans="1:10" s="1209" customFormat="1">
      <c r="A2473" s="1182"/>
      <c r="B2473" s="1201" t="s">
        <v>3732</v>
      </c>
      <c r="C2473" s="1186">
        <v>1</v>
      </c>
      <c r="D2473" s="1186" t="s">
        <v>3364</v>
      </c>
      <c r="E2473" s="1186">
        <v>1</v>
      </c>
      <c r="F2473" s="1177">
        <f>I1512</f>
        <v>63.2</v>
      </c>
      <c r="G2473" s="1177">
        <v>125</v>
      </c>
      <c r="H2473" s="1177"/>
      <c r="I2473" s="1278">
        <f t="shared" si="144"/>
        <v>7900</v>
      </c>
      <c r="J2473" s="1184"/>
    </row>
    <row r="2474" spans="1:10" s="1209" customFormat="1">
      <c r="A2474" s="1182"/>
      <c r="B2474" s="1201" t="s">
        <v>3733</v>
      </c>
      <c r="C2474" s="1186">
        <v>1</v>
      </c>
      <c r="D2474" s="1186" t="s">
        <v>3364</v>
      </c>
      <c r="E2474" s="1186">
        <v>1</v>
      </c>
      <c r="F2474" s="1177">
        <f>I1553</f>
        <v>117.2</v>
      </c>
      <c r="G2474" s="1177">
        <v>125</v>
      </c>
      <c r="H2474" s="1177"/>
      <c r="I2474" s="1278">
        <f t="shared" si="144"/>
        <v>14650</v>
      </c>
      <c r="J2474" s="1184"/>
    </row>
    <row r="2475" spans="1:10" s="1209" customFormat="1">
      <c r="A2475" s="1182"/>
      <c r="B2475" s="1201" t="s">
        <v>3734</v>
      </c>
      <c r="C2475" s="1186">
        <v>1</v>
      </c>
      <c r="D2475" s="1186" t="s">
        <v>3364</v>
      </c>
      <c r="E2475" s="1186">
        <v>1</v>
      </c>
      <c r="F2475" s="1177">
        <f>I1600</f>
        <v>121.3</v>
      </c>
      <c r="G2475" s="1177">
        <v>125</v>
      </c>
      <c r="H2475" s="1177"/>
      <c r="I2475" s="1278">
        <f t="shared" si="144"/>
        <v>15162.5</v>
      </c>
      <c r="J2475" s="1184"/>
    </row>
    <row r="2476" spans="1:10" s="1209" customFormat="1">
      <c r="A2476" s="1182"/>
      <c r="B2476" s="1201" t="s">
        <v>3735</v>
      </c>
      <c r="C2476" s="1186">
        <v>1</v>
      </c>
      <c r="D2476" s="1186" t="s">
        <v>3364</v>
      </c>
      <c r="E2476" s="1186">
        <v>1</v>
      </c>
      <c r="F2476" s="1177">
        <f>I1644</f>
        <v>119.6</v>
      </c>
      <c r="G2476" s="1177">
        <v>125</v>
      </c>
      <c r="H2476" s="1177"/>
      <c r="I2476" s="1278">
        <f t="shared" si="144"/>
        <v>14950</v>
      </c>
      <c r="J2476" s="1184"/>
    </row>
    <row r="2477" spans="1:10" s="1209" customFormat="1">
      <c r="A2477" s="1182"/>
      <c r="B2477" s="1201" t="s">
        <v>3733</v>
      </c>
      <c r="C2477" s="1186">
        <v>1</v>
      </c>
      <c r="D2477" s="1186" t="s">
        <v>3364</v>
      </c>
      <c r="E2477" s="1186">
        <v>1</v>
      </c>
      <c r="F2477" s="1177">
        <f>I1665</f>
        <v>20.399999999999999</v>
      </c>
      <c r="G2477" s="1177">
        <v>125</v>
      </c>
      <c r="H2477" s="1177"/>
      <c r="I2477" s="1278">
        <f t="shared" si="144"/>
        <v>2550</v>
      </c>
      <c r="J2477" s="1184"/>
    </row>
    <row r="2478" spans="1:10" s="1209" customFormat="1">
      <c r="A2478" s="1182"/>
      <c r="B2478" s="1201"/>
      <c r="C2478" s="1186"/>
      <c r="D2478" s="1186"/>
      <c r="E2478" s="1186"/>
      <c r="F2478" s="1177"/>
      <c r="G2478" s="1177"/>
      <c r="H2478" s="1177"/>
      <c r="I2478" s="1181">
        <f>SUM(I2472:I2477)</f>
        <v>82525</v>
      </c>
      <c r="J2478" s="1184"/>
    </row>
    <row r="2479" spans="1:10" s="1209" customFormat="1">
      <c r="A2479" s="1182"/>
      <c r="B2479" s="1201"/>
      <c r="C2479" s="1186"/>
      <c r="D2479" s="1186"/>
      <c r="E2479" s="1186"/>
      <c r="F2479" s="1177"/>
      <c r="G2479" s="1177"/>
      <c r="H2479" s="1177" t="s">
        <v>3473</v>
      </c>
      <c r="I2479" s="1305">
        <f>I2478/1000</f>
        <v>82.525000000000006</v>
      </c>
      <c r="J2479" s="1184" t="s">
        <v>11</v>
      </c>
    </row>
    <row r="2480" spans="1:10" s="1209" customFormat="1" ht="94.5">
      <c r="A2480" s="1182">
        <v>44.6</v>
      </c>
      <c r="B2480" s="1200" t="s">
        <v>3687</v>
      </c>
      <c r="C2480" s="1186"/>
      <c r="D2480" s="1186"/>
      <c r="E2480" s="1186"/>
      <c r="F2480" s="1177"/>
      <c r="G2480" s="1177"/>
      <c r="H2480" s="1177"/>
      <c r="I2480" s="1178"/>
      <c r="J2480" s="1184"/>
    </row>
    <row r="2481" spans="1:10" s="1209" customFormat="1">
      <c r="A2481" s="1185"/>
      <c r="B2481" s="1199" t="s">
        <v>3688</v>
      </c>
      <c r="C2481" s="1186">
        <v>1</v>
      </c>
      <c r="D2481" s="1186" t="s">
        <v>3364</v>
      </c>
      <c r="E2481" s="1186">
        <v>6</v>
      </c>
      <c r="F2481" s="1177">
        <f>6.1+3.3+3.3+1.2</f>
        <v>13.9</v>
      </c>
      <c r="G2481" s="1177"/>
      <c r="H2481" s="1177"/>
      <c r="I2481" s="1278">
        <f>PRODUCT(C2481:H2481)</f>
        <v>83.4</v>
      </c>
      <c r="J2481" s="1184"/>
    </row>
    <row r="2482" spans="1:10" s="1209" customFormat="1">
      <c r="A2482" s="1185"/>
      <c r="B2482" s="1201" t="s">
        <v>3689</v>
      </c>
      <c r="C2482" s="1186">
        <v>1</v>
      </c>
      <c r="D2482" s="1268" t="s">
        <v>3364</v>
      </c>
      <c r="E2482" s="1186">
        <v>2</v>
      </c>
      <c r="F2482" s="1269">
        <v>3.3</v>
      </c>
      <c r="G2482" s="1269"/>
      <c r="H2482" s="1269"/>
      <c r="I2482" s="1278">
        <f>PRODUCT(C2482:H2482)</f>
        <v>6.6</v>
      </c>
      <c r="J2482" s="1184"/>
    </row>
    <row r="2483" spans="1:10" s="1209" customFormat="1">
      <c r="A2483" s="1185"/>
      <c r="B2483" s="1201" t="s">
        <v>6937</v>
      </c>
      <c r="C2483" s="1186">
        <v>1</v>
      </c>
      <c r="D2483" s="1268" t="s">
        <v>3364</v>
      </c>
      <c r="E2483" s="1186">
        <v>2</v>
      </c>
      <c r="F2483" s="1269">
        <v>6.1</v>
      </c>
      <c r="G2483" s="1269"/>
      <c r="H2483" s="1269"/>
      <c r="I2483" s="1278">
        <f>PRODUCT(C2483:H2483)</f>
        <v>12.2</v>
      </c>
      <c r="J2483" s="1184"/>
    </row>
    <row r="2484" spans="1:10" s="1209" customFormat="1">
      <c r="A2484" s="1185"/>
      <c r="B2484" s="1199"/>
      <c r="C2484" s="1186"/>
      <c r="D2484" s="1186"/>
      <c r="E2484" s="1186"/>
      <c r="F2484" s="1177"/>
      <c r="G2484" s="1253" t="s">
        <v>104</v>
      </c>
      <c r="H2484" s="1253"/>
      <c r="I2484" s="1181">
        <f>SUM(I2481:I2483)</f>
        <v>102.2</v>
      </c>
      <c r="J2484" s="1184"/>
    </row>
    <row r="2485" spans="1:10" s="1209" customFormat="1">
      <c r="A2485" s="1185"/>
      <c r="B2485" s="1199"/>
      <c r="C2485" s="1186"/>
      <c r="D2485" s="1186"/>
      <c r="E2485" s="1186"/>
      <c r="F2485" s="1177"/>
      <c r="G2485" s="1253"/>
      <c r="H2485" s="1253" t="s">
        <v>2981</v>
      </c>
      <c r="I2485" s="1178">
        <f>CEILING(I2484,0.1)</f>
        <v>102.2</v>
      </c>
      <c r="J2485" s="1184" t="s">
        <v>13</v>
      </c>
    </row>
    <row r="2486" spans="1:10" s="1209" customFormat="1">
      <c r="A2486" s="1182">
        <v>77.2</v>
      </c>
      <c r="B2486" s="1203" t="s">
        <v>3736</v>
      </c>
      <c r="C2486" s="1268"/>
      <c r="D2486" s="1268"/>
      <c r="E2486" s="1268"/>
      <c r="F2486" s="1269"/>
      <c r="G2486" s="1269"/>
      <c r="H2486" s="1269"/>
      <c r="I2486" s="1183"/>
      <c r="J2486" s="1189"/>
    </row>
    <row r="2487" spans="1:10" s="1209" customFormat="1">
      <c r="A2487" s="1185"/>
      <c r="B2487" s="1199" t="s">
        <v>6620</v>
      </c>
      <c r="C2487" s="1186">
        <v>2</v>
      </c>
      <c r="D2487" s="1186" t="s">
        <v>3364</v>
      </c>
      <c r="E2487" s="1186">
        <v>1</v>
      </c>
      <c r="F2487" s="1177"/>
      <c r="G2487" s="1177"/>
      <c r="H2487" s="1177"/>
      <c r="I2487" s="1278">
        <f t="shared" ref="I2487:I2500" si="145">PRODUCT(C2487:H2487)</f>
        <v>2</v>
      </c>
      <c r="J2487" s="1275"/>
    </row>
    <row r="2488" spans="1:10" s="1209" customFormat="1" ht="17.25" customHeight="1">
      <c r="A2488" s="1185"/>
      <c r="B2488" s="1199" t="s">
        <v>6826</v>
      </c>
      <c r="C2488" s="1186">
        <v>1</v>
      </c>
      <c r="D2488" s="1186" t="s">
        <v>3364</v>
      </c>
      <c r="E2488" s="1186">
        <v>2</v>
      </c>
      <c r="F2488" s="1177"/>
      <c r="G2488" s="1177"/>
      <c r="H2488" s="1177"/>
      <c r="I2488" s="1278">
        <f t="shared" si="145"/>
        <v>2</v>
      </c>
      <c r="J2488" s="1275"/>
    </row>
    <row r="2489" spans="1:10" s="1209" customFormat="1" ht="17.25" customHeight="1">
      <c r="A2489" s="1185"/>
      <c r="B2489" s="1199" t="s">
        <v>6827</v>
      </c>
      <c r="C2489" s="1186">
        <v>1</v>
      </c>
      <c r="D2489" s="1186" t="s">
        <v>3364</v>
      </c>
      <c r="E2489" s="1186">
        <v>1</v>
      </c>
      <c r="F2489" s="1177"/>
      <c r="G2489" s="1177"/>
      <c r="H2489" s="1177"/>
      <c r="I2489" s="1278">
        <f t="shared" si="145"/>
        <v>1</v>
      </c>
      <c r="J2489" s="1275"/>
    </row>
    <row r="2490" spans="1:10" s="1209" customFormat="1" ht="17.25" customHeight="1">
      <c r="A2490" s="1185"/>
      <c r="B2490" s="1199" t="s">
        <v>6831</v>
      </c>
      <c r="C2490" s="1186">
        <v>4</v>
      </c>
      <c r="D2490" s="1186" t="s">
        <v>3364</v>
      </c>
      <c r="E2490" s="1186">
        <v>1</v>
      </c>
      <c r="F2490" s="1177"/>
      <c r="G2490" s="1177"/>
      <c r="H2490" s="1177"/>
      <c r="I2490" s="1278">
        <f t="shared" si="145"/>
        <v>4</v>
      </c>
      <c r="J2490" s="1275"/>
    </row>
    <row r="2491" spans="1:10" s="1209" customFormat="1" ht="17.25" customHeight="1">
      <c r="A2491" s="1185"/>
      <c r="B2491" s="1199" t="s">
        <v>6814</v>
      </c>
      <c r="C2491" s="1186">
        <v>2</v>
      </c>
      <c r="D2491" s="1186" t="s">
        <v>3364</v>
      </c>
      <c r="E2491" s="1186">
        <v>1</v>
      </c>
      <c r="F2491" s="1177"/>
      <c r="G2491" s="1177"/>
      <c r="H2491" s="1177"/>
      <c r="I2491" s="1278">
        <f t="shared" si="145"/>
        <v>2</v>
      </c>
      <c r="J2491" s="1275"/>
    </row>
    <row r="2492" spans="1:10" s="1209" customFormat="1" ht="17.25" customHeight="1">
      <c r="A2492" s="1185"/>
      <c r="B2492" s="1199" t="s">
        <v>6832</v>
      </c>
      <c r="C2492" s="1186">
        <v>6</v>
      </c>
      <c r="D2492" s="1186" t="s">
        <v>3364</v>
      </c>
      <c r="E2492" s="1186">
        <v>1</v>
      </c>
      <c r="F2492" s="1177"/>
      <c r="G2492" s="1177"/>
      <c r="H2492" s="1177"/>
      <c r="I2492" s="1278">
        <f t="shared" si="145"/>
        <v>6</v>
      </c>
      <c r="J2492" s="1275"/>
    </row>
    <row r="2493" spans="1:10" s="1209" customFormat="1" ht="17.25" customHeight="1">
      <c r="A2493" s="1185"/>
      <c r="B2493" s="1199" t="s">
        <v>6834</v>
      </c>
      <c r="C2493" s="1186">
        <v>2</v>
      </c>
      <c r="D2493" s="1186" t="s">
        <v>3364</v>
      </c>
      <c r="E2493" s="1186">
        <v>1</v>
      </c>
      <c r="F2493" s="1177"/>
      <c r="G2493" s="1177"/>
      <c r="H2493" s="1177"/>
      <c r="I2493" s="1278">
        <f t="shared" si="145"/>
        <v>2</v>
      </c>
      <c r="J2493" s="1275"/>
    </row>
    <row r="2494" spans="1:10" s="1209" customFormat="1" ht="17.25" customHeight="1">
      <c r="A2494" s="1185"/>
      <c r="B2494" s="1199" t="s">
        <v>6837</v>
      </c>
      <c r="C2494" s="1186">
        <v>6</v>
      </c>
      <c r="D2494" s="1186" t="s">
        <v>3364</v>
      </c>
      <c r="E2494" s="1186">
        <v>1</v>
      </c>
      <c r="F2494" s="1177"/>
      <c r="G2494" s="1177"/>
      <c r="H2494" s="1177"/>
      <c r="I2494" s="1278">
        <f t="shared" si="145"/>
        <v>6</v>
      </c>
      <c r="J2494" s="1275"/>
    </row>
    <row r="2495" spans="1:10" s="1209" customFormat="1" ht="17.25" customHeight="1">
      <c r="A2495" s="1185"/>
      <c r="B2495" s="1199" t="s">
        <v>6600</v>
      </c>
      <c r="C2495" s="1186">
        <v>4</v>
      </c>
      <c r="D2495" s="1186" t="s">
        <v>3364</v>
      </c>
      <c r="E2495" s="1186">
        <v>1</v>
      </c>
      <c r="F2495" s="1177"/>
      <c r="G2495" s="1177"/>
      <c r="H2495" s="1177"/>
      <c r="I2495" s="1278">
        <f t="shared" si="145"/>
        <v>4</v>
      </c>
      <c r="J2495" s="1275"/>
    </row>
    <row r="2496" spans="1:10" s="1209" customFormat="1" ht="17.25" customHeight="1">
      <c r="A2496" s="1185"/>
      <c r="B2496" s="1199" t="s">
        <v>6838</v>
      </c>
      <c r="C2496" s="1186">
        <v>6</v>
      </c>
      <c r="D2496" s="1186" t="s">
        <v>3364</v>
      </c>
      <c r="E2496" s="1186">
        <v>1</v>
      </c>
      <c r="F2496" s="1177"/>
      <c r="G2496" s="1177"/>
      <c r="H2496" s="1177"/>
      <c r="I2496" s="1278">
        <f t="shared" si="145"/>
        <v>6</v>
      </c>
      <c r="J2496" s="1275"/>
    </row>
    <row r="2497" spans="1:10" s="1209" customFormat="1" ht="17.25" customHeight="1">
      <c r="A2497" s="1185"/>
      <c r="B2497" s="1199" t="s">
        <v>6602</v>
      </c>
      <c r="C2497" s="1186">
        <v>2</v>
      </c>
      <c r="D2497" s="1186" t="s">
        <v>3364</v>
      </c>
      <c r="E2497" s="1186">
        <v>1</v>
      </c>
      <c r="F2497" s="1177"/>
      <c r="G2497" s="1177"/>
      <c r="H2497" s="1177"/>
      <c r="I2497" s="1278">
        <f t="shared" si="145"/>
        <v>2</v>
      </c>
      <c r="J2497" s="1275"/>
    </row>
    <row r="2498" spans="1:10" s="1209" customFormat="1" ht="17.25" customHeight="1">
      <c r="A2498" s="1185"/>
      <c r="B2498" s="1199" t="s">
        <v>6839</v>
      </c>
      <c r="C2498" s="1186">
        <v>1</v>
      </c>
      <c r="D2498" s="1186" t="s">
        <v>3364</v>
      </c>
      <c r="E2498" s="1186">
        <v>1</v>
      </c>
      <c r="F2498" s="1177"/>
      <c r="G2498" s="1177"/>
      <c r="H2498" s="1177"/>
      <c r="I2498" s="1278">
        <f t="shared" si="145"/>
        <v>1</v>
      </c>
      <c r="J2498" s="1275"/>
    </row>
    <row r="2499" spans="1:10" s="1209" customFormat="1" ht="17.25" customHeight="1">
      <c r="A2499" s="1185"/>
      <c r="B2499" s="1199" t="s">
        <v>6683</v>
      </c>
      <c r="C2499" s="1186">
        <v>1</v>
      </c>
      <c r="D2499" s="1186" t="s">
        <v>3364</v>
      </c>
      <c r="E2499" s="1186">
        <v>1</v>
      </c>
      <c r="F2499" s="1177"/>
      <c r="G2499" s="1177"/>
      <c r="H2499" s="1177"/>
      <c r="I2499" s="1278">
        <f t="shared" si="145"/>
        <v>1</v>
      </c>
      <c r="J2499" s="1275"/>
    </row>
    <row r="2500" spans="1:10" s="1209" customFormat="1" ht="17.25" customHeight="1">
      <c r="A2500" s="1185"/>
      <c r="B2500" s="1199" t="s">
        <v>6840</v>
      </c>
      <c r="C2500" s="1186">
        <v>3</v>
      </c>
      <c r="D2500" s="1186" t="s">
        <v>3364</v>
      </c>
      <c r="E2500" s="1186">
        <v>1</v>
      </c>
      <c r="F2500" s="1177"/>
      <c r="G2500" s="1177"/>
      <c r="H2500" s="1177"/>
      <c r="I2500" s="1278">
        <f t="shared" si="145"/>
        <v>3</v>
      </c>
      <c r="J2500" s="1275"/>
    </row>
    <row r="2501" spans="1:10" s="1209" customFormat="1">
      <c r="A2501" s="1182"/>
      <c r="B2501" s="1201"/>
      <c r="C2501" s="1268"/>
      <c r="D2501" s="1268"/>
      <c r="E2501" s="1268"/>
      <c r="F2501" s="1269"/>
      <c r="G2501" s="1269"/>
      <c r="H2501" s="1269"/>
      <c r="I2501" s="1278">
        <f>SUM(I2487:I2500)</f>
        <v>42</v>
      </c>
      <c r="J2501" s="1362" t="s">
        <v>41</v>
      </c>
    </row>
    <row r="2502" spans="1:10" s="1209" customFormat="1" ht="31.5">
      <c r="A2502" s="1182">
        <v>255.7</v>
      </c>
      <c r="B2502" s="1252" t="s">
        <v>3737</v>
      </c>
      <c r="C2502" s="1186"/>
      <c r="D2502" s="1186"/>
      <c r="E2502" s="1186"/>
      <c r="F2502" s="1177"/>
      <c r="G2502" s="1177"/>
      <c r="H2502" s="1177"/>
      <c r="I2502" s="1178"/>
      <c r="J2502" s="1184"/>
    </row>
    <row r="2503" spans="1:10" s="1209" customFormat="1">
      <c r="A2503" s="1182"/>
      <c r="B2503" s="1203" t="s">
        <v>3738</v>
      </c>
      <c r="C2503" s="1186"/>
      <c r="D2503" s="1186"/>
      <c r="E2503" s="1186"/>
      <c r="F2503" s="1177"/>
      <c r="G2503" s="1177"/>
      <c r="H2503" s="1177"/>
      <c r="I2503" s="1178"/>
      <c r="J2503" s="1184"/>
    </row>
    <row r="2504" spans="1:10" s="1209" customFormat="1">
      <c r="A2504" s="1182"/>
      <c r="B2504" s="1203" t="s">
        <v>6790</v>
      </c>
      <c r="C2504" s="1186"/>
      <c r="D2504" s="1186"/>
      <c r="E2504" s="1186"/>
      <c r="F2504" s="1177"/>
      <c r="G2504" s="1177"/>
      <c r="H2504" s="1177"/>
      <c r="I2504" s="1178"/>
      <c r="J2504" s="1184"/>
    </row>
    <row r="2505" spans="1:10" s="1209" customFormat="1">
      <c r="A2505" s="1182"/>
      <c r="B2505" s="1201" t="s">
        <v>3626</v>
      </c>
      <c r="C2505" s="1186">
        <v>6</v>
      </c>
      <c r="D2505" s="1186" t="s">
        <v>3364</v>
      </c>
      <c r="E2505" s="1186">
        <v>3</v>
      </c>
      <c r="F2505" s="1177"/>
      <c r="G2505" s="1177"/>
      <c r="H2505" s="1177"/>
      <c r="I2505" s="1278">
        <f t="shared" ref="I2505:I2541" si="146">PRODUCT(C2505:H2505)</f>
        <v>18</v>
      </c>
      <c r="J2505" s="1275"/>
    </row>
    <row r="2506" spans="1:10" s="1209" customFormat="1">
      <c r="A2506" s="1182"/>
      <c r="B2506" s="1201" t="s">
        <v>6618</v>
      </c>
      <c r="C2506" s="1186">
        <v>1</v>
      </c>
      <c r="D2506" s="1186" t="s">
        <v>3364</v>
      </c>
      <c r="E2506" s="1186">
        <v>1</v>
      </c>
      <c r="F2506" s="1177"/>
      <c r="G2506" s="1177"/>
      <c r="H2506" s="1177"/>
      <c r="I2506" s="1278">
        <f t="shared" si="146"/>
        <v>1</v>
      </c>
      <c r="J2506" s="1275"/>
    </row>
    <row r="2507" spans="1:10" s="1209" customFormat="1">
      <c r="A2507" s="1185"/>
      <c r="B2507" s="1199" t="s">
        <v>6822</v>
      </c>
      <c r="C2507" s="1186">
        <v>1</v>
      </c>
      <c r="D2507" s="1186" t="s">
        <v>3364</v>
      </c>
      <c r="E2507" s="1186">
        <v>1</v>
      </c>
      <c r="F2507" s="1177"/>
      <c r="G2507" s="1177"/>
      <c r="H2507" s="1177"/>
      <c r="I2507" s="1278">
        <f t="shared" si="146"/>
        <v>1</v>
      </c>
      <c r="J2507" s="1275"/>
    </row>
    <row r="2508" spans="1:10" s="1209" customFormat="1">
      <c r="A2508" s="1185"/>
      <c r="B2508" s="1199" t="s">
        <v>6590</v>
      </c>
      <c r="C2508" s="1186">
        <v>1</v>
      </c>
      <c r="D2508" s="1186" t="s">
        <v>3364</v>
      </c>
      <c r="E2508" s="1186">
        <v>1</v>
      </c>
      <c r="F2508" s="1177"/>
      <c r="G2508" s="1177"/>
      <c r="H2508" s="1177"/>
      <c r="I2508" s="1278">
        <f t="shared" si="146"/>
        <v>1</v>
      </c>
      <c r="J2508" s="1275"/>
    </row>
    <row r="2509" spans="1:10" s="1209" customFormat="1">
      <c r="A2509" s="1185"/>
      <c r="B2509" s="1199" t="s">
        <v>3492</v>
      </c>
      <c r="C2509" s="1186">
        <v>3</v>
      </c>
      <c r="D2509" s="1186" t="s">
        <v>3364</v>
      </c>
      <c r="E2509" s="1186">
        <v>1</v>
      </c>
      <c r="F2509" s="1177"/>
      <c r="G2509" s="1177"/>
      <c r="H2509" s="1177"/>
      <c r="I2509" s="1278">
        <f t="shared" si="146"/>
        <v>3</v>
      </c>
      <c r="J2509" s="1275"/>
    </row>
    <row r="2510" spans="1:10" s="1209" customFormat="1">
      <c r="A2510" s="1185"/>
      <c r="B2510" s="1199" t="s">
        <v>6620</v>
      </c>
      <c r="C2510" s="1186">
        <v>2</v>
      </c>
      <c r="D2510" s="1186" t="s">
        <v>3364</v>
      </c>
      <c r="E2510" s="1186">
        <v>1</v>
      </c>
      <c r="F2510" s="1177"/>
      <c r="G2510" s="1177"/>
      <c r="H2510" s="1177"/>
      <c r="I2510" s="1278">
        <f t="shared" si="146"/>
        <v>2</v>
      </c>
      <c r="J2510" s="1275"/>
    </row>
    <row r="2511" spans="1:10" s="1209" customFormat="1" ht="17.25" customHeight="1">
      <c r="A2511" s="1185"/>
      <c r="B2511" s="1199" t="s">
        <v>6823</v>
      </c>
      <c r="C2511" s="1186">
        <v>2</v>
      </c>
      <c r="D2511" s="1186" t="s">
        <v>3364</v>
      </c>
      <c r="E2511" s="1186">
        <v>1</v>
      </c>
      <c r="F2511" s="1177"/>
      <c r="G2511" s="1177"/>
      <c r="H2511" s="1177"/>
      <c r="I2511" s="1278">
        <f t="shared" si="146"/>
        <v>2</v>
      </c>
      <c r="J2511" s="1275"/>
    </row>
    <row r="2512" spans="1:10" s="1209" customFormat="1" ht="17.25" customHeight="1">
      <c r="A2512" s="1185"/>
      <c r="B2512" s="1202" t="s">
        <v>6668</v>
      </c>
      <c r="C2512" s="1186"/>
      <c r="D2512" s="1186"/>
      <c r="E2512" s="1186"/>
      <c r="F2512" s="1177"/>
      <c r="G2512" s="1177"/>
      <c r="H2512" s="1177"/>
      <c r="I2512" s="1278">
        <f t="shared" si="146"/>
        <v>0</v>
      </c>
      <c r="J2512" s="1275"/>
    </row>
    <row r="2513" spans="1:10" s="1209" customFormat="1" ht="17.25" customHeight="1">
      <c r="A2513" s="1185"/>
      <c r="B2513" s="1199" t="s">
        <v>6824</v>
      </c>
      <c r="C2513" s="1186">
        <v>5</v>
      </c>
      <c r="D2513" s="1186" t="s">
        <v>3364</v>
      </c>
      <c r="E2513" s="1186">
        <v>1</v>
      </c>
      <c r="F2513" s="1177"/>
      <c r="G2513" s="1177"/>
      <c r="H2513" s="1177"/>
      <c r="I2513" s="1278">
        <f t="shared" si="146"/>
        <v>5</v>
      </c>
      <c r="J2513" s="1275"/>
    </row>
    <row r="2514" spans="1:10" s="1209" customFormat="1" ht="17.25" customHeight="1">
      <c r="A2514" s="1185"/>
      <c r="B2514" s="1199" t="s">
        <v>6825</v>
      </c>
      <c r="C2514" s="1186">
        <v>10</v>
      </c>
      <c r="D2514" s="1186" t="s">
        <v>3364</v>
      </c>
      <c r="E2514" s="1186">
        <v>1</v>
      </c>
      <c r="F2514" s="1177"/>
      <c r="G2514" s="1177"/>
      <c r="H2514" s="1177"/>
      <c r="I2514" s="1278">
        <f t="shared" si="146"/>
        <v>10</v>
      </c>
      <c r="J2514" s="1275"/>
    </row>
    <row r="2515" spans="1:10" s="1209" customFormat="1" ht="17.25" customHeight="1">
      <c r="A2515" s="1185"/>
      <c r="B2515" s="1199" t="s">
        <v>6826</v>
      </c>
      <c r="C2515" s="1186">
        <v>2</v>
      </c>
      <c r="D2515" s="1186" t="s">
        <v>3364</v>
      </c>
      <c r="E2515" s="1186">
        <v>1</v>
      </c>
      <c r="F2515" s="1177"/>
      <c r="G2515" s="1177"/>
      <c r="H2515" s="1177"/>
      <c r="I2515" s="1278">
        <f t="shared" si="146"/>
        <v>2</v>
      </c>
      <c r="J2515" s="1275"/>
    </row>
    <row r="2516" spans="1:10" s="1209" customFormat="1" ht="17.25" customHeight="1">
      <c r="A2516" s="1185"/>
      <c r="B2516" s="1199" t="s">
        <v>6827</v>
      </c>
      <c r="C2516" s="1186">
        <v>1</v>
      </c>
      <c r="D2516" s="1186" t="s">
        <v>3364</v>
      </c>
      <c r="E2516" s="1186">
        <v>1</v>
      </c>
      <c r="F2516" s="1177"/>
      <c r="G2516" s="1177"/>
      <c r="H2516" s="1177"/>
      <c r="I2516" s="1278">
        <f t="shared" si="146"/>
        <v>1</v>
      </c>
      <c r="J2516" s="1275"/>
    </row>
    <row r="2517" spans="1:10" s="1209" customFormat="1" ht="17.25" customHeight="1">
      <c r="A2517" s="1185"/>
      <c r="B2517" s="1199" t="s">
        <v>6828</v>
      </c>
      <c r="C2517" s="1186">
        <v>5</v>
      </c>
      <c r="D2517" s="1186" t="s">
        <v>3364</v>
      </c>
      <c r="E2517" s="1186">
        <v>1</v>
      </c>
      <c r="F2517" s="1177"/>
      <c r="G2517" s="1177"/>
      <c r="H2517" s="1177"/>
      <c r="I2517" s="1278">
        <f t="shared" si="146"/>
        <v>5</v>
      </c>
      <c r="J2517" s="1275"/>
    </row>
    <row r="2518" spans="1:10" s="1209" customFormat="1" ht="17.25" customHeight="1">
      <c r="A2518" s="1185"/>
      <c r="B2518" s="1199" t="s">
        <v>3492</v>
      </c>
      <c r="C2518" s="1186">
        <v>2</v>
      </c>
      <c r="D2518" s="1186" t="s">
        <v>3364</v>
      </c>
      <c r="E2518" s="1186">
        <v>1</v>
      </c>
      <c r="F2518" s="1177"/>
      <c r="G2518" s="1177"/>
      <c r="H2518" s="1177"/>
      <c r="I2518" s="1278">
        <f t="shared" si="146"/>
        <v>2</v>
      </c>
      <c r="J2518" s="1275"/>
    </row>
    <row r="2519" spans="1:10" s="1209" customFormat="1" ht="17.25" customHeight="1">
      <c r="A2519" s="1185"/>
      <c r="B2519" s="1199" t="s">
        <v>6829</v>
      </c>
      <c r="C2519" s="1186">
        <v>12</v>
      </c>
      <c r="D2519" s="1186" t="s">
        <v>3364</v>
      </c>
      <c r="E2519" s="1186">
        <v>1</v>
      </c>
      <c r="F2519" s="1177"/>
      <c r="G2519" s="1177"/>
      <c r="H2519" s="1177"/>
      <c r="I2519" s="1278">
        <f t="shared" si="146"/>
        <v>12</v>
      </c>
      <c r="J2519" s="1275"/>
    </row>
    <row r="2520" spans="1:10" s="1209" customFormat="1" ht="17.25" customHeight="1">
      <c r="A2520" s="1185"/>
      <c r="B2520" s="1199" t="s">
        <v>6830</v>
      </c>
      <c r="C2520" s="1186">
        <v>1</v>
      </c>
      <c r="D2520" s="1186" t="s">
        <v>3364</v>
      </c>
      <c r="E2520" s="1186">
        <v>1</v>
      </c>
      <c r="F2520" s="1177"/>
      <c r="G2520" s="1177"/>
      <c r="H2520" s="1177"/>
      <c r="I2520" s="1278">
        <f t="shared" si="146"/>
        <v>1</v>
      </c>
      <c r="J2520" s="1275"/>
    </row>
    <row r="2521" spans="1:10" s="1209" customFormat="1" ht="17.25" customHeight="1">
      <c r="A2521" s="1185"/>
      <c r="B2521" s="1202" t="s">
        <v>3691</v>
      </c>
      <c r="C2521" s="1186"/>
      <c r="D2521" s="1186"/>
      <c r="E2521" s="1186"/>
      <c r="F2521" s="1177"/>
      <c r="G2521" s="1177"/>
      <c r="H2521" s="1177"/>
      <c r="I2521" s="1278">
        <f t="shared" si="146"/>
        <v>0</v>
      </c>
      <c r="J2521" s="1275"/>
    </row>
    <row r="2522" spans="1:10" s="1209" customFormat="1" ht="17.25" customHeight="1">
      <c r="A2522" s="1185"/>
      <c r="B2522" s="1199" t="s">
        <v>6831</v>
      </c>
      <c r="C2522" s="1186">
        <v>4</v>
      </c>
      <c r="D2522" s="1186" t="s">
        <v>3364</v>
      </c>
      <c r="E2522" s="1186">
        <v>1</v>
      </c>
      <c r="F2522" s="1177"/>
      <c r="G2522" s="1177"/>
      <c r="H2522" s="1177"/>
      <c r="I2522" s="1278">
        <f t="shared" si="146"/>
        <v>4</v>
      </c>
      <c r="J2522" s="1275"/>
    </row>
    <row r="2523" spans="1:10" s="1209" customFormat="1" ht="17.25" customHeight="1">
      <c r="A2523" s="1185"/>
      <c r="B2523" s="1199" t="s">
        <v>6814</v>
      </c>
      <c r="C2523" s="1186">
        <v>3</v>
      </c>
      <c r="D2523" s="1186" t="s">
        <v>3364</v>
      </c>
      <c r="E2523" s="1186">
        <v>1</v>
      </c>
      <c r="F2523" s="1177"/>
      <c r="G2523" s="1177"/>
      <c r="H2523" s="1177"/>
      <c r="I2523" s="1278">
        <f t="shared" si="146"/>
        <v>3</v>
      </c>
      <c r="J2523" s="1275"/>
    </row>
    <row r="2524" spans="1:10" s="1209" customFormat="1" ht="17.25" customHeight="1">
      <c r="A2524" s="1185"/>
      <c r="B2524" s="1199" t="s">
        <v>6832</v>
      </c>
      <c r="C2524" s="1186">
        <v>12</v>
      </c>
      <c r="D2524" s="1186" t="s">
        <v>3364</v>
      </c>
      <c r="E2524" s="1186">
        <v>1</v>
      </c>
      <c r="F2524" s="1177"/>
      <c r="G2524" s="1177"/>
      <c r="H2524" s="1177"/>
      <c r="I2524" s="1278">
        <f t="shared" si="146"/>
        <v>12</v>
      </c>
      <c r="J2524" s="1275"/>
    </row>
    <row r="2525" spans="1:10" s="1209" customFormat="1" ht="17.25" customHeight="1">
      <c r="A2525" s="1185"/>
      <c r="B2525" s="1199" t="s">
        <v>6833</v>
      </c>
      <c r="C2525" s="1186">
        <v>2</v>
      </c>
      <c r="D2525" s="1186" t="s">
        <v>3364</v>
      </c>
      <c r="E2525" s="1186">
        <v>1</v>
      </c>
      <c r="F2525" s="1177"/>
      <c r="G2525" s="1177"/>
      <c r="H2525" s="1177"/>
      <c r="I2525" s="1278">
        <f t="shared" si="146"/>
        <v>2</v>
      </c>
      <c r="J2525" s="1275"/>
    </row>
    <row r="2526" spans="1:10" s="1209" customFormat="1" ht="17.25" customHeight="1">
      <c r="A2526" s="1185"/>
      <c r="B2526" s="1199" t="s">
        <v>6834</v>
      </c>
      <c r="C2526" s="1186">
        <v>2</v>
      </c>
      <c r="D2526" s="1186" t="s">
        <v>3364</v>
      </c>
      <c r="E2526" s="1186">
        <v>1</v>
      </c>
      <c r="F2526" s="1177"/>
      <c r="G2526" s="1177"/>
      <c r="H2526" s="1177"/>
      <c r="I2526" s="1278">
        <f t="shared" si="146"/>
        <v>2</v>
      </c>
      <c r="J2526" s="1275"/>
    </row>
    <row r="2527" spans="1:10" s="1209" customFormat="1" ht="17.25" customHeight="1">
      <c r="A2527" s="1185"/>
      <c r="B2527" s="1199" t="s">
        <v>6835</v>
      </c>
      <c r="C2527" s="1186">
        <v>7</v>
      </c>
      <c r="D2527" s="1186" t="s">
        <v>3364</v>
      </c>
      <c r="E2527" s="1186">
        <v>1</v>
      </c>
      <c r="F2527" s="1177"/>
      <c r="G2527" s="1177"/>
      <c r="H2527" s="1177"/>
      <c r="I2527" s="1278">
        <f t="shared" si="146"/>
        <v>7</v>
      </c>
      <c r="J2527" s="1275"/>
    </row>
    <row r="2528" spans="1:10" s="1209" customFormat="1" ht="17.25" customHeight="1">
      <c r="A2528" s="1185"/>
      <c r="B2528" s="1199" t="s">
        <v>6829</v>
      </c>
      <c r="C2528" s="1186">
        <v>5</v>
      </c>
      <c r="D2528" s="1186" t="s">
        <v>3364</v>
      </c>
      <c r="E2528" s="1186">
        <v>1</v>
      </c>
      <c r="F2528" s="1177"/>
      <c r="G2528" s="1177"/>
      <c r="H2528" s="1177"/>
      <c r="I2528" s="1278">
        <f t="shared" si="146"/>
        <v>5</v>
      </c>
      <c r="J2528" s="1275"/>
    </row>
    <row r="2529" spans="1:10" s="1209" customFormat="1" ht="17.25" customHeight="1">
      <c r="A2529" s="1185"/>
      <c r="B2529" s="1199" t="s">
        <v>6836</v>
      </c>
      <c r="C2529" s="1186">
        <v>3</v>
      </c>
      <c r="D2529" s="1186" t="s">
        <v>3364</v>
      </c>
      <c r="E2529" s="1186">
        <v>1</v>
      </c>
      <c r="F2529" s="1177"/>
      <c r="G2529" s="1177"/>
      <c r="H2529" s="1177"/>
      <c r="I2529" s="1278">
        <f t="shared" si="146"/>
        <v>3</v>
      </c>
      <c r="J2529" s="1275"/>
    </row>
    <row r="2530" spans="1:10" s="1209" customFormat="1" ht="17.25" customHeight="1">
      <c r="A2530" s="1185"/>
      <c r="B2530" s="1202" t="s">
        <v>3692</v>
      </c>
      <c r="C2530" s="1186"/>
      <c r="D2530" s="1186"/>
      <c r="E2530" s="1186"/>
      <c r="F2530" s="1177"/>
      <c r="G2530" s="1177"/>
      <c r="H2530" s="1177"/>
      <c r="I2530" s="1278">
        <f t="shared" si="146"/>
        <v>0</v>
      </c>
      <c r="J2530" s="1275"/>
    </row>
    <row r="2531" spans="1:10" s="1209" customFormat="1" ht="17.25" customHeight="1">
      <c r="A2531" s="1185"/>
      <c r="B2531" s="1199" t="s">
        <v>6837</v>
      </c>
      <c r="C2531" s="1186">
        <v>8</v>
      </c>
      <c r="D2531" s="1186" t="s">
        <v>3364</v>
      </c>
      <c r="E2531" s="1186">
        <v>1</v>
      </c>
      <c r="F2531" s="1177"/>
      <c r="G2531" s="1177"/>
      <c r="H2531" s="1177"/>
      <c r="I2531" s="1278">
        <f t="shared" si="146"/>
        <v>8</v>
      </c>
      <c r="J2531" s="1275"/>
    </row>
    <row r="2532" spans="1:10" s="1209" customFormat="1" ht="17.25" customHeight="1">
      <c r="A2532" s="1185"/>
      <c r="B2532" s="1199" t="s">
        <v>6600</v>
      </c>
      <c r="C2532" s="1186">
        <v>5</v>
      </c>
      <c r="D2532" s="1186" t="s">
        <v>3364</v>
      </c>
      <c r="E2532" s="1186">
        <v>1</v>
      </c>
      <c r="F2532" s="1177"/>
      <c r="G2532" s="1177"/>
      <c r="H2532" s="1177"/>
      <c r="I2532" s="1278">
        <f t="shared" si="146"/>
        <v>5</v>
      </c>
      <c r="J2532" s="1275"/>
    </row>
    <row r="2533" spans="1:10" s="1209" customFormat="1" ht="17.25" customHeight="1">
      <c r="A2533" s="1185"/>
      <c r="B2533" s="1199" t="s">
        <v>6838</v>
      </c>
      <c r="C2533" s="1186">
        <v>5</v>
      </c>
      <c r="D2533" s="1186" t="s">
        <v>3364</v>
      </c>
      <c r="E2533" s="1186">
        <v>1</v>
      </c>
      <c r="F2533" s="1177"/>
      <c r="G2533" s="1177"/>
      <c r="H2533" s="1177"/>
      <c r="I2533" s="1278">
        <f t="shared" si="146"/>
        <v>5</v>
      </c>
      <c r="J2533" s="1275"/>
    </row>
    <row r="2534" spans="1:10" s="1209" customFormat="1" ht="17.25" customHeight="1">
      <c r="A2534" s="1185"/>
      <c r="B2534" s="1199" t="s">
        <v>6602</v>
      </c>
      <c r="C2534" s="1186">
        <v>4</v>
      </c>
      <c r="D2534" s="1186" t="s">
        <v>3364</v>
      </c>
      <c r="E2534" s="1186">
        <v>1</v>
      </c>
      <c r="F2534" s="1177"/>
      <c r="G2534" s="1177"/>
      <c r="H2534" s="1177"/>
      <c r="I2534" s="1278">
        <f t="shared" si="146"/>
        <v>4</v>
      </c>
      <c r="J2534" s="1275"/>
    </row>
    <row r="2535" spans="1:10" s="1209" customFormat="1" ht="17.25" customHeight="1">
      <c r="A2535" s="1185"/>
      <c r="B2535" s="1199" t="s">
        <v>6839</v>
      </c>
      <c r="C2535" s="1186">
        <v>3</v>
      </c>
      <c r="D2535" s="1186" t="s">
        <v>3364</v>
      </c>
      <c r="E2535" s="1186">
        <v>1</v>
      </c>
      <c r="F2535" s="1177"/>
      <c r="G2535" s="1177"/>
      <c r="H2535" s="1177"/>
      <c r="I2535" s="1278">
        <f t="shared" si="146"/>
        <v>3</v>
      </c>
      <c r="J2535" s="1275"/>
    </row>
    <row r="2536" spans="1:10" s="1209" customFormat="1" ht="17.25" customHeight="1">
      <c r="A2536" s="1185"/>
      <c r="B2536" s="1199" t="s">
        <v>6683</v>
      </c>
      <c r="C2536" s="1186">
        <v>2</v>
      </c>
      <c r="D2536" s="1186" t="s">
        <v>3364</v>
      </c>
      <c r="E2536" s="1186">
        <v>1</v>
      </c>
      <c r="F2536" s="1177"/>
      <c r="G2536" s="1177"/>
      <c r="H2536" s="1177"/>
      <c r="I2536" s="1278">
        <f t="shared" si="146"/>
        <v>2</v>
      </c>
      <c r="J2536" s="1275"/>
    </row>
    <row r="2537" spans="1:10" s="1209" customFormat="1" ht="17.25" customHeight="1">
      <c r="A2537" s="1185"/>
      <c r="B2537" s="1199" t="s">
        <v>6800</v>
      </c>
      <c r="C2537" s="1186">
        <v>2</v>
      </c>
      <c r="D2537" s="1186" t="s">
        <v>3364</v>
      </c>
      <c r="E2537" s="1186">
        <v>1</v>
      </c>
      <c r="F2537" s="1177"/>
      <c r="G2537" s="1177"/>
      <c r="H2537" s="1177"/>
      <c r="I2537" s="1278">
        <f t="shared" si="146"/>
        <v>2</v>
      </c>
      <c r="J2537" s="1275"/>
    </row>
    <row r="2538" spans="1:10" s="1209" customFormat="1" ht="17.25" customHeight="1">
      <c r="A2538" s="1185"/>
      <c r="B2538" s="1199" t="s">
        <v>3484</v>
      </c>
      <c r="C2538" s="1186">
        <v>5</v>
      </c>
      <c r="D2538" s="1186" t="s">
        <v>3364</v>
      </c>
      <c r="E2538" s="1186">
        <v>1</v>
      </c>
      <c r="F2538" s="1177"/>
      <c r="G2538" s="1177"/>
      <c r="H2538" s="1177"/>
      <c r="I2538" s="1278">
        <f t="shared" si="146"/>
        <v>5</v>
      </c>
      <c r="J2538" s="1275"/>
    </row>
    <row r="2539" spans="1:10" s="1209" customFormat="1" ht="17.25" customHeight="1">
      <c r="A2539" s="1185"/>
      <c r="B2539" s="1199" t="s">
        <v>6840</v>
      </c>
      <c r="C2539" s="1186">
        <v>2</v>
      </c>
      <c r="D2539" s="1186" t="s">
        <v>3364</v>
      </c>
      <c r="E2539" s="1186">
        <v>2</v>
      </c>
      <c r="F2539" s="1177"/>
      <c r="G2539" s="1177"/>
      <c r="H2539" s="1177"/>
      <c r="I2539" s="1278">
        <f t="shared" si="146"/>
        <v>4</v>
      </c>
      <c r="J2539" s="1275"/>
    </row>
    <row r="2540" spans="1:10" s="1209" customFormat="1" ht="17.25" customHeight="1">
      <c r="A2540" s="1185"/>
      <c r="B2540" s="1199" t="s">
        <v>6836</v>
      </c>
      <c r="C2540" s="1186">
        <v>2</v>
      </c>
      <c r="D2540" s="1186" t="s">
        <v>3364</v>
      </c>
      <c r="E2540" s="1186">
        <v>2</v>
      </c>
      <c r="F2540" s="1177"/>
      <c r="G2540" s="1177"/>
      <c r="H2540" s="1177"/>
      <c r="I2540" s="1278">
        <f t="shared" si="146"/>
        <v>4</v>
      </c>
      <c r="J2540" s="1275"/>
    </row>
    <row r="2541" spans="1:10" s="1209" customFormat="1" ht="17.25" customHeight="1">
      <c r="A2541" s="1185"/>
      <c r="B2541" s="1199" t="s">
        <v>6841</v>
      </c>
      <c r="C2541" s="1186">
        <v>2</v>
      </c>
      <c r="D2541" s="1186" t="s">
        <v>3364</v>
      </c>
      <c r="E2541" s="1186">
        <v>1</v>
      </c>
      <c r="F2541" s="1177"/>
      <c r="G2541" s="1177"/>
      <c r="H2541" s="1177"/>
      <c r="I2541" s="1278">
        <f t="shared" si="146"/>
        <v>2</v>
      </c>
      <c r="J2541" s="1275"/>
    </row>
    <row r="2542" spans="1:10" s="1209" customFormat="1">
      <c r="A2542" s="1185"/>
      <c r="B2542" s="1199"/>
      <c r="C2542" s="1186"/>
      <c r="D2542" s="1186"/>
      <c r="E2542" s="1186"/>
      <c r="F2542" s="1177"/>
      <c r="G2542" s="1177"/>
      <c r="H2542" s="1177"/>
      <c r="I2542" s="1278">
        <f>SUM(I2505:I2541)</f>
        <v>148</v>
      </c>
      <c r="J2542" s="1184" t="s">
        <v>41</v>
      </c>
    </row>
    <row r="2543" spans="1:10" s="1209" customFormat="1" ht="93.6" customHeight="1">
      <c r="A2543" s="1182">
        <v>70.5</v>
      </c>
      <c r="B2543" s="1200" t="s">
        <v>3742</v>
      </c>
      <c r="C2543" s="1186"/>
      <c r="D2543" s="1186"/>
      <c r="E2543" s="1186"/>
      <c r="F2543" s="1177"/>
      <c r="G2543" s="1177"/>
      <c r="H2543" s="1177"/>
      <c r="I2543" s="1178"/>
      <c r="J2543" s="1184"/>
    </row>
    <row r="2544" spans="1:10" s="1209" customFormat="1">
      <c r="A2544" s="1182"/>
      <c r="B2544" s="1203" t="s">
        <v>6790</v>
      </c>
      <c r="C2544" s="1186"/>
      <c r="D2544" s="1186"/>
      <c r="E2544" s="1186"/>
      <c r="F2544" s="1177"/>
      <c r="G2544" s="1177"/>
      <c r="H2544" s="1177"/>
      <c r="I2544" s="1178"/>
      <c r="J2544" s="1184"/>
    </row>
    <row r="2545" spans="1:10" s="1209" customFormat="1">
      <c r="A2545" s="1182"/>
      <c r="B2545" s="1201" t="s">
        <v>3626</v>
      </c>
      <c r="C2545" s="1186">
        <v>5</v>
      </c>
      <c r="D2545" s="1186" t="s">
        <v>3364</v>
      </c>
      <c r="E2545" s="1186">
        <v>4</v>
      </c>
      <c r="F2545" s="1177"/>
      <c r="G2545" s="1177"/>
      <c r="H2545" s="1177"/>
      <c r="I2545" s="1278">
        <f t="shared" ref="I2545:I2581" si="147">PRODUCT(C2545:H2545)</f>
        <v>20</v>
      </c>
      <c r="J2545" s="1275"/>
    </row>
    <row r="2546" spans="1:10" s="1209" customFormat="1">
      <c r="A2546" s="1182"/>
      <c r="B2546" s="1201" t="s">
        <v>6618</v>
      </c>
      <c r="C2546" s="1186">
        <v>2</v>
      </c>
      <c r="D2546" s="1186" t="s">
        <v>3364</v>
      </c>
      <c r="E2546" s="1186">
        <v>1</v>
      </c>
      <c r="F2546" s="1177"/>
      <c r="G2546" s="1177"/>
      <c r="H2546" s="1177"/>
      <c r="I2546" s="1278">
        <f t="shared" si="147"/>
        <v>2</v>
      </c>
      <c r="J2546" s="1275"/>
    </row>
    <row r="2547" spans="1:10" s="1209" customFormat="1">
      <c r="A2547" s="1185"/>
      <c r="B2547" s="1199" t="s">
        <v>6822</v>
      </c>
      <c r="C2547" s="1186">
        <v>2</v>
      </c>
      <c r="D2547" s="1186" t="s">
        <v>3364</v>
      </c>
      <c r="E2547" s="1186">
        <v>1</v>
      </c>
      <c r="F2547" s="1177"/>
      <c r="G2547" s="1177"/>
      <c r="H2547" s="1177"/>
      <c r="I2547" s="1278">
        <f t="shared" si="147"/>
        <v>2</v>
      </c>
      <c r="J2547" s="1275"/>
    </row>
    <row r="2548" spans="1:10" s="1209" customFormat="1">
      <c r="A2548" s="1185"/>
      <c r="B2548" s="1199" t="s">
        <v>6590</v>
      </c>
      <c r="C2548" s="1186">
        <v>2</v>
      </c>
      <c r="D2548" s="1186" t="s">
        <v>3364</v>
      </c>
      <c r="E2548" s="1186">
        <v>1</v>
      </c>
      <c r="F2548" s="1177"/>
      <c r="G2548" s="1177"/>
      <c r="H2548" s="1177"/>
      <c r="I2548" s="1278">
        <f t="shared" si="147"/>
        <v>2</v>
      </c>
      <c r="J2548" s="1275"/>
    </row>
    <row r="2549" spans="1:10" s="1209" customFormat="1">
      <c r="A2549" s="1185"/>
      <c r="B2549" s="1199" t="s">
        <v>3492</v>
      </c>
      <c r="C2549" s="1186">
        <v>3</v>
      </c>
      <c r="D2549" s="1186" t="s">
        <v>3364</v>
      </c>
      <c r="E2549" s="1186">
        <v>1</v>
      </c>
      <c r="F2549" s="1177"/>
      <c r="G2549" s="1177"/>
      <c r="H2549" s="1177"/>
      <c r="I2549" s="1278">
        <f t="shared" si="147"/>
        <v>3</v>
      </c>
      <c r="J2549" s="1275"/>
    </row>
    <row r="2550" spans="1:10" s="1209" customFormat="1">
      <c r="A2550" s="1185"/>
      <c r="B2550" s="1199" t="s">
        <v>6620</v>
      </c>
      <c r="C2550" s="1186">
        <v>3</v>
      </c>
      <c r="D2550" s="1186" t="s">
        <v>3364</v>
      </c>
      <c r="E2550" s="1186">
        <v>1</v>
      </c>
      <c r="F2550" s="1177"/>
      <c r="G2550" s="1177"/>
      <c r="H2550" s="1177"/>
      <c r="I2550" s="1278">
        <f t="shared" si="147"/>
        <v>3</v>
      </c>
      <c r="J2550" s="1275"/>
    </row>
    <row r="2551" spans="1:10" s="1209" customFormat="1" ht="17.25" customHeight="1">
      <c r="A2551" s="1185"/>
      <c r="B2551" s="1199" t="s">
        <v>6823</v>
      </c>
      <c r="C2551" s="1186">
        <v>3</v>
      </c>
      <c r="D2551" s="1186" t="s">
        <v>3364</v>
      </c>
      <c r="E2551" s="1186">
        <v>1</v>
      </c>
      <c r="F2551" s="1177"/>
      <c r="G2551" s="1177"/>
      <c r="H2551" s="1177"/>
      <c r="I2551" s="1278">
        <f t="shared" si="147"/>
        <v>3</v>
      </c>
      <c r="J2551" s="1275"/>
    </row>
    <row r="2552" spans="1:10" s="1209" customFormat="1" ht="17.25" customHeight="1">
      <c r="A2552" s="1185"/>
      <c r="B2552" s="1202" t="s">
        <v>6668</v>
      </c>
      <c r="C2552" s="1186"/>
      <c r="D2552" s="1186"/>
      <c r="E2552" s="1186"/>
      <c r="F2552" s="1177"/>
      <c r="G2552" s="1177"/>
      <c r="H2552" s="1177"/>
      <c r="I2552" s="1278">
        <f t="shared" si="147"/>
        <v>0</v>
      </c>
      <c r="J2552" s="1275"/>
    </row>
    <row r="2553" spans="1:10" s="1209" customFormat="1" ht="17.25" customHeight="1">
      <c r="A2553" s="1185"/>
      <c r="B2553" s="1199" t="s">
        <v>6824</v>
      </c>
      <c r="C2553" s="1186">
        <v>6</v>
      </c>
      <c r="D2553" s="1186" t="s">
        <v>3364</v>
      </c>
      <c r="E2553" s="1186">
        <v>1</v>
      </c>
      <c r="F2553" s="1177"/>
      <c r="G2553" s="1177"/>
      <c r="H2553" s="1177"/>
      <c r="I2553" s="1278">
        <f t="shared" si="147"/>
        <v>6</v>
      </c>
      <c r="J2553" s="1275"/>
    </row>
    <row r="2554" spans="1:10" s="1209" customFormat="1" ht="17.25" customHeight="1">
      <c r="A2554" s="1185"/>
      <c r="B2554" s="1199" t="s">
        <v>6825</v>
      </c>
      <c r="C2554" s="1186">
        <v>12</v>
      </c>
      <c r="D2554" s="1186" t="s">
        <v>3364</v>
      </c>
      <c r="E2554" s="1186">
        <v>1</v>
      </c>
      <c r="F2554" s="1177"/>
      <c r="G2554" s="1177"/>
      <c r="H2554" s="1177"/>
      <c r="I2554" s="1278">
        <f t="shared" si="147"/>
        <v>12</v>
      </c>
      <c r="J2554" s="1275"/>
    </row>
    <row r="2555" spans="1:10" s="1209" customFormat="1" ht="17.25" customHeight="1">
      <c r="A2555" s="1185"/>
      <c r="B2555" s="1199" t="s">
        <v>6826</v>
      </c>
      <c r="C2555" s="1186">
        <v>3</v>
      </c>
      <c r="D2555" s="1186" t="s">
        <v>3364</v>
      </c>
      <c r="E2555" s="1186">
        <v>1</v>
      </c>
      <c r="F2555" s="1177"/>
      <c r="G2555" s="1177"/>
      <c r="H2555" s="1177"/>
      <c r="I2555" s="1278">
        <f t="shared" si="147"/>
        <v>3</v>
      </c>
      <c r="J2555" s="1275"/>
    </row>
    <row r="2556" spans="1:10" s="1209" customFormat="1" ht="17.25" customHeight="1">
      <c r="A2556" s="1185"/>
      <c r="B2556" s="1199" t="s">
        <v>6827</v>
      </c>
      <c r="C2556" s="1186">
        <v>2</v>
      </c>
      <c r="D2556" s="1186" t="s">
        <v>3364</v>
      </c>
      <c r="E2556" s="1186">
        <v>1</v>
      </c>
      <c r="F2556" s="1177"/>
      <c r="G2556" s="1177"/>
      <c r="H2556" s="1177"/>
      <c r="I2556" s="1278">
        <f t="shared" si="147"/>
        <v>2</v>
      </c>
      <c r="J2556" s="1275"/>
    </row>
    <row r="2557" spans="1:10" s="1209" customFormat="1" ht="17.25" customHeight="1">
      <c r="A2557" s="1185"/>
      <c r="B2557" s="1199" t="s">
        <v>6828</v>
      </c>
      <c r="C2557" s="1186">
        <v>7</v>
      </c>
      <c r="D2557" s="1186" t="s">
        <v>3364</v>
      </c>
      <c r="E2557" s="1186">
        <v>1</v>
      </c>
      <c r="F2557" s="1177"/>
      <c r="G2557" s="1177"/>
      <c r="H2557" s="1177"/>
      <c r="I2557" s="1278">
        <f t="shared" si="147"/>
        <v>7</v>
      </c>
      <c r="J2557" s="1275"/>
    </row>
    <row r="2558" spans="1:10" s="1209" customFormat="1" ht="17.25" customHeight="1">
      <c r="A2558" s="1185"/>
      <c r="B2558" s="1199" t="s">
        <v>3492</v>
      </c>
      <c r="C2558" s="1186">
        <v>3</v>
      </c>
      <c r="D2558" s="1186" t="s">
        <v>3364</v>
      </c>
      <c r="E2558" s="1186">
        <v>1</v>
      </c>
      <c r="F2558" s="1177"/>
      <c r="G2558" s="1177"/>
      <c r="H2558" s="1177"/>
      <c r="I2558" s="1278">
        <f t="shared" si="147"/>
        <v>3</v>
      </c>
      <c r="J2558" s="1275"/>
    </row>
    <row r="2559" spans="1:10" s="1209" customFormat="1" ht="17.25" customHeight="1">
      <c r="A2559" s="1185"/>
      <c r="B2559" s="1199" t="s">
        <v>6829</v>
      </c>
      <c r="C2559" s="1186">
        <v>4</v>
      </c>
      <c r="D2559" s="1186" t="s">
        <v>3364</v>
      </c>
      <c r="E2559" s="1186">
        <v>1</v>
      </c>
      <c r="F2559" s="1177"/>
      <c r="G2559" s="1177"/>
      <c r="H2559" s="1177"/>
      <c r="I2559" s="1278">
        <f t="shared" si="147"/>
        <v>4</v>
      </c>
      <c r="J2559" s="1275"/>
    </row>
    <row r="2560" spans="1:10" s="1209" customFormat="1" ht="17.25" customHeight="1">
      <c r="A2560" s="1185"/>
      <c r="B2560" s="1199" t="s">
        <v>6830</v>
      </c>
      <c r="C2560" s="1186">
        <v>1</v>
      </c>
      <c r="D2560" s="1186" t="s">
        <v>3364</v>
      </c>
      <c r="E2560" s="1186">
        <v>1</v>
      </c>
      <c r="F2560" s="1177"/>
      <c r="G2560" s="1177"/>
      <c r="H2560" s="1177"/>
      <c r="I2560" s="1278">
        <f t="shared" si="147"/>
        <v>1</v>
      </c>
      <c r="J2560" s="1275"/>
    </row>
    <row r="2561" spans="1:10" s="1209" customFormat="1" ht="17.25" customHeight="1">
      <c r="A2561" s="1185"/>
      <c r="B2561" s="1202" t="s">
        <v>3691</v>
      </c>
      <c r="C2561" s="1186"/>
      <c r="D2561" s="1186"/>
      <c r="E2561" s="1186"/>
      <c r="F2561" s="1177"/>
      <c r="G2561" s="1177"/>
      <c r="H2561" s="1177"/>
      <c r="I2561" s="1278">
        <f t="shared" si="147"/>
        <v>0</v>
      </c>
      <c r="J2561" s="1275"/>
    </row>
    <row r="2562" spans="1:10" s="1209" customFormat="1" ht="17.25" customHeight="1">
      <c r="A2562" s="1185"/>
      <c r="B2562" s="1199" t="s">
        <v>6831</v>
      </c>
      <c r="C2562" s="1186">
        <v>5</v>
      </c>
      <c r="D2562" s="1186" t="s">
        <v>3364</v>
      </c>
      <c r="E2562" s="1186">
        <v>1</v>
      </c>
      <c r="F2562" s="1177"/>
      <c r="G2562" s="1177"/>
      <c r="H2562" s="1177"/>
      <c r="I2562" s="1278">
        <f t="shared" si="147"/>
        <v>5</v>
      </c>
      <c r="J2562" s="1275"/>
    </row>
    <row r="2563" spans="1:10" s="1209" customFormat="1" ht="17.25" customHeight="1">
      <c r="A2563" s="1185"/>
      <c r="B2563" s="1199" t="s">
        <v>6814</v>
      </c>
      <c r="C2563" s="1186">
        <v>3</v>
      </c>
      <c r="D2563" s="1186" t="s">
        <v>3364</v>
      </c>
      <c r="E2563" s="1186">
        <v>1</v>
      </c>
      <c r="F2563" s="1177"/>
      <c r="G2563" s="1177"/>
      <c r="H2563" s="1177"/>
      <c r="I2563" s="1278">
        <f t="shared" si="147"/>
        <v>3</v>
      </c>
      <c r="J2563" s="1275"/>
    </row>
    <row r="2564" spans="1:10" s="1209" customFormat="1" ht="17.25" customHeight="1">
      <c r="A2564" s="1185"/>
      <c r="B2564" s="1199" t="s">
        <v>6832</v>
      </c>
      <c r="C2564" s="1186">
        <v>12</v>
      </c>
      <c r="D2564" s="1186" t="s">
        <v>3364</v>
      </c>
      <c r="E2564" s="1186">
        <v>1</v>
      </c>
      <c r="F2564" s="1177"/>
      <c r="G2564" s="1177"/>
      <c r="H2564" s="1177"/>
      <c r="I2564" s="1278">
        <f t="shared" si="147"/>
        <v>12</v>
      </c>
      <c r="J2564" s="1275"/>
    </row>
    <row r="2565" spans="1:10" s="1209" customFormat="1" ht="17.25" customHeight="1">
      <c r="A2565" s="1185"/>
      <c r="B2565" s="1199" t="s">
        <v>6833</v>
      </c>
      <c r="C2565" s="1186">
        <v>2</v>
      </c>
      <c r="D2565" s="1186" t="s">
        <v>3364</v>
      </c>
      <c r="E2565" s="1186">
        <v>1</v>
      </c>
      <c r="F2565" s="1177"/>
      <c r="G2565" s="1177"/>
      <c r="H2565" s="1177"/>
      <c r="I2565" s="1278">
        <f t="shared" si="147"/>
        <v>2</v>
      </c>
      <c r="J2565" s="1275"/>
    </row>
    <row r="2566" spans="1:10" s="1209" customFormat="1" ht="17.25" customHeight="1">
      <c r="A2566" s="1185"/>
      <c r="B2566" s="1199" t="s">
        <v>6834</v>
      </c>
      <c r="C2566" s="1186">
        <v>2</v>
      </c>
      <c r="D2566" s="1186" t="s">
        <v>3364</v>
      </c>
      <c r="E2566" s="1186">
        <v>1</v>
      </c>
      <c r="F2566" s="1177"/>
      <c r="G2566" s="1177"/>
      <c r="H2566" s="1177"/>
      <c r="I2566" s="1278">
        <f t="shared" si="147"/>
        <v>2</v>
      </c>
      <c r="J2566" s="1275"/>
    </row>
    <row r="2567" spans="1:10" s="1209" customFormat="1" ht="17.25" customHeight="1">
      <c r="A2567" s="1185"/>
      <c r="B2567" s="1199" t="s">
        <v>6835</v>
      </c>
      <c r="C2567" s="1186">
        <v>7</v>
      </c>
      <c r="D2567" s="1186" t="s">
        <v>3364</v>
      </c>
      <c r="E2567" s="1186">
        <v>1</v>
      </c>
      <c r="F2567" s="1177"/>
      <c r="G2567" s="1177"/>
      <c r="H2567" s="1177"/>
      <c r="I2567" s="1278">
        <f t="shared" si="147"/>
        <v>7</v>
      </c>
      <c r="J2567" s="1275"/>
    </row>
    <row r="2568" spans="1:10" s="1209" customFormat="1" ht="17.25" customHeight="1">
      <c r="A2568" s="1185"/>
      <c r="B2568" s="1199" t="s">
        <v>6829</v>
      </c>
      <c r="C2568" s="1186">
        <v>5</v>
      </c>
      <c r="D2568" s="1186" t="s">
        <v>3364</v>
      </c>
      <c r="E2568" s="1186">
        <v>1</v>
      </c>
      <c r="F2568" s="1177"/>
      <c r="G2568" s="1177"/>
      <c r="H2568" s="1177"/>
      <c r="I2568" s="1278">
        <f t="shared" si="147"/>
        <v>5</v>
      </c>
      <c r="J2568" s="1275"/>
    </row>
    <row r="2569" spans="1:10" s="1209" customFormat="1" ht="17.25" customHeight="1">
      <c r="A2569" s="1185"/>
      <c r="B2569" s="1199" t="s">
        <v>6836</v>
      </c>
      <c r="C2569" s="1186">
        <v>3</v>
      </c>
      <c r="D2569" s="1186" t="s">
        <v>3364</v>
      </c>
      <c r="E2569" s="1186">
        <v>1</v>
      </c>
      <c r="F2569" s="1177"/>
      <c r="G2569" s="1177"/>
      <c r="H2569" s="1177"/>
      <c r="I2569" s="1278">
        <f t="shared" si="147"/>
        <v>3</v>
      </c>
      <c r="J2569" s="1275"/>
    </row>
    <row r="2570" spans="1:10" s="1209" customFormat="1" ht="17.25" customHeight="1">
      <c r="A2570" s="1185"/>
      <c r="B2570" s="1202" t="s">
        <v>3692</v>
      </c>
      <c r="C2570" s="1186"/>
      <c r="D2570" s="1186"/>
      <c r="E2570" s="1186"/>
      <c r="F2570" s="1177"/>
      <c r="G2570" s="1177"/>
      <c r="H2570" s="1177"/>
      <c r="I2570" s="1278">
        <f t="shared" si="147"/>
        <v>0</v>
      </c>
      <c r="J2570" s="1275"/>
    </row>
    <row r="2571" spans="1:10" s="1209" customFormat="1" ht="17.25" customHeight="1">
      <c r="A2571" s="1185"/>
      <c r="B2571" s="1199" t="s">
        <v>6837</v>
      </c>
      <c r="C2571" s="1186">
        <v>8</v>
      </c>
      <c r="D2571" s="1186" t="s">
        <v>3364</v>
      </c>
      <c r="E2571" s="1186">
        <v>1</v>
      </c>
      <c r="F2571" s="1177"/>
      <c r="G2571" s="1177"/>
      <c r="H2571" s="1177"/>
      <c r="I2571" s="1278">
        <f t="shared" si="147"/>
        <v>8</v>
      </c>
      <c r="J2571" s="1275"/>
    </row>
    <row r="2572" spans="1:10" s="1209" customFormat="1" ht="17.25" customHeight="1">
      <c r="A2572" s="1185"/>
      <c r="B2572" s="1199" t="s">
        <v>6600</v>
      </c>
      <c r="C2572" s="1186">
        <v>6</v>
      </c>
      <c r="D2572" s="1186" t="s">
        <v>3364</v>
      </c>
      <c r="E2572" s="1186">
        <v>1</v>
      </c>
      <c r="F2572" s="1177"/>
      <c r="G2572" s="1177"/>
      <c r="H2572" s="1177"/>
      <c r="I2572" s="1278">
        <f t="shared" si="147"/>
        <v>6</v>
      </c>
      <c r="J2572" s="1275"/>
    </row>
    <row r="2573" spans="1:10" s="1209" customFormat="1" ht="17.25" customHeight="1">
      <c r="A2573" s="1185"/>
      <c r="B2573" s="1199" t="s">
        <v>6838</v>
      </c>
      <c r="C2573" s="1186">
        <v>6</v>
      </c>
      <c r="D2573" s="1186" t="s">
        <v>3364</v>
      </c>
      <c r="E2573" s="1186">
        <v>1</v>
      </c>
      <c r="F2573" s="1177"/>
      <c r="G2573" s="1177"/>
      <c r="H2573" s="1177"/>
      <c r="I2573" s="1278">
        <f t="shared" si="147"/>
        <v>6</v>
      </c>
      <c r="J2573" s="1275"/>
    </row>
    <row r="2574" spans="1:10" s="1209" customFormat="1" ht="17.25" customHeight="1">
      <c r="A2574" s="1185"/>
      <c r="B2574" s="1199" t="s">
        <v>6602</v>
      </c>
      <c r="C2574" s="1186">
        <v>5</v>
      </c>
      <c r="D2574" s="1186" t="s">
        <v>3364</v>
      </c>
      <c r="E2574" s="1186">
        <v>1</v>
      </c>
      <c r="F2574" s="1177"/>
      <c r="G2574" s="1177"/>
      <c r="H2574" s="1177"/>
      <c r="I2574" s="1278">
        <f t="shared" si="147"/>
        <v>5</v>
      </c>
      <c r="J2574" s="1275"/>
    </row>
    <row r="2575" spans="1:10" s="1209" customFormat="1" ht="17.25" customHeight="1">
      <c r="A2575" s="1185"/>
      <c r="B2575" s="1199" t="s">
        <v>6839</v>
      </c>
      <c r="C2575" s="1186">
        <v>3</v>
      </c>
      <c r="D2575" s="1186" t="s">
        <v>3364</v>
      </c>
      <c r="E2575" s="1186">
        <v>1</v>
      </c>
      <c r="F2575" s="1177"/>
      <c r="G2575" s="1177"/>
      <c r="H2575" s="1177"/>
      <c r="I2575" s="1278">
        <f t="shared" si="147"/>
        <v>3</v>
      </c>
      <c r="J2575" s="1275"/>
    </row>
    <row r="2576" spans="1:10" s="1209" customFormat="1" ht="17.25" customHeight="1">
      <c r="A2576" s="1185"/>
      <c r="B2576" s="1199" t="s">
        <v>6683</v>
      </c>
      <c r="C2576" s="1186">
        <v>3</v>
      </c>
      <c r="D2576" s="1186" t="s">
        <v>3364</v>
      </c>
      <c r="E2576" s="1186">
        <v>1</v>
      </c>
      <c r="F2576" s="1177"/>
      <c r="G2576" s="1177"/>
      <c r="H2576" s="1177"/>
      <c r="I2576" s="1278">
        <f t="shared" si="147"/>
        <v>3</v>
      </c>
      <c r="J2576" s="1275"/>
    </row>
    <row r="2577" spans="1:10" s="1209" customFormat="1" ht="17.25" customHeight="1">
      <c r="A2577" s="1185"/>
      <c r="B2577" s="1199" t="s">
        <v>6800</v>
      </c>
      <c r="C2577" s="1186">
        <v>2</v>
      </c>
      <c r="D2577" s="1186" t="s">
        <v>3364</v>
      </c>
      <c r="E2577" s="1186">
        <v>1</v>
      </c>
      <c r="F2577" s="1177"/>
      <c r="G2577" s="1177"/>
      <c r="H2577" s="1177"/>
      <c r="I2577" s="1278">
        <f t="shared" si="147"/>
        <v>2</v>
      </c>
      <c r="J2577" s="1275"/>
    </row>
    <row r="2578" spans="1:10" s="1209" customFormat="1" ht="17.25" customHeight="1">
      <c r="A2578" s="1185"/>
      <c r="B2578" s="1199" t="s">
        <v>3484</v>
      </c>
      <c r="C2578" s="1186">
        <v>7</v>
      </c>
      <c r="D2578" s="1186" t="s">
        <v>3364</v>
      </c>
      <c r="E2578" s="1186">
        <v>1</v>
      </c>
      <c r="F2578" s="1177"/>
      <c r="G2578" s="1177"/>
      <c r="H2578" s="1177"/>
      <c r="I2578" s="1278">
        <f t="shared" si="147"/>
        <v>7</v>
      </c>
      <c r="J2578" s="1275"/>
    </row>
    <row r="2579" spans="1:10" s="1209" customFormat="1" ht="17.25" customHeight="1">
      <c r="A2579" s="1185"/>
      <c r="B2579" s="1199" t="s">
        <v>6840</v>
      </c>
      <c r="C2579" s="1186">
        <v>3</v>
      </c>
      <c r="D2579" s="1186" t="s">
        <v>3364</v>
      </c>
      <c r="E2579" s="1186">
        <v>2</v>
      </c>
      <c r="F2579" s="1177"/>
      <c r="G2579" s="1177"/>
      <c r="H2579" s="1177"/>
      <c r="I2579" s="1278">
        <f t="shared" si="147"/>
        <v>6</v>
      </c>
      <c r="J2579" s="1275"/>
    </row>
    <row r="2580" spans="1:10" s="1209" customFormat="1" ht="17.25" customHeight="1">
      <c r="A2580" s="1185"/>
      <c r="B2580" s="1199" t="s">
        <v>6836</v>
      </c>
      <c r="C2580" s="1186">
        <v>3</v>
      </c>
      <c r="D2580" s="1186" t="s">
        <v>3364</v>
      </c>
      <c r="E2580" s="1186">
        <v>2</v>
      </c>
      <c r="F2580" s="1177"/>
      <c r="G2580" s="1177"/>
      <c r="H2580" s="1177"/>
      <c r="I2580" s="1278">
        <f t="shared" si="147"/>
        <v>6</v>
      </c>
      <c r="J2580" s="1275"/>
    </row>
    <row r="2581" spans="1:10" s="1209" customFormat="1" ht="17.25" customHeight="1">
      <c r="A2581" s="1185"/>
      <c r="B2581" s="1199" t="s">
        <v>6841</v>
      </c>
      <c r="C2581" s="1186">
        <v>1</v>
      </c>
      <c r="D2581" s="1186" t="s">
        <v>3364</v>
      </c>
      <c r="E2581" s="1186">
        <v>1</v>
      </c>
      <c r="F2581" s="1177"/>
      <c r="G2581" s="1177"/>
      <c r="H2581" s="1177"/>
      <c r="I2581" s="1278">
        <f t="shared" si="147"/>
        <v>1</v>
      </c>
      <c r="J2581" s="1275"/>
    </row>
    <row r="2582" spans="1:10" s="1209" customFormat="1">
      <c r="A2582" s="1185"/>
      <c r="B2582" s="1199"/>
      <c r="C2582" s="1186"/>
      <c r="D2582" s="1186"/>
      <c r="E2582" s="1186"/>
      <c r="F2582" s="1177"/>
      <c r="G2582" s="1253" t="s">
        <v>104</v>
      </c>
      <c r="H2582" s="1177"/>
      <c r="I2582" s="1181">
        <f>SUM(I2545:I2581)</f>
        <v>165</v>
      </c>
      <c r="J2582" s="1184" t="s">
        <v>3471</v>
      </c>
    </row>
    <row r="2583" spans="1:10" s="1209" customFormat="1" ht="31.5">
      <c r="A2583" s="1182">
        <v>255.6</v>
      </c>
      <c r="B2583" s="1203" t="s">
        <v>3741</v>
      </c>
      <c r="C2583" s="1186"/>
      <c r="D2583" s="1186"/>
      <c r="E2583" s="1186"/>
      <c r="F2583" s="1177"/>
      <c r="G2583" s="1177"/>
      <c r="H2583" s="1177"/>
      <c r="I2583" s="1178"/>
      <c r="J2583" s="1184"/>
    </row>
    <row r="2584" spans="1:10" s="1209" customFormat="1">
      <c r="A2584" s="1185"/>
      <c r="B2584" s="1199" t="s">
        <v>3496</v>
      </c>
      <c r="C2584" s="1186">
        <v>2</v>
      </c>
      <c r="D2584" s="1186" t="s">
        <v>3364</v>
      </c>
      <c r="E2584" s="1186">
        <v>1</v>
      </c>
      <c r="F2584" s="1177"/>
      <c r="G2584" s="1177"/>
      <c r="H2584" s="1177"/>
      <c r="I2584" s="1278">
        <f>PRODUCT(C2584:H2584)</f>
        <v>2</v>
      </c>
      <c r="J2584" s="1184"/>
    </row>
    <row r="2585" spans="1:10" s="1209" customFormat="1">
      <c r="A2585" s="1185"/>
      <c r="B2585" s="1199" t="s">
        <v>6938</v>
      </c>
      <c r="C2585" s="1186">
        <v>1</v>
      </c>
      <c r="D2585" s="1186" t="s">
        <v>3364</v>
      </c>
      <c r="E2585" s="1186">
        <v>1</v>
      </c>
      <c r="F2585" s="1177"/>
      <c r="G2585" s="1177"/>
      <c r="H2585" s="1177"/>
      <c r="I2585" s="1278">
        <f>PRODUCT(C2585:H2585)</f>
        <v>1</v>
      </c>
      <c r="J2585" s="1184"/>
    </row>
    <row r="2586" spans="1:10" s="1209" customFormat="1">
      <c r="A2586" s="1185"/>
      <c r="B2586" s="1199" t="s">
        <v>3740</v>
      </c>
      <c r="C2586" s="1186">
        <v>1</v>
      </c>
      <c r="D2586" s="1186" t="s">
        <v>3364</v>
      </c>
      <c r="E2586" s="1186">
        <v>5</v>
      </c>
      <c r="F2586" s="1177"/>
      <c r="G2586" s="1177"/>
      <c r="H2586" s="1177"/>
      <c r="I2586" s="1278">
        <f>PRODUCT(C2586:H2586)</f>
        <v>5</v>
      </c>
      <c r="J2586" s="1184"/>
    </row>
    <row r="2587" spans="1:10" s="1209" customFormat="1">
      <c r="A2587" s="1185"/>
      <c r="B2587" s="1199"/>
      <c r="C2587" s="1186"/>
      <c r="D2587" s="1186"/>
      <c r="E2587" s="1186"/>
      <c r="F2587" s="1177"/>
      <c r="G2587" s="1177" t="s">
        <v>104</v>
      </c>
      <c r="H2587" s="1253"/>
      <c r="I2587" s="1181">
        <f>SUM(I2584:I2586)</f>
        <v>8</v>
      </c>
      <c r="J2587" s="1184" t="s">
        <v>3471</v>
      </c>
    </row>
    <row r="2588" spans="1:10" s="1209" customFormat="1" ht="47.25">
      <c r="A2588" s="1185"/>
      <c r="B2588" s="1203" t="s">
        <v>6939</v>
      </c>
      <c r="C2588" s="1186">
        <v>1</v>
      </c>
      <c r="D2588" s="1186" t="s">
        <v>3364</v>
      </c>
      <c r="E2588" s="1186">
        <v>1</v>
      </c>
      <c r="F2588" s="1177"/>
      <c r="G2588" s="1177"/>
      <c r="H2588" s="1177"/>
      <c r="I2588" s="1278">
        <f>PRODUCT(C2588:H2588)</f>
        <v>1</v>
      </c>
      <c r="J2588" s="1184" t="s">
        <v>3471</v>
      </c>
    </row>
    <row r="2589" spans="1:10" s="1209" customFormat="1">
      <c r="A2589" s="1185"/>
      <c r="B2589" s="1199"/>
      <c r="C2589" s="1186"/>
      <c r="D2589" s="1186"/>
      <c r="E2589" s="1186"/>
      <c r="F2589" s="1177"/>
      <c r="G2589" s="1177"/>
      <c r="H2589" s="1177"/>
      <c r="I2589" s="1178"/>
      <c r="J2589" s="1184"/>
    </row>
    <row r="2590" spans="1:10" s="1209" customFormat="1" ht="31.5">
      <c r="A2590" s="1363"/>
      <c r="B2590" s="1363" t="s">
        <v>3744</v>
      </c>
      <c r="C2590" s="1364"/>
      <c r="D2590" s="1364"/>
      <c r="E2590" s="1364"/>
      <c r="F2590" s="1364"/>
      <c r="G2590" s="1364"/>
      <c r="H2590" s="1364"/>
      <c r="I2590" s="1364"/>
      <c r="J2590" s="1365"/>
    </row>
    <row r="2591" spans="1:10" s="1209" customFormat="1">
      <c r="A2591" s="1363"/>
      <c r="B2591" s="1363" t="s">
        <v>3745</v>
      </c>
      <c r="C2591" s="1364">
        <v>1</v>
      </c>
      <c r="D2591" s="1364" t="s">
        <v>3364</v>
      </c>
      <c r="E2591" s="1364">
        <v>1</v>
      </c>
      <c r="F2591" s="1364"/>
      <c r="G2591" s="1364"/>
      <c r="H2591" s="1364"/>
      <c r="I2591" s="1366">
        <f>PRODUCT(C2591:H2591)</f>
        <v>1</v>
      </c>
      <c r="J2591" s="1367"/>
    </row>
    <row r="2592" spans="1:10" s="1209" customFormat="1" ht="15" customHeight="1">
      <c r="A2592" s="1363"/>
      <c r="B2592" s="1363"/>
      <c r="C2592" s="1364"/>
      <c r="D2592" s="1364"/>
      <c r="E2592" s="1364"/>
      <c r="F2592" s="1364"/>
      <c r="G2592" s="1364"/>
      <c r="H2592" s="1364" t="s">
        <v>2981</v>
      </c>
      <c r="I2592" s="1366">
        <v>1</v>
      </c>
      <c r="J2592" s="1365" t="s">
        <v>41</v>
      </c>
    </row>
    <row r="2593" spans="1:10" s="1209" customFormat="1" ht="47.25">
      <c r="A2593" s="1368">
        <v>10</v>
      </c>
      <c r="B2593" s="1369" t="s">
        <v>6940</v>
      </c>
      <c r="C2593" s="1370"/>
      <c r="D2593" s="1370"/>
      <c r="E2593" s="1370"/>
      <c r="F2593" s="1371"/>
      <c r="G2593" s="1371"/>
      <c r="H2593" s="1371"/>
      <c r="I2593" s="1371"/>
      <c r="J2593" s="1372"/>
    </row>
    <row r="2594" spans="1:10" s="1209" customFormat="1">
      <c r="A2594" s="1368"/>
      <c r="B2594" s="1373" t="s">
        <v>3757</v>
      </c>
      <c r="C2594" s="1371"/>
      <c r="D2594" s="1371"/>
      <c r="E2594" s="1371"/>
      <c r="F2594" s="1371"/>
      <c r="G2594" s="1371"/>
      <c r="H2594" s="1371"/>
      <c r="I2594" s="1371"/>
      <c r="J2594" s="1372"/>
    </row>
    <row r="2595" spans="1:10" s="1209" customFormat="1">
      <c r="A2595" s="1368"/>
      <c r="B2595" s="1374" t="s">
        <v>6941</v>
      </c>
      <c r="C2595" s="1370">
        <v>1</v>
      </c>
      <c r="D2595" s="1375" t="s">
        <v>3364</v>
      </c>
      <c r="E2595" s="1370">
        <v>1</v>
      </c>
      <c r="F2595" s="1367">
        <v>92</v>
      </c>
      <c r="G2595" s="1367"/>
      <c r="H2595" s="1371"/>
      <c r="I2595" s="1371">
        <f>PRODUCT(C2595:H2595)</f>
        <v>92</v>
      </c>
      <c r="J2595" s="1371"/>
    </row>
    <row r="2596" spans="1:10" s="1209" customFormat="1">
      <c r="A2596" s="1368"/>
      <c r="B2596" s="1369"/>
      <c r="C2596" s="1370"/>
      <c r="D2596" s="1370"/>
      <c r="E2596" s="1370"/>
      <c r="F2596" s="1371"/>
      <c r="G2596" s="1371"/>
      <c r="H2596" s="1371"/>
      <c r="I2596" s="1371">
        <f>SUM(I2595:I2595)</f>
        <v>92</v>
      </c>
      <c r="J2596" s="1372" t="s">
        <v>13</v>
      </c>
    </row>
    <row r="2597" spans="1:10" s="1209" customFormat="1">
      <c r="A2597" s="1376">
        <v>11</v>
      </c>
      <c r="B2597" s="1377" t="s">
        <v>6942</v>
      </c>
      <c r="C2597" s="1375"/>
      <c r="D2597" s="1375"/>
      <c r="E2597" s="1375"/>
      <c r="F2597" s="1375"/>
      <c r="G2597" s="1375"/>
      <c r="H2597" s="1378"/>
      <c r="I2597" s="1379"/>
      <c r="J2597" s="1378"/>
    </row>
    <row r="2598" spans="1:10" s="1209" customFormat="1">
      <c r="A2598" s="1376"/>
      <c r="B2598" s="1380" t="s">
        <v>6943</v>
      </c>
      <c r="C2598" s="1375">
        <v>1</v>
      </c>
      <c r="D2598" s="1375" t="s">
        <v>3364</v>
      </c>
      <c r="E2598" s="1375">
        <v>4</v>
      </c>
      <c r="F2598" s="1381"/>
      <c r="G2598" s="1381"/>
      <c r="H2598" s="1381"/>
      <c r="I2598" s="1382">
        <f>PRODUCT(C2598:H2598)</f>
        <v>4</v>
      </c>
      <c r="J2598" s="1375"/>
    </row>
    <row r="2599" spans="1:10" s="1209" customFormat="1">
      <c r="A2599" s="1376"/>
      <c r="B2599" s="1380"/>
      <c r="C2599" s="1375"/>
      <c r="D2599" s="1375"/>
      <c r="E2599" s="1375"/>
      <c r="F2599" s="1375"/>
      <c r="G2599" s="1375"/>
      <c r="H2599" s="1378" t="s">
        <v>2981</v>
      </c>
      <c r="I2599" s="1379">
        <v>4</v>
      </c>
      <c r="J2599" s="1378" t="s">
        <v>41</v>
      </c>
    </row>
    <row r="2600" spans="1:10" s="1209" customFormat="1">
      <c r="A2600" s="1376">
        <v>12</v>
      </c>
      <c r="B2600" s="1377" t="s">
        <v>6944</v>
      </c>
      <c r="C2600" s="1375"/>
      <c r="D2600" s="1375"/>
      <c r="E2600" s="1375"/>
      <c r="F2600" s="1375"/>
      <c r="G2600" s="1375"/>
      <c r="H2600" s="1375"/>
      <c r="I2600" s="1379"/>
      <c r="J2600" s="1375"/>
    </row>
    <row r="2601" spans="1:10" s="1209" customFormat="1">
      <c r="A2601" s="1376"/>
      <c r="B2601" s="1380" t="s">
        <v>6943</v>
      </c>
      <c r="C2601" s="1375">
        <v>1</v>
      </c>
      <c r="D2601" s="1375" t="s">
        <v>3364</v>
      </c>
      <c r="E2601" s="1375">
        <v>6</v>
      </c>
      <c r="F2601" s="1381"/>
      <c r="G2601" s="1381"/>
      <c r="H2601" s="1381"/>
      <c r="I2601" s="1382">
        <f>PRODUCT(C2601:H2601)</f>
        <v>6</v>
      </c>
      <c r="J2601" s="1375"/>
    </row>
    <row r="2602" spans="1:10" s="1209" customFormat="1">
      <c r="A2602" s="1376"/>
      <c r="B2602" s="1380"/>
      <c r="C2602" s="1375"/>
      <c r="D2602" s="1375"/>
      <c r="E2602" s="1375"/>
      <c r="F2602" s="1375"/>
      <c r="G2602" s="1375"/>
      <c r="H2602" s="1378" t="s">
        <v>2981</v>
      </c>
      <c r="I2602" s="1379">
        <v>6</v>
      </c>
      <c r="J2602" s="1378" t="s">
        <v>41</v>
      </c>
    </row>
    <row r="2603" spans="1:10" s="1220" customFormat="1" ht="31.5">
      <c r="A2603" s="1383"/>
      <c r="B2603" s="1377" t="s">
        <v>3746</v>
      </c>
      <c r="C2603" s="1384"/>
      <c r="D2603" s="1384"/>
      <c r="E2603" s="1384"/>
      <c r="F2603" s="1385"/>
      <c r="G2603" s="1385"/>
      <c r="H2603" s="1385"/>
      <c r="I2603" s="1385"/>
      <c r="J2603" s="1385"/>
    </row>
    <row r="2604" spans="1:10" s="1220" customFormat="1">
      <c r="A2604" s="1383"/>
      <c r="B2604" s="1377" t="s">
        <v>3751</v>
      </c>
      <c r="C2604" s="1384">
        <v>1</v>
      </c>
      <c r="D2604" s="1384" t="s">
        <v>3364</v>
      </c>
      <c r="E2604" s="1384">
        <v>15</v>
      </c>
      <c r="F2604" s="1385"/>
      <c r="G2604" s="1385"/>
      <c r="H2604" s="1385"/>
      <c r="I2604" s="1385">
        <f>PRODUCT(C2604:H2604)</f>
        <v>15</v>
      </c>
      <c r="J2604" s="1385"/>
    </row>
    <row r="2605" spans="1:10" s="1220" customFormat="1">
      <c r="A2605" s="1383"/>
      <c r="B2605" s="1377"/>
      <c r="C2605" s="1384"/>
      <c r="D2605" s="1384"/>
      <c r="E2605" s="1384"/>
      <c r="F2605" s="1385"/>
      <c r="G2605" s="1385"/>
      <c r="H2605" s="1385"/>
      <c r="I2605" s="1385">
        <f>SUM(I2604:I2604)</f>
        <v>15</v>
      </c>
      <c r="J2605" s="1385" t="s">
        <v>41</v>
      </c>
    </row>
    <row r="2606" spans="1:10" s="1220" customFormat="1">
      <c r="A2606" s="1383"/>
      <c r="B2606" s="1377" t="s">
        <v>3747</v>
      </c>
      <c r="C2606" s="1384"/>
      <c r="D2606" s="1384"/>
      <c r="E2606" s="1384"/>
      <c r="F2606" s="1385"/>
      <c r="G2606" s="1385"/>
      <c r="H2606" s="1385"/>
      <c r="I2606" s="1385"/>
      <c r="J2606" s="1385"/>
    </row>
    <row r="2607" spans="1:10" s="1220" customFormat="1">
      <c r="A2607" s="1383"/>
      <c r="B2607" s="1377" t="s">
        <v>3751</v>
      </c>
      <c r="C2607" s="1384">
        <v>1</v>
      </c>
      <c r="D2607" s="1384" t="s">
        <v>3364</v>
      </c>
      <c r="E2607" s="1384">
        <v>47</v>
      </c>
      <c r="F2607" s="1385"/>
      <c r="G2607" s="1385"/>
      <c r="H2607" s="1385"/>
      <c r="I2607" s="1385">
        <f t="shared" ref="I2607:I2612" si="148">PRODUCT(C2607:H2607)</f>
        <v>47</v>
      </c>
      <c r="J2607" s="1385"/>
    </row>
    <row r="2608" spans="1:10" s="1220" customFormat="1" ht="15" customHeight="1">
      <c r="A2608" s="1383"/>
      <c r="B2608" s="1377"/>
      <c r="C2608" s="1384"/>
      <c r="D2608" s="1384"/>
      <c r="E2608" s="1384"/>
      <c r="F2608" s="1385"/>
      <c r="G2608" s="1385"/>
      <c r="H2608" s="1385"/>
      <c r="I2608" s="1385">
        <f>SUM(I2607:I2607)</f>
        <v>47</v>
      </c>
      <c r="J2608" s="1385" t="s">
        <v>41</v>
      </c>
    </row>
    <row r="2609" spans="1:10" s="1220" customFormat="1">
      <c r="A2609" s="1383"/>
      <c r="B2609" s="1377" t="s">
        <v>3748</v>
      </c>
      <c r="C2609" s="1384"/>
      <c r="D2609" s="1384"/>
      <c r="E2609" s="1384"/>
      <c r="F2609" s="1385"/>
      <c r="G2609" s="1385"/>
      <c r="H2609" s="1385"/>
      <c r="I2609" s="1385"/>
      <c r="J2609" s="1385"/>
    </row>
    <row r="2610" spans="1:10" s="1221" customFormat="1">
      <c r="A2610" s="1383"/>
      <c r="B2610" s="1377" t="s">
        <v>3751</v>
      </c>
      <c r="C2610" s="1384">
        <v>1</v>
      </c>
      <c r="D2610" s="1384" t="s">
        <v>3364</v>
      </c>
      <c r="E2610" s="1384">
        <v>36</v>
      </c>
      <c r="F2610" s="1385"/>
      <c r="G2610" s="1385"/>
      <c r="H2610" s="1385"/>
      <c r="I2610" s="1385">
        <f t="shared" si="148"/>
        <v>36</v>
      </c>
      <c r="J2610" s="1385"/>
    </row>
    <row r="2611" spans="1:10" s="1220" customFormat="1">
      <c r="A2611" s="1383"/>
      <c r="B2611" s="1386" t="s">
        <v>3749</v>
      </c>
      <c r="C2611" s="1384"/>
      <c r="D2611" s="1384"/>
      <c r="E2611" s="1384"/>
      <c r="F2611" s="1385"/>
      <c r="G2611" s="1385"/>
      <c r="H2611" s="1385"/>
      <c r="I2611" s="1385"/>
      <c r="J2611" s="1387"/>
    </row>
    <row r="2612" spans="1:10" s="1221" customFormat="1">
      <c r="A2612" s="1383"/>
      <c r="B2612" s="1377" t="s">
        <v>3751</v>
      </c>
      <c r="C2612" s="1384">
        <v>1</v>
      </c>
      <c r="D2612" s="1384" t="s">
        <v>3364</v>
      </c>
      <c r="E2612" s="1384">
        <v>26</v>
      </c>
      <c r="F2612" s="1385"/>
      <c r="G2612" s="1385"/>
      <c r="H2612" s="1385"/>
      <c r="I2612" s="1385">
        <f t="shared" si="148"/>
        <v>26</v>
      </c>
      <c r="J2612" s="1385" t="s">
        <v>41</v>
      </c>
    </row>
    <row r="2613" spans="1:10" s="181" customFormat="1" ht="47.25">
      <c r="A2613" s="1256">
        <v>60</v>
      </c>
      <c r="B2613" s="1257" t="s">
        <v>3534</v>
      </c>
      <c r="C2613" s="1258"/>
      <c r="D2613" s="1258"/>
      <c r="E2613" s="1258"/>
      <c r="F2613" s="1259"/>
      <c r="G2613" s="1259"/>
      <c r="H2613" s="1259"/>
      <c r="I2613" s="1356"/>
      <c r="J2613" s="1261"/>
    </row>
    <row r="2614" spans="1:10" s="181" customFormat="1">
      <c r="A2614" s="1258"/>
      <c r="B2614" s="1257" t="s">
        <v>3535</v>
      </c>
      <c r="C2614" s="1258">
        <v>1</v>
      </c>
      <c r="D2614" s="1258" t="s">
        <v>3364</v>
      </c>
      <c r="E2614" s="1258">
        <v>2</v>
      </c>
      <c r="F2614" s="1259"/>
      <c r="G2614" s="1259"/>
      <c r="H2614" s="1259"/>
      <c r="I2614" s="1262">
        <f>PRODUCT(C2614:H2614)</f>
        <v>2</v>
      </c>
      <c r="J2614" s="1388"/>
    </row>
    <row r="2615" spans="1:10" s="181" customFormat="1">
      <c r="A2615" s="1258"/>
      <c r="B2615" s="1359" t="s">
        <v>3536</v>
      </c>
      <c r="C2615" s="1258">
        <v>1</v>
      </c>
      <c r="D2615" s="1258" t="s">
        <v>3364</v>
      </c>
      <c r="E2615" s="1258">
        <v>10</v>
      </c>
      <c r="F2615" s="1259"/>
      <c r="G2615" s="1259"/>
      <c r="H2615" s="1259"/>
      <c r="I2615" s="1356">
        <f>PRODUCT(C2615:H2615)</f>
        <v>10</v>
      </c>
      <c r="J2615" s="1261"/>
    </row>
    <row r="2616" spans="1:10" s="181" customFormat="1">
      <c r="A2616" s="1258"/>
      <c r="B2616" s="1359" t="s">
        <v>3537</v>
      </c>
      <c r="C2616" s="1258">
        <v>4</v>
      </c>
      <c r="D2616" s="1258" t="s">
        <v>3364</v>
      </c>
      <c r="E2616" s="1258">
        <v>2</v>
      </c>
      <c r="F2616" s="1259"/>
      <c r="G2616" s="1259"/>
      <c r="H2616" s="1259"/>
      <c r="I2616" s="1356">
        <f>PRODUCT(C2616:H2616)</f>
        <v>8</v>
      </c>
      <c r="J2616" s="1261"/>
    </row>
    <row r="2617" spans="1:10" s="181" customFormat="1">
      <c r="A2617" s="1258"/>
      <c r="B2617" s="1359" t="s">
        <v>3538</v>
      </c>
      <c r="C2617" s="1258">
        <v>7</v>
      </c>
      <c r="D2617" s="1258" t="s">
        <v>3364</v>
      </c>
      <c r="E2617" s="1258">
        <v>2</v>
      </c>
      <c r="F2617" s="1259"/>
      <c r="G2617" s="1259"/>
      <c r="H2617" s="1259"/>
      <c r="I2617" s="1356">
        <f>PRODUCT(C2617:H2617)</f>
        <v>14</v>
      </c>
      <c r="J2617" s="1261"/>
    </row>
    <row r="2618" spans="1:10" s="181" customFormat="1">
      <c r="A2618" s="1258"/>
      <c r="B2618" s="1359" t="s">
        <v>3539</v>
      </c>
      <c r="C2618" s="1258">
        <v>6</v>
      </c>
      <c r="D2618" s="1258" t="s">
        <v>3364</v>
      </c>
      <c r="E2618" s="1258">
        <v>2</v>
      </c>
      <c r="F2618" s="1259"/>
      <c r="G2618" s="1259"/>
      <c r="H2618" s="1259"/>
      <c r="I2618" s="1356">
        <f>PRODUCT(C2618:H2618)</f>
        <v>12</v>
      </c>
      <c r="J2618" s="1261"/>
    </row>
    <row r="2619" spans="1:10" s="181" customFormat="1">
      <c r="A2619" s="1258"/>
      <c r="B2619" s="1257"/>
      <c r="C2619" s="1258"/>
      <c r="D2619" s="1258"/>
      <c r="E2619" s="1258"/>
      <c r="F2619" s="1259"/>
      <c r="G2619" s="1389"/>
      <c r="H2619" s="1360" t="s">
        <v>2981</v>
      </c>
      <c r="I2619" s="1260">
        <f>SUM(I2614:I2618)</f>
        <v>46</v>
      </c>
      <c r="J2619" s="1261" t="s">
        <v>3471</v>
      </c>
    </row>
    <row r="2620" spans="1:10" s="1220" customFormat="1" ht="63">
      <c r="A2620" s="1383"/>
      <c r="B2620" s="1386" t="s">
        <v>3750</v>
      </c>
      <c r="C2620" s="1384"/>
      <c r="D2620" s="1384"/>
      <c r="E2620" s="1384"/>
      <c r="F2620" s="1385"/>
      <c r="G2620" s="1385"/>
      <c r="H2620" s="1385"/>
      <c r="I2620" s="1385"/>
      <c r="J2620" s="1387"/>
    </row>
    <row r="2621" spans="1:10" s="1220" customFormat="1">
      <c r="A2621" s="1383"/>
      <c r="B2621" s="1386" t="s">
        <v>6945</v>
      </c>
      <c r="C2621" s="1384">
        <v>2</v>
      </c>
      <c r="D2621" s="1384" t="s">
        <v>3364</v>
      </c>
      <c r="E2621" s="1384">
        <v>1</v>
      </c>
      <c r="F2621" s="1385"/>
      <c r="G2621" s="1385"/>
      <c r="H2621" s="1385"/>
      <c r="I2621" s="1385">
        <f>PRODUCT(C2621:H2621)</f>
        <v>2</v>
      </c>
      <c r="J2621" s="1387"/>
    </row>
    <row r="2622" spans="1:10" s="1220" customFormat="1">
      <c r="A2622" s="1383"/>
      <c r="B2622" s="1386" t="s">
        <v>6946</v>
      </c>
      <c r="C2622" s="1384">
        <v>2</v>
      </c>
      <c r="D2622" s="1384" t="s">
        <v>3364</v>
      </c>
      <c r="E2622" s="1384">
        <v>1</v>
      </c>
      <c r="F2622" s="1385"/>
      <c r="G2622" s="1385"/>
      <c r="H2622" s="1385"/>
      <c r="I2622" s="1385">
        <f>PRODUCT(C2622:H2622)</f>
        <v>2</v>
      </c>
      <c r="J2622" s="1387"/>
    </row>
    <row r="2623" spans="1:10" s="1221" customFormat="1">
      <c r="A2623" s="1383"/>
      <c r="B2623" s="1377" t="s">
        <v>3751</v>
      </c>
      <c r="C2623" s="1384">
        <v>2</v>
      </c>
      <c r="D2623" s="1384" t="s">
        <v>3364</v>
      </c>
      <c r="E2623" s="1384">
        <v>14</v>
      </c>
      <c r="F2623" s="1385"/>
      <c r="G2623" s="1385"/>
      <c r="H2623" s="1385"/>
      <c r="I2623" s="1385">
        <f>PRODUCT(C2623:H2623)</f>
        <v>28</v>
      </c>
      <c r="J2623" s="1385"/>
    </row>
    <row r="2624" spans="1:10" s="1221" customFormat="1">
      <c r="A2624" s="1383"/>
      <c r="B2624" s="1377"/>
      <c r="C2624" s="1384"/>
      <c r="D2624" s="1384"/>
      <c r="E2624" s="1384"/>
      <c r="F2624" s="1385"/>
      <c r="G2624" s="1385"/>
      <c r="H2624" s="1385"/>
      <c r="I2624" s="1390">
        <f>SUM(I2621:I2623)</f>
        <v>32</v>
      </c>
      <c r="J2624" s="1390" t="s">
        <v>41</v>
      </c>
    </row>
    <row r="2625" spans="1:10" s="1221" customFormat="1" ht="31.5">
      <c r="A2625" s="1383"/>
      <c r="B2625" s="1386" t="s">
        <v>6947</v>
      </c>
      <c r="C2625" s="1384"/>
      <c r="D2625" s="1384"/>
      <c r="E2625" s="1384"/>
      <c r="F2625" s="1385"/>
      <c r="G2625" s="1385"/>
      <c r="H2625" s="1385"/>
      <c r="I2625" s="1390"/>
      <c r="J2625" s="1390"/>
    </row>
    <row r="2626" spans="1:10" s="1221" customFormat="1">
      <c r="A2626" s="1383"/>
      <c r="B2626" s="1377" t="s">
        <v>6894</v>
      </c>
      <c r="C2626" s="1384">
        <v>1</v>
      </c>
      <c r="D2626" s="1384" t="s">
        <v>3364</v>
      </c>
      <c r="E2626" s="1384">
        <v>2</v>
      </c>
      <c r="F2626" s="1385"/>
      <c r="G2626" s="1385"/>
      <c r="H2626" s="1385"/>
      <c r="I2626" s="1385">
        <f>PRODUCT(C2626:H2626)</f>
        <v>2</v>
      </c>
      <c r="J2626" s="1390" t="s">
        <v>41</v>
      </c>
    </row>
    <row r="2627" spans="1:10" s="1221" customFormat="1" ht="47.25">
      <c r="A2627" s="1383"/>
      <c r="B2627" s="1386" t="s">
        <v>6948</v>
      </c>
      <c r="C2627" s="1384"/>
      <c r="D2627" s="1384"/>
      <c r="E2627" s="1384"/>
      <c r="F2627" s="1385"/>
      <c r="G2627" s="1385"/>
      <c r="H2627" s="1385"/>
      <c r="I2627" s="1390"/>
      <c r="J2627" s="1390"/>
    </row>
    <row r="2628" spans="1:10" s="1209" customFormat="1">
      <c r="A2628" s="1182"/>
      <c r="B2628" s="1203" t="s">
        <v>6790</v>
      </c>
      <c r="C2628" s="1186"/>
      <c r="D2628" s="1186"/>
      <c r="E2628" s="1186"/>
      <c r="F2628" s="1177"/>
      <c r="G2628" s="1177"/>
      <c r="H2628" s="1177"/>
      <c r="I2628" s="1178"/>
      <c r="J2628" s="1184"/>
    </row>
    <row r="2629" spans="1:10" s="1209" customFormat="1">
      <c r="A2629" s="1182"/>
      <c r="B2629" s="1201" t="s">
        <v>3626</v>
      </c>
      <c r="C2629" s="1186">
        <v>2</v>
      </c>
      <c r="D2629" s="1186" t="s">
        <v>3364</v>
      </c>
      <c r="E2629" s="1186">
        <v>1</v>
      </c>
      <c r="F2629" s="1177"/>
      <c r="G2629" s="1177"/>
      <c r="H2629" s="1177"/>
      <c r="I2629" s="1278">
        <f t="shared" ref="I2629:I2665" si="149">PRODUCT(C2629:H2629)</f>
        <v>2</v>
      </c>
      <c r="J2629" s="1275"/>
    </row>
    <row r="2630" spans="1:10" s="1209" customFormat="1">
      <c r="A2630" s="1182"/>
      <c r="B2630" s="1201" t="s">
        <v>6618</v>
      </c>
      <c r="C2630" s="1186">
        <v>1</v>
      </c>
      <c r="D2630" s="1186" t="s">
        <v>3364</v>
      </c>
      <c r="E2630" s="1186">
        <v>1</v>
      </c>
      <c r="F2630" s="1177"/>
      <c r="G2630" s="1177"/>
      <c r="H2630" s="1177"/>
      <c r="I2630" s="1278">
        <f t="shared" si="149"/>
        <v>1</v>
      </c>
      <c r="J2630" s="1275"/>
    </row>
    <row r="2631" spans="1:10" s="1209" customFormat="1">
      <c r="A2631" s="1185"/>
      <c r="B2631" s="1199" t="s">
        <v>6822</v>
      </c>
      <c r="C2631" s="1186">
        <v>1</v>
      </c>
      <c r="D2631" s="1186" t="s">
        <v>3364</v>
      </c>
      <c r="E2631" s="1186">
        <v>1</v>
      </c>
      <c r="F2631" s="1177"/>
      <c r="G2631" s="1177"/>
      <c r="H2631" s="1177"/>
      <c r="I2631" s="1278">
        <f t="shared" si="149"/>
        <v>1</v>
      </c>
      <c r="J2631" s="1275"/>
    </row>
    <row r="2632" spans="1:10" s="1209" customFormat="1">
      <c r="A2632" s="1185"/>
      <c r="B2632" s="1199" t="s">
        <v>6590</v>
      </c>
      <c r="C2632" s="1186">
        <v>1</v>
      </c>
      <c r="D2632" s="1186" t="s">
        <v>3364</v>
      </c>
      <c r="E2632" s="1186">
        <v>1</v>
      </c>
      <c r="F2632" s="1177"/>
      <c r="G2632" s="1177"/>
      <c r="H2632" s="1177"/>
      <c r="I2632" s="1278">
        <f t="shared" si="149"/>
        <v>1</v>
      </c>
      <c r="J2632" s="1275"/>
    </row>
    <row r="2633" spans="1:10" s="1209" customFormat="1">
      <c r="A2633" s="1185"/>
      <c r="B2633" s="1199" t="s">
        <v>3492</v>
      </c>
      <c r="C2633" s="1186">
        <v>2</v>
      </c>
      <c r="D2633" s="1186" t="s">
        <v>3364</v>
      </c>
      <c r="E2633" s="1186">
        <v>1</v>
      </c>
      <c r="F2633" s="1177"/>
      <c r="G2633" s="1177"/>
      <c r="H2633" s="1177"/>
      <c r="I2633" s="1278">
        <f t="shared" si="149"/>
        <v>2</v>
      </c>
      <c r="J2633" s="1275"/>
    </row>
    <row r="2634" spans="1:10" s="1209" customFormat="1">
      <c r="A2634" s="1185"/>
      <c r="B2634" s="1199" t="s">
        <v>6620</v>
      </c>
      <c r="C2634" s="1186">
        <v>1</v>
      </c>
      <c r="D2634" s="1186" t="s">
        <v>3364</v>
      </c>
      <c r="E2634" s="1186">
        <v>1</v>
      </c>
      <c r="F2634" s="1177"/>
      <c r="G2634" s="1177"/>
      <c r="H2634" s="1177"/>
      <c r="I2634" s="1278">
        <f t="shared" si="149"/>
        <v>1</v>
      </c>
      <c r="J2634" s="1275"/>
    </row>
    <row r="2635" spans="1:10" s="1209" customFormat="1" ht="17.25" customHeight="1">
      <c r="A2635" s="1185"/>
      <c r="B2635" s="1199" t="s">
        <v>6823</v>
      </c>
      <c r="C2635" s="1186">
        <v>1</v>
      </c>
      <c r="D2635" s="1186" t="s">
        <v>3364</v>
      </c>
      <c r="E2635" s="1186">
        <v>1</v>
      </c>
      <c r="F2635" s="1177"/>
      <c r="G2635" s="1177"/>
      <c r="H2635" s="1177"/>
      <c r="I2635" s="1278">
        <f t="shared" si="149"/>
        <v>1</v>
      </c>
      <c r="J2635" s="1275"/>
    </row>
    <row r="2636" spans="1:10" s="1209" customFormat="1" ht="17.25" customHeight="1">
      <c r="A2636" s="1185"/>
      <c r="B2636" s="1202" t="s">
        <v>6668</v>
      </c>
      <c r="C2636" s="1186"/>
      <c r="D2636" s="1186"/>
      <c r="E2636" s="1186"/>
      <c r="F2636" s="1177"/>
      <c r="G2636" s="1177"/>
      <c r="H2636" s="1177"/>
      <c r="I2636" s="1278">
        <f t="shared" si="149"/>
        <v>0</v>
      </c>
      <c r="J2636" s="1275"/>
    </row>
    <row r="2637" spans="1:10" s="1209" customFormat="1" ht="17.25" customHeight="1">
      <c r="A2637" s="1185"/>
      <c r="B2637" s="1199" t="s">
        <v>6824</v>
      </c>
      <c r="C2637" s="1186">
        <v>1</v>
      </c>
      <c r="D2637" s="1186" t="s">
        <v>3364</v>
      </c>
      <c r="E2637" s="1186">
        <v>1</v>
      </c>
      <c r="F2637" s="1177"/>
      <c r="G2637" s="1177"/>
      <c r="H2637" s="1177"/>
      <c r="I2637" s="1278">
        <f t="shared" si="149"/>
        <v>1</v>
      </c>
      <c r="J2637" s="1275"/>
    </row>
    <row r="2638" spans="1:10" s="1209" customFormat="1" ht="17.25" customHeight="1">
      <c r="A2638" s="1185"/>
      <c r="B2638" s="1199" t="s">
        <v>6825</v>
      </c>
      <c r="C2638" s="1186">
        <v>2</v>
      </c>
      <c r="D2638" s="1186" t="s">
        <v>3364</v>
      </c>
      <c r="E2638" s="1186">
        <v>1</v>
      </c>
      <c r="F2638" s="1177"/>
      <c r="G2638" s="1177"/>
      <c r="H2638" s="1177"/>
      <c r="I2638" s="1278">
        <f t="shared" si="149"/>
        <v>2</v>
      </c>
      <c r="J2638" s="1275"/>
    </row>
    <row r="2639" spans="1:10" s="1209" customFormat="1" ht="17.25" customHeight="1">
      <c r="A2639" s="1185"/>
      <c r="B2639" s="1199" t="s">
        <v>6826</v>
      </c>
      <c r="C2639" s="1186">
        <v>1</v>
      </c>
      <c r="D2639" s="1186" t="s">
        <v>3364</v>
      </c>
      <c r="E2639" s="1186">
        <v>1</v>
      </c>
      <c r="F2639" s="1177"/>
      <c r="G2639" s="1177"/>
      <c r="H2639" s="1177"/>
      <c r="I2639" s="1278">
        <f t="shared" si="149"/>
        <v>1</v>
      </c>
      <c r="J2639" s="1275"/>
    </row>
    <row r="2640" spans="1:10" s="1209" customFormat="1" ht="17.25" customHeight="1">
      <c r="A2640" s="1185"/>
      <c r="B2640" s="1199" t="s">
        <v>6827</v>
      </c>
      <c r="C2640" s="1186">
        <v>1</v>
      </c>
      <c r="D2640" s="1186" t="s">
        <v>3364</v>
      </c>
      <c r="E2640" s="1186">
        <v>1</v>
      </c>
      <c r="F2640" s="1177"/>
      <c r="G2640" s="1177"/>
      <c r="H2640" s="1177"/>
      <c r="I2640" s="1278">
        <f t="shared" si="149"/>
        <v>1</v>
      </c>
      <c r="J2640" s="1275"/>
    </row>
    <row r="2641" spans="1:10" s="1209" customFormat="1" ht="17.25" customHeight="1">
      <c r="A2641" s="1185"/>
      <c r="B2641" s="1199" t="s">
        <v>6828</v>
      </c>
      <c r="C2641" s="1186">
        <v>2</v>
      </c>
      <c r="D2641" s="1186" t="s">
        <v>3364</v>
      </c>
      <c r="E2641" s="1186">
        <v>1</v>
      </c>
      <c r="F2641" s="1177"/>
      <c r="G2641" s="1177"/>
      <c r="H2641" s="1177"/>
      <c r="I2641" s="1278">
        <f t="shared" si="149"/>
        <v>2</v>
      </c>
      <c r="J2641" s="1275"/>
    </row>
    <row r="2642" spans="1:10" s="1209" customFormat="1" ht="17.25" customHeight="1">
      <c r="A2642" s="1185"/>
      <c r="B2642" s="1199" t="s">
        <v>3492</v>
      </c>
      <c r="C2642" s="1186">
        <v>2</v>
      </c>
      <c r="D2642" s="1186" t="s">
        <v>3364</v>
      </c>
      <c r="E2642" s="1186">
        <v>1</v>
      </c>
      <c r="F2642" s="1177"/>
      <c r="G2642" s="1177"/>
      <c r="H2642" s="1177"/>
      <c r="I2642" s="1278">
        <f t="shared" si="149"/>
        <v>2</v>
      </c>
      <c r="J2642" s="1275"/>
    </row>
    <row r="2643" spans="1:10" s="1209" customFormat="1" ht="17.25" customHeight="1">
      <c r="A2643" s="1185"/>
      <c r="B2643" s="1199" t="s">
        <v>6829</v>
      </c>
      <c r="C2643" s="1186">
        <v>2</v>
      </c>
      <c r="D2643" s="1186" t="s">
        <v>3364</v>
      </c>
      <c r="E2643" s="1186">
        <v>1</v>
      </c>
      <c r="F2643" s="1177"/>
      <c r="G2643" s="1177"/>
      <c r="H2643" s="1177"/>
      <c r="I2643" s="1278">
        <f t="shared" si="149"/>
        <v>2</v>
      </c>
      <c r="J2643" s="1275"/>
    </row>
    <row r="2644" spans="1:10" s="1209" customFormat="1" ht="17.25" customHeight="1">
      <c r="A2644" s="1185"/>
      <c r="B2644" s="1199" t="s">
        <v>6830</v>
      </c>
      <c r="C2644" s="1186">
        <v>1</v>
      </c>
      <c r="D2644" s="1186" t="s">
        <v>3364</v>
      </c>
      <c r="E2644" s="1186">
        <v>1</v>
      </c>
      <c r="F2644" s="1177"/>
      <c r="G2644" s="1177"/>
      <c r="H2644" s="1177"/>
      <c r="I2644" s="1278">
        <f t="shared" si="149"/>
        <v>1</v>
      </c>
      <c r="J2644" s="1275"/>
    </row>
    <row r="2645" spans="1:10" s="1209" customFormat="1" ht="17.25" customHeight="1">
      <c r="A2645" s="1185"/>
      <c r="B2645" s="1202" t="s">
        <v>3691</v>
      </c>
      <c r="C2645" s="1186"/>
      <c r="D2645" s="1186"/>
      <c r="E2645" s="1186"/>
      <c r="F2645" s="1177"/>
      <c r="G2645" s="1177"/>
      <c r="H2645" s="1177"/>
      <c r="I2645" s="1278">
        <f t="shared" si="149"/>
        <v>0</v>
      </c>
      <c r="J2645" s="1275"/>
    </row>
    <row r="2646" spans="1:10" s="1209" customFormat="1" ht="17.25" customHeight="1">
      <c r="A2646" s="1185"/>
      <c r="B2646" s="1199" t="s">
        <v>6831</v>
      </c>
      <c r="C2646" s="1186">
        <v>1</v>
      </c>
      <c r="D2646" s="1186" t="s">
        <v>3364</v>
      </c>
      <c r="E2646" s="1186">
        <v>1</v>
      </c>
      <c r="F2646" s="1177"/>
      <c r="G2646" s="1177"/>
      <c r="H2646" s="1177"/>
      <c r="I2646" s="1278">
        <f t="shared" si="149"/>
        <v>1</v>
      </c>
      <c r="J2646" s="1275"/>
    </row>
    <row r="2647" spans="1:10" s="1209" customFormat="1" ht="17.25" customHeight="1">
      <c r="A2647" s="1185"/>
      <c r="B2647" s="1199" t="s">
        <v>6814</v>
      </c>
      <c r="C2647" s="1186">
        <v>2</v>
      </c>
      <c r="D2647" s="1186" t="s">
        <v>3364</v>
      </c>
      <c r="E2647" s="1186">
        <v>1</v>
      </c>
      <c r="F2647" s="1177"/>
      <c r="G2647" s="1177"/>
      <c r="H2647" s="1177"/>
      <c r="I2647" s="1278">
        <f t="shared" si="149"/>
        <v>2</v>
      </c>
      <c r="J2647" s="1275"/>
    </row>
    <row r="2648" spans="1:10" s="1209" customFormat="1" ht="17.25" customHeight="1">
      <c r="A2648" s="1185"/>
      <c r="B2648" s="1199" t="s">
        <v>6832</v>
      </c>
      <c r="C2648" s="1186">
        <v>2</v>
      </c>
      <c r="D2648" s="1186" t="s">
        <v>3364</v>
      </c>
      <c r="E2648" s="1186">
        <v>1</v>
      </c>
      <c r="F2648" s="1177"/>
      <c r="G2648" s="1177"/>
      <c r="H2648" s="1177"/>
      <c r="I2648" s="1278">
        <f t="shared" si="149"/>
        <v>2</v>
      </c>
      <c r="J2648" s="1275"/>
    </row>
    <row r="2649" spans="1:10" s="1209" customFormat="1" ht="17.25" customHeight="1">
      <c r="A2649" s="1185"/>
      <c r="B2649" s="1199" t="s">
        <v>6833</v>
      </c>
      <c r="C2649" s="1186">
        <v>1</v>
      </c>
      <c r="D2649" s="1186" t="s">
        <v>3364</v>
      </c>
      <c r="E2649" s="1186">
        <v>1</v>
      </c>
      <c r="F2649" s="1177"/>
      <c r="G2649" s="1177"/>
      <c r="H2649" s="1177"/>
      <c r="I2649" s="1278">
        <f t="shared" si="149"/>
        <v>1</v>
      </c>
      <c r="J2649" s="1275"/>
    </row>
    <row r="2650" spans="1:10" s="1209" customFormat="1" ht="17.25" customHeight="1">
      <c r="A2650" s="1185"/>
      <c r="B2650" s="1199" t="s">
        <v>6834</v>
      </c>
      <c r="C2650" s="1186">
        <v>1</v>
      </c>
      <c r="D2650" s="1186" t="s">
        <v>3364</v>
      </c>
      <c r="E2650" s="1186">
        <v>1</v>
      </c>
      <c r="F2650" s="1177"/>
      <c r="G2650" s="1177"/>
      <c r="H2650" s="1177"/>
      <c r="I2650" s="1278">
        <f t="shared" si="149"/>
        <v>1</v>
      </c>
      <c r="J2650" s="1275"/>
    </row>
    <row r="2651" spans="1:10" s="1209" customFormat="1" ht="17.25" customHeight="1">
      <c r="A2651" s="1185"/>
      <c r="B2651" s="1199" t="s">
        <v>6835</v>
      </c>
      <c r="C2651" s="1186">
        <v>1</v>
      </c>
      <c r="D2651" s="1186" t="s">
        <v>3364</v>
      </c>
      <c r="E2651" s="1186">
        <v>1</v>
      </c>
      <c r="F2651" s="1177"/>
      <c r="G2651" s="1177"/>
      <c r="H2651" s="1177"/>
      <c r="I2651" s="1278">
        <f t="shared" si="149"/>
        <v>1</v>
      </c>
      <c r="J2651" s="1275"/>
    </row>
    <row r="2652" spans="1:10" s="1209" customFormat="1" ht="17.25" customHeight="1">
      <c r="A2652" s="1185"/>
      <c r="B2652" s="1199" t="s">
        <v>6829</v>
      </c>
      <c r="C2652" s="1186">
        <v>1</v>
      </c>
      <c r="D2652" s="1186" t="s">
        <v>3364</v>
      </c>
      <c r="E2652" s="1186">
        <v>1</v>
      </c>
      <c r="F2652" s="1177"/>
      <c r="G2652" s="1177"/>
      <c r="H2652" s="1177"/>
      <c r="I2652" s="1278">
        <f t="shared" si="149"/>
        <v>1</v>
      </c>
      <c r="J2652" s="1275"/>
    </row>
    <row r="2653" spans="1:10" s="1209" customFormat="1" ht="17.25" customHeight="1">
      <c r="A2653" s="1185"/>
      <c r="B2653" s="1199" t="s">
        <v>6836</v>
      </c>
      <c r="C2653" s="1186">
        <v>1</v>
      </c>
      <c r="D2653" s="1186" t="s">
        <v>3364</v>
      </c>
      <c r="E2653" s="1186">
        <v>1</v>
      </c>
      <c r="F2653" s="1177"/>
      <c r="G2653" s="1177"/>
      <c r="H2653" s="1177"/>
      <c r="I2653" s="1278">
        <f t="shared" si="149"/>
        <v>1</v>
      </c>
      <c r="J2653" s="1275"/>
    </row>
    <row r="2654" spans="1:10" s="1209" customFormat="1" ht="17.25" customHeight="1">
      <c r="A2654" s="1185"/>
      <c r="B2654" s="1202" t="s">
        <v>3692</v>
      </c>
      <c r="C2654" s="1186"/>
      <c r="D2654" s="1186"/>
      <c r="E2654" s="1186"/>
      <c r="F2654" s="1177"/>
      <c r="G2654" s="1177"/>
      <c r="H2654" s="1177"/>
      <c r="I2654" s="1278">
        <f t="shared" si="149"/>
        <v>0</v>
      </c>
      <c r="J2654" s="1275"/>
    </row>
    <row r="2655" spans="1:10" s="1209" customFormat="1" ht="17.25" customHeight="1">
      <c r="A2655" s="1185"/>
      <c r="B2655" s="1199" t="s">
        <v>6837</v>
      </c>
      <c r="C2655" s="1186">
        <v>2</v>
      </c>
      <c r="D2655" s="1186" t="s">
        <v>3364</v>
      </c>
      <c r="E2655" s="1186">
        <v>1</v>
      </c>
      <c r="F2655" s="1177"/>
      <c r="G2655" s="1177"/>
      <c r="H2655" s="1177"/>
      <c r="I2655" s="1278">
        <f t="shared" si="149"/>
        <v>2</v>
      </c>
      <c r="J2655" s="1275"/>
    </row>
    <row r="2656" spans="1:10" s="1209" customFormat="1" ht="17.25" customHeight="1">
      <c r="A2656" s="1185"/>
      <c r="B2656" s="1199" t="s">
        <v>6600</v>
      </c>
      <c r="C2656" s="1186">
        <v>1</v>
      </c>
      <c r="D2656" s="1186" t="s">
        <v>3364</v>
      </c>
      <c r="E2656" s="1186">
        <v>1</v>
      </c>
      <c r="F2656" s="1177"/>
      <c r="G2656" s="1177"/>
      <c r="H2656" s="1177"/>
      <c r="I2656" s="1278">
        <f t="shared" si="149"/>
        <v>1</v>
      </c>
      <c r="J2656" s="1275"/>
    </row>
    <row r="2657" spans="1:10" s="1209" customFormat="1" ht="17.25" customHeight="1">
      <c r="A2657" s="1185"/>
      <c r="B2657" s="1199" t="s">
        <v>6838</v>
      </c>
      <c r="C2657" s="1186">
        <v>1</v>
      </c>
      <c r="D2657" s="1186" t="s">
        <v>3364</v>
      </c>
      <c r="E2657" s="1186">
        <v>1</v>
      </c>
      <c r="F2657" s="1177"/>
      <c r="G2657" s="1177"/>
      <c r="H2657" s="1177"/>
      <c r="I2657" s="1278">
        <f t="shared" si="149"/>
        <v>1</v>
      </c>
      <c r="J2657" s="1275"/>
    </row>
    <row r="2658" spans="1:10" s="1209" customFormat="1" ht="17.25" customHeight="1">
      <c r="A2658" s="1185"/>
      <c r="B2658" s="1199" t="s">
        <v>6602</v>
      </c>
      <c r="C2658" s="1186">
        <v>2</v>
      </c>
      <c r="D2658" s="1186" t="s">
        <v>3364</v>
      </c>
      <c r="E2658" s="1186">
        <v>1</v>
      </c>
      <c r="F2658" s="1177"/>
      <c r="G2658" s="1177"/>
      <c r="H2658" s="1177"/>
      <c r="I2658" s="1278">
        <f t="shared" si="149"/>
        <v>2</v>
      </c>
      <c r="J2658" s="1275"/>
    </row>
    <row r="2659" spans="1:10" s="1209" customFormat="1" ht="17.25" customHeight="1">
      <c r="A2659" s="1185"/>
      <c r="B2659" s="1199" t="s">
        <v>6839</v>
      </c>
      <c r="C2659" s="1186">
        <v>1</v>
      </c>
      <c r="D2659" s="1186" t="s">
        <v>3364</v>
      </c>
      <c r="E2659" s="1186">
        <v>1</v>
      </c>
      <c r="F2659" s="1177"/>
      <c r="G2659" s="1177"/>
      <c r="H2659" s="1177"/>
      <c r="I2659" s="1278">
        <f t="shared" si="149"/>
        <v>1</v>
      </c>
      <c r="J2659" s="1275"/>
    </row>
    <row r="2660" spans="1:10" s="1209" customFormat="1" ht="17.25" customHeight="1">
      <c r="A2660" s="1185"/>
      <c r="B2660" s="1199" t="s">
        <v>6683</v>
      </c>
      <c r="C2660" s="1186">
        <v>1</v>
      </c>
      <c r="D2660" s="1186" t="s">
        <v>3364</v>
      </c>
      <c r="E2660" s="1186">
        <v>1</v>
      </c>
      <c r="F2660" s="1177"/>
      <c r="G2660" s="1177"/>
      <c r="H2660" s="1177"/>
      <c r="I2660" s="1278">
        <f t="shared" si="149"/>
        <v>1</v>
      </c>
      <c r="J2660" s="1275"/>
    </row>
    <row r="2661" spans="1:10" s="1209" customFormat="1" ht="17.25" customHeight="1">
      <c r="A2661" s="1185"/>
      <c r="B2661" s="1199" t="s">
        <v>6800</v>
      </c>
      <c r="C2661" s="1186">
        <v>1</v>
      </c>
      <c r="D2661" s="1186" t="s">
        <v>3364</v>
      </c>
      <c r="E2661" s="1186">
        <v>1</v>
      </c>
      <c r="F2661" s="1177"/>
      <c r="G2661" s="1177"/>
      <c r="H2661" s="1177"/>
      <c r="I2661" s="1278">
        <f t="shared" si="149"/>
        <v>1</v>
      </c>
      <c r="J2661" s="1275"/>
    </row>
    <row r="2662" spans="1:10" s="1209" customFormat="1" ht="17.25" customHeight="1">
      <c r="A2662" s="1185"/>
      <c r="B2662" s="1199" t="s">
        <v>3484</v>
      </c>
      <c r="C2662" s="1186">
        <v>1</v>
      </c>
      <c r="D2662" s="1186" t="s">
        <v>3364</v>
      </c>
      <c r="E2662" s="1186">
        <v>1</v>
      </c>
      <c r="F2662" s="1177"/>
      <c r="G2662" s="1177"/>
      <c r="H2662" s="1177"/>
      <c r="I2662" s="1278">
        <f t="shared" si="149"/>
        <v>1</v>
      </c>
      <c r="J2662" s="1275"/>
    </row>
    <row r="2663" spans="1:10" s="1209" customFormat="1" ht="17.25" customHeight="1">
      <c r="A2663" s="1185"/>
      <c r="B2663" s="1199" t="s">
        <v>6840</v>
      </c>
      <c r="C2663" s="1186">
        <v>2</v>
      </c>
      <c r="D2663" s="1186" t="s">
        <v>3364</v>
      </c>
      <c r="E2663" s="1186">
        <v>2</v>
      </c>
      <c r="F2663" s="1177"/>
      <c r="G2663" s="1177"/>
      <c r="H2663" s="1177"/>
      <c r="I2663" s="1278">
        <f t="shared" si="149"/>
        <v>4</v>
      </c>
      <c r="J2663" s="1275"/>
    </row>
    <row r="2664" spans="1:10" s="1209" customFormat="1" ht="17.25" customHeight="1">
      <c r="A2664" s="1185"/>
      <c r="B2664" s="1199" t="s">
        <v>6836</v>
      </c>
      <c r="C2664" s="1186">
        <v>1</v>
      </c>
      <c r="D2664" s="1186" t="s">
        <v>3364</v>
      </c>
      <c r="E2664" s="1186">
        <v>2</v>
      </c>
      <c r="F2664" s="1177"/>
      <c r="G2664" s="1177"/>
      <c r="H2664" s="1177"/>
      <c r="I2664" s="1278">
        <f t="shared" si="149"/>
        <v>2</v>
      </c>
      <c r="J2664" s="1275"/>
    </row>
    <row r="2665" spans="1:10" s="1209" customFormat="1" ht="17.25" customHeight="1">
      <c r="A2665" s="1185"/>
      <c r="B2665" s="1199" t="s">
        <v>6841</v>
      </c>
      <c r="C2665" s="1186">
        <v>1</v>
      </c>
      <c r="D2665" s="1186" t="s">
        <v>3364</v>
      </c>
      <c r="E2665" s="1186">
        <v>1</v>
      </c>
      <c r="F2665" s="1177"/>
      <c r="G2665" s="1177"/>
      <c r="H2665" s="1177"/>
      <c r="I2665" s="1278">
        <f t="shared" si="149"/>
        <v>1</v>
      </c>
      <c r="J2665" s="1275"/>
    </row>
    <row r="2666" spans="1:10" s="1209" customFormat="1">
      <c r="A2666" s="1391"/>
      <c r="B2666" s="1391"/>
      <c r="C2666" s="1392"/>
      <c r="D2666" s="1392"/>
      <c r="E2666" s="1392"/>
      <c r="F2666" s="1393"/>
      <c r="G2666" s="1393"/>
      <c r="H2666" s="1393"/>
      <c r="I2666" s="1394">
        <f>SUM(I2629:I2665)</f>
        <v>48</v>
      </c>
      <c r="J2666" s="1395" t="s">
        <v>41</v>
      </c>
    </row>
    <row r="2667" spans="1:10" s="1209" customFormat="1" ht="126">
      <c r="A2667" s="1391">
        <v>1</v>
      </c>
      <c r="B2667" s="1377" t="s">
        <v>3752</v>
      </c>
      <c r="C2667" s="1396"/>
      <c r="D2667" s="1396"/>
      <c r="E2667" s="1396"/>
      <c r="F2667" s="1394"/>
      <c r="G2667" s="1394"/>
      <c r="H2667" s="1394"/>
      <c r="I2667" s="1394"/>
      <c r="J2667" s="1397"/>
    </row>
    <row r="2668" spans="1:10" s="1209" customFormat="1">
      <c r="A2668" s="1391"/>
      <c r="B2668" s="1391" t="s">
        <v>3753</v>
      </c>
      <c r="C2668" s="1392">
        <v>1</v>
      </c>
      <c r="D2668" s="1392" t="s">
        <v>3364</v>
      </c>
      <c r="E2668" s="1392">
        <v>1</v>
      </c>
      <c r="F2668" s="1393"/>
      <c r="G2668" s="1393"/>
      <c r="H2668" s="1393"/>
      <c r="I2668" s="1393">
        <f>PRODUCT(C2668:H2668)</f>
        <v>1</v>
      </c>
      <c r="J2668" s="1397" t="s">
        <v>41</v>
      </c>
    </row>
    <row r="2669" spans="1:10" s="1209" customFormat="1">
      <c r="A2669" s="1391"/>
      <c r="B2669" s="1391"/>
      <c r="C2669" s="1392"/>
      <c r="D2669" s="1392"/>
      <c r="E2669" s="1392"/>
      <c r="F2669" s="1393"/>
      <c r="G2669" s="1393"/>
      <c r="H2669" s="1393"/>
      <c r="I2669" s="1393"/>
      <c r="J2669" s="1397"/>
    </row>
    <row r="2670" spans="1:10" s="1209" customFormat="1" ht="126">
      <c r="A2670" s="1391">
        <v>2</v>
      </c>
      <c r="B2670" s="1391" t="s">
        <v>6949</v>
      </c>
      <c r="C2670" s="1392"/>
      <c r="D2670" s="1392"/>
      <c r="E2670" s="1392"/>
      <c r="F2670" s="1393"/>
      <c r="G2670" s="1393"/>
      <c r="H2670" s="1393"/>
      <c r="I2670" s="1393"/>
      <c r="J2670" s="1397"/>
    </row>
    <row r="2671" spans="1:10" s="1209" customFormat="1" ht="31.5">
      <c r="A2671" s="1391"/>
      <c r="B2671" s="1398" t="s">
        <v>6950</v>
      </c>
      <c r="C2671" s="1392">
        <v>1</v>
      </c>
      <c r="D2671" s="1392" t="s">
        <v>3364</v>
      </c>
      <c r="E2671" s="1392">
        <v>20</v>
      </c>
      <c r="F2671" s="1393"/>
      <c r="G2671" s="1393"/>
      <c r="H2671" s="1393"/>
      <c r="I2671" s="1393">
        <f>PRODUCT(C2671:H2671)</f>
        <v>20</v>
      </c>
      <c r="J2671" s="1397" t="s">
        <v>41</v>
      </c>
    </row>
    <row r="2672" spans="1:10" s="1209" customFormat="1">
      <c r="A2672" s="1391"/>
      <c r="B2672" s="1399"/>
      <c r="C2672" s="1392"/>
      <c r="D2672" s="1392"/>
      <c r="E2672" s="1392"/>
      <c r="F2672" s="1393"/>
      <c r="G2672" s="1393"/>
      <c r="H2672" s="1393"/>
      <c r="I2672" s="1393">
        <f>SUM(I2671:I2671)</f>
        <v>20</v>
      </c>
      <c r="J2672" s="1397"/>
    </row>
    <row r="2673" spans="1:10" s="1209" customFormat="1" ht="31.5">
      <c r="A2673" s="1391">
        <v>3</v>
      </c>
      <c r="B2673" s="1399" t="s">
        <v>3754</v>
      </c>
      <c r="C2673" s="1392"/>
      <c r="D2673" s="1392"/>
      <c r="E2673" s="1392"/>
      <c r="F2673" s="1393"/>
      <c r="G2673" s="1393"/>
      <c r="H2673" s="1393"/>
      <c r="I2673" s="1393" t="str">
        <f>IF(E2673&gt;0,H2673*G2673*F2673*E2673*C2673,"")</f>
        <v/>
      </c>
      <c r="J2673" s="1397"/>
    </row>
    <row r="2674" spans="1:10" s="1209" customFormat="1">
      <c r="A2674" s="1391"/>
      <c r="B2674" s="1400" t="s">
        <v>7010</v>
      </c>
      <c r="C2674" s="1392">
        <v>1</v>
      </c>
      <c r="D2674" s="1392" t="s">
        <v>3364</v>
      </c>
      <c r="E2674" s="1392">
        <v>8</v>
      </c>
      <c r="F2674" s="1393"/>
      <c r="G2674" s="1393"/>
      <c r="H2674" s="1393"/>
      <c r="I2674" s="1393">
        <f>PRODUCT(C2674:H2674)</f>
        <v>8</v>
      </c>
      <c r="J2674" s="1397"/>
    </row>
    <row r="2675" spans="1:10" s="1209" customFormat="1">
      <c r="A2675" s="1391"/>
      <c r="B2675" s="1401"/>
      <c r="C2675" s="1392"/>
      <c r="D2675" s="1392"/>
      <c r="E2675" s="1392"/>
      <c r="F2675" s="1393"/>
      <c r="G2675" s="1393"/>
      <c r="H2675" s="1393" t="s">
        <v>104</v>
      </c>
      <c r="I2675" s="1393">
        <f>SUM(I2674:I2674)</f>
        <v>8</v>
      </c>
      <c r="J2675" s="1397" t="s">
        <v>41</v>
      </c>
    </row>
    <row r="2676" spans="1:10" s="1209" customFormat="1" ht="31.5">
      <c r="A2676" s="1402">
        <v>4</v>
      </c>
      <c r="B2676" s="1402" t="s">
        <v>3755</v>
      </c>
      <c r="C2676" s="1403"/>
      <c r="D2676" s="1403"/>
      <c r="E2676" s="1403"/>
      <c r="F2676" s="1404"/>
      <c r="G2676" s="1404"/>
      <c r="H2676" s="1404"/>
      <c r="I2676" s="1404" t="str">
        <f>IF(E2676&gt;0,H2676*G2676*F2676*E2676*C2676,"")</f>
        <v/>
      </c>
      <c r="J2676" s="1405"/>
    </row>
    <row r="2677" spans="1:10" s="1209" customFormat="1">
      <c r="A2677" s="1182"/>
      <c r="B2677" s="1203" t="s">
        <v>6790</v>
      </c>
      <c r="C2677" s="1186"/>
      <c r="D2677" s="1186"/>
      <c r="E2677" s="1186"/>
      <c r="F2677" s="1177"/>
      <c r="G2677" s="1177"/>
      <c r="H2677" s="1177"/>
      <c r="I2677" s="1178"/>
      <c r="J2677" s="1184"/>
    </row>
    <row r="2678" spans="1:10" s="1209" customFormat="1">
      <c r="A2678" s="1182"/>
      <c r="B2678" s="1201" t="s">
        <v>3626</v>
      </c>
      <c r="C2678" s="1186">
        <v>6</v>
      </c>
      <c r="D2678" s="1186" t="s">
        <v>3364</v>
      </c>
      <c r="E2678" s="1186">
        <v>1</v>
      </c>
      <c r="F2678" s="1177"/>
      <c r="G2678" s="1177"/>
      <c r="H2678" s="1177"/>
      <c r="I2678" s="1278">
        <f t="shared" ref="I2678:I2714" si="150">PRODUCT(C2678:H2678)</f>
        <v>6</v>
      </c>
      <c r="J2678" s="1275"/>
    </row>
    <row r="2679" spans="1:10" s="1209" customFormat="1">
      <c r="A2679" s="1182"/>
      <c r="B2679" s="1201" t="s">
        <v>6618</v>
      </c>
      <c r="C2679" s="1186">
        <v>1</v>
      </c>
      <c r="D2679" s="1186" t="s">
        <v>3364</v>
      </c>
      <c r="E2679" s="1186">
        <v>1</v>
      </c>
      <c r="F2679" s="1177"/>
      <c r="G2679" s="1177"/>
      <c r="H2679" s="1177"/>
      <c r="I2679" s="1278">
        <f t="shared" si="150"/>
        <v>1</v>
      </c>
      <c r="J2679" s="1275"/>
    </row>
    <row r="2680" spans="1:10" s="1209" customFormat="1">
      <c r="A2680" s="1185"/>
      <c r="B2680" s="1199" t="s">
        <v>6822</v>
      </c>
      <c r="C2680" s="1186">
        <v>1</v>
      </c>
      <c r="D2680" s="1186" t="s">
        <v>3364</v>
      </c>
      <c r="E2680" s="1186">
        <v>1</v>
      </c>
      <c r="F2680" s="1177"/>
      <c r="G2680" s="1177"/>
      <c r="H2680" s="1177"/>
      <c r="I2680" s="1278">
        <f t="shared" si="150"/>
        <v>1</v>
      </c>
      <c r="J2680" s="1275"/>
    </row>
    <row r="2681" spans="1:10" s="1209" customFormat="1">
      <c r="A2681" s="1185"/>
      <c r="B2681" s="1199" t="s">
        <v>6590</v>
      </c>
      <c r="C2681" s="1186">
        <v>1</v>
      </c>
      <c r="D2681" s="1186" t="s">
        <v>3364</v>
      </c>
      <c r="E2681" s="1186">
        <v>1</v>
      </c>
      <c r="F2681" s="1177"/>
      <c r="G2681" s="1177"/>
      <c r="H2681" s="1177"/>
      <c r="I2681" s="1278">
        <f t="shared" si="150"/>
        <v>1</v>
      </c>
      <c r="J2681" s="1275"/>
    </row>
    <row r="2682" spans="1:10" s="1209" customFormat="1">
      <c r="A2682" s="1185"/>
      <c r="B2682" s="1199" t="s">
        <v>3492</v>
      </c>
      <c r="C2682" s="1186">
        <v>2</v>
      </c>
      <c r="D2682" s="1186" t="s">
        <v>3364</v>
      </c>
      <c r="E2682" s="1186">
        <v>1</v>
      </c>
      <c r="F2682" s="1177"/>
      <c r="G2682" s="1177"/>
      <c r="H2682" s="1177"/>
      <c r="I2682" s="1278">
        <f t="shared" si="150"/>
        <v>2</v>
      </c>
      <c r="J2682" s="1275"/>
    </row>
    <row r="2683" spans="1:10" s="1209" customFormat="1">
      <c r="A2683" s="1185"/>
      <c r="B2683" s="1199" t="s">
        <v>6620</v>
      </c>
      <c r="C2683" s="1186">
        <v>1</v>
      </c>
      <c r="D2683" s="1186" t="s">
        <v>3364</v>
      </c>
      <c r="E2683" s="1186">
        <v>1</v>
      </c>
      <c r="F2683" s="1177"/>
      <c r="G2683" s="1177"/>
      <c r="H2683" s="1177"/>
      <c r="I2683" s="1278">
        <f t="shared" si="150"/>
        <v>1</v>
      </c>
      <c r="J2683" s="1275"/>
    </row>
    <row r="2684" spans="1:10" s="1209" customFormat="1" ht="17.25" customHeight="1">
      <c r="A2684" s="1185"/>
      <c r="B2684" s="1199" t="s">
        <v>6823</v>
      </c>
      <c r="C2684" s="1186">
        <v>1</v>
      </c>
      <c r="D2684" s="1186" t="s">
        <v>3364</v>
      </c>
      <c r="E2684" s="1186">
        <v>1</v>
      </c>
      <c r="F2684" s="1177"/>
      <c r="G2684" s="1177"/>
      <c r="H2684" s="1177"/>
      <c r="I2684" s="1278">
        <f t="shared" si="150"/>
        <v>1</v>
      </c>
      <c r="J2684" s="1275"/>
    </row>
    <row r="2685" spans="1:10" s="1209" customFormat="1" ht="17.25" customHeight="1">
      <c r="A2685" s="1185"/>
      <c r="B2685" s="1202" t="s">
        <v>6668</v>
      </c>
      <c r="C2685" s="1186"/>
      <c r="D2685" s="1186"/>
      <c r="E2685" s="1186"/>
      <c r="F2685" s="1177"/>
      <c r="G2685" s="1177"/>
      <c r="H2685" s="1177"/>
      <c r="I2685" s="1278">
        <f t="shared" si="150"/>
        <v>0</v>
      </c>
      <c r="J2685" s="1275"/>
    </row>
    <row r="2686" spans="1:10" s="1209" customFormat="1" ht="17.25" customHeight="1">
      <c r="A2686" s="1185"/>
      <c r="B2686" s="1199" t="s">
        <v>6824</v>
      </c>
      <c r="C2686" s="1186">
        <v>1</v>
      </c>
      <c r="D2686" s="1186" t="s">
        <v>3364</v>
      </c>
      <c r="E2686" s="1186">
        <v>1</v>
      </c>
      <c r="F2686" s="1177"/>
      <c r="G2686" s="1177"/>
      <c r="H2686" s="1177"/>
      <c r="I2686" s="1278">
        <f t="shared" si="150"/>
        <v>1</v>
      </c>
      <c r="J2686" s="1275"/>
    </row>
    <row r="2687" spans="1:10" s="1209" customFormat="1" ht="17.25" customHeight="1">
      <c r="A2687" s="1185"/>
      <c r="B2687" s="1199" t="s">
        <v>6825</v>
      </c>
      <c r="C2687" s="1186">
        <v>2</v>
      </c>
      <c r="D2687" s="1186" t="s">
        <v>3364</v>
      </c>
      <c r="E2687" s="1186">
        <v>1</v>
      </c>
      <c r="F2687" s="1177"/>
      <c r="G2687" s="1177"/>
      <c r="H2687" s="1177"/>
      <c r="I2687" s="1278">
        <f t="shared" si="150"/>
        <v>2</v>
      </c>
      <c r="J2687" s="1275"/>
    </row>
    <row r="2688" spans="1:10" s="1209" customFormat="1" ht="17.25" customHeight="1">
      <c r="A2688" s="1185"/>
      <c r="B2688" s="1199" t="s">
        <v>6826</v>
      </c>
      <c r="C2688" s="1186">
        <v>1</v>
      </c>
      <c r="D2688" s="1186" t="s">
        <v>3364</v>
      </c>
      <c r="E2688" s="1186">
        <v>1</v>
      </c>
      <c r="F2688" s="1177"/>
      <c r="G2688" s="1177"/>
      <c r="H2688" s="1177"/>
      <c r="I2688" s="1278">
        <f t="shared" si="150"/>
        <v>1</v>
      </c>
      <c r="J2688" s="1275"/>
    </row>
    <row r="2689" spans="1:10" s="1209" customFormat="1" ht="17.25" customHeight="1">
      <c r="A2689" s="1185"/>
      <c r="B2689" s="1199" t="s">
        <v>6827</v>
      </c>
      <c r="C2689" s="1186">
        <v>1</v>
      </c>
      <c r="D2689" s="1186" t="s">
        <v>3364</v>
      </c>
      <c r="E2689" s="1186">
        <v>1</v>
      </c>
      <c r="F2689" s="1177"/>
      <c r="G2689" s="1177"/>
      <c r="H2689" s="1177"/>
      <c r="I2689" s="1278">
        <f t="shared" si="150"/>
        <v>1</v>
      </c>
      <c r="J2689" s="1275"/>
    </row>
    <row r="2690" spans="1:10" s="1209" customFormat="1" ht="17.25" customHeight="1">
      <c r="A2690" s="1185"/>
      <c r="B2690" s="1199" t="s">
        <v>6828</v>
      </c>
      <c r="C2690" s="1186">
        <v>5</v>
      </c>
      <c r="D2690" s="1186" t="s">
        <v>3364</v>
      </c>
      <c r="E2690" s="1186">
        <v>1</v>
      </c>
      <c r="F2690" s="1177"/>
      <c r="G2690" s="1177"/>
      <c r="H2690" s="1177"/>
      <c r="I2690" s="1278">
        <f t="shared" si="150"/>
        <v>5</v>
      </c>
      <c r="J2690" s="1275"/>
    </row>
    <row r="2691" spans="1:10" s="1209" customFormat="1" ht="17.25" customHeight="1">
      <c r="A2691" s="1185"/>
      <c r="B2691" s="1199" t="s">
        <v>3492</v>
      </c>
      <c r="C2691" s="1186">
        <v>2</v>
      </c>
      <c r="D2691" s="1186" t="s">
        <v>3364</v>
      </c>
      <c r="E2691" s="1186">
        <v>1</v>
      </c>
      <c r="F2691" s="1177"/>
      <c r="G2691" s="1177"/>
      <c r="H2691" s="1177"/>
      <c r="I2691" s="1278">
        <f t="shared" si="150"/>
        <v>2</v>
      </c>
      <c r="J2691" s="1275"/>
    </row>
    <row r="2692" spans="1:10" s="1209" customFormat="1" ht="17.25" customHeight="1">
      <c r="A2692" s="1185"/>
      <c r="B2692" s="1199" t="s">
        <v>6829</v>
      </c>
      <c r="C2692" s="1186">
        <v>2</v>
      </c>
      <c r="D2692" s="1186" t="s">
        <v>3364</v>
      </c>
      <c r="E2692" s="1186">
        <v>1</v>
      </c>
      <c r="F2692" s="1177"/>
      <c r="G2692" s="1177"/>
      <c r="H2692" s="1177"/>
      <c r="I2692" s="1278">
        <f t="shared" si="150"/>
        <v>2</v>
      </c>
      <c r="J2692" s="1275"/>
    </row>
    <row r="2693" spans="1:10" s="1209" customFormat="1" ht="17.25" customHeight="1">
      <c r="A2693" s="1185"/>
      <c r="B2693" s="1199" t="s">
        <v>6830</v>
      </c>
      <c r="C2693" s="1186">
        <v>1</v>
      </c>
      <c r="D2693" s="1186" t="s">
        <v>3364</v>
      </c>
      <c r="E2693" s="1186">
        <v>1</v>
      </c>
      <c r="F2693" s="1177"/>
      <c r="G2693" s="1177"/>
      <c r="H2693" s="1177"/>
      <c r="I2693" s="1278">
        <f t="shared" si="150"/>
        <v>1</v>
      </c>
      <c r="J2693" s="1275"/>
    </row>
    <row r="2694" spans="1:10" s="1209" customFormat="1" ht="17.25" customHeight="1">
      <c r="A2694" s="1185"/>
      <c r="B2694" s="1202" t="s">
        <v>3691</v>
      </c>
      <c r="C2694" s="1186"/>
      <c r="D2694" s="1186"/>
      <c r="E2694" s="1186"/>
      <c r="F2694" s="1177"/>
      <c r="G2694" s="1177"/>
      <c r="H2694" s="1177"/>
      <c r="I2694" s="1278">
        <f t="shared" si="150"/>
        <v>0</v>
      </c>
      <c r="J2694" s="1275"/>
    </row>
    <row r="2695" spans="1:10" s="1209" customFormat="1" ht="17.25" customHeight="1">
      <c r="A2695" s="1185"/>
      <c r="B2695" s="1199" t="s">
        <v>6831</v>
      </c>
      <c r="C2695" s="1186">
        <v>2</v>
      </c>
      <c r="D2695" s="1186" t="s">
        <v>3364</v>
      </c>
      <c r="E2695" s="1186">
        <v>1</v>
      </c>
      <c r="F2695" s="1177"/>
      <c r="G2695" s="1177"/>
      <c r="H2695" s="1177"/>
      <c r="I2695" s="1278">
        <f t="shared" si="150"/>
        <v>2</v>
      </c>
      <c r="J2695" s="1275"/>
    </row>
    <row r="2696" spans="1:10" s="1209" customFormat="1" ht="17.25" customHeight="1">
      <c r="A2696" s="1185"/>
      <c r="B2696" s="1199" t="s">
        <v>6814</v>
      </c>
      <c r="C2696" s="1186">
        <v>2</v>
      </c>
      <c r="D2696" s="1186" t="s">
        <v>3364</v>
      </c>
      <c r="E2696" s="1186">
        <v>1</v>
      </c>
      <c r="F2696" s="1177"/>
      <c r="G2696" s="1177"/>
      <c r="H2696" s="1177"/>
      <c r="I2696" s="1278">
        <f t="shared" si="150"/>
        <v>2</v>
      </c>
      <c r="J2696" s="1275"/>
    </row>
    <row r="2697" spans="1:10" s="1209" customFormat="1" ht="17.25" customHeight="1">
      <c r="A2697" s="1185"/>
      <c r="B2697" s="1199" t="s">
        <v>6832</v>
      </c>
      <c r="C2697" s="1186">
        <v>4</v>
      </c>
      <c r="D2697" s="1186" t="s">
        <v>3364</v>
      </c>
      <c r="E2697" s="1186">
        <v>1</v>
      </c>
      <c r="F2697" s="1177"/>
      <c r="G2697" s="1177"/>
      <c r="H2697" s="1177"/>
      <c r="I2697" s="1278">
        <f t="shared" si="150"/>
        <v>4</v>
      </c>
      <c r="J2697" s="1275"/>
    </row>
    <row r="2698" spans="1:10" s="1209" customFormat="1" ht="17.25" customHeight="1">
      <c r="A2698" s="1185"/>
      <c r="B2698" s="1199" t="s">
        <v>6833</v>
      </c>
      <c r="C2698" s="1186">
        <v>2</v>
      </c>
      <c r="D2698" s="1186" t="s">
        <v>3364</v>
      </c>
      <c r="E2698" s="1186">
        <v>1</v>
      </c>
      <c r="F2698" s="1177"/>
      <c r="G2698" s="1177"/>
      <c r="H2698" s="1177"/>
      <c r="I2698" s="1278">
        <f t="shared" si="150"/>
        <v>2</v>
      </c>
      <c r="J2698" s="1275"/>
    </row>
    <row r="2699" spans="1:10" s="1209" customFormat="1" ht="17.25" customHeight="1">
      <c r="A2699" s="1185"/>
      <c r="B2699" s="1199" t="s">
        <v>6834</v>
      </c>
      <c r="C2699" s="1186">
        <v>2</v>
      </c>
      <c r="D2699" s="1186" t="s">
        <v>3364</v>
      </c>
      <c r="E2699" s="1186">
        <v>1</v>
      </c>
      <c r="F2699" s="1177"/>
      <c r="G2699" s="1177"/>
      <c r="H2699" s="1177"/>
      <c r="I2699" s="1278">
        <f t="shared" si="150"/>
        <v>2</v>
      </c>
      <c r="J2699" s="1275"/>
    </row>
    <row r="2700" spans="1:10" s="1209" customFormat="1" ht="17.25" customHeight="1">
      <c r="A2700" s="1185"/>
      <c r="B2700" s="1199" t="s">
        <v>6835</v>
      </c>
      <c r="C2700" s="1186">
        <v>5</v>
      </c>
      <c r="D2700" s="1186" t="s">
        <v>3364</v>
      </c>
      <c r="E2700" s="1186">
        <v>1</v>
      </c>
      <c r="F2700" s="1177"/>
      <c r="G2700" s="1177"/>
      <c r="H2700" s="1177"/>
      <c r="I2700" s="1278">
        <f t="shared" si="150"/>
        <v>5</v>
      </c>
      <c r="J2700" s="1275"/>
    </row>
    <row r="2701" spans="1:10" s="1209" customFormat="1" ht="17.25" customHeight="1">
      <c r="A2701" s="1185"/>
      <c r="B2701" s="1199" t="s">
        <v>6829</v>
      </c>
      <c r="C2701" s="1186">
        <v>2</v>
      </c>
      <c r="D2701" s="1186" t="s">
        <v>3364</v>
      </c>
      <c r="E2701" s="1186">
        <v>1</v>
      </c>
      <c r="F2701" s="1177"/>
      <c r="G2701" s="1177"/>
      <c r="H2701" s="1177"/>
      <c r="I2701" s="1278">
        <f t="shared" si="150"/>
        <v>2</v>
      </c>
      <c r="J2701" s="1275"/>
    </row>
    <row r="2702" spans="1:10" s="1209" customFormat="1" ht="17.25" customHeight="1">
      <c r="A2702" s="1185"/>
      <c r="B2702" s="1199" t="s">
        <v>6836</v>
      </c>
      <c r="C2702" s="1186">
        <v>2</v>
      </c>
      <c r="D2702" s="1186" t="s">
        <v>3364</v>
      </c>
      <c r="E2702" s="1186">
        <v>1</v>
      </c>
      <c r="F2702" s="1177"/>
      <c r="G2702" s="1177"/>
      <c r="H2702" s="1177"/>
      <c r="I2702" s="1278">
        <f t="shared" si="150"/>
        <v>2</v>
      </c>
      <c r="J2702" s="1275"/>
    </row>
    <row r="2703" spans="1:10" s="1209" customFormat="1" ht="17.25" customHeight="1">
      <c r="A2703" s="1185"/>
      <c r="B2703" s="1202" t="s">
        <v>3692</v>
      </c>
      <c r="C2703" s="1186"/>
      <c r="D2703" s="1186"/>
      <c r="E2703" s="1186"/>
      <c r="F2703" s="1177"/>
      <c r="G2703" s="1177"/>
      <c r="H2703" s="1177"/>
      <c r="I2703" s="1278">
        <f t="shared" si="150"/>
        <v>0</v>
      </c>
      <c r="J2703" s="1275"/>
    </row>
    <row r="2704" spans="1:10" s="1209" customFormat="1" ht="17.25" customHeight="1">
      <c r="A2704" s="1185"/>
      <c r="B2704" s="1199" t="s">
        <v>6837</v>
      </c>
      <c r="C2704" s="1186">
        <v>2</v>
      </c>
      <c r="D2704" s="1186" t="s">
        <v>3364</v>
      </c>
      <c r="E2704" s="1186">
        <v>1</v>
      </c>
      <c r="F2704" s="1177"/>
      <c r="G2704" s="1177"/>
      <c r="H2704" s="1177"/>
      <c r="I2704" s="1278">
        <f t="shared" si="150"/>
        <v>2</v>
      </c>
      <c r="J2704" s="1275"/>
    </row>
    <row r="2705" spans="1:10" s="1209" customFormat="1" ht="17.25" customHeight="1">
      <c r="A2705" s="1185"/>
      <c r="B2705" s="1199" t="s">
        <v>6600</v>
      </c>
      <c r="C2705" s="1186">
        <v>2</v>
      </c>
      <c r="D2705" s="1186" t="s">
        <v>3364</v>
      </c>
      <c r="E2705" s="1186">
        <v>1</v>
      </c>
      <c r="F2705" s="1177"/>
      <c r="G2705" s="1177"/>
      <c r="H2705" s="1177"/>
      <c r="I2705" s="1278">
        <f t="shared" si="150"/>
        <v>2</v>
      </c>
      <c r="J2705" s="1275"/>
    </row>
    <row r="2706" spans="1:10" s="1209" customFormat="1" ht="17.25" customHeight="1">
      <c r="A2706" s="1185"/>
      <c r="B2706" s="1199" t="s">
        <v>6838</v>
      </c>
      <c r="C2706" s="1186">
        <v>2</v>
      </c>
      <c r="D2706" s="1186" t="s">
        <v>3364</v>
      </c>
      <c r="E2706" s="1186">
        <v>1</v>
      </c>
      <c r="F2706" s="1177"/>
      <c r="G2706" s="1177"/>
      <c r="H2706" s="1177"/>
      <c r="I2706" s="1278">
        <f t="shared" si="150"/>
        <v>2</v>
      </c>
      <c r="J2706" s="1275"/>
    </row>
    <row r="2707" spans="1:10" s="1209" customFormat="1" ht="17.25" customHeight="1">
      <c r="A2707" s="1185"/>
      <c r="B2707" s="1199" t="s">
        <v>6602</v>
      </c>
      <c r="C2707" s="1186">
        <v>2</v>
      </c>
      <c r="D2707" s="1186" t="s">
        <v>3364</v>
      </c>
      <c r="E2707" s="1186">
        <v>1</v>
      </c>
      <c r="F2707" s="1177"/>
      <c r="G2707" s="1177"/>
      <c r="H2707" s="1177"/>
      <c r="I2707" s="1278">
        <f t="shared" si="150"/>
        <v>2</v>
      </c>
      <c r="J2707" s="1275"/>
    </row>
    <row r="2708" spans="1:10" s="1209" customFormat="1" ht="17.25" customHeight="1">
      <c r="A2708" s="1185"/>
      <c r="B2708" s="1199" t="s">
        <v>6839</v>
      </c>
      <c r="C2708" s="1186">
        <v>2</v>
      </c>
      <c r="D2708" s="1186" t="s">
        <v>3364</v>
      </c>
      <c r="E2708" s="1186">
        <v>1</v>
      </c>
      <c r="F2708" s="1177"/>
      <c r="G2708" s="1177"/>
      <c r="H2708" s="1177"/>
      <c r="I2708" s="1278">
        <f t="shared" si="150"/>
        <v>2</v>
      </c>
      <c r="J2708" s="1275"/>
    </row>
    <row r="2709" spans="1:10" s="1209" customFormat="1" ht="17.25" customHeight="1">
      <c r="A2709" s="1185"/>
      <c r="B2709" s="1199" t="s">
        <v>6683</v>
      </c>
      <c r="C2709" s="1186">
        <v>2</v>
      </c>
      <c r="D2709" s="1186" t="s">
        <v>3364</v>
      </c>
      <c r="E2709" s="1186">
        <v>1</v>
      </c>
      <c r="F2709" s="1177"/>
      <c r="G2709" s="1177"/>
      <c r="H2709" s="1177"/>
      <c r="I2709" s="1278">
        <f t="shared" si="150"/>
        <v>2</v>
      </c>
      <c r="J2709" s="1275"/>
    </row>
    <row r="2710" spans="1:10" s="1209" customFormat="1" ht="17.25" customHeight="1">
      <c r="A2710" s="1185"/>
      <c r="B2710" s="1199" t="s">
        <v>6800</v>
      </c>
      <c r="C2710" s="1186">
        <v>2</v>
      </c>
      <c r="D2710" s="1186" t="s">
        <v>3364</v>
      </c>
      <c r="E2710" s="1186">
        <v>1</v>
      </c>
      <c r="F2710" s="1177"/>
      <c r="G2710" s="1177"/>
      <c r="H2710" s="1177"/>
      <c r="I2710" s="1278">
        <f t="shared" si="150"/>
        <v>2</v>
      </c>
      <c r="J2710" s="1275"/>
    </row>
    <row r="2711" spans="1:10" s="1209" customFormat="1" ht="17.25" customHeight="1">
      <c r="A2711" s="1185"/>
      <c r="B2711" s="1199" t="s">
        <v>3484</v>
      </c>
      <c r="C2711" s="1186">
        <v>2</v>
      </c>
      <c r="D2711" s="1186" t="s">
        <v>3364</v>
      </c>
      <c r="E2711" s="1186">
        <v>1</v>
      </c>
      <c r="F2711" s="1177"/>
      <c r="G2711" s="1177"/>
      <c r="H2711" s="1177"/>
      <c r="I2711" s="1278">
        <f t="shared" si="150"/>
        <v>2</v>
      </c>
      <c r="J2711" s="1275"/>
    </row>
    <row r="2712" spans="1:10" s="1209" customFormat="1" ht="17.25" customHeight="1">
      <c r="A2712" s="1185"/>
      <c r="B2712" s="1199" t="s">
        <v>6840</v>
      </c>
      <c r="C2712" s="1186">
        <v>2</v>
      </c>
      <c r="D2712" s="1186" t="s">
        <v>3364</v>
      </c>
      <c r="E2712" s="1186">
        <v>2</v>
      </c>
      <c r="F2712" s="1177"/>
      <c r="G2712" s="1177"/>
      <c r="H2712" s="1177"/>
      <c r="I2712" s="1278">
        <f t="shared" si="150"/>
        <v>4</v>
      </c>
      <c r="J2712" s="1275"/>
    </row>
    <row r="2713" spans="1:10" s="1209" customFormat="1" ht="17.25" customHeight="1">
      <c r="A2713" s="1185"/>
      <c r="B2713" s="1199" t="s">
        <v>6836</v>
      </c>
      <c r="C2713" s="1186">
        <v>2</v>
      </c>
      <c r="D2713" s="1186" t="s">
        <v>3364</v>
      </c>
      <c r="E2713" s="1186">
        <v>2</v>
      </c>
      <c r="F2713" s="1177"/>
      <c r="G2713" s="1177"/>
      <c r="H2713" s="1177"/>
      <c r="I2713" s="1278">
        <f t="shared" si="150"/>
        <v>4</v>
      </c>
      <c r="J2713" s="1275"/>
    </row>
    <row r="2714" spans="1:10" s="1209" customFormat="1" ht="17.25" customHeight="1">
      <c r="A2714" s="1185"/>
      <c r="B2714" s="1199" t="s">
        <v>6841</v>
      </c>
      <c r="C2714" s="1186">
        <v>2</v>
      </c>
      <c r="D2714" s="1186" t="s">
        <v>3364</v>
      </c>
      <c r="E2714" s="1186">
        <v>1</v>
      </c>
      <c r="F2714" s="1177"/>
      <c r="G2714" s="1177"/>
      <c r="H2714" s="1177"/>
      <c r="I2714" s="1278">
        <f t="shared" si="150"/>
        <v>2</v>
      </c>
      <c r="J2714" s="1275"/>
    </row>
    <row r="2715" spans="1:10" s="1209" customFormat="1">
      <c r="A2715" s="1391"/>
      <c r="B2715" s="1391"/>
      <c r="C2715" s="1392"/>
      <c r="D2715" s="1392"/>
      <c r="E2715" s="1392"/>
      <c r="F2715" s="1393"/>
      <c r="G2715" s="1393"/>
      <c r="H2715" s="1393"/>
      <c r="I2715" s="1394">
        <f>SUM(I2678:I2714)</f>
        <v>75</v>
      </c>
      <c r="J2715" s="1395" t="s">
        <v>41</v>
      </c>
    </row>
    <row r="2716" spans="1:10" s="1209" customFormat="1" ht="78.75">
      <c r="A2716" s="1391">
        <v>5</v>
      </c>
      <c r="B2716" s="1399" t="s">
        <v>3756</v>
      </c>
      <c r="C2716" s="1392"/>
      <c r="D2716" s="1392"/>
      <c r="E2716" s="1392"/>
      <c r="F2716" s="1393"/>
      <c r="G2716" s="1393"/>
      <c r="H2716" s="1393"/>
      <c r="I2716" s="1393"/>
      <c r="J2716" s="1397"/>
    </row>
    <row r="2717" spans="1:10" s="1209" customFormat="1" ht="45">
      <c r="A2717" s="1391"/>
      <c r="B2717" s="1406" t="s">
        <v>7002</v>
      </c>
      <c r="C2717" s="1392">
        <v>1</v>
      </c>
      <c r="D2717" s="1392" t="s">
        <v>3364</v>
      </c>
      <c r="E2717" s="1392">
        <v>1</v>
      </c>
      <c r="F2717" s="1393"/>
      <c r="G2717" s="1393"/>
      <c r="H2717" s="1393"/>
      <c r="I2717" s="1394">
        <f>PRODUCT(C2717:H2717)</f>
        <v>1</v>
      </c>
      <c r="J2717" s="1395" t="s">
        <v>41</v>
      </c>
    </row>
    <row r="2718" spans="1:10" s="1222" customFormat="1" ht="41.45" customHeight="1">
      <c r="A2718" s="1407"/>
      <c r="B2718" s="1408" t="s">
        <v>3644</v>
      </c>
      <c r="C2718" s="1409"/>
      <c r="D2718" s="1410"/>
      <c r="E2718" s="1410"/>
      <c r="F2718" s="1411"/>
      <c r="G2718" s="1411"/>
      <c r="H2718" s="1411"/>
      <c r="I2718" s="1412"/>
      <c r="J2718" s="1413"/>
    </row>
    <row r="2719" spans="1:10" s="1222" customFormat="1" ht="18.75">
      <c r="A2719" s="1407"/>
      <c r="B2719" s="1414" t="s">
        <v>6951</v>
      </c>
      <c r="C2719" s="1409"/>
      <c r="D2719" s="1410"/>
      <c r="E2719" s="1410"/>
      <c r="F2719" s="1411"/>
      <c r="G2719" s="1411"/>
      <c r="H2719" s="1411"/>
      <c r="I2719" s="1412"/>
      <c r="J2719" s="1413"/>
    </row>
    <row r="2720" spans="1:10" s="1222" customFormat="1" ht="18.75">
      <c r="A2720" s="1407"/>
      <c r="B2720" s="1408" t="s">
        <v>6952</v>
      </c>
      <c r="C2720" s="1409">
        <v>1</v>
      </c>
      <c r="D2720" s="1410" t="s">
        <v>3364</v>
      </c>
      <c r="E2720" s="1410">
        <v>8</v>
      </c>
      <c r="F2720" s="1411"/>
      <c r="G2720" s="1411"/>
      <c r="H2720" s="1411"/>
      <c r="I2720" s="1412">
        <f>PRODUCT(C2720:H2720)</f>
        <v>8</v>
      </c>
      <c r="J2720" s="1413"/>
    </row>
    <row r="2721" spans="1:10" s="1222" customFormat="1" ht="18.75">
      <c r="A2721" s="1407"/>
      <c r="B2721" s="1408"/>
      <c r="C2721" s="1409"/>
      <c r="D2721" s="1410"/>
      <c r="E2721" s="1410"/>
      <c r="F2721" s="1411"/>
      <c r="G2721" s="1411"/>
      <c r="H2721" s="1411"/>
      <c r="I2721" s="1412">
        <f>SUM(I2720:I2720)</f>
        <v>8</v>
      </c>
      <c r="J2721" s="1413" t="s">
        <v>41</v>
      </c>
    </row>
    <row r="2722" spans="1:10" s="1222" customFormat="1" ht="112.5">
      <c r="A2722" s="1407"/>
      <c r="B2722" s="1408" t="s">
        <v>3646</v>
      </c>
      <c r="C2722" s="1409"/>
      <c r="D2722" s="1410"/>
      <c r="E2722" s="1410"/>
      <c r="F2722" s="1411"/>
      <c r="G2722" s="1411"/>
      <c r="H2722" s="1411"/>
      <c r="I2722" s="1412"/>
      <c r="J2722" s="1413"/>
    </row>
    <row r="2723" spans="1:10" s="1222" customFormat="1" ht="18.75">
      <c r="A2723" s="1407"/>
      <c r="B2723" s="1408" t="s">
        <v>6952</v>
      </c>
      <c r="C2723" s="1409">
        <v>1</v>
      </c>
      <c r="D2723" s="1410" t="s">
        <v>3364</v>
      </c>
      <c r="E2723" s="1410">
        <v>8</v>
      </c>
      <c r="F2723" s="1411"/>
      <c r="G2723" s="1411"/>
      <c r="H2723" s="1411"/>
      <c r="I2723" s="1412">
        <f>PRODUCT(C2723:H2723)</f>
        <v>8</v>
      </c>
      <c r="J2723" s="1413"/>
    </row>
    <row r="2724" spans="1:10" s="1222" customFormat="1" ht="18.75">
      <c r="A2724" s="1407"/>
      <c r="B2724" s="1408"/>
      <c r="C2724" s="1409"/>
      <c r="D2724" s="1410"/>
      <c r="E2724" s="1410"/>
      <c r="F2724" s="1411"/>
      <c r="G2724" s="1411"/>
      <c r="H2724" s="1411"/>
      <c r="I2724" s="1412">
        <f>SUM(I2723:I2723)</f>
        <v>8</v>
      </c>
      <c r="J2724" s="1413" t="s">
        <v>41</v>
      </c>
    </row>
    <row r="2725" spans="1:10" s="1222" customFormat="1" ht="93.75">
      <c r="A2725" s="1407"/>
      <c r="B2725" s="1408" t="s">
        <v>3647</v>
      </c>
      <c r="C2725" s="1409"/>
      <c r="D2725" s="1410"/>
      <c r="E2725" s="1410"/>
      <c r="F2725" s="1411"/>
      <c r="G2725" s="1411"/>
      <c r="H2725" s="1411"/>
      <c r="I2725" s="1412"/>
      <c r="J2725" s="1413"/>
    </row>
    <row r="2726" spans="1:10" s="1222" customFormat="1" ht="18.75">
      <c r="A2726" s="1407"/>
      <c r="B2726" s="1408" t="s">
        <v>6952</v>
      </c>
      <c r="C2726" s="1409">
        <v>1</v>
      </c>
      <c r="D2726" s="1410" t="s">
        <v>3364</v>
      </c>
      <c r="E2726" s="1410">
        <v>8</v>
      </c>
      <c r="F2726" s="1411">
        <v>4</v>
      </c>
      <c r="G2726" s="1411"/>
      <c r="H2726" s="1411"/>
      <c r="I2726" s="1412">
        <f>PRODUCT(C2726:H2726)</f>
        <v>32</v>
      </c>
      <c r="J2726" s="1413"/>
    </row>
    <row r="2727" spans="1:10" s="1222" customFormat="1" ht="18.75">
      <c r="A2727" s="1407"/>
      <c r="B2727" s="1408"/>
      <c r="C2727" s="1409"/>
      <c r="D2727" s="1410"/>
      <c r="E2727" s="1410"/>
      <c r="F2727" s="1411"/>
      <c r="G2727" s="1411"/>
      <c r="H2727" s="1411"/>
      <c r="I2727" s="1412">
        <f>SUM(I2726:I2726)</f>
        <v>32</v>
      </c>
      <c r="J2727" s="1413" t="s">
        <v>13</v>
      </c>
    </row>
    <row r="2728" spans="1:10" s="1222" customFormat="1" ht="56.25">
      <c r="A2728" s="1407"/>
      <c r="B2728" s="1408" t="s">
        <v>3648</v>
      </c>
      <c r="C2728" s="1409"/>
      <c r="D2728" s="1410"/>
      <c r="E2728" s="1410"/>
      <c r="F2728" s="1411"/>
      <c r="G2728" s="1411"/>
      <c r="H2728" s="1411"/>
      <c r="I2728" s="1412"/>
      <c r="J2728" s="1413"/>
    </row>
    <row r="2729" spans="1:10" s="1222" customFormat="1" ht="18.75">
      <c r="A2729" s="1407"/>
      <c r="B2729" s="1408" t="s">
        <v>6952</v>
      </c>
      <c r="C2729" s="1409">
        <v>1</v>
      </c>
      <c r="D2729" s="1410" t="s">
        <v>3364</v>
      </c>
      <c r="E2729" s="1410">
        <v>8</v>
      </c>
      <c r="F2729" s="1411">
        <v>4</v>
      </c>
      <c r="G2729" s="1411"/>
      <c r="H2729" s="1411"/>
      <c r="I2729" s="1412">
        <f>PRODUCT(C2729:H2729)</f>
        <v>32</v>
      </c>
      <c r="J2729" s="1413"/>
    </row>
    <row r="2730" spans="1:10" s="1222" customFormat="1" ht="18.75">
      <c r="A2730" s="1407"/>
      <c r="B2730" s="1408"/>
      <c r="C2730" s="1409"/>
      <c r="D2730" s="1410"/>
      <c r="E2730" s="1410"/>
      <c r="F2730" s="1411"/>
      <c r="G2730" s="1411"/>
      <c r="H2730" s="1411"/>
      <c r="I2730" s="1412">
        <f>SUM(I2729:I2729)</f>
        <v>32</v>
      </c>
      <c r="J2730" s="1413" t="s">
        <v>13</v>
      </c>
    </row>
    <row r="2731" spans="1:10" s="1222" customFormat="1" ht="37.5">
      <c r="A2731" s="1407"/>
      <c r="B2731" s="1408" t="s">
        <v>6953</v>
      </c>
      <c r="C2731" s="1409"/>
      <c r="D2731" s="1410"/>
      <c r="E2731" s="1410"/>
      <c r="F2731" s="1411"/>
      <c r="G2731" s="1411"/>
      <c r="H2731" s="1411"/>
      <c r="I2731" s="1412"/>
      <c r="J2731" s="1413"/>
    </row>
    <row r="2732" spans="1:10" s="1222" customFormat="1" ht="18.75">
      <c r="A2732" s="1407"/>
      <c r="B2732" s="1408" t="s">
        <v>6954</v>
      </c>
      <c r="C2732" s="1409">
        <v>1</v>
      </c>
      <c r="D2732" s="1410" t="s">
        <v>3364</v>
      </c>
      <c r="E2732" s="1410">
        <v>8</v>
      </c>
      <c r="F2732" s="1411"/>
      <c r="G2732" s="1411"/>
      <c r="H2732" s="1411"/>
      <c r="I2732" s="1412">
        <f>PRODUCT(C2732:H2732)</f>
        <v>8</v>
      </c>
      <c r="J2732" s="1413"/>
    </row>
    <row r="2733" spans="1:10" s="1222" customFormat="1" ht="18.75">
      <c r="A2733" s="1407"/>
      <c r="B2733" s="1408"/>
      <c r="C2733" s="1409"/>
      <c r="D2733" s="1410"/>
      <c r="E2733" s="1410"/>
      <c r="F2733" s="1411"/>
      <c r="G2733" s="1411"/>
      <c r="H2733" s="1411"/>
      <c r="I2733" s="1412">
        <f>SUM(I2732:I2732)</f>
        <v>8</v>
      </c>
      <c r="J2733" s="1413" t="s">
        <v>729</v>
      </c>
    </row>
    <row r="2734" spans="1:10" s="1222" customFormat="1" ht="150">
      <c r="A2734" s="1407"/>
      <c r="B2734" s="1415" t="s">
        <v>6955</v>
      </c>
      <c r="C2734" s="1409"/>
      <c r="D2734" s="1410"/>
      <c r="E2734" s="1410"/>
      <c r="F2734" s="1411"/>
      <c r="G2734" s="1411"/>
      <c r="H2734" s="1411"/>
      <c r="I2734" s="1412"/>
      <c r="J2734" s="1413"/>
    </row>
    <row r="2735" spans="1:10" s="1222" customFormat="1" ht="18.75">
      <c r="A2735" s="1407"/>
      <c r="B2735" s="1408" t="s">
        <v>6952</v>
      </c>
      <c r="C2735" s="1409">
        <v>1</v>
      </c>
      <c r="D2735" s="1410" t="s">
        <v>3364</v>
      </c>
      <c r="E2735" s="1410">
        <v>8</v>
      </c>
      <c r="F2735" s="1411"/>
      <c r="G2735" s="1411"/>
      <c r="H2735" s="1411"/>
      <c r="I2735" s="1412">
        <f>PRODUCT(C2735:H2735)</f>
        <v>8</v>
      </c>
      <c r="J2735" s="1413"/>
    </row>
    <row r="2736" spans="1:10" s="1222" customFormat="1" ht="18.75">
      <c r="A2736" s="1407"/>
      <c r="B2736" s="1408"/>
      <c r="C2736" s="1409"/>
      <c r="D2736" s="1410"/>
      <c r="E2736" s="1410"/>
      <c r="F2736" s="1411"/>
      <c r="G2736" s="1411"/>
      <c r="H2736" s="1411"/>
      <c r="I2736" s="1412">
        <f>SUM(I2735:I2735)</f>
        <v>8</v>
      </c>
      <c r="J2736" s="1413" t="s">
        <v>3193</v>
      </c>
    </row>
    <row r="2737" spans="1:10">
      <c r="A2737" s="1198"/>
      <c r="B2737" s="1204"/>
      <c r="C2737" s="1198"/>
      <c r="D2737" s="1198"/>
      <c r="E2737" s="1198"/>
      <c r="F2737" s="1198"/>
      <c r="G2737" s="1198"/>
      <c r="H2737" s="1198"/>
      <c r="I2737" s="1198"/>
      <c r="J2737" s="1198"/>
    </row>
    <row r="2738" spans="1:10">
      <c r="A2738" s="1198"/>
      <c r="B2738" s="1204"/>
      <c r="C2738" s="1198"/>
      <c r="D2738" s="1198"/>
      <c r="E2738" s="1198"/>
      <c r="F2738" s="1198"/>
      <c r="G2738" s="1198"/>
      <c r="H2738" s="1198"/>
      <c r="I2738" s="1198"/>
      <c r="J2738" s="1198"/>
    </row>
    <row r="2739" spans="1:10">
      <c r="A2739" s="1198"/>
      <c r="B2739" s="1204"/>
      <c r="C2739" s="1198"/>
      <c r="D2739" s="1198"/>
      <c r="E2739" s="1198"/>
      <c r="F2739" s="1198"/>
      <c r="G2739" s="1198"/>
      <c r="H2739" s="1198"/>
      <c r="I2739" s="1198"/>
      <c r="J2739" s="1198"/>
    </row>
  </sheetData>
  <mergeCells count="9">
    <mergeCell ref="F711:G711"/>
    <mergeCell ref="A1:J1"/>
    <mergeCell ref="A2:J2"/>
    <mergeCell ref="A3:A4"/>
    <mergeCell ref="B3:B4"/>
    <mergeCell ref="C3:E4"/>
    <mergeCell ref="F3:H3"/>
    <mergeCell ref="I3:I4"/>
    <mergeCell ref="J3:J4"/>
  </mergeCells>
  <pageMargins left="0.7" right="0.7" top="0.75" bottom="0.75" header="0.3" footer="0.3"/>
  <pageSetup scale="94" orientation="portrait" r:id="rId1"/>
  <rowBreaks count="3" manualBreakCount="3">
    <brk id="2669" max="9" man="1"/>
    <brk id="2705" max="9" man="1"/>
    <brk id="2727" max="9"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23</vt:i4>
      </vt:variant>
    </vt:vector>
  </HeadingPairs>
  <TitlesOfParts>
    <vt:vector size="41" baseType="lpstr">
      <vt:lpstr>Data-prt (2)</vt:lpstr>
      <vt:lpstr>Joineries</vt:lpstr>
      <vt:lpstr>A4 &amp;A3 print</vt:lpstr>
      <vt:lpstr>Detail </vt:lpstr>
      <vt:lpstr>Data-prt</vt:lpstr>
      <vt:lpstr>pile data </vt:lpstr>
      <vt:lpstr>  Coastal  Elec.Data </vt:lpstr>
      <vt:lpstr>lead  charge</vt:lpstr>
      <vt:lpstr>Elec.Data</vt:lpstr>
      <vt:lpstr>Sliding and french window</vt:lpstr>
      <vt:lpstr>A3</vt:lpstr>
      <vt:lpstr>G. Abstract final</vt:lpstr>
      <vt:lpstr>bore</vt:lpstr>
      <vt:lpstr>Sump</vt:lpstr>
      <vt:lpstr>Data</vt:lpstr>
      <vt:lpstr>Sheet3</vt:lpstr>
      <vt:lpstr>genset</vt:lpstr>
      <vt:lpstr>Detailed Estimate </vt:lpstr>
      <vt:lpstr>'  Coastal  Elec.Data '!Print_Area</vt:lpstr>
      <vt:lpstr>'A3'!Print_Area</vt:lpstr>
      <vt:lpstr>'A4 &amp;A3 print'!Print_Area</vt:lpstr>
      <vt:lpstr>bore!Print_Area</vt:lpstr>
      <vt:lpstr>Data!Print_Area</vt:lpstr>
      <vt:lpstr>'Data-prt (2)'!Print_Area</vt:lpstr>
      <vt:lpstr>'Detail '!Print_Area</vt:lpstr>
      <vt:lpstr>'Detailed Estimate '!Print_Area</vt:lpstr>
      <vt:lpstr>Elec.Data!Print_Area</vt:lpstr>
      <vt:lpstr>'G. Abstract final'!Print_Area</vt:lpstr>
      <vt:lpstr>genset!Print_Area</vt:lpstr>
      <vt:lpstr>'lead  charge'!Print_Area</vt:lpstr>
      <vt:lpstr>'pile data '!Print_Area</vt:lpstr>
      <vt:lpstr>Sheet3!Print_Area</vt:lpstr>
      <vt:lpstr>'Sliding and french window'!Print_Area</vt:lpstr>
      <vt:lpstr>'  Coastal  Elec.Data '!Print_Area_MI</vt:lpstr>
      <vt:lpstr>Data!Print_Area_MI</vt:lpstr>
      <vt:lpstr>'A3'!Print_Titles</vt:lpstr>
      <vt:lpstr>'A4 &amp;A3 print'!Print_Titles</vt:lpstr>
      <vt:lpstr>'G. Abstract final'!Print_Titles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plgee</cp:lastModifiedBy>
  <cp:lastPrinted>2022-10-19T09:48:54Z</cp:lastPrinted>
  <dcterms:created xsi:type="dcterms:W3CDTF">2003-09-02T05:17:23Z</dcterms:created>
  <dcterms:modified xsi:type="dcterms:W3CDTF">2022-10-19T09:49:07Z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7A435FB4D6B84F5D8DDB12707A35673F</vt:lpwstr>
  </property>
  <property fmtid="{D5CDD505-2E9C-101B-9397-08002B2CF9AE}" pid="3" name="KSOProductBuildVer">
    <vt:lpwstr>1033-11.2.0.11306</vt:lpwstr>
  </property>
</Properties>
</file>